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Antonis\Desktop\"/>
    </mc:Choice>
  </mc:AlternateContent>
  <xr:revisionPtr revIDLastSave="0" documentId="13_ncr:1_{850114E0-F477-41EC-ABED-1ED22EC98512}" xr6:coauthVersionLast="46" xr6:coauthVersionMax="46" xr10:uidLastSave="{00000000-0000-0000-0000-000000000000}"/>
  <bookViews>
    <workbookView xWindow="-108" yWindow="-108" windowWidth="23256" windowHeight="12720" activeTab="1" xr2:uid="{00000000-000D-0000-FFFF-FFFF00000000}"/>
  </bookViews>
  <sheets>
    <sheet name="ΔΗΜΟΣΙΑ ΣΧΟΛΕΙΑ" sheetId="1" r:id="rId1"/>
    <sheet name="ΚΕΣΥ" sheetId="3" r:id="rId2"/>
    <sheet name="ΔΝΣΕΙΣ ΕΚΠΑΙΔΕΥΣΗΣ" sheetId="5" r:id="rId3"/>
    <sheet name="ΠΔΕ" sheetId="2" r:id="rId4"/>
  </sheets>
  <definedNames>
    <definedName name="_xlnm._FilterDatabase" localSheetId="0" hidden="1">'ΔΗΜΟΣΙΑ ΣΧΟΛΕΙΑ'!$A$1:$S$13611</definedName>
    <definedName name="_xlnm._FilterDatabase" localSheetId="2" hidden="1">'ΔΝΣΕΙΣ ΕΚΠΑΙΔΕΥΣΗΣ'!$B$1:$L$118</definedName>
    <definedName name="_xlnm._FilterDatabase" localSheetId="1" hidden="1">ΚΕΣΥ!$A$1:$P$72</definedName>
    <definedName name="_xlnm._FilterDatabase" localSheetId="3" hidden="1">ΠΔΕ!$B$1:$L$14</definedName>
    <definedName name="CSV_2021_04_05_100429" localSheetId="0">'ΔΗΜΟΣΙΑ ΣΧΟΛΕΙΑ'!$A$1:$S$13611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" i="3" l="1"/>
  <c r="O2" i="3"/>
  <c r="P2" i="3"/>
  <c r="H3" i="3"/>
  <c r="O3" i="3"/>
  <c r="P3" i="3"/>
  <c r="H4" i="3"/>
  <c r="O4" i="3"/>
  <c r="P4" i="3"/>
  <c r="H5" i="3"/>
  <c r="O5" i="3"/>
  <c r="P5" i="3"/>
  <c r="H6" i="3"/>
  <c r="O6" i="3"/>
  <c r="P6" i="3"/>
  <c r="H7" i="3"/>
  <c r="O7" i="3"/>
  <c r="P7" i="3"/>
  <c r="H8" i="3"/>
  <c r="O8" i="3"/>
  <c r="P8" i="3"/>
  <c r="H9" i="3"/>
  <c r="O9" i="3"/>
  <c r="P9" i="3"/>
  <c r="H10" i="3"/>
  <c r="O10" i="3"/>
  <c r="P10" i="3"/>
  <c r="H11" i="3"/>
  <c r="O11" i="3"/>
  <c r="P11" i="3"/>
  <c r="H12" i="3"/>
  <c r="O12" i="3"/>
  <c r="P12" i="3"/>
  <c r="H13" i="3"/>
  <c r="O13" i="3"/>
  <c r="P13" i="3"/>
  <c r="H14" i="3"/>
  <c r="O14" i="3"/>
  <c r="P14" i="3"/>
  <c r="H15" i="3"/>
  <c r="O15" i="3"/>
  <c r="P15" i="3"/>
  <c r="H16" i="3"/>
  <c r="O16" i="3"/>
  <c r="P16" i="3"/>
  <c r="H17" i="3"/>
  <c r="O17" i="3"/>
  <c r="P17" i="3"/>
  <c r="H18" i="3"/>
  <c r="O18" i="3"/>
  <c r="P18" i="3"/>
  <c r="H19" i="3"/>
  <c r="O19" i="3"/>
  <c r="P19" i="3"/>
  <c r="H20" i="3"/>
  <c r="O20" i="3"/>
  <c r="P20" i="3"/>
  <c r="H21" i="3"/>
  <c r="O21" i="3"/>
  <c r="P21" i="3"/>
  <c r="H22" i="3"/>
  <c r="O22" i="3"/>
  <c r="P22" i="3"/>
  <c r="H23" i="3"/>
  <c r="O23" i="3"/>
  <c r="P23" i="3"/>
  <c r="H24" i="3"/>
  <c r="O24" i="3"/>
  <c r="P24" i="3"/>
  <c r="H25" i="3"/>
  <c r="O25" i="3"/>
  <c r="P25" i="3"/>
  <c r="H26" i="3"/>
  <c r="O26" i="3"/>
  <c r="P26" i="3"/>
  <c r="H27" i="3"/>
  <c r="O27" i="3"/>
  <c r="P27" i="3"/>
  <c r="H28" i="3"/>
  <c r="O28" i="3"/>
  <c r="P28" i="3"/>
  <c r="H29" i="3"/>
  <c r="O29" i="3"/>
  <c r="P29" i="3"/>
  <c r="H30" i="3"/>
  <c r="O30" i="3"/>
  <c r="P30" i="3"/>
  <c r="H31" i="3"/>
  <c r="O31" i="3"/>
  <c r="P31" i="3"/>
  <c r="H32" i="3"/>
  <c r="O32" i="3"/>
  <c r="P32" i="3"/>
  <c r="H33" i="3"/>
  <c r="O33" i="3"/>
  <c r="P33" i="3"/>
  <c r="H34" i="3"/>
  <c r="O34" i="3"/>
  <c r="P34" i="3"/>
  <c r="H35" i="3"/>
  <c r="O35" i="3"/>
  <c r="P35" i="3"/>
  <c r="H36" i="3"/>
  <c r="O36" i="3"/>
  <c r="P36" i="3"/>
  <c r="H37" i="3"/>
  <c r="O37" i="3"/>
  <c r="P37" i="3"/>
  <c r="H38" i="3"/>
  <c r="O38" i="3"/>
  <c r="P38" i="3"/>
  <c r="H39" i="3"/>
  <c r="O39" i="3"/>
  <c r="P39" i="3"/>
  <c r="H40" i="3"/>
  <c r="O40" i="3"/>
  <c r="P40" i="3"/>
  <c r="H41" i="3"/>
  <c r="O41" i="3"/>
  <c r="P41" i="3"/>
  <c r="H42" i="3"/>
  <c r="O42" i="3"/>
  <c r="P42" i="3"/>
  <c r="H43" i="3"/>
  <c r="O43" i="3"/>
  <c r="P43" i="3"/>
  <c r="H44" i="3"/>
  <c r="O44" i="3"/>
  <c r="P44" i="3"/>
  <c r="H45" i="3"/>
  <c r="O45" i="3"/>
  <c r="P45" i="3"/>
  <c r="H46" i="3"/>
  <c r="O46" i="3"/>
  <c r="P46" i="3"/>
  <c r="H47" i="3"/>
  <c r="O47" i="3"/>
  <c r="P47" i="3"/>
  <c r="H48" i="3"/>
  <c r="O48" i="3"/>
  <c r="P48" i="3"/>
  <c r="H49" i="3"/>
  <c r="O49" i="3"/>
  <c r="P49" i="3"/>
  <c r="H50" i="3"/>
  <c r="O50" i="3"/>
  <c r="P50" i="3"/>
  <c r="H51" i="3"/>
  <c r="O51" i="3"/>
  <c r="P51" i="3"/>
  <c r="H52" i="3"/>
  <c r="O52" i="3"/>
  <c r="P52" i="3"/>
  <c r="H53" i="3"/>
  <c r="O53" i="3"/>
  <c r="P53" i="3"/>
  <c r="H54" i="3"/>
  <c r="O54" i="3"/>
  <c r="P54" i="3"/>
  <c r="H55" i="3"/>
  <c r="O55" i="3"/>
  <c r="P55" i="3"/>
  <c r="H56" i="3"/>
  <c r="O56" i="3"/>
  <c r="P56" i="3"/>
  <c r="H57" i="3"/>
  <c r="O57" i="3"/>
  <c r="P57" i="3"/>
  <c r="H58" i="3"/>
  <c r="O58" i="3"/>
  <c r="P58" i="3"/>
  <c r="H59" i="3"/>
  <c r="O59" i="3"/>
  <c r="P59" i="3"/>
  <c r="H60" i="3"/>
  <c r="O60" i="3"/>
  <c r="P60" i="3"/>
  <c r="H61" i="3"/>
  <c r="O61" i="3"/>
  <c r="P61" i="3"/>
  <c r="H62" i="3"/>
  <c r="O62" i="3"/>
  <c r="P62" i="3"/>
  <c r="H63" i="3"/>
  <c r="O63" i="3"/>
  <c r="P63" i="3"/>
  <c r="H64" i="3"/>
  <c r="O64" i="3"/>
  <c r="P64" i="3"/>
  <c r="H65" i="3"/>
  <c r="O65" i="3"/>
  <c r="P65" i="3"/>
  <c r="H66" i="3"/>
  <c r="O66" i="3"/>
  <c r="P66" i="3"/>
  <c r="H67" i="3"/>
  <c r="O67" i="3"/>
  <c r="P67" i="3"/>
  <c r="H68" i="3"/>
  <c r="O68" i="3"/>
  <c r="P68" i="3"/>
  <c r="H69" i="3"/>
  <c r="O69" i="3"/>
  <c r="P69" i="3"/>
  <c r="H70" i="3"/>
  <c r="O70" i="3"/>
  <c r="P70" i="3"/>
  <c r="H71" i="3"/>
  <c r="O71" i="3"/>
  <c r="P71" i="3"/>
  <c r="H72" i="3"/>
  <c r="O72" i="3"/>
  <c r="P72" i="3"/>
  <c r="J2" i="1"/>
  <c r="Q2" i="1"/>
  <c r="R2" i="1"/>
  <c r="J3" i="1"/>
  <c r="Q3" i="1"/>
  <c r="R3" i="1"/>
  <c r="J4" i="1"/>
  <c r="Q4" i="1"/>
  <c r="R4" i="1"/>
  <c r="J6547" i="1"/>
  <c r="Q6547" i="1"/>
  <c r="R6547" i="1"/>
  <c r="J6643" i="1"/>
  <c r="Q6643" i="1"/>
  <c r="R6643" i="1"/>
  <c r="J6644" i="1"/>
  <c r="Q6644" i="1"/>
  <c r="R6644" i="1"/>
  <c r="J5" i="1"/>
  <c r="Q5" i="1"/>
  <c r="R5" i="1"/>
  <c r="J6645" i="1"/>
  <c r="Q6645" i="1"/>
  <c r="R6645" i="1"/>
  <c r="J7051" i="1"/>
  <c r="Q7051" i="1"/>
  <c r="R7051" i="1"/>
  <c r="J7052" i="1"/>
  <c r="Q7052" i="1"/>
  <c r="R7052" i="1"/>
  <c r="J7053" i="1"/>
  <c r="Q7053" i="1"/>
  <c r="R7053" i="1"/>
  <c r="J7054" i="1"/>
  <c r="Q7054" i="1"/>
  <c r="R7054" i="1"/>
  <c r="J6646" i="1"/>
  <c r="Q6646" i="1"/>
  <c r="R6646" i="1"/>
  <c r="J7055" i="1"/>
  <c r="Q7055" i="1"/>
  <c r="R7055" i="1"/>
  <c r="J7056" i="1"/>
  <c r="Q7056" i="1"/>
  <c r="R7056" i="1"/>
  <c r="J7057" i="1"/>
  <c r="Q7057" i="1"/>
  <c r="R7057" i="1"/>
  <c r="J7058" i="1"/>
  <c r="Q7058" i="1"/>
  <c r="R7058" i="1"/>
  <c r="J6647" i="1"/>
  <c r="Q6647" i="1"/>
  <c r="R6647" i="1"/>
  <c r="J13493" i="1"/>
  <c r="Q13493" i="1"/>
  <c r="R13493" i="1"/>
  <c r="J6" i="1"/>
  <c r="Q6" i="1"/>
  <c r="R6" i="1"/>
  <c r="J7" i="1"/>
  <c r="Q7" i="1"/>
  <c r="R7" i="1"/>
  <c r="J8" i="1"/>
  <c r="Q8" i="1"/>
  <c r="R8" i="1"/>
  <c r="J9" i="1"/>
  <c r="Q9" i="1"/>
  <c r="R9" i="1"/>
  <c r="J10" i="1"/>
  <c r="Q10" i="1"/>
  <c r="R10" i="1"/>
  <c r="J11" i="1"/>
  <c r="Q11" i="1"/>
  <c r="R11" i="1"/>
  <c r="J12" i="1"/>
  <c r="Q12" i="1"/>
  <c r="R12" i="1"/>
  <c r="J13" i="1"/>
  <c r="Q13" i="1"/>
  <c r="R13" i="1"/>
  <c r="J14" i="1"/>
  <c r="Q14" i="1"/>
  <c r="R14" i="1"/>
  <c r="J15" i="1"/>
  <c r="Q15" i="1"/>
  <c r="R15" i="1"/>
  <c r="J16" i="1"/>
  <c r="Q16" i="1"/>
  <c r="R16" i="1"/>
  <c r="J17" i="1"/>
  <c r="Q17" i="1"/>
  <c r="R17" i="1"/>
  <c r="J6648" i="1"/>
  <c r="Q6648" i="1"/>
  <c r="R6648" i="1"/>
  <c r="J18" i="1"/>
  <c r="Q18" i="1"/>
  <c r="R18" i="1"/>
  <c r="J7059" i="1"/>
  <c r="Q7059" i="1"/>
  <c r="R7059" i="1"/>
  <c r="J19" i="1"/>
  <c r="Q19" i="1"/>
  <c r="R19" i="1"/>
  <c r="J7060" i="1"/>
  <c r="Q7060" i="1"/>
  <c r="R7060" i="1"/>
  <c r="J20" i="1"/>
  <c r="Q20" i="1"/>
  <c r="R20" i="1"/>
  <c r="J21" i="1"/>
  <c r="Q21" i="1"/>
  <c r="R21" i="1"/>
  <c r="J6649" i="1"/>
  <c r="Q6649" i="1"/>
  <c r="R6649" i="1"/>
  <c r="J22" i="1"/>
  <c r="Q22" i="1"/>
  <c r="R22" i="1"/>
  <c r="J7061" i="1"/>
  <c r="Q7061" i="1"/>
  <c r="R7061" i="1"/>
  <c r="J6548" i="1"/>
  <c r="Q6548" i="1"/>
  <c r="R6548" i="1"/>
  <c r="J6549" i="1"/>
  <c r="Q6549" i="1"/>
  <c r="R6549" i="1"/>
  <c r="J6650" i="1"/>
  <c r="Q6650" i="1"/>
  <c r="R6650" i="1"/>
  <c r="J6651" i="1"/>
  <c r="Q6651" i="1"/>
  <c r="R6651" i="1"/>
  <c r="J6652" i="1"/>
  <c r="Q6652" i="1"/>
  <c r="R6652" i="1"/>
  <c r="J6653" i="1"/>
  <c r="Q6653" i="1"/>
  <c r="R6653" i="1"/>
  <c r="J7062" i="1"/>
  <c r="Q7062" i="1"/>
  <c r="R7062" i="1"/>
  <c r="J7063" i="1"/>
  <c r="Q7063" i="1"/>
  <c r="R7063" i="1"/>
  <c r="J7064" i="1"/>
  <c r="Q7064" i="1"/>
  <c r="R7064" i="1"/>
  <c r="J7065" i="1"/>
  <c r="Q7065" i="1"/>
  <c r="R7065" i="1"/>
  <c r="J7066" i="1"/>
  <c r="Q7066" i="1"/>
  <c r="R7066" i="1"/>
  <c r="J7067" i="1"/>
  <c r="Q7067" i="1"/>
  <c r="R7067" i="1"/>
  <c r="J7068" i="1"/>
  <c r="Q7068" i="1"/>
  <c r="R7068" i="1"/>
  <c r="J7069" i="1"/>
  <c r="Q7069" i="1"/>
  <c r="R7069" i="1"/>
  <c r="J7070" i="1"/>
  <c r="Q7070" i="1"/>
  <c r="R7070" i="1"/>
  <c r="J13494" i="1"/>
  <c r="Q13494" i="1"/>
  <c r="R13494" i="1"/>
  <c r="J23" i="1"/>
  <c r="Q23" i="1"/>
  <c r="R23" i="1"/>
  <c r="J24" i="1"/>
  <c r="Q24" i="1"/>
  <c r="R24" i="1"/>
  <c r="J25" i="1"/>
  <c r="Q25" i="1"/>
  <c r="R25" i="1"/>
  <c r="J26" i="1"/>
  <c r="Q26" i="1"/>
  <c r="R26" i="1"/>
  <c r="J27" i="1"/>
  <c r="Q27" i="1"/>
  <c r="R27" i="1"/>
  <c r="J28" i="1"/>
  <c r="Q28" i="1"/>
  <c r="R28" i="1"/>
  <c r="J29" i="1"/>
  <c r="Q29" i="1"/>
  <c r="R29" i="1"/>
  <c r="J30" i="1"/>
  <c r="Q30" i="1"/>
  <c r="R30" i="1"/>
  <c r="J31" i="1"/>
  <c r="Q31" i="1"/>
  <c r="R31" i="1"/>
  <c r="J32" i="1"/>
  <c r="Q32" i="1"/>
  <c r="R32" i="1"/>
  <c r="J33" i="1"/>
  <c r="Q33" i="1"/>
  <c r="R33" i="1"/>
  <c r="J34" i="1"/>
  <c r="Q34" i="1"/>
  <c r="R34" i="1"/>
  <c r="J35" i="1"/>
  <c r="Q35" i="1"/>
  <c r="R35" i="1"/>
  <c r="J36" i="1"/>
  <c r="Q36" i="1"/>
  <c r="R36" i="1"/>
  <c r="J37" i="1"/>
  <c r="Q37" i="1"/>
  <c r="R37" i="1"/>
  <c r="J38" i="1"/>
  <c r="Q38" i="1"/>
  <c r="R38" i="1"/>
  <c r="J39" i="1"/>
  <c r="Q39" i="1"/>
  <c r="R39" i="1"/>
  <c r="J40" i="1"/>
  <c r="Q40" i="1"/>
  <c r="R40" i="1"/>
  <c r="J7071" i="1"/>
  <c r="Q7071" i="1"/>
  <c r="R7071" i="1"/>
  <c r="J41" i="1"/>
  <c r="Q41" i="1"/>
  <c r="R41" i="1"/>
  <c r="J7072" i="1"/>
  <c r="Q7072" i="1"/>
  <c r="R7072" i="1"/>
  <c r="J42" i="1"/>
  <c r="Q42" i="1"/>
  <c r="R42" i="1"/>
  <c r="J43" i="1"/>
  <c r="Q43" i="1"/>
  <c r="R43" i="1"/>
  <c r="J7073" i="1"/>
  <c r="Q7073" i="1"/>
  <c r="R7073" i="1"/>
  <c r="J7074" i="1"/>
  <c r="Q7074" i="1"/>
  <c r="R7074" i="1"/>
  <c r="J6654" i="1"/>
  <c r="Q6654" i="1"/>
  <c r="R6654" i="1"/>
  <c r="J44" i="1"/>
  <c r="Q44" i="1"/>
  <c r="R44" i="1"/>
  <c r="J45" i="1"/>
  <c r="Q45" i="1"/>
  <c r="R45" i="1"/>
  <c r="J13495" i="1"/>
  <c r="Q13495" i="1"/>
  <c r="R13495" i="1"/>
  <c r="J6655" i="1"/>
  <c r="Q6655" i="1"/>
  <c r="R6655" i="1"/>
  <c r="J46" i="1"/>
  <c r="Q46" i="1"/>
  <c r="R46" i="1"/>
  <c r="J47" i="1"/>
  <c r="Q47" i="1"/>
  <c r="R47" i="1"/>
  <c r="J48" i="1"/>
  <c r="Q48" i="1"/>
  <c r="R48" i="1"/>
  <c r="J7075" i="1"/>
  <c r="Q7075" i="1"/>
  <c r="R7075" i="1"/>
  <c r="J49" i="1"/>
  <c r="Q49" i="1"/>
  <c r="R49" i="1"/>
  <c r="J6550" i="1"/>
  <c r="Q6550" i="1"/>
  <c r="R6550" i="1"/>
  <c r="J6656" i="1"/>
  <c r="Q6656" i="1"/>
  <c r="R6656" i="1"/>
  <c r="J7076" i="1"/>
  <c r="Q7076" i="1"/>
  <c r="R7076" i="1"/>
  <c r="J7077" i="1"/>
  <c r="Q7077" i="1"/>
  <c r="R7077" i="1"/>
  <c r="J7078" i="1"/>
  <c r="Q7078" i="1"/>
  <c r="R7078" i="1"/>
  <c r="J7079" i="1"/>
  <c r="Q7079" i="1"/>
  <c r="R7079" i="1"/>
  <c r="J7080" i="1"/>
  <c r="Q7080" i="1"/>
  <c r="R7080" i="1"/>
  <c r="J7081" i="1"/>
  <c r="Q7081" i="1"/>
  <c r="R7081" i="1"/>
  <c r="J7082" i="1"/>
  <c r="Q7082" i="1"/>
  <c r="R7082" i="1"/>
  <c r="J7083" i="1"/>
  <c r="Q7083" i="1"/>
  <c r="R7083" i="1"/>
  <c r="J7084" i="1"/>
  <c r="Q7084" i="1"/>
  <c r="R7084" i="1"/>
  <c r="J50" i="1"/>
  <c r="Q50" i="1"/>
  <c r="R50" i="1"/>
  <c r="J51" i="1"/>
  <c r="Q51" i="1"/>
  <c r="R51" i="1"/>
  <c r="J52" i="1"/>
  <c r="Q52" i="1"/>
  <c r="R52" i="1"/>
  <c r="J53" i="1"/>
  <c r="Q53" i="1"/>
  <c r="R53" i="1"/>
  <c r="J54" i="1"/>
  <c r="Q54" i="1"/>
  <c r="R54" i="1"/>
  <c r="J55" i="1"/>
  <c r="Q55" i="1"/>
  <c r="R55" i="1"/>
  <c r="J13496" i="1"/>
  <c r="Q13496" i="1"/>
  <c r="R13496" i="1"/>
  <c r="J56" i="1"/>
  <c r="Q56" i="1"/>
  <c r="R56" i="1"/>
  <c r="J57" i="1"/>
  <c r="Q57" i="1"/>
  <c r="R57" i="1"/>
  <c r="J58" i="1"/>
  <c r="Q58" i="1"/>
  <c r="R58" i="1"/>
  <c r="J59" i="1"/>
  <c r="Q59" i="1"/>
  <c r="R59" i="1"/>
  <c r="J60" i="1"/>
  <c r="Q60" i="1"/>
  <c r="R60" i="1"/>
  <c r="J61" i="1"/>
  <c r="Q61" i="1"/>
  <c r="R61" i="1"/>
  <c r="J62" i="1"/>
  <c r="Q62" i="1"/>
  <c r="R62" i="1"/>
  <c r="J6657" i="1"/>
  <c r="Q6657" i="1"/>
  <c r="R6657" i="1"/>
  <c r="J63" i="1"/>
  <c r="Q63" i="1"/>
  <c r="R63" i="1"/>
  <c r="J64" i="1"/>
  <c r="Q64" i="1"/>
  <c r="R64" i="1"/>
  <c r="J7085" i="1"/>
  <c r="Q7085" i="1"/>
  <c r="R7085" i="1"/>
  <c r="J65" i="1"/>
  <c r="Q65" i="1"/>
  <c r="R65" i="1"/>
  <c r="J6658" i="1"/>
  <c r="Q6658" i="1"/>
  <c r="R6658" i="1"/>
  <c r="J66" i="1"/>
  <c r="Q66" i="1"/>
  <c r="R66" i="1"/>
  <c r="J67" i="1"/>
  <c r="Q67" i="1"/>
  <c r="R67" i="1"/>
  <c r="J6659" i="1"/>
  <c r="Q6659" i="1"/>
  <c r="R6659" i="1"/>
  <c r="J6660" i="1"/>
  <c r="Q6660" i="1"/>
  <c r="R6660" i="1"/>
  <c r="J7086" i="1"/>
  <c r="Q7086" i="1"/>
  <c r="R7086" i="1"/>
  <c r="J7087" i="1"/>
  <c r="Q7087" i="1"/>
  <c r="R7087" i="1"/>
  <c r="J68" i="1"/>
  <c r="Q68" i="1"/>
  <c r="R68" i="1"/>
  <c r="J69" i="1"/>
  <c r="Q69" i="1"/>
  <c r="R69" i="1"/>
  <c r="J70" i="1"/>
  <c r="Q70" i="1"/>
  <c r="R70" i="1"/>
  <c r="J7088" i="1"/>
  <c r="Q7088" i="1"/>
  <c r="R7088" i="1"/>
  <c r="J71" i="1"/>
  <c r="Q71" i="1"/>
  <c r="R71" i="1"/>
  <c r="J6661" i="1"/>
  <c r="Q6661" i="1"/>
  <c r="R6661" i="1"/>
  <c r="J6551" i="1"/>
  <c r="Q6551" i="1"/>
  <c r="R6551" i="1"/>
  <c r="J72" i="1"/>
  <c r="Q72" i="1"/>
  <c r="R72" i="1"/>
  <c r="J7089" i="1"/>
  <c r="Q7089" i="1"/>
  <c r="R7089" i="1"/>
  <c r="J7090" i="1"/>
  <c r="Q7090" i="1"/>
  <c r="R7090" i="1"/>
  <c r="J13497" i="1"/>
  <c r="Q13497" i="1"/>
  <c r="R13497" i="1"/>
  <c r="J6662" i="1"/>
  <c r="Q6662" i="1"/>
  <c r="R6662" i="1"/>
  <c r="J6663" i="1"/>
  <c r="Q6663" i="1"/>
  <c r="R6663" i="1"/>
  <c r="J7091" i="1"/>
  <c r="Q7091" i="1"/>
  <c r="R7091" i="1"/>
  <c r="J7092" i="1"/>
  <c r="Q7092" i="1"/>
  <c r="R7092" i="1"/>
  <c r="J7093" i="1"/>
  <c r="Q7093" i="1"/>
  <c r="R7093" i="1"/>
  <c r="J13498" i="1"/>
  <c r="Q13498" i="1"/>
  <c r="R13498" i="1"/>
  <c r="J73" i="1"/>
  <c r="Q73" i="1"/>
  <c r="R73" i="1"/>
  <c r="J74" i="1"/>
  <c r="Q74" i="1"/>
  <c r="R74" i="1"/>
  <c r="J75" i="1"/>
  <c r="Q75" i="1"/>
  <c r="R75" i="1"/>
  <c r="J76" i="1"/>
  <c r="Q76" i="1"/>
  <c r="R76" i="1"/>
  <c r="J77" i="1"/>
  <c r="Q77" i="1"/>
  <c r="R77" i="1"/>
  <c r="J78" i="1"/>
  <c r="Q78" i="1"/>
  <c r="R78" i="1"/>
  <c r="J79" i="1"/>
  <c r="Q79" i="1"/>
  <c r="R79" i="1"/>
  <c r="J80" i="1"/>
  <c r="Q80" i="1"/>
  <c r="R80" i="1"/>
  <c r="J7094" i="1"/>
  <c r="Q7094" i="1"/>
  <c r="R7094" i="1"/>
  <c r="J81" i="1"/>
  <c r="Q81" i="1"/>
  <c r="R81" i="1"/>
  <c r="J82" i="1"/>
  <c r="Q82" i="1"/>
  <c r="R82" i="1"/>
  <c r="J83" i="1"/>
  <c r="Q83" i="1"/>
  <c r="R83" i="1"/>
  <c r="J84" i="1"/>
  <c r="Q84" i="1"/>
  <c r="R84" i="1"/>
  <c r="J85" i="1"/>
  <c r="Q85" i="1"/>
  <c r="R85" i="1"/>
  <c r="J86" i="1"/>
  <c r="Q86" i="1"/>
  <c r="R86" i="1"/>
  <c r="J87" i="1"/>
  <c r="Q87" i="1"/>
  <c r="R87" i="1"/>
  <c r="J88" i="1"/>
  <c r="Q88" i="1"/>
  <c r="R88" i="1"/>
  <c r="J89" i="1"/>
  <c r="Q89" i="1"/>
  <c r="R89" i="1"/>
  <c r="J90" i="1"/>
  <c r="Q90" i="1"/>
  <c r="R90" i="1"/>
  <c r="J91" i="1"/>
  <c r="Q91" i="1"/>
  <c r="R91" i="1"/>
  <c r="J6664" i="1"/>
  <c r="Q6664" i="1"/>
  <c r="R6664" i="1"/>
  <c r="J92" i="1"/>
  <c r="Q92" i="1"/>
  <c r="R92" i="1"/>
  <c r="J7095" i="1"/>
  <c r="Q7095" i="1"/>
  <c r="R7095" i="1"/>
  <c r="J7096" i="1"/>
  <c r="Q7096" i="1"/>
  <c r="R7096" i="1"/>
  <c r="J6665" i="1"/>
  <c r="Q6665" i="1"/>
  <c r="R6665" i="1"/>
  <c r="J6666" i="1"/>
  <c r="Q6666" i="1"/>
  <c r="R6666" i="1"/>
  <c r="J7097" i="1"/>
  <c r="Q7097" i="1"/>
  <c r="R7097" i="1"/>
  <c r="J13499" i="1"/>
  <c r="Q13499" i="1"/>
  <c r="R13499" i="1"/>
  <c r="J7098" i="1"/>
  <c r="Q7098" i="1"/>
  <c r="R7098" i="1"/>
  <c r="J7099" i="1"/>
  <c r="Q7099" i="1"/>
  <c r="R7099" i="1"/>
  <c r="J7100" i="1"/>
  <c r="Q7100" i="1"/>
  <c r="R7100" i="1"/>
  <c r="J93" i="1"/>
  <c r="Q93" i="1"/>
  <c r="R93" i="1"/>
  <c r="J94" i="1"/>
  <c r="Q94" i="1"/>
  <c r="R94" i="1"/>
  <c r="J95" i="1"/>
  <c r="Q95" i="1"/>
  <c r="R95" i="1"/>
  <c r="J96" i="1"/>
  <c r="Q96" i="1"/>
  <c r="R96" i="1"/>
  <c r="J97" i="1"/>
  <c r="Q97" i="1"/>
  <c r="R97" i="1"/>
  <c r="J98" i="1"/>
  <c r="Q98" i="1"/>
  <c r="R98" i="1"/>
  <c r="J99" i="1"/>
  <c r="Q99" i="1"/>
  <c r="R99" i="1"/>
  <c r="J100" i="1"/>
  <c r="Q100" i="1"/>
  <c r="R100" i="1"/>
  <c r="J101" i="1"/>
  <c r="Q101" i="1"/>
  <c r="R101" i="1"/>
  <c r="J102" i="1"/>
  <c r="Q102" i="1"/>
  <c r="R102" i="1"/>
  <c r="J103" i="1"/>
  <c r="Q103" i="1"/>
  <c r="R103" i="1"/>
  <c r="J104" i="1"/>
  <c r="Q104" i="1"/>
  <c r="R104" i="1"/>
  <c r="J105" i="1"/>
  <c r="Q105" i="1"/>
  <c r="R105" i="1"/>
  <c r="J106" i="1"/>
  <c r="Q106" i="1"/>
  <c r="R106" i="1"/>
  <c r="J6667" i="1"/>
  <c r="Q6667" i="1"/>
  <c r="R6667" i="1"/>
  <c r="J6552" i="1"/>
  <c r="Q6552" i="1"/>
  <c r="R6552" i="1"/>
  <c r="J7101" i="1"/>
  <c r="Q7101" i="1"/>
  <c r="R7101" i="1"/>
  <c r="J107" i="1"/>
  <c r="Q107" i="1"/>
  <c r="R107" i="1"/>
  <c r="J108" i="1"/>
  <c r="Q108" i="1"/>
  <c r="R108" i="1"/>
  <c r="J8130" i="1"/>
  <c r="Q8130" i="1"/>
  <c r="R8130" i="1"/>
  <c r="J8131" i="1"/>
  <c r="Q8131" i="1"/>
  <c r="R8131" i="1"/>
  <c r="J1845" i="1"/>
  <c r="Q1845" i="1"/>
  <c r="R1845" i="1"/>
  <c r="J1846" i="1"/>
  <c r="Q1846" i="1"/>
  <c r="R1846" i="1"/>
  <c r="J8132" i="1"/>
  <c r="Q8132" i="1"/>
  <c r="R8132" i="1"/>
  <c r="J8133" i="1"/>
  <c r="Q8133" i="1"/>
  <c r="R8133" i="1"/>
  <c r="J8134" i="1"/>
  <c r="Q8134" i="1"/>
  <c r="R8134" i="1"/>
  <c r="J8135" i="1"/>
  <c r="Q8135" i="1"/>
  <c r="R8135" i="1"/>
  <c r="J8136" i="1"/>
  <c r="Q8136" i="1"/>
  <c r="R8136" i="1"/>
  <c r="J8137" i="1"/>
  <c r="Q8137" i="1"/>
  <c r="R8137" i="1"/>
  <c r="J8138" i="1"/>
  <c r="Q8138" i="1"/>
  <c r="R8138" i="1"/>
  <c r="J8139" i="1"/>
  <c r="Q8139" i="1"/>
  <c r="R8139" i="1"/>
  <c r="J8140" i="1"/>
  <c r="Q8140" i="1"/>
  <c r="R8140" i="1"/>
  <c r="J8141" i="1"/>
  <c r="Q8141" i="1"/>
  <c r="R8141" i="1"/>
  <c r="J8142" i="1"/>
  <c r="Q8142" i="1"/>
  <c r="R8142" i="1"/>
  <c r="J8143" i="1"/>
  <c r="Q8143" i="1"/>
  <c r="R8143" i="1"/>
  <c r="J8144" i="1"/>
  <c r="Q8144" i="1"/>
  <c r="R8144" i="1"/>
  <c r="J1847" i="1"/>
  <c r="Q1847" i="1"/>
  <c r="R1847" i="1"/>
  <c r="J8145" i="1"/>
  <c r="Q8145" i="1"/>
  <c r="R8145" i="1"/>
  <c r="J8146" i="1"/>
  <c r="Q8146" i="1"/>
  <c r="R8146" i="1"/>
  <c r="J8147" i="1"/>
  <c r="Q8147" i="1"/>
  <c r="R8147" i="1"/>
  <c r="J8148" i="1"/>
  <c r="Q8148" i="1"/>
  <c r="R8148" i="1"/>
  <c r="J8149" i="1"/>
  <c r="Q8149" i="1"/>
  <c r="R8149" i="1"/>
  <c r="J8150" i="1"/>
  <c r="Q8150" i="1"/>
  <c r="R8150" i="1"/>
  <c r="J8151" i="1"/>
  <c r="Q8151" i="1"/>
  <c r="R8151" i="1"/>
  <c r="J8152" i="1"/>
  <c r="Q8152" i="1"/>
  <c r="R8152" i="1"/>
  <c r="J1848" i="1"/>
  <c r="Q1848" i="1"/>
  <c r="R1848" i="1"/>
  <c r="J1849" i="1"/>
  <c r="Q1849" i="1"/>
  <c r="R1849" i="1"/>
  <c r="J1850" i="1"/>
  <c r="Q1850" i="1"/>
  <c r="R1850" i="1"/>
  <c r="J1851" i="1"/>
  <c r="Q1851" i="1"/>
  <c r="R1851" i="1"/>
  <c r="J8153" i="1"/>
  <c r="Q8153" i="1"/>
  <c r="R8153" i="1"/>
  <c r="J1852" i="1"/>
  <c r="Q1852" i="1"/>
  <c r="R1852" i="1"/>
  <c r="J8154" i="1"/>
  <c r="Q8154" i="1"/>
  <c r="R8154" i="1"/>
  <c r="J8155" i="1"/>
  <c r="Q8155" i="1"/>
  <c r="R8155" i="1"/>
  <c r="J8156" i="1"/>
  <c r="Q8156" i="1"/>
  <c r="R8156" i="1"/>
  <c r="J1853" i="1"/>
  <c r="Q1853" i="1"/>
  <c r="R1853" i="1"/>
  <c r="J8157" i="1"/>
  <c r="Q8157" i="1"/>
  <c r="R8157" i="1"/>
  <c r="J8158" i="1"/>
  <c r="Q8158" i="1"/>
  <c r="R8158" i="1"/>
  <c r="J8159" i="1"/>
  <c r="Q8159" i="1"/>
  <c r="R8159" i="1"/>
  <c r="J1854" i="1"/>
  <c r="Q1854" i="1"/>
  <c r="R1854" i="1"/>
  <c r="J8160" i="1"/>
  <c r="Q8160" i="1"/>
  <c r="R8160" i="1"/>
  <c r="J8161" i="1"/>
  <c r="Q8161" i="1"/>
  <c r="R8161" i="1"/>
  <c r="J1855" i="1"/>
  <c r="Q1855" i="1"/>
  <c r="R1855" i="1"/>
  <c r="J8162" i="1"/>
  <c r="Q8162" i="1"/>
  <c r="R8162" i="1"/>
  <c r="J1856" i="1"/>
  <c r="Q1856" i="1"/>
  <c r="R1856" i="1"/>
  <c r="J1857" i="1"/>
  <c r="Q1857" i="1"/>
  <c r="R1857" i="1"/>
  <c r="J8163" i="1"/>
  <c r="Q8163" i="1"/>
  <c r="R8163" i="1"/>
  <c r="J8164" i="1"/>
  <c r="Q8164" i="1"/>
  <c r="R8164" i="1"/>
  <c r="J8165" i="1"/>
  <c r="Q8165" i="1"/>
  <c r="R8165" i="1"/>
  <c r="J1858" i="1"/>
  <c r="Q1858" i="1"/>
  <c r="R1858" i="1"/>
  <c r="J1859" i="1"/>
  <c r="Q1859" i="1"/>
  <c r="R1859" i="1"/>
  <c r="J1860" i="1"/>
  <c r="Q1860" i="1"/>
  <c r="R1860" i="1"/>
  <c r="J8166" i="1"/>
  <c r="Q8166" i="1"/>
  <c r="R8166" i="1"/>
  <c r="J1861" i="1"/>
  <c r="Q1861" i="1"/>
  <c r="R1861" i="1"/>
  <c r="J8167" i="1"/>
  <c r="Q8167" i="1"/>
  <c r="R8167" i="1"/>
  <c r="J1862" i="1"/>
  <c r="Q1862" i="1"/>
  <c r="R1862" i="1"/>
  <c r="J1863" i="1"/>
  <c r="Q1863" i="1"/>
  <c r="R1863" i="1"/>
  <c r="J1864" i="1"/>
  <c r="Q1864" i="1"/>
  <c r="R1864" i="1"/>
  <c r="J8168" i="1"/>
  <c r="Q8168" i="1"/>
  <c r="R8168" i="1"/>
  <c r="J1865" i="1"/>
  <c r="Q1865" i="1"/>
  <c r="R1865" i="1"/>
  <c r="J1866" i="1"/>
  <c r="Q1866" i="1"/>
  <c r="R1866" i="1"/>
  <c r="J8169" i="1"/>
  <c r="Q8169" i="1"/>
  <c r="R8169" i="1"/>
  <c r="J8170" i="1"/>
  <c r="Q8170" i="1"/>
  <c r="R8170" i="1"/>
  <c r="J8171" i="1"/>
  <c r="Q8171" i="1"/>
  <c r="R8171" i="1"/>
  <c r="J8172" i="1"/>
  <c r="Q8172" i="1"/>
  <c r="R8172" i="1"/>
  <c r="J1867" i="1"/>
  <c r="Q1867" i="1"/>
  <c r="R1867" i="1"/>
  <c r="J1868" i="1"/>
  <c r="Q1868" i="1"/>
  <c r="R1868" i="1"/>
  <c r="J1869" i="1"/>
  <c r="Q1869" i="1"/>
  <c r="R1869" i="1"/>
  <c r="J1870" i="1"/>
  <c r="Q1870" i="1"/>
  <c r="R1870" i="1"/>
  <c r="J1871" i="1"/>
  <c r="Q1871" i="1"/>
  <c r="R1871" i="1"/>
  <c r="J1872" i="1"/>
  <c r="Q1872" i="1"/>
  <c r="R1872" i="1"/>
  <c r="J1873" i="1"/>
  <c r="Q1873" i="1"/>
  <c r="R1873" i="1"/>
  <c r="J1874" i="1"/>
  <c r="Q1874" i="1"/>
  <c r="R1874" i="1"/>
  <c r="J1875" i="1"/>
  <c r="Q1875" i="1"/>
  <c r="R1875" i="1"/>
  <c r="J1876" i="1"/>
  <c r="Q1876" i="1"/>
  <c r="R1876" i="1"/>
  <c r="J8173" i="1"/>
  <c r="Q8173" i="1"/>
  <c r="R8173" i="1"/>
  <c r="J8174" i="1"/>
  <c r="Q8174" i="1"/>
  <c r="R8174" i="1"/>
  <c r="J1877" i="1"/>
  <c r="Q1877" i="1"/>
  <c r="R1877" i="1"/>
  <c r="J1878" i="1"/>
  <c r="Q1878" i="1"/>
  <c r="R1878" i="1"/>
  <c r="J1879" i="1"/>
  <c r="Q1879" i="1"/>
  <c r="R1879" i="1"/>
  <c r="J1880" i="1"/>
  <c r="Q1880" i="1"/>
  <c r="R1880" i="1"/>
  <c r="J1881" i="1"/>
  <c r="Q1881" i="1"/>
  <c r="R1881" i="1"/>
  <c r="J1882" i="1"/>
  <c r="Q1882" i="1"/>
  <c r="R1882" i="1"/>
  <c r="J1883" i="1"/>
  <c r="Q1883" i="1"/>
  <c r="R1883" i="1"/>
  <c r="J8175" i="1"/>
  <c r="Q8175" i="1"/>
  <c r="R8175" i="1"/>
  <c r="J8176" i="1"/>
  <c r="Q8176" i="1"/>
  <c r="R8176" i="1"/>
  <c r="J8177" i="1"/>
  <c r="Q8177" i="1"/>
  <c r="R8177" i="1"/>
  <c r="J8178" i="1"/>
  <c r="Q8178" i="1"/>
  <c r="R8178" i="1"/>
  <c r="J8179" i="1"/>
  <c r="Q8179" i="1"/>
  <c r="R8179" i="1"/>
  <c r="J8180" i="1"/>
  <c r="Q8180" i="1"/>
  <c r="R8180" i="1"/>
  <c r="J1884" i="1"/>
  <c r="Q1884" i="1"/>
  <c r="R1884" i="1"/>
  <c r="J8181" i="1"/>
  <c r="Q8181" i="1"/>
  <c r="R8181" i="1"/>
  <c r="J8182" i="1"/>
  <c r="Q8182" i="1"/>
  <c r="R8182" i="1"/>
  <c r="J8183" i="1"/>
  <c r="Q8183" i="1"/>
  <c r="R8183" i="1"/>
  <c r="J8184" i="1"/>
  <c r="Q8184" i="1"/>
  <c r="R8184" i="1"/>
  <c r="J1885" i="1"/>
  <c r="Q1885" i="1"/>
  <c r="R1885" i="1"/>
  <c r="J1886" i="1"/>
  <c r="Q1886" i="1"/>
  <c r="R1886" i="1"/>
  <c r="J1887" i="1"/>
  <c r="Q1887" i="1"/>
  <c r="R1887" i="1"/>
  <c r="J8185" i="1"/>
  <c r="Q8185" i="1"/>
  <c r="R8185" i="1"/>
  <c r="J1888" i="1"/>
  <c r="Q1888" i="1"/>
  <c r="R1888" i="1"/>
  <c r="J8186" i="1"/>
  <c r="Q8186" i="1"/>
  <c r="R8186" i="1"/>
  <c r="J1889" i="1"/>
  <c r="Q1889" i="1"/>
  <c r="R1889" i="1"/>
  <c r="J8187" i="1"/>
  <c r="Q8187" i="1"/>
  <c r="R8187" i="1"/>
  <c r="J8188" i="1"/>
  <c r="Q8188" i="1"/>
  <c r="R8188" i="1"/>
  <c r="J8189" i="1"/>
  <c r="Q8189" i="1"/>
  <c r="R8189" i="1"/>
  <c r="J8190" i="1"/>
  <c r="Q8190" i="1"/>
  <c r="R8190" i="1"/>
  <c r="J8191" i="1"/>
  <c r="Q8191" i="1"/>
  <c r="R8191" i="1"/>
  <c r="J1890" i="1"/>
  <c r="Q1890" i="1"/>
  <c r="R1890" i="1"/>
  <c r="J1891" i="1"/>
  <c r="Q1891" i="1"/>
  <c r="R1891" i="1"/>
  <c r="J1892" i="1"/>
  <c r="Q1892" i="1"/>
  <c r="R1892" i="1"/>
  <c r="J1893" i="1"/>
  <c r="Q1893" i="1"/>
  <c r="R1893" i="1"/>
  <c r="J8192" i="1"/>
  <c r="Q8192" i="1"/>
  <c r="R8192" i="1"/>
  <c r="J1894" i="1"/>
  <c r="Q1894" i="1"/>
  <c r="R1894" i="1"/>
  <c r="J1895" i="1"/>
  <c r="Q1895" i="1"/>
  <c r="R1895" i="1"/>
  <c r="J8193" i="1"/>
  <c r="Q8193" i="1"/>
  <c r="R8193" i="1"/>
  <c r="J8194" i="1"/>
  <c r="Q8194" i="1"/>
  <c r="R8194" i="1"/>
  <c r="J8195" i="1"/>
  <c r="Q8195" i="1"/>
  <c r="R8195" i="1"/>
  <c r="J1896" i="1"/>
  <c r="Q1896" i="1"/>
  <c r="R1896" i="1"/>
  <c r="J1897" i="1"/>
  <c r="Q1897" i="1"/>
  <c r="R1897" i="1"/>
  <c r="J8196" i="1"/>
  <c r="Q8196" i="1"/>
  <c r="R8196" i="1"/>
  <c r="J1898" i="1"/>
  <c r="Q1898" i="1"/>
  <c r="R1898" i="1"/>
  <c r="J8197" i="1"/>
  <c r="Q8197" i="1"/>
  <c r="R8197" i="1"/>
  <c r="J1899" i="1"/>
  <c r="Q1899" i="1"/>
  <c r="R1899" i="1"/>
  <c r="J1900" i="1"/>
  <c r="Q1900" i="1"/>
  <c r="R1900" i="1"/>
  <c r="J8198" i="1"/>
  <c r="Q8198" i="1"/>
  <c r="R8198" i="1"/>
  <c r="J1901" i="1"/>
  <c r="Q1901" i="1"/>
  <c r="R1901" i="1"/>
  <c r="J8199" i="1"/>
  <c r="Q8199" i="1"/>
  <c r="R8199" i="1"/>
  <c r="J1902" i="1"/>
  <c r="Q1902" i="1"/>
  <c r="R1902" i="1"/>
  <c r="J8200" i="1"/>
  <c r="Q8200" i="1"/>
  <c r="R8200" i="1"/>
  <c r="J8201" i="1"/>
  <c r="Q8201" i="1"/>
  <c r="R8201" i="1"/>
  <c r="J1903" i="1"/>
  <c r="Q1903" i="1"/>
  <c r="R1903" i="1"/>
  <c r="J1904" i="1"/>
  <c r="Q1904" i="1"/>
  <c r="R1904" i="1"/>
  <c r="J8202" i="1"/>
  <c r="Q8202" i="1"/>
  <c r="R8202" i="1"/>
  <c r="J1905" i="1"/>
  <c r="Q1905" i="1"/>
  <c r="R1905" i="1"/>
  <c r="J1906" i="1"/>
  <c r="Q1906" i="1"/>
  <c r="R1906" i="1"/>
  <c r="J1907" i="1"/>
  <c r="Q1907" i="1"/>
  <c r="R1907" i="1"/>
  <c r="J8203" i="1"/>
  <c r="Q8203" i="1"/>
  <c r="R8203" i="1"/>
  <c r="J1908" i="1"/>
  <c r="Q1908" i="1"/>
  <c r="R1908" i="1"/>
  <c r="J8204" i="1"/>
  <c r="Q8204" i="1"/>
  <c r="R8204" i="1"/>
  <c r="J1909" i="1"/>
  <c r="Q1909" i="1"/>
  <c r="R1909" i="1"/>
  <c r="J8205" i="1"/>
  <c r="Q8205" i="1"/>
  <c r="R8205" i="1"/>
  <c r="J1910" i="1"/>
  <c r="Q1910" i="1"/>
  <c r="R1910" i="1"/>
  <c r="J8206" i="1"/>
  <c r="Q8206" i="1"/>
  <c r="R8206" i="1"/>
  <c r="J8207" i="1"/>
  <c r="Q8207" i="1"/>
  <c r="R8207" i="1"/>
  <c r="J8208" i="1"/>
  <c r="Q8208" i="1"/>
  <c r="R8208" i="1"/>
  <c r="J8209" i="1"/>
  <c r="Q8209" i="1"/>
  <c r="R8209" i="1"/>
  <c r="J1911" i="1"/>
  <c r="Q1911" i="1"/>
  <c r="R1911" i="1"/>
  <c r="J8210" i="1"/>
  <c r="Q8210" i="1"/>
  <c r="R8210" i="1"/>
  <c r="J8211" i="1"/>
  <c r="Q8211" i="1"/>
  <c r="R8211" i="1"/>
  <c r="J1912" i="1"/>
  <c r="Q1912" i="1"/>
  <c r="R1912" i="1"/>
  <c r="J8212" i="1"/>
  <c r="Q8212" i="1"/>
  <c r="R8212" i="1"/>
  <c r="J1913" i="1"/>
  <c r="Q1913" i="1"/>
  <c r="R1913" i="1"/>
  <c r="J1914" i="1"/>
  <c r="Q1914" i="1"/>
  <c r="R1914" i="1"/>
  <c r="J8213" i="1"/>
  <c r="Q8213" i="1"/>
  <c r="R8213" i="1"/>
  <c r="J1915" i="1"/>
  <c r="Q1915" i="1"/>
  <c r="R1915" i="1"/>
  <c r="J1916" i="1"/>
  <c r="Q1916" i="1"/>
  <c r="R1916" i="1"/>
  <c r="J8214" i="1"/>
  <c r="Q8214" i="1"/>
  <c r="R8214" i="1"/>
  <c r="J8215" i="1"/>
  <c r="Q8215" i="1"/>
  <c r="R8215" i="1"/>
  <c r="J8216" i="1"/>
  <c r="Q8216" i="1"/>
  <c r="R8216" i="1"/>
  <c r="J1917" i="1"/>
  <c r="Q1917" i="1"/>
  <c r="R1917" i="1"/>
  <c r="J8217" i="1"/>
  <c r="Q8217" i="1"/>
  <c r="R8217" i="1"/>
  <c r="J1918" i="1"/>
  <c r="Q1918" i="1"/>
  <c r="R1918" i="1"/>
  <c r="J8218" i="1"/>
  <c r="Q8218" i="1"/>
  <c r="R8218" i="1"/>
  <c r="J8219" i="1"/>
  <c r="Q8219" i="1"/>
  <c r="R8219" i="1"/>
  <c r="J8220" i="1"/>
  <c r="Q8220" i="1"/>
  <c r="R8220" i="1"/>
  <c r="J1919" i="1"/>
  <c r="Q1919" i="1"/>
  <c r="R1919" i="1"/>
  <c r="J1920" i="1"/>
  <c r="Q1920" i="1"/>
  <c r="R1920" i="1"/>
  <c r="J1921" i="1"/>
  <c r="Q1921" i="1"/>
  <c r="R1921" i="1"/>
  <c r="J8221" i="1"/>
  <c r="Q8221" i="1"/>
  <c r="R8221" i="1"/>
  <c r="J8222" i="1"/>
  <c r="Q8222" i="1"/>
  <c r="R8222" i="1"/>
  <c r="J1922" i="1"/>
  <c r="Q1922" i="1"/>
  <c r="R1922" i="1"/>
  <c r="J1923" i="1"/>
  <c r="Q1923" i="1"/>
  <c r="R1923" i="1"/>
  <c r="J1924" i="1"/>
  <c r="Q1924" i="1"/>
  <c r="R1924" i="1"/>
  <c r="J1925" i="1"/>
  <c r="Q1925" i="1"/>
  <c r="R1925" i="1"/>
  <c r="J8223" i="1"/>
  <c r="Q8223" i="1"/>
  <c r="R8223" i="1"/>
  <c r="J1926" i="1"/>
  <c r="Q1926" i="1"/>
  <c r="R1926" i="1"/>
  <c r="J1927" i="1"/>
  <c r="Q1927" i="1"/>
  <c r="R1927" i="1"/>
  <c r="J1928" i="1"/>
  <c r="Q1928" i="1"/>
  <c r="R1928" i="1"/>
  <c r="J8224" i="1"/>
  <c r="Q8224" i="1"/>
  <c r="R8224" i="1"/>
  <c r="J8225" i="1"/>
  <c r="Q8225" i="1"/>
  <c r="R8225" i="1"/>
  <c r="J8226" i="1"/>
  <c r="Q8226" i="1"/>
  <c r="R8226" i="1"/>
  <c r="J8227" i="1"/>
  <c r="Q8227" i="1"/>
  <c r="R8227" i="1"/>
  <c r="J1929" i="1"/>
  <c r="Q1929" i="1"/>
  <c r="R1929" i="1"/>
  <c r="J8228" i="1"/>
  <c r="Q8228" i="1"/>
  <c r="R8228" i="1"/>
  <c r="J1930" i="1"/>
  <c r="Q1930" i="1"/>
  <c r="R1930" i="1"/>
  <c r="J1931" i="1"/>
  <c r="Q1931" i="1"/>
  <c r="R1931" i="1"/>
  <c r="J8229" i="1"/>
  <c r="Q8229" i="1"/>
  <c r="R8229" i="1"/>
  <c r="J1932" i="1"/>
  <c r="Q1932" i="1"/>
  <c r="R1932" i="1"/>
  <c r="J8230" i="1"/>
  <c r="Q8230" i="1"/>
  <c r="R8230" i="1"/>
  <c r="J1933" i="1"/>
  <c r="Q1933" i="1"/>
  <c r="R1933" i="1"/>
  <c r="J1934" i="1"/>
  <c r="Q1934" i="1"/>
  <c r="R1934" i="1"/>
  <c r="J8231" i="1"/>
  <c r="Q8231" i="1"/>
  <c r="R8231" i="1"/>
  <c r="J1935" i="1"/>
  <c r="Q1935" i="1"/>
  <c r="R1935" i="1"/>
  <c r="J8232" i="1"/>
  <c r="Q8232" i="1"/>
  <c r="R8232" i="1"/>
  <c r="J8233" i="1"/>
  <c r="Q8233" i="1"/>
  <c r="R8233" i="1"/>
  <c r="J8234" i="1"/>
  <c r="Q8234" i="1"/>
  <c r="R8234" i="1"/>
  <c r="J1936" i="1"/>
  <c r="Q1936" i="1"/>
  <c r="R1936" i="1"/>
  <c r="J8235" i="1"/>
  <c r="Q8235" i="1"/>
  <c r="R8235" i="1"/>
  <c r="J8236" i="1"/>
  <c r="Q8236" i="1"/>
  <c r="R8236" i="1"/>
  <c r="J8237" i="1"/>
  <c r="Q8237" i="1"/>
  <c r="R8237" i="1"/>
  <c r="J1937" i="1"/>
  <c r="Q1937" i="1"/>
  <c r="R1937" i="1"/>
  <c r="J8238" i="1"/>
  <c r="Q8238" i="1"/>
  <c r="R8238" i="1"/>
  <c r="J8239" i="1"/>
  <c r="Q8239" i="1"/>
  <c r="R8239" i="1"/>
  <c r="J1938" i="1"/>
  <c r="Q1938" i="1"/>
  <c r="R1938" i="1"/>
  <c r="J8240" i="1"/>
  <c r="Q8240" i="1"/>
  <c r="R8240" i="1"/>
  <c r="J8241" i="1"/>
  <c r="Q8241" i="1"/>
  <c r="R8241" i="1"/>
  <c r="J8242" i="1"/>
  <c r="Q8242" i="1"/>
  <c r="R8242" i="1"/>
  <c r="J1939" i="1"/>
  <c r="Q1939" i="1"/>
  <c r="R1939" i="1"/>
  <c r="J8243" i="1"/>
  <c r="Q8243" i="1"/>
  <c r="R8243" i="1"/>
  <c r="J8244" i="1"/>
  <c r="Q8244" i="1"/>
  <c r="R8244" i="1"/>
  <c r="J8245" i="1"/>
  <c r="Q8245" i="1"/>
  <c r="R8245" i="1"/>
  <c r="J8246" i="1"/>
  <c r="Q8246" i="1"/>
  <c r="R8246" i="1"/>
  <c r="J1940" i="1"/>
  <c r="Q1940" i="1"/>
  <c r="R1940" i="1"/>
  <c r="J1941" i="1"/>
  <c r="Q1941" i="1"/>
  <c r="R1941" i="1"/>
  <c r="J8247" i="1"/>
  <c r="Q8247" i="1"/>
  <c r="R8247" i="1"/>
  <c r="J1942" i="1"/>
  <c r="Q1942" i="1"/>
  <c r="R1942" i="1"/>
  <c r="J1943" i="1"/>
  <c r="Q1943" i="1"/>
  <c r="R1943" i="1"/>
  <c r="J1944" i="1"/>
  <c r="Q1944" i="1"/>
  <c r="R1944" i="1"/>
  <c r="J1945" i="1"/>
  <c r="Q1945" i="1"/>
  <c r="R1945" i="1"/>
  <c r="J1946" i="1"/>
  <c r="Q1946" i="1"/>
  <c r="R1946" i="1"/>
  <c r="J1947" i="1"/>
  <c r="Q1947" i="1"/>
  <c r="R1947" i="1"/>
  <c r="J1948" i="1"/>
  <c r="Q1948" i="1"/>
  <c r="R1948" i="1"/>
  <c r="J1949" i="1"/>
  <c r="Q1949" i="1"/>
  <c r="R1949" i="1"/>
  <c r="J1950" i="1"/>
  <c r="Q1950" i="1"/>
  <c r="R1950" i="1"/>
  <c r="J8248" i="1"/>
  <c r="Q8248" i="1"/>
  <c r="R8248" i="1"/>
  <c r="J1951" i="1"/>
  <c r="Q1951" i="1"/>
  <c r="R1951" i="1"/>
  <c r="J1952" i="1"/>
  <c r="Q1952" i="1"/>
  <c r="R1952" i="1"/>
  <c r="J8249" i="1"/>
  <c r="Q8249" i="1"/>
  <c r="R8249" i="1"/>
  <c r="J1953" i="1"/>
  <c r="Q1953" i="1"/>
  <c r="R1953" i="1"/>
  <c r="J1954" i="1"/>
  <c r="Q1954" i="1"/>
  <c r="R1954" i="1"/>
  <c r="J1955" i="1"/>
  <c r="Q1955" i="1"/>
  <c r="R1955" i="1"/>
  <c r="J1956" i="1"/>
  <c r="Q1956" i="1"/>
  <c r="R1956" i="1"/>
  <c r="J1957" i="1"/>
  <c r="Q1957" i="1"/>
  <c r="R1957" i="1"/>
  <c r="J1958" i="1"/>
  <c r="Q1958" i="1"/>
  <c r="R1958" i="1"/>
  <c r="J8250" i="1"/>
  <c r="Q8250" i="1"/>
  <c r="R8250" i="1"/>
  <c r="J8251" i="1"/>
  <c r="Q8251" i="1"/>
  <c r="R8251" i="1"/>
  <c r="J1959" i="1"/>
  <c r="Q1959" i="1"/>
  <c r="R1959" i="1"/>
  <c r="J8252" i="1"/>
  <c r="Q8252" i="1"/>
  <c r="R8252" i="1"/>
  <c r="J8253" i="1"/>
  <c r="Q8253" i="1"/>
  <c r="R8253" i="1"/>
  <c r="J8254" i="1"/>
  <c r="Q8254" i="1"/>
  <c r="R8254" i="1"/>
  <c r="J8255" i="1"/>
  <c r="Q8255" i="1"/>
  <c r="R8255" i="1"/>
  <c r="J8256" i="1"/>
  <c r="Q8256" i="1"/>
  <c r="R8256" i="1"/>
  <c r="J8257" i="1"/>
  <c r="Q8257" i="1"/>
  <c r="R8257" i="1"/>
  <c r="J1960" i="1"/>
  <c r="Q1960" i="1"/>
  <c r="R1960" i="1"/>
  <c r="J1961" i="1"/>
  <c r="Q1961" i="1"/>
  <c r="R1961" i="1"/>
  <c r="J1962" i="1"/>
  <c r="Q1962" i="1"/>
  <c r="R1962" i="1"/>
  <c r="J1963" i="1"/>
  <c r="Q1963" i="1"/>
  <c r="R1963" i="1"/>
  <c r="J8258" i="1"/>
  <c r="Q8258" i="1"/>
  <c r="R8258" i="1"/>
  <c r="J8259" i="1"/>
  <c r="Q8259" i="1"/>
  <c r="R8259" i="1"/>
  <c r="J8260" i="1"/>
  <c r="Q8260" i="1"/>
  <c r="R8260" i="1"/>
  <c r="J8261" i="1"/>
  <c r="Q8261" i="1"/>
  <c r="R8261" i="1"/>
  <c r="J1964" i="1"/>
  <c r="Q1964" i="1"/>
  <c r="R1964" i="1"/>
  <c r="J8262" i="1"/>
  <c r="Q8262" i="1"/>
  <c r="R8262" i="1"/>
  <c r="J1965" i="1"/>
  <c r="Q1965" i="1"/>
  <c r="R1965" i="1"/>
  <c r="J8263" i="1"/>
  <c r="Q8263" i="1"/>
  <c r="R8263" i="1"/>
  <c r="J8264" i="1"/>
  <c r="Q8264" i="1"/>
  <c r="R8264" i="1"/>
  <c r="J8265" i="1"/>
  <c r="Q8265" i="1"/>
  <c r="R8265" i="1"/>
  <c r="J8266" i="1"/>
  <c r="Q8266" i="1"/>
  <c r="R8266" i="1"/>
  <c r="J8267" i="1"/>
  <c r="Q8267" i="1"/>
  <c r="R8267" i="1"/>
  <c r="J8268" i="1"/>
  <c r="Q8268" i="1"/>
  <c r="R8268" i="1"/>
  <c r="J8269" i="1"/>
  <c r="Q8269" i="1"/>
  <c r="R8269" i="1"/>
  <c r="J8270" i="1"/>
  <c r="Q8270" i="1"/>
  <c r="R8270" i="1"/>
  <c r="J8271" i="1"/>
  <c r="Q8271" i="1"/>
  <c r="R8271" i="1"/>
  <c r="J8272" i="1"/>
  <c r="Q8272" i="1"/>
  <c r="R8272" i="1"/>
  <c r="J8273" i="1"/>
  <c r="Q8273" i="1"/>
  <c r="R8273" i="1"/>
  <c r="J8274" i="1"/>
  <c r="Q8274" i="1"/>
  <c r="R8274" i="1"/>
  <c r="J8275" i="1"/>
  <c r="Q8275" i="1"/>
  <c r="R8275" i="1"/>
  <c r="J8276" i="1"/>
  <c r="Q8276" i="1"/>
  <c r="R8276" i="1"/>
  <c r="J8277" i="1"/>
  <c r="Q8277" i="1"/>
  <c r="R8277" i="1"/>
  <c r="J8278" i="1"/>
  <c r="Q8278" i="1"/>
  <c r="R8278" i="1"/>
  <c r="J1966" i="1"/>
  <c r="Q1966" i="1"/>
  <c r="R1966" i="1"/>
  <c r="J1967" i="1"/>
  <c r="Q1967" i="1"/>
  <c r="R1967" i="1"/>
  <c r="J1968" i="1"/>
  <c r="Q1968" i="1"/>
  <c r="R1968" i="1"/>
  <c r="J8279" i="1"/>
  <c r="Q8279" i="1"/>
  <c r="R8279" i="1"/>
  <c r="J8280" i="1"/>
  <c r="Q8280" i="1"/>
  <c r="R8280" i="1"/>
  <c r="J8281" i="1"/>
  <c r="Q8281" i="1"/>
  <c r="R8281" i="1"/>
  <c r="J1969" i="1"/>
  <c r="Q1969" i="1"/>
  <c r="R1969" i="1"/>
  <c r="J8282" i="1"/>
  <c r="Q8282" i="1"/>
  <c r="R8282" i="1"/>
  <c r="J1970" i="1"/>
  <c r="Q1970" i="1"/>
  <c r="R1970" i="1"/>
  <c r="J8283" i="1"/>
  <c r="Q8283" i="1"/>
  <c r="R8283" i="1"/>
  <c r="J1971" i="1"/>
  <c r="Q1971" i="1"/>
  <c r="R1971" i="1"/>
  <c r="J1972" i="1"/>
  <c r="Q1972" i="1"/>
  <c r="R1972" i="1"/>
  <c r="J8284" i="1"/>
  <c r="Q8284" i="1"/>
  <c r="R8284" i="1"/>
  <c r="J8285" i="1"/>
  <c r="Q8285" i="1"/>
  <c r="R8285" i="1"/>
  <c r="J8286" i="1"/>
  <c r="Q8286" i="1"/>
  <c r="R8286" i="1"/>
  <c r="J1973" i="1"/>
  <c r="Q1973" i="1"/>
  <c r="R1973" i="1"/>
  <c r="J8287" i="1"/>
  <c r="Q8287" i="1"/>
  <c r="R8287" i="1"/>
  <c r="J8288" i="1"/>
  <c r="Q8288" i="1"/>
  <c r="R8288" i="1"/>
  <c r="J8289" i="1"/>
  <c r="Q8289" i="1"/>
  <c r="R8289" i="1"/>
  <c r="J8290" i="1"/>
  <c r="Q8290" i="1"/>
  <c r="R8290" i="1"/>
  <c r="J8291" i="1"/>
  <c r="Q8291" i="1"/>
  <c r="R8291" i="1"/>
  <c r="J8292" i="1"/>
  <c r="Q8292" i="1"/>
  <c r="R8292" i="1"/>
  <c r="J8293" i="1"/>
  <c r="Q8293" i="1"/>
  <c r="R8293" i="1"/>
  <c r="J8294" i="1"/>
  <c r="Q8294" i="1"/>
  <c r="R8294" i="1"/>
  <c r="J8295" i="1"/>
  <c r="Q8295" i="1"/>
  <c r="R8295" i="1"/>
  <c r="J8296" i="1"/>
  <c r="Q8296" i="1"/>
  <c r="R8296" i="1"/>
  <c r="J8297" i="1"/>
  <c r="Q8297" i="1"/>
  <c r="R8297" i="1"/>
  <c r="J8298" i="1"/>
  <c r="Q8298" i="1"/>
  <c r="R8298" i="1"/>
  <c r="J8299" i="1"/>
  <c r="Q8299" i="1"/>
  <c r="R8299" i="1"/>
  <c r="J8300" i="1"/>
  <c r="Q8300" i="1"/>
  <c r="R8300" i="1"/>
  <c r="J8301" i="1"/>
  <c r="Q8301" i="1"/>
  <c r="R8301" i="1"/>
  <c r="J1974" i="1"/>
  <c r="Q1974" i="1"/>
  <c r="R1974" i="1"/>
  <c r="J8302" i="1"/>
  <c r="Q8302" i="1"/>
  <c r="R8302" i="1"/>
  <c r="J8303" i="1"/>
  <c r="Q8303" i="1"/>
  <c r="R8303" i="1"/>
  <c r="J8304" i="1"/>
  <c r="Q8304" i="1"/>
  <c r="R8304" i="1"/>
  <c r="J8305" i="1"/>
  <c r="Q8305" i="1"/>
  <c r="R8305" i="1"/>
  <c r="J8306" i="1"/>
  <c r="Q8306" i="1"/>
  <c r="R8306" i="1"/>
  <c r="J8307" i="1"/>
  <c r="Q8307" i="1"/>
  <c r="R8307" i="1"/>
  <c r="J8308" i="1"/>
  <c r="Q8308" i="1"/>
  <c r="R8308" i="1"/>
  <c r="J8309" i="1"/>
  <c r="Q8309" i="1"/>
  <c r="R8309" i="1"/>
  <c r="J1975" i="1"/>
  <c r="Q1975" i="1"/>
  <c r="R1975" i="1"/>
  <c r="J8310" i="1"/>
  <c r="Q8310" i="1"/>
  <c r="R8310" i="1"/>
  <c r="J8311" i="1"/>
  <c r="Q8311" i="1"/>
  <c r="R8311" i="1"/>
  <c r="J1976" i="1"/>
  <c r="Q1976" i="1"/>
  <c r="R1976" i="1"/>
  <c r="J8312" i="1"/>
  <c r="Q8312" i="1"/>
  <c r="R8312" i="1"/>
  <c r="J1977" i="1"/>
  <c r="Q1977" i="1"/>
  <c r="R1977" i="1"/>
  <c r="J8313" i="1"/>
  <c r="Q8313" i="1"/>
  <c r="R8313" i="1"/>
  <c r="J8314" i="1"/>
  <c r="Q8314" i="1"/>
  <c r="R8314" i="1"/>
  <c r="J8315" i="1"/>
  <c r="Q8315" i="1"/>
  <c r="R8315" i="1"/>
  <c r="J8316" i="1"/>
  <c r="Q8316" i="1"/>
  <c r="R8316" i="1"/>
  <c r="J8317" i="1"/>
  <c r="Q8317" i="1"/>
  <c r="R8317" i="1"/>
  <c r="J8318" i="1"/>
  <c r="Q8318" i="1"/>
  <c r="R8318" i="1"/>
  <c r="J8319" i="1"/>
  <c r="Q8319" i="1"/>
  <c r="R8319" i="1"/>
  <c r="J1978" i="1"/>
  <c r="Q1978" i="1"/>
  <c r="R1978" i="1"/>
  <c r="J8320" i="1"/>
  <c r="Q8320" i="1"/>
  <c r="R8320" i="1"/>
  <c r="J1979" i="1"/>
  <c r="Q1979" i="1"/>
  <c r="R1979" i="1"/>
  <c r="J8321" i="1"/>
  <c r="Q8321" i="1"/>
  <c r="R8321" i="1"/>
  <c r="J8322" i="1"/>
  <c r="Q8322" i="1"/>
  <c r="R8322" i="1"/>
  <c r="J1980" i="1"/>
  <c r="Q1980" i="1"/>
  <c r="R1980" i="1"/>
  <c r="J1981" i="1"/>
  <c r="Q1981" i="1"/>
  <c r="R1981" i="1"/>
  <c r="J8323" i="1"/>
  <c r="Q8323" i="1"/>
  <c r="R8323" i="1"/>
  <c r="J8324" i="1"/>
  <c r="Q8324" i="1"/>
  <c r="R8324" i="1"/>
  <c r="J1982" i="1"/>
  <c r="Q1982" i="1"/>
  <c r="R1982" i="1"/>
  <c r="J8325" i="1"/>
  <c r="Q8325" i="1"/>
  <c r="R8325" i="1"/>
  <c r="J8326" i="1"/>
  <c r="Q8326" i="1"/>
  <c r="R8326" i="1"/>
  <c r="J1983" i="1"/>
  <c r="Q1983" i="1"/>
  <c r="R1983" i="1"/>
  <c r="J1984" i="1"/>
  <c r="Q1984" i="1"/>
  <c r="R1984" i="1"/>
  <c r="J8327" i="1"/>
  <c r="Q8327" i="1"/>
  <c r="R8327" i="1"/>
  <c r="J8328" i="1"/>
  <c r="Q8328" i="1"/>
  <c r="R8328" i="1"/>
  <c r="J8329" i="1"/>
  <c r="Q8329" i="1"/>
  <c r="R8329" i="1"/>
  <c r="J8330" i="1"/>
  <c r="Q8330" i="1"/>
  <c r="R8330" i="1"/>
  <c r="J8331" i="1"/>
  <c r="Q8331" i="1"/>
  <c r="R8331" i="1"/>
  <c r="J1985" i="1"/>
  <c r="Q1985" i="1"/>
  <c r="R1985" i="1"/>
  <c r="J1986" i="1"/>
  <c r="Q1986" i="1"/>
  <c r="R1986" i="1"/>
  <c r="J1987" i="1"/>
  <c r="Q1987" i="1"/>
  <c r="R1987" i="1"/>
  <c r="J1988" i="1"/>
  <c r="Q1988" i="1"/>
  <c r="R1988" i="1"/>
  <c r="J1989" i="1"/>
  <c r="Q1989" i="1"/>
  <c r="R1989" i="1"/>
  <c r="J1990" i="1"/>
  <c r="Q1990" i="1"/>
  <c r="R1990" i="1"/>
  <c r="J1991" i="1"/>
  <c r="Q1991" i="1"/>
  <c r="R1991" i="1"/>
  <c r="J1992" i="1"/>
  <c r="Q1992" i="1"/>
  <c r="R1992" i="1"/>
  <c r="J1993" i="1"/>
  <c r="Q1993" i="1"/>
  <c r="R1993" i="1"/>
  <c r="J8332" i="1"/>
  <c r="Q8332" i="1"/>
  <c r="R8332" i="1"/>
  <c r="J8333" i="1"/>
  <c r="Q8333" i="1"/>
  <c r="R8333" i="1"/>
  <c r="J1994" i="1"/>
  <c r="Q1994" i="1"/>
  <c r="R1994" i="1"/>
  <c r="J8334" i="1"/>
  <c r="Q8334" i="1"/>
  <c r="R8334" i="1"/>
  <c r="J1995" i="1"/>
  <c r="Q1995" i="1"/>
  <c r="R1995" i="1"/>
  <c r="J1996" i="1"/>
  <c r="Q1996" i="1"/>
  <c r="R1996" i="1"/>
  <c r="J1997" i="1"/>
  <c r="Q1997" i="1"/>
  <c r="R1997" i="1"/>
  <c r="J1998" i="1"/>
  <c r="Q1998" i="1"/>
  <c r="R1998" i="1"/>
  <c r="J1999" i="1"/>
  <c r="Q1999" i="1"/>
  <c r="R1999" i="1"/>
  <c r="J8335" i="1"/>
  <c r="Q8335" i="1"/>
  <c r="R8335" i="1"/>
  <c r="J8336" i="1"/>
  <c r="Q8336" i="1"/>
  <c r="R8336" i="1"/>
  <c r="J8337" i="1"/>
  <c r="Q8337" i="1"/>
  <c r="R8337" i="1"/>
  <c r="J8338" i="1"/>
  <c r="Q8338" i="1"/>
  <c r="R8338" i="1"/>
  <c r="J8339" i="1"/>
  <c r="Q8339" i="1"/>
  <c r="R8339" i="1"/>
  <c r="J2000" i="1"/>
  <c r="Q2000" i="1"/>
  <c r="R2000" i="1"/>
  <c r="J2001" i="1"/>
  <c r="Q2001" i="1"/>
  <c r="R2001" i="1"/>
  <c r="J2002" i="1"/>
  <c r="Q2002" i="1"/>
  <c r="R2002" i="1"/>
  <c r="J2003" i="1"/>
  <c r="Q2003" i="1"/>
  <c r="R2003" i="1"/>
  <c r="J2004" i="1"/>
  <c r="Q2004" i="1"/>
  <c r="R2004" i="1"/>
  <c r="J2005" i="1"/>
  <c r="Q2005" i="1"/>
  <c r="R2005" i="1"/>
  <c r="J2006" i="1"/>
  <c r="Q2006" i="1"/>
  <c r="R2006" i="1"/>
  <c r="J2007" i="1"/>
  <c r="Q2007" i="1"/>
  <c r="R2007" i="1"/>
  <c r="J2008" i="1"/>
  <c r="Q2008" i="1"/>
  <c r="R2008" i="1"/>
  <c r="J2009" i="1"/>
  <c r="Q2009" i="1"/>
  <c r="R2009" i="1"/>
  <c r="J2010" i="1"/>
  <c r="Q2010" i="1"/>
  <c r="R2010" i="1"/>
  <c r="J2011" i="1"/>
  <c r="Q2011" i="1"/>
  <c r="R2011" i="1"/>
  <c r="J2012" i="1"/>
  <c r="Q2012" i="1"/>
  <c r="R2012" i="1"/>
  <c r="J2013" i="1"/>
  <c r="Q2013" i="1"/>
  <c r="R2013" i="1"/>
  <c r="J2014" i="1"/>
  <c r="Q2014" i="1"/>
  <c r="R2014" i="1"/>
  <c r="J2015" i="1"/>
  <c r="Q2015" i="1"/>
  <c r="R2015" i="1"/>
  <c r="J8340" i="1"/>
  <c r="Q8340" i="1"/>
  <c r="R8340" i="1"/>
  <c r="J2016" i="1"/>
  <c r="Q2016" i="1"/>
  <c r="R2016" i="1"/>
  <c r="J2017" i="1"/>
  <c r="Q2017" i="1"/>
  <c r="R2017" i="1"/>
  <c r="J2018" i="1"/>
  <c r="Q2018" i="1"/>
  <c r="R2018" i="1"/>
  <c r="J2019" i="1"/>
  <c r="Q2019" i="1"/>
  <c r="R2019" i="1"/>
  <c r="J2020" i="1"/>
  <c r="Q2020" i="1"/>
  <c r="R2020" i="1"/>
  <c r="J2021" i="1"/>
  <c r="Q2021" i="1"/>
  <c r="R2021" i="1"/>
  <c r="J8341" i="1"/>
  <c r="Q8341" i="1"/>
  <c r="R8341" i="1"/>
  <c r="J2022" i="1"/>
  <c r="Q2022" i="1"/>
  <c r="R2022" i="1"/>
  <c r="J2023" i="1"/>
  <c r="Q2023" i="1"/>
  <c r="R2023" i="1"/>
  <c r="J2024" i="1"/>
  <c r="Q2024" i="1"/>
  <c r="R2024" i="1"/>
  <c r="J8342" i="1"/>
  <c r="Q8342" i="1"/>
  <c r="R8342" i="1"/>
  <c r="J2025" i="1"/>
  <c r="Q2025" i="1"/>
  <c r="R2025" i="1"/>
  <c r="J2026" i="1"/>
  <c r="Q2026" i="1"/>
  <c r="R2026" i="1"/>
  <c r="J8343" i="1"/>
  <c r="Q8343" i="1"/>
  <c r="R8343" i="1"/>
  <c r="J2027" i="1"/>
  <c r="Q2027" i="1"/>
  <c r="R2027" i="1"/>
  <c r="J2028" i="1"/>
  <c r="Q2028" i="1"/>
  <c r="R2028" i="1"/>
  <c r="J8344" i="1"/>
  <c r="Q8344" i="1"/>
  <c r="R8344" i="1"/>
  <c r="J8345" i="1"/>
  <c r="Q8345" i="1"/>
  <c r="R8345" i="1"/>
  <c r="J8346" i="1"/>
  <c r="Q8346" i="1"/>
  <c r="R8346" i="1"/>
  <c r="J8347" i="1"/>
  <c r="Q8347" i="1"/>
  <c r="R8347" i="1"/>
  <c r="J2029" i="1"/>
  <c r="Q2029" i="1"/>
  <c r="R2029" i="1"/>
  <c r="J2030" i="1"/>
  <c r="Q2030" i="1"/>
  <c r="R2030" i="1"/>
  <c r="J2031" i="1"/>
  <c r="Q2031" i="1"/>
  <c r="R2031" i="1"/>
  <c r="J2032" i="1"/>
  <c r="Q2032" i="1"/>
  <c r="R2032" i="1"/>
  <c r="J2033" i="1"/>
  <c r="Q2033" i="1"/>
  <c r="R2033" i="1"/>
  <c r="J2034" i="1"/>
  <c r="Q2034" i="1"/>
  <c r="R2034" i="1"/>
  <c r="J2035" i="1"/>
  <c r="Q2035" i="1"/>
  <c r="R2035" i="1"/>
  <c r="J2036" i="1"/>
  <c r="Q2036" i="1"/>
  <c r="R2036" i="1"/>
  <c r="J2037" i="1"/>
  <c r="Q2037" i="1"/>
  <c r="R2037" i="1"/>
  <c r="J2038" i="1"/>
  <c r="Q2038" i="1"/>
  <c r="R2038" i="1"/>
  <c r="J2039" i="1"/>
  <c r="Q2039" i="1"/>
  <c r="R2039" i="1"/>
  <c r="J2040" i="1"/>
  <c r="Q2040" i="1"/>
  <c r="R2040" i="1"/>
  <c r="J2041" i="1"/>
  <c r="Q2041" i="1"/>
  <c r="R2041" i="1"/>
  <c r="J2042" i="1"/>
  <c r="Q2042" i="1"/>
  <c r="R2042" i="1"/>
  <c r="J2043" i="1"/>
  <c r="Q2043" i="1"/>
  <c r="R2043" i="1"/>
  <c r="J2044" i="1"/>
  <c r="Q2044" i="1"/>
  <c r="R2044" i="1"/>
  <c r="J2045" i="1"/>
  <c r="Q2045" i="1"/>
  <c r="R2045" i="1"/>
  <c r="J2046" i="1"/>
  <c r="Q2046" i="1"/>
  <c r="R2046" i="1"/>
  <c r="J8348" i="1"/>
  <c r="Q8348" i="1"/>
  <c r="R8348" i="1"/>
  <c r="J2047" i="1"/>
  <c r="Q2047" i="1"/>
  <c r="R2047" i="1"/>
  <c r="J8349" i="1"/>
  <c r="Q8349" i="1"/>
  <c r="R8349" i="1"/>
  <c r="J2048" i="1"/>
  <c r="Q2048" i="1"/>
  <c r="R2048" i="1"/>
  <c r="J2049" i="1"/>
  <c r="Q2049" i="1"/>
  <c r="R2049" i="1"/>
  <c r="J2050" i="1"/>
  <c r="Q2050" i="1"/>
  <c r="R2050" i="1"/>
  <c r="J8350" i="1"/>
  <c r="Q8350" i="1"/>
  <c r="R8350" i="1"/>
  <c r="J8351" i="1"/>
  <c r="Q8351" i="1"/>
  <c r="R8351" i="1"/>
  <c r="J8352" i="1"/>
  <c r="Q8352" i="1"/>
  <c r="R8352" i="1"/>
  <c r="J8353" i="1"/>
  <c r="Q8353" i="1"/>
  <c r="R8353" i="1"/>
  <c r="J2051" i="1"/>
  <c r="Q2051" i="1"/>
  <c r="R2051" i="1"/>
  <c r="J8354" i="1"/>
  <c r="Q8354" i="1"/>
  <c r="R8354" i="1"/>
  <c r="J2052" i="1"/>
  <c r="Q2052" i="1"/>
  <c r="R2052" i="1"/>
  <c r="J2053" i="1"/>
  <c r="Q2053" i="1"/>
  <c r="R2053" i="1"/>
  <c r="J2054" i="1"/>
  <c r="Q2054" i="1"/>
  <c r="R2054" i="1"/>
  <c r="J8355" i="1"/>
  <c r="Q8355" i="1"/>
  <c r="R8355" i="1"/>
  <c r="J2055" i="1"/>
  <c r="Q2055" i="1"/>
  <c r="R2055" i="1"/>
  <c r="J2056" i="1"/>
  <c r="Q2056" i="1"/>
  <c r="R2056" i="1"/>
  <c r="J2057" i="1"/>
  <c r="Q2057" i="1"/>
  <c r="R2057" i="1"/>
  <c r="J2058" i="1"/>
  <c r="Q2058" i="1"/>
  <c r="R2058" i="1"/>
  <c r="J2059" i="1"/>
  <c r="Q2059" i="1"/>
  <c r="R2059" i="1"/>
  <c r="J2060" i="1"/>
  <c r="Q2060" i="1"/>
  <c r="R2060" i="1"/>
  <c r="J2061" i="1"/>
  <c r="Q2061" i="1"/>
  <c r="R2061" i="1"/>
  <c r="J2062" i="1"/>
  <c r="Q2062" i="1"/>
  <c r="R2062" i="1"/>
  <c r="J8356" i="1"/>
  <c r="Q8356" i="1"/>
  <c r="R8356" i="1"/>
  <c r="J2063" i="1"/>
  <c r="Q2063" i="1"/>
  <c r="R2063" i="1"/>
  <c r="J8357" i="1"/>
  <c r="Q8357" i="1"/>
  <c r="R8357" i="1"/>
  <c r="J2064" i="1"/>
  <c r="Q2064" i="1"/>
  <c r="R2064" i="1"/>
  <c r="J8358" i="1"/>
  <c r="Q8358" i="1"/>
  <c r="R8358" i="1"/>
  <c r="J8359" i="1"/>
  <c r="Q8359" i="1"/>
  <c r="R8359" i="1"/>
  <c r="J2065" i="1"/>
  <c r="Q2065" i="1"/>
  <c r="R2065" i="1"/>
  <c r="J8360" i="1"/>
  <c r="Q8360" i="1"/>
  <c r="R8360" i="1"/>
  <c r="J8361" i="1"/>
  <c r="Q8361" i="1"/>
  <c r="R8361" i="1"/>
  <c r="J8362" i="1"/>
  <c r="Q8362" i="1"/>
  <c r="R8362" i="1"/>
  <c r="J8363" i="1"/>
  <c r="Q8363" i="1"/>
  <c r="R8363" i="1"/>
  <c r="J8364" i="1"/>
  <c r="Q8364" i="1"/>
  <c r="R8364" i="1"/>
  <c r="J8365" i="1"/>
  <c r="Q8365" i="1"/>
  <c r="R8365" i="1"/>
  <c r="J8366" i="1"/>
  <c r="Q8366" i="1"/>
  <c r="R8366" i="1"/>
  <c r="J8367" i="1"/>
  <c r="Q8367" i="1"/>
  <c r="R8367" i="1"/>
  <c r="J8368" i="1"/>
  <c r="Q8368" i="1"/>
  <c r="R8368" i="1"/>
  <c r="J2066" i="1"/>
  <c r="Q2066" i="1"/>
  <c r="R2066" i="1"/>
  <c r="J2067" i="1"/>
  <c r="Q2067" i="1"/>
  <c r="R2067" i="1"/>
  <c r="J2068" i="1"/>
  <c r="Q2068" i="1"/>
  <c r="R2068" i="1"/>
  <c r="J2069" i="1"/>
  <c r="Q2069" i="1"/>
  <c r="R2069" i="1"/>
  <c r="J2070" i="1"/>
  <c r="Q2070" i="1"/>
  <c r="R2070" i="1"/>
  <c r="J2071" i="1"/>
  <c r="Q2071" i="1"/>
  <c r="R2071" i="1"/>
  <c r="J2072" i="1"/>
  <c r="Q2072" i="1"/>
  <c r="R2072" i="1"/>
  <c r="J2073" i="1"/>
  <c r="Q2073" i="1"/>
  <c r="R2073" i="1"/>
  <c r="J8369" i="1"/>
  <c r="Q8369" i="1"/>
  <c r="R8369" i="1"/>
  <c r="J2074" i="1"/>
  <c r="Q2074" i="1"/>
  <c r="R2074" i="1"/>
  <c r="J8370" i="1"/>
  <c r="Q8370" i="1"/>
  <c r="R8370" i="1"/>
  <c r="J8371" i="1"/>
  <c r="Q8371" i="1"/>
  <c r="R8371" i="1"/>
  <c r="J8372" i="1"/>
  <c r="Q8372" i="1"/>
  <c r="R8372" i="1"/>
  <c r="J8373" i="1"/>
  <c r="Q8373" i="1"/>
  <c r="R8373" i="1"/>
  <c r="J8374" i="1"/>
  <c r="Q8374" i="1"/>
  <c r="R8374" i="1"/>
  <c r="J2075" i="1"/>
  <c r="Q2075" i="1"/>
  <c r="R2075" i="1"/>
  <c r="J2076" i="1"/>
  <c r="Q2076" i="1"/>
  <c r="R2076" i="1"/>
  <c r="J8375" i="1"/>
  <c r="Q8375" i="1"/>
  <c r="R8375" i="1"/>
  <c r="J2077" i="1"/>
  <c r="Q2077" i="1"/>
  <c r="R2077" i="1"/>
  <c r="J8376" i="1"/>
  <c r="Q8376" i="1"/>
  <c r="R8376" i="1"/>
  <c r="J2078" i="1"/>
  <c r="Q2078" i="1"/>
  <c r="R2078" i="1"/>
  <c r="J2079" i="1"/>
  <c r="Q2079" i="1"/>
  <c r="R2079" i="1"/>
  <c r="J8377" i="1"/>
  <c r="Q8377" i="1"/>
  <c r="R8377" i="1"/>
  <c r="J2080" i="1"/>
  <c r="Q2080" i="1"/>
  <c r="R2080" i="1"/>
  <c r="J8378" i="1"/>
  <c r="Q8378" i="1"/>
  <c r="R8378" i="1"/>
  <c r="J8379" i="1"/>
  <c r="Q8379" i="1"/>
  <c r="R8379" i="1"/>
  <c r="J8380" i="1"/>
  <c r="Q8380" i="1"/>
  <c r="R8380" i="1"/>
  <c r="J8381" i="1"/>
  <c r="Q8381" i="1"/>
  <c r="R8381" i="1"/>
  <c r="J2081" i="1"/>
  <c r="Q2081" i="1"/>
  <c r="R2081" i="1"/>
  <c r="J2082" i="1"/>
  <c r="Q2082" i="1"/>
  <c r="R2082" i="1"/>
  <c r="J2083" i="1"/>
  <c r="Q2083" i="1"/>
  <c r="R2083" i="1"/>
  <c r="J2084" i="1"/>
  <c r="Q2084" i="1"/>
  <c r="R2084" i="1"/>
  <c r="J2085" i="1"/>
  <c r="Q2085" i="1"/>
  <c r="R2085" i="1"/>
  <c r="J8382" i="1"/>
  <c r="Q8382" i="1"/>
  <c r="R8382" i="1"/>
  <c r="J2086" i="1"/>
  <c r="Q2086" i="1"/>
  <c r="R2086" i="1"/>
  <c r="J2087" i="1"/>
  <c r="Q2087" i="1"/>
  <c r="R2087" i="1"/>
  <c r="J2088" i="1"/>
  <c r="Q2088" i="1"/>
  <c r="R2088" i="1"/>
  <c r="J2089" i="1"/>
  <c r="Q2089" i="1"/>
  <c r="R2089" i="1"/>
  <c r="J8383" i="1"/>
  <c r="Q8383" i="1"/>
  <c r="R8383" i="1"/>
  <c r="J2090" i="1"/>
  <c r="Q2090" i="1"/>
  <c r="R2090" i="1"/>
  <c r="J2091" i="1"/>
  <c r="Q2091" i="1"/>
  <c r="R2091" i="1"/>
  <c r="J2092" i="1"/>
  <c r="Q2092" i="1"/>
  <c r="R2092" i="1"/>
  <c r="J2093" i="1"/>
  <c r="Q2093" i="1"/>
  <c r="R2093" i="1"/>
  <c r="J2094" i="1"/>
  <c r="Q2094" i="1"/>
  <c r="R2094" i="1"/>
  <c r="J2095" i="1"/>
  <c r="Q2095" i="1"/>
  <c r="R2095" i="1"/>
  <c r="J2096" i="1"/>
  <c r="Q2096" i="1"/>
  <c r="R2096" i="1"/>
  <c r="J8384" i="1"/>
  <c r="Q8384" i="1"/>
  <c r="R8384" i="1"/>
  <c r="J2097" i="1"/>
  <c r="Q2097" i="1"/>
  <c r="R2097" i="1"/>
  <c r="J2098" i="1"/>
  <c r="Q2098" i="1"/>
  <c r="R2098" i="1"/>
  <c r="J2099" i="1"/>
  <c r="Q2099" i="1"/>
  <c r="R2099" i="1"/>
  <c r="J2100" i="1"/>
  <c r="Q2100" i="1"/>
  <c r="R2100" i="1"/>
  <c r="J2101" i="1"/>
  <c r="Q2101" i="1"/>
  <c r="R2101" i="1"/>
  <c r="J2102" i="1"/>
  <c r="Q2102" i="1"/>
  <c r="R2102" i="1"/>
  <c r="J8385" i="1"/>
  <c r="Q8385" i="1"/>
  <c r="R8385" i="1"/>
  <c r="J2103" i="1"/>
  <c r="Q2103" i="1"/>
  <c r="R2103" i="1"/>
  <c r="J8386" i="1"/>
  <c r="Q8386" i="1"/>
  <c r="R8386" i="1"/>
  <c r="J8387" i="1"/>
  <c r="Q8387" i="1"/>
  <c r="R8387" i="1"/>
  <c r="J2104" i="1"/>
  <c r="Q2104" i="1"/>
  <c r="R2104" i="1"/>
  <c r="J2105" i="1"/>
  <c r="Q2105" i="1"/>
  <c r="R2105" i="1"/>
  <c r="J2106" i="1"/>
  <c r="Q2106" i="1"/>
  <c r="R2106" i="1"/>
  <c r="J2107" i="1"/>
  <c r="Q2107" i="1"/>
  <c r="R2107" i="1"/>
  <c r="J2108" i="1"/>
  <c r="Q2108" i="1"/>
  <c r="R2108" i="1"/>
  <c r="J2109" i="1"/>
  <c r="Q2109" i="1"/>
  <c r="R2109" i="1"/>
  <c r="J2110" i="1"/>
  <c r="Q2110" i="1"/>
  <c r="R2110" i="1"/>
  <c r="J2111" i="1"/>
  <c r="Q2111" i="1"/>
  <c r="R2111" i="1"/>
  <c r="J2112" i="1"/>
  <c r="Q2112" i="1"/>
  <c r="R2112" i="1"/>
  <c r="J2113" i="1"/>
  <c r="Q2113" i="1"/>
  <c r="R2113" i="1"/>
  <c r="J2114" i="1"/>
  <c r="Q2114" i="1"/>
  <c r="R2114" i="1"/>
  <c r="J2115" i="1"/>
  <c r="Q2115" i="1"/>
  <c r="R2115" i="1"/>
  <c r="J2116" i="1"/>
  <c r="Q2116" i="1"/>
  <c r="R2116" i="1"/>
  <c r="J2117" i="1"/>
  <c r="Q2117" i="1"/>
  <c r="R2117" i="1"/>
  <c r="J8388" i="1"/>
  <c r="Q8388" i="1"/>
  <c r="R8388" i="1"/>
  <c r="J2118" i="1"/>
  <c r="Q2118" i="1"/>
  <c r="R2118" i="1"/>
  <c r="J2119" i="1"/>
  <c r="Q2119" i="1"/>
  <c r="R2119" i="1"/>
  <c r="J2120" i="1"/>
  <c r="Q2120" i="1"/>
  <c r="R2120" i="1"/>
  <c r="J2121" i="1"/>
  <c r="Q2121" i="1"/>
  <c r="R2121" i="1"/>
  <c r="J2122" i="1"/>
  <c r="Q2122" i="1"/>
  <c r="R2122" i="1"/>
  <c r="J2123" i="1"/>
  <c r="Q2123" i="1"/>
  <c r="R2123" i="1"/>
  <c r="J2124" i="1"/>
  <c r="Q2124" i="1"/>
  <c r="R2124" i="1"/>
  <c r="J2125" i="1"/>
  <c r="Q2125" i="1"/>
  <c r="R2125" i="1"/>
  <c r="J8389" i="1"/>
  <c r="Q8389" i="1"/>
  <c r="R8389" i="1"/>
  <c r="J8390" i="1"/>
  <c r="Q8390" i="1"/>
  <c r="R8390" i="1"/>
  <c r="J2126" i="1"/>
  <c r="Q2126" i="1"/>
  <c r="R2126" i="1"/>
  <c r="J2127" i="1"/>
  <c r="Q2127" i="1"/>
  <c r="R2127" i="1"/>
  <c r="J2128" i="1"/>
  <c r="Q2128" i="1"/>
  <c r="R2128" i="1"/>
  <c r="J2129" i="1"/>
  <c r="Q2129" i="1"/>
  <c r="R2129" i="1"/>
  <c r="J2130" i="1"/>
  <c r="Q2130" i="1"/>
  <c r="R2130" i="1"/>
  <c r="J2131" i="1"/>
  <c r="Q2131" i="1"/>
  <c r="R2131" i="1"/>
  <c r="J2132" i="1"/>
  <c r="Q2132" i="1"/>
  <c r="R2132" i="1"/>
  <c r="J2133" i="1"/>
  <c r="Q2133" i="1"/>
  <c r="R2133" i="1"/>
  <c r="J2134" i="1"/>
  <c r="Q2134" i="1"/>
  <c r="R2134" i="1"/>
  <c r="J2135" i="1"/>
  <c r="Q2135" i="1"/>
  <c r="R2135" i="1"/>
  <c r="J2136" i="1"/>
  <c r="Q2136" i="1"/>
  <c r="R2136" i="1"/>
  <c r="J8391" i="1"/>
  <c r="Q8391" i="1"/>
  <c r="R8391" i="1"/>
  <c r="J8392" i="1"/>
  <c r="Q8392" i="1"/>
  <c r="R8392" i="1"/>
  <c r="J2137" i="1"/>
  <c r="Q2137" i="1"/>
  <c r="R2137" i="1"/>
  <c r="J2138" i="1"/>
  <c r="Q2138" i="1"/>
  <c r="R2138" i="1"/>
  <c r="J2139" i="1"/>
  <c r="Q2139" i="1"/>
  <c r="R2139" i="1"/>
  <c r="J8393" i="1"/>
  <c r="Q8393" i="1"/>
  <c r="R8393" i="1"/>
  <c r="J8394" i="1"/>
  <c r="Q8394" i="1"/>
  <c r="R8394" i="1"/>
  <c r="J8395" i="1"/>
  <c r="Q8395" i="1"/>
  <c r="R8395" i="1"/>
  <c r="J8396" i="1"/>
  <c r="Q8396" i="1"/>
  <c r="R8396" i="1"/>
  <c r="J8397" i="1"/>
  <c r="Q8397" i="1"/>
  <c r="R8397" i="1"/>
  <c r="J8398" i="1"/>
  <c r="Q8398" i="1"/>
  <c r="R8398" i="1"/>
  <c r="J2140" i="1"/>
  <c r="Q2140" i="1"/>
  <c r="R2140" i="1"/>
  <c r="J2141" i="1"/>
  <c r="Q2141" i="1"/>
  <c r="R2141" i="1"/>
  <c r="J2142" i="1"/>
  <c r="Q2142" i="1"/>
  <c r="R2142" i="1"/>
  <c r="J8399" i="1"/>
  <c r="Q8399" i="1"/>
  <c r="R8399" i="1"/>
  <c r="J8400" i="1"/>
  <c r="Q8400" i="1"/>
  <c r="R8400" i="1"/>
  <c r="J8401" i="1"/>
  <c r="Q8401" i="1"/>
  <c r="R8401" i="1"/>
  <c r="J8402" i="1"/>
  <c r="Q8402" i="1"/>
  <c r="R8402" i="1"/>
  <c r="J8403" i="1"/>
  <c r="Q8403" i="1"/>
  <c r="R8403" i="1"/>
  <c r="J8404" i="1"/>
  <c r="Q8404" i="1"/>
  <c r="R8404" i="1"/>
  <c r="J8405" i="1"/>
  <c r="Q8405" i="1"/>
  <c r="R8405" i="1"/>
  <c r="J8406" i="1"/>
  <c r="Q8406" i="1"/>
  <c r="R8406" i="1"/>
  <c r="J8407" i="1"/>
  <c r="Q8407" i="1"/>
  <c r="R8407" i="1"/>
  <c r="J2143" i="1"/>
  <c r="Q2143" i="1"/>
  <c r="R2143" i="1"/>
  <c r="J2144" i="1"/>
  <c r="Q2144" i="1"/>
  <c r="R2144" i="1"/>
  <c r="J2145" i="1"/>
  <c r="Q2145" i="1"/>
  <c r="R2145" i="1"/>
  <c r="J2146" i="1"/>
  <c r="Q2146" i="1"/>
  <c r="R2146" i="1"/>
  <c r="J2147" i="1"/>
  <c r="Q2147" i="1"/>
  <c r="R2147" i="1"/>
  <c r="J2148" i="1"/>
  <c r="Q2148" i="1"/>
  <c r="R2148" i="1"/>
  <c r="J2149" i="1"/>
  <c r="Q2149" i="1"/>
  <c r="R2149" i="1"/>
  <c r="J2150" i="1"/>
  <c r="Q2150" i="1"/>
  <c r="R2150" i="1"/>
  <c r="J2151" i="1"/>
  <c r="Q2151" i="1"/>
  <c r="R2151" i="1"/>
  <c r="J2152" i="1"/>
  <c r="Q2152" i="1"/>
  <c r="R2152" i="1"/>
  <c r="J2153" i="1"/>
  <c r="Q2153" i="1"/>
  <c r="R2153" i="1"/>
  <c r="J2154" i="1"/>
  <c r="Q2154" i="1"/>
  <c r="R2154" i="1"/>
  <c r="J2155" i="1"/>
  <c r="Q2155" i="1"/>
  <c r="R2155" i="1"/>
  <c r="J2156" i="1"/>
  <c r="Q2156" i="1"/>
  <c r="R2156" i="1"/>
  <c r="J2157" i="1"/>
  <c r="Q2157" i="1"/>
  <c r="R2157" i="1"/>
  <c r="J2158" i="1"/>
  <c r="Q2158" i="1"/>
  <c r="R2158" i="1"/>
  <c r="J2159" i="1"/>
  <c r="Q2159" i="1"/>
  <c r="R2159" i="1"/>
  <c r="J2160" i="1"/>
  <c r="Q2160" i="1"/>
  <c r="R2160" i="1"/>
  <c r="J2161" i="1"/>
  <c r="Q2161" i="1"/>
  <c r="R2161" i="1"/>
  <c r="J2162" i="1"/>
  <c r="Q2162" i="1"/>
  <c r="R2162" i="1"/>
  <c r="J2163" i="1"/>
  <c r="Q2163" i="1"/>
  <c r="R2163" i="1"/>
  <c r="J2164" i="1"/>
  <c r="Q2164" i="1"/>
  <c r="R2164" i="1"/>
  <c r="J2165" i="1"/>
  <c r="Q2165" i="1"/>
  <c r="R2165" i="1"/>
  <c r="J2166" i="1"/>
  <c r="Q2166" i="1"/>
  <c r="R2166" i="1"/>
  <c r="J2167" i="1"/>
  <c r="Q2167" i="1"/>
  <c r="R2167" i="1"/>
  <c r="J2168" i="1"/>
  <c r="Q2168" i="1"/>
  <c r="R2168" i="1"/>
  <c r="J2169" i="1"/>
  <c r="Q2169" i="1"/>
  <c r="R2169" i="1"/>
  <c r="J2170" i="1"/>
  <c r="Q2170" i="1"/>
  <c r="R2170" i="1"/>
  <c r="J2171" i="1"/>
  <c r="Q2171" i="1"/>
  <c r="R2171" i="1"/>
  <c r="J2172" i="1"/>
  <c r="Q2172" i="1"/>
  <c r="R2172" i="1"/>
  <c r="J2173" i="1"/>
  <c r="Q2173" i="1"/>
  <c r="R2173" i="1"/>
  <c r="J2174" i="1"/>
  <c r="Q2174" i="1"/>
  <c r="R2174" i="1"/>
  <c r="J2175" i="1"/>
  <c r="Q2175" i="1"/>
  <c r="R2175" i="1"/>
  <c r="J2176" i="1"/>
  <c r="Q2176" i="1"/>
  <c r="R2176" i="1"/>
  <c r="J2177" i="1"/>
  <c r="Q2177" i="1"/>
  <c r="R2177" i="1"/>
  <c r="J2178" i="1"/>
  <c r="Q2178" i="1"/>
  <c r="R2178" i="1"/>
  <c r="J2179" i="1"/>
  <c r="Q2179" i="1"/>
  <c r="R2179" i="1"/>
  <c r="J2180" i="1"/>
  <c r="Q2180" i="1"/>
  <c r="R2180" i="1"/>
  <c r="J2181" i="1"/>
  <c r="Q2181" i="1"/>
  <c r="R2181" i="1"/>
  <c r="J2182" i="1"/>
  <c r="Q2182" i="1"/>
  <c r="R2182" i="1"/>
  <c r="J2183" i="1"/>
  <c r="Q2183" i="1"/>
  <c r="R2183" i="1"/>
  <c r="J2184" i="1"/>
  <c r="Q2184" i="1"/>
  <c r="R2184" i="1"/>
  <c r="J2185" i="1"/>
  <c r="Q2185" i="1"/>
  <c r="R2185" i="1"/>
  <c r="J2186" i="1"/>
  <c r="Q2186" i="1"/>
  <c r="R2186" i="1"/>
  <c r="J2187" i="1"/>
  <c r="Q2187" i="1"/>
  <c r="R2187" i="1"/>
  <c r="J2188" i="1"/>
  <c r="Q2188" i="1"/>
  <c r="R2188" i="1"/>
  <c r="J2189" i="1"/>
  <c r="Q2189" i="1"/>
  <c r="R2189" i="1"/>
  <c r="J8408" i="1"/>
  <c r="Q8408" i="1"/>
  <c r="R8408" i="1"/>
  <c r="J2190" i="1"/>
  <c r="Q2190" i="1"/>
  <c r="R2190" i="1"/>
  <c r="J2191" i="1"/>
  <c r="Q2191" i="1"/>
  <c r="R2191" i="1"/>
  <c r="J2192" i="1"/>
  <c r="Q2192" i="1"/>
  <c r="R2192" i="1"/>
  <c r="J2193" i="1"/>
  <c r="Q2193" i="1"/>
  <c r="R2193" i="1"/>
  <c r="J8409" i="1"/>
  <c r="Q8409" i="1"/>
  <c r="R8409" i="1"/>
  <c r="J2194" i="1"/>
  <c r="Q2194" i="1"/>
  <c r="R2194" i="1"/>
  <c r="J2195" i="1"/>
  <c r="Q2195" i="1"/>
  <c r="R2195" i="1"/>
  <c r="J2196" i="1"/>
  <c r="Q2196" i="1"/>
  <c r="R2196" i="1"/>
  <c r="J8410" i="1"/>
  <c r="Q8410" i="1"/>
  <c r="R8410" i="1"/>
  <c r="J2197" i="1"/>
  <c r="Q2197" i="1"/>
  <c r="R2197" i="1"/>
  <c r="J2198" i="1"/>
  <c r="Q2198" i="1"/>
  <c r="R2198" i="1"/>
  <c r="J8411" i="1"/>
  <c r="Q8411" i="1"/>
  <c r="R8411" i="1"/>
  <c r="J8412" i="1"/>
  <c r="Q8412" i="1"/>
  <c r="R8412" i="1"/>
  <c r="J2199" i="1"/>
  <c r="Q2199" i="1"/>
  <c r="R2199" i="1"/>
  <c r="J2200" i="1"/>
  <c r="Q2200" i="1"/>
  <c r="R2200" i="1"/>
  <c r="J2201" i="1"/>
  <c r="Q2201" i="1"/>
  <c r="R2201" i="1"/>
  <c r="J2202" i="1"/>
  <c r="Q2202" i="1"/>
  <c r="R2202" i="1"/>
  <c r="J2203" i="1"/>
  <c r="Q2203" i="1"/>
  <c r="R2203" i="1"/>
  <c r="J2204" i="1"/>
  <c r="Q2204" i="1"/>
  <c r="R2204" i="1"/>
  <c r="J2205" i="1"/>
  <c r="Q2205" i="1"/>
  <c r="R2205" i="1"/>
  <c r="J2206" i="1"/>
  <c r="Q2206" i="1"/>
  <c r="R2206" i="1"/>
  <c r="J2207" i="1"/>
  <c r="Q2207" i="1"/>
  <c r="R2207" i="1"/>
  <c r="J2208" i="1"/>
  <c r="Q2208" i="1"/>
  <c r="R2208" i="1"/>
  <c r="J2209" i="1"/>
  <c r="Q2209" i="1"/>
  <c r="R2209" i="1"/>
  <c r="J2210" i="1"/>
  <c r="Q2210" i="1"/>
  <c r="R2210" i="1"/>
  <c r="J2211" i="1"/>
  <c r="Q2211" i="1"/>
  <c r="R2211" i="1"/>
  <c r="J2212" i="1"/>
  <c r="Q2212" i="1"/>
  <c r="R2212" i="1"/>
  <c r="J8413" i="1"/>
  <c r="Q8413" i="1"/>
  <c r="R8413" i="1"/>
  <c r="J2213" i="1"/>
  <c r="Q2213" i="1"/>
  <c r="R2213" i="1"/>
  <c r="J2214" i="1"/>
  <c r="Q2214" i="1"/>
  <c r="R2214" i="1"/>
  <c r="J2215" i="1"/>
  <c r="Q2215" i="1"/>
  <c r="R2215" i="1"/>
  <c r="J2216" i="1"/>
  <c r="Q2216" i="1"/>
  <c r="R2216" i="1"/>
  <c r="J2217" i="1"/>
  <c r="Q2217" i="1"/>
  <c r="R2217" i="1"/>
  <c r="J2218" i="1"/>
  <c r="Q2218" i="1"/>
  <c r="R2218" i="1"/>
  <c r="J2219" i="1"/>
  <c r="Q2219" i="1"/>
  <c r="R2219" i="1"/>
  <c r="J2220" i="1"/>
  <c r="Q2220" i="1"/>
  <c r="R2220" i="1"/>
  <c r="J8414" i="1"/>
  <c r="Q8414" i="1"/>
  <c r="R8414" i="1"/>
  <c r="J2221" i="1"/>
  <c r="Q2221" i="1"/>
  <c r="R2221" i="1"/>
  <c r="J2222" i="1"/>
  <c r="Q2222" i="1"/>
  <c r="R2222" i="1"/>
  <c r="J2223" i="1"/>
  <c r="Q2223" i="1"/>
  <c r="R2223" i="1"/>
  <c r="J2224" i="1"/>
  <c r="Q2224" i="1"/>
  <c r="R2224" i="1"/>
  <c r="J2225" i="1"/>
  <c r="Q2225" i="1"/>
  <c r="R2225" i="1"/>
  <c r="J2226" i="1"/>
  <c r="Q2226" i="1"/>
  <c r="R2226" i="1"/>
  <c r="J2227" i="1"/>
  <c r="Q2227" i="1"/>
  <c r="R2227" i="1"/>
  <c r="J2228" i="1"/>
  <c r="Q2228" i="1"/>
  <c r="R2228" i="1"/>
  <c r="J2229" i="1"/>
  <c r="Q2229" i="1"/>
  <c r="R2229" i="1"/>
  <c r="J2230" i="1"/>
  <c r="Q2230" i="1"/>
  <c r="R2230" i="1"/>
  <c r="J2231" i="1"/>
  <c r="Q2231" i="1"/>
  <c r="R2231" i="1"/>
  <c r="J2232" i="1"/>
  <c r="Q2232" i="1"/>
  <c r="R2232" i="1"/>
  <c r="J2233" i="1"/>
  <c r="Q2233" i="1"/>
  <c r="R2233" i="1"/>
  <c r="J2234" i="1"/>
  <c r="Q2234" i="1"/>
  <c r="R2234" i="1"/>
  <c r="J2235" i="1"/>
  <c r="Q2235" i="1"/>
  <c r="R2235" i="1"/>
  <c r="J2236" i="1"/>
  <c r="Q2236" i="1"/>
  <c r="R2236" i="1"/>
  <c r="J2237" i="1"/>
  <c r="Q2237" i="1"/>
  <c r="R2237" i="1"/>
  <c r="J2238" i="1"/>
  <c r="Q2238" i="1"/>
  <c r="R2238" i="1"/>
  <c r="J2239" i="1"/>
  <c r="Q2239" i="1"/>
  <c r="R2239" i="1"/>
  <c r="J2240" i="1"/>
  <c r="Q2240" i="1"/>
  <c r="R2240" i="1"/>
  <c r="J2241" i="1"/>
  <c r="Q2241" i="1"/>
  <c r="R2241" i="1"/>
  <c r="J2242" i="1"/>
  <c r="Q2242" i="1"/>
  <c r="R2242" i="1"/>
  <c r="J8415" i="1"/>
  <c r="Q8415" i="1"/>
  <c r="R8415" i="1"/>
  <c r="J2243" i="1"/>
  <c r="Q2243" i="1"/>
  <c r="R2243" i="1"/>
  <c r="J2244" i="1"/>
  <c r="Q2244" i="1"/>
  <c r="R2244" i="1"/>
  <c r="J2245" i="1"/>
  <c r="Q2245" i="1"/>
  <c r="R2245" i="1"/>
  <c r="J2246" i="1"/>
  <c r="Q2246" i="1"/>
  <c r="R2246" i="1"/>
  <c r="J2247" i="1"/>
  <c r="Q2247" i="1"/>
  <c r="R2247" i="1"/>
  <c r="J2248" i="1"/>
  <c r="Q2248" i="1"/>
  <c r="R2248" i="1"/>
  <c r="J8416" i="1"/>
  <c r="Q8416" i="1"/>
  <c r="R8416" i="1"/>
  <c r="J2249" i="1"/>
  <c r="Q2249" i="1"/>
  <c r="R2249" i="1"/>
  <c r="J2250" i="1"/>
  <c r="Q2250" i="1"/>
  <c r="R2250" i="1"/>
  <c r="J2251" i="1"/>
  <c r="Q2251" i="1"/>
  <c r="R2251" i="1"/>
  <c r="J2252" i="1"/>
  <c r="Q2252" i="1"/>
  <c r="R2252" i="1"/>
  <c r="J8417" i="1"/>
  <c r="Q8417" i="1"/>
  <c r="R8417" i="1"/>
  <c r="J2253" i="1"/>
  <c r="Q2253" i="1"/>
  <c r="R2253" i="1"/>
  <c r="J2254" i="1"/>
  <c r="Q2254" i="1"/>
  <c r="R2254" i="1"/>
  <c r="J2255" i="1"/>
  <c r="Q2255" i="1"/>
  <c r="R2255" i="1"/>
  <c r="J2256" i="1"/>
  <c r="Q2256" i="1"/>
  <c r="R2256" i="1"/>
  <c r="J2257" i="1"/>
  <c r="Q2257" i="1"/>
  <c r="R2257" i="1"/>
  <c r="J2258" i="1"/>
  <c r="Q2258" i="1"/>
  <c r="R2258" i="1"/>
  <c r="J2259" i="1"/>
  <c r="Q2259" i="1"/>
  <c r="R2259" i="1"/>
  <c r="J2260" i="1"/>
  <c r="Q2260" i="1"/>
  <c r="R2260" i="1"/>
  <c r="J2261" i="1"/>
  <c r="Q2261" i="1"/>
  <c r="R2261" i="1"/>
  <c r="J8418" i="1"/>
  <c r="Q8418" i="1"/>
  <c r="R8418" i="1"/>
  <c r="J2262" i="1"/>
  <c r="Q2262" i="1"/>
  <c r="R2262" i="1"/>
  <c r="J2263" i="1"/>
  <c r="Q2263" i="1"/>
  <c r="R2263" i="1"/>
  <c r="J2264" i="1"/>
  <c r="Q2264" i="1"/>
  <c r="R2264" i="1"/>
  <c r="J2265" i="1"/>
  <c r="Q2265" i="1"/>
  <c r="R2265" i="1"/>
  <c r="J2266" i="1"/>
  <c r="Q2266" i="1"/>
  <c r="R2266" i="1"/>
  <c r="J2267" i="1"/>
  <c r="Q2267" i="1"/>
  <c r="R2267" i="1"/>
  <c r="J2268" i="1"/>
  <c r="Q2268" i="1"/>
  <c r="R2268" i="1"/>
  <c r="J2269" i="1"/>
  <c r="Q2269" i="1"/>
  <c r="R2269" i="1"/>
  <c r="J2270" i="1"/>
  <c r="Q2270" i="1"/>
  <c r="R2270" i="1"/>
  <c r="J2271" i="1"/>
  <c r="Q2271" i="1"/>
  <c r="R2271" i="1"/>
  <c r="J2272" i="1"/>
  <c r="Q2272" i="1"/>
  <c r="R2272" i="1"/>
  <c r="J2273" i="1"/>
  <c r="Q2273" i="1"/>
  <c r="R2273" i="1"/>
  <c r="J2274" i="1"/>
  <c r="Q2274" i="1"/>
  <c r="R2274" i="1"/>
  <c r="J2275" i="1"/>
  <c r="Q2275" i="1"/>
  <c r="R2275" i="1"/>
  <c r="J2276" i="1"/>
  <c r="Q2276" i="1"/>
  <c r="R2276" i="1"/>
  <c r="J2277" i="1"/>
  <c r="Q2277" i="1"/>
  <c r="R2277" i="1"/>
  <c r="J2278" i="1"/>
  <c r="Q2278" i="1"/>
  <c r="R2278" i="1"/>
  <c r="J8419" i="1"/>
  <c r="Q8419" i="1"/>
  <c r="R8419" i="1"/>
  <c r="J8420" i="1"/>
  <c r="Q8420" i="1"/>
  <c r="R8420" i="1"/>
  <c r="J8421" i="1"/>
  <c r="Q8421" i="1"/>
  <c r="R8421" i="1"/>
  <c r="J8422" i="1"/>
  <c r="Q8422" i="1"/>
  <c r="R8422" i="1"/>
  <c r="J8423" i="1"/>
  <c r="Q8423" i="1"/>
  <c r="R8423" i="1"/>
  <c r="J8424" i="1"/>
  <c r="Q8424" i="1"/>
  <c r="R8424" i="1"/>
  <c r="J8425" i="1"/>
  <c r="Q8425" i="1"/>
  <c r="R8425" i="1"/>
  <c r="J8426" i="1"/>
  <c r="Q8426" i="1"/>
  <c r="R8426" i="1"/>
  <c r="J8427" i="1"/>
  <c r="Q8427" i="1"/>
  <c r="R8427" i="1"/>
  <c r="J8428" i="1"/>
  <c r="Q8428" i="1"/>
  <c r="R8428" i="1"/>
  <c r="J8429" i="1"/>
  <c r="Q8429" i="1"/>
  <c r="R8429" i="1"/>
  <c r="J8430" i="1"/>
  <c r="Q8430" i="1"/>
  <c r="R8430" i="1"/>
  <c r="J8431" i="1"/>
  <c r="Q8431" i="1"/>
  <c r="R8431" i="1"/>
  <c r="J8432" i="1"/>
  <c r="Q8432" i="1"/>
  <c r="R8432" i="1"/>
  <c r="J2279" i="1"/>
  <c r="Q2279" i="1"/>
  <c r="R2279" i="1"/>
  <c r="J8433" i="1"/>
  <c r="Q8433" i="1"/>
  <c r="R8433" i="1"/>
  <c r="J8434" i="1"/>
  <c r="Q8434" i="1"/>
  <c r="R8434" i="1"/>
  <c r="J8435" i="1"/>
  <c r="Q8435" i="1"/>
  <c r="R8435" i="1"/>
  <c r="J8436" i="1"/>
  <c r="Q8436" i="1"/>
  <c r="R8436" i="1"/>
  <c r="J8437" i="1"/>
  <c r="Q8437" i="1"/>
  <c r="R8437" i="1"/>
  <c r="J8438" i="1"/>
  <c r="Q8438" i="1"/>
  <c r="R8438" i="1"/>
  <c r="J2280" i="1"/>
  <c r="Q2280" i="1"/>
  <c r="R2280" i="1"/>
  <c r="J2281" i="1"/>
  <c r="Q2281" i="1"/>
  <c r="R2281" i="1"/>
  <c r="J2282" i="1"/>
  <c r="Q2282" i="1"/>
  <c r="R2282" i="1"/>
  <c r="J8439" i="1"/>
  <c r="Q8439" i="1"/>
  <c r="R8439" i="1"/>
  <c r="J8440" i="1"/>
  <c r="Q8440" i="1"/>
  <c r="R8440" i="1"/>
  <c r="J8441" i="1"/>
  <c r="Q8441" i="1"/>
  <c r="R8441" i="1"/>
  <c r="J2283" i="1"/>
  <c r="Q2283" i="1"/>
  <c r="R2283" i="1"/>
  <c r="J8442" i="1"/>
  <c r="Q8442" i="1"/>
  <c r="R8442" i="1"/>
  <c r="J8443" i="1"/>
  <c r="Q8443" i="1"/>
  <c r="R8443" i="1"/>
  <c r="J8444" i="1"/>
  <c r="Q8444" i="1"/>
  <c r="R8444" i="1"/>
  <c r="J8445" i="1"/>
  <c r="Q8445" i="1"/>
  <c r="R8445" i="1"/>
  <c r="J2284" i="1"/>
  <c r="Q2284" i="1"/>
  <c r="R2284" i="1"/>
  <c r="J2285" i="1"/>
  <c r="Q2285" i="1"/>
  <c r="R2285" i="1"/>
  <c r="J2286" i="1"/>
  <c r="Q2286" i="1"/>
  <c r="R2286" i="1"/>
  <c r="J8446" i="1"/>
  <c r="Q8446" i="1"/>
  <c r="R8446" i="1"/>
  <c r="J8447" i="1"/>
  <c r="Q8447" i="1"/>
  <c r="R8447" i="1"/>
  <c r="J8448" i="1"/>
  <c r="Q8448" i="1"/>
  <c r="R8448" i="1"/>
  <c r="J8449" i="1"/>
  <c r="Q8449" i="1"/>
  <c r="R8449" i="1"/>
  <c r="J8450" i="1"/>
  <c r="Q8450" i="1"/>
  <c r="R8450" i="1"/>
  <c r="J2287" i="1"/>
  <c r="Q2287" i="1"/>
  <c r="R2287" i="1"/>
  <c r="J8451" i="1"/>
  <c r="Q8451" i="1"/>
  <c r="R8451" i="1"/>
  <c r="J8452" i="1"/>
  <c r="Q8452" i="1"/>
  <c r="R8452" i="1"/>
  <c r="J8453" i="1"/>
  <c r="Q8453" i="1"/>
  <c r="R8453" i="1"/>
  <c r="J8454" i="1"/>
  <c r="Q8454" i="1"/>
  <c r="R8454" i="1"/>
  <c r="J8455" i="1"/>
  <c r="Q8455" i="1"/>
  <c r="R8455" i="1"/>
  <c r="J7102" i="1"/>
  <c r="Q7102" i="1"/>
  <c r="R7102" i="1"/>
  <c r="J109" i="1"/>
  <c r="Q109" i="1"/>
  <c r="R109" i="1"/>
  <c r="J110" i="1"/>
  <c r="Q110" i="1"/>
  <c r="R110" i="1"/>
  <c r="J111" i="1"/>
  <c r="Q111" i="1"/>
  <c r="R111" i="1"/>
  <c r="J7103" i="1"/>
  <c r="Q7103" i="1"/>
  <c r="R7103" i="1"/>
  <c r="J7104" i="1"/>
  <c r="Q7104" i="1"/>
  <c r="R7104" i="1"/>
  <c r="J7105" i="1"/>
  <c r="Q7105" i="1"/>
  <c r="R7105" i="1"/>
  <c r="J7106" i="1"/>
  <c r="Q7106" i="1"/>
  <c r="R7106" i="1"/>
  <c r="J7107" i="1"/>
  <c r="Q7107" i="1"/>
  <c r="R7107" i="1"/>
  <c r="J112" i="1"/>
  <c r="Q112" i="1"/>
  <c r="R112" i="1"/>
  <c r="J113" i="1"/>
  <c r="Q113" i="1"/>
  <c r="R113" i="1"/>
  <c r="J114" i="1"/>
  <c r="Q114" i="1"/>
  <c r="R114" i="1"/>
  <c r="J115" i="1"/>
  <c r="Q115" i="1"/>
  <c r="R115" i="1"/>
  <c r="J6668" i="1"/>
  <c r="Q6668" i="1"/>
  <c r="R6668" i="1"/>
  <c r="J6669" i="1"/>
  <c r="Q6669" i="1"/>
  <c r="R6669" i="1"/>
  <c r="J6553" i="1"/>
  <c r="Q6553" i="1"/>
  <c r="R6553" i="1"/>
  <c r="J7108" i="1"/>
  <c r="Q7108" i="1"/>
  <c r="R7108" i="1"/>
  <c r="J13500" i="1"/>
  <c r="Q13500" i="1"/>
  <c r="R13500" i="1"/>
  <c r="J6670" i="1"/>
  <c r="Q6670" i="1"/>
  <c r="R6670" i="1"/>
  <c r="J6671" i="1"/>
  <c r="Q6671" i="1"/>
  <c r="R6671" i="1"/>
  <c r="J7109" i="1"/>
  <c r="Q7109" i="1"/>
  <c r="R7109" i="1"/>
  <c r="J7110" i="1"/>
  <c r="Q7110" i="1"/>
  <c r="R7110" i="1"/>
  <c r="J6672" i="1"/>
  <c r="Q6672" i="1"/>
  <c r="R6672" i="1"/>
  <c r="J6673" i="1"/>
  <c r="Q6673" i="1"/>
  <c r="R6673" i="1"/>
  <c r="J6674" i="1"/>
  <c r="Q6674" i="1"/>
  <c r="R6674" i="1"/>
  <c r="J7111" i="1"/>
  <c r="Q7111" i="1"/>
  <c r="R7111" i="1"/>
  <c r="J7112" i="1"/>
  <c r="Q7112" i="1"/>
  <c r="R7112" i="1"/>
  <c r="J7113" i="1"/>
  <c r="Q7113" i="1"/>
  <c r="R7113" i="1"/>
  <c r="J7114" i="1"/>
  <c r="Q7114" i="1"/>
  <c r="R7114" i="1"/>
  <c r="J7115" i="1"/>
  <c r="Q7115" i="1"/>
  <c r="R7115" i="1"/>
  <c r="J6675" i="1"/>
  <c r="Q6675" i="1"/>
  <c r="R6675" i="1"/>
  <c r="J7116" i="1"/>
  <c r="Q7116" i="1"/>
  <c r="R7116" i="1"/>
  <c r="J7117" i="1"/>
  <c r="Q7117" i="1"/>
  <c r="R7117" i="1"/>
  <c r="J7118" i="1"/>
  <c r="Q7118" i="1"/>
  <c r="R7118" i="1"/>
  <c r="J7119" i="1"/>
  <c r="Q7119" i="1"/>
  <c r="R7119" i="1"/>
  <c r="J7120" i="1"/>
  <c r="Q7120" i="1"/>
  <c r="R7120" i="1"/>
  <c r="J7121" i="1"/>
  <c r="Q7121" i="1"/>
  <c r="R7121" i="1"/>
  <c r="J7122" i="1"/>
  <c r="Q7122" i="1"/>
  <c r="R7122" i="1"/>
  <c r="J7123" i="1"/>
  <c r="Q7123" i="1"/>
  <c r="R7123" i="1"/>
  <c r="J7124" i="1"/>
  <c r="Q7124" i="1"/>
  <c r="R7124" i="1"/>
  <c r="J6676" i="1"/>
  <c r="Q6676" i="1"/>
  <c r="R6676" i="1"/>
  <c r="J7125" i="1"/>
  <c r="Q7125" i="1"/>
  <c r="R7125" i="1"/>
  <c r="J7126" i="1"/>
  <c r="Q7126" i="1"/>
  <c r="R7126" i="1"/>
  <c r="J7127" i="1"/>
  <c r="Q7127" i="1"/>
  <c r="R7127" i="1"/>
  <c r="J7128" i="1"/>
  <c r="Q7128" i="1"/>
  <c r="R7128" i="1"/>
  <c r="J7129" i="1"/>
  <c r="Q7129" i="1"/>
  <c r="R7129" i="1"/>
  <c r="J7130" i="1"/>
  <c r="Q7130" i="1"/>
  <c r="R7130" i="1"/>
  <c r="J7131" i="1"/>
  <c r="Q7131" i="1"/>
  <c r="R7131" i="1"/>
  <c r="J7132" i="1"/>
  <c r="Q7132" i="1"/>
  <c r="R7132" i="1"/>
  <c r="J7133" i="1"/>
  <c r="Q7133" i="1"/>
  <c r="R7133" i="1"/>
  <c r="J7134" i="1"/>
  <c r="Q7134" i="1"/>
  <c r="R7134" i="1"/>
  <c r="J7135" i="1"/>
  <c r="Q7135" i="1"/>
  <c r="R7135" i="1"/>
  <c r="J7136" i="1"/>
  <c r="Q7136" i="1"/>
  <c r="R7136" i="1"/>
  <c r="J7137" i="1"/>
  <c r="Q7137" i="1"/>
  <c r="R7137" i="1"/>
  <c r="J6677" i="1"/>
  <c r="Q6677" i="1"/>
  <c r="R6677" i="1"/>
  <c r="J6678" i="1"/>
  <c r="Q6678" i="1"/>
  <c r="R6678" i="1"/>
  <c r="J7138" i="1"/>
  <c r="Q7138" i="1"/>
  <c r="R7138" i="1"/>
  <c r="J7139" i="1"/>
  <c r="Q7139" i="1"/>
  <c r="R7139" i="1"/>
  <c r="J7140" i="1"/>
  <c r="Q7140" i="1"/>
  <c r="R7140" i="1"/>
  <c r="J7141" i="1"/>
  <c r="Q7141" i="1"/>
  <c r="R7141" i="1"/>
  <c r="J7142" i="1"/>
  <c r="Q7142" i="1"/>
  <c r="R7142" i="1"/>
  <c r="J7143" i="1"/>
  <c r="Q7143" i="1"/>
  <c r="R7143" i="1"/>
  <c r="J7144" i="1"/>
  <c r="Q7144" i="1"/>
  <c r="R7144" i="1"/>
  <c r="J7145" i="1"/>
  <c r="Q7145" i="1"/>
  <c r="R7145" i="1"/>
  <c r="J6679" i="1"/>
  <c r="Q6679" i="1"/>
  <c r="R6679" i="1"/>
  <c r="J7146" i="1"/>
  <c r="Q7146" i="1"/>
  <c r="R7146" i="1"/>
  <c r="J7147" i="1"/>
  <c r="Q7147" i="1"/>
  <c r="R7147" i="1"/>
  <c r="J7148" i="1"/>
  <c r="Q7148" i="1"/>
  <c r="R7148" i="1"/>
  <c r="J7149" i="1"/>
  <c r="Q7149" i="1"/>
  <c r="R7149" i="1"/>
  <c r="J6680" i="1"/>
  <c r="Q6680" i="1"/>
  <c r="R6680" i="1"/>
  <c r="J6681" i="1"/>
  <c r="Q6681" i="1"/>
  <c r="R6681" i="1"/>
  <c r="J7150" i="1"/>
  <c r="Q7150" i="1"/>
  <c r="R7150" i="1"/>
  <c r="J7151" i="1"/>
  <c r="Q7151" i="1"/>
  <c r="R7151" i="1"/>
  <c r="J7152" i="1"/>
  <c r="Q7152" i="1"/>
  <c r="R7152" i="1"/>
  <c r="J7153" i="1"/>
  <c r="Q7153" i="1"/>
  <c r="R7153" i="1"/>
  <c r="J6682" i="1"/>
  <c r="Q6682" i="1"/>
  <c r="R6682" i="1"/>
  <c r="J7154" i="1"/>
  <c r="Q7154" i="1"/>
  <c r="R7154" i="1"/>
  <c r="J7155" i="1"/>
  <c r="Q7155" i="1"/>
  <c r="R7155" i="1"/>
  <c r="J7156" i="1"/>
  <c r="Q7156" i="1"/>
  <c r="R7156" i="1"/>
  <c r="J7157" i="1"/>
  <c r="Q7157" i="1"/>
  <c r="R7157" i="1"/>
  <c r="J13501" i="1"/>
  <c r="Q13501" i="1"/>
  <c r="R13501" i="1"/>
  <c r="J7158" i="1"/>
  <c r="Q7158" i="1"/>
  <c r="R7158" i="1"/>
  <c r="J7159" i="1"/>
  <c r="Q7159" i="1"/>
  <c r="R7159" i="1"/>
  <c r="J7160" i="1"/>
  <c r="Q7160" i="1"/>
  <c r="R7160" i="1"/>
  <c r="J7161" i="1"/>
  <c r="Q7161" i="1"/>
  <c r="R7161" i="1"/>
  <c r="J13502" i="1"/>
  <c r="Q13502" i="1"/>
  <c r="R13502" i="1"/>
  <c r="J116" i="1"/>
  <c r="Q116" i="1"/>
  <c r="R116" i="1"/>
  <c r="J117" i="1"/>
  <c r="Q117" i="1"/>
  <c r="R117" i="1"/>
  <c r="J118" i="1"/>
  <c r="Q118" i="1"/>
  <c r="R118" i="1"/>
  <c r="J119" i="1"/>
  <c r="Q119" i="1"/>
  <c r="R119" i="1"/>
  <c r="J120" i="1"/>
  <c r="Q120" i="1"/>
  <c r="R120" i="1"/>
  <c r="J121" i="1"/>
  <c r="Q121" i="1"/>
  <c r="R121" i="1"/>
  <c r="J122" i="1"/>
  <c r="Q122" i="1"/>
  <c r="R122" i="1"/>
  <c r="J123" i="1"/>
  <c r="Q123" i="1"/>
  <c r="R123" i="1"/>
  <c r="J124" i="1"/>
  <c r="Q124" i="1"/>
  <c r="R124" i="1"/>
  <c r="J125" i="1"/>
  <c r="Q125" i="1"/>
  <c r="R125" i="1"/>
  <c r="J126" i="1"/>
  <c r="Q126" i="1"/>
  <c r="R126" i="1"/>
  <c r="J127" i="1"/>
  <c r="Q127" i="1"/>
  <c r="R127" i="1"/>
  <c r="J128" i="1"/>
  <c r="Q128" i="1"/>
  <c r="R128" i="1"/>
  <c r="J129" i="1"/>
  <c r="Q129" i="1"/>
  <c r="R129" i="1"/>
  <c r="J130" i="1"/>
  <c r="Q130" i="1"/>
  <c r="R130" i="1"/>
  <c r="J131" i="1"/>
  <c r="Q131" i="1"/>
  <c r="R131" i="1"/>
  <c r="J6683" i="1"/>
  <c r="Q6683" i="1"/>
  <c r="R6683" i="1"/>
  <c r="J13503" i="1"/>
  <c r="Q13503" i="1"/>
  <c r="R13503" i="1"/>
  <c r="J132" i="1"/>
  <c r="Q132" i="1"/>
  <c r="R132" i="1"/>
  <c r="J133" i="1"/>
  <c r="Q133" i="1"/>
  <c r="R133" i="1"/>
  <c r="J134" i="1"/>
  <c r="Q134" i="1"/>
  <c r="R134" i="1"/>
  <c r="J135" i="1"/>
  <c r="Q135" i="1"/>
  <c r="R135" i="1"/>
  <c r="J136" i="1"/>
  <c r="Q136" i="1"/>
  <c r="R136" i="1"/>
  <c r="J137" i="1"/>
  <c r="Q137" i="1"/>
  <c r="R137" i="1"/>
  <c r="J138" i="1"/>
  <c r="Q138" i="1"/>
  <c r="R138" i="1"/>
  <c r="J139" i="1"/>
  <c r="Q139" i="1"/>
  <c r="R139" i="1"/>
  <c r="J140" i="1"/>
  <c r="Q140" i="1"/>
  <c r="R140" i="1"/>
  <c r="J141" i="1"/>
  <c r="Q141" i="1"/>
  <c r="R141" i="1"/>
  <c r="J142" i="1"/>
  <c r="Q142" i="1"/>
  <c r="R142" i="1"/>
  <c r="J13504" i="1"/>
  <c r="Q13504" i="1"/>
  <c r="R13504" i="1"/>
  <c r="J143" i="1"/>
  <c r="Q143" i="1"/>
  <c r="R143" i="1"/>
  <c r="J144" i="1"/>
  <c r="Q144" i="1"/>
  <c r="R144" i="1"/>
  <c r="J145" i="1"/>
  <c r="Q145" i="1"/>
  <c r="R145" i="1"/>
  <c r="J146" i="1"/>
  <c r="Q146" i="1"/>
  <c r="R146" i="1"/>
  <c r="J147" i="1"/>
  <c r="Q147" i="1"/>
  <c r="R147" i="1"/>
  <c r="J148" i="1"/>
  <c r="Q148" i="1"/>
  <c r="R148" i="1"/>
  <c r="J149" i="1"/>
  <c r="Q149" i="1"/>
  <c r="R149" i="1"/>
  <c r="J150" i="1"/>
  <c r="Q150" i="1"/>
  <c r="R150" i="1"/>
  <c r="J151" i="1"/>
  <c r="Q151" i="1"/>
  <c r="R151" i="1"/>
  <c r="J152" i="1"/>
  <c r="Q152" i="1"/>
  <c r="R152" i="1"/>
  <c r="J153" i="1"/>
  <c r="Q153" i="1"/>
  <c r="R153" i="1"/>
  <c r="J154" i="1"/>
  <c r="Q154" i="1"/>
  <c r="R154" i="1"/>
  <c r="J155" i="1"/>
  <c r="Q155" i="1"/>
  <c r="R155" i="1"/>
  <c r="J156" i="1"/>
  <c r="Q156" i="1"/>
  <c r="R156" i="1"/>
  <c r="J157" i="1"/>
  <c r="Q157" i="1"/>
  <c r="R157" i="1"/>
  <c r="J158" i="1"/>
  <c r="Q158" i="1"/>
  <c r="R158" i="1"/>
  <c r="J159" i="1"/>
  <c r="Q159" i="1"/>
  <c r="R159" i="1"/>
  <c r="J160" i="1"/>
  <c r="Q160" i="1"/>
  <c r="R160" i="1"/>
  <c r="J161" i="1"/>
  <c r="Q161" i="1"/>
  <c r="R161" i="1"/>
  <c r="J162" i="1"/>
  <c r="Q162" i="1"/>
  <c r="R162" i="1"/>
  <c r="J163" i="1"/>
  <c r="Q163" i="1"/>
  <c r="R163" i="1"/>
  <c r="J164" i="1"/>
  <c r="Q164" i="1"/>
  <c r="R164" i="1"/>
  <c r="J165" i="1"/>
  <c r="Q165" i="1"/>
  <c r="R165" i="1"/>
  <c r="J166" i="1"/>
  <c r="Q166" i="1"/>
  <c r="R166" i="1"/>
  <c r="J167" i="1"/>
  <c r="Q167" i="1"/>
  <c r="R167" i="1"/>
  <c r="J168" i="1"/>
  <c r="Q168" i="1"/>
  <c r="R168" i="1"/>
  <c r="J169" i="1"/>
  <c r="Q169" i="1"/>
  <c r="R169" i="1"/>
  <c r="J13505" i="1"/>
  <c r="Q13505" i="1"/>
  <c r="R13505" i="1"/>
  <c r="J170" i="1"/>
  <c r="Q170" i="1"/>
  <c r="R170" i="1"/>
  <c r="J171" i="1"/>
  <c r="Q171" i="1"/>
  <c r="R171" i="1"/>
  <c r="J172" i="1"/>
  <c r="Q172" i="1"/>
  <c r="R172" i="1"/>
  <c r="J173" i="1"/>
  <c r="Q173" i="1"/>
  <c r="R173" i="1"/>
  <c r="J174" i="1"/>
  <c r="Q174" i="1"/>
  <c r="R174" i="1"/>
  <c r="J175" i="1"/>
  <c r="Q175" i="1"/>
  <c r="R175" i="1"/>
  <c r="J176" i="1"/>
  <c r="Q176" i="1"/>
  <c r="R176" i="1"/>
  <c r="J177" i="1"/>
  <c r="Q177" i="1"/>
  <c r="R177" i="1"/>
  <c r="J178" i="1"/>
  <c r="Q178" i="1"/>
  <c r="R178" i="1"/>
  <c r="J179" i="1"/>
  <c r="Q179" i="1"/>
  <c r="R179" i="1"/>
  <c r="J7162" i="1"/>
  <c r="Q7162" i="1"/>
  <c r="R7162" i="1"/>
  <c r="J7163" i="1"/>
  <c r="Q7163" i="1"/>
  <c r="R7163" i="1"/>
  <c r="J180" i="1"/>
  <c r="Q180" i="1"/>
  <c r="R180" i="1"/>
  <c r="J181" i="1"/>
  <c r="Q181" i="1"/>
  <c r="R181" i="1"/>
  <c r="J7164" i="1"/>
  <c r="Q7164" i="1"/>
  <c r="R7164" i="1"/>
  <c r="J7165" i="1"/>
  <c r="Q7165" i="1"/>
  <c r="R7165" i="1"/>
  <c r="J7166" i="1"/>
  <c r="Q7166" i="1"/>
  <c r="R7166" i="1"/>
  <c r="J182" i="1"/>
  <c r="Q182" i="1"/>
  <c r="R182" i="1"/>
  <c r="J183" i="1"/>
  <c r="Q183" i="1"/>
  <c r="R183" i="1"/>
  <c r="J7167" i="1"/>
  <c r="Q7167" i="1"/>
  <c r="R7167" i="1"/>
  <c r="J7168" i="1"/>
  <c r="Q7168" i="1"/>
  <c r="R7168" i="1"/>
  <c r="J7169" i="1"/>
  <c r="Q7169" i="1"/>
  <c r="R7169" i="1"/>
  <c r="J184" i="1"/>
  <c r="Q184" i="1"/>
  <c r="R184" i="1"/>
  <c r="J6684" i="1"/>
  <c r="Q6684" i="1"/>
  <c r="R6684" i="1"/>
  <c r="J7170" i="1"/>
  <c r="Q7170" i="1"/>
  <c r="R7170" i="1"/>
  <c r="J13506" i="1"/>
  <c r="Q13506" i="1"/>
  <c r="R13506" i="1"/>
  <c r="J7171" i="1"/>
  <c r="Q7171" i="1"/>
  <c r="R7171" i="1"/>
  <c r="J6685" i="1"/>
  <c r="Q6685" i="1"/>
  <c r="R6685" i="1"/>
  <c r="J185" i="1"/>
  <c r="Q185" i="1"/>
  <c r="R185" i="1"/>
  <c r="J186" i="1"/>
  <c r="Q186" i="1"/>
  <c r="R186" i="1"/>
  <c r="J187" i="1"/>
  <c r="Q187" i="1"/>
  <c r="R187" i="1"/>
  <c r="J188" i="1"/>
  <c r="Q188" i="1"/>
  <c r="R188" i="1"/>
  <c r="J6686" i="1"/>
  <c r="Q6686" i="1"/>
  <c r="R6686" i="1"/>
  <c r="J189" i="1"/>
  <c r="Q189" i="1"/>
  <c r="R189" i="1"/>
  <c r="J190" i="1"/>
  <c r="Q190" i="1"/>
  <c r="R190" i="1"/>
  <c r="J7172" i="1"/>
  <c r="Q7172" i="1"/>
  <c r="R7172" i="1"/>
  <c r="J191" i="1"/>
  <c r="Q191" i="1"/>
  <c r="R191" i="1"/>
  <c r="J192" i="1"/>
  <c r="Q192" i="1"/>
  <c r="R192" i="1"/>
  <c r="J7173" i="1"/>
  <c r="Q7173" i="1"/>
  <c r="R7173" i="1"/>
  <c r="J6687" i="1"/>
  <c r="Q6687" i="1"/>
  <c r="R6687" i="1"/>
  <c r="J193" i="1"/>
  <c r="Q193" i="1"/>
  <c r="R193" i="1"/>
  <c r="J194" i="1"/>
  <c r="Q194" i="1"/>
  <c r="R194" i="1"/>
  <c r="J6554" i="1"/>
  <c r="Q6554" i="1"/>
  <c r="R6554" i="1"/>
  <c r="J195" i="1"/>
  <c r="Q195" i="1"/>
  <c r="R195" i="1"/>
  <c r="J7174" i="1"/>
  <c r="Q7174" i="1"/>
  <c r="R7174" i="1"/>
  <c r="J196" i="1"/>
  <c r="Q196" i="1"/>
  <c r="R196" i="1"/>
  <c r="J7175" i="1"/>
  <c r="Q7175" i="1"/>
  <c r="R7175" i="1"/>
  <c r="J7176" i="1"/>
  <c r="Q7176" i="1"/>
  <c r="R7176" i="1"/>
  <c r="J197" i="1"/>
  <c r="Q197" i="1"/>
  <c r="R197" i="1"/>
  <c r="J7177" i="1"/>
  <c r="Q7177" i="1"/>
  <c r="R7177" i="1"/>
  <c r="J198" i="1"/>
  <c r="Q198" i="1"/>
  <c r="R198" i="1"/>
  <c r="J199" i="1"/>
  <c r="Q199" i="1"/>
  <c r="R199" i="1"/>
  <c r="J6555" i="1"/>
  <c r="Q6555" i="1"/>
  <c r="R6555" i="1"/>
  <c r="J6556" i="1"/>
  <c r="Q6556" i="1"/>
  <c r="R6556" i="1"/>
  <c r="J200" i="1"/>
  <c r="Q200" i="1"/>
  <c r="R200" i="1"/>
  <c r="J201" i="1"/>
  <c r="Q201" i="1"/>
  <c r="R201" i="1"/>
  <c r="J202" i="1"/>
  <c r="Q202" i="1"/>
  <c r="R202" i="1"/>
  <c r="J6688" i="1"/>
  <c r="Q6688" i="1"/>
  <c r="R6688" i="1"/>
  <c r="J6689" i="1"/>
  <c r="Q6689" i="1"/>
  <c r="R6689" i="1"/>
  <c r="J13507" i="1"/>
  <c r="Q13507" i="1"/>
  <c r="R13507" i="1"/>
  <c r="J13508" i="1"/>
  <c r="Q13508" i="1"/>
  <c r="R13508" i="1"/>
  <c r="J13509" i="1"/>
  <c r="Q13509" i="1"/>
  <c r="R13509" i="1"/>
  <c r="J6690" i="1"/>
  <c r="Q6690" i="1"/>
  <c r="R6690" i="1"/>
  <c r="J7178" i="1"/>
  <c r="Q7178" i="1"/>
  <c r="R7178" i="1"/>
  <c r="J7179" i="1"/>
  <c r="Q7179" i="1"/>
  <c r="R7179" i="1"/>
  <c r="J7180" i="1"/>
  <c r="Q7180" i="1"/>
  <c r="R7180" i="1"/>
  <c r="J6691" i="1"/>
  <c r="Q6691" i="1"/>
  <c r="R6691" i="1"/>
  <c r="J7181" i="1"/>
  <c r="Q7181" i="1"/>
  <c r="R7181" i="1"/>
  <c r="J7182" i="1"/>
  <c r="Q7182" i="1"/>
  <c r="R7182" i="1"/>
  <c r="J7183" i="1"/>
  <c r="Q7183" i="1"/>
  <c r="R7183" i="1"/>
  <c r="J7184" i="1"/>
  <c r="Q7184" i="1"/>
  <c r="R7184" i="1"/>
  <c r="J7185" i="1"/>
  <c r="Q7185" i="1"/>
  <c r="R7185" i="1"/>
  <c r="J7186" i="1"/>
  <c r="Q7186" i="1"/>
  <c r="R7186" i="1"/>
  <c r="J7187" i="1"/>
  <c r="Q7187" i="1"/>
  <c r="R7187" i="1"/>
  <c r="J7188" i="1"/>
  <c r="Q7188" i="1"/>
  <c r="R7188" i="1"/>
  <c r="J7189" i="1"/>
  <c r="Q7189" i="1"/>
  <c r="R7189" i="1"/>
  <c r="J7190" i="1"/>
  <c r="Q7190" i="1"/>
  <c r="R7190" i="1"/>
  <c r="J7191" i="1"/>
  <c r="Q7191" i="1"/>
  <c r="R7191" i="1"/>
  <c r="J7192" i="1"/>
  <c r="Q7192" i="1"/>
  <c r="R7192" i="1"/>
  <c r="J203" i="1"/>
  <c r="Q203" i="1"/>
  <c r="R203" i="1"/>
  <c r="J6692" i="1"/>
  <c r="Q6692" i="1"/>
  <c r="R6692" i="1"/>
  <c r="J7193" i="1"/>
  <c r="Q7193" i="1"/>
  <c r="R7193" i="1"/>
  <c r="J7194" i="1"/>
  <c r="Q7194" i="1"/>
  <c r="R7194" i="1"/>
  <c r="J6693" i="1"/>
  <c r="Q6693" i="1"/>
  <c r="R6693" i="1"/>
  <c r="J7195" i="1"/>
  <c r="Q7195" i="1"/>
  <c r="R7195" i="1"/>
  <c r="J7196" i="1"/>
  <c r="Q7196" i="1"/>
  <c r="R7196" i="1"/>
  <c r="J7197" i="1"/>
  <c r="Q7197" i="1"/>
  <c r="R7197" i="1"/>
  <c r="J6694" i="1"/>
  <c r="Q6694" i="1"/>
  <c r="R6694" i="1"/>
  <c r="J7198" i="1"/>
  <c r="Q7198" i="1"/>
  <c r="R7198" i="1"/>
  <c r="J6695" i="1"/>
  <c r="Q6695" i="1"/>
  <c r="R6695" i="1"/>
  <c r="J7199" i="1"/>
  <c r="Q7199" i="1"/>
  <c r="R7199" i="1"/>
  <c r="J7200" i="1"/>
  <c r="Q7200" i="1"/>
  <c r="R7200" i="1"/>
  <c r="J7201" i="1"/>
  <c r="Q7201" i="1"/>
  <c r="R7201" i="1"/>
  <c r="J204" i="1"/>
  <c r="Q204" i="1"/>
  <c r="R204" i="1"/>
  <c r="J205" i="1"/>
  <c r="Q205" i="1"/>
  <c r="R205" i="1"/>
  <c r="J206" i="1"/>
  <c r="Q206" i="1"/>
  <c r="R206" i="1"/>
  <c r="J207" i="1"/>
  <c r="Q207" i="1"/>
  <c r="R207" i="1"/>
  <c r="J208" i="1"/>
  <c r="Q208" i="1"/>
  <c r="R208" i="1"/>
  <c r="J6696" i="1"/>
  <c r="Q6696" i="1"/>
  <c r="R6696" i="1"/>
  <c r="J209" i="1"/>
  <c r="Q209" i="1"/>
  <c r="R209" i="1"/>
  <c r="J210" i="1"/>
  <c r="Q210" i="1"/>
  <c r="R210" i="1"/>
  <c r="J211" i="1"/>
  <c r="Q211" i="1"/>
  <c r="R211" i="1"/>
  <c r="J212" i="1"/>
  <c r="Q212" i="1"/>
  <c r="R212" i="1"/>
  <c r="J213" i="1"/>
  <c r="Q213" i="1"/>
  <c r="R213" i="1"/>
  <c r="J214" i="1"/>
  <c r="Q214" i="1"/>
  <c r="R214" i="1"/>
  <c r="J6697" i="1"/>
  <c r="Q6697" i="1"/>
  <c r="R6697" i="1"/>
  <c r="J215" i="1"/>
  <c r="Q215" i="1"/>
  <c r="R215" i="1"/>
  <c r="J216" i="1"/>
  <c r="Q216" i="1"/>
  <c r="R216" i="1"/>
  <c r="J217" i="1"/>
  <c r="Q217" i="1"/>
  <c r="R217" i="1"/>
  <c r="J218" i="1"/>
  <c r="Q218" i="1"/>
  <c r="R218" i="1"/>
  <c r="J219" i="1"/>
  <c r="Q219" i="1"/>
  <c r="R219" i="1"/>
  <c r="J220" i="1"/>
  <c r="Q220" i="1"/>
  <c r="R220" i="1"/>
  <c r="J221" i="1"/>
  <c r="Q221" i="1"/>
  <c r="R221" i="1"/>
  <c r="J222" i="1"/>
  <c r="Q222" i="1"/>
  <c r="R222" i="1"/>
  <c r="J13510" i="1"/>
  <c r="Q13510" i="1"/>
  <c r="R13510" i="1"/>
  <c r="J223" i="1"/>
  <c r="Q223" i="1"/>
  <c r="R223" i="1"/>
  <c r="J224" i="1"/>
  <c r="Q224" i="1"/>
  <c r="R224" i="1"/>
  <c r="J225" i="1"/>
  <c r="Q225" i="1"/>
  <c r="R225" i="1"/>
  <c r="J226" i="1"/>
  <c r="Q226" i="1"/>
  <c r="R226" i="1"/>
  <c r="J227" i="1"/>
  <c r="Q227" i="1"/>
  <c r="R227" i="1"/>
  <c r="J228" i="1"/>
  <c r="Q228" i="1"/>
  <c r="R228" i="1"/>
  <c r="J229" i="1"/>
  <c r="Q229" i="1"/>
  <c r="R229" i="1"/>
  <c r="J230" i="1"/>
  <c r="Q230" i="1"/>
  <c r="R230" i="1"/>
  <c r="J231" i="1"/>
  <c r="Q231" i="1"/>
  <c r="R231" i="1"/>
  <c r="J232" i="1"/>
  <c r="Q232" i="1"/>
  <c r="R232" i="1"/>
  <c r="J233" i="1"/>
  <c r="Q233" i="1"/>
  <c r="R233" i="1"/>
  <c r="J234" i="1"/>
  <c r="Q234" i="1"/>
  <c r="R234" i="1"/>
  <c r="J235" i="1"/>
  <c r="Q235" i="1"/>
  <c r="R235" i="1"/>
  <c r="J236" i="1"/>
  <c r="Q236" i="1"/>
  <c r="R236" i="1"/>
  <c r="J237" i="1"/>
  <c r="Q237" i="1"/>
  <c r="R237" i="1"/>
  <c r="J238" i="1"/>
  <c r="Q238" i="1"/>
  <c r="R238" i="1"/>
  <c r="J239" i="1"/>
  <c r="Q239" i="1"/>
  <c r="R239" i="1"/>
  <c r="J240" i="1"/>
  <c r="Q240" i="1"/>
  <c r="R240" i="1"/>
  <c r="J241" i="1"/>
  <c r="Q241" i="1"/>
  <c r="R241" i="1"/>
  <c r="J242" i="1"/>
  <c r="Q242" i="1"/>
  <c r="R242" i="1"/>
  <c r="J243" i="1"/>
  <c r="Q243" i="1"/>
  <c r="R243" i="1"/>
  <c r="J244" i="1"/>
  <c r="Q244" i="1"/>
  <c r="R244" i="1"/>
  <c r="J245" i="1"/>
  <c r="Q245" i="1"/>
  <c r="R245" i="1"/>
  <c r="J7202" i="1"/>
  <c r="Q7202" i="1"/>
  <c r="R7202" i="1"/>
  <c r="J246" i="1"/>
  <c r="Q246" i="1"/>
  <c r="R246" i="1"/>
  <c r="J247" i="1"/>
  <c r="Q247" i="1"/>
  <c r="R247" i="1"/>
  <c r="J7203" i="1"/>
  <c r="Q7203" i="1"/>
  <c r="R7203" i="1"/>
  <c r="J6698" i="1"/>
  <c r="Q6698" i="1"/>
  <c r="R6698" i="1"/>
  <c r="J248" i="1"/>
  <c r="Q248" i="1"/>
  <c r="R248" i="1"/>
  <c r="J7204" i="1"/>
  <c r="Q7204" i="1"/>
  <c r="R7204" i="1"/>
  <c r="J7205" i="1"/>
  <c r="Q7205" i="1"/>
  <c r="R7205" i="1"/>
  <c r="J249" i="1"/>
  <c r="Q249" i="1"/>
  <c r="R249" i="1"/>
  <c r="J7206" i="1"/>
  <c r="Q7206" i="1"/>
  <c r="R7206" i="1"/>
  <c r="J7207" i="1"/>
  <c r="Q7207" i="1"/>
  <c r="R7207" i="1"/>
  <c r="J7208" i="1"/>
  <c r="Q7208" i="1"/>
  <c r="R7208" i="1"/>
  <c r="J250" i="1"/>
  <c r="Q250" i="1"/>
  <c r="R250" i="1"/>
  <c r="J7209" i="1"/>
  <c r="Q7209" i="1"/>
  <c r="R7209" i="1"/>
  <c r="J7210" i="1"/>
  <c r="Q7210" i="1"/>
  <c r="R7210" i="1"/>
  <c r="J7211" i="1"/>
  <c r="Q7211" i="1"/>
  <c r="R7211" i="1"/>
  <c r="J251" i="1"/>
  <c r="Q251" i="1"/>
  <c r="R251" i="1"/>
  <c r="J252" i="1"/>
  <c r="Q252" i="1"/>
  <c r="R252" i="1"/>
  <c r="J253" i="1"/>
  <c r="Q253" i="1"/>
  <c r="R253" i="1"/>
  <c r="J7212" i="1"/>
  <c r="Q7212" i="1"/>
  <c r="R7212" i="1"/>
  <c r="J254" i="1"/>
  <c r="Q254" i="1"/>
  <c r="R254" i="1"/>
  <c r="J7213" i="1"/>
  <c r="Q7213" i="1"/>
  <c r="R7213" i="1"/>
  <c r="J255" i="1"/>
  <c r="Q255" i="1"/>
  <c r="R255" i="1"/>
  <c r="J256" i="1"/>
  <c r="Q256" i="1"/>
  <c r="R256" i="1"/>
  <c r="J257" i="1"/>
  <c r="Q257" i="1"/>
  <c r="R257" i="1"/>
  <c r="J7214" i="1"/>
  <c r="Q7214" i="1"/>
  <c r="R7214" i="1"/>
  <c r="J7215" i="1"/>
  <c r="Q7215" i="1"/>
  <c r="R7215" i="1"/>
  <c r="J7216" i="1"/>
  <c r="Q7216" i="1"/>
  <c r="R7216" i="1"/>
  <c r="J258" i="1"/>
  <c r="Q258" i="1"/>
  <c r="R258" i="1"/>
  <c r="J259" i="1"/>
  <c r="Q259" i="1"/>
  <c r="R259" i="1"/>
  <c r="J260" i="1"/>
  <c r="Q260" i="1"/>
  <c r="R260" i="1"/>
  <c r="J261" i="1"/>
  <c r="Q261" i="1"/>
  <c r="R261" i="1"/>
  <c r="J7217" i="1"/>
  <c r="Q7217" i="1"/>
  <c r="R7217" i="1"/>
  <c r="J7218" i="1"/>
  <c r="Q7218" i="1"/>
  <c r="R7218" i="1"/>
  <c r="J7219" i="1"/>
  <c r="Q7219" i="1"/>
  <c r="R7219" i="1"/>
  <c r="J262" i="1"/>
  <c r="Q262" i="1"/>
  <c r="R262" i="1"/>
  <c r="J7220" i="1"/>
  <c r="Q7220" i="1"/>
  <c r="R7220" i="1"/>
  <c r="J263" i="1"/>
  <c r="Q263" i="1"/>
  <c r="R263" i="1"/>
  <c r="J6699" i="1"/>
  <c r="Q6699" i="1"/>
  <c r="R6699" i="1"/>
  <c r="J6700" i="1"/>
  <c r="Q6700" i="1"/>
  <c r="R6700" i="1"/>
  <c r="J264" i="1"/>
  <c r="Q264" i="1"/>
  <c r="R264" i="1"/>
  <c r="J7221" i="1"/>
  <c r="Q7221" i="1"/>
  <c r="R7221" i="1"/>
  <c r="J265" i="1"/>
  <c r="Q265" i="1"/>
  <c r="R265" i="1"/>
  <c r="J7222" i="1"/>
  <c r="Q7222" i="1"/>
  <c r="R7222" i="1"/>
  <c r="J266" i="1"/>
  <c r="Q266" i="1"/>
  <c r="R266" i="1"/>
  <c r="J7223" i="1"/>
  <c r="Q7223" i="1"/>
  <c r="R7223" i="1"/>
  <c r="J267" i="1"/>
  <c r="Q267" i="1"/>
  <c r="R267" i="1"/>
  <c r="J268" i="1"/>
  <c r="Q268" i="1"/>
  <c r="R268" i="1"/>
  <c r="J6557" i="1"/>
  <c r="Q6557" i="1"/>
  <c r="R6557" i="1"/>
  <c r="J269" i="1"/>
  <c r="Q269" i="1"/>
  <c r="R269" i="1"/>
  <c r="J270" i="1"/>
  <c r="Q270" i="1"/>
  <c r="R270" i="1"/>
  <c r="J271" i="1"/>
  <c r="Q271" i="1"/>
  <c r="R271" i="1"/>
  <c r="J272" i="1"/>
  <c r="Q272" i="1"/>
  <c r="R272" i="1"/>
  <c r="J273" i="1"/>
  <c r="Q273" i="1"/>
  <c r="R273" i="1"/>
  <c r="J274" i="1"/>
  <c r="Q274" i="1"/>
  <c r="R274" i="1"/>
  <c r="J7224" i="1"/>
  <c r="Q7224" i="1"/>
  <c r="R7224" i="1"/>
  <c r="J7225" i="1"/>
  <c r="Q7225" i="1"/>
  <c r="R7225" i="1"/>
  <c r="J7226" i="1"/>
  <c r="Q7226" i="1"/>
  <c r="R7226" i="1"/>
  <c r="J7227" i="1"/>
  <c r="Q7227" i="1"/>
  <c r="R7227" i="1"/>
  <c r="J7228" i="1"/>
  <c r="Q7228" i="1"/>
  <c r="R7228" i="1"/>
  <c r="J275" i="1"/>
  <c r="Q275" i="1"/>
  <c r="R275" i="1"/>
  <c r="J276" i="1"/>
  <c r="Q276" i="1"/>
  <c r="R276" i="1"/>
  <c r="J13511" i="1"/>
  <c r="Q13511" i="1"/>
  <c r="R13511" i="1"/>
  <c r="J7229" i="1"/>
  <c r="Q7229" i="1"/>
  <c r="R7229" i="1"/>
  <c r="J6701" i="1"/>
  <c r="Q6701" i="1"/>
  <c r="R6701" i="1"/>
  <c r="J6702" i="1"/>
  <c r="Q6702" i="1"/>
  <c r="R6702" i="1"/>
  <c r="J6703" i="1"/>
  <c r="Q6703" i="1"/>
  <c r="R6703" i="1"/>
  <c r="J7230" i="1"/>
  <c r="Q7230" i="1"/>
  <c r="R7230" i="1"/>
  <c r="J6704" i="1"/>
  <c r="Q6704" i="1"/>
  <c r="R6704" i="1"/>
  <c r="J7231" i="1"/>
  <c r="Q7231" i="1"/>
  <c r="R7231" i="1"/>
  <c r="J7232" i="1"/>
  <c r="Q7232" i="1"/>
  <c r="R7232" i="1"/>
  <c r="J13512" i="1"/>
  <c r="Q13512" i="1"/>
  <c r="R13512" i="1"/>
  <c r="J6705" i="1"/>
  <c r="Q6705" i="1"/>
  <c r="R6705" i="1"/>
  <c r="J7233" i="1"/>
  <c r="Q7233" i="1"/>
  <c r="R7233" i="1"/>
  <c r="J7234" i="1"/>
  <c r="Q7234" i="1"/>
  <c r="R7234" i="1"/>
  <c r="J7235" i="1"/>
  <c r="Q7235" i="1"/>
  <c r="R7235" i="1"/>
  <c r="J7236" i="1"/>
  <c r="Q7236" i="1"/>
  <c r="R7236" i="1"/>
  <c r="J7237" i="1"/>
  <c r="Q7237" i="1"/>
  <c r="R7237" i="1"/>
  <c r="J7238" i="1"/>
  <c r="Q7238" i="1"/>
  <c r="R7238" i="1"/>
  <c r="J7239" i="1"/>
  <c r="Q7239" i="1"/>
  <c r="R7239" i="1"/>
  <c r="J7240" i="1"/>
  <c r="Q7240" i="1"/>
  <c r="R7240" i="1"/>
  <c r="J7241" i="1"/>
  <c r="Q7241" i="1"/>
  <c r="R7241" i="1"/>
  <c r="J6706" i="1"/>
  <c r="Q6706" i="1"/>
  <c r="R6706" i="1"/>
  <c r="J7242" i="1"/>
  <c r="Q7242" i="1"/>
  <c r="R7242" i="1"/>
  <c r="J7243" i="1"/>
  <c r="Q7243" i="1"/>
  <c r="R7243" i="1"/>
  <c r="J7244" i="1"/>
  <c r="Q7244" i="1"/>
  <c r="R7244" i="1"/>
  <c r="J7245" i="1"/>
  <c r="Q7245" i="1"/>
  <c r="R7245" i="1"/>
  <c r="J7246" i="1"/>
  <c r="Q7246" i="1"/>
  <c r="R7246" i="1"/>
  <c r="J7247" i="1"/>
  <c r="Q7247" i="1"/>
  <c r="R7247" i="1"/>
  <c r="J7248" i="1"/>
  <c r="Q7248" i="1"/>
  <c r="R7248" i="1"/>
  <c r="J7249" i="1"/>
  <c r="Q7249" i="1"/>
  <c r="R7249" i="1"/>
  <c r="J7250" i="1"/>
  <c r="Q7250" i="1"/>
  <c r="R7250" i="1"/>
  <c r="J7251" i="1"/>
  <c r="Q7251" i="1"/>
  <c r="R7251" i="1"/>
  <c r="J7252" i="1"/>
  <c r="Q7252" i="1"/>
  <c r="R7252" i="1"/>
  <c r="J7253" i="1"/>
  <c r="Q7253" i="1"/>
  <c r="R7253" i="1"/>
  <c r="J7254" i="1"/>
  <c r="Q7254" i="1"/>
  <c r="R7254" i="1"/>
  <c r="J7255" i="1"/>
  <c r="Q7255" i="1"/>
  <c r="R7255" i="1"/>
  <c r="J7256" i="1"/>
  <c r="Q7256" i="1"/>
  <c r="R7256" i="1"/>
  <c r="J7257" i="1"/>
  <c r="Q7257" i="1"/>
  <c r="R7257" i="1"/>
  <c r="J6707" i="1"/>
  <c r="Q6707" i="1"/>
  <c r="R6707" i="1"/>
  <c r="J7258" i="1"/>
  <c r="Q7258" i="1"/>
  <c r="R7258" i="1"/>
  <c r="J277" i="1"/>
  <c r="Q277" i="1"/>
  <c r="R277" i="1"/>
  <c r="J278" i="1"/>
  <c r="Q278" i="1"/>
  <c r="R278" i="1"/>
  <c r="J279" i="1"/>
  <c r="Q279" i="1"/>
  <c r="R279" i="1"/>
  <c r="J7259" i="1"/>
  <c r="Q7259" i="1"/>
  <c r="R7259" i="1"/>
  <c r="J280" i="1"/>
  <c r="Q280" i="1"/>
  <c r="R280" i="1"/>
  <c r="J281" i="1"/>
  <c r="Q281" i="1"/>
  <c r="R281" i="1"/>
  <c r="J282" i="1"/>
  <c r="Q282" i="1"/>
  <c r="R282" i="1"/>
  <c r="J283" i="1"/>
  <c r="Q283" i="1"/>
  <c r="R283" i="1"/>
  <c r="J284" i="1"/>
  <c r="Q284" i="1"/>
  <c r="R284" i="1"/>
  <c r="J285" i="1"/>
  <c r="Q285" i="1"/>
  <c r="R285" i="1"/>
  <c r="J286" i="1"/>
  <c r="Q286" i="1"/>
  <c r="R286" i="1"/>
  <c r="J287" i="1"/>
  <c r="Q287" i="1"/>
  <c r="R287" i="1"/>
  <c r="J288" i="1"/>
  <c r="Q288" i="1"/>
  <c r="R288" i="1"/>
  <c r="J289" i="1"/>
  <c r="Q289" i="1"/>
  <c r="R289" i="1"/>
  <c r="J290" i="1"/>
  <c r="Q290" i="1"/>
  <c r="R290" i="1"/>
  <c r="J291" i="1"/>
  <c r="Q291" i="1"/>
  <c r="R291" i="1"/>
  <c r="J292" i="1"/>
  <c r="Q292" i="1"/>
  <c r="R292" i="1"/>
  <c r="J293" i="1"/>
  <c r="Q293" i="1"/>
  <c r="R293" i="1"/>
  <c r="J294" i="1"/>
  <c r="Q294" i="1"/>
  <c r="R294" i="1"/>
  <c r="J295" i="1"/>
  <c r="Q295" i="1"/>
  <c r="R295" i="1"/>
  <c r="J296" i="1"/>
  <c r="Q296" i="1"/>
  <c r="R296" i="1"/>
  <c r="J297" i="1"/>
  <c r="Q297" i="1"/>
  <c r="R297" i="1"/>
  <c r="J298" i="1"/>
  <c r="Q298" i="1"/>
  <c r="R298" i="1"/>
  <c r="J13513" i="1"/>
  <c r="Q13513" i="1"/>
  <c r="R13513" i="1"/>
  <c r="J299" i="1"/>
  <c r="Q299" i="1"/>
  <c r="R299" i="1"/>
  <c r="J300" i="1"/>
  <c r="Q300" i="1"/>
  <c r="R300" i="1"/>
  <c r="J301" i="1"/>
  <c r="Q301" i="1"/>
  <c r="R301" i="1"/>
  <c r="J302" i="1"/>
  <c r="Q302" i="1"/>
  <c r="R302" i="1"/>
  <c r="J7260" i="1"/>
  <c r="Q7260" i="1"/>
  <c r="R7260" i="1"/>
  <c r="J303" i="1"/>
  <c r="Q303" i="1"/>
  <c r="R303" i="1"/>
  <c r="J304" i="1"/>
  <c r="Q304" i="1"/>
  <c r="R304" i="1"/>
  <c r="J305" i="1"/>
  <c r="Q305" i="1"/>
  <c r="R305" i="1"/>
  <c r="J306" i="1"/>
  <c r="Q306" i="1"/>
  <c r="R306" i="1"/>
  <c r="J307" i="1"/>
  <c r="Q307" i="1"/>
  <c r="R307" i="1"/>
  <c r="J308" i="1"/>
  <c r="Q308" i="1"/>
  <c r="R308" i="1"/>
  <c r="J309" i="1"/>
  <c r="Q309" i="1"/>
  <c r="R309" i="1"/>
  <c r="J310" i="1"/>
  <c r="Q310" i="1"/>
  <c r="R310" i="1"/>
  <c r="J311" i="1"/>
  <c r="Q311" i="1"/>
  <c r="R311" i="1"/>
  <c r="J312" i="1"/>
  <c r="Q312" i="1"/>
  <c r="R312" i="1"/>
  <c r="J313" i="1"/>
  <c r="Q313" i="1"/>
  <c r="R313" i="1"/>
  <c r="J314" i="1"/>
  <c r="Q314" i="1"/>
  <c r="R314" i="1"/>
  <c r="J315" i="1"/>
  <c r="Q315" i="1"/>
  <c r="R315" i="1"/>
  <c r="J316" i="1"/>
  <c r="Q316" i="1"/>
  <c r="R316" i="1"/>
  <c r="J317" i="1"/>
  <c r="Q317" i="1"/>
  <c r="R317" i="1"/>
  <c r="J318" i="1"/>
  <c r="Q318" i="1"/>
  <c r="R318" i="1"/>
  <c r="J319" i="1"/>
  <c r="Q319" i="1"/>
  <c r="R319" i="1"/>
  <c r="J320" i="1"/>
  <c r="Q320" i="1"/>
  <c r="R320" i="1"/>
  <c r="J321" i="1"/>
  <c r="Q321" i="1"/>
  <c r="R321" i="1"/>
  <c r="J7261" i="1"/>
  <c r="Q7261" i="1"/>
  <c r="R7261" i="1"/>
  <c r="J6708" i="1"/>
  <c r="Q6708" i="1"/>
  <c r="R6708" i="1"/>
  <c r="J7262" i="1"/>
  <c r="Q7262" i="1"/>
  <c r="R7262" i="1"/>
  <c r="J7263" i="1"/>
  <c r="Q7263" i="1"/>
  <c r="R7263" i="1"/>
  <c r="J7264" i="1"/>
  <c r="Q7264" i="1"/>
  <c r="R7264" i="1"/>
  <c r="J13514" i="1"/>
  <c r="Q13514" i="1"/>
  <c r="R13514" i="1"/>
  <c r="J322" i="1"/>
  <c r="Q322" i="1"/>
  <c r="R322" i="1"/>
  <c r="J323" i="1"/>
  <c r="Q323" i="1"/>
  <c r="R323" i="1"/>
  <c r="J324" i="1"/>
  <c r="Q324" i="1"/>
  <c r="R324" i="1"/>
  <c r="J6709" i="1"/>
  <c r="Q6709" i="1"/>
  <c r="R6709" i="1"/>
  <c r="J7265" i="1"/>
  <c r="Q7265" i="1"/>
  <c r="R7265" i="1"/>
  <c r="J325" i="1"/>
  <c r="Q325" i="1"/>
  <c r="R325" i="1"/>
  <c r="J326" i="1"/>
  <c r="Q326" i="1"/>
  <c r="R326" i="1"/>
  <c r="J7266" i="1"/>
  <c r="Q7266" i="1"/>
  <c r="R7266" i="1"/>
  <c r="J7267" i="1"/>
  <c r="Q7267" i="1"/>
  <c r="R7267" i="1"/>
  <c r="J327" i="1"/>
  <c r="Q327" i="1"/>
  <c r="R327" i="1"/>
  <c r="J328" i="1"/>
  <c r="Q328" i="1"/>
  <c r="R328" i="1"/>
  <c r="J7268" i="1"/>
  <c r="Q7268" i="1"/>
  <c r="R7268" i="1"/>
  <c r="J6558" i="1"/>
  <c r="Q6558" i="1"/>
  <c r="R6558" i="1"/>
  <c r="J7269" i="1"/>
  <c r="Q7269" i="1"/>
  <c r="R7269" i="1"/>
  <c r="J7270" i="1"/>
  <c r="Q7270" i="1"/>
  <c r="R7270" i="1"/>
  <c r="J7271" i="1"/>
  <c r="Q7271" i="1"/>
  <c r="R7271" i="1"/>
  <c r="J329" i="1"/>
  <c r="Q329" i="1"/>
  <c r="R329" i="1"/>
  <c r="J7272" i="1"/>
  <c r="Q7272" i="1"/>
  <c r="R7272" i="1"/>
  <c r="J330" i="1"/>
  <c r="Q330" i="1"/>
  <c r="R330" i="1"/>
  <c r="J6710" i="1"/>
  <c r="Q6710" i="1"/>
  <c r="R6710" i="1"/>
  <c r="J7273" i="1"/>
  <c r="Q7273" i="1"/>
  <c r="R7273" i="1"/>
  <c r="J6711" i="1"/>
  <c r="Q6711" i="1"/>
  <c r="R6711" i="1"/>
  <c r="J7274" i="1"/>
  <c r="Q7274" i="1"/>
  <c r="R7274" i="1"/>
  <c r="J331" i="1"/>
  <c r="Q331" i="1"/>
  <c r="R331" i="1"/>
  <c r="J332" i="1"/>
  <c r="Q332" i="1"/>
  <c r="R332" i="1"/>
  <c r="J333" i="1"/>
  <c r="Q333" i="1"/>
  <c r="R333" i="1"/>
  <c r="J7275" i="1"/>
  <c r="Q7275" i="1"/>
  <c r="R7275" i="1"/>
  <c r="J6559" i="1"/>
  <c r="Q6559" i="1"/>
  <c r="R6559" i="1"/>
  <c r="J6560" i="1"/>
  <c r="Q6560" i="1"/>
  <c r="R6560" i="1"/>
  <c r="J7276" i="1"/>
  <c r="Q7276" i="1"/>
  <c r="R7276" i="1"/>
  <c r="J6712" i="1"/>
  <c r="Q6712" i="1"/>
  <c r="R6712" i="1"/>
  <c r="J13515" i="1"/>
  <c r="Q13515" i="1"/>
  <c r="R13515" i="1"/>
  <c r="J6713" i="1"/>
  <c r="Q6713" i="1"/>
  <c r="R6713" i="1"/>
  <c r="J7277" i="1"/>
  <c r="Q7277" i="1"/>
  <c r="R7277" i="1"/>
  <c r="J6714" i="1"/>
  <c r="Q6714" i="1"/>
  <c r="R6714" i="1"/>
  <c r="J6715" i="1"/>
  <c r="Q6715" i="1"/>
  <c r="R6715" i="1"/>
  <c r="J7278" i="1"/>
  <c r="Q7278" i="1"/>
  <c r="R7278" i="1"/>
  <c r="J7279" i="1"/>
  <c r="Q7279" i="1"/>
  <c r="R7279" i="1"/>
  <c r="J6716" i="1"/>
  <c r="Q6716" i="1"/>
  <c r="R6716" i="1"/>
  <c r="J7280" i="1"/>
  <c r="Q7280" i="1"/>
  <c r="R7280" i="1"/>
  <c r="J6717" i="1"/>
  <c r="Q6717" i="1"/>
  <c r="R6717" i="1"/>
  <c r="J7281" i="1"/>
  <c r="Q7281" i="1"/>
  <c r="R7281" i="1"/>
  <c r="J6718" i="1"/>
  <c r="Q6718" i="1"/>
  <c r="R6718" i="1"/>
  <c r="J7282" i="1"/>
  <c r="Q7282" i="1"/>
  <c r="R7282" i="1"/>
  <c r="J7283" i="1"/>
  <c r="Q7283" i="1"/>
  <c r="R7283" i="1"/>
  <c r="J7284" i="1"/>
  <c r="Q7284" i="1"/>
  <c r="R7284" i="1"/>
  <c r="J7285" i="1"/>
  <c r="Q7285" i="1"/>
  <c r="R7285" i="1"/>
  <c r="J7286" i="1"/>
  <c r="Q7286" i="1"/>
  <c r="R7286" i="1"/>
  <c r="J7287" i="1"/>
  <c r="Q7287" i="1"/>
  <c r="R7287" i="1"/>
  <c r="J7288" i="1"/>
  <c r="Q7288" i="1"/>
  <c r="R7288" i="1"/>
  <c r="J6719" i="1"/>
  <c r="Q6719" i="1"/>
  <c r="R6719" i="1"/>
  <c r="J7289" i="1"/>
  <c r="Q7289" i="1"/>
  <c r="R7289" i="1"/>
  <c r="J7290" i="1"/>
  <c r="Q7290" i="1"/>
  <c r="R7290" i="1"/>
  <c r="J7291" i="1"/>
  <c r="Q7291" i="1"/>
  <c r="R7291" i="1"/>
  <c r="J7292" i="1"/>
  <c r="Q7292" i="1"/>
  <c r="R7292" i="1"/>
  <c r="J7293" i="1"/>
  <c r="Q7293" i="1"/>
  <c r="R7293" i="1"/>
  <c r="J13516" i="1"/>
  <c r="Q13516" i="1"/>
  <c r="R13516" i="1"/>
  <c r="J7294" i="1"/>
  <c r="Q7294" i="1"/>
  <c r="R7294" i="1"/>
  <c r="J7295" i="1"/>
  <c r="Q7295" i="1"/>
  <c r="R7295" i="1"/>
  <c r="J7296" i="1"/>
  <c r="Q7296" i="1"/>
  <c r="R7296" i="1"/>
  <c r="J7297" i="1"/>
  <c r="Q7297" i="1"/>
  <c r="R7297" i="1"/>
  <c r="J7298" i="1"/>
  <c r="Q7298" i="1"/>
  <c r="R7298" i="1"/>
  <c r="J7299" i="1"/>
  <c r="Q7299" i="1"/>
  <c r="R7299" i="1"/>
  <c r="J7300" i="1"/>
  <c r="Q7300" i="1"/>
  <c r="R7300" i="1"/>
  <c r="J7301" i="1"/>
  <c r="Q7301" i="1"/>
  <c r="R7301" i="1"/>
  <c r="J7302" i="1"/>
  <c r="Q7302" i="1"/>
  <c r="R7302" i="1"/>
  <c r="J7303" i="1"/>
  <c r="Q7303" i="1"/>
  <c r="R7303" i="1"/>
  <c r="J7304" i="1"/>
  <c r="Q7304" i="1"/>
  <c r="R7304" i="1"/>
  <c r="J7305" i="1"/>
  <c r="Q7305" i="1"/>
  <c r="R7305" i="1"/>
  <c r="J7306" i="1"/>
  <c r="Q7306" i="1"/>
  <c r="R7306" i="1"/>
  <c r="J7307" i="1"/>
  <c r="Q7307" i="1"/>
  <c r="R7307" i="1"/>
  <c r="J7308" i="1"/>
  <c r="Q7308" i="1"/>
  <c r="R7308" i="1"/>
  <c r="J7309" i="1"/>
  <c r="Q7309" i="1"/>
  <c r="R7309" i="1"/>
  <c r="J7310" i="1"/>
  <c r="Q7310" i="1"/>
  <c r="R7310" i="1"/>
  <c r="J7311" i="1"/>
  <c r="Q7311" i="1"/>
  <c r="R7311" i="1"/>
  <c r="J7312" i="1"/>
  <c r="Q7312" i="1"/>
  <c r="R7312" i="1"/>
  <c r="J7313" i="1"/>
  <c r="Q7313" i="1"/>
  <c r="R7313" i="1"/>
  <c r="J7314" i="1"/>
  <c r="Q7314" i="1"/>
  <c r="R7314" i="1"/>
  <c r="J13517" i="1"/>
  <c r="Q13517" i="1"/>
  <c r="R13517" i="1"/>
  <c r="J6720" i="1"/>
  <c r="Q6720" i="1"/>
  <c r="R6720" i="1"/>
  <c r="J334" i="1"/>
  <c r="Q334" i="1"/>
  <c r="R334" i="1"/>
  <c r="J335" i="1"/>
  <c r="Q335" i="1"/>
  <c r="R335" i="1"/>
  <c r="J336" i="1"/>
  <c r="Q336" i="1"/>
  <c r="R336" i="1"/>
  <c r="J337" i="1"/>
  <c r="Q337" i="1"/>
  <c r="R337" i="1"/>
  <c r="J338" i="1"/>
  <c r="Q338" i="1"/>
  <c r="R338" i="1"/>
  <c r="J339" i="1"/>
  <c r="Q339" i="1"/>
  <c r="R339" i="1"/>
  <c r="J7315" i="1"/>
  <c r="Q7315" i="1"/>
  <c r="R7315" i="1"/>
  <c r="J340" i="1"/>
  <c r="Q340" i="1"/>
  <c r="R340" i="1"/>
  <c r="J341" i="1"/>
  <c r="Q341" i="1"/>
  <c r="R341" i="1"/>
  <c r="J342" i="1"/>
  <c r="Q342" i="1"/>
  <c r="R342" i="1"/>
  <c r="J343" i="1"/>
  <c r="Q343" i="1"/>
  <c r="R343" i="1"/>
  <c r="J344" i="1"/>
  <c r="Q344" i="1"/>
  <c r="R344" i="1"/>
  <c r="J345" i="1"/>
  <c r="Q345" i="1"/>
  <c r="R345" i="1"/>
  <c r="J346" i="1"/>
  <c r="Q346" i="1"/>
  <c r="R346" i="1"/>
  <c r="J347" i="1"/>
  <c r="Q347" i="1"/>
  <c r="R347" i="1"/>
  <c r="J348" i="1"/>
  <c r="Q348" i="1"/>
  <c r="R348" i="1"/>
  <c r="J349" i="1"/>
  <c r="Q349" i="1"/>
  <c r="R349" i="1"/>
  <c r="J350" i="1"/>
  <c r="Q350" i="1"/>
  <c r="R350" i="1"/>
  <c r="J351" i="1"/>
  <c r="Q351" i="1"/>
  <c r="R351" i="1"/>
  <c r="J352" i="1"/>
  <c r="Q352" i="1"/>
  <c r="R352" i="1"/>
  <c r="J353" i="1"/>
  <c r="Q353" i="1"/>
  <c r="R353" i="1"/>
  <c r="J354" i="1"/>
  <c r="Q354" i="1"/>
  <c r="R354" i="1"/>
  <c r="J355" i="1"/>
  <c r="Q355" i="1"/>
  <c r="R355" i="1"/>
  <c r="J356" i="1"/>
  <c r="Q356" i="1"/>
  <c r="R356" i="1"/>
  <c r="J357" i="1"/>
  <c r="Q357" i="1"/>
  <c r="R357" i="1"/>
  <c r="J13518" i="1"/>
  <c r="Q13518" i="1"/>
  <c r="R13518" i="1"/>
  <c r="J358" i="1"/>
  <c r="Q358" i="1"/>
  <c r="R358" i="1"/>
  <c r="J359" i="1"/>
  <c r="Q359" i="1"/>
  <c r="R359" i="1"/>
  <c r="J360" i="1"/>
  <c r="Q360" i="1"/>
  <c r="R360" i="1"/>
  <c r="J361" i="1"/>
  <c r="Q361" i="1"/>
  <c r="R361" i="1"/>
  <c r="J362" i="1"/>
  <c r="Q362" i="1"/>
  <c r="R362" i="1"/>
  <c r="J363" i="1"/>
  <c r="Q363" i="1"/>
  <c r="R363" i="1"/>
  <c r="J364" i="1"/>
  <c r="Q364" i="1"/>
  <c r="R364" i="1"/>
  <c r="J365" i="1"/>
  <c r="Q365" i="1"/>
  <c r="R365" i="1"/>
  <c r="J366" i="1"/>
  <c r="Q366" i="1"/>
  <c r="R366" i="1"/>
  <c r="J367" i="1"/>
  <c r="Q367" i="1"/>
  <c r="R367" i="1"/>
  <c r="J368" i="1"/>
  <c r="Q368" i="1"/>
  <c r="R368" i="1"/>
  <c r="J369" i="1"/>
  <c r="Q369" i="1"/>
  <c r="R369" i="1"/>
  <c r="J370" i="1"/>
  <c r="Q370" i="1"/>
  <c r="R370" i="1"/>
  <c r="J371" i="1"/>
  <c r="Q371" i="1"/>
  <c r="R371" i="1"/>
  <c r="J372" i="1"/>
  <c r="Q372" i="1"/>
  <c r="R372" i="1"/>
  <c r="J373" i="1"/>
  <c r="Q373" i="1"/>
  <c r="R373" i="1"/>
  <c r="J374" i="1"/>
  <c r="Q374" i="1"/>
  <c r="R374" i="1"/>
  <c r="J375" i="1"/>
  <c r="Q375" i="1"/>
  <c r="R375" i="1"/>
  <c r="J376" i="1"/>
  <c r="Q376" i="1"/>
  <c r="R376" i="1"/>
  <c r="J377" i="1"/>
  <c r="Q377" i="1"/>
  <c r="R377" i="1"/>
  <c r="J378" i="1"/>
  <c r="Q378" i="1"/>
  <c r="R378" i="1"/>
  <c r="J379" i="1"/>
  <c r="Q379" i="1"/>
  <c r="R379" i="1"/>
  <c r="J380" i="1"/>
  <c r="Q380" i="1"/>
  <c r="R380" i="1"/>
  <c r="J381" i="1"/>
  <c r="Q381" i="1"/>
  <c r="R381" i="1"/>
  <c r="J6721" i="1"/>
  <c r="Q6721" i="1"/>
  <c r="R6721" i="1"/>
  <c r="J382" i="1"/>
  <c r="Q382" i="1"/>
  <c r="R382" i="1"/>
  <c r="J383" i="1"/>
  <c r="Q383" i="1"/>
  <c r="R383" i="1"/>
  <c r="J384" i="1"/>
  <c r="Q384" i="1"/>
  <c r="R384" i="1"/>
  <c r="J6722" i="1"/>
  <c r="Q6722" i="1"/>
  <c r="R6722" i="1"/>
  <c r="J385" i="1"/>
  <c r="Q385" i="1"/>
  <c r="R385" i="1"/>
  <c r="J386" i="1"/>
  <c r="Q386" i="1"/>
  <c r="R386" i="1"/>
  <c r="J7316" i="1"/>
  <c r="Q7316" i="1"/>
  <c r="R7316" i="1"/>
  <c r="J387" i="1"/>
  <c r="Q387" i="1"/>
  <c r="R387" i="1"/>
  <c r="J388" i="1"/>
  <c r="Q388" i="1"/>
  <c r="R388" i="1"/>
  <c r="J7317" i="1"/>
  <c r="Q7317" i="1"/>
  <c r="R7317" i="1"/>
  <c r="J389" i="1"/>
  <c r="Q389" i="1"/>
  <c r="R389" i="1"/>
  <c r="J390" i="1"/>
  <c r="Q390" i="1"/>
  <c r="R390" i="1"/>
  <c r="J391" i="1"/>
  <c r="Q391" i="1"/>
  <c r="R391" i="1"/>
  <c r="J13519" i="1"/>
  <c r="Q13519" i="1"/>
  <c r="R13519" i="1"/>
  <c r="J6723" i="1"/>
  <c r="Q6723" i="1"/>
  <c r="R6723" i="1"/>
  <c r="J7318" i="1"/>
  <c r="Q7318" i="1"/>
  <c r="R7318" i="1"/>
  <c r="J392" i="1"/>
  <c r="Q392" i="1"/>
  <c r="R392" i="1"/>
  <c r="J13520" i="1"/>
  <c r="Q13520" i="1"/>
  <c r="R13520" i="1"/>
  <c r="J6724" i="1"/>
  <c r="Q6724" i="1"/>
  <c r="R6724" i="1"/>
  <c r="J6725" i="1"/>
  <c r="Q6725" i="1"/>
  <c r="R6725" i="1"/>
  <c r="J6726" i="1"/>
  <c r="Q6726" i="1"/>
  <c r="R6726" i="1"/>
  <c r="J393" i="1"/>
  <c r="Q393" i="1"/>
  <c r="R393" i="1"/>
  <c r="J394" i="1"/>
  <c r="Q394" i="1"/>
  <c r="R394" i="1"/>
  <c r="J395" i="1"/>
  <c r="Q395" i="1"/>
  <c r="R395" i="1"/>
  <c r="J396" i="1"/>
  <c r="Q396" i="1"/>
  <c r="R396" i="1"/>
  <c r="J7319" i="1"/>
  <c r="Q7319" i="1"/>
  <c r="R7319" i="1"/>
  <c r="J397" i="1"/>
  <c r="Q397" i="1"/>
  <c r="R397" i="1"/>
  <c r="J398" i="1"/>
  <c r="Q398" i="1"/>
  <c r="R398" i="1"/>
  <c r="J7320" i="1"/>
  <c r="Q7320" i="1"/>
  <c r="R7320" i="1"/>
  <c r="J13521" i="1"/>
  <c r="Q13521" i="1"/>
  <c r="R13521" i="1"/>
  <c r="J7321" i="1"/>
  <c r="Q7321" i="1"/>
  <c r="R7321" i="1"/>
  <c r="J7322" i="1"/>
  <c r="Q7322" i="1"/>
  <c r="R7322" i="1"/>
  <c r="J6727" i="1"/>
  <c r="Q6727" i="1"/>
  <c r="R6727" i="1"/>
  <c r="J6728" i="1"/>
  <c r="Q6728" i="1"/>
  <c r="R6728" i="1"/>
  <c r="J7323" i="1"/>
  <c r="Q7323" i="1"/>
  <c r="R7323" i="1"/>
  <c r="J7324" i="1"/>
  <c r="Q7324" i="1"/>
  <c r="R7324" i="1"/>
  <c r="J7325" i="1"/>
  <c r="Q7325" i="1"/>
  <c r="R7325" i="1"/>
  <c r="J7326" i="1"/>
  <c r="Q7326" i="1"/>
  <c r="R7326" i="1"/>
  <c r="J7327" i="1"/>
  <c r="Q7327" i="1"/>
  <c r="R7327" i="1"/>
  <c r="J7328" i="1"/>
  <c r="Q7328" i="1"/>
  <c r="R7328" i="1"/>
  <c r="J7329" i="1"/>
  <c r="Q7329" i="1"/>
  <c r="R7329" i="1"/>
  <c r="J6729" i="1"/>
  <c r="Q6729" i="1"/>
  <c r="R6729" i="1"/>
  <c r="J7330" i="1"/>
  <c r="Q7330" i="1"/>
  <c r="R7330" i="1"/>
  <c r="J7331" i="1"/>
  <c r="Q7331" i="1"/>
  <c r="R7331" i="1"/>
  <c r="J7332" i="1"/>
  <c r="Q7332" i="1"/>
  <c r="R7332" i="1"/>
  <c r="J6730" i="1"/>
  <c r="Q6730" i="1"/>
  <c r="R6730" i="1"/>
  <c r="J7333" i="1"/>
  <c r="Q7333" i="1"/>
  <c r="R7333" i="1"/>
  <c r="J7334" i="1"/>
  <c r="Q7334" i="1"/>
  <c r="R7334" i="1"/>
  <c r="J7335" i="1"/>
  <c r="Q7335" i="1"/>
  <c r="R7335" i="1"/>
  <c r="J7336" i="1"/>
  <c r="Q7336" i="1"/>
  <c r="R7336" i="1"/>
  <c r="J7337" i="1"/>
  <c r="Q7337" i="1"/>
  <c r="R7337" i="1"/>
  <c r="J7338" i="1"/>
  <c r="Q7338" i="1"/>
  <c r="R7338" i="1"/>
  <c r="J7339" i="1"/>
  <c r="Q7339" i="1"/>
  <c r="R7339" i="1"/>
  <c r="J7340" i="1"/>
  <c r="Q7340" i="1"/>
  <c r="R7340" i="1"/>
  <c r="J7341" i="1"/>
  <c r="Q7341" i="1"/>
  <c r="R7341" i="1"/>
  <c r="J7342" i="1"/>
  <c r="Q7342" i="1"/>
  <c r="R7342" i="1"/>
  <c r="J7343" i="1"/>
  <c r="Q7343" i="1"/>
  <c r="R7343" i="1"/>
  <c r="J7344" i="1"/>
  <c r="Q7344" i="1"/>
  <c r="R7344" i="1"/>
  <c r="J7345" i="1"/>
  <c r="Q7345" i="1"/>
  <c r="R7345" i="1"/>
  <c r="J7346" i="1"/>
  <c r="Q7346" i="1"/>
  <c r="R7346" i="1"/>
  <c r="J7347" i="1"/>
  <c r="Q7347" i="1"/>
  <c r="R7347" i="1"/>
  <c r="J7348" i="1"/>
  <c r="Q7348" i="1"/>
  <c r="R7348" i="1"/>
  <c r="J7349" i="1"/>
  <c r="Q7349" i="1"/>
  <c r="R7349" i="1"/>
  <c r="J7350" i="1"/>
  <c r="Q7350" i="1"/>
  <c r="R7350" i="1"/>
  <c r="J13522" i="1"/>
  <c r="Q13522" i="1"/>
  <c r="R13522" i="1"/>
  <c r="J6731" i="1"/>
  <c r="Q6731" i="1"/>
  <c r="R6731" i="1"/>
  <c r="J7351" i="1"/>
  <c r="Q7351" i="1"/>
  <c r="R7351" i="1"/>
  <c r="J399" i="1"/>
  <c r="Q399" i="1"/>
  <c r="R399" i="1"/>
  <c r="J400" i="1"/>
  <c r="Q400" i="1"/>
  <c r="R400" i="1"/>
  <c r="J401" i="1"/>
  <c r="Q401" i="1"/>
  <c r="R401" i="1"/>
  <c r="J402" i="1"/>
  <c r="Q402" i="1"/>
  <c r="R402" i="1"/>
  <c r="J403" i="1"/>
  <c r="Q403" i="1"/>
  <c r="R403" i="1"/>
  <c r="J404" i="1"/>
  <c r="Q404" i="1"/>
  <c r="R404" i="1"/>
  <c r="J405" i="1"/>
  <c r="Q405" i="1"/>
  <c r="R405" i="1"/>
  <c r="J406" i="1"/>
  <c r="Q406" i="1"/>
  <c r="R406" i="1"/>
  <c r="J407" i="1"/>
  <c r="Q407" i="1"/>
  <c r="R407" i="1"/>
  <c r="J408" i="1"/>
  <c r="Q408" i="1"/>
  <c r="R408" i="1"/>
  <c r="J409" i="1"/>
  <c r="Q409" i="1"/>
  <c r="R409" i="1"/>
  <c r="J410" i="1"/>
  <c r="Q410" i="1"/>
  <c r="R410" i="1"/>
  <c r="J411" i="1"/>
  <c r="Q411" i="1"/>
  <c r="R411" i="1"/>
  <c r="J412" i="1"/>
  <c r="Q412" i="1"/>
  <c r="R412" i="1"/>
  <c r="J413" i="1"/>
  <c r="Q413" i="1"/>
  <c r="R413" i="1"/>
  <c r="J414" i="1"/>
  <c r="Q414" i="1"/>
  <c r="R414" i="1"/>
  <c r="J13523" i="1"/>
  <c r="Q13523" i="1"/>
  <c r="R13523" i="1"/>
  <c r="J415" i="1"/>
  <c r="Q415" i="1"/>
  <c r="R415" i="1"/>
  <c r="J416" i="1"/>
  <c r="Q416" i="1"/>
  <c r="R416" i="1"/>
  <c r="J417" i="1"/>
  <c r="Q417" i="1"/>
  <c r="R417" i="1"/>
  <c r="J418" i="1"/>
  <c r="Q418" i="1"/>
  <c r="R418" i="1"/>
  <c r="J6732" i="1"/>
  <c r="Q6732" i="1"/>
  <c r="R6732" i="1"/>
  <c r="J419" i="1"/>
  <c r="Q419" i="1"/>
  <c r="R419" i="1"/>
  <c r="J420" i="1"/>
  <c r="Q420" i="1"/>
  <c r="R420" i="1"/>
  <c r="J13524" i="1"/>
  <c r="Q13524" i="1"/>
  <c r="R13524" i="1"/>
  <c r="J421" i="1"/>
  <c r="Q421" i="1"/>
  <c r="R421" i="1"/>
  <c r="J422" i="1"/>
  <c r="Q422" i="1"/>
  <c r="R422" i="1"/>
  <c r="J423" i="1"/>
  <c r="Q423" i="1"/>
  <c r="R423" i="1"/>
  <c r="J424" i="1"/>
  <c r="Q424" i="1"/>
  <c r="R424" i="1"/>
  <c r="J425" i="1"/>
  <c r="Q425" i="1"/>
  <c r="R425" i="1"/>
  <c r="J426" i="1"/>
  <c r="Q426" i="1"/>
  <c r="R426" i="1"/>
  <c r="J6733" i="1"/>
  <c r="Q6733" i="1"/>
  <c r="R6733" i="1"/>
  <c r="J427" i="1"/>
  <c r="Q427" i="1"/>
  <c r="R427" i="1"/>
  <c r="J428" i="1"/>
  <c r="Q428" i="1"/>
  <c r="R428" i="1"/>
  <c r="J429" i="1"/>
  <c r="Q429" i="1"/>
  <c r="R429" i="1"/>
  <c r="J430" i="1"/>
  <c r="Q430" i="1"/>
  <c r="R430" i="1"/>
  <c r="J431" i="1"/>
  <c r="Q431" i="1"/>
  <c r="R431" i="1"/>
  <c r="J432" i="1"/>
  <c r="Q432" i="1"/>
  <c r="R432" i="1"/>
  <c r="J433" i="1"/>
  <c r="Q433" i="1"/>
  <c r="R433" i="1"/>
  <c r="J434" i="1"/>
  <c r="Q434" i="1"/>
  <c r="R434" i="1"/>
  <c r="J435" i="1"/>
  <c r="Q435" i="1"/>
  <c r="R435" i="1"/>
  <c r="J7352" i="1"/>
  <c r="Q7352" i="1"/>
  <c r="R7352" i="1"/>
  <c r="J436" i="1"/>
  <c r="Q436" i="1"/>
  <c r="R436" i="1"/>
  <c r="J437" i="1"/>
  <c r="Q437" i="1"/>
  <c r="R437" i="1"/>
  <c r="J438" i="1"/>
  <c r="Q438" i="1"/>
  <c r="R438" i="1"/>
  <c r="J439" i="1"/>
  <c r="Q439" i="1"/>
  <c r="R439" i="1"/>
  <c r="J440" i="1"/>
  <c r="Q440" i="1"/>
  <c r="R440" i="1"/>
  <c r="J441" i="1"/>
  <c r="Q441" i="1"/>
  <c r="R441" i="1"/>
  <c r="J442" i="1"/>
  <c r="Q442" i="1"/>
  <c r="R442" i="1"/>
  <c r="J443" i="1"/>
  <c r="Q443" i="1"/>
  <c r="R443" i="1"/>
  <c r="J444" i="1"/>
  <c r="Q444" i="1"/>
  <c r="R444" i="1"/>
  <c r="J445" i="1"/>
  <c r="Q445" i="1"/>
  <c r="R445" i="1"/>
  <c r="J7353" i="1"/>
  <c r="Q7353" i="1"/>
  <c r="R7353" i="1"/>
  <c r="J7354" i="1"/>
  <c r="Q7354" i="1"/>
  <c r="R7354" i="1"/>
  <c r="J7355" i="1"/>
  <c r="Q7355" i="1"/>
  <c r="R7355" i="1"/>
  <c r="J446" i="1"/>
  <c r="Q446" i="1"/>
  <c r="R446" i="1"/>
  <c r="J447" i="1"/>
  <c r="Q447" i="1"/>
  <c r="R447" i="1"/>
  <c r="J7356" i="1"/>
  <c r="Q7356" i="1"/>
  <c r="R7356" i="1"/>
  <c r="J448" i="1"/>
  <c r="Q448" i="1"/>
  <c r="R448" i="1"/>
  <c r="J449" i="1"/>
  <c r="Q449" i="1"/>
  <c r="R449" i="1"/>
  <c r="J7357" i="1"/>
  <c r="Q7357" i="1"/>
  <c r="R7357" i="1"/>
  <c r="J7358" i="1"/>
  <c r="Q7358" i="1"/>
  <c r="R7358" i="1"/>
  <c r="J7359" i="1"/>
  <c r="Q7359" i="1"/>
  <c r="R7359" i="1"/>
  <c r="J7360" i="1"/>
  <c r="Q7360" i="1"/>
  <c r="R7360" i="1"/>
  <c r="J450" i="1"/>
  <c r="Q450" i="1"/>
  <c r="R450" i="1"/>
  <c r="J451" i="1"/>
  <c r="Q451" i="1"/>
  <c r="R451" i="1"/>
  <c r="J7361" i="1"/>
  <c r="Q7361" i="1"/>
  <c r="R7361" i="1"/>
  <c r="J6734" i="1"/>
  <c r="Q6734" i="1"/>
  <c r="R6734" i="1"/>
  <c r="J6735" i="1"/>
  <c r="Q6735" i="1"/>
  <c r="R6735" i="1"/>
  <c r="J6736" i="1"/>
  <c r="Q6736" i="1"/>
  <c r="R6736" i="1"/>
  <c r="J452" i="1"/>
  <c r="Q452" i="1"/>
  <c r="R452" i="1"/>
  <c r="J453" i="1"/>
  <c r="Q453" i="1"/>
  <c r="R453" i="1"/>
  <c r="J454" i="1"/>
  <c r="Q454" i="1"/>
  <c r="R454" i="1"/>
  <c r="J455" i="1"/>
  <c r="Q455" i="1"/>
  <c r="R455" i="1"/>
  <c r="J7362" i="1"/>
  <c r="Q7362" i="1"/>
  <c r="R7362" i="1"/>
  <c r="J6561" i="1"/>
  <c r="Q6561" i="1"/>
  <c r="R6561" i="1"/>
  <c r="J6562" i="1"/>
  <c r="Q6562" i="1"/>
  <c r="R6562" i="1"/>
  <c r="J7363" i="1"/>
  <c r="Q7363" i="1"/>
  <c r="R7363" i="1"/>
  <c r="J456" i="1"/>
  <c r="Q456" i="1"/>
  <c r="R456" i="1"/>
  <c r="J457" i="1"/>
  <c r="Q457" i="1"/>
  <c r="R457" i="1"/>
  <c r="J13525" i="1"/>
  <c r="Q13525" i="1"/>
  <c r="R13525" i="1"/>
  <c r="J458" i="1"/>
  <c r="Q458" i="1"/>
  <c r="R458" i="1"/>
  <c r="J6737" i="1"/>
  <c r="Q6737" i="1"/>
  <c r="R6737" i="1"/>
  <c r="J7364" i="1"/>
  <c r="Q7364" i="1"/>
  <c r="R7364" i="1"/>
  <c r="J7365" i="1"/>
  <c r="Q7365" i="1"/>
  <c r="R7365" i="1"/>
  <c r="J6738" i="1"/>
  <c r="Q6738" i="1"/>
  <c r="R6738" i="1"/>
  <c r="J7366" i="1"/>
  <c r="Q7366" i="1"/>
  <c r="R7366" i="1"/>
  <c r="J7367" i="1"/>
  <c r="Q7367" i="1"/>
  <c r="R7367" i="1"/>
  <c r="J7368" i="1"/>
  <c r="Q7368" i="1"/>
  <c r="R7368" i="1"/>
  <c r="J7369" i="1"/>
  <c r="Q7369" i="1"/>
  <c r="R7369" i="1"/>
  <c r="J7370" i="1"/>
  <c r="Q7370" i="1"/>
  <c r="R7370" i="1"/>
  <c r="J6739" i="1"/>
  <c r="Q6739" i="1"/>
  <c r="R6739" i="1"/>
  <c r="J6740" i="1"/>
  <c r="Q6740" i="1"/>
  <c r="R6740" i="1"/>
  <c r="J7371" i="1"/>
  <c r="Q7371" i="1"/>
  <c r="R7371" i="1"/>
  <c r="J7372" i="1"/>
  <c r="Q7372" i="1"/>
  <c r="R7372" i="1"/>
  <c r="J7373" i="1"/>
  <c r="Q7373" i="1"/>
  <c r="R7373" i="1"/>
  <c r="J7374" i="1"/>
  <c r="Q7374" i="1"/>
  <c r="R7374" i="1"/>
  <c r="J459" i="1"/>
  <c r="Q459" i="1"/>
  <c r="R459" i="1"/>
  <c r="J460" i="1"/>
  <c r="Q460" i="1"/>
  <c r="R460" i="1"/>
  <c r="J461" i="1"/>
  <c r="Q461" i="1"/>
  <c r="R461" i="1"/>
  <c r="J462" i="1"/>
  <c r="Q462" i="1"/>
  <c r="R462" i="1"/>
  <c r="J13526" i="1"/>
  <c r="Q13526" i="1"/>
  <c r="R13526" i="1"/>
  <c r="J463" i="1"/>
  <c r="Q463" i="1"/>
  <c r="R463" i="1"/>
  <c r="J464" i="1"/>
  <c r="Q464" i="1"/>
  <c r="R464" i="1"/>
  <c r="J7375" i="1"/>
  <c r="Q7375" i="1"/>
  <c r="R7375" i="1"/>
  <c r="J465" i="1"/>
  <c r="Q465" i="1"/>
  <c r="R465" i="1"/>
  <c r="J466" i="1"/>
  <c r="Q466" i="1"/>
  <c r="R466" i="1"/>
  <c r="J6741" i="1"/>
  <c r="Q6741" i="1"/>
  <c r="R6741" i="1"/>
  <c r="J467" i="1"/>
  <c r="Q467" i="1"/>
  <c r="R467" i="1"/>
  <c r="J468" i="1"/>
  <c r="Q468" i="1"/>
  <c r="R468" i="1"/>
  <c r="J469" i="1"/>
  <c r="Q469" i="1"/>
  <c r="R469" i="1"/>
  <c r="J470" i="1"/>
  <c r="Q470" i="1"/>
  <c r="R470" i="1"/>
  <c r="J471" i="1"/>
  <c r="Q471" i="1"/>
  <c r="R471" i="1"/>
  <c r="J472" i="1"/>
  <c r="Q472" i="1"/>
  <c r="R472" i="1"/>
  <c r="J473" i="1"/>
  <c r="Q473" i="1"/>
  <c r="R473" i="1"/>
  <c r="J474" i="1"/>
  <c r="Q474" i="1"/>
  <c r="R474" i="1"/>
  <c r="J475" i="1"/>
  <c r="Q475" i="1"/>
  <c r="R475" i="1"/>
  <c r="J476" i="1"/>
  <c r="Q476" i="1"/>
  <c r="R476" i="1"/>
  <c r="J477" i="1"/>
  <c r="Q477" i="1"/>
  <c r="R477" i="1"/>
  <c r="J478" i="1"/>
  <c r="Q478" i="1"/>
  <c r="R478" i="1"/>
  <c r="J479" i="1"/>
  <c r="Q479" i="1"/>
  <c r="R479" i="1"/>
  <c r="J6563" i="1"/>
  <c r="Q6563" i="1"/>
  <c r="R6563" i="1"/>
  <c r="J480" i="1"/>
  <c r="Q480" i="1"/>
  <c r="R480" i="1"/>
  <c r="J7376" i="1"/>
  <c r="Q7376" i="1"/>
  <c r="R7376" i="1"/>
  <c r="J481" i="1"/>
  <c r="Q481" i="1"/>
  <c r="R481" i="1"/>
  <c r="J482" i="1"/>
  <c r="Q482" i="1"/>
  <c r="R482" i="1"/>
  <c r="J483" i="1"/>
  <c r="Q483" i="1"/>
  <c r="R483" i="1"/>
  <c r="J484" i="1"/>
  <c r="Q484" i="1"/>
  <c r="R484" i="1"/>
  <c r="J7377" i="1"/>
  <c r="Q7377" i="1"/>
  <c r="R7377" i="1"/>
  <c r="J7378" i="1"/>
  <c r="Q7378" i="1"/>
  <c r="R7378" i="1"/>
  <c r="J7379" i="1"/>
  <c r="Q7379" i="1"/>
  <c r="R7379" i="1"/>
  <c r="J485" i="1"/>
  <c r="Q485" i="1"/>
  <c r="R485" i="1"/>
  <c r="J486" i="1"/>
  <c r="Q486" i="1"/>
  <c r="R486" i="1"/>
  <c r="J487" i="1"/>
  <c r="Q487" i="1"/>
  <c r="R487" i="1"/>
  <c r="J6742" i="1"/>
  <c r="Q6742" i="1"/>
  <c r="R6742" i="1"/>
  <c r="J13527" i="1"/>
  <c r="Q13527" i="1"/>
  <c r="R13527" i="1"/>
  <c r="J488" i="1"/>
  <c r="Q488" i="1"/>
  <c r="R488" i="1"/>
  <c r="J489" i="1"/>
  <c r="Q489" i="1"/>
  <c r="R489" i="1"/>
  <c r="J6743" i="1"/>
  <c r="Q6743" i="1"/>
  <c r="R6743" i="1"/>
  <c r="J6564" i="1"/>
  <c r="Q6564" i="1"/>
  <c r="R6564" i="1"/>
  <c r="J490" i="1"/>
  <c r="Q490" i="1"/>
  <c r="R490" i="1"/>
  <c r="J6744" i="1"/>
  <c r="Q6744" i="1"/>
  <c r="R6744" i="1"/>
  <c r="J491" i="1"/>
  <c r="Q491" i="1"/>
  <c r="R491" i="1"/>
  <c r="J6745" i="1"/>
  <c r="Q6745" i="1"/>
  <c r="R6745" i="1"/>
  <c r="J7380" i="1"/>
  <c r="Q7380" i="1"/>
  <c r="R7380" i="1"/>
  <c r="J7381" i="1"/>
  <c r="Q7381" i="1"/>
  <c r="R7381" i="1"/>
  <c r="J6746" i="1"/>
  <c r="Q6746" i="1"/>
  <c r="R6746" i="1"/>
  <c r="J7382" i="1"/>
  <c r="Q7382" i="1"/>
  <c r="R7382" i="1"/>
  <c r="J13528" i="1"/>
  <c r="Q13528" i="1"/>
  <c r="R13528" i="1"/>
  <c r="J7383" i="1"/>
  <c r="Q7383" i="1"/>
  <c r="R7383" i="1"/>
  <c r="J6747" i="1"/>
  <c r="Q6747" i="1"/>
  <c r="R6747" i="1"/>
  <c r="J7384" i="1"/>
  <c r="Q7384" i="1"/>
  <c r="R7384" i="1"/>
  <c r="J7385" i="1"/>
  <c r="Q7385" i="1"/>
  <c r="R7385" i="1"/>
  <c r="J7386" i="1"/>
  <c r="Q7386" i="1"/>
  <c r="R7386" i="1"/>
  <c r="J7387" i="1"/>
  <c r="Q7387" i="1"/>
  <c r="R7387" i="1"/>
  <c r="J7388" i="1"/>
  <c r="Q7388" i="1"/>
  <c r="R7388" i="1"/>
  <c r="J7389" i="1"/>
  <c r="Q7389" i="1"/>
  <c r="R7389" i="1"/>
  <c r="J7390" i="1"/>
  <c r="Q7390" i="1"/>
  <c r="R7390" i="1"/>
  <c r="J7391" i="1"/>
  <c r="Q7391" i="1"/>
  <c r="R7391" i="1"/>
  <c r="J7392" i="1"/>
  <c r="Q7392" i="1"/>
  <c r="R7392" i="1"/>
  <c r="J7393" i="1"/>
  <c r="Q7393" i="1"/>
  <c r="R7393" i="1"/>
  <c r="J7394" i="1"/>
  <c r="Q7394" i="1"/>
  <c r="R7394" i="1"/>
  <c r="J7395" i="1"/>
  <c r="Q7395" i="1"/>
  <c r="R7395" i="1"/>
  <c r="J7396" i="1"/>
  <c r="Q7396" i="1"/>
  <c r="R7396" i="1"/>
  <c r="J7397" i="1"/>
  <c r="Q7397" i="1"/>
  <c r="R7397" i="1"/>
  <c r="J7398" i="1"/>
  <c r="Q7398" i="1"/>
  <c r="R7398" i="1"/>
  <c r="J7399" i="1"/>
  <c r="Q7399" i="1"/>
  <c r="R7399" i="1"/>
  <c r="J13529" i="1"/>
  <c r="Q13529" i="1"/>
  <c r="R13529" i="1"/>
  <c r="J7400" i="1"/>
  <c r="Q7400" i="1"/>
  <c r="R7400" i="1"/>
  <c r="J6748" i="1"/>
  <c r="Q6748" i="1"/>
  <c r="R6748" i="1"/>
  <c r="J7401" i="1"/>
  <c r="Q7401" i="1"/>
  <c r="R7401" i="1"/>
  <c r="J7402" i="1"/>
  <c r="Q7402" i="1"/>
  <c r="R7402" i="1"/>
  <c r="J7403" i="1"/>
  <c r="Q7403" i="1"/>
  <c r="R7403" i="1"/>
  <c r="J7404" i="1"/>
  <c r="Q7404" i="1"/>
  <c r="R7404" i="1"/>
  <c r="J7405" i="1"/>
  <c r="Q7405" i="1"/>
  <c r="R7405" i="1"/>
  <c r="J7406" i="1"/>
  <c r="Q7406" i="1"/>
  <c r="R7406" i="1"/>
  <c r="J7407" i="1"/>
  <c r="Q7407" i="1"/>
  <c r="R7407" i="1"/>
  <c r="J7408" i="1"/>
  <c r="Q7408" i="1"/>
  <c r="R7408" i="1"/>
  <c r="J6749" i="1"/>
  <c r="Q6749" i="1"/>
  <c r="R6749" i="1"/>
  <c r="J7409" i="1"/>
  <c r="Q7409" i="1"/>
  <c r="R7409" i="1"/>
  <c r="J7410" i="1"/>
  <c r="Q7410" i="1"/>
  <c r="R7410" i="1"/>
  <c r="J7411" i="1"/>
  <c r="Q7411" i="1"/>
  <c r="R7411" i="1"/>
  <c r="J7412" i="1"/>
  <c r="Q7412" i="1"/>
  <c r="R7412" i="1"/>
  <c r="J7413" i="1"/>
  <c r="Q7413" i="1"/>
  <c r="R7413" i="1"/>
  <c r="J6750" i="1"/>
  <c r="Q6750" i="1"/>
  <c r="R6750" i="1"/>
  <c r="J13530" i="1"/>
  <c r="Q13530" i="1"/>
  <c r="R13530" i="1"/>
  <c r="J13531" i="1"/>
  <c r="Q13531" i="1"/>
  <c r="R13531" i="1"/>
  <c r="J6751" i="1"/>
  <c r="Q6751" i="1"/>
  <c r="R6751" i="1"/>
  <c r="J6752" i="1"/>
  <c r="Q6752" i="1"/>
  <c r="R6752" i="1"/>
  <c r="J7414" i="1"/>
  <c r="Q7414" i="1"/>
  <c r="R7414" i="1"/>
  <c r="J7415" i="1"/>
  <c r="Q7415" i="1"/>
  <c r="R7415" i="1"/>
  <c r="J7416" i="1"/>
  <c r="Q7416" i="1"/>
  <c r="R7416" i="1"/>
  <c r="J6753" i="1"/>
  <c r="Q6753" i="1"/>
  <c r="R6753" i="1"/>
  <c r="J6754" i="1"/>
  <c r="Q6754" i="1"/>
  <c r="R6754" i="1"/>
  <c r="J7417" i="1"/>
  <c r="Q7417" i="1"/>
  <c r="R7417" i="1"/>
  <c r="J492" i="1"/>
  <c r="Q492" i="1"/>
  <c r="R492" i="1"/>
  <c r="J493" i="1"/>
  <c r="Q493" i="1"/>
  <c r="R493" i="1"/>
  <c r="J494" i="1"/>
  <c r="Q494" i="1"/>
  <c r="R494" i="1"/>
  <c r="J495" i="1"/>
  <c r="Q495" i="1"/>
  <c r="R495" i="1"/>
  <c r="J496" i="1"/>
  <c r="Q496" i="1"/>
  <c r="R496" i="1"/>
  <c r="J497" i="1"/>
  <c r="Q497" i="1"/>
  <c r="R497" i="1"/>
  <c r="J498" i="1"/>
  <c r="Q498" i="1"/>
  <c r="R498" i="1"/>
  <c r="J499" i="1"/>
  <c r="Q499" i="1"/>
  <c r="R499" i="1"/>
  <c r="J500" i="1"/>
  <c r="Q500" i="1"/>
  <c r="R500" i="1"/>
  <c r="J501" i="1"/>
  <c r="Q501" i="1"/>
  <c r="R501" i="1"/>
  <c r="J13532" i="1"/>
  <c r="Q13532" i="1"/>
  <c r="R13532" i="1"/>
  <c r="J502" i="1"/>
  <c r="Q502" i="1"/>
  <c r="R502" i="1"/>
  <c r="J503" i="1"/>
  <c r="Q503" i="1"/>
  <c r="R503" i="1"/>
  <c r="J504" i="1"/>
  <c r="Q504" i="1"/>
  <c r="R504" i="1"/>
  <c r="J505" i="1"/>
  <c r="Q505" i="1"/>
  <c r="R505" i="1"/>
  <c r="J506" i="1"/>
  <c r="Q506" i="1"/>
  <c r="R506" i="1"/>
  <c r="J507" i="1"/>
  <c r="Q507" i="1"/>
  <c r="R507" i="1"/>
  <c r="J508" i="1"/>
  <c r="Q508" i="1"/>
  <c r="R508" i="1"/>
  <c r="J509" i="1"/>
  <c r="Q509" i="1"/>
  <c r="R509" i="1"/>
  <c r="J510" i="1"/>
  <c r="Q510" i="1"/>
  <c r="R510" i="1"/>
  <c r="J511" i="1"/>
  <c r="Q511" i="1"/>
  <c r="R511" i="1"/>
  <c r="J512" i="1"/>
  <c r="Q512" i="1"/>
  <c r="R512" i="1"/>
  <c r="J513" i="1"/>
  <c r="Q513" i="1"/>
  <c r="R513" i="1"/>
  <c r="J514" i="1"/>
  <c r="Q514" i="1"/>
  <c r="R514" i="1"/>
  <c r="J515" i="1"/>
  <c r="Q515" i="1"/>
  <c r="R515" i="1"/>
  <c r="J516" i="1"/>
  <c r="Q516" i="1"/>
  <c r="R516" i="1"/>
  <c r="J517" i="1"/>
  <c r="Q517" i="1"/>
  <c r="R517" i="1"/>
  <c r="J518" i="1"/>
  <c r="Q518" i="1"/>
  <c r="R518" i="1"/>
  <c r="J519" i="1"/>
  <c r="Q519" i="1"/>
  <c r="R519" i="1"/>
  <c r="J520" i="1"/>
  <c r="Q520" i="1"/>
  <c r="R520" i="1"/>
  <c r="J521" i="1"/>
  <c r="Q521" i="1"/>
  <c r="R521" i="1"/>
  <c r="J522" i="1"/>
  <c r="Q522" i="1"/>
  <c r="R522" i="1"/>
  <c r="J523" i="1"/>
  <c r="Q523" i="1"/>
  <c r="R523" i="1"/>
  <c r="J524" i="1"/>
  <c r="Q524" i="1"/>
  <c r="R524" i="1"/>
  <c r="J525" i="1"/>
  <c r="Q525" i="1"/>
  <c r="R525" i="1"/>
  <c r="J526" i="1"/>
  <c r="Q526" i="1"/>
  <c r="R526" i="1"/>
  <c r="J527" i="1"/>
  <c r="Q527" i="1"/>
  <c r="R527" i="1"/>
  <c r="J528" i="1"/>
  <c r="Q528" i="1"/>
  <c r="R528" i="1"/>
  <c r="J529" i="1"/>
  <c r="Q529" i="1"/>
  <c r="R529" i="1"/>
  <c r="J530" i="1"/>
  <c r="Q530" i="1"/>
  <c r="R530" i="1"/>
  <c r="J531" i="1"/>
  <c r="Q531" i="1"/>
  <c r="R531" i="1"/>
  <c r="J532" i="1"/>
  <c r="Q532" i="1"/>
  <c r="R532" i="1"/>
  <c r="J533" i="1"/>
  <c r="Q533" i="1"/>
  <c r="R533" i="1"/>
  <c r="J534" i="1"/>
  <c r="Q534" i="1"/>
  <c r="R534" i="1"/>
  <c r="J535" i="1"/>
  <c r="Q535" i="1"/>
  <c r="R535" i="1"/>
  <c r="J536" i="1"/>
  <c r="Q536" i="1"/>
  <c r="R536" i="1"/>
  <c r="J537" i="1"/>
  <c r="Q537" i="1"/>
  <c r="R537" i="1"/>
  <c r="J538" i="1"/>
  <c r="Q538" i="1"/>
  <c r="R538" i="1"/>
  <c r="J539" i="1"/>
  <c r="Q539" i="1"/>
  <c r="R539" i="1"/>
  <c r="J13533" i="1"/>
  <c r="Q13533" i="1"/>
  <c r="R13533" i="1"/>
  <c r="J540" i="1"/>
  <c r="Q540" i="1"/>
  <c r="R540" i="1"/>
  <c r="J541" i="1"/>
  <c r="Q541" i="1"/>
  <c r="R541" i="1"/>
  <c r="J542" i="1"/>
  <c r="Q542" i="1"/>
  <c r="R542" i="1"/>
  <c r="J543" i="1"/>
  <c r="Q543" i="1"/>
  <c r="R543" i="1"/>
  <c r="J7418" i="1"/>
  <c r="Q7418" i="1"/>
  <c r="R7418" i="1"/>
  <c r="J544" i="1"/>
  <c r="Q544" i="1"/>
  <c r="R544" i="1"/>
  <c r="J545" i="1"/>
  <c r="Q545" i="1"/>
  <c r="R545" i="1"/>
  <c r="J546" i="1"/>
  <c r="Q546" i="1"/>
  <c r="R546" i="1"/>
  <c r="J7419" i="1"/>
  <c r="Q7419" i="1"/>
  <c r="R7419" i="1"/>
  <c r="J547" i="1"/>
  <c r="Q547" i="1"/>
  <c r="R547" i="1"/>
  <c r="J7420" i="1"/>
  <c r="Q7420" i="1"/>
  <c r="R7420" i="1"/>
  <c r="J13534" i="1"/>
  <c r="Q13534" i="1"/>
  <c r="R13534" i="1"/>
  <c r="J6755" i="1"/>
  <c r="Q6755" i="1"/>
  <c r="R6755" i="1"/>
  <c r="J7421" i="1"/>
  <c r="Q7421" i="1"/>
  <c r="R7421" i="1"/>
  <c r="J6756" i="1"/>
  <c r="Q6756" i="1"/>
  <c r="R6756" i="1"/>
  <c r="J548" i="1"/>
  <c r="Q548" i="1"/>
  <c r="R548" i="1"/>
  <c r="J549" i="1"/>
  <c r="Q549" i="1"/>
  <c r="R549" i="1"/>
  <c r="J6757" i="1"/>
  <c r="Q6757" i="1"/>
  <c r="R6757" i="1"/>
  <c r="J550" i="1"/>
  <c r="Q550" i="1"/>
  <c r="R550" i="1"/>
  <c r="J551" i="1"/>
  <c r="Q551" i="1"/>
  <c r="R551" i="1"/>
  <c r="J552" i="1"/>
  <c r="Q552" i="1"/>
  <c r="R552" i="1"/>
  <c r="J7422" i="1"/>
  <c r="Q7422" i="1"/>
  <c r="R7422" i="1"/>
  <c r="J6565" i="1"/>
  <c r="Q6565" i="1"/>
  <c r="R6565" i="1"/>
  <c r="J6566" i="1"/>
  <c r="Q6566" i="1"/>
  <c r="R6566" i="1"/>
  <c r="J553" i="1"/>
  <c r="Q553" i="1"/>
  <c r="R553" i="1"/>
  <c r="J6758" i="1"/>
  <c r="Q6758" i="1"/>
  <c r="R6758" i="1"/>
  <c r="J6759" i="1"/>
  <c r="Q6759" i="1"/>
  <c r="R6759" i="1"/>
  <c r="J554" i="1"/>
  <c r="Q554" i="1"/>
  <c r="R554" i="1"/>
  <c r="J555" i="1"/>
  <c r="Q555" i="1"/>
  <c r="R555" i="1"/>
  <c r="J7423" i="1"/>
  <c r="Q7423" i="1"/>
  <c r="R7423" i="1"/>
  <c r="J8456" i="1"/>
  <c r="Q8456" i="1"/>
  <c r="R8456" i="1"/>
  <c r="J2288" i="1"/>
  <c r="Q2288" i="1"/>
  <c r="R2288" i="1"/>
  <c r="J2289" i="1"/>
  <c r="Q2289" i="1"/>
  <c r="R2289" i="1"/>
  <c r="J8457" i="1"/>
  <c r="Q8457" i="1"/>
  <c r="R8457" i="1"/>
  <c r="J2290" i="1"/>
  <c r="Q2290" i="1"/>
  <c r="R2290" i="1"/>
  <c r="J2291" i="1"/>
  <c r="Q2291" i="1"/>
  <c r="R2291" i="1"/>
  <c r="J8458" i="1"/>
  <c r="Q8458" i="1"/>
  <c r="R8458" i="1"/>
  <c r="J8459" i="1"/>
  <c r="Q8459" i="1"/>
  <c r="R8459" i="1"/>
  <c r="J8460" i="1"/>
  <c r="Q8460" i="1"/>
  <c r="R8460" i="1"/>
  <c r="J8461" i="1"/>
  <c r="Q8461" i="1"/>
  <c r="R8461" i="1"/>
  <c r="J8462" i="1"/>
  <c r="Q8462" i="1"/>
  <c r="R8462" i="1"/>
  <c r="J8463" i="1"/>
  <c r="Q8463" i="1"/>
  <c r="R8463" i="1"/>
  <c r="J2292" i="1"/>
  <c r="Q2292" i="1"/>
  <c r="R2292" i="1"/>
  <c r="J8464" i="1"/>
  <c r="Q8464" i="1"/>
  <c r="R8464" i="1"/>
  <c r="J8465" i="1"/>
  <c r="Q8465" i="1"/>
  <c r="R8465" i="1"/>
  <c r="J8466" i="1"/>
  <c r="Q8466" i="1"/>
  <c r="R8466" i="1"/>
  <c r="J8467" i="1"/>
  <c r="Q8467" i="1"/>
  <c r="R8467" i="1"/>
  <c r="J8468" i="1"/>
  <c r="Q8468" i="1"/>
  <c r="R8468" i="1"/>
  <c r="J8469" i="1"/>
  <c r="Q8469" i="1"/>
  <c r="R8469" i="1"/>
  <c r="J8470" i="1"/>
  <c r="Q8470" i="1"/>
  <c r="R8470" i="1"/>
  <c r="J8471" i="1"/>
  <c r="Q8471" i="1"/>
  <c r="R8471" i="1"/>
  <c r="J8472" i="1"/>
  <c r="Q8472" i="1"/>
  <c r="R8472" i="1"/>
  <c r="J8473" i="1"/>
  <c r="Q8473" i="1"/>
  <c r="R8473" i="1"/>
  <c r="J8474" i="1"/>
  <c r="Q8474" i="1"/>
  <c r="R8474" i="1"/>
  <c r="J2293" i="1"/>
  <c r="Q2293" i="1"/>
  <c r="R2293" i="1"/>
  <c r="J8475" i="1"/>
  <c r="Q8475" i="1"/>
  <c r="R8475" i="1"/>
  <c r="J8476" i="1"/>
  <c r="Q8476" i="1"/>
  <c r="R8476" i="1"/>
  <c r="J8477" i="1"/>
  <c r="Q8477" i="1"/>
  <c r="R8477" i="1"/>
  <c r="J2294" i="1"/>
  <c r="Q2294" i="1"/>
  <c r="R2294" i="1"/>
  <c r="J8478" i="1"/>
  <c r="Q8478" i="1"/>
  <c r="R8478" i="1"/>
  <c r="J8479" i="1"/>
  <c r="Q8479" i="1"/>
  <c r="R8479" i="1"/>
  <c r="J2295" i="1"/>
  <c r="Q2295" i="1"/>
  <c r="R2295" i="1"/>
  <c r="J2296" i="1"/>
  <c r="Q2296" i="1"/>
  <c r="R2296" i="1"/>
  <c r="J8480" i="1"/>
  <c r="Q8480" i="1"/>
  <c r="R8480" i="1"/>
  <c r="J8481" i="1"/>
  <c r="Q8481" i="1"/>
  <c r="R8481" i="1"/>
  <c r="J8482" i="1"/>
  <c r="Q8482" i="1"/>
  <c r="R8482" i="1"/>
  <c r="J8483" i="1"/>
  <c r="Q8483" i="1"/>
  <c r="R8483" i="1"/>
  <c r="J8484" i="1"/>
  <c r="Q8484" i="1"/>
  <c r="R8484" i="1"/>
  <c r="J8485" i="1"/>
  <c r="Q8485" i="1"/>
  <c r="R8485" i="1"/>
  <c r="J2297" i="1"/>
  <c r="Q2297" i="1"/>
  <c r="R2297" i="1"/>
  <c r="J8486" i="1"/>
  <c r="Q8486" i="1"/>
  <c r="R8486" i="1"/>
  <c r="J2298" i="1"/>
  <c r="Q2298" i="1"/>
  <c r="R2298" i="1"/>
  <c r="J8487" i="1"/>
  <c r="Q8487" i="1"/>
  <c r="R8487" i="1"/>
  <c r="J8488" i="1"/>
  <c r="Q8488" i="1"/>
  <c r="R8488" i="1"/>
  <c r="J8489" i="1"/>
  <c r="Q8489" i="1"/>
  <c r="R8489" i="1"/>
  <c r="J8490" i="1"/>
  <c r="Q8490" i="1"/>
  <c r="R8490" i="1"/>
  <c r="J8491" i="1"/>
  <c r="Q8491" i="1"/>
  <c r="R8491" i="1"/>
  <c r="J2299" i="1"/>
  <c r="Q2299" i="1"/>
  <c r="R2299" i="1"/>
  <c r="J8492" i="1"/>
  <c r="Q8492" i="1"/>
  <c r="R8492" i="1"/>
  <c r="J8493" i="1"/>
  <c r="Q8493" i="1"/>
  <c r="R8493" i="1"/>
  <c r="J8494" i="1"/>
  <c r="Q8494" i="1"/>
  <c r="R8494" i="1"/>
  <c r="J8495" i="1"/>
  <c r="Q8495" i="1"/>
  <c r="R8495" i="1"/>
  <c r="J2300" i="1"/>
  <c r="Q2300" i="1"/>
  <c r="R2300" i="1"/>
  <c r="J2301" i="1"/>
  <c r="Q2301" i="1"/>
  <c r="R2301" i="1"/>
  <c r="J2302" i="1"/>
  <c r="Q2302" i="1"/>
  <c r="R2302" i="1"/>
  <c r="J8496" i="1"/>
  <c r="Q8496" i="1"/>
  <c r="R8496" i="1"/>
  <c r="J8497" i="1"/>
  <c r="Q8497" i="1"/>
  <c r="R8497" i="1"/>
  <c r="J2303" i="1"/>
  <c r="Q2303" i="1"/>
  <c r="R2303" i="1"/>
  <c r="J2304" i="1"/>
  <c r="Q2304" i="1"/>
  <c r="R2304" i="1"/>
  <c r="J2305" i="1"/>
  <c r="Q2305" i="1"/>
  <c r="R2305" i="1"/>
  <c r="J2306" i="1"/>
  <c r="Q2306" i="1"/>
  <c r="R2306" i="1"/>
  <c r="J2307" i="1"/>
  <c r="Q2307" i="1"/>
  <c r="R2307" i="1"/>
  <c r="J2308" i="1"/>
  <c r="Q2308" i="1"/>
  <c r="R2308" i="1"/>
  <c r="J2309" i="1"/>
  <c r="Q2309" i="1"/>
  <c r="R2309" i="1"/>
  <c r="J2310" i="1"/>
  <c r="Q2310" i="1"/>
  <c r="R2310" i="1"/>
  <c r="J8498" i="1"/>
  <c r="Q8498" i="1"/>
  <c r="R8498" i="1"/>
  <c r="J8499" i="1"/>
  <c r="Q8499" i="1"/>
  <c r="R8499" i="1"/>
  <c r="J2311" i="1"/>
  <c r="Q2311" i="1"/>
  <c r="R2311" i="1"/>
  <c r="J2312" i="1"/>
  <c r="Q2312" i="1"/>
  <c r="R2312" i="1"/>
  <c r="J2313" i="1"/>
  <c r="Q2313" i="1"/>
  <c r="R2313" i="1"/>
  <c r="J2314" i="1"/>
  <c r="Q2314" i="1"/>
  <c r="R2314" i="1"/>
  <c r="J2315" i="1"/>
  <c r="Q2315" i="1"/>
  <c r="R2315" i="1"/>
  <c r="J2316" i="1"/>
  <c r="Q2316" i="1"/>
  <c r="R2316" i="1"/>
  <c r="J2317" i="1"/>
  <c r="Q2317" i="1"/>
  <c r="R2317" i="1"/>
  <c r="J2318" i="1"/>
  <c r="Q2318" i="1"/>
  <c r="R2318" i="1"/>
  <c r="J2319" i="1"/>
  <c r="Q2319" i="1"/>
  <c r="R2319" i="1"/>
  <c r="J2320" i="1"/>
  <c r="Q2320" i="1"/>
  <c r="R2320" i="1"/>
  <c r="J8500" i="1"/>
  <c r="Q8500" i="1"/>
  <c r="R8500" i="1"/>
  <c r="J8501" i="1"/>
  <c r="Q8501" i="1"/>
  <c r="R8501" i="1"/>
  <c r="J8502" i="1"/>
  <c r="Q8502" i="1"/>
  <c r="R8502" i="1"/>
  <c r="J2321" i="1"/>
  <c r="Q2321" i="1"/>
  <c r="R2321" i="1"/>
  <c r="J2322" i="1"/>
  <c r="Q2322" i="1"/>
  <c r="R2322" i="1"/>
  <c r="J8503" i="1"/>
  <c r="Q8503" i="1"/>
  <c r="R8503" i="1"/>
  <c r="J2323" i="1"/>
  <c r="Q2323" i="1"/>
  <c r="R2323" i="1"/>
  <c r="J8504" i="1"/>
  <c r="Q8504" i="1"/>
  <c r="R8504" i="1"/>
  <c r="J2324" i="1"/>
  <c r="Q2324" i="1"/>
  <c r="R2324" i="1"/>
  <c r="J2325" i="1"/>
  <c r="Q2325" i="1"/>
  <c r="R2325" i="1"/>
  <c r="J2326" i="1"/>
  <c r="Q2326" i="1"/>
  <c r="R2326" i="1"/>
  <c r="J8505" i="1"/>
  <c r="Q8505" i="1"/>
  <c r="R8505" i="1"/>
  <c r="J8506" i="1"/>
  <c r="Q8506" i="1"/>
  <c r="R8506" i="1"/>
  <c r="J8507" i="1"/>
  <c r="Q8507" i="1"/>
  <c r="R8507" i="1"/>
  <c r="J8508" i="1"/>
  <c r="Q8508" i="1"/>
  <c r="R8508" i="1"/>
  <c r="J2327" i="1"/>
  <c r="Q2327" i="1"/>
  <c r="R2327" i="1"/>
  <c r="J2328" i="1"/>
  <c r="Q2328" i="1"/>
  <c r="R2328" i="1"/>
  <c r="J8509" i="1"/>
  <c r="Q8509" i="1"/>
  <c r="R8509" i="1"/>
  <c r="J2329" i="1"/>
  <c r="Q2329" i="1"/>
  <c r="R2329" i="1"/>
  <c r="J8510" i="1"/>
  <c r="Q8510" i="1"/>
  <c r="R8510" i="1"/>
  <c r="J8511" i="1"/>
  <c r="Q8511" i="1"/>
  <c r="R8511" i="1"/>
  <c r="J2330" i="1"/>
  <c r="Q2330" i="1"/>
  <c r="R2330" i="1"/>
  <c r="J2331" i="1"/>
  <c r="Q2331" i="1"/>
  <c r="R2331" i="1"/>
  <c r="J8512" i="1"/>
  <c r="Q8512" i="1"/>
  <c r="R8512" i="1"/>
  <c r="J2332" i="1"/>
  <c r="Q2332" i="1"/>
  <c r="R2332" i="1"/>
  <c r="J8513" i="1"/>
  <c r="Q8513" i="1"/>
  <c r="R8513" i="1"/>
  <c r="J8514" i="1"/>
  <c r="Q8514" i="1"/>
  <c r="R8514" i="1"/>
  <c r="J2333" i="1"/>
  <c r="Q2333" i="1"/>
  <c r="R2333" i="1"/>
  <c r="J2334" i="1"/>
  <c r="Q2334" i="1"/>
  <c r="R2334" i="1"/>
  <c r="J2335" i="1"/>
  <c r="Q2335" i="1"/>
  <c r="R2335" i="1"/>
  <c r="J2336" i="1"/>
  <c r="Q2336" i="1"/>
  <c r="R2336" i="1"/>
  <c r="J8515" i="1"/>
  <c r="Q8515" i="1"/>
  <c r="R8515" i="1"/>
  <c r="J2337" i="1"/>
  <c r="Q2337" i="1"/>
  <c r="R2337" i="1"/>
  <c r="J2338" i="1"/>
  <c r="Q2338" i="1"/>
  <c r="R2338" i="1"/>
  <c r="J2339" i="1"/>
  <c r="Q2339" i="1"/>
  <c r="R2339" i="1"/>
  <c r="J8516" i="1"/>
  <c r="Q8516" i="1"/>
  <c r="R8516" i="1"/>
  <c r="J8517" i="1"/>
  <c r="Q8517" i="1"/>
  <c r="R8517" i="1"/>
  <c r="J8518" i="1"/>
  <c r="Q8518" i="1"/>
  <c r="R8518" i="1"/>
  <c r="J8519" i="1"/>
  <c r="Q8519" i="1"/>
  <c r="R8519" i="1"/>
  <c r="J2340" i="1"/>
  <c r="Q2340" i="1"/>
  <c r="R2340" i="1"/>
  <c r="J2341" i="1"/>
  <c r="Q2341" i="1"/>
  <c r="R2341" i="1"/>
  <c r="J8520" i="1"/>
  <c r="Q8520" i="1"/>
  <c r="R8520" i="1"/>
  <c r="J2342" i="1"/>
  <c r="Q2342" i="1"/>
  <c r="R2342" i="1"/>
  <c r="J2343" i="1"/>
  <c r="Q2343" i="1"/>
  <c r="R2343" i="1"/>
  <c r="J2344" i="1"/>
  <c r="Q2344" i="1"/>
  <c r="R2344" i="1"/>
  <c r="J2345" i="1"/>
  <c r="Q2345" i="1"/>
  <c r="R2345" i="1"/>
  <c r="J8521" i="1"/>
  <c r="Q8521" i="1"/>
  <c r="R8521" i="1"/>
  <c r="J8522" i="1"/>
  <c r="Q8522" i="1"/>
  <c r="R8522" i="1"/>
  <c r="J2346" i="1"/>
  <c r="Q2346" i="1"/>
  <c r="R2346" i="1"/>
  <c r="J8523" i="1"/>
  <c r="Q8523" i="1"/>
  <c r="R8523" i="1"/>
  <c r="J8524" i="1"/>
  <c r="Q8524" i="1"/>
  <c r="R8524" i="1"/>
  <c r="J8525" i="1"/>
  <c r="Q8525" i="1"/>
  <c r="R8525" i="1"/>
  <c r="J2347" i="1"/>
  <c r="Q2347" i="1"/>
  <c r="R2347" i="1"/>
  <c r="J2348" i="1"/>
  <c r="Q2348" i="1"/>
  <c r="R2348" i="1"/>
  <c r="J8526" i="1"/>
  <c r="Q8526" i="1"/>
  <c r="R8526" i="1"/>
  <c r="J2349" i="1"/>
  <c r="Q2349" i="1"/>
  <c r="R2349" i="1"/>
  <c r="J2350" i="1"/>
  <c r="Q2350" i="1"/>
  <c r="R2350" i="1"/>
  <c r="J8527" i="1"/>
  <c r="Q8527" i="1"/>
  <c r="R8527" i="1"/>
  <c r="J2351" i="1"/>
  <c r="Q2351" i="1"/>
  <c r="R2351" i="1"/>
  <c r="J2352" i="1"/>
  <c r="Q2352" i="1"/>
  <c r="R2352" i="1"/>
  <c r="J8528" i="1"/>
  <c r="Q8528" i="1"/>
  <c r="R8528" i="1"/>
  <c r="J8529" i="1"/>
  <c r="Q8529" i="1"/>
  <c r="R8529" i="1"/>
  <c r="J2353" i="1"/>
  <c r="Q2353" i="1"/>
  <c r="R2353" i="1"/>
  <c r="J2354" i="1"/>
  <c r="Q2354" i="1"/>
  <c r="R2354" i="1"/>
  <c r="J2355" i="1"/>
  <c r="Q2355" i="1"/>
  <c r="R2355" i="1"/>
  <c r="J8530" i="1"/>
  <c r="Q8530" i="1"/>
  <c r="R8530" i="1"/>
  <c r="J2356" i="1"/>
  <c r="Q2356" i="1"/>
  <c r="R2356" i="1"/>
  <c r="J8531" i="1"/>
  <c r="Q8531" i="1"/>
  <c r="R8531" i="1"/>
  <c r="J8532" i="1"/>
  <c r="Q8532" i="1"/>
  <c r="R8532" i="1"/>
  <c r="J2357" i="1"/>
  <c r="Q2357" i="1"/>
  <c r="R2357" i="1"/>
  <c r="J8533" i="1"/>
  <c r="Q8533" i="1"/>
  <c r="R8533" i="1"/>
  <c r="J8534" i="1"/>
  <c r="Q8534" i="1"/>
  <c r="R8534" i="1"/>
  <c r="J8535" i="1"/>
  <c r="Q8535" i="1"/>
  <c r="R8535" i="1"/>
  <c r="J2358" i="1"/>
  <c r="Q2358" i="1"/>
  <c r="R2358" i="1"/>
  <c r="J2359" i="1"/>
  <c r="Q2359" i="1"/>
  <c r="R2359" i="1"/>
  <c r="J2360" i="1"/>
  <c r="Q2360" i="1"/>
  <c r="R2360" i="1"/>
  <c r="J8536" i="1"/>
  <c r="Q8536" i="1"/>
  <c r="R8536" i="1"/>
  <c r="J8537" i="1"/>
  <c r="Q8537" i="1"/>
  <c r="R8537" i="1"/>
  <c r="J2361" i="1"/>
  <c r="Q2361" i="1"/>
  <c r="R2361" i="1"/>
  <c r="J2362" i="1"/>
  <c r="Q2362" i="1"/>
  <c r="R2362" i="1"/>
  <c r="J2363" i="1"/>
  <c r="Q2363" i="1"/>
  <c r="R2363" i="1"/>
  <c r="J2364" i="1"/>
  <c r="Q2364" i="1"/>
  <c r="R2364" i="1"/>
  <c r="J2365" i="1"/>
  <c r="Q2365" i="1"/>
  <c r="R2365" i="1"/>
  <c r="J2366" i="1"/>
  <c r="Q2366" i="1"/>
  <c r="R2366" i="1"/>
  <c r="J2367" i="1"/>
  <c r="Q2367" i="1"/>
  <c r="R2367" i="1"/>
  <c r="J2368" i="1"/>
  <c r="Q2368" i="1"/>
  <c r="R2368" i="1"/>
  <c r="J8538" i="1"/>
  <c r="Q8538" i="1"/>
  <c r="R8538" i="1"/>
  <c r="J2369" i="1"/>
  <c r="Q2369" i="1"/>
  <c r="R2369" i="1"/>
  <c r="J8539" i="1"/>
  <c r="Q8539" i="1"/>
  <c r="R8539" i="1"/>
  <c r="J2370" i="1"/>
  <c r="Q2370" i="1"/>
  <c r="R2370" i="1"/>
  <c r="J8540" i="1"/>
  <c r="Q8540" i="1"/>
  <c r="R8540" i="1"/>
  <c r="J8541" i="1"/>
  <c r="Q8541" i="1"/>
  <c r="R8541" i="1"/>
  <c r="J8542" i="1"/>
  <c r="Q8542" i="1"/>
  <c r="R8542" i="1"/>
  <c r="J2371" i="1"/>
  <c r="Q2371" i="1"/>
  <c r="R2371" i="1"/>
  <c r="J8543" i="1"/>
  <c r="Q8543" i="1"/>
  <c r="R8543" i="1"/>
  <c r="J2372" i="1"/>
  <c r="Q2372" i="1"/>
  <c r="R2372" i="1"/>
  <c r="J8544" i="1"/>
  <c r="Q8544" i="1"/>
  <c r="R8544" i="1"/>
  <c r="J2373" i="1"/>
  <c r="Q2373" i="1"/>
  <c r="R2373" i="1"/>
  <c r="J8545" i="1"/>
  <c r="Q8545" i="1"/>
  <c r="R8545" i="1"/>
  <c r="J8546" i="1"/>
  <c r="Q8546" i="1"/>
  <c r="R8546" i="1"/>
  <c r="J8547" i="1"/>
  <c r="Q8547" i="1"/>
  <c r="R8547" i="1"/>
  <c r="J8548" i="1"/>
  <c r="Q8548" i="1"/>
  <c r="R8548" i="1"/>
  <c r="J8549" i="1"/>
  <c r="Q8549" i="1"/>
  <c r="R8549" i="1"/>
  <c r="J8550" i="1"/>
  <c r="Q8550" i="1"/>
  <c r="R8550" i="1"/>
  <c r="J8551" i="1"/>
  <c r="Q8551" i="1"/>
  <c r="R8551" i="1"/>
  <c r="J8552" i="1"/>
  <c r="Q8552" i="1"/>
  <c r="R8552" i="1"/>
  <c r="J8553" i="1"/>
  <c r="Q8553" i="1"/>
  <c r="R8553" i="1"/>
  <c r="J8554" i="1"/>
  <c r="Q8554" i="1"/>
  <c r="R8554" i="1"/>
  <c r="J2374" i="1"/>
  <c r="Q2374" i="1"/>
  <c r="R2374" i="1"/>
  <c r="J8555" i="1"/>
  <c r="Q8555" i="1"/>
  <c r="R8555" i="1"/>
  <c r="J8556" i="1"/>
  <c r="Q8556" i="1"/>
  <c r="R8556" i="1"/>
  <c r="J8557" i="1"/>
  <c r="Q8557" i="1"/>
  <c r="R8557" i="1"/>
  <c r="J8558" i="1"/>
  <c r="Q8558" i="1"/>
  <c r="R8558" i="1"/>
  <c r="J8559" i="1"/>
  <c r="Q8559" i="1"/>
  <c r="R8559" i="1"/>
  <c r="J8560" i="1"/>
  <c r="Q8560" i="1"/>
  <c r="R8560" i="1"/>
  <c r="J8561" i="1"/>
  <c r="Q8561" i="1"/>
  <c r="R8561" i="1"/>
  <c r="J8562" i="1"/>
  <c r="Q8562" i="1"/>
  <c r="R8562" i="1"/>
  <c r="J2375" i="1"/>
  <c r="Q2375" i="1"/>
  <c r="R2375" i="1"/>
  <c r="J8563" i="1"/>
  <c r="Q8563" i="1"/>
  <c r="R8563" i="1"/>
  <c r="J8564" i="1"/>
  <c r="Q8564" i="1"/>
  <c r="R8564" i="1"/>
  <c r="J8565" i="1"/>
  <c r="Q8565" i="1"/>
  <c r="R8565" i="1"/>
  <c r="J2376" i="1"/>
  <c r="Q2376" i="1"/>
  <c r="R2376" i="1"/>
  <c r="J8566" i="1"/>
  <c r="Q8566" i="1"/>
  <c r="R8566" i="1"/>
  <c r="J2377" i="1"/>
  <c r="Q2377" i="1"/>
  <c r="R2377" i="1"/>
  <c r="J8567" i="1"/>
  <c r="Q8567" i="1"/>
  <c r="R8567" i="1"/>
  <c r="J8568" i="1"/>
  <c r="Q8568" i="1"/>
  <c r="R8568" i="1"/>
  <c r="J8569" i="1"/>
  <c r="Q8569" i="1"/>
  <c r="R8569" i="1"/>
  <c r="J8570" i="1"/>
  <c r="Q8570" i="1"/>
  <c r="R8570" i="1"/>
  <c r="J2378" i="1"/>
  <c r="Q2378" i="1"/>
  <c r="R2378" i="1"/>
  <c r="J8571" i="1"/>
  <c r="Q8571" i="1"/>
  <c r="R8571" i="1"/>
  <c r="J2379" i="1"/>
  <c r="Q2379" i="1"/>
  <c r="R2379" i="1"/>
  <c r="J8572" i="1"/>
  <c r="Q8572" i="1"/>
  <c r="R8572" i="1"/>
  <c r="J8573" i="1"/>
  <c r="Q8573" i="1"/>
  <c r="R8573" i="1"/>
  <c r="J2380" i="1"/>
  <c r="Q2380" i="1"/>
  <c r="R2380" i="1"/>
  <c r="J8574" i="1"/>
  <c r="Q8574" i="1"/>
  <c r="R8574" i="1"/>
  <c r="J8575" i="1"/>
  <c r="Q8575" i="1"/>
  <c r="R8575" i="1"/>
  <c r="J8576" i="1"/>
  <c r="Q8576" i="1"/>
  <c r="R8576" i="1"/>
  <c r="J8577" i="1"/>
  <c r="Q8577" i="1"/>
  <c r="R8577" i="1"/>
  <c r="J8578" i="1"/>
  <c r="Q8578" i="1"/>
  <c r="R8578" i="1"/>
  <c r="J8579" i="1"/>
  <c r="Q8579" i="1"/>
  <c r="R8579" i="1"/>
  <c r="J2381" i="1"/>
  <c r="Q2381" i="1"/>
  <c r="R2381" i="1"/>
  <c r="J8580" i="1"/>
  <c r="Q8580" i="1"/>
  <c r="R8580" i="1"/>
  <c r="J8581" i="1"/>
  <c r="Q8581" i="1"/>
  <c r="R8581" i="1"/>
  <c r="J8582" i="1"/>
  <c r="Q8582" i="1"/>
  <c r="R8582" i="1"/>
  <c r="J8583" i="1"/>
  <c r="Q8583" i="1"/>
  <c r="R8583" i="1"/>
  <c r="J8584" i="1"/>
  <c r="Q8584" i="1"/>
  <c r="R8584" i="1"/>
  <c r="J8585" i="1"/>
  <c r="Q8585" i="1"/>
  <c r="R8585" i="1"/>
  <c r="J8586" i="1"/>
  <c r="Q8586" i="1"/>
  <c r="R8586" i="1"/>
  <c r="J8587" i="1"/>
  <c r="Q8587" i="1"/>
  <c r="R8587" i="1"/>
  <c r="J8588" i="1"/>
  <c r="Q8588" i="1"/>
  <c r="R8588" i="1"/>
  <c r="J8589" i="1"/>
  <c r="Q8589" i="1"/>
  <c r="R8589" i="1"/>
  <c r="J8590" i="1"/>
  <c r="Q8590" i="1"/>
  <c r="R8590" i="1"/>
  <c r="J8591" i="1"/>
  <c r="Q8591" i="1"/>
  <c r="R8591" i="1"/>
  <c r="J8592" i="1"/>
  <c r="Q8592" i="1"/>
  <c r="R8592" i="1"/>
  <c r="J8593" i="1"/>
  <c r="Q8593" i="1"/>
  <c r="R8593" i="1"/>
  <c r="J2382" i="1"/>
  <c r="Q2382" i="1"/>
  <c r="R2382" i="1"/>
  <c r="J2383" i="1"/>
  <c r="Q2383" i="1"/>
  <c r="R2383" i="1"/>
  <c r="J8594" i="1"/>
  <c r="Q8594" i="1"/>
  <c r="R8594" i="1"/>
  <c r="J8595" i="1"/>
  <c r="Q8595" i="1"/>
  <c r="R8595" i="1"/>
  <c r="J8596" i="1"/>
  <c r="Q8596" i="1"/>
  <c r="R8596" i="1"/>
  <c r="J2384" i="1"/>
  <c r="Q2384" i="1"/>
  <c r="R2384" i="1"/>
  <c r="J2385" i="1"/>
  <c r="Q2385" i="1"/>
  <c r="R2385" i="1"/>
  <c r="J2386" i="1"/>
  <c r="Q2386" i="1"/>
  <c r="R2386" i="1"/>
  <c r="J2387" i="1"/>
  <c r="Q2387" i="1"/>
  <c r="R2387" i="1"/>
  <c r="J2388" i="1"/>
  <c r="Q2388" i="1"/>
  <c r="R2388" i="1"/>
  <c r="J2389" i="1"/>
  <c r="Q2389" i="1"/>
  <c r="R2389" i="1"/>
  <c r="J2390" i="1"/>
  <c r="Q2390" i="1"/>
  <c r="R2390" i="1"/>
  <c r="J8597" i="1"/>
  <c r="Q8597" i="1"/>
  <c r="R8597" i="1"/>
  <c r="J2391" i="1"/>
  <c r="Q2391" i="1"/>
  <c r="R2391" i="1"/>
  <c r="J2392" i="1"/>
  <c r="Q2392" i="1"/>
  <c r="R2392" i="1"/>
  <c r="J8598" i="1"/>
  <c r="Q8598" i="1"/>
  <c r="R8598" i="1"/>
  <c r="J8599" i="1"/>
  <c r="Q8599" i="1"/>
  <c r="R8599" i="1"/>
  <c r="J8600" i="1"/>
  <c r="Q8600" i="1"/>
  <c r="R8600" i="1"/>
  <c r="J8601" i="1"/>
  <c r="Q8601" i="1"/>
  <c r="R8601" i="1"/>
  <c r="J8602" i="1"/>
  <c r="Q8602" i="1"/>
  <c r="R8602" i="1"/>
  <c r="J2393" i="1"/>
  <c r="Q2393" i="1"/>
  <c r="R2393" i="1"/>
  <c r="J8603" i="1"/>
  <c r="Q8603" i="1"/>
  <c r="R8603" i="1"/>
  <c r="J8604" i="1"/>
  <c r="Q8604" i="1"/>
  <c r="R8604" i="1"/>
  <c r="J2394" i="1"/>
  <c r="Q2394" i="1"/>
  <c r="R2394" i="1"/>
  <c r="J8605" i="1"/>
  <c r="Q8605" i="1"/>
  <c r="R8605" i="1"/>
  <c r="J2395" i="1"/>
  <c r="Q2395" i="1"/>
  <c r="R2395" i="1"/>
  <c r="J2396" i="1"/>
  <c r="Q2396" i="1"/>
  <c r="R2396" i="1"/>
  <c r="J2397" i="1"/>
  <c r="Q2397" i="1"/>
  <c r="R2397" i="1"/>
  <c r="J8606" i="1"/>
  <c r="Q8606" i="1"/>
  <c r="R8606" i="1"/>
  <c r="J8607" i="1"/>
  <c r="Q8607" i="1"/>
  <c r="R8607" i="1"/>
  <c r="J2398" i="1"/>
  <c r="Q2398" i="1"/>
  <c r="R2398" i="1"/>
  <c r="J8608" i="1"/>
  <c r="Q8608" i="1"/>
  <c r="R8608" i="1"/>
  <c r="J8609" i="1"/>
  <c r="Q8609" i="1"/>
  <c r="R8609" i="1"/>
  <c r="J2399" i="1"/>
  <c r="Q2399" i="1"/>
  <c r="R2399" i="1"/>
  <c r="J8610" i="1"/>
  <c r="Q8610" i="1"/>
  <c r="R8610" i="1"/>
  <c r="J8611" i="1"/>
  <c r="Q8611" i="1"/>
  <c r="R8611" i="1"/>
  <c r="J8612" i="1"/>
  <c r="Q8612" i="1"/>
  <c r="R8612" i="1"/>
  <c r="J8613" i="1"/>
  <c r="Q8613" i="1"/>
  <c r="R8613" i="1"/>
  <c r="J8614" i="1"/>
  <c r="Q8614" i="1"/>
  <c r="R8614" i="1"/>
  <c r="J8615" i="1"/>
  <c r="Q8615" i="1"/>
  <c r="R8615" i="1"/>
  <c r="J2400" i="1"/>
  <c r="Q2400" i="1"/>
  <c r="R2400" i="1"/>
  <c r="J8616" i="1"/>
  <c r="Q8616" i="1"/>
  <c r="R8616" i="1"/>
  <c r="J8617" i="1"/>
  <c r="Q8617" i="1"/>
  <c r="R8617" i="1"/>
  <c r="J8618" i="1"/>
  <c r="Q8618" i="1"/>
  <c r="R8618" i="1"/>
  <c r="J2401" i="1"/>
  <c r="Q2401" i="1"/>
  <c r="R2401" i="1"/>
  <c r="J8619" i="1"/>
  <c r="Q8619" i="1"/>
  <c r="R8619" i="1"/>
  <c r="J8620" i="1"/>
  <c r="Q8620" i="1"/>
  <c r="R8620" i="1"/>
  <c r="J8621" i="1"/>
  <c r="Q8621" i="1"/>
  <c r="R8621" i="1"/>
  <c r="J2402" i="1"/>
  <c r="Q2402" i="1"/>
  <c r="R2402" i="1"/>
  <c r="J2403" i="1"/>
  <c r="Q2403" i="1"/>
  <c r="R2403" i="1"/>
  <c r="J2404" i="1"/>
  <c r="Q2404" i="1"/>
  <c r="R2404" i="1"/>
  <c r="J2405" i="1"/>
  <c r="Q2405" i="1"/>
  <c r="R2405" i="1"/>
  <c r="J2406" i="1"/>
  <c r="Q2406" i="1"/>
  <c r="R2406" i="1"/>
  <c r="J2407" i="1"/>
  <c r="Q2407" i="1"/>
  <c r="R2407" i="1"/>
  <c r="J2408" i="1"/>
  <c r="Q2408" i="1"/>
  <c r="R2408" i="1"/>
  <c r="J8622" i="1"/>
  <c r="Q8622" i="1"/>
  <c r="R8622" i="1"/>
  <c r="J2409" i="1"/>
  <c r="Q2409" i="1"/>
  <c r="R2409" i="1"/>
  <c r="J8623" i="1"/>
  <c r="Q8623" i="1"/>
  <c r="R8623" i="1"/>
  <c r="J2410" i="1"/>
  <c r="Q2410" i="1"/>
  <c r="R2410" i="1"/>
  <c r="J2411" i="1"/>
  <c r="Q2411" i="1"/>
  <c r="R2411" i="1"/>
  <c r="J2412" i="1"/>
  <c r="Q2412" i="1"/>
  <c r="R2412" i="1"/>
  <c r="J2413" i="1"/>
  <c r="Q2413" i="1"/>
  <c r="R2413" i="1"/>
  <c r="J8624" i="1"/>
  <c r="Q8624" i="1"/>
  <c r="R8624" i="1"/>
  <c r="J8625" i="1"/>
  <c r="Q8625" i="1"/>
  <c r="R8625" i="1"/>
  <c r="J8626" i="1"/>
  <c r="Q8626" i="1"/>
  <c r="R8626" i="1"/>
  <c r="J2414" i="1"/>
  <c r="Q2414" i="1"/>
  <c r="R2414" i="1"/>
  <c r="J2415" i="1"/>
  <c r="Q2415" i="1"/>
  <c r="R2415" i="1"/>
  <c r="J2416" i="1"/>
  <c r="Q2416" i="1"/>
  <c r="R2416" i="1"/>
  <c r="J8627" i="1"/>
  <c r="Q8627" i="1"/>
  <c r="R8627" i="1"/>
  <c r="J8628" i="1"/>
  <c r="Q8628" i="1"/>
  <c r="R8628" i="1"/>
  <c r="J8629" i="1"/>
  <c r="Q8629" i="1"/>
  <c r="R8629" i="1"/>
  <c r="J2417" i="1"/>
  <c r="Q2417" i="1"/>
  <c r="R2417" i="1"/>
  <c r="J8630" i="1"/>
  <c r="Q8630" i="1"/>
  <c r="R8630" i="1"/>
  <c r="J8631" i="1"/>
  <c r="Q8631" i="1"/>
  <c r="R8631" i="1"/>
  <c r="J2418" i="1"/>
  <c r="Q2418" i="1"/>
  <c r="R2418" i="1"/>
  <c r="J2419" i="1"/>
  <c r="Q2419" i="1"/>
  <c r="R2419" i="1"/>
  <c r="J2420" i="1"/>
  <c r="Q2420" i="1"/>
  <c r="R2420" i="1"/>
  <c r="J2421" i="1"/>
  <c r="Q2421" i="1"/>
  <c r="R2421" i="1"/>
  <c r="J8632" i="1"/>
  <c r="Q8632" i="1"/>
  <c r="R8632" i="1"/>
  <c r="J8633" i="1"/>
  <c r="Q8633" i="1"/>
  <c r="R8633" i="1"/>
  <c r="J2422" i="1"/>
  <c r="Q2422" i="1"/>
  <c r="R2422" i="1"/>
  <c r="J2423" i="1"/>
  <c r="Q2423" i="1"/>
  <c r="R2423" i="1"/>
  <c r="J8634" i="1"/>
  <c r="Q8634" i="1"/>
  <c r="R8634" i="1"/>
  <c r="J2424" i="1"/>
  <c r="Q2424" i="1"/>
  <c r="R2424" i="1"/>
  <c r="J2425" i="1"/>
  <c r="Q2425" i="1"/>
  <c r="R2425" i="1"/>
  <c r="J2426" i="1"/>
  <c r="Q2426" i="1"/>
  <c r="R2426" i="1"/>
  <c r="J2427" i="1"/>
  <c r="Q2427" i="1"/>
  <c r="R2427" i="1"/>
  <c r="J2428" i="1"/>
  <c r="Q2428" i="1"/>
  <c r="R2428" i="1"/>
  <c r="J2429" i="1"/>
  <c r="Q2429" i="1"/>
  <c r="R2429" i="1"/>
  <c r="J2430" i="1"/>
  <c r="Q2430" i="1"/>
  <c r="R2430" i="1"/>
  <c r="J8635" i="1"/>
  <c r="Q8635" i="1"/>
  <c r="R8635" i="1"/>
  <c r="J2431" i="1"/>
  <c r="Q2431" i="1"/>
  <c r="R2431" i="1"/>
  <c r="J2432" i="1"/>
  <c r="Q2432" i="1"/>
  <c r="R2432" i="1"/>
  <c r="J2433" i="1"/>
  <c r="Q2433" i="1"/>
  <c r="R2433" i="1"/>
  <c r="J8636" i="1"/>
  <c r="Q8636" i="1"/>
  <c r="R8636" i="1"/>
  <c r="J2434" i="1"/>
  <c r="Q2434" i="1"/>
  <c r="R2434" i="1"/>
  <c r="J2435" i="1"/>
  <c r="Q2435" i="1"/>
  <c r="R2435" i="1"/>
  <c r="J2436" i="1"/>
  <c r="Q2436" i="1"/>
  <c r="R2436" i="1"/>
  <c r="J2437" i="1"/>
  <c r="Q2437" i="1"/>
  <c r="R2437" i="1"/>
  <c r="J2438" i="1"/>
  <c r="Q2438" i="1"/>
  <c r="R2438" i="1"/>
  <c r="J2439" i="1"/>
  <c r="Q2439" i="1"/>
  <c r="R2439" i="1"/>
  <c r="J2440" i="1"/>
  <c r="Q2440" i="1"/>
  <c r="R2440" i="1"/>
  <c r="J8637" i="1"/>
  <c r="Q8637" i="1"/>
  <c r="R8637" i="1"/>
  <c r="J8638" i="1"/>
  <c r="Q8638" i="1"/>
  <c r="R8638" i="1"/>
  <c r="J2441" i="1"/>
  <c r="Q2441" i="1"/>
  <c r="R2441" i="1"/>
  <c r="J8639" i="1"/>
  <c r="Q8639" i="1"/>
  <c r="R8639" i="1"/>
  <c r="J8640" i="1"/>
  <c r="Q8640" i="1"/>
  <c r="R8640" i="1"/>
  <c r="J2442" i="1"/>
  <c r="Q2442" i="1"/>
  <c r="R2442" i="1"/>
  <c r="J2443" i="1"/>
  <c r="Q2443" i="1"/>
  <c r="R2443" i="1"/>
  <c r="J2444" i="1"/>
  <c r="Q2444" i="1"/>
  <c r="R2444" i="1"/>
  <c r="J2445" i="1"/>
  <c r="Q2445" i="1"/>
  <c r="R2445" i="1"/>
  <c r="J8641" i="1"/>
  <c r="Q8641" i="1"/>
  <c r="R8641" i="1"/>
  <c r="J2446" i="1"/>
  <c r="Q2446" i="1"/>
  <c r="R2446" i="1"/>
  <c r="J8642" i="1"/>
  <c r="Q8642" i="1"/>
  <c r="R8642" i="1"/>
  <c r="J2447" i="1"/>
  <c r="Q2447" i="1"/>
  <c r="R2447" i="1"/>
  <c r="J2448" i="1"/>
  <c r="Q2448" i="1"/>
  <c r="R2448" i="1"/>
  <c r="J2449" i="1"/>
  <c r="Q2449" i="1"/>
  <c r="R2449" i="1"/>
  <c r="J2450" i="1"/>
  <c r="Q2450" i="1"/>
  <c r="R2450" i="1"/>
  <c r="J2451" i="1"/>
  <c r="Q2451" i="1"/>
  <c r="R2451" i="1"/>
  <c r="J2452" i="1"/>
  <c r="Q2452" i="1"/>
  <c r="R2452" i="1"/>
  <c r="J8643" i="1"/>
  <c r="Q8643" i="1"/>
  <c r="R8643" i="1"/>
  <c r="J2453" i="1"/>
  <c r="Q2453" i="1"/>
  <c r="R2453" i="1"/>
  <c r="J2454" i="1"/>
  <c r="Q2454" i="1"/>
  <c r="R2454" i="1"/>
  <c r="J2455" i="1"/>
  <c r="Q2455" i="1"/>
  <c r="R2455" i="1"/>
  <c r="J2456" i="1"/>
  <c r="Q2456" i="1"/>
  <c r="R2456" i="1"/>
  <c r="J8644" i="1"/>
  <c r="Q8644" i="1"/>
  <c r="R8644" i="1"/>
  <c r="J8645" i="1"/>
  <c r="Q8645" i="1"/>
  <c r="R8645" i="1"/>
  <c r="J2457" i="1"/>
  <c r="Q2457" i="1"/>
  <c r="R2457" i="1"/>
  <c r="J8646" i="1"/>
  <c r="Q8646" i="1"/>
  <c r="R8646" i="1"/>
  <c r="J2458" i="1"/>
  <c r="Q2458" i="1"/>
  <c r="R2458" i="1"/>
  <c r="J2459" i="1"/>
  <c r="Q2459" i="1"/>
  <c r="R2459" i="1"/>
  <c r="J2460" i="1"/>
  <c r="Q2460" i="1"/>
  <c r="R2460" i="1"/>
  <c r="J8647" i="1"/>
  <c r="Q8647" i="1"/>
  <c r="R8647" i="1"/>
  <c r="J2461" i="1"/>
  <c r="Q2461" i="1"/>
  <c r="R2461" i="1"/>
  <c r="J8648" i="1"/>
  <c r="Q8648" i="1"/>
  <c r="R8648" i="1"/>
  <c r="J2462" i="1"/>
  <c r="Q2462" i="1"/>
  <c r="R2462" i="1"/>
  <c r="J2463" i="1"/>
  <c r="Q2463" i="1"/>
  <c r="R2463" i="1"/>
  <c r="J2464" i="1"/>
  <c r="Q2464" i="1"/>
  <c r="R2464" i="1"/>
  <c r="J2465" i="1"/>
  <c r="Q2465" i="1"/>
  <c r="R2465" i="1"/>
  <c r="J8649" i="1"/>
  <c r="Q8649" i="1"/>
  <c r="R8649" i="1"/>
  <c r="J2466" i="1"/>
  <c r="Q2466" i="1"/>
  <c r="R2466" i="1"/>
  <c r="J2467" i="1"/>
  <c r="Q2467" i="1"/>
  <c r="R2467" i="1"/>
  <c r="J8650" i="1"/>
  <c r="Q8650" i="1"/>
  <c r="R8650" i="1"/>
  <c r="J8651" i="1"/>
  <c r="Q8651" i="1"/>
  <c r="R8651" i="1"/>
  <c r="J8652" i="1"/>
  <c r="Q8652" i="1"/>
  <c r="R8652" i="1"/>
  <c r="J8653" i="1"/>
  <c r="Q8653" i="1"/>
  <c r="R8653" i="1"/>
  <c r="J2468" i="1"/>
  <c r="Q2468" i="1"/>
  <c r="R2468" i="1"/>
  <c r="J8654" i="1"/>
  <c r="Q8654" i="1"/>
  <c r="R8654" i="1"/>
  <c r="J8655" i="1"/>
  <c r="Q8655" i="1"/>
  <c r="R8655" i="1"/>
  <c r="J8656" i="1"/>
  <c r="Q8656" i="1"/>
  <c r="R8656" i="1"/>
  <c r="J2469" i="1"/>
  <c r="Q2469" i="1"/>
  <c r="R2469" i="1"/>
  <c r="J8657" i="1"/>
  <c r="Q8657" i="1"/>
  <c r="R8657" i="1"/>
  <c r="J2470" i="1"/>
  <c r="Q2470" i="1"/>
  <c r="R2470" i="1"/>
  <c r="J8658" i="1"/>
  <c r="Q8658" i="1"/>
  <c r="R8658" i="1"/>
  <c r="J8659" i="1"/>
  <c r="Q8659" i="1"/>
  <c r="R8659" i="1"/>
  <c r="J8660" i="1"/>
  <c r="Q8660" i="1"/>
  <c r="R8660" i="1"/>
  <c r="J8661" i="1"/>
  <c r="Q8661" i="1"/>
  <c r="R8661" i="1"/>
  <c r="J8662" i="1"/>
  <c r="Q8662" i="1"/>
  <c r="R8662" i="1"/>
  <c r="J8663" i="1"/>
  <c r="Q8663" i="1"/>
  <c r="R8663" i="1"/>
  <c r="J2471" i="1"/>
  <c r="Q2471" i="1"/>
  <c r="R2471" i="1"/>
  <c r="J8664" i="1"/>
  <c r="Q8664" i="1"/>
  <c r="R8664" i="1"/>
  <c r="J8665" i="1"/>
  <c r="Q8665" i="1"/>
  <c r="R8665" i="1"/>
  <c r="J8666" i="1"/>
  <c r="Q8666" i="1"/>
  <c r="R8666" i="1"/>
  <c r="J8667" i="1"/>
  <c r="Q8667" i="1"/>
  <c r="R8667" i="1"/>
  <c r="J8668" i="1"/>
  <c r="Q8668" i="1"/>
  <c r="R8668" i="1"/>
  <c r="J2472" i="1"/>
  <c r="Q2472" i="1"/>
  <c r="R2472" i="1"/>
  <c r="J2473" i="1"/>
  <c r="Q2473" i="1"/>
  <c r="R2473" i="1"/>
  <c r="J8669" i="1"/>
  <c r="Q8669" i="1"/>
  <c r="R8669" i="1"/>
  <c r="J8670" i="1"/>
  <c r="Q8670" i="1"/>
  <c r="R8670" i="1"/>
  <c r="J2474" i="1"/>
  <c r="Q2474" i="1"/>
  <c r="R2474" i="1"/>
  <c r="J8671" i="1"/>
  <c r="Q8671" i="1"/>
  <c r="R8671" i="1"/>
  <c r="J8672" i="1"/>
  <c r="Q8672" i="1"/>
  <c r="R8672" i="1"/>
  <c r="J8673" i="1"/>
  <c r="Q8673" i="1"/>
  <c r="R8673" i="1"/>
  <c r="J8674" i="1"/>
  <c r="Q8674" i="1"/>
  <c r="R8674" i="1"/>
  <c r="J8675" i="1"/>
  <c r="Q8675" i="1"/>
  <c r="R8675" i="1"/>
  <c r="J8676" i="1"/>
  <c r="Q8676" i="1"/>
  <c r="R8676" i="1"/>
  <c r="J8677" i="1"/>
  <c r="Q8677" i="1"/>
  <c r="R8677" i="1"/>
  <c r="J2475" i="1"/>
  <c r="Q2475" i="1"/>
  <c r="R2475" i="1"/>
  <c r="J8678" i="1"/>
  <c r="Q8678" i="1"/>
  <c r="R8678" i="1"/>
  <c r="J2476" i="1"/>
  <c r="Q2476" i="1"/>
  <c r="R2476" i="1"/>
  <c r="J8679" i="1"/>
  <c r="Q8679" i="1"/>
  <c r="R8679" i="1"/>
  <c r="J2477" i="1"/>
  <c r="Q2477" i="1"/>
  <c r="R2477" i="1"/>
  <c r="J2478" i="1"/>
  <c r="Q2478" i="1"/>
  <c r="R2478" i="1"/>
  <c r="J8680" i="1"/>
  <c r="Q8680" i="1"/>
  <c r="R8680" i="1"/>
  <c r="J8681" i="1"/>
  <c r="Q8681" i="1"/>
  <c r="R8681" i="1"/>
  <c r="J8682" i="1"/>
  <c r="Q8682" i="1"/>
  <c r="R8682" i="1"/>
  <c r="J8683" i="1"/>
  <c r="Q8683" i="1"/>
  <c r="R8683" i="1"/>
  <c r="J2479" i="1"/>
  <c r="Q2479" i="1"/>
  <c r="R2479" i="1"/>
  <c r="J2480" i="1"/>
  <c r="Q2480" i="1"/>
  <c r="R2480" i="1"/>
  <c r="J8684" i="1"/>
  <c r="Q8684" i="1"/>
  <c r="R8684" i="1"/>
  <c r="J8685" i="1"/>
  <c r="Q8685" i="1"/>
  <c r="R8685" i="1"/>
  <c r="J2481" i="1"/>
  <c r="Q2481" i="1"/>
  <c r="R2481" i="1"/>
  <c r="J2482" i="1"/>
  <c r="Q2482" i="1"/>
  <c r="R2482" i="1"/>
  <c r="J8686" i="1"/>
  <c r="Q8686" i="1"/>
  <c r="R8686" i="1"/>
  <c r="J2483" i="1"/>
  <c r="Q2483" i="1"/>
  <c r="R2483" i="1"/>
  <c r="J8687" i="1"/>
  <c r="Q8687" i="1"/>
  <c r="R8687" i="1"/>
  <c r="J2484" i="1"/>
  <c r="Q2484" i="1"/>
  <c r="R2484" i="1"/>
  <c r="J8688" i="1"/>
  <c r="Q8688" i="1"/>
  <c r="R8688" i="1"/>
  <c r="J8689" i="1"/>
  <c r="Q8689" i="1"/>
  <c r="R8689" i="1"/>
  <c r="J8690" i="1"/>
  <c r="Q8690" i="1"/>
  <c r="R8690" i="1"/>
  <c r="J8691" i="1"/>
  <c r="Q8691" i="1"/>
  <c r="R8691" i="1"/>
  <c r="J8692" i="1"/>
  <c r="Q8692" i="1"/>
  <c r="R8692" i="1"/>
  <c r="J2485" i="1"/>
  <c r="Q2485" i="1"/>
  <c r="R2485" i="1"/>
  <c r="J2486" i="1"/>
  <c r="Q2486" i="1"/>
  <c r="R2486" i="1"/>
  <c r="J2487" i="1"/>
  <c r="Q2487" i="1"/>
  <c r="R2487" i="1"/>
  <c r="J8693" i="1"/>
  <c r="Q8693" i="1"/>
  <c r="R8693" i="1"/>
  <c r="J2488" i="1"/>
  <c r="Q2488" i="1"/>
  <c r="R2488" i="1"/>
  <c r="J8694" i="1"/>
  <c r="Q8694" i="1"/>
  <c r="R8694" i="1"/>
  <c r="J2489" i="1"/>
  <c r="Q2489" i="1"/>
  <c r="R2489" i="1"/>
  <c r="J2490" i="1"/>
  <c r="Q2490" i="1"/>
  <c r="R2490" i="1"/>
  <c r="J2491" i="1"/>
  <c r="Q2491" i="1"/>
  <c r="R2491" i="1"/>
  <c r="J2492" i="1"/>
  <c r="Q2492" i="1"/>
  <c r="R2492" i="1"/>
  <c r="J2493" i="1"/>
  <c r="Q2493" i="1"/>
  <c r="R2493" i="1"/>
  <c r="J2494" i="1"/>
  <c r="Q2494" i="1"/>
  <c r="R2494" i="1"/>
  <c r="J8695" i="1"/>
  <c r="Q8695" i="1"/>
  <c r="R8695" i="1"/>
  <c r="J8696" i="1"/>
  <c r="Q8696" i="1"/>
  <c r="R8696" i="1"/>
  <c r="J8697" i="1"/>
  <c r="Q8697" i="1"/>
  <c r="R8697" i="1"/>
  <c r="J8698" i="1"/>
  <c r="Q8698" i="1"/>
  <c r="R8698" i="1"/>
  <c r="J2495" i="1"/>
  <c r="Q2495" i="1"/>
  <c r="R2495" i="1"/>
  <c r="J2496" i="1"/>
  <c r="Q2496" i="1"/>
  <c r="R2496" i="1"/>
  <c r="J8699" i="1"/>
  <c r="Q8699" i="1"/>
  <c r="R8699" i="1"/>
  <c r="J8700" i="1"/>
  <c r="Q8700" i="1"/>
  <c r="R8700" i="1"/>
  <c r="J8701" i="1"/>
  <c r="Q8701" i="1"/>
  <c r="R8701" i="1"/>
  <c r="J2497" i="1"/>
  <c r="Q2497" i="1"/>
  <c r="R2497" i="1"/>
  <c r="J8702" i="1"/>
  <c r="Q8702" i="1"/>
  <c r="R8702" i="1"/>
  <c r="J8703" i="1"/>
  <c r="Q8703" i="1"/>
  <c r="R8703" i="1"/>
  <c r="J8704" i="1"/>
  <c r="Q8704" i="1"/>
  <c r="R8704" i="1"/>
  <c r="J2498" i="1"/>
  <c r="Q2498" i="1"/>
  <c r="R2498" i="1"/>
  <c r="J8705" i="1"/>
  <c r="Q8705" i="1"/>
  <c r="R8705" i="1"/>
  <c r="J2499" i="1"/>
  <c r="Q2499" i="1"/>
  <c r="R2499" i="1"/>
  <c r="J8706" i="1"/>
  <c r="Q8706" i="1"/>
  <c r="R8706" i="1"/>
  <c r="J8707" i="1"/>
  <c r="Q8707" i="1"/>
  <c r="R8707" i="1"/>
  <c r="J8708" i="1"/>
  <c r="Q8708" i="1"/>
  <c r="R8708" i="1"/>
  <c r="J2500" i="1"/>
  <c r="Q2500" i="1"/>
  <c r="R2500" i="1"/>
  <c r="J8709" i="1"/>
  <c r="Q8709" i="1"/>
  <c r="R8709" i="1"/>
  <c r="J8710" i="1"/>
  <c r="Q8710" i="1"/>
  <c r="R8710" i="1"/>
  <c r="J8711" i="1"/>
  <c r="Q8711" i="1"/>
  <c r="R8711" i="1"/>
  <c r="J8712" i="1"/>
  <c r="Q8712" i="1"/>
  <c r="R8712" i="1"/>
  <c r="J8713" i="1"/>
  <c r="Q8713" i="1"/>
  <c r="R8713" i="1"/>
  <c r="J8714" i="1"/>
  <c r="Q8714" i="1"/>
  <c r="R8714" i="1"/>
  <c r="J8715" i="1"/>
  <c r="Q8715" i="1"/>
  <c r="R8715" i="1"/>
  <c r="J8716" i="1"/>
  <c r="Q8716" i="1"/>
  <c r="R8716" i="1"/>
  <c r="J8717" i="1"/>
  <c r="Q8717" i="1"/>
  <c r="R8717" i="1"/>
  <c r="J2501" i="1"/>
  <c r="Q2501" i="1"/>
  <c r="R2501" i="1"/>
  <c r="J8718" i="1"/>
  <c r="Q8718" i="1"/>
  <c r="R8718" i="1"/>
  <c r="J8719" i="1"/>
  <c r="Q8719" i="1"/>
  <c r="R8719" i="1"/>
  <c r="J8720" i="1"/>
  <c r="Q8720" i="1"/>
  <c r="R8720" i="1"/>
  <c r="J8721" i="1"/>
  <c r="Q8721" i="1"/>
  <c r="R8721" i="1"/>
  <c r="J8722" i="1"/>
  <c r="Q8722" i="1"/>
  <c r="R8722" i="1"/>
  <c r="J2502" i="1"/>
  <c r="Q2502" i="1"/>
  <c r="R2502" i="1"/>
  <c r="J8723" i="1"/>
  <c r="Q8723" i="1"/>
  <c r="R8723" i="1"/>
  <c r="J8724" i="1"/>
  <c r="Q8724" i="1"/>
  <c r="R8724" i="1"/>
  <c r="J2503" i="1"/>
  <c r="Q2503" i="1"/>
  <c r="R2503" i="1"/>
  <c r="J8725" i="1"/>
  <c r="Q8725" i="1"/>
  <c r="R8725" i="1"/>
  <c r="J8726" i="1"/>
  <c r="Q8726" i="1"/>
  <c r="R8726" i="1"/>
  <c r="J8727" i="1"/>
  <c r="Q8727" i="1"/>
  <c r="R8727" i="1"/>
  <c r="J8728" i="1"/>
  <c r="Q8728" i="1"/>
  <c r="R8728" i="1"/>
  <c r="J8729" i="1"/>
  <c r="Q8729" i="1"/>
  <c r="R8729" i="1"/>
  <c r="J2504" i="1"/>
  <c r="Q2504" i="1"/>
  <c r="R2504" i="1"/>
  <c r="J2505" i="1"/>
  <c r="Q2505" i="1"/>
  <c r="R2505" i="1"/>
  <c r="J2506" i="1"/>
  <c r="Q2506" i="1"/>
  <c r="R2506" i="1"/>
  <c r="J8730" i="1"/>
  <c r="Q8730" i="1"/>
  <c r="R8730" i="1"/>
  <c r="J2507" i="1"/>
  <c r="Q2507" i="1"/>
  <c r="R2507" i="1"/>
  <c r="J2508" i="1"/>
  <c r="Q2508" i="1"/>
  <c r="R2508" i="1"/>
  <c r="J2509" i="1"/>
  <c r="Q2509" i="1"/>
  <c r="R2509" i="1"/>
  <c r="J2510" i="1"/>
  <c r="Q2510" i="1"/>
  <c r="R2510" i="1"/>
  <c r="J2511" i="1"/>
  <c r="Q2511" i="1"/>
  <c r="R2511" i="1"/>
  <c r="J2512" i="1"/>
  <c r="Q2512" i="1"/>
  <c r="R2512" i="1"/>
  <c r="J2513" i="1"/>
  <c r="Q2513" i="1"/>
  <c r="R2513" i="1"/>
  <c r="J2514" i="1"/>
  <c r="Q2514" i="1"/>
  <c r="R2514" i="1"/>
  <c r="J8731" i="1"/>
  <c r="Q8731" i="1"/>
  <c r="R8731" i="1"/>
  <c r="J8732" i="1"/>
  <c r="Q8732" i="1"/>
  <c r="R8732" i="1"/>
  <c r="J8733" i="1"/>
  <c r="Q8733" i="1"/>
  <c r="R8733" i="1"/>
  <c r="J8734" i="1"/>
  <c r="Q8734" i="1"/>
  <c r="R8734" i="1"/>
  <c r="J8735" i="1"/>
  <c r="Q8735" i="1"/>
  <c r="R8735" i="1"/>
  <c r="J8736" i="1"/>
  <c r="Q8736" i="1"/>
  <c r="R8736" i="1"/>
  <c r="J2515" i="1"/>
  <c r="Q2515" i="1"/>
  <c r="R2515" i="1"/>
  <c r="J8737" i="1"/>
  <c r="Q8737" i="1"/>
  <c r="R8737" i="1"/>
  <c r="J8738" i="1"/>
  <c r="Q8738" i="1"/>
  <c r="R8738" i="1"/>
  <c r="J8739" i="1"/>
  <c r="Q8739" i="1"/>
  <c r="R8739" i="1"/>
  <c r="J8740" i="1"/>
  <c r="Q8740" i="1"/>
  <c r="R8740" i="1"/>
  <c r="J2516" i="1"/>
  <c r="Q2516" i="1"/>
  <c r="R2516" i="1"/>
  <c r="J2517" i="1"/>
  <c r="Q2517" i="1"/>
  <c r="R2517" i="1"/>
  <c r="J8741" i="1"/>
  <c r="Q8741" i="1"/>
  <c r="R8741" i="1"/>
  <c r="J8742" i="1"/>
  <c r="Q8742" i="1"/>
  <c r="R8742" i="1"/>
  <c r="J8743" i="1"/>
  <c r="Q8743" i="1"/>
  <c r="R8743" i="1"/>
  <c r="J8744" i="1"/>
  <c r="Q8744" i="1"/>
  <c r="R8744" i="1"/>
  <c r="J2518" i="1"/>
  <c r="Q2518" i="1"/>
  <c r="R2518" i="1"/>
  <c r="J8745" i="1"/>
  <c r="Q8745" i="1"/>
  <c r="R8745" i="1"/>
  <c r="J8746" i="1"/>
  <c r="Q8746" i="1"/>
  <c r="R8746" i="1"/>
  <c r="J2519" i="1"/>
  <c r="Q2519" i="1"/>
  <c r="R2519" i="1"/>
  <c r="J2520" i="1"/>
  <c r="Q2520" i="1"/>
  <c r="R2520" i="1"/>
  <c r="J8747" i="1"/>
  <c r="Q8747" i="1"/>
  <c r="R8747" i="1"/>
  <c r="J2521" i="1"/>
  <c r="Q2521" i="1"/>
  <c r="R2521" i="1"/>
  <c r="J8748" i="1"/>
  <c r="Q8748" i="1"/>
  <c r="R8748" i="1"/>
  <c r="J8749" i="1"/>
  <c r="Q8749" i="1"/>
  <c r="R8749" i="1"/>
  <c r="J8750" i="1"/>
  <c r="Q8750" i="1"/>
  <c r="R8750" i="1"/>
  <c r="J2522" i="1"/>
  <c r="Q2522" i="1"/>
  <c r="R2522" i="1"/>
  <c r="J2523" i="1"/>
  <c r="Q2523" i="1"/>
  <c r="R2523" i="1"/>
  <c r="J2524" i="1"/>
  <c r="Q2524" i="1"/>
  <c r="R2524" i="1"/>
  <c r="J2525" i="1"/>
  <c r="Q2525" i="1"/>
  <c r="R2525" i="1"/>
  <c r="J2526" i="1"/>
  <c r="Q2526" i="1"/>
  <c r="R2526" i="1"/>
  <c r="J2527" i="1"/>
  <c r="Q2527" i="1"/>
  <c r="R2527" i="1"/>
  <c r="J8751" i="1"/>
  <c r="Q8751" i="1"/>
  <c r="R8751" i="1"/>
  <c r="J2528" i="1"/>
  <c r="Q2528" i="1"/>
  <c r="R2528" i="1"/>
  <c r="J8752" i="1"/>
  <c r="Q8752" i="1"/>
  <c r="R8752" i="1"/>
  <c r="J8753" i="1"/>
  <c r="Q8753" i="1"/>
  <c r="R8753" i="1"/>
  <c r="J2529" i="1"/>
  <c r="Q2529" i="1"/>
  <c r="R2529" i="1"/>
  <c r="J2530" i="1"/>
  <c r="Q2530" i="1"/>
  <c r="R2530" i="1"/>
  <c r="J2531" i="1"/>
  <c r="Q2531" i="1"/>
  <c r="R2531" i="1"/>
  <c r="J2532" i="1"/>
  <c r="Q2532" i="1"/>
  <c r="R2532" i="1"/>
  <c r="J2533" i="1"/>
  <c r="Q2533" i="1"/>
  <c r="R2533" i="1"/>
  <c r="J8754" i="1"/>
  <c r="Q8754" i="1"/>
  <c r="R8754" i="1"/>
  <c r="J2534" i="1"/>
  <c r="Q2534" i="1"/>
  <c r="R2534" i="1"/>
  <c r="J8755" i="1"/>
  <c r="Q8755" i="1"/>
  <c r="R8755" i="1"/>
  <c r="J2535" i="1"/>
  <c r="Q2535" i="1"/>
  <c r="R2535" i="1"/>
  <c r="J2536" i="1"/>
  <c r="Q2536" i="1"/>
  <c r="R2536" i="1"/>
  <c r="J8756" i="1"/>
  <c r="Q8756" i="1"/>
  <c r="R8756" i="1"/>
  <c r="J2537" i="1"/>
  <c r="Q2537" i="1"/>
  <c r="R2537" i="1"/>
  <c r="J2538" i="1"/>
  <c r="Q2538" i="1"/>
  <c r="R2538" i="1"/>
  <c r="J8757" i="1"/>
  <c r="Q8757" i="1"/>
  <c r="R8757" i="1"/>
  <c r="J8758" i="1"/>
  <c r="Q8758" i="1"/>
  <c r="R8758" i="1"/>
  <c r="J8759" i="1"/>
  <c r="Q8759" i="1"/>
  <c r="R8759" i="1"/>
  <c r="J8760" i="1"/>
  <c r="Q8760" i="1"/>
  <c r="R8760" i="1"/>
  <c r="J2539" i="1"/>
  <c r="Q2539" i="1"/>
  <c r="R2539" i="1"/>
  <c r="J2540" i="1"/>
  <c r="Q2540" i="1"/>
  <c r="R2540" i="1"/>
  <c r="J8761" i="1"/>
  <c r="Q8761" i="1"/>
  <c r="R8761" i="1"/>
  <c r="J2541" i="1"/>
  <c r="Q2541" i="1"/>
  <c r="R2541" i="1"/>
  <c r="J2542" i="1"/>
  <c r="Q2542" i="1"/>
  <c r="R2542" i="1"/>
  <c r="J2543" i="1"/>
  <c r="Q2543" i="1"/>
  <c r="R2543" i="1"/>
  <c r="J2544" i="1"/>
  <c r="Q2544" i="1"/>
  <c r="R2544" i="1"/>
  <c r="J2545" i="1"/>
  <c r="Q2545" i="1"/>
  <c r="R2545" i="1"/>
  <c r="J2546" i="1"/>
  <c r="Q2546" i="1"/>
  <c r="R2546" i="1"/>
  <c r="J2547" i="1"/>
  <c r="Q2547" i="1"/>
  <c r="R2547" i="1"/>
  <c r="J2548" i="1"/>
  <c r="Q2548" i="1"/>
  <c r="R2548" i="1"/>
  <c r="J2549" i="1"/>
  <c r="Q2549" i="1"/>
  <c r="R2549" i="1"/>
  <c r="J2550" i="1"/>
  <c r="Q2550" i="1"/>
  <c r="R2550" i="1"/>
  <c r="J8762" i="1"/>
  <c r="Q8762" i="1"/>
  <c r="R8762" i="1"/>
  <c r="J2551" i="1"/>
  <c r="Q2551" i="1"/>
  <c r="R2551" i="1"/>
  <c r="J2552" i="1"/>
  <c r="Q2552" i="1"/>
  <c r="R2552" i="1"/>
  <c r="J2553" i="1"/>
  <c r="Q2553" i="1"/>
  <c r="R2553" i="1"/>
  <c r="J2554" i="1"/>
  <c r="Q2554" i="1"/>
  <c r="R2554" i="1"/>
  <c r="J2555" i="1"/>
  <c r="Q2555" i="1"/>
  <c r="R2555" i="1"/>
  <c r="J2556" i="1"/>
  <c r="Q2556" i="1"/>
  <c r="R2556" i="1"/>
  <c r="J8763" i="1"/>
  <c r="Q8763" i="1"/>
  <c r="R8763" i="1"/>
  <c r="J8764" i="1"/>
  <c r="Q8764" i="1"/>
  <c r="R8764" i="1"/>
  <c r="J8765" i="1"/>
  <c r="Q8765" i="1"/>
  <c r="R8765" i="1"/>
  <c r="J8766" i="1"/>
  <c r="Q8766" i="1"/>
  <c r="R8766" i="1"/>
  <c r="J2557" i="1"/>
  <c r="Q2557" i="1"/>
  <c r="R2557" i="1"/>
  <c r="J8767" i="1"/>
  <c r="Q8767" i="1"/>
  <c r="R8767" i="1"/>
  <c r="J2558" i="1"/>
  <c r="Q2558" i="1"/>
  <c r="R2558" i="1"/>
  <c r="J8768" i="1"/>
  <c r="Q8768" i="1"/>
  <c r="R8768" i="1"/>
  <c r="J2559" i="1"/>
  <c r="Q2559" i="1"/>
  <c r="R2559" i="1"/>
  <c r="J2560" i="1"/>
  <c r="Q2560" i="1"/>
  <c r="R2560" i="1"/>
  <c r="J2561" i="1"/>
  <c r="Q2561" i="1"/>
  <c r="R2561" i="1"/>
  <c r="J2562" i="1"/>
  <c r="Q2562" i="1"/>
  <c r="R2562" i="1"/>
  <c r="J2563" i="1"/>
  <c r="Q2563" i="1"/>
  <c r="R2563" i="1"/>
  <c r="J2564" i="1"/>
  <c r="Q2564" i="1"/>
  <c r="R2564" i="1"/>
  <c r="J8769" i="1"/>
  <c r="Q8769" i="1"/>
  <c r="R8769" i="1"/>
  <c r="J2565" i="1"/>
  <c r="Q2565" i="1"/>
  <c r="R2565" i="1"/>
  <c r="J8770" i="1"/>
  <c r="Q8770" i="1"/>
  <c r="R8770" i="1"/>
  <c r="J8771" i="1"/>
  <c r="Q8771" i="1"/>
  <c r="R8771" i="1"/>
  <c r="J8772" i="1"/>
  <c r="Q8772" i="1"/>
  <c r="R8772" i="1"/>
  <c r="J8773" i="1"/>
  <c r="Q8773" i="1"/>
  <c r="R8773" i="1"/>
  <c r="J8774" i="1"/>
  <c r="Q8774" i="1"/>
  <c r="R8774" i="1"/>
  <c r="J8775" i="1"/>
  <c r="Q8775" i="1"/>
  <c r="R8775" i="1"/>
  <c r="J8776" i="1"/>
  <c r="Q8776" i="1"/>
  <c r="R8776" i="1"/>
  <c r="J8777" i="1"/>
  <c r="Q8777" i="1"/>
  <c r="R8777" i="1"/>
  <c r="J8778" i="1"/>
  <c r="Q8778" i="1"/>
  <c r="R8778" i="1"/>
  <c r="J8779" i="1"/>
  <c r="Q8779" i="1"/>
  <c r="R8779" i="1"/>
  <c r="J8780" i="1"/>
  <c r="Q8780" i="1"/>
  <c r="R8780" i="1"/>
  <c r="J8781" i="1"/>
  <c r="Q8781" i="1"/>
  <c r="R8781" i="1"/>
  <c r="J8782" i="1"/>
  <c r="Q8782" i="1"/>
  <c r="R8782" i="1"/>
  <c r="J8783" i="1"/>
  <c r="Q8783" i="1"/>
  <c r="R8783" i="1"/>
  <c r="J8784" i="1"/>
  <c r="Q8784" i="1"/>
  <c r="R8784" i="1"/>
  <c r="J8785" i="1"/>
  <c r="Q8785" i="1"/>
  <c r="R8785" i="1"/>
  <c r="J8786" i="1"/>
  <c r="Q8786" i="1"/>
  <c r="R8786" i="1"/>
  <c r="J8787" i="1"/>
  <c r="Q8787" i="1"/>
  <c r="R8787" i="1"/>
  <c r="J8788" i="1"/>
  <c r="Q8788" i="1"/>
  <c r="R8788" i="1"/>
  <c r="J8789" i="1"/>
  <c r="Q8789" i="1"/>
  <c r="R8789" i="1"/>
  <c r="J8790" i="1"/>
  <c r="Q8790" i="1"/>
  <c r="R8790" i="1"/>
  <c r="J8791" i="1"/>
  <c r="Q8791" i="1"/>
  <c r="R8791" i="1"/>
  <c r="J8792" i="1"/>
  <c r="Q8792" i="1"/>
  <c r="R8792" i="1"/>
  <c r="J8793" i="1"/>
  <c r="Q8793" i="1"/>
  <c r="R8793" i="1"/>
  <c r="J8794" i="1"/>
  <c r="Q8794" i="1"/>
  <c r="R8794" i="1"/>
  <c r="J8795" i="1"/>
  <c r="Q8795" i="1"/>
  <c r="R8795" i="1"/>
  <c r="J8796" i="1"/>
  <c r="Q8796" i="1"/>
  <c r="R8796" i="1"/>
  <c r="J8797" i="1"/>
  <c r="Q8797" i="1"/>
  <c r="R8797" i="1"/>
  <c r="J8798" i="1"/>
  <c r="Q8798" i="1"/>
  <c r="R8798" i="1"/>
  <c r="J8799" i="1"/>
  <c r="Q8799" i="1"/>
  <c r="R8799" i="1"/>
  <c r="J8800" i="1"/>
  <c r="Q8800" i="1"/>
  <c r="R8800" i="1"/>
  <c r="J8801" i="1"/>
  <c r="Q8801" i="1"/>
  <c r="R8801" i="1"/>
  <c r="J8802" i="1"/>
  <c r="Q8802" i="1"/>
  <c r="R8802" i="1"/>
  <c r="J8803" i="1"/>
  <c r="Q8803" i="1"/>
  <c r="R8803" i="1"/>
  <c r="J8804" i="1"/>
  <c r="Q8804" i="1"/>
  <c r="R8804" i="1"/>
  <c r="J8805" i="1"/>
  <c r="Q8805" i="1"/>
  <c r="R8805" i="1"/>
  <c r="J8806" i="1"/>
  <c r="Q8806" i="1"/>
  <c r="R8806" i="1"/>
  <c r="J2566" i="1"/>
  <c r="Q2566" i="1"/>
  <c r="R2566" i="1"/>
  <c r="J8807" i="1"/>
  <c r="Q8807" i="1"/>
  <c r="R8807" i="1"/>
  <c r="J8808" i="1"/>
  <c r="Q8808" i="1"/>
  <c r="R8808" i="1"/>
  <c r="J8809" i="1"/>
  <c r="Q8809" i="1"/>
  <c r="R8809" i="1"/>
  <c r="J8810" i="1"/>
  <c r="Q8810" i="1"/>
  <c r="R8810" i="1"/>
  <c r="J2567" i="1"/>
  <c r="Q2567" i="1"/>
  <c r="R2567" i="1"/>
  <c r="J2568" i="1"/>
  <c r="Q2568" i="1"/>
  <c r="R2568" i="1"/>
  <c r="J2569" i="1"/>
  <c r="Q2569" i="1"/>
  <c r="R2569" i="1"/>
  <c r="J8811" i="1"/>
  <c r="Q8811" i="1"/>
  <c r="R8811" i="1"/>
  <c r="J8812" i="1"/>
  <c r="Q8812" i="1"/>
  <c r="R8812" i="1"/>
  <c r="J8813" i="1"/>
  <c r="Q8813" i="1"/>
  <c r="R8813" i="1"/>
  <c r="J8814" i="1"/>
  <c r="Q8814" i="1"/>
  <c r="R8814" i="1"/>
  <c r="J8815" i="1"/>
  <c r="Q8815" i="1"/>
  <c r="R8815" i="1"/>
  <c r="J8816" i="1"/>
  <c r="Q8816" i="1"/>
  <c r="R8816" i="1"/>
  <c r="J8817" i="1"/>
  <c r="Q8817" i="1"/>
  <c r="R8817" i="1"/>
  <c r="J8818" i="1"/>
  <c r="Q8818" i="1"/>
  <c r="R8818" i="1"/>
  <c r="J8819" i="1"/>
  <c r="Q8819" i="1"/>
  <c r="R8819" i="1"/>
  <c r="J8820" i="1"/>
  <c r="Q8820" i="1"/>
  <c r="R8820" i="1"/>
  <c r="J8821" i="1"/>
  <c r="Q8821" i="1"/>
  <c r="R8821" i="1"/>
  <c r="J8822" i="1"/>
  <c r="Q8822" i="1"/>
  <c r="R8822" i="1"/>
  <c r="J8823" i="1"/>
  <c r="Q8823" i="1"/>
  <c r="R8823" i="1"/>
  <c r="J8824" i="1"/>
  <c r="Q8824" i="1"/>
  <c r="R8824" i="1"/>
  <c r="J8825" i="1"/>
  <c r="Q8825" i="1"/>
  <c r="R8825" i="1"/>
  <c r="J8826" i="1"/>
  <c r="Q8826" i="1"/>
  <c r="R8826" i="1"/>
  <c r="J2570" i="1"/>
  <c r="Q2570" i="1"/>
  <c r="R2570" i="1"/>
  <c r="J8827" i="1"/>
  <c r="Q8827" i="1"/>
  <c r="R8827" i="1"/>
  <c r="J2571" i="1"/>
  <c r="Q2571" i="1"/>
  <c r="R2571" i="1"/>
  <c r="J2572" i="1"/>
  <c r="Q2572" i="1"/>
  <c r="R2572" i="1"/>
  <c r="J2573" i="1"/>
  <c r="Q2573" i="1"/>
  <c r="R2573" i="1"/>
  <c r="J2574" i="1"/>
  <c r="Q2574" i="1"/>
  <c r="R2574" i="1"/>
  <c r="J2575" i="1"/>
  <c r="Q2575" i="1"/>
  <c r="R2575" i="1"/>
  <c r="J2576" i="1"/>
  <c r="Q2576" i="1"/>
  <c r="R2576" i="1"/>
  <c r="J2577" i="1"/>
  <c r="Q2577" i="1"/>
  <c r="R2577" i="1"/>
  <c r="J8828" i="1"/>
  <c r="Q8828" i="1"/>
  <c r="R8828" i="1"/>
  <c r="J2578" i="1"/>
  <c r="Q2578" i="1"/>
  <c r="R2578" i="1"/>
  <c r="J2579" i="1"/>
  <c r="Q2579" i="1"/>
  <c r="R2579" i="1"/>
  <c r="J2580" i="1"/>
  <c r="Q2580" i="1"/>
  <c r="R2580" i="1"/>
  <c r="J2581" i="1"/>
  <c r="Q2581" i="1"/>
  <c r="R2581" i="1"/>
  <c r="J2582" i="1"/>
  <c r="Q2582" i="1"/>
  <c r="R2582" i="1"/>
  <c r="J2583" i="1"/>
  <c r="Q2583" i="1"/>
  <c r="R2583" i="1"/>
  <c r="J2584" i="1"/>
  <c r="Q2584" i="1"/>
  <c r="R2584" i="1"/>
  <c r="J2585" i="1"/>
  <c r="Q2585" i="1"/>
  <c r="R2585" i="1"/>
  <c r="J2586" i="1"/>
  <c r="Q2586" i="1"/>
  <c r="R2586" i="1"/>
  <c r="J2587" i="1"/>
  <c r="Q2587" i="1"/>
  <c r="R2587" i="1"/>
  <c r="J2588" i="1"/>
  <c r="Q2588" i="1"/>
  <c r="R2588" i="1"/>
  <c r="J2589" i="1"/>
  <c r="Q2589" i="1"/>
  <c r="R2589" i="1"/>
  <c r="J2590" i="1"/>
  <c r="Q2590" i="1"/>
  <c r="R2590" i="1"/>
  <c r="J2591" i="1"/>
  <c r="Q2591" i="1"/>
  <c r="R2591" i="1"/>
  <c r="J2592" i="1"/>
  <c r="Q2592" i="1"/>
  <c r="R2592" i="1"/>
  <c r="J2593" i="1"/>
  <c r="Q2593" i="1"/>
  <c r="R2593" i="1"/>
  <c r="J2594" i="1"/>
  <c r="Q2594" i="1"/>
  <c r="R2594" i="1"/>
  <c r="J2595" i="1"/>
  <c r="Q2595" i="1"/>
  <c r="R2595" i="1"/>
  <c r="J2596" i="1"/>
  <c r="Q2596" i="1"/>
  <c r="R2596" i="1"/>
  <c r="J2597" i="1"/>
  <c r="Q2597" i="1"/>
  <c r="R2597" i="1"/>
  <c r="J2598" i="1"/>
  <c r="Q2598" i="1"/>
  <c r="R2598" i="1"/>
  <c r="J2599" i="1"/>
  <c r="Q2599" i="1"/>
  <c r="R2599" i="1"/>
  <c r="J2600" i="1"/>
  <c r="Q2600" i="1"/>
  <c r="R2600" i="1"/>
  <c r="J2601" i="1"/>
  <c r="Q2601" i="1"/>
  <c r="R2601" i="1"/>
  <c r="J2602" i="1"/>
  <c r="Q2602" i="1"/>
  <c r="R2602" i="1"/>
  <c r="J2603" i="1"/>
  <c r="Q2603" i="1"/>
  <c r="R2603" i="1"/>
  <c r="J8829" i="1"/>
  <c r="Q8829" i="1"/>
  <c r="R8829" i="1"/>
  <c r="J8830" i="1"/>
  <c r="Q8830" i="1"/>
  <c r="R8830" i="1"/>
  <c r="J2604" i="1"/>
  <c r="Q2604" i="1"/>
  <c r="R2604" i="1"/>
  <c r="J2605" i="1"/>
  <c r="Q2605" i="1"/>
  <c r="R2605" i="1"/>
  <c r="J2606" i="1"/>
  <c r="Q2606" i="1"/>
  <c r="R2606" i="1"/>
  <c r="J2607" i="1"/>
  <c r="Q2607" i="1"/>
  <c r="R2607" i="1"/>
  <c r="J2608" i="1"/>
  <c r="Q2608" i="1"/>
  <c r="R2608" i="1"/>
  <c r="J2609" i="1"/>
  <c r="Q2609" i="1"/>
  <c r="R2609" i="1"/>
  <c r="J2610" i="1"/>
  <c r="Q2610" i="1"/>
  <c r="R2610" i="1"/>
  <c r="J8831" i="1"/>
  <c r="Q8831" i="1"/>
  <c r="R8831" i="1"/>
  <c r="J2611" i="1"/>
  <c r="Q2611" i="1"/>
  <c r="R2611" i="1"/>
  <c r="J2612" i="1"/>
  <c r="Q2612" i="1"/>
  <c r="R2612" i="1"/>
  <c r="J2613" i="1"/>
  <c r="Q2613" i="1"/>
  <c r="R2613" i="1"/>
  <c r="J2614" i="1"/>
  <c r="Q2614" i="1"/>
  <c r="R2614" i="1"/>
  <c r="J2615" i="1"/>
  <c r="Q2615" i="1"/>
  <c r="R2615" i="1"/>
  <c r="J2616" i="1"/>
  <c r="Q2616" i="1"/>
  <c r="R2616" i="1"/>
  <c r="J2617" i="1"/>
  <c r="Q2617" i="1"/>
  <c r="R2617" i="1"/>
  <c r="J2618" i="1"/>
  <c r="Q2618" i="1"/>
  <c r="R2618" i="1"/>
  <c r="J2619" i="1"/>
  <c r="Q2619" i="1"/>
  <c r="R2619" i="1"/>
  <c r="J2620" i="1"/>
  <c r="Q2620" i="1"/>
  <c r="R2620" i="1"/>
  <c r="J8832" i="1"/>
  <c r="Q8832" i="1"/>
  <c r="R8832" i="1"/>
  <c r="J2621" i="1"/>
  <c r="Q2621" i="1"/>
  <c r="R2621" i="1"/>
  <c r="J2622" i="1"/>
  <c r="Q2622" i="1"/>
  <c r="R2622" i="1"/>
  <c r="J8833" i="1"/>
  <c r="Q8833" i="1"/>
  <c r="R8833" i="1"/>
  <c r="J8834" i="1"/>
  <c r="Q8834" i="1"/>
  <c r="R8834" i="1"/>
  <c r="J8835" i="1"/>
  <c r="Q8835" i="1"/>
  <c r="R8835" i="1"/>
  <c r="J8836" i="1"/>
  <c r="Q8836" i="1"/>
  <c r="R8836" i="1"/>
  <c r="J2623" i="1"/>
  <c r="Q2623" i="1"/>
  <c r="R2623" i="1"/>
  <c r="J8837" i="1"/>
  <c r="Q8837" i="1"/>
  <c r="R8837" i="1"/>
  <c r="J8838" i="1"/>
  <c r="Q8838" i="1"/>
  <c r="R8838" i="1"/>
  <c r="J8839" i="1"/>
  <c r="Q8839" i="1"/>
  <c r="R8839" i="1"/>
  <c r="J8840" i="1"/>
  <c r="Q8840" i="1"/>
  <c r="R8840" i="1"/>
  <c r="J8841" i="1"/>
  <c r="Q8841" i="1"/>
  <c r="R8841" i="1"/>
  <c r="J8842" i="1"/>
  <c r="Q8842" i="1"/>
  <c r="R8842" i="1"/>
  <c r="J8843" i="1"/>
  <c r="Q8843" i="1"/>
  <c r="R8843" i="1"/>
  <c r="J2624" i="1"/>
  <c r="Q2624" i="1"/>
  <c r="R2624" i="1"/>
  <c r="J8844" i="1"/>
  <c r="Q8844" i="1"/>
  <c r="R8844" i="1"/>
  <c r="J2625" i="1"/>
  <c r="Q2625" i="1"/>
  <c r="R2625" i="1"/>
  <c r="J2626" i="1"/>
  <c r="Q2626" i="1"/>
  <c r="R2626" i="1"/>
  <c r="J2627" i="1"/>
  <c r="Q2627" i="1"/>
  <c r="R2627" i="1"/>
  <c r="J8845" i="1"/>
  <c r="Q8845" i="1"/>
  <c r="R8845" i="1"/>
  <c r="J8846" i="1"/>
  <c r="Q8846" i="1"/>
  <c r="R8846" i="1"/>
  <c r="J8847" i="1"/>
  <c r="Q8847" i="1"/>
  <c r="R8847" i="1"/>
  <c r="J8848" i="1"/>
  <c r="Q8848" i="1"/>
  <c r="R8848" i="1"/>
  <c r="J2628" i="1"/>
  <c r="Q2628" i="1"/>
  <c r="R2628" i="1"/>
  <c r="J2629" i="1"/>
  <c r="Q2629" i="1"/>
  <c r="R2629" i="1"/>
  <c r="J8849" i="1"/>
  <c r="Q8849" i="1"/>
  <c r="R8849" i="1"/>
  <c r="J8850" i="1"/>
  <c r="Q8850" i="1"/>
  <c r="R8850" i="1"/>
  <c r="J8851" i="1"/>
  <c r="Q8851" i="1"/>
  <c r="R8851" i="1"/>
  <c r="J8852" i="1"/>
  <c r="Q8852" i="1"/>
  <c r="R8852" i="1"/>
  <c r="J8853" i="1"/>
  <c r="Q8853" i="1"/>
  <c r="R8853" i="1"/>
  <c r="J8854" i="1"/>
  <c r="Q8854" i="1"/>
  <c r="R8854" i="1"/>
  <c r="J8855" i="1"/>
  <c r="Q8855" i="1"/>
  <c r="R8855" i="1"/>
  <c r="J2630" i="1"/>
  <c r="Q2630" i="1"/>
  <c r="R2630" i="1"/>
  <c r="J2631" i="1"/>
  <c r="Q2631" i="1"/>
  <c r="R2631" i="1"/>
  <c r="J2632" i="1"/>
  <c r="Q2632" i="1"/>
  <c r="R2632" i="1"/>
  <c r="J2633" i="1"/>
  <c r="Q2633" i="1"/>
  <c r="R2633" i="1"/>
  <c r="J2634" i="1"/>
  <c r="Q2634" i="1"/>
  <c r="R2634" i="1"/>
  <c r="J8856" i="1"/>
  <c r="Q8856" i="1"/>
  <c r="R8856" i="1"/>
  <c r="J8857" i="1"/>
  <c r="Q8857" i="1"/>
  <c r="R8857" i="1"/>
  <c r="J8858" i="1"/>
  <c r="Q8858" i="1"/>
  <c r="R8858" i="1"/>
  <c r="J8859" i="1"/>
  <c r="Q8859" i="1"/>
  <c r="R8859" i="1"/>
  <c r="J8860" i="1"/>
  <c r="Q8860" i="1"/>
  <c r="R8860" i="1"/>
  <c r="J8861" i="1"/>
  <c r="Q8861" i="1"/>
  <c r="R8861" i="1"/>
  <c r="J8862" i="1"/>
  <c r="Q8862" i="1"/>
  <c r="R8862" i="1"/>
  <c r="J8863" i="1"/>
  <c r="Q8863" i="1"/>
  <c r="R8863" i="1"/>
  <c r="J8864" i="1"/>
  <c r="Q8864" i="1"/>
  <c r="R8864" i="1"/>
  <c r="J8865" i="1"/>
  <c r="Q8865" i="1"/>
  <c r="R8865" i="1"/>
  <c r="J2635" i="1"/>
  <c r="Q2635" i="1"/>
  <c r="R2635" i="1"/>
  <c r="J2636" i="1"/>
  <c r="Q2636" i="1"/>
  <c r="R2636" i="1"/>
  <c r="J2637" i="1"/>
  <c r="Q2637" i="1"/>
  <c r="R2637" i="1"/>
  <c r="J2638" i="1"/>
  <c r="Q2638" i="1"/>
  <c r="R2638" i="1"/>
  <c r="J2639" i="1"/>
  <c r="Q2639" i="1"/>
  <c r="R2639" i="1"/>
  <c r="J8866" i="1"/>
  <c r="Q8866" i="1"/>
  <c r="R8866" i="1"/>
  <c r="J8867" i="1"/>
  <c r="Q8867" i="1"/>
  <c r="R8867" i="1"/>
  <c r="J2640" i="1"/>
  <c r="Q2640" i="1"/>
  <c r="R2640" i="1"/>
  <c r="J2641" i="1"/>
  <c r="Q2641" i="1"/>
  <c r="R2641" i="1"/>
  <c r="J2642" i="1"/>
  <c r="Q2642" i="1"/>
  <c r="R2642" i="1"/>
  <c r="J8868" i="1"/>
  <c r="Q8868" i="1"/>
  <c r="R8868" i="1"/>
  <c r="J8869" i="1"/>
  <c r="Q8869" i="1"/>
  <c r="R8869" i="1"/>
  <c r="J2643" i="1"/>
  <c r="Q2643" i="1"/>
  <c r="R2643" i="1"/>
  <c r="J8870" i="1"/>
  <c r="Q8870" i="1"/>
  <c r="R8870" i="1"/>
  <c r="J8871" i="1"/>
  <c r="Q8871" i="1"/>
  <c r="R8871" i="1"/>
  <c r="J8872" i="1"/>
  <c r="Q8872" i="1"/>
  <c r="R8872" i="1"/>
  <c r="J8873" i="1"/>
  <c r="Q8873" i="1"/>
  <c r="R8873" i="1"/>
  <c r="J8874" i="1"/>
  <c r="Q8874" i="1"/>
  <c r="R8874" i="1"/>
  <c r="J2644" i="1"/>
  <c r="Q2644" i="1"/>
  <c r="R2644" i="1"/>
  <c r="J2645" i="1"/>
  <c r="Q2645" i="1"/>
  <c r="R2645" i="1"/>
  <c r="J2646" i="1"/>
  <c r="Q2646" i="1"/>
  <c r="R2646" i="1"/>
  <c r="J2647" i="1"/>
  <c r="Q2647" i="1"/>
  <c r="R2647" i="1"/>
  <c r="J2648" i="1"/>
  <c r="Q2648" i="1"/>
  <c r="R2648" i="1"/>
  <c r="J8875" i="1"/>
  <c r="Q8875" i="1"/>
  <c r="R8875" i="1"/>
  <c r="J8876" i="1"/>
  <c r="Q8876" i="1"/>
  <c r="R8876" i="1"/>
  <c r="J8877" i="1"/>
  <c r="Q8877" i="1"/>
  <c r="R8877" i="1"/>
  <c r="J8878" i="1"/>
  <c r="Q8878" i="1"/>
  <c r="R8878" i="1"/>
  <c r="J8879" i="1"/>
  <c r="Q8879" i="1"/>
  <c r="R8879" i="1"/>
  <c r="J8880" i="1"/>
  <c r="Q8880" i="1"/>
  <c r="R8880" i="1"/>
  <c r="J8881" i="1"/>
  <c r="Q8881" i="1"/>
  <c r="R8881" i="1"/>
  <c r="J8882" i="1"/>
  <c r="Q8882" i="1"/>
  <c r="R8882" i="1"/>
  <c r="J8883" i="1"/>
  <c r="Q8883" i="1"/>
  <c r="R8883" i="1"/>
  <c r="J8884" i="1"/>
  <c r="Q8884" i="1"/>
  <c r="R8884" i="1"/>
  <c r="J8885" i="1"/>
  <c r="Q8885" i="1"/>
  <c r="R8885" i="1"/>
  <c r="J8886" i="1"/>
  <c r="Q8886" i="1"/>
  <c r="R8886" i="1"/>
  <c r="J8887" i="1"/>
  <c r="Q8887" i="1"/>
  <c r="R8887" i="1"/>
  <c r="J8888" i="1"/>
  <c r="Q8888" i="1"/>
  <c r="R8888" i="1"/>
  <c r="J8889" i="1"/>
  <c r="Q8889" i="1"/>
  <c r="R8889" i="1"/>
  <c r="J8890" i="1"/>
  <c r="Q8890" i="1"/>
  <c r="R8890" i="1"/>
  <c r="J8891" i="1"/>
  <c r="Q8891" i="1"/>
  <c r="R8891" i="1"/>
  <c r="J8892" i="1"/>
  <c r="Q8892" i="1"/>
  <c r="R8892" i="1"/>
  <c r="J8893" i="1"/>
  <c r="Q8893" i="1"/>
  <c r="R8893" i="1"/>
  <c r="J2649" i="1"/>
  <c r="Q2649" i="1"/>
  <c r="R2649" i="1"/>
  <c r="J2650" i="1"/>
  <c r="Q2650" i="1"/>
  <c r="R2650" i="1"/>
  <c r="J2651" i="1"/>
  <c r="Q2651" i="1"/>
  <c r="R2651" i="1"/>
  <c r="J2652" i="1"/>
  <c r="Q2652" i="1"/>
  <c r="R2652" i="1"/>
  <c r="J2653" i="1"/>
  <c r="Q2653" i="1"/>
  <c r="R2653" i="1"/>
  <c r="J2654" i="1"/>
  <c r="Q2654" i="1"/>
  <c r="R2654" i="1"/>
  <c r="J8894" i="1"/>
  <c r="Q8894" i="1"/>
  <c r="R8894" i="1"/>
  <c r="J8895" i="1"/>
  <c r="Q8895" i="1"/>
  <c r="R8895" i="1"/>
  <c r="J8896" i="1"/>
  <c r="Q8896" i="1"/>
  <c r="R8896" i="1"/>
  <c r="J8897" i="1"/>
  <c r="Q8897" i="1"/>
  <c r="R8897" i="1"/>
  <c r="J8898" i="1"/>
  <c r="Q8898" i="1"/>
  <c r="R8898" i="1"/>
  <c r="J8899" i="1"/>
  <c r="Q8899" i="1"/>
  <c r="R8899" i="1"/>
  <c r="J8900" i="1"/>
  <c r="Q8900" i="1"/>
  <c r="R8900" i="1"/>
  <c r="J8901" i="1"/>
  <c r="Q8901" i="1"/>
  <c r="R8901" i="1"/>
  <c r="J8902" i="1"/>
  <c r="Q8902" i="1"/>
  <c r="R8902" i="1"/>
  <c r="J8903" i="1"/>
  <c r="Q8903" i="1"/>
  <c r="R8903" i="1"/>
  <c r="J8904" i="1"/>
  <c r="Q8904" i="1"/>
  <c r="R8904" i="1"/>
  <c r="J8905" i="1"/>
  <c r="Q8905" i="1"/>
  <c r="R8905" i="1"/>
  <c r="J8906" i="1"/>
  <c r="Q8906" i="1"/>
  <c r="R8906" i="1"/>
  <c r="J8907" i="1"/>
  <c r="Q8907" i="1"/>
  <c r="R8907" i="1"/>
  <c r="J8908" i="1"/>
  <c r="Q8908" i="1"/>
  <c r="R8908" i="1"/>
  <c r="J8909" i="1"/>
  <c r="Q8909" i="1"/>
  <c r="R8909" i="1"/>
  <c r="J8910" i="1"/>
  <c r="Q8910" i="1"/>
  <c r="R8910" i="1"/>
  <c r="J8911" i="1"/>
  <c r="Q8911" i="1"/>
  <c r="R8911" i="1"/>
  <c r="J8912" i="1"/>
  <c r="Q8912" i="1"/>
  <c r="R8912" i="1"/>
  <c r="J8913" i="1"/>
  <c r="Q8913" i="1"/>
  <c r="R8913" i="1"/>
  <c r="J2655" i="1"/>
  <c r="Q2655" i="1"/>
  <c r="R2655" i="1"/>
  <c r="J8914" i="1"/>
  <c r="Q8914" i="1"/>
  <c r="R8914" i="1"/>
  <c r="J2656" i="1"/>
  <c r="Q2656" i="1"/>
  <c r="R2656" i="1"/>
  <c r="J2657" i="1"/>
  <c r="Q2657" i="1"/>
  <c r="R2657" i="1"/>
  <c r="J2658" i="1"/>
  <c r="Q2658" i="1"/>
  <c r="R2658" i="1"/>
  <c r="J8915" i="1"/>
  <c r="Q8915" i="1"/>
  <c r="R8915" i="1"/>
  <c r="J8916" i="1"/>
  <c r="Q8916" i="1"/>
  <c r="R8916" i="1"/>
  <c r="J8917" i="1"/>
  <c r="Q8917" i="1"/>
  <c r="R8917" i="1"/>
  <c r="J8918" i="1"/>
  <c r="Q8918" i="1"/>
  <c r="R8918" i="1"/>
  <c r="J2659" i="1"/>
  <c r="Q2659" i="1"/>
  <c r="R2659" i="1"/>
  <c r="J2660" i="1"/>
  <c r="Q2660" i="1"/>
  <c r="R2660" i="1"/>
  <c r="J2661" i="1"/>
  <c r="Q2661" i="1"/>
  <c r="R2661" i="1"/>
  <c r="J2662" i="1"/>
  <c r="Q2662" i="1"/>
  <c r="R2662" i="1"/>
  <c r="J2663" i="1"/>
  <c r="Q2663" i="1"/>
  <c r="R2663" i="1"/>
  <c r="J2664" i="1"/>
  <c r="Q2664" i="1"/>
  <c r="R2664" i="1"/>
  <c r="J2665" i="1"/>
  <c r="Q2665" i="1"/>
  <c r="R2665" i="1"/>
  <c r="J8919" i="1"/>
  <c r="Q8919" i="1"/>
  <c r="R8919" i="1"/>
  <c r="J2666" i="1"/>
  <c r="Q2666" i="1"/>
  <c r="R2666" i="1"/>
  <c r="J8920" i="1"/>
  <c r="Q8920" i="1"/>
  <c r="R8920" i="1"/>
  <c r="J2667" i="1"/>
  <c r="Q2667" i="1"/>
  <c r="R2667" i="1"/>
  <c r="J2668" i="1"/>
  <c r="Q2668" i="1"/>
  <c r="R2668" i="1"/>
  <c r="J2669" i="1"/>
  <c r="Q2669" i="1"/>
  <c r="R2669" i="1"/>
  <c r="J8921" i="1"/>
  <c r="Q8921" i="1"/>
  <c r="R8921" i="1"/>
  <c r="J8922" i="1"/>
  <c r="Q8922" i="1"/>
  <c r="R8922" i="1"/>
  <c r="J8923" i="1"/>
  <c r="Q8923" i="1"/>
  <c r="R8923" i="1"/>
  <c r="J2670" i="1"/>
  <c r="Q2670" i="1"/>
  <c r="R2670" i="1"/>
  <c r="J8924" i="1"/>
  <c r="Q8924" i="1"/>
  <c r="R8924" i="1"/>
  <c r="J2671" i="1"/>
  <c r="Q2671" i="1"/>
  <c r="R2671" i="1"/>
  <c r="J8925" i="1"/>
  <c r="Q8925" i="1"/>
  <c r="R8925" i="1"/>
  <c r="J8926" i="1"/>
  <c r="Q8926" i="1"/>
  <c r="R8926" i="1"/>
  <c r="J2672" i="1"/>
  <c r="Q2672" i="1"/>
  <c r="R2672" i="1"/>
  <c r="J8927" i="1"/>
  <c r="Q8927" i="1"/>
  <c r="R8927" i="1"/>
  <c r="J8928" i="1"/>
  <c r="Q8928" i="1"/>
  <c r="R8928" i="1"/>
  <c r="J8929" i="1"/>
  <c r="Q8929" i="1"/>
  <c r="R8929" i="1"/>
  <c r="J8930" i="1"/>
  <c r="Q8930" i="1"/>
  <c r="R8930" i="1"/>
  <c r="J2673" i="1"/>
  <c r="Q2673" i="1"/>
  <c r="R2673" i="1"/>
  <c r="J2674" i="1"/>
  <c r="Q2674" i="1"/>
  <c r="R2674" i="1"/>
  <c r="J2675" i="1"/>
  <c r="Q2675" i="1"/>
  <c r="R2675" i="1"/>
  <c r="J2676" i="1"/>
  <c r="Q2676" i="1"/>
  <c r="R2676" i="1"/>
  <c r="J8931" i="1"/>
  <c r="Q8931" i="1"/>
  <c r="R8931" i="1"/>
  <c r="J8932" i="1"/>
  <c r="Q8932" i="1"/>
  <c r="R8932" i="1"/>
  <c r="J2677" i="1"/>
  <c r="Q2677" i="1"/>
  <c r="R2677" i="1"/>
  <c r="J2678" i="1"/>
  <c r="Q2678" i="1"/>
  <c r="R2678" i="1"/>
  <c r="J2679" i="1"/>
  <c r="Q2679" i="1"/>
  <c r="R2679" i="1"/>
  <c r="J8933" i="1"/>
  <c r="Q8933" i="1"/>
  <c r="R8933" i="1"/>
  <c r="J2680" i="1"/>
  <c r="Q2680" i="1"/>
  <c r="R2680" i="1"/>
  <c r="J2681" i="1"/>
  <c r="Q2681" i="1"/>
  <c r="R2681" i="1"/>
  <c r="J2682" i="1"/>
  <c r="Q2682" i="1"/>
  <c r="R2682" i="1"/>
  <c r="J2683" i="1"/>
  <c r="Q2683" i="1"/>
  <c r="R2683" i="1"/>
  <c r="J2684" i="1"/>
  <c r="Q2684" i="1"/>
  <c r="R2684" i="1"/>
  <c r="J8934" i="1"/>
  <c r="Q8934" i="1"/>
  <c r="R8934" i="1"/>
  <c r="J2685" i="1"/>
  <c r="Q2685" i="1"/>
  <c r="R2685" i="1"/>
  <c r="J2686" i="1"/>
  <c r="Q2686" i="1"/>
  <c r="R2686" i="1"/>
  <c r="J2687" i="1"/>
  <c r="Q2687" i="1"/>
  <c r="R2687" i="1"/>
  <c r="J2688" i="1"/>
  <c r="Q2688" i="1"/>
  <c r="R2688" i="1"/>
  <c r="J2689" i="1"/>
  <c r="Q2689" i="1"/>
  <c r="R2689" i="1"/>
  <c r="J2690" i="1"/>
  <c r="Q2690" i="1"/>
  <c r="R2690" i="1"/>
  <c r="J2691" i="1"/>
  <c r="Q2691" i="1"/>
  <c r="R2691" i="1"/>
  <c r="J8935" i="1"/>
  <c r="Q8935" i="1"/>
  <c r="R8935" i="1"/>
  <c r="J2692" i="1"/>
  <c r="Q2692" i="1"/>
  <c r="R2692" i="1"/>
  <c r="J8936" i="1"/>
  <c r="Q8936" i="1"/>
  <c r="R8936" i="1"/>
  <c r="J2693" i="1"/>
  <c r="Q2693" i="1"/>
  <c r="R2693" i="1"/>
  <c r="J2694" i="1"/>
  <c r="Q2694" i="1"/>
  <c r="R2694" i="1"/>
  <c r="J2695" i="1"/>
  <c r="Q2695" i="1"/>
  <c r="R2695" i="1"/>
  <c r="J2696" i="1"/>
  <c r="Q2696" i="1"/>
  <c r="R2696" i="1"/>
  <c r="J2697" i="1"/>
  <c r="Q2697" i="1"/>
  <c r="R2697" i="1"/>
  <c r="J2698" i="1"/>
  <c r="Q2698" i="1"/>
  <c r="R2698" i="1"/>
  <c r="J2699" i="1"/>
  <c r="Q2699" i="1"/>
  <c r="R2699" i="1"/>
  <c r="J2700" i="1"/>
  <c r="Q2700" i="1"/>
  <c r="R2700" i="1"/>
  <c r="J2701" i="1"/>
  <c r="Q2701" i="1"/>
  <c r="R2701" i="1"/>
  <c r="J2702" i="1"/>
  <c r="Q2702" i="1"/>
  <c r="R2702" i="1"/>
  <c r="J8937" i="1"/>
  <c r="Q8937" i="1"/>
  <c r="R8937" i="1"/>
  <c r="J8938" i="1"/>
  <c r="Q8938" i="1"/>
  <c r="R8938" i="1"/>
  <c r="J2703" i="1"/>
  <c r="Q2703" i="1"/>
  <c r="R2703" i="1"/>
  <c r="J2704" i="1"/>
  <c r="Q2704" i="1"/>
  <c r="R2704" i="1"/>
  <c r="J2705" i="1"/>
  <c r="Q2705" i="1"/>
  <c r="R2705" i="1"/>
  <c r="J2706" i="1"/>
  <c r="Q2706" i="1"/>
  <c r="R2706" i="1"/>
  <c r="J8939" i="1"/>
  <c r="Q8939" i="1"/>
  <c r="R8939" i="1"/>
  <c r="J2707" i="1"/>
  <c r="Q2707" i="1"/>
  <c r="R2707" i="1"/>
  <c r="J8940" i="1"/>
  <c r="Q8940" i="1"/>
  <c r="R8940" i="1"/>
  <c r="J8941" i="1"/>
  <c r="Q8941" i="1"/>
  <c r="R8941" i="1"/>
  <c r="J2708" i="1"/>
  <c r="Q2708" i="1"/>
  <c r="R2708" i="1"/>
  <c r="J8942" i="1"/>
  <c r="Q8942" i="1"/>
  <c r="R8942" i="1"/>
  <c r="J8943" i="1"/>
  <c r="Q8943" i="1"/>
  <c r="R8943" i="1"/>
  <c r="J8944" i="1"/>
  <c r="Q8944" i="1"/>
  <c r="R8944" i="1"/>
  <c r="J2709" i="1"/>
  <c r="Q2709" i="1"/>
  <c r="R2709" i="1"/>
  <c r="J8945" i="1"/>
  <c r="Q8945" i="1"/>
  <c r="R8945" i="1"/>
  <c r="J2710" i="1"/>
  <c r="Q2710" i="1"/>
  <c r="R2710" i="1"/>
  <c r="J2711" i="1"/>
  <c r="Q2711" i="1"/>
  <c r="R2711" i="1"/>
  <c r="J2712" i="1"/>
  <c r="Q2712" i="1"/>
  <c r="R2712" i="1"/>
  <c r="J8946" i="1"/>
  <c r="Q8946" i="1"/>
  <c r="R8946" i="1"/>
  <c r="J8947" i="1"/>
  <c r="Q8947" i="1"/>
  <c r="R8947" i="1"/>
  <c r="J8948" i="1"/>
  <c r="Q8948" i="1"/>
  <c r="R8948" i="1"/>
  <c r="J8949" i="1"/>
  <c r="Q8949" i="1"/>
  <c r="R8949" i="1"/>
  <c r="J8950" i="1"/>
  <c r="Q8950" i="1"/>
  <c r="R8950" i="1"/>
  <c r="J2713" i="1"/>
  <c r="Q2713" i="1"/>
  <c r="R2713" i="1"/>
  <c r="J8951" i="1"/>
  <c r="Q8951" i="1"/>
  <c r="R8951" i="1"/>
  <c r="J8952" i="1"/>
  <c r="Q8952" i="1"/>
  <c r="R8952" i="1"/>
  <c r="J8953" i="1"/>
  <c r="Q8953" i="1"/>
  <c r="R8953" i="1"/>
  <c r="J8954" i="1"/>
  <c r="Q8954" i="1"/>
  <c r="R8954" i="1"/>
  <c r="J8955" i="1"/>
  <c r="Q8955" i="1"/>
  <c r="R8955" i="1"/>
  <c r="J8956" i="1"/>
  <c r="Q8956" i="1"/>
  <c r="R8956" i="1"/>
  <c r="J8957" i="1"/>
  <c r="Q8957" i="1"/>
  <c r="R8957" i="1"/>
  <c r="J2714" i="1"/>
  <c r="Q2714" i="1"/>
  <c r="R2714" i="1"/>
  <c r="J2715" i="1"/>
  <c r="Q2715" i="1"/>
  <c r="R2715" i="1"/>
  <c r="J8958" i="1"/>
  <c r="Q8958" i="1"/>
  <c r="R8958" i="1"/>
  <c r="J8959" i="1"/>
  <c r="Q8959" i="1"/>
  <c r="R8959" i="1"/>
  <c r="J8960" i="1"/>
  <c r="Q8960" i="1"/>
  <c r="R8960" i="1"/>
  <c r="J8961" i="1"/>
  <c r="Q8961" i="1"/>
  <c r="R8961" i="1"/>
  <c r="J2716" i="1"/>
  <c r="Q2716" i="1"/>
  <c r="R2716" i="1"/>
  <c r="J8962" i="1"/>
  <c r="Q8962" i="1"/>
  <c r="R8962" i="1"/>
  <c r="J8963" i="1"/>
  <c r="Q8963" i="1"/>
  <c r="R8963" i="1"/>
  <c r="J8964" i="1"/>
  <c r="Q8964" i="1"/>
  <c r="R8964" i="1"/>
  <c r="J8965" i="1"/>
  <c r="Q8965" i="1"/>
  <c r="R8965" i="1"/>
  <c r="J8966" i="1"/>
  <c r="Q8966" i="1"/>
  <c r="R8966" i="1"/>
  <c r="J2717" i="1"/>
  <c r="Q2717" i="1"/>
  <c r="R2717" i="1"/>
  <c r="J8967" i="1"/>
  <c r="Q8967" i="1"/>
  <c r="R8967" i="1"/>
  <c r="J2718" i="1"/>
  <c r="Q2718" i="1"/>
  <c r="R2718" i="1"/>
  <c r="J2719" i="1"/>
  <c r="Q2719" i="1"/>
  <c r="R2719" i="1"/>
  <c r="J8968" i="1"/>
  <c r="Q8968" i="1"/>
  <c r="R8968" i="1"/>
  <c r="J8969" i="1"/>
  <c r="Q8969" i="1"/>
  <c r="R8969" i="1"/>
  <c r="J8970" i="1"/>
  <c r="Q8970" i="1"/>
  <c r="R8970" i="1"/>
  <c r="J8971" i="1"/>
  <c r="Q8971" i="1"/>
  <c r="R8971" i="1"/>
  <c r="J2720" i="1"/>
  <c r="Q2720" i="1"/>
  <c r="R2720" i="1"/>
  <c r="J2721" i="1"/>
  <c r="Q2721" i="1"/>
  <c r="R2721" i="1"/>
  <c r="J8972" i="1"/>
  <c r="Q8972" i="1"/>
  <c r="R8972" i="1"/>
  <c r="J8973" i="1"/>
  <c r="Q8973" i="1"/>
  <c r="R8973" i="1"/>
  <c r="J8974" i="1"/>
  <c r="Q8974" i="1"/>
  <c r="R8974" i="1"/>
  <c r="J2722" i="1"/>
  <c r="Q2722" i="1"/>
  <c r="R2722" i="1"/>
  <c r="J8975" i="1"/>
  <c r="Q8975" i="1"/>
  <c r="R8975" i="1"/>
  <c r="J2723" i="1"/>
  <c r="Q2723" i="1"/>
  <c r="R2723" i="1"/>
  <c r="J2724" i="1"/>
  <c r="Q2724" i="1"/>
  <c r="R2724" i="1"/>
  <c r="J2725" i="1"/>
  <c r="Q2725" i="1"/>
  <c r="R2725" i="1"/>
  <c r="J2726" i="1"/>
  <c r="Q2726" i="1"/>
  <c r="R2726" i="1"/>
  <c r="J2727" i="1"/>
  <c r="Q2727" i="1"/>
  <c r="R2727" i="1"/>
  <c r="J8976" i="1"/>
  <c r="Q8976" i="1"/>
  <c r="R8976" i="1"/>
  <c r="J8977" i="1"/>
  <c r="Q8977" i="1"/>
  <c r="R8977" i="1"/>
  <c r="J8978" i="1"/>
  <c r="Q8978" i="1"/>
  <c r="R8978" i="1"/>
  <c r="J8979" i="1"/>
  <c r="Q8979" i="1"/>
  <c r="R8979" i="1"/>
  <c r="J8980" i="1"/>
  <c r="Q8980" i="1"/>
  <c r="R8980" i="1"/>
  <c r="J8981" i="1"/>
  <c r="Q8981" i="1"/>
  <c r="R8981" i="1"/>
  <c r="J8982" i="1"/>
  <c r="Q8982" i="1"/>
  <c r="R8982" i="1"/>
  <c r="J8983" i="1"/>
  <c r="Q8983" i="1"/>
  <c r="R8983" i="1"/>
  <c r="J8984" i="1"/>
  <c r="Q8984" i="1"/>
  <c r="R8984" i="1"/>
  <c r="J8985" i="1"/>
  <c r="Q8985" i="1"/>
  <c r="R8985" i="1"/>
  <c r="J8986" i="1"/>
  <c r="Q8986" i="1"/>
  <c r="R8986" i="1"/>
  <c r="J8987" i="1"/>
  <c r="Q8987" i="1"/>
  <c r="R8987" i="1"/>
  <c r="J2728" i="1"/>
  <c r="Q2728" i="1"/>
  <c r="R2728" i="1"/>
  <c r="J2729" i="1"/>
  <c r="Q2729" i="1"/>
  <c r="R2729" i="1"/>
  <c r="J2730" i="1"/>
  <c r="Q2730" i="1"/>
  <c r="R2730" i="1"/>
  <c r="J8988" i="1"/>
  <c r="Q8988" i="1"/>
  <c r="R8988" i="1"/>
  <c r="J2731" i="1"/>
  <c r="Q2731" i="1"/>
  <c r="R2731" i="1"/>
  <c r="J8989" i="1"/>
  <c r="Q8989" i="1"/>
  <c r="R8989" i="1"/>
  <c r="J8990" i="1"/>
  <c r="Q8990" i="1"/>
  <c r="R8990" i="1"/>
  <c r="J2732" i="1"/>
  <c r="Q2732" i="1"/>
  <c r="R2732" i="1"/>
  <c r="J8991" i="1"/>
  <c r="Q8991" i="1"/>
  <c r="R8991" i="1"/>
  <c r="J8992" i="1"/>
  <c r="Q8992" i="1"/>
  <c r="R8992" i="1"/>
  <c r="J8993" i="1"/>
  <c r="Q8993" i="1"/>
  <c r="R8993" i="1"/>
  <c r="J8994" i="1"/>
  <c r="Q8994" i="1"/>
  <c r="R8994" i="1"/>
  <c r="J8995" i="1"/>
  <c r="Q8995" i="1"/>
  <c r="R8995" i="1"/>
  <c r="J8996" i="1"/>
  <c r="Q8996" i="1"/>
  <c r="R8996" i="1"/>
  <c r="J8997" i="1"/>
  <c r="Q8997" i="1"/>
  <c r="R8997" i="1"/>
  <c r="J8998" i="1"/>
  <c r="Q8998" i="1"/>
  <c r="R8998" i="1"/>
  <c r="J8999" i="1"/>
  <c r="Q8999" i="1"/>
  <c r="R8999" i="1"/>
  <c r="J9000" i="1"/>
  <c r="Q9000" i="1"/>
  <c r="R9000" i="1"/>
  <c r="J9001" i="1"/>
  <c r="Q9001" i="1"/>
  <c r="R9001" i="1"/>
  <c r="J9002" i="1"/>
  <c r="Q9002" i="1"/>
  <c r="R9002" i="1"/>
  <c r="J9003" i="1"/>
  <c r="Q9003" i="1"/>
  <c r="R9003" i="1"/>
  <c r="J9004" i="1"/>
  <c r="Q9004" i="1"/>
  <c r="R9004" i="1"/>
  <c r="J9005" i="1"/>
  <c r="Q9005" i="1"/>
  <c r="R9005" i="1"/>
  <c r="J9006" i="1"/>
  <c r="Q9006" i="1"/>
  <c r="R9006" i="1"/>
  <c r="J9007" i="1"/>
  <c r="Q9007" i="1"/>
  <c r="R9007" i="1"/>
  <c r="J9008" i="1"/>
  <c r="Q9008" i="1"/>
  <c r="R9008" i="1"/>
  <c r="J9009" i="1"/>
  <c r="Q9009" i="1"/>
  <c r="R9009" i="1"/>
  <c r="J9010" i="1"/>
  <c r="Q9010" i="1"/>
  <c r="R9010" i="1"/>
  <c r="J9011" i="1"/>
  <c r="Q9011" i="1"/>
  <c r="R9011" i="1"/>
  <c r="J9012" i="1"/>
  <c r="Q9012" i="1"/>
  <c r="R9012" i="1"/>
  <c r="J9013" i="1"/>
  <c r="Q9013" i="1"/>
  <c r="R9013" i="1"/>
  <c r="J2733" i="1"/>
  <c r="Q2733" i="1"/>
  <c r="R2733" i="1"/>
  <c r="J9014" i="1"/>
  <c r="Q9014" i="1"/>
  <c r="R9014" i="1"/>
  <c r="J2734" i="1"/>
  <c r="Q2734" i="1"/>
  <c r="R2734" i="1"/>
  <c r="J9015" i="1"/>
  <c r="Q9015" i="1"/>
  <c r="R9015" i="1"/>
  <c r="J2735" i="1"/>
  <c r="Q2735" i="1"/>
  <c r="R2735" i="1"/>
  <c r="J9016" i="1"/>
  <c r="Q9016" i="1"/>
  <c r="R9016" i="1"/>
  <c r="J9017" i="1"/>
  <c r="Q9017" i="1"/>
  <c r="R9017" i="1"/>
  <c r="J9018" i="1"/>
  <c r="Q9018" i="1"/>
  <c r="R9018" i="1"/>
  <c r="J9019" i="1"/>
  <c r="Q9019" i="1"/>
  <c r="R9019" i="1"/>
  <c r="J9020" i="1"/>
  <c r="Q9020" i="1"/>
  <c r="R9020" i="1"/>
  <c r="J9021" i="1"/>
  <c r="Q9021" i="1"/>
  <c r="R9021" i="1"/>
  <c r="J9022" i="1"/>
  <c r="Q9022" i="1"/>
  <c r="R9022" i="1"/>
  <c r="J9023" i="1"/>
  <c r="Q9023" i="1"/>
  <c r="R9023" i="1"/>
  <c r="J9024" i="1"/>
  <c r="Q9024" i="1"/>
  <c r="R9024" i="1"/>
  <c r="J2736" i="1"/>
  <c r="Q2736" i="1"/>
  <c r="R2736" i="1"/>
  <c r="J2737" i="1"/>
  <c r="Q2737" i="1"/>
  <c r="R2737" i="1"/>
  <c r="J2738" i="1"/>
  <c r="Q2738" i="1"/>
  <c r="R2738" i="1"/>
  <c r="J2739" i="1"/>
  <c r="Q2739" i="1"/>
  <c r="R2739" i="1"/>
  <c r="J9025" i="1"/>
  <c r="Q9025" i="1"/>
  <c r="R9025" i="1"/>
  <c r="J2740" i="1"/>
  <c r="Q2740" i="1"/>
  <c r="R2740" i="1"/>
  <c r="J9026" i="1"/>
  <c r="Q9026" i="1"/>
  <c r="R9026" i="1"/>
  <c r="J9027" i="1"/>
  <c r="Q9027" i="1"/>
  <c r="R9027" i="1"/>
  <c r="J9028" i="1"/>
  <c r="Q9028" i="1"/>
  <c r="R9028" i="1"/>
  <c r="J2741" i="1"/>
  <c r="Q2741" i="1"/>
  <c r="R2741" i="1"/>
  <c r="J2742" i="1"/>
  <c r="Q2742" i="1"/>
  <c r="R2742" i="1"/>
  <c r="J2743" i="1"/>
  <c r="Q2743" i="1"/>
  <c r="R2743" i="1"/>
  <c r="J2744" i="1"/>
  <c r="Q2744" i="1"/>
  <c r="R2744" i="1"/>
  <c r="J2745" i="1"/>
  <c r="Q2745" i="1"/>
  <c r="R2745" i="1"/>
  <c r="J2746" i="1"/>
  <c r="Q2746" i="1"/>
  <c r="R2746" i="1"/>
  <c r="J2747" i="1"/>
  <c r="Q2747" i="1"/>
  <c r="R2747" i="1"/>
  <c r="J2748" i="1"/>
  <c r="Q2748" i="1"/>
  <c r="R2748" i="1"/>
  <c r="J2749" i="1"/>
  <c r="Q2749" i="1"/>
  <c r="R2749" i="1"/>
  <c r="J2750" i="1"/>
  <c r="Q2750" i="1"/>
  <c r="R2750" i="1"/>
  <c r="J2751" i="1"/>
  <c r="Q2751" i="1"/>
  <c r="R2751" i="1"/>
  <c r="J2752" i="1"/>
  <c r="Q2752" i="1"/>
  <c r="R2752" i="1"/>
  <c r="J2753" i="1"/>
  <c r="Q2753" i="1"/>
  <c r="R2753" i="1"/>
  <c r="J2754" i="1"/>
  <c r="Q2754" i="1"/>
  <c r="R2754" i="1"/>
  <c r="J2755" i="1"/>
  <c r="Q2755" i="1"/>
  <c r="R2755" i="1"/>
  <c r="J2756" i="1"/>
  <c r="Q2756" i="1"/>
  <c r="R2756" i="1"/>
  <c r="J2757" i="1"/>
  <c r="Q2757" i="1"/>
  <c r="R2757" i="1"/>
  <c r="J2758" i="1"/>
  <c r="Q2758" i="1"/>
  <c r="R2758" i="1"/>
  <c r="J2759" i="1"/>
  <c r="Q2759" i="1"/>
  <c r="R2759" i="1"/>
  <c r="J2760" i="1"/>
  <c r="Q2760" i="1"/>
  <c r="R2760" i="1"/>
  <c r="J2761" i="1"/>
  <c r="Q2761" i="1"/>
  <c r="R2761" i="1"/>
  <c r="J2762" i="1"/>
  <c r="Q2762" i="1"/>
  <c r="R2762" i="1"/>
  <c r="J2763" i="1"/>
  <c r="Q2763" i="1"/>
  <c r="R2763" i="1"/>
  <c r="J2764" i="1"/>
  <c r="Q2764" i="1"/>
  <c r="R2764" i="1"/>
  <c r="J2765" i="1"/>
  <c r="Q2765" i="1"/>
  <c r="R2765" i="1"/>
  <c r="J9029" i="1"/>
  <c r="Q9029" i="1"/>
  <c r="R9029" i="1"/>
  <c r="J9030" i="1"/>
  <c r="Q9030" i="1"/>
  <c r="R9030" i="1"/>
  <c r="J2766" i="1"/>
  <c r="Q2766" i="1"/>
  <c r="R2766" i="1"/>
  <c r="J2767" i="1"/>
  <c r="Q2767" i="1"/>
  <c r="R2767" i="1"/>
  <c r="J2768" i="1"/>
  <c r="Q2768" i="1"/>
  <c r="R2768" i="1"/>
  <c r="J2769" i="1"/>
  <c r="Q2769" i="1"/>
  <c r="R2769" i="1"/>
  <c r="J2770" i="1"/>
  <c r="Q2770" i="1"/>
  <c r="R2770" i="1"/>
  <c r="J2771" i="1"/>
  <c r="Q2771" i="1"/>
  <c r="R2771" i="1"/>
  <c r="J2772" i="1"/>
  <c r="Q2772" i="1"/>
  <c r="R2772" i="1"/>
  <c r="J9031" i="1"/>
  <c r="Q9031" i="1"/>
  <c r="R9031" i="1"/>
  <c r="J2773" i="1"/>
  <c r="Q2773" i="1"/>
  <c r="R2773" i="1"/>
  <c r="J9032" i="1"/>
  <c r="Q9032" i="1"/>
  <c r="R9032" i="1"/>
  <c r="J9033" i="1"/>
  <c r="Q9033" i="1"/>
  <c r="R9033" i="1"/>
  <c r="J9034" i="1"/>
  <c r="Q9034" i="1"/>
  <c r="R9034" i="1"/>
  <c r="J9035" i="1"/>
  <c r="Q9035" i="1"/>
  <c r="R9035" i="1"/>
  <c r="J9036" i="1"/>
  <c r="Q9036" i="1"/>
  <c r="R9036" i="1"/>
  <c r="J9037" i="1"/>
  <c r="Q9037" i="1"/>
  <c r="R9037" i="1"/>
  <c r="J2774" i="1"/>
  <c r="Q2774" i="1"/>
  <c r="R2774" i="1"/>
  <c r="J2775" i="1"/>
  <c r="Q2775" i="1"/>
  <c r="R2775" i="1"/>
  <c r="J2776" i="1"/>
  <c r="Q2776" i="1"/>
  <c r="R2776" i="1"/>
  <c r="J2777" i="1"/>
  <c r="Q2777" i="1"/>
  <c r="R2777" i="1"/>
  <c r="J2778" i="1"/>
  <c r="Q2778" i="1"/>
  <c r="R2778" i="1"/>
  <c r="J9038" i="1"/>
  <c r="Q9038" i="1"/>
  <c r="R9038" i="1"/>
  <c r="J9039" i="1"/>
  <c r="Q9039" i="1"/>
  <c r="R9039" i="1"/>
  <c r="J2779" i="1"/>
  <c r="Q2779" i="1"/>
  <c r="R2779" i="1"/>
  <c r="J9040" i="1"/>
  <c r="Q9040" i="1"/>
  <c r="R9040" i="1"/>
  <c r="J9041" i="1"/>
  <c r="Q9041" i="1"/>
  <c r="R9041" i="1"/>
  <c r="J2780" i="1"/>
  <c r="Q2780" i="1"/>
  <c r="R2780" i="1"/>
  <c r="J9042" i="1"/>
  <c r="Q9042" i="1"/>
  <c r="R9042" i="1"/>
  <c r="J9043" i="1"/>
  <c r="Q9043" i="1"/>
  <c r="R9043" i="1"/>
  <c r="J9044" i="1"/>
  <c r="Q9044" i="1"/>
  <c r="R9044" i="1"/>
  <c r="J9045" i="1"/>
  <c r="Q9045" i="1"/>
  <c r="R9045" i="1"/>
  <c r="J9046" i="1"/>
  <c r="Q9046" i="1"/>
  <c r="R9046" i="1"/>
  <c r="J9047" i="1"/>
  <c r="Q9047" i="1"/>
  <c r="R9047" i="1"/>
  <c r="J9048" i="1"/>
  <c r="Q9048" i="1"/>
  <c r="R9048" i="1"/>
  <c r="J2781" i="1"/>
  <c r="Q2781" i="1"/>
  <c r="R2781" i="1"/>
  <c r="J9049" i="1"/>
  <c r="Q9049" i="1"/>
  <c r="R9049" i="1"/>
  <c r="J2782" i="1"/>
  <c r="Q2782" i="1"/>
  <c r="R2782" i="1"/>
  <c r="J2783" i="1"/>
  <c r="Q2783" i="1"/>
  <c r="R2783" i="1"/>
  <c r="J9050" i="1"/>
  <c r="Q9050" i="1"/>
  <c r="R9050" i="1"/>
  <c r="J9051" i="1"/>
  <c r="Q9051" i="1"/>
  <c r="R9051" i="1"/>
  <c r="J2784" i="1"/>
  <c r="Q2784" i="1"/>
  <c r="R2784" i="1"/>
  <c r="J9052" i="1"/>
  <c r="Q9052" i="1"/>
  <c r="R9052" i="1"/>
  <c r="J9053" i="1"/>
  <c r="Q9053" i="1"/>
  <c r="R9053" i="1"/>
  <c r="J2785" i="1"/>
  <c r="Q2785" i="1"/>
  <c r="R2785" i="1"/>
  <c r="J9054" i="1"/>
  <c r="Q9054" i="1"/>
  <c r="R9054" i="1"/>
  <c r="J9055" i="1"/>
  <c r="Q9055" i="1"/>
  <c r="R9055" i="1"/>
  <c r="J9056" i="1"/>
  <c r="Q9056" i="1"/>
  <c r="R9056" i="1"/>
  <c r="J9057" i="1"/>
  <c r="Q9057" i="1"/>
  <c r="R9057" i="1"/>
  <c r="J9058" i="1"/>
  <c r="Q9058" i="1"/>
  <c r="R9058" i="1"/>
  <c r="J2786" i="1"/>
  <c r="Q2786" i="1"/>
  <c r="R2786" i="1"/>
  <c r="J9059" i="1"/>
  <c r="Q9059" i="1"/>
  <c r="R9059" i="1"/>
  <c r="J9060" i="1"/>
  <c r="Q9060" i="1"/>
  <c r="R9060" i="1"/>
  <c r="J9061" i="1"/>
  <c r="Q9061" i="1"/>
  <c r="R9061" i="1"/>
  <c r="J9062" i="1"/>
  <c r="Q9062" i="1"/>
  <c r="R9062" i="1"/>
  <c r="J9063" i="1"/>
  <c r="Q9063" i="1"/>
  <c r="R9063" i="1"/>
  <c r="J9064" i="1"/>
  <c r="Q9064" i="1"/>
  <c r="R9064" i="1"/>
  <c r="J9065" i="1"/>
  <c r="Q9065" i="1"/>
  <c r="R9065" i="1"/>
  <c r="J9066" i="1"/>
  <c r="Q9066" i="1"/>
  <c r="R9066" i="1"/>
  <c r="J9067" i="1"/>
  <c r="Q9067" i="1"/>
  <c r="R9067" i="1"/>
  <c r="J9068" i="1"/>
  <c r="Q9068" i="1"/>
  <c r="R9068" i="1"/>
  <c r="J9069" i="1"/>
  <c r="Q9069" i="1"/>
  <c r="R9069" i="1"/>
  <c r="J2787" i="1"/>
  <c r="Q2787" i="1"/>
  <c r="R2787" i="1"/>
  <c r="J9070" i="1"/>
  <c r="Q9070" i="1"/>
  <c r="R9070" i="1"/>
  <c r="J9071" i="1"/>
  <c r="Q9071" i="1"/>
  <c r="R9071" i="1"/>
  <c r="J9072" i="1"/>
  <c r="Q9072" i="1"/>
  <c r="R9072" i="1"/>
  <c r="J9073" i="1"/>
  <c r="Q9073" i="1"/>
  <c r="R9073" i="1"/>
  <c r="J9074" i="1"/>
  <c r="Q9074" i="1"/>
  <c r="R9074" i="1"/>
  <c r="J9075" i="1"/>
  <c r="Q9075" i="1"/>
  <c r="R9075" i="1"/>
  <c r="J2788" i="1"/>
  <c r="Q2788" i="1"/>
  <c r="R2788" i="1"/>
  <c r="J2789" i="1"/>
  <c r="Q2789" i="1"/>
  <c r="R2789" i="1"/>
  <c r="J9076" i="1"/>
  <c r="Q9076" i="1"/>
  <c r="R9076" i="1"/>
  <c r="J2790" i="1"/>
  <c r="Q2790" i="1"/>
  <c r="R2790" i="1"/>
  <c r="J9077" i="1"/>
  <c r="Q9077" i="1"/>
  <c r="R9077" i="1"/>
  <c r="J9078" i="1"/>
  <c r="Q9078" i="1"/>
  <c r="R9078" i="1"/>
  <c r="J9079" i="1"/>
  <c r="Q9079" i="1"/>
  <c r="R9079" i="1"/>
  <c r="J9080" i="1"/>
  <c r="Q9080" i="1"/>
  <c r="R9080" i="1"/>
  <c r="J2791" i="1"/>
  <c r="Q2791" i="1"/>
  <c r="R2791" i="1"/>
  <c r="J9081" i="1"/>
  <c r="Q9081" i="1"/>
  <c r="R9081" i="1"/>
  <c r="J9082" i="1"/>
  <c r="Q9082" i="1"/>
  <c r="R9082" i="1"/>
  <c r="J9083" i="1"/>
  <c r="Q9083" i="1"/>
  <c r="R9083" i="1"/>
  <c r="J9084" i="1"/>
  <c r="Q9084" i="1"/>
  <c r="R9084" i="1"/>
  <c r="J2792" i="1"/>
  <c r="Q2792" i="1"/>
  <c r="R2792" i="1"/>
  <c r="J2793" i="1"/>
  <c r="Q2793" i="1"/>
  <c r="R2793" i="1"/>
  <c r="J9085" i="1"/>
  <c r="Q9085" i="1"/>
  <c r="R9085" i="1"/>
  <c r="J2794" i="1"/>
  <c r="Q2794" i="1"/>
  <c r="R2794" i="1"/>
  <c r="J9086" i="1"/>
  <c r="Q9086" i="1"/>
  <c r="R9086" i="1"/>
  <c r="J9087" i="1"/>
  <c r="Q9087" i="1"/>
  <c r="R9087" i="1"/>
  <c r="J9088" i="1"/>
  <c r="Q9088" i="1"/>
  <c r="R9088" i="1"/>
  <c r="J2795" i="1"/>
  <c r="Q2795" i="1"/>
  <c r="R2795" i="1"/>
  <c r="J2796" i="1"/>
  <c r="Q2796" i="1"/>
  <c r="R2796" i="1"/>
  <c r="J9089" i="1"/>
  <c r="Q9089" i="1"/>
  <c r="R9089" i="1"/>
  <c r="J2797" i="1"/>
  <c r="Q2797" i="1"/>
  <c r="R2797" i="1"/>
  <c r="J2798" i="1"/>
  <c r="Q2798" i="1"/>
  <c r="R2798" i="1"/>
  <c r="J2799" i="1"/>
  <c r="Q2799" i="1"/>
  <c r="R2799" i="1"/>
  <c r="J9090" i="1"/>
  <c r="Q9090" i="1"/>
  <c r="R9090" i="1"/>
  <c r="J9091" i="1"/>
  <c r="Q9091" i="1"/>
  <c r="R9091" i="1"/>
  <c r="J9092" i="1"/>
  <c r="Q9092" i="1"/>
  <c r="R9092" i="1"/>
  <c r="J2800" i="1"/>
  <c r="Q2800" i="1"/>
  <c r="R2800" i="1"/>
  <c r="J9093" i="1"/>
  <c r="Q9093" i="1"/>
  <c r="R9093" i="1"/>
  <c r="J9094" i="1"/>
  <c r="Q9094" i="1"/>
  <c r="R9094" i="1"/>
  <c r="J9095" i="1"/>
  <c r="Q9095" i="1"/>
  <c r="R9095" i="1"/>
  <c r="J9096" i="1"/>
  <c r="Q9096" i="1"/>
  <c r="R9096" i="1"/>
  <c r="J9097" i="1"/>
  <c r="Q9097" i="1"/>
  <c r="R9097" i="1"/>
  <c r="J9098" i="1"/>
  <c r="Q9098" i="1"/>
  <c r="R9098" i="1"/>
  <c r="J9099" i="1"/>
  <c r="Q9099" i="1"/>
  <c r="R9099" i="1"/>
  <c r="J9100" i="1"/>
  <c r="Q9100" i="1"/>
  <c r="R9100" i="1"/>
  <c r="J9101" i="1"/>
  <c r="Q9101" i="1"/>
  <c r="R9101" i="1"/>
  <c r="J2801" i="1"/>
  <c r="Q2801" i="1"/>
  <c r="R2801" i="1"/>
  <c r="J2802" i="1"/>
  <c r="Q2802" i="1"/>
  <c r="R2802" i="1"/>
  <c r="J2803" i="1"/>
  <c r="Q2803" i="1"/>
  <c r="R2803" i="1"/>
  <c r="J2804" i="1"/>
  <c r="Q2804" i="1"/>
  <c r="R2804" i="1"/>
  <c r="J2805" i="1"/>
  <c r="Q2805" i="1"/>
  <c r="R2805" i="1"/>
  <c r="J2806" i="1"/>
  <c r="Q2806" i="1"/>
  <c r="R2806" i="1"/>
  <c r="J2807" i="1"/>
  <c r="Q2807" i="1"/>
  <c r="R2807" i="1"/>
  <c r="J2808" i="1"/>
  <c r="Q2808" i="1"/>
  <c r="R2808" i="1"/>
  <c r="J2809" i="1"/>
  <c r="Q2809" i="1"/>
  <c r="R2809" i="1"/>
  <c r="J2810" i="1"/>
  <c r="Q2810" i="1"/>
  <c r="R2810" i="1"/>
  <c r="J9102" i="1"/>
  <c r="Q9102" i="1"/>
  <c r="R9102" i="1"/>
  <c r="J2811" i="1"/>
  <c r="Q2811" i="1"/>
  <c r="R2811" i="1"/>
  <c r="J2812" i="1"/>
  <c r="Q2812" i="1"/>
  <c r="R2812" i="1"/>
  <c r="J9103" i="1"/>
  <c r="Q9103" i="1"/>
  <c r="R9103" i="1"/>
  <c r="J9104" i="1"/>
  <c r="Q9104" i="1"/>
  <c r="R9104" i="1"/>
  <c r="J9105" i="1"/>
  <c r="Q9105" i="1"/>
  <c r="R9105" i="1"/>
  <c r="J9106" i="1"/>
  <c r="Q9106" i="1"/>
  <c r="R9106" i="1"/>
  <c r="J9107" i="1"/>
  <c r="Q9107" i="1"/>
  <c r="R9107" i="1"/>
  <c r="J9108" i="1"/>
  <c r="Q9108" i="1"/>
  <c r="R9108" i="1"/>
  <c r="J9109" i="1"/>
  <c r="Q9109" i="1"/>
  <c r="R9109" i="1"/>
  <c r="J9110" i="1"/>
  <c r="Q9110" i="1"/>
  <c r="R9110" i="1"/>
  <c r="J9111" i="1"/>
  <c r="Q9111" i="1"/>
  <c r="R9111" i="1"/>
  <c r="J2813" i="1"/>
  <c r="Q2813" i="1"/>
  <c r="R2813" i="1"/>
  <c r="J2814" i="1"/>
  <c r="Q2814" i="1"/>
  <c r="R2814" i="1"/>
  <c r="J2815" i="1"/>
  <c r="Q2815" i="1"/>
  <c r="R2815" i="1"/>
  <c r="J9112" i="1"/>
  <c r="Q9112" i="1"/>
  <c r="R9112" i="1"/>
  <c r="J2816" i="1"/>
  <c r="Q2816" i="1"/>
  <c r="R2816" i="1"/>
  <c r="J9113" i="1"/>
  <c r="Q9113" i="1"/>
  <c r="R9113" i="1"/>
  <c r="J9114" i="1"/>
  <c r="Q9114" i="1"/>
  <c r="R9114" i="1"/>
  <c r="J2817" i="1"/>
  <c r="Q2817" i="1"/>
  <c r="R2817" i="1"/>
  <c r="J9115" i="1"/>
  <c r="Q9115" i="1"/>
  <c r="R9115" i="1"/>
  <c r="J2818" i="1"/>
  <c r="Q2818" i="1"/>
  <c r="R2818" i="1"/>
  <c r="J2819" i="1"/>
  <c r="Q2819" i="1"/>
  <c r="R2819" i="1"/>
  <c r="J9116" i="1"/>
  <c r="Q9116" i="1"/>
  <c r="R9116" i="1"/>
  <c r="J9117" i="1"/>
  <c r="Q9117" i="1"/>
  <c r="R9117" i="1"/>
  <c r="J9118" i="1"/>
  <c r="Q9118" i="1"/>
  <c r="R9118" i="1"/>
  <c r="J2820" i="1"/>
  <c r="Q2820" i="1"/>
  <c r="R2820" i="1"/>
  <c r="J9119" i="1"/>
  <c r="Q9119" i="1"/>
  <c r="R9119" i="1"/>
  <c r="J2821" i="1"/>
  <c r="Q2821" i="1"/>
  <c r="R2821" i="1"/>
  <c r="J9120" i="1"/>
  <c r="Q9120" i="1"/>
  <c r="R9120" i="1"/>
  <c r="J9121" i="1"/>
  <c r="Q9121" i="1"/>
  <c r="R9121" i="1"/>
  <c r="J9122" i="1"/>
  <c r="Q9122" i="1"/>
  <c r="R9122" i="1"/>
  <c r="J2822" i="1"/>
  <c r="Q2822" i="1"/>
  <c r="R2822" i="1"/>
  <c r="J2823" i="1"/>
  <c r="Q2823" i="1"/>
  <c r="R2823" i="1"/>
  <c r="J9123" i="1"/>
  <c r="Q9123" i="1"/>
  <c r="R9123" i="1"/>
  <c r="J9124" i="1"/>
  <c r="Q9124" i="1"/>
  <c r="R9124" i="1"/>
  <c r="J9125" i="1"/>
  <c r="Q9125" i="1"/>
  <c r="R9125" i="1"/>
  <c r="J9126" i="1"/>
  <c r="Q9126" i="1"/>
  <c r="R9126" i="1"/>
  <c r="J9127" i="1"/>
  <c r="Q9127" i="1"/>
  <c r="R9127" i="1"/>
  <c r="J9128" i="1"/>
  <c r="Q9128" i="1"/>
  <c r="R9128" i="1"/>
  <c r="J9129" i="1"/>
  <c r="Q9129" i="1"/>
  <c r="R9129" i="1"/>
  <c r="J2824" i="1"/>
  <c r="Q2824" i="1"/>
  <c r="R2824" i="1"/>
  <c r="J9130" i="1"/>
  <c r="Q9130" i="1"/>
  <c r="R9130" i="1"/>
  <c r="J9131" i="1"/>
  <c r="Q9131" i="1"/>
  <c r="R9131" i="1"/>
  <c r="J2825" i="1"/>
  <c r="Q2825" i="1"/>
  <c r="R2825" i="1"/>
  <c r="J9132" i="1"/>
  <c r="Q9132" i="1"/>
  <c r="R9132" i="1"/>
  <c r="J9133" i="1"/>
  <c r="Q9133" i="1"/>
  <c r="R9133" i="1"/>
  <c r="J2826" i="1"/>
  <c r="Q2826" i="1"/>
  <c r="R2826" i="1"/>
  <c r="J2827" i="1"/>
  <c r="Q2827" i="1"/>
  <c r="R2827" i="1"/>
  <c r="J9134" i="1"/>
  <c r="Q9134" i="1"/>
  <c r="R9134" i="1"/>
  <c r="J9135" i="1"/>
  <c r="Q9135" i="1"/>
  <c r="R9135" i="1"/>
  <c r="J2828" i="1"/>
  <c r="Q2828" i="1"/>
  <c r="R2828" i="1"/>
  <c r="J9136" i="1"/>
  <c r="Q9136" i="1"/>
  <c r="R9136" i="1"/>
  <c r="J2829" i="1"/>
  <c r="Q2829" i="1"/>
  <c r="R2829" i="1"/>
  <c r="J9137" i="1"/>
  <c r="Q9137" i="1"/>
  <c r="R9137" i="1"/>
  <c r="J9138" i="1"/>
  <c r="Q9138" i="1"/>
  <c r="R9138" i="1"/>
  <c r="J2830" i="1"/>
  <c r="Q2830" i="1"/>
  <c r="R2830" i="1"/>
  <c r="J9139" i="1"/>
  <c r="Q9139" i="1"/>
  <c r="R9139" i="1"/>
  <c r="J9140" i="1"/>
  <c r="Q9140" i="1"/>
  <c r="R9140" i="1"/>
  <c r="J9141" i="1"/>
  <c r="Q9141" i="1"/>
  <c r="R9141" i="1"/>
  <c r="J9142" i="1"/>
  <c r="Q9142" i="1"/>
  <c r="R9142" i="1"/>
  <c r="J9143" i="1"/>
  <c r="Q9143" i="1"/>
  <c r="R9143" i="1"/>
  <c r="J9144" i="1"/>
  <c r="Q9144" i="1"/>
  <c r="R9144" i="1"/>
  <c r="J9145" i="1"/>
  <c r="Q9145" i="1"/>
  <c r="R9145" i="1"/>
  <c r="J2831" i="1"/>
  <c r="Q2831" i="1"/>
  <c r="R2831" i="1"/>
  <c r="J2832" i="1"/>
  <c r="Q2832" i="1"/>
  <c r="R2832" i="1"/>
  <c r="J2833" i="1"/>
  <c r="Q2833" i="1"/>
  <c r="R2833" i="1"/>
  <c r="J2834" i="1"/>
  <c r="Q2834" i="1"/>
  <c r="R2834" i="1"/>
  <c r="J2835" i="1"/>
  <c r="Q2835" i="1"/>
  <c r="R2835" i="1"/>
  <c r="J9146" i="1"/>
  <c r="Q9146" i="1"/>
  <c r="R9146" i="1"/>
  <c r="J9147" i="1"/>
  <c r="Q9147" i="1"/>
  <c r="R9147" i="1"/>
  <c r="J9148" i="1"/>
  <c r="Q9148" i="1"/>
  <c r="R9148" i="1"/>
  <c r="J2836" i="1"/>
  <c r="Q2836" i="1"/>
  <c r="R2836" i="1"/>
  <c r="J2837" i="1"/>
  <c r="Q2837" i="1"/>
  <c r="R2837" i="1"/>
  <c r="J2838" i="1"/>
  <c r="Q2838" i="1"/>
  <c r="R2838" i="1"/>
  <c r="J2839" i="1"/>
  <c r="Q2839" i="1"/>
  <c r="R2839" i="1"/>
  <c r="J2840" i="1"/>
  <c r="Q2840" i="1"/>
  <c r="R2840" i="1"/>
  <c r="J2841" i="1"/>
  <c r="Q2841" i="1"/>
  <c r="R2841" i="1"/>
  <c r="J9149" i="1"/>
  <c r="Q9149" i="1"/>
  <c r="R9149" i="1"/>
  <c r="J2842" i="1"/>
  <c r="Q2842" i="1"/>
  <c r="R2842" i="1"/>
  <c r="J2843" i="1"/>
  <c r="Q2843" i="1"/>
  <c r="R2843" i="1"/>
  <c r="J9150" i="1"/>
  <c r="Q9150" i="1"/>
  <c r="R9150" i="1"/>
  <c r="J2844" i="1"/>
  <c r="Q2844" i="1"/>
  <c r="R2844" i="1"/>
  <c r="J9151" i="1"/>
  <c r="Q9151" i="1"/>
  <c r="R9151" i="1"/>
  <c r="J9152" i="1"/>
  <c r="Q9152" i="1"/>
  <c r="R9152" i="1"/>
  <c r="J9153" i="1"/>
  <c r="Q9153" i="1"/>
  <c r="R9153" i="1"/>
  <c r="J9154" i="1"/>
  <c r="Q9154" i="1"/>
  <c r="R9154" i="1"/>
  <c r="J9155" i="1"/>
  <c r="Q9155" i="1"/>
  <c r="R9155" i="1"/>
  <c r="J2845" i="1"/>
  <c r="Q2845" i="1"/>
  <c r="R2845" i="1"/>
  <c r="J2846" i="1"/>
  <c r="Q2846" i="1"/>
  <c r="R2846" i="1"/>
  <c r="J9156" i="1"/>
  <c r="Q9156" i="1"/>
  <c r="R9156" i="1"/>
  <c r="J9157" i="1"/>
  <c r="Q9157" i="1"/>
  <c r="R9157" i="1"/>
  <c r="J9158" i="1"/>
  <c r="Q9158" i="1"/>
  <c r="R9158" i="1"/>
  <c r="J9159" i="1"/>
  <c r="Q9159" i="1"/>
  <c r="R9159" i="1"/>
  <c r="J9160" i="1"/>
  <c r="Q9160" i="1"/>
  <c r="R9160" i="1"/>
  <c r="J9161" i="1"/>
  <c r="Q9161" i="1"/>
  <c r="R9161" i="1"/>
  <c r="J9162" i="1"/>
  <c r="Q9162" i="1"/>
  <c r="R9162" i="1"/>
  <c r="J9163" i="1"/>
  <c r="Q9163" i="1"/>
  <c r="R9163" i="1"/>
  <c r="J9164" i="1"/>
  <c r="Q9164" i="1"/>
  <c r="R9164" i="1"/>
  <c r="J9165" i="1"/>
  <c r="Q9165" i="1"/>
  <c r="R9165" i="1"/>
  <c r="J9166" i="1"/>
  <c r="Q9166" i="1"/>
  <c r="R9166" i="1"/>
  <c r="J9167" i="1"/>
  <c r="Q9167" i="1"/>
  <c r="R9167" i="1"/>
  <c r="J9168" i="1"/>
  <c r="Q9168" i="1"/>
  <c r="R9168" i="1"/>
  <c r="J9169" i="1"/>
  <c r="Q9169" i="1"/>
  <c r="R9169" i="1"/>
  <c r="J9170" i="1"/>
  <c r="Q9170" i="1"/>
  <c r="R9170" i="1"/>
  <c r="J9171" i="1"/>
  <c r="Q9171" i="1"/>
  <c r="R9171" i="1"/>
  <c r="J2847" i="1"/>
  <c r="Q2847" i="1"/>
  <c r="R2847" i="1"/>
  <c r="J9172" i="1"/>
  <c r="Q9172" i="1"/>
  <c r="R9172" i="1"/>
  <c r="J2848" i="1"/>
  <c r="Q2848" i="1"/>
  <c r="R2848" i="1"/>
  <c r="J9173" i="1"/>
  <c r="Q9173" i="1"/>
  <c r="R9173" i="1"/>
  <c r="J9174" i="1"/>
  <c r="Q9174" i="1"/>
  <c r="R9174" i="1"/>
  <c r="J9175" i="1"/>
  <c r="Q9175" i="1"/>
  <c r="R9175" i="1"/>
  <c r="J9176" i="1"/>
  <c r="Q9176" i="1"/>
  <c r="R9176" i="1"/>
  <c r="J2849" i="1"/>
  <c r="Q2849" i="1"/>
  <c r="R2849" i="1"/>
  <c r="J2850" i="1"/>
  <c r="Q2850" i="1"/>
  <c r="R2850" i="1"/>
  <c r="J2851" i="1"/>
  <c r="Q2851" i="1"/>
  <c r="R2851" i="1"/>
  <c r="J2852" i="1"/>
  <c r="Q2852" i="1"/>
  <c r="R2852" i="1"/>
  <c r="J2853" i="1"/>
  <c r="Q2853" i="1"/>
  <c r="R2853" i="1"/>
  <c r="J9177" i="1"/>
  <c r="Q9177" i="1"/>
  <c r="R9177" i="1"/>
  <c r="J9178" i="1"/>
  <c r="Q9178" i="1"/>
  <c r="R9178" i="1"/>
  <c r="J2854" i="1"/>
  <c r="Q2854" i="1"/>
  <c r="R2854" i="1"/>
  <c r="J9179" i="1"/>
  <c r="Q9179" i="1"/>
  <c r="R9179" i="1"/>
  <c r="J9180" i="1"/>
  <c r="Q9180" i="1"/>
  <c r="R9180" i="1"/>
  <c r="J9181" i="1"/>
  <c r="Q9181" i="1"/>
  <c r="R9181" i="1"/>
  <c r="J9182" i="1"/>
  <c r="Q9182" i="1"/>
  <c r="R9182" i="1"/>
  <c r="J2855" i="1"/>
  <c r="Q2855" i="1"/>
  <c r="R2855" i="1"/>
  <c r="J9183" i="1"/>
  <c r="Q9183" i="1"/>
  <c r="R9183" i="1"/>
  <c r="J9184" i="1"/>
  <c r="Q9184" i="1"/>
  <c r="R9184" i="1"/>
  <c r="J9185" i="1"/>
  <c r="Q9185" i="1"/>
  <c r="R9185" i="1"/>
  <c r="J9186" i="1"/>
  <c r="Q9186" i="1"/>
  <c r="R9186" i="1"/>
  <c r="J9187" i="1"/>
  <c r="Q9187" i="1"/>
  <c r="R9187" i="1"/>
  <c r="J2856" i="1"/>
  <c r="Q2856" i="1"/>
  <c r="R2856" i="1"/>
  <c r="J9188" i="1"/>
  <c r="Q9188" i="1"/>
  <c r="R9188" i="1"/>
  <c r="J2857" i="1"/>
  <c r="Q2857" i="1"/>
  <c r="R2857" i="1"/>
  <c r="J9189" i="1"/>
  <c r="Q9189" i="1"/>
  <c r="R9189" i="1"/>
  <c r="J9190" i="1"/>
  <c r="Q9190" i="1"/>
  <c r="R9190" i="1"/>
  <c r="J9191" i="1"/>
  <c r="Q9191" i="1"/>
  <c r="R9191" i="1"/>
  <c r="J2858" i="1"/>
  <c r="Q2858" i="1"/>
  <c r="R2858" i="1"/>
  <c r="J9192" i="1"/>
  <c r="Q9192" i="1"/>
  <c r="R9192" i="1"/>
  <c r="J9193" i="1"/>
  <c r="Q9193" i="1"/>
  <c r="R9193" i="1"/>
  <c r="J2859" i="1"/>
  <c r="Q2859" i="1"/>
  <c r="R2859" i="1"/>
  <c r="J9194" i="1"/>
  <c r="Q9194" i="1"/>
  <c r="R9194" i="1"/>
  <c r="J2860" i="1"/>
  <c r="Q2860" i="1"/>
  <c r="R2860" i="1"/>
  <c r="J9195" i="1"/>
  <c r="Q9195" i="1"/>
  <c r="R9195" i="1"/>
  <c r="J9196" i="1"/>
  <c r="Q9196" i="1"/>
  <c r="R9196" i="1"/>
  <c r="J9197" i="1"/>
  <c r="Q9197" i="1"/>
  <c r="R9197" i="1"/>
  <c r="J9198" i="1"/>
  <c r="Q9198" i="1"/>
  <c r="R9198" i="1"/>
  <c r="J2861" i="1"/>
  <c r="Q2861" i="1"/>
  <c r="R2861" i="1"/>
  <c r="J9199" i="1"/>
  <c r="Q9199" i="1"/>
  <c r="R9199" i="1"/>
  <c r="J9200" i="1"/>
  <c r="Q9200" i="1"/>
  <c r="R9200" i="1"/>
  <c r="J9201" i="1"/>
  <c r="Q9201" i="1"/>
  <c r="R9201" i="1"/>
  <c r="J2862" i="1"/>
  <c r="Q2862" i="1"/>
  <c r="R2862" i="1"/>
  <c r="J2863" i="1"/>
  <c r="Q2863" i="1"/>
  <c r="R2863" i="1"/>
  <c r="J2864" i="1"/>
  <c r="Q2864" i="1"/>
  <c r="R2864" i="1"/>
  <c r="J2865" i="1"/>
  <c r="Q2865" i="1"/>
  <c r="R2865" i="1"/>
  <c r="J9202" i="1"/>
  <c r="Q9202" i="1"/>
  <c r="R9202" i="1"/>
  <c r="J9203" i="1"/>
  <c r="Q9203" i="1"/>
  <c r="R9203" i="1"/>
  <c r="J9204" i="1"/>
  <c r="Q9204" i="1"/>
  <c r="R9204" i="1"/>
  <c r="J9205" i="1"/>
  <c r="Q9205" i="1"/>
  <c r="R9205" i="1"/>
  <c r="J2866" i="1"/>
  <c r="Q2866" i="1"/>
  <c r="R2866" i="1"/>
  <c r="J2867" i="1"/>
  <c r="Q2867" i="1"/>
  <c r="R2867" i="1"/>
  <c r="J2868" i="1"/>
  <c r="Q2868" i="1"/>
  <c r="R2868" i="1"/>
  <c r="J2869" i="1"/>
  <c r="Q2869" i="1"/>
  <c r="R2869" i="1"/>
  <c r="J9206" i="1"/>
  <c r="Q9206" i="1"/>
  <c r="R9206" i="1"/>
  <c r="J2870" i="1"/>
  <c r="Q2870" i="1"/>
  <c r="R2870" i="1"/>
  <c r="J2871" i="1"/>
  <c r="Q2871" i="1"/>
  <c r="R2871" i="1"/>
  <c r="J2872" i="1"/>
  <c r="Q2872" i="1"/>
  <c r="R2872" i="1"/>
  <c r="J2873" i="1"/>
  <c r="Q2873" i="1"/>
  <c r="R2873" i="1"/>
  <c r="J9207" i="1"/>
  <c r="Q9207" i="1"/>
  <c r="R9207" i="1"/>
  <c r="J2874" i="1"/>
  <c r="Q2874" i="1"/>
  <c r="R2874" i="1"/>
  <c r="J2875" i="1"/>
  <c r="Q2875" i="1"/>
  <c r="R2875" i="1"/>
  <c r="J2876" i="1"/>
  <c r="Q2876" i="1"/>
  <c r="R2876" i="1"/>
  <c r="J9208" i="1"/>
  <c r="Q9208" i="1"/>
  <c r="R9208" i="1"/>
  <c r="J2877" i="1"/>
  <c r="Q2877" i="1"/>
  <c r="R2877" i="1"/>
  <c r="J2878" i="1"/>
  <c r="Q2878" i="1"/>
  <c r="R2878" i="1"/>
  <c r="J2879" i="1"/>
  <c r="Q2879" i="1"/>
  <c r="R2879" i="1"/>
  <c r="J2880" i="1"/>
  <c r="Q2880" i="1"/>
  <c r="R2880" i="1"/>
  <c r="J2881" i="1"/>
  <c r="Q2881" i="1"/>
  <c r="R2881" i="1"/>
  <c r="J9209" i="1"/>
  <c r="Q9209" i="1"/>
  <c r="R9209" i="1"/>
  <c r="J2882" i="1"/>
  <c r="Q2882" i="1"/>
  <c r="R2882" i="1"/>
  <c r="J9210" i="1"/>
  <c r="Q9210" i="1"/>
  <c r="R9210" i="1"/>
  <c r="J2883" i="1"/>
  <c r="Q2883" i="1"/>
  <c r="R2883" i="1"/>
  <c r="J2884" i="1"/>
  <c r="Q2884" i="1"/>
  <c r="R2884" i="1"/>
  <c r="J9211" i="1"/>
  <c r="Q9211" i="1"/>
  <c r="R9211" i="1"/>
  <c r="J9212" i="1"/>
  <c r="Q9212" i="1"/>
  <c r="R9212" i="1"/>
  <c r="J2885" i="1"/>
  <c r="Q2885" i="1"/>
  <c r="R2885" i="1"/>
  <c r="J9213" i="1"/>
  <c r="Q9213" i="1"/>
  <c r="R9213" i="1"/>
  <c r="J9214" i="1"/>
  <c r="Q9214" i="1"/>
  <c r="R9214" i="1"/>
  <c r="J2886" i="1"/>
  <c r="Q2886" i="1"/>
  <c r="R2886" i="1"/>
  <c r="J2887" i="1"/>
  <c r="Q2887" i="1"/>
  <c r="R2887" i="1"/>
  <c r="J2888" i="1"/>
  <c r="Q2888" i="1"/>
  <c r="R2888" i="1"/>
  <c r="J2889" i="1"/>
  <c r="Q2889" i="1"/>
  <c r="R2889" i="1"/>
  <c r="J9215" i="1"/>
  <c r="Q9215" i="1"/>
  <c r="R9215" i="1"/>
  <c r="J2890" i="1"/>
  <c r="Q2890" i="1"/>
  <c r="R2890" i="1"/>
  <c r="J2891" i="1"/>
  <c r="Q2891" i="1"/>
  <c r="R2891" i="1"/>
  <c r="J2892" i="1"/>
  <c r="Q2892" i="1"/>
  <c r="R2892" i="1"/>
  <c r="J2893" i="1"/>
  <c r="Q2893" i="1"/>
  <c r="R2893" i="1"/>
  <c r="J2894" i="1"/>
  <c r="Q2894" i="1"/>
  <c r="R2894" i="1"/>
  <c r="J2895" i="1"/>
  <c r="Q2895" i="1"/>
  <c r="R2895" i="1"/>
  <c r="J2896" i="1"/>
  <c r="Q2896" i="1"/>
  <c r="R2896" i="1"/>
  <c r="J2897" i="1"/>
  <c r="Q2897" i="1"/>
  <c r="R2897" i="1"/>
  <c r="J2898" i="1"/>
  <c r="Q2898" i="1"/>
  <c r="R2898" i="1"/>
  <c r="J9216" i="1"/>
  <c r="Q9216" i="1"/>
  <c r="R9216" i="1"/>
  <c r="J9217" i="1"/>
  <c r="Q9217" i="1"/>
  <c r="R9217" i="1"/>
  <c r="J2899" i="1"/>
  <c r="Q2899" i="1"/>
  <c r="R2899" i="1"/>
  <c r="J2900" i="1"/>
  <c r="Q2900" i="1"/>
  <c r="R2900" i="1"/>
  <c r="J2901" i="1"/>
  <c r="Q2901" i="1"/>
  <c r="R2901" i="1"/>
  <c r="J2902" i="1"/>
  <c r="Q2902" i="1"/>
  <c r="R2902" i="1"/>
  <c r="J2903" i="1"/>
  <c r="Q2903" i="1"/>
  <c r="R2903" i="1"/>
  <c r="J9218" i="1"/>
  <c r="Q9218" i="1"/>
  <c r="R9218" i="1"/>
  <c r="J9219" i="1"/>
  <c r="Q9219" i="1"/>
  <c r="R9219" i="1"/>
  <c r="J9220" i="1"/>
  <c r="Q9220" i="1"/>
  <c r="R9220" i="1"/>
  <c r="J2904" i="1"/>
  <c r="Q2904" i="1"/>
  <c r="R2904" i="1"/>
  <c r="J2905" i="1"/>
  <c r="Q2905" i="1"/>
  <c r="R2905" i="1"/>
  <c r="J2906" i="1"/>
  <c r="Q2906" i="1"/>
  <c r="R2906" i="1"/>
  <c r="J2907" i="1"/>
  <c r="Q2907" i="1"/>
  <c r="R2907" i="1"/>
  <c r="J2908" i="1"/>
  <c r="Q2908" i="1"/>
  <c r="R2908" i="1"/>
  <c r="J2909" i="1"/>
  <c r="Q2909" i="1"/>
  <c r="R2909" i="1"/>
  <c r="J2910" i="1"/>
  <c r="Q2910" i="1"/>
  <c r="R2910" i="1"/>
  <c r="J2911" i="1"/>
  <c r="Q2911" i="1"/>
  <c r="R2911" i="1"/>
  <c r="J2912" i="1"/>
  <c r="Q2912" i="1"/>
  <c r="R2912" i="1"/>
  <c r="J2913" i="1"/>
  <c r="Q2913" i="1"/>
  <c r="R2913" i="1"/>
  <c r="J9221" i="1"/>
  <c r="Q9221" i="1"/>
  <c r="R9221" i="1"/>
  <c r="J9222" i="1"/>
  <c r="Q9222" i="1"/>
  <c r="R9222" i="1"/>
  <c r="J9223" i="1"/>
  <c r="Q9223" i="1"/>
  <c r="R9223" i="1"/>
  <c r="J9224" i="1"/>
  <c r="Q9224" i="1"/>
  <c r="R9224" i="1"/>
  <c r="J2914" i="1"/>
  <c r="Q2914" i="1"/>
  <c r="R2914" i="1"/>
  <c r="J2915" i="1"/>
  <c r="Q2915" i="1"/>
  <c r="R2915" i="1"/>
  <c r="J9225" i="1"/>
  <c r="Q9225" i="1"/>
  <c r="R9225" i="1"/>
  <c r="J9226" i="1"/>
  <c r="Q9226" i="1"/>
  <c r="R9226" i="1"/>
  <c r="J9227" i="1"/>
  <c r="Q9227" i="1"/>
  <c r="R9227" i="1"/>
  <c r="J2916" i="1"/>
  <c r="Q2916" i="1"/>
  <c r="R2916" i="1"/>
  <c r="J9228" i="1"/>
  <c r="Q9228" i="1"/>
  <c r="R9228" i="1"/>
  <c r="J9229" i="1"/>
  <c r="Q9229" i="1"/>
  <c r="R9229" i="1"/>
  <c r="J9230" i="1"/>
  <c r="Q9230" i="1"/>
  <c r="R9230" i="1"/>
  <c r="J9231" i="1"/>
  <c r="Q9231" i="1"/>
  <c r="R9231" i="1"/>
  <c r="J9232" i="1"/>
  <c r="Q9232" i="1"/>
  <c r="R9232" i="1"/>
  <c r="J9233" i="1"/>
  <c r="Q9233" i="1"/>
  <c r="R9233" i="1"/>
  <c r="J9234" i="1"/>
  <c r="Q9234" i="1"/>
  <c r="R9234" i="1"/>
  <c r="J9235" i="1"/>
  <c r="Q9235" i="1"/>
  <c r="R9235" i="1"/>
  <c r="J9236" i="1"/>
  <c r="Q9236" i="1"/>
  <c r="R9236" i="1"/>
  <c r="J9237" i="1"/>
  <c r="Q9237" i="1"/>
  <c r="R9237" i="1"/>
  <c r="J9238" i="1"/>
  <c r="Q9238" i="1"/>
  <c r="R9238" i="1"/>
  <c r="J9239" i="1"/>
  <c r="Q9239" i="1"/>
  <c r="R9239" i="1"/>
  <c r="J2917" i="1"/>
  <c r="Q2917" i="1"/>
  <c r="R2917" i="1"/>
  <c r="J9240" i="1"/>
  <c r="Q9240" i="1"/>
  <c r="R9240" i="1"/>
  <c r="J9241" i="1"/>
  <c r="Q9241" i="1"/>
  <c r="R9241" i="1"/>
  <c r="J9242" i="1"/>
  <c r="Q9242" i="1"/>
  <c r="R9242" i="1"/>
  <c r="J9243" i="1"/>
  <c r="Q9243" i="1"/>
  <c r="R9243" i="1"/>
  <c r="J9244" i="1"/>
  <c r="Q9244" i="1"/>
  <c r="R9244" i="1"/>
  <c r="J9245" i="1"/>
  <c r="Q9245" i="1"/>
  <c r="R9245" i="1"/>
  <c r="J9246" i="1"/>
  <c r="Q9246" i="1"/>
  <c r="R9246" i="1"/>
  <c r="J9247" i="1"/>
  <c r="Q9247" i="1"/>
  <c r="R9247" i="1"/>
  <c r="J9248" i="1"/>
  <c r="Q9248" i="1"/>
  <c r="R9248" i="1"/>
  <c r="J9249" i="1"/>
  <c r="Q9249" i="1"/>
  <c r="R9249" i="1"/>
  <c r="J9250" i="1"/>
  <c r="Q9250" i="1"/>
  <c r="R9250" i="1"/>
  <c r="J9251" i="1"/>
  <c r="Q9251" i="1"/>
  <c r="R9251" i="1"/>
  <c r="J9252" i="1"/>
  <c r="Q9252" i="1"/>
  <c r="R9252" i="1"/>
  <c r="J9253" i="1"/>
  <c r="Q9253" i="1"/>
  <c r="R9253" i="1"/>
  <c r="J9254" i="1"/>
  <c r="Q9254" i="1"/>
  <c r="R9254" i="1"/>
  <c r="J9255" i="1"/>
  <c r="Q9255" i="1"/>
  <c r="R9255" i="1"/>
  <c r="J9256" i="1"/>
  <c r="Q9256" i="1"/>
  <c r="R9256" i="1"/>
  <c r="J9257" i="1"/>
  <c r="Q9257" i="1"/>
  <c r="R9257" i="1"/>
  <c r="J9258" i="1"/>
  <c r="Q9258" i="1"/>
  <c r="R9258" i="1"/>
  <c r="J9259" i="1"/>
  <c r="Q9259" i="1"/>
  <c r="R9259" i="1"/>
  <c r="J9260" i="1"/>
  <c r="Q9260" i="1"/>
  <c r="R9260" i="1"/>
  <c r="J9261" i="1"/>
  <c r="Q9261" i="1"/>
  <c r="R9261" i="1"/>
  <c r="J9262" i="1"/>
  <c r="Q9262" i="1"/>
  <c r="R9262" i="1"/>
  <c r="J9263" i="1"/>
  <c r="Q9263" i="1"/>
  <c r="R9263" i="1"/>
  <c r="J9264" i="1"/>
  <c r="Q9264" i="1"/>
  <c r="R9264" i="1"/>
  <c r="J9265" i="1"/>
  <c r="Q9265" i="1"/>
  <c r="R9265" i="1"/>
  <c r="J9266" i="1"/>
  <c r="Q9266" i="1"/>
  <c r="R9266" i="1"/>
  <c r="J9267" i="1"/>
  <c r="Q9267" i="1"/>
  <c r="R9267" i="1"/>
  <c r="J9268" i="1"/>
  <c r="Q9268" i="1"/>
  <c r="R9268" i="1"/>
  <c r="J9269" i="1"/>
  <c r="Q9269" i="1"/>
  <c r="R9269" i="1"/>
  <c r="J9270" i="1"/>
  <c r="Q9270" i="1"/>
  <c r="R9270" i="1"/>
  <c r="J9271" i="1"/>
  <c r="Q9271" i="1"/>
  <c r="R9271" i="1"/>
  <c r="J9272" i="1"/>
  <c r="Q9272" i="1"/>
  <c r="R9272" i="1"/>
  <c r="J9273" i="1"/>
  <c r="Q9273" i="1"/>
  <c r="R9273" i="1"/>
  <c r="J9274" i="1"/>
  <c r="Q9274" i="1"/>
  <c r="R9274" i="1"/>
  <c r="J9275" i="1"/>
  <c r="Q9275" i="1"/>
  <c r="R9275" i="1"/>
  <c r="J9276" i="1"/>
  <c r="Q9276" i="1"/>
  <c r="R9276" i="1"/>
  <c r="J9277" i="1"/>
  <c r="Q9277" i="1"/>
  <c r="R9277" i="1"/>
  <c r="J9278" i="1"/>
  <c r="Q9278" i="1"/>
  <c r="R9278" i="1"/>
  <c r="J2918" i="1"/>
  <c r="Q2918" i="1"/>
  <c r="R2918" i="1"/>
  <c r="J2919" i="1"/>
  <c r="Q2919" i="1"/>
  <c r="R2919" i="1"/>
  <c r="J9279" i="1"/>
  <c r="Q9279" i="1"/>
  <c r="R9279" i="1"/>
  <c r="J2920" i="1"/>
  <c r="Q2920" i="1"/>
  <c r="R2920" i="1"/>
  <c r="J2921" i="1"/>
  <c r="Q2921" i="1"/>
  <c r="R2921" i="1"/>
  <c r="J2922" i="1"/>
  <c r="Q2922" i="1"/>
  <c r="R2922" i="1"/>
  <c r="J2923" i="1"/>
  <c r="Q2923" i="1"/>
  <c r="R2923" i="1"/>
  <c r="J2924" i="1"/>
  <c r="Q2924" i="1"/>
  <c r="R2924" i="1"/>
  <c r="J9280" i="1"/>
  <c r="Q9280" i="1"/>
  <c r="R9280" i="1"/>
  <c r="J2925" i="1"/>
  <c r="Q2925" i="1"/>
  <c r="R2925" i="1"/>
  <c r="J2926" i="1"/>
  <c r="Q2926" i="1"/>
  <c r="R2926" i="1"/>
  <c r="J2927" i="1"/>
  <c r="Q2927" i="1"/>
  <c r="R2927" i="1"/>
  <c r="J2928" i="1"/>
  <c r="Q2928" i="1"/>
  <c r="R2928" i="1"/>
  <c r="J2929" i="1"/>
  <c r="Q2929" i="1"/>
  <c r="R2929" i="1"/>
  <c r="J9281" i="1"/>
  <c r="Q9281" i="1"/>
  <c r="R9281" i="1"/>
  <c r="J2930" i="1"/>
  <c r="Q2930" i="1"/>
  <c r="R2930" i="1"/>
  <c r="J2931" i="1"/>
  <c r="Q2931" i="1"/>
  <c r="R2931" i="1"/>
  <c r="J2932" i="1"/>
  <c r="Q2932" i="1"/>
  <c r="R2932" i="1"/>
  <c r="J2933" i="1"/>
  <c r="Q2933" i="1"/>
  <c r="R2933" i="1"/>
  <c r="J2934" i="1"/>
  <c r="Q2934" i="1"/>
  <c r="R2934" i="1"/>
  <c r="J2935" i="1"/>
  <c r="Q2935" i="1"/>
  <c r="R2935" i="1"/>
  <c r="J9282" i="1"/>
  <c r="Q9282" i="1"/>
  <c r="R9282" i="1"/>
  <c r="J2936" i="1"/>
  <c r="Q2936" i="1"/>
  <c r="R2936" i="1"/>
  <c r="J2937" i="1"/>
  <c r="Q2937" i="1"/>
  <c r="R2937" i="1"/>
  <c r="J2938" i="1"/>
  <c r="Q2938" i="1"/>
  <c r="R2938" i="1"/>
  <c r="J2939" i="1"/>
  <c r="Q2939" i="1"/>
  <c r="R2939" i="1"/>
  <c r="J9283" i="1"/>
  <c r="Q9283" i="1"/>
  <c r="R9283" i="1"/>
  <c r="J2940" i="1"/>
  <c r="Q2940" i="1"/>
  <c r="R2940" i="1"/>
  <c r="J9284" i="1"/>
  <c r="Q9284" i="1"/>
  <c r="R9284" i="1"/>
  <c r="J2941" i="1"/>
  <c r="Q2941" i="1"/>
  <c r="R2941" i="1"/>
  <c r="J2942" i="1"/>
  <c r="Q2942" i="1"/>
  <c r="R2942" i="1"/>
  <c r="J2943" i="1"/>
  <c r="Q2943" i="1"/>
  <c r="R2943" i="1"/>
  <c r="J2944" i="1"/>
  <c r="Q2944" i="1"/>
  <c r="R2944" i="1"/>
  <c r="J2945" i="1"/>
  <c r="Q2945" i="1"/>
  <c r="R2945" i="1"/>
  <c r="J9285" i="1"/>
  <c r="Q9285" i="1"/>
  <c r="R9285" i="1"/>
  <c r="J2946" i="1"/>
  <c r="Q2946" i="1"/>
  <c r="R2946" i="1"/>
  <c r="J9286" i="1"/>
  <c r="Q9286" i="1"/>
  <c r="R9286" i="1"/>
  <c r="J2947" i="1"/>
  <c r="Q2947" i="1"/>
  <c r="R2947" i="1"/>
  <c r="J2948" i="1"/>
  <c r="Q2948" i="1"/>
  <c r="R2948" i="1"/>
  <c r="J9287" i="1"/>
  <c r="Q9287" i="1"/>
  <c r="R9287" i="1"/>
  <c r="J2949" i="1"/>
  <c r="Q2949" i="1"/>
  <c r="R2949" i="1"/>
  <c r="J2950" i="1"/>
  <c r="Q2950" i="1"/>
  <c r="R2950" i="1"/>
  <c r="J2951" i="1"/>
  <c r="Q2951" i="1"/>
  <c r="R2951" i="1"/>
  <c r="J2952" i="1"/>
  <c r="Q2952" i="1"/>
  <c r="R2952" i="1"/>
  <c r="J9288" i="1"/>
  <c r="Q9288" i="1"/>
  <c r="R9288" i="1"/>
  <c r="J2953" i="1"/>
  <c r="Q2953" i="1"/>
  <c r="R2953" i="1"/>
  <c r="J9289" i="1"/>
  <c r="Q9289" i="1"/>
  <c r="R9289" i="1"/>
  <c r="J9290" i="1"/>
  <c r="Q9290" i="1"/>
  <c r="R9290" i="1"/>
  <c r="J2954" i="1"/>
  <c r="Q2954" i="1"/>
  <c r="R2954" i="1"/>
  <c r="J9291" i="1"/>
  <c r="Q9291" i="1"/>
  <c r="R9291" i="1"/>
  <c r="J9292" i="1"/>
  <c r="Q9292" i="1"/>
  <c r="R9292" i="1"/>
  <c r="J9293" i="1"/>
  <c r="Q9293" i="1"/>
  <c r="R9293" i="1"/>
  <c r="J2955" i="1"/>
  <c r="Q2955" i="1"/>
  <c r="R2955" i="1"/>
  <c r="J2956" i="1"/>
  <c r="Q2956" i="1"/>
  <c r="R2956" i="1"/>
  <c r="J2957" i="1"/>
  <c r="Q2957" i="1"/>
  <c r="R2957" i="1"/>
  <c r="J2958" i="1"/>
  <c r="Q2958" i="1"/>
  <c r="R2958" i="1"/>
  <c r="J9294" i="1"/>
  <c r="Q9294" i="1"/>
  <c r="R9294" i="1"/>
  <c r="J9295" i="1"/>
  <c r="Q9295" i="1"/>
  <c r="R9295" i="1"/>
  <c r="J2959" i="1"/>
  <c r="Q2959" i="1"/>
  <c r="R2959" i="1"/>
  <c r="J2960" i="1"/>
  <c r="Q2960" i="1"/>
  <c r="R2960" i="1"/>
  <c r="J2961" i="1"/>
  <c r="Q2961" i="1"/>
  <c r="R2961" i="1"/>
  <c r="J2962" i="1"/>
  <c r="Q2962" i="1"/>
  <c r="R2962" i="1"/>
  <c r="J9296" i="1"/>
  <c r="Q9296" i="1"/>
  <c r="R9296" i="1"/>
  <c r="J9297" i="1"/>
  <c r="Q9297" i="1"/>
  <c r="R9297" i="1"/>
  <c r="J9298" i="1"/>
  <c r="Q9298" i="1"/>
  <c r="R9298" i="1"/>
  <c r="J2963" i="1"/>
  <c r="Q2963" i="1"/>
  <c r="R2963" i="1"/>
  <c r="J2964" i="1"/>
  <c r="Q2964" i="1"/>
  <c r="R2964" i="1"/>
  <c r="J9299" i="1"/>
  <c r="Q9299" i="1"/>
  <c r="R9299" i="1"/>
  <c r="J2965" i="1"/>
  <c r="Q2965" i="1"/>
  <c r="R2965" i="1"/>
  <c r="J2966" i="1"/>
  <c r="Q2966" i="1"/>
  <c r="R2966" i="1"/>
  <c r="J2967" i="1"/>
  <c r="Q2967" i="1"/>
  <c r="R2967" i="1"/>
  <c r="J9300" i="1"/>
  <c r="Q9300" i="1"/>
  <c r="R9300" i="1"/>
  <c r="J9301" i="1"/>
  <c r="Q9301" i="1"/>
  <c r="R9301" i="1"/>
  <c r="J2968" i="1"/>
  <c r="Q2968" i="1"/>
  <c r="R2968" i="1"/>
  <c r="J2969" i="1"/>
  <c r="Q2969" i="1"/>
  <c r="R2969" i="1"/>
  <c r="J2970" i="1"/>
  <c r="Q2970" i="1"/>
  <c r="R2970" i="1"/>
  <c r="J9302" i="1"/>
  <c r="Q9302" i="1"/>
  <c r="R9302" i="1"/>
  <c r="J9303" i="1"/>
  <c r="Q9303" i="1"/>
  <c r="R9303" i="1"/>
  <c r="J2971" i="1"/>
  <c r="Q2971" i="1"/>
  <c r="R2971" i="1"/>
  <c r="J2972" i="1"/>
  <c r="Q2972" i="1"/>
  <c r="R2972" i="1"/>
  <c r="J2973" i="1"/>
  <c r="Q2973" i="1"/>
  <c r="R2973" i="1"/>
  <c r="J9304" i="1"/>
  <c r="Q9304" i="1"/>
  <c r="R9304" i="1"/>
  <c r="J9305" i="1"/>
  <c r="Q9305" i="1"/>
  <c r="R9305" i="1"/>
  <c r="J9306" i="1"/>
  <c r="Q9306" i="1"/>
  <c r="R9306" i="1"/>
  <c r="J9307" i="1"/>
  <c r="Q9307" i="1"/>
  <c r="R9307" i="1"/>
  <c r="J2974" i="1"/>
  <c r="Q2974" i="1"/>
  <c r="R2974" i="1"/>
  <c r="J2975" i="1"/>
  <c r="Q2975" i="1"/>
  <c r="R2975" i="1"/>
  <c r="J2976" i="1"/>
  <c r="Q2976" i="1"/>
  <c r="R2976" i="1"/>
  <c r="J9308" i="1"/>
  <c r="Q9308" i="1"/>
  <c r="R9308" i="1"/>
  <c r="J2977" i="1"/>
  <c r="Q2977" i="1"/>
  <c r="R2977" i="1"/>
  <c r="J2978" i="1"/>
  <c r="Q2978" i="1"/>
  <c r="R2978" i="1"/>
  <c r="J9309" i="1"/>
  <c r="Q9309" i="1"/>
  <c r="R9309" i="1"/>
  <c r="J2979" i="1"/>
  <c r="Q2979" i="1"/>
  <c r="R2979" i="1"/>
  <c r="J2980" i="1"/>
  <c r="Q2980" i="1"/>
  <c r="R2980" i="1"/>
  <c r="J2981" i="1"/>
  <c r="Q2981" i="1"/>
  <c r="R2981" i="1"/>
  <c r="J2982" i="1"/>
  <c r="Q2982" i="1"/>
  <c r="R2982" i="1"/>
  <c r="J2983" i="1"/>
  <c r="Q2983" i="1"/>
  <c r="R2983" i="1"/>
  <c r="J9310" i="1"/>
  <c r="Q9310" i="1"/>
  <c r="R9310" i="1"/>
  <c r="J9311" i="1"/>
  <c r="Q9311" i="1"/>
  <c r="R9311" i="1"/>
  <c r="J9312" i="1"/>
  <c r="Q9312" i="1"/>
  <c r="R9312" i="1"/>
  <c r="J2984" i="1"/>
  <c r="Q2984" i="1"/>
  <c r="R2984" i="1"/>
  <c r="J9313" i="1"/>
  <c r="Q9313" i="1"/>
  <c r="R9313" i="1"/>
  <c r="J9314" i="1"/>
  <c r="Q9314" i="1"/>
  <c r="R9314" i="1"/>
  <c r="J9315" i="1"/>
  <c r="Q9315" i="1"/>
  <c r="R9315" i="1"/>
  <c r="J9316" i="1"/>
  <c r="Q9316" i="1"/>
  <c r="R9316" i="1"/>
  <c r="J2985" i="1"/>
  <c r="Q2985" i="1"/>
  <c r="R2985" i="1"/>
  <c r="J9317" i="1"/>
  <c r="Q9317" i="1"/>
  <c r="R9317" i="1"/>
  <c r="J9318" i="1"/>
  <c r="Q9318" i="1"/>
  <c r="R9318" i="1"/>
  <c r="J2986" i="1"/>
  <c r="Q2986" i="1"/>
  <c r="R2986" i="1"/>
  <c r="J2987" i="1"/>
  <c r="Q2987" i="1"/>
  <c r="R2987" i="1"/>
  <c r="J2988" i="1"/>
  <c r="Q2988" i="1"/>
  <c r="R2988" i="1"/>
  <c r="J2989" i="1"/>
  <c r="Q2989" i="1"/>
  <c r="R2989" i="1"/>
  <c r="J2990" i="1"/>
  <c r="Q2990" i="1"/>
  <c r="R2990" i="1"/>
  <c r="J2991" i="1"/>
  <c r="Q2991" i="1"/>
  <c r="R2991" i="1"/>
  <c r="J9319" i="1"/>
  <c r="Q9319" i="1"/>
  <c r="R9319" i="1"/>
  <c r="J2992" i="1"/>
  <c r="Q2992" i="1"/>
  <c r="R2992" i="1"/>
  <c r="J9320" i="1"/>
  <c r="Q9320" i="1"/>
  <c r="R9320" i="1"/>
  <c r="J2993" i="1"/>
  <c r="Q2993" i="1"/>
  <c r="R2993" i="1"/>
  <c r="J2994" i="1"/>
  <c r="Q2994" i="1"/>
  <c r="R2994" i="1"/>
  <c r="J2995" i="1"/>
  <c r="Q2995" i="1"/>
  <c r="R2995" i="1"/>
  <c r="J9321" i="1"/>
  <c r="Q9321" i="1"/>
  <c r="R9321" i="1"/>
  <c r="J9322" i="1"/>
  <c r="Q9322" i="1"/>
  <c r="R9322" i="1"/>
  <c r="J9323" i="1"/>
  <c r="Q9323" i="1"/>
  <c r="R9323" i="1"/>
  <c r="J9324" i="1"/>
  <c r="Q9324" i="1"/>
  <c r="R9324" i="1"/>
  <c r="J9325" i="1"/>
  <c r="Q9325" i="1"/>
  <c r="R9325" i="1"/>
  <c r="J2996" i="1"/>
  <c r="Q2996" i="1"/>
  <c r="R2996" i="1"/>
  <c r="J9326" i="1"/>
  <c r="Q9326" i="1"/>
  <c r="R9326" i="1"/>
  <c r="J2997" i="1"/>
  <c r="Q2997" i="1"/>
  <c r="R2997" i="1"/>
  <c r="J9327" i="1"/>
  <c r="Q9327" i="1"/>
  <c r="R9327" i="1"/>
  <c r="J9328" i="1"/>
  <c r="Q9328" i="1"/>
  <c r="R9328" i="1"/>
  <c r="J2998" i="1"/>
  <c r="Q2998" i="1"/>
  <c r="R2998" i="1"/>
  <c r="J9329" i="1"/>
  <c r="Q9329" i="1"/>
  <c r="R9329" i="1"/>
  <c r="J9330" i="1"/>
  <c r="Q9330" i="1"/>
  <c r="R9330" i="1"/>
  <c r="J9331" i="1"/>
  <c r="Q9331" i="1"/>
  <c r="R9331" i="1"/>
  <c r="J2999" i="1"/>
  <c r="Q2999" i="1"/>
  <c r="R2999" i="1"/>
  <c r="J3000" i="1"/>
  <c r="Q3000" i="1"/>
  <c r="R3000" i="1"/>
  <c r="J9332" i="1"/>
  <c r="Q9332" i="1"/>
  <c r="R9332" i="1"/>
  <c r="J9333" i="1"/>
  <c r="Q9333" i="1"/>
  <c r="R9333" i="1"/>
  <c r="J9334" i="1"/>
  <c r="Q9334" i="1"/>
  <c r="R9334" i="1"/>
  <c r="J9335" i="1"/>
  <c r="Q9335" i="1"/>
  <c r="R9335" i="1"/>
  <c r="J9336" i="1"/>
  <c r="Q9336" i="1"/>
  <c r="R9336" i="1"/>
  <c r="J9337" i="1"/>
  <c r="Q9337" i="1"/>
  <c r="R9337" i="1"/>
  <c r="J9338" i="1"/>
  <c r="Q9338" i="1"/>
  <c r="R9338" i="1"/>
  <c r="J9339" i="1"/>
  <c r="Q9339" i="1"/>
  <c r="R9339" i="1"/>
  <c r="J3001" i="1"/>
  <c r="Q3001" i="1"/>
  <c r="R3001" i="1"/>
  <c r="J9340" i="1"/>
  <c r="Q9340" i="1"/>
  <c r="R9340" i="1"/>
  <c r="J3002" i="1"/>
  <c r="Q3002" i="1"/>
  <c r="R3002" i="1"/>
  <c r="J9341" i="1"/>
  <c r="Q9341" i="1"/>
  <c r="R9341" i="1"/>
  <c r="J3003" i="1"/>
  <c r="Q3003" i="1"/>
  <c r="R3003" i="1"/>
  <c r="J9342" i="1"/>
  <c r="Q9342" i="1"/>
  <c r="R9342" i="1"/>
  <c r="J9343" i="1"/>
  <c r="Q9343" i="1"/>
  <c r="R9343" i="1"/>
  <c r="J9344" i="1"/>
  <c r="Q9344" i="1"/>
  <c r="R9344" i="1"/>
  <c r="J3004" i="1"/>
  <c r="Q3004" i="1"/>
  <c r="R3004" i="1"/>
  <c r="J3005" i="1"/>
  <c r="Q3005" i="1"/>
  <c r="R3005" i="1"/>
  <c r="J9345" i="1"/>
  <c r="Q9345" i="1"/>
  <c r="R9345" i="1"/>
  <c r="J3006" i="1"/>
  <c r="Q3006" i="1"/>
  <c r="R3006" i="1"/>
  <c r="J3007" i="1"/>
  <c r="Q3007" i="1"/>
  <c r="R3007" i="1"/>
  <c r="J9346" i="1"/>
  <c r="Q9346" i="1"/>
  <c r="R9346" i="1"/>
  <c r="J3008" i="1"/>
  <c r="Q3008" i="1"/>
  <c r="R3008" i="1"/>
  <c r="J3009" i="1"/>
  <c r="Q3009" i="1"/>
  <c r="R3009" i="1"/>
  <c r="J9347" i="1"/>
  <c r="Q9347" i="1"/>
  <c r="R9347" i="1"/>
  <c r="J9348" i="1"/>
  <c r="Q9348" i="1"/>
  <c r="R9348" i="1"/>
  <c r="J9349" i="1"/>
  <c r="Q9349" i="1"/>
  <c r="R9349" i="1"/>
  <c r="J9350" i="1"/>
  <c r="Q9350" i="1"/>
  <c r="R9350" i="1"/>
  <c r="J3010" i="1"/>
  <c r="Q3010" i="1"/>
  <c r="R3010" i="1"/>
  <c r="J3011" i="1"/>
  <c r="Q3011" i="1"/>
  <c r="R3011" i="1"/>
  <c r="J9351" i="1"/>
  <c r="Q9351" i="1"/>
  <c r="R9351" i="1"/>
  <c r="J9352" i="1"/>
  <c r="Q9352" i="1"/>
  <c r="R9352" i="1"/>
  <c r="J9353" i="1"/>
  <c r="Q9353" i="1"/>
  <c r="R9353" i="1"/>
  <c r="J3012" i="1"/>
  <c r="Q3012" i="1"/>
  <c r="R3012" i="1"/>
  <c r="J3013" i="1"/>
  <c r="Q3013" i="1"/>
  <c r="R3013" i="1"/>
  <c r="J3014" i="1"/>
  <c r="Q3014" i="1"/>
  <c r="R3014" i="1"/>
  <c r="J3015" i="1"/>
  <c r="Q3015" i="1"/>
  <c r="R3015" i="1"/>
  <c r="J3016" i="1"/>
  <c r="Q3016" i="1"/>
  <c r="R3016" i="1"/>
  <c r="J3017" i="1"/>
  <c r="Q3017" i="1"/>
  <c r="R3017" i="1"/>
  <c r="J3018" i="1"/>
  <c r="Q3018" i="1"/>
  <c r="R3018" i="1"/>
  <c r="J9354" i="1"/>
  <c r="Q9354" i="1"/>
  <c r="R9354" i="1"/>
  <c r="J3019" i="1"/>
  <c r="Q3019" i="1"/>
  <c r="R3019" i="1"/>
  <c r="J3020" i="1"/>
  <c r="Q3020" i="1"/>
  <c r="R3020" i="1"/>
  <c r="J3021" i="1"/>
  <c r="Q3021" i="1"/>
  <c r="R3021" i="1"/>
  <c r="J3022" i="1"/>
  <c r="Q3022" i="1"/>
  <c r="R3022" i="1"/>
  <c r="J3023" i="1"/>
  <c r="Q3023" i="1"/>
  <c r="R3023" i="1"/>
  <c r="J3024" i="1"/>
  <c r="Q3024" i="1"/>
  <c r="R3024" i="1"/>
  <c r="J3025" i="1"/>
  <c r="Q3025" i="1"/>
  <c r="R3025" i="1"/>
  <c r="J9355" i="1"/>
  <c r="Q9355" i="1"/>
  <c r="R9355" i="1"/>
  <c r="J3026" i="1"/>
  <c r="Q3026" i="1"/>
  <c r="R3026" i="1"/>
  <c r="J3027" i="1"/>
  <c r="Q3027" i="1"/>
  <c r="R3027" i="1"/>
  <c r="J3028" i="1"/>
  <c r="Q3028" i="1"/>
  <c r="R3028" i="1"/>
  <c r="J3029" i="1"/>
  <c r="Q3029" i="1"/>
  <c r="R3029" i="1"/>
  <c r="J9356" i="1"/>
  <c r="Q9356" i="1"/>
  <c r="R9356" i="1"/>
  <c r="J9357" i="1"/>
  <c r="Q9357" i="1"/>
  <c r="R9357" i="1"/>
  <c r="J9358" i="1"/>
  <c r="Q9358" i="1"/>
  <c r="R9358" i="1"/>
  <c r="J9359" i="1"/>
  <c r="Q9359" i="1"/>
  <c r="R9359" i="1"/>
  <c r="J9360" i="1"/>
  <c r="Q9360" i="1"/>
  <c r="R9360" i="1"/>
  <c r="J9361" i="1"/>
  <c r="Q9361" i="1"/>
  <c r="R9361" i="1"/>
  <c r="J9362" i="1"/>
  <c r="Q9362" i="1"/>
  <c r="R9362" i="1"/>
  <c r="J3030" i="1"/>
  <c r="Q3030" i="1"/>
  <c r="R3030" i="1"/>
  <c r="J9363" i="1"/>
  <c r="Q9363" i="1"/>
  <c r="R9363" i="1"/>
  <c r="J3031" i="1"/>
  <c r="Q3031" i="1"/>
  <c r="R3031" i="1"/>
  <c r="J9364" i="1"/>
  <c r="Q9364" i="1"/>
  <c r="R9364" i="1"/>
  <c r="J9365" i="1"/>
  <c r="Q9365" i="1"/>
  <c r="R9365" i="1"/>
  <c r="J3032" i="1"/>
  <c r="Q3032" i="1"/>
  <c r="R3032" i="1"/>
  <c r="J9366" i="1"/>
  <c r="Q9366" i="1"/>
  <c r="R9366" i="1"/>
  <c r="J9367" i="1"/>
  <c r="Q9367" i="1"/>
  <c r="R9367" i="1"/>
  <c r="J9368" i="1"/>
  <c r="Q9368" i="1"/>
  <c r="R9368" i="1"/>
  <c r="J9369" i="1"/>
  <c r="Q9369" i="1"/>
  <c r="R9369" i="1"/>
  <c r="J9370" i="1"/>
  <c r="Q9370" i="1"/>
  <c r="R9370" i="1"/>
  <c r="J3033" i="1"/>
  <c r="Q3033" i="1"/>
  <c r="R3033" i="1"/>
  <c r="J9371" i="1"/>
  <c r="Q9371" i="1"/>
  <c r="R9371" i="1"/>
  <c r="J3034" i="1"/>
  <c r="Q3034" i="1"/>
  <c r="R3034" i="1"/>
  <c r="J9372" i="1"/>
  <c r="Q9372" i="1"/>
  <c r="R9372" i="1"/>
  <c r="J3035" i="1"/>
  <c r="Q3035" i="1"/>
  <c r="R3035" i="1"/>
  <c r="J3036" i="1"/>
  <c r="Q3036" i="1"/>
  <c r="R3036" i="1"/>
  <c r="J3037" i="1"/>
  <c r="Q3037" i="1"/>
  <c r="R3037" i="1"/>
  <c r="J3038" i="1"/>
  <c r="Q3038" i="1"/>
  <c r="R3038" i="1"/>
  <c r="J3039" i="1"/>
  <c r="Q3039" i="1"/>
  <c r="R3039" i="1"/>
  <c r="J9373" i="1"/>
  <c r="Q9373" i="1"/>
  <c r="R9373" i="1"/>
  <c r="J3040" i="1"/>
  <c r="Q3040" i="1"/>
  <c r="R3040" i="1"/>
  <c r="J9374" i="1"/>
  <c r="Q9374" i="1"/>
  <c r="R9374" i="1"/>
  <c r="J9375" i="1"/>
  <c r="Q9375" i="1"/>
  <c r="R9375" i="1"/>
  <c r="J3041" i="1"/>
  <c r="Q3041" i="1"/>
  <c r="R3041" i="1"/>
  <c r="J9376" i="1"/>
  <c r="Q9376" i="1"/>
  <c r="R9376" i="1"/>
  <c r="J3042" i="1"/>
  <c r="Q3042" i="1"/>
  <c r="R3042" i="1"/>
  <c r="J3043" i="1"/>
  <c r="Q3043" i="1"/>
  <c r="R3043" i="1"/>
  <c r="J9377" i="1"/>
  <c r="Q9377" i="1"/>
  <c r="R9377" i="1"/>
  <c r="J3044" i="1"/>
  <c r="Q3044" i="1"/>
  <c r="R3044" i="1"/>
  <c r="J3045" i="1"/>
  <c r="Q3045" i="1"/>
  <c r="R3045" i="1"/>
  <c r="J9378" i="1"/>
  <c r="Q9378" i="1"/>
  <c r="R9378" i="1"/>
  <c r="J9379" i="1"/>
  <c r="Q9379" i="1"/>
  <c r="R9379" i="1"/>
  <c r="J9380" i="1"/>
  <c r="Q9380" i="1"/>
  <c r="R9380" i="1"/>
  <c r="J3046" i="1"/>
  <c r="Q3046" i="1"/>
  <c r="R3046" i="1"/>
  <c r="J9381" i="1"/>
  <c r="Q9381" i="1"/>
  <c r="R9381" i="1"/>
  <c r="J3047" i="1"/>
  <c r="Q3047" i="1"/>
  <c r="R3047" i="1"/>
  <c r="J3048" i="1"/>
  <c r="Q3048" i="1"/>
  <c r="R3048" i="1"/>
  <c r="J3049" i="1"/>
  <c r="Q3049" i="1"/>
  <c r="R3049" i="1"/>
  <c r="J3050" i="1"/>
  <c r="Q3050" i="1"/>
  <c r="R3050" i="1"/>
  <c r="J3051" i="1"/>
  <c r="Q3051" i="1"/>
  <c r="R3051" i="1"/>
  <c r="J3052" i="1"/>
  <c r="Q3052" i="1"/>
  <c r="R3052" i="1"/>
  <c r="J3053" i="1"/>
  <c r="Q3053" i="1"/>
  <c r="R3053" i="1"/>
  <c r="J3054" i="1"/>
  <c r="Q3054" i="1"/>
  <c r="R3054" i="1"/>
  <c r="J9382" i="1"/>
  <c r="Q9382" i="1"/>
  <c r="R9382" i="1"/>
  <c r="J3055" i="1"/>
  <c r="Q3055" i="1"/>
  <c r="R3055" i="1"/>
  <c r="J3056" i="1"/>
  <c r="Q3056" i="1"/>
  <c r="R3056" i="1"/>
  <c r="J9383" i="1"/>
  <c r="Q9383" i="1"/>
  <c r="R9383" i="1"/>
  <c r="J9384" i="1"/>
  <c r="Q9384" i="1"/>
  <c r="R9384" i="1"/>
  <c r="J3057" i="1"/>
  <c r="Q3057" i="1"/>
  <c r="R3057" i="1"/>
  <c r="J3058" i="1"/>
  <c r="Q3058" i="1"/>
  <c r="R3058" i="1"/>
  <c r="J9385" i="1"/>
  <c r="Q9385" i="1"/>
  <c r="R9385" i="1"/>
  <c r="J9386" i="1"/>
  <c r="Q9386" i="1"/>
  <c r="R9386" i="1"/>
  <c r="J3059" i="1"/>
  <c r="Q3059" i="1"/>
  <c r="R3059" i="1"/>
  <c r="J9387" i="1"/>
  <c r="Q9387" i="1"/>
  <c r="R9387" i="1"/>
  <c r="J9388" i="1"/>
  <c r="Q9388" i="1"/>
  <c r="R9388" i="1"/>
  <c r="J9389" i="1"/>
  <c r="Q9389" i="1"/>
  <c r="R9389" i="1"/>
  <c r="J9390" i="1"/>
  <c r="Q9390" i="1"/>
  <c r="R9390" i="1"/>
  <c r="J3060" i="1"/>
  <c r="Q3060" i="1"/>
  <c r="R3060" i="1"/>
  <c r="J9391" i="1"/>
  <c r="Q9391" i="1"/>
  <c r="R9391" i="1"/>
  <c r="J9392" i="1"/>
  <c r="Q9392" i="1"/>
  <c r="R9392" i="1"/>
  <c r="J3061" i="1"/>
  <c r="Q3061" i="1"/>
  <c r="R3061" i="1"/>
  <c r="J9393" i="1"/>
  <c r="Q9393" i="1"/>
  <c r="R9393" i="1"/>
  <c r="J9394" i="1"/>
  <c r="Q9394" i="1"/>
  <c r="R9394" i="1"/>
  <c r="J3062" i="1"/>
  <c r="Q3062" i="1"/>
  <c r="R3062" i="1"/>
  <c r="J3063" i="1"/>
  <c r="Q3063" i="1"/>
  <c r="R3063" i="1"/>
  <c r="J9395" i="1"/>
  <c r="Q9395" i="1"/>
  <c r="R9395" i="1"/>
  <c r="J3064" i="1"/>
  <c r="Q3064" i="1"/>
  <c r="R3064" i="1"/>
  <c r="J9396" i="1"/>
  <c r="Q9396" i="1"/>
  <c r="R9396" i="1"/>
  <c r="J9397" i="1"/>
  <c r="Q9397" i="1"/>
  <c r="R9397" i="1"/>
  <c r="J9398" i="1"/>
  <c r="Q9398" i="1"/>
  <c r="R9398" i="1"/>
  <c r="J9399" i="1"/>
  <c r="Q9399" i="1"/>
  <c r="R9399" i="1"/>
  <c r="J3065" i="1"/>
  <c r="Q3065" i="1"/>
  <c r="R3065" i="1"/>
  <c r="J9400" i="1"/>
  <c r="Q9400" i="1"/>
  <c r="R9400" i="1"/>
  <c r="J3066" i="1"/>
  <c r="Q3066" i="1"/>
  <c r="R3066" i="1"/>
  <c r="J3067" i="1"/>
  <c r="Q3067" i="1"/>
  <c r="R3067" i="1"/>
  <c r="J9401" i="1"/>
  <c r="Q9401" i="1"/>
  <c r="R9401" i="1"/>
  <c r="J9402" i="1"/>
  <c r="Q9402" i="1"/>
  <c r="R9402" i="1"/>
  <c r="J9403" i="1"/>
  <c r="Q9403" i="1"/>
  <c r="R9403" i="1"/>
  <c r="J3068" i="1"/>
  <c r="Q3068" i="1"/>
  <c r="R3068" i="1"/>
  <c r="J9404" i="1"/>
  <c r="Q9404" i="1"/>
  <c r="R9404" i="1"/>
  <c r="J9405" i="1"/>
  <c r="Q9405" i="1"/>
  <c r="R9405" i="1"/>
  <c r="J9406" i="1"/>
  <c r="Q9406" i="1"/>
  <c r="R9406" i="1"/>
  <c r="J9407" i="1"/>
  <c r="Q9407" i="1"/>
  <c r="R9407" i="1"/>
  <c r="J9408" i="1"/>
  <c r="Q9408" i="1"/>
  <c r="R9408" i="1"/>
  <c r="J9409" i="1"/>
  <c r="Q9409" i="1"/>
  <c r="R9409" i="1"/>
  <c r="J3069" i="1"/>
  <c r="Q3069" i="1"/>
  <c r="R3069" i="1"/>
  <c r="J9410" i="1"/>
  <c r="Q9410" i="1"/>
  <c r="R9410" i="1"/>
  <c r="J3070" i="1"/>
  <c r="Q3070" i="1"/>
  <c r="R3070" i="1"/>
  <c r="J9411" i="1"/>
  <c r="Q9411" i="1"/>
  <c r="R9411" i="1"/>
  <c r="J9412" i="1"/>
  <c r="Q9412" i="1"/>
  <c r="R9412" i="1"/>
  <c r="J3071" i="1"/>
  <c r="Q3071" i="1"/>
  <c r="R3071" i="1"/>
  <c r="J9413" i="1"/>
  <c r="Q9413" i="1"/>
  <c r="R9413" i="1"/>
  <c r="J9414" i="1"/>
  <c r="Q9414" i="1"/>
  <c r="R9414" i="1"/>
  <c r="J9415" i="1"/>
  <c r="Q9415" i="1"/>
  <c r="R9415" i="1"/>
  <c r="J3072" i="1"/>
  <c r="Q3072" i="1"/>
  <c r="R3072" i="1"/>
  <c r="J9416" i="1"/>
  <c r="Q9416" i="1"/>
  <c r="R9416" i="1"/>
  <c r="J9417" i="1"/>
  <c r="Q9417" i="1"/>
  <c r="R9417" i="1"/>
  <c r="J9418" i="1"/>
  <c r="Q9418" i="1"/>
  <c r="R9418" i="1"/>
  <c r="J3073" i="1"/>
  <c r="Q3073" i="1"/>
  <c r="R3073" i="1"/>
  <c r="J3074" i="1"/>
  <c r="Q3074" i="1"/>
  <c r="R3074" i="1"/>
  <c r="J9419" i="1"/>
  <c r="Q9419" i="1"/>
  <c r="R9419" i="1"/>
  <c r="J3075" i="1"/>
  <c r="Q3075" i="1"/>
  <c r="R3075" i="1"/>
  <c r="J3076" i="1"/>
  <c r="Q3076" i="1"/>
  <c r="R3076" i="1"/>
  <c r="J3077" i="1"/>
  <c r="Q3077" i="1"/>
  <c r="R3077" i="1"/>
  <c r="J9420" i="1"/>
  <c r="Q9420" i="1"/>
  <c r="R9420" i="1"/>
  <c r="J3078" i="1"/>
  <c r="Q3078" i="1"/>
  <c r="R3078" i="1"/>
  <c r="J9421" i="1"/>
  <c r="Q9421" i="1"/>
  <c r="R9421" i="1"/>
  <c r="J9422" i="1"/>
  <c r="Q9422" i="1"/>
  <c r="R9422" i="1"/>
  <c r="J3079" i="1"/>
  <c r="Q3079" i="1"/>
  <c r="R3079" i="1"/>
  <c r="J3080" i="1"/>
  <c r="Q3080" i="1"/>
  <c r="R3080" i="1"/>
  <c r="J3081" i="1"/>
  <c r="Q3081" i="1"/>
  <c r="R3081" i="1"/>
  <c r="J3082" i="1"/>
  <c r="Q3082" i="1"/>
  <c r="R3082" i="1"/>
  <c r="J3083" i="1"/>
  <c r="Q3083" i="1"/>
  <c r="R3083" i="1"/>
  <c r="J9423" i="1"/>
  <c r="Q9423" i="1"/>
  <c r="R9423" i="1"/>
  <c r="J3084" i="1"/>
  <c r="Q3084" i="1"/>
  <c r="R3084" i="1"/>
  <c r="J3085" i="1"/>
  <c r="Q3085" i="1"/>
  <c r="R3085" i="1"/>
  <c r="J3086" i="1"/>
  <c r="Q3086" i="1"/>
  <c r="R3086" i="1"/>
  <c r="J3087" i="1"/>
  <c r="Q3087" i="1"/>
  <c r="R3087" i="1"/>
  <c r="J9424" i="1"/>
  <c r="Q9424" i="1"/>
  <c r="R9424" i="1"/>
  <c r="J3088" i="1"/>
  <c r="Q3088" i="1"/>
  <c r="R3088" i="1"/>
  <c r="J9425" i="1"/>
  <c r="Q9425" i="1"/>
  <c r="R9425" i="1"/>
  <c r="J9426" i="1"/>
  <c r="Q9426" i="1"/>
  <c r="R9426" i="1"/>
  <c r="J9427" i="1"/>
  <c r="Q9427" i="1"/>
  <c r="R9427" i="1"/>
  <c r="J3089" i="1"/>
  <c r="Q3089" i="1"/>
  <c r="R3089" i="1"/>
  <c r="J3090" i="1"/>
  <c r="Q3090" i="1"/>
  <c r="R3090" i="1"/>
  <c r="J9428" i="1"/>
  <c r="Q9428" i="1"/>
  <c r="R9428" i="1"/>
  <c r="J3091" i="1"/>
  <c r="Q3091" i="1"/>
  <c r="R3091" i="1"/>
  <c r="J9429" i="1"/>
  <c r="Q9429" i="1"/>
  <c r="R9429" i="1"/>
  <c r="J9430" i="1"/>
  <c r="Q9430" i="1"/>
  <c r="R9430" i="1"/>
  <c r="J9431" i="1"/>
  <c r="Q9431" i="1"/>
  <c r="R9431" i="1"/>
  <c r="J9432" i="1"/>
  <c r="Q9432" i="1"/>
  <c r="R9432" i="1"/>
  <c r="J9433" i="1"/>
  <c r="Q9433" i="1"/>
  <c r="R9433" i="1"/>
  <c r="J9434" i="1"/>
  <c r="Q9434" i="1"/>
  <c r="R9434" i="1"/>
  <c r="J9435" i="1"/>
  <c r="Q9435" i="1"/>
  <c r="R9435" i="1"/>
  <c r="J9436" i="1"/>
  <c r="Q9436" i="1"/>
  <c r="R9436" i="1"/>
  <c r="J9437" i="1"/>
  <c r="Q9437" i="1"/>
  <c r="R9437" i="1"/>
  <c r="J9438" i="1"/>
  <c r="Q9438" i="1"/>
  <c r="R9438" i="1"/>
  <c r="J3092" i="1"/>
  <c r="Q3092" i="1"/>
  <c r="R3092" i="1"/>
  <c r="J3093" i="1"/>
  <c r="Q3093" i="1"/>
  <c r="R3093" i="1"/>
  <c r="J3094" i="1"/>
  <c r="Q3094" i="1"/>
  <c r="R3094" i="1"/>
  <c r="J3095" i="1"/>
  <c r="Q3095" i="1"/>
  <c r="R3095" i="1"/>
  <c r="J9439" i="1"/>
  <c r="Q9439" i="1"/>
  <c r="R9439" i="1"/>
  <c r="J9440" i="1"/>
  <c r="Q9440" i="1"/>
  <c r="R9440" i="1"/>
  <c r="J9441" i="1"/>
  <c r="Q9441" i="1"/>
  <c r="R9441" i="1"/>
  <c r="J9442" i="1"/>
  <c r="Q9442" i="1"/>
  <c r="R9442" i="1"/>
  <c r="J9443" i="1"/>
  <c r="Q9443" i="1"/>
  <c r="R9443" i="1"/>
  <c r="J9444" i="1"/>
  <c r="Q9444" i="1"/>
  <c r="R9444" i="1"/>
  <c r="J9445" i="1"/>
  <c r="Q9445" i="1"/>
  <c r="R9445" i="1"/>
  <c r="J9446" i="1"/>
  <c r="Q9446" i="1"/>
  <c r="R9446" i="1"/>
  <c r="J9447" i="1"/>
  <c r="Q9447" i="1"/>
  <c r="R9447" i="1"/>
  <c r="J9448" i="1"/>
  <c r="Q9448" i="1"/>
  <c r="R9448" i="1"/>
  <c r="J9449" i="1"/>
  <c r="Q9449" i="1"/>
  <c r="R9449" i="1"/>
  <c r="J9450" i="1"/>
  <c r="Q9450" i="1"/>
  <c r="R9450" i="1"/>
  <c r="J9451" i="1"/>
  <c r="Q9451" i="1"/>
  <c r="R9451" i="1"/>
  <c r="J9452" i="1"/>
  <c r="Q9452" i="1"/>
  <c r="R9452" i="1"/>
  <c r="J9453" i="1"/>
  <c r="Q9453" i="1"/>
  <c r="R9453" i="1"/>
  <c r="J9454" i="1"/>
  <c r="Q9454" i="1"/>
  <c r="R9454" i="1"/>
  <c r="J9455" i="1"/>
  <c r="Q9455" i="1"/>
  <c r="R9455" i="1"/>
  <c r="J9456" i="1"/>
  <c r="Q9456" i="1"/>
  <c r="R9456" i="1"/>
  <c r="J9457" i="1"/>
  <c r="Q9457" i="1"/>
  <c r="R9457" i="1"/>
  <c r="J9458" i="1"/>
  <c r="Q9458" i="1"/>
  <c r="R9458" i="1"/>
  <c r="J9459" i="1"/>
  <c r="Q9459" i="1"/>
  <c r="R9459" i="1"/>
  <c r="J9460" i="1"/>
  <c r="Q9460" i="1"/>
  <c r="R9460" i="1"/>
  <c r="J9461" i="1"/>
  <c r="Q9461" i="1"/>
  <c r="R9461" i="1"/>
  <c r="J9462" i="1"/>
  <c r="Q9462" i="1"/>
  <c r="R9462" i="1"/>
  <c r="J9463" i="1"/>
  <c r="Q9463" i="1"/>
  <c r="R9463" i="1"/>
  <c r="J9464" i="1"/>
  <c r="Q9464" i="1"/>
  <c r="R9464" i="1"/>
  <c r="J9465" i="1"/>
  <c r="Q9465" i="1"/>
  <c r="R9465" i="1"/>
  <c r="J9466" i="1"/>
  <c r="Q9466" i="1"/>
  <c r="R9466" i="1"/>
  <c r="J9467" i="1"/>
  <c r="Q9467" i="1"/>
  <c r="R9467" i="1"/>
  <c r="J3096" i="1"/>
  <c r="Q3096" i="1"/>
  <c r="R3096" i="1"/>
  <c r="J9468" i="1"/>
  <c r="Q9468" i="1"/>
  <c r="R9468" i="1"/>
  <c r="J9469" i="1"/>
  <c r="Q9469" i="1"/>
  <c r="R9469" i="1"/>
  <c r="J9470" i="1"/>
  <c r="Q9470" i="1"/>
  <c r="R9470" i="1"/>
  <c r="J9471" i="1"/>
  <c r="Q9471" i="1"/>
  <c r="R9471" i="1"/>
  <c r="J9472" i="1"/>
  <c r="Q9472" i="1"/>
  <c r="R9472" i="1"/>
  <c r="J9473" i="1"/>
  <c r="Q9473" i="1"/>
  <c r="R9473" i="1"/>
  <c r="J9474" i="1"/>
  <c r="Q9474" i="1"/>
  <c r="R9474" i="1"/>
  <c r="J9475" i="1"/>
  <c r="Q9475" i="1"/>
  <c r="R9475" i="1"/>
  <c r="J9476" i="1"/>
  <c r="Q9476" i="1"/>
  <c r="R9476" i="1"/>
  <c r="J9477" i="1"/>
  <c r="Q9477" i="1"/>
  <c r="R9477" i="1"/>
  <c r="J9478" i="1"/>
  <c r="Q9478" i="1"/>
  <c r="R9478" i="1"/>
  <c r="J9479" i="1"/>
  <c r="Q9479" i="1"/>
  <c r="R9479" i="1"/>
  <c r="J9480" i="1"/>
  <c r="Q9480" i="1"/>
  <c r="R9480" i="1"/>
  <c r="J9481" i="1"/>
  <c r="Q9481" i="1"/>
  <c r="R9481" i="1"/>
  <c r="J9482" i="1"/>
  <c r="Q9482" i="1"/>
  <c r="R9482" i="1"/>
  <c r="J9483" i="1"/>
  <c r="Q9483" i="1"/>
  <c r="R9483" i="1"/>
  <c r="J9484" i="1"/>
  <c r="Q9484" i="1"/>
  <c r="R9484" i="1"/>
  <c r="J9485" i="1"/>
  <c r="Q9485" i="1"/>
  <c r="R9485" i="1"/>
  <c r="J9486" i="1"/>
  <c r="Q9486" i="1"/>
  <c r="R9486" i="1"/>
  <c r="J9487" i="1"/>
  <c r="Q9487" i="1"/>
  <c r="R9487" i="1"/>
  <c r="J9488" i="1"/>
  <c r="Q9488" i="1"/>
  <c r="R9488" i="1"/>
  <c r="J9489" i="1"/>
  <c r="Q9489" i="1"/>
  <c r="R9489" i="1"/>
  <c r="J9490" i="1"/>
  <c r="Q9490" i="1"/>
  <c r="R9490" i="1"/>
  <c r="J9491" i="1"/>
  <c r="Q9491" i="1"/>
  <c r="R9491" i="1"/>
  <c r="J9492" i="1"/>
  <c r="Q9492" i="1"/>
  <c r="R9492" i="1"/>
  <c r="J9493" i="1"/>
  <c r="Q9493" i="1"/>
  <c r="R9493" i="1"/>
  <c r="J9494" i="1"/>
  <c r="Q9494" i="1"/>
  <c r="R9494" i="1"/>
  <c r="J9495" i="1"/>
  <c r="Q9495" i="1"/>
  <c r="R9495" i="1"/>
  <c r="J9496" i="1"/>
  <c r="Q9496" i="1"/>
  <c r="R9496" i="1"/>
  <c r="J9497" i="1"/>
  <c r="Q9497" i="1"/>
  <c r="R9497" i="1"/>
  <c r="J3097" i="1"/>
  <c r="Q3097" i="1"/>
  <c r="R3097" i="1"/>
  <c r="J3098" i="1"/>
  <c r="Q3098" i="1"/>
  <c r="R3098" i="1"/>
  <c r="J3099" i="1"/>
  <c r="Q3099" i="1"/>
  <c r="R3099" i="1"/>
  <c r="J3100" i="1"/>
  <c r="Q3100" i="1"/>
  <c r="R3100" i="1"/>
  <c r="J3101" i="1"/>
  <c r="Q3101" i="1"/>
  <c r="R3101" i="1"/>
  <c r="J3102" i="1"/>
  <c r="Q3102" i="1"/>
  <c r="R3102" i="1"/>
  <c r="J3103" i="1"/>
  <c r="Q3103" i="1"/>
  <c r="R3103" i="1"/>
  <c r="J9498" i="1"/>
  <c r="Q9498" i="1"/>
  <c r="R9498" i="1"/>
  <c r="J3104" i="1"/>
  <c r="Q3104" i="1"/>
  <c r="R3104" i="1"/>
  <c r="J3105" i="1"/>
  <c r="Q3105" i="1"/>
  <c r="R3105" i="1"/>
  <c r="J3106" i="1"/>
  <c r="Q3106" i="1"/>
  <c r="R3106" i="1"/>
  <c r="J3107" i="1"/>
  <c r="Q3107" i="1"/>
  <c r="R3107" i="1"/>
  <c r="J9499" i="1"/>
  <c r="Q9499" i="1"/>
  <c r="R9499" i="1"/>
  <c r="J3108" i="1"/>
  <c r="Q3108" i="1"/>
  <c r="R3108" i="1"/>
  <c r="J9500" i="1"/>
  <c r="Q9500" i="1"/>
  <c r="R9500" i="1"/>
  <c r="J3109" i="1"/>
  <c r="Q3109" i="1"/>
  <c r="R3109" i="1"/>
  <c r="J9501" i="1"/>
  <c r="Q9501" i="1"/>
  <c r="R9501" i="1"/>
  <c r="J3110" i="1"/>
  <c r="Q3110" i="1"/>
  <c r="R3110" i="1"/>
  <c r="J9502" i="1"/>
  <c r="Q9502" i="1"/>
  <c r="R9502" i="1"/>
  <c r="J9503" i="1"/>
  <c r="Q9503" i="1"/>
  <c r="R9503" i="1"/>
  <c r="J9504" i="1"/>
  <c r="Q9504" i="1"/>
  <c r="R9504" i="1"/>
  <c r="J9505" i="1"/>
  <c r="Q9505" i="1"/>
  <c r="R9505" i="1"/>
  <c r="J9506" i="1"/>
  <c r="Q9506" i="1"/>
  <c r="R9506" i="1"/>
  <c r="J9507" i="1"/>
  <c r="Q9507" i="1"/>
  <c r="R9507" i="1"/>
  <c r="J9508" i="1"/>
  <c r="Q9508" i="1"/>
  <c r="R9508" i="1"/>
  <c r="J9509" i="1"/>
  <c r="Q9509" i="1"/>
  <c r="R9509" i="1"/>
  <c r="J9510" i="1"/>
  <c r="Q9510" i="1"/>
  <c r="R9510" i="1"/>
  <c r="J9511" i="1"/>
  <c r="Q9511" i="1"/>
  <c r="R9511" i="1"/>
  <c r="J9512" i="1"/>
  <c r="Q9512" i="1"/>
  <c r="R9512" i="1"/>
  <c r="J9513" i="1"/>
  <c r="Q9513" i="1"/>
  <c r="R9513" i="1"/>
  <c r="J9514" i="1"/>
  <c r="Q9514" i="1"/>
  <c r="R9514" i="1"/>
  <c r="J9515" i="1"/>
  <c r="Q9515" i="1"/>
  <c r="R9515" i="1"/>
  <c r="J9516" i="1"/>
  <c r="Q9516" i="1"/>
  <c r="R9516" i="1"/>
  <c r="J9517" i="1"/>
  <c r="Q9517" i="1"/>
  <c r="R9517" i="1"/>
  <c r="J9518" i="1"/>
  <c r="Q9518" i="1"/>
  <c r="R9518" i="1"/>
  <c r="J9519" i="1"/>
  <c r="Q9519" i="1"/>
  <c r="R9519" i="1"/>
  <c r="J9520" i="1"/>
  <c r="Q9520" i="1"/>
  <c r="R9520" i="1"/>
  <c r="J9521" i="1"/>
  <c r="Q9521" i="1"/>
  <c r="R9521" i="1"/>
  <c r="J9522" i="1"/>
  <c r="Q9522" i="1"/>
  <c r="R9522" i="1"/>
  <c r="J9523" i="1"/>
  <c r="Q9523" i="1"/>
  <c r="R9523" i="1"/>
  <c r="J9524" i="1"/>
  <c r="Q9524" i="1"/>
  <c r="R9524" i="1"/>
  <c r="J9525" i="1"/>
  <c r="Q9525" i="1"/>
  <c r="R9525" i="1"/>
  <c r="J9526" i="1"/>
  <c r="Q9526" i="1"/>
  <c r="R9526" i="1"/>
  <c r="J9527" i="1"/>
  <c r="Q9527" i="1"/>
  <c r="R9527" i="1"/>
  <c r="J9528" i="1"/>
  <c r="Q9528" i="1"/>
  <c r="R9528" i="1"/>
  <c r="J9529" i="1"/>
  <c r="Q9529" i="1"/>
  <c r="R9529" i="1"/>
  <c r="J9530" i="1"/>
  <c r="Q9530" i="1"/>
  <c r="R9530" i="1"/>
  <c r="J3111" i="1"/>
  <c r="Q3111" i="1"/>
  <c r="R3111" i="1"/>
  <c r="J3112" i="1"/>
  <c r="Q3112" i="1"/>
  <c r="R3112" i="1"/>
  <c r="J3113" i="1"/>
  <c r="Q3113" i="1"/>
  <c r="R3113" i="1"/>
  <c r="J3114" i="1"/>
  <c r="Q3114" i="1"/>
  <c r="R3114" i="1"/>
  <c r="J9531" i="1"/>
  <c r="Q9531" i="1"/>
  <c r="R9531" i="1"/>
  <c r="J3115" i="1"/>
  <c r="Q3115" i="1"/>
  <c r="R3115" i="1"/>
  <c r="J3116" i="1"/>
  <c r="Q3116" i="1"/>
  <c r="R3116" i="1"/>
  <c r="J3117" i="1"/>
  <c r="Q3117" i="1"/>
  <c r="R3117" i="1"/>
  <c r="J3118" i="1"/>
  <c r="Q3118" i="1"/>
  <c r="R3118" i="1"/>
  <c r="J3119" i="1"/>
  <c r="Q3119" i="1"/>
  <c r="R3119" i="1"/>
  <c r="J3120" i="1"/>
  <c r="Q3120" i="1"/>
  <c r="R3120" i="1"/>
  <c r="J9532" i="1"/>
  <c r="Q9532" i="1"/>
  <c r="R9532" i="1"/>
  <c r="J3121" i="1"/>
  <c r="Q3121" i="1"/>
  <c r="R3121" i="1"/>
  <c r="J9533" i="1"/>
  <c r="Q9533" i="1"/>
  <c r="R9533" i="1"/>
  <c r="J9534" i="1"/>
  <c r="Q9534" i="1"/>
  <c r="R9534" i="1"/>
  <c r="J9535" i="1"/>
  <c r="Q9535" i="1"/>
  <c r="R9535" i="1"/>
  <c r="J9536" i="1"/>
  <c r="Q9536" i="1"/>
  <c r="R9536" i="1"/>
  <c r="J9537" i="1"/>
  <c r="Q9537" i="1"/>
  <c r="R9537" i="1"/>
  <c r="J3122" i="1"/>
  <c r="Q3122" i="1"/>
  <c r="R3122" i="1"/>
  <c r="J9538" i="1"/>
  <c r="Q9538" i="1"/>
  <c r="R9538" i="1"/>
  <c r="J3123" i="1"/>
  <c r="Q3123" i="1"/>
  <c r="R3123" i="1"/>
  <c r="J9539" i="1"/>
  <c r="Q9539" i="1"/>
  <c r="R9539" i="1"/>
  <c r="J9540" i="1"/>
  <c r="Q9540" i="1"/>
  <c r="R9540" i="1"/>
  <c r="J9541" i="1"/>
  <c r="Q9541" i="1"/>
  <c r="R9541" i="1"/>
  <c r="J3124" i="1"/>
  <c r="Q3124" i="1"/>
  <c r="R3124" i="1"/>
  <c r="J9542" i="1"/>
  <c r="Q9542" i="1"/>
  <c r="R9542" i="1"/>
  <c r="J9543" i="1"/>
  <c r="Q9543" i="1"/>
  <c r="R9543" i="1"/>
  <c r="J3125" i="1"/>
  <c r="Q3125" i="1"/>
  <c r="R3125" i="1"/>
  <c r="J9544" i="1"/>
  <c r="Q9544" i="1"/>
  <c r="R9544" i="1"/>
  <c r="J3126" i="1"/>
  <c r="Q3126" i="1"/>
  <c r="R3126" i="1"/>
  <c r="J3127" i="1"/>
  <c r="Q3127" i="1"/>
  <c r="R3127" i="1"/>
  <c r="J3128" i="1"/>
  <c r="Q3128" i="1"/>
  <c r="R3128" i="1"/>
  <c r="J9545" i="1"/>
  <c r="Q9545" i="1"/>
  <c r="R9545" i="1"/>
  <c r="J3129" i="1"/>
  <c r="Q3129" i="1"/>
  <c r="R3129" i="1"/>
  <c r="J9546" i="1"/>
  <c r="Q9546" i="1"/>
  <c r="R9546" i="1"/>
  <c r="J3130" i="1"/>
  <c r="Q3130" i="1"/>
  <c r="R3130" i="1"/>
  <c r="J9547" i="1"/>
  <c r="Q9547" i="1"/>
  <c r="R9547" i="1"/>
  <c r="J9548" i="1"/>
  <c r="Q9548" i="1"/>
  <c r="R9548" i="1"/>
  <c r="J3131" i="1"/>
  <c r="Q3131" i="1"/>
  <c r="R3131" i="1"/>
  <c r="J9549" i="1"/>
  <c r="Q9549" i="1"/>
  <c r="R9549" i="1"/>
  <c r="J3132" i="1"/>
  <c r="Q3132" i="1"/>
  <c r="R3132" i="1"/>
  <c r="J9550" i="1"/>
  <c r="Q9550" i="1"/>
  <c r="R9550" i="1"/>
  <c r="J3133" i="1"/>
  <c r="Q3133" i="1"/>
  <c r="R3133" i="1"/>
  <c r="J3134" i="1"/>
  <c r="Q3134" i="1"/>
  <c r="R3134" i="1"/>
  <c r="J3135" i="1"/>
  <c r="Q3135" i="1"/>
  <c r="R3135" i="1"/>
  <c r="J3136" i="1"/>
  <c r="Q3136" i="1"/>
  <c r="R3136" i="1"/>
  <c r="J3137" i="1"/>
  <c r="Q3137" i="1"/>
  <c r="R3137" i="1"/>
  <c r="J3138" i="1"/>
  <c r="Q3138" i="1"/>
  <c r="R3138" i="1"/>
  <c r="J3139" i="1"/>
  <c r="Q3139" i="1"/>
  <c r="R3139" i="1"/>
  <c r="J3140" i="1"/>
  <c r="Q3140" i="1"/>
  <c r="R3140" i="1"/>
  <c r="J9551" i="1"/>
  <c r="Q9551" i="1"/>
  <c r="R9551" i="1"/>
  <c r="J3141" i="1"/>
  <c r="Q3141" i="1"/>
  <c r="R3141" i="1"/>
  <c r="J9552" i="1"/>
  <c r="Q9552" i="1"/>
  <c r="R9552" i="1"/>
  <c r="J3142" i="1"/>
  <c r="Q3142" i="1"/>
  <c r="R3142" i="1"/>
  <c r="J3143" i="1"/>
  <c r="Q3143" i="1"/>
  <c r="R3143" i="1"/>
  <c r="J3144" i="1"/>
  <c r="Q3144" i="1"/>
  <c r="R3144" i="1"/>
  <c r="J3145" i="1"/>
  <c r="Q3145" i="1"/>
  <c r="R3145" i="1"/>
  <c r="J3146" i="1"/>
  <c r="Q3146" i="1"/>
  <c r="R3146" i="1"/>
  <c r="J3147" i="1"/>
  <c r="Q3147" i="1"/>
  <c r="R3147" i="1"/>
  <c r="J9553" i="1"/>
  <c r="Q9553" i="1"/>
  <c r="R9553" i="1"/>
  <c r="J9554" i="1"/>
  <c r="Q9554" i="1"/>
  <c r="R9554" i="1"/>
  <c r="J9555" i="1"/>
  <c r="Q9555" i="1"/>
  <c r="R9555" i="1"/>
  <c r="J3148" i="1"/>
  <c r="Q3148" i="1"/>
  <c r="R3148" i="1"/>
  <c r="J9556" i="1"/>
  <c r="Q9556" i="1"/>
  <c r="R9556" i="1"/>
  <c r="J9557" i="1"/>
  <c r="Q9557" i="1"/>
  <c r="R9557" i="1"/>
  <c r="J9558" i="1"/>
  <c r="Q9558" i="1"/>
  <c r="R9558" i="1"/>
  <c r="J9559" i="1"/>
  <c r="Q9559" i="1"/>
  <c r="R9559" i="1"/>
  <c r="J9560" i="1"/>
  <c r="Q9560" i="1"/>
  <c r="R9560" i="1"/>
  <c r="J3149" i="1"/>
  <c r="Q3149" i="1"/>
  <c r="R3149" i="1"/>
  <c r="J3150" i="1"/>
  <c r="Q3150" i="1"/>
  <c r="R3150" i="1"/>
  <c r="J9561" i="1"/>
  <c r="Q9561" i="1"/>
  <c r="R9561" i="1"/>
  <c r="J3151" i="1"/>
  <c r="Q3151" i="1"/>
  <c r="R3151" i="1"/>
  <c r="J3152" i="1"/>
  <c r="Q3152" i="1"/>
  <c r="R3152" i="1"/>
  <c r="J3153" i="1"/>
  <c r="Q3153" i="1"/>
  <c r="R3153" i="1"/>
  <c r="J9562" i="1"/>
  <c r="Q9562" i="1"/>
  <c r="R9562" i="1"/>
  <c r="J9563" i="1"/>
  <c r="Q9563" i="1"/>
  <c r="R9563" i="1"/>
  <c r="J3154" i="1"/>
  <c r="Q3154" i="1"/>
  <c r="R3154" i="1"/>
  <c r="J9564" i="1"/>
  <c r="Q9564" i="1"/>
  <c r="R9564" i="1"/>
  <c r="J9565" i="1"/>
  <c r="Q9565" i="1"/>
  <c r="R9565" i="1"/>
  <c r="J3155" i="1"/>
  <c r="Q3155" i="1"/>
  <c r="R3155" i="1"/>
  <c r="J3156" i="1"/>
  <c r="Q3156" i="1"/>
  <c r="R3156" i="1"/>
  <c r="J9566" i="1"/>
  <c r="Q9566" i="1"/>
  <c r="R9566" i="1"/>
  <c r="J3157" i="1"/>
  <c r="Q3157" i="1"/>
  <c r="R3157" i="1"/>
  <c r="J3158" i="1"/>
  <c r="Q3158" i="1"/>
  <c r="R3158" i="1"/>
  <c r="J3159" i="1"/>
  <c r="Q3159" i="1"/>
  <c r="R3159" i="1"/>
  <c r="J9567" i="1"/>
  <c r="Q9567" i="1"/>
  <c r="R9567" i="1"/>
  <c r="J9568" i="1"/>
  <c r="Q9568" i="1"/>
  <c r="R9568" i="1"/>
  <c r="J3160" i="1"/>
  <c r="Q3160" i="1"/>
  <c r="R3160" i="1"/>
  <c r="J3161" i="1"/>
  <c r="Q3161" i="1"/>
  <c r="R3161" i="1"/>
  <c r="J3162" i="1"/>
  <c r="Q3162" i="1"/>
  <c r="R3162" i="1"/>
  <c r="J3163" i="1"/>
  <c r="Q3163" i="1"/>
  <c r="R3163" i="1"/>
  <c r="J3164" i="1"/>
  <c r="Q3164" i="1"/>
  <c r="R3164" i="1"/>
  <c r="J3165" i="1"/>
  <c r="Q3165" i="1"/>
  <c r="R3165" i="1"/>
  <c r="J9569" i="1"/>
  <c r="Q9569" i="1"/>
  <c r="R9569" i="1"/>
  <c r="J9570" i="1"/>
  <c r="Q9570" i="1"/>
  <c r="R9570" i="1"/>
  <c r="J9571" i="1"/>
  <c r="Q9571" i="1"/>
  <c r="R9571" i="1"/>
  <c r="J3166" i="1"/>
  <c r="Q3166" i="1"/>
  <c r="R3166" i="1"/>
  <c r="J9572" i="1"/>
  <c r="Q9572" i="1"/>
  <c r="R9572" i="1"/>
  <c r="J3167" i="1"/>
  <c r="Q3167" i="1"/>
  <c r="R3167" i="1"/>
  <c r="J3168" i="1"/>
  <c r="Q3168" i="1"/>
  <c r="R3168" i="1"/>
  <c r="J9573" i="1"/>
  <c r="Q9573" i="1"/>
  <c r="R9573" i="1"/>
  <c r="J3169" i="1"/>
  <c r="Q3169" i="1"/>
  <c r="R3169" i="1"/>
  <c r="J9574" i="1"/>
  <c r="Q9574" i="1"/>
  <c r="R9574" i="1"/>
  <c r="J3170" i="1"/>
  <c r="Q3170" i="1"/>
  <c r="R3170" i="1"/>
  <c r="J3171" i="1"/>
  <c r="Q3171" i="1"/>
  <c r="R3171" i="1"/>
  <c r="J9575" i="1"/>
  <c r="Q9575" i="1"/>
  <c r="R9575" i="1"/>
  <c r="J9576" i="1"/>
  <c r="Q9576" i="1"/>
  <c r="R9576" i="1"/>
  <c r="J3172" i="1"/>
  <c r="Q3172" i="1"/>
  <c r="R3172" i="1"/>
  <c r="J9577" i="1"/>
  <c r="Q9577" i="1"/>
  <c r="R9577" i="1"/>
  <c r="J3173" i="1"/>
  <c r="Q3173" i="1"/>
  <c r="R3173" i="1"/>
  <c r="J3174" i="1"/>
  <c r="Q3174" i="1"/>
  <c r="R3174" i="1"/>
  <c r="J9578" i="1"/>
  <c r="Q9578" i="1"/>
  <c r="R9578" i="1"/>
  <c r="J3175" i="1"/>
  <c r="Q3175" i="1"/>
  <c r="R3175" i="1"/>
  <c r="J3176" i="1"/>
  <c r="Q3176" i="1"/>
  <c r="R3176" i="1"/>
  <c r="J9579" i="1"/>
  <c r="Q9579" i="1"/>
  <c r="R9579" i="1"/>
  <c r="J3177" i="1"/>
  <c r="Q3177" i="1"/>
  <c r="R3177" i="1"/>
  <c r="J9580" i="1"/>
  <c r="Q9580" i="1"/>
  <c r="R9580" i="1"/>
  <c r="J3178" i="1"/>
  <c r="Q3178" i="1"/>
  <c r="R3178" i="1"/>
  <c r="J3179" i="1"/>
  <c r="Q3179" i="1"/>
  <c r="R3179" i="1"/>
  <c r="J9581" i="1"/>
  <c r="Q9581" i="1"/>
  <c r="R9581" i="1"/>
  <c r="J3180" i="1"/>
  <c r="Q3180" i="1"/>
  <c r="R3180" i="1"/>
  <c r="J9582" i="1"/>
  <c r="Q9582" i="1"/>
  <c r="R9582" i="1"/>
  <c r="J3181" i="1"/>
  <c r="Q3181" i="1"/>
  <c r="R3181" i="1"/>
  <c r="J3182" i="1"/>
  <c r="Q3182" i="1"/>
  <c r="R3182" i="1"/>
  <c r="J3183" i="1"/>
  <c r="Q3183" i="1"/>
  <c r="R3183" i="1"/>
  <c r="J3184" i="1"/>
  <c r="Q3184" i="1"/>
  <c r="R3184" i="1"/>
  <c r="J3185" i="1"/>
  <c r="Q3185" i="1"/>
  <c r="R3185" i="1"/>
  <c r="J3186" i="1"/>
  <c r="Q3186" i="1"/>
  <c r="R3186" i="1"/>
  <c r="J3187" i="1"/>
  <c r="Q3187" i="1"/>
  <c r="R3187" i="1"/>
  <c r="J3188" i="1"/>
  <c r="Q3188" i="1"/>
  <c r="R3188" i="1"/>
  <c r="J3189" i="1"/>
  <c r="Q3189" i="1"/>
  <c r="R3189" i="1"/>
  <c r="J3190" i="1"/>
  <c r="Q3190" i="1"/>
  <c r="R3190" i="1"/>
  <c r="J3191" i="1"/>
  <c r="Q3191" i="1"/>
  <c r="R3191" i="1"/>
  <c r="J3192" i="1"/>
  <c r="Q3192" i="1"/>
  <c r="R3192" i="1"/>
  <c r="J3193" i="1"/>
  <c r="Q3193" i="1"/>
  <c r="R3193" i="1"/>
  <c r="J9583" i="1"/>
  <c r="Q9583" i="1"/>
  <c r="R9583" i="1"/>
  <c r="J9584" i="1"/>
  <c r="Q9584" i="1"/>
  <c r="R9584" i="1"/>
  <c r="J3194" i="1"/>
  <c r="Q3194" i="1"/>
  <c r="R3194" i="1"/>
  <c r="J3195" i="1"/>
  <c r="Q3195" i="1"/>
  <c r="R3195" i="1"/>
  <c r="J9585" i="1"/>
  <c r="Q9585" i="1"/>
  <c r="R9585" i="1"/>
  <c r="J9586" i="1"/>
  <c r="Q9586" i="1"/>
  <c r="R9586" i="1"/>
  <c r="J3196" i="1"/>
  <c r="Q3196" i="1"/>
  <c r="R3196" i="1"/>
  <c r="J9587" i="1"/>
  <c r="Q9587" i="1"/>
  <c r="R9587" i="1"/>
  <c r="J3197" i="1"/>
  <c r="Q3197" i="1"/>
  <c r="R3197" i="1"/>
  <c r="J9588" i="1"/>
  <c r="Q9588" i="1"/>
  <c r="R9588" i="1"/>
  <c r="J9589" i="1"/>
  <c r="Q9589" i="1"/>
  <c r="R9589" i="1"/>
  <c r="J3198" i="1"/>
  <c r="Q3198" i="1"/>
  <c r="R3198" i="1"/>
  <c r="J3199" i="1"/>
  <c r="Q3199" i="1"/>
  <c r="R3199" i="1"/>
  <c r="J3200" i="1"/>
  <c r="Q3200" i="1"/>
  <c r="R3200" i="1"/>
  <c r="J3201" i="1"/>
  <c r="Q3201" i="1"/>
  <c r="R3201" i="1"/>
  <c r="J3202" i="1"/>
  <c r="Q3202" i="1"/>
  <c r="R3202" i="1"/>
  <c r="J3203" i="1"/>
  <c r="Q3203" i="1"/>
  <c r="R3203" i="1"/>
  <c r="J3204" i="1"/>
  <c r="Q3204" i="1"/>
  <c r="R3204" i="1"/>
  <c r="J3205" i="1"/>
  <c r="Q3205" i="1"/>
  <c r="R3205" i="1"/>
  <c r="J3206" i="1"/>
  <c r="Q3206" i="1"/>
  <c r="R3206" i="1"/>
  <c r="J3207" i="1"/>
  <c r="Q3207" i="1"/>
  <c r="R3207" i="1"/>
  <c r="J3208" i="1"/>
  <c r="Q3208" i="1"/>
  <c r="R3208" i="1"/>
  <c r="J3209" i="1"/>
  <c r="Q3209" i="1"/>
  <c r="R3209" i="1"/>
  <c r="J3210" i="1"/>
  <c r="Q3210" i="1"/>
  <c r="R3210" i="1"/>
  <c r="J3211" i="1"/>
  <c r="Q3211" i="1"/>
  <c r="R3211" i="1"/>
  <c r="J3212" i="1"/>
  <c r="Q3212" i="1"/>
  <c r="R3212" i="1"/>
  <c r="J9590" i="1"/>
  <c r="Q9590" i="1"/>
  <c r="R9590" i="1"/>
  <c r="J3213" i="1"/>
  <c r="Q3213" i="1"/>
  <c r="R3213" i="1"/>
  <c r="J3214" i="1"/>
  <c r="Q3214" i="1"/>
  <c r="R3214" i="1"/>
  <c r="J3215" i="1"/>
  <c r="Q3215" i="1"/>
  <c r="R3215" i="1"/>
  <c r="J3216" i="1"/>
  <c r="Q3216" i="1"/>
  <c r="R3216" i="1"/>
  <c r="J3217" i="1"/>
  <c r="Q3217" i="1"/>
  <c r="R3217" i="1"/>
  <c r="J3218" i="1"/>
  <c r="Q3218" i="1"/>
  <c r="R3218" i="1"/>
  <c r="J3219" i="1"/>
  <c r="Q3219" i="1"/>
  <c r="R3219" i="1"/>
  <c r="J3220" i="1"/>
  <c r="Q3220" i="1"/>
  <c r="R3220" i="1"/>
  <c r="J3221" i="1"/>
  <c r="Q3221" i="1"/>
  <c r="R3221" i="1"/>
  <c r="J3222" i="1"/>
  <c r="Q3222" i="1"/>
  <c r="R3222" i="1"/>
  <c r="J3223" i="1"/>
  <c r="Q3223" i="1"/>
  <c r="R3223" i="1"/>
  <c r="J9591" i="1"/>
  <c r="Q9591" i="1"/>
  <c r="R9591" i="1"/>
  <c r="J3224" i="1"/>
  <c r="Q3224" i="1"/>
  <c r="R3224" i="1"/>
  <c r="J9592" i="1"/>
  <c r="Q9592" i="1"/>
  <c r="R9592" i="1"/>
  <c r="J3225" i="1"/>
  <c r="Q3225" i="1"/>
  <c r="R3225" i="1"/>
  <c r="J3226" i="1"/>
  <c r="Q3226" i="1"/>
  <c r="R3226" i="1"/>
  <c r="J3227" i="1"/>
  <c r="Q3227" i="1"/>
  <c r="R3227" i="1"/>
  <c r="J3228" i="1"/>
  <c r="Q3228" i="1"/>
  <c r="R3228" i="1"/>
  <c r="J3229" i="1"/>
  <c r="Q3229" i="1"/>
  <c r="R3229" i="1"/>
  <c r="J3230" i="1"/>
  <c r="Q3230" i="1"/>
  <c r="R3230" i="1"/>
  <c r="J3231" i="1"/>
  <c r="Q3231" i="1"/>
  <c r="R3231" i="1"/>
  <c r="J9593" i="1"/>
  <c r="Q9593" i="1"/>
  <c r="R9593" i="1"/>
  <c r="J9594" i="1"/>
  <c r="Q9594" i="1"/>
  <c r="R9594" i="1"/>
  <c r="J3232" i="1"/>
  <c r="Q3232" i="1"/>
  <c r="R3232" i="1"/>
  <c r="J3233" i="1"/>
  <c r="Q3233" i="1"/>
  <c r="R3233" i="1"/>
  <c r="J9595" i="1"/>
  <c r="Q9595" i="1"/>
  <c r="R9595" i="1"/>
  <c r="J9596" i="1"/>
  <c r="Q9596" i="1"/>
  <c r="R9596" i="1"/>
  <c r="J3234" i="1"/>
  <c r="Q3234" i="1"/>
  <c r="R3234" i="1"/>
  <c r="J9597" i="1"/>
  <c r="Q9597" i="1"/>
  <c r="R9597" i="1"/>
  <c r="J3235" i="1"/>
  <c r="Q3235" i="1"/>
  <c r="R3235" i="1"/>
  <c r="J3236" i="1"/>
  <c r="Q3236" i="1"/>
  <c r="R3236" i="1"/>
  <c r="J3237" i="1"/>
  <c r="Q3237" i="1"/>
  <c r="R3237" i="1"/>
  <c r="J3238" i="1"/>
  <c r="Q3238" i="1"/>
  <c r="R3238" i="1"/>
  <c r="J3239" i="1"/>
  <c r="Q3239" i="1"/>
  <c r="R3239" i="1"/>
  <c r="J3240" i="1"/>
  <c r="Q3240" i="1"/>
  <c r="R3240" i="1"/>
  <c r="J3241" i="1"/>
  <c r="Q3241" i="1"/>
  <c r="R3241" i="1"/>
  <c r="J9598" i="1"/>
  <c r="Q9598" i="1"/>
  <c r="R9598" i="1"/>
  <c r="J3242" i="1"/>
  <c r="Q3242" i="1"/>
  <c r="R3242" i="1"/>
  <c r="J3243" i="1"/>
  <c r="Q3243" i="1"/>
  <c r="R3243" i="1"/>
  <c r="J3244" i="1"/>
  <c r="Q3244" i="1"/>
  <c r="R3244" i="1"/>
  <c r="J3245" i="1"/>
  <c r="Q3245" i="1"/>
  <c r="R3245" i="1"/>
  <c r="J3246" i="1"/>
  <c r="Q3246" i="1"/>
  <c r="R3246" i="1"/>
  <c r="J9599" i="1"/>
  <c r="Q9599" i="1"/>
  <c r="R9599" i="1"/>
  <c r="J9600" i="1"/>
  <c r="Q9600" i="1"/>
  <c r="R9600" i="1"/>
  <c r="J3247" i="1"/>
  <c r="Q3247" i="1"/>
  <c r="R3247" i="1"/>
  <c r="J9601" i="1"/>
  <c r="Q9601" i="1"/>
  <c r="R9601" i="1"/>
  <c r="J9602" i="1"/>
  <c r="Q9602" i="1"/>
  <c r="R9602" i="1"/>
  <c r="J3248" i="1"/>
  <c r="Q3248" i="1"/>
  <c r="R3248" i="1"/>
  <c r="J3249" i="1"/>
  <c r="Q3249" i="1"/>
  <c r="R3249" i="1"/>
  <c r="J3250" i="1"/>
  <c r="Q3250" i="1"/>
  <c r="R3250" i="1"/>
  <c r="J9603" i="1"/>
  <c r="Q9603" i="1"/>
  <c r="R9603" i="1"/>
  <c r="J9604" i="1"/>
  <c r="Q9604" i="1"/>
  <c r="R9604" i="1"/>
  <c r="J9605" i="1"/>
  <c r="Q9605" i="1"/>
  <c r="R9605" i="1"/>
  <c r="J9606" i="1"/>
  <c r="Q9606" i="1"/>
  <c r="R9606" i="1"/>
  <c r="J9607" i="1"/>
  <c r="Q9607" i="1"/>
  <c r="R9607" i="1"/>
  <c r="J9608" i="1"/>
  <c r="Q9608" i="1"/>
  <c r="R9608" i="1"/>
  <c r="J9609" i="1"/>
  <c r="Q9609" i="1"/>
  <c r="R9609" i="1"/>
  <c r="J9610" i="1"/>
  <c r="Q9610" i="1"/>
  <c r="R9610" i="1"/>
  <c r="J9611" i="1"/>
  <c r="Q9611" i="1"/>
  <c r="R9611" i="1"/>
  <c r="J9612" i="1"/>
  <c r="Q9612" i="1"/>
  <c r="R9612" i="1"/>
  <c r="J3251" i="1"/>
  <c r="Q3251" i="1"/>
  <c r="R3251" i="1"/>
  <c r="J3252" i="1"/>
  <c r="Q3252" i="1"/>
  <c r="R3252" i="1"/>
  <c r="J3253" i="1"/>
  <c r="Q3253" i="1"/>
  <c r="R3253" i="1"/>
  <c r="J3254" i="1"/>
  <c r="Q3254" i="1"/>
  <c r="R3254" i="1"/>
  <c r="J9613" i="1"/>
  <c r="Q9613" i="1"/>
  <c r="R9613" i="1"/>
  <c r="J9614" i="1"/>
  <c r="Q9614" i="1"/>
  <c r="R9614" i="1"/>
  <c r="J9615" i="1"/>
  <c r="Q9615" i="1"/>
  <c r="R9615" i="1"/>
  <c r="J3255" i="1"/>
  <c r="Q3255" i="1"/>
  <c r="R3255" i="1"/>
  <c r="J9616" i="1"/>
  <c r="Q9616" i="1"/>
  <c r="R9616" i="1"/>
  <c r="J556" i="1"/>
  <c r="Q556" i="1"/>
  <c r="R556" i="1"/>
  <c r="J7424" i="1"/>
  <c r="Q7424" i="1"/>
  <c r="R7424" i="1"/>
  <c r="J7425" i="1"/>
  <c r="Q7425" i="1"/>
  <c r="R7425" i="1"/>
  <c r="J557" i="1"/>
  <c r="Q557" i="1"/>
  <c r="R557" i="1"/>
  <c r="J6567" i="1"/>
  <c r="Q6567" i="1"/>
  <c r="R6567" i="1"/>
  <c r="J7426" i="1"/>
  <c r="Q7426" i="1"/>
  <c r="R7426" i="1"/>
  <c r="J558" i="1"/>
  <c r="Q558" i="1"/>
  <c r="R558" i="1"/>
  <c r="J6760" i="1"/>
  <c r="Q6760" i="1"/>
  <c r="R6760" i="1"/>
  <c r="J7427" i="1"/>
  <c r="Q7427" i="1"/>
  <c r="R7427" i="1"/>
  <c r="J7428" i="1"/>
  <c r="Q7428" i="1"/>
  <c r="R7428" i="1"/>
  <c r="J6761" i="1"/>
  <c r="Q6761" i="1"/>
  <c r="R6761" i="1"/>
  <c r="J6762" i="1"/>
  <c r="Q6762" i="1"/>
  <c r="R6762" i="1"/>
  <c r="J7429" i="1"/>
  <c r="Q7429" i="1"/>
  <c r="R7429" i="1"/>
  <c r="J7430" i="1"/>
  <c r="Q7430" i="1"/>
  <c r="R7430" i="1"/>
  <c r="J6763" i="1"/>
  <c r="Q6763" i="1"/>
  <c r="R6763" i="1"/>
  <c r="J7431" i="1"/>
  <c r="Q7431" i="1"/>
  <c r="R7431" i="1"/>
  <c r="J7432" i="1"/>
  <c r="Q7432" i="1"/>
  <c r="R7432" i="1"/>
  <c r="J7433" i="1"/>
  <c r="Q7433" i="1"/>
  <c r="R7433" i="1"/>
  <c r="J7434" i="1"/>
  <c r="Q7434" i="1"/>
  <c r="R7434" i="1"/>
  <c r="J7435" i="1"/>
  <c r="Q7435" i="1"/>
  <c r="R7435" i="1"/>
  <c r="J6764" i="1"/>
  <c r="Q6764" i="1"/>
  <c r="R6764" i="1"/>
  <c r="J6765" i="1"/>
  <c r="Q6765" i="1"/>
  <c r="R6765" i="1"/>
  <c r="J7436" i="1"/>
  <c r="Q7436" i="1"/>
  <c r="R7436" i="1"/>
  <c r="J7437" i="1"/>
  <c r="Q7437" i="1"/>
  <c r="R7437" i="1"/>
  <c r="J7438" i="1"/>
  <c r="Q7438" i="1"/>
  <c r="R7438" i="1"/>
  <c r="J7439" i="1"/>
  <c r="Q7439" i="1"/>
  <c r="R7439" i="1"/>
  <c r="J559" i="1"/>
  <c r="Q559" i="1"/>
  <c r="R559" i="1"/>
  <c r="J560" i="1"/>
  <c r="Q560" i="1"/>
  <c r="R560" i="1"/>
  <c r="J561" i="1"/>
  <c r="Q561" i="1"/>
  <c r="R561" i="1"/>
  <c r="J13535" i="1"/>
  <c r="Q13535" i="1"/>
  <c r="R13535" i="1"/>
  <c r="J562" i="1"/>
  <c r="Q562" i="1"/>
  <c r="R562" i="1"/>
  <c r="J563" i="1"/>
  <c r="Q563" i="1"/>
  <c r="R563" i="1"/>
  <c r="J564" i="1"/>
  <c r="Q564" i="1"/>
  <c r="R564" i="1"/>
  <c r="J565" i="1"/>
  <c r="Q565" i="1"/>
  <c r="R565" i="1"/>
  <c r="J566" i="1"/>
  <c r="Q566" i="1"/>
  <c r="R566" i="1"/>
  <c r="J567" i="1"/>
  <c r="Q567" i="1"/>
  <c r="R567" i="1"/>
  <c r="J568" i="1"/>
  <c r="Q568" i="1"/>
  <c r="R568" i="1"/>
  <c r="J569" i="1"/>
  <c r="Q569" i="1"/>
  <c r="R569" i="1"/>
  <c r="J570" i="1"/>
  <c r="Q570" i="1"/>
  <c r="R570" i="1"/>
  <c r="J571" i="1"/>
  <c r="Q571" i="1"/>
  <c r="R571" i="1"/>
  <c r="J572" i="1"/>
  <c r="Q572" i="1"/>
  <c r="R572" i="1"/>
  <c r="J573" i="1"/>
  <c r="Q573" i="1"/>
  <c r="R573" i="1"/>
  <c r="J574" i="1"/>
  <c r="Q574" i="1"/>
  <c r="R574" i="1"/>
  <c r="J575" i="1"/>
  <c r="Q575" i="1"/>
  <c r="R575" i="1"/>
  <c r="J576" i="1"/>
  <c r="Q576" i="1"/>
  <c r="R576" i="1"/>
  <c r="J577" i="1"/>
  <c r="Q577" i="1"/>
  <c r="R577" i="1"/>
  <c r="J578" i="1"/>
  <c r="Q578" i="1"/>
  <c r="R578" i="1"/>
  <c r="J579" i="1"/>
  <c r="Q579" i="1"/>
  <c r="R579" i="1"/>
  <c r="J580" i="1"/>
  <c r="Q580" i="1"/>
  <c r="R580" i="1"/>
  <c r="J581" i="1"/>
  <c r="Q581" i="1"/>
  <c r="R581" i="1"/>
  <c r="J582" i="1"/>
  <c r="Q582" i="1"/>
  <c r="R582" i="1"/>
  <c r="J6766" i="1"/>
  <c r="Q6766" i="1"/>
  <c r="R6766" i="1"/>
  <c r="J583" i="1"/>
  <c r="Q583" i="1"/>
  <c r="R583" i="1"/>
  <c r="J7440" i="1"/>
  <c r="Q7440" i="1"/>
  <c r="R7440" i="1"/>
  <c r="J6568" i="1"/>
  <c r="Q6568" i="1"/>
  <c r="R6568" i="1"/>
  <c r="J6767" i="1"/>
  <c r="Q6767" i="1"/>
  <c r="R6767" i="1"/>
  <c r="J584" i="1"/>
  <c r="Q584" i="1"/>
  <c r="R584" i="1"/>
  <c r="J585" i="1"/>
  <c r="Q585" i="1"/>
  <c r="R585" i="1"/>
  <c r="J6768" i="1"/>
  <c r="Q6768" i="1"/>
  <c r="R6768" i="1"/>
  <c r="J586" i="1"/>
  <c r="Q586" i="1"/>
  <c r="R586" i="1"/>
  <c r="J587" i="1"/>
  <c r="Q587" i="1"/>
  <c r="R587" i="1"/>
  <c r="J7441" i="1"/>
  <c r="Q7441" i="1"/>
  <c r="R7441" i="1"/>
  <c r="J7442" i="1"/>
  <c r="Q7442" i="1"/>
  <c r="R7442" i="1"/>
  <c r="J6569" i="1"/>
  <c r="Q6569" i="1"/>
  <c r="R6569" i="1"/>
  <c r="J588" i="1"/>
  <c r="Q588" i="1"/>
  <c r="R588" i="1"/>
  <c r="J6769" i="1"/>
  <c r="Q6769" i="1"/>
  <c r="R6769" i="1"/>
  <c r="J7443" i="1"/>
  <c r="Q7443" i="1"/>
  <c r="R7443" i="1"/>
  <c r="J7444" i="1"/>
  <c r="Q7444" i="1"/>
  <c r="R7444" i="1"/>
  <c r="J7445" i="1"/>
  <c r="Q7445" i="1"/>
  <c r="R7445" i="1"/>
  <c r="J589" i="1"/>
  <c r="Q589" i="1"/>
  <c r="R589" i="1"/>
  <c r="J590" i="1"/>
  <c r="Q590" i="1"/>
  <c r="R590" i="1"/>
  <c r="J591" i="1"/>
  <c r="Q591" i="1"/>
  <c r="R591" i="1"/>
  <c r="J592" i="1"/>
  <c r="Q592" i="1"/>
  <c r="R592" i="1"/>
  <c r="J593" i="1"/>
  <c r="Q593" i="1"/>
  <c r="R593" i="1"/>
  <c r="J6770" i="1"/>
  <c r="Q6770" i="1"/>
  <c r="R6770" i="1"/>
  <c r="J594" i="1"/>
  <c r="Q594" i="1"/>
  <c r="R594" i="1"/>
  <c r="J6771" i="1"/>
  <c r="Q6771" i="1"/>
  <c r="R6771" i="1"/>
  <c r="J595" i="1"/>
  <c r="Q595" i="1"/>
  <c r="R595" i="1"/>
  <c r="J6772" i="1"/>
  <c r="Q6772" i="1"/>
  <c r="R6772" i="1"/>
  <c r="J13536" i="1"/>
  <c r="Q13536" i="1"/>
  <c r="R13536" i="1"/>
  <c r="J6570" i="1"/>
  <c r="Q6570" i="1"/>
  <c r="R6570" i="1"/>
  <c r="J596" i="1"/>
  <c r="Q596" i="1"/>
  <c r="R596" i="1"/>
  <c r="J597" i="1"/>
  <c r="Q597" i="1"/>
  <c r="R597" i="1"/>
  <c r="J598" i="1"/>
  <c r="Q598" i="1"/>
  <c r="R598" i="1"/>
  <c r="J6773" i="1"/>
  <c r="Q6773" i="1"/>
  <c r="R6773" i="1"/>
  <c r="J6774" i="1"/>
  <c r="Q6774" i="1"/>
  <c r="R6774" i="1"/>
  <c r="J6775" i="1"/>
  <c r="Q6775" i="1"/>
  <c r="R6775" i="1"/>
  <c r="J6776" i="1"/>
  <c r="Q6776" i="1"/>
  <c r="R6776" i="1"/>
  <c r="J7446" i="1"/>
  <c r="Q7446" i="1"/>
  <c r="R7446" i="1"/>
  <c r="J7447" i="1"/>
  <c r="Q7447" i="1"/>
  <c r="R7447" i="1"/>
  <c r="J7448" i="1"/>
  <c r="Q7448" i="1"/>
  <c r="R7448" i="1"/>
  <c r="J7449" i="1"/>
  <c r="Q7449" i="1"/>
  <c r="R7449" i="1"/>
  <c r="J13537" i="1"/>
  <c r="Q13537" i="1"/>
  <c r="R13537" i="1"/>
  <c r="J6571" i="1"/>
  <c r="Q6571" i="1"/>
  <c r="R6571" i="1"/>
  <c r="J599" i="1"/>
  <c r="Q599" i="1"/>
  <c r="R599" i="1"/>
  <c r="J600" i="1"/>
  <c r="Q600" i="1"/>
  <c r="R600" i="1"/>
  <c r="J601" i="1"/>
  <c r="Q601" i="1"/>
  <c r="R601" i="1"/>
  <c r="J602" i="1"/>
  <c r="Q602" i="1"/>
  <c r="R602" i="1"/>
  <c r="J603" i="1"/>
  <c r="Q603" i="1"/>
  <c r="R603" i="1"/>
  <c r="J604" i="1"/>
  <c r="Q604" i="1"/>
  <c r="R604" i="1"/>
  <c r="J605" i="1"/>
  <c r="Q605" i="1"/>
  <c r="R605" i="1"/>
  <c r="J606" i="1"/>
  <c r="Q606" i="1"/>
  <c r="R606" i="1"/>
  <c r="J607" i="1"/>
  <c r="Q607" i="1"/>
  <c r="R607" i="1"/>
  <c r="J608" i="1"/>
  <c r="Q608" i="1"/>
  <c r="R608" i="1"/>
  <c r="J609" i="1"/>
  <c r="Q609" i="1"/>
  <c r="R609" i="1"/>
  <c r="J7450" i="1"/>
  <c r="Q7450" i="1"/>
  <c r="R7450" i="1"/>
  <c r="J7451" i="1"/>
  <c r="Q7451" i="1"/>
  <c r="R7451" i="1"/>
  <c r="J7452" i="1"/>
  <c r="Q7452" i="1"/>
  <c r="R7452" i="1"/>
  <c r="J610" i="1"/>
  <c r="Q610" i="1"/>
  <c r="R610" i="1"/>
  <c r="J6777" i="1"/>
  <c r="Q6777" i="1"/>
  <c r="R6777" i="1"/>
  <c r="J611" i="1"/>
  <c r="Q611" i="1"/>
  <c r="R611" i="1"/>
  <c r="J9617" i="1"/>
  <c r="Q9617" i="1"/>
  <c r="R9617" i="1"/>
  <c r="J3256" i="1"/>
  <c r="Q3256" i="1"/>
  <c r="R3256" i="1"/>
  <c r="J3257" i="1"/>
  <c r="Q3257" i="1"/>
  <c r="R3257" i="1"/>
  <c r="J9618" i="1"/>
  <c r="Q9618" i="1"/>
  <c r="R9618" i="1"/>
  <c r="J3258" i="1"/>
  <c r="Q3258" i="1"/>
  <c r="R3258" i="1"/>
  <c r="J3259" i="1"/>
  <c r="Q3259" i="1"/>
  <c r="R3259" i="1"/>
  <c r="J3260" i="1"/>
  <c r="Q3260" i="1"/>
  <c r="R3260" i="1"/>
  <c r="J3261" i="1"/>
  <c r="Q3261" i="1"/>
  <c r="R3261" i="1"/>
  <c r="J3262" i="1"/>
  <c r="Q3262" i="1"/>
  <c r="R3262" i="1"/>
  <c r="J9619" i="1"/>
  <c r="Q9619" i="1"/>
  <c r="R9619" i="1"/>
  <c r="J3263" i="1"/>
  <c r="Q3263" i="1"/>
  <c r="R3263" i="1"/>
  <c r="J9620" i="1"/>
  <c r="Q9620" i="1"/>
  <c r="R9620" i="1"/>
  <c r="J3264" i="1"/>
  <c r="Q3264" i="1"/>
  <c r="R3264" i="1"/>
  <c r="J3265" i="1"/>
  <c r="Q3265" i="1"/>
  <c r="R3265" i="1"/>
  <c r="J3266" i="1"/>
  <c r="Q3266" i="1"/>
  <c r="R3266" i="1"/>
  <c r="J3267" i="1"/>
  <c r="Q3267" i="1"/>
  <c r="R3267" i="1"/>
  <c r="J3268" i="1"/>
  <c r="Q3268" i="1"/>
  <c r="R3268" i="1"/>
  <c r="J3269" i="1"/>
  <c r="Q3269" i="1"/>
  <c r="R3269" i="1"/>
  <c r="J3270" i="1"/>
  <c r="Q3270" i="1"/>
  <c r="R3270" i="1"/>
  <c r="J3271" i="1"/>
  <c r="Q3271" i="1"/>
  <c r="R3271" i="1"/>
  <c r="J9621" i="1"/>
  <c r="Q9621" i="1"/>
  <c r="R9621" i="1"/>
  <c r="J9622" i="1"/>
  <c r="Q9622" i="1"/>
  <c r="R9622" i="1"/>
  <c r="J3272" i="1"/>
  <c r="Q3272" i="1"/>
  <c r="R3272" i="1"/>
  <c r="J3273" i="1"/>
  <c r="Q3273" i="1"/>
  <c r="R3273" i="1"/>
  <c r="J9623" i="1"/>
  <c r="Q9623" i="1"/>
  <c r="R9623" i="1"/>
  <c r="J3274" i="1"/>
  <c r="Q3274" i="1"/>
  <c r="R3274" i="1"/>
  <c r="J9624" i="1"/>
  <c r="Q9624" i="1"/>
  <c r="R9624" i="1"/>
  <c r="J3275" i="1"/>
  <c r="Q3275" i="1"/>
  <c r="R3275" i="1"/>
  <c r="J3276" i="1"/>
  <c r="Q3276" i="1"/>
  <c r="R3276" i="1"/>
  <c r="J3277" i="1"/>
  <c r="Q3277" i="1"/>
  <c r="R3277" i="1"/>
  <c r="J3278" i="1"/>
  <c r="Q3278" i="1"/>
  <c r="R3278" i="1"/>
  <c r="J3279" i="1"/>
  <c r="Q3279" i="1"/>
  <c r="R3279" i="1"/>
  <c r="J3280" i="1"/>
  <c r="Q3280" i="1"/>
  <c r="R3280" i="1"/>
  <c r="J3281" i="1"/>
  <c r="Q3281" i="1"/>
  <c r="R3281" i="1"/>
  <c r="J3282" i="1"/>
  <c r="Q3282" i="1"/>
  <c r="R3282" i="1"/>
  <c r="J3283" i="1"/>
  <c r="Q3283" i="1"/>
  <c r="R3283" i="1"/>
  <c r="J3284" i="1"/>
  <c r="Q3284" i="1"/>
  <c r="R3284" i="1"/>
  <c r="J3285" i="1"/>
  <c r="Q3285" i="1"/>
  <c r="R3285" i="1"/>
  <c r="J3286" i="1"/>
  <c r="Q3286" i="1"/>
  <c r="R3286" i="1"/>
  <c r="J9625" i="1"/>
  <c r="Q9625" i="1"/>
  <c r="R9625" i="1"/>
  <c r="J9626" i="1"/>
  <c r="Q9626" i="1"/>
  <c r="R9626" i="1"/>
  <c r="J9627" i="1"/>
  <c r="Q9627" i="1"/>
  <c r="R9627" i="1"/>
  <c r="J9628" i="1"/>
  <c r="Q9628" i="1"/>
  <c r="R9628" i="1"/>
  <c r="J9629" i="1"/>
  <c r="Q9629" i="1"/>
  <c r="R9629" i="1"/>
  <c r="J9630" i="1"/>
  <c r="Q9630" i="1"/>
  <c r="R9630" i="1"/>
  <c r="J3287" i="1"/>
  <c r="Q3287" i="1"/>
  <c r="R3287" i="1"/>
  <c r="J9631" i="1"/>
  <c r="Q9631" i="1"/>
  <c r="R9631" i="1"/>
  <c r="J3288" i="1"/>
  <c r="Q3288" i="1"/>
  <c r="R3288" i="1"/>
  <c r="J3289" i="1"/>
  <c r="Q3289" i="1"/>
  <c r="R3289" i="1"/>
  <c r="J3290" i="1"/>
  <c r="Q3290" i="1"/>
  <c r="R3290" i="1"/>
  <c r="J3291" i="1"/>
  <c r="Q3291" i="1"/>
  <c r="R3291" i="1"/>
  <c r="J3292" i="1"/>
  <c r="Q3292" i="1"/>
  <c r="R3292" i="1"/>
  <c r="J9632" i="1"/>
  <c r="Q9632" i="1"/>
  <c r="R9632" i="1"/>
  <c r="J9633" i="1"/>
  <c r="Q9633" i="1"/>
  <c r="R9633" i="1"/>
  <c r="J9634" i="1"/>
  <c r="Q9634" i="1"/>
  <c r="R9634" i="1"/>
  <c r="J9635" i="1"/>
  <c r="Q9635" i="1"/>
  <c r="R9635" i="1"/>
  <c r="J3293" i="1"/>
  <c r="Q3293" i="1"/>
  <c r="R3293" i="1"/>
  <c r="J3294" i="1"/>
  <c r="Q3294" i="1"/>
  <c r="R3294" i="1"/>
  <c r="J9636" i="1"/>
  <c r="Q9636" i="1"/>
  <c r="R9636" i="1"/>
  <c r="J9637" i="1"/>
  <c r="Q9637" i="1"/>
  <c r="R9637" i="1"/>
  <c r="J9638" i="1"/>
  <c r="Q9638" i="1"/>
  <c r="R9638" i="1"/>
  <c r="J9639" i="1"/>
  <c r="Q9639" i="1"/>
  <c r="R9639" i="1"/>
  <c r="J3295" i="1"/>
  <c r="Q3295" i="1"/>
  <c r="R3295" i="1"/>
  <c r="J9640" i="1"/>
  <c r="Q9640" i="1"/>
  <c r="R9640" i="1"/>
  <c r="J9641" i="1"/>
  <c r="Q9641" i="1"/>
  <c r="R9641" i="1"/>
  <c r="J9642" i="1"/>
  <c r="Q9642" i="1"/>
  <c r="R9642" i="1"/>
  <c r="J9643" i="1"/>
  <c r="Q9643" i="1"/>
  <c r="R9643" i="1"/>
  <c r="J9644" i="1"/>
  <c r="Q9644" i="1"/>
  <c r="R9644" i="1"/>
  <c r="J3296" i="1"/>
  <c r="Q3296" i="1"/>
  <c r="R3296" i="1"/>
  <c r="J9645" i="1"/>
  <c r="Q9645" i="1"/>
  <c r="R9645" i="1"/>
  <c r="J3297" i="1"/>
  <c r="Q3297" i="1"/>
  <c r="R3297" i="1"/>
  <c r="J3298" i="1"/>
  <c r="Q3298" i="1"/>
  <c r="R3298" i="1"/>
  <c r="J9646" i="1"/>
  <c r="Q9646" i="1"/>
  <c r="R9646" i="1"/>
  <c r="J3299" i="1"/>
  <c r="Q3299" i="1"/>
  <c r="R3299" i="1"/>
  <c r="J3300" i="1"/>
  <c r="Q3300" i="1"/>
  <c r="R3300" i="1"/>
  <c r="J9647" i="1"/>
  <c r="Q9647" i="1"/>
  <c r="R9647" i="1"/>
  <c r="J9648" i="1"/>
  <c r="Q9648" i="1"/>
  <c r="R9648" i="1"/>
  <c r="J9649" i="1"/>
  <c r="Q9649" i="1"/>
  <c r="R9649" i="1"/>
  <c r="J9650" i="1"/>
  <c r="Q9650" i="1"/>
  <c r="R9650" i="1"/>
  <c r="J9651" i="1"/>
  <c r="Q9651" i="1"/>
  <c r="R9651" i="1"/>
  <c r="J9652" i="1"/>
  <c r="Q9652" i="1"/>
  <c r="R9652" i="1"/>
  <c r="J9653" i="1"/>
  <c r="Q9653" i="1"/>
  <c r="R9653" i="1"/>
  <c r="J9654" i="1"/>
  <c r="Q9654" i="1"/>
  <c r="R9654" i="1"/>
  <c r="J3301" i="1"/>
  <c r="Q3301" i="1"/>
  <c r="R3301" i="1"/>
  <c r="J3302" i="1"/>
  <c r="Q3302" i="1"/>
  <c r="R3302" i="1"/>
  <c r="J3303" i="1"/>
  <c r="Q3303" i="1"/>
  <c r="R3303" i="1"/>
  <c r="J9655" i="1"/>
  <c r="Q9655" i="1"/>
  <c r="R9655" i="1"/>
  <c r="J3304" i="1"/>
  <c r="Q3304" i="1"/>
  <c r="R3304" i="1"/>
  <c r="J3305" i="1"/>
  <c r="Q3305" i="1"/>
  <c r="R3305" i="1"/>
  <c r="J9656" i="1"/>
  <c r="Q9656" i="1"/>
  <c r="R9656" i="1"/>
  <c r="J9657" i="1"/>
  <c r="Q9657" i="1"/>
  <c r="R9657" i="1"/>
  <c r="J9658" i="1"/>
  <c r="Q9658" i="1"/>
  <c r="R9658" i="1"/>
  <c r="J3306" i="1"/>
  <c r="Q3306" i="1"/>
  <c r="R3306" i="1"/>
  <c r="J3307" i="1"/>
  <c r="Q3307" i="1"/>
  <c r="R3307" i="1"/>
  <c r="J9659" i="1"/>
  <c r="Q9659" i="1"/>
  <c r="R9659" i="1"/>
  <c r="J9660" i="1"/>
  <c r="Q9660" i="1"/>
  <c r="R9660" i="1"/>
  <c r="J9661" i="1"/>
  <c r="Q9661" i="1"/>
  <c r="R9661" i="1"/>
  <c r="J9662" i="1"/>
  <c r="Q9662" i="1"/>
  <c r="R9662" i="1"/>
  <c r="J9663" i="1"/>
  <c r="Q9663" i="1"/>
  <c r="R9663" i="1"/>
  <c r="J9664" i="1"/>
  <c r="Q9664" i="1"/>
  <c r="R9664" i="1"/>
  <c r="J9665" i="1"/>
  <c r="Q9665" i="1"/>
  <c r="R9665" i="1"/>
  <c r="J9666" i="1"/>
  <c r="Q9666" i="1"/>
  <c r="R9666" i="1"/>
  <c r="J9667" i="1"/>
  <c r="Q9667" i="1"/>
  <c r="R9667" i="1"/>
  <c r="J3308" i="1"/>
  <c r="Q3308" i="1"/>
  <c r="R3308" i="1"/>
  <c r="J9668" i="1"/>
  <c r="Q9668" i="1"/>
  <c r="R9668" i="1"/>
  <c r="J9669" i="1"/>
  <c r="Q9669" i="1"/>
  <c r="R9669" i="1"/>
  <c r="J9670" i="1"/>
  <c r="Q9670" i="1"/>
  <c r="R9670" i="1"/>
  <c r="J3309" i="1"/>
  <c r="Q3309" i="1"/>
  <c r="R3309" i="1"/>
  <c r="J9671" i="1"/>
  <c r="Q9671" i="1"/>
  <c r="R9671" i="1"/>
  <c r="J9672" i="1"/>
  <c r="Q9672" i="1"/>
  <c r="R9672" i="1"/>
  <c r="J9673" i="1"/>
  <c r="Q9673" i="1"/>
  <c r="R9673" i="1"/>
  <c r="J3310" i="1"/>
  <c r="Q3310" i="1"/>
  <c r="R3310" i="1"/>
  <c r="J3311" i="1"/>
  <c r="Q3311" i="1"/>
  <c r="R3311" i="1"/>
  <c r="J9674" i="1"/>
  <c r="Q9674" i="1"/>
  <c r="R9674" i="1"/>
  <c r="J9675" i="1"/>
  <c r="Q9675" i="1"/>
  <c r="R9675" i="1"/>
  <c r="J9676" i="1"/>
  <c r="Q9676" i="1"/>
  <c r="R9676" i="1"/>
  <c r="J9677" i="1"/>
  <c r="Q9677" i="1"/>
  <c r="R9677" i="1"/>
  <c r="J9678" i="1"/>
  <c r="Q9678" i="1"/>
  <c r="R9678" i="1"/>
  <c r="J9679" i="1"/>
  <c r="Q9679" i="1"/>
  <c r="R9679" i="1"/>
  <c r="J3312" i="1"/>
  <c r="Q3312" i="1"/>
  <c r="R3312" i="1"/>
  <c r="J9680" i="1"/>
  <c r="Q9680" i="1"/>
  <c r="R9680" i="1"/>
  <c r="J3313" i="1"/>
  <c r="Q3313" i="1"/>
  <c r="R3313" i="1"/>
  <c r="J3314" i="1"/>
  <c r="Q3314" i="1"/>
  <c r="R3314" i="1"/>
  <c r="J3315" i="1"/>
  <c r="Q3315" i="1"/>
  <c r="R3315" i="1"/>
  <c r="J3316" i="1"/>
  <c r="Q3316" i="1"/>
  <c r="R3316" i="1"/>
  <c r="J9681" i="1"/>
  <c r="Q9681" i="1"/>
  <c r="R9681" i="1"/>
  <c r="J9682" i="1"/>
  <c r="Q9682" i="1"/>
  <c r="R9682" i="1"/>
  <c r="J3317" i="1"/>
  <c r="Q3317" i="1"/>
  <c r="R3317" i="1"/>
  <c r="J3318" i="1"/>
  <c r="Q3318" i="1"/>
  <c r="R3318" i="1"/>
  <c r="J3319" i="1"/>
  <c r="Q3319" i="1"/>
  <c r="R3319" i="1"/>
  <c r="J3320" i="1"/>
  <c r="Q3320" i="1"/>
  <c r="R3320" i="1"/>
  <c r="J3321" i="1"/>
  <c r="Q3321" i="1"/>
  <c r="R3321" i="1"/>
  <c r="J3322" i="1"/>
  <c r="Q3322" i="1"/>
  <c r="R3322" i="1"/>
  <c r="J3323" i="1"/>
  <c r="Q3323" i="1"/>
  <c r="R3323" i="1"/>
  <c r="J9683" i="1"/>
  <c r="Q9683" i="1"/>
  <c r="R9683" i="1"/>
  <c r="J3324" i="1"/>
  <c r="Q3324" i="1"/>
  <c r="R3324" i="1"/>
  <c r="J9684" i="1"/>
  <c r="Q9684" i="1"/>
  <c r="R9684" i="1"/>
  <c r="J9685" i="1"/>
  <c r="Q9685" i="1"/>
  <c r="R9685" i="1"/>
  <c r="J9686" i="1"/>
  <c r="Q9686" i="1"/>
  <c r="R9686" i="1"/>
  <c r="J3325" i="1"/>
  <c r="Q3325" i="1"/>
  <c r="R3325" i="1"/>
  <c r="J9687" i="1"/>
  <c r="Q9687" i="1"/>
  <c r="R9687" i="1"/>
  <c r="J9688" i="1"/>
  <c r="Q9688" i="1"/>
  <c r="R9688" i="1"/>
  <c r="J9689" i="1"/>
  <c r="Q9689" i="1"/>
  <c r="R9689" i="1"/>
  <c r="J9690" i="1"/>
  <c r="Q9690" i="1"/>
  <c r="R9690" i="1"/>
  <c r="J9691" i="1"/>
  <c r="Q9691" i="1"/>
  <c r="R9691" i="1"/>
  <c r="J9692" i="1"/>
  <c r="Q9692" i="1"/>
  <c r="R9692" i="1"/>
  <c r="J9693" i="1"/>
  <c r="Q9693" i="1"/>
  <c r="R9693" i="1"/>
  <c r="J9694" i="1"/>
  <c r="Q9694" i="1"/>
  <c r="R9694" i="1"/>
  <c r="J9695" i="1"/>
  <c r="Q9695" i="1"/>
  <c r="R9695" i="1"/>
  <c r="J9696" i="1"/>
  <c r="Q9696" i="1"/>
  <c r="R9696" i="1"/>
  <c r="J9697" i="1"/>
  <c r="Q9697" i="1"/>
  <c r="R9697" i="1"/>
  <c r="J3326" i="1"/>
  <c r="Q3326" i="1"/>
  <c r="R3326" i="1"/>
  <c r="J3327" i="1"/>
  <c r="Q3327" i="1"/>
  <c r="R3327" i="1"/>
  <c r="J3328" i="1"/>
  <c r="Q3328" i="1"/>
  <c r="R3328" i="1"/>
  <c r="J9698" i="1"/>
  <c r="Q9698" i="1"/>
  <c r="R9698" i="1"/>
  <c r="J9699" i="1"/>
  <c r="Q9699" i="1"/>
  <c r="R9699" i="1"/>
  <c r="J9700" i="1"/>
  <c r="Q9700" i="1"/>
  <c r="R9700" i="1"/>
  <c r="J9701" i="1"/>
  <c r="Q9701" i="1"/>
  <c r="R9701" i="1"/>
  <c r="J9702" i="1"/>
  <c r="Q9702" i="1"/>
  <c r="R9702" i="1"/>
  <c r="J3329" i="1"/>
  <c r="Q3329" i="1"/>
  <c r="R3329" i="1"/>
  <c r="J9703" i="1"/>
  <c r="Q9703" i="1"/>
  <c r="R9703" i="1"/>
  <c r="J9704" i="1"/>
  <c r="Q9704" i="1"/>
  <c r="R9704" i="1"/>
  <c r="J9705" i="1"/>
  <c r="Q9705" i="1"/>
  <c r="R9705" i="1"/>
  <c r="J9706" i="1"/>
  <c r="Q9706" i="1"/>
  <c r="R9706" i="1"/>
  <c r="J3330" i="1"/>
  <c r="Q3330" i="1"/>
  <c r="R3330" i="1"/>
  <c r="J9707" i="1"/>
  <c r="Q9707" i="1"/>
  <c r="R9707" i="1"/>
  <c r="J9708" i="1"/>
  <c r="Q9708" i="1"/>
  <c r="R9708" i="1"/>
  <c r="J9709" i="1"/>
  <c r="Q9709" i="1"/>
  <c r="R9709" i="1"/>
  <c r="J9710" i="1"/>
  <c r="Q9710" i="1"/>
  <c r="R9710" i="1"/>
  <c r="J9711" i="1"/>
  <c r="Q9711" i="1"/>
  <c r="R9711" i="1"/>
  <c r="J9712" i="1"/>
  <c r="Q9712" i="1"/>
  <c r="R9712" i="1"/>
  <c r="J3331" i="1"/>
  <c r="Q3331" i="1"/>
  <c r="R3331" i="1"/>
  <c r="J9713" i="1"/>
  <c r="Q9713" i="1"/>
  <c r="R9713" i="1"/>
  <c r="J3332" i="1"/>
  <c r="Q3332" i="1"/>
  <c r="R3332" i="1"/>
  <c r="J9714" i="1"/>
  <c r="Q9714" i="1"/>
  <c r="R9714" i="1"/>
  <c r="J3333" i="1"/>
  <c r="Q3333" i="1"/>
  <c r="R3333" i="1"/>
  <c r="J3334" i="1"/>
  <c r="Q3334" i="1"/>
  <c r="R3334" i="1"/>
  <c r="J9715" i="1"/>
  <c r="Q9715" i="1"/>
  <c r="R9715" i="1"/>
  <c r="J3335" i="1"/>
  <c r="Q3335" i="1"/>
  <c r="R3335" i="1"/>
  <c r="J3336" i="1"/>
  <c r="Q3336" i="1"/>
  <c r="R3336" i="1"/>
  <c r="J3337" i="1"/>
  <c r="Q3337" i="1"/>
  <c r="R3337" i="1"/>
  <c r="J3338" i="1"/>
  <c r="Q3338" i="1"/>
  <c r="R3338" i="1"/>
  <c r="J3339" i="1"/>
  <c r="Q3339" i="1"/>
  <c r="R3339" i="1"/>
  <c r="J3340" i="1"/>
  <c r="Q3340" i="1"/>
  <c r="R3340" i="1"/>
  <c r="J9716" i="1"/>
  <c r="Q9716" i="1"/>
  <c r="R9716" i="1"/>
  <c r="J9717" i="1"/>
  <c r="Q9717" i="1"/>
  <c r="R9717" i="1"/>
  <c r="J3341" i="1"/>
  <c r="Q3341" i="1"/>
  <c r="R3341" i="1"/>
  <c r="J3342" i="1"/>
  <c r="Q3342" i="1"/>
  <c r="R3342" i="1"/>
  <c r="J3343" i="1"/>
  <c r="Q3343" i="1"/>
  <c r="R3343" i="1"/>
  <c r="J3344" i="1"/>
  <c r="Q3344" i="1"/>
  <c r="R3344" i="1"/>
  <c r="J3345" i="1"/>
  <c r="Q3345" i="1"/>
  <c r="R3345" i="1"/>
  <c r="J3346" i="1"/>
  <c r="Q3346" i="1"/>
  <c r="R3346" i="1"/>
  <c r="J3347" i="1"/>
  <c r="Q3347" i="1"/>
  <c r="R3347" i="1"/>
  <c r="J3348" i="1"/>
  <c r="Q3348" i="1"/>
  <c r="R3348" i="1"/>
  <c r="J3349" i="1"/>
  <c r="Q3349" i="1"/>
  <c r="R3349" i="1"/>
  <c r="J3350" i="1"/>
  <c r="Q3350" i="1"/>
  <c r="R3350" i="1"/>
  <c r="J3351" i="1"/>
  <c r="Q3351" i="1"/>
  <c r="R3351" i="1"/>
  <c r="J3352" i="1"/>
  <c r="Q3352" i="1"/>
  <c r="R3352" i="1"/>
  <c r="J3353" i="1"/>
  <c r="Q3353" i="1"/>
  <c r="R3353" i="1"/>
  <c r="J3354" i="1"/>
  <c r="Q3354" i="1"/>
  <c r="R3354" i="1"/>
  <c r="J3355" i="1"/>
  <c r="Q3355" i="1"/>
  <c r="R3355" i="1"/>
  <c r="J9718" i="1"/>
  <c r="Q9718" i="1"/>
  <c r="R9718" i="1"/>
  <c r="J9719" i="1"/>
  <c r="Q9719" i="1"/>
  <c r="R9719" i="1"/>
  <c r="J9720" i="1"/>
  <c r="Q9720" i="1"/>
  <c r="R9720" i="1"/>
  <c r="J9721" i="1"/>
  <c r="Q9721" i="1"/>
  <c r="R9721" i="1"/>
  <c r="J9722" i="1"/>
  <c r="Q9722" i="1"/>
  <c r="R9722" i="1"/>
  <c r="J9723" i="1"/>
  <c r="Q9723" i="1"/>
  <c r="R9723" i="1"/>
  <c r="J3356" i="1"/>
  <c r="Q3356" i="1"/>
  <c r="R3356" i="1"/>
  <c r="J9724" i="1"/>
  <c r="Q9724" i="1"/>
  <c r="R9724" i="1"/>
  <c r="J3357" i="1"/>
  <c r="Q3357" i="1"/>
  <c r="R3357" i="1"/>
  <c r="J9725" i="1"/>
  <c r="Q9725" i="1"/>
  <c r="R9725" i="1"/>
  <c r="J9726" i="1"/>
  <c r="Q9726" i="1"/>
  <c r="R9726" i="1"/>
  <c r="J3358" i="1"/>
  <c r="Q3358" i="1"/>
  <c r="R3358" i="1"/>
  <c r="J3359" i="1"/>
  <c r="Q3359" i="1"/>
  <c r="R3359" i="1"/>
  <c r="J3360" i="1"/>
  <c r="Q3360" i="1"/>
  <c r="R3360" i="1"/>
  <c r="J3361" i="1"/>
  <c r="Q3361" i="1"/>
  <c r="R3361" i="1"/>
  <c r="J3362" i="1"/>
  <c r="Q3362" i="1"/>
  <c r="R3362" i="1"/>
  <c r="J9727" i="1"/>
  <c r="Q9727" i="1"/>
  <c r="R9727" i="1"/>
  <c r="J9728" i="1"/>
  <c r="Q9728" i="1"/>
  <c r="R9728" i="1"/>
  <c r="J3363" i="1"/>
  <c r="Q3363" i="1"/>
  <c r="R3363" i="1"/>
  <c r="J9729" i="1"/>
  <c r="Q9729" i="1"/>
  <c r="R9729" i="1"/>
  <c r="J9730" i="1"/>
  <c r="Q9730" i="1"/>
  <c r="R9730" i="1"/>
  <c r="J9731" i="1"/>
  <c r="Q9731" i="1"/>
  <c r="R9731" i="1"/>
  <c r="J9732" i="1"/>
  <c r="Q9732" i="1"/>
  <c r="R9732" i="1"/>
  <c r="J3364" i="1"/>
  <c r="Q3364" i="1"/>
  <c r="R3364" i="1"/>
  <c r="J9733" i="1"/>
  <c r="Q9733" i="1"/>
  <c r="R9733" i="1"/>
  <c r="J9734" i="1"/>
  <c r="Q9734" i="1"/>
  <c r="R9734" i="1"/>
  <c r="J3365" i="1"/>
  <c r="Q3365" i="1"/>
  <c r="R3365" i="1"/>
  <c r="J3366" i="1"/>
  <c r="Q3366" i="1"/>
  <c r="R3366" i="1"/>
  <c r="J9735" i="1"/>
  <c r="Q9735" i="1"/>
  <c r="R9735" i="1"/>
  <c r="J9736" i="1"/>
  <c r="Q9736" i="1"/>
  <c r="R9736" i="1"/>
  <c r="J9737" i="1"/>
  <c r="Q9737" i="1"/>
  <c r="R9737" i="1"/>
  <c r="J9738" i="1"/>
  <c r="Q9738" i="1"/>
  <c r="R9738" i="1"/>
  <c r="J9739" i="1"/>
  <c r="Q9739" i="1"/>
  <c r="R9739" i="1"/>
  <c r="J3367" i="1"/>
  <c r="Q3367" i="1"/>
  <c r="R3367" i="1"/>
  <c r="J9740" i="1"/>
  <c r="Q9740" i="1"/>
  <c r="R9740" i="1"/>
  <c r="J9741" i="1"/>
  <c r="Q9741" i="1"/>
  <c r="R9741" i="1"/>
  <c r="J9742" i="1"/>
  <c r="Q9742" i="1"/>
  <c r="R9742" i="1"/>
  <c r="J9743" i="1"/>
  <c r="Q9743" i="1"/>
  <c r="R9743" i="1"/>
  <c r="J9744" i="1"/>
  <c r="Q9744" i="1"/>
  <c r="R9744" i="1"/>
  <c r="J9745" i="1"/>
  <c r="Q9745" i="1"/>
  <c r="R9745" i="1"/>
  <c r="J3368" i="1"/>
  <c r="Q3368" i="1"/>
  <c r="R3368" i="1"/>
  <c r="J3369" i="1"/>
  <c r="Q3369" i="1"/>
  <c r="R3369" i="1"/>
  <c r="J9746" i="1"/>
  <c r="Q9746" i="1"/>
  <c r="R9746" i="1"/>
  <c r="J3370" i="1"/>
  <c r="Q3370" i="1"/>
  <c r="R3370" i="1"/>
  <c r="J9747" i="1"/>
  <c r="Q9747" i="1"/>
  <c r="R9747" i="1"/>
  <c r="J3371" i="1"/>
  <c r="Q3371" i="1"/>
  <c r="R3371" i="1"/>
  <c r="J3372" i="1"/>
  <c r="Q3372" i="1"/>
  <c r="R3372" i="1"/>
  <c r="J3373" i="1"/>
  <c r="Q3373" i="1"/>
  <c r="R3373" i="1"/>
  <c r="J3374" i="1"/>
  <c r="Q3374" i="1"/>
  <c r="R3374" i="1"/>
  <c r="J9748" i="1"/>
  <c r="Q9748" i="1"/>
  <c r="R9748" i="1"/>
  <c r="J3375" i="1"/>
  <c r="Q3375" i="1"/>
  <c r="R3375" i="1"/>
  <c r="J3376" i="1"/>
  <c r="Q3376" i="1"/>
  <c r="R3376" i="1"/>
  <c r="J9749" i="1"/>
  <c r="Q9749" i="1"/>
  <c r="R9749" i="1"/>
  <c r="J9750" i="1"/>
  <c r="Q9750" i="1"/>
  <c r="R9750" i="1"/>
  <c r="J9751" i="1"/>
  <c r="Q9751" i="1"/>
  <c r="R9751" i="1"/>
  <c r="J9752" i="1"/>
  <c r="Q9752" i="1"/>
  <c r="R9752" i="1"/>
  <c r="J9753" i="1"/>
  <c r="Q9753" i="1"/>
  <c r="R9753" i="1"/>
  <c r="J9754" i="1"/>
  <c r="Q9754" i="1"/>
  <c r="R9754" i="1"/>
  <c r="J9755" i="1"/>
  <c r="Q9755" i="1"/>
  <c r="R9755" i="1"/>
  <c r="J9756" i="1"/>
  <c r="Q9756" i="1"/>
  <c r="R9756" i="1"/>
  <c r="J9757" i="1"/>
  <c r="Q9757" i="1"/>
  <c r="R9757" i="1"/>
  <c r="J9758" i="1"/>
  <c r="Q9758" i="1"/>
  <c r="R9758" i="1"/>
  <c r="J9759" i="1"/>
  <c r="Q9759" i="1"/>
  <c r="R9759" i="1"/>
  <c r="J9760" i="1"/>
  <c r="Q9760" i="1"/>
  <c r="R9760" i="1"/>
  <c r="J9761" i="1"/>
  <c r="Q9761" i="1"/>
  <c r="R9761" i="1"/>
  <c r="J9762" i="1"/>
  <c r="Q9762" i="1"/>
  <c r="R9762" i="1"/>
  <c r="J3377" i="1"/>
  <c r="Q3377" i="1"/>
  <c r="R3377" i="1"/>
  <c r="J3378" i="1"/>
  <c r="Q3378" i="1"/>
  <c r="R3378" i="1"/>
  <c r="J3379" i="1"/>
  <c r="Q3379" i="1"/>
  <c r="R3379" i="1"/>
  <c r="J9763" i="1"/>
  <c r="Q9763" i="1"/>
  <c r="R9763" i="1"/>
  <c r="J3380" i="1"/>
  <c r="Q3380" i="1"/>
  <c r="R3380" i="1"/>
  <c r="J9764" i="1"/>
  <c r="Q9764" i="1"/>
  <c r="R9764" i="1"/>
  <c r="J3381" i="1"/>
  <c r="Q3381" i="1"/>
  <c r="R3381" i="1"/>
  <c r="J3382" i="1"/>
  <c r="Q3382" i="1"/>
  <c r="R3382" i="1"/>
  <c r="J3383" i="1"/>
  <c r="Q3383" i="1"/>
  <c r="R3383" i="1"/>
  <c r="J9765" i="1"/>
  <c r="Q9765" i="1"/>
  <c r="R9765" i="1"/>
  <c r="J9766" i="1"/>
  <c r="Q9766" i="1"/>
  <c r="R9766" i="1"/>
  <c r="J9767" i="1"/>
  <c r="Q9767" i="1"/>
  <c r="R9767" i="1"/>
  <c r="J9768" i="1"/>
  <c r="Q9768" i="1"/>
  <c r="R9768" i="1"/>
  <c r="J3384" i="1"/>
  <c r="Q3384" i="1"/>
  <c r="R3384" i="1"/>
  <c r="J3385" i="1"/>
  <c r="Q3385" i="1"/>
  <c r="R3385" i="1"/>
  <c r="J3386" i="1"/>
  <c r="Q3386" i="1"/>
  <c r="R3386" i="1"/>
  <c r="J3387" i="1"/>
  <c r="Q3387" i="1"/>
  <c r="R3387" i="1"/>
  <c r="J3388" i="1"/>
  <c r="Q3388" i="1"/>
  <c r="R3388" i="1"/>
  <c r="J3389" i="1"/>
  <c r="Q3389" i="1"/>
  <c r="R3389" i="1"/>
  <c r="J3390" i="1"/>
  <c r="Q3390" i="1"/>
  <c r="R3390" i="1"/>
  <c r="J3391" i="1"/>
  <c r="Q3391" i="1"/>
  <c r="R3391" i="1"/>
  <c r="J3392" i="1"/>
  <c r="Q3392" i="1"/>
  <c r="R3392" i="1"/>
  <c r="J3393" i="1"/>
  <c r="Q3393" i="1"/>
  <c r="R3393" i="1"/>
  <c r="J9769" i="1"/>
  <c r="Q9769" i="1"/>
  <c r="R9769" i="1"/>
  <c r="J3394" i="1"/>
  <c r="Q3394" i="1"/>
  <c r="R3394" i="1"/>
  <c r="J3395" i="1"/>
  <c r="Q3395" i="1"/>
  <c r="R3395" i="1"/>
  <c r="J9770" i="1"/>
  <c r="Q9770" i="1"/>
  <c r="R9770" i="1"/>
  <c r="J3396" i="1"/>
  <c r="Q3396" i="1"/>
  <c r="R3396" i="1"/>
  <c r="J612" i="1"/>
  <c r="Q612" i="1"/>
  <c r="R612" i="1"/>
  <c r="J613" i="1"/>
  <c r="Q613" i="1"/>
  <c r="R613" i="1"/>
  <c r="J614" i="1"/>
  <c r="Q614" i="1"/>
  <c r="R614" i="1"/>
  <c r="J7453" i="1"/>
  <c r="Q7453" i="1"/>
  <c r="R7453" i="1"/>
  <c r="J6778" i="1"/>
  <c r="Q6778" i="1"/>
  <c r="R6778" i="1"/>
  <c r="J6779" i="1"/>
  <c r="Q6779" i="1"/>
  <c r="R6779" i="1"/>
  <c r="J6780" i="1"/>
  <c r="Q6780" i="1"/>
  <c r="R6780" i="1"/>
  <c r="J7454" i="1"/>
  <c r="Q7454" i="1"/>
  <c r="R7454" i="1"/>
  <c r="J6781" i="1"/>
  <c r="Q6781" i="1"/>
  <c r="R6781" i="1"/>
  <c r="J6782" i="1"/>
  <c r="Q6782" i="1"/>
  <c r="R6782" i="1"/>
  <c r="J7455" i="1"/>
  <c r="Q7455" i="1"/>
  <c r="R7455" i="1"/>
  <c r="J6783" i="1"/>
  <c r="Q6783" i="1"/>
  <c r="R6783" i="1"/>
  <c r="J7456" i="1"/>
  <c r="Q7456" i="1"/>
  <c r="R7456" i="1"/>
  <c r="J6784" i="1"/>
  <c r="Q6784" i="1"/>
  <c r="R6784" i="1"/>
  <c r="J7457" i="1"/>
  <c r="Q7457" i="1"/>
  <c r="R7457" i="1"/>
  <c r="J7458" i="1"/>
  <c r="Q7458" i="1"/>
  <c r="R7458" i="1"/>
  <c r="J7459" i="1"/>
  <c r="Q7459" i="1"/>
  <c r="R7459" i="1"/>
  <c r="J7460" i="1"/>
  <c r="Q7460" i="1"/>
  <c r="R7460" i="1"/>
  <c r="J7461" i="1"/>
  <c r="Q7461" i="1"/>
  <c r="R7461" i="1"/>
  <c r="J7462" i="1"/>
  <c r="Q7462" i="1"/>
  <c r="R7462" i="1"/>
  <c r="J7463" i="1"/>
  <c r="Q7463" i="1"/>
  <c r="R7463" i="1"/>
  <c r="J7464" i="1"/>
  <c r="Q7464" i="1"/>
  <c r="R7464" i="1"/>
  <c r="J7465" i="1"/>
  <c r="Q7465" i="1"/>
  <c r="R7465" i="1"/>
  <c r="J7466" i="1"/>
  <c r="Q7466" i="1"/>
  <c r="R7466" i="1"/>
  <c r="J7467" i="1"/>
  <c r="Q7467" i="1"/>
  <c r="R7467" i="1"/>
  <c r="J7468" i="1"/>
  <c r="Q7468" i="1"/>
  <c r="R7468" i="1"/>
  <c r="J7469" i="1"/>
  <c r="Q7469" i="1"/>
  <c r="R7469" i="1"/>
  <c r="J6785" i="1"/>
  <c r="Q6785" i="1"/>
  <c r="R6785" i="1"/>
  <c r="J7470" i="1"/>
  <c r="Q7470" i="1"/>
  <c r="R7470" i="1"/>
  <c r="J7471" i="1"/>
  <c r="Q7471" i="1"/>
  <c r="R7471" i="1"/>
  <c r="J7472" i="1"/>
  <c r="Q7472" i="1"/>
  <c r="R7472" i="1"/>
  <c r="J615" i="1"/>
  <c r="Q615" i="1"/>
  <c r="R615" i="1"/>
  <c r="J616" i="1"/>
  <c r="Q616" i="1"/>
  <c r="R616" i="1"/>
  <c r="J617" i="1"/>
  <c r="Q617" i="1"/>
  <c r="R617" i="1"/>
  <c r="J618" i="1"/>
  <c r="Q618" i="1"/>
  <c r="R618" i="1"/>
  <c r="J619" i="1"/>
  <c r="Q619" i="1"/>
  <c r="R619" i="1"/>
  <c r="J620" i="1"/>
  <c r="Q620" i="1"/>
  <c r="R620" i="1"/>
  <c r="J621" i="1"/>
  <c r="Q621" i="1"/>
  <c r="R621" i="1"/>
  <c r="J622" i="1"/>
  <c r="Q622" i="1"/>
  <c r="R622" i="1"/>
  <c r="J623" i="1"/>
  <c r="Q623" i="1"/>
  <c r="R623" i="1"/>
  <c r="J6786" i="1"/>
  <c r="Q6786" i="1"/>
  <c r="R6786" i="1"/>
  <c r="J13538" i="1"/>
  <c r="Q13538" i="1"/>
  <c r="R13538" i="1"/>
  <c r="J13539" i="1"/>
  <c r="Q13539" i="1"/>
  <c r="R13539" i="1"/>
  <c r="J624" i="1"/>
  <c r="Q624" i="1"/>
  <c r="R624" i="1"/>
  <c r="J625" i="1"/>
  <c r="Q625" i="1"/>
  <c r="R625" i="1"/>
  <c r="J626" i="1"/>
  <c r="Q626" i="1"/>
  <c r="R626" i="1"/>
  <c r="J13540" i="1"/>
  <c r="Q13540" i="1"/>
  <c r="R13540" i="1"/>
  <c r="J627" i="1"/>
  <c r="Q627" i="1"/>
  <c r="R627" i="1"/>
  <c r="J628" i="1"/>
  <c r="Q628" i="1"/>
  <c r="R628" i="1"/>
  <c r="J629" i="1"/>
  <c r="Q629" i="1"/>
  <c r="R629" i="1"/>
  <c r="J630" i="1"/>
  <c r="Q630" i="1"/>
  <c r="R630" i="1"/>
  <c r="J631" i="1"/>
  <c r="Q631" i="1"/>
  <c r="R631" i="1"/>
  <c r="J632" i="1"/>
  <c r="Q632" i="1"/>
  <c r="R632" i="1"/>
  <c r="J633" i="1"/>
  <c r="Q633" i="1"/>
  <c r="R633" i="1"/>
  <c r="J634" i="1"/>
  <c r="Q634" i="1"/>
  <c r="R634" i="1"/>
  <c r="J635" i="1"/>
  <c r="Q635" i="1"/>
  <c r="R635" i="1"/>
  <c r="J636" i="1"/>
  <c r="Q636" i="1"/>
  <c r="R636" i="1"/>
  <c r="J637" i="1"/>
  <c r="Q637" i="1"/>
  <c r="R637" i="1"/>
  <c r="J638" i="1"/>
  <c r="Q638" i="1"/>
  <c r="R638" i="1"/>
  <c r="J639" i="1"/>
  <c r="Q639" i="1"/>
  <c r="R639" i="1"/>
  <c r="J640" i="1"/>
  <c r="Q640" i="1"/>
  <c r="R640" i="1"/>
  <c r="J641" i="1"/>
  <c r="Q641" i="1"/>
  <c r="R641" i="1"/>
  <c r="J642" i="1"/>
  <c r="Q642" i="1"/>
  <c r="R642" i="1"/>
  <c r="J643" i="1"/>
  <c r="Q643" i="1"/>
  <c r="R643" i="1"/>
  <c r="J644" i="1"/>
  <c r="Q644" i="1"/>
  <c r="R644" i="1"/>
  <c r="J645" i="1"/>
  <c r="Q645" i="1"/>
  <c r="R645" i="1"/>
  <c r="J646" i="1"/>
  <c r="Q646" i="1"/>
  <c r="R646" i="1"/>
  <c r="J7473" i="1"/>
  <c r="Q7473" i="1"/>
  <c r="R7473" i="1"/>
  <c r="J647" i="1"/>
  <c r="Q647" i="1"/>
  <c r="R647" i="1"/>
  <c r="J648" i="1"/>
  <c r="Q648" i="1"/>
  <c r="R648" i="1"/>
  <c r="J649" i="1"/>
  <c r="Q649" i="1"/>
  <c r="R649" i="1"/>
  <c r="J650" i="1"/>
  <c r="Q650" i="1"/>
  <c r="R650" i="1"/>
  <c r="J7474" i="1"/>
  <c r="Q7474" i="1"/>
  <c r="R7474" i="1"/>
  <c r="J7475" i="1"/>
  <c r="Q7475" i="1"/>
  <c r="R7475" i="1"/>
  <c r="J651" i="1"/>
  <c r="Q651" i="1"/>
  <c r="R651" i="1"/>
  <c r="J652" i="1"/>
  <c r="Q652" i="1"/>
  <c r="R652" i="1"/>
  <c r="J6572" i="1"/>
  <c r="Q6572" i="1"/>
  <c r="R6572" i="1"/>
  <c r="J6573" i="1"/>
  <c r="Q6573" i="1"/>
  <c r="R6573" i="1"/>
  <c r="J653" i="1"/>
  <c r="Q653" i="1"/>
  <c r="R653" i="1"/>
  <c r="J654" i="1"/>
  <c r="Q654" i="1"/>
  <c r="R654" i="1"/>
  <c r="J655" i="1"/>
  <c r="Q655" i="1"/>
  <c r="R655" i="1"/>
  <c r="J7476" i="1"/>
  <c r="Q7476" i="1"/>
  <c r="R7476" i="1"/>
  <c r="J6787" i="1"/>
  <c r="Q6787" i="1"/>
  <c r="R6787" i="1"/>
  <c r="J656" i="1"/>
  <c r="Q656" i="1"/>
  <c r="R656" i="1"/>
  <c r="J657" i="1"/>
  <c r="Q657" i="1"/>
  <c r="R657" i="1"/>
  <c r="J658" i="1"/>
  <c r="Q658" i="1"/>
  <c r="R658" i="1"/>
  <c r="J659" i="1"/>
  <c r="Q659" i="1"/>
  <c r="R659" i="1"/>
  <c r="J660" i="1"/>
  <c r="Q660" i="1"/>
  <c r="R660" i="1"/>
  <c r="J661" i="1"/>
  <c r="Q661" i="1"/>
  <c r="R661" i="1"/>
  <c r="J7477" i="1"/>
  <c r="Q7477" i="1"/>
  <c r="R7477" i="1"/>
  <c r="J6788" i="1"/>
  <c r="Q6788" i="1"/>
  <c r="R6788" i="1"/>
  <c r="J6574" i="1"/>
  <c r="Q6574" i="1"/>
  <c r="R6574" i="1"/>
  <c r="J7478" i="1"/>
  <c r="Q7478" i="1"/>
  <c r="R7478" i="1"/>
  <c r="J7479" i="1"/>
  <c r="Q7479" i="1"/>
  <c r="R7479" i="1"/>
  <c r="J6789" i="1"/>
  <c r="Q6789" i="1"/>
  <c r="R6789" i="1"/>
  <c r="J6790" i="1"/>
  <c r="Q6790" i="1"/>
  <c r="R6790" i="1"/>
  <c r="J6791" i="1"/>
  <c r="Q6791" i="1"/>
  <c r="R6791" i="1"/>
  <c r="J6792" i="1"/>
  <c r="Q6792" i="1"/>
  <c r="R6792" i="1"/>
  <c r="J7480" i="1"/>
  <c r="Q7480" i="1"/>
  <c r="R7480" i="1"/>
  <c r="J6793" i="1"/>
  <c r="Q6793" i="1"/>
  <c r="R6793" i="1"/>
  <c r="J7481" i="1"/>
  <c r="Q7481" i="1"/>
  <c r="R7481" i="1"/>
  <c r="J7482" i="1"/>
  <c r="Q7482" i="1"/>
  <c r="R7482" i="1"/>
  <c r="J7483" i="1"/>
  <c r="Q7483" i="1"/>
  <c r="R7483" i="1"/>
  <c r="J7484" i="1"/>
  <c r="Q7484" i="1"/>
  <c r="R7484" i="1"/>
  <c r="J7485" i="1"/>
  <c r="Q7485" i="1"/>
  <c r="R7485" i="1"/>
  <c r="J7486" i="1"/>
  <c r="Q7486" i="1"/>
  <c r="R7486" i="1"/>
  <c r="J7487" i="1"/>
  <c r="Q7487" i="1"/>
  <c r="R7487" i="1"/>
  <c r="J7488" i="1"/>
  <c r="Q7488" i="1"/>
  <c r="R7488" i="1"/>
  <c r="J7489" i="1"/>
  <c r="Q7489" i="1"/>
  <c r="R7489" i="1"/>
  <c r="J7490" i="1"/>
  <c r="Q7490" i="1"/>
  <c r="R7490" i="1"/>
  <c r="J6794" i="1"/>
  <c r="Q6794" i="1"/>
  <c r="R6794" i="1"/>
  <c r="J7491" i="1"/>
  <c r="Q7491" i="1"/>
  <c r="R7491" i="1"/>
  <c r="J7492" i="1"/>
  <c r="Q7492" i="1"/>
  <c r="R7492" i="1"/>
  <c r="J7493" i="1"/>
  <c r="Q7493" i="1"/>
  <c r="R7493" i="1"/>
  <c r="J7494" i="1"/>
  <c r="Q7494" i="1"/>
  <c r="R7494" i="1"/>
  <c r="J7495" i="1"/>
  <c r="Q7495" i="1"/>
  <c r="R7495" i="1"/>
  <c r="J6795" i="1"/>
  <c r="Q6795" i="1"/>
  <c r="R6795" i="1"/>
  <c r="J7496" i="1"/>
  <c r="Q7496" i="1"/>
  <c r="R7496" i="1"/>
  <c r="J7497" i="1"/>
  <c r="Q7497" i="1"/>
  <c r="R7497" i="1"/>
  <c r="J7498" i="1"/>
  <c r="Q7498" i="1"/>
  <c r="R7498" i="1"/>
  <c r="J7499" i="1"/>
  <c r="Q7499" i="1"/>
  <c r="R7499" i="1"/>
  <c r="J7500" i="1"/>
  <c r="Q7500" i="1"/>
  <c r="R7500" i="1"/>
  <c r="J7501" i="1"/>
  <c r="Q7501" i="1"/>
  <c r="R7501" i="1"/>
  <c r="J7502" i="1"/>
  <c r="Q7502" i="1"/>
  <c r="R7502" i="1"/>
  <c r="J7503" i="1"/>
  <c r="Q7503" i="1"/>
  <c r="R7503" i="1"/>
  <c r="J7504" i="1"/>
  <c r="Q7504" i="1"/>
  <c r="R7504" i="1"/>
  <c r="J7505" i="1"/>
  <c r="Q7505" i="1"/>
  <c r="R7505" i="1"/>
  <c r="J7506" i="1"/>
  <c r="Q7506" i="1"/>
  <c r="R7506" i="1"/>
  <c r="J7507" i="1"/>
  <c r="Q7507" i="1"/>
  <c r="R7507" i="1"/>
  <c r="J662" i="1"/>
  <c r="Q662" i="1"/>
  <c r="R662" i="1"/>
  <c r="J663" i="1"/>
  <c r="Q663" i="1"/>
  <c r="R663" i="1"/>
  <c r="J664" i="1"/>
  <c r="Q664" i="1"/>
  <c r="R664" i="1"/>
  <c r="J665" i="1"/>
  <c r="Q665" i="1"/>
  <c r="R665" i="1"/>
  <c r="J666" i="1"/>
  <c r="Q666" i="1"/>
  <c r="R666" i="1"/>
  <c r="J667" i="1"/>
  <c r="Q667" i="1"/>
  <c r="R667" i="1"/>
  <c r="J13541" i="1"/>
  <c r="Q13541" i="1"/>
  <c r="R13541" i="1"/>
  <c r="J668" i="1"/>
  <c r="Q668" i="1"/>
  <c r="R668" i="1"/>
  <c r="J669" i="1"/>
  <c r="Q669" i="1"/>
  <c r="R669" i="1"/>
  <c r="J670" i="1"/>
  <c r="Q670" i="1"/>
  <c r="R670" i="1"/>
  <c r="J671" i="1"/>
  <c r="Q671" i="1"/>
  <c r="R671" i="1"/>
  <c r="J7508" i="1"/>
  <c r="Q7508" i="1"/>
  <c r="R7508" i="1"/>
  <c r="J672" i="1"/>
  <c r="Q672" i="1"/>
  <c r="R672" i="1"/>
  <c r="J673" i="1"/>
  <c r="Q673" i="1"/>
  <c r="R673" i="1"/>
  <c r="J674" i="1"/>
  <c r="Q674" i="1"/>
  <c r="R674" i="1"/>
  <c r="J675" i="1"/>
  <c r="Q675" i="1"/>
  <c r="R675" i="1"/>
  <c r="J676" i="1"/>
  <c r="Q676" i="1"/>
  <c r="R676" i="1"/>
  <c r="J677" i="1"/>
  <c r="Q677" i="1"/>
  <c r="R677" i="1"/>
  <c r="J678" i="1"/>
  <c r="Q678" i="1"/>
  <c r="R678" i="1"/>
  <c r="J679" i="1"/>
  <c r="Q679" i="1"/>
  <c r="R679" i="1"/>
  <c r="J680" i="1"/>
  <c r="Q680" i="1"/>
  <c r="R680" i="1"/>
  <c r="J681" i="1"/>
  <c r="Q681" i="1"/>
  <c r="R681" i="1"/>
  <c r="J682" i="1"/>
  <c r="Q682" i="1"/>
  <c r="R682" i="1"/>
  <c r="J683" i="1"/>
  <c r="Q683" i="1"/>
  <c r="R683" i="1"/>
  <c r="J684" i="1"/>
  <c r="Q684" i="1"/>
  <c r="R684" i="1"/>
  <c r="J685" i="1"/>
  <c r="Q685" i="1"/>
  <c r="R685" i="1"/>
  <c r="J686" i="1"/>
  <c r="Q686" i="1"/>
  <c r="R686" i="1"/>
  <c r="J687" i="1"/>
  <c r="Q687" i="1"/>
  <c r="R687" i="1"/>
  <c r="J688" i="1"/>
  <c r="Q688" i="1"/>
  <c r="R688" i="1"/>
  <c r="J689" i="1"/>
  <c r="Q689" i="1"/>
  <c r="R689" i="1"/>
  <c r="J690" i="1"/>
  <c r="Q690" i="1"/>
  <c r="R690" i="1"/>
  <c r="J691" i="1"/>
  <c r="Q691" i="1"/>
  <c r="R691" i="1"/>
  <c r="J692" i="1"/>
  <c r="Q692" i="1"/>
  <c r="R692" i="1"/>
  <c r="J693" i="1"/>
  <c r="Q693" i="1"/>
  <c r="R693" i="1"/>
  <c r="J694" i="1"/>
  <c r="Q694" i="1"/>
  <c r="R694" i="1"/>
  <c r="J695" i="1"/>
  <c r="Q695" i="1"/>
  <c r="R695" i="1"/>
  <c r="J696" i="1"/>
  <c r="Q696" i="1"/>
  <c r="R696" i="1"/>
  <c r="J697" i="1"/>
  <c r="Q697" i="1"/>
  <c r="R697" i="1"/>
  <c r="J698" i="1"/>
  <c r="Q698" i="1"/>
  <c r="R698" i="1"/>
  <c r="J699" i="1"/>
  <c r="Q699" i="1"/>
  <c r="R699" i="1"/>
  <c r="J700" i="1"/>
  <c r="Q700" i="1"/>
  <c r="R700" i="1"/>
  <c r="J701" i="1"/>
  <c r="Q701" i="1"/>
  <c r="R701" i="1"/>
  <c r="J702" i="1"/>
  <c r="Q702" i="1"/>
  <c r="R702" i="1"/>
  <c r="J703" i="1"/>
  <c r="Q703" i="1"/>
  <c r="R703" i="1"/>
  <c r="J704" i="1"/>
  <c r="Q704" i="1"/>
  <c r="R704" i="1"/>
  <c r="J6796" i="1"/>
  <c r="Q6796" i="1"/>
  <c r="R6796" i="1"/>
  <c r="J7509" i="1"/>
  <c r="Q7509" i="1"/>
  <c r="R7509" i="1"/>
  <c r="J705" i="1"/>
  <c r="Q705" i="1"/>
  <c r="R705" i="1"/>
  <c r="J706" i="1"/>
  <c r="Q706" i="1"/>
  <c r="R706" i="1"/>
  <c r="J707" i="1"/>
  <c r="Q707" i="1"/>
  <c r="R707" i="1"/>
  <c r="J6797" i="1"/>
  <c r="Q6797" i="1"/>
  <c r="R6797" i="1"/>
  <c r="J7510" i="1"/>
  <c r="Q7510" i="1"/>
  <c r="R7510" i="1"/>
  <c r="J708" i="1"/>
  <c r="Q708" i="1"/>
  <c r="R708" i="1"/>
  <c r="J709" i="1"/>
  <c r="Q709" i="1"/>
  <c r="R709" i="1"/>
  <c r="J710" i="1"/>
  <c r="Q710" i="1"/>
  <c r="R710" i="1"/>
  <c r="J6798" i="1"/>
  <c r="Q6798" i="1"/>
  <c r="R6798" i="1"/>
  <c r="J711" i="1"/>
  <c r="Q711" i="1"/>
  <c r="R711" i="1"/>
  <c r="J712" i="1"/>
  <c r="Q712" i="1"/>
  <c r="R712" i="1"/>
  <c r="J713" i="1"/>
  <c r="Q713" i="1"/>
  <c r="R713" i="1"/>
  <c r="J714" i="1"/>
  <c r="Q714" i="1"/>
  <c r="R714" i="1"/>
  <c r="J715" i="1"/>
  <c r="Q715" i="1"/>
  <c r="R715" i="1"/>
  <c r="J6799" i="1"/>
  <c r="Q6799" i="1"/>
  <c r="R6799" i="1"/>
  <c r="J6800" i="1"/>
  <c r="Q6800" i="1"/>
  <c r="R6800" i="1"/>
  <c r="J13542" i="1"/>
  <c r="Q13542" i="1"/>
  <c r="R13542" i="1"/>
  <c r="J13543" i="1"/>
  <c r="Q13543" i="1"/>
  <c r="R13543" i="1"/>
  <c r="J716" i="1"/>
  <c r="Q716" i="1"/>
  <c r="R716" i="1"/>
  <c r="J7511" i="1"/>
  <c r="Q7511" i="1"/>
  <c r="R7511" i="1"/>
  <c r="J717" i="1"/>
  <c r="Q717" i="1"/>
  <c r="R717" i="1"/>
  <c r="J7512" i="1"/>
  <c r="Q7512" i="1"/>
  <c r="R7512" i="1"/>
  <c r="J718" i="1"/>
  <c r="Q718" i="1"/>
  <c r="R718" i="1"/>
  <c r="J6575" i="1"/>
  <c r="Q6575" i="1"/>
  <c r="R6575" i="1"/>
  <c r="J719" i="1"/>
  <c r="Q719" i="1"/>
  <c r="R719" i="1"/>
  <c r="J720" i="1"/>
  <c r="Q720" i="1"/>
  <c r="R720" i="1"/>
  <c r="J721" i="1"/>
  <c r="Q721" i="1"/>
  <c r="R721" i="1"/>
  <c r="J7513" i="1"/>
  <c r="Q7513" i="1"/>
  <c r="R7513" i="1"/>
  <c r="J7514" i="1"/>
  <c r="Q7514" i="1"/>
  <c r="R7514" i="1"/>
  <c r="J7515" i="1"/>
  <c r="Q7515" i="1"/>
  <c r="R7515" i="1"/>
  <c r="J7516" i="1"/>
  <c r="Q7516" i="1"/>
  <c r="R7516" i="1"/>
  <c r="J7517" i="1"/>
  <c r="Q7517" i="1"/>
  <c r="R7517" i="1"/>
  <c r="J7518" i="1"/>
  <c r="Q7518" i="1"/>
  <c r="R7518" i="1"/>
  <c r="J6801" i="1"/>
  <c r="Q6801" i="1"/>
  <c r="R6801" i="1"/>
  <c r="J6802" i="1"/>
  <c r="Q6802" i="1"/>
  <c r="R6802" i="1"/>
  <c r="J6803" i="1"/>
  <c r="Q6803" i="1"/>
  <c r="R6803" i="1"/>
  <c r="J7519" i="1"/>
  <c r="Q7519" i="1"/>
  <c r="R7519" i="1"/>
  <c r="J6804" i="1"/>
  <c r="Q6804" i="1"/>
  <c r="R6804" i="1"/>
  <c r="J7520" i="1"/>
  <c r="Q7520" i="1"/>
  <c r="R7520" i="1"/>
  <c r="J7521" i="1"/>
  <c r="Q7521" i="1"/>
  <c r="R7521" i="1"/>
  <c r="J7522" i="1"/>
  <c r="Q7522" i="1"/>
  <c r="R7522" i="1"/>
  <c r="J7523" i="1"/>
  <c r="Q7523" i="1"/>
  <c r="R7523" i="1"/>
  <c r="J7524" i="1"/>
  <c r="Q7524" i="1"/>
  <c r="R7524" i="1"/>
  <c r="J7525" i="1"/>
  <c r="Q7525" i="1"/>
  <c r="R7525" i="1"/>
  <c r="J7526" i="1"/>
  <c r="Q7526" i="1"/>
  <c r="R7526" i="1"/>
  <c r="J6805" i="1"/>
  <c r="Q6805" i="1"/>
  <c r="R6805" i="1"/>
  <c r="J7527" i="1"/>
  <c r="Q7527" i="1"/>
  <c r="R7527" i="1"/>
  <c r="J7528" i="1"/>
  <c r="Q7528" i="1"/>
  <c r="R7528" i="1"/>
  <c r="J7529" i="1"/>
  <c r="Q7529" i="1"/>
  <c r="R7529" i="1"/>
  <c r="J7530" i="1"/>
  <c r="Q7530" i="1"/>
  <c r="R7530" i="1"/>
  <c r="J7531" i="1"/>
  <c r="Q7531" i="1"/>
  <c r="R7531" i="1"/>
  <c r="J722" i="1"/>
  <c r="Q722" i="1"/>
  <c r="R722" i="1"/>
  <c r="J723" i="1"/>
  <c r="Q723" i="1"/>
  <c r="R723" i="1"/>
  <c r="J724" i="1"/>
  <c r="Q724" i="1"/>
  <c r="R724" i="1"/>
  <c r="J725" i="1"/>
  <c r="Q725" i="1"/>
  <c r="R725" i="1"/>
  <c r="J726" i="1"/>
  <c r="Q726" i="1"/>
  <c r="R726" i="1"/>
  <c r="J727" i="1"/>
  <c r="Q727" i="1"/>
  <c r="R727" i="1"/>
  <c r="J728" i="1"/>
  <c r="Q728" i="1"/>
  <c r="R728" i="1"/>
  <c r="J729" i="1"/>
  <c r="Q729" i="1"/>
  <c r="R729" i="1"/>
  <c r="J730" i="1"/>
  <c r="Q730" i="1"/>
  <c r="R730" i="1"/>
  <c r="J731" i="1"/>
  <c r="Q731" i="1"/>
  <c r="R731" i="1"/>
  <c r="J732" i="1"/>
  <c r="Q732" i="1"/>
  <c r="R732" i="1"/>
  <c r="J733" i="1"/>
  <c r="Q733" i="1"/>
  <c r="R733" i="1"/>
  <c r="J734" i="1"/>
  <c r="Q734" i="1"/>
  <c r="R734" i="1"/>
  <c r="J735" i="1"/>
  <c r="Q735" i="1"/>
  <c r="R735" i="1"/>
  <c r="J736" i="1"/>
  <c r="Q736" i="1"/>
  <c r="R736" i="1"/>
  <c r="J737" i="1"/>
  <c r="Q737" i="1"/>
  <c r="R737" i="1"/>
  <c r="J738" i="1"/>
  <c r="Q738" i="1"/>
  <c r="R738" i="1"/>
  <c r="J739" i="1"/>
  <c r="Q739" i="1"/>
  <c r="R739" i="1"/>
  <c r="J740" i="1"/>
  <c r="Q740" i="1"/>
  <c r="R740" i="1"/>
  <c r="J741" i="1"/>
  <c r="Q741" i="1"/>
  <c r="R741" i="1"/>
  <c r="J742" i="1"/>
  <c r="Q742" i="1"/>
  <c r="R742" i="1"/>
  <c r="J743" i="1"/>
  <c r="Q743" i="1"/>
  <c r="R743" i="1"/>
  <c r="J744" i="1"/>
  <c r="Q744" i="1"/>
  <c r="R744" i="1"/>
  <c r="J745" i="1"/>
  <c r="Q745" i="1"/>
  <c r="R745" i="1"/>
  <c r="J746" i="1"/>
  <c r="Q746" i="1"/>
  <c r="R746" i="1"/>
  <c r="J747" i="1"/>
  <c r="Q747" i="1"/>
  <c r="R747" i="1"/>
  <c r="J748" i="1"/>
  <c r="Q748" i="1"/>
  <c r="R748" i="1"/>
  <c r="J7532" i="1"/>
  <c r="Q7532" i="1"/>
  <c r="R7532" i="1"/>
  <c r="J749" i="1"/>
  <c r="Q749" i="1"/>
  <c r="R749" i="1"/>
  <c r="J7533" i="1"/>
  <c r="Q7533" i="1"/>
  <c r="R7533" i="1"/>
  <c r="J750" i="1"/>
  <c r="Q750" i="1"/>
  <c r="R750" i="1"/>
  <c r="J751" i="1"/>
  <c r="Q751" i="1"/>
  <c r="R751" i="1"/>
  <c r="J752" i="1"/>
  <c r="Q752" i="1"/>
  <c r="R752" i="1"/>
  <c r="J753" i="1"/>
  <c r="Q753" i="1"/>
  <c r="R753" i="1"/>
  <c r="J754" i="1"/>
  <c r="Q754" i="1"/>
  <c r="R754" i="1"/>
  <c r="J6806" i="1"/>
  <c r="Q6806" i="1"/>
  <c r="R6806" i="1"/>
  <c r="J6576" i="1"/>
  <c r="Q6576" i="1"/>
  <c r="R6576" i="1"/>
  <c r="J755" i="1"/>
  <c r="Q755" i="1"/>
  <c r="R755" i="1"/>
  <c r="J13544" i="1"/>
  <c r="Q13544" i="1"/>
  <c r="R13544" i="1"/>
  <c r="J9771" i="1"/>
  <c r="Q9771" i="1"/>
  <c r="R9771" i="1"/>
  <c r="J3397" i="1"/>
  <c r="Q3397" i="1"/>
  <c r="R3397" i="1"/>
  <c r="J3398" i="1"/>
  <c r="Q3398" i="1"/>
  <c r="R3398" i="1"/>
  <c r="J9772" i="1"/>
  <c r="Q9772" i="1"/>
  <c r="R9772" i="1"/>
  <c r="J3399" i="1"/>
  <c r="Q3399" i="1"/>
  <c r="R3399" i="1"/>
  <c r="J9773" i="1"/>
  <c r="Q9773" i="1"/>
  <c r="R9773" i="1"/>
  <c r="J9774" i="1"/>
  <c r="Q9774" i="1"/>
  <c r="R9774" i="1"/>
  <c r="J9775" i="1"/>
  <c r="Q9775" i="1"/>
  <c r="R9775" i="1"/>
  <c r="J9776" i="1"/>
  <c r="Q9776" i="1"/>
  <c r="R9776" i="1"/>
  <c r="J3400" i="1"/>
  <c r="Q3400" i="1"/>
  <c r="R3400" i="1"/>
  <c r="J9777" i="1"/>
  <c r="Q9777" i="1"/>
  <c r="R9777" i="1"/>
  <c r="J9778" i="1"/>
  <c r="Q9778" i="1"/>
  <c r="R9778" i="1"/>
  <c r="J9779" i="1"/>
  <c r="Q9779" i="1"/>
  <c r="R9779" i="1"/>
  <c r="J9780" i="1"/>
  <c r="Q9780" i="1"/>
  <c r="R9780" i="1"/>
  <c r="J9781" i="1"/>
  <c r="Q9781" i="1"/>
  <c r="R9781" i="1"/>
  <c r="J9782" i="1"/>
  <c r="Q9782" i="1"/>
  <c r="R9782" i="1"/>
  <c r="J9783" i="1"/>
  <c r="Q9783" i="1"/>
  <c r="R9783" i="1"/>
  <c r="J9784" i="1"/>
  <c r="Q9784" i="1"/>
  <c r="R9784" i="1"/>
  <c r="J9785" i="1"/>
  <c r="Q9785" i="1"/>
  <c r="R9785" i="1"/>
  <c r="J9786" i="1"/>
  <c r="Q9786" i="1"/>
  <c r="R9786" i="1"/>
  <c r="J9787" i="1"/>
  <c r="Q9787" i="1"/>
  <c r="R9787" i="1"/>
  <c r="J9788" i="1"/>
  <c r="Q9788" i="1"/>
  <c r="R9788" i="1"/>
  <c r="J9789" i="1"/>
  <c r="Q9789" i="1"/>
  <c r="R9789" i="1"/>
  <c r="J9790" i="1"/>
  <c r="Q9790" i="1"/>
  <c r="R9790" i="1"/>
  <c r="J9791" i="1"/>
  <c r="Q9791" i="1"/>
  <c r="R9791" i="1"/>
  <c r="J9792" i="1"/>
  <c r="Q9792" i="1"/>
  <c r="R9792" i="1"/>
  <c r="J3401" i="1"/>
  <c r="Q3401" i="1"/>
  <c r="R3401" i="1"/>
  <c r="J9793" i="1"/>
  <c r="Q9793" i="1"/>
  <c r="R9793" i="1"/>
  <c r="J9794" i="1"/>
  <c r="Q9794" i="1"/>
  <c r="R9794" i="1"/>
  <c r="J9795" i="1"/>
  <c r="Q9795" i="1"/>
  <c r="R9795" i="1"/>
  <c r="J3402" i="1"/>
  <c r="Q3402" i="1"/>
  <c r="R3402" i="1"/>
  <c r="J9796" i="1"/>
  <c r="Q9796" i="1"/>
  <c r="R9796" i="1"/>
  <c r="J9797" i="1"/>
  <c r="Q9797" i="1"/>
  <c r="R9797" i="1"/>
  <c r="J9798" i="1"/>
  <c r="Q9798" i="1"/>
  <c r="R9798" i="1"/>
  <c r="J3403" i="1"/>
  <c r="Q3403" i="1"/>
  <c r="R3403" i="1"/>
  <c r="J3404" i="1"/>
  <c r="Q3404" i="1"/>
  <c r="R3404" i="1"/>
  <c r="J3405" i="1"/>
  <c r="Q3405" i="1"/>
  <c r="R3405" i="1"/>
  <c r="J3406" i="1"/>
  <c r="Q3406" i="1"/>
  <c r="R3406" i="1"/>
  <c r="J9799" i="1"/>
  <c r="Q9799" i="1"/>
  <c r="R9799" i="1"/>
  <c r="J9800" i="1"/>
  <c r="Q9800" i="1"/>
  <c r="R9800" i="1"/>
  <c r="J9801" i="1"/>
  <c r="Q9801" i="1"/>
  <c r="R9801" i="1"/>
  <c r="J9802" i="1"/>
  <c r="Q9802" i="1"/>
  <c r="R9802" i="1"/>
  <c r="J9803" i="1"/>
  <c r="Q9803" i="1"/>
  <c r="R9803" i="1"/>
  <c r="J9804" i="1"/>
  <c r="Q9804" i="1"/>
  <c r="R9804" i="1"/>
  <c r="J9805" i="1"/>
  <c r="Q9805" i="1"/>
  <c r="R9805" i="1"/>
  <c r="J3407" i="1"/>
  <c r="Q3407" i="1"/>
  <c r="R3407" i="1"/>
  <c r="J3408" i="1"/>
  <c r="Q3408" i="1"/>
  <c r="R3408" i="1"/>
  <c r="J9806" i="1"/>
  <c r="Q9806" i="1"/>
  <c r="R9806" i="1"/>
  <c r="J3409" i="1"/>
  <c r="Q3409" i="1"/>
  <c r="R3409" i="1"/>
  <c r="J3410" i="1"/>
  <c r="Q3410" i="1"/>
  <c r="R3410" i="1"/>
  <c r="J9807" i="1"/>
  <c r="Q9807" i="1"/>
  <c r="R9807" i="1"/>
  <c r="J3411" i="1"/>
  <c r="Q3411" i="1"/>
  <c r="R3411" i="1"/>
  <c r="J3412" i="1"/>
  <c r="Q3412" i="1"/>
  <c r="R3412" i="1"/>
  <c r="J9808" i="1"/>
  <c r="Q9808" i="1"/>
  <c r="R9808" i="1"/>
  <c r="J3413" i="1"/>
  <c r="Q3413" i="1"/>
  <c r="R3413" i="1"/>
  <c r="J3414" i="1"/>
  <c r="Q3414" i="1"/>
  <c r="R3414" i="1"/>
  <c r="J3415" i="1"/>
  <c r="Q3415" i="1"/>
  <c r="R3415" i="1"/>
  <c r="J3416" i="1"/>
  <c r="Q3416" i="1"/>
  <c r="R3416" i="1"/>
  <c r="J3417" i="1"/>
  <c r="Q3417" i="1"/>
  <c r="R3417" i="1"/>
  <c r="J9809" i="1"/>
  <c r="Q9809" i="1"/>
  <c r="R9809" i="1"/>
  <c r="J3418" i="1"/>
  <c r="Q3418" i="1"/>
  <c r="R3418" i="1"/>
  <c r="J3419" i="1"/>
  <c r="Q3419" i="1"/>
  <c r="R3419" i="1"/>
  <c r="J3420" i="1"/>
  <c r="Q3420" i="1"/>
  <c r="R3420" i="1"/>
  <c r="J9810" i="1"/>
  <c r="Q9810" i="1"/>
  <c r="R9810" i="1"/>
  <c r="J3421" i="1"/>
  <c r="Q3421" i="1"/>
  <c r="R3421" i="1"/>
  <c r="J3422" i="1"/>
  <c r="Q3422" i="1"/>
  <c r="R3422" i="1"/>
  <c r="J3423" i="1"/>
  <c r="Q3423" i="1"/>
  <c r="R3423" i="1"/>
  <c r="J3424" i="1"/>
  <c r="Q3424" i="1"/>
  <c r="R3424" i="1"/>
  <c r="J9811" i="1"/>
  <c r="Q9811" i="1"/>
  <c r="R9811" i="1"/>
  <c r="J3425" i="1"/>
  <c r="Q3425" i="1"/>
  <c r="R3425" i="1"/>
  <c r="J3426" i="1"/>
  <c r="Q3426" i="1"/>
  <c r="R3426" i="1"/>
  <c r="J3427" i="1"/>
  <c r="Q3427" i="1"/>
  <c r="R3427" i="1"/>
  <c r="J3428" i="1"/>
  <c r="Q3428" i="1"/>
  <c r="R3428" i="1"/>
  <c r="J3429" i="1"/>
  <c r="Q3429" i="1"/>
  <c r="R3429" i="1"/>
  <c r="J3430" i="1"/>
  <c r="Q3430" i="1"/>
  <c r="R3430" i="1"/>
  <c r="J3431" i="1"/>
  <c r="Q3431" i="1"/>
  <c r="R3431" i="1"/>
  <c r="J3432" i="1"/>
  <c r="Q3432" i="1"/>
  <c r="R3432" i="1"/>
  <c r="J9812" i="1"/>
  <c r="Q9812" i="1"/>
  <c r="R9812" i="1"/>
  <c r="J9813" i="1"/>
  <c r="Q9813" i="1"/>
  <c r="R9813" i="1"/>
  <c r="J3433" i="1"/>
  <c r="Q3433" i="1"/>
  <c r="R3433" i="1"/>
  <c r="J3434" i="1"/>
  <c r="Q3434" i="1"/>
  <c r="R3434" i="1"/>
  <c r="J3435" i="1"/>
  <c r="Q3435" i="1"/>
  <c r="R3435" i="1"/>
  <c r="J3436" i="1"/>
  <c r="Q3436" i="1"/>
  <c r="R3436" i="1"/>
  <c r="J9814" i="1"/>
  <c r="Q9814" i="1"/>
  <c r="R9814" i="1"/>
  <c r="J9815" i="1"/>
  <c r="Q9815" i="1"/>
  <c r="R9815" i="1"/>
  <c r="J9816" i="1"/>
  <c r="Q9816" i="1"/>
  <c r="R9816" i="1"/>
  <c r="J9817" i="1"/>
  <c r="Q9817" i="1"/>
  <c r="R9817" i="1"/>
  <c r="J9818" i="1"/>
  <c r="Q9818" i="1"/>
  <c r="R9818" i="1"/>
  <c r="J3437" i="1"/>
  <c r="Q3437" i="1"/>
  <c r="R3437" i="1"/>
  <c r="J3438" i="1"/>
  <c r="Q3438" i="1"/>
  <c r="R3438" i="1"/>
  <c r="J9819" i="1"/>
  <c r="Q9819" i="1"/>
  <c r="R9819" i="1"/>
  <c r="J9820" i="1"/>
  <c r="Q9820" i="1"/>
  <c r="R9820" i="1"/>
  <c r="J3439" i="1"/>
  <c r="Q3439" i="1"/>
  <c r="R3439" i="1"/>
  <c r="J9821" i="1"/>
  <c r="Q9821" i="1"/>
  <c r="R9821" i="1"/>
  <c r="J9822" i="1"/>
  <c r="Q9822" i="1"/>
  <c r="R9822" i="1"/>
  <c r="J9823" i="1"/>
  <c r="Q9823" i="1"/>
  <c r="R9823" i="1"/>
  <c r="J3440" i="1"/>
  <c r="Q3440" i="1"/>
  <c r="R3440" i="1"/>
  <c r="J3441" i="1"/>
  <c r="Q3441" i="1"/>
  <c r="R3441" i="1"/>
  <c r="J9824" i="1"/>
  <c r="Q9824" i="1"/>
  <c r="R9824" i="1"/>
  <c r="J3442" i="1"/>
  <c r="Q3442" i="1"/>
  <c r="R3442" i="1"/>
  <c r="J9825" i="1"/>
  <c r="Q9825" i="1"/>
  <c r="R9825" i="1"/>
  <c r="J3443" i="1"/>
  <c r="Q3443" i="1"/>
  <c r="R3443" i="1"/>
  <c r="J9826" i="1"/>
  <c r="Q9826" i="1"/>
  <c r="R9826" i="1"/>
  <c r="J9827" i="1"/>
  <c r="Q9827" i="1"/>
  <c r="R9827" i="1"/>
  <c r="J9828" i="1"/>
  <c r="Q9828" i="1"/>
  <c r="R9828" i="1"/>
  <c r="J9829" i="1"/>
  <c r="Q9829" i="1"/>
  <c r="R9829" i="1"/>
  <c r="J3444" i="1"/>
  <c r="Q3444" i="1"/>
  <c r="R3444" i="1"/>
  <c r="J3445" i="1"/>
  <c r="Q3445" i="1"/>
  <c r="R3445" i="1"/>
  <c r="J3446" i="1"/>
  <c r="Q3446" i="1"/>
  <c r="R3446" i="1"/>
  <c r="J3447" i="1"/>
  <c r="Q3447" i="1"/>
  <c r="R3447" i="1"/>
  <c r="J3448" i="1"/>
  <c r="Q3448" i="1"/>
  <c r="R3448" i="1"/>
  <c r="J3449" i="1"/>
  <c r="Q3449" i="1"/>
  <c r="R3449" i="1"/>
  <c r="J3450" i="1"/>
  <c r="Q3450" i="1"/>
  <c r="R3450" i="1"/>
  <c r="J3451" i="1"/>
  <c r="Q3451" i="1"/>
  <c r="R3451" i="1"/>
  <c r="J9830" i="1"/>
  <c r="Q9830" i="1"/>
  <c r="R9830" i="1"/>
  <c r="J9831" i="1"/>
  <c r="Q9831" i="1"/>
  <c r="R9831" i="1"/>
  <c r="J9832" i="1"/>
  <c r="Q9832" i="1"/>
  <c r="R9832" i="1"/>
  <c r="J9833" i="1"/>
  <c r="Q9833" i="1"/>
  <c r="R9833" i="1"/>
  <c r="J9834" i="1"/>
  <c r="Q9834" i="1"/>
  <c r="R9834" i="1"/>
  <c r="J9835" i="1"/>
  <c r="Q9835" i="1"/>
  <c r="R9835" i="1"/>
  <c r="J3452" i="1"/>
  <c r="Q3452" i="1"/>
  <c r="R3452" i="1"/>
  <c r="J9836" i="1"/>
  <c r="Q9836" i="1"/>
  <c r="R9836" i="1"/>
  <c r="J3453" i="1"/>
  <c r="Q3453" i="1"/>
  <c r="R3453" i="1"/>
  <c r="J9837" i="1"/>
  <c r="Q9837" i="1"/>
  <c r="R9837" i="1"/>
  <c r="J9838" i="1"/>
  <c r="Q9838" i="1"/>
  <c r="R9838" i="1"/>
  <c r="J3454" i="1"/>
  <c r="Q3454" i="1"/>
  <c r="R3454" i="1"/>
  <c r="J9839" i="1"/>
  <c r="Q9839" i="1"/>
  <c r="R9839" i="1"/>
  <c r="J9840" i="1"/>
  <c r="Q9840" i="1"/>
  <c r="R9840" i="1"/>
  <c r="J9841" i="1"/>
  <c r="Q9841" i="1"/>
  <c r="R9841" i="1"/>
  <c r="J9842" i="1"/>
  <c r="Q9842" i="1"/>
  <c r="R9842" i="1"/>
  <c r="J3455" i="1"/>
  <c r="Q3455" i="1"/>
  <c r="R3455" i="1"/>
  <c r="J3456" i="1"/>
  <c r="Q3456" i="1"/>
  <c r="R3456" i="1"/>
  <c r="J3457" i="1"/>
  <c r="Q3457" i="1"/>
  <c r="R3457" i="1"/>
  <c r="J9843" i="1"/>
  <c r="Q9843" i="1"/>
  <c r="R9843" i="1"/>
  <c r="J9844" i="1"/>
  <c r="Q9844" i="1"/>
  <c r="R9844" i="1"/>
  <c r="J3458" i="1"/>
  <c r="Q3458" i="1"/>
  <c r="R3458" i="1"/>
  <c r="J3459" i="1"/>
  <c r="Q3459" i="1"/>
  <c r="R3459" i="1"/>
  <c r="J3460" i="1"/>
  <c r="Q3460" i="1"/>
  <c r="R3460" i="1"/>
  <c r="J3461" i="1"/>
  <c r="Q3461" i="1"/>
  <c r="R3461" i="1"/>
  <c r="J9845" i="1"/>
  <c r="Q9845" i="1"/>
  <c r="R9845" i="1"/>
  <c r="J3462" i="1"/>
  <c r="Q3462" i="1"/>
  <c r="R3462" i="1"/>
  <c r="J3463" i="1"/>
  <c r="Q3463" i="1"/>
  <c r="R3463" i="1"/>
  <c r="J9846" i="1"/>
  <c r="Q9846" i="1"/>
  <c r="R9846" i="1"/>
  <c r="J9847" i="1"/>
  <c r="Q9847" i="1"/>
  <c r="R9847" i="1"/>
  <c r="J9848" i="1"/>
  <c r="Q9848" i="1"/>
  <c r="R9848" i="1"/>
  <c r="J9849" i="1"/>
  <c r="Q9849" i="1"/>
  <c r="R9849" i="1"/>
  <c r="J3464" i="1"/>
  <c r="Q3464" i="1"/>
  <c r="R3464" i="1"/>
  <c r="J3465" i="1"/>
  <c r="Q3465" i="1"/>
  <c r="R3465" i="1"/>
  <c r="J9850" i="1"/>
  <c r="Q9850" i="1"/>
  <c r="R9850" i="1"/>
  <c r="J9851" i="1"/>
  <c r="Q9851" i="1"/>
  <c r="R9851" i="1"/>
  <c r="J3466" i="1"/>
  <c r="Q3466" i="1"/>
  <c r="R3466" i="1"/>
  <c r="J3467" i="1"/>
  <c r="Q3467" i="1"/>
  <c r="R3467" i="1"/>
  <c r="J9852" i="1"/>
  <c r="Q9852" i="1"/>
  <c r="R9852" i="1"/>
  <c r="J3468" i="1"/>
  <c r="Q3468" i="1"/>
  <c r="R3468" i="1"/>
  <c r="J9853" i="1"/>
  <c r="Q9853" i="1"/>
  <c r="R9853" i="1"/>
  <c r="J9854" i="1"/>
  <c r="Q9854" i="1"/>
  <c r="R9854" i="1"/>
  <c r="J9855" i="1"/>
  <c r="Q9855" i="1"/>
  <c r="R9855" i="1"/>
  <c r="J9856" i="1"/>
  <c r="Q9856" i="1"/>
  <c r="R9856" i="1"/>
  <c r="J9857" i="1"/>
  <c r="Q9857" i="1"/>
  <c r="R9857" i="1"/>
  <c r="J9858" i="1"/>
  <c r="Q9858" i="1"/>
  <c r="R9858" i="1"/>
  <c r="J9859" i="1"/>
  <c r="Q9859" i="1"/>
  <c r="R9859" i="1"/>
  <c r="J9860" i="1"/>
  <c r="Q9860" i="1"/>
  <c r="R9860" i="1"/>
  <c r="J9861" i="1"/>
  <c r="Q9861" i="1"/>
  <c r="R9861" i="1"/>
  <c r="J9862" i="1"/>
  <c r="Q9862" i="1"/>
  <c r="R9862" i="1"/>
  <c r="J9863" i="1"/>
  <c r="Q9863" i="1"/>
  <c r="R9863" i="1"/>
  <c r="J9864" i="1"/>
  <c r="Q9864" i="1"/>
  <c r="R9864" i="1"/>
  <c r="J9865" i="1"/>
  <c r="Q9865" i="1"/>
  <c r="R9865" i="1"/>
  <c r="J9866" i="1"/>
  <c r="Q9866" i="1"/>
  <c r="R9866" i="1"/>
  <c r="J3469" i="1"/>
  <c r="Q3469" i="1"/>
  <c r="R3469" i="1"/>
  <c r="J3470" i="1"/>
  <c r="Q3470" i="1"/>
  <c r="R3470" i="1"/>
  <c r="J3471" i="1"/>
  <c r="Q3471" i="1"/>
  <c r="R3471" i="1"/>
  <c r="J3472" i="1"/>
  <c r="Q3472" i="1"/>
  <c r="R3472" i="1"/>
  <c r="J3473" i="1"/>
  <c r="Q3473" i="1"/>
  <c r="R3473" i="1"/>
  <c r="J9867" i="1"/>
  <c r="Q9867" i="1"/>
  <c r="R9867" i="1"/>
  <c r="J3474" i="1"/>
  <c r="Q3474" i="1"/>
  <c r="R3474" i="1"/>
  <c r="J9868" i="1"/>
  <c r="Q9868" i="1"/>
  <c r="R9868" i="1"/>
  <c r="J3475" i="1"/>
  <c r="Q3475" i="1"/>
  <c r="R3475" i="1"/>
  <c r="J9869" i="1"/>
  <c r="Q9869" i="1"/>
  <c r="R9869" i="1"/>
  <c r="J3476" i="1"/>
  <c r="Q3476" i="1"/>
  <c r="R3476" i="1"/>
  <c r="J3477" i="1"/>
  <c r="Q3477" i="1"/>
  <c r="R3477" i="1"/>
  <c r="J3478" i="1"/>
  <c r="Q3478" i="1"/>
  <c r="R3478" i="1"/>
  <c r="J3479" i="1"/>
  <c r="Q3479" i="1"/>
  <c r="R3479" i="1"/>
  <c r="J9870" i="1"/>
  <c r="Q9870" i="1"/>
  <c r="R9870" i="1"/>
  <c r="J9871" i="1"/>
  <c r="Q9871" i="1"/>
  <c r="R9871" i="1"/>
  <c r="J9872" i="1"/>
  <c r="Q9872" i="1"/>
  <c r="R9872" i="1"/>
  <c r="J9873" i="1"/>
  <c r="Q9873" i="1"/>
  <c r="R9873" i="1"/>
  <c r="J9874" i="1"/>
  <c r="Q9874" i="1"/>
  <c r="R9874" i="1"/>
  <c r="J9875" i="1"/>
  <c r="Q9875" i="1"/>
  <c r="R9875" i="1"/>
  <c r="J9876" i="1"/>
  <c r="Q9876" i="1"/>
  <c r="R9876" i="1"/>
  <c r="J9877" i="1"/>
  <c r="Q9877" i="1"/>
  <c r="R9877" i="1"/>
  <c r="J9878" i="1"/>
  <c r="Q9878" i="1"/>
  <c r="R9878" i="1"/>
  <c r="J9879" i="1"/>
  <c r="Q9879" i="1"/>
  <c r="R9879" i="1"/>
  <c r="J9880" i="1"/>
  <c r="Q9880" i="1"/>
  <c r="R9880" i="1"/>
  <c r="J3480" i="1"/>
  <c r="Q3480" i="1"/>
  <c r="R3480" i="1"/>
  <c r="J9881" i="1"/>
  <c r="Q9881" i="1"/>
  <c r="R9881" i="1"/>
  <c r="J3481" i="1"/>
  <c r="Q3481" i="1"/>
  <c r="R3481" i="1"/>
  <c r="J3482" i="1"/>
  <c r="Q3482" i="1"/>
  <c r="R3482" i="1"/>
  <c r="J3483" i="1"/>
  <c r="Q3483" i="1"/>
  <c r="R3483" i="1"/>
  <c r="J3484" i="1"/>
  <c r="Q3484" i="1"/>
  <c r="R3484" i="1"/>
  <c r="J3485" i="1"/>
  <c r="Q3485" i="1"/>
  <c r="R3485" i="1"/>
  <c r="J9882" i="1"/>
  <c r="Q9882" i="1"/>
  <c r="R9882" i="1"/>
  <c r="J9883" i="1"/>
  <c r="Q9883" i="1"/>
  <c r="R9883" i="1"/>
  <c r="J3486" i="1"/>
  <c r="Q3486" i="1"/>
  <c r="R3486" i="1"/>
  <c r="J9884" i="1"/>
  <c r="Q9884" i="1"/>
  <c r="R9884" i="1"/>
  <c r="J3487" i="1"/>
  <c r="Q3487" i="1"/>
  <c r="R3487" i="1"/>
  <c r="J3488" i="1"/>
  <c r="Q3488" i="1"/>
  <c r="R3488" i="1"/>
  <c r="J3489" i="1"/>
  <c r="Q3489" i="1"/>
  <c r="R3489" i="1"/>
  <c r="J3490" i="1"/>
  <c r="Q3490" i="1"/>
  <c r="R3490" i="1"/>
  <c r="J9885" i="1"/>
  <c r="Q9885" i="1"/>
  <c r="R9885" i="1"/>
  <c r="J9886" i="1"/>
  <c r="Q9886" i="1"/>
  <c r="R9886" i="1"/>
  <c r="J3491" i="1"/>
  <c r="Q3491" i="1"/>
  <c r="R3491" i="1"/>
  <c r="J3492" i="1"/>
  <c r="Q3492" i="1"/>
  <c r="R3492" i="1"/>
  <c r="J3493" i="1"/>
  <c r="Q3493" i="1"/>
  <c r="R3493" i="1"/>
  <c r="J3494" i="1"/>
  <c r="Q3494" i="1"/>
  <c r="R3494" i="1"/>
  <c r="J3495" i="1"/>
  <c r="Q3495" i="1"/>
  <c r="R3495" i="1"/>
  <c r="J3496" i="1"/>
  <c r="Q3496" i="1"/>
  <c r="R3496" i="1"/>
  <c r="J3497" i="1"/>
  <c r="Q3497" i="1"/>
  <c r="R3497" i="1"/>
  <c r="J3498" i="1"/>
  <c r="Q3498" i="1"/>
  <c r="R3498" i="1"/>
  <c r="J3499" i="1"/>
  <c r="Q3499" i="1"/>
  <c r="R3499" i="1"/>
  <c r="J3500" i="1"/>
  <c r="Q3500" i="1"/>
  <c r="R3500" i="1"/>
  <c r="J3501" i="1"/>
  <c r="Q3501" i="1"/>
  <c r="R3501" i="1"/>
  <c r="J3502" i="1"/>
  <c r="Q3502" i="1"/>
  <c r="R3502" i="1"/>
  <c r="J9887" i="1"/>
  <c r="Q9887" i="1"/>
  <c r="R9887" i="1"/>
  <c r="J9888" i="1"/>
  <c r="Q9888" i="1"/>
  <c r="R9888" i="1"/>
  <c r="J3503" i="1"/>
  <c r="Q3503" i="1"/>
  <c r="R3503" i="1"/>
  <c r="J3504" i="1"/>
  <c r="Q3504" i="1"/>
  <c r="R3504" i="1"/>
  <c r="J9889" i="1"/>
  <c r="Q9889" i="1"/>
  <c r="R9889" i="1"/>
  <c r="J3505" i="1"/>
  <c r="Q3505" i="1"/>
  <c r="R3505" i="1"/>
  <c r="J3506" i="1"/>
  <c r="Q3506" i="1"/>
  <c r="R3506" i="1"/>
  <c r="J9890" i="1"/>
  <c r="Q9890" i="1"/>
  <c r="R9890" i="1"/>
  <c r="J9891" i="1"/>
  <c r="Q9891" i="1"/>
  <c r="R9891" i="1"/>
  <c r="J3507" i="1"/>
  <c r="Q3507" i="1"/>
  <c r="R3507" i="1"/>
  <c r="J3508" i="1"/>
  <c r="Q3508" i="1"/>
  <c r="R3508" i="1"/>
  <c r="J3509" i="1"/>
  <c r="Q3509" i="1"/>
  <c r="R3509" i="1"/>
  <c r="J3510" i="1"/>
  <c r="Q3510" i="1"/>
  <c r="R3510" i="1"/>
  <c r="J3511" i="1"/>
  <c r="Q3511" i="1"/>
  <c r="R3511" i="1"/>
  <c r="J3512" i="1"/>
  <c r="Q3512" i="1"/>
  <c r="R3512" i="1"/>
  <c r="J3513" i="1"/>
  <c r="Q3513" i="1"/>
  <c r="R3513" i="1"/>
  <c r="J3514" i="1"/>
  <c r="Q3514" i="1"/>
  <c r="R3514" i="1"/>
  <c r="J3515" i="1"/>
  <c r="Q3515" i="1"/>
  <c r="R3515" i="1"/>
  <c r="J3516" i="1"/>
  <c r="Q3516" i="1"/>
  <c r="R3516" i="1"/>
  <c r="J9892" i="1"/>
  <c r="Q9892" i="1"/>
  <c r="R9892" i="1"/>
  <c r="J9893" i="1"/>
  <c r="Q9893" i="1"/>
  <c r="R9893" i="1"/>
  <c r="J3517" i="1"/>
  <c r="Q3517" i="1"/>
  <c r="R3517" i="1"/>
  <c r="J3518" i="1"/>
  <c r="Q3518" i="1"/>
  <c r="R3518" i="1"/>
  <c r="J3519" i="1"/>
  <c r="Q3519" i="1"/>
  <c r="R3519" i="1"/>
  <c r="J3520" i="1"/>
  <c r="Q3520" i="1"/>
  <c r="R3520" i="1"/>
  <c r="J3521" i="1"/>
  <c r="Q3521" i="1"/>
  <c r="R3521" i="1"/>
  <c r="J3522" i="1"/>
  <c r="Q3522" i="1"/>
  <c r="R3522" i="1"/>
  <c r="J9894" i="1"/>
  <c r="Q9894" i="1"/>
  <c r="R9894" i="1"/>
  <c r="J3523" i="1"/>
  <c r="Q3523" i="1"/>
  <c r="R3523" i="1"/>
  <c r="J3524" i="1"/>
  <c r="Q3524" i="1"/>
  <c r="R3524" i="1"/>
  <c r="J3525" i="1"/>
  <c r="Q3525" i="1"/>
  <c r="R3525" i="1"/>
  <c r="J9895" i="1"/>
  <c r="Q9895" i="1"/>
  <c r="R9895" i="1"/>
  <c r="J3526" i="1"/>
  <c r="Q3526" i="1"/>
  <c r="R3526" i="1"/>
  <c r="J9896" i="1"/>
  <c r="Q9896" i="1"/>
  <c r="R9896" i="1"/>
  <c r="J9897" i="1"/>
  <c r="Q9897" i="1"/>
  <c r="R9897" i="1"/>
  <c r="J3527" i="1"/>
  <c r="Q3527" i="1"/>
  <c r="R3527" i="1"/>
  <c r="J9898" i="1"/>
  <c r="Q9898" i="1"/>
  <c r="R9898" i="1"/>
  <c r="J9899" i="1"/>
  <c r="Q9899" i="1"/>
  <c r="R9899" i="1"/>
  <c r="J3528" i="1"/>
  <c r="Q3528" i="1"/>
  <c r="R3528" i="1"/>
  <c r="J3529" i="1"/>
  <c r="Q3529" i="1"/>
  <c r="R3529" i="1"/>
  <c r="J3530" i="1"/>
  <c r="Q3530" i="1"/>
  <c r="R3530" i="1"/>
  <c r="J9900" i="1"/>
  <c r="Q9900" i="1"/>
  <c r="R9900" i="1"/>
  <c r="J9901" i="1"/>
  <c r="Q9901" i="1"/>
  <c r="R9901" i="1"/>
  <c r="J3531" i="1"/>
  <c r="Q3531" i="1"/>
  <c r="R3531" i="1"/>
  <c r="J9902" i="1"/>
  <c r="Q9902" i="1"/>
  <c r="R9902" i="1"/>
  <c r="J9903" i="1"/>
  <c r="Q9903" i="1"/>
  <c r="R9903" i="1"/>
  <c r="J3532" i="1"/>
  <c r="Q3532" i="1"/>
  <c r="R3532" i="1"/>
  <c r="J3533" i="1"/>
  <c r="Q3533" i="1"/>
  <c r="R3533" i="1"/>
  <c r="J9904" i="1"/>
  <c r="Q9904" i="1"/>
  <c r="R9904" i="1"/>
  <c r="J3534" i="1"/>
  <c r="Q3534" i="1"/>
  <c r="R3534" i="1"/>
  <c r="J9905" i="1"/>
  <c r="Q9905" i="1"/>
  <c r="R9905" i="1"/>
  <c r="J3535" i="1"/>
  <c r="Q3535" i="1"/>
  <c r="R3535" i="1"/>
  <c r="J9906" i="1"/>
  <c r="Q9906" i="1"/>
  <c r="R9906" i="1"/>
  <c r="J9907" i="1"/>
  <c r="Q9907" i="1"/>
  <c r="R9907" i="1"/>
  <c r="J9908" i="1"/>
  <c r="Q9908" i="1"/>
  <c r="R9908" i="1"/>
  <c r="J9909" i="1"/>
  <c r="Q9909" i="1"/>
  <c r="R9909" i="1"/>
  <c r="J9910" i="1"/>
  <c r="Q9910" i="1"/>
  <c r="R9910" i="1"/>
  <c r="J9911" i="1"/>
  <c r="Q9911" i="1"/>
  <c r="R9911" i="1"/>
  <c r="J9912" i="1"/>
  <c r="Q9912" i="1"/>
  <c r="R9912" i="1"/>
  <c r="J9913" i="1"/>
  <c r="Q9913" i="1"/>
  <c r="R9913" i="1"/>
  <c r="J9914" i="1"/>
  <c r="Q9914" i="1"/>
  <c r="R9914" i="1"/>
  <c r="J9915" i="1"/>
  <c r="Q9915" i="1"/>
  <c r="R9915" i="1"/>
  <c r="J9916" i="1"/>
  <c r="Q9916" i="1"/>
  <c r="R9916" i="1"/>
  <c r="J3536" i="1"/>
  <c r="Q3536" i="1"/>
  <c r="R3536" i="1"/>
  <c r="J9917" i="1"/>
  <c r="Q9917" i="1"/>
  <c r="R9917" i="1"/>
  <c r="J3537" i="1"/>
  <c r="Q3537" i="1"/>
  <c r="R3537" i="1"/>
  <c r="J3538" i="1"/>
  <c r="Q3538" i="1"/>
  <c r="R3538" i="1"/>
  <c r="J3539" i="1"/>
  <c r="Q3539" i="1"/>
  <c r="R3539" i="1"/>
  <c r="J3540" i="1"/>
  <c r="Q3540" i="1"/>
  <c r="R3540" i="1"/>
  <c r="J3541" i="1"/>
  <c r="Q3541" i="1"/>
  <c r="R3541" i="1"/>
  <c r="J3542" i="1"/>
  <c r="Q3542" i="1"/>
  <c r="R3542" i="1"/>
  <c r="J3543" i="1"/>
  <c r="Q3543" i="1"/>
  <c r="R3543" i="1"/>
  <c r="J9918" i="1"/>
  <c r="Q9918" i="1"/>
  <c r="R9918" i="1"/>
  <c r="J3544" i="1"/>
  <c r="Q3544" i="1"/>
  <c r="R3544" i="1"/>
  <c r="J3545" i="1"/>
  <c r="Q3545" i="1"/>
  <c r="R3545" i="1"/>
  <c r="J3546" i="1"/>
  <c r="Q3546" i="1"/>
  <c r="R3546" i="1"/>
  <c r="J9919" i="1"/>
  <c r="Q9919" i="1"/>
  <c r="R9919" i="1"/>
  <c r="J3547" i="1"/>
  <c r="Q3547" i="1"/>
  <c r="R3547" i="1"/>
  <c r="J3548" i="1"/>
  <c r="Q3548" i="1"/>
  <c r="R3548" i="1"/>
  <c r="J3549" i="1"/>
  <c r="Q3549" i="1"/>
  <c r="R3549" i="1"/>
  <c r="J9920" i="1"/>
  <c r="Q9920" i="1"/>
  <c r="R9920" i="1"/>
  <c r="J3550" i="1"/>
  <c r="Q3550" i="1"/>
  <c r="R3550" i="1"/>
  <c r="J3551" i="1"/>
  <c r="Q3551" i="1"/>
  <c r="R3551" i="1"/>
  <c r="J9921" i="1"/>
  <c r="Q9921" i="1"/>
  <c r="R9921" i="1"/>
  <c r="J3552" i="1"/>
  <c r="Q3552" i="1"/>
  <c r="R3552" i="1"/>
  <c r="J3553" i="1"/>
  <c r="Q3553" i="1"/>
  <c r="R3553" i="1"/>
  <c r="J3554" i="1"/>
  <c r="Q3554" i="1"/>
  <c r="R3554" i="1"/>
  <c r="J3555" i="1"/>
  <c r="Q3555" i="1"/>
  <c r="R3555" i="1"/>
  <c r="J9922" i="1"/>
  <c r="Q9922" i="1"/>
  <c r="R9922" i="1"/>
  <c r="J3556" i="1"/>
  <c r="Q3556" i="1"/>
  <c r="R3556" i="1"/>
  <c r="J3557" i="1"/>
  <c r="Q3557" i="1"/>
  <c r="R3557" i="1"/>
  <c r="J3558" i="1"/>
  <c r="Q3558" i="1"/>
  <c r="R3558" i="1"/>
  <c r="J9923" i="1"/>
  <c r="Q9923" i="1"/>
  <c r="R9923" i="1"/>
  <c r="J3559" i="1"/>
  <c r="Q3559" i="1"/>
  <c r="R3559" i="1"/>
  <c r="J3560" i="1"/>
  <c r="Q3560" i="1"/>
  <c r="R3560" i="1"/>
  <c r="J9924" i="1"/>
  <c r="Q9924" i="1"/>
  <c r="R9924" i="1"/>
  <c r="J3561" i="1"/>
  <c r="Q3561" i="1"/>
  <c r="R3561" i="1"/>
  <c r="J3562" i="1"/>
  <c r="Q3562" i="1"/>
  <c r="R3562" i="1"/>
  <c r="J3563" i="1"/>
  <c r="Q3563" i="1"/>
  <c r="R3563" i="1"/>
  <c r="J3564" i="1"/>
  <c r="Q3564" i="1"/>
  <c r="R3564" i="1"/>
  <c r="J3565" i="1"/>
  <c r="Q3565" i="1"/>
  <c r="R3565" i="1"/>
  <c r="J9925" i="1"/>
  <c r="Q9925" i="1"/>
  <c r="R9925" i="1"/>
  <c r="J3566" i="1"/>
  <c r="Q3566" i="1"/>
  <c r="R3566" i="1"/>
  <c r="J9926" i="1"/>
  <c r="Q9926" i="1"/>
  <c r="R9926" i="1"/>
  <c r="J9927" i="1"/>
  <c r="Q9927" i="1"/>
  <c r="R9927" i="1"/>
  <c r="J9928" i="1"/>
  <c r="Q9928" i="1"/>
  <c r="R9928" i="1"/>
  <c r="J3567" i="1"/>
  <c r="Q3567" i="1"/>
  <c r="R3567" i="1"/>
  <c r="J3568" i="1"/>
  <c r="Q3568" i="1"/>
  <c r="R3568" i="1"/>
  <c r="J3569" i="1"/>
  <c r="Q3569" i="1"/>
  <c r="R3569" i="1"/>
  <c r="J9929" i="1"/>
  <c r="Q9929" i="1"/>
  <c r="R9929" i="1"/>
  <c r="J9930" i="1"/>
  <c r="Q9930" i="1"/>
  <c r="R9930" i="1"/>
  <c r="J3570" i="1"/>
  <c r="Q3570" i="1"/>
  <c r="R3570" i="1"/>
  <c r="J3571" i="1"/>
  <c r="Q3571" i="1"/>
  <c r="R3571" i="1"/>
  <c r="J3572" i="1"/>
  <c r="Q3572" i="1"/>
  <c r="R3572" i="1"/>
  <c r="J3573" i="1"/>
  <c r="Q3573" i="1"/>
  <c r="R3573" i="1"/>
  <c r="J9931" i="1"/>
  <c r="Q9931" i="1"/>
  <c r="R9931" i="1"/>
  <c r="J3574" i="1"/>
  <c r="Q3574" i="1"/>
  <c r="R3574" i="1"/>
  <c r="J3575" i="1"/>
  <c r="Q3575" i="1"/>
  <c r="R3575" i="1"/>
  <c r="J9932" i="1"/>
  <c r="Q9932" i="1"/>
  <c r="R9932" i="1"/>
  <c r="J9933" i="1"/>
  <c r="Q9933" i="1"/>
  <c r="R9933" i="1"/>
  <c r="J9934" i="1"/>
  <c r="Q9934" i="1"/>
  <c r="R9934" i="1"/>
  <c r="J3576" i="1"/>
  <c r="Q3576" i="1"/>
  <c r="R3576" i="1"/>
  <c r="J9935" i="1"/>
  <c r="Q9935" i="1"/>
  <c r="R9935" i="1"/>
  <c r="J9936" i="1"/>
  <c r="Q9936" i="1"/>
  <c r="R9936" i="1"/>
  <c r="J9937" i="1"/>
  <c r="Q9937" i="1"/>
  <c r="R9937" i="1"/>
  <c r="J3577" i="1"/>
  <c r="Q3577" i="1"/>
  <c r="R3577" i="1"/>
  <c r="J3578" i="1"/>
  <c r="Q3578" i="1"/>
  <c r="R3578" i="1"/>
  <c r="J9938" i="1"/>
  <c r="Q9938" i="1"/>
  <c r="R9938" i="1"/>
  <c r="J9939" i="1"/>
  <c r="Q9939" i="1"/>
  <c r="R9939" i="1"/>
  <c r="J9940" i="1"/>
  <c r="Q9940" i="1"/>
  <c r="R9940" i="1"/>
  <c r="J3579" i="1"/>
  <c r="Q3579" i="1"/>
  <c r="R3579" i="1"/>
  <c r="J3580" i="1"/>
  <c r="Q3580" i="1"/>
  <c r="R3580" i="1"/>
  <c r="J9941" i="1"/>
  <c r="Q9941" i="1"/>
  <c r="R9941" i="1"/>
  <c r="J9942" i="1"/>
  <c r="Q9942" i="1"/>
  <c r="R9942" i="1"/>
  <c r="J9943" i="1"/>
  <c r="Q9943" i="1"/>
  <c r="R9943" i="1"/>
  <c r="J9944" i="1"/>
  <c r="Q9944" i="1"/>
  <c r="R9944" i="1"/>
  <c r="J9945" i="1"/>
  <c r="Q9945" i="1"/>
  <c r="R9945" i="1"/>
  <c r="J9946" i="1"/>
  <c r="Q9946" i="1"/>
  <c r="R9946" i="1"/>
  <c r="J9947" i="1"/>
  <c r="Q9947" i="1"/>
  <c r="R9947" i="1"/>
  <c r="J9948" i="1"/>
  <c r="Q9948" i="1"/>
  <c r="R9948" i="1"/>
  <c r="J3581" i="1"/>
  <c r="Q3581" i="1"/>
  <c r="R3581" i="1"/>
  <c r="J9949" i="1"/>
  <c r="Q9949" i="1"/>
  <c r="R9949" i="1"/>
  <c r="J9950" i="1"/>
  <c r="Q9950" i="1"/>
  <c r="R9950" i="1"/>
  <c r="J9951" i="1"/>
  <c r="Q9951" i="1"/>
  <c r="R9951" i="1"/>
  <c r="J9952" i="1"/>
  <c r="Q9952" i="1"/>
  <c r="R9952" i="1"/>
  <c r="J9953" i="1"/>
  <c r="Q9953" i="1"/>
  <c r="R9953" i="1"/>
  <c r="J3582" i="1"/>
  <c r="Q3582" i="1"/>
  <c r="R3582" i="1"/>
  <c r="J9954" i="1"/>
  <c r="Q9954" i="1"/>
  <c r="R9954" i="1"/>
  <c r="J9955" i="1"/>
  <c r="Q9955" i="1"/>
  <c r="R9955" i="1"/>
  <c r="J9956" i="1"/>
  <c r="Q9956" i="1"/>
  <c r="R9956" i="1"/>
  <c r="J3583" i="1"/>
  <c r="Q3583" i="1"/>
  <c r="R3583" i="1"/>
  <c r="J3584" i="1"/>
  <c r="Q3584" i="1"/>
  <c r="R3584" i="1"/>
  <c r="J9957" i="1"/>
  <c r="Q9957" i="1"/>
  <c r="R9957" i="1"/>
  <c r="J3585" i="1"/>
  <c r="Q3585" i="1"/>
  <c r="R3585" i="1"/>
  <c r="J9958" i="1"/>
  <c r="Q9958" i="1"/>
  <c r="R9958" i="1"/>
  <c r="J3586" i="1"/>
  <c r="Q3586" i="1"/>
  <c r="R3586" i="1"/>
  <c r="J3587" i="1"/>
  <c r="Q3587" i="1"/>
  <c r="R3587" i="1"/>
  <c r="J3588" i="1"/>
  <c r="Q3588" i="1"/>
  <c r="R3588" i="1"/>
  <c r="J9959" i="1"/>
  <c r="Q9959" i="1"/>
  <c r="R9959" i="1"/>
  <c r="J9960" i="1"/>
  <c r="Q9960" i="1"/>
  <c r="R9960" i="1"/>
  <c r="J9961" i="1"/>
  <c r="Q9961" i="1"/>
  <c r="R9961" i="1"/>
  <c r="J3589" i="1"/>
  <c r="Q3589" i="1"/>
  <c r="R3589" i="1"/>
  <c r="J9962" i="1"/>
  <c r="Q9962" i="1"/>
  <c r="R9962" i="1"/>
  <c r="J9963" i="1"/>
  <c r="Q9963" i="1"/>
  <c r="R9963" i="1"/>
  <c r="J3590" i="1"/>
  <c r="Q3590" i="1"/>
  <c r="R3590" i="1"/>
  <c r="J3591" i="1"/>
  <c r="Q3591" i="1"/>
  <c r="R3591" i="1"/>
  <c r="J3592" i="1"/>
  <c r="Q3592" i="1"/>
  <c r="R3592" i="1"/>
  <c r="J3593" i="1"/>
  <c r="Q3593" i="1"/>
  <c r="R3593" i="1"/>
  <c r="J9964" i="1"/>
  <c r="Q9964" i="1"/>
  <c r="R9964" i="1"/>
  <c r="J9965" i="1"/>
  <c r="Q9965" i="1"/>
  <c r="R9965" i="1"/>
  <c r="J9966" i="1"/>
  <c r="Q9966" i="1"/>
  <c r="R9966" i="1"/>
  <c r="J9967" i="1"/>
  <c r="Q9967" i="1"/>
  <c r="R9967" i="1"/>
  <c r="J9968" i="1"/>
  <c r="Q9968" i="1"/>
  <c r="R9968" i="1"/>
  <c r="J9969" i="1"/>
  <c r="Q9969" i="1"/>
  <c r="R9969" i="1"/>
  <c r="J9970" i="1"/>
  <c r="Q9970" i="1"/>
  <c r="R9970" i="1"/>
  <c r="J9971" i="1"/>
  <c r="Q9971" i="1"/>
  <c r="R9971" i="1"/>
  <c r="J3594" i="1"/>
  <c r="Q3594" i="1"/>
  <c r="R3594" i="1"/>
  <c r="J9972" i="1"/>
  <c r="Q9972" i="1"/>
  <c r="R9972" i="1"/>
  <c r="J9973" i="1"/>
  <c r="Q9973" i="1"/>
  <c r="R9973" i="1"/>
  <c r="J3595" i="1"/>
  <c r="Q3595" i="1"/>
  <c r="R3595" i="1"/>
  <c r="J9974" i="1"/>
  <c r="Q9974" i="1"/>
  <c r="R9974" i="1"/>
  <c r="J3596" i="1"/>
  <c r="Q3596" i="1"/>
  <c r="R3596" i="1"/>
  <c r="J3597" i="1"/>
  <c r="Q3597" i="1"/>
  <c r="R3597" i="1"/>
  <c r="J9975" i="1"/>
  <c r="Q9975" i="1"/>
  <c r="R9975" i="1"/>
  <c r="J3598" i="1"/>
  <c r="Q3598" i="1"/>
  <c r="R3598" i="1"/>
  <c r="J9976" i="1"/>
  <c r="Q9976" i="1"/>
  <c r="R9976" i="1"/>
  <c r="J9977" i="1"/>
  <c r="Q9977" i="1"/>
  <c r="R9977" i="1"/>
  <c r="J9978" i="1"/>
  <c r="Q9978" i="1"/>
  <c r="R9978" i="1"/>
  <c r="J9979" i="1"/>
  <c r="Q9979" i="1"/>
  <c r="R9979" i="1"/>
  <c r="J3599" i="1"/>
  <c r="Q3599" i="1"/>
  <c r="R3599" i="1"/>
  <c r="J3600" i="1"/>
  <c r="Q3600" i="1"/>
  <c r="R3600" i="1"/>
  <c r="J3601" i="1"/>
  <c r="Q3601" i="1"/>
  <c r="R3601" i="1"/>
  <c r="J9980" i="1"/>
  <c r="Q9980" i="1"/>
  <c r="R9980" i="1"/>
  <c r="J9981" i="1"/>
  <c r="Q9981" i="1"/>
  <c r="R9981" i="1"/>
  <c r="J9982" i="1"/>
  <c r="Q9982" i="1"/>
  <c r="R9982" i="1"/>
  <c r="J9983" i="1"/>
  <c r="Q9983" i="1"/>
  <c r="R9983" i="1"/>
  <c r="J9984" i="1"/>
  <c r="Q9984" i="1"/>
  <c r="R9984" i="1"/>
  <c r="J9985" i="1"/>
  <c r="Q9985" i="1"/>
  <c r="R9985" i="1"/>
  <c r="J9986" i="1"/>
  <c r="Q9986" i="1"/>
  <c r="R9986" i="1"/>
  <c r="J9987" i="1"/>
  <c r="Q9987" i="1"/>
  <c r="R9987" i="1"/>
  <c r="J9988" i="1"/>
  <c r="Q9988" i="1"/>
  <c r="R9988" i="1"/>
  <c r="J9989" i="1"/>
  <c r="Q9989" i="1"/>
  <c r="R9989" i="1"/>
  <c r="J9990" i="1"/>
  <c r="Q9990" i="1"/>
  <c r="R9990" i="1"/>
  <c r="J9991" i="1"/>
  <c r="Q9991" i="1"/>
  <c r="R9991" i="1"/>
  <c r="J9992" i="1"/>
  <c r="Q9992" i="1"/>
  <c r="R9992" i="1"/>
  <c r="J9993" i="1"/>
  <c r="Q9993" i="1"/>
  <c r="R9993" i="1"/>
  <c r="J9994" i="1"/>
  <c r="Q9994" i="1"/>
  <c r="R9994" i="1"/>
  <c r="J9995" i="1"/>
  <c r="Q9995" i="1"/>
  <c r="R9995" i="1"/>
  <c r="J3602" i="1"/>
  <c r="Q3602" i="1"/>
  <c r="R3602" i="1"/>
  <c r="J9996" i="1"/>
  <c r="Q9996" i="1"/>
  <c r="R9996" i="1"/>
  <c r="J9997" i="1"/>
  <c r="Q9997" i="1"/>
  <c r="R9997" i="1"/>
  <c r="J3603" i="1"/>
  <c r="Q3603" i="1"/>
  <c r="R3603" i="1"/>
  <c r="J9998" i="1"/>
  <c r="Q9998" i="1"/>
  <c r="R9998" i="1"/>
  <c r="J9999" i="1"/>
  <c r="Q9999" i="1"/>
  <c r="R9999" i="1"/>
  <c r="J10000" i="1"/>
  <c r="Q10000" i="1"/>
  <c r="R10000" i="1"/>
  <c r="J10001" i="1"/>
  <c r="Q10001" i="1"/>
  <c r="R10001" i="1"/>
  <c r="J10002" i="1"/>
  <c r="Q10002" i="1"/>
  <c r="R10002" i="1"/>
  <c r="J10003" i="1"/>
  <c r="Q10003" i="1"/>
  <c r="R10003" i="1"/>
  <c r="J10004" i="1"/>
  <c r="Q10004" i="1"/>
  <c r="R10004" i="1"/>
  <c r="J10005" i="1"/>
  <c r="Q10005" i="1"/>
  <c r="R10005" i="1"/>
  <c r="J10006" i="1"/>
  <c r="Q10006" i="1"/>
  <c r="R10006" i="1"/>
  <c r="J10007" i="1"/>
  <c r="Q10007" i="1"/>
  <c r="R10007" i="1"/>
  <c r="J10008" i="1"/>
  <c r="Q10008" i="1"/>
  <c r="R10008" i="1"/>
  <c r="J10009" i="1"/>
  <c r="Q10009" i="1"/>
  <c r="R10009" i="1"/>
  <c r="J10010" i="1"/>
  <c r="Q10010" i="1"/>
  <c r="R10010" i="1"/>
  <c r="J10011" i="1"/>
  <c r="Q10011" i="1"/>
  <c r="R10011" i="1"/>
  <c r="J10012" i="1"/>
  <c r="Q10012" i="1"/>
  <c r="R10012" i="1"/>
  <c r="J10013" i="1"/>
  <c r="Q10013" i="1"/>
  <c r="R10013" i="1"/>
  <c r="J10014" i="1"/>
  <c r="Q10014" i="1"/>
  <c r="R10014" i="1"/>
  <c r="J10015" i="1"/>
  <c r="Q10015" i="1"/>
  <c r="R10015" i="1"/>
  <c r="J10016" i="1"/>
  <c r="Q10016" i="1"/>
  <c r="R10016" i="1"/>
  <c r="J3604" i="1"/>
  <c r="Q3604" i="1"/>
  <c r="R3604" i="1"/>
  <c r="J10017" i="1"/>
  <c r="Q10017" i="1"/>
  <c r="R10017" i="1"/>
  <c r="J10018" i="1"/>
  <c r="Q10018" i="1"/>
  <c r="R10018" i="1"/>
  <c r="J10019" i="1"/>
  <c r="Q10019" i="1"/>
  <c r="R10019" i="1"/>
  <c r="J10020" i="1"/>
  <c r="Q10020" i="1"/>
  <c r="R10020" i="1"/>
  <c r="J3605" i="1"/>
  <c r="Q3605" i="1"/>
  <c r="R3605" i="1"/>
  <c r="J10021" i="1"/>
  <c r="Q10021" i="1"/>
  <c r="R10021" i="1"/>
  <c r="J10022" i="1"/>
  <c r="Q10022" i="1"/>
  <c r="R10022" i="1"/>
  <c r="J10023" i="1"/>
  <c r="Q10023" i="1"/>
  <c r="R10023" i="1"/>
  <c r="J10024" i="1"/>
  <c r="Q10024" i="1"/>
  <c r="R10024" i="1"/>
  <c r="J10025" i="1"/>
  <c r="Q10025" i="1"/>
  <c r="R10025" i="1"/>
  <c r="J10026" i="1"/>
  <c r="Q10026" i="1"/>
  <c r="R10026" i="1"/>
  <c r="J10027" i="1"/>
  <c r="Q10027" i="1"/>
  <c r="R10027" i="1"/>
  <c r="J3606" i="1"/>
  <c r="Q3606" i="1"/>
  <c r="R3606" i="1"/>
  <c r="J10028" i="1"/>
  <c r="Q10028" i="1"/>
  <c r="R10028" i="1"/>
  <c r="J10029" i="1"/>
  <c r="Q10029" i="1"/>
  <c r="R10029" i="1"/>
  <c r="J10030" i="1"/>
  <c r="Q10030" i="1"/>
  <c r="R10030" i="1"/>
  <c r="J10031" i="1"/>
  <c r="Q10031" i="1"/>
  <c r="R10031" i="1"/>
  <c r="J10032" i="1"/>
  <c r="Q10032" i="1"/>
  <c r="R10032" i="1"/>
  <c r="J10033" i="1"/>
  <c r="Q10033" i="1"/>
  <c r="R10033" i="1"/>
  <c r="J10034" i="1"/>
  <c r="Q10034" i="1"/>
  <c r="R10034" i="1"/>
  <c r="J10035" i="1"/>
  <c r="Q10035" i="1"/>
  <c r="R10035" i="1"/>
  <c r="J10036" i="1"/>
  <c r="Q10036" i="1"/>
  <c r="R10036" i="1"/>
  <c r="J10037" i="1"/>
  <c r="Q10037" i="1"/>
  <c r="R10037" i="1"/>
  <c r="J10038" i="1"/>
  <c r="Q10038" i="1"/>
  <c r="R10038" i="1"/>
  <c r="J10039" i="1"/>
  <c r="Q10039" i="1"/>
  <c r="R10039" i="1"/>
  <c r="J10040" i="1"/>
  <c r="Q10040" i="1"/>
  <c r="R10040" i="1"/>
  <c r="J10041" i="1"/>
  <c r="Q10041" i="1"/>
  <c r="R10041" i="1"/>
  <c r="J10042" i="1"/>
  <c r="Q10042" i="1"/>
  <c r="R10042" i="1"/>
  <c r="J10043" i="1"/>
  <c r="Q10043" i="1"/>
  <c r="R10043" i="1"/>
  <c r="J3607" i="1"/>
  <c r="Q3607" i="1"/>
  <c r="R3607" i="1"/>
  <c r="J3608" i="1"/>
  <c r="Q3608" i="1"/>
  <c r="R3608" i="1"/>
  <c r="J3609" i="1"/>
  <c r="Q3609" i="1"/>
  <c r="R3609" i="1"/>
  <c r="J3610" i="1"/>
  <c r="Q3610" i="1"/>
  <c r="R3610" i="1"/>
  <c r="J10044" i="1"/>
  <c r="Q10044" i="1"/>
  <c r="R10044" i="1"/>
  <c r="J10045" i="1"/>
  <c r="Q10045" i="1"/>
  <c r="R10045" i="1"/>
  <c r="J10046" i="1"/>
  <c r="Q10046" i="1"/>
  <c r="R10046" i="1"/>
  <c r="J10047" i="1"/>
  <c r="Q10047" i="1"/>
  <c r="R10047" i="1"/>
  <c r="J10048" i="1"/>
  <c r="Q10048" i="1"/>
  <c r="R10048" i="1"/>
  <c r="J3611" i="1"/>
  <c r="Q3611" i="1"/>
  <c r="R3611" i="1"/>
  <c r="J3612" i="1"/>
  <c r="Q3612" i="1"/>
  <c r="R3612" i="1"/>
  <c r="J10049" i="1"/>
  <c r="Q10049" i="1"/>
  <c r="R10049" i="1"/>
  <c r="J10050" i="1"/>
  <c r="Q10050" i="1"/>
  <c r="R10050" i="1"/>
  <c r="J3613" i="1"/>
  <c r="Q3613" i="1"/>
  <c r="R3613" i="1"/>
  <c r="J3614" i="1"/>
  <c r="Q3614" i="1"/>
  <c r="R3614" i="1"/>
  <c r="J3615" i="1"/>
  <c r="Q3615" i="1"/>
  <c r="R3615" i="1"/>
  <c r="J3616" i="1"/>
  <c r="Q3616" i="1"/>
  <c r="R3616" i="1"/>
  <c r="J3617" i="1"/>
  <c r="Q3617" i="1"/>
  <c r="R3617" i="1"/>
  <c r="J3618" i="1"/>
  <c r="Q3618" i="1"/>
  <c r="R3618" i="1"/>
  <c r="J10051" i="1"/>
  <c r="Q10051" i="1"/>
  <c r="R10051" i="1"/>
  <c r="J3619" i="1"/>
  <c r="Q3619" i="1"/>
  <c r="R3619" i="1"/>
  <c r="J3620" i="1"/>
  <c r="Q3620" i="1"/>
  <c r="R3620" i="1"/>
  <c r="J3621" i="1"/>
  <c r="Q3621" i="1"/>
  <c r="R3621" i="1"/>
  <c r="J3622" i="1"/>
  <c r="Q3622" i="1"/>
  <c r="R3622" i="1"/>
  <c r="J10052" i="1"/>
  <c r="Q10052" i="1"/>
  <c r="R10052" i="1"/>
  <c r="J10053" i="1"/>
  <c r="Q10053" i="1"/>
  <c r="R10053" i="1"/>
  <c r="J10054" i="1"/>
  <c r="Q10054" i="1"/>
  <c r="R10054" i="1"/>
  <c r="J3623" i="1"/>
  <c r="Q3623" i="1"/>
  <c r="R3623" i="1"/>
  <c r="J10055" i="1"/>
  <c r="Q10055" i="1"/>
  <c r="R10055" i="1"/>
  <c r="J3624" i="1"/>
  <c r="Q3624" i="1"/>
  <c r="R3624" i="1"/>
  <c r="J3625" i="1"/>
  <c r="Q3625" i="1"/>
  <c r="R3625" i="1"/>
  <c r="J3626" i="1"/>
  <c r="Q3626" i="1"/>
  <c r="R3626" i="1"/>
  <c r="J3627" i="1"/>
  <c r="Q3627" i="1"/>
  <c r="R3627" i="1"/>
  <c r="J3628" i="1"/>
  <c r="Q3628" i="1"/>
  <c r="R3628" i="1"/>
  <c r="J3629" i="1"/>
  <c r="Q3629" i="1"/>
  <c r="R3629" i="1"/>
  <c r="J3630" i="1"/>
  <c r="Q3630" i="1"/>
  <c r="R3630" i="1"/>
  <c r="J10056" i="1"/>
  <c r="Q10056" i="1"/>
  <c r="R10056" i="1"/>
  <c r="J3631" i="1"/>
  <c r="Q3631" i="1"/>
  <c r="R3631" i="1"/>
  <c r="J10057" i="1"/>
  <c r="Q10057" i="1"/>
  <c r="R10057" i="1"/>
  <c r="J10058" i="1"/>
  <c r="Q10058" i="1"/>
  <c r="R10058" i="1"/>
  <c r="J3632" i="1"/>
  <c r="Q3632" i="1"/>
  <c r="R3632" i="1"/>
  <c r="J3633" i="1"/>
  <c r="Q3633" i="1"/>
  <c r="R3633" i="1"/>
  <c r="J3634" i="1"/>
  <c r="Q3634" i="1"/>
  <c r="R3634" i="1"/>
  <c r="J3635" i="1"/>
  <c r="Q3635" i="1"/>
  <c r="R3635" i="1"/>
  <c r="J3636" i="1"/>
  <c r="Q3636" i="1"/>
  <c r="R3636" i="1"/>
  <c r="J3637" i="1"/>
  <c r="Q3637" i="1"/>
  <c r="R3637" i="1"/>
  <c r="J3638" i="1"/>
  <c r="Q3638" i="1"/>
  <c r="R3638" i="1"/>
  <c r="J3639" i="1"/>
  <c r="Q3639" i="1"/>
  <c r="R3639" i="1"/>
  <c r="J3640" i="1"/>
  <c r="Q3640" i="1"/>
  <c r="R3640" i="1"/>
  <c r="J3641" i="1"/>
  <c r="Q3641" i="1"/>
  <c r="R3641" i="1"/>
  <c r="J3642" i="1"/>
  <c r="Q3642" i="1"/>
  <c r="R3642" i="1"/>
  <c r="J3643" i="1"/>
  <c r="Q3643" i="1"/>
  <c r="R3643" i="1"/>
  <c r="J3644" i="1"/>
  <c r="Q3644" i="1"/>
  <c r="R3644" i="1"/>
  <c r="J3645" i="1"/>
  <c r="Q3645" i="1"/>
  <c r="R3645" i="1"/>
  <c r="J3646" i="1"/>
  <c r="Q3646" i="1"/>
  <c r="R3646" i="1"/>
  <c r="J3647" i="1"/>
  <c r="Q3647" i="1"/>
  <c r="R3647" i="1"/>
  <c r="J3648" i="1"/>
  <c r="Q3648" i="1"/>
  <c r="R3648" i="1"/>
  <c r="J3649" i="1"/>
  <c r="Q3649" i="1"/>
  <c r="R3649" i="1"/>
  <c r="J3650" i="1"/>
  <c r="Q3650" i="1"/>
  <c r="R3650" i="1"/>
  <c r="J3651" i="1"/>
  <c r="Q3651" i="1"/>
  <c r="R3651" i="1"/>
  <c r="J10059" i="1"/>
  <c r="Q10059" i="1"/>
  <c r="R10059" i="1"/>
  <c r="J3652" i="1"/>
  <c r="Q3652" i="1"/>
  <c r="R3652" i="1"/>
  <c r="J10060" i="1"/>
  <c r="Q10060" i="1"/>
  <c r="R10060" i="1"/>
  <c r="J10061" i="1"/>
  <c r="Q10061" i="1"/>
  <c r="R10061" i="1"/>
  <c r="J10062" i="1"/>
  <c r="Q10062" i="1"/>
  <c r="R10062" i="1"/>
  <c r="J3653" i="1"/>
  <c r="Q3653" i="1"/>
  <c r="R3653" i="1"/>
  <c r="J3654" i="1"/>
  <c r="Q3654" i="1"/>
  <c r="R3654" i="1"/>
  <c r="J3655" i="1"/>
  <c r="Q3655" i="1"/>
  <c r="R3655" i="1"/>
  <c r="J3656" i="1"/>
  <c r="Q3656" i="1"/>
  <c r="R3656" i="1"/>
  <c r="J3657" i="1"/>
  <c r="Q3657" i="1"/>
  <c r="R3657" i="1"/>
  <c r="J3658" i="1"/>
  <c r="Q3658" i="1"/>
  <c r="R3658" i="1"/>
  <c r="J3659" i="1"/>
  <c r="Q3659" i="1"/>
  <c r="R3659" i="1"/>
  <c r="J3660" i="1"/>
  <c r="Q3660" i="1"/>
  <c r="R3660" i="1"/>
  <c r="J3661" i="1"/>
  <c r="Q3661" i="1"/>
  <c r="R3661" i="1"/>
  <c r="J3662" i="1"/>
  <c r="Q3662" i="1"/>
  <c r="R3662" i="1"/>
  <c r="J3663" i="1"/>
  <c r="Q3663" i="1"/>
  <c r="R3663" i="1"/>
  <c r="J3664" i="1"/>
  <c r="Q3664" i="1"/>
  <c r="R3664" i="1"/>
  <c r="J3665" i="1"/>
  <c r="Q3665" i="1"/>
  <c r="R3665" i="1"/>
  <c r="J3666" i="1"/>
  <c r="Q3666" i="1"/>
  <c r="R3666" i="1"/>
  <c r="J3667" i="1"/>
  <c r="Q3667" i="1"/>
  <c r="R3667" i="1"/>
  <c r="J3668" i="1"/>
  <c r="Q3668" i="1"/>
  <c r="R3668" i="1"/>
  <c r="J3669" i="1"/>
  <c r="Q3669" i="1"/>
  <c r="R3669" i="1"/>
  <c r="J3670" i="1"/>
  <c r="Q3670" i="1"/>
  <c r="R3670" i="1"/>
  <c r="J3671" i="1"/>
  <c r="Q3671" i="1"/>
  <c r="R3671" i="1"/>
  <c r="J3672" i="1"/>
  <c r="Q3672" i="1"/>
  <c r="R3672" i="1"/>
  <c r="J3673" i="1"/>
  <c r="Q3673" i="1"/>
  <c r="R3673" i="1"/>
  <c r="J3674" i="1"/>
  <c r="Q3674" i="1"/>
  <c r="R3674" i="1"/>
  <c r="J3675" i="1"/>
  <c r="Q3675" i="1"/>
  <c r="R3675" i="1"/>
  <c r="J3676" i="1"/>
  <c r="Q3676" i="1"/>
  <c r="R3676" i="1"/>
  <c r="J3677" i="1"/>
  <c r="Q3677" i="1"/>
  <c r="R3677" i="1"/>
  <c r="J3678" i="1"/>
  <c r="Q3678" i="1"/>
  <c r="R3678" i="1"/>
  <c r="J3679" i="1"/>
  <c r="Q3679" i="1"/>
  <c r="R3679" i="1"/>
  <c r="J3680" i="1"/>
  <c r="Q3680" i="1"/>
  <c r="R3680" i="1"/>
  <c r="J10063" i="1"/>
  <c r="Q10063" i="1"/>
  <c r="R10063" i="1"/>
  <c r="J10064" i="1"/>
  <c r="Q10064" i="1"/>
  <c r="R10064" i="1"/>
  <c r="J3681" i="1"/>
  <c r="Q3681" i="1"/>
  <c r="R3681" i="1"/>
  <c r="J10065" i="1"/>
  <c r="Q10065" i="1"/>
  <c r="R10065" i="1"/>
  <c r="J3682" i="1"/>
  <c r="Q3682" i="1"/>
  <c r="R3682" i="1"/>
  <c r="J3683" i="1"/>
  <c r="Q3683" i="1"/>
  <c r="R3683" i="1"/>
  <c r="J10066" i="1"/>
  <c r="Q10066" i="1"/>
  <c r="R10066" i="1"/>
  <c r="J3684" i="1"/>
  <c r="Q3684" i="1"/>
  <c r="R3684" i="1"/>
  <c r="J3685" i="1"/>
  <c r="Q3685" i="1"/>
  <c r="R3685" i="1"/>
  <c r="J10067" i="1"/>
  <c r="Q10067" i="1"/>
  <c r="R10067" i="1"/>
  <c r="J3686" i="1"/>
  <c r="Q3686" i="1"/>
  <c r="R3686" i="1"/>
  <c r="J3687" i="1"/>
  <c r="Q3687" i="1"/>
  <c r="R3687" i="1"/>
  <c r="J10068" i="1"/>
  <c r="Q10068" i="1"/>
  <c r="R10068" i="1"/>
  <c r="J10069" i="1"/>
  <c r="Q10069" i="1"/>
  <c r="R10069" i="1"/>
  <c r="J10070" i="1"/>
  <c r="Q10070" i="1"/>
  <c r="R10070" i="1"/>
  <c r="J10071" i="1"/>
  <c r="Q10071" i="1"/>
  <c r="R10071" i="1"/>
  <c r="J10072" i="1"/>
  <c r="Q10072" i="1"/>
  <c r="R10072" i="1"/>
  <c r="J10073" i="1"/>
  <c r="Q10073" i="1"/>
  <c r="R10073" i="1"/>
  <c r="J10074" i="1"/>
  <c r="Q10074" i="1"/>
  <c r="R10074" i="1"/>
  <c r="J10075" i="1"/>
  <c r="Q10075" i="1"/>
  <c r="R10075" i="1"/>
  <c r="J3688" i="1"/>
  <c r="Q3688" i="1"/>
  <c r="R3688" i="1"/>
  <c r="J10076" i="1"/>
  <c r="Q10076" i="1"/>
  <c r="R10076" i="1"/>
  <c r="J3689" i="1"/>
  <c r="Q3689" i="1"/>
  <c r="R3689" i="1"/>
  <c r="J10077" i="1"/>
  <c r="Q10077" i="1"/>
  <c r="R10077" i="1"/>
  <c r="J10078" i="1"/>
  <c r="Q10078" i="1"/>
  <c r="R10078" i="1"/>
  <c r="J10079" i="1"/>
  <c r="Q10079" i="1"/>
  <c r="R10079" i="1"/>
  <c r="J10080" i="1"/>
  <c r="Q10080" i="1"/>
  <c r="R10080" i="1"/>
  <c r="J10081" i="1"/>
  <c r="Q10081" i="1"/>
  <c r="R10081" i="1"/>
  <c r="J10082" i="1"/>
  <c r="Q10082" i="1"/>
  <c r="R10082" i="1"/>
  <c r="J10083" i="1"/>
  <c r="Q10083" i="1"/>
  <c r="R10083" i="1"/>
  <c r="J10084" i="1"/>
  <c r="Q10084" i="1"/>
  <c r="R10084" i="1"/>
  <c r="J10085" i="1"/>
  <c r="Q10085" i="1"/>
  <c r="R10085" i="1"/>
  <c r="J10086" i="1"/>
  <c r="Q10086" i="1"/>
  <c r="R10086" i="1"/>
  <c r="J10087" i="1"/>
  <c r="Q10087" i="1"/>
  <c r="R10087" i="1"/>
  <c r="J10088" i="1"/>
  <c r="Q10088" i="1"/>
  <c r="R10088" i="1"/>
  <c r="J10089" i="1"/>
  <c r="Q10089" i="1"/>
  <c r="R10089" i="1"/>
  <c r="J10090" i="1"/>
  <c r="Q10090" i="1"/>
  <c r="R10090" i="1"/>
  <c r="J10091" i="1"/>
  <c r="Q10091" i="1"/>
  <c r="R10091" i="1"/>
  <c r="J10092" i="1"/>
  <c r="Q10092" i="1"/>
  <c r="R10092" i="1"/>
  <c r="J10093" i="1"/>
  <c r="Q10093" i="1"/>
  <c r="R10093" i="1"/>
  <c r="J10094" i="1"/>
  <c r="Q10094" i="1"/>
  <c r="R10094" i="1"/>
  <c r="J10095" i="1"/>
  <c r="Q10095" i="1"/>
  <c r="R10095" i="1"/>
  <c r="J10096" i="1"/>
  <c r="Q10096" i="1"/>
  <c r="R10096" i="1"/>
  <c r="J10097" i="1"/>
  <c r="Q10097" i="1"/>
  <c r="R10097" i="1"/>
  <c r="J10098" i="1"/>
  <c r="Q10098" i="1"/>
  <c r="R10098" i="1"/>
  <c r="J10099" i="1"/>
  <c r="Q10099" i="1"/>
  <c r="R10099" i="1"/>
  <c r="J10100" i="1"/>
  <c r="Q10100" i="1"/>
  <c r="R10100" i="1"/>
  <c r="J10101" i="1"/>
  <c r="Q10101" i="1"/>
  <c r="R10101" i="1"/>
  <c r="J10102" i="1"/>
  <c r="Q10102" i="1"/>
  <c r="R10102" i="1"/>
  <c r="J10103" i="1"/>
  <c r="Q10103" i="1"/>
  <c r="R10103" i="1"/>
  <c r="J10104" i="1"/>
  <c r="Q10104" i="1"/>
  <c r="R10104" i="1"/>
  <c r="J10105" i="1"/>
  <c r="Q10105" i="1"/>
  <c r="R10105" i="1"/>
  <c r="J3690" i="1"/>
  <c r="Q3690" i="1"/>
  <c r="R3690" i="1"/>
  <c r="J10106" i="1"/>
  <c r="Q10106" i="1"/>
  <c r="R10106" i="1"/>
  <c r="J10107" i="1"/>
  <c r="Q10107" i="1"/>
  <c r="R10107" i="1"/>
  <c r="J10108" i="1"/>
  <c r="Q10108" i="1"/>
  <c r="R10108" i="1"/>
  <c r="J10109" i="1"/>
  <c r="Q10109" i="1"/>
  <c r="R10109" i="1"/>
  <c r="J10110" i="1"/>
  <c r="Q10110" i="1"/>
  <c r="R10110" i="1"/>
  <c r="J10111" i="1"/>
  <c r="Q10111" i="1"/>
  <c r="R10111" i="1"/>
  <c r="J10112" i="1"/>
  <c r="Q10112" i="1"/>
  <c r="R10112" i="1"/>
  <c r="J10113" i="1"/>
  <c r="Q10113" i="1"/>
  <c r="R10113" i="1"/>
  <c r="J10114" i="1"/>
  <c r="Q10114" i="1"/>
  <c r="R10114" i="1"/>
  <c r="J3691" i="1"/>
  <c r="Q3691" i="1"/>
  <c r="R3691" i="1"/>
  <c r="J3692" i="1"/>
  <c r="Q3692" i="1"/>
  <c r="R3692" i="1"/>
  <c r="J10115" i="1"/>
  <c r="Q10115" i="1"/>
  <c r="R10115" i="1"/>
  <c r="J3693" i="1"/>
  <c r="Q3693" i="1"/>
  <c r="R3693" i="1"/>
  <c r="J3694" i="1"/>
  <c r="Q3694" i="1"/>
  <c r="R3694" i="1"/>
  <c r="J3695" i="1"/>
  <c r="Q3695" i="1"/>
  <c r="R3695" i="1"/>
  <c r="J3696" i="1"/>
  <c r="Q3696" i="1"/>
  <c r="R3696" i="1"/>
  <c r="J10116" i="1"/>
  <c r="Q10116" i="1"/>
  <c r="R10116" i="1"/>
  <c r="J3697" i="1"/>
  <c r="Q3697" i="1"/>
  <c r="R3697" i="1"/>
  <c r="J3698" i="1"/>
  <c r="Q3698" i="1"/>
  <c r="R3698" i="1"/>
  <c r="J3699" i="1"/>
  <c r="Q3699" i="1"/>
  <c r="R3699" i="1"/>
  <c r="J3700" i="1"/>
  <c r="Q3700" i="1"/>
  <c r="R3700" i="1"/>
  <c r="J10117" i="1"/>
  <c r="Q10117" i="1"/>
  <c r="R10117" i="1"/>
  <c r="J10118" i="1"/>
  <c r="Q10118" i="1"/>
  <c r="R10118" i="1"/>
  <c r="J10119" i="1"/>
  <c r="Q10119" i="1"/>
  <c r="R10119" i="1"/>
  <c r="J10120" i="1"/>
  <c r="Q10120" i="1"/>
  <c r="R10120" i="1"/>
  <c r="J10121" i="1"/>
  <c r="Q10121" i="1"/>
  <c r="R10121" i="1"/>
  <c r="J10122" i="1"/>
  <c r="Q10122" i="1"/>
  <c r="R10122" i="1"/>
  <c r="J10123" i="1"/>
  <c r="Q10123" i="1"/>
  <c r="R10123" i="1"/>
  <c r="J10124" i="1"/>
  <c r="Q10124" i="1"/>
  <c r="R10124" i="1"/>
  <c r="J10125" i="1"/>
  <c r="Q10125" i="1"/>
  <c r="R10125" i="1"/>
  <c r="J10126" i="1"/>
  <c r="Q10126" i="1"/>
  <c r="R10126" i="1"/>
  <c r="J10127" i="1"/>
  <c r="Q10127" i="1"/>
  <c r="R10127" i="1"/>
  <c r="J10128" i="1"/>
  <c r="Q10128" i="1"/>
  <c r="R10128" i="1"/>
  <c r="J10129" i="1"/>
  <c r="Q10129" i="1"/>
  <c r="R10129" i="1"/>
  <c r="J10130" i="1"/>
  <c r="Q10130" i="1"/>
  <c r="R10130" i="1"/>
  <c r="J10131" i="1"/>
  <c r="Q10131" i="1"/>
  <c r="R10131" i="1"/>
  <c r="J10132" i="1"/>
  <c r="Q10132" i="1"/>
  <c r="R10132" i="1"/>
  <c r="J3701" i="1"/>
  <c r="Q3701" i="1"/>
  <c r="R3701" i="1"/>
  <c r="J3702" i="1"/>
  <c r="Q3702" i="1"/>
  <c r="R3702" i="1"/>
  <c r="J10133" i="1"/>
  <c r="Q10133" i="1"/>
  <c r="R10133" i="1"/>
  <c r="J3703" i="1"/>
  <c r="Q3703" i="1"/>
  <c r="R3703" i="1"/>
  <c r="J3704" i="1"/>
  <c r="Q3704" i="1"/>
  <c r="R3704" i="1"/>
  <c r="J3705" i="1"/>
  <c r="Q3705" i="1"/>
  <c r="R3705" i="1"/>
  <c r="J3706" i="1"/>
  <c r="Q3706" i="1"/>
  <c r="R3706" i="1"/>
  <c r="J10134" i="1"/>
  <c r="Q10134" i="1"/>
  <c r="R10134" i="1"/>
  <c r="J3707" i="1"/>
  <c r="Q3707" i="1"/>
  <c r="R3707" i="1"/>
  <c r="J10135" i="1"/>
  <c r="Q10135" i="1"/>
  <c r="R10135" i="1"/>
  <c r="J10136" i="1"/>
  <c r="Q10136" i="1"/>
  <c r="R10136" i="1"/>
  <c r="J3708" i="1"/>
  <c r="Q3708" i="1"/>
  <c r="R3708" i="1"/>
  <c r="J10137" i="1"/>
  <c r="Q10137" i="1"/>
  <c r="R10137" i="1"/>
  <c r="J10138" i="1"/>
  <c r="Q10138" i="1"/>
  <c r="R10138" i="1"/>
  <c r="J10139" i="1"/>
  <c r="Q10139" i="1"/>
  <c r="R10139" i="1"/>
  <c r="J3709" i="1"/>
  <c r="Q3709" i="1"/>
  <c r="R3709" i="1"/>
  <c r="J10140" i="1"/>
  <c r="Q10140" i="1"/>
  <c r="R10140" i="1"/>
  <c r="J3710" i="1"/>
  <c r="Q3710" i="1"/>
  <c r="R3710" i="1"/>
  <c r="J3711" i="1"/>
  <c r="Q3711" i="1"/>
  <c r="R3711" i="1"/>
  <c r="J3712" i="1"/>
  <c r="Q3712" i="1"/>
  <c r="R3712" i="1"/>
  <c r="J3713" i="1"/>
  <c r="Q3713" i="1"/>
  <c r="R3713" i="1"/>
  <c r="J3714" i="1"/>
  <c r="Q3714" i="1"/>
  <c r="R3714" i="1"/>
  <c r="J3715" i="1"/>
  <c r="Q3715" i="1"/>
  <c r="R3715" i="1"/>
  <c r="J3716" i="1"/>
  <c r="Q3716" i="1"/>
  <c r="R3716" i="1"/>
  <c r="J3717" i="1"/>
  <c r="Q3717" i="1"/>
  <c r="R3717" i="1"/>
  <c r="J3718" i="1"/>
  <c r="Q3718" i="1"/>
  <c r="R3718" i="1"/>
  <c r="J3719" i="1"/>
  <c r="Q3719" i="1"/>
  <c r="R3719" i="1"/>
  <c r="J3720" i="1"/>
  <c r="Q3720" i="1"/>
  <c r="R3720" i="1"/>
  <c r="J3721" i="1"/>
  <c r="Q3721" i="1"/>
  <c r="R3721" i="1"/>
  <c r="J3722" i="1"/>
  <c r="Q3722" i="1"/>
  <c r="R3722" i="1"/>
  <c r="J3723" i="1"/>
  <c r="Q3723" i="1"/>
  <c r="R3723" i="1"/>
  <c r="J3724" i="1"/>
  <c r="Q3724" i="1"/>
  <c r="R3724" i="1"/>
  <c r="J3725" i="1"/>
  <c r="Q3725" i="1"/>
  <c r="R3725" i="1"/>
  <c r="J3726" i="1"/>
  <c r="Q3726" i="1"/>
  <c r="R3726" i="1"/>
  <c r="J3727" i="1"/>
  <c r="Q3727" i="1"/>
  <c r="R3727" i="1"/>
  <c r="J3728" i="1"/>
  <c r="Q3728" i="1"/>
  <c r="R3728" i="1"/>
  <c r="J3729" i="1"/>
  <c r="Q3729" i="1"/>
  <c r="R3729" i="1"/>
  <c r="J3730" i="1"/>
  <c r="Q3730" i="1"/>
  <c r="R3730" i="1"/>
  <c r="J3731" i="1"/>
  <c r="Q3731" i="1"/>
  <c r="R3731" i="1"/>
  <c r="J3732" i="1"/>
  <c r="Q3732" i="1"/>
  <c r="R3732" i="1"/>
  <c r="J3733" i="1"/>
  <c r="Q3733" i="1"/>
  <c r="R3733" i="1"/>
  <c r="J3734" i="1"/>
  <c r="Q3734" i="1"/>
  <c r="R3734" i="1"/>
  <c r="J3735" i="1"/>
  <c r="Q3735" i="1"/>
  <c r="R3735" i="1"/>
  <c r="J3736" i="1"/>
  <c r="Q3736" i="1"/>
  <c r="R3736" i="1"/>
  <c r="J3737" i="1"/>
  <c r="Q3737" i="1"/>
  <c r="R3737" i="1"/>
  <c r="J3738" i="1"/>
  <c r="Q3738" i="1"/>
  <c r="R3738" i="1"/>
  <c r="J3739" i="1"/>
  <c r="Q3739" i="1"/>
  <c r="R3739" i="1"/>
  <c r="J3740" i="1"/>
  <c r="Q3740" i="1"/>
  <c r="R3740" i="1"/>
  <c r="J3741" i="1"/>
  <c r="Q3741" i="1"/>
  <c r="R3741" i="1"/>
  <c r="J3742" i="1"/>
  <c r="Q3742" i="1"/>
  <c r="R3742" i="1"/>
  <c r="J3743" i="1"/>
  <c r="Q3743" i="1"/>
  <c r="R3743" i="1"/>
  <c r="J3744" i="1"/>
  <c r="Q3744" i="1"/>
  <c r="R3744" i="1"/>
  <c r="J3745" i="1"/>
  <c r="Q3745" i="1"/>
  <c r="R3745" i="1"/>
  <c r="J3746" i="1"/>
  <c r="Q3746" i="1"/>
  <c r="R3746" i="1"/>
  <c r="J3747" i="1"/>
  <c r="Q3747" i="1"/>
  <c r="R3747" i="1"/>
  <c r="J3748" i="1"/>
  <c r="Q3748" i="1"/>
  <c r="R3748" i="1"/>
  <c r="J3749" i="1"/>
  <c r="Q3749" i="1"/>
  <c r="R3749" i="1"/>
  <c r="J3750" i="1"/>
  <c r="Q3750" i="1"/>
  <c r="R3750" i="1"/>
  <c r="J3751" i="1"/>
  <c r="Q3751" i="1"/>
  <c r="R3751" i="1"/>
  <c r="J3752" i="1"/>
  <c r="Q3752" i="1"/>
  <c r="R3752" i="1"/>
  <c r="J3753" i="1"/>
  <c r="Q3753" i="1"/>
  <c r="R3753" i="1"/>
  <c r="J3754" i="1"/>
  <c r="Q3754" i="1"/>
  <c r="R3754" i="1"/>
  <c r="J3755" i="1"/>
  <c r="Q3755" i="1"/>
  <c r="R3755" i="1"/>
  <c r="J3756" i="1"/>
  <c r="Q3756" i="1"/>
  <c r="R3756" i="1"/>
  <c r="J3757" i="1"/>
  <c r="Q3757" i="1"/>
  <c r="R3757" i="1"/>
  <c r="J3758" i="1"/>
  <c r="Q3758" i="1"/>
  <c r="R3758" i="1"/>
  <c r="J3759" i="1"/>
  <c r="Q3759" i="1"/>
  <c r="R3759" i="1"/>
  <c r="J3760" i="1"/>
  <c r="Q3760" i="1"/>
  <c r="R3760" i="1"/>
  <c r="J3761" i="1"/>
  <c r="Q3761" i="1"/>
  <c r="R3761" i="1"/>
  <c r="J3762" i="1"/>
  <c r="Q3762" i="1"/>
  <c r="R3762" i="1"/>
  <c r="J3763" i="1"/>
  <c r="Q3763" i="1"/>
  <c r="R3763" i="1"/>
  <c r="J3764" i="1"/>
  <c r="Q3764" i="1"/>
  <c r="R3764" i="1"/>
  <c r="J3765" i="1"/>
  <c r="Q3765" i="1"/>
  <c r="R3765" i="1"/>
  <c r="J3766" i="1"/>
  <c r="Q3766" i="1"/>
  <c r="R3766" i="1"/>
  <c r="J10141" i="1"/>
  <c r="Q10141" i="1"/>
  <c r="R10141" i="1"/>
  <c r="J10142" i="1"/>
  <c r="Q10142" i="1"/>
  <c r="R10142" i="1"/>
  <c r="J10143" i="1"/>
  <c r="Q10143" i="1"/>
  <c r="R10143" i="1"/>
  <c r="J10144" i="1"/>
  <c r="Q10144" i="1"/>
  <c r="R10144" i="1"/>
  <c r="J10145" i="1"/>
  <c r="Q10145" i="1"/>
  <c r="R10145" i="1"/>
  <c r="J10146" i="1"/>
  <c r="Q10146" i="1"/>
  <c r="R10146" i="1"/>
  <c r="J10147" i="1"/>
  <c r="Q10147" i="1"/>
  <c r="R10147" i="1"/>
  <c r="J10148" i="1"/>
  <c r="Q10148" i="1"/>
  <c r="R10148" i="1"/>
  <c r="J10149" i="1"/>
  <c r="Q10149" i="1"/>
  <c r="R10149" i="1"/>
  <c r="J3767" i="1"/>
  <c r="Q3767" i="1"/>
  <c r="R3767" i="1"/>
  <c r="J10150" i="1"/>
  <c r="Q10150" i="1"/>
  <c r="R10150" i="1"/>
  <c r="J10151" i="1"/>
  <c r="Q10151" i="1"/>
  <c r="R10151" i="1"/>
  <c r="J10152" i="1"/>
  <c r="Q10152" i="1"/>
  <c r="R10152" i="1"/>
  <c r="J10153" i="1"/>
  <c r="Q10153" i="1"/>
  <c r="R10153" i="1"/>
  <c r="J10154" i="1"/>
  <c r="Q10154" i="1"/>
  <c r="R10154" i="1"/>
  <c r="J10155" i="1"/>
  <c r="Q10155" i="1"/>
  <c r="R10155" i="1"/>
  <c r="J10156" i="1"/>
  <c r="Q10156" i="1"/>
  <c r="R10156" i="1"/>
  <c r="J10157" i="1"/>
  <c r="Q10157" i="1"/>
  <c r="R10157" i="1"/>
  <c r="J10158" i="1"/>
  <c r="Q10158" i="1"/>
  <c r="R10158" i="1"/>
  <c r="J3768" i="1"/>
  <c r="Q3768" i="1"/>
  <c r="R3768" i="1"/>
  <c r="J10159" i="1"/>
  <c r="Q10159" i="1"/>
  <c r="R10159" i="1"/>
  <c r="J10160" i="1"/>
  <c r="Q10160" i="1"/>
  <c r="R10160" i="1"/>
  <c r="J10161" i="1"/>
  <c r="Q10161" i="1"/>
  <c r="R10161" i="1"/>
  <c r="J10162" i="1"/>
  <c r="Q10162" i="1"/>
  <c r="R10162" i="1"/>
  <c r="J10163" i="1"/>
  <c r="Q10163" i="1"/>
  <c r="R10163" i="1"/>
  <c r="J10164" i="1"/>
  <c r="Q10164" i="1"/>
  <c r="R10164" i="1"/>
  <c r="J3769" i="1"/>
  <c r="Q3769" i="1"/>
  <c r="R3769" i="1"/>
  <c r="J3770" i="1"/>
  <c r="Q3770" i="1"/>
  <c r="R3770" i="1"/>
  <c r="J3771" i="1"/>
  <c r="Q3771" i="1"/>
  <c r="R3771" i="1"/>
  <c r="J3772" i="1"/>
  <c r="Q3772" i="1"/>
  <c r="R3772" i="1"/>
  <c r="J3773" i="1"/>
  <c r="Q3773" i="1"/>
  <c r="R3773" i="1"/>
  <c r="J3774" i="1"/>
  <c r="Q3774" i="1"/>
  <c r="R3774" i="1"/>
  <c r="J3775" i="1"/>
  <c r="Q3775" i="1"/>
  <c r="R3775" i="1"/>
  <c r="J3776" i="1"/>
  <c r="Q3776" i="1"/>
  <c r="R3776" i="1"/>
  <c r="J10165" i="1"/>
  <c r="Q10165" i="1"/>
  <c r="R10165" i="1"/>
  <c r="J10166" i="1"/>
  <c r="Q10166" i="1"/>
  <c r="R10166" i="1"/>
  <c r="J10167" i="1"/>
  <c r="Q10167" i="1"/>
  <c r="R10167" i="1"/>
  <c r="J10168" i="1"/>
  <c r="Q10168" i="1"/>
  <c r="R10168" i="1"/>
  <c r="J10169" i="1"/>
  <c r="Q10169" i="1"/>
  <c r="R10169" i="1"/>
  <c r="J3777" i="1"/>
  <c r="Q3777" i="1"/>
  <c r="R3777" i="1"/>
  <c r="J10170" i="1"/>
  <c r="Q10170" i="1"/>
  <c r="R10170" i="1"/>
  <c r="J10171" i="1"/>
  <c r="Q10171" i="1"/>
  <c r="R10171" i="1"/>
  <c r="J3778" i="1"/>
  <c r="Q3778" i="1"/>
  <c r="R3778" i="1"/>
  <c r="J10172" i="1"/>
  <c r="Q10172" i="1"/>
  <c r="R10172" i="1"/>
  <c r="J10173" i="1"/>
  <c r="Q10173" i="1"/>
  <c r="R10173" i="1"/>
  <c r="J10174" i="1"/>
  <c r="Q10174" i="1"/>
  <c r="R10174" i="1"/>
  <c r="J3779" i="1"/>
  <c r="Q3779" i="1"/>
  <c r="R3779" i="1"/>
  <c r="J10175" i="1"/>
  <c r="Q10175" i="1"/>
  <c r="R10175" i="1"/>
  <c r="J3780" i="1"/>
  <c r="Q3780" i="1"/>
  <c r="R3780" i="1"/>
  <c r="J10176" i="1"/>
  <c r="Q10176" i="1"/>
  <c r="R10176" i="1"/>
  <c r="J10177" i="1"/>
  <c r="Q10177" i="1"/>
  <c r="R10177" i="1"/>
  <c r="J10178" i="1"/>
  <c r="Q10178" i="1"/>
  <c r="R10178" i="1"/>
  <c r="J7534" i="1"/>
  <c r="Q7534" i="1"/>
  <c r="R7534" i="1"/>
  <c r="J6807" i="1"/>
  <c r="Q6807" i="1"/>
  <c r="R6807" i="1"/>
  <c r="J7535" i="1"/>
  <c r="Q7535" i="1"/>
  <c r="R7535" i="1"/>
  <c r="J6808" i="1"/>
  <c r="Q6808" i="1"/>
  <c r="R6808" i="1"/>
  <c r="J7536" i="1"/>
  <c r="Q7536" i="1"/>
  <c r="R7536" i="1"/>
  <c r="J7537" i="1"/>
  <c r="Q7537" i="1"/>
  <c r="R7537" i="1"/>
  <c r="J756" i="1"/>
  <c r="Q756" i="1"/>
  <c r="R756" i="1"/>
  <c r="J757" i="1"/>
  <c r="Q757" i="1"/>
  <c r="R757" i="1"/>
  <c r="J13545" i="1"/>
  <c r="Q13545" i="1"/>
  <c r="R13545" i="1"/>
  <c r="J758" i="1"/>
  <c r="Q758" i="1"/>
  <c r="R758" i="1"/>
  <c r="J759" i="1"/>
  <c r="Q759" i="1"/>
  <c r="R759" i="1"/>
  <c r="J6577" i="1"/>
  <c r="Q6577" i="1"/>
  <c r="R6577" i="1"/>
  <c r="J7538" i="1"/>
  <c r="Q7538" i="1"/>
  <c r="R7538" i="1"/>
  <c r="J760" i="1"/>
  <c r="Q760" i="1"/>
  <c r="R760" i="1"/>
  <c r="J6809" i="1"/>
  <c r="Q6809" i="1"/>
  <c r="R6809" i="1"/>
  <c r="J761" i="1"/>
  <c r="Q761" i="1"/>
  <c r="R761" i="1"/>
  <c r="J7539" i="1"/>
  <c r="Q7539" i="1"/>
  <c r="R7539" i="1"/>
  <c r="J7540" i="1"/>
  <c r="Q7540" i="1"/>
  <c r="R7540" i="1"/>
  <c r="J762" i="1"/>
  <c r="Q762" i="1"/>
  <c r="R762" i="1"/>
  <c r="J763" i="1"/>
  <c r="Q763" i="1"/>
  <c r="R763" i="1"/>
  <c r="J6810" i="1"/>
  <c r="Q6810" i="1"/>
  <c r="R6810" i="1"/>
  <c r="J7541" i="1"/>
  <c r="Q7541" i="1"/>
  <c r="R7541" i="1"/>
  <c r="J7542" i="1"/>
  <c r="Q7542" i="1"/>
  <c r="R7542" i="1"/>
  <c r="J7543" i="1"/>
  <c r="Q7543" i="1"/>
  <c r="R7543" i="1"/>
  <c r="J7544" i="1"/>
  <c r="Q7544" i="1"/>
  <c r="R7544" i="1"/>
  <c r="J6811" i="1"/>
  <c r="Q6811" i="1"/>
  <c r="R6811" i="1"/>
  <c r="J764" i="1"/>
  <c r="Q764" i="1"/>
  <c r="R764" i="1"/>
  <c r="J765" i="1"/>
  <c r="Q765" i="1"/>
  <c r="R765" i="1"/>
  <c r="J766" i="1"/>
  <c r="Q766" i="1"/>
  <c r="R766" i="1"/>
  <c r="J767" i="1"/>
  <c r="Q767" i="1"/>
  <c r="R767" i="1"/>
  <c r="J768" i="1"/>
  <c r="Q768" i="1"/>
  <c r="R768" i="1"/>
  <c r="J769" i="1"/>
  <c r="Q769" i="1"/>
  <c r="R769" i="1"/>
  <c r="J770" i="1"/>
  <c r="Q770" i="1"/>
  <c r="R770" i="1"/>
  <c r="J771" i="1"/>
  <c r="Q771" i="1"/>
  <c r="R771" i="1"/>
  <c r="J772" i="1"/>
  <c r="Q772" i="1"/>
  <c r="R772" i="1"/>
  <c r="J6578" i="1"/>
  <c r="Q6578" i="1"/>
  <c r="R6578" i="1"/>
  <c r="J773" i="1"/>
  <c r="Q773" i="1"/>
  <c r="R773" i="1"/>
  <c r="J774" i="1"/>
  <c r="Q774" i="1"/>
  <c r="R774" i="1"/>
  <c r="J13546" i="1"/>
  <c r="Q13546" i="1"/>
  <c r="R13546" i="1"/>
  <c r="J775" i="1"/>
  <c r="Q775" i="1"/>
  <c r="R775" i="1"/>
  <c r="J7545" i="1"/>
  <c r="Q7545" i="1"/>
  <c r="R7545" i="1"/>
  <c r="J776" i="1"/>
  <c r="Q776" i="1"/>
  <c r="R776" i="1"/>
  <c r="J777" i="1"/>
  <c r="Q777" i="1"/>
  <c r="R777" i="1"/>
  <c r="J6812" i="1"/>
  <c r="Q6812" i="1"/>
  <c r="R6812" i="1"/>
  <c r="J778" i="1"/>
  <c r="Q778" i="1"/>
  <c r="R778" i="1"/>
  <c r="J779" i="1"/>
  <c r="Q779" i="1"/>
  <c r="R779" i="1"/>
  <c r="J780" i="1"/>
  <c r="Q780" i="1"/>
  <c r="R780" i="1"/>
  <c r="J7546" i="1"/>
  <c r="Q7546" i="1"/>
  <c r="R7546" i="1"/>
  <c r="J7547" i="1"/>
  <c r="Q7547" i="1"/>
  <c r="R7547" i="1"/>
  <c r="J781" i="1"/>
  <c r="Q781" i="1"/>
  <c r="R781" i="1"/>
  <c r="J6813" i="1"/>
  <c r="Q6813" i="1"/>
  <c r="R6813" i="1"/>
  <c r="J6814" i="1"/>
  <c r="Q6814" i="1"/>
  <c r="R6814" i="1"/>
  <c r="J7548" i="1"/>
  <c r="Q7548" i="1"/>
  <c r="R7548" i="1"/>
  <c r="J6815" i="1"/>
  <c r="Q6815" i="1"/>
  <c r="R6815" i="1"/>
  <c r="J6816" i="1"/>
  <c r="Q6816" i="1"/>
  <c r="R6816" i="1"/>
  <c r="J6817" i="1"/>
  <c r="Q6817" i="1"/>
  <c r="R6817" i="1"/>
  <c r="J7549" i="1"/>
  <c r="Q7549" i="1"/>
  <c r="R7549" i="1"/>
  <c r="J7550" i="1"/>
  <c r="Q7550" i="1"/>
  <c r="R7550" i="1"/>
  <c r="J7551" i="1"/>
  <c r="Q7551" i="1"/>
  <c r="R7551" i="1"/>
  <c r="J7552" i="1"/>
  <c r="Q7552" i="1"/>
  <c r="R7552" i="1"/>
  <c r="J7553" i="1"/>
  <c r="Q7553" i="1"/>
  <c r="R7553" i="1"/>
  <c r="J6818" i="1"/>
  <c r="Q6818" i="1"/>
  <c r="R6818" i="1"/>
  <c r="J7554" i="1"/>
  <c r="Q7554" i="1"/>
  <c r="R7554" i="1"/>
  <c r="J6819" i="1"/>
  <c r="Q6819" i="1"/>
  <c r="R6819" i="1"/>
  <c r="J13547" i="1"/>
  <c r="Q13547" i="1"/>
  <c r="R13547" i="1"/>
  <c r="J7555" i="1"/>
  <c r="Q7555" i="1"/>
  <c r="R7555" i="1"/>
  <c r="J6820" i="1"/>
  <c r="Q6820" i="1"/>
  <c r="R6820" i="1"/>
  <c r="J782" i="1"/>
  <c r="Q782" i="1"/>
  <c r="R782" i="1"/>
  <c r="J783" i="1"/>
  <c r="Q783" i="1"/>
  <c r="R783" i="1"/>
  <c r="J784" i="1"/>
  <c r="Q784" i="1"/>
  <c r="R784" i="1"/>
  <c r="J785" i="1"/>
  <c r="Q785" i="1"/>
  <c r="R785" i="1"/>
  <c r="J786" i="1"/>
  <c r="Q786" i="1"/>
  <c r="R786" i="1"/>
  <c r="J787" i="1"/>
  <c r="Q787" i="1"/>
  <c r="R787" i="1"/>
  <c r="J13548" i="1"/>
  <c r="Q13548" i="1"/>
  <c r="R13548" i="1"/>
  <c r="J788" i="1"/>
  <c r="Q788" i="1"/>
  <c r="R788" i="1"/>
  <c r="J789" i="1"/>
  <c r="Q789" i="1"/>
  <c r="R789" i="1"/>
  <c r="J790" i="1"/>
  <c r="Q790" i="1"/>
  <c r="R790" i="1"/>
  <c r="J791" i="1"/>
  <c r="Q791" i="1"/>
  <c r="R791" i="1"/>
  <c r="J792" i="1"/>
  <c r="Q792" i="1"/>
  <c r="R792" i="1"/>
  <c r="J793" i="1"/>
  <c r="Q793" i="1"/>
  <c r="R793" i="1"/>
  <c r="J794" i="1"/>
  <c r="Q794" i="1"/>
  <c r="R794" i="1"/>
  <c r="J795" i="1"/>
  <c r="Q795" i="1"/>
  <c r="R795" i="1"/>
  <c r="J796" i="1"/>
  <c r="Q796" i="1"/>
  <c r="R796" i="1"/>
  <c r="J797" i="1"/>
  <c r="Q797" i="1"/>
  <c r="R797" i="1"/>
  <c r="J798" i="1"/>
  <c r="Q798" i="1"/>
  <c r="R798" i="1"/>
  <c r="J799" i="1"/>
  <c r="Q799" i="1"/>
  <c r="R799" i="1"/>
  <c r="J800" i="1"/>
  <c r="Q800" i="1"/>
  <c r="R800" i="1"/>
  <c r="J801" i="1"/>
  <c r="Q801" i="1"/>
  <c r="R801" i="1"/>
  <c r="J802" i="1"/>
  <c r="Q802" i="1"/>
  <c r="R802" i="1"/>
  <c r="J803" i="1"/>
  <c r="Q803" i="1"/>
  <c r="R803" i="1"/>
  <c r="J804" i="1"/>
  <c r="Q804" i="1"/>
  <c r="R804" i="1"/>
  <c r="J805" i="1"/>
  <c r="Q805" i="1"/>
  <c r="R805" i="1"/>
  <c r="J806" i="1"/>
  <c r="Q806" i="1"/>
  <c r="R806" i="1"/>
  <c r="J807" i="1"/>
  <c r="Q807" i="1"/>
  <c r="R807" i="1"/>
  <c r="J7556" i="1"/>
  <c r="Q7556" i="1"/>
  <c r="R7556" i="1"/>
  <c r="J808" i="1"/>
  <c r="Q808" i="1"/>
  <c r="R808" i="1"/>
  <c r="J809" i="1"/>
  <c r="Q809" i="1"/>
  <c r="R809" i="1"/>
  <c r="J7557" i="1"/>
  <c r="Q7557" i="1"/>
  <c r="R7557" i="1"/>
  <c r="J6579" i="1"/>
  <c r="Q6579" i="1"/>
  <c r="R6579" i="1"/>
  <c r="J6580" i="1"/>
  <c r="Q6580" i="1"/>
  <c r="R6580" i="1"/>
  <c r="J810" i="1"/>
  <c r="Q810" i="1"/>
  <c r="R810" i="1"/>
  <c r="J811" i="1"/>
  <c r="Q811" i="1"/>
  <c r="R811" i="1"/>
  <c r="J812" i="1"/>
  <c r="Q812" i="1"/>
  <c r="R812" i="1"/>
  <c r="J813" i="1"/>
  <c r="Q813" i="1"/>
  <c r="R813" i="1"/>
  <c r="J814" i="1"/>
  <c r="Q814" i="1"/>
  <c r="R814" i="1"/>
  <c r="J6821" i="1"/>
  <c r="Q6821" i="1"/>
  <c r="R6821" i="1"/>
  <c r="J7558" i="1"/>
  <c r="Q7558" i="1"/>
  <c r="R7558" i="1"/>
  <c r="J6822" i="1"/>
  <c r="Q6822" i="1"/>
  <c r="R6822" i="1"/>
  <c r="J13549" i="1"/>
  <c r="Q13549" i="1"/>
  <c r="R13549" i="1"/>
  <c r="J7559" i="1"/>
  <c r="Q7559" i="1"/>
  <c r="R7559" i="1"/>
  <c r="J7560" i="1"/>
  <c r="Q7560" i="1"/>
  <c r="R7560" i="1"/>
  <c r="J7561" i="1"/>
  <c r="Q7561" i="1"/>
  <c r="R7561" i="1"/>
  <c r="J815" i="1"/>
  <c r="Q815" i="1"/>
  <c r="R815" i="1"/>
  <c r="J816" i="1"/>
  <c r="Q816" i="1"/>
  <c r="R816" i="1"/>
  <c r="J817" i="1"/>
  <c r="Q817" i="1"/>
  <c r="R817" i="1"/>
  <c r="J818" i="1"/>
  <c r="Q818" i="1"/>
  <c r="R818" i="1"/>
  <c r="J819" i="1"/>
  <c r="Q819" i="1"/>
  <c r="R819" i="1"/>
  <c r="J820" i="1"/>
  <c r="Q820" i="1"/>
  <c r="R820" i="1"/>
  <c r="J821" i="1"/>
  <c r="Q821" i="1"/>
  <c r="R821" i="1"/>
  <c r="J822" i="1"/>
  <c r="Q822" i="1"/>
  <c r="R822" i="1"/>
  <c r="J823" i="1"/>
  <c r="Q823" i="1"/>
  <c r="R823" i="1"/>
  <c r="J824" i="1"/>
  <c r="Q824" i="1"/>
  <c r="R824" i="1"/>
  <c r="J825" i="1"/>
  <c r="Q825" i="1"/>
  <c r="R825" i="1"/>
  <c r="J826" i="1"/>
  <c r="Q826" i="1"/>
  <c r="R826" i="1"/>
  <c r="J7562" i="1"/>
  <c r="Q7562" i="1"/>
  <c r="R7562" i="1"/>
  <c r="J827" i="1"/>
  <c r="Q827" i="1"/>
  <c r="R827" i="1"/>
  <c r="J6581" i="1"/>
  <c r="Q6581" i="1"/>
  <c r="R6581" i="1"/>
  <c r="J6823" i="1"/>
  <c r="Q6823" i="1"/>
  <c r="R6823" i="1"/>
  <c r="J828" i="1"/>
  <c r="Q828" i="1"/>
  <c r="R828" i="1"/>
  <c r="J13550" i="1"/>
  <c r="Q13550" i="1"/>
  <c r="R13550" i="1"/>
  <c r="J10179" i="1"/>
  <c r="Q10179" i="1"/>
  <c r="R10179" i="1"/>
  <c r="J10180" i="1"/>
  <c r="Q10180" i="1"/>
  <c r="R10180" i="1"/>
  <c r="J10181" i="1"/>
  <c r="Q10181" i="1"/>
  <c r="R10181" i="1"/>
  <c r="J3781" i="1"/>
  <c r="Q3781" i="1"/>
  <c r="R3781" i="1"/>
  <c r="J3782" i="1"/>
  <c r="Q3782" i="1"/>
  <c r="R3782" i="1"/>
  <c r="J3783" i="1"/>
  <c r="Q3783" i="1"/>
  <c r="R3783" i="1"/>
  <c r="J3784" i="1"/>
  <c r="Q3784" i="1"/>
  <c r="R3784" i="1"/>
  <c r="J3785" i="1"/>
  <c r="Q3785" i="1"/>
  <c r="R3785" i="1"/>
  <c r="J10182" i="1"/>
  <c r="Q10182" i="1"/>
  <c r="R10182" i="1"/>
  <c r="J10183" i="1"/>
  <c r="Q10183" i="1"/>
  <c r="R10183" i="1"/>
  <c r="J10184" i="1"/>
  <c r="Q10184" i="1"/>
  <c r="R10184" i="1"/>
  <c r="J10185" i="1"/>
  <c r="Q10185" i="1"/>
  <c r="R10185" i="1"/>
  <c r="J3786" i="1"/>
  <c r="Q3786" i="1"/>
  <c r="R3786" i="1"/>
  <c r="J3787" i="1"/>
  <c r="Q3787" i="1"/>
  <c r="R3787" i="1"/>
  <c r="J10186" i="1"/>
  <c r="Q10186" i="1"/>
  <c r="R10186" i="1"/>
  <c r="J10187" i="1"/>
  <c r="Q10187" i="1"/>
  <c r="R10187" i="1"/>
  <c r="J3788" i="1"/>
  <c r="Q3788" i="1"/>
  <c r="R3788" i="1"/>
  <c r="J3789" i="1"/>
  <c r="Q3789" i="1"/>
  <c r="R3789" i="1"/>
  <c r="J3790" i="1"/>
  <c r="Q3790" i="1"/>
  <c r="R3790" i="1"/>
  <c r="J3791" i="1"/>
  <c r="Q3791" i="1"/>
  <c r="R3791" i="1"/>
  <c r="J3792" i="1"/>
  <c r="Q3792" i="1"/>
  <c r="R3792" i="1"/>
  <c r="J3793" i="1"/>
  <c r="Q3793" i="1"/>
  <c r="R3793" i="1"/>
  <c r="J3794" i="1"/>
  <c r="Q3794" i="1"/>
  <c r="R3794" i="1"/>
  <c r="J3795" i="1"/>
  <c r="Q3795" i="1"/>
  <c r="R3795" i="1"/>
  <c r="J10188" i="1"/>
  <c r="Q10188" i="1"/>
  <c r="R10188" i="1"/>
  <c r="J10189" i="1"/>
  <c r="Q10189" i="1"/>
  <c r="R10189" i="1"/>
  <c r="J3796" i="1"/>
  <c r="Q3796" i="1"/>
  <c r="R3796" i="1"/>
  <c r="J10190" i="1"/>
  <c r="Q10190" i="1"/>
  <c r="R10190" i="1"/>
  <c r="J10191" i="1"/>
  <c r="Q10191" i="1"/>
  <c r="R10191" i="1"/>
  <c r="J10192" i="1"/>
  <c r="Q10192" i="1"/>
  <c r="R10192" i="1"/>
  <c r="J3797" i="1"/>
  <c r="Q3797" i="1"/>
  <c r="R3797" i="1"/>
  <c r="J10193" i="1"/>
  <c r="Q10193" i="1"/>
  <c r="R10193" i="1"/>
  <c r="J10194" i="1"/>
  <c r="Q10194" i="1"/>
  <c r="R10194" i="1"/>
  <c r="J10195" i="1"/>
  <c r="Q10195" i="1"/>
  <c r="R10195" i="1"/>
  <c r="J10196" i="1"/>
  <c r="Q10196" i="1"/>
  <c r="R10196" i="1"/>
  <c r="J10197" i="1"/>
  <c r="Q10197" i="1"/>
  <c r="R10197" i="1"/>
  <c r="J10198" i="1"/>
  <c r="Q10198" i="1"/>
  <c r="R10198" i="1"/>
  <c r="J10199" i="1"/>
  <c r="Q10199" i="1"/>
  <c r="R10199" i="1"/>
  <c r="J10200" i="1"/>
  <c r="Q10200" i="1"/>
  <c r="R10200" i="1"/>
  <c r="J10201" i="1"/>
  <c r="Q10201" i="1"/>
  <c r="R10201" i="1"/>
  <c r="J10202" i="1"/>
  <c r="Q10202" i="1"/>
  <c r="R10202" i="1"/>
  <c r="J10203" i="1"/>
  <c r="Q10203" i="1"/>
  <c r="R10203" i="1"/>
  <c r="J10204" i="1"/>
  <c r="Q10204" i="1"/>
  <c r="R10204" i="1"/>
  <c r="J10205" i="1"/>
  <c r="Q10205" i="1"/>
  <c r="R10205" i="1"/>
  <c r="J10206" i="1"/>
  <c r="Q10206" i="1"/>
  <c r="R10206" i="1"/>
  <c r="J10207" i="1"/>
  <c r="Q10207" i="1"/>
  <c r="R10207" i="1"/>
  <c r="J10208" i="1"/>
  <c r="Q10208" i="1"/>
  <c r="R10208" i="1"/>
  <c r="J10209" i="1"/>
  <c r="Q10209" i="1"/>
  <c r="R10209" i="1"/>
  <c r="J10210" i="1"/>
  <c r="Q10210" i="1"/>
  <c r="R10210" i="1"/>
  <c r="J10211" i="1"/>
  <c r="Q10211" i="1"/>
  <c r="R10211" i="1"/>
  <c r="J10212" i="1"/>
  <c r="Q10212" i="1"/>
  <c r="R10212" i="1"/>
  <c r="J10213" i="1"/>
  <c r="Q10213" i="1"/>
  <c r="R10213" i="1"/>
  <c r="J3798" i="1"/>
  <c r="Q3798" i="1"/>
  <c r="R3798" i="1"/>
  <c r="J3799" i="1"/>
  <c r="Q3799" i="1"/>
  <c r="R3799" i="1"/>
  <c r="J10214" i="1"/>
  <c r="Q10214" i="1"/>
  <c r="R10214" i="1"/>
  <c r="J10215" i="1"/>
  <c r="Q10215" i="1"/>
  <c r="R10215" i="1"/>
  <c r="J10216" i="1"/>
  <c r="Q10216" i="1"/>
  <c r="R10216" i="1"/>
  <c r="J10217" i="1"/>
  <c r="Q10217" i="1"/>
  <c r="R10217" i="1"/>
  <c r="J3800" i="1"/>
  <c r="Q3800" i="1"/>
  <c r="R3800" i="1"/>
  <c r="J10218" i="1"/>
  <c r="Q10218" i="1"/>
  <c r="R10218" i="1"/>
  <c r="J10219" i="1"/>
  <c r="Q10219" i="1"/>
  <c r="R10219" i="1"/>
  <c r="J10220" i="1"/>
  <c r="Q10220" i="1"/>
  <c r="R10220" i="1"/>
  <c r="J10221" i="1"/>
  <c r="Q10221" i="1"/>
  <c r="R10221" i="1"/>
  <c r="J10222" i="1"/>
  <c r="Q10222" i="1"/>
  <c r="R10222" i="1"/>
  <c r="J10223" i="1"/>
  <c r="Q10223" i="1"/>
  <c r="R10223" i="1"/>
  <c r="J10224" i="1"/>
  <c r="Q10224" i="1"/>
  <c r="R10224" i="1"/>
  <c r="J10225" i="1"/>
  <c r="Q10225" i="1"/>
  <c r="R10225" i="1"/>
  <c r="J10226" i="1"/>
  <c r="Q10226" i="1"/>
  <c r="R10226" i="1"/>
  <c r="J3801" i="1"/>
  <c r="Q3801" i="1"/>
  <c r="R3801" i="1"/>
  <c r="J3802" i="1"/>
  <c r="Q3802" i="1"/>
  <c r="R3802" i="1"/>
  <c r="J3803" i="1"/>
  <c r="Q3803" i="1"/>
  <c r="R3803" i="1"/>
  <c r="J10227" i="1"/>
  <c r="Q10227" i="1"/>
  <c r="R10227" i="1"/>
  <c r="J3804" i="1"/>
  <c r="Q3804" i="1"/>
  <c r="R3804" i="1"/>
  <c r="J3805" i="1"/>
  <c r="Q3805" i="1"/>
  <c r="R3805" i="1"/>
  <c r="J3806" i="1"/>
  <c r="Q3806" i="1"/>
  <c r="R3806" i="1"/>
  <c r="J3807" i="1"/>
  <c r="Q3807" i="1"/>
  <c r="R3807" i="1"/>
  <c r="J3808" i="1"/>
  <c r="Q3808" i="1"/>
  <c r="R3808" i="1"/>
  <c r="J3809" i="1"/>
  <c r="Q3809" i="1"/>
  <c r="R3809" i="1"/>
  <c r="J3810" i="1"/>
  <c r="Q3810" i="1"/>
  <c r="R3810" i="1"/>
  <c r="J3811" i="1"/>
  <c r="Q3811" i="1"/>
  <c r="R3811" i="1"/>
  <c r="J3812" i="1"/>
  <c r="Q3812" i="1"/>
  <c r="R3812" i="1"/>
  <c r="J3813" i="1"/>
  <c r="Q3813" i="1"/>
  <c r="R3813" i="1"/>
  <c r="J3814" i="1"/>
  <c r="Q3814" i="1"/>
  <c r="R3814" i="1"/>
  <c r="J3815" i="1"/>
  <c r="Q3815" i="1"/>
  <c r="R3815" i="1"/>
  <c r="J3816" i="1"/>
  <c r="Q3816" i="1"/>
  <c r="R3816" i="1"/>
  <c r="J3817" i="1"/>
  <c r="Q3817" i="1"/>
  <c r="R3817" i="1"/>
  <c r="J3818" i="1"/>
  <c r="Q3818" i="1"/>
  <c r="R3818" i="1"/>
  <c r="J3819" i="1"/>
  <c r="Q3819" i="1"/>
  <c r="R3819" i="1"/>
  <c r="J3820" i="1"/>
  <c r="Q3820" i="1"/>
  <c r="R3820" i="1"/>
  <c r="J3821" i="1"/>
  <c r="Q3821" i="1"/>
  <c r="R3821" i="1"/>
  <c r="J3822" i="1"/>
  <c r="Q3822" i="1"/>
  <c r="R3822" i="1"/>
  <c r="J3823" i="1"/>
  <c r="Q3823" i="1"/>
  <c r="R3823" i="1"/>
  <c r="J3824" i="1"/>
  <c r="Q3824" i="1"/>
  <c r="R3824" i="1"/>
  <c r="J3825" i="1"/>
  <c r="Q3825" i="1"/>
  <c r="R3825" i="1"/>
  <c r="J10228" i="1"/>
  <c r="Q10228" i="1"/>
  <c r="R10228" i="1"/>
  <c r="J3826" i="1"/>
  <c r="Q3826" i="1"/>
  <c r="R3826" i="1"/>
  <c r="J3827" i="1"/>
  <c r="Q3827" i="1"/>
  <c r="R3827" i="1"/>
  <c r="J10229" i="1"/>
  <c r="Q10229" i="1"/>
  <c r="R10229" i="1"/>
  <c r="J10230" i="1"/>
  <c r="Q10230" i="1"/>
  <c r="R10230" i="1"/>
  <c r="J10231" i="1"/>
  <c r="Q10231" i="1"/>
  <c r="R10231" i="1"/>
  <c r="J10232" i="1"/>
  <c r="Q10232" i="1"/>
  <c r="R10232" i="1"/>
  <c r="J3828" i="1"/>
  <c r="Q3828" i="1"/>
  <c r="R3828" i="1"/>
  <c r="J10233" i="1"/>
  <c r="Q10233" i="1"/>
  <c r="R10233" i="1"/>
  <c r="J10234" i="1"/>
  <c r="Q10234" i="1"/>
  <c r="R10234" i="1"/>
  <c r="J10235" i="1"/>
  <c r="Q10235" i="1"/>
  <c r="R10235" i="1"/>
  <c r="J10236" i="1"/>
  <c r="Q10236" i="1"/>
  <c r="R10236" i="1"/>
  <c r="J10237" i="1"/>
  <c r="Q10237" i="1"/>
  <c r="R10237" i="1"/>
  <c r="J10238" i="1"/>
  <c r="Q10238" i="1"/>
  <c r="R10238" i="1"/>
  <c r="J10239" i="1"/>
  <c r="Q10239" i="1"/>
  <c r="R10239" i="1"/>
  <c r="J10240" i="1"/>
  <c r="Q10240" i="1"/>
  <c r="R10240" i="1"/>
  <c r="J10241" i="1"/>
  <c r="Q10241" i="1"/>
  <c r="R10241" i="1"/>
  <c r="J10242" i="1"/>
  <c r="Q10242" i="1"/>
  <c r="R10242" i="1"/>
  <c r="J10243" i="1"/>
  <c r="Q10243" i="1"/>
  <c r="R10243" i="1"/>
  <c r="J10244" i="1"/>
  <c r="Q10244" i="1"/>
  <c r="R10244" i="1"/>
  <c r="J10245" i="1"/>
  <c r="Q10245" i="1"/>
  <c r="R10245" i="1"/>
  <c r="J10246" i="1"/>
  <c r="Q10246" i="1"/>
  <c r="R10246" i="1"/>
  <c r="J10247" i="1"/>
  <c r="Q10247" i="1"/>
  <c r="R10247" i="1"/>
  <c r="J10248" i="1"/>
  <c r="Q10248" i="1"/>
  <c r="R10248" i="1"/>
  <c r="J3829" i="1"/>
  <c r="Q3829" i="1"/>
  <c r="R3829" i="1"/>
  <c r="J3830" i="1"/>
  <c r="Q3830" i="1"/>
  <c r="R3830" i="1"/>
  <c r="J3831" i="1"/>
  <c r="Q3831" i="1"/>
  <c r="R3831" i="1"/>
  <c r="J3832" i="1"/>
  <c r="Q3832" i="1"/>
  <c r="R3832" i="1"/>
  <c r="J3833" i="1"/>
  <c r="Q3833" i="1"/>
  <c r="R3833" i="1"/>
  <c r="J3834" i="1"/>
  <c r="Q3834" i="1"/>
  <c r="R3834" i="1"/>
  <c r="J3835" i="1"/>
  <c r="Q3835" i="1"/>
  <c r="R3835" i="1"/>
  <c r="J3836" i="1"/>
  <c r="Q3836" i="1"/>
  <c r="R3836" i="1"/>
  <c r="J3837" i="1"/>
  <c r="Q3837" i="1"/>
  <c r="R3837" i="1"/>
  <c r="J3838" i="1"/>
  <c r="Q3838" i="1"/>
  <c r="R3838" i="1"/>
  <c r="J3839" i="1"/>
  <c r="Q3839" i="1"/>
  <c r="R3839" i="1"/>
  <c r="J3840" i="1"/>
  <c r="Q3840" i="1"/>
  <c r="R3840" i="1"/>
  <c r="J3841" i="1"/>
  <c r="Q3841" i="1"/>
  <c r="R3841" i="1"/>
  <c r="J3842" i="1"/>
  <c r="Q3842" i="1"/>
  <c r="R3842" i="1"/>
  <c r="J3843" i="1"/>
  <c r="Q3843" i="1"/>
  <c r="R3843" i="1"/>
  <c r="J3844" i="1"/>
  <c r="Q3844" i="1"/>
  <c r="R3844" i="1"/>
  <c r="J3845" i="1"/>
  <c r="Q3845" i="1"/>
  <c r="R3845" i="1"/>
  <c r="J3846" i="1"/>
  <c r="Q3846" i="1"/>
  <c r="R3846" i="1"/>
  <c r="J3847" i="1"/>
  <c r="Q3847" i="1"/>
  <c r="R3847" i="1"/>
  <c r="J3848" i="1"/>
  <c r="Q3848" i="1"/>
  <c r="R3848" i="1"/>
  <c r="J3849" i="1"/>
  <c r="Q3849" i="1"/>
  <c r="R3849" i="1"/>
  <c r="J10249" i="1"/>
  <c r="Q10249" i="1"/>
  <c r="R10249" i="1"/>
  <c r="J3850" i="1"/>
  <c r="Q3850" i="1"/>
  <c r="R3850" i="1"/>
  <c r="J3851" i="1"/>
  <c r="Q3851" i="1"/>
  <c r="R3851" i="1"/>
  <c r="J10250" i="1"/>
  <c r="Q10250" i="1"/>
  <c r="R10250" i="1"/>
  <c r="J3852" i="1"/>
  <c r="Q3852" i="1"/>
  <c r="R3852" i="1"/>
  <c r="J10251" i="1"/>
  <c r="Q10251" i="1"/>
  <c r="R10251" i="1"/>
  <c r="J10252" i="1"/>
  <c r="Q10252" i="1"/>
  <c r="R10252" i="1"/>
  <c r="J10253" i="1"/>
  <c r="Q10253" i="1"/>
  <c r="R10253" i="1"/>
  <c r="J10254" i="1"/>
  <c r="Q10254" i="1"/>
  <c r="R10254" i="1"/>
  <c r="J3853" i="1"/>
  <c r="Q3853" i="1"/>
  <c r="R3853" i="1"/>
  <c r="J10255" i="1"/>
  <c r="Q10255" i="1"/>
  <c r="R10255" i="1"/>
  <c r="J3854" i="1"/>
  <c r="Q3854" i="1"/>
  <c r="R3854" i="1"/>
  <c r="J10256" i="1"/>
  <c r="Q10256" i="1"/>
  <c r="R10256" i="1"/>
  <c r="J3855" i="1"/>
  <c r="Q3855" i="1"/>
  <c r="R3855" i="1"/>
  <c r="J10257" i="1"/>
  <c r="Q10257" i="1"/>
  <c r="R10257" i="1"/>
  <c r="J3856" i="1"/>
  <c r="Q3856" i="1"/>
  <c r="R3856" i="1"/>
  <c r="J3857" i="1"/>
  <c r="Q3857" i="1"/>
  <c r="R3857" i="1"/>
  <c r="J10258" i="1"/>
  <c r="Q10258" i="1"/>
  <c r="R10258" i="1"/>
  <c r="J10259" i="1"/>
  <c r="Q10259" i="1"/>
  <c r="R10259" i="1"/>
  <c r="J10260" i="1"/>
  <c r="Q10260" i="1"/>
  <c r="R10260" i="1"/>
  <c r="J3858" i="1"/>
  <c r="Q3858" i="1"/>
  <c r="R3858" i="1"/>
  <c r="J3859" i="1"/>
  <c r="Q3859" i="1"/>
  <c r="R3859" i="1"/>
  <c r="J3860" i="1"/>
  <c r="Q3860" i="1"/>
  <c r="R3860" i="1"/>
  <c r="J3861" i="1"/>
  <c r="Q3861" i="1"/>
  <c r="R3861" i="1"/>
  <c r="J3862" i="1"/>
  <c r="Q3862" i="1"/>
  <c r="R3862" i="1"/>
  <c r="J10261" i="1"/>
  <c r="Q10261" i="1"/>
  <c r="R10261" i="1"/>
  <c r="J3863" i="1"/>
  <c r="Q3863" i="1"/>
  <c r="R3863" i="1"/>
  <c r="J3864" i="1"/>
  <c r="Q3864" i="1"/>
  <c r="R3864" i="1"/>
  <c r="J10262" i="1"/>
  <c r="Q10262" i="1"/>
  <c r="R10262" i="1"/>
  <c r="J10263" i="1"/>
  <c r="Q10263" i="1"/>
  <c r="R10263" i="1"/>
  <c r="J3865" i="1"/>
  <c r="Q3865" i="1"/>
  <c r="R3865" i="1"/>
  <c r="J10264" i="1"/>
  <c r="Q10264" i="1"/>
  <c r="R10264" i="1"/>
  <c r="J10265" i="1"/>
  <c r="Q10265" i="1"/>
  <c r="R10265" i="1"/>
  <c r="J3866" i="1"/>
  <c r="Q3866" i="1"/>
  <c r="R3866" i="1"/>
  <c r="J3867" i="1"/>
  <c r="Q3867" i="1"/>
  <c r="R3867" i="1"/>
  <c r="J3868" i="1"/>
  <c r="Q3868" i="1"/>
  <c r="R3868" i="1"/>
  <c r="J3869" i="1"/>
  <c r="Q3869" i="1"/>
  <c r="R3869" i="1"/>
  <c r="J3870" i="1"/>
  <c r="Q3870" i="1"/>
  <c r="R3870" i="1"/>
  <c r="J10266" i="1"/>
  <c r="Q10266" i="1"/>
  <c r="R10266" i="1"/>
  <c r="J10267" i="1"/>
  <c r="Q10267" i="1"/>
  <c r="R10267" i="1"/>
  <c r="J10268" i="1"/>
  <c r="Q10268" i="1"/>
  <c r="R10268" i="1"/>
  <c r="J10269" i="1"/>
  <c r="Q10269" i="1"/>
  <c r="R10269" i="1"/>
  <c r="J3871" i="1"/>
  <c r="Q3871" i="1"/>
  <c r="R3871" i="1"/>
  <c r="J10270" i="1"/>
  <c r="Q10270" i="1"/>
  <c r="R10270" i="1"/>
  <c r="J10271" i="1"/>
  <c r="Q10271" i="1"/>
  <c r="R10271" i="1"/>
  <c r="J10272" i="1"/>
  <c r="Q10272" i="1"/>
  <c r="R10272" i="1"/>
  <c r="J10273" i="1"/>
  <c r="Q10273" i="1"/>
  <c r="R10273" i="1"/>
  <c r="J10274" i="1"/>
  <c r="Q10274" i="1"/>
  <c r="R10274" i="1"/>
  <c r="J10275" i="1"/>
  <c r="Q10275" i="1"/>
  <c r="R10275" i="1"/>
  <c r="J10276" i="1"/>
  <c r="Q10276" i="1"/>
  <c r="R10276" i="1"/>
  <c r="J10277" i="1"/>
  <c r="Q10277" i="1"/>
  <c r="R10277" i="1"/>
  <c r="J10278" i="1"/>
  <c r="Q10278" i="1"/>
  <c r="R10278" i="1"/>
  <c r="J3872" i="1"/>
  <c r="Q3872" i="1"/>
  <c r="R3872" i="1"/>
  <c r="J10279" i="1"/>
  <c r="Q10279" i="1"/>
  <c r="R10279" i="1"/>
  <c r="J10280" i="1"/>
  <c r="Q10280" i="1"/>
  <c r="R10280" i="1"/>
  <c r="J10281" i="1"/>
  <c r="Q10281" i="1"/>
  <c r="R10281" i="1"/>
  <c r="J10282" i="1"/>
  <c r="Q10282" i="1"/>
  <c r="R10282" i="1"/>
  <c r="J10283" i="1"/>
  <c r="Q10283" i="1"/>
  <c r="R10283" i="1"/>
  <c r="J10284" i="1"/>
  <c r="Q10284" i="1"/>
  <c r="R10284" i="1"/>
  <c r="J10285" i="1"/>
  <c r="Q10285" i="1"/>
  <c r="R10285" i="1"/>
  <c r="J10286" i="1"/>
  <c r="Q10286" i="1"/>
  <c r="R10286" i="1"/>
  <c r="J10287" i="1"/>
  <c r="Q10287" i="1"/>
  <c r="R10287" i="1"/>
  <c r="J10288" i="1"/>
  <c r="Q10288" i="1"/>
  <c r="R10288" i="1"/>
  <c r="J10289" i="1"/>
  <c r="Q10289" i="1"/>
  <c r="R10289" i="1"/>
  <c r="J10290" i="1"/>
  <c r="Q10290" i="1"/>
  <c r="R10290" i="1"/>
  <c r="J10291" i="1"/>
  <c r="Q10291" i="1"/>
  <c r="R10291" i="1"/>
  <c r="J10292" i="1"/>
  <c r="Q10292" i="1"/>
  <c r="R10292" i="1"/>
  <c r="J10293" i="1"/>
  <c r="Q10293" i="1"/>
  <c r="R10293" i="1"/>
  <c r="J3873" i="1"/>
  <c r="Q3873" i="1"/>
  <c r="R3873" i="1"/>
  <c r="J10294" i="1"/>
  <c r="Q10294" i="1"/>
  <c r="R10294" i="1"/>
  <c r="J10295" i="1"/>
  <c r="Q10295" i="1"/>
  <c r="R10295" i="1"/>
  <c r="J3874" i="1"/>
  <c r="Q3874" i="1"/>
  <c r="R3874" i="1"/>
  <c r="J3875" i="1"/>
  <c r="Q3875" i="1"/>
  <c r="R3875" i="1"/>
  <c r="J10296" i="1"/>
  <c r="Q10296" i="1"/>
  <c r="R10296" i="1"/>
  <c r="J10297" i="1"/>
  <c r="Q10297" i="1"/>
  <c r="R10297" i="1"/>
  <c r="J10298" i="1"/>
  <c r="Q10298" i="1"/>
  <c r="R10298" i="1"/>
  <c r="J10299" i="1"/>
  <c r="Q10299" i="1"/>
  <c r="R10299" i="1"/>
  <c r="J10300" i="1"/>
  <c r="Q10300" i="1"/>
  <c r="R10300" i="1"/>
  <c r="J10301" i="1"/>
  <c r="Q10301" i="1"/>
  <c r="R10301" i="1"/>
  <c r="J3876" i="1"/>
  <c r="Q3876" i="1"/>
  <c r="R3876" i="1"/>
  <c r="J10302" i="1"/>
  <c r="Q10302" i="1"/>
  <c r="R10302" i="1"/>
  <c r="J10303" i="1"/>
  <c r="Q10303" i="1"/>
  <c r="R10303" i="1"/>
  <c r="J10304" i="1"/>
  <c r="Q10304" i="1"/>
  <c r="R10304" i="1"/>
  <c r="J10305" i="1"/>
  <c r="Q10305" i="1"/>
  <c r="R10305" i="1"/>
  <c r="J10306" i="1"/>
  <c r="Q10306" i="1"/>
  <c r="R10306" i="1"/>
  <c r="J10307" i="1"/>
  <c r="Q10307" i="1"/>
  <c r="R10307" i="1"/>
  <c r="J10308" i="1"/>
  <c r="Q10308" i="1"/>
  <c r="R10308" i="1"/>
  <c r="J10309" i="1"/>
  <c r="Q10309" i="1"/>
  <c r="R10309" i="1"/>
  <c r="J10310" i="1"/>
  <c r="Q10310" i="1"/>
  <c r="R10310" i="1"/>
  <c r="J10311" i="1"/>
  <c r="Q10311" i="1"/>
  <c r="R10311" i="1"/>
  <c r="J10312" i="1"/>
  <c r="Q10312" i="1"/>
  <c r="R10312" i="1"/>
  <c r="J10313" i="1"/>
  <c r="Q10313" i="1"/>
  <c r="R10313" i="1"/>
  <c r="J10314" i="1"/>
  <c r="Q10314" i="1"/>
  <c r="R10314" i="1"/>
  <c r="J3877" i="1"/>
  <c r="Q3877" i="1"/>
  <c r="R3877" i="1"/>
  <c r="J10315" i="1"/>
  <c r="Q10315" i="1"/>
  <c r="R10315" i="1"/>
  <c r="J10316" i="1"/>
  <c r="Q10316" i="1"/>
  <c r="R10316" i="1"/>
  <c r="J3878" i="1"/>
  <c r="Q3878" i="1"/>
  <c r="R3878" i="1"/>
  <c r="J10317" i="1"/>
  <c r="Q10317" i="1"/>
  <c r="R10317" i="1"/>
  <c r="J10318" i="1"/>
  <c r="Q10318" i="1"/>
  <c r="R10318" i="1"/>
  <c r="J10319" i="1"/>
  <c r="Q10319" i="1"/>
  <c r="R10319" i="1"/>
  <c r="J10320" i="1"/>
  <c r="Q10320" i="1"/>
  <c r="R10320" i="1"/>
  <c r="J10321" i="1"/>
  <c r="Q10321" i="1"/>
  <c r="R10321" i="1"/>
  <c r="J10322" i="1"/>
  <c r="Q10322" i="1"/>
  <c r="R10322" i="1"/>
  <c r="J10323" i="1"/>
  <c r="Q10323" i="1"/>
  <c r="R10323" i="1"/>
  <c r="J10324" i="1"/>
  <c r="Q10324" i="1"/>
  <c r="R10324" i="1"/>
  <c r="J3879" i="1"/>
  <c r="Q3879" i="1"/>
  <c r="R3879" i="1"/>
  <c r="J10325" i="1"/>
  <c r="Q10325" i="1"/>
  <c r="R10325" i="1"/>
  <c r="J10326" i="1"/>
  <c r="Q10326" i="1"/>
  <c r="R10326" i="1"/>
  <c r="J3880" i="1"/>
  <c r="Q3880" i="1"/>
  <c r="R3880" i="1"/>
  <c r="J3881" i="1"/>
  <c r="Q3881" i="1"/>
  <c r="R3881" i="1"/>
  <c r="J3882" i="1"/>
  <c r="Q3882" i="1"/>
  <c r="R3882" i="1"/>
  <c r="J3883" i="1"/>
  <c r="Q3883" i="1"/>
  <c r="R3883" i="1"/>
  <c r="J3884" i="1"/>
  <c r="Q3884" i="1"/>
  <c r="R3884" i="1"/>
  <c r="J3885" i="1"/>
  <c r="Q3885" i="1"/>
  <c r="R3885" i="1"/>
  <c r="J3886" i="1"/>
  <c r="Q3886" i="1"/>
  <c r="R3886" i="1"/>
  <c r="J3887" i="1"/>
  <c r="Q3887" i="1"/>
  <c r="R3887" i="1"/>
  <c r="J3888" i="1"/>
  <c r="Q3888" i="1"/>
  <c r="R3888" i="1"/>
  <c r="J3889" i="1"/>
  <c r="Q3889" i="1"/>
  <c r="R3889" i="1"/>
  <c r="J10327" i="1"/>
  <c r="Q10327" i="1"/>
  <c r="R10327" i="1"/>
  <c r="J3890" i="1"/>
  <c r="Q3890" i="1"/>
  <c r="R3890" i="1"/>
  <c r="J3891" i="1"/>
  <c r="Q3891" i="1"/>
  <c r="R3891" i="1"/>
  <c r="J3892" i="1"/>
  <c r="Q3892" i="1"/>
  <c r="R3892" i="1"/>
  <c r="J3893" i="1"/>
  <c r="Q3893" i="1"/>
  <c r="R3893" i="1"/>
  <c r="J3894" i="1"/>
  <c r="Q3894" i="1"/>
  <c r="R3894" i="1"/>
  <c r="J3895" i="1"/>
  <c r="Q3895" i="1"/>
  <c r="R3895" i="1"/>
  <c r="J3896" i="1"/>
  <c r="Q3896" i="1"/>
  <c r="R3896" i="1"/>
  <c r="J3897" i="1"/>
  <c r="Q3897" i="1"/>
  <c r="R3897" i="1"/>
  <c r="J3898" i="1"/>
  <c r="Q3898" i="1"/>
  <c r="R3898" i="1"/>
  <c r="J3899" i="1"/>
  <c r="Q3899" i="1"/>
  <c r="R3899" i="1"/>
  <c r="J3900" i="1"/>
  <c r="Q3900" i="1"/>
  <c r="R3900" i="1"/>
  <c r="J10328" i="1"/>
  <c r="Q10328" i="1"/>
  <c r="R10328" i="1"/>
  <c r="J3901" i="1"/>
  <c r="Q3901" i="1"/>
  <c r="R3901" i="1"/>
  <c r="J10329" i="1"/>
  <c r="Q10329" i="1"/>
  <c r="R10329" i="1"/>
  <c r="J3902" i="1"/>
  <c r="Q3902" i="1"/>
  <c r="R3902" i="1"/>
  <c r="J10330" i="1"/>
  <c r="Q10330" i="1"/>
  <c r="R10330" i="1"/>
  <c r="J3903" i="1"/>
  <c r="Q3903" i="1"/>
  <c r="R3903" i="1"/>
  <c r="J10331" i="1"/>
  <c r="Q10331" i="1"/>
  <c r="R10331" i="1"/>
  <c r="J3904" i="1"/>
  <c r="Q3904" i="1"/>
  <c r="R3904" i="1"/>
  <c r="J10332" i="1"/>
  <c r="Q10332" i="1"/>
  <c r="R10332" i="1"/>
  <c r="J3905" i="1"/>
  <c r="Q3905" i="1"/>
  <c r="R3905" i="1"/>
  <c r="J10333" i="1"/>
  <c r="Q10333" i="1"/>
  <c r="R10333" i="1"/>
  <c r="J10334" i="1"/>
  <c r="Q10334" i="1"/>
  <c r="R10334" i="1"/>
  <c r="J3906" i="1"/>
  <c r="Q3906" i="1"/>
  <c r="R3906" i="1"/>
  <c r="J10335" i="1"/>
  <c r="Q10335" i="1"/>
  <c r="R10335" i="1"/>
  <c r="J10336" i="1"/>
  <c r="Q10336" i="1"/>
  <c r="R10336" i="1"/>
  <c r="J10337" i="1"/>
  <c r="Q10337" i="1"/>
  <c r="R10337" i="1"/>
  <c r="J10338" i="1"/>
  <c r="Q10338" i="1"/>
  <c r="R10338" i="1"/>
  <c r="J10339" i="1"/>
  <c r="Q10339" i="1"/>
  <c r="R10339" i="1"/>
  <c r="J10340" i="1"/>
  <c r="Q10340" i="1"/>
  <c r="R10340" i="1"/>
  <c r="J10341" i="1"/>
  <c r="Q10341" i="1"/>
  <c r="R10341" i="1"/>
  <c r="J10342" i="1"/>
  <c r="Q10342" i="1"/>
  <c r="R10342" i="1"/>
  <c r="J10343" i="1"/>
  <c r="Q10343" i="1"/>
  <c r="R10343" i="1"/>
  <c r="J3907" i="1"/>
  <c r="Q3907" i="1"/>
  <c r="R3907" i="1"/>
  <c r="J10344" i="1"/>
  <c r="Q10344" i="1"/>
  <c r="R10344" i="1"/>
  <c r="J3908" i="1"/>
  <c r="Q3908" i="1"/>
  <c r="R3908" i="1"/>
  <c r="J3909" i="1"/>
  <c r="Q3909" i="1"/>
  <c r="R3909" i="1"/>
  <c r="J10345" i="1"/>
  <c r="Q10345" i="1"/>
  <c r="R10345" i="1"/>
  <c r="J10346" i="1"/>
  <c r="Q10346" i="1"/>
  <c r="R10346" i="1"/>
  <c r="J3910" i="1"/>
  <c r="Q3910" i="1"/>
  <c r="R3910" i="1"/>
  <c r="J10347" i="1"/>
  <c r="Q10347" i="1"/>
  <c r="R10347" i="1"/>
  <c r="J10348" i="1"/>
  <c r="Q10348" i="1"/>
  <c r="R10348" i="1"/>
  <c r="J3911" i="1"/>
  <c r="Q3911" i="1"/>
  <c r="R3911" i="1"/>
  <c r="J10349" i="1"/>
  <c r="Q10349" i="1"/>
  <c r="R10349" i="1"/>
  <c r="J10350" i="1"/>
  <c r="Q10350" i="1"/>
  <c r="R10350" i="1"/>
  <c r="J3912" i="1"/>
  <c r="Q3912" i="1"/>
  <c r="R3912" i="1"/>
  <c r="J10351" i="1"/>
  <c r="Q10351" i="1"/>
  <c r="R10351" i="1"/>
  <c r="J10352" i="1"/>
  <c r="Q10352" i="1"/>
  <c r="R10352" i="1"/>
  <c r="J10353" i="1"/>
  <c r="Q10353" i="1"/>
  <c r="R10353" i="1"/>
  <c r="J10354" i="1"/>
  <c r="Q10354" i="1"/>
  <c r="R10354" i="1"/>
  <c r="J3913" i="1"/>
  <c r="Q3913" i="1"/>
  <c r="R3913" i="1"/>
  <c r="J10355" i="1"/>
  <c r="Q10355" i="1"/>
  <c r="R10355" i="1"/>
  <c r="J10356" i="1"/>
  <c r="Q10356" i="1"/>
  <c r="R10356" i="1"/>
  <c r="J10357" i="1"/>
  <c r="Q10357" i="1"/>
  <c r="R10357" i="1"/>
  <c r="J3914" i="1"/>
  <c r="Q3914" i="1"/>
  <c r="R3914" i="1"/>
  <c r="J10358" i="1"/>
  <c r="Q10358" i="1"/>
  <c r="R10358" i="1"/>
  <c r="J10359" i="1"/>
  <c r="Q10359" i="1"/>
  <c r="R10359" i="1"/>
  <c r="J10360" i="1"/>
  <c r="Q10360" i="1"/>
  <c r="R10360" i="1"/>
  <c r="J10361" i="1"/>
  <c r="Q10361" i="1"/>
  <c r="R10361" i="1"/>
  <c r="J10362" i="1"/>
  <c r="Q10362" i="1"/>
  <c r="R10362" i="1"/>
  <c r="J10363" i="1"/>
  <c r="Q10363" i="1"/>
  <c r="R10363" i="1"/>
  <c r="J10364" i="1"/>
  <c r="Q10364" i="1"/>
  <c r="R10364" i="1"/>
  <c r="J10365" i="1"/>
  <c r="Q10365" i="1"/>
  <c r="R10365" i="1"/>
  <c r="J3915" i="1"/>
  <c r="Q3915" i="1"/>
  <c r="R3915" i="1"/>
  <c r="J3916" i="1"/>
  <c r="Q3916" i="1"/>
  <c r="R3916" i="1"/>
  <c r="J10366" i="1"/>
  <c r="Q10366" i="1"/>
  <c r="R10366" i="1"/>
  <c r="J3917" i="1"/>
  <c r="Q3917" i="1"/>
  <c r="R3917" i="1"/>
  <c r="J10367" i="1"/>
  <c r="Q10367" i="1"/>
  <c r="R10367" i="1"/>
  <c r="J10368" i="1"/>
  <c r="Q10368" i="1"/>
  <c r="R10368" i="1"/>
  <c r="J3918" i="1"/>
  <c r="Q3918" i="1"/>
  <c r="R3918" i="1"/>
  <c r="J3919" i="1"/>
  <c r="Q3919" i="1"/>
  <c r="R3919" i="1"/>
  <c r="J10369" i="1"/>
  <c r="Q10369" i="1"/>
  <c r="R10369" i="1"/>
  <c r="J10370" i="1"/>
  <c r="Q10370" i="1"/>
  <c r="R10370" i="1"/>
  <c r="J3920" i="1"/>
  <c r="Q3920" i="1"/>
  <c r="R3920" i="1"/>
  <c r="J3921" i="1"/>
  <c r="Q3921" i="1"/>
  <c r="R3921" i="1"/>
  <c r="J3922" i="1"/>
  <c r="Q3922" i="1"/>
  <c r="R3922" i="1"/>
  <c r="J3923" i="1"/>
  <c r="Q3923" i="1"/>
  <c r="R3923" i="1"/>
  <c r="J3924" i="1"/>
  <c r="Q3924" i="1"/>
  <c r="R3924" i="1"/>
  <c r="J3925" i="1"/>
  <c r="Q3925" i="1"/>
  <c r="R3925" i="1"/>
  <c r="J3926" i="1"/>
  <c r="Q3926" i="1"/>
  <c r="R3926" i="1"/>
  <c r="J3927" i="1"/>
  <c r="Q3927" i="1"/>
  <c r="R3927" i="1"/>
  <c r="J3928" i="1"/>
  <c r="Q3928" i="1"/>
  <c r="R3928" i="1"/>
  <c r="J3929" i="1"/>
  <c r="Q3929" i="1"/>
  <c r="R3929" i="1"/>
  <c r="J3930" i="1"/>
  <c r="Q3930" i="1"/>
  <c r="R3930" i="1"/>
  <c r="J3931" i="1"/>
  <c r="Q3931" i="1"/>
  <c r="R3931" i="1"/>
  <c r="J3932" i="1"/>
  <c r="Q3932" i="1"/>
  <c r="R3932" i="1"/>
  <c r="J3933" i="1"/>
  <c r="Q3933" i="1"/>
  <c r="R3933" i="1"/>
  <c r="J3934" i="1"/>
  <c r="Q3934" i="1"/>
  <c r="R3934" i="1"/>
  <c r="J3935" i="1"/>
  <c r="Q3935" i="1"/>
  <c r="R3935" i="1"/>
  <c r="J3936" i="1"/>
  <c r="Q3936" i="1"/>
  <c r="R3936" i="1"/>
  <c r="J10371" i="1"/>
  <c r="Q10371" i="1"/>
  <c r="R10371" i="1"/>
  <c r="J10372" i="1"/>
  <c r="Q10372" i="1"/>
  <c r="R10372" i="1"/>
  <c r="J3937" i="1"/>
  <c r="Q3937" i="1"/>
  <c r="R3937" i="1"/>
  <c r="J10373" i="1"/>
  <c r="Q10373" i="1"/>
  <c r="R10373" i="1"/>
  <c r="J10374" i="1"/>
  <c r="Q10374" i="1"/>
  <c r="R10374" i="1"/>
  <c r="J3938" i="1"/>
  <c r="Q3938" i="1"/>
  <c r="R3938" i="1"/>
  <c r="J3939" i="1"/>
  <c r="Q3939" i="1"/>
  <c r="R3939" i="1"/>
  <c r="J3940" i="1"/>
  <c r="Q3940" i="1"/>
  <c r="R3940" i="1"/>
  <c r="J3941" i="1"/>
  <c r="Q3941" i="1"/>
  <c r="R3941" i="1"/>
  <c r="J10375" i="1"/>
  <c r="Q10375" i="1"/>
  <c r="R10375" i="1"/>
  <c r="J3942" i="1"/>
  <c r="Q3942" i="1"/>
  <c r="R3942" i="1"/>
  <c r="J7563" i="1"/>
  <c r="Q7563" i="1"/>
  <c r="R7563" i="1"/>
  <c r="J6582" i="1"/>
  <c r="Q6582" i="1"/>
  <c r="R6582" i="1"/>
  <c r="J6824" i="1"/>
  <c r="Q6824" i="1"/>
  <c r="R6824" i="1"/>
  <c r="J7564" i="1"/>
  <c r="Q7564" i="1"/>
  <c r="R7564" i="1"/>
  <c r="J829" i="1"/>
  <c r="Q829" i="1"/>
  <c r="R829" i="1"/>
  <c r="J6825" i="1"/>
  <c r="Q6825" i="1"/>
  <c r="R6825" i="1"/>
  <c r="J7565" i="1"/>
  <c r="Q7565" i="1"/>
  <c r="R7565" i="1"/>
  <c r="J7566" i="1"/>
  <c r="Q7566" i="1"/>
  <c r="R7566" i="1"/>
  <c r="J830" i="1"/>
  <c r="Q830" i="1"/>
  <c r="R830" i="1"/>
  <c r="J831" i="1"/>
  <c r="Q831" i="1"/>
  <c r="R831" i="1"/>
  <c r="J832" i="1"/>
  <c r="Q832" i="1"/>
  <c r="R832" i="1"/>
  <c r="J833" i="1"/>
  <c r="Q833" i="1"/>
  <c r="R833" i="1"/>
  <c r="J834" i="1"/>
  <c r="Q834" i="1"/>
  <c r="R834" i="1"/>
  <c r="J835" i="1"/>
  <c r="Q835" i="1"/>
  <c r="R835" i="1"/>
  <c r="J836" i="1"/>
  <c r="Q836" i="1"/>
  <c r="R836" i="1"/>
  <c r="J837" i="1"/>
  <c r="Q837" i="1"/>
  <c r="R837" i="1"/>
  <c r="J7567" i="1"/>
  <c r="Q7567" i="1"/>
  <c r="R7567" i="1"/>
  <c r="J7568" i="1"/>
  <c r="Q7568" i="1"/>
  <c r="R7568" i="1"/>
  <c r="J7569" i="1"/>
  <c r="Q7569" i="1"/>
  <c r="R7569" i="1"/>
  <c r="J7570" i="1"/>
  <c r="Q7570" i="1"/>
  <c r="R7570" i="1"/>
  <c r="J7571" i="1"/>
  <c r="Q7571" i="1"/>
  <c r="R7571" i="1"/>
  <c r="J7572" i="1"/>
  <c r="Q7572" i="1"/>
  <c r="R7572" i="1"/>
  <c r="J7573" i="1"/>
  <c r="Q7573" i="1"/>
  <c r="R7573" i="1"/>
  <c r="J13551" i="1"/>
  <c r="Q13551" i="1"/>
  <c r="R13551" i="1"/>
  <c r="J838" i="1"/>
  <c r="Q838" i="1"/>
  <c r="R838" i="1"/>
  <c r="J839" i="1"/>
  <c r="Q839" i="1"/>
  <c r="R839" i="1"/>
  <c r="J840" i="1"/>
  <c r="Q840" i="1"/>
  <c r="R840" i="1"/>
  <c r="J841" i="1"/>
  <c r="Q841" i="1"/>
  <c r="R841" i="1"/>
  <c r="J842" i="1"/>
  <c r="Q842" i="1"/>
  <c r="R842" i="1"/>
  <c r="J843" i="1"/>
  <c r="Q843" i="1"/>
  <c r="R843" i="1"/>
  <c r="J844" i="1"/>
  <c r="Q844" i="1"/>
  <c r="R844" i="1"/>
  <c r="J845" i="1"/>
  <c r="Q845" i="1"/>
  <c r="R845" i="1"/>
  <c r="J846" i="1"/>
  <c r="Q846" i="1"/>
  <c r="R846" i="1"/>
  <c r="J847" i="1"/>
  <c r="Q847" i="1"/>
  <c r="R847" i="1"/>
  <c r="J7574" i="1"/>
  <c r="Q7574" i="1"/>
  <c r="R7574" i="1"/>
  <c r="J848" i="1"/>
  <c r="Q848" i="1"/>
  <c r="R848" i="1"/>
  <c r="J6826" i="1"/>
  <c r="Q6826" i="1"/>
  <c r="R6826" i="1"/>
  <c r="J7575" i="1"/>
  <c r="Q7575" i="1"/>
  <c r="R7575" i="1"/>
  <c r="J849" i="1"/>
  <c r="Q849" i="1"/>
  <c r="R849" i="1"/>
  <c r="J850" i="1"/>
  <c r="Q850" i="1"/>
  <c r="R850" i="1"/>
  <c r="J851" i="1"/>
  <c r="Q851" i="1"/>
  <c r="R851" i="1"/>
  <c r="J852" i="1"/>
  <c r="Q852" i="1"/>
  <c r="R852" i="1"/>
  <c r="J6827" i="1"/>
  <c r="Q6827" i="1"/>
  <c r="R6827" i="1"/>
  <c r="J13552" i="1"/>
  <c r="Q13552" i="1"/>
  <c r="R13552" i="1"/>
  <c r="J853" i="1"/>
  <c r="Q853" i="1"/>
  <c r="R853" i="1"/>
  <c r="J854" i="1"/>
  <c r="Q854" i="1"/>
  <c r="R854" i="1"/>
  <c r="J855" i="1"/>
  <c r="Q855" i="1"/>
  <c r="R855" i="1"/>
  <c r="J856" i="1"/>
  <c r="Q856" i="1"/>
  <c r="R856" i="1"/>
  <c r="J857" i="1"/>
  <c r="Q857" i="1"/>
  <c r="R857" i="1"/>
  <c r="J7576" i="1"/>
  <c r="Q7576" i="1"/>
  <c r="R7576" i="1"/>
  <c r="J7577" i="1"/>
  <c r="Q7577" i="1"/>
  <c r="R7577" i="1"/>
  <c r="J7578" i="1"/>
  <c r="Q7578" i="1"/>
  <c r="R7578" i="1"/>
  <c r="J7579" i="1"/>
  <c r="Q7579" i="1"/>
  <c r="R7579" i="1"/>
  <c r="J6828" i="1"/>
  <c r="Q6828" i="1"/>
  <c r="R6828" i="1"/>
  <c r="J858" i="1"/>
  <c r="Q858" i="1"/>
  <c r="R858" i="1"/>
  <c r="J6583" i="1"/>
  <c r="Q6583" i="1"/>
  <c r="R6583" i="1"/>
  <c r="J859" i="1"/>
  <c r="Q859" i="1"/>
  <c r="R859" i="1"/>
  <c r="J860" i="1"/>
  <c r="Q860" i="1"/>
  <c r="R860" i="1"/>
  <c r="J861" i="1"/>
  <c r="Q861" i="1"/>
  <c r="R861" i="1"/>
  <c r="J7580" i="1"/>
  <c r="Q7580" i="1"/>
  <c r="R7580" i="1"/>
  <c r="J862" i="1"/>
  <c r="Q862" i="1"/>
  <c r="R862" i="1"/>
  <c r="J863" i="1"/>
  <c r="Q863" i="1"/>
  <c r="R863" i="1"/>
  <c r="J6829" i="1"/>
  <c r="Q6829" i="1"/>
  <c r="R6829" i="1"/>
  <c r="J6830" i="1"/>
  <c r="Q6830" i="1"/>
  <c r="R6830" i="1"/>
  <c r="J6584" i="1"/>
  <c r="Q6584" i="1"/>
  <c r="R6584" i="1"/>
  <c r="J864" i="1"/>
  <c r="Q864" i="1"/>
  <c r="R864" i="1"/>
  <c r="J6831" i="1"/>
  <c r="Q6831" i="1"/>
  <c r="R6831" i="1"/>
  <c r="J865" i="1"/>
  <c r="Q865" i="1"/>
  <c r="R865" i="1"/>
  <c r="J6832" i="1"/>
  <c r="Q6832" i="1"/>
  <c r="R6832" i="1"/>
  <c r="J13553" i="1"/>
  <c r="Q13553" i="1"/>
  <c r="R13553" i="1"/>
  <c r="J6833" i="1"/>
  <c r="Q6833" i="1"/>
  <c r="R6833" i="1"/>
  <c r="J6834" i="1"/>
  <c r="Q6834" i="1"/>
  <c r="R6834" i="1"/>
  <c r="J7581" i="1"/>
  <c r="Q7581" i="1"/>
  <c r="R7581" i="1"/>
  <c r="J7582" i="1"/>
  <c r="Q7582" i="1"/>
  <c r="R7582" i="1"/>
  <c r="J7583" i="1"/>
  <c r="Q7583" i="1"/>
  <c r="R7583" i="1"/>
  <c r="J6835" i="1"/>
  <c r="Q6835" i="1"/>
  <c r="R6835" i="1"/>
  <c r="J7584" i="1"/>
  <c r="Q7584" i="1"/>
  <c r="R7584" i="1"/>
  <c r="J7585" i="1"/>
  <c r="Q7585" i="1"/>
  <c r="R7585" i="1"/>
  <c r="J7586" i="1"/>
  <c r="Q7586" i="1"/>
  <c r="R7586" i="1"/>
  <c r="J7587" i="1"/>
  <c r="Q7587" i="1"/>
  <c r="R7587" i="1"/>
  <c r="J7588" i="1"/>
  <c r="Q7588" i="1"/>
  <c r="R7588" i="1"/>
  <c r="J7589" i="1"/>
  <c r="Q7589" i="1"/>
  <c r="R7589" i="1"/>
  <c r="J7590" i="1"/>
  <c r="Q7590" i="1"/>
  <c r="R7590" i="1"/>
  <c r="J7591" i="1"/>
  <c r="Q7591" i="1"/>
  <c r="R7591" i="1"/>
  <c r="J7592" i="1"/>
  <c r="Q7592" i="1"/>
  <c r="R7592" i="1"/>
  <c r="J7593" i="1"/>
  <c r="Q7593" i="1"/>
  <c r="R7593" i="1"/>
  <c r="J7594" i="1"/>
  <c r="Q7594" i="1"/>
  <c r="R7594" i="1"/>
  <c r="J13554" i="1"/>
  <c r="Q13554" i="1"/>
  <c r="R13554" i="1"/>
  <c r="J866" i="1"/>
  <c r="Q866" i="1"/>
  <c r="R866" i="1"/>
  <c r="J867" i="1"/>
  <c r="Q867" i="1"/>
  <c r="R867" i="1"/>
  <c r="J868" i="1"/>
  <c r="Q868" i="1"/>
  <c r="R868" i="1"/>
  <c r="J869" i="1"/>
  <c r="Q869" i="1"/>
  <c r="R869" i="1"/>
  <c r="J870" i="1"/>
  <c r="Q870" i="1"/>
  <c r="R870" i="1"/>
  <c r="J871" i="1"/>
  <c r="Q871" i="1"/>
  <c r="R871" i="1"/>
  <c r="J872" i="1"/>
  <c r="Q872" i="1"/>
  <c r="R872" i="1"/>
  <c r="J873" i="1"/>
  <c r="Q873" i="1"/>
  <c r="R873" i="1"/>
  <c r="J874" i="1"/>
  <c r="Q874" i="1"/>
  <c r="R874" i="1"/>
  <c r="J875" i="1"/>
  <c r="Q875" i="1"/>
  <c r="R875" i="1"/>
  <c r="J876" i="1"/>
  <c r="Q876" i="1"/>
  <c r="R876" i="1"/>
  <c r="J877" i="1"/>
  <c r="Q877" i="1"/>
  <c r="R877" i="1"/>
  <c r="J878" i="1"/>
  <c r="Q878" i="1"/>
  <c r="R878" i="1"/>
  <c r="J879" i="1"/>
  <c r="Q879" i="1"/>
  <c r="R879" i="1"/>
  <c r="J880" i="1"/>
  <c r="Q880" i="1"/>
  <c r="R880" i="1"/>
  <c r="J881" i="1"/>
  <c r="Q881" i="1"/>
  <c r="R881" i="1"/>
  <c r="J882" i="1"/>
  <c r="Q882" i="1"/>
  <c r="R882" i="1"/>
  <c r="J883" i="1"/>
  <c r="Q883" i="1"/>
  <c r="R883" i="1"/>
  <c r="J884" i="1"/>
  <c r="Q884" i="1"/>
  <c r="R884" i="1"/>
  <c r="J885" i="1"/>
  <c r="Q885" i="1"/>
  <c r="R885" i="1"/>
  <c r="J886" i="1"/>
  <c r="Q886" i="1"/>
  <c r="R886" i="1"/>
  <c r="J887" i="1"/>
  <c r="Q887" i="1"/>
  <c r="R887" i="1"/>
  <c r="J888" i="1"/>
  <c r="Q888" i="1"/>
  <c r="R888" i="1"/>
  <c r="J889" i="1"/>
  <c r="Q889" i="1"/>
  <c r="R889" i="1"/>
  <c r="J890" i="1"/>
  <c r="Q890" i="1"/>
  <c r="R890" i="1"/>
  <c r="J891" i="1"/>
  <c r="Q891" i="1"/>
  <c r="R891" i="1"/>
  <c r="J892" i="1"/>
  <c r="Q892" i="1"/>
  <c r="R892" i="1"/>
  <c r="J893" i="1"/>
  <c r="Q893" i="1"/>
  <c r="R893" i="1"/>
  <c r="J894" i="1"/>
  <c r="Q894" i="1"/>
  <c r="R894" i="1"/>
  <c r="J895" i="1"/>
  <c r="Q895" i="1"/>
  <c r="R895" i="1"/>
  <c r="J7595" i="1"/>
  <c r="Q7595" i="1"/>
  <c r="R7595" i="1"/>
  <c r="J896" i="1"/>
  <c r="Q896" i="1"/>
  <c r="R896" i="1"/>
  <c r="J7596" i="1"/>
  <c r="Q7596" i="1"/>
  <c r="R7596" i="1"/>
  <c r="J897" i="1"/>
  <c r="Q897" i="1"/>
  <c r="R897" i="1"/>
  <c r="J7597" i="1"/>
  <c r="Q7597" i="1"/>
  <c r="R7597" i="1"/>
  <c r="J7598" i="1"/>
  <c r="Q7598" i="1"/>
  <c r="R7598" i="1"/>
  <c r="J7599" i="1"/>
  <c r="Q7599" i="1"/>
  <c r="R7599" i="1"/>
  <c r="J13555" i="1"/>
  <c r="Q13555" i="1"/>
  <c r="R13555" i="1"/>
  <c r="J6836" i="1"/>
  <c r="Q6836" i="1"/>
  <c r="R6836" i="1"/>
  <c r="J7600" i="1"/>
  <c r="Q7600" i="1"/>
  <c r="R7600" i="1"/>
  <c r="J7601" i="1"/>
  <c r="Q7601" i="1"/>
  <c r="R7601" i="1"/>
  <c r="J7602" i="1"/>
  <c r="Q7602" i="1"/>
  <c r="R7602" i="1"/>
  <c r="J7603" i="1"/>
  <c r="Q7603" i="1"/>
  <c r="R7603" i="1"/>
  <c r="J6837" i="1"/>
  <c r="Q6837" i="1"/>
  <c r="R6837" i="1"/>
  <c r="J6838" i="1"/>
  <c r="Q6838" i="1"/>
  <c r="R6838" i="1"/>
  <c r="J7604" i="1"/>
  <c r="Q7604" i="1"/>
  <c r="R7604" i="1"/>
  <c r="J898" i="1"/>
  <c r="Q898" i="1"/>
  <c r="R898" i="1"/>
  <c r="J899" i="1"/>
  <c r="Q899" i="1"/>
  <c r="R899" i="1"/>
  <c r="J900" i="1"/>
  <c r="Q900" i="1"/>
  <c r="R900" i="1"/>
  <c r="J901" i="1"/>
  <c r="Q901" i="1"/>
  <c r="R901" i="1"/>
  <c r="J902" i="1"/>
  <c r="Q902" i="1"/>
  <c r="R902" i="1"/>
  <c r="J903" i="1"/>
  <c r="Q903" i="1"/>
  <c r="R903" i="1"/>
  <c r="J904" i="1"/>
  <c r="Q904" i="1"/>
  <c r="R904" i="1"/>
  <c r="J905" i="1"/>
  <c r="Q905" i="1"/>
  <c r="R905" i="1"/>
  <c r="J906" i="1"/>
  <c r="Q906" i="1"/>
  <c r="R906" i="1"/>
  <c r="J907" i="1"/>
  <c r="Q907" i="1"/>
  <c r="R907" i="1"/>
  <c r="J6585" i="1"/>
  <c r="Q6585" i="1"/>
  <c r="R6585" i="1"/>
  <c r="J908" i="1"/>
  <c r="Q908" i="1"/>
  <c r="R908" i="1"/>
  <c r="J909" i="1"/>
  <c r="Q909" i="1"/>
  <c r="R909" i="1"/>
  <c r="J6839" i="1"/>
  <c r="Q6839" i="1"/>
  <c r="R6839" i="1"/>
  <c r="J10376" i="1"/>
  <c r="Q10376" i="1"/>
  <c r="R10376" i="1"/>
  <c r="J10377" i="1"/>
  <c r="Q10377" i="1"/>
  <c r="R10377" i="1"/>
  <c r="J10378" i="1"/>
  <c r="Q10378" i="1"/>
  <c r="R10378" i="1"/>
  <c r="J10379" i="1"/>
  <c r="Q10379" i="1"/>
  <c r="R10379" i="1"/>
  <c r="J10380" i="1"/>
  <c r="Q10380" i="1"/>
  <c r="R10380" i="1"/>
  <c r="J10381" i="1"/>
  <c r="Q10381" i="1"/>
  <c r="R10381" i="1"/>
  <c r="J10382" i="1"/>
  <c r="Q10382" i="1"/>
  <c r="R10382" i="1"/>
  <c r="J10383" i="1"/>
  <c r="Q10383" i="1"/>
  <c r="R10383" i="1"/>
  <c r="J10384" i="1"/>
  <c r="Q10384" i="1"/>
  <c r="R10384" i="1"/>
  <c r="J10385" i="1"/>
  <c r="Q10385" i="1"/>
  <c r="R10385" i="1"/>
  <c r="J10386" i="1"/>
  <c r="Q10386" i="1"/>
  <c r="R10386" i="1"/>
  <c r="J10387" i="1"/>
  <c r="Q10387" i="1"/>
  <c r="R10387" i="1"/>
  <c r="J10388" i="1"/>
  <c r="Q10388" i="1"/>
  <c r="R10388" i="1"/>
  <c r="J10389" i="1"/>
  <c r="Q10389" i="1"/>
  <c r="R10389" i="1"/>
  <c r="J10390" i="1"/>
  <c r="Q10390" i="1"/>
  <c r="R10390" i="1"/>
  <c r="J10391" i="1"/>
  <c r="Q10391" i="1"/>
  <c r="R10391" i="1"/>
  <c r="J10392" i="1"/>
  <c r="Q10392" i="1"/>
  <c r="R10392" i="1"/>
  <c r="J3943" i="1"/>
  <c r="Q3943" i="1"/>
  <c r="R3943" i="1"/>
  <c r="J10393" i="1"/>
  <c r="Q10393" i="1"/>
  <c r="R10393" i="1"/>
  <c r="J10394" i="1"/>
  <c r="Q10394" i="1"/>
  <c r="R10394" i="1"/>
  <c r="J10395" i="1"/>
  <c r="Q10395" i="1"/>
  <c r="R10395" i="1"/>
  <c r="J10396" i="1"/>
  <c r="Q10396" i="1"/>
  <c r="R10396" i="1"/>
  <c r="J10397" i="1"/>
  <c r="Q10397" i="1"/>
  <c r="R10397" i="1"/>
  <c r="J10398" i="1"/>
  <c r="Q10398" i="1"/>
  <c r="R10398" i="1"/>
  <c r="J3944" i="1"/>
  <c r="Q3944" i="1"/>
  <c r="R3944" i="1"/>
  <c r="J3945" i="1"/>
  <c r="Q3945" i="1"/>
  <c r="R3945" i="1"/>
  <c r="J3946" i="1"/>
  <c r="Q3946" i="1"/>
  <c r="R3946" i="1"/>
  <c r="J3947" i="1"/>
  <c r="Q3947" i="1"/>
  <c r="R3947" i="1"/>
  <c r="J3948" i="1"/>
  <c r="Q3948" i="1"/>
  <c r="R3948" i="1"/>
  <c r="J3949" i="1"/>
  <c r="Q3949" i="1"/>
  <c r="R3949" i="1"/>
  <c r="J3950" i="1"/>
  <c r="Q3950" i="1"/>
  <c r="R3950" i="1"/>
  <c r="J3951" i="1"/>
  <c r="Q3951" i="1"/>
  <c r="R3951" i="1"/>
  <c r="J3952" i="1"/>
  <c r="Q3952" i="1"/>
  <c r="R3952" i="1"/>
  <c r="J3953" i="1"/>
  <c r="Q3953" i="1"/>
  <c r="R3953" i="1"/>
  <c r="J10399" i="1"/>
  <c r="Q10399" i="1"/>
  <c r="R10399" i="1"/>
  <c r="J10400" i="1"/>
  <c r="Q10400" i="1"/>
  <c r="R10400" i="1"/>
  <c r="J3954" i="1"/>
  <c r="Q3954" i="1"/>
  <c r="R3954" i="1"/>
  <c r="J10401" i="1"/>
  <c r="Q10401" i="1"/>
  <c r="R10401" i="1"/>
  <c r="J10402" i="1"/>
  <c r="Q10402" i="1"/>
  <c r="R10402" i="1"/>
  <c r="J10403" i="1"/>
  <c r="Q10403" i="1"/>
  <c r="R10403" i="1"/>
  <c r="J10404" i="1"/>
  <c r="Q10404" i="1"/>
  <c r="R10404" i="1"/>
  <c r="J10405" i="1"/>
  <c r="Q10405" i="1"/>
  <c r="R10405" i="1"/>
  <c r="J3955" i="1"/>
  <c r="O3955" i="1"/>
  <c r="Q3955" i="1"/>
  <c r="R3955" i="1"/>
  <c r="J10406" i="1"/>
  <c r="Q10406" i="1"/>
  <c r="R10406" i="1"/>
  <c r="J3956" i="1"/>
  <c r="Q3956" i="1"/>
  <c r="R3956" i="1"/>
  <c r="J10407" i="1"/>
  <c r="Q10407" i="1"/>
  <c r="R10407" i="1"/>
  <c r="J10408" i="1"/>
  <c r="Q10408" i="1"/>
  <c r="R10408" i="1"/>
  <c r="J3957" i="1"/>
  <c r="Q3957" i="1"/>
  <c r="R3957" i="1"/>
  <c r="J3958" i="1"/>
  <c r="Q3958" i="1"/>
  <c r="R3958" i="1"/>
  <c r="J3959" i="1"/>
  <c r="Q3959" i="1"/>
  <c r="R3959" i="1"/>
  <c r="J10409" i="1"/>
  <c r="Q10409" i="1"/>
  <c r="R10409" i="1"/>
  <c r="J10410" i="1"/>
  <c r="Q10410" i="1"/>
  <c r="R10410" i="1"/>
  <c r="J3960" i="1"/>
  <c r="Q3960" i="1"/>
  <c r="R3960" i="1"/>
  <c r="J3961" i="1"/>
  <c r="Q3961" i="1"/>
  <c r="R3961" i="1"/>
  <c r="J3962" i="1"/>
  <c r="Q3962" i="1"/>
  <c r="R3962" i="1"/>
  <c r="J3963" i="1"/>
  <c r="Q3963" i="1"/>
  <c r="R3963" i="1"/>
  <c r="J10411" i="1"/>
  <c r="Q10411" i="1"/>
  <c r="R10411" i="1"/>
  <c r="J3964" i="1"/>
  <c r="Q3964" i="1"/>
  <c r="R3964" i="1"/>
  <c r="J3965" i="1"/>
  <c r="Q3965" i="1"/>
  <c r="R3965" i="1"/>
  <c r="J3966" i="1"/>
  <c r="Q3966" i="1"/>
  <c r="R3966" i="1"/>
  <c r="J3967" i="1"/>
  <c r="Q3967" i="1"/>
  <c r="R3967" i="1"/>
  <c r="J3968" i="1"/>
  <c r="Q3968" i="1"/>
  <c r="R3968" i="1"/>
  <c r="J10412" i="1"/>
  <c r="Q10412" i="1"/>
  <c r="R10412" i="1"/>
  <c r="J3969" i="1"/>
  <c r="Q3969" i="1"/>
  <c r="R3969" i="1"/>
  <c r="J10413" i="1"/>
  <c r="Q10413" i="1"/>
  <c r="R10413" i="1"/>
  <c r="J3970" i="1"/>
  <c r="Q3970" i="1"/>
  <c r="R3970" i="1"/>
  <c r="J3971" i="1"/>
  <c r="Q3971" i="1"/>
  <c r="R3971" i="1"/>
  <c r="J3972" i="1"/>
  <c r="Q3972" i="1"/>
  <c r="R3972" i="1"/>
  <c r="J10414" i="1"/>
  <c r="Q10414" i="1"/>
  <c r="R10414" i="1"/>
  <c r="J3973" i="1"/>
  <c r="Q3973" i="1"/>
  <c r="R3973" i="1"/>
  <c r="J3974" i="1"/>
  <c r="Q3974" i="1"/>
  <c r="R3974" i="1"/>
  <c r="J3975" i="1"/>
  <c r="Q3975" i="1"/>
  <c r="R3975" i="1"/>
  <c r="J3976" i="1"/>
  <c r="Q3976" i="1"/>
  <c r="R3976" i="1"/>
  <c r="J3977" i="1"/>
  <c r="Q3977" i="1"/>
  <c r="R3977" i="1"/>
  <c r="J10415" i="1"/>
  <c r="Q10415" i="1"/>
  <c r="R10415" i="1"/>
  <c r="J3978" i="1"/>
  <c r="Q3978" i="1"/>
  <c r="R3978" i="1"/>
  <c r="J3979" i="1"/>
  <c r="Q3979" i="1"/>
  <c r="R3979" i="1"/>
  <c r="J10416" i="1"/>
  <c r="Q10416" i="1"/>
  <c r="R10416" i="1"/>
  <c r="J3980" i="1"/>
  <c r="Q3980" i="1"/>
  <c r="R3980" i="1"/>
  <c r="J3981" i="1"/>
  <c r="Q3981" i="1"/>
  <c r="R3981" i="1"/>
  <c r="J3982" i="1"/>
  <c r="Q3982" i="1"/>
  <c r="R3982" i="1"/>
  <c r="J3983" i="1"/>
  <c r="Q3983" i="1"/>
  <c r="R3983" i="1"/>
  <c r="J3984" i="1"/>
  <c r="Q3984" i="1"/>
  <c r="R3984" i="1"/>
  <c r="J3985" i="1"/>
  <c r="Q3985" i="1"/>
  <c r="R3985" i="1"/>
  <c r="J3986" i="1"/>
  <c r="Q3986" i="1"/>
  <c r="R3986" i="1"/>
  <c r="J10417" i="1"/>
  <c r="Q10417" i="1"/>
  <c r="R10417" i="1"/>
  <c r="J3987" i="1"/>
  <c r="Q3987" i="1"/>
  <c r="R3987" i="1"/>
  <c r="J3988" i="1"/>
  <c r="Q3988" i="1"/>
  <c r="R3988" i="1"/>
  <c r="J3989" i="1"/>
  <c r="Q3989" i="1"/>
  <c r="R3989" i="1"/>
  <c r="J3990" i="1"/>
  <c r="Q3990" i="1"/>
  <c r="R3990" i="1"/>
  <c r="J10418" i="1"/>
  <c r="Q10418" i="1"/>
  <c r="R10418" i="1"/>
  <c r="J3991" i="1"/>
  <c r="Q3991" i="1"/>
  <c r="R3991" i="1"/>
  <c r="J10419" i="1"/>
  <c r="Q10419" i="1"/>
  <c r="R10419" i="1"/>
  <c r="J3992" i="1"/>
  <c r="Q3992" i="1"/>
  <c r="R3992" i="1"/>
  <c r="J3993" i="1"/>
  <c r="Q3993" i="1"/>
  <c r="R3993" i="1"/>
  <c r="J10420" i="1"/>
  <c r="Q10420" i="1"/>
  <c r="R10420" i="1"/>
  <c r="J10421" i="1"/>
  <c r="Q10421" i="1"/>
  <c r="R10421" i="1"/>
  <c r="J10422" i="1"/>
  <c r="Q10422" i="1"/>
  <c r="R10422" i="1"/>
  <c r="J3994" i="1"/>
  <c r="Q3994" i="1"/>
  <c r="R3994" i="1"/>
  <c r="J10423" i="1"/>
  <c r="Q10423" i="1"/>
  <c r="R10423" i="1"/>
  <c r="J10424" i="1"/>
  <c r="Q10424" i="1"/>
  <c r="R10424" i="1"/>
  <c r="J3995" i="1"/>
  <c r="Q3995" i="1"/>
  <c r="R3995" i="1"/>
  <c r="J3996" i="1"/>
  <c r="Q3996" i="1"/>
  <c r="R3996" i="1"/>
  <c r="J3997" i="1"/>
  <c r="Q3997" i="1"/>
  <c r="R3997" i="1"/>
  <c r="J10425" i="1"/>
  <c r="Q10425" i="1"/>
  <c r="R10425" i="1"/>
  <c r="J10426" i="1"/>
  <c r="Q10426" i="1"/>
  <c r="R10426" i="1"/>
  <c r="J10427" i="1"/>
  <c r="Q10427" i="1"/>
  <c r="R10427" i="1"/>
  <c r="J10428" i="1"/>
  <c r="Q10428" i="1"/>
  <c r="R10428" i="1"/>
  <c r="J10429" i="1"/>
  <c r="Q10429" i="1"/>
  <c r="R10429" i="1"/>
  <c r="J10430" i="1"/>
  <c r="Q10430" i="1"/>
  <c r="R10430" i="1"/>
  <c r="J10431" i="1"/>
  <c r="Q10431" i="1"/>
  <c r="R10431" i="1"/>
  <c r="J10432" i="1"/>
  <c r="Q10432" i="1"/>
  <c r="R10432" i="1"/>
  <c r="J10433" i="1"/>
  <c r="Q10433" i="1"/>
  <c r="R10433" i="1"/>
  <c r="J10434" i="1"/>
  <c r="Q10434" i="1"/>
  <c r="R10434" i="1"/>
  <c r="J10435" i="1"/>
  <c r="Q10435" i="1"/>
  <c r="R10435" i="1"/>
  <c r="J10436" i="1"/>
  <c r="Q10436" i="1"/>
  <c r="R10436" i="1"/>
  <c r="J10437" i="1"/>
  <c r="Q10437" i="1"/>
  <c r="R10437" i="1"/>
  <c r="J10438" i="1"/>
  <c r="Q10438" i="1"/>
  <c r="R10438" i="1"/>
  <c r="J10439" i="1"/>
  <c r="Q10439" i="1"/>
  <c r="R10439" i="1"/>
  <c r="J3998" i="1"/>
  <c r="Q3998" i="1"/>
  <c r="R3998" i="1"/>
  <c r="J3999" i="1"/>
  <c r="Q3999" i="1"/>
  <c r="R3999" i="1"/>
  <c r="J4000" i="1"/>
  <c r="Q4000" i="1"/>
  <c r="R4000" i="1"/>
  <c r="J10440" i="1"/>
  <c r="Q10440" i="1"/>
  <c r="R10440" i="1"/>
  <c r="J10441" i="1"/>
  <c r="Q10441" i="1"/>
  <c r="R10441" i="1"/>
  <c r="J10442" i="1"/>
  <c r="Q10442" i="1"/>
  <c r="R10442" i="1"/>
  <c r="J10443" i="1"/>
  <c r="Q10443" i="1"/>
  <c r="R10443" i="1"/>
  <c r="J4001" i="1"/>
  <c r="Q4001" i="1"/>
  <c r="R4001" i="1"/>
  <c r="J10444" i="1"/>
  <c r="Q10444" i="1"/>
  <c r="R10444" i="1"/>
  <c r="J4002" i="1"/>
  <c r="Q4002" i="1"/>
  <c r="R4002" i="1"/>
  <c r="J10445" i="1"/>
  <c r="Q10445" i="1"/>
  <c r="R10445" i="1"/>
  <c r="J10446" i="1"/>
  <c r="Q10446" i="1"/>
  <c r="R10446" i="1"/>
  <c r="J10447" i="1"/>
  <c r="Q10447" i="1"/>
  <c r="R10447" i="1"/>
  <c r="J10448" i="1"/>
  <c r="Q10448" i="1"/>
  <c r="R10448" i="1"/>
  <c r="J10449" i="1"/>
  <c r="Q10449" i="1"/>
  <c r="R10449" i="1"/>
  <c r="J10450" i="1"/>
  <c r="Q10450" i="1"/>
  <c r="R10450" i="1"/>
  <c r="J10451" i="1"/>
  <c r="Q10451" i="1"/>
  <c r="R10451" i="1"/>
  <c r="J10452" i="1"/>
  <c r="Q10452" i="1"/>
  <c r="R10452" i="1"/>
  <c r="J10453" i="1"/>
  <c r="Q10453" i="1"/>
  <c r="R10453" i="1"/>
  <c r="J4003" i="1"/>
  <c r="Q4003" i="1"/>
  <c r="R4003" i="1"/>
  <c r="J10454" i="1"/>
  <c r="Q10454" i="1"/>
  <c r="R10454" i="1"/>
  <c r="J10455" i="1"/>
  <c r="Q10455" i="1"/>
  <c r="R10455" i="1"/>
  <c r="J4004" i="1"/>
  <c r="Q4004" i="1"/>
  <c r="R4004" i="1"/>
  <c r="J10456" i="1"/>
  <c r="Q10456" i="1"/>
  <c r="R10456" i="1"/>
  <c r="J4005" i="1"/>
  <c r="Q4005" i="1"/>
  <c r="R4005" i="1"/>
  <c r="J10457" i="1"/>
  <c r="Q10457" i="1"/>
  <c r="R10457" i="1"/>
  <c r="J4006" i="1"/>
  <c r="Q4006" i="1"/>
  <c r="R4006" i="1"/>
  <c r="J4007" i="1"/>
  <c r="Q4007" i="1"/>
  <c r="R4007" i="1"/>
  <c r="J4008" i="1"/>
  <c r="Q4008" i="1"/>
  <c r="R4008" i="1"/>
  <c r="J4009" i="1"/>
  <c r="Q4009" i="1"/>
  <c r="R4009" i="1"/>
  <c r="J4010" i="1"/>
  <c r="Q4010" i="1"/>
  <c r="R4010" i="1"/>
  <c r="J4011" i="1"/>
  <c r="Q4011" i="1"/>
  <c r="R4011" i="1"/>
  <c r="J4012" i="1"/>
  <c r="Q4012" i="1"/>
  <c r="R4012" i="1"/>
  <c r="J4013" i="1"/>
  <c r="Q4013" i="1"/>
  <c r="R4013" i="1"/>
  <c r="J10458" i="1"/>
  <c r="Q10458" i="1"/>
  <c r="R10458" i="1"/>
  <c r="J4014" i="1"/>
  <c r="Q4014" i="1"/>
  <c r="R4014" i="1"/>
  <c r="J4015" i="1"/>
  <c r="Q4015" i="1"/>
  <c r="R4015" i="1"/>
  <c r="J4016" i="1"/>
  <c r="Q4016" i="1"/>
  <c r="R4016" i="1"/>
  <c r="J4017" i="1"/>
  <c r="Q4017" i="1"/>
  <c r="R4017" i="1"/>
  <c r="J4018" i="1"/>
  <c r="Q4018" i="1"/>
  <c r="R4018" i="1"/>
  <c r="J4019" i="1"/>
  <c r="Q4019" i="1"/>
  <c r="R4019" i="1"/>
  <c r="J4020" i="1"/>
  <c r="Q4020" i="1"/>
  <c r="R4020" i="1"/>
  <c r="J4021" i="1"/>
  <c r="Q4021" i="1"/>
  <c r="R4021" i="1"/>
  <c r="J4022" i="1"/>
  <c r="Q4022" i="1"/>
  <c r="R4022" i="1"/>
  <c r="J10459" i="1"/>
  <c r="Q10459" i="1"/>
  <c r="R10459" i="1"/>
  <c r="J10460" i="1"/>
  <c r="Q10460" i="1"/>
  <c r="R10460" i="1"/>
  <c r="J4023" i="1"/>
  <c r="Q4023" i="1"/>
  <c r="R4023" i="1"/>
  <c r="J10461" i="1"/>
  <c r="Q10461" i="1"/>
  <c r="R10461" i="1"/>
  <c r="J4024" i="1"/>
  <c r="Q4024" i="1"/>
  <c r="R4024" i="1"/>
  <c r="J10462" i="1"/>
  <c r="Q10462" i="1"/>
  <c r="R10462" i="1"/>
  <c r="J10463" i="1"/>
  <c r="Q10463" i="1"/>
  <c r="R10463" i="1"/>
  <c r="J4025" i="1"/>
  <c r="Q4025" i="1"/>
  <c r="R4025" i="1"/>
  <c r="J10464" i="1"/>
  <c r="Q10464" i="1"/>
  <c r="R10464" i="1"/>
  <c r="J4026" i="1"/>
  <c r="Q4026" i="1"/>
  <c r="R4026" i="1"/>
  <c r="J10465" i="1"/>
  <c r="Q10465" i="1"/>
  <c r="R10465" i="1"/>
  <c r="J10466" i="1"/>
  <c r="Q10466" i="1"/>
  <c r="R10466" i="1"/>
  <c r="J4027" i="1"/>
  <c r="Q4027" i="1"/>
  <c r="R4027" i="1"/>
  <c r="J10467" i="1"/>
  <c r="Q10467" i="1"/>
  <c r="R10467" i="1"/>
  <c r="J4028" i="1"/>
  <c r="Q4028" i="1"/>
  <c r="R4028" i="1"/>
  <c r="J10468" i="1"/>
  <c r="Q10468" i="1"/>
  <c r="R10468" i="1"/>
  <c r="J10469" i="1"/>
  <c r="Q10469" i="1"/>
  <c r="R10469" i="1"/>
  <c r="J4029" i="1"/>
  <c r="Q4029" i="1"/>
  <c r="R4029" i="1"/>
  <c r="J10470" i="1"/>
  <c r="Q10470" i="1"/>
  <c r="R10470" i="1"/>
  <c r="J10471" i="1"/>
  <c r="Q10471" i="1"/>
  <c r="R10471" i="1"/>
  <c r="J10472" i="1"/>
  <c r="Q10472" i="1"/>
  <c r="R10472" i="1"/>
  <c r="J10473" i="1"/>
  <c r="Q10473" i="1"/>
  <c r="R10473" i="1"/>
  <c r="J10474" i="1"/>
  <c r="Q10474" i="1"/>
  <c r="R10474" i="1"/>
  <c r="J10475" i="1"/>
  <c r="Q10475" i="1"/>
  <c r="R10475" i="1"/>
  <c r="J10476" i="1"/>
  <c r="Q10476" i="1"/>
  <c r="R10476" i="1"/>
  <c r="J4030" i="1"/>
  <c r="Q4030" i="1"/>
  <c r="R4030" i="1"/>
  <c r="J10477" i="1"/>
  <c r="Q10477" i="1"/>
  <c r="R10477" i="1"/>
  <c r="J10478" i="1"/>
  <c r="Q10478" i="1"/>
  <c r="R10478" i="1"/>
  <c r="J4031" i="1"/>
  <c r="Q4031" i="1"/>
  <c r="R4031" i="1"/>
  <c r="J10479" i="1"/>
  <c r="Q10479" i="1"/>
  <c r="R10479" i="1"/>
  <c r="J10480" i="1"/>
  <c r="Q10480" i="1"/>
  <c r="R10480" i="1"/>
  <c r="J10481" i="1"/>
  <c r="Q10481" i="1"/>
  <c r="R10481" i="1"/>
  <c r="J4032" i="1"/>
  <c r="Q4032" i="1"/>
  <c r="R4032" i="1"/>
  <c r="J10482" i="1"/>
  <c r="Q10482" i="1"/>
  <c r="R10482" i="1"/>
  <c r="J10483" i="1"/>
  <c r="Q10483" i="1"/>
  <c r="R10483" i="1"/>
  <c r="J10484" i="1"/>
  <c r="Q10484" i="1"/>
  <c r="R10484" i="1"/>
  <c r="J10485" i="1"/>
  <c r="Q10485" i="1"/>
  <c r="R10485" i="1"/>
  <c r="J10486" i="1"/>
  <c r="Q10486" i="1"/>
  <c r="R10486" i="1"/>
  <c r="J10487" i="1"/>
  <c r="Q10487" i="1"/>
  <c r="R10487" i="1"/>
  <c r="J10488" i="1"/>
  <c r="Q10488" i="1"/>
  <c r="R10488" i="1"/>
  <c r="J10489" i="1"/>
  <c r="Q10489" i="1"/>
  <c r="R10489" i="1"/>
  <c r="J10490" i="1"/>
  <c r="Q10490" i="1"/>
  <c r="R10490" i="1"/>
  <c r="J10491" i="1"/>
  <c r="Q10491" i="1"/>
  <c r="R10491" i="1"/>
  <c r="J10492" i="1"/>
  <c r="Q10492" i="1"/>
  <c r="R10492" i="1"/>
  <c r="J4033" i="1"/>
  <c r="Q4033" i="1"/>
  <c r="R4033" i="1"/>
  <c r="J4034" i="1"/>
  <c r="Q4034" i="1"/>
  <c r="R4034" i="1"/>
  <c r="J4035" i="1"/>
  <c r="Q4035" i="1"/>
  <c r="R4035" i="1"/>
  <c r="J4036" i="1"/>
  <c r="Q4036" i="1"/>
  <c r="R4036" i="1"/>
  <c r="J4037" i="1"/>
  <c r="Q4037" i="1"/>
  <c r="R4037" i="1"/>
  <c r="J4038" i="1"/>
  <c r="Q4038" i="1"/>
  <c r="R4038" i="1"/>
  <c r="J4039" i="1"/>
  <c r="Q4039" i="1"/>
  <c r="R4039" i="1"/>
  <c r="J4040" i="1"/>
  <c r="Q4040" i="1"/>
  <c r="R4040" i="1"/>
  <c r="J10493" i="1"/>
  <c r="Q10493" i="1"/>
  <c r="R10493" i="1"/>
  <c r="J4041" i="1"/>
  <c r="Q4041" i="1"/>
  <c r="R4041" i="1"/>
  <c r="J4042" i="1"/>
  <c r="Q4042" i="1"/>
  <c r="R4042" i="1"/>
  <c r="J10494" i="1"/>
  <c r="Q10494" i="1"/>
  <c r="R10494" i="1"/>
  <c r="J10495" i="1"/>
  <c r="Q10495" i="1"/>
  <c r="R10495" i="1"/>
  <c r="J10496" i="1"/>
  <c r="Q10496" i="1"/>
  <c r="R10496" i="1"/>
  <c r="J10497" i="1"/>
  <c r="Q10497" i="1"/>
  <c r="R10497" i="1"/>
  <c r="J4043" i="1"/>
  <c r="Q4043" i="1"/>
  <c r="R4043" i="1"/>
  <c r="J10498" i="1"/>
  <c r="Q10498" i="1"/>
  <c r="R10498" i="1"/>
  <c r="J10499" i="1"/>
  <c r="Q10499" i="1"/>
  <c r="R10499" i="1"/>
  <c r="J10500" i="1"/>
  <c r="Q10500" i="1"/>
  <c r="R10500" i="1"/>
  <c r="J10501" i="1"/>
  <c r="Q10501" i="1"/>
  <c r="R10501" i="1"/>
  <c r="J10502" i="1"/>
  <c r="Q10502" i="1"/>
  <c r="R10502" i="1"/>
  <c r="J4044" i="1"/>
  <c r="Q4044" i="1"/>
  <c r="R4044" i="1"/>
  <c r="J10503" i="1"/>
  <c r="Q10503" i="1"/>
  <c r="R10503" i="1"/>
  <c r="J10504" i="1"/>
  <c r="Q10504" i="1"/>
  <c r="R10504" i="1"/>
  <c r="J10505" i="1"/>
  <c r="Q10505" i="1"/>
  <c r="R10505" i="1"/>
  <c r="J10506" i="1"/>
  <c r="Q10506" i="1"/>
  <c r="R10506" i="1"/>
  <c r="J10507" i="1"/>
  <c r="Q10507" i="1"/>
  <c r="R10507" i="1"/>
  <c r="J10508" i="1"/>
  <c r="Q10508" i="1"/>
  <c r="R10508" i="1"/>
  <c r="J4045" i="1"/>
  <c r="Q4045" i="1"/>
  <c r="R4045" i="1"/>
  <c r="J10509" i="1"/>
  <c r="Q10509" i="1"/>
  <c r="R10509" i="1"/>
  <c r="J10510" i="1"/>
  <c r="Q10510" i="1"/>
  <c r="R10510" i="1"/>
  <c r="J10511" i="1"/>
  <c r="Q10511" i="1"/>
  <c r="R10511" i="1"/>
  <c r="J10512" i="1"/>
  <c r="Q10512" i="1"/>
  <c r="R10512" i="1"/>
  <c r="J4046" i="1"/>
  <c r="Q4046" i="1"/>
  <c r="R4046" i="1"/>
  <c r="J10513" i="1"/>
  <c r="Q10513" i="1"/>
  <c r="R10513" i="1"/>
  <c r="J10514" i="1"/>
  <c r="Q10514" i="1"/>
  <c r="R10514" i="1"/>
  <c r="J4047" i="1"/>
  <c r="Q4047" i="1"/>
  <c r="R4047" i="1"/>
  <c r="J4048" i="1"/>
  <c r="Q4048" i="1"/>
  <c r="R4048" i="1"/>
  <c r="J4049" i="1"/>
  <c r="Q4049" i="1"/>
  <c r="R4049" i="1"/>
  <c r="J10515" i="1"/>
  <c r="Q10515" i="1"/>
  <c r="R10515" i="1"/>
  <c r="J4050" i="1"/>
  <c r="Q4050" i="1"/>
  <c r="R4050" i="1"/>
  <c r="J10516" i="1"/>
  <c r="Q10516" i="1"/>
  <c r="R10516" i="1"/>
  <c r="J10517" i="1"/>
  <c r="Q10517" i="1"/>
  <c r="R10517" i="1"/>
  <c r="J10518" i="1"/>
  <c r="Q10518" i="1"/>
  <c r="R10518" i="1"/>
  <c r="J10519" i="1"/>
  <c r="Q10519" i="1"/>
  <c r="R10519" i="1"/>
  <c r="J4051" i="1"/>
  <c r="Q4051" i="1"/>
  <c r="R4051" i="1"/>
  <c r="J10520" i="1"/>
  <c r="Q10520" i="1"/>
  <c r="R10520" i="1"/>
  <c r="J4052" i="1"/>
  <c r="Q4052" i="1"/>
  <c r="R4052" i="1"/>
  <c r="J10521" i="1"/>
  <c r="Q10521" i="1"/>
  <c r="R10521" i="1"/>
  <c r="J4053" i="1"/>
  <c r="Q4053" i="1"/>
  <c r="R4053" i="1"/>
  <c r="J4054" i="1"/>
  <c r="Q4054" i="1"/>
  <c r="R4054" i="1"/>
  <c r="J4055" i="1"/>
  <c r="Q4055" i="1"/>
  <c r="R4055" i="1"/>
  <c r="J10522" i="1"/>
  <c r="Q10522" i="1"/>
  <c r="R10522" i="1"/>
  <c r="J10523" i="1"/>
  <c r="Q10523" i="1"/>
  <c r="R10523" i="1"/>
  <c r="J10524" i="1"/>
  <c r="Q10524" i="1"/>
  <c r="R10524" i="1"/>
  <c r="J10525" i="1"/>
  <c r="Q10525" i="1"/>
  <c r="R10525" i="1"/>
  <c r="J10526" i="1"/>
  <c r="Q10526" i="1"/>
  <c r="R10526" i="1"/>
  <c r="J10527" i="1"/>
  <c r="Q10527" i="1"/>
  <c r="R10527" i="1"/>
  <c r="J4056" i="1"/>
  <c r="Q4056" i="1"/>
  <c r="R4056" i="1"/>
  <c r="J10528" i="1"/>
  <c r="Q10528" i="1"/>
  <c r="R10528" i="1"/>
  <c r="J4057" i="1"/>
  <c r="Q4057" i="1"/>
  <c r="R4057" i="1"/>
  <c r="J10529" i="1"/>
  <c r="Q10529" i="1"/>
  <c r="R10529" i="1"/>
  <c r="J4058" i="1"/>
  <c r="Q4058" i="1"/>
  <c r="R4058" i="1"/>
  <c r="J4059" i="1"/>
  <c r="Q4059" i="1"/>
  <c r="R4059" i="1"/>
  <c r="J4060" i="1"/>
  <c r="Q4060" i="1"/>
  <c r="R4060" i="1"/>
  <c r="J4061" i="1"/>
  <c r="Q4061" i="1"/>
  <c r="R4061" i="1"/>
  <c r="J10530" i="1"/>
  <c r="Q10530" i="1"/>
  <c r="R10530" i="1"/>
  <c r="J4062" i="1"/>
  <c r="Q4062" i="1"/>
  <c r="R4062" i="1"/>
  <c r="J4063" i="1"/>
  <c r="Q4063" i="1"/>
  <c r="R4063" i="1"/>
  <c r="J4064" i="1"/>
  <c r="Q4064" i="1"/>
  <c r="R4064" i="1"/>
  <c r="J4065" i="1"/>
  <c r="Q4065" i="1"/>
  <c r="R4065" i="1"/>
  <c r="J4066" i="1"/>
  <c r="Q4066" i="1"/>
  <c r="R4066" i="1"/>
  <c r="J4067" i="1"/>
  <c r="Q4067" i="1"/>
  <c r="R4067" i="1"/>
  <c r="J4068" i="1"/>
  <c r="Q4068" i="1"/>
  <c r="R4068" i="1"/>
  <c r="J4069" i="1"/>
  <c r="Q4069" i="1"/>
  <c r="R4069" i="1"/>
  <c r="J4070" i="1"/>
  <c r="Q4070" i="1"/>
  <c r="R4070" i="1"/>
  <c r="J4071" i="1"/>
  <c r="Q4071" i="1"/>
  <c r="R4071" i="1"/>
  <c r="J10531" i="1"/>
  <c r="Q10531" i="1"/>
  <c r="R10531" i="1"/>
  <c r="J4072" i="1"/>
  <c r="Q4072" i="1"/>
  <c r="R4072" i="1"/>
  <c r="J4073" i="1"/>
  <c r="Q4073" i="1"/>
  <c r="R4073" i="1"/>
  <c r="J4074" i="1"/>
  <c r="Q4074" i="1"/>
  <c r="R4074" i="1"/>
  <c r="J4075" i="1"/>
  <c r="Q4075" i="1"/>
  <c r="R4075" i="1"/>
  <c r="J4076" i="1"/>
  <c r="Q4076" i="1"/>
  <c r="R4076" i="1"/>
  <c r="J10532" i="1"/>
  <c r="Q10532" i="1"/>
  <c r="R10532" i="1"/>
  <c r="J4077" i="1"/>
  <c r="Q4077" i="1"/>
  <c r="R4077" i="1"/>
  <c r="J4078" i="1"/>
  <c r="Q4078" i="1"/>
  <c r="R4078" i="1"/>
  <c r="J4079" i="1"/>
  <c r="Q4079" i="1"/>
  <c r="R4079" i="1"/>
  <c r="J4080" i="1"/>
  <c r="Q4080" i="1"/>
  <c r="R4080" i="1"/>
  <c r="J4081" i="1"/>
  <c r="Q4081" i="1"/>
  <c r="R4081" i="1"/>
  <c r="J4082" i="1"/>
  <c r="Q4082" i="1"/>
  <c r="R4082" i="1"/>
  <c r="J4083" i="1"/>
  <c r="Q4083" i="1"/>
  <c r="R4083" i="1"/>
  <c r="J10533" i="1"/>
  <c r="Q10533" i="1"/>
  <c r="R10533" i="1"/>
  <c r="J4084" i="1"/>
  <c r="Q4084" i="1"/>
  <c r="R4084" i="1"/>
  <c r="J4085" i="1"/>
  <c r="Q4085" i="1"/>
  <c r="R4085" i="1"/>
  <c r="J4086" i="1"/>
  <c r="Q4086" i="1"/>
  <c r="R4086" i="1"/>
  <c r="J10534" i="1"/>
  <c r="Q10534" i="1"/>
  <c r="R10534" i="1"/>
  <c r="J4087" i="1"/>
  <c r="Q4087" i="1"/>
  <c r="R4087" i="1"/>
  <c r="J4088" i="1"/>
  <c r="Q4088" i="1"/>
  <c r="R4088" i="1"/>
  <c r="J10535" i="1"/>
  <c r="Q10535" i="1"/>
  <c r="R10535" i="1"/>
  <c r="J4089" i="1"/>
  <c r="Q4089" i="1"/>
  <c r="R4089" i="1"/>
  <c r="J10536" i="1"/>
  <c r="Q10536" i="1"/>
  <c r="R10536" i="1"/>
  <c r="J4090" i="1"/>
  <c r="Q4090" i="1"/>
  <c r="R4090" i="1"/>
  <c r="J4091" i="1"/>
  <c r="Q4091" i="1"/>
  <c r="R4091" i="1"/>
  <c r="J4092" i="1"/>
  <c r="Q4092" i="1"/>
  <c r="R4092" i="1"/>
  <c r="J4093" i="1"/>
  <c r="Q4093" i="1"/>
  <c r="R4093" i="1"/>
  <c r="J10537" i="1"/>
  <c r="Q10537" i="1"/>
  <c r="R10537" i="1"/>
  <c r="J4094" i="1"/>
  <c r="Q4094" i="1"/>
  <c r="R4094" i="1"/>
  <c r="J4095" i="1"/>
  <c r="Q4095" i="1"/>
  <c r="R4095" i="1"/>
  <c r="J4096" i="1"/>
  <c r="Q4096" i="1"/>
  <c r="R4096" i="1"/>
  <c r="J4097" i="1"/>
  <c r="Q4097" i="1"/>
  <c r="R4097" i="1"/>
  <c r="J4098" i="1"/>
  <c r="Q4098" i="1"/>
  <c r="R4098" i="1"/>
  <c r="J4099" i="1"/>
  <c r="Q4099" i="1"/>
  <c r="R4099" i="1"/>
  <c r="J10538" i="1"/>
  <c r="Q10538" i="1"/>
  <c r="R10538" i="1"/>
  <c r="J4100" i="1"/>
  <c r="Q4100" i="1"/>
  <c r="R4100" i="1"/>
  <c r="J4101" i="1"/>
  <c r="Q4101" i="1"/>
  <c r="R4101" i="1"/>
  <c r="J4102" i="1"/>
  <c r="Q4102" i="1"/>
  <c r="R4102" i="1"/>
  <c r="J4103" i="1"/>
  <c r="Q4103" i="1"/>
  <c r="R4103" i="1"/>
  <c r="J4104" i="1"/>
  <c r="Q4104" i="1"/>
  <c r="R4104" i="1"/>
  <c r="J4105" i="1"/>
  <c r="Q4105" i="1"/>
  <c r="R4105" i="1"/>
  <c r="J10539" i="1"/>
  <c r="Q10539" i="1"/>
  <c r="R10539" i="1"/>
  <c r="J4106" i="1"/>
  <c r="Q4106" i="1"/>
  <c r="R4106" i="1"/>
  <c r="J4107" i="1"/>
  <c r="Q4107" i="1"/>
  <c r="R4107" i="1"/>
  <c r="J10540" i="1"/>
  <c r="Q10540" i="1"/>
  <c r="R10540" i="1"/>
  <c r="J10541" i="1"/>
  <c r="Q10541" i="1"/>
  <c r="R10541" i="1"/>
  <c r="J4108" i="1"/>
  <c r="Q4108" i="1"/>
  <c r="R4108" i="1"/>
  <c r="J10542" i="1"/>
  <c r="Q10542" i="1"/>
  <c r="R10542" i="1"/>
  <c r="J10543" i="1"/>
  <c r="Q10543" i="1"/>
  <c r="R10543" i="1"/>
  <c r="J10544" i="1"/>
  <c r="Q10544" i="1"/>
  <c r="R10544" i="1"/>
  <c r="J10545" i="1"/>
  <c r="Q10545" i="1"/>
  <c r="R10545" i="1"/>
  <c r="J10546" i="1"/>
  <c r="Q10546" i="1"/>
  <c r="R10546" i="1"/>
  <c r="J10547" i="1"/>
  <c r="Q10547" i="1"/>
  <c r="R10547" i="1"/>
  <c r="J10548" i="1"/>
  <c r="Q10548" i="1"/>
  <c r="R10548" i="1"/>
  <c r="J4109" i="1"/>
  <c r="Q4109" i="1"/>
  <c r="R4109" i="1"/>
  <c r="J10549" i="1"/>
  <c r="Q10549" i="1"/>
  <c r="R10549" i="1"/>
  <c r="J4110" i="1"/>
  <c r="Q4110" i="1"/>
  <c r="R4110" i="1"/>
  <c r="J4111" i="1"/>
  <c r="Q4111" i="1"/>
  <c r="R4111" i="1"/>
  <c r="J10550" i="1"/>
  <c r="Q10550" i="1"/>
  <c r="R10550" i="1"/>
  <c r="J10551" i="1"/>
  <c r="Q10551" i="1"/>
  <c r="R10551" i="1"/>
  <c r="J10552" i="1"/>
  <c r="Q10552" i="1"/>
  <c r="R10552" i="1"/>
  <c r="J10553" i="1"/>
  <c r="Q10553" i="1"/>
  <c r="R10553" i="1"/>
  <c r="J10554" i="1"/>
  <c r="Q10554" i="1"/>
  <c r="R10554" i="1"/>
  <c r="J4112" i="1"/>
  <c r="Q4112" i="1"/>
  <c r="R4112" i="1"/>
  <c r="J4113" i="1"/>
  <c r="Q4113" i="1"/>
  <c r="R4113" i="1"/>
  <c r="J4114" i="1"/>
  <c r="Q4114" i="1"/>
  <c r="R4114" i="1"/>
  <c r="J10555" i="1"/>
  <c r="Q10555" i="1"/>
  <c r="R10555" i="1"/>
  <c r="J4115" i="1"/>
  <c r="Q4115" i="1"/>
  <c r="R4115" i="1"/>
  <c r="J4116" i="1"/>
  <c r="Q4116" i="1"/>
  <c r="R4116" i="1"/>
  <c r="J10556" i="1"/>
  <c r="Q10556" i="1"/>
  <c r="R10556" i="1"/>
  <c r="J4117" i="1"/>
  <c r="Q4117" i="1"/>
  <c r="R4117" i="1"/>
  <c r="J10557" i="1"/>
  <c r="Q10557" i="1"/>
  <c r="R10557" i="1"/>
  <c r="J10558" i="1"/>
  <c r="Q10558" i="1"/>
  <c r="R10558" i="1"/>
  <c r="J4118" i="1"/>
  <c r="Q4118" i="1"/>
  <c r="R4118" i="1"/>
  <c r="J10559" i="1"/>
  <c r="Q10559" i="1"/>
  <c r="R10559" i="1"/>
  <c r="J10560" i="1"/>
  <c r="Q10560" i="1"/>
  <c r="R10560" i="1"/>
  <c r="J10561" i="1"/>
  <c r="Q10561" i="1"/>
  <c r="R10561" i="1"/>
  <c r="J10562" i="1"/>
  <c r="Q10562" i="1"/>
  <c r="R10562" i="1"/>
  <c r="J10563" i="1"/>
  <c r="Q10563" i="1"/>
  <c r="R10563" i="1"/>
  <c r="J4119" i="1"/>
  <c r="Q4119" i="1"/>
  <c r="R4119" i="1"/>
  <c r="J10564" i="1"/>
  <c r="Q10564" i="1"/>
  <c r="R10564" i="1"/>
  <c r="J10565" i="1"/>
  <c r="Q10565" i="1"/>
  <c r="R10565" i="1"/>
  <c r="J10566" i="1"/>
  <c r="Q10566" i="1"/>
  <c r="R10566" i="1"/>
  <c r="J10567" i="1"/>
  <c r="Q10567" i="1"/>
  <c r="R10567" i="1"/>
  <c r="J10568" i="1"/>
  <c r="Q10568" i="1"/>
  <c r="R10568" i="1"/>
  <c r="J10569" i="1"/>
  <c r="Q10569" i="1"/>
  <c r="R10569" i="1"/>
  <c r="J10570" i="1"/>
  <c r="Q10570" i="1"/>
  <c r="R10570" i="1"/>
  <c r="J10571" i="1"/>
  <c r="Q10571" i="1"/>
  <c r="R10571" i="1"/>
  <c r="J10572" i="1"/>
  <c r="Q10572" i="1"/>
  <c r="R10572" i="1"/>
  <c r="J10573" i="1"/>
  <c r="Q10573" i="1"/>
  <c r="R10573" i="1"/>
  <c r="J10574" i="1"/>
  <c r="Q10574" i="1"/>
  <c r="R10574" i="1"/>
  <c r="J10575" i="1"/>
  <c r="Q10575" i="1"/>
  <c r="R10575" i="1"/>
  <c r="J10576" i="1"/>
  <c r="Q10576" i="1"/>
  <c r="R10576" i="1"/>
  <c r="J10577" i="1"/>
  <c r="Q10577" i="1"/>
  <c r="R10577" i="1"/>
  <c r="J10578" i="1"/>
  <c r="Q10578" i="1"/>
  <c r="R10578" i="1"/>
  <c r="J10579" i="1"/>
  <c r="Q10579" i="1"/>
  <c r="R10579" i="1"/>
  <c r="J10580" i="1"/>
  <c r="Q10580" i="1"/>
  <c r="R10580" i="1"/>
  <c r="J10581" i="1"/>
  <c r="Q10581" i="1"/>
  <c r="R10581" i="1"/>
  <c r="J10582" i="1"/>
  <c r="Q10582" i="1"/>
  <c r="R10582" i="1"/>
  <c r="J4120" i="1"/>
  <c r="Q4120" i="1"/>
  <c r="R4120" i="1"/>
  <c r="J4121" i="1"/>
  <c r="Q4121" i="1"/>
  <c r="R4121" i="1"/>
  <c r="J4122" i="1"/>
  <c r="Q4122" i="1"/>
  <c r="R4122" i="1"/>
  <c r="J4123" i="1"/>
  <c r="Q4123" i="1"/>
  <c r="R4123" i="1"/>
  <c r="J4124" i="1"/>
  <c r="Q4124" i="1"/>
  <c r="R4124" i="1"/>
  <c r="J4125" i="1"/>
  <c r="Q4125" i="1"/>
  <c r="R4125" i="1"/>
  <c r="J4126" i="1"/>
  <c r="Q4126" i="1"/>
  <c r="R4126" i="1"/>
  <c r="J4127" i="1"/>
  <c r="Q4127" i="1"/>
  <c r="R4127" i="1"/>
  <c r="J4128" i="1"/>
  <c r="Q4128" i="1"/>
  <c r="R4128" i="1"/>
  <c r="J4129" i="1"/>
  <c r="Q4129" i="1"/>
  <c r="R4129" i="1"/>
  <c r="J4130" i="1"/>
  <c r="Q4130" i="1"/>
  <c r="R4130" i="1"/>
  <c r="J4131" i="1"/>
  <c r="Q4131" i="1"/>
  <c r="R4131" i="1"/>
  <c r="J4132" i="1"/>
  <c r="Q4132" i="1"/>
  <c r="R4132" i="1"/>
  <c r="J4133" i="1"/>
  <c r="Q4133" i="1"/>
  <c r="R4133" i="1"/>
  <c r="J4134" i="1"/>
  <c r="Q4134" i="1"/>
  <c r="R4134" i="1"/>
  <c r="J4135" i="1"/>
  <c r="Q4135" i="1"/>
  <c r="R4135" i="1"/>
  <c r="J10583" i="1"/>
  <c r="Q10583" i="1"/>
  <c r="R10583" i="1"/>
  <c r="J4136" i="1"/>
  <c r="Q4136" i="1"/>
  <c r="R4136" i="1"/>
  <c r="J4137" i="1"/>
  <c r="Q4137" i="1"/>
  <c r="R4137" i="1"/>
  <c r="J4138" i="1"/>
  <c r="Q4138" i="1"/>
  <c r="R4138" i="1"/>
  <c r="J4139" i="1"/>
  <c r="Q4139" i="1"/>
  <c r="R4139" i="1"/>
  <c r="J10584" i="1"/>
  <c r="Q10584" i="1"/>
  <c r="R10584" i="1"/>
  <c r="J10585" i="1"/>
  <c r="Q10585" i="1"/>
  <c r="R10585" i="1"/>
  <c r="J10586" i="1"/>
  <c r="Q10586" i="1"/>
  <c r="R10586" i="1"/>
  <c r="J10587" i="1"/>
  <c r="Q10587" i="1"/>
  <c r="R10587" i="1"/>
  <c r="J10588" i="1"/>
  <c r="Q10588" i="1"/>
  <c r="R10588" i="1"/>
  <c r="J4140" i="1"/>
  <c r="Q4140" i="1"/>
  <c r="R4140" i="1"/>
  <c r="J4141" i="1"/>
  <c r="Q4141" i="1"/>
  <c r="R4141" i="1"/>
  <c r="J4142" i="1"/>
  <c r="Q4142" i="1"/>
  <c r="R4142" i="1"/>
  <c r="J10589" i="1"/>
  <c r="Q10589" i="1"/>
  <c r="R10589" i="1"/>
  <c r="J10590" i="1"/>
  <c r="Q10590" i="1"/>
  <c r="R10590" i="1"/>
  <c r="J10591" i="1"/>
  <c r="Q10591" i="1"/>
  <c r="R10591" i="1"/>
  <c r="J10592" i="1"/>
  <c r="Q10592" i="1"/>
  <c r="R10592" i="1"/>
  <c r="J10593" i="1"/>
  <c r="Q10593" i="1"/>
  <c r="R10593" i="1"/>
  <c r="J7605" i="1"/>
  <c r="Q7605" i="1"/>
  <c r="R7605" i="1"/>
  <c r="J910" i="1"/>
  <c r="Q910" i="1"/>
  <c r="R910" i="1"/>
  <c r="J6840" i="1"/>
  <c r="Q6840" i="1"/>
  <c r="R6840" i="1"/>
  <c r="J6841" i="1"/>
  <c r="Q6841" i="1"/>
  <c r="R6841" i="1"/>
  <c r="J7606" i="1"/>
  <c r="Q7606" i="1"/>
  <c r="R7606" i="1"/>
  <c r="J7607" i="1"/>
  <c r="Q7607" i="1"/>
  <c r="R7607" i="1"/>
  <c r="J7608" i="1"/>
  <c r="Q7608" i="1"/>
  <c r="R7608" i="1"/>
  <c r="J7609" i="1"/>
  <c r="Q7609" i="1"/>
  <c r="R7609" i="1"/>
  <c r="J7610" i="1"/>
  <c r="Q7610" i="1"/>
  <c r="R7610" i="1"/>
  <c r="J6842" i="1"/>
  <c r="Q6842" i="1"/>
  <c r="R6842" i="1"/>
  <c r="J7611" i="1"/>
  <c r="Q7611" i="1"/>
  <c r="R7611" i="1"/>
  <c r="J7612" i="1"/>
  <c r="Q7612" i="1"/>
  <c r="R7612" i="1"/>
  <c r="J6843" i="1"/>
  <c r="Q6843" i="1"/>
  <c r="R6843" i="1"/>
  <c r="J911" i="1"/>
  <c r="Q911" i="1"/>
  <c r="R911" i="1"/>
  <c r="J912" i="1"/>
  <c r="Q912" i="1"/>
  <c r="R912" i="1"/>
  <c r="J913" i="1"/>
  <c r="Q913" i="1"/>
  <c r="R913" i="1"/>
  <c r="J914" i="1"/>
  <c r="Q914" i="1"/>
  <c r="R914" i="1"/>
  <c r="J915" i="1"/>
  <c r="Q915" i="1"/>
  <c r="R915" i="1"/>
  <c r="J916" i="1"/>
  <c r="Q916" i="1"/>
  <c r="R916" i="1"/>
  <c r="J917" i="1"/>
  <c r="Q917" i="1"/>
  <c r="R917" i="1"/>
  <c r="J918" i="1"/>
  <c r="Q918" i="1"/>
  <c r="R918" i="1"/>
  <c r="J919" i="1"/>
  <c r="Q919" i="1"/>
  <c r="R919" i="1"/>
  <c r="J920" i="1"/>
  <c r="Q920" i="1"/>
  <c r="R920" i="1"/>
  <c r="J921" i="1"/>
  <c r="Q921" i="1"/>
  <c r="R921" i="1"/>
  <c r="J922" i="1"/>
  <c r="Q922" i="1"/>
  <c r="R922" i="1"/>
  <c r="J923" i="1"/>
  <c r="Q923" i="1"/>
  <c r="R923" i="1"/>
  <c r="J924" i="1"/>
  <c r="Q924" i="1"/>
  <c r="R924" i="1"/>
  <c r="J925" i="1"/>
  <c r="Q925" i="1"/>
  <c r="R925" i="1"/>
  <c r="J926" i="1"/>
  <c r="Q926" i="1"/>
  <c r="R926" i="1"/>
  <c r="J7613" i="1"/>
  <c r="Q7613" i="1"/>
  <c r="R7613" i="1"/>
  <c r="J927" i="1"/>
  <c r="Q927" i="1"/>
  <c r="R927" i="1"/>
  <c r="J7614" i="1"/>
  <c r="Q7614" i="1"/>
  <c r="R7614" i="1"/>
  <c r="J13556" i="1"/>
  <c r="Q13556" i="1"/>
  <c r="R13556" i="1"/>
  <c r="J928" i="1"/>
  <c r="Q928" i="1"/>
  <c r="R928" i="1"/>
  <c r="J6844" i="1"/>
  <c r="Q6844" i="1"/>
  <c r="R6844" i="1"/>
  <c r="J6586" i="1"/>
  <c r="Q6586" i="1"/>
  <c r="R6586" i="1"/>
  <c r="J6845" i="1"/>
  <c r="Q6845" i="1"/>
  <c r="R6845" i="1"/>
  <c r="J929" i="1"/>
  <c r="Q929" i="1"/>
  <c r="R929" i="1"/>
  <c r="J930" i="1"/>
  <c r="Q930" i="1"/>
  <c r="R930" i="1"/>
  <c r="J7615" i="1"/>
  <c r="Q7615" i="1"/>
  <c r="R7615" i="1"/>
  <c r="J7616" i="1"/>
  <c r="Q7616" i="1"/>
  <c r="R7616" i="1"/>
  <c r="J931" i="1"/>
  <c r="Q931" i="1"/>
  <c r="R931" i="1"/>
  <c r="J7617" i="1"/>
  <c r="Q7617" i="1"/>
  <c r="R7617" i="1"/>
  <c r="J932" i="1"/>
  <c r="Q932" i="1"/>
  <c r="R932" i="1"/>
  <c r="J6846" i="1"/>
  <c r="Q6846" i="1"/>
  <c r="R6846" i="1"/>
  <c r="J7618" i="1"/>
  <c r="Q7618" i="1"/>
  <c r="R7618" i="1"/>
  <c r="J6847" i="1"/>
  <c r="Q6847" i="1"/>
  <c r="R6847" i="1"/>
  <c r="J6848" i="1"/>
  <c r="Q6848" i="1"/>
  <c r="R6848" i="1"/>
  <c r="J7619" i="1"/>
  <c r="Q7619" i="1"/>
  <c r="R7619" i="1"/>
  <c r="J7620" i="1"/>
  <c r="Q7620" i="1"/>
  <c r="R7620" i="1"/>
  <c r="J7621" i="1"/>
  <c r="Q7621" i="1"/>
  <c r="R7621" i="1"/>
  <c r="J7622" i="1"/>
  <c r="Q7622" i="1"/>
  <c r="R7622" i="1"/>
  <c r="J7623" i="1"/>
  <c r="Q7623" i="1"/>
  <c r="R7623" i="1"/>
  <c r="J7624" i="1"/>
  <c r="Q7624" i="1"/>
  <c r="R7624" i="1"/>
  <c r="J7625" i="1"/>
  <c r="Q7625" i="1"/>
  <c r="R7625" i="1"/>
  <c r="J7626" i="1"/>
  <c r="Q7626" i="1"/>
  <c r="R7626" i="1"/>
  <c r="J7627" i="1"/>
  <c r="Q7627" i="1"/>
  <c r="R7627" i="1"/>
  <c r="J7628" i="1"/>
  <c r="Q7628" i="1"/>
  <c r="R7628" i="1"/>
  <c r="J7629" i="1"/>
  <c r="Q7629" i="1"/>
  <c r="R7629" i="1"/>
  <c r="J6849" i="1"/>
  <c r="Q6849" i="1"/>
  <c r="R6849" i="1"/>
  <c r="J7630" i="1"/>
  <c r="Q7630" i="1"/>
  <c r="R7630" i="1"/>
  <c r="J7631" i="1"/>
  <c r="Q7631" i="1"/>
  <c r="R7631" i="1"/>
  <c r="J7632" i="1"/>
  <c r="Q7632" i="1"/>
  <c r="R7632" i="1"/>
  <c r="J7633" i="1"/>
  <c r="Q7633" i="1"/>
  <c r="R7633" i="1"/>
  <c r="J7634" i="1"/>
  <c r="Q7634" i="1"/>
  <c r="R7634" i="1"/>
  <c r="J7635" i="1"/>
  <c r="Q7635" i="1"/>
  <c r="R7635" i="1"/>
  <c r="J7636" i="1"/>
  <c r="Q7636" i="1"/>
  <c r="R7636" i="1"/>
  <c r="J7637" i="1"/>
  <c r="Q7637" i="1"/>
  <c r="R7637" i="1"/>
  <c r="J933" i="1"/>
  <c r="Q933" i="1"/>
  <c r="R933" i="1"/>
  <c r="J934" i="1"/>
  <c r="Q934" i="1"/>
  <c r="R934" i="1"/>
  <c r="J935" i="1"/>
  <c r="Q935" i="1"/>
  <c r="R935" i="1"/>
  <c r="J936" i="1"/>
  <c r="Q936" i="1"/>
  <c r="R936" i="1"/>
  <c r="J937" i="1"/>
  <c r="Q937" i="1"/>
  <c r="R937" i="1"/>
  <c r="J938" i="1"/>
  <c r="Q938" i="1"/>
  <c r="R938" i="1"/>
  <c r="J939" i="1"/>
  <c r="Q939" i="1"/>
  <c r="R939" i="1"/>
  <c r="J940" i="1"/>
  <c r="Q940" i="1"/>
  <c r="R940" i="1"/>
  <c r="J941" i="1"/>
  <c r="Q941" i="1"/>
  <c r="R941" i="1"/>
  <c r="J942" i="1"/>
  <c r="Q942" i="1"/>
  <c r="R942" i="1"/>
  <c r="J943" i="1"/>
  <c r="Q943" i="1"/>
  <c r="R943" i="1"/>
  <c r="J944" i="1"/>
  <c r="Q944" i="1"/>
  <c r="R944" i="1"/>
  <c r="J945" i="1"/>
  <c r="Q945" i="1"/>
  <c r="R945" i="1"/>
  <c r="J946" i="1"/>
  <c r="Q946" i="1"/>
  <c r="R946" i="1"/>
  <c r="J947" i="1"/>
  <c r="Q947" i="1"/>
  <c r="R947" i="1"/>
  <c r="J948" i="1"/>
  <c r="Q948" i="1"/>
  <c r="R948" i="1"/>
  <c r="J949" i="1"/>
  <c r="Q949" i="1"/>
  <c r="R949" i="1"/>
  <c r="J950" i="1"/>
  <c r="Q950" i="1"/>
  <c r="R950" i="1"/>
  <c r="J951" i="1"/>
  <c r="Q951" i="1"/>
  <c r="R951" i="1"/>
  <c r="J952" i="1"/>
  <c r="Q952" i="1"/>
  <c r="R952" i="1"/>
  <c r="J953" i="1"/>
  <c r="Q953" i="1"/>
  <c r="R953" i="1"/>
  <c r="J954" i="1"/>
  <c r="Q954" i="1"/>
  <c r="R954" i="1"/>
  <c r="J955" i="1"/>
  <c r="Q955" i="1"/>
  <c r="R955" i="1"/>
  <c r="J956" i="1"/>
  <c r="Q956" i="1"/>
  <c r="R956" i="1"/>
  <c r="J957" i="1"/>
  <c r="Q957" i="1"/>
  <c r="R957" i="1"/>
  <c r="J958" i="1"/>
  <c r="Q958" i="1"/>
  <c r="R958" i="1"/>
  <c r="J959" i="1"/>
  <c r="Q959" i="1"/>
  <c r="R959" i="1"/>
  <c r="J960" i="1"/>
  <c r="Q960" i="1"/>
  <c r="R960" i="1"/>
  <c r="J961" i="1"/>
  <c r="Q961" i="1"/>
  <c r="R961" i="1"/>
  <c r="J962" i="1"/>
  <c r="Q962" i="1"/>
  <c r="R962" i="1"/>
  <c r="J963" i="1"/>
  <c r="Q963" i="1"/>
  <c r="R963" i="1"/>
  <c r="J13557" i="1"/>
  <c r="Q13557" i="1"/>
  <c r="R13557" i="1"/>
  <c r="J964" i="1"/>
  <c r="Q964" i="1"/>
  <c r="R964" i="1"/>
  <c r="J965" i="1"/>
  <c r="Q965" i="1"/>
  <c r="R965" i="1"/>
  <c r="J966" i="1"/>
  <c r="Q966" i="1"/>
  <c r="R966" i="1"/>
  <c r="J967" i="1"/>
  <c r="Q967" i="1"/>
  <c r="R967" i="1"/>
  <c r="J968" i="1"/>
  <c r="Q968" i="1"/>
  <c r="R968" i="1"/>
  <c r="J969" i="1"/>
  <c r="Q969" i="1"/>
  <c r="R969" i="1"/>
  <c r="J6850" i="1"/>
  <c r="Q6850" i="1"/>
  <c r="R6850" i="1"/>
  <c r="J6587" i="1"/>
  <c r="Q6587" i="1"/>
  <c r="R6587" i="1"/>
  <c r="J970" i="1"/>
  <c r="Q970" i="1"/>
  <c r="R970" i="1"/>
  <c r="J971" i="1"/>
  <c r="Q971" i="1"/>
  <c r="R971" i="1"/>
  <c r="J7638" i="1"/>
  <c r="Q7638" i="1"/>
  <c r="R7638" i="1"/>
  <c r="J6851" i="1"/>
  <c r="Q6851" i="1"/>
  <c r="R6851" i="1"/>
  <c r="J6852" i="1"/>
  <c r="Q6852" i="1"/>
  <c r="R6852" i="1"/>
  <c r="J13558" i="1"/>
  <c r="Q13558" i="1"/>
  <c r="R13558" i="1"/>
  <c r="J972" i="1"/>
  <c r="Q972" i="1"/>
  <c r="R972" i="1"/>
  <c r="J13559" i="1"/>
  <c r="Q13559" i="1"/>
  <c r="R13559" i="1"/>
  <c r="J6853" i="1"/>
  <c r="Q6853" i="1"/>
  <c r="R6853" i="1"/>
  <c r="J6854" i="1"/>
  <c r="Q6854" i="1"/>
  <c r="R6854" i="1"/>
  <c r="J13560" i="1"/>
  <c r="Q13560" i="1"/>
  <c r="R13560" i="1"/>
  <c r="J6855" i="1"/>
  <c r="Q6855" i="1"/>
  <c r="R6855" i="1"/>
  <c r="J7639" i="1"/>
  <c r="Q7639" i="1"/>
  <c r="R7639" i="1"/>
  <c r="J7640" i="1"/>
  <c r="Q7640" i="1"/>
  <c r="R7640" i="1"/>
  <c r="J7641" i="1"/>
  <c r="Q7641" i="1"/>
  <c r="R7641" i="1"/>
  <c r="J973" i="1"/>
  <c r="Q973" i="1"/>
  <c r="R973" i="1"/>
  <c r="J974" i="1"/>
  <c r="Q974" i="1"/>
  <c r="R974" i="1"/>
  <c r="J7642" i="1"/>
  <c r="Q7642" i="1"/>
  <c r="R7642" i="1"/>
  <c r="J7643" i="1"/>
  <c r="Q7643" i="1"/>
  <c r="R7643" i="1"/>
  <c r="J975" i="1"/>
  <c r="Q975" i="1"/>
  <c r="R975" i="1"/>
  <c r="J976" i="1"/>
  <c r="Q976" i="1"/>
  <c r="R976" i="1"/>
  <c r="J977" i="1"/>
  <c r="Q977" i="1"/>
  <c r="R977" i="1"/>
  <c r="J978" i="1"/>
  <c r="Q978" i="1"/>
  <c r="R978" i="1"/>
  <c r="J979" i="1"/>
  <c r="Q979" i="1"/>
  <c r="R979" i="1"/>
  <c r="J7644" i="1"/>
  <c r="Q7644" i="1"/>
  <c r="R7644" i="1"/>
  <c r="J7645" i="1"/>
  <c r="Q7645" i="1"/>
  <c r="R7645" i="1"/>
  <c r="J7646" i="1"/>
  <c r="Q7646" i="1"/>
  <c r="R7646" i="1"/>
  <c r="J7647" i="1"/>
  <c r="Q7647" i="1"/>
  <c r="R7647" i="1"/>
  <c r="J980" i="1"/>
  <c r="Q980" i="1"/>
  <c r="R980" i="1"/>
  <c r="J981" i="1"/>
  <c r="Q981" i="1"/>
  <c r="R981" i="1"/>
  <c r="J6856" i="1"/>
  <c r="Q6856" i="1"/>
  <c r="R6856" i="1"/>
  <c r="J6857" i="1"/>
  <c r="Q6857" i="1"/>
  <c r="R6857" i="1"/>
  <c r="J982" i="1"/>
  <c r="Q982" i="1"/>
  <c r="R982" i="1"/>
  <c r="J6588" i="1"/>
  <c r="Q6588" i="1"/>
  <c r="R6588" i="1"/>
  <c r="J983" i="1"/>
  <c r="Q983" i="1"/>
  <c r="R983" i="1"/>
  <c r="J6858" i="1"/>
  <c r="Q6858" i="1"/>
  <c r="R6858" i="1"/>
  <c r="J6859" i="1"/>
  <c r="Q6859" i="1"/>
  <c r="R6859" i="1"/>
  <c r="J6860" i="1"/>
  <c r="Q6860" i="1"/>
  <c r="R6860" i="1"/>
  <c r="J13561" i="1"/>
  <c r="Q13561" i="1"/>
  <c r="R13561" i="1"/>
  <c r="J6861" i="1"/>
  <c r="Q6861" i="1"/>
  <c r="R6861" i="1"/>
  <c r="J6862" i="1"/>
  <c r="Q6862" i="1"/>
  <c r="R6862" i="1"/>
  <c r="J6863" i="1"/>
  <c r="Q6863" i="1"/>
  <c r="R6863" i="1"/>
  <c r="J6864" i="1"/>
  <c r="Q6864" i="1"/>
  <c r="R6864" i="1"/>
  <c r="J7648" i="1"/>
  <c r="Q7648" i="1"/>
  <c r="R7648" i="1"/>
  <c r="J7649" i="1"/>
  <c r="Q7649" i="1"/>
  <c r="R7649" i="1"/>
  <c r="J7650" i="1"/>
  <c r="Q7650" i="1"/>
  <c r="R7650" i="1"/>
  <c r="J7651" i="1"/>
  <c r="Q7651" i="1"/>
  <c r="R7651" i="1"/>
  <c r="J7652" i="1"/>
  <c r="Q7652" i="1"/>
  <c r="R7652" i="1"/>
  <c r="J7653" i="1"/>
  <c r="Q7653" i="1"/>
  <c r="R7653" i="1"/>
  <c r="J7654" i="1"/>
  <c r="Q7654" i="1"/>
  <c r="R7654" i="1"/>
  <c r="J7655" i="1"/>
  <c r="Q7655" i="1"/>
  <c r="R7655" i="1"/>
  <c r="J7656" i="1"/>
  <c r="Q7656" i="1"/>
  <c r="R7656" i="1"/>
  <c r="J7657" i="1"/>
  <c r="Q7657" i="1"/>
  <c r="R7657" i="1"/>
  <c r="J984" i="1"/>
  <c r="Q984" i="1"/>
  <c r="R984" i="1"/>
  <c r="J985" i="1"/>
  <c r="Q985" i="1"/>
  <c r="R985" i="1"/>
  <c r="J986" i="1"/>
  <c r="Q986" i="1"/>
  <c r="R986" i="1"/>
  <c r="J987" i="1"/>
  <c r="Q987" i="1"/>
  <c r="R987" i="1"/>
  <c r="J988" i="1"/>
  <c r="Q988" i="1"/>
  <c r="R988" i="1"/>
  <c r="J989" i="1"/>
  <c r="Q989" i="1"/>
  <c r="R989" i="1"/>
  <c r="J990" i="1"/>
  <c r="Q990" i="1"/>
  <c r="R990" i="1"/>
  <c r="J991" i="1"/>
  <c r="Q991" i="1"/>
  <c r="R991" i="1"/>
  <c r="J6865" i="1"/>
  <c r="Q6865" i="1"/>
  <c r="R6865" i="1"/>
  <c r="J992" i="1"/>
  <c r="Q992" i="1"/>
  <c r="R992" i="1"/>
  <c r="J13562" i="1"/>
  <c r="Q13562" i="1"/>
  <c r="R13562" i="1"/>
  <c r="J993" i="1"/>
  <c r="Q993" i="1"/>
  <c r="R993" i="1"/>
  <c r="J13563" i="1"/>
  <c r="Q13563" i="1"/>
  <c r="R13563" i="1"/>
  <c r="J994" i="1"/>
  <c r="Q994" i="1"/>
  <c r="R994" i="1"/>
  <c r="J995" i="1"/>
  <c r="Q995" i="1"/>
  <c r="R995" i="1"/>
  <c r="J996" i="1"/>
  <c r="Q996" i="1"/>
  <c r="R996" i="1"/>
  <c r="J997" i="1"/>
  <c r="Q997" i="1"/>
  <c r="R997" i="1"/>
  <c r="J998" i="1"/>
  <c r="Q998" i="1"/>
  <c r="R998" i="1"/>
  <c r="J999" i="1"/>
  <c r="Q999" i="1"/>
  <c r="R999" i="1"/>
  <c r="J1000" i="1"/>
  <c r="Q1000" i="1"/>
  <c r="R1000" i="1"/>
  <c r="J1001" i="1"/>
  <c r="Q1001" i="1"/>
  <c r="R1001" i="1"/>
  <c r="J1002" i="1"/>
  <c r="Q1002" i="1"/>
  <c r="R1002" i="1"/>
  <c r="J1003" i="1"/>
  <c r="Q1003" i="1"/>
  <c r="R1003" i="1"/>
  <c r="J1004" i="1"/>
  <c r="Q1004" i="1"/>
  <c r="R1004" i="1"/>
  <c r="J1005" i="1"/>
  <c r="Q1005" i="1"/>
  <c r="R1005" i="1"/>
  <c r="J1006" i="1"/>
  <c r="Q1006" i="1"/>
  <c r="R1006" i="1"/>
  <c r="J1007" i="1"/>
  <c r="Q1007" i="1"/>
  <c r="R1007" i="1"/>
  <c r="J1008" i="1"/>
  <c r="Q1008" i="1"/>
  <c r="R1008" i="1"/>
  <c r="J7658" i="1"/>
  <c r="Q7658" i="1"/>
  <c r="R7658" i="1"/>
  <c r="J1009" i="1"/>
  <c r="Q1009" i="1"/>
  <c r="R1009" i="1"/>
  <c r="J7659" i="1"/>
  <c r="Q7659" i="1"/>
  <c r="R7659" i="1"/>
  <c r="J1010" i="1"/>
  <c r="Q1010" i="1"/>
  <c r="R1010" i="1"/>
  <c r="J7660" i="1"/>
  <c r="Q7660" i="1"/>
  <c r="R7660" i="1"/>
  <c r="J1011" i="1"/>
  <c r="Q1011" i="1"/>
  <c r="R1011" i="1"/>
  <c r="J7661" i="1"/>
  <c r="Q7661" i="1"/>
  <c r="R7661" i="1"/>
  <c r="J7662" i="1"/>
  <c r="Q7662" i="1"/>
  <c r="R7662" i="1"/>
  <c r="J7663" i="1"/>
  <c r="Q7663" i="1"/>
  <c r="R7663" i="1"/>
  <c r="J1012" i="1"/>
  <c r="Q1012" i="1"/>
  <c r="R1012" i="1"/>
  <c r="J7664" i="1"/>
  <c r="Q7664" i="1"/>
  <c r="R7664" i="1"/>
  <c r="J1013" i="1"/>
  <c r="Q1013" i="1"/>
  <c r="R1013" i="1"/>
  <c r="J6589" i="1"/>
  <c r="Q6589" i="1"/>
  <c r="R6589" i="1"/>
  <c r="J6866" i="1"/>
  <c r="Q6866" i="1"/>
  <c r="R6866" i="1"/>
  <c r="J6867" i="1"/>
  <c r="Q6867" i="1"/>
  <c r="R6867" i="1"/>
  <c r="J1014" i="1"/>
  <c r="Q1014" i="1"/>
  <c r="R1014" i="1"/>
  <c r="J1015" i="1"/>
  <c r="Q1015" i="1"/>
  <c r="R1015" i="1"/>
  <c r="J7665" i="1"/>
  <c r="Q7665" i="1"/>
  <c r="R7665" i="1"/>
  <c r="J13564" i="1"/>
  <c r="Q13564" i="1"/>
  <c r="R13564" i="1"/>
  <c r="J7666" i="1"/>
  <c r="Q7666" i="1"/>
  <c r="R7666" i="1"/>
  <c r="J6868" i="1"/>
  <c r="Q6868" i="1"/>
  <c r="R6868" i="1"/>
  <c r="J6869" i="1"/>
  <c r="Q6869" i="1"/>
  <c r="R6869" i="1"/>
  <c r="J6870" i="1"/>
  <c r="Q6870" i="1"/>
  <c r="R6870" i="1"/>
  <c r="J1016" i="1"/>
  <c r="Q1016" i="1"/>
  <c r="R1016" i="1"/>
  <c r="J6871" i="1"/>
  <c r="Q6871" i="1"/>
  <c r="R6871" i="1"/>
  <c r="J7667" i="1"/>
  <c r="Q7667" i="1"/>
  <c r="R7667" i="1"/>
  <c r="J7668" i="1"/>
  <c r="Q7668" i="1"/>
  <c r="R7668" i="1"/>
  <c r="J7669" i="1"/>
  <c r="Q7669" i="1"/>
  <c r="R7669" i="1"/>
  <c r="J7670" i="1"/>
  <c r="Q7670" i="1"/>
  <c r="R7670" i="1"/>
  <c r="J7671" i="1"/>
  <c r="Q7671" i="1"/>
  <c r="R7671" i="1"/>
  <c r="J7672" i="1"/>
  <c r="Q7672" i="1"/>
  <c r="R7672" i="1"/>
  <c r="J7673" i="1"/>
  <c r="Q7673" i="1"/>
  <c r="R7673" i="1"/>
  <c r="J7674" i="1"/>
  <c r="Q7674" i="1"/>
  <c r="R7674" i="1"/>
  <c r="J7675" i="1"/>
  <c r="Q7675" i="1"/>
  <c r="R7675" i="1"/>
  <c r="J7676" i="1"/>
  <c r="Q7676" i="1"/>
  <c r="R7676" i="1"/>
  <c r="J7677" i="1"/>
  <c r="Q7677" i="1"/>
  <c r="R7677" i="1"/>
  <c r="J1017" i="1"/>
  <c r="Q1017" i="1"/>
  <c r="R1017" i="1"/>
  <c r="J6872" i="1"/>
  <c r="Q6872" i="1"/>
  <c r="R6872" i="1"/>
  <c r="J1018" i="1"/>
  <c r="Q1018" i="1"/>
  <c r="R1018" i="1"/>
  <c r="J1019" i="1"/>
  <c r="Q1019" i="1"/>
  <c r="R1019" i="1"/>
  <c r="J1020" i="1"/>
  <c r="Q1020" i="1"/>
  <c r="R1020" i="1"/>
  <c r="J1021" i="1"/>
  <c r="Q1021" i="1"/>
  <c r="R1021" i="1"/>
  <c r="J1022" i="1"/>
  <c r="Q1022" i="1"/>
  <c r="R1022" i="1"/>
  <c r="J1023" i="1"/>
  <c r="Q1023" i="1"/>
  <c r="R1023" i="1"/>
  <c r="J1024" i="1"/>
  <c r="Q1024" i="1"/>
  <c r="R1024" i="1"/>
  <c r="J1025" i="1"/>
  <c r="Q1025" i="1"/>
  <c r="R1025" i="1"/>
  <c r="J1026" i="1"/>
  <c r="Q1026" i="1"/>
  <c r="R1026" i="1"/>
  <c r="J1027" i="1"/>
  <c r="Q1027" i="1"/>
  <c r="R1027" i="1"/>
  <c r="J1028" i="1"/>
  <c r="Q1028" i="1"/>
  <c r="R1028" i="1"/>
  <c r="J6873" i="1"/>
  <c r="Q6873" i="1"/>
  <c r="R6873" i="1"/>
  <c r="J1029" i="1"/>
  <c r="Q1029" i="1"/>
  <c r="R1029" i="1"/>
  <c r="J1030" i="1"/>
  <c r="Q1030" i="1"/>
  <c r="R1030" i="1"/>
  <c r="J1031" i="1"/>
  <c r="Q1031" i="1"/>
  <c r="R1031" i="1"/>
  <c r="J1032" i="1"/>
  <c r="Q1032" i="1"/>
  <c r="R1032" i="1"/>
  <c r="J1033" i="1"/>
  <c r="Q1033" i="1"/>
  <c r="R1033" i="1"/>
  <c r="J6590" i="1"/>
  <c r="Q6590" i="1"/>
  <c r="R6590" i="1"/>
  <c r="J1034" i="1"/>
  <c r="Q1034" i="1"/>
  <c r="R1034" i="1"/>
  <c r="J1035" i="1"/>
  <c r="Q1035" i="1"/>
  <c r="R1035" i="1"/>
  <c r="J10594" i="1"/>
  <c r="Q10594" i="1"/>
  <c r="R10594" i="1"/>
  <c r="J10595" i="1"/>
  <c r="Q10595" i="1"/>
  <c r="R10595" i="1"/>
  <c r="J10596" i="1"/>
  <c r="Q10596" i="1"/>
  <c r="R10596" i="1"/>
  <c r="J10597" i="1"/>
  <c r="Q10597" i="1"/>
  <c r="R10597" i="1"/>
  <c r="J10598" i="1"/>
  <c r="Q10598" i="1"/>
  <c r="R10598" i="1"/>
  <c r="J10599" i="1"/>
  <c r="Q10599" i="1"/>
  <c r="R10599" i="1"/>
  <c r="J10600" i="1"/>
  <c r="Q10600" i="1"/>
  <c r="R10600" i="1"/>
  <c r="J10601" i="1"/>
  <c r="Q10601" i="1"/>
  <c r="R10601" i="1"/>
  <c r="J10602" i="1"/>
  <c r="Q10602" i="1"/>
  <c r="R10602" i="1"/>
  <c r="J10603" i="1"/>
  <c r="Q10603" i="1"/>
  <c r="R10603" i="1"/>
  <c r="J4143" i="1"/>
  <c r="Q4143" i="1"/>
  <c r="R4143" i="1"/>
  <c r="J10604" i="1"/>
  <c r="Q10604" i="1"/>
  <c r="R10604" i="1"/>
  <c r="J10605" i="1"/>
  <c r="Q10605" i="1"/>
  <c r="R10605" i="1"/>
  <c r="J4144" i="1"/>
  <c r="Q4144" i="1"/>
  <c r="R4144" i="1"/>
  <c r="J4145" i="1"/>
  <c r="Q4145" i="1"/>
  <c r="R4145" i="1"/>
  <c r="J4146" i="1"/>
  <c r="Q4146" i="1"/>
  <c r="R4146" i="1"/>
  <c r="J4147" i="1"/>
  <c r="Q4147" i="1"/>
  <c r="R4147" i="1"/>
  <c r="J10606" i="1"/>
  <c r="Q10606" i="1"/>
  <c r="R10606" i="1"/>
  <c r="J4148" i="1"/>
  <c r="Q4148" i="1"/>
  <c r="R4148" i="1"/>
  <c r="J10607" i="1"/>
  <c r="Q10607" i="1"/>
  <c r="R10607" i="1"/>
  <c r="J10608" i="1"/>
  <c r="Q10608" i="1"/>
  <c r="R10608" i="1"/>
  <c r="J10609" i="1"/>
  <c r="Q10609" i="1"/>
  <c r="R10609" i="1"/>
  <c r="J10610" i="1"/>
  <c r="Q10610" i="1"/>
  <c r="R10610" i="1"/>
  <c r="J4149" i="1"/>
  <c r="Q4149" i="1"/>
  <c r="R4149" i="1"/>
  <c r="J10611" i="1"/>
  <c r="Q10611" i="1"/>
  <c r="R10611" i="1"/>
  <c r="J10612" i="1"/>
  <c r="Q10612" i="1"/>
  <c r="R10612" i="1"/>
  <c r="J10613" i="1"/>
  <c r="Q10613" i="1"/>
  <c r="R10613" i="1"/>
  <c r="J4150" i="1"/>
  <c r="Q4150" i="1"/>
  <c r="R4150" i="1"/>
  <c r="J4151" i="1"/>
  <c r="Q4151" i="1"/>
  <c r="R4151" i="1"/>
  <c r="J10614" i="1"/>
  <c r="Q10614" i="1"/>
  <c r="R10614" i="1"/>
  <c r="J4152" i="1"/>
  <c r="Q4152" i="1"/>
  <c r="R4152" i="1"/>
  <c r="J4153" i="1"/>
  <c r="Q4153" i="1"/>
  <c r="R4153" i="1"/>
  <c r="J4154" i="1"/>
  <c r="Q4154" i="1"/>
  <c r="R4154" i="1"/>
  <c r="J4155" i="1"/>
  <c r="Q4155" i="1"/>
  <c r="R4155" i="1"/>
  <c r="J4156" i="1"/>
  <c r="Q4156" i="1"/>
  <c r="R4156" i="1"/>
  <c r="J10615" i="1"/>
  <c r="Q10615" i="1"/>
  <c r="R10615" i="1"/>
  <c r="J4157" i="1"/>
  <c r="Q4157" i="1"/>
  <c r="R4157" i="1"/>
  <c r="J4158" i="1"/>
  <c r="Q4158" i="1"/>
  <c r="R4158" i="1"/>
  <c r="J4159" i="1"/>
  <c r="Q4159" i="1"/>
  <c r="R4159" i="1"/>
  <c r="J4160" i="1"/>
  <c r="Q4160" i="1"/>
  <c r="R4160" i="1"/>
  <c r="J10616" i="1"/>
  <c r="Q10616" i="1"/>
  <c r="R10616" i="1"/>
  <c r="J10617" i="1"/>
  <c r="Q10617" i="1"/>
  <c r="R10617" i="1"/>
  <c r="J4161" i="1"/>
  <c r="Q4161" i="1"/>
  <c r="R4161" i="1"/>
  <c r="J10618" i="1"/>
  <c r="Q10618" i="1"/>
  <c r="R10618" i="1"/>
  <c r="J10619" i="1"/>
  <c r="Q10619" i="1"/>
  <c r="R10619" i="1"/>
  <c r="J4162" i="1"/>
  <c r="Q4162" i="1"/>
  <c r="R4162" i="1"/>
  <c r="J10620" i="1"/>
  <c r="Q10620" i="1"/>
  <c r="R10620" i="1"/>
  <c r="J10621" i="1"/>
  <c r="Q10621" i="1"/>
  <c r="R10621" i="1"/>
  <c r="J4163" i="1"/>
  <c r="Q4163" i="1"/>
  <c r="R4163" i="1"/>
  <c r="J10622" i="1"/>
  <c r="Q10622" i="1"/>
  <c r="R10622" i="1"/>
  <c r="J10623" i="1"/>
  <c r="Q10623" i="1"/>
  <c r="R10623" i="1"/>
  <c r="J10624" i="1"/>
  <c r="Q10624" i="1"/>
  <c r="R10624" i="1"/>
  <c r="J4164" i="1"/>
  <c r="Q4164" i="1"/>
  <c r="R4164" i="1"/>
  <c r="J10625" i="1"/>
  <c r="Q10625" i="1"/>
  <c r="R10625" i="1"/>
  <c r="J4165" i="1"/>
  <c r="Q4165" i="1"/>
  <c r="R4165" i="1"/>
  <c r="J10626" i="1"/>
  <c r="Q10626" i="1"/>
  <c r="R10626" i="1"/>
  <c r="J4166" i="1"/>
  <c r="Q4166" i="1"/>
  <c r="R4166" i="1"/>
  <c r="J4167" i="1"/>
  <c r="Q4167" i="1"/>
  <c r="R4167" i="1"/>
  <c r="J10627" i="1"/>
  <c r="Q10627" i="1"/>
  <c r="R10627" i="1"/>
  <c r="J10628" i="1"/>
  <c r="Q10628" i="1"/>
  <c r="R10628" i="1"/>
  <c r="J10629" i="1"/>
  <c r="Q10629" i="1"/>
  <c r="R10629" i="1"/>
  <c r="J10630" i="1"/>
  <c r="Q10630" i="1"/>
  <c r="R10630" i="1"/>
  <c r="J10631" i="1"/>
  <c r="Q10631" i="1"/>
  <c r="R10631" i="1"/>
  <c r="J10632" i="1"/>
  <c r="Q10632" i="1"/>
  <c r="R10632" i="1"/>
  <c r="J10633" i="1"/>
  <c r="Q10633" i="1"/>
  <c r="R10633" i="1"/>
  <c r="J10634" i="1"/>
  <c r="Q10634" i="1"/>
  <c r="R10634" i="1"/>
  <c r="J4168" i="1"/>
  <c r="Q4168" i="1"/>
  <c r="R4168" i="1"/>
  <c r="J10635" i="1"/>
  <c r="Q10635" i="1"/>
  <c r="R10635" i="1"/>
  <c r="J10636" i="1"/>
  <c r="Q10636" i="1"/>
  <c r="R10636" i="1"/>
  <c r="J10637" i="1"/>
  <c r="Q10637" i="1"/>
  <c r="R10637" i="1"/>
  <c r="J10638" i="1"/>
  <c r="Q10638" i="1"/>
  <c r="R10638" i="1"/>
  <c r="J10639" i="1"/>
  <c r="Q10639" i="1"/>
  <c r="R10639" i="1"/>
  <c r="J4169" i="1"/>
  <c r="Q4169" i="1"/>
  <c r="R4169" i="1"/>
  <c r="J10640" i="1"/>
  <c r="Q10640" i="1"/>
  <c r="R10640" i="1"/>
  <c r="J10641" i="1"/>
  <c r="Q10641" i="1"/>
  <c r="R10641" i="1"/>
  <c r="J4170" i="1"/>
  <c r="Q4170" i="1"/>
  <c r="R4170" i="1"/>
  <c r="J10642" i="1"/>
  <c r="Q10642" i="1"/>
  <c r="R10642" i="1"/>
  <c r="J10643" i="1"/>
  <c r="Q10643" i="1"/>
  <c r="R10643" i="1"/>
  <c r="J10644" i="1"/>
  <c r="Q10644" i="1"/>
  <c r="R10644" i="1"/>
  <c r="J4171" i="1"/>
  <c r="Q4171" i="1"/>
  <c r="R4171" i="1"/>
  <c r="J10645" i="1"/>
  <c r="Q10645" i="1"/>
  <c r="R10645" i="1"/>
  <c r="J10646" i="1"/>
  <c r="Q10646" i="1"/>
  <c r="R10646" i="1"/>
  <c r="J10647" i="1"/>
  <c r="Q10647" i="1"/>
  <c r="R10647" i="1"/>
  <c r="J10648" i="1"/>
  <c r="Q10648" i="1"/>
  <c r="R10648" i="1"/>
  <c r="J10649" i="1"/>
  <c r="Q10649" i="1"/>
  <c r="R10649" i="1"/>
  <c r="J4172" i="1"/>
  <c r="Q4172" i="1"/>
  <c r="R4172" i="1"/>
  <c r="J4173" i="1"/>
  <c r="Q4173" i="1"/>
  <c r="R4173" i="1"/>
  <c r="J4174" i="1"/>
  <c r="Q4174" i="1"/>
  <c r="R4174" i="1"/>
  <c r="J4175" i="1"/>
  <c r="Q4175" i="1"/>
  <c r="R4175" i="1"/>
  <c r="J10650" i="1"/>
  <c r="Q10650" i="1"/>
  <c r="R10650" i="1"/>
  <c r="J4176" i="1"/>
  <c r="Q4176" i="1"/>
  <c r="R4176" i="1"/>
  <c r="J10651" i="1"/>
  <c r="Q10651" i="1"/>
  <c r="R10651" i="1"/>
  <c r="J4177" i="1"/>
  <c r="Q4177" i="1"/>
  <c r="R4177" i="1"/>
  <c r="J4178" i="1"/>
  <c r="Q4178" i="1"/>
  <c r="R4178" i="1"/>
  <c r="J4179" i="1"/>
  <c r="Q4179" i="1"/>
  <c r="R4179" i="1"/>
  <c r="J4180" i="1"/>
  <c r="Q4180" i="1"/>
  <c r="R4180" i="1"/>
  <c r="J4181" i="1"/>
  <c r="Q4181" i="1"/>
  <c r="R4181" i="1"/>
  <c r="J4182" i="1"/>
  <c r="Q4182" i="1"/>
  <c r="R4182" i="1"/>
  <c r="J4183" i="1"/>
  <c r="Q4183" i="1"/>
  <c r="R4183" i="1"/>
  <c r="J10652" i="1"/>
  <c r="Q10652" i="1"/>
  <c r="R10652" i="1"/>
  <c r="J10653" i="1"/>
  <c r="Q10653" i="1"/>
  <c r="R10653" i="1"/>
  <c r="J4184" i="1"/>
  <c r="Q4184" i="1"/>
  <c r="R4184" i="1"/>
  <c r="J10654" i="1"/>
  <c r="Q10654" i="1"/>
  <c r="R10654" i="1"/>
  <c r="J4185" i="1"/>
  <c r="Q4185" i="1"/>
  <c r="R4185" i="1"/>
  <c r="J10655" i="1"/>
  <c r="Q10655" i="1"/>
  <c r="R10655" i="1"/>
  <c r="J4186" i="1"/>
  <c r="Q4186" i="1"/>
  <c r="R4186" i="1"/>
  <c r="J4187" i="1"/>
  <c r="Q4187" i="1"/>
  <c r="R4187" i="1"/>
  <c r="J4188" i="1"/>
  <c r="Q4188" i="1"/>
  <c r="R4188" i="1"/>
  <c r="J4189" i="1"/>
  <c r="Q4189" i="1"/>
  <c r="R4189" i="1"/>
  <c r="J4190" i="1"/>
  <c r="Q4190" i="1"/>
  <c r="R4190" i="1"/>
  <c r="J4191" i="1"/>
  <c r="Q4191" i="1"/>
  <c r="R4191" i="1"/>
  <c r="J4192" i="1"/>
  <c r="Q4192" i="1"/>
  <c r="R4192" i="1"/>
  <c r="J4193" i="1"/>
  <c r="Q4193" i="1"/>
  <c r="R4193" i="1"/>
  <c r="J4194" i="1"/>
  <c r="Q4194" i="1"/>
  <c r="R4194" i="1"/>
  <c r="J4195" i="1"/>
  <c r="Q4195" i="1"/>
  <c r="R4195" i="1"/>
  <c r="J10656" i="1"/>
  <c r="Q10656" i="1"/>
  <c r="R10656" i="1"/>
  <c r="J10657" i="1"/>
  <c r="Q10657" i="1"/>
  <c r="R10657" i="1"/>
  <c r="J4196" i="1"/>
  <c r="Q4196" i="1"/>
  <c r="R4196" i="1"/>
  <c r="J10658" i="1"/>
  <c r="Q10658" i="1"/>
  <c r="R10658" i="1"/>
  <c r="J4197" i="1"/>
  <c r="Q4197" i="1"/>
  <c r="R4197" i="1"/>
  <c r="J10659" i="1"/>
  <c r="Q10659" i="1"/>
  <c r="R10659" i="1"/>
  <c r="J10660" i="1"/>
  <c r="Q10660" i="1"/>
  <c r="R10660" i="1"/>
  <c r="J10661" i="1"/>
  <c r="Q10661" i="1"/>
  <c r="R10661" i="1"/>
  <c r="J4198" i="1"/>
  <c r="Q4198" i="1"/>
  <c r="R4198" i="1"/>
  <c r="J10662" i="1"/>
  <c r="Q10662" i="1"/>
  <c r="R10662" i="1"/>
  <c r="J4199" i="1"/>
  <c r="Q4199" i="1"/>
  <c r="R4199" i="1"/>
  <c r="J4200" i="1"/>
  <c r="Q4200" i="1"/>
  <c r="R4200" i="1"/>
  <c r="J10663" i="1"/>
  <c r="Q10663" i="1"/>
  <c r="R10663" i="1"/>
  <c r="J4201" i="1"/>
  <c r="Q4201" i="1"/>
  <c r="R4201" i="1"/>
  <c r="J10664" i="1"/>
  <c r="Q10664" i="1"/>
  <c r="R10664" i="1"/>
  <c r="J4202" i="1"/>
  <c r="Q4202" i="1"/>
  <c r="R4202" i="1"/>
  <c r="J10665" i="1"/>
  <c r="Q10665" i="1"/>
  <c r="R10665" i="1"/>
  <c r="J4203" i="1"/>
  <c r="Q4203" i="1"/>
  <c r="R4203" i="1"/>
  <c r="J10666" i="1"/>
  <c r="Q10666" i="1"/>
  <c r="R10666" i="1"/>
  <c r="J10667" i="1"/>
  <c r="Q10667" i="1"/>
  <c r="R10667" i="1"/>
  <c r="J10668" i="1"/>
  <c r="Q10668" i="1"/>
  <c r="R10668" i="1"/>
  <c r="J10669" i="1"/>
  <c r="Q10669" i="1"/>
  <c r="R10669" i="1"/>
  <c r="J10670" i="1"/>
  <c r="Q10670" i="1"/>
  <c r="R10670" i="1"/>
  <c r="J4204" i="1"/>
  <c r="Q4204" i="1"/>
  <c r="R4204" i="1"/>
  <c r="J10671" i="1"/>
  <c r="Q10671" i="1"/>
  <c r="R10671" i="1"/>
  <c r="J10672" i="1"/>
  <c r="Q10672" i="1"/>
  <c r="R10672" i="1"/>
  <c r="J10673" i="1"/>
  <c r="Q10673" i="1"/>
  <c r="R10673" i="1"/>
  <c r="J10674" i="1"/>
  <c r="Q10674" i="1"/>
  <c r="R10674" i="1"/>
  <c r="J10675" i="1"/>
  <c r="Q10675" i="1"/>
  <c r="R10675" i="1"/>
  <c r="J10676" i="1"/>
  <c r="Q10676" i="1"/>
  <c r="R10676" i="1"/>
  <c r="J10677" i="1"/>
  <c r="Q10677" i="1"/>
  <c r="R10677" i="1"/>
  <c r="J10678" i="1"/>
  <c r="Q10678" i="1"/>
  <c r="R10678" i="1"/>
  <c r="J10679" i="1"/>
  <c r="Q10679" i="1"/>
  <c r="R10679" i="1"/>
  <c r="J4205" i="1"/>
  <c r="Q4205" i="1"/>
  <c r="R4205" i="1"/>
  <c r="J10680" i="1"/>
  <c r="Q10680" i="1"/>
  <c r="R10680" i="1"/>
  <c r="J10681" i="1"/>
  <c r="Q10681" i="1"/>
  <c r="R10681" i="1"/>
  <c r="J4206" i="1"/>
  <c r="Q4206" i="1"/>
  <c r="R4206" i="1"/>
  <c r="J4207" i="1"/>
  <c r="Q4207" i="1"/>
  <c r="R4207" i="1"/>
  <c r="J4208" i="1"/>
  <c r="Q4208" i="1"/>
  <c r="R4208" i="1"/>
  <c r="J4209" i="1"/>
  <c r="Q4209" i="1"/>
  <c r="R4209" i="1"/>
  <c r="J4210" i="1"/>
  <c r="Q4210" i="1"/>
  <c r="R4210" i="1"/>
  <c r="J4211" i="1"/>
  <c r="Q4211" i="1"/>
  <c r="R4211" i="1"/>
  <c r="J4212" i="1"/>
  <c r="Q4212" i="1"/>
  <c r="R4212" i="1"/>
  <c r="J4213" i="1"/>
  <c r="Q4213" i="1"/>
  <c r="R4213" i="1"/>
  <c r="J10682" i="1"/>
  <c r="Q10682" i="1"/>
  <c r="R10682" i="1"/>
  <c r="J10683" i="1"/>
  <c r="Q10683" i="1"/>
  <c r="R10683" i="1"/>
  <c r="J10684" i="1"/>
  <c r="Q10684" i="1"/>
  <c r="R10684" i="1"/>
  <c r="J10685" i="1"/>
  <c r="Q10685" i="1"/>
  <c r="R10685" i="1"/>
  <c r="J4214" i="1"/>
  <c r="Q4214" i="1"/>
  <c r="R4214" i="1"/>
  <c r="J4215" i="1"/>
  <c r="Q4215" i="1"/>
  <c r="R4215" i="1"/>
  <c r="J10686" i="1"/>
  <c r="Q10686" i="1"/>
  <c r="R10686" i="1"/>
  <c r="J10687" i="1"/>
  <c r="Q10687" i="1"/>
  <c r="R10687" i="1"/>
  <c r="J10688" i="1"/>
  <c r="Q10688" i="1"/>
  <c r="R10688" i="1"/>
  <c r="J10689" i="1"/>
  <c r="Q10689" i="1"/>
  <c r="R10689" i="1"/>
  <c r="J4216" i="1"/>
  <c r="Q4216" i="1"/>
  <c r="R4216" i="1"/>
  <c r="J4217" i="1"/>
  <c r="Q4217" i="1"/>
  <c r="R4217" i="1"/>
  <c r="J10690" i="1"/>
  <c r="Q10690" i="1"/>
  <c r="R10690" i="1"/>
  <c r="J4218" i="1"/>
  <c r="Q4218" i="1"/>
  <c r="R4218" i="1"/>
  <c r="J4219" i="1"/>
  <c r="Q4219" i="1"/>
  <c r="R4219" i="1"/>
  <c r="J4220" i="1"/>
  <c r="Q4220" i="1"/>
  <c r="R4220" i="1"/>
  <c r="J10691" i="1"/>
  <c r="Q10691" i="1"/>
  <c r="R10691" i="1"/>
  <c r="J10692" i="1"/>
  <c r="Q10692" i="1"/>
  <c r="R10692" i="1"/>
  <c r="J4221" i="1"/>
  <c r="Q4221" i="1"/>
  <c r="R4221" i="1"/>
  <c r="J10693" i="1"/>
  <c r="Q10693" i="1"/>
  <c r="R10693" i="1"/>
  <c r="J10694" i="1"/>
  <c r="Q10694" i="1"/>
  <c r="R10694" i="1"/>
  <c r="J4222" i="1"/>
  <c r="Q4222" i="1"/>
  <c r="R4222" i="1"/>
  <c r="J10695" i="1"/>
  <c r="Q10695" i="1"/>
  <c r="R10695" i="1"/>
  <c r="J4223" i="1"/>
  <c r="Q4223" i="1"/>
  <c r="R4223" i="1"/>
  <c r="J4224" i="1"/>
  <c r="Q4224" i="1"/>
  <c r="R4224" i="1"/>
  <c r="J10696" i="1"/>
  <c r="Q10696" i="1"/>
  <c r="R10696" i="1"/>
  <c r="J4225" i="1"/>
  <c r="Q4225" i="1"/>
  <c r="R4225" i="1"/>
  <c r="J4226" i="1"/>
  <c r="Q4226" i="1"/>
  <c r="R4226" i="1"/>
  <c r="J10697" i="1"/>
  <c r="Q10697" i="1"/>
  <c r="R10697" i="1"/>
  <c r="J4227" i="1"/>
  <c r="Q4227" i="1"/>
  <c r="R4227" i="1"/>
  <c r="J4228" i="1"/>
  <c r="Q4228" i="1"/>
  <c r="R4228" i="1"/>
  <c r="J10698" i="1"/>
  <c r="Q10698" i="1"/>
  <c r="R10698" i="1"/>
  <c r="J4229" i="1"/>
  <c r="Q4229" i="1"/>
  <c r="R4229" i="1"/>
  <c r="J10699" i="1"/>
  <c r="Q10699" i="1"/>
  <c r="R10699" i="1"/>
  <c r="J10700" i="1"/>
  <c r="Q10700" i="1"/>
  <c r="R10700" i="1"/>
  <c r="J10701" i="1"/>
  <c r="Q10701" i="1"/>
  <c r="R10701" i="1"/>
  <c r="J10702" i="1"/>
  <c r="Q10702" i="1"/>
  <c r="R10702" i="1"/>
  <c r="J10703" i="1"/>
  <c r="Q10703" i="1"/>
  <c r="R10703" i="1"/>
  <c r="J10704" i="1"/>
  <c r="Q10704" i="1"/>
  <c r="R10704" i="1"/>
  <c r="J10705" i="1"/>
  <c r="Q10705" i="1"/>
  <c r="R10705" i="1"/>
  <c r="J4230" i="1"/>
  <c r="Q4230" i="1"/>
  <c r="R4230" i="1"/>
  <c r="J10706" i="1"/>
  <c r="Q10706" i="1"/>
  <c r="R10706" i="1"/>
  <c r="J4231" i="1"/>
  <c r="Q4231" i="1"/>
  <c r="R4231" i="1"/>
  <c r="J4232" i="1"/>
  <c r="Q4232" i="1"/>
  <c r="R4232" i="1"/>
  <c r="J4233" i="1"/>
  <c r="Q4233" i="1"/>
  <c r="R4233" i="1"/>
  <c r="J10707" i="1"/>
  <c r="Q10707" i="1"/>
  <c r="R10707" i="1"/>
  <c r="J10708" i="1"/>
  <c r="Q10708" i="1"/>
  <c r="R10708" i="1"/>
  <c r="J10709" i="1"/>
  <c r="Q10709" i="1"/>
  <c r="R10709" i="1"/>
  <c r="J10710" i="1"/>
  <c r="Q10710" i="1"/>
  <c r="R10710" i="1"/>
  <c r="J10711" i="1"/>
  <c r="Q10711" i="1"/>
  <c r="R10711" i="1"/>
  <c r="J10712" i="1"/>
  <c r="Q10712" i="1"/>
  <c r="R10712" i="1"/>
  <c r="J4234" i="1"/>
  <c r="Q4234" i="1"/>
  <c r="R4234" i="1"/>
  <c r="J10713" i="1"/>
  <c r="Q10713" i="1"/>
  <c r="R10713" i="1"/>
  <c r="J4235" i="1"/>
  <c r="Q4235" i="1"/>
  <c r="R4235" i="1"/>
  <c r="J4236" i="1"/>
  <c r="Q4236" i="1"/>
  <c r="R4236" i="1"/>
  <c r="J10714" i="1"/>
  <c r="Q10714" i="1"/>
  <c r="R10714" i="1"/>
  <c r="J10715" i="1"/>
  <c r="Q10715" i="1"/>
  <c r="R10715" i="1"/>
  <c r="J10716" i="1"/>
  <c r="Q10716" i="1"/>
  <c r="R10716" i="1"/>
  <c r="J4237" i="1"/>
  <c r="Q4237" i="1"/>
  <c r="R4237" i="1"/>
  <c r="J4238" i="1"/>
  <c r="Q4238" i="1"/>
  <c r="R4238" i="1"/>
  <c r="J4239" i="1"/>
  <c r="Q4239" i="1"/>
  <c r="R4239" i="1"/>
  <c r="J10717" i="1"/>
  <c r="Q10717" i="1"/>
  <c r="R10717" i="1"/>
  <c r="J10718" i="1"/>
  <c r="Q10718" i="1"/>
  <c r="R10718" i="1"/>
  <c r="J4240" i="1"/>
  <c r="Q4240" i="1"/>
  <c r="R4240" i="1"/>
  <c r="J4241" i="1"/>
  <c r="Q4241" i="1"/>
  <c r="R4241" i="1"/>
  <c r="J10719" i="1"/>
  <c r="Q10719" i="1"/>
  <c r="R10719" i="1"/>
  <c r="J10720" i="1"/>
  <c r="Q10720" i="1"/>
  <c r="R10720" i="1"/>
  <c r="J4242" i="1"/>
  <c r="Q4242" i="1"/>
  <c r="R4242" i="1"/>
  <c r="J10721" i="1"/>
  <c r="Q10721" i="1"/>
  <c r="R10721" i="1"/>
  <c r="J4243" i="1"/>
  <c r="Q4243" i="1"/>
  <c r="R4243" i="1"/>
  <c r="J10722" i="1"/>
  <c r="Q10722" i="1"/>
  <c r="R10722" i="1"/>
  <c r="J4244" i="1"/>
  <c r="Q4244" i="1"/>
  <c r="R4244" i="1"/>
  <c r="J4245" i="1"/>
  <c r="Q4245" i="1"/>
  <c r="R4245" i="1"/>
  <c r="J4246" i="1"/>
  <c r="Q4246" i="1"/>
  <c r="R4246" i="1"/>
  <c r="J4247" i="1"/>
  <c r="Q4247" i="1"/>
  <c r="R4247" i="1"/>
  <c r="J4248" i="1"/>
  <c r="Q4248" i="1"/>
  <c r="R4248" i="1"/>
  <c r="J4249" i="1"/>
  <c r="Q4249" i="1"/>
  <c r="R4249" i="1"/>
  <c r="J4250" i="1"/>
  <c r="Q4250" i="1"/>
  <c r="R4250" i="1"/>
  <c r="J10723" i="1"/>
  <c r="Q10723" i="1"/>
  <c r="R10723" i="1"/>
  <c r="J4251" i="1"/>
  <c r="Q4251" i="1"/>
  <c r="R4251" i="1"/>
  <c r="J4252" i="1"/>
  <c r="Q4252" i="1"/>
  <c r="R4252" i="1"/>
  <c r="J10724" i="1"/>
  <c r="Q10724" i="1"/>
  <c r="R10724" i="1"/>
  <c r="J4253" i="1"/>
  <c r="Q4253" i="1"/>
  <c r="R4253" i="1"/>
  <c r="J4254" i="1"/>
  <c r="Q4254" i="1"/>
  <c r="R4254" i="1"/>
  <c r="J10725" i="1"/>
  <c r="Q10725" i="1"/>
  <c r="R10725" i="1"/>
  <c r="J10726" i="1"/>
  <c r="Q10726" i="1"/>
  <c r="R10726" i="1"/>
  <c r="J10727" i="1"/>
  <c r="Q10727" i="1"/>
  <c r="R10727" i="1"/>
  <c r="J4255" i="1"/>
  <c r="Q4255" i="1"/>
  <c r="R4255" i="1"/>
  <c r="J4256" i="1"/>
  <c r="Q4256" i="1"/>
  <c r="R4256" i="1"/>
  <c r="J10728" i="1"/>
  <c r="Q10728" i="1"/>
  <c r="R10728" i="1"/>
  <c r="J4257" i="1"/>
  <c r="Q4257" i="1"/>
  <c r="R4257" i="1"/>
  <c r="J4258" i="1"/>
  <c r="Q4258" i="1"/>
  <c r="R4258" i="1"/>
  <c r="J10729" i="1"/>
  <c r="Q10729" i="1"/>
  <c r="R10729" i="1"/>
  <c r="J10730" i="1"/>
  <c r="Q10730" i="1"/>
  <c r="R10730" i="1"/>
  <c r="J4259" i="1"/>
  <c r="Q4259" i="1"/>
  <c r="R4259" i="1"/>
  <c r="J10731" i="1"/>
  <c r="Q10731" i="1"/>
  <c r="R10731" i="1"/>
  <c r="J4260" i="1"/>
  <c r="Q4260" i="1"/>
  <c r="R4260" i="1"/>
  <c r="J10732" i="1"/>
  <c r="Q10732" i="1"/>
  <c r="R10732" i="1"/>
  <c r="J10733" i="1"/>
  <c r="Q10733" i="1"/>
  <c r="R10733" i="1"/>
  <c r="J10734" i="1"/>
  <c r="Q10734" i="1"/>
  <c r="R10734" i="1"/>
  <c r="J10735" i="1"/>
  <c r="Q10735" i="1"/>
  <c r="R10735" i="1"/>
  <c r="J10736" i="1"/>
  <c r="Q10736" i="1"/>
  <c r="R10736" i="1"/>
  <c r="J4261" i="1"/>
  <c r="Q4261" i="1"/>
  <c r="R4261" i="1"/>
  <c r="J10737" i="1"/>
  <c r="Q10737" i="1"/>
  <c r="R10737" i="1"/>
  <c r="J4262" i="1"/>
  <c r="Q4262" i="1"/>
  <c r="R4262" i="1"/>
  <c r="J4263" i="1"/>
  <c r="Q4263" i="1"/>
  <c r="R4263" i="1"/>
  <c r="J4264" i="1"/>
  <c r="Q4264" i="1"/>
  <c r="R4264" i="1"/>
  <c r="J10738" i="1"/>
  <c r="Q10738" i="1"/>
  <c r="R10738" i="1"/>
  <c r="J4265" i="1"/>
  <c r="Q4265" i="1"/>
  <c r="R4265" i="1"/>
  <c r="J10739" i="1"/>
  <c r="Q10739" i="1"/>
  <c r="R10739" i="1"/>
  <c r="J10740" i="1"/>
  <c r="Q10740" i="1"/>
  <c r="R10740" i="1"/>
  <c r="J10741" i="1"/>
  <c r="Q10741" i="1"/>
  <c r="R10741" i="1"/>
  <c r="J10742" i="1"/>
  <c r="Q10742" i="1"/>
  <c r="R10742" i="1"/>
  <c r="J4266" i="1"/>
  <c r="Q4266" i="1"/>
  <c r="R4266" i="1"/>
  <c r="J4267" i="1"/>
  <c r="Q4267" i="1"/>
  <c r="R4267" i="1"/>
  <c r="J10743" i="1"/>
  <c r="Q10743" i="1"/>
  <c r="R10743" i="1"/>
  <c r="J10744" i="1"/>
  <c r="Q10744" i="1"/>
  <c r="R10744" i="1"/>
  <c r="J4268" i="1"/>
  <c r="Q4268" i="1"/>
  <c r="R4268" i="1"/>
  <c r="J4269" i="1"/>
  <c r="Q4269" i="1"/>
  <c r="R4269" i="1"/>
  <c r="J10745" i="1"/>
  <c r="Q10745" i="1"/>
  <c r="R10745" i="1"/>
  <c r="J10746" i="1"/>
  <c r="Q10746" i="1"/>
  <c r="R10746" i="1"/>
  <c r="J10747" i="1"/>
  <c r="Q10747" i="1"/>
  <c r="R10747" i="1"/>
  <c r="J10748" i="1"/>
  <c r="Q10748" i="1"/>
  <c r="R10748" i="1"/>
  <c r="J4270" i="1"/>
  <c r="Q4270" i="1"/>
  <c r="R4270" i="1"/>
  <c r="J10749" i="1"/>
  <c r="Q10749" i="1"/>
  <c r="R10749" i="1"/>
  <c r="J10750" i="1"/>
  <c r="Q10750" i="1"/>
  <c r="R10750" i="1"/>
  <c r="J10751" i="1"/>
  <c r="Q10751" i="1"/>
  <c r="R10751" i="1"/>
  <c r="J4271" i="1"/>
  <c r="Q4271" i="1"/>
  <c r="R4271" i="1"/>
  <c r="J10752" i="1"/>
  <c r="Q10752" i="1"/>
  <c r="R10752" i="1"/>
  <c r="J10753" i="1"/>
  <c r="Q10753" i="1"/>
  <c r="R10753" i="1"/>
  <c r="J4272" i="1"/>
  <c r="Q4272" i="1"/>
  <c r="R4272" i="1"/>
  <c r="J4273" i="1"/>
  <c r="Q4273" i="1"/>
  <c r="R4273" i="1"/>
  <c r="J4274" i="1"/>
  <c r="Q4274" i="1"/>
  <c r="R4274" i="1"/>
  <c r="J4275" i="1"/>
  <c r="Q4275" i="1"/>
  <c r="R4275" i="1"/>
  <c r="J10754" i="1"/>
  <c r="Q10754" i="1"/>
  <c r="R10754" i="1"/>
  <c r="J10755" i="1"/>
  <c r="Q10755" i="1"/>
  <c r="R10755" i="1"/>
  <c r="J10756" i="1"/>
  <c r="Q10756" i="1"/>
  <c r="R10756" i="1"/>
  <c r="J10757" i="1"/>
  <c r="Q10757" i="1"/>
  <c r="R10757" i="1"/>
  <c r="J10758" i="1"/>
  <c r="Q10758" i="1"/>
  <c r="R10758" i="1"/>
  <c r="J10759" i="1"/>
  <c r="Q10759" i="1"/>
  <c r="R10759" i="1"/>
  <c r="J4276" i="1"/>
  <c r="Q4276" i="1"/>
  <c r="R4276" i="1"/>
  <c r="J10760" i="1"/>
  <c r="Q10760" i="1"/>
  <c r="R10760" i="1"/>
  <c r="J4277" i="1"/>
  <c r="Q4277" i="1"/>
  <c r="R4277" i="1"/>
  <c r="J10761" i="1"/>
  <c r="Q10761" i="1"/>
  <c r="R10761" i="1"/>
  <c r="J10762" i="1"/>
  <c r="Q10762" i="1"/>
  <c r="R10762" i="1"/>
  <c r="J10763" i="1"/>
  <c r="Q10763" i="1"/>
  <c r="R10763" i="1"/>
  <c r="J10764" i="1"/>
  <c r="Q10764" i="1"/>
  <c r="R10764" i="1"/>
  <c r="J10765" i="1"/>
  <c r="Q10765" i="1"/>
  <c r="R10765" i="1"/>
  <c r="J10766" i="1"/>
  <c r="Q10766" i="1"/>
  <c r="R10766" i="1"/>
  <c r="J10767" i="1"/>
  <c r="Q10767" i="1"/>
  <c r="R10767" i="1"/>
  <c r="J10768" i="1"/>
  <c r="Q10768" i="1"/>
  <c r="R10768" i="1"/>
  <c r="J10769" i="1"/>
  <c r="Q10769" i="1"/>
  <c r="R10769" i="1"/>
  <c r="J10770" i="1"/>
  <c r="Q10770" i="1"/>
  <c r="R10770" i="1"/>
  <c r="J10771" i="1"/>
  <c r="Q10771" i="1"/>
  <c r="R10771" i="1"/>
  <c r="J10772" i="1"/>
  <c r="Q10772" i="1"/>
  <c r="R10772" i="1"/>
  <c r="J4278" i="1"/>
  <c r="Q4278" i="1"/>
  <c r="R4278" i="1"/>
  <c r="J4279" i="1"/>
  <c r="Q4279" i="1"/>
  <c r="R4279" i="1"/>
  <c r="J4280" i="1"/>
  <c r="Q4280" i="1"/>
  <c r="R4280" i="1"/>
  <c r="J4281" i="1"/>
  <c r="Q4281" i="1"/>
  <c r="R4281" i="1"/>
  <c r="J4282" i="1"/>
  <c r="Q4282" i="1"/>
  <c r="R4282" i="1"/>
  <c r="J10773" i="1"/>
  <c r="Q10773" i="1"/>
  <c r="R10773" i="1"/>
  <c r="J10774" i="1"/>
  <c r="Q10774" i="1"/>
  <c r="R10774" i="1"/>
  <c r="J10775" i="1"/>
  <c r="Q10775" i="1"/>
  <c r="R10775" i="1"/>
  <c r="J4283" i="1"/>
  <c r="Q4283" i="1"/>
  <c r="R4283" i="1"/>
  <c r="J10776" i="1"/>
  <c r="Q10776" i="1"/>
  <c r="R10776" i="1"/>
  <c r="J10777" i="1"/>
  <c r="Q10777" i="1"/>
  <c r="R10777" i="1"/>
  <c r="J10778" i="1"/>
  <c r="Q10778" i="1"/>
  <c r="R10778" i="1"/>
  <c r="J10779" i="1"/>
  <c r="Q10779" i="1"/>
  <c r="R10779" i="1"/>
  <c r="J4284" i="1"/>
  <c r="Q4284" i="1"/>
  <c r="R4284" i="1"/>
  <c r="J10780" i="1"/>
  <c r="Q10780" i="1"/>
  <c r="R10780" i="1"/>
  <c r="J10781" i="1"/>
  <c r="Q10781" i="1"/>
  <c r="R10781" i="1"/>
  <c r="J10782" i="1"/>
  <c r="Q10782" i="1"/>
  <c r="R10782" i="1"/>
  <c r="J10783" i="1"/>
  <c r="Q10783" i="1"/>
  <c r="R10783" i="1"/>
  <c r="J10784" i="1"/>
  <c r="Q10784" i="1"/>
  <c r="R10784" i="1"/>
  <c r="J10785" i="1"/>
  <c r="Q10785" i="1"/>
  <c r="R10785" i="1"/>
  <c r="J10786" i="1"/>
  <c r="Q10786" i="1"/>
  <c r="R10786" i="1"/>
  <c r="J10787" i="1"/>
  <c r="Q10787" i="1"/>
  <c r="R10787" i="1"/>
  <c r="J10788" i="1"/>
  <c r="Q10788" i="1"/>
  <c r="R10788" i="1"/>
  <c r="J10789" i="1"/>
  <c r="Q10789" i="1"/>
  <c r="R10789" i="1"/>
  <c r="J10790" i="1"/>
  <c r="Q10790" i="1"/>
  <c r="R10790" i="1"/>
  <c r="J4285" i="1"/>
  <c r="Q4285" i="1"/>
  <c r="R4285" i="1"/>
  <c r="J4286" i="1"/>
  <c r="Q4286" i="1"/>
  <c r="R4286" i="1"/>
  <c r="J4287" i="1"/>
  <c r="Q4287" i="1"/>
  <c r="R4287" i="1"/>
  <c r="J4288" i="1"/>
  <c r="Q4288" i="1"/>
  <c r="R4288" i="1"/>
  <c r="J4289" i="1"/>
  <c r="Q4289" i="1"/>
  <c r="R4289" i="1"/>
  <c r="J4290" i="1"/>
  <c r="Q4290" i="1"/>
  <c r="R4290" i="1"/>
  <c r="J4291" i="1"/>
  <c r="Q4291" i="1"/>
  <c r="R4291" i="1"/>
  <c r="J4292" i="1"/>
  <c r="Q4292" i="1"/>
  <c r="R4292" i="1"/>
  <c r="J4293" i="1"/>
  <c r="Q4293" i="1"/>
  <c r="R4293" i="1"/>
  <c r="J4294" i="1"/>
  <c r="Q4294" i="1"/>
  <c r="R4294" i="1"/>
  <c r="J4295" i="1"/>
  <c r="Q4295" i="1"/>
  <c r="R4295" i="1"/>
  <c r="J4296" i="1"/>
  <c r="Q4296" i="1"/>
  <c r="R4296" i="1"/>
  <c r="J4297" i="1"/>
  <c r="Q4297" i="1"/>
  <c r="R4297" i="1"/>
  <c r="J4298" i="1"/>
  <c r="Q4298" i="1"/>
  <c r="R4298" i="1"/>
  <c r="J4299" i="1"/>
  <c r="Q4299" i="1"/>
  <c r="R4299" i="1"/>
  <c r="J4300" i="1"/>
  <c r="Q4300" i="1"/>
  <c r="R4300" i="1"/>
  <c r="J4301" i="1"/>
  <c r="Q4301" i="1"/>
  <c r="R4301" i="1"/>
  <c r="J4302" i="1"/>
  <c r="Q4302" i="1"/>
  <c r="R4302" i="1"/>
  <c r="J10791" i="1"/>
  <c r="Q10791" i="1"/>
  <c r="R10791" i="1"/>
  <c r="J10792" i="1"/>
  <c r="Q10792" i="1"/>
  <c r="R10792" i="1"/>
  <c r="J10793" i="1"/>
  <c r="Q10793" i="1"/>
  <c r="R10793" i="1"/>
  <c r="J10794" i="1"/>
  <c r="Q10794" i="1"/>
  <c r="R10794" i="1"/>
  <c r="J10795" i="1"/>
  <c r="Q10795" i="1"/>
  <c r="R10795" i="1"/>
  <c r="J4303" i="1"/>
  <c r="Q4303" i="1"/>
  <c r="R4303" i="1"/>
  <c r="J4304" i="1"/>
  <c r="Q4304" i="1"/>
  <c r="R4304" i="1"/>
  <c r="J4305" i="1"/>
  <c r="Q4305" i="1"/>
  <c r="R4305" i="1"/>
  <c r="J10796" i="1"/>
  <c r="Q10796" i="1"/>
  <c r="R10796" i="1"/>
  <c r="J10797" i="1"/>
  <c r="Q10797" i="1"/>
  <c r="R10797" i="1"/>
  <c r="J10798" i="1"/>
  <c r="Q10798" i="1"/>
  <c r="R10798" i="1"/>
  <c r="J4306" i="1"/>
  <c r="Q4306" i="1"/>
  <c r="R4306" i="1"/>
  <c r="J4307" i="1"/>
  <c r="Q4307" i="1"/>
  <c r="R4307" i="1"/>
  <c r="J4308" i="1"/>
  <c r="Q4308" i="1"/>
  <c r="R4308" i="1"/>
  <c r="J4309" i="1"/>
  <c r="Q4309" i="1"/>
  <c r="R4309" i="1"/>
  <c r="J10799" i="1"/>
  <c r="Q10799" i="1"/>
  <c r="R10799" i="1"/>
  <c r="J4310" i="1"/>
  <c r="Q4310" i="1"/>
  <c r="R4310" i="1"/>
  <c r="J4311" i="1"/>
  <c r="Q4311" i="1"/>
  <c r="R4311" i="1"/>
  <c r="J4312" i="1"/>
  <c r="Q4312" i="1"/>
  <c r="R4312" i="1"/>
  <c r="J10800" i="1"/>
  <c r="Q10800" i="1"/>
  <c r="R10800" i="1"/>
  <c r="J10801" i="1"/>
  <c r="Q10801" i="1"/>
  <c r="R10801" i="1"/>
  <c r="J10802" i="1"/>
  <c r="Q10802" i="1"/>
  <c r="R10802" i="1"/>
  <c r="J10803" i="1"/>
  <c r="Q10803" i="1"/>
  <c r="R10803" i="1"/>
  <c r="J10804" i="1"/>
  <c r="Q10804" i="1"/>
  <c r="R10804" i="1"/>
  <c r="J10805" i="1"/>
  <c r="Q10805" i="1"/>
  <c r="R10805" i="1"/>
  <c r="J10806" i="1"/>
  <c r="Q10806" i="1"/>
  <c r="R10806" i="1"/>
  <c r="J10807" i="1"/>
  <c r="Q10807" i="1"/>
  <c r="R10807" i="1"/>
  <c r="J4313" i="1"/>
  <c r="Q4313" i="1"/>
  <c r="R4313" i="1"/>
  <c r="J4314" i="1"/>
  <c r="Q4314" i="1"/>
  <c r="R4314" i="1"/>
  <c r="J10808" i="1"/>
  <c r="Q10808" i="1"/>
  <c r="R10808" i="1"/>
  <c r="J4315" i="1"/>
  <c r="Q4315" i="1"/>
  <c r="R4315" i="1"/>
  <c r="J4316" i="1"/>
  <c r="Q4316" i="1"/>
  <c r="R4316" i="1"/>
  <c r="J4317" i="1"/>
  <c r="Q4317" i="1"/>
  <c r="R4317" i="1"/>
  <c r="J4318" i="1"/>
  <c r="Q4318" i="1"/>
  <c r="R4318" i="1"/>
  <c r="J10809" i="1"/>
  <c r="Q10809" i="1"/>
  <c r="R10809" i="1"/>
  <c r="J10810" i="1"/>
  <c r="Q10810" i="1"/>
  <c r="R10810" i="1"/>
  <c r="J10811" i="1"/>
  <c r="Q10811" i="1"/>
  <c r="R10811" i="1"/>
  <c r="J4319" i="1"/>
  <c r="Q4319" i="1"/>
  <c r="R4319" i="1"/>
  <c r="J10812" i="1"/>
  <c r="Q10812" i="1"/>
  <c r="R10812" i="1"/>
  <c r="J10813" i="1"/>
  <c r="Q10813" i="1"/>
  <c r="R10813" i="1"/>
  <c r="J4320" i="1"/>
  <c r="Q4320" i="1"/>
  <c r="R4320" i="1"/>
  <c r="J10814" i="1"/>
  <c r="Q10814" i="1"/>
  <c r="R10814" i="1"/>
  <c r="J4321" i="1"/>
  <c r="Q4321" i="1"/>
  <c r="R4321" i="1"/>
  <c r="J10815" i="1"/>
  <c r="Q10815" i="1"/>
  <c r="R10815" i="1"/>
  <c r="J10816" i="1"/>
  <c r="Q10816" i="1"/>
  <c r="R10816" i="1"/>
  <c r="J10817" i="1"/>
  <c r="Q10817" i="1"/>
  <c r="R10817" i="1"/>
  <c r="J4322" i="1"/>
  <c r="Q4322" i="1"/>
  <c r="R4322" i="1"/>
  <c r="J4323" i="1"/>
  <c r="Q4323" i="1"/>
  <c r="R4323" i="1"/>
  <c r="J4324" i="1"/>
  <c r="Q4324" i="1"/>
  <c r="R4324" i="1"/>
  <c r="J4325" i="1"/>
  <c r="Q4325" i="1"/>
  <c r="R4325" i="1"/>
  <c r="J4326" i="1"/>
  <c r="Q4326" i="1"/>
  <c r="R4326" i="1"/>
  <c r="J4327" i="1"/>
  <c r="Q4327" i="1"/>
  <c r="R4327" i="1"/>
  <c r="J4328" i="1"/>
  <c r="Q4328" i="1"/>
  <c r="R4328" i="1"/>
  <c r="J4329" i="1"/>
  <c r="Q4329" i="1"/>
  <c r="R4329" i="1"/>
  <c r="J4330" i="1"/>
  <c r="Q4330" i="1"/>
  <c r="R4330" i="1"/>
  <c r="J10818" i="1"/>
  <c r="Q10818" i="1"/>
  <c r="R10818" i="1"/>
  <c r="J4331" i="1"/>
  <c r="Q4331" i="1"/>
  <c r="R4331" i="1"/>
  <c r="J4332" i="1"/>
  <c r="Q4332" i="1"/>
  <c r="R4332" i="1"/>
  <c r="J10819" i="1"/>
  <c r="Q10819" i="1"/>
  <c r="R10819" i="1"/>
  <c r="J4333" i="1"/>
  <c r="Q4333" i="1"/>
  <c r="R4333" i="1"/>
  <c r="J4334" i="1"/>
  <c r="Q4334" i="1"/>
  <c r="R4334" i="1"/>
  <c r="J4335" i="1"/>
  <c r="Q4335" i="1"/>
  <c r="R4335" i="1"/>
  <c r="J4336" i="1"/>
  <c r="Q4336" i="1"/>
  <c r="R4336" i="1"/>
  <c r="J10820" i="1"/>
  <c r="Q10820" i="1"/>
  <c r="R10820" i="1"/>
  <c r="J4337" i="1"/>
  <c r="Q4337" i="1"/>
  <c r="R4337" i="1"/>
  <c r="J4338" i="1"/>
  <c r="Q4338" i="1"/>
  <c r="R4338" i="1"/>
  <c r="J10821" i="1"/>
  <c r="Q10821" i="1"/>
  <c r="R10821" i="1"/>
  <c r="J10822" i="1"/>
  <c r="Q10822" i="1"/>
  <c r="R10822" i="1"/>
  <c r="J10823" i="1"/>
  <c r="Q10823" i="1"/>
  <c r="R10823" i="1"/>
  <c r="J10824" i="1"/>
  <c r="Q10824" i="1"/>
  <c r="R10824" i="1"/>
  <c r="J10825" i="1"/>
  <c r="Q10825" i="1"/>
  <c r="R10825" i="1"/>
  <c r="J4339" i="1"/>
  <c r="Q4339" i="1"/>
  <c r="R4339" i="1"/>
  <c r="J10826" i="1"/>
  <c r="Q10826" i="1"/>
  <c r="R10826" i="1"/>
  <c r="J4340" i="1"/>
  <c r="Q4340" i="1"/>
  <c r="R4340" i="1"/>
  <c r="J10827" i="1"/>
  <c r="Q10827" i="1"/>
  <c r="R10827" i="1"/>
  <c r="J4341" i="1"/>
  <c r="Q4341" i="1"/>
  <c r="R4341" i="1"/>
  <c r="J10828" i="1"/>
  <c r="Q10828" i="1"/>
  <c r="R10828" i="1"/>
  <c r="J10829" i="1"/>
  <c r="Q10829" i="1"/>
  <c r="R10829" i="1"/>
  <c r="J4342" i="1"/>
  <c r="Q4342" i="1"/>
  <c r="R4342" i="1"/>
  <c r="J4343" i="1"/>
  <c r="Q4343" i="1"/>
  <c r="R4343" i="1"/>
  <c r="J10830" i="1"/>
  <c r="Q10830" i="1"/>
  <c r="R10830" i="1"/>
  <c r="J4344" i="1"/>
  <c r="Q4344" i="1"/>
  <c r="R4344" i="1"/>
  <c r="J10831" i="1"/>
  <c r="Q10831" i="1"/>
  <c r="R10831" i="1"/>
  <c r="J10832" i="1"/>
  <c r="Q10832" i="1"/>
  <c r="R10832" i="1"/>
  <c r="J10833" i="1"/>
  <c r="Q10833" i="1"/>
  <c r="R10833" i="1"/>
  <c r="J4345" i="1"/>
  <c r="Q4345" i="1"/>
  <c r="R4345" i="1"/>
  <c r="J10834" i="1"/>
  <c r="Q10834" i="1"/>
  <c r="R10834" i="1"/>
  <c r="J4346" i="1"/>
  <c r="Q4346" i="1"/>
  <c r="R4346" i="1"/>
  <c r="J10835" i="1"/>
  <c r="Q10835" i="1"/>
  <c r="R10835" i="1"/>
  <c r="J4347" i="1"/>
  <c r="Q4347" i="1"/>
  <c r="R4347" i="1"/>
  <c r="J10836" i="1"/>
  <c r="Q10836" i="1"/>
  <c r="R10836" i="1"/>
  <c r="J10837" i="1"/>
  <c r="Q10837" i="1"/>
  <c r="R10837" i="1"/>
  <c r="J10838" i="1"/>
  <c r="Q10838" i="1"/>
  <c r="R10838" i="1"/>
  <c r="J10839" i="1"/>
  <c r="Q10839" i="1"/>
  <c r="R10839" i="1"/>
  <c r="J4348" i="1"/>
  <c r="Q4348" i="1"/>
  <c r="R4348" i="1"/>
  <c r="J10840" i="1"/>
  <c r="Q10840" i="1"/>
  <c r="R10840" i="1"/>
  <c r="J10841" i="1"/>
  <c r="Q10841" i="1"/>
  <c r="R10841" i="1"/>
  <c r="J10842" i="1"/>
  <c r="Q10842" i="1"/>
  <c r="R10842" i="1"/>
  <c r="J10843" i="1"/>
  <c r="Q10843" i="1"/>
  <c r="R10843" i="1"/>
  <c r="J10844" i="1"/>
  <c r="Q10844" i="1"/>
  <c r="R10844" i="1"/>
  <c r="J10845" i="1"/>
  <c r="Q10845" i="1"/>
  <c r="R10845" i="1"/>
  <c r="J10846" i="1"/>
  <c r="Q10846" i="1"/>
  <c r="R10846" i="1"/>
  <c r="J4349" i="1"/>
  <c r="Q4349" i="1"/>
  <c r="R4349" i="1"/>
  <c r="J4350" i="1"/>
  <c r="Q4350" i="1"/>
  <c r="R4350" i="1"/>
  <c r="J10847" i="1"/>
  <c r="Q10847" i="1"/>
  <c r="R10847" i="1"/>
  <c r="J10848" i="1"/>
  <c r="Q10848" i="1"/>
  <c r="R10848" i="1"/>
  <c r="J10849" i="1"/>
  <c r="Q10849" i="1"/>
  <c r="R10849" i="1"/>
  <c r="J10850" i="1"/>
  <c r="Q10850" i="1"/>
  <c r="R10850" i="1"/>
  <c r="J4351" i="1"/>
  <c r="Q4351" i="1"/>
  <c r="R4351" i="1"/>
  <c r="J10851" i="1"/>
  <c r="Q10851" i="1"/>
  <c r="R10851" i="1"/>
  <c r="J10852" i="1"/>
  <c r="Q10852" i="1"/>
  <c r="R10852" i="1"/>
  <c r="J10853" i="1"/>
  <c r="Q10853" i="1"/>
  <c r="R10853" i="1"/>
  <c r="J4352" i="1"/>
  <c r="Q4352" i="1"/>
  <c r="R4352" i="1"/>
  <c r="J4353" i="1"/>
  <c r="Q4353" i="1"/>
  <c r="R4353" i="1"/>
  <c r="J4354" i="1"/>
  <c r="Q4354" i="1"/>
  <c r="R4354" i="1"/>
  <c r="J10854" i="1"/>
  <c r="Q10854" i="1"/>
  <c r="R10854" i="1"/>
  <c r="J10855" i="1"/>
  <c r="Q10855" i="1"/>
  <c r="R10855" i="1"/>
  <c r="J10856" i="1"/>
  <c r="Q10856" i="1"/>
  <c r="R10856" i="1"/>
  <c r="J10857" i="1"/>
  <c r="Q10857" i="1"/>
  <c r="R10857" i="1"/>
  <c r="J4355" i="1"/>
  <c r="Q4355" i="1"/>
  <c r="R4355" i="1"/>
  <c r="J10858" i="1"/>
  <c r="Q10858" i="1"/>
  <c r="R10858" i="1"/>
  <c r="J4356" i="1"/>
  <c r="Q4356" i="1"/>
  <c r="R4356" i="1"/>
  <c r="J10859" i="1"/>
  <c r="Q10859" i="1"/>
  <c r="R10859" i="1"/>
  <c r="J10860" i="1"/>
  <c r="Q10860" i="1"/>
  <c r="R10860" i="1"/>
  <c r="J4357" i="1"/>
  <c r="Q4357" i="1"/>
  <c r="R4357" i="1"/>
  <c r="J10861" i="1"/>
  <c r="Q10861" i="1"/>
  <c r="R10861" i="1"/>
  <c r="J4358" i="1"/>
  <c r="Q4358" i="1"/>
  <c r="R4358" i="1"/>
  <c r="J10862" i="1"/>
  <c r="Q10862" i="1"/>
  <c r="R10862" i="1"/>
  <c r="J10863" i="1"/>
  <c r="Q10863" i="1"/>
  <c r="R10863" i="1"/>
  <c r="J4359" i="1"/>
  <c r="Q4359" i="1"/>
  <c r="R4359" i="1"/>
  <c r="J10864" i="1"/>
  <c r="Q10864" i="1"/>
  <c r="R10864" i="1"/>
  <c r="J10865" i="1"/>
  <c r="Q10865" i="1"/>
  <c r="R10865" i="1"/>
  <c r="J10866" i="1"/>
  <c r="Q10866" i="1"/>
  <c r="R10866" i="1"/>
  <c r="J10867" i="1"/>
  <c r="Q10867" i="1"/>
  <c r="R10867" i="1"/>
  <c r="J10868" i="1"/>
  <c r="Q10868" i="1"/>
  <c r="R10868" i="1"/>
  <c r="J4360" i="1"/>
  <c r="Q4360" i="1"/>
  <c r="R4360" i="1"/>
  <c r="J10869" i="1"/>
  <c r="Q10869" i="1"/>
  <c r="R10869" i="1"/>
  <c r="J4361" i="1"/>
  <c r="Q4361" i="1"/>
  <c r="R4361" i="1"/>
  <c r="J4362" i="1"/>
  <c r="Q4362" i="1"/>
  <c r="R4362" i="1"/>
  <c r="J4363" i="1"/>
  <c r="Q4363" i="1"/>
  <c r="R4363" i="1"/>
  <c r="J10870" i="1"/>
  <c r="Q10870" i="1"/>
  <c r="R10870" i="1"/>
  <c r="J4364" i="1"/>
  <c r="Q4364" i="1"/>
  <c r="R4364" i="1"/>
  <c r="J10871" i="1"/>
  <c r="Q10871" i="1"/>
  <c r="R10871" i="1"/>
  <c r="J10872" i="1"/>
  <c r="Q10872" i="1"/>
  <c r="R10872" i="1"/>
  <c r="J4365" i="1"/>
  <c r="Q4365" i="1"/>
  <c r="R4365" i="1"/>
  <c r="J10873" i="1"/>
  <c r="Q10873" i="1"/>
  <c r="R10873" i="1"/>
  <c r="J4366" i="1"/>
  <c r="Q4366" i="1"/>
  <c r="R4366" i="1"/>
  <c r="J4367" i="1"/>
  <c r="Q4367" i="1"/>
  <c r="R4367" i="1"/>
  <c r="J4368" i="1"/>
  <c r="Q4368" i="1"/>
  <c r="R4368" i="1"/>
  <c r="J4369" i="1"/>
  <c r="Q4369" i="1"/>
  <c r="R4369" i="1"/>
  <c r="J4370" i="1"/>
  <c r="Q4370" i="1"/>
  <c r="R4370" i="1"/>
  <c r="J4371" i="1"/>
  <c r="Q4371" i="1"/>
  <c r="R4371" i="1"/>
  <c r="J10874" i="1"/>
  <c r="Q10874" i="1"/>
  <c r="R10874" i="1"/>
  <c r="J4372" i="1"/>
  <c r="Q4372" i="1"/>
  <c r="R4372" i="1"/>
  <c r="J4373" i="1"/>
  <c r="Q4373" i="1"/>
  <c r="R4373" i="1"/>
  <c r="J10875" i="1"/>
  <c r="Q10875" i="1"/>
  <c r="R10875" i="1"/>
  <c r="J10876" i="1"/>
  <c r="Q10876" i="1"/>
  <c r="R10876" i="1"/>
  <c r="J4374" i="1"/>
  <c r="Q4374" i="1"/>
  <c r="R4374" i="1"/>
  <c r="J4375" i="1"/>
  <c r="Q4375" i="1"/>
  <c r="R4375" i="1"/>
  <c r="J4376" i="1"/>
  <c r="Q4376" i="1"/>
  <c r="R4376" i="1"/>
  <c r="J4377" i="1"/>
  <c r="Q4377" i="1"/>
  <c r="R4377" i="1"/>
  <c r="J10877" i="1"/>
  <c r="Q10877" i="1"/>
  <c r="R10877" i="1"/>
  <c r="J10878" i="1"/>
  <c r="Q10878" i="1"/>
  <c r="R10878" i="1"/>
  <c r="J4378" i="1"/>
  <c r="Q4378" i="1"/>
  <c r="R4378" i="1"/>
  <c r="J10879" i="1"/>
  <c r="Q10879" i="1"/>
  <c r="R10879" i="1"/>
  <c r="J10880" i="1"/>
  <c r="Q10880" i="1"/>
  <c r="R10880" i="1"/>
  <c r="J10881" i="1"/>
  <c r="Q10881" i="1"/>
  <c r="R10881" i="1"/>
  <c r="J10882" i="1"/>
  <c r="Q10882" i="1"/>
  <c r="R10882" i="1"/>
  <c r="J10883" i="1"/>
  <c r="Q10883" i="1"/>
  <c r="R10883" i="1"/>
  <c r="J10884" i="1"/>
  <c r="Q10884" i="1"/>
  <c r="R10884" i="1"/>
  <c r="J10885" i="1"/>
  <c r="Q10885" i="1"/>
  <c r="R10885" i="1"/>
  <c r="J4379" i="1"/>
  <c r="Q4379" i="1"/>
  <c r="R4379" i="1"/>
  <c r="J10886" i="1"/>
  <c r="Q10886" i="1"/>
  <c r="R10886" i="1"/>
  <c r="J4380" i="1"/>
  <c r="Q4380" i="1"/>
  <c r="R4380" i="1"/>
  <c r="J10887" i="1"/>
  <c r="Q10887" i="1"/>
  <c r="R10887" i="1"/>
  <c r="J10888" i="1"/>
  <c r="Q10888" i="1"/>
  <c r="R10888" i="1"/>
  <c r="J4381" i="1"/>
  <c r="Q4381" i="1"/>
  <c r="R4381" i="1"/>
  <c r="J10889" i="1"/>
  <c r="Q10889" i="1"/>
  <c r="R10889" i="1"/>
  <c r="J4382" i="1"/>
  <c r="Q4382" i="1"/>
  <c r="R4382" i="1"/>
  <c r="J4383" i="1"/>
  <c r="Q4383" i="1"/>
  <c r="R4383" i="1"/>
  <c r="J10890" i="1"/>
  <c r="Q10890" i="1"/>
  <c r="R10890" i="1"/>
  <c r="J4384" i="1"/>
  <c r="Q4384" i="1"/>
  <c r="R4384" i="1"/>
  <c r="J10891" i="1"/>
  <c r="Q10891" i="1"/>
  <c r="R10891" i="1"/>
  <c r="J10892" i="1"/>
  <c r="Q10892" i="1"/>
  <c r="R10892" i="1"/>
  <c r="J10893" i="1"/>
  <c r="Q10893" i="1"/>
  <c r="R10893" i="1"/>
  <c r="J4385" i="1"/>
  <c r="Q4385" i="1"/>
  <c r="R4385" i="1"/>
  <c r="J4386" i="1"/>
  <c r="Q4386" i="1"/>
  <c r="R4386" i="1"/>
  <c r="J4387" i="1"/>
  <c r="Q4387" i="1"/>
  <c r="R4387" i="1"/>
  <c r="J10894" i="1"/>
  <c r="Q10894" i="1"/>
  <c r="R10894" i="1"/>
  <c r="J4388" i="1"/>
  <c r="Q4388" i="1"/>
  <c r="R4388" i="1"/>
  <c r="J10895" i="1"/>
  <c r="Q10895" i="1"/>
  <c r="R10895" i="1"/>
  <c r="J10896" i="1"/>
  <c r="Q10896" i="1"/>
  <c r="R10896" i="1"/>
  <c r="J10897" i="1"/>
  <c r="Q10897" i="1"/>
  <c r="R10897" i="1"/>
  <c r="J10898" i="1"/>
  <c r="Q10898" i="1"/>
  <c r="R10898" i="1"/>
  <c r="J10899" i="1"/>
  <c r="Q10899" i="1"/>
  <c r="R10899" i="1"/>
  <c r="J4389" i="1"/>
  <c r="Q4389" i="1"/>
  <c r="R4389" i="1"/>
  <c r="J4390" i="1"/>
  <c r="Q4390" i="1"/>
  <c r="R4390" i="1"/>
  <c r="J10900" i="1"/>
  <c r="Q10900" i="1"/>
  <c r="R10900" i="1"/>
  <c r="J4391" i="1"/>
  <c r="Q4391" i="1"/>
  <c r="R4391" i="1"/>
  <c r="J4392" i="1"/>
  <c r="Q4392" i="1"/>
  <c r="R4392" i="1"/>
  <c r="J4393" i="1"/>
  <c r="Q4393" i="1"/>
  <c r="R4393" i="1"/>
  <c r="J4394" i="1"/>
  <c r="Q4394" i="1"/>
  <c r="R4394" i="1"/>
  <c r="J4395" i="1"/>
  <c r="Q4395" i="1"/>
  <c r="R4395" i="1"/>
  <c r="J4396" i="1"/>
  <c r="Q4396" i="1"/>
  <c r="R4396" i="1"/>
  <c r="J4397" i="1"/>
  <c r="Q4397" i="1"/>
  <c r="R4397" i="1"/>
  <c r="J4398" i="1"/>
  <c r="Q4398" i="1"/>
  <c r="R4398" i="1"/>
  <c r="J4399" i="1"/>
  <c r="Q4399" i="1"/>
  <c r="R4399" i="1"/>
  <c r="J4400" i="1"/>
  <c r="Q4400" i="1"/>
  <c r="R4400" i="1"/>
  <c r="J4401" i="1"/>
  <c r="Q4401" i="1"/>
  <c r="R4401" i="1"/>
  <c r="J4402" i="1"/>
  <c r="Q4402" i="1"/>
  <c r="R4402" i="1"/>
  <c r="J4403" i="1"/>
  <c r="Q4403" i="1"/>
  <c r="R4403" i="1"/>
  <c r="J4404" i="1"/>
  <c r="Q4404" i="1"/>
  <c r="R4404" i="1"/>
  <c r="J4405" i="1"/>
  <c r="Q4405" i="1"/>
  <c r="R4405" i="1"/>
  <c r="J4406" i="1"/>
  <c r="Q4406" i="1"/>
  <c r="R4406" i="1"/>
  <c r="J4407" i="1"/>
  <c r="Q4407" i="1"/>
  <c r="R4407" i="1"/>
  <c r="J4408" i="1"/>
  <c r="Q4408" i="1"/>
  <c r="R4408" i="1"/>
  <c r="J4409" i="1"/>
  <c r="Q4409" i="1"/>
  <c r="R4409" i="1"/>
  <c r="J4410" i="1"/>
  <c r="Q4410" i="1"/>
  <c r="R4410" i="1"/>
  <c r="J4411" i="1"/>
  <c r="Q4411" i="1"/>
  <c r="R4411" i="1"/>
  <c r="J4412" i="1"/>
  <c r="Q4412" i="1"/>
  <c r="R4412" i="1"/>
  <c r="J4413" i="1"/>
  <c r="Q4413" i="1"/>
  <c r="R4413" i="1"/>
  <c r="J10901" i="1"/>
  <c r="Q10901" i="1"/>
  <c r="R10901" i="1"/>
  <c r="J10902" i="1"/>
  <c r="Q10902" i="1"/>
  <c r="R10902" i="1"/>
  <c r="J10903" i="1"/>
  <c r="Q10903" i="1"/>
  <c r="R10903" i="1"/>
  <c r="J10904" i="1"/>
  <c r="Q10904" i="1"/>
  <c r="R10904" i="1"/>
  <c r="J10905" i="1"/>
  <c r="Q10905" i="1"/>
  <c r="R10905" i="1"/>
  <c r="J10906" i="1"/>
  <c r="Q10906" i="1"/>
  <c r="R10906" i="1"/>
  <c r="J10907" i="1"/>
  <c r="Q10907" i="1"/>
  <c r="R10907" i="1"/>
  <c r="J10908" i="1"/>
  <c r="Q10908" i="1"/>
  <c r="R10908" i="1"/>
  <c r="J10909" i="1"/>
  <c r="Q10909" i="1"/>
  <c r="R10909" i="1"/>
  <c r="J10910" i="1"/>
  <c r="Q10910" i="1"/>
  <c r="R10910" i="1"/>
  <c r="J10911" i="1"/>
  <c r="Q10911" i="1"/>
  <c r="R10911" i="1"/>
  <c r="J10912" i="1"/>
  <c r="Q10912" i="1"/>
  <c r="R10912" i="1"/>
  <c r="J10913" i="1"/>
  <c r="Q10913" i="1"/>
  <c r="R10913" i="1"/>
  <c r="J10914" i="1"/>
  <c r="Q10914" i="1"/>
  <c r="R10914" i="1"/>
  <c r="J10915" i="1"/>
  <c r="Q10915" i="1"/>
  <c r="R10915" i="1"/>
  <c r="J4414" i="1"/>
  <c r="Q4414" i="1"/>
  <c r="R4414" i="1"/>
  <c r="J4415" i="1"/>
  <c r="Q4415" i="1"/>
  <c r="R4415" i="1"/>
  <c r="J4416" i="1"/>
  <c r="Q4416" i="1"/>
  <c r="R4416" i="1"/>
  <c r="J4417" i="1"/>
  <c r="Q4417" i="1"/>
  <c r="R4417" i="1"/>
  <c r="J10916" i="1"/>
  <c r="Q10916" i="1"/>
  <c r="R10916" i="1"/>
  <c r="J4418" i="1"/>
  <c r="Q4418" i="1"/>
  <c r="R4418" i="1"/>
  <c r="J10917" i="1"/>
  <c r="Q10917" i="1"/>
  <c r="R10917" i="1"/>
  <c r="J4419" i="1"/>
  <c r="Q4419" i="1"/>
  <c r="R4419" i="1"/>
  <c r="J10918" i="1"/>
  <c r="Q10918" i="1"/>
  <c r="R10918" i="1"/>
  <c r="J4420" i="1"/>
  <c r="Q4420" i="1"/>
  <c r="R4420" i="1"/>
  <c r="J10919" i="1"/>
  <c r="Q10919" i="1"/>
  <c r="R10919" i="1"/>
  <c r="J10920" i="1"/>
  <c r="Q10920" i="1"/>
  <c r="R10920" i="1"/>
  <c r="J10921" i="1"/>
  <c r="Q10921" i="1"/>
  <c r="R10921" i="1"/>
  <c r="J4421" i="1"/>
  <c r="Q4421" i="1"/>
  <c r="R4421" i="1"/>
  <c r="J4422" i="1"/>
  <c r="Q4422" i="1"/>
  <c r="R4422" i="1"/>
  <c r="J10922" i="1"/>
  <c r="Q10922" i="1"/>
  <c r="R10922" i="1"/>
  <c r="J10923" i="1"/>
  <c r="Q10923" i="1"/>
  <c r="R10923" i="1"/>
  <c r="J10924" i="1"/>
  <c r="Q10924" i="1"/>
  <c r="R10924" i="1"/>
  <c r="J10925" i="1"/>
  <c r="Q10925" i="1"/>
  <c r="R10925" i="1"/>
  <c r="J10926" i="1"/>
  <c r="Q10926" i="1"/>
  <c r="R10926" i="1"/>
  <c r="J10927" i="1"/>
  <c r="Q10927" i="1"/>
  <c r="R10927" i="1"/>
  <c r="J10928" i="1"/>
  <c r="Q10928" i="1"/>
  <c r="R10928" i="1"/>
  <c r="J10929" i="1"/>
  <c r="Q10929" i="1"/>
  <c r="R10929" i="1"/>
  <c r="J4423" i="1"/>
  <c r="Q4423" i="1"/>
  <c r="R4423" i="1"/>
  <c r="J10930" i="1"/>
  <c r="Q10930" i="1"/>
  <c r="R10930" i="1"/>
  <c r="J10931" i="1"/>
  <c r="Q10931" i="1"/>
  <c r="R10931" i="1"/>
  <c r="J10932" i="1"/>
  <c r="Q10932" i="1"/>
  <c r="R10932" i="1"/>
  <c r="J10933" i="1"/>
  <c r="Q10933" i="1"/>
  <c r="R10933" i="1"/>
  <c r="J10934" i="1"/>
  <c r="Q10934" i="1"/>
  <c r="R10934" i="1"/>
  <c r="J10935" i="1"/>
  <c r="Q10935" i="1"/>
  <c r="R10935" i="1"/>
  <c r="J10936" i="1"/>
  <c r="Q10936" i="1"/>
  <c r="R10936" i="1"/>
  <c r="J10937" i="1"/>
  <c r="Q10937" i="1"/>
  <c r="R10937" i="1"/>
  <c r="J10938" i="1"/>
  <c r="Q10938" i="1"/>
  <c r="R10938" i="1"/>
  <c r="J10939" i="1"/>
  <c r="Q10939" i="1"/>
  <c r="R10939" i="1"/>
  <c r="J10940" i="1"/>
  <c r="Q10940" i="1"/>
  <c r="R10940" i="1"/>
  <c r="J10941" i="1"/>
  <c r="Q10941" i="1"/>
  <c r="R10941" i="1"/>
  <c r="J10942" i="1"/>
  <c r="Q10942" i="1"/>
  <c r="R10942" i="1"/>
  <c r="J10943" i="1"/>
  <c r="Q10943" i="1"/>
  <c r="R10943" i="1"/>
  <c r="J10944" i="1"/>
  <c r="Q10944" i="1"/>
  <c r="R10944" i="1"/>
  <c r="J10945" i="1"/>
  <c r="Q10945" i="1"/>
  <c r="R10945" i="1"/>
  <c r="J10946" i="1"/>
  <c r="Q10946" i="1"/>
  <c r="R10946" i="1"/>
  <c r="J10947" i="1"/>
  <c r="Q10947" i="1"/>
  <c r="R10947" i="1"/>
  <c r="J10948" i="1"/>
  <c r="Q10948" i="1"/>
  <c r="R10948" i="1"/>
  <c r="J4424" i="1"/>
  <c r="Q4424" i="1"/>
  <c r="R4424" i="1"/>
  <c r="J10949" i="1"/>
  <c r="Q10949" i="1"/>
  <c r="R10949" i="1"/>
  <c r="J10950" i="1"/>
  <c r="Q10950" i="1"/>
  <c r="R10950" i="1"/>
  <c r="J10951" i="1"/>
  <c r="Q10951" i="1"/>
  <c r="R10951" i="1"/>
  <c r="J10952" i="1"/>
  <c r="Q10952" i="1"/>
  <c r="R10952" i="1"/>
  <c r="J10953" i="1"/>
  <c r="Q10953" i="1"/>
  <c r="R10953" i="1"/>
  <c r="J10954" i="1"/>
  <c r="Q10954" i="1"/>
  <c r="R10954" i="1"/>
  <c r="J10955" i="1"/>
  <c r="Q10955" i="1"/>
  <c r="R10955" i="1"/>
  <c r="J4425" i="1"/>
  <c r="Q4425" i="1"/>
  <c r="R4425" i="1"/>
  <c r="J4426" i="1"/>
  <c r="Q4426" i="1"/>
  <c r="R4426" i="1"/>
  <c r="J4427" i="1"/>
  <c r="Q4427" i="1"/>
  <c r="R4427" i="1"/>
  <c r="J10956" i="1"/>
  <c r="Q10956" i="1"/>
  <c r="R10956" i="1"/>
  <c r="J4428" i="1"/>
  <c r="Q4428" i="1"/>
  <c r="R4428" i="1"/>
  <c r="J4429" i="1"/>
  <c r="Q4429" i="1"/>
  <c r="R4429" i="1"/>
  <c r="J4430" i="1"/>
  <c r="Q4430" i="1"/>
  <c r="R4430" i="1"/>
  <c r="J4431" i="1"/>
  <c r="Q4431" i="1"/>
  <c r="R4431" i="1"/>
  <c r="J4432" i="1"/>
  <c r="Q4432" i="1"/>
  <c r="R4432" i="1"/>
  <c r="J4433" i="1"/>
  <c r="Q4433" i="1"/>
  <c r="R4433" i="1"/>
  <c r="J4434" i="1"/>
  <c r="Q4434" i="1"/>
  <c r="R4434" i="1"/>
  <c r="J4435" i="1"/>
  <c r="Q4435" i="1"/>
  <c r="R4435" i="1"/>
  <c r="J4436" i="1"/>
  <c r="Q4436" i="1"/>
  <c r="R4436" i="1"/>
  <c r="J4437" i="1"/>
  <c r="Q4437" i="1"/>
  <c r="R4437" i="1"/>
  <c r="J4438" i="1"/>
  <c r="Q4438" i="1"/>
  <c r="R4438" i="1"/>
  <c r="J4439" i="1"/>
  <c r="Q4439" i="1"/>
  <c r="R4439" i="1"/>
  <c r="J4440" i="1"/>
  <c r="Q4440" i="1"/>
  <c r="R4440" i="1"/>
  <c r="J4441" i="1"/>
  <c r="Q4441" i="1"/>
  <c r="R4441" i="1"/>
  <c r="J10957" i="1"/>
  <c r="Q10957" i="1"/>
  <c r="R10957" i="1"/>
  <c r="J4442" i="1"/>
  <c r="Q4442" i="1"/>
  <c r="R4442" i="1"/>
  <c r="J4443" i="1"/>
  <c r="Q4443" i="1"/>
  <c r="R4443" i="1"/>
  <c r="J4444" i="1"/>
  <c r="Q4444" i="1"/>
  <c r="R4444" i="1"/>
  <c r="J4445" i="1"/>
  <c r="Q4445" i="1"/>
  <c r="R4445" i="1"/>
  <c r="J10958" i="1"/>
  <c r="Q10958" i="1"/>
  <c r="R10958" i="1"/>
  <c r="J10959" i="1"/>
  <c r="Q10959" i="1"/>
  <c r="R10959" i="1"/>
  <c r="J4446" i="1"/>
  <c r="Q4446" i="1"/>
  <c r="R4446" i="1"/>
  <c r="J10960" i="1"/>
  <c r="Q10960" i="1"/>
  <c r="R10960" i="1"/>
  <c r="J4447" i="1"/>
  <c r="Q4447" i="1"/>
  <c r="R4447" i="1"/>
  <c r="J10961" i="1"/>
  <c r="Q10961" i="1"/>
  <c r="R10961" i="1"/>
  <c r="J10962" i="1"/>
  <c r="Q10962" i="1"/>
  <c r="R10962" i="1"/>
  <c r="J4448" i="1"/>
  <c r="Q4448" i="1"/>
  <c r="R4448" i="1"/>
  <c r="J10963" i="1"/>
  <c r="Q10963" i="1"/>
  <c r="R10963" i="1"/>
  <c r="J4449" i="1"/>
  <c r="Q4449" i="1"/>
  <c r="R4449" i="1"/>
  <c r="J4450" i="1"/>
  <c r="Q4450" i="1"/>
  <c r="R4450" i="1"/>
  <c r="J10964" i="1"/>
  <c r="Q10964" i="1"/>
  <c r="R10964" i="1"/>
  <c r="J4451" i="1"/>
  <c r="Q4451" i="1"/>
  <c r="R4451" i="1"/>
  <c r="J4452" i="1"/>
  <c r="Q4452" i="1"/>
  <c r="R4452" i="1"/>
  <c r="J10965" i="1"/>
  <c r="Q10965" i="1"/>
  <c r="R10965" i="1"/>
  <c r="J10966" i="1"/>
  <c r="Q10966" i="1"/>
  <c r="R10966" i="1"/>
  <c r="J10967" i="1"/>
  <c r="Q10967" i="1"/>
  <c r="R10967" i="1"/>
  <c r="J10968" i="1"/>
  <c r="Q10968" i="1"/>
  <c r="R10968" i="1"/>
  <c r="J10969" i="1"/>
  <c r="Q10969" i="1"/>
  <c r="R10969" i="1"/>
  <c r="J4453" i="1"/>
  <c r="Q4453" i="1"/>
  <c r="R4453" i="1"/>
  <c r="J4454" i="1"/>
  <c r="Q4454" i="1"/>
  <c r="R4454" i="1"/>
  <c r="J4455" i="1"/>
  <c r="Q4455" i="1"/>
  <c r="R4455" i="1"/>
  <c r="J4456" i="1"/>
  <c r="Q4456" i="1"/>
  <c r="R4456" i="1"/>
  <c r="J4457" i="1"/>
  <c r="Q4457" i="1"/>
  <c r="R4457" i="1"/>
  <c r="J10970" i="1"/>
  <c r="Q10970" i="1"/>
  <c r="R10970" i="1"/>
  <c r="J10971" i="1"/>
  <c r="Q10971" i="1"/>
  <c r="R10971" i="1"/>
  <c r="J4458" i="1"/>
  <c r="Q4458" i="1"/>
  <c r="R4458" i="1"/>
  <c r="J4459" i="1"/>
  <c r="Q4459" i="1"/>
  <c r="R4459" i="1"/>
  <c r="J4460" i="1"/>
  <c r="Q4460" i="1"/>
  <c r="R4460" i="1"/>
  <c r="J10972" i="1"/>
  <c r="Q10972" i="1"/>
  <c r="R10972" i="1"/>
  <c r="J4461" i="1"/>
  <c r="Q4461" i="1"/>
  <c r="R4461" i="1"/>
  <c r="J10973" i="1"/>
  <c r="Q10973" i="1"/>
  <c r="R10973" i="1"/>
  <c r="J4462" i="1"/>
  <c r="Q4462" i="1"/>
  <c r="R4462" i="1"/>
  <c r="J10974" i="1"/>
  <c r="Q10974" i="1"/>
  <c r="R10974" i="1"/>
  <c r="J10975" i="1"/>
  <c r="Q10975" i="1"/>
  <c r="R10975" i="1"/>
  <c r="J10976" i="1"/>
  <c r="Q10976" i="1"/>
  <c r="R10976" i="1"/>
  <c r="J4463" i="1"/>
  <c r="Q4463" i="1"/>
  <c r="R4463" i="1"/>
  <c r="J10977" i="1"/>
  <c r="Q10977" i="1"/>
  <c r="R10977" i="1"/>
  <c r="J10978" i="1"/>
  <c r="Q10978" i="1"/>
  <c r="R10978" i="1"/>
  <c r="J10979" i="1"/>
  <c r="Q10979" i="1"/>
  <c r="R10979" i="1"/>
  <c r="J10980" i="1"/>
  <c r="Q10980" i="1"/>
  <c r="R10980" i="1"/>
  <c r="J10981" i="1"/>
  <c r="Q10981" i="1"/>
  <c r="R10981" i="1"/>
  <c r="J10982" i="1"/>
  <c r="Q10982" i="1"/>
  <c r="R10982" i="1"/>
  <c r="J4464" i="1"/>
  <c r="Q4464" i="1"/>
  <c r="R4464" i="1"/>
  <c r="J4465" i="1"/>
  <c r="Q4465" i="1"/>
  <c r="R4465" i="1"/>
  <c r="J10983" i="1"/>
  <c r="Q10983" i="1"/>
  <c r="R10983" i="1"/>
  <c r="J10984" i="1"/>
  <c r="Q10984" i="1"/>
  <c r="R10984" i="1"/>
  <c r="J4466" i="1"/>
  <c r="Q4466" i="1"/>
  <c r="R4466" i="1"/>
  <c r="J10985" i="1"/>
  <c r="Q10985" i="1"/>
  <c r="R10985" i="1"/>
  <c r="J4467" i="1"/>
  <c r="Q4467" i="1"/>
  <c r="R4467" i="1"/>
  <c r="J10986" i="1"/>
  <c r="Q10986" i="1"/>
  <c r="R10986" i="1"/>
  <c r="J4468" i="1"/>
  <c r="Q4468" i="1"/>
  <c r="R4468" i="1"/>
  <c r="J10987" i="1"/>
  <c r="Q10987" i="1"/>
  <c r="R10987" i="1"/>
  <c r="J10988" i="1"/>
  <c r="Q10988" i="1"/>
  <c r="R10988" i="1"/>
  <c r="J10989" i="1"/>
  <c r="Q10989" i="1"/>
  <c r="R10989" i="1"/>
  <c r="J10990" i="1"/>
  <c r="Q10990" i="1"/>
  <c r="R10990" i="1"/>
  <c r="J10991" i="1"/>
  <c r="Q10991" i="1"/>
  <c r="R10991" i="1"/>
  <c r="J4469" i="1"/>
  <c r="Q4469" i="1"/>
  <c r="R4469" i="1"/>
  <c r="J10992" i="1"/>
  <c r="Q10992" i="1"/>
  <c r="R10992" i="1"/>
  <c r="J10993" i="1"/>
  <c r="Q10993" i="1"/>
  <c r="R10993" i="1"/>
  <c r="J4470" i="1"/>
  <c r="Q4470" i="1"/>
  <c r="R4470" i="1"/>
  <c r="J10994" i="1"/>
  <c r="Q10994" i="1"/>
  <c r="R10994" i="1"/>
  <c r="J10995" i="1"/>
  <c r="Q10995" i="1"/>
  <c r="R10995" i="1"/>
  <c r="J10996" i="1"/>
  <c r="Q10996" i="1"/>
  <c r="R10996" i="1"/>
  <c r="J10997" i="1"/>
  <c r="Q10997" i="1"/>
  <c r="R10997" i="1"/>
  <c r="J4471" i="1"/>
  <c r="Q4471" i="1"/>
  <c r="R4471" i="1"/>
  <c r="J10998" i="1"/>
  <c r="Q10998" i="1"/>
  <c r="R10998" i="1"/>
  <c r="J10999" i="1"/>
  <c r="Q10999" i="1"/>
  <c r="R10999" i="1"/>
  <c r="J11000" i="1"/>
  <c r="Q11000" i="1"/>
  <c r="R11000" i="1"/>
  <c r="J11001" i="1"/>
  <c r="Q11001" i="1"/>
  <c r="R11001" i="1"/>
  <c r="J11002" i="1"/>
  <c r="Q11002" i="1"/>
  <c r="R11002" i="1"/>
  <c r="J4472" i="1"/>
  <c r="Q4472" i="1"/>
  <c r="R4472" i="1"/>
  <c r="J11003" i="1"/>
  <c r="Q11003" i="1"/>
  <c r="R11003" i="1"/>
  <c r="J4473" i="1"/>
  <c r="Q4473" i="1"/>
  <c r="R4473" i="1"/>
  <c r="J4474" i="1"/>
  <c r="Q4474" i="1"/>
  <c r="R4474" i="1"/>
  <c r="J4475" i="1"/>
  <c r="Q4475" i="1"/>
  <c r="R4475" i="1"/>
  <c r="J4476" i="1"/>
  <c r="Q4476" i="1"/>
  <c r="R4476" i="1"/>
  <c r="J4477" i="1"/>
  <c r="Q4477" i="1"/>
  <c r="R4477" i="1"/>
  <c r="J11004" i="1"/>
  <c r="Q11004" i="1"/>
  <c r="R11004" i="1"/>
  <c r="J11005" i="1"/>
  <c r="Q11005" i="1"/>
  <c r="R11005" i="1"/>
  <c r="J4478" i="1"/>
  <c r="Q4478" i="1"/>
  <c r="R4478" i="1"/>
  <c r="J4479" i="1"/>
  <c r="Q4479" i="1"/>
  <c r="R4479" i="1"/>
  <c r="J4480" i="1"/>
  <c r="Q4480" i="1"/>
  <c r="R4480" i="1"/>
  <c r="J4481" i="1"/>
  <c r="Q4481" i="1"/>
  <c r="R4481" i="1"/>
  <c r="J4482" i="1"/>
  <c r="Q4482" i="1"/>
  <c r="R4482" i="1"/>
  <c r="J4483" i="1"/>
  <c r="Q4483" i="1"/>
  <c r="R4483" i="1"/>
  <c r="J4484" i="1"/>
  <c r="Q4484" i="1"/>
  <c r="R4484" i="1"/>
  <c r="J11006" i="1"/>
  <c r="Q11006" i="1"/>
  <c r="R11006" i="1"/>
  <c r="J11007" i="1"/>
  <c r="Q11007" i="1"/>
  <c r="R11007" i="1"/>
  <c r="J11008" i="1"/>
  <c r="Q11008" i="1"/>
  <c r="R11008" i="1"/>
  <c r="J11009" i="1"/>
  <c r="Q11009" i="1"/>
  <c r="R11009" i="1"/>
  <c r="J4485" i="1"/>
  <c r="Q4485" i="1"/>
  <c r="R4485" i="1"/>
  <c r="J11010" i="1"/>
  <c r="Q11010" i="1"/>
  <c r="R11010" i="1"/>
  <c r="J11011" i="1"/>
  <c r="Q11011" i="1"/>
  <c r="R11011" i="1"/>
  <c r="J4486" i="1"/>
  <c r="Q4486" i="1"/>
  <c r="R4486" i="1"/>
  <c r="J11012" i="1"/>
  <c r="Q11012" i="1"/>
  <c r="R11012" i="1"/>
  <c r="J11013" i="1"/>
  <c r="Q11013" i="1"/>
  <c r="R11013" i="1"/>
  <c r="J11014" i="1"/>
  <c r="Q11014" i="1"/>
  <c r="R11014" i="1"/>
  <c r="J11015" i="1"/>
  <c r="Q11015" i="1"/>
  <c r="R11015" i="1"/>
  <c r="J11016" i="1"/>
  <c r="Q11016" i="1"/>
  <c r="R11016" i="1"/>
  <c r="J11017" i="1"/>
  <c r="Q11017" i="1"/>
  <c r="R11017" i="1"/>
  <c r="J11018" i="1"/>
  <c r="Q11018" i="1"/>
  <c r="R11018" i="1"/>
  <c r="J11019" i="1"/>
  <c r="Q11019" i="1"/>
  <c r="R11019" i="1"/>
  <c r="J4487" i="1"/>
  <c r="Q4487" i="1"/>
  <c r="R4487" i="1"/>
  <c r="J4488" i="1"/>
  <c r="Q4488" i="1"/>
  <c r="R4488" i="1"/>
  <c r="J4489" i="1"/>
  <c r="Q4489" i="1"/>
  <c r="R4489" i="1"/>
  <c r="J11020" i="1"/>
  <c r="Q11020" i="1"/>
  <c r="R11020" i="1"/>
  <c r="J4490" i="1"/>
  <c r="Q4490" i="1"/>
  <c r="R4490" i="1"/>
  <c r="J11021" i="1"/>
  <c r="Q11021" i="1"/>
  <c r="R11021" i="1"/>
  <c r="J11022" i="1"/>
  <c r="Q11022" i="1"/>
  <c r="R11022" i="1"/>
  <c r="J11023" i="1"/>
  <c r="Q11023" i="1"/>
  <c r="R11023" i="1"/>
  <c r="J11024" i="1"/>
  <c r="Q11024" i="1"/>
  <c r="R11024" i="1"/>
  <c r="J11025" i="1"/>
  <c r="Q11025" i="1"/>
  <c r="R11025" i="1"/>
  <c r="J4491" i="1"/>
  <c r="Q4491" i="1"/>
  <c r="R4491" i="1"/>
  <c r="J4492" i="1"/>
  <c r="Q4492" i="1"/>
  <c r="R4492" i="1"/>
  <c r="J4493" i="1"/>
  <c r="Q4493" i="1"/>
  <c r="R4493" i="1"/>
  <c r="J11026" i="1"/>
  <c r="Q11026" i="1"/>
  <c r="R11026" i="1"/>
  <c r="J4494" i="1"/>
  <c r="Q4494" i="1"/>
  <c r="R4494" i="1"/>
  <c r="J4495" i="1"/>
  <c r="Q4495" i="1"/>
  <c r="R4495" i="1"/>
  <c r="J4496" i="1"/>
  <c r="Q4496" i="1"/>
  <c r="R4496" i="1"/>
  <c r="J4497" i="1"/>
  <c r="Q4497" i="1"/>
  <c r="R4497" i="1"/>
  <c r="J4498" i="1"/>
  <c r="Q4498" i="1"/>
  <c r="R4498" i="1"/>
  <c r="J4499" i="1"/>
  <c r="Q4499" i="1"/>
  <c r="R4499" i="1"/>
  <c r="J4500" i="1"/>
  <c r="Q4500" i="1"/>
  <c r="R4500" i="1"/>
  <c r="J4501" i="1"/>
  <c r="Q4501" i="1"/>
  <c r="R4501" i="1"/>
  <c r="J4502" i="1"/>
  <c r="Q4502" i="1"/>
  <c r="R4502" i="1"/>
  <c r="J4503" i="1"/>
  <c r="Q4503" i="1"/>
  <c r="R4503" i="1"/>
  <c r="J4504" i="1"/>
  <c r="Q4504" i="1"/>
  <c r="R4504" i="1"/>
  <c r="J4505" i="1"/>
  <c r="Q4505" i="1"/>
  <c r="R4505" i="1"/>
  <c r="J4506" i="1"/>
  <c r="Q4506" i="1"/>
  <c r="R4506" i="1"/>
  <c r="J4507" i="1"/>
  <c r="Q4507" i="1"/>
  <c r="R4507" i="1"/>
  <c r="J11027" i="1"/>
  <c r="Q11027" i="1"/>
  <c r="R11027" i="1"/>
  <c r="J11028" i="1"/>
  <c r="Q11028" i="1"/>
  <c r="R11028" i="1"/>
  <c r="J4508" i="1"/>
  <c r="Q4508" i="1"/>
  <c r="R4508" i="1"/>
  <c r="J11029" i="1"/>
  <c r="Q11029" i="1"/>
  <c r="R11029" i="1"/>
  <c r="J4509" i="1"/>
  <c r="Q4509" i="1"/>
  <c r="R4509" i="1"/>
  <c r="J11030" i="1"/>
  <c r="Q11030" i="1"/>
  <c r="R11030" i="1"/>
  <c r="J4510" i="1"/>
  <c r="Q4510" i="1"/>
  <c r="R4510" i="1"/>
  <c r="J4511" i="1"/>
  <c r="Q4511" i="1"/>
  <c r="R4511" i="1"/>
  <c r="J4512" i="1"/>
  <c r="Q4512" i="1"/>
  <c r="R4512" i="1"/>
  <c r="J4513" i="1"/>
  <c r="Q4513" i="1"/>
  <c r="R4513" i="1"/>
  <c r="J11031" i="1"/>
  <c r="Q11031" i="1"/>
  <c r="R11031" i="1"/>
  <c r="J11032" i="1"/>
  <c r="Q11032" i="1"/>
  <c r="R11032" i="1"/>
  <c r="J11033" i="1"/>
  <c r="Q11033" i="1"/>
  <c r="R11033" i="1"/>
  <c r="J11034" i="1"/>
  <c r="Q11034" i="1"/>
  <c r="R11034" i="1"/>
  <c r="J11035" i="1"/>
  <c r="Q11035" i="1"/>
  <c r="R11035" i="1"/>
  <c r="J11036" i="1"/>
  <c r="Q11036" i="1"/>
  <c r="R11036" i="1"/>
  <c r="J4514" i="1"/>
  <c r="Q4514" i="1"/>
  <c r="R4514" i="1"/>
  <c r="J1036" i="1"/>
  <c r="Q1036" i="1"/>
  <c r="R1036" i="1"/>
  <c r="J6874" i="1"/>
  <c r="Q6874" i="1"/>
  <c r="R6874" i="1"/>
  <c r="J7678" i="1"/>
  <c r="Q7678" i="1"/>
  <c r="R7678" i="1"/>
  <c r="J7679" i="1"/>
  <c r="Q7679" i="1"/>
  <c r="R7679" i="1"/>
  <c r="J7680" i="1"/>
  <c r="Q7680" i="1"/>
  <c r="R7680" i="1"/>
  <c r="J1037" i="1"/>
  <c r="Q1037" i="1"/>
  <c r="R1037" i="1"/>
  <c r="J1038" i="1"/>
  <c r="Q1038" i="1"/>
  <c r="R1038" i="1"/>
  <c r="J13565" i="1"/>
  <c r="Q13565" i="1"/>
  <c r="R13565" i="1"/>
  <c r="J1039" i="1"/>
  <c r="Q1039" i="1"/>
  <c r="R1039" i="1"/>
  <c r="J1040" i="1"/>
  <c r="Q1040" i="1"/>
  <c r="R1040" i="1"/>
  <c r="J1041" i="1"/>
  <c r="Q1041" i="1"/>
  <c r="R1041" i="1"/>
  <c r="J1042" i="1"/>
  <c r="Q1042" i="1"/>
  <c r="R1042" i="1"/>
  <c r="J1043" i="1"/>
  <c r="Q1043" i="1"/>
  <c r="R1043" i="1"/>
  <c r="J1044" i="1"/>
  <c r="Q1044" i="1"/>
  <c r="R1044" i="1"/>
  <c r="J1045" i="1"/>
  <c r="Q1045" i="1"/>
  <c r="R1045" i="1"/>
  <c r="J6591" i="1"/>
  <c r="Q6591" i="1"/>
  <c r="R6591" i="1"/>
  <c r="J1046" i="1"/>
  <c r="Q1046" i="1"/>
  <c r="R1046" i="1"/>
  <c r="J1047" i="1"/>
  <c r="Q1047" i="1"/>
  <c r="R1047" i="1"/>
  <c r="J1048" i="1"/>
  <c r="Q1048" i="1"/>
  <c r="R1048" i="1"/>
  <c r="J7681" i="1"/>
  <c r="Q7681" i="1"/>
  <c r="R7681" i="1"/>
  <c r="J1049" i="1"/>
  <c r="Q1049" i="1"/>
  <c r="R1049" i="1"/>
  <c r="J7682" i="1"/>
  <c r="Q7682" i="1"/>
  <c r="R7682" i="1"/>
  <c r="J1050" i="1"/>
  <c r="Q1050" i="1"/>
  <c r="R1050" i="1"/>
  <c r="J6592" i="1"/>
  <c r="Q6592" i="1"/>
  <c r="R6592" i="1"/>
  <c r="J1051" i="1"/>
  <c r="Q1051" i="1"/>
  <c r="R1051" i="1"/>
  <c r="J6875" i="1"/>
  <c r="Q6875" i="1"/>
  <c r="R6875" i="1"/>
  <c r="J6876" i="1"/>
  <c r="Q6876" i="1"/>
  <c r="R6876" i="1"/>
  <c r="J6877" i="1"/>
  <c r="Q6877" i="1"/>
  <c r="R6877" i="1"/>
  <c r="J7683" i="1"/>
  <c r="Q7683" i="1"/>
  <c r="R7683" i="1"/>
  <c r="J7684" i="1"/>
  <c r="Q7684" i="1"/>
  <c r="R7684" i="1"/>
  <c r="J7685" i="1"/>
  <c r="Q7685" i="1"/>
  <c r="R7685" i="1"/>
  <c r="J7686" i="1"/>
  <c r="Q7686" i="1"/>
  <c r="R7686" i="1"/>
  <c r="J7687" i="1"/>
  <c r="Q7687" i="1"/>
  <c r="R7687" i="1"/>
  <c r="J7688" i="1"/>
  <c r="Q7688" i="1"/>
  <c r="R7688" i="1"/>
  <c r="J1052" i="1"/>
  <c r="Q1052" i="1"/>
  <c r="R1052" i="1"/>
  <c r="J1053" i="1"/>
  <c r="Q1053" i="1"/>
  <c r="R1053" i="1"/>
  <c r="J1054" i="1"/>
  <c r="Q1054" i="1"/>
  <c r="R1054" i="1"/>
  <c r="J1055" i="1"/>
  <c r="Q1055" i="1"/>
  <c r="R1055" i="1"/>
  <c r="J1056" i="1"/>
  <c r="Q1056" i="1"/>
  <c r="R1056" i="1"/>
  <c r="J1057" i="1"/>
  <c r="Q1057" i="1"/>
  <c r="R1057" i="1"/>
  <c r="J1058" i="1"/>
  <c r="Q1058" i="1"/>
  <c r="R1058" i="1"/>
  <c r="J1059" i="1"/>
  <c r="Q1059" i="1"/>
  <c r="R1059" i="1"/>
  <c r="J1060" i="1"/>
  <c r="Q1060" i="1"/>
  <c r="R1060" i="1"/>
  <c r="J1061" i="1"/>
  <c r="Q1061" i="1"/>
  <c r="R1061" i="1"/>
  <c r="J1062" i="1"/>
  <c r="Q1062" i="1"/>
  <c r="R1062" i="1"/>
  <c r="J1063" i="1"/>
  <c r="Q1063" i="1"/>
  <c r="R1063" i="1"/>
  <c r="J1064" i="1"/>
  <c r="Q1064" i="1"/>
  <c r="R1064" i="1"/>
  <c r="J1065" i="1"/>
  <c r="Q1065" i="1"/>
  <c r="R1065" i="1"/>
  <c r="J1066" i="1"/>
  <c r="Q1066" i="1"/>
  <c r="R1066" i="1"/>
  <c r="J7689" i="1"/>
  <c r="Q7689" i="1"/>
  <c r="R7689" i="1"/>
  <c r="J1067" i="1"/>
  <c r="Q1067" i="1"/>
  <c r="R1067" i="1"/>
  <c r="J13566" i="1"/>
  <c r="Q13566" i="1"/>
  <c r="R13566" i="1"/>
  <c r="J1068" i="1"/>
  <c r="Q1068" i="1"/>
  <c r="R1068" i="1"/>
  <c r="J6878" i="1"/>
  <c r="Q6878" i="1"/>
  <c r="R6878" i="1"/>
  <c r="J1069" i="1"/>
  <c r="Q1069" i="1"/>
  <c r="R1069" i="1"/>
  <c r="J7690" i="1"/>
  <c r="Q7690" i="1"/>
  <c r="R7690" i="1"/>
  <c r="J7691" i="1"/>
  <c r="Q7691" i="1"/>
  <c r="R7691" i="1"/>
  <c r="J6593" i="1"/>
  <c r="Q6593" i="1"/>
  <c r="R6593" i="1"/>
  <c r="J6879" i="1"/>
  <c r="Q6879" i="1"/>
  <c r="R6879" i="1"/>
  <c r="J1070" i="1"/>
  <c r="Q1070" i="1"/>
  <c r="R1070" i="1"/>
  <c r="J6880" i="1"/>
  <c r="Q6880" i="1"/>
  <c r="R6880" i="1"/>
  <c r="J7692" i="1"/>
  <c r="Q7692" i="1"/>
  <c r="R7692" i="1"/>
  <c r="J7693" i="1"/>
  <c r="Q7693" i="1"/>
  <c r="R7693" i="1"/>
  <c r="J7694" i="1"/>
  <c r="Q7694" i="1"/>
  <c r="R7694" i="1"/>
  <c r="J7695" i="1"/>
  <c r="Q7695" i="1"/>
  <c r="R7695" i="1"/>
  <c r="J1071" i="1"/>
  <c r="Q1071" i="1"/>
  <c r="R1071" i="1"/>
  <c r="J1072" i="1"/>
  <c r="Q1072" i="1"/>
  <c r="R1072" i="1"/>
  <c r="J1073" i="1"/>
  <c r="Q1073" i="1"/>
  <c r="R1073" i="1"/>
  <c r="J1074" i="1"/>
  <c r="Q1074" i="1"/>
  <c r="R1074" i="1"/>
  <c r="J1075" i="1"/>
  <c r="Q1075" i="1"/>
  <c r="R1075" i="1"/>
  <c r="J6881" i="1"/>
  <c r="Q6881" i="1"/>
  <c r="R6881" i="1"/>
  <c r="J1076" i="1"/>
  <c r="Q1076" i="1"/>
  <c r="R1076" i="1"/>
  <c r="J1077" i="1"/>
  <c r="Q1077" i="1"/>
  <c r="R1077" i="1"/>
  <c r="J1078" i="1"/>
  <c r="Q1078" i="1"/>
  <c r="R1078" i="1"/>
  <c r="J1079" i="1"/>
  <c r="Q1079" i="1"/>
  <c r="R1079" i="1"/>
  <c r="J1080" i="1"/>
  <c r="Q1080" i="1"/>
  <c r="R1080" i="1"/>
  <c r="J7696" i="1"/>
  <c r="Q7696" i="1"/>
  <c r="R7696" i="1"/>
  <c r="J1081" i="1"/>
  <c r="Q1081" i="1"/>
  <c r="R1081" i="1"/>
  <c r="J1082" i="1"/>
  <c r="Q1082" i="1"/>
  <c r="R1082" i="1"/>
  <c r="J1083" i="1"/>
  <c r="Q1083" i="1"/>
  <c r="R1083" i="1"/>
  <c r="J7697" i="1"/>
  <c r="Q7697" i="1"/>
  <c r="R7697" i="1"/>
  <c r="J6882" i="1"/>
  <c r="Q6882" i="1"/>
  <c r="R6882" i="1"/>
  <c r="J7698" i="1"/>
  <c r="Q7698" i="1"/>
  <c r="R7698" i="1"/>
  <c r="J1084" i="1"/>
  <c r="Q1084" i="1"/>
  <c r="R1084" i="1"/>
  <c r="J1085" i="1"/>
  <c r="Q1085" i="1"/>
  <c r="R1085" i="1"/>
  <c r="J1086" i="1"/>
  <c r="Q1086" i="1"/>
  <c r="R1086" i="1"/>
  <c r="J1087" i="1"/>
  <c r="Q1087" i="1"/>
  <c r="R1087" i="1"/>
  <c r="J1088" i="1"/>
  <c r="Q1088" i="1"/>
  <c r="R1088" i="1"/>
  <c r="J1089" i="1"/>
  <c r="Q1089" i="1"/>
  <c r="R1089" i="1"/>
  <c r="J7699" i="1"/>
  <c r="Q7699" i="1"/>
  <c r="R7699" i="1"/>
  <c r="J6594" i="1"/>
  <c r="Q6594" i="1"/>
  <c r="R6594" i="1"/>
  <c r="J6883" i="1"/>
  <c r="Q6883" i="1"/>
  <c r="R6883" i="1"/>
  <c r="J11037" i="1"/>
  <c r="Q11037" i="1"/>
  <c r="R11037" i="1"/>
  <c r="J4515" i="1"/>
  <c r="Q4515" i="1"/>
  <c r="R4515" i="1"/>
  <c r="J4516" i="1"/>
  <c r="Q4516" i="1"/>
  <c r="R4516" i="1"/>
  <c r="J4517" i="1"/>
  <c r="Q4517" i="1"/>
  <c r="R4517" i="1"/>
  <c r="J4518" i="1"/>
  <c r="Q4518" i="1"/>
  <c r="R4518" i="1"/>
  <c r="J11038" i="1"/>
  <c r="Q11038" i="1"/>
  <c r="R11038" i="1"/>
  <c r="J11039" i="1"/>
  <c r="Q11039" i="1"/>
  <c r="R11039" i="1"/>
  <c r="J11040" i="1"/>
  <c r="Q11040" i="1"/>
  <c r="R11040" i="1"/>
  <c r="J4519" i="1"/>
  <c r="Q4519" i="1"/>
  <c r="R4519" i="1"/>
  <c r="J11041" i="1"/>
  <c r="Q11041" i="1"/>
  <c r="R11041" i="1"/>
  <c r="J4520" i="1"/>
  <c r="Q4520" i="1"/>
  <c r="R4520" i="1"/>
  <c r="J11042" i="1"/>
  <c r="Q11042" i="1"/>
  <c r="R11042" i="1"/>
  <c r="J11043" i="1"/>
  <c r="Q11043" i="1"/>
  <c r="R11043" i="1"/>
  <c r="J4521" i="1"/>
  <c r="Q4521" i="1"/>
  <c r="R4521" i="1"/>
  <c r="J11044" i="1"/>
  <c r="Q11044" i="1"/>
  <c r="R11044" i="1"/>
  <c r="J11045" i="1"/>
  <c r="Q11045" i="1"/>
  <c r="R11045" i="1"/>
  <c r="J4522" i="1"/>
  <c r="Q4522" i="1"/>
  <c r="R4522" i="1"/>
  <c r="J4523" i="1"/>
  <c r="Q4523" i="1"/>
  <c r="R4523" i="1"/>
  <c r="J11046" i="1"/>
  <c r="Q11046" i="1"/>
  <c r="R11046" i="1"/>
  <c r="J11047" i="1"/>
  <c r="Q11047" i="1"/>
  <c r="R11047" i="1"/>
  <c r="J4524" i="1"/>
  <c r="Q4524" i="1"/>
  <c r="R4524" i="1"/>
  <c r="J4525" i="1"/>
  <c r="Q4525" i="1"/>
  <c r="R4525" i="1"/>
  <c r="J4526" i="1"/>
  <c r="Q4526" i="1"/>
  <c r="R4526" i="1"/>
  <c r="J4527" i="1"/>
  <c r="Q4527" i="1"/>
  <c r="R4527" i="1"/>
  <c r="J4528" i="1"/>
  <c r="Q4528" i="1"/>
  <c r="R4528" i="1"/>
  <c r="J4529" i="1"/>
  <c r="Q4529" i="1"/>
  <c r="R4529" i="1"/>
  <c r="J4530" i="1"/>
  <c r="Q4530" i="1"/>
  <c r="R4530" i="1"/>
  <c r="J11048" i="1"/>
  <c r="Q11048" i="1"/>
  <c r="R11048" i="1"/>
  <c r="J11049" i="1"/>
  <c r="Q11049" i="1"/>
  <c r="R11049" i="1"/>
  <c r="J11050" i="1"/>
  <c r="Q11050" i="1"/>
  <c r="R11050" i="1"/>
  <c r="J11051" i="1"/>
  <c r="Q11051" i="1"/>
  <c r="R11051" i="1"/>
  <c r="J11052" i="1"/>
  <c r="Q11052" i="1"/>
  <c r="R11052" i="1"/>
  <c r="J11053" i="1"/>
  <c r="Q11053" i="1"/>
  <c r="R11053" i="1"/>
  <c r="J11054" i="1"/>
  <c r="Q11054" i="1"/>
  <c r="R11054" i="1"/>
  <c r="J11055" i="1"/>
  <c r="Q11055" i="1"/>
  <c r="R11055" i="1"/>
  <c r="J11056" i="1"/>
  <c r="Q11056" i="1"/>
  <c r="R11056" i="1"/>
  <c r="J11057" i="1"/>
  <c r="Q11057" i="1"/>
  <c r="R11057" i="1"/>
  <c r="J11058" i="1"/>
  <c r="Q11058" i="1"/>
  <c r="R11058" i="1"/>
  <c r="J11059" i="1"/>
  <c r="Q11059" i="1"/>
  <c r="R11059" i="1"/>
  <c r="J11060" i="1"/>
  <c r="Q11060" i="1"/>
  <c r="R11060" i="1"/>
  <c r="J11061" i="1"/>
  <c r="Q11061" i="1"/>
  <c r="R11061" i="1"/>
  <c r="J11062" i="1"/>
  <c r="Q11062" i="1"/>
  <c r="R11062" i="1"/>
  <c r="J4531" i="1"/>
  <c r="Q4531" i="1"/>
  <c r="R4531" i="1"/>
  <c r="J4532" i="1"/>
  <c r="Q4532" i="1"/>
  <c r="R4532" i="1"/>
  <c r="J4533" i="1"/>
  <c r="Q4533" i="1"/>
  <c r="R4533" i="1"/>
  <c r="J4534" i="1"/>
  <c r="Q4534" i="1"/>
  <c r="R4534" i="1"/>
  <c r="J11063" i="1"/>
  <c r="Q11063" i="1"/>
  <c r="R11063" i="1"/>
  <c r="J11064" i="1"/>
  <c r="Q11064" i="1"/>
  <c r="R11064" i="1"/>
  <c r="J11065" i="1"/>
  <c r="Q11065" i="1"/>
  <c r="R11065" i="1"/>
  <c r="J11066" i="1"/>
  <c r="Q11066" i="1"/>
  <c r="R11066" i="1"/>
  <c r="J11067" i="1"/>
  <c r="Q11067" i="1"/>
  <c r="R11067" i="1"/>
  <c r="J11068" i="1"/>
  <c r="Q11068" i="1"/>
  <c r="R11068" i="1"/>
  <c r="J11069" i="1"/>
  <c r="Q11069" i="1"/>
  <c r="R11069" i="1"/>
  <c r="J11070" i="1"/>
  <c r="Q11070" i="1"/>
  <c r="R11070" i="1"/>
  <c r="J11071" i="1"/>
  <c r="Q11071" i="1"/>
  <c r="R11071" i="1"/>
  <c r="J11072" i="1"/>
  <c r="Q11072" i="1"/>
  <c r="R11072" i="1"/>
  <c r="J4535" i="1"/>
  <c r="Q4535" i="1"/>
  <c r="R4535" i="1"/>
  <c r="J11073" i="1"/>
  <c r="Q11073" i="1"/>
  <c r="R11073" i="1"/>
  <c r="J11074" i="1"/>
  <c r="Q11074" i="1"/>
  <c r="R11074" i="1"/>
  <c r="J4536" i="1"/>
  <c r="Q4536" i="1"/>
  <c r="R4536" i="1"/>
  <c r="J11075" i="1"/>
  <c r="Q11075" i="1"/>
  <c r="R11075" i="1"/>
  <c r="J11076" i="1"/>
  <c r="Q11076" i="1"/>
  <c r="R11076" i="1"/>
  <c r="J11077" i="1"/>
  <c r="Q11077" i="1"/>
  <c r="R11077" i="1"/>
  <c r="J11078" i="1"/>
  <c r="Q11078" i="1"/>
  <c r="R11078" i="1"/>
  <c r="J4537" i="1"/>
  <c r="Q4537" i="1"/>
  <c r="R4537" i="1"/>
  <c r="J11079" i="1"/>
  <c r="Q11079" i="1"/>
  <c r="R11079" i="1"/>
  <c r="J4538" i="1"/>
  <c r="Q4538" i="1"/>
  <c r="R4538" i="1"/>
  <c r="J11080" i="1"/>
  <c r="Q11080" i="1"/>
  <c r="R11080" i="1"/>
  <c r="J11081" i="1"/>
  <c r="Q11081" i="1"/>
  <c r="R11081" i="1"/>
  <c r="J4539" i="1"/>
  <c r="Q4539" i="1"/>
  <c r="R4539" i="1"/>
  <c r="J4540" i="1"/>
  <c r="Q4540" i="1"/>
  <c r="R4540" i="1"/>
  <c r="J4541" i="1"/>
  <c r="Q4541" i="1"/>
  <c r="R4541" i="1"/>
  <c r="J4542" i="1"/>
  <c r="Q4542" i="1"/>
  <c r="R4542" i="1"/>
  <c r="J11082" i="1"/>
  <c r="Q11082" i="1"/>
  <c r="R11082" i="1"/>
  <c r="J4543" i="1"/>
  <c r="Q4543" i="1"/>
  <c r="R4543" i="1"/>
  <c r="J4544" i="1"/>
  <c r="Q4544" i="1"/>
  <c r="R4544" i="1"/>
  <c r="J4545" i="1"/>
  <c r="Q4545" i="1"/>
  <c r="R4545" i="1"/>
  <c r="J11083" i="1"/>
  <c r="Q11083" i="1"/>
  <c r="R11083" i="1"/>
  <c r="J11084" i="1"/>
  <c r="Q11084" i="1"/>
  <c r="R11084" i="1"/>
  <c r="J11085" i="1"/>
  <c r="Q11085" i="1"/>
  <c r="R11085" i="1"/>
  <c r="J4546" i="1"/>
  <c r="Q4546" i="1"/>
  <c r="R4546" i="1"/>
  <c r="J11086" i="1"/>
  <c r="Q11086" i="1"/>
  <c r="R11086" i="1"/>
  <c r="J4547" i="1"/>
  <c r="Q4547" i="1"/>
  <c r="R4547" i="1"/>
  <c r="J4548" i="1"/>
  <c r="Q4548" i="1"/>
  <c r="R4548" i="1"/>
  <c r="J4549" i="1"/>
  <c r="Q4549" i="1"/>
  <c r="R4549" i="1"/>
  <c r="J4550" i="1"/>
  <c r="Q4550" i="1"/>
  <c r="R4550" i="1"/>
  <c r="J11087" i="1"/>
  <c r="Q11087" i="1"/>
  <c r="R11087" i="1"/>
  <c r="J4551" i="1"/>
  <c r="Q4551" i="1"/>
  <c r="R4551" i="1"/>
  <c r="J4552" i="1"/>
  <c r="Q4552" i="1"/>
  <c r="R4552" i="1"/>
  <c r="J4553" i="1"/>
  <c r="Q4553" i="1"/>
  <c r="R4553" i="1"/>
  <c r="J11088" i="1"/>
  <c r="Q11088" i="1"/>
  <c r="R11088" i="1"/>
  <c r="J4554" i="1"/>
  <c r="Q4554" i="1"/>
  <c r="R4554" i="1"/>
  <c r="J4555" i="1"/>
  <c r="Q4555" i="1"/>
  <c r="R4555" i="1"/>
  <c r="J11089" i="1"/>
  <c r="Q11089" i="1"/>
  <c r="R11089" i="1"/>
  <c r="J11090" i="1"/>
  <c r="Q11090" i="1"/>
  <c r="R11090" i="1"/>
  <c r="J11091" i="1"/>
  <c r="Q11091" i="1"/>
  <c r="R11091" i="1"/>
  <c r="J11092" i="1"/>
  <c r="Q11092" i="1"/>
  <c r="R11092" i="1"/>
  <c r="J11093" i="1"/>
  <c r="Q11093" i="1"/>
  <c r="R11093" i="1"/>
  <c r="J4556" i="1"/>
  <c r="Q4556" i="1"/>
  <c r="R4556" i="1"/>
  <c r="J11094" i="1"/>
  <c r="Q11094" i="1"/>
  <c r="R11094" i="1"/>
  <c r="J11095" i="1"/>
  <c r="Q11095" i="1"/>
  <c r="R11095" i="1"/>
  <c r="J11096" i="1"/>
  <c r="Q11096" i="1"/>
  <c r="R11096" i="1"/>
  <c r="J4557" i="1"/>
  <c r="Q4557" i="1"/>
  <c r="R4557" i="1"/>
  <c r="J11097" i="1"/>
  <c r="Q11097" i="1"/>
  <c r="R11097" i="1"/>
  <c r="J4558" i="1"/>
  <c r="Q4558" i="1"/>
  <c r="R4558" i="1"/>
  <c r="J11098" i="1"/>
  <c r="Q11098" i="1"/>
  <c r="R11098" i="1"/>
  <c r="J4559" i="1"/>
  <c r="Q4559" i="1"/>
  <c r="R4559" i="1"/>
  <c r="J11099" i="1"/>
  <c r="Q11099" i="1"/>
  <c r="R11099" i="1"/>
  <c r="J11100" i="1"/>
  <c r="Q11100" i="1"/>
  <c r="R11100" i="1"/>
  <c r="J11101" i="1"/>
  <c r="Q11101" i="1"/>
  <c r="R11101" i="1"/>
  <c r="J4560" i="1"/>
  <c r="Q4560" i="1"/>
  <c r="R4560" i="1"/>
  <c r="J4561" i="1"/>
  <c r="Q4561" i="1"/>
  <c r="R4561" i="1"/>
  <c r="J11102" i="1"/>
  <c r="Q11102" i="1"/>
  <c r="R11102" i="1"/>
  <c r="J11103" i="1"/>
  <c r="Q11103" i="1"/>
  <c r="R11103" i="1"/>
  <c r="J11104" i="1"/>
  <c r="Q11104" i="1"/>
  <c r="R11104" i="1"/>
  <c r="J11105" i="1"/>
  <c r="Q11105" i="1"/>
  <c r="R11105" i="1"/>
  <c r="J11106" i="1"/>
  <c r="Q11106" i="1"/>
  <c r="R11106" i="1"/>
  <c r="J4562" i="1"/>
  <c r="Q4562" i="1"/>
  <c r="R4562" i="1"/>
  <c r="J11107" i="1"/>
  <c r="Q11107" i="1"/>
  <c r="R11107" i="1"/>
  <c r="J11108" i="1"/>
  <c r="Q11108" i="1"/>
  <c r="R11108" i="1"/>
  <c r="J11109" i="1"/>
  <c r="Q11109" i="1"/>
  <c r="R11109" i="1"/>
  <c r="J11110" i="1"/>
  <c r="Q11110" i="1"/>
  <c r="R11110" i="1"/>
  <c r="J4563" i="1"/>
  <c r="Q4563" i="1"/>
  <c r="R4563" i="1"/>
  <c r="J4564" i="1"/>
  <c r="Q4564" i="1"/>
  <c r="R4564" i="1"/>
  <c r="J4565" i="1"/>
  <c r="Q4565" i="1"/>
  <c r="R4565" i="1"/>
  <c r="J11111" i="1"/>
  <c r="Q11111" i="1"/>
  <c r="R11111" i="1"/>
  <c r="J11112" i="1"/>
  <c r="Q11112" i="1"/>
  <c r="R11112" i="1"/>
  <c r="J11113" i="1"/>
  <c r="Q11113" i="1"/>
  <c r="R11113" i="1"/>
  <c r="J11114" i="1"/>
  <c r="Q11114" i="1"/>
  <c r="R11114" i="1"/>
  <c r="J11115" i="1"/>
  <c r="Q11115" i="1"/>
  <c r="R11115" i="1"/>
  <c r="J11116" i="1"/>
  <c r="Q11116" i="1"/>
  <c r="R11116" i="1"/>
  <c r="J11117" i="1"/>
  <c r="Q11117" i="1"/>
  <c r="R11117" i="1"/>
  <c r="J11118" i="1"/>
  <c r="Q11118" i="1"/>
  <c r="R11118" i="1"/>
  <c r="J11119" i="1"/>
  <c r="Q11119" i="1"/>
  <c r="R11119" i="1"/>
  <c r="J4566" i="1"/>
  <c r="Q4566" i="1"/>
  <c r="R4566" i="1"/>
  <c r="J11120" i="1"/>
  <c r="Q11120" i="1"/>
  <c r="R11120" i="1"/>
  <c r="J4567" i="1"/>
  <c r="Q4567" i="1"/>
  <c r="R4567" i="1"/>
  <c r="J4568" i="1"/>
  <c r="Q4568" i="1"/>
  <c r="R4568" i="1"/>
  <c r="J4569" i="1"/>
  <c r="Q4569" i="1"/>
  <c r="R4569" i="1"/>
  <c r="J4570" i="1"/>
  <c r="Q4570" i="1"/>
  <c r="R4570" i="1"/>
  <c r="J4571" i="1"/>
  <c r="Q4571" i="1"/>
  <c r="R4571" i="1"/>
  <c r="J4572" i="1"/>
  <c r="Q4572" i="1"/>
  <c r="R4572" i="1"/>
  <c r="J4573" i="1"/>
  <c r="Q4573" i="1"/>
  <c r="R4573" i="1"/>
  <c r="J11121" i="1"/>
  <c r="Q11121" i="1"/>
  <c r="R11121" i="1"/>
  <c r="J4574" i="1"/>
  <c r="Q4574" i="1"/>
  <c r="R4574" i="1"/>
  <c r="J4575" i="1"/>
  <c r="Q4575" i="1"/>
  <c r="R4575" i="1"/>
  <c r="J4576" i="1"/>
  <c r="Q4576" i="1"/>
  <c r="R4576" i="1"/>
  <c r="J4577" i="1"/>
  <c r="Q4577" i="1"/>
  <c r="R4577" i="1"/>
  <c r="J4578" i="1"/>
  <c r="Q4578" i="1"/>
  <c r="R4578" i="1"/>
  <c r="J4579" i="1"/>
  <c r="Q4579" i="1"/>
  <c r="R4579" i="1"/>
  <c r="J4580" i="1"/>
  <c r="Q4580" i="1"/>
  <c r="R4580" i="1"/>
  <c r="J4581" i="1"/>
  <c r="Q4581" i="1"/>
  <c r="R4581" i="1"/>
  <c r="J4582" i="1"/>
  <c r="Q4582" i="1"/>
  <c r="R4582" i="1"/>
  <c r="J4583" i="1"/>
  <c r="Q4583" i="1"/>
  <c r="R4583" i="1"/>
  <c r="J4584" i="1"/>
  <c r="Q4584" i="1"/>
  <c r="R4584" i="1"/>
  <c r="J4585" i="1"/>
  <c r="Q4585" i="1"/>
  <c r="R4585" i="1"/>
  <c r="J4586" i="1"/>
  <c r="Q4586" i="1"/>
  <c r="R4586" i="1"/>
  <c r="J4587" i="1"/>
  <c r="Q4587" i="1"/>
  <c r="R4587" i="1"/>
  <c r="J4588" i="1"/>
  <c r="Q4588" i="1"/>
  <c r="R4588" i="1"/>
  <c r="J11122" i="1"/>
  <c r="Q11122" i="1"/>
  <c r="R11122" i="1"/>
  <c r="J11123" i="1"/>
  <c r="Q11123" i="1"/>
  <c r="R11123" i="1"/>
  <c r="J11124" i="1"/>
  <c r="Q11124" i="1"/>
  <c r="R11124" i="1"/>
  <c r="J11125" i="1"/>
  <c r="Q11125" i="1"/>
  <c r="R11125" i="1"/>
  <c r="J11126" i="1"/>
  <c r="Q11126" i="1"/>
  <c r="R11126" i="1"/>
  <c r="J11127" i="1"/>
  <c r="Q11127" i="1"/>
  <c r="R11127" i="1"/>
  <c r="J11128" i="1"/>
  <c r="Q11128" i="1"/>
  <c r="R11128" i="1"/>
  <c r="J4589" i="1"/>
  <c r="Q4589" i="1"/>
  <c r="R4589" i="1"/>
  <c r="J11129" i="1"/>
  <c r="Q11129" i="1"/>
  <c r="R11129" i="1"/>
  <c r="J11130" i="1"/>
  <c r="Q11130" i="1"/>
  <c r="R11130" i="1"/>
  <c r="J4590" i="1"/>
  <c r="Q4590" i="1"/>
  <c r="R4590" i="1"/>
  <c r="J11131" i="1"/>
  <c r="Q11131" i="1"/>
  <c r="R11131" i="1"/>
  <c r="J11132" i="1"/>
  <c r="Q11132" i="1"/>
  <c r="R11132" i="1"/>
  <c r="J11133" i="1"/>
  <c r="Q11133" i="1"/>
  <c r="R11133" i="1"/>
  <c r="J11134" i="1"/>
  <c r="Q11134" i="1"/>
  <c r="R11134" i="1"/>
  <c r="J11135" i="1"/>
  <c r="Q11135" i="1"/>
  <c r="R11135" i="1"/>
  <c r="J4591" i="1"/>
  <c r="Q4591" i="1"/>
  <c r="R4591" i="1"/>
  <c r="J11136" i="1"/>
  <c r="Q11136" i="1"/>
  <c r="R11136" i="1"/>
  <c r="J11137" i="1"/>
  <c r="Q11137" i="1"/>
  <c r="R11137" i="1"/>
  <c r="J11138" i="1"/>
  <c r="Q11138" i="1"/>
  <c r="R11138" i="1"/>
  <c r="J4592" i="1"/>
  <c r="Q4592" i="1"/>
  <c r="R4592" i="1"/>
  <c r="J11139" i="1"/>
  <c r="Q11139" i="1"/>
  <c r="R11139" i="1"/>
  <c r="J11140" i="1"/>
  <c r="Q11140" i="1"/>
  <c r="R11140" i="1"/>
  <c r="J11141" i="1"/>
  <c r="Q11141" i="1"/>
  <c r="R11141" i="1"/>
  <c r="J11142" i="1"/>
  <c r="Q11142" i="1"/>
  <c r="R11142" i="1"/>
  <c r="J11143" i="1"/>
  <c r="Q11143" i="1"/>
  <c r="R11143" i="1"/>
  <c r="J4593" i="1"/>
  <c r="Q4593" i="1"/>
  <c r="R4593" i="1"/>
  <c r="J11144" i="1"/>
  <c r="Q11144" i="1"/>
  <c r="R11144" i="1"/>
  <c r="J4594" i="1"/>
  <c r="Q4594" i="1"/>
  <c r="R4594" i="1"/>
  <c r="J4595" i="1"/>
  <c r="Q4595" i="1"/>
  <c r="R4595" i="1"/>
  <c r="J4596" i="1"/>
  <c r="Q4596" i="1"/>
  <c r="R4596" i="1"/>
  <c r="J11145" i="1"/>
  <c r="Q11145" i="1"/>
  <c r="R11145" i="1"/>
  <c r="J4597" i="1"/>
  <c r="Q4597" i="1"/>
  <c r="R4597" i="1"/>
  <c r="J11146" i="1"/>
  <c r="Q11146" i="1"/>
  <c r="R11146" i="1"/>
  <c r="J4598" i="1"/>
  <c r="Q4598" i="1"/>
  <c r="R4598" i="1"/>
  <c r="J4599" i="1"/>
  <c r="Q4599" i="1"/>
  <c r="R4599" i="1"/>
  <c r="J4600" i="1"/>
  <c r="Q4600" i="1"/>
  <c r="R4600" i="1"/>
  <c r="J4601" i="1"/>
  <c r="Q4601" i="1"/>
  <c r="R4601" i="1"/>
  <c r="J4602" i="1"/>
  <c r="Q4602" i="1"/>
  <c r="R4602" i="1"/>
  <c r="J4603" i="1"/>
  <c r="Q4603" i="1"/>
  <c r="R4603" i="1"/>
  <c r="J4604" i="1"/>
  <c r="Q4604" i="1"/>
  <c r="R4604" i="1"/>
  <c r="J4605" i="1"/>
  <c r="Q4605" i="1"/>
  <c r="R4605" i="1"/>
  <c r="J11147" i="1"/>
  <c r="Q11147" i="1"/>
  <c r="R11147" i="1"/>
  <c r="J11148" i="1"/>
  <c r="Q11148" i="1"/>
  <c r="R11148" i="1"/>
  <c r="J4606" i="1"/>
  <c r="Q4606" i="1"/>
  <c r="R4606" i="1"/>
  <c r="J4607" i="1"/>
  <c r="Q4607" i="1"/>
  <c r="R4607" i="1"/>
  <c r="J11149" i="1"/>
  <c r="Q11149" i="1"/>
  <c r="R11149" i="1"/>
  <c r="J4608" i="1"/>
  <c r="Q4608" i="1"/>
  <c r="R4608" i="1"/>
  <c r="J4609" i="1"/>
  <c r="Q4609" i="1"/>
  <c r="R4609" i="1"/>
  <c r="J4610" i="1"/>
  <c r="Q4610" i="1"/>
  <c r="R4610" i="1"/>
  <c r="J4611" i="1"/>
  <c r="Q4611" i="1"/>
  <c r="R4611" i="1"/>
  <c r="J11150" i="1"/>
  <c r="Q11150" i="1"/>
  <c r="R11150" i="1"/>
  <c r="J11151" i="1"/>
  <c r="Q11151" i="1"/>
  <c r="R11151" i="1"/>
  <c r="J11152" i="1"/>
  <c r="Q11152" i="1"/>
  <c r="R11152" i="1"/>
  <c r="J11153" i="1"/>
  <c r="Q11153" i="1"/>
  <c r="R11153" i="1"/>
  <c r="J11154" i="1"/>
  <c r="Q11154" i="1"/>
  <c r="R11154" i="1"/>
  <c r="J11155" i="1"/>
  <c r="Q11155" i="1"/>
  <c r="R11155" i="1"/>
  <c r="J11156" i="1"/>
  <c r="Q11156" i="1"/>
  <c r="R11156" i="1"/>
  <c r="J11157" i="1"/>
  <c r="Q11157" i="1"/>
  <c r="R11157" i="1"/>
  <c r="J11158" i="1"/>
  <c r="Q11158" i="1"/>
  <c r="R11158" i="1"/>
  <c r="J11159" i="1"/>
  <c r="Q11159" i="1"/>
  <c r="R11159" i="1"/>
  <c r="J11160" i="1"/>
  <c r="Q11160" i="1"/>
  <c r="R11160" i="1"/>
  <c r="J11161" i="1"/>
  <c r="Q11161" i="1"/>
  <c r="R11161" i="1"/>
  <c r="J11162" i="1"/>
  <c r="Q11162" i="1"/>
  <c r="R11162" i="1"/>
  <c r="J11163" i="1"/>
  <c r="Q11163" i="1"/>
  <c r="R11163" i="1"/>
  <c r="J4612" i="1"/>
  <c r="Q4612" i="1"/>
  <c r="R4612" i="1"/>
  <c r="J4613" i="1"/>
  <c r="Q4613" i="1"/>
  <c r="R4613" i="1"/>
  <c r="J4614" i="1"/>
  <c r="Q4614" i="1"/>
  <c r="R4614" i="1"/>
  <c r="J11164" i="1"/>
  <c r="Q11164" i="1"/>
  <c r="R11164" i="1"/>
  <c r="J11165" i="1"/>
  <c r="Q11165" i="1"/>
  <c r="R11165" i="1"/>
  <c r="J4615" i="1"/>
  <c r="Q4615" i="1"/>
  <c r="R4615" i="1"/>
  <c r="J4616" i="1"/>
  <c r="Q4616" i="1"/>
  <c r="R4616" i="1"/>
  <c r="J11166" i="1"/>
  <c r="Q11166" i="1"/>
  <c r="R11166" i="1"/>
  <c r="J4617" i="1"/>
  <c r="Q4617" i="1"/>
  <c r="R4617" i="1"/>
  <c r="J11167" i="1"/>
  <c r="Q11167" i="1"/>
  <c r="R11167" i="1"/>
  <c r="J4618" i="1"/>
  <c r="Q4618" i="1"/>
  <c r="R4618" i="1"/>
  <c r="J11168" i="1"/>
  <c r="Q11168" i="1"/>
  <c r="R11168" i="1"/>
  <c r="J11169" i="1"/>
  <c r="Q11169" i="1"/>
  <c r="R11169" i="1"/>
  <c r="J11170" i="1"/>
  <c r="Q11170" i="1"/>
  <c r="R11170" i="1"/>
  <c r="J11171" i="1"/>
  <c r="Q11171" i="1"/>
  <c r="R11171" i="1"/>
  <c r="J11172" i="1"/>
  <c r="Q11172" i="1"/>
  <c r="R11172" i="1"/>
  <c r="J11173" i="1"/>
  <c r="Q11173" i="1"/>
  <c r="R11173" i="1"/>
  <c r="J11174" i="1"/>
  <c r="Q11174" i="1"/>
  <c r="R11174" i="1"/>
  <c r="J11175" i="1"/>
  <c r="Q11175" i="1"/>
  <c r="R11175" i="1"/>
  <c r="J11176" i="1"/>
  <c r="Q11176" i="1"/>
  <c r="R11176" i="1"/>
  <c r="J11177" i="1"/>
  <c r="Q11177" i="1"/>
  <c r="R11177" i="1"/>
  <c r="J11178" i="1"/>
  <c r="Q11178" i="1"/>
  <c r="R11178" i="1"/>
  <c r="J11179" i="1"/>
  <c r="Q11179" i="1"/>
  <c r="R11179" i="1"/>
  <c r="J4619" i="1"/>
  <c r="Q4619" i="1"/>
  <c r="R4619" i="1"/>
  <c r="J4620" i="1"/>
  <c r="Q4620" i="1"/>
  <c r="R4620" i="1"/>
  <c r="J4621" i="1"/>
  <c r="Q4621" i="1"/>
  <c r="R4621" i="1"/>
  <c r="J4622" i="1"/>
  <c r="Q4622" i="1"/>
  <c r="R4622" i="1"/>
  <c r="J4623" i="1"/>
  <c r="Q4623" i="1"/>
  <c r="R4623" i="1"/>
  <c r="J4624" i="1"/>
  <c r="Q4624" i="1"/>
  <c r="R4624" i="1"/>
  <c r="J4625" i="1"/>
  <c r="Q4625" i="1"/>
  <c r="R4625" i="1"/>
  <c r="J11180" i="1"/>
  <c r="Q11180" i="1"/>
  <c r="R11180" i="1"/>
  <c r="J11181" i="1"/>
  <c r="Q11181" i="1"/>
  <c r="R11181" i="1"/>
  <c r="J11182" i="1"/>
  <c r="Q11182" i="1"/>
  <c r="R11182" i="1"/>
  <c r="J11183" i="1"/>
  <c r="Q11183" i="1"/>
  <c r="R11183" i="1"/>
  <c r="J11184" i="1"/>
  <c r="Q11184" i="1"/>
  <c r="R11184" i="1"/>
  <c r="J11185" i="1"/>
  <c r="Q11185" i="1"/>
  <c r="R11185" i="1"/>
  <c r="J11186" i="1"/>
  <c r="Q11186" i="1"/>
  <c r="R11186" i="1"/>
  <c r="J4626" i="1"/>
  <c r="Q4626" i="1"/>
  <c r="R4626" i="1"/>
  <c r="J11187" i="1"/>
  <c r="Q11187" i="1"/>
  <c r="R11187" i="1"/>
  <c r="J11188" i="1"/>
  <c r="Q11188" i="1"/>
  <c r="R11188" i="1"/>
  <c r="J1090" i="1"/>
  <c r="Q1090" i="1"/>
  <c r="R1090" i="1"/>
  <c r="J1091" i="1"/>
  <c r="Q1091" i="1"/>
  <c r="R1091" i="1"/>
  <c r="J7700" i="1"/>
  <c r="Q7700" i="1"/>
  <c r="R7700" i="1"/>
  <c r="J7701" i="1"/>
  <c r="Q7701" i="1"/>
  <c r="R7701" i="1"/>
  <c r="J1092" i="1"/>
  <c r="Q1092" i="1"/>
  <c r="R1092" i="1"/>
  <c r="J7702" i="1"/>
  <c r="Q7702" i="1"/>
  <c r="R7702" i="1"/>
  <c r="J7703" i="1"/>
  <c r="Q7703" i="1"/>
  <c r="R7703" i="1"/>
  <c r="J1093" i="1"/>
  <c r="Q1093" i="1"/>
  <c r="R1093" i="1"/>
  <c r="J1094" i="1"/>
  <c r="Q1094" i="1"/>
  <c r="R1094" i="1"/>
  <c r="J6884" i="1"/>
  <c r="Q6884" i="1"/>
  <c r="R6884" i="1"/>
  <c r="J13567" i="1"/>
  <c r="Q13567" i="1"/>
  <c r="R13567" i="1"/>
  <c r="J7704" i="1"/>
  <c r="Q7704" i="1"/>
  <c r="R7704" i="1"/>
  <c r="J7705" i="1"/>
  <c r="Q7705" i="1"/>
  <c r="R7705" i="1"/>
  <c r="J6885" i="1"/>
  <c r="Q6885" i="1"/>
  <c r="R6885" i="1"/>
  <c r="J6886" i="1"/>
  <c r="Q6886" i="1"/>
  <c r="R6886" i="1"/>
  <c r="J7706" i="1"/>
  <c r="Q7706" i="1"/>
  <c r="R7706" i="1"/>
  <c r="J7707" i="1"/>
  <c r="Q7707" i="1"/>
  <c r="R7707" i="1"/>
  <c r="J7708" i="1"/>
  <c r="Q7708" i="1"/>
  <c r="R7708" i="1"/>
  <c r="J7709" i="1"/>
  <c r="Q7709" i="1"/>
  <c r="R7709" i="1"/>
  <c r="J7710" i="1"/>
  <c r="Q7710" i="1"/>
  <c r="R7710" i="1"/>
  <c r="J7711" i="1"/>
  <c r="Q7711" i="1"/>
  <c r="R7711" i="1"/>
  <c r="J7712" i="1"/>
  <c r="Q7712" i="1"/>
  <c r="R7712" i="1"/>
  <c r="J7713" i="1"/>
  <c r="Q7713" i="1"/>
  <c r="R7713" i="1"/>
  <c r="J7714" i="1"/>
  <c r="Q7714" i="1"/>
  <c r="R7714" i="1"/>
  <c r="J6887" i="1"/>
  <c r="Q6887" i="1"/>
  <c r="R6887" i="1"/>
  <c r="J7715" i="1"/>
  <c r="Q7715" i="1"/>
  <c r="R7715" i="1"/>
  <c r="J7716" i="1"/>
  <c r="Q7716" i="1"/>
  <c r="R7716" i="1"/>
  <c r="J7717" i="1"/>
  <c r="Q7717" i="1"/>
  <c r="R7717" i="1"/>
  <c r="J7718" i="1"/>
  <c r="Q7718" i="1"/>
  <c r="R7718" i="1"/>
  <c r="J7719" i="1"/>
  <c r="Q7719" i="1"/>
  <c r="R7719" i="1"/>
  <c r="J6888" i="1"/>
  <c r="Q6888" i="1"/>
  <c r="R6888" i="1"/>
  <c r="J7720" i="1"/>
  <c r="Q7720" i="1"/>
  <c r="R7720" i="1"/>
  <c r="J7721" i="1"/>
  <c r="Q7721" i="1"/>
  <c r="R7721" i="1"/>
  <c r="J7722" i="1"/>
  <c r="Q7722" i="1"/>
  <c r="R7722" i="1"/>
  <c r="J1095" i="1"/>
  <c r="Q1095" i="1"/>
  <c r="R1095" i="1"/>
  <c r="J7723" i="1"/>
  <c r="Q7723" i="1"/>
  <c r="R7723" i="1"/>
  <c r="J7724" i="1"/>
  <c r="Q7724" i="1"/>
  <c r="R7724" i="1"/>
  <c r="J7725" i="1"/>
  <c r="Q7725" i="1"/>
  <c r="R7725" i="1"/>
  <c r="J7726" i="1"/>
  <c r="Q7726" i="1"/>
  <c r="R7726" i="1"/>
  <c r="J7727" i="1"/>
  <c r="Q7727" i="1"/>
  <c r="R7727" i="1"/>
  <c r="J7728" i="1"/>
  <c r="Q7728" i="1"/>
  <c r="R7728" i="1"/>
  <c r="J7729" i="1"/>
  <c r="Q7729" i="1"/>
  <c r="R7729" i="1"/>
  <c r="J7730" i="1"/>
  <c r="Q7730" i="1"/>
  <c r="R7730" i="1"/>
  <c r="J7731" i="1"/>
  <c r="Q7731" i="1"/>
  <c r="R7731" i="1"/>
  <c r="J7732" i="1"/>
  <c r="Q7732" i="1"/>
  <c r="R7732" i="1"/>
  <c r="J7733" i="1"/>
  <c r="Q7733" i="1"/>
  <c r="R7733" i="1"/>
  <c r="J7734" i="1"/>
  <c r="Q7734" i="1"/>
  <c r="R7734" i="1"/>
  <c r="J7735" i="1"/>
  <c r="Q7735" i="1"/>
  <c r="R7735" i="1"/>
  <c r="J7736" i="1"/>
  <c r="Q7736" i="1"/>
  <c r="R7736" i="1"/>
  <c r="J6889" i="1"/>
  <c r="Q6889" i="1"/>
  <c r="R6889" i="1"/>
  <c r="J6890" i="1"/>
  <c r="Q6890" i="1"/>
  <c r="R6890" i="1"/>
  <c r="J7737" i="1"/>
  <c r="Q7737" i="1"/>
  <c r="R7737" i="1"/>
  <c r="J7738" i="1"/>
  <c r="Q7738" i="1"/>
  <c r="R7738" i="1"/>
  <c r="J13568" i="1"/>
  <c r="Q13568" i="1"/>
  <c r="R13568" i="1"/>
  <c r="J7739" i="1"/>
  <c r="Q7739" i="1"/>
  <c r="R7739" i="1"/>
  <c r="J7740" i="1"/>
  <c r="Q7740" i="1"/>
  <c r="R7740" i="1"/>
  <c r="J1096" i="1"/>
  <c r="Q1096" i="1"/>
  <c r="R1096" i="1"/>
  <c r="J1097" i="1"/>
  <c r="Q1097" i="1"/>
  <c r="R1097" i="1"/>
  <c r="J1098" i="1"/>
  <c r="Q1098" i="1"/>
  <c r="R1098" i="1"/>
  <c r="J6891" i="1"/>
  <c r="Q6891" i="1"/>
  <c r="R6891" i="1"/>
  <c r="J1099" i="1"/>
  <c r="Q1099" i="1"/>
  <c r="R1099" i="1"/>
  <c r="J1100" i="1"/>
  <c r="Q1100" i="1"/>
  <c r="R1100" i="1"/>
  <c r="J1101" i="1"/>
  <c r="Q1101" i="1"/>
  <c r="R1101" i="1"/>
  <c r="J1102" i="1"/>
  <c r="Q1102" i="1"/>
  <c r="R1102" i="1"/>
  <c r="J7741" i="1"/>
  <c r="Q7741" i="1"/>
  <c r="R7741" i="1"/>
  <c r="J6892" i="1"/>
  <c r="Q6892" i="1"/>
  <c r="R6892" i="1"/>
  <c r="J6893" i="1"/>
  <c r="Q6893" i="1"/>
  <c r="R6893" i="1"/>
  <c r="J13569" i="1"/>
  <c r="Q13569" i="1"/>
  <c r="R13569" i="1"/>
  <c r="J1103" i="1"/>
  <c r="Q1103" i="1"/>
  <c r="R1103" i="1"/>
  <c r="J1104" i="1"/>
  <c r="Q1104" i="1"/>
  <c r="R1104" i="1"/>
  <c r="J1105" i="1"/>
  <c r="Q1105" i="1"/>
  <c r="R1105" i="1"/>
  <c r="J1106" i="1"/>
  <c r="Q1106" i="1"/>
  <c r="R1106" i="1"/>
  <c r="J1107" i="1"/>
  <c r="Q1107" i="1"/>
  <c r="R1107" i="1"/>
  <c r="J1108" i="1"/>
  <c r="Q1108" i="1"/>
  <c r="R1108" i="1"/>
  <c r="J1109" i="1"/>
  <c r="Q1109" i="1"/>
  <c r="R1109" i="1"/>
  <c r="J1110" i="1"/>
  <c r="Q1110" i="1"/>
  <c r="R1110" i="1"/>
  <c r="J1111" i="1"/>
  <c r="Q1111" i="1"/>
  <c r="R1111" i="1"/>
  <c r="J1112" i="1"/>
  <c r="Q1112" i="1"/>
  <c r="R1112" i="1"/>
  <c r="J1113" i="1"/>
  <c r="Q1113" i="1"/>
  <c r="R1113" i="1"/>
  <c r="J1114" i="1"/>
  <c r="Q1114" i="1"/>
  <c r="R1114" i="1"/>
  <c r="J1115" i="1"/>
  <c r="Q1115" i="1"/>
  <c r="R1115" i="1"/>
  <c r="J1116" i="1"/>
  <c r="Q1116" i="1"/>
  <c r="R1116" i="1"/>
  <c r="J1117" i="1"/>
  <c r="Q1117" i="1"/>
  <c r="R1117" i="1"/>
  <c r="J1118" i="1"/>
  <c r="Q1118" i="1"/>
  <c r="R1118" i="1"/>
  <c r="J1119" i="1"/>
  <c r="Q1119" i="1"/>
  <c r="R1119" i="1"/>
  <c r="J1120" i="1"/>
  <c r="Q1120" i="1"/>
  <c r="R1120" i="1"/>
  <c r="J6894" i="1"/>
  <c r="Q6894" i="1"/>
  <c r="R6894" i="1"/>
  <c r="J1121" i="1"/>
  <c r="Q1121" i="1"/>
  <c r="R1121" i="1"/>
  <c r="J1122" i="1"/>
  <c r="Q1122" i="1"/>
  <c r="R1122" i="1"/>
  <c r="J1123" i="1"/>
  <c r="Q1123" i="1"/>
  <c r="R1123" i="1"/>
  <c r="J1124" i="1"/>
  <c r="Q1124" i="1"/>
  <c r="R1124" i="1"/>
  <c r="J1125" i="1"/>
  <c r="Q1125" i="1"/>
  <c r="R1125" i="1"/>
  <c r="J1126" i="1"/>
  <c r="Q1126" i="1"/>
  <c r="R1126" i="1"/>
  <c r="J1127" i="1"/>
  <c r="Q1127" i="1"/>
  <c r="R1127" i="1"/>
  <c r="J1128" i="1"/>
  <c r="Q1128" i="1"/>
  <c r="R1128" i="1"/>
  <c r="J13570" i="1"/>
  <c r="Q13570" i="1"/>
  <c r="R13570" i="1"/>
  <c r="J1129" i="1"/>
  <c r="Q1129" i="1"/>
  <c r="R1129" i="1"/>
  <c r="J1130" i="1"/>
  <c r="Q1130" i="1"/>
  <c r="R1130" i="1"/>
  <c r="J1131" i="1"/>
  <c r="Q1131" i="1"/>
  <c r="R1131" i="1"/>
  <c r="J1132" i="1"/>
  <c r="Q1132" i="1"/>
  <c r="R1132" i="1"/>
  <c r="J1133" i="1"/>
  <c r="Q1133" i="1"/>
  <c r="R1133" i="1"/>
  <c r="J1134" i="1"/>
  <c r="Q1134" i="1"/>
  <c r="R1134" i="1"/>
  <c r="J1135" i="1"/>
  <c r="Q1135" i="1"/>
  <c r="R1135" i="1"/>
  <c r="J1136" i="1"/>
  <c r="Q1136" i="1"/>
  <c r="R1136" i="1"/>
  <c r="J1137" i="1"/>
  <c r="Q1137" i="1"/>
  <c r="R1137" i="1"/>
  <c r="J1138" i="1"/>
  <c r="Q1138" i="1"/>
  <c r="R1138" i="1"/>
  <c r="J1139" i="1"/>
  <c r="Q1139" i="1"/>
  <c r="R1139" i="1"/>
  <c r="J1140" i="1"/>
  <c r="Q1140" i="1"/>
  <c r="R1140" i="1"/>
  <c r="J1141" i="1"/>
  <c r="Q1141" i="1"/>
  <c r="R1141" i="1"/>
  <c r="J1142" i="1"/>
  <c r="Q1142" i="1"/>
  <c r="R1142" i="1"/>
  <c r="J6895" i="1"/>
  <c r="Q6895" i="1"/>
  <c r="R6895" i="1"/>
  <c r="J1143" i="1"/>
  <c r="Q1143" i="1"/>
  <c r="R1143" i="1"/>
  <c r="J1144" i="1"/>
  <c r="Q1144" i="1"/>
  <c r="R1144" i="1"/>
  <c r="J7742" i="1"/>
  <c r="Q7742" i="1"/>
  <c r="R7742" i="1"/>
  <c r="J7743" i="1"/>
  <c r="Q7743" i="1"/>
  <c r="R7743" i="1"/>
  <c r="J1145" i="1"/>
  <c r="Q1145" i="1"/>
  <c r="R1145" i="1"/>
  <c r="J1146" i="1"/>
  <c r="Q1146" i="1"/>
  <c r="R1146" i="1"/>
  <c r="J1147" i="1"/>
  <c r="Q1147" i="1"/>
  <c r="R1147" i="1"/>
  <c r="J1148" i="1"/>
  <c r="Q1148" i="1"/>
  <c r="R1148" i="1"/>
  <c r="J1149" i="1"/>
  <c r="Q1149" i="1"/>
  <c r="R1149" i="1"/>
  <c r="J1150" i="1"/>
  <c r="Q1150" i="1"/>
  <c r="R1150" i="1"/>
  <c r="J7744" i="1"/>
  <c r="Q7744" i="1"/>
  <c r="R7744" i="1"/>
  <c r="J1151" i="1"/>
  <c r="Q1151" i="1"/>
  <c r="R1151" i="1"/>
  <c r="J1152" i="1"/>
  <c r="Q1152" i="1"/>
  <c r="R1152" i="1"/>
  <c r="J6595" i="1"/>
  <c r="Q6595" i="1"/>
  <c r="R6595" i="1"/>
  <c r="J6596" i="1"/>
  <c r="Q6596" i="1"/>
  <c r="R6596" i="1"/>
  <c r="J6597" i="1"/>
  <c r="Q6597" i="1"/>
  <c r="R6597" i="1"/>
  <c r="J7745" i="1"/>
  <c r="Q7745" i="1"/>
  <c r="R7745" i="1"/>
  <c r="J1153" i="1"/>
  <c r="Q1153" i="1"/>
  <c r="R1153" i="1"/>
  <c r="J1154" i="1"/>
  <c r="Q1154" i="1"/>
  <c r="R1154" i="1"/>
  <c r="J7746" i="1"/>
  <c r="Q7746" i="1"/>
  <c r="R7746" i="1"/>
  <c r="J7747" i="1"/>
  <c r="Q7747" i="1"/>
  <c r="R7747" i="1"/>
  <c r="J1155" i="1"/>
  <c r="Q1155" i="1"/>
  <c r="R1155" i="1"/>
  <c r="J7748" i="1"/>
  <c r="Q7748" i="1"/>
  <c r="R7748" i="1"/>
  <c r="J7749" i="1"/>
  <c r="Q7749" i="1"/>
  <c r="R7749" i="1"/>
  <c r="J6598" i="1"/>
  <c r="Q6598" i="1"/>
  <c r="R6598" i="1"/>
  <c r="J1156" i="1"/>
  <c r="Q1156" i="1"/>
  <c r="R1156" i="1"/>
  <c r="J1157" i="1"/>
  <c r="Q1157" i="1"/>
  <c r="R1157" i="1"/>
  <c r="J1158" i="1"/>
  <c r="Q1158" i="1"/>
  <c r="R1158" i="1"/>
  <c r="J1159" i="1"/>
  <c r="Q1159" i="1"/>
  <c r="R1159" i="1"/>
  <c r="J7750" i="1"/>
  <c r="Q7750" i="1"/>
  <c r="R7750" i="1"/>
  <c r="J6896" i="1"/>
  <c r="Q6896" i="1"/>
  <c r="R6896" i="1"/>
  <c r="J1160" i="1"/>
  <c r="Q1160" i="1"/>
  <c r="R1160" i="1"/>
  <c r="J13571" i="1"/>
  <c r="Q13571" i="1"/>
  <c r="R13571" i="1"/>
  <c r="J1161" i="1"/>
  <c r="Q1161" i="1"/>
  <c r="R1161" i="1"/>
  <c r="J1162" i="1"/>
  <c r="Q1162" i="1"/>
  <c r="R1162" i="1"/>
  <c r="J1163" i="1"/>
  <c r="Q1163" i="1"/>
  <c r="R1163" i="1"/>
  <c r="J7751" i="1"/>
  <c r="Q7751" i="1"/>
  <c r="R7751" i="1"/>
  <c r="J7752" i="1"/>
  <c r="Q7752" i="1"/>
  <c r="R7752" i="1"/>
  <c r="J7753" i="1"/>
  <c r="Q7753" i="1"/>
  <c r="R7753" i="1"/>
  <c r="J1164" i="1"/>
  <c r="Q1164" i="1"/>
  <c r="R1164" i="1"/>
  <c r="J1165" i="1"/>
  <c r="Q1165" i="1"/>
  <c r="R1165" i="1"/>
  <c r="J1166" i="1"/>
  <c r="Q1166" i="1"/>
  <c r="R1166" i="1"/>
  <c r="J7754" i="1"/>
  <c r="Q7754" i="1"/>
  <c r="R7754" i="1"/>
  <c r="J6599" i="1"/>
  <c r="Q6599" i="1"/>
  <c r="R6599" i="1"/>
  <c r="J1167" i="1"/>
  <c r="Q1167" i="1"/>
  <c r="R1167" i="1"/>
  <c r="J1168" i="1"/>
  <c r="Q1168" i="1"/>
  <c r="R1168" i="1"/>
  <c r="J1169" i="1"/>
  <c r="Q1169" i="1"/>
  <c r="R1169" i="1"/>
  <c r="J6897" i="1"/>
  <c r="Q6897" i="1"/>
  <c r="R6897" i="1"/>
  <c r="J7755" i="1"/>
  <c r="Q7755" i="1"/>
  <c r="R7755" i="1"/>
  <c r="J6898" i="1"/>
  <c r="Q6898" i="1"/>
  <c r="R6898" i="1"/>
  <c r="J13572" i="1"/>
  <c r="Q13572" i="1"/>
  <c r="R13572" i="1"/>
  <c r="J6899" i="1"/>
  <c r="Q6899" i="1"/>
  <c r="R6899" i="1"/>
  <c r="J6900" i="1"/>
  <c r="Q6900" i="1"/>
  <c r="R6900" i="1"/>
  <c r="J1170" i="1"/>
  <c r="Q1170" i="1"/>
  <c r="R1170" i="1"/>
  <c r="J7756" i="1"/>
  <c r="Q7756" i="1"/>
  <c r="R7756" i="1"/>
  <c r="J6901" i="1"/>
  <c r="Q6901" i="1"/>
  <c r="R6901" i="1"/>
  <c r="J7757" i="1"/>
  <c r="Q7757" i="1"/>
  <c r="R7757" i="1"/>
  <c r="J13573" i="1"/>
  <c r="Q13573" i="1"/>
  <c r="R13573" i="1"/>
  <c r="J13574" i="1"/>
  <c r="Q13574" i="1"/>
  <c r="R13574" i="1"/>
  <c r="J6902" i="1"/>
  <c r="Q6902" i="1"/>
  <c r="R6902" i="1"/>
  <c r="J7758" i="1"/>
  <c r="Q7758" i="1"/>
  <c r="R7758" i="1"/>
  <c r="J7759" i="1"/>
  <c r="Q7759" i="1"/>
  <c r="R7759" i="1"/>
  <c r="J7760" i="1"/>
  <c r="Q7760" i="1"/>
  <c r="R7760" i="1"/>
  <c r="J7761" i="1"/>
  <c r="Q7761" i="1"/>
  <c r="R7761" i="1"/>
  <c r="J7762" i="1"/>
  <c r="Q7762" i="1"/>
  <c r="R7762" i="1"/>
  <c r="J6903" i="1"/>
  <c r="Q6903" i="1"/>
  <c r="R6903" i="1"/>
  <c r="J6904" i="1"/>
  <c r="Q6904" i="1"/>
  <c r="R6904" i="1"/>
  <c r="J6905" i="1"/>
  <c r="Q6905" i="1"/>
  <c r="R6905" i="1"/>
  <c r="J6906" i="1"/>
  <c r="Q6906" i="1"/>
  <c r="R6906" i="1"/>
  <c r="J7763" i="1"/>
  <c r="Q7763" i="1"/>
  <c r="R7763" i="1"/>
  <c r="J7764" i="1"/>
  <c r="Q7764" i="1"/>
  <c r="R7764" i="1"/>
  <c r="J7765" i="1"/>
  <c r="Q7765" i="1"/>
  <c r="R7765" i="1"/>
  <c r="J7766" i="1"/>
  <c r="Q7766" i="1"/>
  <c r="R7766" i="1"/>
  <c r="J7767" i="1"/>
  <c r="Q7767" i="1"/>
  <c r="R7767" i="1"/>
  <c r="J7768" i="1"/>
  <c r="Q7768" i="1"/>
  <c r="R7768" i="1"/>
  <c r="J6907" i="1"/>
  <c r="Q6907" i="1"/>
  <c r="R6907" i="1"/>
  <c r="J7769" i="1"/>
  <c r="Q7769" i="1"/>
  <c r="R7769" i="1"/>
  <c r="J7770" i="1"/>
  <c r="Q7770" i="1"/>
  <c r="R7770" i="1"/>
  <c r="J7771" i="1"/>
  <c r="Q7771" i="1"/>
  <c r="R7771" i="1"/>
  <c r="J6908" i="1"/>
  <c r="Q6908" i="1"/>
  <c r="R6908" i="1"/>
  <c r="J7772" i="1"/>
  <c r="Q7772" i="1"/>
  <c r="R7772" i="1"/>
  <c r="J7773" i="1"/>
  <c r="Q7773" i="1"/>
  <c r="R7773" i="1"/>
  <c r="J7774" i="1"/>
  <c r="Q7774" i="1"/>
  <c r="R7774" i="1"/>
  <c r="J7775" i="1"/>
  <c r="Q7775" i="1"/>
  <c r="R7775" i="1"/>
  <c r="J7776" i="1"/>
  <c r="Q7776" i="1"/>
  <c r="R7776" i="1"/>
  <c r="J6909" i="1"/>
  <c r="Q6909" i="1"/>
  <c r="R6909" i="1"/>
  <c r="J6910" i="1"/>
  <c r="Q6910" i="1"/>
  <c r="R6910" i="1"/>
  <c r="J7777" i="1"/>
  <c r="Q7777" i="1"/>
  <c r="R7777" i="1"/>
  <c r="J7778" i="1"/>
  <c r="Q7778" i="1"/>
  <c r="R7778" i="1"/>
  <c r="J7779" i="1"/>
  <c r="Q7779" i="1"/>
  <c r="R7779" i="1"/>
  <c r="J7780" i="1"/>
  <c r="Q7780" i="1"/>
  <c r="R7780" i="1"/>
  <c r="J7781" i="1"/>
  <c r="Q7781" i="1"/>
  <c r="R7781" i="1"/>
  <c r="J7782" i="1"/>
  <c r="Q7782" i="1"/>
  <c r="R7782" i="1"/>
  <c r="J6911" i="1"/>
  <c r="Q6911" i="1"/>
  <c r="R6911" i="1"/>
  <c r="J7783" i="1"/>
  <c r="Q7783" i="1"/>
  <c r="R7783" i="1"/>
  <c r="J7784" i="1"/>
  <c r="Q7784" i="1"/>
  <c r="R7784" i="1"/>
  <c r="J7785" i="1"/>
  <c r="Q7785" i="1"/>
  <c r="R7785" i="1"/>
  <c r="J7786" i="1"/>
  <c r="Q7786" i="1"/>
  <c r="R7786" i="1"/>
  <c r="J7787" i="1"/>
  <c r="Q7787" i="1"/>
  <c r="R7787" i="1"/>
  <c r="J7788" i="1"/>
  <c r="Q7788" i="1"/>
  <c r="R7788" i="1"/>
  <c r="J7789" i="1"/>
  <c r="Q7789" i="1"/>
  <c r="R7789" i="1"/>
  <c r="J7790" i="1"/>
  <c r="Q7790" i="1"/>
  <c r="R7790" i="1"/>
  <c r="J13575" i="1"/>
  <c r="Q13575" i="1"/>
  <c r="R13575" i="1"/>
  <c r="J13576" i="1"/>
  <c r="Q13576" i="1"/>
  <c r="R13576" i="1"/>
  <c r="J1171" i="1"/>
  <c r="Q1171" i="1"/>
  <c r="R1171" i="1"/>
  <c r="J1172" i="1"/>
  <c r="Q1172" i="1"/>
  <c r="R1172" i="1"/>
  <c r="J1173" i="1"/>
  <c r="Q1173" i="1"/>
  <c r="R1173" i="1"/>
  <c r="J1174" i="1"/>
  <c r="Q1174" i="1"/>
  <c r="R1174" i="1"/>
  <c r="J1175" i="1"/>
  <c r="Q1175" i="1"/>
  <c r="R1175" i="1"/>
  <c r="J1176" i="1"/>
  <c r="Q1176" i="1"/>
  <c r="R1176" i="1"/>
  <c r="J1177" i="1"/>
  <c r="Q1177" i="1"/>
  <c r="R1177" i="1"/>
  <c r="J1178" i="1"/>
  <c r="Q1178" i="1"/>
  <c r="R1178" i="1"/>
  <c r="J1179" i="1"/>
  <c r="Q1179" i="1"/>
  <c r="R1179" i="1"/>
  <c r="J1180" i="1"/>
  <c r="Q1180" i="1"/>
  <c r="R1180" i="1"/>
  <c r="J1181" i="1"/>
  <c r="Q1181" i="1"/>
  <c r="R1181" i="1"/>
  <c r="J1182" i="1"/>
  <c r="Q1182" i="1"/>
  <c r="R1182" i="1"/>
  <c r="J1183" i="1"/>
  <c r="Q1183" i="1"/>
  <c r="R1183" i="1"/>
  <c r="J1184" i="1"/>
  <c r="Q1184" i="1"/>
  <c r="R1184" i="1"/>
  <c r="J1185" i="1"/>
  <c r="Q1185" i="1"/>
  <c r="R1185" i="1"/>
  <c r="J6912" i="1"/>
  <c r="Q6912" i="1"/>
  <c r="R6912" i="1"/>
  <c r="J1186" i="1"/>
  <c r="Q1186" i="1"/>
  <c r="R1186" i="1"/>
  <c r="J1187" i="1"/>
  <c r="Q1187" i="1"/>
  <c r="R1187" i="1"/>
  <c r="J1188" i="1"/>
  <c r="Q1188" i="1"/>
  <c r="R1188" i="1"/>
  <c r="J1189" i="1"/>
  <c r="Q1189" i="1"/>
  <c r="R1189" i="1"/>
  <c r="J1190" i="1"/>
  <c r="Q1190" i="1"/>
  <c r="R1190" i="1"/>
  <c r="J1191" i="1"/>
  <c r="Q1191" i="1"/>
  <c r="R1191" i="1"/>
  <c r="J1192" i="1"/>
  <c r="Q1192" i="1"/>
  <c r="R1192" i="1"/>
  <c r="J1193" i="1"/>
  <c r="Q1193" i="1"/>
  <c r="R1193" i="1"/>
  <c r="J1194" i="1"/>
  <c r="Q1194" i="1"/>
  <c r="R1194" i="1"/>
  <c r="J1195" i="1"/>
  <c r="Q1195" i="1"/>
  <c r="R1195" i="1"/>
  <c r="J1196" i="1"/>
  <c r="Q1196" i="1"/>
  <c r="R1196" i="1"/>
  <c r="J1197" i="1"/>
  <c r="Q1197" i="1"/>
  <c r="R1197" i="1"/>
  <c r="J1198" i="1"/>
  <c r="Q1198" i="1"/>
  <c r="R1198" i="1"/>
  <c r="J1199" i="1"/>
  <c r="Q1199" i="1"/>
  <c r="R1199" i="1"/>
  <c r="J1200" i="1"/>
  <c r="Q1200" i="1"/>
  <c r="R1200" i="1"/>
  <c r="J1201" i="1"/>
  <c r="Q1201" i="1"/>
  <c r="R1201" i="1"/>
  <c r="J1202" i="1"/>
  <c r="Q1202" i="1"/>
  <c r="R1202" i="1"/>
  <c r="J1203" i="1"/>
  <c r="Q1203" i="1"/>
  <c r="R1203" i="1"/>
  <c r="J1204" i="1"/>
  <c r="Q1204" i="1"/>
  <c r="R1204" i="1"/>
  <c r="J1205" i="1"/>
  <c r="Q1205" i="1"/>
  <c r="R1205" i="1"/>
  <c r="J1206" i="1"/>
  <c r="Q1206" i="1"/>
  <c r="R1206" i="1"/>
  <c r="J1207" i="1"/>
  <c r="Q1207" i="1"/>
  <c r="R1207" i="1"/>
  <c r="J1208" i="1"/>
  <c r="Q1208" i="1"/>
  <c r="R1208" i="1"/>
  <c r="J1209" i="1"/>
  <c r="Q1209" i="1"/>
  <c r="R1209" i="1"/>
  <c r="J1210" i="1"/>
  <c r="Q1210" i="1"/>
  <c r="R1210" i="1"/>
  <c r="J1211" i="1"/>
  <c r="Q1211" i="1"/>
  <c r="R1211" i="1"/>
  <c r="J1212" i="1"/>
  <c r="Q1212" i="1"/>
  <c r="R1212" i="1"/>
  <c r="J1213" i="1"/>
  <c r="Q1213" i="1"/>
  <c r="R1213" i="1"/>
  <c r="J1214" i="1"/>
  <c r="Q1214" i="1"/>
  <c r="R1214" i="1"/>
  <c r="J1215" i="1"/>
  <c r="Q1215" i="1"/>
  <c r="R1215" i="1"/>
  <c r="J1216" i="1"/>
  <c r="Q1216" i="1"/>
  <c r="R1216" i="1"/>
  <c r="J1217" i="1"/>
  <c r="Q1217" i="1"/>
  <c r="R1217" i="1"/>
  <c r="J1218" i="1"/>
  <c r="Q1218" i="1"/>
  <c r="R1218" i="1"/>
  <c r="J1219" i="1"/>
  <c r="Q1219" i="1"/>
  <c r="R1219" i="1"/>
  <c r="J1220" i="1"/>
  <c r="Q1220" i="1"/>
  <c r="R1220" i="1"/>
  <c r="J1221" i="1"/>
  <c r="Q1221" i="1"/>
  <c r="R1221" i="1"/>
  <c r="J1222" i="1"/>
  <c r="Q1222" i="1"/>
  <c r="R1222" i="1"/>
  <c r="J1223" i="1"/>
  <c r="Q1223" i="1"/>
  <c r="R1223" i="1"/>
  <c r="J1224" i="1"/>
  <c r="Q1224" i="1"/>
  <c r="R1224" i="1"/>
  <c r="J1225" i="1"/>
  <c r="Q1225" i="1"/>
  <c r="R1225" i="1"/>
  <c r="J1226" i="1"/>
  <c r="Q1226" i="1"/>
  <c r="R1226" i="1"/>
  <c r="J7791" i="1"/>
  <c r="Q7791" i="1"/>
  <c r="R7791" i="1"/>
  <c r="J7792" i="1"/>
  <c r="Q7792" i="1"/>
  <c r="R7792" i="1"/>
  <c r="J1227" i="1"/>
  <c r="Q1227" i="1"/>
  <c r="R1227" i="1"/>
  <c r="J1228" i="1"/>
  <c r="Q1228" i="1"/>
  <c r="R1228" i="1"/>
  <c r="J1229" i="1"/>
  <c r="Q1229" i="1"/>
  <c r="R1229" i="1"/>
  <c r="J1230" i="1"/>
  <c r="Q1230" i="1"/>
  <c r="R1230" i="1"/>
  <c r="J1231" i="1"/>
  <c r="Q1231" i="1"/>
  <c r="R1231" i="1"/>
  <c r="J6913" i="1"/>
  <c r="Q6913" i="1"/>
  <c r="R6913" i="1"/>
  <c r="J7793" i="1"/>
  <c r="Q7793" i="1"/>
  <c r="R7793" i="1"/>
  <c r="J7794" i="1"/>
  <c r="Q7794" i="1"/>
  <c r="R7794" i="1"/>
  <c r="J13577" i="1"/>
  <c r="Q13577" i="1"/>
  <c r="R13577" i="1"/>
  <c r="J1232" i="1"/>
  <c r="Q1232" i="1"/>
  <c r="R1232" i="1"/>
  <c r="J1233" i="1"/>
  <c r="Q1233" i="1"/>
  <c r="R1233" i="1"/>
  <c r="J6600" i="1"/>
  <c r="Q6600" i="1"/>
  <c r="R6600" i="1"/>
  <c r="J7795" i="1"/>
  <c r="Q7795" i="1"/>
  <c r="R7795" i="1"/>
  <c r="J1234" i="1"/>
  <c r="Q1234" i="1"/>
  <c r="R1234" i="1"/>
  <c r="J7796" i="1"/>
  <c r="Q7796" i="1"/>
  <c r="R7796" i="1"/>
  <c r="J7797" i="1"/>
  <c r="Q7797" i="1"/>
  <c r="R7797" i="1"/>
  <c r="J7798" i="1"/>
  <c r="Q7798" i="1"/>
  <c r="R7798" i="1"/>
  <c r="J1235" i="1"/>
  <c r="Q1235" i="1"/>
  <c r="R1235" i="1"/>
  <c r="J7799" i="1"/>
  <c r="Q7799" i="1"/>
  <c r="R7799" i="1"/>
  <c r="J1236" i="1"/>
  <c r="Q1236" i="1"/>
  <c r="R1236" i="1"/>
  <c r="J1237" i="1"/>
  <c r="Q1237" i="1"/>
  <c r="R1237" i="1"/>
  <c r="J1238" i="1"/>
  <c r="Q1238" i="1"/>
  <c r="R1238" i="1"/>
  <c r="J7800" i="1"/>
  <c r="Q7800" i="1"/>
  <c r="R7800" i="1"/>
  <c r="J1239" i="1"/>
  <c r="Q1239" i="1"/>
  <c r="R1239" i="1"/>
  <c r="J6601" i="1"/>
  <c r="Q6601" i="1"/>
  <c r="R6601" i="1"/>
  <c r="J1240" i="1"/>
  <c r="Q1240" i="1"/>
  <c r="R1240" i="1"/>
  <c r="J1241" i="1"/>
  <c r="Q1241" i="1"/>
  <c r="R1241" i="1"/>
  <c r="J7801" i="1"/>
  <c r="Q7801" i="1"/>
  <c r="R7801" i="1"/>
  <c r="J7802" i="1"/>
  <c r="Q7802" i="1"/>
  <c r="R7802" i="1"/>
  <c r="J7803" i="1"/>
  <c r="Q7803" i="1"/>
  <c r="R7803" i="1"/>
  <c r="J7804" i="1"/>
  <c r="Q7804" i="1"/>
  <c r="R7804" i="1"/>
  <c r="J6914" i="1"/>
  <c r="Q6914" i="1"/>
  <c r="R6914" i="1"/>
  <c r="J6915" i="1"/>
  <c r="Q6915" i="1"/>
  <c r="R6915" i="1"/>
  <c r="J6916" i="1"/>
  <c r="Q6916" i="1"/>
  <c r="R6916" i="1"/>
  <c r="J7805" i="1"/>
  <c r="Q7805" i="1"/>
  <c r="R7805" i="1"/>
  <c r="J7806" i="1"/>
  <c r="Q7806" i="1"/>
  <c r="R7806" i="1"/>
  <c r="J7807" i="1"/>
  <c r="Q7807" i="1"/>
  <c r="R7807" i="1"/>
  <c r="J6917" i="1"/>
  <c r="Q6917" i="1"/>
  <c r="R6917" i="1"/>
  <c r="J7808" i="1"/>
  <c r="Q7808" i="1"/>
  <c r="R7808" i="1"/>
  <c r="J7809" i="1"/>
  <c r="Q7809" i="1"/>
  <c r="R7809" i="1"/>
  <c r="J7810" i="1"/>
  <c r="Q7810" i="1"/>
  <c r="R7810" i="1"/>
  <c r="J7811" i="1"/>
  <c r="Q7811" i="1"/>
  <c r="R7811" i="1"/>
  <c r="J7812" i="1"/>
  <c r="Q7812" i="1"/>
  <c r="R7812" i="1"/>
  <c r="J1242" i="1"/>
  <c r="Q1242" i="1"/>
  <c r="R1242" i="1"/>
  <c r="J1243" i="1"/>
  <c r="Q1243" i="1"/>
  <c r="R1243" i="1"/>
  <c r="J1244" i="1"/>
  <c r="Q1244" i="1"/>
  <c r="R1244" i="1"/>
  <c r="J1245" i="1"/>
  <c r="Q1245" i="1"/>
  <c r="R1245" i="1"/>
  <c r="J1246" i="1"/>
  <c r="Q1246" i="1"/>
  <c r="R1246" i="1"/>
  <c r="J1247" i="1"/>
  <c r="Q1247" i="1"/>
  <c r="R1247" i="1"/>
  <c r="J1248" i="1"/>
  <c r="Q1248" i="1"/>
  <c r="R1248" i="1"/>
  <c r="J6602" i="1"/>
  <c r="Q6602" i="1"/>
  <c r="R6602" i="1"/>
  <c r="J1249" i="1"/>
  <c r="Q1249" i="1"/>
  <c r="R1249" i="1"/>
  <c r="J1250" i="1"/>
  <c r="Q1250" i="1"/>
  <c r="R1250" i="1"/>
  <c r="J1251" i="1"/>
  <c r="Q1251" i="1"/>
  <c r="R1251" i="1"/>
  <c r="J1252" i="1"/>
  <c r="Q1252" i="1"/>
  <c r="R1252" i="1"/>
  <c r="J13578" i="1"/>
  <c r="Q13578" i="1"/>
  <c r="R13578" i="1"/>
  <c r="J1253" i="1"/>
  <c r="Q1253" i="1"/>
  <c r="R1253" i="1"/>
  <c r="J1254" i="1"/>
  <c r="Q1254" i="1"/>
  <c r="R1254" i="1"/>
  <c r="J1255" i="1"/>
  <c r="Q1255" i="1"/>
  <c r="R1255" i="1"/>
  <c r="J1256" i="1"/>
  <c r="Q1256" i="1"/>
  <c r="R1256" i="1"/>
  <c r="J1257" i="1"/>
  <c r="Q1257" i="1"/>
  <c r="R1257" i="1"/>
  <c r="J1258" i="1"/>
  <c r="Q1258" i="1"/>
  <c r="R1258" i="1"/>
  <c r="J1259" i="1"/>
  <c r="Q1259" i="1"/>
  <c r="R1259" i="1"/>
  <c r="J1260" i="1"/>
  <c r="Q1260" i="1"/>
  <c r="R1260" i="1"/>
  <c r="J6603" i="1"/>
  <c r="Q6603" i="1"/>
  <c r="R6603" i="1"/>
  <c r="J1261" i="1"/>
  <c r="Q1261" i="1"/>
  <c r="R1261" i="1"/>
  <c r="J1262" i="1"/>
  <c r="Q1262" i="1"/>
  <c r="R1262" i="1"/>
  <c r="J7813" i="1"/>
  <c r="Q7813" i="1"/>
  <c r="R7813" i="1"/>
  <c r="J6604" i="1"/>
  <c r="Q6604" i="1"/>
  <c r="R6604" i="1"/>
  <c r="J1263" i="1"/>
  <c r="Q1263" i="1"/>
  <c r="R1263" i="1"/>
  <c r="J1264" i="1"/>
  <c r="Q1264" i="1"/>
  <c r="R1264" i="1"/>
  <c r="J1265" i="1"/>
  <c r="Q1265" i="1"/>
  <c r="R1265" i="1"/>
  <c r="J1266" i="1"/>
  <c r="Q1266" i="1"/>
  <c r="R1266" i="1"/>
  <c r="J1267" i="1"/>
  <c r="Q1267" i="1"/>
  <c r="R1267" i="1"/>
  <c r="J7814" i="1"/>
  <c r="Q7814" i="1"/>
  <c r="R7814" i="1"/>
  <c r="J7815" i="1"/>
  <c r="Q7815" i="1"/>
  <c r="R7815" i="1"/>
  <c r="J7816" i="1"/>
  <c r="Q7816" i="1"/>
  <c r="R7816" i="1"/>
  <c r="J7817" i="1"/>
  <c r="Q7817" i="1"/>
  <c r="R7817" i="1"/>
  <c r="J7818" i="1"/>
  <c r="Q7818" i="1"/>
  <c r="R7818" i="1"/>
  <c r="J6918" i="1"/>
  <c r="Q6918" i="1"/>
  <c r="R6918" i="1"/>
  <c r="J7819" i="1"/>
  <c r="Q7819" i="1"/>
  <c r="R7819" i="1"/>
  <c r="J7820" i="1"/>
  <c r="Q7820" i="1"/>
  <c r="R7820" i="1"/>
  <c r="J7821" i="1"/>
  <c r="Q7821" i="1"/>
  <c r="R7821" i="1"/>
  <c r="J7822" i="1"/>
  <c r="Q7822" i="1"/>
  <c r="R7822" i="1"/>
  <c r="J6919" i="1"/>
  <c r="Q6919" i="1"/>
  <c r="R6919" i="1"/>
  <c r="J1268" i="1"/>
  <c r="Q1268" i="1"/>
  <c r="R1268" i="1"/>
  <c r="J1269" i="1"/>
  <c r="Q1269" i="1"/>
  <c r="R1269" i="1"/>
  <c r="J1270" i="1"/>
  <c r="Q1270" i="1"/>
  <c r="R1270" i="1"/>
  <c r="J1271" i="1"/>
  <c r="Q1271" i="1"/>
  <c r="R1271" i="1"/>
  <c r="J13579" i="1"/>
  <c r="Q13579" i="1"/>
  <c r="R13579" i="1"/>
  <c r="J1272" i="1"/>
  <c r="Q1272" i="1"/>
  <c r="R1272" i="1"/>
  <c r="J1273" i="1"/>
  <c r="Q1273" i="1"/>
  <c r="R1273" i="1"/>
  <c r="J7823" i="1"/>
  <c r="Q7823" i="1"/>
  <c r="R7823" i="1"/>
  <c r="J1274" i="1"/>
  <c r="Q1274" i="1"/>
  <c r="R1274" i="1"/>
  <c r="J1275" i="1"/>
  <c r="Q1275" i="1"/>
  <c r="R1275" i="1"/>
  <c r="J1276" i="1"/>
  <c r="Q1276" i="1"/>
  <c r="R1276" i="1"/>
  <c r="J1277" i="1"/>
  <c r="Q1277" i="1"/>
  <c r="R1277" i="1"/>
  <c r="J6920" i="1"/>
  <c r="Q6920" i="1"/>
  <c r="R6920" i="1"/>
  <c r="J1278" i="1"/>
  <c r="Q1278" i="1"/>
  <c r="R1278" i="1"/>
  <c r="J1279" i="1"/>
  <c r="Q1279" i="1"/>
  <c r="R1279" i="1"/>
  <c r="J6605" i="1"/>
  <c r="Q6605" i="1"/>
  <c r="R6605" i="1"/>
  <c r="J1280" i="1"/>
  <c r="Q1280" i="1"/>
  <c r="R1280" i="1"/>
  <c r="J7824" i="1"/>
  <c r="Q7824" i="1"/>
  <c r="R7824" i="1"/>
  <c r="J1281" i="1"/>
  <c r="Q1281" i="1"/>
  <c r="R1281" i="1"/>
  <c r="J1282" i="1"/>
  <c r="Q1282" i="1"/>
  <c r="R1282" i="1"/>
  <c r="J1283" i="1"/>
  <c r="Q1283" i="1"/>
  <c r="R1283" i="1"/>
  <c r="J13580" i="1"/>
  <c r="Q13580" i="1"/>
  <c r="R13580" i="1"/>
  <c r="J6921" i="1"/>
  <c r="Q6921" i="1"/>
  <c r="R6921" i="1"/>
  <c r="J1284" i="1"/>
  <c r="Q1284" i="1"/>
  <c r="R1284" i="1"/>
  <c r="J7825" i="1"/>
  <c r="Q7825" i="1"/>
  <c r="R7825" i="1"/>
  <c r="J7826" i="1"/>
  <c r="Q7826" i="1"/>
  <c r="R7826" i="1"/>
  <c r="J7827" i="1"/>
  <c r="Q7827" i="1"/>
  <c r="R7827" i="1"/>
  <c r="J7828" i="1"/>
  <c r="Q7828" i="1"/>
  <c r="R7828" i="1"/>
  <c r="J7829" i="1"/>
  <c r="Q7829" i="1"/>
  <c r="R7829" i="1"/>
  <c r="J7830" i="1"/>
  <c r="Q7830" i="1"/>
  <c r="R7830" i="1"/>
  <c r="J7831" i="1"/>
  <c r="Q7831" i="1"/>
  <c r="R7831" i="1"/>
  <c r="J7832" i="1"/>
  <c r="Q7832" i="1"/>
  <c r="R7832" i="1"/>
  <c r="J7833" i="1"/>
  <c r="Q7833" i="1"/>
  <c r="R7833" i="1"/>
  <c r="J6922" i="1"/>
  <c r="Q6922" i="1"/>
  <c r="R6922" i="1"/>
  <c r="J7834" i="1"/>
  <c r="Q7834" i="1"/>
  <c r="R7834" i="1"/>
  <c r="J6923" i="1"/>
  <c r="Q6923" i="1"/>
  <c r="R6923" i="1"/>
  <c r="J13581" i="1"/>
  <c r="Q13581" i="1"/>
  <c r="R13581" i="1"/>
  <c r="J1285" i="1"/>
  <c r="Q1285" i="1"/>
  <c r="R1285" i="1"/>
  <c r="J1286" i="1"/>
  <c r="Q1286" i="1"/>
  <c r="R1286" i="1"/>
  <c r="J1287" i="1"/>
  <c r="Q1287" i="1"/>
  <c r="R1287" i="1"/>
  <c r="J1288" i="1"/>
  <c r="Q1288" i="1"/>
  <c r="R1288" i="1"/>
  <c r="J1289" i="1"/>
  <c r="Q1289" i="1"/>
  <c r="R1289" i="1"/>
  <c r="J1290" i="1"/>
  <c r="Q1290" i="1"/>
  <c r="R1290" i="1"/>
  <c r="J1291" i="1"/>
  <c r="Q1291" i="1"/>
  <c r="R1291" i="1"/>
  <c r="J1292" i="1"/>
  <c r="Q1292" i="1"/>
  <c r="R1292" i="1"/>
  <c r="J1293" i="1"/>
  <c r="Q1293" i="1"/>
  <c r="R1293" i="1"/>
  <c r="J1294" i="1"/>
  <c r="Q1294" i="1"/>
  <c r="R1294" i="1"/>
  <c r="J1295" i="1"/>
  <c r="Q1295" i="1"/>
  <c r="R1295" i="1"/>
  <c r="J1296" i="1"/>
  <c r="Q1296" i="1"/>
  <c r="R1296" i="1"/>
  <c r="J1297" i="1"/>
  <c r="Q1297" i="1"/>
  <c r="R1297" i="1"/>
  <c r="J1298" i="1"/>
  <c r="Q1298" i="1"/>
  <c r="R1298" i="1"/>
  <c r="J1299" i="1"/>
  <c r="Q1299" i="1"/>
  <c r="R1299" i="1"/>
  <c r="J1300" i="1"/>
  <c r="Q1300" i="1"/>
  <c r="R1300" i="1"/>
  <c r="J1301" i="1"/>
  <c r="Q1301" i="1"/>
  <c r="R1301" i="1"/>
  <c r="J1302" i="1"/>
  <c r="Q1302" i="1"/>
  <c r="R1302" i="1"/>
  <c r="J6924" i="1"/>
  <c r="Q6924" i="1"/>
  <c r="R6924" i="1"/>
  <c r="J13582" i="1"/>
  <c r="Q13582" i="1"/>
  <c r="R13582" i="1"/>
  <c r="J6925" i="1"/>
  <c r="Q6925" i="1"/>
  <c r="R6925" i="1"/>
  <c r="J6606" i="1"/>
  <c r="Q6606" i="1"/>
  <c r="R6606" i="1"/>
  <c r="J1303" i="1"/>
  <c r="Q1303" i="1"/>
  <c r="R1303" i="1"/>
  <c r="J6607" i="1"/>
  <c r="Q6607" i="1"/>
  <c r="R6607" i="1"/>
  <c r="J1304" i="1"/>
  <c r="Q1304" i="1"/>
  <c r="R1304" i="1"/>
  <c r="J6926" i="1"/>
  <c r="Q6926" i="1"/>
  <c r="R6926" i="1"/>
  <c r="J6927" i="1"/>
  <c r="Q6927" i="1"/>
  <c r="R6927" i="1"/>
  <c r="J7835" i="1"/>
  <c r="Q7835" i="1"/>
  <c r="R7835" i="1"/>
  <c r="J1305" i="1"/>
  <c r="Q1305" i="1"/>
  <c r="R1305" i="1"/>
  <c r="J1306" i="1"/>
  <c r="Q1306" i="1"/>
  <c r="R1306" i="1"/>
  <c r="J6608" i="1"/>
  <c r="Q6608" i="1"/>
  <c r="R6608" i="1"/>
  <c r="J1307" i="1"/>
  <c r="Q1307" i="1"/>
  <c r="R1307" i="1"/>
  <c r="J1308" i="1"/>
  <c r="Q1308" i="1"/>
  <c r="R1308" i="1"/>
  <c r="J1309" i="1"/>
  <c r="Q1309" i="1"/>
  <c r="R1309" i="1"/>
  <c r="J1310" i="1"/>
  <c r="Q1310" i="1"/>
  <c r="R1310" i="1"/>
  <c r="J7836" i="1"/>
  <c r="Q7836" i="1"/>
  <c r="R7836" i="1"/>
  <c r="J13583" i="1"/>
  <c r="Q13583" i="1"/>
  <c r="R13583" i="1"/>
  <c r="J6928" i="1"/>
  <c r="Q6928" i="1"/>
  <c r="R6928" i="1"/>
  <c r="J1311" i="1"/>
  <c r="Q1311" i="1"/>
  <c r="R1311" i="1"/>
  <c r="J7837" i="1"/>
  <c r="Q7837" i="1"/>
  <c r="R7837" i="1"/>
  <c r="J6929" i="1"/>
  <c r="Q6929" i="1"/>
  <c r="R6929" i="1"/>
  <c r="J6930" i="1"/>
  <c r="Q6930" i="1"/>
  <c r="R6930" i="1"/>
  <c r="J7838" i="1"/>
  <c r="Q7838" i="1"/>
  <c r="R7838" i="1"/>
  <c r="J7839" i="1"/>
  <c r="Q7839" i="1"/>
  <c r="R7839" i="1"/>
  <c r="J7840" i="1"/>
  <c r="Q7840" i="1"/>
  <c r="R7840" i="1"/>
  <c r="J6931" i="1"/>
  <c r="Q6931" i="1"/>
  <c r="R6931" i="1"/>
  <c r="J7841" i="1"/>
  <c r="Q7841" i="1"/>
  <c r="R7841" i="1"/>
  <c r="J7842" i="1"/>
  <c r="Q7842" i="1"/>
  <c r="R7842" i="1"/>
  <c r="J7843" i="1"/>
  <c r="Q7843" i="1"/>
  <c r="R7843" i="1"/>
  <c r="J7844" i="1"/>
  <c r="Q7844" i="1"/>
  <c r="R7844" i="1"/>
  <c r="J1312" i="1"/>
  <c r="Q1312" i="1"/>
  <c r="R1312" i="1"/>
  <c r="J1313" i="1"/>
  <c r="Q1313" i="1"/>
  <c r="R1313" i="1"/>
  <c r="J1314" i="1"/>
  <c r="Q1314" i="1"/>
  <c r="R1314" i="1"/>
  <c r="J1315" i="1"/>
  <c r="Q1315" i="1"/>
  <c r="R1315" i="1"/>
  <c r="J1316" i="1"/>
  <c r="Q1316" i="1"/>
  <c r="R1316" i="1"/>
  <c r="J1317" i="1"/>
  <c r="Q1317" i="1"/>
  <c r="R1317" i="1"/>
  <c r="J1318" i="1"/>
  <c r="Q1318" i="1"/>
  <c r="R1318" i="1"/>
  <c r="J1319" i="1"/>
  <c r="Q1319" i="1"/>
  <c r="R1319" i="1"/>
  <c r="J1320" i="1"/>
  <c r="Q1320" i="1"/>
  <c r="R1320" i="1"/>
  <c r="J1321" i="1"/>
  <c r="Q1321" i="1"/>
  <c r="R1321" i="1"/>
  <c r="J1322" i="1"/>
  <c r="Q1322" i="1"/>
  <c r="R1322" i="1"/>
  <c r="J1323" i="1"/>
  <c r="Q1323" i="1"/>
  <c r="R1323" i="1"/>
  <c r="J1324" i="1"/>
  <c r="Q1324" i="1"/>
  <c r="R1324" i="1"/>
  <c r="J1325" i="1"/>
  <c r="Q1325" i="1"/>
  <c r="R1325" i="1"/>
  <c r="J1326" i="1"/>
  <c r="Q1326" i="1"/>
  <c r="R1326" i="1"/>
  <c r="J1327" i="1"/>
  <c r="Q1327" i="1"/>
  <c r="R1327" i="1"/>
  <c r="J6609" i="1"/>
  <c r="Q6609" i="1"/>
  <c r="R6609" i="1"/>
  <c r="J7845" i="1"/>
  <c r="Q7845" i="1"/>
  <c r="R7845" i="1"/>
  <c r="J1328" i="1"/>
  <c r="Q1328" i="1"/>
  <c r="R1328" i="1"/>
  <c r="J7846" i="1"/>
  <c r="Q7846" i="1"/>
  <c r="R7846" i="1"/>
  <c r="J7847" i="1"/>
  <c r="Q7847" i="1"/>
  <c r="R7847" i="1"/>
  <c r="J7848" i="1"/>
  <c r="Q7848" i="1"/>
  <c r="R7848" i="1"/>
  <c r="J1329" i="1"/>
  <c r="Q1329" i="1"/>
  <c r="R1329" i="1"/>
  <c r="J7849" i="1"/>
  <c r="Q7849" i="1"/>
  <c r="R7849" i="1"/>
  <c r="J7850" i="1"/>
  <c r="Q7850" i="1"/>
  <c r="R7850" i="1"/>
  <c r="J7851" i="1"/>
  <c r="Q7851" i="1"/>
  <c r="R7851" i="1"/>
  <c r="J1330" i="1"/>
  <c r="Q1330" i="1"/>
  <c r="R1330" i="1"/>
  <c r="J1331" i="1"/>
  <c r="Q1331" i="1"/>
  <c r="R1331" i="1"/>
  <c r="J1332" i="1"/>
  <c r="Q1332" i="1"/>
  <c r="R1332" i="1"/>
  <c r="J7852" i="1"/>
  <c r="Q7852" i="1"/>
  <c r="R7852" i="1"/>
  <c r="J6932" i="1"/>
  <c r="Q6932" i="1"/>
  <c r="R6932" i="1"/>
  <c r="J6933" i="1"/>
  <c r="Q6933" i="1"/>
  <c r="R6933" i="1"/>
  <c r="J6934" i="1"/>
  <c r="Q6934" i="1"/>
  <c r="R6934" i="1"/>
  <c r="J7853" i="1"/>
  <c r="Q7853" i="1"/>
  <c r="R7853" i="1"/>
  <c r="J7854" i="1"/>
  <c r="Q7854" i="1"/>
  <c r="R7854" i="1"/>
  <c r="J13584" i="1"/>
  <c r="Q13584" i="1"/>
  <c r="R13584" i="1"/>
  <c r="J6935" i="1"/>
  <c r="Q6935" i="1"/>
  <c r="R6935" i="1"/>
  <c r="J7855" i="1"/>
  <c r="Q7855" i="1"/>
  <c r="R7855" i="1"/>
  <c r="J6936" i="1"/>
  <c r="Q6936" i="1"/>
  <c r="R6936" i="1"/>
  <c r="J7856" i="1"/>
  <c r="Q7856" i="1"/>
  <c r="R7856" i="1"/>
  <c r="J7857" i="1"/>
  <c r="Q7857" i="1"/>
  <c r="R7857" i="1"/>
  <c r="J7858" i="1"/>
  <c r="Q7858" i="1"/>
  <c r="R7858" i="1"/>
  <c r="J7859" i="1"/>
  <c r="Q7859" i="1"/>
  <c r="R7859" i="1"/>
  <c r="J7860" i="1"/>
  <c r="Q7860" i="1"/>
  <c r="R7860" i="1"/>
  <c r="J7861" i="1"/>
  <c r="Q7861" i="1"/>
  <c r="R7861" i="1"/>
  <c r="J6937" i="1"/>
  <c r="Q6937" i="1"/>
  <c r="R6937" i="1"/>
  <c r="J7862" i="1"/>
  <c r="Q7862" i="1"/>
  <c r="R7862" i="1"/>
  <c r="J7863" i="1"/>
  <c r="Q7863" i="1"/>
  <c r="R7863" i="1"/>
  <c r="J7864" i="1"/>
  <c r="Q7864" i="1"/>
  <c r="R7864" i="1"/>
  <c r="J13585" i="1"/>
  <c r="Q13585" i="1"/>
  <c r="R13585" i="1"/>
  <c r="J7865" i="1"/>
  <c r="Q7865" i="1"/>
  <c r="R7865" i="1"/>
  <c r="J1333" i="1"/>
  <c r="Q1333" i="1"/>
  <c r="R1333" i="1"/>
  <c r="J1334" i="1"/>
  <c r="Q1334" i="1"/>
  <c r="R1334" i="1"/>
  <c r="J1335" i="1"/>
  <c r="Q1335" i="1"/>
  <c r="R1335" i="1"/>
  <c r="J1336" i="1"/>
  <c r="Q1336" i="1"/>
  <c r="R1336" i="1"/>
  <c r="J13586" i="1"/>
  <c r="Q13586" i="1"/>
  <c r="R13586" i="1"/>
  <c r="J1337" i="1"/>
  <c r="Q1337" i="1"/>
  <c r="R1337" i="1"/>
  <c r="J1338" i="1"/>
  <c r="Q1338" i="1"/>
  <c r="R1338" i="1"/>
  <c r="J1339" i="1"/>
  <c r="Q1339" i="1"/>
  <c r="R1339" i="1"/>
  <c r="J1340" i="1"/>
  <c r="Q1340" i="1"/>
  <c r="R1340" i="1"/>
  <c r="J1341" i="1"/>
  <c r="Q1341" i="1"/>
  <c r="R1341" i="1"/>
  <c r="J1342" i="1"/>
  <c r="Q1342" i="1"/>
  <c r="R1342" i="1"/>
  <c r="J1343" i="1"/>
  <c r="Q1343" i="1"/>
  <c r="R1343" i="1"/>
  <c r="J1344" i="1"/>
  <c r="Q1344" i="1"/>
  <c r="R1344" i="1"/>
  <c r="J1345" i="1"/>
  <c r="Q1345" i="1"/>
  <c r="R1345" i="1"/>
  <c r="J1346" i="1"/>
  <c r="Q1346" i="1"/>
  <c r="R1346" i="1"/>
  <c r="J6938" i="1"/>
  <c r="Q6938" i="1"/>
  <c r="R6938" i="1"/>
  <c r="J1347" i="1"/>
  <c r="Q1347" i="1"/>
  <c r="R1347" i="1"/>
  <c r="J1348" i="1"/>
  <c r="Q1348" i="1"/>
  <c r="R1348" i="1"/>
  <c r="J1349" i="1"/>
  <c r="Q1349" i="1"/>
  <c r="R1349" i="1"/>
  <c r="J1350" i="1"/>
  <c r="Q1350" i="1"/>
  <c r="R1350" i="1"/>
  <c r="J1351" i="1"/>
  <c r="Q1351" i="1"/>
  <c r="R1351" i="1"/>
  <c r="J1352" i="1"/>
  <c r="Q1352" i="1"/>
  <c r="R1352" i="1"/>
  <c r="J1353" i="1"/>
  <c r="Q1353" i="1"/>
  <c r="R1353" i="1"/>
  <c r="J7866" i="1"/>
  <c r="Q7866" i="1"/>
  <c r="R7866" i="1"/>
  <c r="J1354" i="1"/>
  <c r="Q1354" i="1"/>
  <c r="R1354" i="1"/>
  <c r="J1355" i="1"/>
  <c r="Q1355" i="1"/>
  <c r="R1355" i="1"/>
  <c r="J6610" i="1"/>
  <c r="Q6610" i="1"/>
  <c r="R6610" i="1"/>
  <c r="J1356" i="1"/>
  <c r="Q1356" i="1"/>
  <c r="R1356" i="1"/>
  <c r="J1357" i="1"/>
  <c r="Q1357" i="1"/>
  <c r="R1357" i="1"/>
  <c r="J1358" i="1"/>
  <c r="Q1358" i="1"/>
  <c r="R1358" i="1"/>
  <c r="J1359" i="1"/>
  <c r="Q1359" i="1"/>
  <c r="R1359" i="1"/>
  <c r="J6939" i="1"/>
  <c r="Q6939" i="1"/>
  <c r="R6939" i="1"/>
  <c r="J1360" i="1"/>
  <c r="Q1360" i="1"/>
  <c r="R1360" i="1"/>
  <c r="J1361" i="1"/>
  <c r="Q1361" i="1"/>
  <c r="R1361" i="1"/>
  <c r="J7867" i="1"/>
  <c r="Q7867" i="1"/>
  <c r="R7867" i="1"/>
  <c r="J7868" i="1"/>
  <c r="Q7868" i="1"/>
  <c r="R7868" i="1"/>
  <c r="J6940" i="1"/>
  <c r="Q6940" i="1"/>
  <c r="R6940" i="1"/>
  <c r="J6941" i="1"/>
  <c r="Q6941" i="1"/>
  <c r="R6941" i="1"/>
  <c r="J7869" i="1"/>
  <c r="Q7869" i="1"/>
  <c r="R7869" i="1"/>
  <c r="J6942" i="1"/>
  <c r="Q6942" i="1"/>
  <c r="R6942" i="1"/>
  <c r="J6943" i="1"/>
  <c r="Q6943" i="1"/>
  <c r="R6943" i="1"/>
  <c r="J7870" i="1"/>
  <c r="Q7870" i="1"/>
  <c r="R7870" i="1"/>
  <c r="J7871" i="1"/>
  <c r="Q7871" i="1"/>
  <c r="R7871" i="1"/>
  <c r="J7872" i="1"/>
  <c r="Q7872" i="1"/>
  <c r="R7872" i="1"/>
  <c r="J7873" i="1"/>
  <c r="Q7873" i="1"/>
  <c r="R7873" i="1"/>
  <c r="J7874" i="1"/>
  <c r="Q7874" i="1"/>
  <c r="R7874" i="1"/>
  <c r="J7875" i="1"/>
  <c r="Q7875" i="1"/>
  <c r="R7875" i="1"/>
  <c r="J1362" i="1"/>
  <c r="Q1362" i="1"/>
  <c r="R1362" i="1"/>
  <c r="J1363" i="1"/>
  <c r="Q1363" i="1"/>
  <c r="R1363" i="1"/>
  <c r="J1364" i="1"/>
  <c r="Q1364" i="1"/>
  <c r="R1364" i="1"/>
  <c r="J1365" i="1"/>
  <c r="Q1365" i="1"/>
  <c r="R1365" i="1"/>
  <c r="J6944" i="1"/>
  <c r="Q6944" i="1"/>
  <c r="R6944" i="1"/>
  <c r="J1366" i="1"/>
  <c r="Q1366" i="1"/>
  <c r="R1366" i="1"/>
  <c r="J1367" i="1"/>
  <c r="Q1367" i="1"/>
  <c r="R1367" i="1"/>
  <c r="J1368" i="1"/>
  <c r="Q1368" i="1"/>
  <c r="R1368" i="1"/>
  <c r="J1369" i="1"/>
  <c r="Q1369" i="1"/>
  <c r="R1369" i="1"/>
  <c r="J1370" i="1"/>
  <c r="Q1370" i="1"/>
  <c r="R1370" i="1"/>
  <c r="J1371" i="1"/>
  <c r="Q1371" i="1"/>
  <c r="R1371" i="1"/>
  <c r="J1372" i="1"/>
  <c r="Q1372" i="1"/>
  <c r="R1372" i="1"/>
  <c r="J1373" i="1"/>
  <c r="Q1373" i="1"/>
  <c r="R1373" i="1"/>
  <c r="J1374" i="1"/>
  <c r="Q1374" i="1"/>
  <c r="R1374" i="1"/>
  <c r="J1375" i="1"/>
  <c r="Q1375" i="1"/>
  <c r="R1375" i="1"/>
  <c r="J1376" i="1"/>
  <c r="Q1376" i="1"/>
  <c r="R1376" i="1"/>
  <c r="J1377" i="1"/>
  <c r="Q1377" i="1"/>
  <c r="R1377" i="1"/>
  <c r="J1378" i="1"/>
  <c r="Q1378" i="1"/>
  <c r="R1378" i="1"/>
  <c r="J13587" i="1"/>
  <c r="Q13587" i="1"/>
  <c r="R13587" i="1"/>
  <c r="J1379" i="1"/>
  <c r="Q1379" i="1"/>
  <c r="R1379" i="1"/>
  <c r="J1380" i="1"/>
  <c r="Q1380" i="1"/>
  <c r="R1380" i="1"/>
  <c r="J6611" i="1"/>
  <c r="Q6611" i="1"/>
  <c r="R6611" i="1"/>
  <c r="J1381" i="1"/>
  <c r="Q1381" i="1"/>
  <c r="R1381" i="1"/>
  <c r="J1382" i="1"/>
  <c r="Q1382" i="1"/>
  <c r="R1382" i="1"/>
  <c r="J13588" i="1"/>
  <c r="Q13588" i="1"/>
  <c r="R13588" i="1"/>
  <c r="J7876" i="1"/>
  <c r="Q7876" i="1"/>
  <c r="R7876" i="1"/>
  <c r="J6612" i="1"/>
  <c r="Q6612" i="1"/>
  <c r="R6612" i="1"/>
  <c r="J1383" i="1"/>
  <c r="Q1383" i="1"/>
  <c r="R1383" i="1"/>
  <c r="J7877" i="1"/>
  <c r="Q7877" i="1"/>
  <c r="R7877" i="1"/>
  <c r="J6945" i="1"/>
  <c r="Q6945" i="1"/>
  <c r="R6945" i="1"/>
  <c r="J7878" i="1"/>
  <c r="Q7878" i="1"/>
  <c r="R7878" i="1"/>
  <c r="J7879" i="1"/>
  <c r="Q7879" i="1"/>
  <c r="R7879" i="1"/>
  <c r="J1384" i="1"/>
  <c r="Q1384" i="1"/>
  <c r="R1384" i="1"/>
  <c r="J11189" i="1"/>
  <c r="Q11189" i="1"/>
  <c r="R11189" i="1"/>
  <c r="J11190" i="1"/>
  <c r="Q11190" i="1"/>
  <c r="R11190" i="1"/>
  <c r="J11191" i="1"/>
  <c r="Q11191" i="1"/>
  <c r="R11191" i="1"/>
  <c r="J4627" i="1"/>
  <c r="Q4627" i="1"/>
  <c r="R4627" i="1"/>
  <c r="J4628" i="1"/>
  <c r="Q4628" i="1"/>
  <c r="R4628" i="1"/>
  <c r="J4629" i="1"/>
  <c r="Q4629" i="1"/>
  <c r="R4629" i="1"/>
  <c r="J4630" i="1"/>
  <c r="Q4630" i="1"/>
  <c r="R4630" i="1"/>
  <c r="J4631" i="1"/>
  <c r="Q4631" i="1"/>
  <c r="R4631" i="1"/>
  <c r="J4632" i="1"/>
  <c r="Q4632" i="1"/>
  <c r="R4632" i="1"/>
  <c r="J11192" i="1"/>
  <c r="Q11192" i="1"/>
  <c r="R11192" i="1"/>
  <c r="J4633" i="1"/>
  <c r="Q4633" i="1"/>
  <c r="R4633" i="1"/>
  <c r="J4634" i="1"/>
  <c r="Q4634" i="1"/>
  <c r="R4634" i="1"/>
  <c r="J11193" i="1"/>
  <c r="Q11193" i="1"/>
  <c r="R11193" i="1"/>
  <c r="J11194" i="1"/>
  <c r="Q11194" i="1"/>
  <c r="R11194" i="1"/>
  <c r="J4635" i="1"/>
  <c r="Q4635" i="1"/>
  <c r="R4635" i="1"/>
  <c r="J11195" i="1"/>
  <c r="Q11195" i="1"/>
  <c r="R11195" i="1"/>
  <c r="J4636" i="1"/>
  <c r="Q4636" i="1"/>
  <c r="R4636" i="1"/>
  <c r="J4637" i="1"/>
  <c r="Q4637" i="1"/>
  <c r="R4637" i="1"/>
  <c r="J11196" i="1"/>
  <c r="Q11196" i="1"/>
  <c r="R11196" i="1"/>
  <c r="J11197" i="1"/>
  <c r="Q11197" i="1"/>
  <c r="R11197" i="1"/>
  <c r="J4638" i="1"/>
  <c r="Q4638" i="1"/>
  <c r="R4638" i="1"/>
  <c r="J4639" i="1"/>
  <c r="Q4639" i="1"/>
  <c r="R4639" i="1"/>
  <c r="J4640" i="1"/>
  <c r="Q4640" i="1"/>
  <c r="R4640" i="1"/>
  <c r="J4641" i="1"/>
  <c r="Q4641" i="1"/>
  <c r="R4641" i="1"/>
  <c r="J4642" i="1"/>
  <c r="Q4642" i="1"/>
  <c r="R4642" i="1"/>
  <c r="J4643" i="1"/>
  <c r="Q4643" i="1"/>
  <c r="R4643" i="1"/>
  <c r="J4644" i="1"/>
  <c r="Q4644" i="1"/>
  <c r="R4644" i="1"/>
  <c r="J11198" i="1"/>
  <c r="Q11198" i="1"/>
  <c r="R11198" i="1"/>
  <c r="J11199" i="1"/>
  <c r="Q11199" i="1"/>
  <c r="R11199" i="1"/>
  <c r="J4645" i="1"/>
  <c r="Q4645" i="1"/>
  <c r="R4645" i="1"/>
  <c r="J4646" i="1"/>
  <c r="Q4646" i="1"/>
  <c r="R4646" i="1"/>
  <c r="J4647" i="1"/>
  <c r="Q4647" i="1"/>
  <c r="R4647" i="1"/>
  <c r="J4648" i="1"/>
  <c r="Q4648" i="1"/>
  <c r="R4648" i="1"/>
  <c r="J4649" i="1"/>
  <c r="Q4649" i="1"/>
  <c r="R4649" i="1"/>
  <c r="J4650" i="1"/>
  <c r="Q4650" i="1"/>
  <c r="R4650" i="1"/>
  <c r="J4651" i="1"/>
  <c r="Q4651" i="1"/>
  <c r="R4651" i="1"/>
  <c r="J4652" i="1"/>
  <c r="Q4652" i="1"/>
  <c r="R4652" i="1"/>
  <c r="J11200" i="1"/>
  <c r="Q11200" i="1"/>
  <c r="R11200" i="1"/>
  <c r="J4653" i="1"/>
  <c r="Q4653" i="1"/>
  <c r="R4653" i="1"/>
  <c r="J4654" i="1"/>
  <c r="Q4654" i="1"/>
  <c r="R4654" i="1"/>
  <c r="J11201" i="1"/>
  <c r="Q11201" i="1"/>
  <c r="R11201" i="1"/>
  <c r="J4655" i="1"/>
  <c r="Q4655" i="1"/>
  <c r="R4655" i="1"/>
  <c r="J4656" i="1"/>
  <c r="Q4656" i="1"/>
  <c r="R4656" i="1"/>
  <c r="J4657" i="1"/>
  <c r="Q4657" i="1"/>
  <c r="R4657" i="1"/>
  <c r="J11202" i="1"/>
  <c r="Q11202" i="1"/>
  <c r="R11202" i="1"/>
  <c r="J11203" i="1"/>
  <c r="Q11203" i="1"/>
  <c r="R11203" i="1"/>
  <c r="J11204" i="1"/>
  <c r="Q11204" i="1"/>
  <c r="R11204" i="1"/>
  <c r="J11205" i="1"/>
  <c r="Q11205" i="1"/>
  <c r="R11205" i="1"/>
  <c r="J4658" i="1"/>
  <c r="Q4658" i="1"/>
  <c r="R4658" i="1"/>
  <c r="J11206" i="1"/>
  <c r="Q11206" i="1"/>
  <c r="R11206" i="1"/>
  <c r="J4659" i="1"/>
  <c r="Q4659" i="1"/>
  <c r="R4659" i="1"/>
  <c r="J4660" i="1"/>
  <c r="Q4660" i="1"/>
  <c r="R4660" i="1"/>
  <c r="J11207" i="1"/>
  <c r="Q11207" i="1"/>
  <c r="R11207" i="1"/>
  <c r="J4661" i="1"/>
  <c r="Q4661" i="1"/>
  <c r="R4661" i="1"/>
  <c r="J11208" i="1"/>
  <c r="Q11208" i="1"/>
  <c r="R11208" i="1"/>
  <c r="J4662" i="1"/>
  <c r="Q4662" i="1"/>
  <c r="R4662" i="1"/>
  <c r="J11209" i="1"/>
  <c r="Q11209" i="1"/>
  <c r="R11209" i="1"/>
  <c r="J11210" i="1"/>
  <c r="Q11210" i="1"/>
  <c r="R11210" i="1"/>
  <c r="J11211" i="1"/>
  <c r="Q11211" i="1"/>
  <c r="R11211" i="1"/>
  <c r="J4663" i="1"/>
  <c r="Q4663" i="1"/>
  <c r="R4663" i="1"/>
  <c r="J11212" i="1"/>
  <c r="Q11212" i="1"/>
  <c r="R11212" i="1"/>
  <c r="J4664" i="1"/>
  <c r="Q4664" i="1"/>
  <c r="R4664" i="1"/>
  <c r="J4665" i="1"/>
  <c r="Q4665" i="1"/>
  <c r="R4665" i="1"/>
  <c r="J11213" i="1"/>
  <c r="Q11213" i="1"/>
  <c r="R11213" i="1"/>
  <c r="J4666" i="1"/>
  <c r="Q4666" i="1"/>
  <c r="R4666" i="1"/>
  <c r="J11214" i="1"/>
  <c r="Q11214" i="1"/>
  <c r="R11214" i="1"/>
  <c r="J11215" i="1"/>
  <c r="Q11215" i="1"/>
  <c r="R11215" i="1"/>
  <c r="J11216" i="1"/>
  <c r="Q11216" i="1"/>
  <c r="R11216" i="1"/>
  <c r="J4667" i="1"/>
  <c r="Q4667" i="1"/>
  <c r="R4667" i="1"/>
  <c r="J4668" i="1"/>
  <c r="Q4668" i="1"/>
  <c r="R4668" i="1"/>
  <c r="J11217" i="1"/>
  <c r="Q11217" i="1"/>
  <c r="R11217" i="1"/>
  <c r="J4669" i="1"/>
  <c r="Q4669" i="1"/>
  <c r="R4669" i="1"/>
  <c r="J4670" i="1"/>
  <c r="Q4670" i="1"/>
  <c r="R4670" i="1"/>
  <c r="J4671" i="1"/>
  <c r="Q4671" i="1"/>
  <c r="R4671" i="1"/>
  <c r="J4672" i="1"/>
  <c r="Q4672" i="1"/>
  <c r="R4672" i="1"/>
  <c r="J11218" i="1"/>
  <c r="Q11218" i="1"/>
  <c r="R11218" i="1"/>
  <c r="J4673" i="1"/>
  <c r="Q4673" i="1"/>
  <c r="R4673" i="1"/>
  <c r="J11219" i="1"/>
  <c r="Q11219" i="1"/>
  <c r="R11219" i="1"/>
  <c r="J11220" i="1"/>
  <c r="Q11220" i="1"/>
  <c r="R11220" i="1"/>
  <c r="J11221" i="1"/>
  <c r="Q11221" i="1"/>
  <c r="R11221" i="1"/>
  <c r="J4674" i="1"/>
  <c r="Q4674" i="1"/>
  <c r="R4674" i="1"/>
  <c r="J4675" i="1"/>
  <c r="Q4675" i="1"/>
  <c r="R4675" i="1"/>
  <c r="J11222" i="1"/>
  <c r="Q11222" i="1"/>
  <c r="R11222" i="1"/>
  <c r="J11223" i="1"/>
  <c r="Q11223" i="1"/>
  <c r="R11223" i="1"/>
  <c r="J11224" i="1"/>
  <c r="Q11224" i="1"/>
  <c r="R11224" i="1"/>
  <c r="J11225" i="1"/>
  <c r="Q11225" i="1"/>
  <c r="R11225" i="1"/>
  <c r="J11226" i="1"/>
  <c r="Q11226" i="1"/>
  <c r="R11226" i="1"/>
  <c r="J11227" i="1"/>
  <c r="Q11227" i="1"/>
  <c r="R11227" i="1"/>
  <c r="J11228" i="1"/>
  <c r="Q11228" i="1"/>
  <c r="R11228" i="1"/>
  <c r="J11229" i="1"/>
  <c r="Q11229" i="1"/>
  <c r="R11229" i="1"/>
  <c r="J11230" i="1"/>
  <c r="Q11230" i="1"/>
  <c r="R11230" i="1"/>
  <c r="J11231" i="1"/>
  <c r="Q11231" i="1"/>
  <c r="R11231" i="1"/>
  <c r="J11232" i="1"/>
  <c r="Q11232" i="1"/>
  <c r="R11232" i="1"/>
  <c r="J4676" i="1"/>
  <c r="Q4676" i="1"/>
  <c r="R4676" i="1"/>
  <c r="J11233" i="1"/>
  <c r="Q11233" i="1"/>
  <c r="R11233" i="1"/>
  <c r="J11234" i="1"/>
  <c r="Q11234" i="1"/>
  <c r="R11234" i="1"/>
  <c r="J4677" i="1"/>
  <c r="Q4677" i="1"/>
  <c r="R4677" i="1"/>
  <c r="J11235" i="1"/>
  <c r="Q11235" i="1"/>
  <c r="R11235" i="1"/>
  <c r="J11236" i="1"/>
  <c r="Q11236" i="1"/>
  <c r="R11236" i="1"/>
  <c r="J4678" i="1"/>
  <c r="Q4678" i="1"/>
  <c r="R4678" i="1"/>
  <c r="J11237" i="1"/>
  <c r="Q11237" i="1"/>
  <c r="R11237" i="1"/>
  <c r="J4679" i="1"/>
  <c r="Q4679" i="1"/>
  <c r="R4679" i="1"/>
  <c r="J4680" i="1"/>
  <c r="Q4680" i="1"/>
  <c r="R4680" i="1"/>
  <c r="J11238" i="1"/>
  <c r="Q11238" i="1"/>
  <c r="R11238" i="1"/>
  <c r="J11239" i="1"/>
  <c r="Q11239" i="1"/>
  <c r="R11239" i="1"/>
  <c r="J4681" i="1"/>
  <c r="Q4681" i="1"/>
  <c r="R4681" i="1"/>
  <c r="J11240" i="1"/>
  <c r="Q11240" i="1"/>
  <c r="R11240" i="1"/>
  <c r="J11241" i="1"/>
  <c r="Q11241" i="1"/>
  <c r="R11241" i="1"/>
  <c r="J11242" i="1"/>
  <c r="Q11242" i="1"/>
  <c r="R11242" i="1"/>
  <c r="J11243" i="1"/>
  <c r="Q11243" i="1"/>
  <c r="R11243" i="1"/>
  <c r="J11244" i="1"/>
  <c r="Q11244" i="1"/>
  <c r="R11244" i="1"/>
  <c r="J4682" i="1"/>
  <c r="Q4682" i="1"/>
  <c r="R4682" i="1"/>
  <c r="J4683" i="1"/>
  <c r="Q4683" i="1"/>
  <c r="R4683" i="1"/>
  <c r="J4684" i="1"/>
  <c r="Q4684" i="1"/>
  <c r="R4684" i="1"/>
  <c r="J11245" i="1"/>
  <c r="Q11245" i="1"/>
  <c r="R11245" i="1"/>
  <c r="J11246" i="1"/>
  <c r="Q11246" i="1"/>
  <c r="R11246" i="1"/>
  <c r="J4685" i="1"/>
  <c r="Q4685" i="1"/>
  <c r="R4685" i="1"/>
  <c r="J11247" i="1"/>
  <c r="Q11247" i="1"/>
  <c r="R11247" i="1"/>
  <c r="J11248" i="1"/>
  <c r="Q11248" i="1"/>
  <c r="R11248" i="1"/>
  <c r="J11249" i="1"/>
  <c r="Q11249" i="1"/>
  <c r="R11249" i="1"/>
  <c r="J11250" i="1"/>
  <c r="Q11250" i="1"/>
  <c r="R11250" i="1"/>
  <c r="J4686" i="1"/>
  <c r="Q4686" i="1"/>
  <c r="R4686" i="1"/>
  <c r="J4687" i="1"/>
  <c r="Q4687" i="1"/>
  <c r="R4687" i="1"/>
  <c r="J11251" i="1"/>
  <c r="Q11251" i="1"/>
  <c r="R11251" i="1"/>
  <c r="J4688" i="1"/>
  <c r="Q4688" i="1"/>
  <c r="R4688" i="1"/>
  <c r="J4689" i="1"/>
  <c r="Q4689" i="1"/>
  <c r="R4689" i="1"/>
  <c r="J4690" i="1"/>
  <c r="Q4690" i="1"/>
  <c r="R4690" i="1"/>
  <c r="J4691" i="1"/>
  <c r="Q4691" i="1"/>
  <c r="R4691" i="1"/>
  <c r="J11252" i="1"/>
  <c r="Q11252" i="1"/>
  <c r="R11252" i="1"/>
  <c r="J4692" i="1"/>
  <c r="Q4692" i="1"/>
  <c r="R4692" i="1"/>
  <c r="J4693" i="1"/>
  <c r="Q4693" i="1"/>
  <c r="R4693" i="1"/>
  <c r="J11253" i="1"/>
  <c r="Q11253" i="1"/>
  <c r="R11253" i="1"/>
  <c r="J11254" i="1"/>
  <c r="Q11254" i="1"/>
  <c r="R11254" i="1"/>
  <c r="J4694" i="1"/>
  <c r="Q4694" i="1"/>
  <c r="R4694" i="1"/>
  <c r="J4695" i="1"/>
  <c r="Q4695" i="1"/>
  <c r="R4695" i="1"/>
  <c r="J11255" i="1"/>
  <c r="Q11255" i="1"/>
  <c r="R11255" i="1"/>
  <c r="J11256" i="1"/>
  <c r="Q11256" i="1"/>
  <c r="R11256" i="1"/>
  <c r="J11257" i="1"/>
  <c r="Q11257" i="1"/>
  <c r="R11257" i="1"/>
  <c r="J11258" i="1"/>
  <c r="Q11258" i="1"/>
  <c r="R11258" i="1"/>
  <c r="J11259" i="1"/>
  <c r="Q11259" i="1"/>
  <c r="R11259" i="1"/>
  <c r="J11260" i="1"/>
  <c r="Q11260" i="1"/>
  <c r="R11260" i="1"/>
  <c r="J4696" i="1"/>
  <c r="Q4696" i="1"/>
  <c r="R4696" i="1"/>
  <c r="J11261" i="1"/>
  <c r="Q11261" i="1"/>
  <c r="R11261" i="1"/>
  <c r="J11262" i="1"/>
  <c r="Q11262" i="1"/>
  <c r="R11262" i="1"/>
  <c r="J11263" i="1"/>
  <c r="Q11263" i="1"/>
  <c r="R11263" i="1"/>
  <c r="J11264" i="1"/>
  <c r="Q11264" i="1"/>
  <c r="R11264" i="1"/>
  <c r="J4697" i="1"/>
  <c r="Q4697" i="1"/>
  <c r="R4697" i="1"/>
  <c r="J11265" i="1"/>
  <c r="Q11265" i="1"/>
  <c r="R11265" i="1"/>
  <c r="J11266" i="1"/>
  <c r="Q11266" i="1"/>
  <c r="R11266" i="1"/>
  <c r="J4698" i="1"/>
  <c r="Q4698" i="1"/>
  <c r="R4698" i="1"/>
  <c r="J11267" i="1"/>
  <c r="Q11267" i="1"/>
  <c r="R11267" i="1"/>
  <c r="J4699" i="1"/>
  <c r="Q4699" i="1"/>
  <c r="R4699" i="1"/>
  <c r="J11268" i="1"/>
  <c r="Q11268" i="1"/>
  <c r="R11268" i="1"/>
  <c r="J4700" i="1"/>
  <c r="Q4700" i="1"/>
  <c r="R4700" i="1"/>
  <c r="J11269" i="1"/>
  <c r="Q11269" i="1"/>
  <c r="R11269" i="1"/>
  <c r="J11270" i="1"/>
  <c r="Q11270" i="1"/>
  <c r="R11270" i="1"/>
  <c r="J4701" i="1"/>
  <c r="Q4701" i="1"/>
  <c r="R4701" i="1"/>
  <c r="J11271" i="1"/>
  <c r="Q11271" i="1"/>
  <c r="R11271" i="1"/>
  <c r="J11272" i="1"/>
  <c r="Q11272" i="1"/>
  <c r="R11272" i="1"/>
  <c r="J11273" i="1"/>
  <c r="Q11273" i="1"/>
  <c r="R11273" i="1"/>
  <c r="J11274" i="1"/>
  <c r="Q11274" i="1"/>
  <c r="R11274" i="1"/>
  <c r="J11275" i="1"/>
  <c r="Q11275" i="1"/>
  <c r="R11275" i="1"/>
  <c r="J4702" i="1"/>
  <c r="Q4702" i="1"/>
  <c r="R4702" i="1"/>
  <c r="J11276" i="1"/>
  <c r="Q11276" i="1"/>
  <c r="R11276" i="1"/>
  <c r="J11277" i="1"/>
  <c r="Q11277" i="1"/>
  <c r="R11277" i="1"/>
  <c r="J11278" i="1"/>
  <c r="Q11278" i="1"/>
  <c r="R11278" i="1"/>
  <c r="J11279" i="1"/>
  <c r="Q11279" i="1"/>
  <c r="R11279" i="1"/>
  <c r="J11280" i="1"/>
  <c r="Q11280" i="1"/>
  <c r="R11280" i="1"/>
  <c r="J11281" i="1"/>
  <c r="Q11281" i="1"/>
  <c r="R11281" i="1"/>
  <c r="J4703" i="1"/>
  <c r="Q4703" i="1"/>
  <c r="R4703" i="1"/>
  <c r="J4704" i="1"/>
  <c r="Q4704" i="1"/>
  <c r="R4704" i="1"/>
  <c r="J11282" i="1"/>
  <c r="Q11282" i="1"/>
  <c r="R11282" i="1"/>
  <c r="J11283" i="1"/>
  <c r="Q11283" i="1"/>
  <c r="R11283" i="1"/>
  <c r="J11284" i="1"/>
  <c r="Q11284" i="1"/>
  <c r="R11284" i="1"/>
  <c r="J11285" i="1"/>
  <c r="Q11285" i="1"/>
  <c r="R11285" i="1"/>
  <c r="J11286" i="1"/>
  <c r="Q11286" i="1"/>
  <c r="R11286" i="1"/>
  <c r="J11287" i="1"/>
  <c r="Q11287" i="1"/>
  <c r="R11287" i="1"/>
  <c r="J4705" i="1"/>
  <c r="Q4705" i="1"/>
  <c r="R4705" i="1"/>
  <c r="J4706" i="1"/>
  <c r="Q4706" i="1"/>
  <c r="R4706" i="1"/>
  <c r="J11288" i="1"/>
  <c r="Q11288" i="1"/>
  <c r="R11288" i="1"/>
  <c r="J11289" i="1"/>
  <c r="Q11289" i="1"/>
  <c r="R11289" i="1"/>
  <c r="J11290" i="1"/>
  <c r="Q11290" i="1"/>
  <c r="R11290" i="1"/>
  <c r="J11291" i="1"/>
  <c r="Q11291" i="1"/>
  <c r="R11291" i="1"/>
  <c r="J11292" i="1"/>
  <c r="Q11292" i="1"/>
  <c r="R11292" i="1"/>
  <c r="J11293" i="1"/>
  <c r="Q11293" i="1"/>
  <c r="R11293" i="1"/>
  <c r="J11294" i="1"/>
  <c r="Q11294" i="1"/>
  <c r="R11294" i="1"/>
  <c r="J11295" i="1"/>
  <c r="Q11295" i="1"/>
  <c r="R11295" i="1"/>
  <c r="J11296" i="1"/>
  <c r="Q11296" i="1"/>
  <c r="R11296" i="1"/>
  <c r="J4707" i="1"/>
  <c r="Q4707" i="1"/>
  <c r="R4707" i="1"/>
  <c r="J11297" i="1"/>
  <c r="Q11297" i="1"/>
  <c r="R11297" i="1"/>
  <c r="J11298" i="1"/>
  <c r="Q11298" i="1"/>
  <c r="R11298" i="1"/>
  <c r="J4708" i="1"/>
  <c r="Q4708" i="1"/>
  <c r="R4708" i="1"/>
  <c r="J11299" i="1"/>
  <c r="Q11299" i="1"/>
  <c r="R11299" i="1"/>
  <c r="J4709" i="1"/>
  <c r="Q4709" i="1"/>
  <c r="R4709" i="1"/>
  <c r="J4710" i="1"/>
  <c r="Q4710" i="1"/>
  <c r="R4710" i="1"/>
  <c r="J4711" i="1"/>
  <c r="Q4711" i="1"/>
  <c r="R4711" i="1"/>
  <c r="J4712" i="1"/>
  <c r="Q4712" i="1"/>
  <c r="R4712" i="1"/>
  <c r="J4713" i="1"/>
  <c r="Q4713" i="1"/>
  <c r="R4713" i="1"/>
  <c r="J4714" i="1"/>
  <c r="Q4714" i="1"/>
  <c r="R4714" i="1"/>
  <c r="J4715" i="1"/>
  <c r="Q4715" i="1"/>
  <c r="R4715" i="1"/>
  <c r="J11300" i="1"/>
  <c r="Q11300" i="1"/>
  <c r="R11300" i="1"/>
  <c r="J4716" i="1"/>
  <c r="Q4716" i="1"/>
  <c r="R4716" i="1"/>
  <c r="J11301" i="1"/>
  <c r="Q11301" i="1"/>
  <c r="R11301" i="1"/>
  <c r="J4717" i="1"/>
  <c r="Q4717" i="1"/>
  <c r="R4717" i="1"/>
  <c r="J11302" i="1"/>
  <c r="Q11302" i="1"/>
  <c r="R11302" i="1"/>
  <c r="J11303" i="1"/>
  <c r="Q11303" i="1"/>
  <c r="R11303" i="1"/>
  <c r="J11304" i="1"/>
  <c r="Q11304" i="1"/>
  <c r="R11304" i="1"/>
  <c r="J4718" i="1"/>
  <c r="Q4718" i="1"/>
  <c r="R4718" i="1"/>
  <c r="J11305" i="1"/>
  <c r="Q11305" i="1"/>
  <c r="R11305" i="1"/>
  <c r="J4719" i="1"/>
  <c r="Q4719" i="1"/>
  <c r="R4719" i="1"/>
  <c r="J4720" i="1"/>
  <c r="Q4720" i="1"/>
  <c r="R4720" i="1"/>
  <c r="J4721" i="1"/>
  <c r="Q4721" i="1"/>
  <c r="R4721" i="1"/>
  <c r="J4722" i="1"/>
  <c r="Q4722" i="1"/>
  <c r="R4722" i="1"/>
  <c r="J4723" i="1"/>
  <c r="Q4723" i="1"/>
  <c r="R4723" i="1"/>
  <c r="J4724" i="1"/>
  <c r="Q4724" i="1"/>
  <c r="R4724" i="1"/>
  <c r="J11306" i="1"/>
  <c r="Q11306" i="1"/>
  <c r="R11306" i="1"/>
  <c r="J4725" i="1"/>
  <c r="Q4725" i="1"/>
  <c r="R4725" i="1"/>
  <c r="J4726" i="1"/>
  <c r="Q4726" i="1"/>
  <c r="R4726" i="1"/>
  <c r="J11307" i="1"/>
  <c r="Q11307" i="1"/>
  <c r="R11307" i="1"/>
  <c r="J4727" i="1"/>
  <c r="Q4727" i="1"/>
  <c r="R4727" i="1"/>
  <c r="J4728" i="1"/>
  <c r="Q4728" i="1"/>
  <c r="R4728" i="1"/>
  <c r="J4729" i="1"/>
  <c r="Q4729" i="1"/>
  <c r="R4729" i="1"/>
  <c r="J4730" i="1"/>
  <c r="Q4730" i="1"/>
  <c r="R4730" i="1"/>
  <c r="J4731" i="1"/>
  <c r="Q4731" i="1"/>
  <c r="R4731" i="1"/>
  <c r="J4732" i="1"/>
  <c r="Q4732" i="1"/>
  <c r="R4732" i="1"/>
  <c r="J4733" i="1"/>
  <c r="Q4733" i="1"/>
  <c r="R4733" i="1"/>
  <c r="J11308" i="1"/>
  <c r="Q11308" i="1"/>
  <c r="R11308" i="1"/>
  <c r="J4734" i="1"/>
  <c r="Q4734" i="1"/>
  <c r="R4734" i="1"/>
  <c r="J11309" i="1"/>
  <c r="Q11309" i="1"/>
  <c r="R11309" i="1"/>
  <c r="J11310" i="1"/>
  <c r="Q11310" i="1"/>
  <c r="R11310" i="1"/>
  <c r="J11311" i="1"/>
  <c r="Q11311" i="1"/>
  <c r="R11311" i="1"/>
  <c r="J11312" i="1"/>
  <c r="Q11312" i="1"/>
  <c r="R11312" i="1"/>
  <c r="J11313" i="1"/>
  <c r="Q11313" i="1"/>
  <c r="R11313" i="1"/>
  <c r="J4735" i="1"/>
  <c r="Q4735" i="1"/>
  <c r="R4735" i="1"/>
  <c r="J4736" i="1"/>
  <c r="Q4736" i="1"/>
  <c r="R4736" i="1"/>
  <c r="J11314" i="1"/>
  <c r="Q11314" i="1"/>
  <c r="R11314" i="1"/>
  <c r="J11315" i="1"/>
  <c r="Q11315" i="1"/>
  <c r="R11315" i="1"/>
  <c r="J4737" i="1"/>
  <c r="Q4737" i="1"/>
  <c r="R4737" i="1"/>
  <c r="J11316" i="1"/>
  <c r="Q11316" i="1"/>
  <c r="R11316" i="1"/>
  <c r="J11317" i="1"/>
  <c r="Q11317" i="1"/>
  <c r="R11317" i="1"/>
  <c r="J11318" i="1"/>
  <c r="Q11318" i="1"/>
  <c r="R11318" i="1"/>
  <c r="J11319" i="1"/>
  <c r="Q11319" i="1"/>
  <c r="R11319" i="1"/>
  <c r="J11320" i="1"/>
  <c r="Q11320" i="1"/>
  <c r="R11320" i="1"/>
  <c r="J11321" i="1"/>
  <c r="Q11321" i="1"/>
  <c r="R11321" i="1"/>
  <c r="J4738" i="1"/>
  <c r="Q4738" i="1"/>
  <c r="R4738" i="1"/>
  <c r="J4739" i="1"/>
  <c r="Q4739" i="1"/>
  <c r="R4739" i="1"/>
  <c r="J4740" i="1"/>
  <c r="Q4740" i="1"/>
  <c r="R4740" i="1"/>
  <c r="J11322" i="1"/>
  <c r="Q11322" i="1"/>
  <c r="R11322" i="1"/>
  <c r="J11323" i="1"/>
  <c r="Q11323" i="1"/>
  <c r="R11323" i="1"/>
  <c r="J11324" i="1"/>
  <c r="Q11324" i="1"/>
  <c r="R11324" i="1"/>
  <c r="J11325" i="1"/>
  <c r="Q11325" i="1"/>
  <c r="R11325" i="1"/>
  <c r="J11326" i="1"/>
  <c r="Q11326" i="1"/>
  <c r="R11326" i="1"/>
  <c r="J11327" i="1"/>
  <c r="Q11327" i="1"/>
  <c r="R11327" i="1"/>
  <c r="J11328" i="1"/>
  <c r="Q11328" i="1"/>
  <c r="R11328" i="1"/>
  <c r="J4741" i="1"/>
  <c r="Q4741" i="1"/>
  <c r="R4741" i="1"/>
  <c r="J4742" i="1"/>
  <c r="Q4742" i="1"/>
  <c r="R4742" i="1"/>
  <c r="J4743" i="1"/>
  <c r="Q4743" i="1"/>
  <c r="R4743" i="1"/>
  <c r="J4744" i="1"/>
  <c r="Q4744" i="1"/>
  <c r="R4744" i="1"/>
  <c r="J4745" i="1"/>
  <c r="Q4745" i="1"/>
  <c r="R4745" i="1"/>
  <c r="J4746" i="1"/>
  <c r="Q4746" i="1"/>
  <c r="R4746" i="1"/>
  <c r="J4747" i="1"/>
  <c r="Q4747" i="1"/>
  <c r="R4747" i="1"/>
  <c r="J4748" i="1"/>
  <c r="Q4748" i="1"/>
  <c r="R4748" i="1"/>
  <c r="J4749" i="1"/>
  <c r="Q4749" i="1"/>
  <c r="R4749" i="1"/>
  <c r="J4750" i="1"/>
  <c r="Q4750" i="1"/>
  <c r="R4750" i="1"/>
  <c r="J4751" i="1"/>
  <c r="Q4751" i="1"/>
  <c r="R4751" i="1"/>
  <c r="J4752" i="1"/>
  <c r="Q4752" i="1"/>
  <c r="R4752" i="1"/>
  <c r="J11329" i="1"/>
  <c r="Q11329" i="1"/>
  <c r="R11329" i="1"/>
  <c r="J11330" i="1"/>
  <c r="Q11330" i="1"/>
  <c r="R11330" i="1"/>
  <c r="J11331" i="1"/>
  <c r="Q11331" i="1"/>
  <c r="R11331" i="1"/>
  <c r="J11332" i="1"/>
  <c r="Q11332" i="1"/>
  <c r="R11332" i="1"/>
  <c r="J11333" i="1"/>
  <c r="Q11333" i="1"/>
  <c r="R11333" i="1"/>
  <c r="J11334" i="1"/>
  <c r="Q11334" i="1"/>
  <c r="R11334" i="1"/>
  <c r="J11335" i="1"/>
  <c r="Q11335" i="1"/>
  <c r="R11335" i="1"/>
  <c r="J11336" i="1"/>
  <c r="Q11336" i="1"/>
  <c r="R11336" i="1"/>
  <c r="J11337" i="1"/>
  <c r="Q11337" i="1"/>
  <c r="R11337" i="1"/>
  <c r="J11338" i="1"/>
  <c r="Q11338" i="1"/>
  <c r="R11338" i="1"/>
  <c r="J11339" i="1"/>
  <c r="Q11339" i="1"/>
  <c r="R11339" i="1"/>
  <c r="J11340" i="1"/>
  <c r="Q11340" i="1"/>
  <c r="R11340" i="1"/>
  <c r="J4753" i="1"/>
  <c r="Q4753" i="1"/>
  <c r="R4753" i="1"/>
  <c r="J4754" i="1"/>
  <c r="Q4754" i="1"/>
  <c r="R4754" i="1"/>
  <c r="J11341" i="1"/>
  <c r="Q11341" i="1"/>
  <c r="R11341" i="1"/>
  <c r="J4755" i="1"/>
  <c r="Q4755" i="1"/>
  <c r="R4755" i="1"/>
  <c r="J4756" i="1"/>
  <c r="Q4756" i="1"/>
  <c r="R4756" i="1"/>
  <c r="J4757" i="1"/>
  <c r="Q4757" i="1"/>
  <c r="R4757" i="1"/>
  <c r="J4758" i="1"/>
  <c r="Q4758" i="1"/>
  <c r="R4758" i="1"/>
  <c r="J4759" i="1"/>
  <c r="Q4759" i="1"/>
  <c r="R4759" i="1"/>
  <c r="J4760" i="1"/>
  <c r="Q4760" i="1"/>
  <c r="R4760" i="1"/>
  <c r="J11342" i="1"/>
  <c r="Q11342" i="1"/>
  <c r="R11342" i="1"/>
  <c r="J11343" i="1"/>
  <c r="Q11343" i="1"/>
  <c r="R11343" i="1"/>
  <c r="J4761" i="1"/>
  <c r="Q4761" i="1"/>
  <c r="R4761" i="1"/>
  <c r="J11344" i="1"/>
  <c r="Q11344" i="1"/>
  <c r="R11344" i="1"/>
  <c r="J11345" i="1"/>
  <c r="Q11345" i="1"/>
  <c r="R11345" i="1"/>
  <c r="J4762" i="1"/>
  <c r="Q4762" i="1"/>
  <c r="R4762" i="1"/>
  <c r="J4763" i="1"/>
  <c r="Q4763" i="1"/>
  <c r="R4763" i="1"/>
  <c r="J4764" i="1"/>
  <c r="Q4764" i="1"/>
  <c r="R4764" i="1"/>
  <c r="J4765" i="1"/>
  <c r="Q4765" i="1"/>
  <c r="R4765" i="1"/>
  <c r="J4766" i="1"/>
  <c r="Q4766" i="1"/>
  <c r="R4766" i="1"/>
  <c r="J11346" i="1"/>
  <c r="Q11346" i="1"/>
  <c r="R11346" i="1"/>
  <c r="J11347" i="1"/>
  <c r="Q11347" i="1"/>
  <c r="R11347" i="1"/>
  <c r="J4767" i="1"/>
  <c r="Q4767" i="1"/>
  <c r="R4767" i="1"/>
  <c r="J4768" i="1"/>
  <c r="Q4768" i="1"/>
  <c r="R4768" i="1"/>
  <c r="J11348" i="1"/>
  <c r="Q11348" i="1"/>
  <c r="R11348" i="1"/>
  <c r="J4769" i="1"/>
  <c r="Q4769" i="1"/>
  <c r="R4769" i="1"/>
  <c r="J11349" i="1"/>
  <c r="Q11349" i="1"/>
  <c r="R11349" i="1"/>
  <c r="J11350" i="1"/>
  <c r="Q11350" i="1"/>
  <c r="R11350" i="1"/>
  <c r="J11351" i="1"/>
  <c r="Q11351" i="1"/>
  <c r="R11351" i="1"/>
  <c r="J11352" i="1"/>
  <c r="Q11352" i="1"/>
  <c r="R11352" i="1"/>
  <c r="J4770" i="1"/>
  <c r="Q4770" i="1"/>
  <c r="R4770" i="1"/>
  <c r="J4771" i="1"/>
  <c r="Q4771" i="1"/>
  <c r="R4771" i="1"/>
  <c r="J4772" i="1"/>
  <c r="Q4772" i="1"/>
  <c r="R4772" i="1"/>
  <c r="J4773" i="1"/>
  <c r="Q4773" i="1"/>
  <c r="R4773" i="1"/>
  <c r="J4774" i="1"/>
  <c r="Q4774" i="1"/>
  <c r="R4774" i="1"/>
  <c r="J4775" i="1"/>
  <c r="Q4775" i="1"/>
  <c r="R4775" i="1"/>
  <c r="J11353" i="1"/>
  <c r="Q11353" i="1"/>
  <c r="R11353" i="1"/>
  <c r="J11354" i="1"/>
  <c r="Q11354" i="1"/>
  <c r="R11354" i="1"/>
  <c r="J11355" i="1"/>
  <c r="Q11355" i="1"/>
  <c r="R11355" i="1"/>
  <c r="J11356" i="1"/>
  <c r="Q11356" i="1"/>
  <c r="R11356" i="1"/>
  <c r="J11357" i="1"/>
  <c r="Q11357" i="1"/>
  <c r="R11357" i="1"/>
  <c r="J4776" i="1"/>
  <c r="Q4776" i="1"/>
  <c r="R4776" i="1"/>
  <c r="J11358" i="1"/>
  <c r="Q11358" i="1"/>
  <c r="R11358" i="1"/>
  <c r="J11359" i="1"/>
  <c r="Q11359" i="1"/>
  <c r="R11359" i="1"/>
  <c r="J11360" i="1"/>
  <c r="Q11360" i="1"/>
  <c r="R11360" i="1"/>
  <c r="J11361" i="1"/>
  <c r="Q11361" i="1"/>
  <c r="R11361" i="1"/>
  <c r="J11362" i="1"/>
  <c r="Q11362" i="1"/>
  <c r="R11362" i="1"/>
  <c r="J11363" i="1"/>
  <c r="Q11363" i="1"/>
  <c r="R11363" i="1"/>
  <c r="J4777" i="1"/>
  <c r="Q4777" i="1"/>
  <c r="R4777" i="1"/>
  <c r="J11364" i="1"/>
  <c r="Q11364" i="1"/>
  <c r="R11364" i="1"/>
  <c r="J4778" i="1"/>
  <c r="Q4778" i="1"/>
  <c r="R4778" i="1"/>
  <c r="J4779" i="1"/>
  <c r="Q4779" i="1"/>
  <c r="R4779" i="1"/>
  <c r="J4780" i="1"/>
  <c r="Q4780" i="1"/>
  <c r="R4780" i="1"/>
  <c r="J4781" i="1"/>
  <c r="Q4781" i="1"/>
  <c r="R4781" i="1"/>
  <c r="J4782" i="1"/>
  <c r="Q4782" i="1"/>
  <c r="R4782" i="1"/>
  <c r="J4783" i="1"/>
  <c r="Q4783" i="1"/>
  <c r="R4783" i="1"/>
  <c r="J11365" i="1"/>
  <c r="Q11365" i="1"/>
  <c r="R11365" i="1"/>
  <c r="J4784" i="1"/>
  <c r="Q4784" i="1"/>
  <c r="R4784" i="1"/>
  <c r="J11366" i="1"/>
  <c r="Q11366" i="1"/>
  <c r="R11366" i="1"/>
  <c r="J11367" i="1"/>
  <c r="Q11367" i="1"/>
  <c r="R11367" i="1"/>
  <c r="J11368" i="1"/>
  <c r="Q11368" i="1"/>
  <c r="R11368" i="1"/>
  <c r="J11369" i="1"/>
  <c r="Q11369" i="1"/>
  <c r="R11369" i="1"/>
  <c r="J11370" i="1"/>
  <c r="Q11370" i="1"/>
  <c r="R11370" i="1"/>
  <c r="J11371" i="1"/>
  <c r="Q11371" i="1"/>
  <c r="R11371" i="1"/>
  <c r="J11372" i="1"/>
  <c r="Q11372" i="1"/>
  <c r="R11372" i="1"/>
  <c r="J11373" i="1"/>
  <c r="Q11373" i="1"/>
  <c r="R11373" i="1"/>
  <c r="J11374" i="1"/>
  <c r="Q11374" i="1"/>
  <c r="R11374" i="1"/>
  <c r="J11375" i="1"/>
  <c r="Q11375" i="1"/>
  <c r="R11375" i="1"/>
  <c r="J11376" i="1"/>
  <c r="Q11376" i="1"/>
  <c r="R11376" i="1"/>
  <c r="J11377" i="1"/>
  <c r="Q11377" i="1"/>
  <c r="R11377" i="1"/>
  <c r="J11378" i="1"/>
  <c r="Q11378" i="1"/>
  <c r="R11378" i="1"/>
  <c r="J11379" i="1"/>
  <c r="Q11379" i="1"/>
  <c r="R11379" i="1"/>
  <c r="J11380" i="1"/>
  <c r="Q11380" i="1"/>
  <c r="R11380" i="1"/>
  <c r="J11381" i="1"/>
  <c r="Q11381" i="1"/>
  <c r="R11381" i="1"/>
  <c r="J11382" i="1"/>
  <c r="Q11382" i="1"/>
  <c r="R11382" i="1"/>
  <c r="J11383" i="1"/>
  <c r="Q11383" i="1"/>
  <c r="R11383" i="1"/>
  <c r="J11384" i="1"/>
  <c r="Q11384" i="1"/>
  <c r="R11384" i="1"/>
  <c r="J11385" i="1"/>
  <c r="Q11385" i="1"/>
  <c r="R11385" i="1"/>
  <c r="J11386" i="1"/>
  <c r="Q11386" i="1"/>
  <c r="R11386" i="1"/>
  <c r="J11387" i="1"/>
  <c r="Q11387" i="1"/>
  <c r="R11387" i="1"/>
  <c r="J11388" i="1"/>
  <c r="Q11388" i="1"/>
  <c r="R11388" i="1"/>
  <c r="J11389" i="1"/>
  <c r="Q11389" i="1"/>
  <c r="R11389" i="1"/>
  <c r="J11390" i="1"/>
  <c r="Q11390" i="1"/>
  <c r="R11390" i="1"/>
  <c r="J11391" i="1"/>
  <c r="Q11391" i="1"/>
  <c r="R11391" i="1"/>
  <c r="J11392" i="1"/>
  <c r="Q11392" i="1"/>
  <c r="R11392" i="1"/>
  <c r="J11393" i="1"/>
  <c r="Q11393" i="1"/>
  <c r="R11393" i="1"/>
  <c r="J11394" i="1"/>
  <c r="Q11394" i="1"/>
  <c r="R11394" i="1"/>
  <c r="J11395" i="1"/>
  <c r="Q11395" i="1"/>
  <c r="R11395" i="1"/>
  <c r="J11396" i="1"/>
  <c r="Q11396" i="1"/>
  <c r="R11396" i="1"/>
  <c r="J11397" i="1"/>
  <c r="Q11397" i="1"/>
  <c r="R11397" i="1"/>
  <c r="J11398" i="1"/>
  <c r="Q11398" i="1"/>
  <c r="R11398" i="1"/>
  <c r="J11399" i="1"/>
  <c r="Q11399" i="1"/>
  <c r="R11399" i="1"/>
  <c r="J11400" i="1"/>
  <c r="Q11400" i="1"/>
  <c r="R11400" i="1"/>
  <c r="J11401" i="1"/>
  <c r="Q11401" i="1"/>
  <c r="R11401" i="1"/>
  <c r="J11402" i="1"/>
  <c r="Q11402" i="1"/>
  <c r="R11402" i="1"/>
  <c r="J11403" i="1"/>
  <c r="Q11403" i="1"/>
  <c r="R11403" i="1"/>
  <c r="J11404" i="1"/>
  <c r="Q11404" i="1"/>
  <c r="R11404" i="1"/>
  <c r="J11405" i="1"/>
  <c r="Q11405" i="1"/>
  <c r="R11405" i="1"/>
  <c r="J11406" i="1"/>
  <c r="Q11406" i="1"/>
  <c r="R11406" i="1"/>
  <c r="J11407" i="1"/>
  <c r="Q11407" i="1"/>
  <c r="R11407" i="1"/>
  <c r="J11408" i="1"/>
  <c r="Q11408" i="1"/>
  <c r="R11408" i="1"/>
  <c r="J11409" i="1"/>
  <c r="Q11409" i="1"/>
  <c r="R11409" i="1"/>
  <c r="J11410" i="1"/>
  <c r="Q11410" i="1"/>
  <c r="R11410" i="1"/>
  <c r="J11411" i="1"/>
  <c r="Q11411" i="1"/>
  <c r="R11411" i="1"/>
  <c r="J11412" i="1"/>
  <c r="Q11412" i="1"/>
  <c r="R11412" i="1"/>
  <c r="J11413" i="1"/>
  <c r="Q11413" i="1"/>
  <c r="R11413" i="1"/>
  <c r="J11414" i="1"/>
  <c r="Q11414" i="1"/>
  <c r="R11414" i="1"/>
  <c r="J11415" i="1"/>
  <c r="Q11415" i="1"/>
  <c r="R11415" i="1"/>
  <c r="J11416" i="1"/>
  <c r="Q11416" i="1"/>
  <c r="R11416" i="1"/>
  <c r="J11417" i="1"/>
  <c r="Q11417" i="1"/>
  <c r="R11417" i="1"/>
  <c r="J11418" i="1"/>
  <c r="Q11418" i="1"/>
  <c r="R11418" i="1"/>
  <c r="J11419" i="1"/>
  <c r="Q11419" i="1"/>
  <c r="R11419" i="1"/>
  <c r="J4785" i="1"/>
  <c r="Q4785" i="1"/>
  <c r="R4785" i="1"/>
  <c r="J11420" i="1"/>
  <c r="Q11420" i="1"/>
  <c r="R11420" i="1"/>
  <c r="J11421" i="1"/>
  <c r="Q11421" i="1"/>
  <c r="R11421" i="1"/>
  <c r="J11422" i="1"/>
  <c r="Q11422" i="1"/>
  <c r="R11422" i="1"/>
  <c r="J11423" i="1"/>
  <c r="Q11423" i="1"/>
  <c r="R11423" i="1"/>
  <c r="J11424" i="1"/>
  <c r="Q11424" i="1"/>
  <c r="R11424" i="1"/>
  <c r="J11425" i="1"/>
  <c r="Q11425" i="1"/>
  <c r="R11425" i="1"/>
  <c r="J11426" i="1"/>
  <c r="Q11426" i="1"/>
  <c r="R11426" i="1"/>
  <c r="J11427" i="1"/>
  <c r="Q11427" i="1"/>
  <c r="R11427" i="1"/>
  <c r="J11428" i="1"/>
  <c r="Q11428" i="1"/>
  <c r="R11428" i="1"/>
  <c r="J11429" i="1"/>
  <c r="Q11429" i="1"/>
  <c r="R11429" i="1"/>
  <c r="J11430" i="1"/>
  <c r="Q11430" i="1"/>
  <c r="R11430" i="1"/>
  <c r="J4786" i="1"/>
  <c r="Q4786" i="1"/>
  <c r="R4786" i="1"/>
  <c r="J4787" i="1"/>
  <c r="Q4787" i="1"/>
  <c r="R4787" i="1"/>
  <c r="J4788" i="1"/>
  <c r="Q4788" i="1"/>
  <c r="R4788" i="1"/>
  <c r="J4789" i="1"/>
  <c r="Q4789" i="1"/>
  <c r="R4789" i="1"/>
  <c r="J11431" i="1"/>
  <c r="Q11431" i="1"/>
  <c r="R11431" i="1"/>
  <c r="J11432" i="1"/>
  <c r="Q11432" i="1"/>
  <c r="R11432" i="1"/>
  <c r="J11433" i="1"/>
  <c r="Q11433" i="1"/>
  <c r="R11433" i="1"/>
  <c r="J11434" i="1"/>
  <c r="Q11434" i="1"/>
  <c r="R11434" i="1"/>
  <c r="J11435" i="1"/>
  <c r="Q11435" i="1"/>
  <c r="R11435" i="1"/>
  <c r="J11436" i="1"/>
  <c r="Q11436" i="1"/>
  <c r="R11436" i="1"/>
  <c r="J4790" i="1"/>
  <c r="Q4790" i="1"/>
  <c r="R4790" i="1"/>
  <c r="J4791" i="1"/>
  <c r="Q4791" i="1"/>
  <c r="R4791" i="1"/>
  <c r="J4792" i="1"/>
  <c r="Q4792" i="1"/>
  <c r="R4792" i="1"/>
  <c r="J11437" i="1"/>
  <c r="Q11437" i="1"/>
  <c r="R11437" i="1"/>
  <c r="J4793" i="1"/>
  <c r="Q4793" i="1"/>
  <c r="R4793" i="1"/>
  <c r="J4794" i="1"/>
  <c r="Q4794" i="1"/>
  <c r="R4794" i="1"/>
  <c r="J4795" i="1"/>
  <c r="Q4795" i="1"/>
  <c r="R4795" i="1"/>
  <c r="J4796" i="1"/>
  <c r="Q4796" i="1"/>
  <c r="R4796" i="1"/>
  <c r="J4797" i="1"/>
  <c r="Q4797" i="1"/>
  <c r="R4797" i="1"/>
  <c r="J4798" i="1"/>
  <c r="Q4798" i="1"/>
  <c r="R4798" i="1"/>
  <c r="J4799" i="1"/>
  <c r="Q4799" i="1"/>
  <c r="R4799" i="1"/>
  <c r="J4800" i="1"/>
  <c r="Q4800" i="1"/>
  <c r="R4800" i="1"/>
  <c r="J4801" i="1"/>
  <c r="Q4801" i="1"/>
  <c r="R4801" i="1"/>
  <c r="J4802" i="1"/>
  <c r="Q4802" i="1"/>
  <c r="R4802" i="1"/>
  <c r="J4803" i="1"/>
  <c r="Q4803" i="1"/>
  <c r="R4803" i="1"/>
  <c r="J4804" i="1"/>
  <c r="Q4804" i="1"/>
  <c r="R4804" i="1"/>
  <c r="J4805" i="1"/>
  <c r="Q4805" i="1"/>
  <c r="R4805" i="1"/>
  <c r="J4806" i="1"/>
  <c r="Q4806" i="1"/>
  <c r="R4806" i="1"/>
  <c r="J4807" i="1"/>
  <c r="Q4807" i="1"/>
  <c r="R4807" i="1"/>
  <c r="J11438" i="1"/>
  <c r="Q11438" i="1"/>
  <c r="R11438" i="1"/>
  <c r="J11439" i="1"/>
  <c r="Q11439" i="1"/>
  <c r="R11439" i="1"/>
  <c r="J4808" i="1"/>
  <c r="Q4808" i="1"/>
  <c r="R4808" i="1"/>
  <c r="J4809" i="1"/>
  <c r="Q4809" i="1"/>
  <c r="R4809" i="1"/>
  <c r="J4810" i="1"/>
  <c r="Q4810" i="1"/>
  <c r="R4810" i="1"/>
  <c r="J11440" i="1"/>
  <c r="Q11440" i="1"/>
  <c r="R11440" i="1"/>
  <c r="J4811" i="1"/>
  <c r="Q4811" i="1"/>
  <c r="R4811" i="1"/>
  <c r="J11441" i="1"/>
  <c r="Q11441" i="1"/>
  <c r="R11441" i="1"/>
  <c r="J4812" i="1"/>
  <c r="Q4812" i="1"/>
  <c r="R4812" i="1"/>
  <c r="J11442" i="1"/>
  <c r="Q11442" i="1"/>
  <c r="R11442" i="1"/>
  <c r="J11443" i="1"/>
  <c r="Q11443" i="1"/>
  <c r="R11443" i="1"/>
  <c r="J11444" i="1"/>
  <c r="Q11444" i="1"/>
  <c r="R11444" i="1"/>
  <c r="J11445" i="1"/>
  <c r="Q11445" i="1"/>
  <c r="R11445" i="1"/>
  <c r="J4813" i="1"/>
  <c r="Q4813" i="1"/>
  <c r="R4813" i="1"/>
  <c r="J4814" i="1"/>
  <c r="Q4814" i="1"/>
  <c r="R4814" i="1"/>
  <c r="J11446" i="1"/>
  <c r="Q11446" i="1"/>
  <c r="R11446" i="1"/>
  <c r="J11447" i="1"/>
  <c r="Q11447" i="1"/>
  <c r="R11447" i="1"/>
  <c r="J11448" i="1"/>
  <c r="Q11448" i="1"/>
  <c r="R11448" i="1"/>
  <c r="J11449" i="1"/>
  <c r="Q11449" i="1"/>
  <c r="R11449" i="1"/>
  <c r="J11450" i="1"/>
  <c r="Q11450" i="1"/>
  <c r="R11450" i="1"/>
  <c r="J11451" i="1"/>
  <c r="Q11451" i="1"/>
  <c r="R11451" i="1"/>
  <c r="J11452" i="1"/>
  <c r="Q11452" i="1"/>
  <c r="R11452" i="1"/>
  <c r="J11453" i="1"/>
  <c r="Q11453" i="1"/>
  <c r="R11453" i="1"/>
  <c r="J11454" i="1"/>
  <c r="Q11454" i="1"/>
  <c r="R11454" i="1"/>
  <c r="J11455" i="1"/>
  <c r="Q11455" i="1"/>
  <c r="R11455" i="1"/>
  <c r="J11456" i="1"/>
  <c r="Q11456" i="1"/>
  <c r="R11456" i="1"/>
  <c r="J11457" i="1"/>
  <c r="Q11457" i="1"/>
  <c r="R11457" i="1"/>
  <c r="J4815" i="1"/>
  <c r="Q4815" i="1"/>
  <c r="R4815" i="1"/>
  <c r="J11458" i="1"/>
  <c r="Q11458" i="1"/>
  <c r="R11458" i="1"/>
  <c r="J4816" i="1"/>
  <c r="Q4816" i="1"/>
  <c r="R4816" i="1"/>
  <c r="J11459" i="1"/>
  <c r="Q11459" i="1"/>
  <c r="R11459" i="1"/>
  <c r="J11460" i="1"/>
  <c r="Q11460" i="1"/>
  <c r="R11460" i="1"/>
  <c r="J11461" i="1"/>
  <c r="Q11461" i="1"/>
  <c r="R11461" i="1"/>
  <c r="J11462" i="1"/>
  <c r="Q11462" i="1"/>
  <c r="R11462" i="1"/>
  <c r="J11463" i="1"/>
  <c r="Q11463" i="1"/>
  <c r="R11463" i="1"/>
  <c r="J4817" i="1"/>
  <c r="Q4817" i="1"/>
  <c r="R4817" i="1"/>
  <c r="J4818" i="1"/>
  <c r="Q4818" i="1"/>
  <c r="R4818" i="1"/>
  <c r="J11464" i="1"/>
  <c r="Q11464" i="1"/>
  <c r="R11464" i="1"/>
  <c r="J11465" i="1"/>
  <c r="Q11465" i="1"/>
  <c r="R11465" i="1"/>
  <c r="J11466" i="1"/>
  <c r="Q11466" i="1"/>
  <c r="R11466" i="1"/>
  <c r="J11467" i="1"/>
  <c r="Q11467" i="1"/>
  <c r="R11467" i="1"/>
  <c r="J11468" i="1"/>
  <c r="Q11468" i="1"/>
  <c r="R11468" i="1"/>
  <c r="J4819" i="1"/>
  <c r="Q4819" i="1"/>
  <c r="R4819" i="1"/>
  <c r="J4820" i="1"/>
  <c r="Q4820" i="1"/>
  <c r="R4820" i="1"/>
  <c r="J4821" i="1"/>
  <c r="Q4821" i="1"/>
  <c r="R4821" i="1"/>
  <c r="J11469" i="1"/>
  <c r="Q11469" i="1"/>
  <c r="R11469" i="1"/>
  <c r="J4822" i="1"/>
  <c r="Q4822" i="1"/>
  <c r="R4822" i="1"/>
  <c r="J4823" i="1"/>
  <c r="Q4823" i="1"/>
  <c r="R4823" i="1"/>
  <c r="J11470" i="1"/>
  <c r="Q11470" i="1"/>
  <c r="R11470" i="1"/>
  <c r="J11471" i="1"/>
  <c r="Q11471" i="1"/>
  <c r="R11471" i="1"/>
  <c r="J11472" i="1"/>
  <c r="Q11472" i="1"/>
  <c r="R11472" i="1"/>
  <c r="J11473" i="1"/>
  <c r="Q11473" i="1"/>
  <c r="R11473" i="1"/>
  <c r="J11474" i="1"/>
  <c r="Q11474" i="1"/>
  <c r="R11474" i="1"/>
  <c r="J4824" i="1"/>
  <c r="Q4824" i="1"/>
  <c r="R4824" i="1"/>
  <c r="J11475" i="1"/>
  <c r="Q11475" i="1"/>
  <c r="R11475" i="1"/>
  <c r="J11476" i="1"/>
  <c r="Q11476" i="1"/>
  <c r="R11476" i="1"/>
  <c r="J4825" i="1"/>
  <c r="Q4825" i="1"/>
  <c r="R4825" i="1"/>
  <c r="J4826" i="1"/>
  <c r="Q4826" i="1"/>
  <c r="R4826" i="1"/>
  <c r="J11477" i="1"/>
  <c r="Q11477" i="1"/>
  <c r="R11477" i="1"/>
  <c r="J11478" i="1"/>
  <c r="Q11478" i="1"/>
  <c r="R11478" i="1"/>
  <c r="J4827" i="1"/>
  <c r="Q4827" i="1"/>
  <c r="R4827" i="1"/>
  <c r="J11479" i="1"/>
  <c r="Q11479" i="1"/>
  <c r="R11479" i="1"/>
  <c r="J4828" i="1"/>
  <c r="Q4828" i="1"/>
  <c r="R4828" i="1"/>
  <c r="J4829" i="1"/>
  <c r="Q4829" i="1"/>
  <c r="R4829" i="1"/>
  <c r="J11480" i="1"/>
  <c r="Q11480" i="1"/>
  <c r="R11480" i="1"/>
  <c r="J4830" i="1"/>
  <c r="Q4830" i="1"/>
  <c r="R4830" i="1"/>
  <c r="J4831" i="1"/>
  <c r="Q4831" i="1"/>
  <c r="R4831" i="1"/>
  <c r="J11481" i="1"/>
  <c r="Q11481" i="1"/>
  <c r="R11481" i="1"/>
  <c r="J4832" i="1"/>
  <c r="Q4832" i="1"/>
  <c r="R4832" i="1"/>
  <c r="J11482" i="1"/>
  <c r="Q11482" i="1"/>
  <c r="R11482" i="1"/>
  <c r="J11483" i="1"/>
  <c r="Q11483" i="1"/>
  <c r="R11483" i="1"/>
  <c r="J11484" i="1"/>
  <c r="Q11484" i="1"/>
  <c r="R11484" i="1"/>
  <c r="J11485" i="1"/>
  <c r="Q11485" i="1"/>
  <c r="R11485" i="1"/>
  <c r="J11486" i="1"/>
  <c r="Q11486" i="1"/>
  <c r="R11486" i="1"/>
  <c r="J11487" i="1"/>
  <c r="Q11487" i="1"/>
  <c r="R11487" i="1"/>
  <c r="J11488" i="1"/>
  <c r="Q11488" i="1"/>
  <c r="R11488" i="1"/>
  <c r="J11489" i="1"/>
  <c r="Q11489" i="1"/>
  <c r="R11489" i="1"/>
  <c r="J11490" i="1"/>
  <c r="Q11490" i="1"/>
  <c r="R11490" i="1"/>
  <c r="J11491" i="1"/>
  <c r="Q11491" i="1"/>
  <c r="R11491" i="1"/>
  <c r="J4833" i="1"/>
  <c r="Q4833" i="1"/>
  <c r="R4833" i="1"/>
  <c r="J11492" i="1"/>
  <c r="Q11492" i="1"/>
  <c r="R11492" i="1"/>
  <c r="J11493" i="1"/>
  <c r="Q11493" i="1"/>
  <c r="R11493" i="1"/>
  <c r="J11494" i="1"/>
  <c r="Q11494" i="1"/>
  <c r="R11494" i="1"/>
  <c r="J11495" i="1"/>
  <c r="Q11495" i="1"/>
  <c r="R11495" i="1"/>
  <c r="J11496" i="1"/>
  <c r="Q11496" i="1"/>
  <c r="R11496" i="1"/>
  <c r="J11497" i="1"/>
  <c r="Q11497" i="1"/>
  <c r="R11497" i="1"/>
  <c r="J11498" i="1"/>
  <c r="Q11498" i="1"/>
  <c r="R11498" i="1"/>
  <c r="J11499" i="1"/>
  <c r="Q11499" i="1"/>
  <c r="R11499" i="1"/>
  <c r="J11500" i="1"/>
  <c r="Q11500" i="1"/>
  <c r="R11500" i="1"/>
  <c r="J11501" i="1"/>
  <c r="Q11501" i="1"/>
  <c r="R11501" i="1"/>
  <c r="J11502" i="1"/>
  <c r="Q11502" i="1"/>
  <c r="R11502" i="1"/>
  <c r="J11503" i="1"/>
  <c r="Q11503" i="1"/>
  <c r="R11503" i="1"/>
  <c r="J4834" i="1"/>
  <c r="Q4834" i="1"/>
  <c r="R4834" i="1"/>
  <c r="J4835" i="1"/>
  <c r="Q4835" i="1"/>
  <c r="R4835" i="1"/>
  <c r="J11504" i="1"/>
  <c r="Q11504" i="1"/>
  <c r="R11504" i="1"/>
  <c r="J11505" i="1"/>
  <c r="Q11505" i="1"/>
  <c r="R11505" i="1"/>
  <c r="J11506" i="1"/>
  <c r="Q11506" i="1"/>
  <c r="R11506" i="1"/>
  <c r="J4836" i="1"/>
  <c r="Q4836" i="1"/>
  <c r="R4836" i="1"/>
  <c r="J11507" i="1"/>
  <c r="Q11507" i="1"/>
  <c r="R11507" i="1"/>
  <c r="J4837" i="1"/>
  <c r="Q4837" i="1"/>
  <c r="R4837" i="1"/>
  <c r="J11508" i="1"/>
  <c r="Q11508" i="1"/>
  <c r="R11508" i="1"/>
  <c r="J4838" i="1"/>
  <c r="Q4838" i="1"/>
  <c r="R4838" i="1"/>
  <c r="J11509" i="1"/>
  <c r="Q11509" i="1"/>
  <c r="R11509" i="1"/>
  <c r="J11510" i="1"/>
  <c r="Q11510" i="1"/>
  <c r="R11510" i="1"/>
  <c r="J4839" i="1"/>
  <c r="Q4839" i="1"/>
  <c r="R4839" i="1"/>
  <c r="J4840" i="1"/>
  <c r="Q4840" i="1"/>
  <c r="R4840" i="1"/>
  <c r="J11511" i="1"/>
  <c r="Q11511" i="1"/>
  <c r="R11511" i="1"/>
  <c r="J11512" i="1"/>
  <c r="Q11512" i="1"/>
  <c r="R11512" i="1"/>
  <c r="J4841" i="1"/>
  <c r="Q4841" i="1"/>
  <c r="R4841" i="1"/>
  <c r="J11513" i="1"/>
  <c r="Q11513" i="1"/>
  <c r="R11513" i="1"/>
  <c r="J11514" i="1"/>
  <c r="Q11514" i="1"/>
  <c r="R11514" i="1"/>
  <c r="J4842" i="1"/>
  <c r="Q4842" i="1"/>
  <c r="R4842" i="1"/>
  <c r="J4843" i="1"/>
  <c r="Q4843" i="1"/>
  <c r="R4843" i="1"/>
  <c r="J11515" i="1"/>
  <c r="Q11515" i="1"/>
  <c r="R11515" i="1"/>
  <c r="J4844" i="1"/>
  <c r="Q4844" i="1"/>
  <c r="R4844" i="1"/>
  <c r="J4845" i="1"/>
  <c r="Q4845" i="1"/>
  <c r="R4845" i="1"/>
  <c r="J4846" i="1"/>
  <c r="Q4846" i="1"/>
  <c r="R4846" i="1"/>
  <c r="J11516" i="1"/>
  <c r="Q11516" i="1"/>
  <c r="R11516" i="1"/>
  <c r="J4847" i="1"/>
  <c r="Q4847" i="1"/>
  <c r="R4847" i="1"/>
  <c r="J11517" i="1"/>
  <c r="Q11517" i="1"/>
  <c r="R11517" i="1"/>
  <c r="J4848" i="1"/>
  <c r="Q4848" i="1"/>
  <c r="R4848" i="1"/>
  <c r="J4849" i="1"/>
  <c r="Q4849" i="1"/>
  <c r="R4849" i="1"/>
  <c r="J11518" i="1"/>
  <c r="Q11518" i="1"/>
  <c r="R11518" i="1"/>
  <c r="J11519" i="1"/>
  <c r="Q11519" i="1"/>
  <c r="R11519" i="1"/>
  <c r="J4850" i="1"/>
  <c r="Q4850" i="1"/>
  <c r="R4850" i="1"/>
  <c r="J4851" i="1"/>
  <c r="Q4851" i="1"/>
  <c r="R4851" i="1"/>
  <c r="J11520" i="1"/>
  <c r="Q11520" i="1"/>
  <c r="R11520" i="1"/>
  <c r="J4852" i="1"/>
  <c r="Q4852" i="1"/>
  <c r="R4852" i="1"/>
  <c r="J4853" i="1"/>
  <c r="Q4853" i="1"/>
  <c r="R4853" i="1"/>
  <c r="J11521" i="1"/>
  <c r="Q11521" i="1"/>
  <c r="R11521" i="1"/>
  <c r="J11522" i="1"/>
  <c r="Q11522" i="1"/>
  <c r="R11522" i="1"/>
  <c r="J4854" i="1"/>
  <c r="Q4854" i="1"/>
  <c r="R4854" i="1"/>
  <c r="J4855" i="1"/>
  <c r="Q4855" i="1"/>
  <c r="R4855" i="1"/>
  <c r="J4856" i="1"/>
  <c r="Q4856" i="1"/>
  <c r="R4856" i="1"/>
  <c r="J4857" i="1"/>
  <c r="Q4857" i="1"/>
  <c r="R4857" i="1"/>
  <c r="J4858" i="1"/>
  <c r="Q4858" i="1"/>
  <c r="R4858" i="1"/>
  <c r="J11523" i="1"/>
  <c r="Q11523" i="1"/>
  <c r="R11523" i="1"/>
  <c r="J4859" i="1"/>
  <c r="Q4859" i="1"/>
  <c r="R4859" i="1"/>
  <c r="J11524" i="1"/>
  <c r="Q11524" i="1"/>
  <c r="R11524" i="1"/>
  <c r="J4860" i="1"/>
  <c r="Q4860" i="1"/>
  <c r="R4860" i="1"/>
  <c r="J11525" i="1"/>
  <c r="Q11525" i="1"/>
  <c r="R11525" i="1"/>
  <c r="J4861" i="1"/>
  <c r="Q4861" i="1"/>
  <c r="R4861" i="1"/>
  <c r="J4862" i="1"/>
  <c r="Q4862" i="1"/>
  <c r="R4862" i="1"/>
  <c r="J4863" i="1"/>
  <c r="Q4863" i="1"/>
  <c r="R4863" i="1"/>
  <c r="J4864" i="1"/>
  <c r="Q4864" i="1"/>
  <c r="R4864" i="1"/>
  <c r="J4865" i="1"/>
  <c r="Q4865" i="1"/>
  <c r="R4865" i="1"/>
  <c r="J4866" i="1"/>
  <c r="Q4866" i="1"/>
  <c r="R4866" i="1"/>
  <c r="J4867" i="1"/>
  <c r="Q4867" i="1"/>
  <c r="R4867" i="1"/>
  <c r="J4868" i="1"/>
  <c r="Q4868" i="1"/>
  <c r="R4868" i="1"/>
  <c r="J4869" i="1"/>
  <c r="Q4869" i="1"/>
  <c r="R4869" i="1"/>
  <c r="J4870" i="1"/>
  <c r="Q4870" i="1"/>
  <c r="R4870" i="1"/>
  <c r="J4871" i="1"/>
  <c r="Q4871" i="1"/>
  <c r="R4871" i="1"/>
  <c r="J4872" i="1"/>
  <c r="Q4872" i="1"/>
  <c r="R4872" i="1"/>
  <c r="J4873" i="1"/>
  <c r="Q4873" i="1"/>
  <c r="R4873" i="1"/>
  <c r="J4874" i="1"/>
  <c r="Q4874" i="1"/>
  <c r="R4874" i="1"/>
  <c r="J4875" i="1"/>
  <c r="Q4875" i="1"/>
  <c r="R4875" i="1"/>
  <c r="J4876" i="1"/>
  <c r="Q4876" i="1"/>
  <c r="R4876" i="1"/>
  <c r="J4877" i="1"/>
  <c r="Q4877" i="1"/>
  <c r="R4877" i="1"/>
  <c r="J11526" i="1"/>
  <c r="Q11526" i="1"/>
  <c r="R11526" i="1"/>
  <c r="J11527" i="1"/>
  <c r="Q11527" i="1"/>
  <c r="R11527" i="1"/>
  <c r="J11528" i="1"/>
  <c r="Q11528" i="1"/>
  <c r="R11528" i="1"/>
  <c r="J11529" i="1"/>
  <c r="Q11529" i="1"/>
  <c r="R11529" i="1"/>
  <c r="J4878" i="1"/>
  <c r="Q4878" i="1"/>
  <c r="R4878" i="1"/>
  <c r="J11530" i="1"/>
  <c r="Q11530" i="1"/>
  <c r="R11530" i="1"/>
  <c r="J4879" i="1"/>
  <c r="Q4879" i="1"/>
  <c r="R4879" i="1"/>
  <c r="J11531" i="1"/>
  <c r="Q11531" i="1"/>
  <c r="R11531" i="1"/>
  <c r="J4880" i="1"/>
  <c r="Q4880" i="1"/>
  <c r="R4880" i="1"/>
  <c r="J4881" i="1"/>
  <c r="Q4881" i="1"/>
  <c r="R4881" i="1"/>
  <c r="J4882" i="1"/>
  <c r="Q4882" i="1"/>
  <c r="R4882" i="1"/>
  <c r="J11532" i="1"/>
  <c r="Q11532" i="1"/>
  <c r="R11532" i="1"/>
  <c r="J11533" i="1"/>
  <c r="Q11533" i="1"/>
  <c r="R11533" i="1"/>
  <c r="J11534" i="1"/>
  <c r="Q11534" i="1"/>
  <c r="R11534" i="1"/>
  <c r="J4883" i="1"/>
  <c r="Q4883" i="1"/>
  <c r="R4883" i="1"/>
  <c r="J11535" i="1"/>
  <c r="Q11535" i="1"/>
  <c r="R11535" i="1"/>
  <c r="J4884" i="1"/>
  <c r="Q4884" i="1"/>
  <c r="R4884" i="1"/>
  <c r="J4885" i="1"/>
  <c r="Q4885" i="1"/>
  <c r="R4885" i="1"/>
  <c r="J4886" i="1"/>
  <c r="Q4886" i="1"/>
  <c r="R4886" i="1"/>
  <c r="J4887" i="1"/>
  <c r="Q4887" i="1"/>
  <c r="R4887" i="1"/>
  <c r="J4888" i="1"/>
  <c r="Q4888" i="1"/>
  <c r="R4888" i="1"/>
  <c r="J4889" i="1"/>
  <c r="Q4889" i="1"/>
  <c r="R4889" i="1"/>
  <c r="J4890" i="1"/>
  <c r="Q4890" i="1"/>
  <c r="R4890" i="1"/>
  <c r="J4891" i="1"/>
  <c r="Q4891" i="1"/>
  <c r="R4891" i="1"/>
  <c r="J4892" i="1"/>
  <c r="Q4892" i="1"/>
  <c r="R4892" i="1"/>
  <c r="J4893" i="1"/>
  <c r="Q4893" i="1"/>
  <c r="R4893" i="1"/>
  <c r="J4894" i="1"/>
  <c r="Q4894" i="1"/>
  <c r="R4894" i="1"/>
  <c r="J4895" i="1"/>
  <c r="Q4895" i="1"/>
  <c r="R4895" i="1"/>
  <c r="J4896" i="1"/>
  <c r="Q4896" i="1"/>
  <c r="R4896" i="1"/>
  <c r="J4897" i="1"/>
  <c r="Q4897" i="1"/>
  <c r="R4897" i="1"/>
  <c r="J4898" i="1"/>
  <c r="Q4898" i="1"/>
  <c r="R4898" i="1"/>
  <c r="J4899" i="1"/>
  <c r="Q4899" i="1"/>
  <c r="R4899" i="1"/>
  <c r="J4900" i="1"/>
  <c r="Q4900" i="1"/>
  <c r="R4900" i="1"/>
  <c r="J4901" i="1"/>
  <c r="Q4901" i="1"/>
  <c r="R4901" i="1"/>
  <c r="J11536" i="1"/>
  <c r="Q11536" i="1"/>
  <c r="R11536" i="1"/>
  <c r="J11537" i="1"/>
  <c r="Q11537" i="1"/>
  <c r="R11537" i="1"/>
  <c r="J4902" i="1"/>
  <c r="Q4902" i="1"/>
  <c r="R4902" i="1"/>
  <c r="J11538" i="1"/>
  <c r="Q11538" i="1"/>
  <c r="R11538" i="1"/>
  <c r="J4903" i="1"/>
  <c r="Q4903" i="1"/>
  <c r="R4903" i="1"/>
  <c r="J11539" i="1"/>
  <c r="Q11539" i="1"/>
  <c r="R11539" i="1"/>
  <c r="J4904" i="1"/>
  <c r="Q4904" i="1"/>
  <c r="R4904" i="1"/>
  <c r="J11540" i="1"/>
  <c r="Q11540" i="1"/>
  <c r="R11540" i="1"/>
  <c r="J4905" i="1"/>
  <c r="Q4905" i="1"/>
  <c r="R4905" i="1"/>
  <c r="J11541" i="1"/>
  <c r="Q11541" i="1"/>
  <c r="R11541" i="1"/>
  <c r="J4906" i="1"/>
  <c r="Q4906" i="1"/>
  <c r="R4906" i="1"/>
  <c r="J4907" i="1"/>
  <c r="Q4907" i="1"/>
  <c r="R4907" i="1"/>
  <c r="J4908" i="1"/>
  <c r="Q4908" i="1"/>
  <c r="R4908" i="1"/>
  <c r="J4909" i="1"/>
  <c r="Q4909" i="1"/>
  <c r="R4909" i="1"/>
  <c r="J4910" i="1"/>
  <c r="Q4910" i="1"/>
  <c r="R4910" i="1"/>
  <c r="J4911" i="1"/>
  <c r="Q4911" i="1"/>
  <c r="R4911" i="1"/>
  <c r="J4912" i="1"/>
  <c r="Q4912" i="1"/>
  <c r="R4912" i="1"/>
  <c r="J11542" i="1"/>
  <c r="Q11542" i="1"/>
  <c r="R11542" i="1"/>
  <c r="J4913" i="1"/>
  <c r="Q4913" i="1"/>
  <c r="R4913" i="1"/>
  <c r="J4914" i="1"/>
  <c r="Q4914" i="1"/>
  <c r="R4914" i="1"/>
  <c r="J11543" i="1"/>
  <c r="Q11543" i="1"/>
  <c r="R11543" i="1"/>
  <c r="J11544" i="1"/>
  <c r="Q11544" i="1"/>
  <c r="R11544" i="1"/>
  <c r="J11545" i="1"/>
  <c r="Q11545" i="1"/>
  <c r="R11545" i="1"/>
  <c r="J11546" i="1"/>
  <c r="Q11546" i="1"/>
  <c r="R11546" i="1"/>
  <c r="J11547" i="1"/>
  <c r="Q11547" i="1"/>
  <c r="R11547" i="1"/>
  <c r="J11548" i="1"/>
  <c r="Q11548" i="1"/>
  <c r="R11548" i="1"/>
  <c r="J11549" i="1"/>
  <c r="Q11549" i="1"/>
  <c r="R11549" i="1"/>
  <c r="J11550" i="1"/>
  <c r="Q11550" i="1"/>
  <c r="R11550" i="1"/>
  <c r="J11551" i="1"/>
  <c r="Q11551" i="1"/>
  <c r="R11551" i="1"/>
  <c r="J11552" i="1"/>
  <c r="Q11552" i="1"/>
  <c r="R11552" i="1"/>
  <c r="J11553" i="1"/>
  <c r="Q11553" i="1"/>
  <c r="R11553" i="1"/>
  <c r="J11554" i="1"/>
  <c r="Q11554" i="1"/>
  <c r="R11554" i="1"/>
  <c r="J11555" i="1"/>
  <c r="Q11555" i="1"/>
  <c r="R11555" i="1"/>
  <c r="J11556" i="1"/>
  <c r="Q11556" i="1"/>
  <c r="R11556" i="1"/>
  <c r="J11557" i="1"/>
  <c r="Q11557" i="1"/>
  <c r="R11557" i="1"/>
  <c r="J11558" i="1"/>
  <c r="Q11558" i="1"/>
  <c r="R11558" i="1"/>
  <c r="J11559" i="1"/>
  <c r="Q11559" i="1"/>
  <c r="R11559" i="1"/>
  <c r="J11560" i="1"/>
  <c r="Q11560" i="1"/>
  <c r="R11560" i="1"/>
  <c r="J11561" i="1"/>
  <c r="Q11561" i="1"/>
  <c r="R11561" i="1"/>
  <c r="J11562" i="1"/>
  <c r="Q11562" i="1"/>
  <c r="R11562" i="1"/>
  <c r="J11563" i="1"/>
  <c r="Q11563" i="1"/>
  <c r="R11563" i="1"/>
  <c r="J11564" i="1"/>
  <c r="Q11564" i="1"/>
  <c r="R11564" i="1"/>
  <c r="J11565" i="1"/>
  <c r="Q11565" i="1"/>
  <c r="R11565" i="1"/>
  <c r="J11566" i="1"/>
  <c r="Q11566" i="1"/>
  <c r="R11566" i="1"/>
  <c r="J11567" i="1"/>
  <c r="Q11567" i="1"/>
  <c r="R11567" i="1"/>
  <c r="J11568" i="1"/>
  <c r="Q11568" i="1"/>
  <c r="R11568" i="1"/>
  <c r="J11569" i="1"/>
  <c r="Q11569" i="1"/>
  <c r="R11569" i="1"/>
  <c r="J11570" i="1"/>
  <c r="Q11570" i="1"/>
  <c r="R11570" i="1"/>
  <c r="J11571" i="1"/>
  <c r="Q11571" i="1"/>
  <c r="R11571" i="1"/>
  <c r="J11572" i="1"/>
  <c r="Q11572" i="1"/>
  <c r="R11572" i="1"/>
  <c r="J4915" i="1"/>
  <c r="Q4915" i="1"/>
  <c r="R4915" i="1"/>
  <c r="J4916" i="1"/>
  <c r="Q4916" i="1"/>
  <c r="R4916" i="1"/>
  <c r="J4917" i="1"/>
  <c r="Q4917" i="1"/>
  <c r="R4917" i="1"/>
  <c r="J4918" i="1"/>
  <c r="Q4918" i="1"/>
  <c r="R4918" i="1"/>
  <c r="J4919" i="1"/>
  <c r="Q4919" i="1"/>
  <c r="R4919" i="1"/>
  <c r="J4920" i="1"/>
  <c r="Q4920" i="1"/>
  <c r="R4920" i="1"/>
  <c r="J4921" i="1"/>
  <c r="Q4921" i="1"/>
  <c r="R4921" i="1"/>
  <c r="J4922" i="1"/>
  <c r="Q4922" i="1"/>
  <c r="R4922" i="1"/>
  <c r="J4923" i="1"/>
  <c r="Q4923" i="1"/>
  <c r="R4923" i="1"/>
  <c r="J4924" i="1"/>
  <c r="Q4924" i="1"/>
  <c r="R4924" i="1"/>
  <c r="J4925" i="1"/>
  <c r="Q4925" i="1"/>
  <c r="R4925" i="1"/>
  <c r="J4926" i="1"/>
  <c r="Q4926" i="1"/>
  <c r="R4926" i="1"/>
  <c r="J4927" i="1"/>
  <c r="Q4927" i="1"/>
  <c r="R4927" i="1"/>
  <c r="J4928" i="1"/>
  <c r="Q4928" i="1"/>
  <c r="R4928" i="1"/>
  <c r="J4929" i="1"/>
  <c r="Q4929" i="1"/>
  <c r="R4929" i="1"/>
  <c r="J4930" i="1"/>
  <c r="Q4930" i="1"/>
  <c r="R4930" i="1"/>
  <c r="J4931" i="1"/>
  <c r="Q4931" i="1"/>
  <c r="R4931" i="1"/>
  <c r="J4932" i="1"/>
  <c r="Q4932" i="1"/>
  <c r="R4932" i="1"/>
  <c r="J4933" i="1"/>
  <c r="Q4933" i="1"/>
  <c r="R4933" i="1"/>
  <c r="J4934" i="1"/>
  <c r="Q4934" i="1"/>
  <c r="R4934" i="1"/>
  <c r="J4935" i="1"/>
  <c r="Q4935" i="1"/>
  <c r="R4935" i="1"/>
  <c r="J4936" i="1"/>
  <c r="Q4936" i="1"/>
  <c r="R4936" i="1"/>
  <c r="J4937" i="1"/>
  <c r="Q4937" i="1"/>
  <c r="R4937" i="1"/>
  <c r="J4938" i="1"/>
  <c r="Q4938" i="1"/>
  <c r="R4938" i="1"/>
  <c r="J4939" i="1"/>
  <c r="Q4939" i="1"/>
  <c r="R4939" i="1"/>
  <c r="J4940" i="1"/>
  <c r="Q4940" i="1"/>
  <c r="R4940" i="1"/>
  <c r="J4941" i="1"/>
  <c r="Q4941" i="1"/>
  <c r="R4941" i="1"/>
  <c r="J4942" i="1"/>
  <c r="Q4942" i="1"/>
  <c r="R4942" i="1"/>
  <c r="J4943" i="1"/>
  <c r="Q4943" i="1"/>
  <c r="R4943" i="1"/>
  <c r="J4944" i="1"/>
  <c r="Q4944" i="1"/>
  <c r="R4944" i="1"/>
  <c r="J4945" i="1"/>
  <c r="Q4945" i="1"/>
  <c r="R4945" i="1"/>
  <c r="J11573" i="1"/>
  <c r="Q11573" i="1"/>
  <c r="R11573" i="1"/>
  <c r="J4946" i="1"/>
  <c r="Q4946" i="1"/>
  <c r="R4946" i="1"/>
  <c r="J4947" i="1"/>
  <c r="Q4947" i="1"/>
  <c r="R4947" i="1"/>
  <c r="J11574" i="1"/>
  <c r="Q11574" i="1"/>
  <c r="R11574" i="1"/>
  <c r="J4948" i="1"/>
  <c r="Q4948" i="1"/>
  <c r="R4948" i="1"/>
  <c r="J11575" i="1"/>
  <c r="Q11575" i="1"/>
  <c r="R11575" i="1"/>
  <c r="J11576" i="1"/>
  <c r="Q11576" i="1"/>
  <c r="R11576" i="1"/>
  <c r="J11577" i="1"/>
  <c r="Q11577" i="1"/>
  <c r="R11577" i="1"/>
  <c r="J11578" i="1"/>
  <c r="Q11578" i="1"/>
  <c r="R11578" i="1"/>
  <c r="J4949" i="1"/>
  <c r="Q4949" i="1"/>
  <c r="R4949" i="1"/>
  <c r="J4950" i="1"/>
  <c r="Q4950" i="1"/>
  <c r="R4950" i="1"/>
  <c r="J11579" i="1"/>
  <c r="Q11579" i="1"/>
  <c r="R11579" i="1"/>
  <c r="J11580" i="1"/>
  <c r="Q11580" i="1"/>
  <c r="R11580" i="1"/>
  <c r="J11581" i="1"/>
  <c r="Q11581" i="1"/>
  <c r="R11581" i="1"/>
  <c r="J11582" i="1"/>
  <c r="Q11582" i="1"/>
  <c r="R11582" i="1"/>
  <c r="J11583" i="1"/>
  <c r="Q11583" i="1"/>
  <c r="R11583" i="1"/>
  <c r="J11584" i="1"/>
  <c r="Q11584" i="1"/>
  <c r="R11584" i="1"/>
  <c r="J11585" i="1"/>
  <c r="Q11585" i="1"/>
  <c r="R11585" i="1"/>
  <c r="J11586" i="1"/>
  <c r="Q11586" i="1"/>
  <c r="R11586" i="1"/>
  <c r="J11587" i="1"/>
  <c r="Q11587" i="1"/>
  <c r="R11587" i="1"/>
  <c r="J11588" i="1"/>
  <c r="Q11588" i="1"/>
  <c r="R11588" i="1"/>
  <c r="J11589" i="1"/>
  <c r="Q11589" i="1"/>
  <c r="R11589" i="1"/>
  <c r="J11590" i="1"/>
  <c r="Q11590" i="1"/>
  <c r="R11590" i="1"/>
  <c r="J11591" i="1"/>
  <c r="Q11591" i="1"/>
  <c r="R11591" i="1"/>
  <c r="J11592" i="1"/>
  <c r="Q11592" i="1"/>
  <c r="R11592" i="1"/>
  <c r="J11593" i="1"/>
  <c r="Q11593" i="1"/>
  <c r="R11593" i="1"/>
  <c r="J11594" i="1"/>
  <c r="Q11594" i="1"/>
  <c r="R11594" i="1"/>
  <c r="J4951" i="1"/>
  <c r="Q4951" i="1"/>
  <c r="R4951" i="1"/>
  <c r="J11595" i="1"/>
  <c r="Q11595" i="1"/>
  <c r="R11595" i="1"/>
  <c r="J11596" i="1"/>
  <c r="Q11596" i="1"/>
  <c r="R11596" i="1"/>
  <c r="J11597" i="1"/>
  <c r="Q11597" i="1"/>
  <c r="R11597" i="1"/>
  <c r="J4952" i="1"/>
  <c r="Q4952" i="1"/>
  <c r="R4952" i="1"/>
  <c r="J4953" i="1"/>
  <c r="Q4953" i="1"/>
  <c r="R4953" i="1"/>
  <c r="J4954" i="1"/>
  <c r="Q4954" i="1"/>
  <c r="R4954" i="1"/>
  <c r="J4955" i="1"/>
  <c r="Q4955" i="1"/>
  <c r="R4955" i="1"/>
  <c r="J11598" i="1"/>
  <c r="Q11598" i="1"/>
  <c r="R11598" i="1"/>
  <c r="J11599" i="1"/>
  <c r="Q11599" i="1"/>
  <c r="R11599" i="1"/>
  <c r="J11600" i="1"/>
  <c r="Q11600" i="1"/>
  <c r="R11600" i="1"/>
  <c r="J4956" i="1"/>
  <c r="Q4956" i="1"/>
  <c r="R4956" i="1"/>
  <c r="J11601" i="1"/>
  <c r="Q11601" i="1"/>
  <c r="R11601" i="1"/>
  <c r="J11602" i="1"/>
  <c r="Q11602" i="1"/>
  <c r="R11602" i="1"/>
  <c r="J4957" i="1"/>
  <c r="Q4957" i="1"/>
  <c r="R4957" i="1"/>
  <c r="J11603" i="1"/>
  <c r="Q11603" i="1"/>
  <c r="R11603" i="1"/>
  <c r="J11604" i="1"/>
  <c r="Q11604" i="1"/>
  <c r="R11604" i="1"/>
  <c r="J11605" i="1"/>
  <c r="Q11605" i="1"/>
  <c r="R11605" i="1"/>
  <c r="J4958" i="1"/>
  <c r="Q4958" i="1"/>
  <c r="R4958" i="1"/>
  <c r="J11606" i="1"/>
  <c r="Q11606" i="1"/>
  <c r="R11606" i="1"/>
  <c r="J11607" i="1"/>
  <c r="Q11607" i="1"/>
  <c r="R11607" i="1"/>
  <c r="J11608" i="1"/>
  <c r="Q11608" i="1"/>
  <c r="R11608" i="1"/>
  <c r="J11609" i="1"/>
  <c r="Q11609" i="1"/>
  <c r="R11609" i="1"/>
  <c r="J11610" i="1"/>
  <c r="Q11610" i="1"/>
  <c r="R11610" i="1"/>
  <c r="J4959" i="1"/>
  <c r="Q4959" i="1"/>
  <c r="R4959" i="1"/>
  <c r="J11611" i="1"/>
  <c r="Q11611" i="1"/>
  <c r="R11611" i="1"/>
  <c r="J11612" i="1"/>
  <c r="Q11612" i="1"/>
  <c r="R11612" i="1"/>
  <c r="J4960" i="1"/>
  <c r="Q4960" i="1"/>
  <c r="R4960" i="1"/>
  <c r="J11613" i="1"/>
  <c r="Q11613" i="1"/>
  <c r="R11613" i="1"/>
  <c r="J11614" i="1"/>
  <c r="Q11614" i="1"/>
  <c r="R11614" i="1"/>
  <c r="J4961" i="1"/>
  <c r="Q4961" i="1"/>
  <c r="R4961" i="1"/>
  <c r="J4962" i="1"/>
  <c r="Q4962" i="1"/>
  <c r="R4962" i="1"/>
  <c r="J4963" i="1"/>
  <c r="Q4963" i="1"/>
  <c r="R4963" i="1"/>
  <c r="J4964" i="1"/>
  <c r="Q4964" i="1"/>
  <c r="R4964" i="1"/>
  <c r="J4965" i="1"/>
  <c r="Q4965" i="1"/>
  <c r="R4965" i="1"/>
  <c r="J4966" i="1"/>
  <c r="Q4966" i="1"/>
  <c r="R4966" i="1"/>
  <c r="J11615" i="1"/>
  <c r="Q11615" i="1"/>
  <c r="R11615" i="1"/>
  <c r="J11616" i="1"/>
  <c r="Q11616" i="1"/>
  <c r="R11616" i="1"/>
  <c r="J11617" i="1"/>
  <c r="Q11617" i="1"/>
  <c r="R11617" i="1"/>
  <c r="J4967" i="1"/>
  <c r="Q4967" i="1"/>
  <c r="R4967" i="1"/>
  <c r="J11618" i="1"/>
  <c r="Q11618" i="1"/>
  <c r="R11618" i="1"/>
  <c r="J11619" i="1"/>
  <c r="Q11619" i="1"/>
  <c r="R11619" i="1"/>
  <c r="J11620" i="1"/>
  <c r="Q11620" i="1"/>
  <c r="R11620" i="1"/>
  <c r="J11621" i="1"/>
  <c r="Q11621" i="1"/>
  <c r="R11621" i="1"/>
  <c r="J11622" i="1"/>
  <c r="Q11622" i="1"/>
  <c r="R11622" i="1"/>
  <c r="J11623" i="1"/>
  <c r="Q11623" i="1"/>
  <c r="R11623" i="1"/>
  <c r="J11624" i="1"/>
  <c r="Q11624" i="1"/>
  <c r="R11624" i="1"/>
  <c r="J11625" i="1"/>
  <c r="Q11625" i="1"/>
  <c r="R11625" i="1"/>
  <c r="J11626" i="1"/>
  <c r="Q11626" i="1"/>
  <c r="R11626" i="1"/>
  <c r="J11627" i="1"/>
  <c r="Q11627" i="1"/>
  <c r="R11627" i="1"/>
  <c r="J11628" i="1"/>
  <c r="Q11628" i="1"/>
  <c r="R11628" i="1"/>
  <c r="J11629" i="1"/>
  <c r="Q11629" i="1"/>
  <c r="R11629" i="1"/>
  <c r="J4968" i="1"/>
  <c r="Q4968" i="1"/>
  <c r="R4968" i="1"/>
  <c r="J4969" i="1"/>
  <c r="Q4969" i="1"/>
  <c r="R4969" i="1"/>
  <c r="J4970" i="1"/>
  <c r="Q4970" i="1"/>
  <c r="R4970" i="1"/>
  <c r="J11630" i="1"/>
  <c r="Q11630" i="1"/>
  <c r="R11630" i="1"/>
  <c r="J11631" i="1"/>
  <c r="Q11631" i="1"/>
  <c r="R11631" i="1"/>
  <c r="J11632" i="1"/>
  <c r="Q11632" i="1"/>
  <c r="R11632" i="1"/>
  <c r="J11633" i="1"/>
  <c r="Q11633" i="1"/>
  <c r="R11633" i="1"/>
  <c r="J11634" i="1"/>
  <c r="Q11634" i="1"/>
  <c r="R11634" i="1"/>
  <c r="J11635" i="1"/>
  <c r="Q11635" i="1"/>
  <c r="R11635" i="1"/>
  <c r="J11636" i="1"/>
  <c r="Q11636" i="1"/>
  <c r="R11636" i="1"/>
  <c r="J4971" i="1"/>
  <c r="Q4971" i="1"/>
  <c r="R4971" i="1"/>
  <c r="J4972" i="1"/>
  <c r="Q4972" i="1"/>
  <c r="R4972" i="1"/>
  <c r="J4973" i="1"/>
  <c r="Q4973" i="1"/>
  <c r="R4973" i="1"/>
  <c r="J11637" i="1"/>
  <c r="Q11637" i="1"/>
  <c r="R11637" i="1"/>
  <c r="J11638" i="1"/>
  <c r="Q11638" i="1"/>
  <c r="R11638" i="1"/>
  <c r="J11639" i="1"/>
  <c r="Q11639" i="1"/>
  <c r="R11639" i="1"/>
  <c r="J11640" i="1"/>
  <c r="Q11640" i="1"/>
  <c r="R11640" i="1"/>
  <c r="J11641" i="1"/>
  <c r="Q11641" i="1"/>
  <c r="R11641" i="1"/>
  <c r="J4974" i="1"/>
  <c r="Q4974" i="1"/>
  <c r="R4974" i="1"/>
  <c r="J11642" i="1"/>
  <c r="Q11642" i="1"/>
  <c r="R11642" i="1"/>
  <c r="J11643" i="1"/>
  <c r="Q11643" i="1"/>
  <c r="R11643" i="1"/>
  <c r="J4975" i="1"/>
  <c r="Q4975" i="1"/>
  <c r="R4975" i="1"/>
  <c r="J11644" i="1"/>
  <c r="Q11644" i="1"/>
  <c r="R11644" i="1"/>
  <c r="J11645" i="1"/>
  <c r="Q11645" i="1"/>
  <c r="R11645" i="1"/>
  <c r="J4976" i="1"/>
  <c r="Q4976" i="1"/>
  <c r="R4976" i="1"/>
  <c r="J11646" i="1"/>
  <c r="Q11646" i="1"/>
  <c r="R11646" i="1"/>
  <c r="J4977" i="1"/>
  <c r="Q4977" i="1"/>
  <c r="R4977" i="1"/>
  <c r="J11647" i="1"/>
  <c r="Q11647" i="1"/>
  <c r="R11647" i="1"/>
  <c r="J11648" i="1"/>
  <c r="Q11648" i="1"/>
  <c r="R11648" i="1"/>
  <c r="J11649" i="1"/>
  <c r="Q11649" i="1"/>
  <c r="R11649" i="1"/>
  <c r="J11650" i="1"/>
  <c r="Q11650" i="1"/>
  <c r="R11650" i="1"/>
  <c r="J11651" i="1"/>
  <c r="Q11651" i="1"/>
  <c r="R11651" i="1"/>
  <c r="J11652" i="1"/>
  <c r="Q11652" i="1"/>
  <c r="R11652" i="1"/>
  <c r="J11653" i="1"/>
  <c r="Q11653" i="1"/>
  <c r="R11653" i="1"/>
  <c r="J11654" i="1"/>
  <c r="Q11654" i="1"/>
  <c r="R11654" i="1"/>
  <c r="J11655" i="1"/>
  <c r="Q11655" i="1"/>
  <c r="R11655" i="1"/>
  <c r="J11656" i="1"/>
  <c r="Q11656" i="1"/>
  <c r="R11656" i="1"/>
  <c r="J11657" i="1"/>
  <c r="Q11657" i="1"/>
  <c r="R11657" i="1"/>
  <c r="J11658" i="1"/>
  <c r="Q11658" i="1"/>
  <c r="R11658" i="1"/>
  <c r="J11659" i="1"/>
  <c r="Q11659" i="1"/>
  <c r="R11659" i="1"/>
  <c r="J11660" i="1"/>
  <c r="Q11660" i="1"/>
  <c r="R11660" i="1"/>
  <c r="J11661" i="1"/>
  <c r="Q11661" i="1"/>
  <c r="R11661" i="1"/>
  <c r="J11662" i="1"/>
  <c r="Q11662" i="1"/>
  <c r="R11662" i="1"/>
  <c r="J11663" i="1"/>
  <c r="Q11663" i="1"/>
  <c r="R11663" i="1"/>
  <c r="J11664" i="1"/>
  <c r="Q11664" i="1"/>
  <c r="R11664" i="1"/>
  <c r="J11665" i="1"/>
  <c r="Q11665" i="1"/>
  <c r="R11665" i="1"/>
  <c r="J11666" i="1"/>
  <c r="Q11666" i="1"/>
  <c r="R11666" i="1"/>
  <c r="J11667" i="1"/>
  <c r="Q11667" i="1"/>
  <c r="R11667" i="1"/>
  <c r="J11668" i="1"/>
  <c r="Q11668" i="1"/>
  <c r="R11668" i="1"/>
  <c r="J11669" i="1"/>
  <c r="Q11669" i="1"/>
  <c r="R11669" i="1"/>
  <c r="J11670" i="1"/>
  <c r="Q11670" i="1"/>
  <c r="R11670" i="1"/>
  <c r="J11671" i="1"/>
  <c r="Q11671" i="1"/>
  <c r="R11671" i="1"/>
  <c r="J11672" i="1"/>
  <c r="Q11672" i="1"/>
  <c r="R11672" i="1"/>
  <c r="J11673" i="1"/>
  <c r="Q11673" i="1"/>
  <c r="R11673" i="1"/>
  <c r="J11674" i="1"/>
  <c r="Q11674" i="1"/>
  <c r="R11674" i="1"/>
  <c r="J11675" i="1"/>
  <c r="Q11675" i="1"/>
  <c r="R11675" i="1"/>
  <c r="J11676" i="1"/>
  <c r="Q11676" i="1"/>
  <c r="R11676" i="1"/>
  <c r="J11677" i="1"/>
  <c r="Q11677" i="1"/>
  <c r="R11677" i="1"/>
  <c r="J11678" i="1"/>
  <c r="Q11678" i="1"/>
  <c r="R11678" i="1"/>
  <c r="J11679" i="1"/>
  <c r="Q11679" i="1"/>
  <c r="R11679" i="1"/>
  <c r="J11680" i="1"/>
  <c r="Q11680" i="1"/>
  <c r="R11680" i="1"/>
  <c r="J11681" i="1"/>
  <c r="Q11681" i="1"/>
  <c r="R11681" i="1"/>
  <c r="J11682" i="1"/>
  <c r="Q11682" i="1"/>
  <c r="R11682" i="1"/>
  <c r="J11683" i="1"/>
  <c r="Q11683" i="1"/>
  <c r="R11683" i="1"/>
  <c r="J11684" i="1"/>
  <c r="Q11684" i="1"/>
  <c r="R11684" i="1"/>
  <c r="J11685" i="1"/>
  <c r="Q11685" i="1"/>
  <c r="R11685" i="1"/>
  <c r="J11686" i="1"/>
  <c r="Q11686" i="1"/>
  <c r="R11686" i="1"/>
  <c r="J11687" i="1"/>
  <c r="Q11687" i="1"/>
  <c r="R11687" i="1"/>
  <c r="J11688" i="1"/>
  <c r="Q11688" i="1"/>
  <c r="R11688" i="1"/>
  <c r="J11689" i="1"/>
  <c r="Q11689" i="1"/>
  <c r="R11689" i="1"/>
  <c r="J11690" i="1"/>
  <c r="Q11690" i="1"/>
  <c r="R11690" i="1"/>
  <c r="J11691" i="1"/>
  <c r="Q11691" i="1"/>
  <c r="R11691" i="1"/>
  <c r="J11692" i="1"/>
  <c r="Q11692" i="1"/>
  <c r="R11692" i="1"/>
  <c r="J11693" i="1"/>
  <c r="Q11693" i="1"/>
  <c r="R11693" i="1"/>
  <c r="J11694" i="1"/>
  <c r="Q11694" i="1"/>
  <c r="R11694" i="1"/>
  <c r="J11695" i="1"/>
  <c r="Q11695" i="1"/>
  <c r="R11695" i="1"/>
  <c r="J11696" i="1"/>
  <c r="Q11696" i="1"/>
  <c r="R11696" i="1"/>
  <c r="J11697" i="1"/>
  <c r="Q11697" i="1"/>
  <c r="R11697" i="1"/>
  <c r="J11698" i="1"/>
  <c r="Q11698" i="1"/>
  <c r="R11698" i="1"/>
  <c r="J11699" i="1"/>
  <c r="Q11699" i="1"/>
  <c r="R11699" i="1"/>
  <c r="J11700" i="1"/>
  <c r="Q11700" i="1"/>
  <c r="R11700" i="1"/>
  <c r="J4978" i="1"/>
  <c r="Q4978" i="1"/>
  <c r="R4978" i="1"/>
  <c r="J11701" i="1"/>
  <c r="Q11701" i="1"/>
  <c r="R11701" i="1"/>
  <c r="J4979" i="1"/>
  <c r="Q4979" i="1"/>
  <c r="R4979" i="1"/>
  <c r="J11702" i="1"/>
  <c r="Q11702" i="1"/>
  <c r="R11702" i="1"/>
  <c r="J4980" i="1"/>
  <c r="Q4980" i="1"/>
  <c r="R4980" i="1"/>
  <c r="J4981" i="1"/>
  <c r="Q4981" i="1"/>
  <c r="R4981" i="1"/>
  <c r="J4982" i="1"/>
  <c r="Q4982" i="1"/>
  <c r="R4982" i="1"/>
  <c r="J11703" i="1"/>
  <c r="Q11703" i="1"/>
  <c r="R11703" i="1"/>
  <c r="J11704" i="1"/>
  <c r="Q11704" i="1"/>
  <c r="R11704" i="1"/>
  <c r="J11705" i="1"/>
  <c r="Q11705" i="1"/>
  <c r="R11705" i="1"/>
  <c r="J11706" i="1"/>
  <c r="Q11706" i="1"/>
  <c r="R11706" i="1"/>
  <c r="J11707" i="1"/>
  <c r="Q11707" i="1"/>
  <c r="R11707" i="1"/>
  <c r="J11708" i="1"/>
  <c r="Q11708" i="1"/>
  <c r="R11708" i="1"/>
  <c r="J11709" i="1"/>
  <c r="Q11709" i="1"/>
  <c r="R11709" i="1"/>
  <c r="J11710" i="1"/>
  <c r="Q11710" i="1"/>
  <c r="R11710" i="1"/>
  <c r="J11711" i="1"/>
  <c r="Q11711" i="1"/>
  <c r="R11711" i="1"/>
  <c r="J11712" i="1"/>
  <c r="Q11712" i="1"/>
  <c r="R11712" i="1"/>
  <c r="J11713" i="1"/>
  <c r="Q11713" i="1"/>
  <c r="R11713" i="1"/>
  <c r="J11714" i="1"/>
  <c r="Q11714" i="1"/>
  <c r="R11714" i="1"/>
  <c r="J11715" i="1"/>
  <c r="Q11715" i="1"/>
  <c r="R11715" i="1"/>
  <c r="J11716" i="1"/>
  <c r="Q11716" i="1"/>
  <c r="R11716" i="1"/>
  <c r="J4983" i="1"/>
  <c r="Q4983" i="1"/>
  <c r="R4983" i="1"/>
  <c r="J4984" i="1"/>
  <c r="Q4984" i="1"/>
  <c r="R4984" i="1"/>
  <c r="J4985" i="1"/>
  <c r="Q4985" i="1"/>
  <c r="R4985" i="1"/>
  <c r="J4986" i="1"/>
  <c r="Q4986" i="1"/>
  <c r="R4986" i="1"/>
  <c r="J4987" i="1"/>
  <c r="Q4987" i="1"/>
  <c r="R4987" i="1"/>
  <c r="J11717" i="1"/>
  <c r="Q11717" i="1"/>
  <c r="R11717" i="1"/>
  <c r="J4988" i="1"/>
  <c r="Q4988" i="1"/>
  <c r="R4988" i="1"/>
  <c r="J11718" i="1"/>
  <c r="Q11718" i="1"/>
  <c r="R11718" i="1"/>
  <c r="J11719" i="1"/>
  <c r="Q11719" i="1"/>
  <c r="R11719" i="1"/>
  <c r="J11720" i="1"/>
  <c r="Q11720" i="1"/>
  <c r="R11720" i="1"/>
  <c r="J11721" i="1"/>
  <c r="Q11721" i="1"/>
  <c r="R11721" i="1"/>
  <c r="J11722" i="1"/>
  <c r="Q11722" i="1"/>
  <c r="R11722" i="1"/>
  <c r="J11723" i="1"/>
  <c r="Q11723" i="1"/>
  <c r="R11723" i="1"/>
  <c r="J11724" i="1"/>
  <c r="Q11724" i="1"/>
  <c r="R11724" i="1"/>
  <c r="J11725" i="1"/>
  <c r="Q11725" i="1"/>
  <c r="R11725" i="1"/>
  <c r="J4989" i="1"/>
  <c r="Q4989" i="1"/>
  <c r="R4989" i="1"/>
  <c r="J4990" i="1"/>
  <c r="Q4990" i="1"/>
  <c r="R4990" i="1"/>
  <c r="J4991" i="1"/>
  <c r="Q4991" i="1"/>
  <c r="R4991" i="1"/>
  <c r="J4992" i="1"/>
  <c r="Q4992" i="1"/>
  <c r="R4992" i="1"/>
  <c r="J11726" i="1"/>
  <c r="Q11726" i="1"/>
  <c r="R11726" i="1"/>
  <c r="J4993" i="1"/>
  <c r="Q4993" i="1"/>
  <c r="R4993" i="1"/>
  <c r="J4994" i="1"/>
  <c r="Q4994" i="1"/>
  <c r="R4994" i="1"/>
  <c r="J4995" i="1"/>
  <c r="Q4995" i="1"/>
  <c r="R4995" i="1"/>
  <c r="J4996" i="1"/>
  <c r="Q4996" i="1"/>
  <c r="R4996" i="1"/>
  <c r="J4997" i="1"/>
  <c r="Q4997" i="1"/>
  <c r="R4997" i="1"/>
  <c r="J4998" i="1"/>
  <c r="Q4998" i="1"/>
  <c r="R4998" i="1"/>
  <c r="J4999" i="1"/>
  <c r="Q4999" i="1"/>
  <c r="R4999" i="1"/>
  <c r="J5000" i="1"/>
  <c r="Q5000" i="1"/>
  <c r="R5000" i="1"/>
  <c r="J5001" i="1"/>
  <c r="Q5001" i="1"/>
  <c r="R5001" i="1"/>
  <c r="J5002" i="1"/>
  <c r="Q5002" i="1"/>
  <c r="R5002" i="1"/>
  <c r="J5003" i="1"/>
  <c r="Q5003" i="1"/>
  <c r="R5003" i="1"/>
  <c r="J5004" i="1"/>
  <c r="Q5004" i="1"/>
  <c r="R5004" i="1"/>
  <c r="J5005" i="1"/>
  <c r="Q5005" i="1"/>
  <c r="R5005" i="1"/>
  <c r="J5006" i="1"/>
  <c r="Q5006" i="1"/>
  <c r="R5006" i="1"/>
  <c r="J5007" i="1"/>
  <c r="Q5007" i="1"/>
  <c r="R5007" i="1"/>
  <c r="J5008" i="1"/>
  <c r="Q5008" i="1"/>
  <c r="R5008" i="1"/>
  <c r="J5009" i="1"/>
  <c r="Q5009" i="1"/>
  <c r="R5009" i="1"/>
  <c r="J5010" i="1"/>
  <c r="Q5010" i="1"/>
  <c r="R5010" i="1"/>
  <c r="J5011" i="1"/>
  <c r="Q5011" i="1"/>
  <c r="R5011" i="1"/>
  <c r="J5012" i="1"/>
  <c r="Q5012" i="1"/>
  <c r="R5012" i="1"/>
  <c r="J5013" i="1"/>
  <c r="Q5013" i="1"/>
  <c r="R5013" i="1"/>
  <c r="J5014" i="1"/>
  <c r="Q5014" i="1"/>
  <c r="R5014" i="1"/>
  <c r="J5015" i="1"/>
  <c r="Q5015" i="1"/>
  <c r="R5015" i="1"/>
  <c r="J5016" i="1"/>
  <c r="Q5016" i="1"/>
  <c r="R5016" i="1"/>
  <c r="J5017" i="1"/>
  <c r="Q5017" i="1"/>
  <c r="R5017" i="1"/>
  <c r="J5018" i="1"/>
  <c r="Q5018" i="1"/>
  <c r="R5018" i="1"/>
  <c r="J5019" i="1"/>
  <c r="Q5019" i="1"/>
  <c r="R5019" i="1"/>
  <c r="J5020" i="1"/>
  <c r="Q5020" i="1"/>
  <c r="R5020" i="1"/>
  <c r="J5021" i="1"/>
  <c r="Q5021" i="1"/>
  <c r="R5021" i="1"/>
  <c r="J5022" i="1"/>
  <c r="Q5022" i="1"/>
  <c r="R5022" i="1"/>
  <c r="J5023" i="1"/>
  <c r="Q5023" i="1"/>
  <c r="R5023" i="1"/>
  <c r="J5024" i="1"/>
  <c r="Q5024" i="1"/>
  <c r="R5024" i="1"/>
  <c r="J5025" i="1"/>
  <c r="Q5025" i="1"/>
  <c r="R5025" i="1"/>
  <c r="J5026" i="1"/>
  <c r="Q5026" i="1"/>
  <c r="R5026" i="1"/>
  <c r="J5027" i="1"/>
  <c r="Q5027" i="1"/>
  <c r="R5027" i="1"/>
  <c r="J5028" i="1"/>
  <c r="Q5028" i="1"/>
  <c r="R5028" i="1"/>
  <c r="J5029" i="1"/>
  <c r="Q5029" i="1"/>
  <c r="R5029" i="1"/>
  <c r="J5030" i="1"/>
  <c r="Q5030" i="1"/>
  <c r="R5030" i="1"/>
  <c r="J11727" i="1"/>
  <c r="Q11727" i="1"/>
  <c r="R11727" i="1"/>
  <c r="J5031" i="1"/>
  <c r="Q5031" i="1"/>
  <c r="R5031" i="1"/>
  <c r="J5032" i="1"/>
  <c r="Q5032" i="1"/>
  <c r="R5032" i="1"/>
  <c r="J5033" i="1"/>
  <c r="Q5033" i="1"/>
  <c r="R5033" i="1"/>
  <c r="J5034" i="1"/>
  <c r="Q5034" i="1"/>
  <c r="R5034" i="1"/>
  <c r="J5035" i="1"/>
  <c r="Q5035" i="1"/>
  <c r="R5035" i="1"/>
  <c r="J5036" i="1"/>
  <c r="Q5036" i="1"/>
  <c r="R5036" i="1"/>
  <c r="J5037" i="1"/>
  <c r="Q5037" i="1"/>
  <c r="R5037" i="1"/>
  <c r="J5038" i="1"/>
  <c r="Q5038" i="1"/>
  <c r="R5038" i="1"/>
  <c r="J5039" i="1"/>
  <c r="Q5039" i="1"/>
  <c r="R5039" i="1"/>
  <c r="J5040" i="1"/>
  <c r="Q5040" i="1"/>
  <c r="R5040" i="1"/>
  <c r="J5041" i="1"/>
  <c r="Q5041" i="1"/>
  <c r="R5041" i="1"/>
  <c r="J5042" i="1"/>
  <c r="Q5042" i="1"/>
  <c r="R5042" i="1"/>
  <c r="J11728" i="1"/>
  <c r="Q11728" i="1"/>
  <c r="R11728" i="1"/>
  <c r="J11729" i="1"/>
  <c r="Q11729" i="1"/>
  <c r="R11729" i="1"/>
  <c r="J11730" i="1"/>
  <c r="Q11730" i="1"/>
  <c r="R11730" i="1"/>
  <c r="J11731" i="1"/>
  <c r="Q11731" i="1"/>
  <c r="R11731" i="1"/>
  <c r="J11732" i="1"/>
  <c r="Q11732" i="1"/>
  <c r="R11732" i="1"/>
  <c r="J11733" i="1"/>
  <c r="Q11733" i="1"/>
  <c r="R11733" i="1"/>
  <c r="J5043" i="1"/>
  <c r="Q5043" i="1"/>
  <c r="R5043" i="1"/>
  <c r="J5044" i="1"/>
  <c r="Q5044" i="1"/>
  <c r="R5044" i="1"/>
  <c r="J5045" i="1"/>
  <c r="Q5045" i="1"/>
  <c r="R5045" i="1"/>
  <c r="J5046" i="1"/>
  <c r="Q5046" i="1"/>
  <c r="R5046" i="1"/>
  <c r="J11734" i="1"/>
  <c r="Q11734" i="1"/>
  <c r="R11734" i="1"/>
  <c r="J11735" i="1"/>
  <c r="Q11735" i="1"/>
  <c r="R11735" i="1"/>
  <c r="J5047" i="1"/>
  <c r="Q5047" i="1"/>
  <c r="R5047" i="1"/>
  <c r="J11736" i="1"/>
  <c r="Q11736" i="1"/>
  <c r="R11736" i="1"/>
  <c r="J11737" i="1"/>
  <c r="Q11737" i="1"/>
  <c r="R11737" i="1"/>
  <c r="J5048" i="1"/>
  <c r="Q5048" i="1"/>
  <c r="R5048" i="1"/>
  <c r="J11738" i="1"/>
  <c r="Q11738" i="1"/>
  <c r="R11738" i="1"/>
  <c r="J11739" i="1"/>
  <c r="Q11739" i="1"/>
  <c r="R11739" i="1"/>
  <c r="J11740" i="1"/>
  <c r="Q11740" i="1"/>
  <c r="R11740" i="1"/>
  <c r="J11741" i="1"/>
  <c r="Q11741" i="1"/>
  <c r="R11741" i="1"/>
  <c r="J11742" i="1"/>
  <c r="Q11742" i="1"/>
  <c r="R11742" i="1"/>
  <c r="J11743" i="1"/>
  <c r="Q11743" i="1"/>
  <c r="R11743" i="1"/>
  <c r="J11744" i="1"/>
  <c r="Q11744" i="1"/>
  <c r="R11744" i="1"/>
  <c r="J11745" i="1"/>
  <c r="Q11745" i="1"/>
  <c r="R11745" i="1"/>
  <c r="J11746" i="1"/>
  <c r="Q11746" i="1"/>
  <c r="R11746" i="1"/>
  <c r="J11747" i="1"/>
  <c r="Q11747" i="1"/>
  <c r="R11747" i="1"/>
  <c r="J11748" i="1"/>
  <c r="Q11748" i="1"/>
  <c r="R11748" i="1"/>
  <c r="J11749" i="1"/>
  <c r="Q11749" i="1"/>
  <c r="R11749" i="1"/>
  <c r="J11750" i="1"/>
  <c r="Q11750" i="1"/>
  <c r="R11750" i="1"/>
  <c r="J11751" i="1"/>
  <c r="Q11751" i="1"/>
  <c r="R11751" i="1"/>
  <c r="J11752" i="1"/>
  <c r="Q11752" i="1"/>
  <c r="R11752" i="1"/>
  <c r="J11753" i="1"/>
  <c r="Q11753" i="1"/>
  <c r="R11753" i="1"/>
  <c r="J5049" i="1"/>
  <c r="Q5049" i="1"/>
  <c r="R5049" i="1"/>
  <c r="J11754" i="1"/>
  <c r="Q11754" i="1"/>
  <c r="R11754" i="1"/>
  <c r="J11755" i="1"/>
  <c r="Q11755" i="1"/>
  <c r="R11755" i="1"/>
  <c r="J11756" i="1"/>
  <c r="Q11756" i="1"/>
  <c r="R11756" i="1"/>
  <c r="J11757" i="1"/>
  <c r="Q11757" i="1"/>
  <c r="R11757" i="1"/>
  <c r="J11758" i="1"/>
  <c r="Q11758" i="1"/>
  <c r="R11758" i="1"/>
  <c r="J11759" i="1"/>
  <c r="Q11759" i="1"/>
  <c r="R11759" i="1"/>
  <c r="J11760" i="1"/>
  <c r="Q11760" i="1"/>
  <c r="R11760" i="1"/>
  <c r="J11761" i="1"/>
  <c r="Q11761" i="1"/>
  <c r="R11761" i="1"/>
  <c r="J11762" i="1"/>
  <c r="Q11762" i="1"/>
  <c r="R11762" i="1"/>
  <c r="J5050" i="1"/>
  <c r="Q5050" i="1"/>
  <c r="R5050" i="1"/>
  <c r="J11763" i="1"/>
  <c r="Q11763" i="1"/>
  <c r="R11763" i="1"/>
  <c r="J11764" i="1"/>
  <c r="Q11764" i="1"/>
  <c r="R11764" i="1"/>
  <c r="J11765" i="1"/>
  <c r="Q11765" i="1"/>
  <c r="R11765" i="1"/>
  <c r="J11766" i="1"/>
  <c r="Q11766" i="1"/>
  <c r="R11766" i="1"/>
  <c r="J11767" i="1"/>
  <c r="Q11767" i="1"/>
  <c r="R11767" i="1"/>
  <c r="J5051" i="1"/>
  <c r="Q5051" i="1"/>
  <c r="R5051" i="1"/>
  <c r="J5052" i="1"/>
  <c r="Q5052" i="1"/>
  <c r="R5052" i="1"/>
  <c r="J5053" i="1"/>
  <c r="Q5053" i="1"/>
  <c r="R5053" i="1"/>
  <c r="J5054" i="1"/>
  <c r="Q5054" i="1"/>
  <c r="R5054" i="1"/>
  <c r="J5055" i="1"/>
  <c r="Q5055" i="1"/>
  <c r="R5055" i="1"/>
  <c r="J5056" i="1"/>
  <c r="Q5056" i="1"/>
  <c r="R5056" i="1"/>
  <c r="J5057" i="1"/>
  <c r="Q5057" i="1"/>
  <c r="R5057" i="1"/>
  <c r="J11768" i="1"/>
  <c r="Q11768" i="1"/>
  <c r="R11768" i="1"/>
  <c r="J5058" i="1"/>
  <c r="Q5058" i="1"/>
  <c r="R5058" i="1"/>
  <c r="J5059" i="1"/>
  <c r="Q5059" i="1"/>
  <c r="R5059" i="1"/>
  <c r="J11769" i="1"/>
  <c r="Q11769" i="1"/>
  <c r="R11769" i="1"/>
  <c r="J11770" i="1"/>
  <c r="Q11770" i="1"/>
  <c r="R11770" i="1"/>
  <c r="J11771" i="1"/>
  <c r="Q11771" i="1"/>
  <c r="R11771" i="1"/>
  <c r="J5060" i="1"/>
  <c r="Q5060" i="1"/>
  <c r="R5060" i="1"/>
  <c r="J5061" i="1"/>
  <c r="Q5061" i="1"/>
  <c r="R5061" i="1"/>
  <c r="J11772" i="1"/>
  <c r="Q11772" i="1"/>
  <c r="R11772" i="1"/>
  <c r="J5062" i="1"/>
  <c r="Q5062" i="1"/>
  <c r="R5062" i="1"/>
  <c r="J5063" i="1"/>
  <c r="Q5063" i="1"/>
  <c r="R5063" i="1"/>
  <c r="J5064" i="1"/>
  <c r="Q5064" i="1"/>
  <c r="R5064" i="1"/>
  <c r="J5065" i="1"/>
  <c r="Q5065" i="1"/>
  <c r="R5065" i="1"/>
  <c r="J11773" i="1"/>
  <c r="Q11773" i="1"/>
  <c r="R11773" i="1"/>
  <c r="J5066" i="1"/>
  <c r="Q5066" i="1"/>
  <c r="R5066" i="1"/>
  <c r="J5067" i="1"/>
  <c r="Q5067" i="1"/>
  <c r="R5067" i="1"/>
  <c r="J5068" i="1"/>
  <c r="Q5068" i="1"/>
  <c r="R5068" i="1"/>
  <c r="J5069" i="1"/>
  <c r="Q5069" i="1"/>
  <c r="R5069" i="1"/>
  <c r="J5070" i="1"/>
  <c r="Q5070" i="1"/>
  <c r="R5070" i="1"/>
  <c r="J5071" i="1"/>
  <c r="Q5071" i="1"/>
  <c r="R5071" i="1"/>
  <c r="J5072" i="1"/>
  <c r="Q5072" i="1"/>
  <c r="R5072" i="1"/>
  <c r="J5073" i="1"/>
  <c r="Q5073" i="1"/>
  <c r="R5073" i="1"/>
  <c r="J11774" i="1"/>
  <c r="Q11774" i="1"/>
  <c r="R11774" i="1"/>
  <c r="J5074" i="1"/>
  <c r="Q5074" i="1"/>
  <c r="R5074" i="1"/>
  <c r="J5075" i="1"/>
  <c r="Q5075" i="1"/>
  <c r="R5075" i="1"/>
  <c r="J11775" i="1"/>
  <c r="Q11775" i="1"/>
  <c r="R11775" i="1"/>
  <c r="J5076" i="1"/>
  <c r="Q5076" i="1"/>
  <c r="R5076" i="1"/>
  <c r="J5077" i="1"/>
  <c r="Q5077" i="1"/>
  <c r="R5077" i="1"/>
  <c r="J5078" i="1"/>
  <c r="Q5078" i="1"/>
  <c r="R5078" i="1"/>
  <c r="J11776" i="1"/>
  <c r="Q11776" i="1"/>
  <c r="R11776" i="1"/>
  <c r="J11777" i="1"/>
  <c r="Q11777" i="1"/>
  <c r="R11777" i="1"/>
  <c r="J11778" i="1"/>
  <c r="Q11778" i="1"/>
  <c r="R11778" i="1"/>
  <c r="J5079" i="1"/>
  <c r="Q5079" i="1"/>
  <c r="R5079" i="1"/>
  <c r="J5080" i="1"/>
  <c r="Q5080" i="1"/>
  <c r="R5080" i="1"/>
  <c r="J5081" i="1"/>
  <c r="Q5081" i="1"/>
  <c r="R5081" i="1"/>
  <c r="J5082" i="1"/>
  <c r="Q5082" i="1"/>
  <c r="R5082" i="1"/>
  <c r="J5083" i="1"/>
  <c r="Q5083" i="1"/>
  <c r="R5083" i="1"/>
  <c r="J5084" i="1"/>
  <c r="Q5084" i="1"/>
  <c r="R5084" i="1"/>
  <c r="J5085" i="1"/>
  <c r="Q5085" i="1"/>
  <c r="R5085" i="1"/>
  <c r="J5086" i="1"/>
  <c r="Q5086" i="1"/>
  <c r="R5086" i="1"/>
  <c r="J11779" i="1"/>
  <c r="Q11779" i="1"/>
  <c r="R11779" i="1"/>
  <c r="J5087" i="1"/>
  <c r="Q5087" i="1"/>
  <c r="R5087" i="1"/>
  <c r="J5088" i="1"/>
  <c r="Q5088" i="1"/>
  <c r="R5088" i="1"/>
  <c r="J11780" i="1"/>
  <c r="Q11780" i="1"/>
  <c r="R11780" i="1"/>
  <c r="J11781" i="1"/>
  <c r="Q11781" i="1"/>
  <c r="R11781" i="1"/>
  <c r="J11782" i="1"/>
  <c r="Q11782" i="1"/>
  <c r="R11782" i="1"/>
  <c r="J11783" i="1"/>
  <c r="Q11783" i="1"/>
  <c r="R11783" i="1"/>
  <c r="J11784" i="1"/>
  <c r="Q11784" i="1"/>
  <c r="R11784" i="1"/>
  <c r="J11785" i="1"/>
  <c r="Q11785" i="1"/>
  <c r="R11785" i="1"/>
  <c r="J11786" i="1"/>
  <c r="Q11786" i="1"/>
  <c r="R11786" i="1"/>
  <c r="J5089" i="1"/>
  <c r="Q5089" i="1"/>
  <c r="R5089" i="1"/>
  <c r="J5090" i="1"/>
  <c r="Q5090" i="1"/>
  <c r="R5090" i="1"/>
  <c r="J5091" i="1"/>
  <c r="Q5091" i="1"/>
  <c r="R5091" i="1"/>
  <c r="J11787" i="1"/>
  <c r="Q11787" i="1"/>
  <c r="R11787" i="1"/>
  <c r="J5092" i="1"/>
  <c r="Q5092" i="1"/>
  <c r="R5092" i="1"/>
  <c r="J5093" i="1"/>
  <c r="Q5093" i="1"/>
  <c r="R5093" i="1"/>
  <c r="J5094" i="1"/>
  <c r="Q5094" i="1"/>
  <c r="R5094" i="1"/>
  <c r="J5095" i="1"/>
  <c r="Q5095" i="1"/>
  <c r="R5095" i="1"/>
  <c r="J11788" i="1"/>
  <c r="Q11788" i="1"/>
  <c r="R11788" i="1"/>
  <c r="J11789" i="1"/>
  <c r="Q11789" i="1"/>
  <c r="R11789" i="1"/>
  <c r="J11790" i="1"/>
  <c r="Q11790" i="1"/>
  <c r="R11790" i="1"/>
  <c r="J11791" i="1"/>
  <c r="Q11791" i="1"/>
  <c r="R11791" i="1"/>
  <c r="J11792" i="1"/>
  <c r="Q11792" i="1"/>
  <c r="R11792" i="1"/>
  <c r="J11793" i="1"/>
  <c r="Q11793" i="1"/>
  <c r="R11793" i="1"/>
  <c r="J11794" i="1"/>
  <c r="Q11794" i="1"/>
  <c r="R11794" i="1"/>
  <c r="J11795" i="1"/>
  <c r="Q11795" i="1"/>
  <c r="R11795" i="1"/>
  <c r="J11796" i="1"/>
  <c r="Q11796" i="1"/>
  <c r="R11796" i="1"/>
  <c r="J11797" i="1"/>
  <c r="Q11797" i="1"/>
  <c r="R11797" i="1"/>
  <c r="J11798" i="1"/>
  <c r="Q11798" i="1"/>
  <c r="R11798" i="1"/>
  <c r="J11799" i="1"/>
  <c r="Q11799" i="1"/>
  <c r="R11799" i="1"/>
  <c r="J11800" i="1"/>
  <c r="Q11800" i="1"/>
  <c r="R11800" i="1"/>
  <c r="J11801" i="1"/>
  <c r="Q11801" i="1"/>
  <c r="R11801" i="1"/>
  <c r="J11802" i="1"/>
  <c r="Q11802" i="1"/>
  <c r="R11802" i="1"/>
  <c r="J11803" i="1"/>
  <c r="Q11803" i="1"/>
  <c r="R11803" i="1"/>
  <c r="J11804" i="1"/>
  <c r="Q11804" i="1"/>
  <c r="R11804" i="1"/>
  <c r="J11805" i="1"/>
  <c r="Q11805" i="1"/>
  <c r="R11805" i="1"/>
  <c r="J11806" i="1"/>
  <c r="Q11806" i="1"/>
  <c r="R11806" i="1"/>
  <c r="J11807" i="1"/>
  <c r="Q11807" i="1"/>
  <c r="R11807" i="1"/>
  <c r="J11808" i="1"/>
  <c r="Q11808" i="1"/>
  <c r="R11808" i="1"/>
  <c r="J11809" i="1"/>
  <c r="Q11809" i="1"/>
  <c r="R11809" i="1"/>
  <c r="J11810" i="1"/>
  <c r="Q11810" i="1"/>
  <c r="R11810" i="1"/>
  <c r="J11811" i="1"/>
  <c r="Q11811" i="1"/>
  <c r="R11811" i="1"/>
  <c r="J11812" i="1"/>
  <c r="Q11812" i="1"/>
  <c r="R11812" i="1"/>
  <c r="J11813" i="1"/>
  <c r="Q11813" i="1"/>
  <c r="R11813" i="1"/>
  <c r="J11814" i="1"/>
  <c r="Q11814" i="1"/>
  <c r="R11814" i="1"/>
  <c r="J5096" i="1"/>
  <c r="Q5096" i="1"/>
  <c r="R5096" i="1"/>
  <c r="J11815" i="1"/>
  <c r="Q11815" i="1"/>
  <c r="R11815" i="1"/>
  <c r="J11816" i="1"/>
  <c r="Q11816" i="1"/>
  <c r="R11816" i="1"/>
  <c r="J11817" i="1"/>
  <c r="Q11817" i="1"/>
  <c r="R11817" i="1"/>
  <c r="J11818" i="1"/>
  <c r="Q11818" i="1"/>
  <c r="R11818" i="1"/>
  <c r="J11819" i="1"/>
  <c r="Q11819" i="1"/>
  <c r="R11819" i="1"/>
  <c r="J11820" i="1"/>
  <c r="Q11820" i="1"/>
  <c r="R11820" i="1"/>
  <c r="J11821" i="1"/>
  <c r="Q11821" i="1"/>
  <c r="R11821" i="1"/>
  <c r="J11822" i="1"/>
  <c r="Q11822" i="1"/>
  <c r="R11822" i="1"/>
  <c r="J11823" i="1"/>
  <c r="Q11823" i="1"/>
  <c r="R11823" i="1"/>
  <c r="J11824" i="1"/>
  <c r="Q11824" i="1"/>
  <c r="R11824" i="1"/>
  <c r="J11825" i="1"/>
  <c r="Q11825" i="1"/>
  <c r="R11825" i="1"/>
  <c r="J11826" i="1"/>
  <c r="Q11826" i="1"/>
  <c r="R11826" i="1"/>
  <c r="J11827" i="1"/>
  <c r="Q11827" i="1"/>
  <c r="R11827" i="1"/>
  <c r="J11828" i="1"/>
  <c r="Q11828" i="1"/>
  <c r="R11828" i="1"/>
  <c r="J11829" i="1"/>
  <c r="Q11829" i="1"/>
  <c r="R11829" i="1"/>
  <c r="J11830" i="1"/>
  <c r="Q11830" i="1"/>
  <c r="R11830" i="1"/>
  <c r="J11831" i="1"/>
  <c r="Q11831" i="1"/>
  <c r="R11831" i="1"/>
  <c r="J11832" i="1"/>
  <c r="Q11832" i="1"/>
  <c r="R11832" i="1"/>
  <c r="J11833" i="1"/>
  <c r="Q11833" i="1"/>
  <c r="R11833" i="1"/>
  <c r="J11834" i="1"/>
  <c r="Q11834" i="1"/>
  <c r="R11834" i="1"/>
  <c r="J11835" i="1"/>
  <c r="Q11835" i="1"/>
  <c r="R11835" i="1"/>
  <c r="J11836" i="1"/>
  <c r="Q11836" i="1"/>
  <c r="R11836" i="1"/>
  <c r="J5097" i="1"/>
  <c r="Q5097" i="1"/>
  <c r="R5097" i="1"/>
  <c r="J11837" i="1"/>
  <c r="Q11837" i="1"/>
  <c r="R11837" i="1"/>
  <c r="J11838" i="1"/>
  <c r="Q11838" i="1"/>
  <c r="R11838" i="1"/>
  <c r="J5098" i="1"/>
  <c r="Q5098" i="1"/>
  <c r="R5098" i="1"/>
  <c r="J5099" i="1"/>
  <c r="Q5099" i="1"/>
  <c r="R5099" i="1"/>
  <c r="J5100" i="1"/>
  <c r="Q5100" i="1"/>
  <c r="R5100" i="1"/>
  <c r="J11839" i="1"/>
  <c r="Q11839" i="1"/>
  <c r="R11839" i="1"/>
  <c r="J5101" i="1"/>
  <c r="Q5101" i="1"/>
  <c r="R5101" i="1"/>
  <c r="J5102" i="1"/>
  <c r="Q5102" i="1"/>
  <c r="R5102" i="1"/>
  <c r="J5103" i="1"/>
  <c r="Q5103" i="1"/>
  <c r="R5103" i="1"/>
  <c r="J5104" i="1"/>
  <c r="Q5104" i="1"/>
  <c r="R5104" i="1"/>
  <c r="J5105" i="1"/>
  <c r="Q5105" i="1"/>
  <c r="R5105" i="1"/>
  <c r="J5106" i="1"/>
  <c r="Q5106" i="1"/>
  <c r="R5106" i="1"/>
  <c r="J5107" i="1"/>
  <c r="Q5107" i="1"/>
  <c r="R5107" i="1"/>
  <c r="J5108" i="1"/>
  <c r="Q5108" i="1"/>
  <c r="R5108" i="1"/>
  <c r="J5109" i="1"/>
  <c r="Q5109" i="1"/>
  <c r="R5109" i="1"/>
  <c r="J5110" i="1"/>
  <c r="Q5110" i="1"/>
  <c r="R5110" i="1"/>
  <c r="J5111" i="1"/>
  <c r="Q5111" i="1"/>
  <c r="R5111" i="1"/>
  <c r="J5112" i="1"/>
  <c r="Q5112" i="1"/>
  <c r="R5112" i="1"/>
  <c r="J5113" i="1"/>
  <c r="Q5113" i="1"/>
  <c r="R5113" i="1"/>
  <c r="J5114" i="1"/>
  <c r="Q5114" i="1"/>
  <c r="R5114" i="1"/>
  <c r="J11840" i="1"/>
  <c r="Q11840" i="1"/>
  <c r="R11840" i="1"/>
  <c r="J11841" i="1"/>
  <c r="Q11841" i="1"/>
  <c r="R11841" i="1"/>
  <c r="J11842" i="1"/>
  <c r="Q11842" i="1"/>
  <c r="R11842" i="1"/>
  <c r="J11843" i="1"/>
  <c r="Q11843" i="1"/>
  <c r="R11843" i="1"/>
  <c r="J5115" i="1"/>
  <c r="Q5115" i="1"/>
  <c r="R5115" i="1"/>
  <c r="J5116" i="1"/>
  <c r="Q5116" i="1"/>
  <c r="R5116" i="1"/>
  <c r="J5117" i="1"/>
  <c r="Q5117" i="1"/>
  <c r="R5117" i="1"/>
  <c r="J11844" i="1"/>
  <c r="Q11844" i="1"/>
  <c r="R11844" i="1"/>
  <c r="J5118" i="1"/>
  <c r="Q5118" i="1"/>
  <c r="R5118" i="1"/>
  <c r="J5119" i="1"/>
  <c r="Q5119" i="1"/>
  <c r="R5119" i="1"/>
  <c r="J11845" i="1"/>
  <c r="Q11845" i="1"/>
  <c r="R11845" i="1"/>
  <c r="J5120" i="1"/>
  <c r="Q5120" i="1"/>
  <c r="R5120" i="1"/>
  <c r="J5121" i="1"/>
  <c r="Q5121" i="1"/>
  <c r="R5121" i="1"/>
  <c r="J5122" i="1"/>
  <c r="Q5122" i="1"/>
  <c r="R5122" i="1"/>
  <c r="J11846" i="1"/>
  <c r="Q11846" i="1"/>
  <c r="R11846" i="1"/>
  <c r="J5123" i="1"/>
  <c r="Q5123" i="1"/>
  <c r="R5123" i="1"/>
  <c r="J5124" i="1"/>
  <c r="Q5124" i="1"/>
  <c r="R5124" i="1"/>
  <c r="J11847" i="1"/>
  <c r="Q11847" i="1"/>
  <c r="R11847" i="1"/>
  <c r="J5125" i="1"/>
  <c r="Q5125" i="1"/>
  <c r="R5125" i="1"/>
  <c r="J5126" i="1"/>
  <c r="Q5126" i="1"/>
  <c r="R5126" i="1"/>
  <c r="J5127" i="1"/>
  <c r="Q5127" i="1"/>
  <c r="R5127" i="1"/>
  <c r="J11848" i="1"/>
  <c r="Q11848" i="1"/>
  <c r="R11848" i="1"/>
  <c r="J11849" i="1"/>
  <c r="Q11849" i="1"/>
  <c r="R11849" i="1"/>
  <c r="J11850" i="1"/>
  <c r="Q11850" i="1"/>
  <c r="R11850" i="1"/>
  <c r="J11851" i="1"/>
  <c r="Q11851" i="1"/>
  <c r="R11851" i="1"/>
  <c r="J5128" i="1"/>
  <c r="Q5128" i="1"/>
  <c r="R5128" i="1"/>
  <c r="J11852" i="1"/>
  <c r="Q11852" i="1"/>
  <c r="R11852" i="1"/>
  <c r="J5129" i="1"/>
  <c r="Q5129" i="1"/>
  <c r="R5129" i="1"/>
  <c r="J5130" i="1"/>
  <c r="Q5130" i="1"/>
  <c r="R5130" i="1"/>
  <c r="J5131" i="1"/>
  <c r="Q5131" i="1"/>
  <c r="R5131" i="1"/>
  <c r="J11853" i="1"/>
  <c r="Q11853" i="1"/>
  <c r="R11853" i="1"/>
  <c r="J5132" i="1"/>
  <c r="Q5132" i="1"/>
  <c r="R5132" i="1"/>
  <c r="J5133" i="1"/>
  <c r="Q5133" i="1"/>
  <c r="R5133" i="1"/>
  <c r="J5134" i="1"/>
  <c r="Q5134" i="1"/>
  <c r="R5134" i="1"/>
  <c r="J5135" i="1"/>
  <c r="Q5135" i="1"/>
  <c r="R5135" i="1"/>
  <c r="J5136" i="1"/>
  <c r="Q5136" i="1"/>
  <c r="R5136" i="1"/>
  <c r="J11854" i="1"/>
  <c r="Q11854" i="1"/>
  <c r="R11854" i="1"/>
  <c r="J11855" i="1"/>
  <c r="Q11855" i="1"/>
  <c r="R11855" i="1"/>
  <c r="J5137" i="1"/>
  <c r="Q5137" i="1"/>
  <c r="R5137" i="1"/>
  <c r="J11856" i="1"/>
  <c r="Q11856" i="1"/>
  <c r="R11856" i="1"/>
  <c r="J11857" i="1"/>
  <c r="Q11857" i="1"/>
  <c r="R11857" i="1"/>
  <c r="J5138" i="1"/>
  <c r="Q5138" i="1"/>
  <c r="R5138" i="1"/>
  <c r="J5139" i="1"/>
  <c r="Q5139" i="1"/>
  <c r="R5139" i="1"/>
  <c r="J5140" i="1"/>
  <c r="Q5140" i="1"/>
  <c r="R5140" i="1"/>
  <c r="J5141" i="1"/>
  <c r="Q5141" i="1"/>
  <c r="R5141" i="1"/>
  <c r="J5142" i="1"/>
  <c r="Q5142" i="1"/>
  <c r="R5142" i="1"/>
  <c r="J11858" i="1"/>
  <c r="Q11858" i="1"/>
  <c r="R11858" i="1"/>
  <c r="J11859" i="1"/>
  <c r="Q11859" i="1"/>
  <c r="R11859" i="1"/>
  <c r="J5143" i="1"/>
  <c r="Q5143" i="1"/>
  <c r="R5143" i="1"/>
  <c r="J5144" i="1"/>
  <c r="Q5144" i="1"/>
  <c r="R5144" i="1"/>
  <c r="J5145" i="1"/>
  <c r="Q5145" i="1"/>
  <c r="R5145" i="1"/>
  <c r="J5146" i="1"/>
  <c r="Q5146" i="1"/>
  <c r="R5146" i="1"/>
  <c r="J5147" i="1"/>
  <c r="Q5147" i="1"/>
  <c r="R5147" i="1"/>
  <c r="J5148" i="1"/>
  <c r="Q5148" i="1"/>
  <c r="R5148" i="1"/>
  <c r="J5149" i="1"/>
  <c r="Q5149" i="1"/>
  <c r="R5149" i="1"/>
  <c r="J5150" i="1"/>
  <c r="Q5150" i="1"/>
  <c r="R5150" i="1"/>
  <c r="J5151" i="1"/>
  <c r="Q5151" i="1"/>
  <c r="R5151" i="1"/>
  <c r="J5152" i="1"/>
  <c r="Q5152" i="1"/>
  <c r="R5152" i="1"/>
  <c r="J11860" i="1"/>
  <c r="Q11860" i="1"/>
  <c r="R11860" i="1"/>
  <c r="J11861" i="1"/>
  <c r="Q11861" i="1"/>
  <c r="R11861" i="1"/>
  <c r="J5153" i="1"/>
  <c r="Q5153" i="1"/>
  <c r="R5153" i="1"/>
  <c r="J11862" i="1"/>
  <c r="Q11862" i="1"/>
  <c r="R11862" i="1"/>
  <c r="J11863" i="1"/>
  <c r="Q11863" i="1"/>
  <c r="R11863" i="1"/>
  <c r="J5154" i="1"/>
  <c r="Q5154" i="1"/>
  <c r="R5154" i="1"/>
  <c r="J5155" i="1"/>
  <c r="Q5155" i="1"/>
  <c r="R5155" i="1"/>
  <c r="J5156" i="1"/>
  <c r="Q5156" i="1"/>
  <c r="R5156" i="1"/>
  <c r="J11864" i="1"/>
  <c r="Q11864" i="1"/>
  <c r="R11864" i="1"/>
  <c r="J11865" i="1"/>
  <c r="Q11865" i="1"/>
  <c r="R11865" i="1"/>
  <c r="J5157" i="1"/>
  <c r="Q5157" i="1"/>
  <c r="R5157" i="1"/>
  <c r="J5158" i="1"/>
  <c r="Q5158" i="1"/>
  <c r="R5158" i="1"/>
  <c r="J11866" i="1"/>
  <c r="Q11866" i="1"/>
  <c r="R11866" i="1"/>
  <c r="J5159" i="1"/>
  <c r="Q5159" i="1"/>
  <c r="R5159" i="1"/>
  <c r="J5160" i="1"/>
  <c r="Q5160" i="1"/>
  <c r="R5160" i="1"/>
  <c r="J5161" i="1"/>
  <c r="Q5161" i="1"/>
  <c r="R5161" i="1"/>
  <c r="J5162" i="1"/>
  <c r="Q5162" i="1"/>
  <c r="R5162" i="1"/>
  <c r="J5163" i="1"/>
  <c r="Q5163" i="1"/>
  <c r="R5163" i="1"/>
  <c r="J5164" i="1"/>
  <c r="Q5164" i="1"/>
  <c r="R5164" i="1"/>
  <c r="J5165" i="1"/>
  <c r="Q5165" i="1"/>
  <c r="R5165" i="1"/>
  <c r="J5166" i="1"/>
  <c r="Q5166" i="1"/>
  <c r="R5166" i="1"/>
  <c r="J11867" i="1"/>
  <c r="Q11867" i="1"/>
  <c r="R11867" i="1"/>
  <c r="J5167" i="1"/>
  <c r="Q5167" i="1"/>
  <c r="R5167" i="1"/>
  <c r="J5168" i="1"/>
  <c r="Q5168" i="1"/>
  <c r="R5168" i="1"/>
  <c r="J5169" i="1"/>
  <c r="Q5169" i="1"/>
  <c r="R5169" i="1"/>
  <c r="J5170" i="1"/>
  <c r="Q5170" i="1"/>
  <c r="R5170" i="1"/>
  <c r="J11868" i="1"/>
  <c r="Q11868" i="1"/>
  <c r="R11868" i="1"/>
  <c r="J5171" i="1"/>
  <c r="Q5171" i="1"/>
  <c r="R5171" i="1"/>
  <c r="J5172" i="1"/>
  <c r="Q5172" i="1"/>
  <c r="R5172" i="1"/>
  <c r="J5173" i="1"/>
  <c r="Q5173" i="1"/>
  <c r="R5173" i="1"/>
  <c r="J11869" i="1"/>
  <c r="Q11869" i="1"/>
  <c r="R11869" i="1"/>
  <c r="J11870" i="1"/>
  <c r="Q11870" i="1"/>
  <c r="R11870" i="1"/>
  <c r="J11871" i="1"/>
  <c r="Q11871" i="1"/>
  <c r="R11871" i="1"/>
  <c r="J11872" i="1"/>
  <c r="Q11872" i="1"/>
  <c r="R11872" i="1"/>
  <c r="J11873" i="1"/>
  <c r="Q11873" i="1"/>
  <c r="R11873" i="1"/>
  <c r="J11874" i="1"/>
  <c r="Q11874" i="1"/>
  <c r="R11874" i="1"/>
  <c r="J11875" i="1"/>
  <c r="Q11875" i="1"/>
  <c r="R11875" i="1"/>
  <c r="J11876" i="1"/>
  <c r="Q11876" i="1"/>
  <c r="R11876" i="1"/>
  <c r="J11877" i="1"/>
  <c r="Q11877" i="1"/>
  <c r="R11877" i="1"/>
  <c r="J11878" i="1"/>
  <c r="Q11878" i="1"/>
  <c r="R11878" i="1"/>
  <c r="J11879" i="1"/>
  <c r="Q11879" i="1"/>
  <c r="R11879" i="1"/>
  <c r="J11880" i="1"/>
  <c r="Q11880" i="1"/>
  <c r="R11880" i="1"/>
  <c r="J11881" i="1"/>
  <c r="Q11881" i="1"/>
  <c r="R11881" i="1"/>
  <c r="J11882" i="1"/>
  <c r="Q11882" i="1"/>
  <c r="R11882" i="1"/>
  <c r="J11883" i="1"/>
  <c r="Q11883" i="1"/>
  <c r="R11883" i="1"/>
  <c r="J11884" i="1"/>
  <c r="Q11884" i="1"/>
  <c r="R11884" i="1"/>
  <c r="J11885" i="1"/>
  <c r="Q11885" i="1"/>
  <c r="R11885" i="1"/>
  <c r="J11886" i="1"/>
  <c r="Q11886" i="1"/>
  <c r="R11886" i="1"/>
  <c r="J11887" i="1"/>
  <c r="Q11887" i="1"/>
  <c r="R11887" i="1"/>
  <c r="J5174" i="1"/>
  <c r="Q5174" i="1"/>
  <c r="R5174" i="1"/>
  <c r="J5175" i="1"/>
  <c r="Q5175" i="1"/>
  <c r="R5175" i="1"/>
  <c r="J5176" i="1"/>
  <c r="Q5176" i="1"/>
  <c r="R5176" i="1"/>
  <c r="J5177" i="1"/>
  <c r="Q5177" i="1"/>
  <c r="R5177" i="1"/>
  <c r="J5178" i="1"/>
  <c r="Q5178" i="1"/>
  <c r="R5178" i="1"/>
  <c r="J5179" i="1"/>
  <c r="Q5179" i="1"/>
  <c r="R5179" i="1"/>
  <c r="J5180" i="1"/>
  <c r="Q5180" i="1"/>
  <c r="R5180" i="1"/>
  <c r="J5181" i="1"/>
  <c r="Q5181" i="1"/>
  <c r="R5181" i="1"/>
  <c r="J5182" i="1"/>
  <c r="Q5182" i="1"/>
  <c r="R5182" i="1"/>
  <c r="J5183" i="1"/>
  <c r="Q5183" i="1"/>
  <c r="R5183" i="1"/>
  <c r="J5184" i="1"/>
  <c r="Q5184" i="1"/>
  <c r="R5184" i="1"/>
  <c r="J5185" i="1"/>
  <c r="Q5185" i="1"/>
  <c r="R5185" i="1"/>
  <c r="J11888" i="1"/>
  <c r="Q11888" i="1"/>
  <c r="R11888" i="1"/>
  <c r="J11889" i="1"/>
  <c r="Q11889" i="1"/>
  <c r="R11889" i="1"/>
  <c r="J11890" i="1"/>
  <c r="Q11890" i="1"/>
  <c r="R11890" i="1"/>
  <c r="J11891" i="1"/>
  <c r="Q11891" i="1"/>
  <c r="R11891" i="1"/>
  <c r="J11892" i="1"/>
  <c r="Q11892" i="1"/>
  <c r="R11892" i="1"/>
  <c r="J11893" i="1"/>
  <c r="Q11893" i="1"/>
  <c r="R11893" i="1"/>
  <c r="J11894" i="1"/>
  <c r="Q11894" i="1"/>
  <c r="R11894" i="1"/>
  <c r="J11895" i="1"/>
  <c r="Q11895" i="1"/>
  <c r="R11895" i="1"/>
  <c r="J5186" i="1"/>
  <c r="Q5186" i="1"/>
  <c r="R5186" i="1"/>
  <c r="J5187" i="1"/>
  <c r="Q5187" i="1"/>
  <c r="R5187" i="1"/>
  <c r="J5188" i="1"/>
  <c r="Q5188" i="1"/>
  <c r="R5188" i="1"/>
  <c r="J5189" i="1"/>
  <c r="Q5189" i="1"/>
  <c r="R5189" i="1"/>
  <c r="J5190" i="1"/>
  <c r="Q5190" i="1"/>
  <c r="R5190" i="1"/>
  <c r="J5191" i="1"/>
  <c r="Q5191" i="1"/>
  <c r="R5191" i="1"/>
  <c r="J11896" i="1"/>
  <c r="Q11896" i="1"/>
  <c r="R11896" i="1"/>
  <c r="J5192" i="1"/>
  <c r="Q5192" i="1"/>
  <c r="R5192" i="1"/>
  <c r="J5193" i="1"/>
  <c r="Q5193" i="1"/>
  <c r="R5193" i="1"/>
  <c r="J5194" i="1"/>
  <c r="Q5194" i="1"/>
  <c r="R5194" i="1"/>
  <c r="J5195" i="1"/>
  <c r="Q5195" i="1"/>
  <c r="R5195" i="1"/>
  <c r="J5196" i="1"/>
  <c r="Q5196" i="1"/>
  <c r="R5196" i="1"/>
  <c r="J5197" i="1"/>
  <c r="Q5197" i="1"/>
  <c r="R5197" i="1"/>
  <c r="J11897" i="1"/>
  <c r="Q11897" i="1"/>
  <c r="R11897" i="1"/>
  <c r="J5198" i="1"/>
  <c r="Q5198" i="1"/>
  <c r="R5198" i="1"/>
  <c r="J11898" i="1"/>
  <c r="Q11898" i="1"/>
  <c r="R11898" i="1"/>
  <c r="J11899" i="1"/>
  <c r="Q11899" i="1"/>
  <c r="R11899" i="1"/>
  <c r="J11900" i="1"/>
  <c r="Q11900" i="1"/>
  <c r="R11900" i="1"/>
  <c r="J11901" i="1"/>
  <c r="Q11901" i="1"/>
  <c r="R11901" i="1"/>
  <c r="J11902" i="1"/>
  <c r="Q11902" i="1"/>
  <c r="R11902" i="1"/>
  <c r="J5199" i="1"/>
  <c r="Q5199" i="1"/>
  <c r="R5199" i="1"/>
  <c r="J5200" i="1"/>
  <c r="Q5200" i="1"/>
  <c r="R5200" i="1"/>
  <c r="J11903" i="1"/>
  <c r="Q11903" i="1"/>
  <c r="R11903" i="1"/>
  <c r="J5201" i="1"/>
  <c r="Q5201" i="1"/>
  <c r="R5201" i="1"/>
  <c r="J11904" i="1"/>
  <c r="Q11904" i="1"/>
  <c r="R11904" i="1"/>
  <c r="J11905" i="1"/>
  <c r="Q11905" i="1"/>
  <c r="R11905" i="1"/>
  <c r="J11906" i="1"/>
  <c r="Q11906" i="1"/>
  <c r="R11906" i="1"/>
  <c r="J11907" i="1"/>
  <c r="Q11907" i="1"/>
  <c r="R11907" i="1"/>
  <c r="J11908" i="1"/>
  <c r="Q11908" i="1"/>
  <c r="R11908" i="1"/>
  <c r="J5202" i="1"/>
  <c r="Q5202" i="1"/>
  <c r="R5202" i="1"/>
  <c r="J5203" i="1"/>
  <c r="Q5203" i="1"/>
  <c r="R5203" i="1"/>
  <c r="J11909" i="1"/>
  <c r="Q11909" i="1"/>
  <c r="R11909" i="1"/>
  <c r="J5204" i="1"/>
  <c r="Q5204" i="1"/>
  <c r="R5204" i="1"/>
  <c r="J5205" i="1"/>
  <c r="Q5205" i="1"/>
  <c r="R5205" i="1"/>
  <c r="J5206" i="1"/>
  <c r="Q5206" i="1"/>
  <c r="R5206" i="1"/>
  <c r="J5207" i="1"/>
  <c r="Q5207" i="1"/>
  <c r="R5207" i="1"/>
  <c r="J11910" i="1"/>
  <c r="Q11910" i="1"/>
  <c r="R11910" i="1"/>
  <c r="J5208" i="1"/>
  <c r="Q5208" i="1"/>
  <c r="R5208" i="1"/>
  <c r="J5209" i="1"/>
  <c r="Q5209" i="1"/>
  <c r="R5209" i="1"/>
  <c r="J5210" i="1"/>
  <c r="Q5210" i="1"/>
  <c r="R5210" i="1"/>
  <c r="J11911" i="1"/>
  <c r="Q11911" i="1"/>
  <c r="R11911" i="1"/>
  <c r="J11912" i="1"/>
  <c r="Q11912" i="1"/>
  <c r="R11912" i="1"/>
  <c r="J11913" i="1"/>
  <c r="Q11913" i="1"/>
  <c r="R11913" i="1"/>
  <c r="J11914" i="1"/>
  <c r="Q11914" i="1"/>
  <c r="R11914" i="1"/>
  <c r="J5211" i="1"/>
  <c r="Q5211" i="1"/>
  <c r="R5211" i="1"/>
  <c r="J5212" i="1"/>
  <c r="Q5212" i="1"/>
  <c r="R5212" i="1"/>
  <c r="J11915" i="1"/>
  <c r="Q11915" i="1"/>
  <c r="R11915" i="1"/>
  <c r="J11916" i="1"/>
  <c r="Q11916" i="1"/>
  <c r="R11916" i="1"/>
  <c r="J11917" i="1"/>
  <c r="Q11917" i="1"/>
  <c r="R11917" i="1"/>
  <c r="J11918" i="1"/>
  <c r="Q11918" i="1"/>
  <c r="R11918" i="1"/>
  <c r="J11919" i="1"/>
  <c r="Q11919" i="1"/>
  <c r="R11919" i="1"/>
  <c r="J5213" i="1"/>
  <c r="Q5213" i="1"/>
  <c r="R5213" i="1"/>
  <c r="J11920" i="1"/>
  <c r="Q11920" i="1"/>
  <c r="R11920" i="1"/>
  <c r="J11921" i="1"/>
  <c r="Q11921" i="1"/>
  <c r="R11921" i="1"/>
  <c r="J11922" i="1"/>
  <c r="Q11922" i="1"/>
  <c r="R11922" i="1"/>
  <c r="J11923" i="1"/>
  <c r="Q11923" i="1"/>
  <c r="R11923" i="1"/>
  <c r="J11924" i="1"/>
  <c r="Q11924" i="1"/>
  <c r="R11924" i="1"/>
  <c r="J11925" i="1"/>
  <c r="Q11925" i="1"/>
  <c r="R11925" i="1"/>
  <c r="J11926" i="1"/>
  <c r="Q11926" i="1"/>
  <c r="R11926" i="1"/>
  <c r="J11927" i="1"/>
  <c r="Q11927" i="1"/>
  <c r="R11927" i="1"/>
  <c r="J11928" i="1"/>
  <c r="Q11928" i="1"/>
  <c r="R11928" i="1"/>
  <c r="J11929" i="1"/>
  <c r="Q11929" i="1"/>
  <c r="R11929" i="1"/>
  <c r="J11930" i="1"/>
  <c r="Q11930" i="1"/>
  <c r="R11930" i="1"/>
  <c r="J11931" i="1"/>
  <c r="Q11931" i="1"/>
  <c r="R11931" i="1"/>
  <c r="J5214" i="1"/>
  <c r="Q5214" i="1"/>
  <c r="R5214" i="1"/>
  <c r="J11932" i="1"/>
  <c r="Q11932" i="1"/>
  <c r="R11932" i="1"/>
  <c r="J11933" i="1"/>
  <c r="Q11933" i="1"/>
  <c r="R11933" i="1"/>
  <c r="J5215" i="1"/>
  <c r="Q5215" i="1"/>
  <c r="R5215" i="1"/>
  <c r="J11934" i="1"/>
  <c r="Q11934" i="1"/>
  <c r="R11934" i="1"/>
  <c r="J11935" i="1"/>
  <c r="Q11935" i="1"/>
  <c r="R11935" i="1"/>
  <c r="J11936" i="1"/>
  <c r="Q11936" i="1"/>
  <c r="R11936" i="1"/>
  <c r="J11937" i="1"/>
  <c r="Q11937" i="1"/>
  <c r="R11937" i="1"/>
  <c r="J11938" i="1"/>
  <c r="Q11938" i="1"/>
  <c r="R11938" i="1"/>
  <c r="J11939" i="1"/>
  <c r="Q11939" i="1"/>
  <c r="R11939" i="1"/>
  <c r="J11940" i="1"/>
  <c r="Q11940" i="1"/>
  <c r="R11940" i="1"/>
  <c r="J11941" i="1"/>
  <c r="Q11941" i="1"/>
  <c r="R11941" i="1"/>
  <c r="J11942" i="1"/>
  <c r="Q11942" i="1"/>
  <c r="R11942" i="1"/>
  <c r="J5216" i="1"/>
  <c r="Q5216" i="1"/>
  <c r="R5216" i="1"/>
  <c r="J5217" i="1"/>
  <c r="Q5217" i="1"/>
  <c r="R5217" i="1"/>
  <c r="J5218" i="1"/>
  <c r="Q5218" i="1"/>
  <c r="R5218" i="1"/>
  <c r="J11943" i="1"/>
  <c r="Q11943" i="1"/>
  <c r="R11943" i="1"/>
  <c r="J5219" i="1"/>
  <c r="Q5219" i="1"/>
  <c r="R5219" i="1"/>
  <c r="J11944" i="1"/>
  <c r="Q11944" i="1"/>
  <c r="R11944" i="1"/>
  <c r="J11945" i="1"/>
  <c r="Q11945" i="1"/>
  <c r="R11945" i="1"/>
  <c r="J11946" i="1"/>
  <c r="Q11946" i="1"/>
  <c r="R11946" i="1"/>
  <c r="J11947" i="1"/>
  <c r="Q11947" i="1"/>
  <c r="R11947" i="1"/>
  <c r="J5220" i="1"/>
  <c r="Q5220" i="1"/>
  <c r="R5220" i="1"/>
  <c r="J5221" i="1"/>
  <c r="Q5221" i="1"/>
  <c r="R5221" i="1"/>
  <c r="J5222" i="1"/>
  <c r="Q5222" i="1"/>
  <c r="R5222" i="1"/>
  <c r="J5223" i="1"/>
  <c r="Q5223" i="1"/>
  <c r="R5223" i="1"/>
  <c r="J11948" i="1"/>
  <c r="Q11948" i="1"/>
  <c r="R11948" i="1"/>
  <c r="J11949" i="1"/>
  <c r="Q11949" i="1"/>
  <c r="R11949" i="1"/>
  <c r="J11950" i="1"/>
  <c r="Q11950" i="1"/>
  <c r="R11950" i="1"/>
  <c r="J11951" i="1"/>
  <c r="Q11951" i="1"/>
  <c r="R11951" i="1"/>
  <c r="J11952" i="1"/>
  <c r="Q11952" i="1"/>
  <c r="R11952" i="1"/>
  <c r="J11953" i="1"/>
  <c r="Q11953" i="1"/>
  <c r="R11953" i="1"/>
  <c r="J5224" i="1"/>
  <c r="Q5224" i="1"/>
  <c r="R5224" i="1"/>
  <c r="J5225" i="1"/>
  <c r="Q5225" i="1"/>
  <c r="R5225" i="1"/>
  <c r="J11954" i="1"/>
  <c r="Q11954" i="1"/>
  <c r="R11954" i="1"/>
  <c r="J11955" i="1"/>
  <c r="Q11955" i="1"/>
  <c r="R11955" i="1"/>
  <c r="J11956" i="1"/>
  <c r="Q11956" i="1"/>
  <c r="R11956" i="1"/>
  <c r="J11957" i="1"/>
  <c r="Q11957" i="1"/>
  <c r="R11957" i="1"/>
  <c r="J5226" i="1"/>
  <c r="Q5226" i="1"/>
  <c r="R5226" i="1"/>
  <c r="J11958" i="1"/>
  <c r="Q11958" i="1"/>
  <c r="R11958" i="1"/>
  <c r="J5227" i="1"/>
  <c r="Q5227" i="1"/>
  <c r="R5227" i="1"/>
  <c r="J5228" i="1"/>
  <c r="Q5228" i="1"/>
  <c r="R5228" i="1"/>
  <c r="J5229" i="1"/>
  <c r="Q5229" i="1"/>
  <c r="R5229" i="1"/>
  <c r="J11959" i="1"/>
  <c r="Q11959" i="1"/>
  <c r="R11959" i="1"/>
  <c r="J11960" i="1"/>
  <c r="Q11960" i="1"/>
  <c r="R11960" i="1"/>
  <c r="J11961" i="1"/>
  <c r="Q11961" i="1"/>
  <c r="R11961" i="1"/>
  <c r="J11962" i="1"/>
  <c r="Q11962" i="1"/>
  <c r="R11962" i="1"/>
  <c r="J11963" i="1"/>
  <c r="Q11963" i="1"/>
  <c r="R11963" i="1"/>
  <c r="J11964" i="1"/>
  <c r="Q11964" i="1"/>
  <c r="R11964" i="1"/>
  <c r="J11965" i="1"/>
  <c r="Q11965" i="1"/>
  <c r="R11965" i="1"/>
  <c r="J11966" i="1"/>
  <c r="Q11966" i="1"/>
  <c r="R11966" i="1"/>
  <c r="J11967" i="1"/>
  <c r="Q11967" i="1"/>
  <c r="R11967" i="1"/>
  <c r="J11968" i="1"/>
  <c r="Q11968" i="1"/>
  <c r="R11968" i="1"/>
  <c r="J11969" i="1"/>
  <c r="Q11969" i="1"/>
  <c r="R11969" i="1"/>
  <c r="J11970" i="1"/>
  <c r="Q11970" i="1"/>
  <c r="R11970" i="1"/>
  <c r="J5230" i="1"/>
  <c r="Q5230" i="1"/>
  <c r="R5230" i="1"/>
  <c r="J5231" i="1"/>
  <c r="Q5231" i="1"/>
  <c r="R5231" i="1"/>
  <c r="J11971" i="1"/>
  <c r="Q11971" i="1"/>
  <c r="R11971" i="1"/>
  <c r="J5232" i="1"/>
  <c r="Q5232" i="1"/>
  <c r="R5232" i="1"/>
  <c r="J5233" i="1"/>
  <c r="Q5233" i="1"/>
  <c r="R5233" i="1"/>
  <c r="J5234" i="1"/>
  <c r="Q5234" i="1"/>
  <c r="R5234" i="1"/>
  <c r="J5235" i="1"/>
  <c r="Q5235" i="1"/>
  <c r="R5235" i="1"/>
  <c r="J5236" i="1"/>
  <c r="Q5236" i="1"/>
  <c r="R5236" i="1"/>
  <c r="J5237" i="1"/>
  <c r="Q5237" i="1"/>
  <c r="R5237" i="1"/>
  <c r="J11972" i="1"/>
  <c r="Q11972" i="1"/>
  <c r="R11972" i="1"/>
  <c r="J5238" i="1"/>
  <c r="Q5238" i="1"/>
  <c r="R5238" i="1"/>
  <c r="J5239" i="1"/>
  <c r="Q5239" i="1"/>
  <c r="R5239" i="1"/>
  <c r="J5240" i="1"/>
  <c r="Q5240" i="1"/>
  <c r="R5240" i="1"/>
  <c r="J11973" i="1"/>
  <c r="Q11973" i="1"/>
  <c r="R11973" i="1"/>
  <c r="J5241" i="1"/>
  <c r="Q5241" i="1"/>
  <c r="R5241" i="1"/>
  <c r="J5242" i="1"/>
  <c r="Q5242" i="1"/>
  <c r="R5242" i="1"/>
  <c r="J5243" i="1"/>
  <c r="Q5243" i="1"/>
  <c r="R5243" i="1"/>
  <c r="J11974" i="1"/>
  <c r="Q11974" i="1"/>
  <c r="R11974" i="1"/>
  <c r="J5244" i="1"/>
  <c r="Q5244" i="1"/>
  <c r="R5244" i="1"/>
  <c r="J11975" i="1"/>
  <c r="Q11975" i="1"/>
  <c r="R11975" i="1"/>
  <c r="J5245" i="1"/>
  <c r="Q5245" i="1"/>
  <c r="R5245" i="1"/>
  <c r="J5246" i="1"/>
  <c r="Q5246" i="1"/>
  <c r="R5246" i="1"/>
  <c r="J5247" i="1"/>
  <c r="Q5247" i="1"/>
  <c r="R5247" i="1"/>
  <c r="J5248" i="1"/>
  <c r="Q5248" i="1"/>
  <c r="R5248" i="1"/>
  <c r="J5249" i="1"/>
  <c r="Q5249" i="1"/>
  <c r="R5249" i="1"/>
  <c r="J5250" i="1"/>
  <c r="Q5250" i="1"/>
  <c r="R5250" i="1"/>
  <c r="J5251" i="1"/>
  <c r="Q5251" i="1"/>
  <c r="R5251" i="1"/>
  <c r="J5252" i="1"/>
  <c r="Q5252" i="1"/>
  <c r="R5252" i="1"/>
  <c r="J5253" i="1"/>
  <c r="Q5253" i="1"/>
  <c r="R5253" i="1"/>
  <c r="J5254" i="1"/>
  <c r="Q5254" i="1"/>
  <c r="R5254" i="1"/>
  <c r="J5255" i="1"/>
  <c r="Q5255" i="1"/>
  <c r="R5255" i="1"/>
  <c r="J5256" i="1"/>
  <c r="Q5256" i="1"/>
  <c r="R5256" i="1"/>
  <c r="J5257" i="1"/>
  <c r="Q5257" i="1"/>
  <c r="R5257" i="1"/>
  <c r="J5258" i="1"/>
  <c r="Q5258" i="1"/>
  <c r="R5258" i="1"/>
  <c r="J5259" i="1"/>
  <c r="Q5259" i="1"/>
  <c r="R5259" i="1"/>
  <c r="J5260" i="1"/>
  <c r="Q5260" i="1"/>
  <c r="R5260" i="1"/>
  <c r="J5261" i="1"/>
  <c r="Q5261" i="1"/>
  <c r="R5261" i="1"/>
  <c r="J5262" i="1"/>
  <c r="Q5262" i="1"/>
  <c r="R5262" i="1"/>
  <c r="J5263" i="1"/>
  <c r="Q5263" i="1"/>
  <c r="R5263" i="1"/>
  <c r="J5264" i="1"/>
  <c r="Q5264" i="1"/>
  <c r="R5264" i="1"/>
  <c r="J11976" i="1"/>
  <c r="Q11976" i="1"/>
  <c r="R11976" i="1"/>
  <c r="J11977" i="1"/>
  <c r="Q11977" i="1"/>
  <c r="R11977" i="1"/>
  <c r="J5265" i="1"/>
  <c r="Q5265" i="1"/>
  <c r="R5265" i="1"/>
  <c r="J11978" i="1"/>
  <c r="Q11978" i="1"/>
  <c r="R11978" i="1"/>
  <c r="J11979" i="1"/>
  <c r="Q11979" i="1"/>
  <c r="R11979" i="1"/>
  <c r="J11980" i="1"/>
  <c r="Q11980" i="1"/>
  <c r="R11980" i="1"/>
  <c r="J5266" i="1"/>
  <c r="Q5266" i="1"/>
  <c r="R5266" i="1"/>
  <c r="J11981" i="1"/>
  <c r="Q11981" i="1"/>
  <c r="R11981" i="1"/>
  <c r="J11982" i="1"/>
  <c r="Q11982" i="1"/>
  <c r="R11982" i="1"/>
  <c r="J11983" i="1"/>
  <c r="Q11983" i="1"/>
  <c r="R11983" i="1"/>
  <c r="J5267" i="1"/>
  <c r="Q5267" i="1"/>
  <c r="R5267" i="1"/>
  <c r="J11984" i="1"/>
  <c r="Q11984" i="1"/>
  <c r="R11984" i="1"/>
  <c r="J5268" i="1"/>
  <c r="Q5268" i="1"/>
  <c r="R5268" i="1"/>
  <c r="J5269" i="1"/>
  <c r="Q5269" i="1"/>
  <c r="R5269" i="1"/>
  <c r="J5270" i="1"/>
  <c r="Q5270" i="1"/>
  <c r="R5270" i="1"/>
  <c r="J11985" i="1"/>
  <c r="Q11985" i="1"/>
  <c r="R11985" i="1"/>
  <c r="J11986" i="1"/>
  <c r="Q11986" i="1"/>
  <c r="R11986" i="1"/>
  <c r="J5271" i="1"/>
  <c r="Q5271" i="1"/>
  <c r="R5271" i="1"/>
  <c r="J11987" i="1"/>
  <c r="Q11987" i="1"/>
  <c r="R11987" i="1"/>
  <c r="J11988" i="1"/>
  <c r="Q11988" i="1"/>
  <c r="R11988" i="1"/>
  <c r="J5272" i="1"/>
  <c r="Q5272" i="1"/>
  <c r="R5272" i="1"/>
  <c r="J11989" i="1"/>
  <c r="Q11989" i="1"/>
  <c r="R11989" i="1"/>
  <c r="J11990" i="1"/>
  <c r="Q11990" i="1"/>
  <c r="R11990" i="1"/>
  <c r="J11991" i="1"/>
  <c r="Q11991" i="1"/>
  <c r="R11991" i="1"/>
  <c r="J5273" i="1"/>
  <c r="Q5273" i="1"/>
  <c r="R5273" i="1"/>
  <c r="J11992" i="1"/>
  <c r="Q11992" i="1"/>
  <c r="R11992" i="1"/>
  <c r="J11993" i="1"/>
  <c r="Q11993" i="1"/>
  <c r="R11993" i="1"/>
  <c r="J5274" i="1"/>
  <c r="Q5274" i="1"/>
  <c r="R5274" i="1"/>
  <c r="J11994" i="1"/>
  <c r="Q11994" i="1"/>
  <c r="R11994" i="1"/>
  <c r="J5275" i="1"/>
  <c r="Q5275" i="1"/>
  <c r="R5275" i="1"/>
  <c r="J11995" i="1"/>
  <c r="Q11995" i="1"/>
  <c r="R11995" i="1"/>
  <c r="J11996" i="1"/>
  <c r="Q11996" i="1"/>
  <c r="R11996" i="1"/>
  <c r="J11997" i="1"/>
  <c r="Q11997" i="1"/>
  <c r="R11997" i="1"/>
  <c r="J11998" i="1"/>
  <c r="Q11998" i="1"/>
  <c r="R11998" i="1"/>
  <c r="J11999" i="1"/>
  <c r="Q11999" i="1"/>
  <c r="R11999" i="1"/>
  <c r="J12000" i="1"/>
  <c r="Q12000" i="1"/>
  <c r="R12000" i="1"/>
  <c r="J12001" i="1"/>
  <c r="Q12001" i="1"/>
  <c r="R12001" i="1"/>
  <c r="J12002" i="1"/>
  <c r="Q12002" i="1"/>
  <c r="R12002" i="1"/>
  <c r="J5276" i="1"/>
  <c r="Q5276" i="1"/>
  <c r="R5276" i="1"/>
  <c r="J5277" i="1"/>
  <c r="Q5277" i="1"/>
  <c r="R5277" i="1"/>
  <c r="J5278" i="1"/>
  <c r="Q5278" i="1"/>
  <c r="R5278" i="1"/>
  <c r="J5279" i="1"/>
  <c r="Q5279" i="1"/>
  <c r="R5279" i="1"/>
  <c r="J12003" i="1"/>
  <c r="Q12003" i="1"/>
  <c r="R12003" i="1"/>
  <c r="J12004" i="1"/>
  <c r="Q12004" i="1"/>
  <c r="R12004" i="1"/>
  <c r="J5280" i="1"/>
  <c r="Q5280" i="1"/>
  <c r="R5280" i="1"/>
  <c r="J5281" i="1"/>
  <c r="Q5281" i="1"/>
  <c r="R5281" i="1"/>
  <c r="J12005" i="1"/>
  <c r="Q12005" i="1"/>
  <c r="R12005" i="1"/>
  <c r="J5282" i="1"/>
  <c r="Q5282" i="1"/>
  <c r="R5282" i="1"/>
  <c r="J12006" i="1"/>
  <c r="Q12006" i="1"/>
  <c r="R12006" i="1"/>
  <c r="J12007" i="1"/>
  <c r="Q12007" i="1"/>
  <c r="R12007" i="1"/>
  <c r="J12008" i="1"/>
  <c r="Q12008" i="1"/>
  <c r="R12008" i="1"/>
  <c r="J12009" i="1"/>
  <c r="Q12009" i="1"/>
  <c r="R12009" i="1"/>
  <c r="J5283" i="1"/>
  <c r="Q5283" i="1"/>
  <c r="R5283" i="1"/>
  <c r="J12010" i="1"/>
  <c r="Q12010" i="1"/>
  <c r="R12010" i="1"/>
  <c r="J12011" i="1"/>
  <c r="Q12011" i="1"/>
  <c r="R12011" i="1"/>
  <c r="J5284" i="1"/>
  <c r="Q5284" i="1"/>
  <c r="R5284" i="1"/>
  <c r="J12012" i="1"/>
  <c r="Q12012" i="1"/>
  <c r="R12012" i="1"/>
  <c r="J12013" i="1"/>
  <c r="Q12013" i="1"/>
  <c r="R12013" i="1"/>
  <c r="J12014" i="1"/>
  <c r="Q12014" i="1"/>
  <c r="R12014" i="1"/>
  <c r="J12015" i="1"/>
  <c r="Q12015" i="1"/>
  <c r="R12015" i="1"/>
  <c r="J12016" i="1"/>
  <c r="Q12016" i="1"/>
  <c r="R12016" i="1"/>
  <c r="J12017" i="1"/>
  <c r="Q12017" i="1"/>
  <c r="R12017" i="1"/>
  <c r="J12018" i="1"/>
  <c r="Q12018" i="1"/>
  <c r="R12018" i="1"/>
  <c r="J12019" i="1"/>
  <c r="Q12019" i="1"/>
  <c r="R12019" i="1"/>
  <c r="J12020" i="1"/>
  <c r="Q12020" i="1"/>
  <c r="R12020" i="1"/>
  <c r="J12021" i="1"/>
  <c r="Q12021" i="1"/>
  <c r="R12021" i="1"/>
  <c r="J12022" i="1"/>
  <c r="Q12022" i="1"/>
  <c r="R12022" i="1"/>
  <c r="J12023" i="1"/>
  <c r="Q12023" i="1"/>
  <c r="R12023" i="1"/>
  <c r="J12024" i="1"/>
  <c r="Q12024" i="1"/>
  <c r="R12024" i="1"/>
  <c r="J12025" i="1"/>
  <c r="Q12025" i="1"/>
  <c r="R12025" i="1"/>
  <c r="J12026" i="1"/>
  <c r="Q12026" i="1"/>
  <c r="R12026" i="1"/>
  <c r="J12027" i="1"/>
  <c r="Q12027" i="1"/>
  <c r="R12027" i="1"/>
  <c r="J12028" i="1"/>
  <c r="Q12028" i="1"/>
  <c r="R12028" i="1"/>
  <c r="J5285" i="1"/>
  <c r="Q5285" i="1"/>
  <c r="R5285" i="1"/>
  <c r="J12029" i="1"/>
  <c r="Q12029" i="1"/>
  <c r="R12029" i="1"/>
  <c r="J5286" i="1"/>
  <c r="Q5286" i="1"/>
  <c r="R5286" i="1"/>
  <c r="J12030" i="1"/>
  <c r="Q12030" i="1"/>
  <c r="R12030" i="1"/>
  <c r="J12031" i="1"/>
  <c r="Q12031" i="1"/>
  <c r="R12031" i="1"/>
  <c r="J5287" i="1"/>
  <c r="Q5287" i="1"/>
  <c r="R5287" i="1"/>
  <c r="J12032" i="1"/>
  <c r="Q12032" i="1"/>
  <c r="R12032" i="1"/>
  <c r="J5288" i="1"/>
  <c r="Q5288" i="1"/>
  <c r="R5288" i="1"/>
  <c r="J12033" i="1"/>
  <c r="Q12033" i="1"/>
  <c r="R12033" i="1"/>
  <c r="J12034" i="1"/>
  <c r="Q12034" i="1"/>
  <c r="R12034" i="1"/>
  <c r="J12035" i="1"/>
  <c r="Q12035" i="1"/>
  <c r="R12035" i="1"/>
  <c r="J12036" i="1"/>
  <c r="Q12036" i="1"/>
  <c r="R12036" i="1"/>
  <c r="J12037" i="1"/>
  <c r="Q12037" i="1"/>
  <c r="R12037" i="1"/>
  <c r="J5289" i="1"/>
  <c r="Q5289" i="1"/>
  <c r="R5289" i="1"/>
  <c r="J5290" i="1"/>
  <c r="Q5290" i="1"/>
  <c r="R5290" i="1"/>
  <c r="J5291" i="1"/>
  <c r="Q5291" i="1"/>
  <c r="R5291" i="1"/>
  <c r="J5292" i="1"/>
  <c r="Q5292" i="1"/>
  <c r="R5292" i="1"/>
  <c r="J12038" i="1"/>
  <c r="Q12038" i="1"/>
  <c r="R12038" i="1"/>
  <c r="J5293" i="1"/>
  <c r="Q5293" i="1"/>
  <c r="R5293" i="1"/>
  <c r="J12039" i="1"/>
  <c r="Q12039" i="1"/>
  <c r="R12039" i="1"/>
  <c r="J12040" i="1"/>
  <c r="Q12040" i="1"/>
  <c r="R12040" i="1"/>
  <c r="J12041" i="1"/>
  <c r="Q12041" i="1"/>
  <c r="R12041" i="1"/>
  <c r="J12042" i="1"/>
  <c r="Q12042" i="1"/>
  <c r="R12042" i="1"/>
  <c r="J12043" i="1"/>
  <c r="Q12043" i="1"/>
  <c r="R12043" i="1"/>
  <c r="J12044" i="1"/>
  <c r="Q12044" i="1"/>
  <c r="R12044" i="1"/>
  <c r="J12045" i="1"/>
  <c r="Q12045" i="1"/>
  <c r="R12045" i="1"/>
  <c r="J12046" i="1"/>
  <c r="Q12046" i="1"/>
  <c r="R12046" i="1"/>
  <c r="J5294" i="1"/>
  <c r="Q5294" i="1"/>
  <c r="R5294" i="1"/>
  <c r="J5295" i="1"/>
  <c r="Q5295" i="1"/>
  <c r="R5295" i="1"/>
  <c r="J12047" i="1"/>
  <c r="Q12047" i="1"/>
  <c r="R12047" i="1"/>
  <c r="J5296" i="1"/>
  <c r="Q5296" i="1"/>
  <c r="R5296" i="1"/>
  <c r="J12048" i="1"/>
  <c r="Q12048" i="1"/>
  <c r="R12048" i="1"/>
  <c r="J12049" i="1"/>
  <c r="Q12049" i="1"/>
  <c r="R12049" i="1"/>
  <c r="J12050" i="1"/>
  <c r="Q12050" i="1"/>
  <c r="R12050" i="1"/>
  <c r="J12051" i="1"/>
  <c r="Q12051" i="1"/>
  <c r="R12051" i="1"/>
  <c r="J12052" i="1"/>
  <c r="Q12052" i="1"/>
  <c r="R12052" i="1"/>
  <c r="J12053" i="1"/>
  <c r="Q12053" i="1"/>
  <c r="R12053" i="1"/>
  <c r="J5297" i="1"/>
  <c r="Q5297" i="1"/>
  <c r="R5297" i="1"/>
  <c r="J12054" i="1"/>
  <c r="Q12054" i="1"/>
  <c r="R12054" i="1"/>
  <c r="J12055" i="1"/>
  <c r="Q12055" i="1"/>
  <c r="R12055" i="1"/>
  <c r="J12056" i="1"/>
  <c r="Q12056" i="1"/>
  <c r="R12056" i="1"/>
  <c r="J12057" i="1"/>
  <c r="Q12057" i="1"/>
  <c r="R12057" i="1"/>
  <c r="J12058" i="1"/>
  <c r="Q12058" i="1"/>
  <c r="R12058" i="1"/>
  <c r="J12059" i="1"/>
  <c r="Q12059" i="1"/>
  <c r="R12059" i="1"/>
  <c r="J12060" i="1"/>
  <c r="Q12060" i="1"/>
  <c r="R12060" i="1"/>
  <c r="J12061" i="1"/>
  <c r="Q12061" i="1"/>
  <c r="R12061" i="1"/>
  <c r="J12062" i="1"/>
  <c r="Q12062" i="1"/>
  <c r="R12062" i="1"/>
  <c r="J12063" i="1"/>
  <c r="Q12063" i="1"/>
  <c r="R12063" i="1"/>
  <c r="J12064" i="1"/>
  <c r="Q12064" i="1"/>
  <c r="R12064" i="1"/>
  <c r="J12065" i="1"/>
  <c r="Q12065" i="1"/>
  <c r="R12065" i="1"/>
  <c r="J12066" i="1"/>
  <c r="Q12066" i="1"/>
  <c r="R12066" i="1"/>
  <c r="J12067" i="1"/>
  <c r="Q12067" i="1"/>
  <c r="R12067" i="1"/>
  <c r="J5298" i="1"/>
  <c r="Q5298" i="1"/>
  <c r="R5298" i="1"/>
  <c r="J12068" i="1"/>
  <c r="Q12068" i="1"/>
  <c r="R12068" i="1"/>
  <c r="J12069" i="1"/>
  <c r="Q12069" i="1"/>
  <c r="R12069" i="1"/>
  <c r="J5299" i="1"/>
  <c r="Q5299" i="1"/>
  <c r="R5299" i="1"/>
  <c r="J12070" i="1"/>
  <c r="Q12070" i="1"/>
  <c r="R12070" i="1"/>
  <c r="J12071" i="1"/>
  <c r="Q12071" i="1"/>
  <c r="R12071" i="1"/>
  <c r="J5300" i="1"/>
  <c r="Q5300" i="1"/>
  <c r="R5300" i="1"/>
  <c r="J5301" i="1"/>
  <c r="Q5301" i="1"/>
  <c r="R5301" i="1"/>
  <c r="J5302" i="1"/>
  <c r="Q5302" i="1"/>
  <c r="R5302" i="1"/>
  <c r="J12072" i="1"/>
  <c r="Q12072" i="1"/>
  <c r="R12072" i="1"/>
  <c r="J5303" i="1"/>
  <c r="Q5303" i="1"/>
  <c r="R5303" i="1"/>
  <c r="J5304" i="1"/>
  <c r="Q5304" i="1"/>
  <c r="R5304" i="1"/>
  <c r="J5305" i="1"/>
  <c r="Q5305" i="1"/>
  <c r="R5305" i="1"/>
  <c r="J5306" i="1"/>
  <c r="Q5306" i="1"/>
  <c r="R5306" i="1"/>
  <c r="J5307" i="1"/>
  <c r="Q5307" i="1"/>
  <c r="R5307" i="1"/>
  <c r="J5308" i="1"/>
  <c r="Q5308" i="1"/>
  <c r="R5308" i="1"/>
  <c r="J5309" i="1"/>
  <c r="Q5309" i="1"/>
  <c r="R5309" i="1"/>
  <c r="J12073" i="1"/>
  <c r="Q12073" i="1"/>
  <c r="R12073" i="1"/>
  <c r="J5310" i="1"/>
  <c r="Q5310" i="1"/>
  <c r="R5310" i="1"/>
  <c r="J12074" i="1"/>
  <c r="Q12074" i="1"/>
  <c r="R12074" i="1"/>
  <c r="J5311" i="1"/>
  <c r="Q5311" i="1"/>
  <c r="R5311" i="1"/>
  <c r="J5312" i="1"/>
  <c r="Q5312" i="1"/>
  <c r="R5312" i="1"/>
  <c r="J5313" i="1"/>
  <c r="Q5313" i="1"/>
  <c r="R5313" i="1"/>
  <c r="J12075" i="1"/>
  <c r="Q12075" i="1"/>
  <c r="R12075" i="1"/>
  <c r="J5314" i="1"/>
  <c r="Q5314" i="1"/>
  <c r="R5314" i="1"/>
  <c r="J5315" i="1"/>
  <c r="Q5315" i="1"/>
  <c r="R5315" i="1"/>
  <c r="J5316" i="1"/>
  <c r="Q5316" i="1"/>
  <c r="R5316" i="1"/>
  <c r="J5317" i="1"/>
  <c r="Q5317" i="1"/>
  <c r="R5317" i="1"/>
  <c r="J5318" i="1"/>
  <c r="Q5318" i="1"/>
  <c r="R5318" i="1"/>
  <c r="J5319" i="1"/>
  <c r="Q5319" i="1"/>
  <c r="R5319" i="1"/>
  <c r="J5320" i="1"/>
  <c r="Q5320" i="1"/>
  <c r="R5320" i="1"/>
  <c r="J5321" i="1"/>
  <c r="Q5321" i="1"/>
  <c r="R5321" i="1"/>
  <c r="J5322" i="1"/>
  <c r="Q5322" i="1"/>
  <c r="R5322" i="1"/>
  <c r="J5323" i="1"/>
  <c r="Q5323" i="1"/>
  <c r="R5323" i="1"/>
  <c r="J5324" i="1"/>
  <c r="Q5324" i="1"/>
  <c r="R5324" i="1"/>
  <c r="J5325" i="1"/>
  <c r="Q5325" i="1"/>
  <c r="R5325" i="1"/>
  <c r="J5326" i="1"/>
  <c r="Q5326" i="1"/>
  <c r="R5326" i="1"/>
  <c r="J5327" i="1"/>
  <c r="Q5327" i="1"/>
  <c r="R5327" i="1"/>
  <c r="J5328" i="1"/>
  <c r="Q5328" i="1"/>
  <c r="R5328" i="1"/>
  <c r="J5329" i="1"/>
  <c r="Q5329" i="1"/>
  <c r="R5329" i="1"/>
  <c r="J5330" i="1"/>
  <c r="Q5330" i="1"/>
  <c r="R5330" i="1"/>
  <c r="J5331" i="1"/>
  <c r="Q5331" i="1"/>
  <c r="R5331" i="1"/>
  <c r="J5332" i="1"/>
  <c r="Q5332" i="1"/>
  <c r="R5332" i="1"/>
  <c r="J5333" i="1"/>
  <c r="Q5333" i="1"/>
  <c r="R5333" i="1"/>
  <c r="J12076" i="1"/>
  <c r="Q12076" i="1"/>
  <c r="R12076" i="1"/>
  <c r="J12077" i="1"/>
  <c r="Q12077" i="1"/>
  <c r="R12077" i="1"/>
  <c r="J12078" i="1"/>
  <c r="Q12078" i="1"/>
  <c r="R12078" i="1"/>
  <c r="J12079" i="1"/>
  <c r="Q12079" i="1"/>
  <c r="R12079" i="1"/>
  <c r="J12080" i="1"/>
  <c r="Q12080" i="1"/>
  <c r="R12080" i="1"/>
  <c r="J12081" i="1"/>
  <c r="Q12081" i="1"/>
  <c r="R12081" i="1"/>
  <c r="J5334" i="1"/>
  <c r="Q5334" i="1"/>
  <c r="R5334" i="1"/>
  <c r="J5335" i="1"/>
  <c r="Q5335" i="1"/>
  <c r="R5335" i="1"/>
  <c r="J5336" i="1"/>
  <c r="Q5336" i="1"/>
  <c r="R5336" i="1"/>
  <c r="J12082" i="1"/>
  <c r="Q12082" i="1"/>
  <c r="R12082" i="1"/>
  <c r="J5337" i="1"/>
  <c r="Q5337" i="1"/>
  <c r="R5337" i="1"/>
  <c r="J5338" i="1"/>
  <c r="Q5338" i="1"/>
  <c r="R5338" i="1"/>
  <c r="J12083" i="1"/>
  <c r="Q12083" i="1"/>
  <c r="R12083" i="1"/>
  <c r="J5339" i="1"/>
  <c r="Q5339" i="1"/>
  <c r="R5339" i="1"/>
  <c r="J5340" i="1"/>
  <c r="Q5340" i="1"/>
  <c r="R5340" i="1"/>
  <c r="J12084" i="1"/>
  <c r="Q12084" i="1"/>
  <c r="R12084" i="1"/>
  <c r="J5341" i="1"/>
  <c r="Q5341" i="1"/>
  <c r="R5341" i="1"/>
  <c r="J5342" i="1"/>
  <c r="Q5342" i="1"/>
  <c r="R5342" i="1"/>
  <c r="J5343" i="1"/>
  <c r="Q5343" i="1"/>
  <c r="R5343" i="1"/>
  <c r="J5344" i="1"/>
  <c r="Q5344" i="1"/>
  <c r="R5344" i="1"/>
  <c r="J5345" i="1"/>
  <c r="Q5345" i="1"/>
  <c r="R5345" i="1"/>
  <c r="J5346" i="1"/>
  <c r="Q5346" i="1"/>
  <c r="R5346" i="1"/>
  <c r="J12085" i="1"/>
  <c r="Q12085" i="1"/>
  <c r="R12085" i="1"/>
  <c r="J5347" i="1"/>
  <c r="Q5347" i="1"/>
  <c r="R5347" i="1"/>
  <c r="J12086" i="1"/>
  <c r="Q12086" i="1"/>
  <c r="R12086" i="1"/>
  <c r="J5348" i="1"/>
  <c r="Q5348" i="1"/>
  <c r="R5348" i="1"/>
  <c r="J5349" i="1"/>
  <c r="Q5349" i="1"/>
  <c r="R5349" i="1"/>
  <c r="J5350" i="1"/>
  <c r="Q5350" i="1"/>
  <c r="R5350" i="1"/>
  <c r="J12087" i="1"/>
  <c r="Q12087" i="1"/>
  <c r="R12087" i="1"/>
  <c r="J12088" i="1"/>
  <c r="Q12088" i="1"/>
  <c r="R12088" i="1"/>
  <c r="J12089" i="1"/>
  <c r="Q12089" i="1"/>
  <c r="R12089" i="1"/>
  <c r="J12090" i="1"/>
  <c r="Q12090" i="1"/>
  <c r="R12090" i="1"/>
  <c r="J12091" i="1"/>
  <c r="Q12091" i="1"/>
  <c r="R12091" i="1"/>
  <c r="J12092" i="1"/>
  <c r="Q12092" i="1"/>
  <c r="R12092" i="1"/>
  <c r="J12093" i="1"/>
  <c r="Q12093" i="1"/>
  <c r="R12093" i="1"/>
  <c r="J5351" i="1"/>
  <c r="Q5351" i="1"/>
  <c r="R5351" i="1"/>
  <c r="J5352" i="1"/>
  <c r="Q5352" i="1"/>
  <c r="R5352" i="1"/>
  <c r="J5353" i="1"/>
  <c r="Q5353" i="1"/>
  <c r="R5353" i="1"/>
  <c r="J5354" i="1"/>
  <c r="Q5354" i="1"/>
  <c r="R5354" i="1"/>
  <c r="J12094" i="1"/>
  <c r="Q12094" i="1"/>
  <c r="R12094" i="1"/>
  <c r="J5355" i="1"/>
  <c r="Q5355" i="1"/>
  <c r="R5355" i="1"/>
  <c r="J5356" i="1"/>
  <c r="Q5356" i="1"/>
  <c r="R5356" i="1"/>
  <c r="J5357" i="1"/>
  <c r="Q5357" i="1"/>
  <c r="R5357" i="1"/>
  <c r="J12095" i="1"/>
  <c r="Q12095" i="1"/>
  <c r="R12095" i="1"/>
  <c r="J12096" i="1"/>
  <c r="Q12096" i="1"/>
  <c r="R12096" i="1"/>
  <c r="J5358" i="1"/>
  <c r="Q5358" i="1"/>
  <c r="R5358" i="1"/>
  <c r="J12097" i="1"/>
  <c r="Q12097" i="1"/>
  <c r="R12097" i="1"/>
  <c r="J12098" i="1"/>
  <c r="Q12098" i="1"/>
  <c r="R12098" i="1"/>
  <c r="J12099" i="1"/>
  <c r="Q12099" i="1"/>
  <c r="R12099" i="1"/>
  <c r="J12100" i="1"/>
  <c r="Q12100" i="1"/>
  <c r="R12100" i="1"/>
  <c r="J12101" i="1"/>
  <c r="Q12101" i="1"/>
  <c r="R12101" i="1"/>
  <c r="J12102" i="1"/>
  <c r="Q12102" i="1"/>
  <c r="R12102" i="1"/>
  <c r="J12103" i="1"/>
  <c r="Q12103" i="1"/>
  <c r="R12103" i="1"/>
  <c r="J5359" i="1"/>
  <c r="Q5359" i="1"/>
  <c r="R5359" i="1"/>
  <c r="J5360" i="1"/>
  <c r="Q5360" i="1"/>
  <c r="R5360" i="1"/>
  <c r="J12104" i="1"/>
  <c r="Q12104" i="1"/>
  <c r="R12104" i="1"/>
  <c r="J12105" i="1"/>
  <c r="Q12105" i="1"/>
  <c r="R12105" i="1"/>
  <c r="J12106" i="1"/>
  <c r="Q12106" i="1"/>
  <c r="R12106" i="1"/>
  <c r="J12107" i="1"/>
  <c r="Q12107" i="1"/>
  <c r="R12107" i="1"/>
  <c r="J12108" i="1"/>
  <c r="Q12108" i="1"/>
  <c r="R12108" i="1"/>
  <c r="J12109" i="1"/>
  <c r="Q12109" i="1"/>
  <c r="R12109" i="1"/>
  <c r="J12110" i="1"/>
  <c r="Q12110" i="1"/>
  <c r="R12110" i="1"/>
  <c r="J5361" i="1"/>
  <c r="Q5361" i="1"/>
  <c r="R5361" i="1"/>
  <c r="J12111" i="1"/>
  <c r="Q12111" i="1"/>
  <c r="R12111" i="1"/>
  <c r="J12112" i="1"/>
  <c r="Q12112" i="1"/>
  <c r="R12112" i="1"/>
  <c r="J12113" i="1"/>
  <c r="Q12113" i="1"/>
  <c r="R12113" i="1"/>
  <c r="J12114" i="1"/>
  <c r="Q12114" i="1"/>
  <c r="R12114" i="1"/>
  <c r="J12115" i="1"/>
  <c r="Q12115" i="1"/>
  <c r="R12115" i="1"/>
  <c r="J12116" i="1"/>
  <c r="Q12116" i="1"/>
  <c r="R12116" i="1"/>
  <c r="J12117" i="1"/>
  <c r="Q12117" i="1"/>
  <c r="R12117" i="1"/>
  <c r="J12118" i="1"/>
  <c r="Q12118" i="1"/>
  <c r="R12118" i="1"/>
  <c r="J12119" i="1"/>
  <c r="Q12119" i="1"/>
  <c r="R12119" i="1"/>
  <c r="J5362" i="1"/>
  <c r="Q5362" i="1"/>
  <c r="R5362" i="1"/>
  <c r="J5363" i="1"/>
  <c r="Q5363" i="1"/>
  <c r="R5363" i="1"/>
  <c r="J12120" i="1"/>
  <c r="Q12120" i="1"/>
  <c r="R12120" i="1"/>
  <c r="J12121" i="1"/>
  <c r="Q12121" i="1"/>
  <c r="R12121" i="1"/>
  <c r="J12122" i="1"/>
  <c r="Q12122" i="1"/>
  <c r="R12122" i="1"/>
  <c r="J12123" i="1"/>
  <c r="Q12123" i="1"/>
  <c r="R12123" i="1"/>
  <c r="J12124" i="1"/>
  <c r="Q12124" i="1"/>
  <c r="R12124" i="1"/>
  <c r="J12125" i="1"/>
  <c r="Q12125" i="1"/>
  <c r="R12125" i="1"/>
  <c r="J12126" i="1"/>
  <c r="Q12126" i="1"/>
  <c r="R12126" i="1"/>
  <c r="J12127" i="1"/>
  <c r="Q12127" i="1"/>
  <c r="R12127" i="1"/>
  <c r="J12128" i="1"/>
  <c r="Q12128" i="1"/>
  <c r="R12128" i="1"/>
  <c r="J12129" i="1"/>
  <c r="Q12129" i="1"/>
  <c r="R12129" i="1"/>
  <c r="J12130" i="1"/>
  <c r="Q12130" i="1"/>
  <c r="R12130" i="1"/>
  <c r="J5364" i="1"/>
  <c r="Q5364" i="1"/>
  <c r="R5364" i="1"/>
  <c r="J12131" i="1"/>
  <c r="Q12131" i="1"/>
  <c r="R12131" i="1"/>
  <c r="J12132" i="1"/>
  <c r="Q12132" i="1"/>
  <c r="R12132" i="1"/>
  <c r="J12133" i="1"/>
  <c r="Q12133" i="1"/>
  <c r="R12133" i="1"/>
  <c r="J12134" i="1"/>
  <c r="Q12134" i="1"/>
  <c r="R12134" i="1"/>
  <c r="J12135" i="1"/>
  <c r="Q12135" i="1"/>
  <c r="R12135" i="1"/>
  <c r="J12136" i="1"/>
  <c r="Q12136" i="1"/>
  <c r="R12136" i="1"/>
  <c r="J5365" i="1"/>
  <c r="Q5365" i="1"/>
  <c r="R5365" i="1"/>
  <c r="J5366" i="1"/>
  <c r="Q5366" i="1"/>
  <c r="R5366" i="1"/>
  <c r="J5367" i="1"/>
  <c r="Q5367" i="1"/>
  <c r="R5367" i="1"/>
  <c r="J12137" i="1"/>
  <c r="Q12137" i="1"/>
  <c r="R12137" i="1"/>
  <c r="J12138" i="1"/>
  <c r="Q12138" i="1"/>
  <c r="R12138" i="1"/>
  <c r="J12139" i="1"/>
  <c r="Q12139" i="1"/>
  <c r="R12139" i="1"/>
  <c r="J5368" i="1"/>
  <c r="Q5368" i="1"/>
  <c r="R5368" i="1"/>
  <c r="J12140" i="1"/>
  <c r="Q12140" i="1"/>
  <c r="R12140" i="1"/>
  <c r="J12141" i="1"/>
  <c r="Q12141" i="1"/>
  <c r="R12141" i="1"/>
  <c r="J5369" i="1"/>
  <c r="Q5369" i="1"/>
  <c r="R5369" i="1"/>
  <c r="J12142" i="1"/>
  <c r="Q12142" i="1"/>
  <c r="R12142" i="1"/>
  <c r="J12143" i="1"/>
  <c r="Q12143" i="1"/>
  <c r="R12143" i="1"/>
  <c r="J12144" i="1"/>
  <c r="Q12144" i="1"/>
  <c r="R12144" i="1"/>
  <c r="J5370" i="1"/>
  <c r="Q5370" i="1"/>
  <c r="R5370" i="1"/>
  <c r="J5371" i="1"/>
  <c r="Q5371" i="1"/>
  <c r="R5371" i="1"/>
  <c r="J12145" i="1"/>
  <c r="Q12145" i="1"/>
  <c r="R12145" i="1"/>
  <c r="J12146" i="1"/>
  <c r="Q12146" i="1"/>
  <c r="R12146" i="1"/>
  <c r="J12147" i="1"/>
  <c r="Q12147" i="1"/>
  <c r="R12147" i="1"/>
  <c r="J5372" i="1"/>
  <c r="Q5372" i="1"/>
  <c r="R5372" i="1"/>
  <c r="J12148" i="1"/>
  <c r="Q12148" i="1"/>
  <c r="R12148" i="1"/>
  <c r="J5373" i="1"/>
  <c r="Q5373" i="1"/>
  <c r="R5373" i="1"/>
  <c r="J5374" i="1"/>
  <c r="Q5374" i="1"/>
  <c r="R5374" i="1"/>
  <c r="J5375" i="1"/>
  <c r="Q5375" i="1"/>
  <c r="R5375" i="1"/>
  <c r="J5376" i="1"/>
  <c r="Q5376" i="1"/>
  <c r="R5376" i="1"/>
  <c r="J5377" i="1"/>
  <c r="Q5377" i="1"/>
  <c r="R5377" i="1"/>
  <c r="J5378" i="1"/>
  <c r="Q5378" i="1"/>
  <c r="R5378" i="1"/>
  <c r="J5379" i="1"/>
  <c r="Q5379" i="1"/>
  <c r="R5379" i="1"/>
  <c r="J5380" i="1"/>
  <c r="Q5380" i="1"/>
  <c r="R5380" i="1"/>
  <c r="J12149" i="1"/>
  <c r="Q12149" i="1"/>
  <c r="R12149" i="1"/>
  <c r="J5381" i="1"/>
  <c r="Q5381" i="1"/>
  <c r="R5381" i="1"/>
  <c r="J5382" i="1"/>
  <c r="Q5382" i="1"/>
  <c r="R5382" i="1"/>
  <c r="J5383" i="1"/>
  <c r="Q5383" i="1"/>
  <c r="R5383" i="1"/>
  <c r="J5384" i="1"/>
  <c r="Q5384" i="1"/>
  <c r="R5384" i="1"/>
  <c r="J5385" i="1"/>
  <c r="Q5385" i="1"/>
  <c r="R5385" i="1"/>
  <c r="J5386" i="1"/>
  <c r="Q5386" i="1"/>
  <c r="R5386" i="1"/>
  <c r="J5387" i="1"/>
  <c r="Q5387" i="1"/>
  <c r="R5387" i="1"/>
  <c r="J5388" i="1"/>
  <c r="Q5388" i="1"/>
  <c r="R5388" i="1"/>
  <c r="J5389" i="1"/>
  <c r="Q5389" i="1"/>
  <c r="R5389" i="1"/>
  <c r="J5390" i="1"/>
  <c r="Q5390" i="1"/>
  <c r="R5390" i="1"/>
  <c r="J5391" i="1"/>
  <c r="Q5391" i="1"/>
  <c r="R5391" i="1"/>
  <c r="J12150" i="1"/>
  <c r="Q12150" i="1"/>
  <c r="R12150" i="1"/>
  <c r="J5392" i="1"/>
  <c r="Q5392" i="1"/>
  <c r="R5392" i="1"/>
  <c r="J12151" i="1"/>
  <c r="Q12151" i="1"/>
  <c r="R12151" i="1"/>
  <c r="J5393" i="1"/>
  <c r="Q5393" i="1"/>
  <c r="R5393" i="1"/>
  <c r="J5394" i="1"/>
  <c r="Q5394" i="1"/>
  <c r="R5394" i="1"/>
  <c r="J5395" i="1"/>
  <c r="Q5395" i="1"/>
  <c r="R5395" i="1"/>
  <c r="J5396" i="1"/>
  <c r="Q5396" i="1"/>
  <c r="R5396" i="1"/>
  <c r="J5397" i="1"/>
  <c r="Q5397" i="1"/>
  <c r="R5397" i="1"/>
  <c r="J5398" i="1"/>
  <c r="Q5398" i="1"/>
  <c r="R5398" i="1"/>
  <c r="J5399" i="1"/>
  <c r="Q5399" i="1"/>
  <c r="R5399" i="1"/>
  <c r="J5400" i="1"/>
  <c r="Q5400" i="1"/>
  <c r="R5400" i="1"/>
  <c r="J5401" i="1"/>
  <c r="Q5401" i="1"/>
  <c r="R5401" i="1"/>
  <c r="J5402" i="1"/>
  <c r="Q5402" i="1"/>
  <c r="R5402" i="1"/>
  <c r="J5403" i="1"/>
  <c r="Q5403" i="1"/>
  <c r="R5403" i="1"/>
  <c r="J5404" i="1"/>
  <c r="Q5404" i="1"/>
  <c r="R5404" i="1"/>
  <c r="J5405" i="1"/>
  <c r="Q5405" i="1"/>
  <c r="R5405" i="1"/>
  <c r="J5406" i="1"/>
  <c r="Q5406" i="1"/>
  <c r="R5406" i="1"/>
  <c r="J5407" i="1"/>
  <c r="Q5407" i="1"/>
  <c r="R5407" i="1"/>
  <c r="J5408" i="1"/>
  <c r="Q5408" i="1"/>
  <c r="R5408" i="1"/>
  <c r="J12152" i="1"/>
  <c r="Q12152" i="1"/>
  <c r="R12152" i="1"/>
  <c r="J12153" i="1"/>
  <c r="Q12153" i="1"/>
  <c r="R12153" i="1"/>
  <c r="J12154" i="1"/>
  <c r="Q12154" i="1"/>
  <c r="R12154" i="1"/>
  <c r="J12155" i="1"/>
  <c r="Q12155" i="1"/>
  <c r="R12155" i="1"/>
  <c r="J12156" i="1"/>
  <c r="Q12156" i="1"/>
  <c r="R12156" i="1"/>
  <c r="J12157" i="1"/>
  <c r="Q12157" i="1"/>
  <c r="R12157" i="1"/>
  <c r="J12158" i="1"/>
  <c r="Q12158" i="1"/>
  <c r="R12158" i="1"/>
  <c r="J12159" i="1"/>
  <c r="Q12159" i="1"/>
  <c r="R12159" i="1"/>
  <c r="J12160" i="1"/>
  <c r="Q12160" i="1"/>
  <c r="R12160" i="1"/>
  <c r="J12161" i="1"/>
  <c r="Q12161" i="1"/>
  <c r="R12161" i="1"/>
  <c r="J12162" i="1"/>
  <c r="Q12162" i="1"/>
  <c r="R12162" i="1"/>
  <c r="J12163" i="1"/>
  <c r="Q12163" i="1"/>
  <c r="R12163" i="1"/>
  <c r="J12164" i="1"/>
  <c r="Q12164" i="1"/>
  <c r="R12164" i="1"/>
  <c r="J12165" i="1"/>
  <c r="Q12165" i="1"/>
  <c r="R12165" i="1"/>
  <c r="J5409" i="1"/>
  <c r="Q5409" i="1"/>
  <c r="R5409" i="1"/>
  <c r="J5410" i="1"/>
  <c r="Q5410" i="1"/>
  <c r="R5410" i="1"/>
  <c r="J12166" i="1"/>
  <c r="Q12166" i="1"/>
  <c r="R12166" i="1"/>
  <c r="J5411" i="1"/>
  <c r="Q5411" i="1"/>
  <c r="R5411" i="1"/>
  <c r="J12167" i="1"/>
  <c r="Q12167" i="1"/>
  <c r="R12167" i="1"/>
  <c r="J5412" i="1"/>
  <c r="Q5412" i="1"/>
  <c r="R5412" i="1"/>
  <c r="J12168" i="1"/>
  <c r="Q12168" i="1"/>
  <c r="R12168" i="1"/>
  <c r="J12169" i="1"/>
  <c r="Q12169" i="1"/>
  <c r="R12169" i="1"/>
  <c r="J5413" i="1"/>
  <c r="Q5413" i="1"/>
  <c r="R5413" i="1"/>
  <c r="J5414" i="1"/>
  <c r="Q5414" i="1"/>
  <c r="R5414" i="1"/>
  <c r="J5415" i="1"/>
  <c r="Q5415" i="1"/>
  <c r="R5415" i="1"/>
  <c r="J5416" i="1"/>
  <c r="Q5416" i="1"/>
  <c r="R5416" i="1"/>
  <c r="J12170" i="1"/>
  <c r="Q12170" i="1"/>
  <c r="R12170" i="1"/>
  <c r="J12171" i="1"/>
  <c r="Q12171" i="1"/>
  <c r="R12171" i="1"/>
  <c r="J12172" i="1"/>
  <c r="Q12172" i="1"/>
  <c r="R12172" i="1"/>
  <c r="J12173" i="1"/>
  <c r="Q12173" i="1"/>
  <c r="R12173" i="1"/>
  <c r="J12174" i="1"/>
  <c r="Q12174" i="1"/>
  <c r="R12174" i="1"/>
  <c r="J12175" i="1"/>
  <c r="Q12175" i="1"/>
  <c r="R12175" i="1"/>
  <c r="J12176" i="1"/>
  <c r="Q12176" i="1"/>
  <c r="R12176" i="1"/>
  <c r="J12177" i="1"/>
  <c r="Q12177" i="1"/>
  <c r="R12177" i="1"/>
  <c r="J5417" i="1"/>
  <c r="Q5417" i="1"/>
  <c r="R5417" i="1"/>
  <c r="J1385" i="1"/>
  <c r="Q1385" i="1"/>
  <c r="R1385" i="1"/>
  <c r="J1386" i="1"/>
  <c r="Q1386" i="1"/>
  <c r="R1386" i="1"/>
  <c r="J7880" i="1"/>
  <c r="Q7880" i="1"/>
  <c r="R7880" i="1"/>
  <c r="J7881" i="1"/>
  <c r="Q7881" i="1"/>
  <c r="R7881" i="1"/>
  <c r="J1387" i="1"/>
  <c r="Q1387" i="1"/>
  <c r="R1387" i="1"/>
  <c r="J1388" i="1"/>
  <c r="Q1388" i="1"/>
  <c r="R1388" i="1"/>
  <c r="J1389" i="1"/>
  <c r="Q1389" i="1"/>
  <c r="R1389" i="1"/>
  <c r="J7882" i="1"/>
  <c r="Q7882" i="1"/>
  <c r="R7882" i="1"/>
  <c r="J6946" i="1"/>
  <c r="Q6946" i="1"/>
  <c r="R6946" i="1"/>
  <c r="J6947" i="1"/>
  <c r="Q6947" i="1"/>
  <c r="R6947" i="1"/>
  <c r="J7883" i="1"/>
  <c r="Q7883" i="1"/>
  <c r="R7883" i="1"/>
  <c r="J6948" i="1"/>
  <c r="Q6948" i="1"/>
  <c r="R6948" i="1"/>
  <c r="J13589" i="1"/>
  <c r="Q13589" i="1"/>
  <c r="R13589" i="1"/>
  <c r="J6949" i="1"/>
  <c r="Q6949" i="1"/>
  <c r="R6949" i="1"/>
  <c r="J6950" i="1"/>
  <c r="Q6950" i="1"/>
  <c r="R6950" i="1"/>
  <c r="J7884" i="1"/>
  <c r="Q7884" i="1"/>
  <c r="R7884" i="1"/>
  <c r="J7885" i="1"/>
  <c r="Q7885" i="1"/>
  <c r="R7885" i="1"/>
  <c r="J7886" i="1"/>
  <c r="Q7886" i="1"/>
  <c r="R7886" i="1"/>
  <c r="J7887" i="1"/>
  <c r="Q7887" i="1"/>
  <c r="R7887" i="1"/>
  <c r="J7888" i="1"/>
  <c r="Q7888" i="1"/>
  <c r="R7888" i="1"/>
  <c r="J7889" i="1"/>
  <c r="Q7889" i="1"/>
  <c r="R7889" i="1"/>
  <c r="J7890" i="1"/>
  <c r="Q7890" i="1"/>
  <c r="R7890" i="1"/>
  <c r="J7891" i="1"/>
  <c r="Q7891" i="1"/>
  <c r="R7891" i="1"/>
  <c r="J7892" i="1"/>
  <c r="Q7892" i="1"/>
  <c r="R7892" i="1"/>
  <c r="J7893" i="1"/>
  <c r="Q7893" i="1"/>
  <c r="R7893" i="1"/>
  <c r="J7894" i="1"/>
  <c r="Q7894" i="1"/>
  <c r="R7894" i="1"/>
  <c r="J7895" i="1"/>
  <c r="Q7895" i="1"/>
  <c r="R7895" i="1"/>
  <c r="J7896" i="1"/>
  <c r="Q7896" i="1"/>
  <c r="R7896" i="1"/>
  <c r="J7897" i="1"/>
  <c r="Q7897" i="1"/>
  <c r="R7897" i="1"/>
  <c r="J7898" i="1"/>
  <c r="Q7898" i="1"/>
  <c r="R7898" i="1"/>
  <c r="J7899" i="1"/>
  <c r="Q7899" i="1"/>
  <c r="R7899" i="1"/>
  <c r="J7900" i="1"/>
  <c r="Q7900" i="1"/>
  <c r="R7900" i="1"/>
  <c r="J7901" i="1"/>
  <c r="Q7901" i="1"/>
  <c r="R7901" i="1"/>
  <c r="J7902" i="1"/>
  <c r="Q7902" i="1"/>
  <c r="R7902" i="1"/>
  <c r="J7903" i="1"/>
  <c r="Q7903" i="1"/>
  <c r="R7903" i="1"/>
  <c r="J7904" i="1"/>
  <c r="Q7904" i="1"/>
  <c r="R7904" i="1"/>
  <c r="J7905" i="1"/>
  <c r="Q7905" i="1"/>
  <c r="R7905" i="1"/>
  <c r="J6951" i="1"/>
  <c r="Q6951" i="1"/>
  <c r="R6951" i="1"/>
  <c r="J7906" i="1"/>
  <c r="Q7906" i="1"/>
  <c r="R7906" i="1"/>
  <c r="J7907" i="1"/>
  <c r="Q7907" i="1"/>
  <c r="R7907" i="1"/>
  <c r="J7908" i="1"/>
  <c r="Q7908" i="1"/>
  <c r="R7908" i="1"/>
  <c r="J7909" i="1"/>
  <c r="Q7909" i="1"/>
  <c r="R7909" i="1"/>
  <c r="J7910" i="1"/>
  <c r="Q7910" i="1"/>
  <c r="R7910" i="1"/>
  <c r="J7911" i="1"/>
  <c r="Q7911" i="1"/>
  <c r="R7911" i="1"/>
  <c r="J6952" i="1"/>
  <c r="Q6952" i="1"/>
  <c r="R6952" i="1"/>
  <c r="J1390" i="1"/>
  <c r="Q1390" i="1"/>
  <c r="R1390" i="1"/>
  <c r="J1391" i="1"/>
  <c r="Q1391" i="1"/>
  <c r="R1391" i="1"/>
  <c r="J1392" i="1"/>
  <c r="Q1392" i="1"/>
  <c r="R1392" i="1"/>
  <c r="J1393" i="1"/>
  <c r="Q1393" i="1"/>
  <c r="R1393" i="1"/>
  <c r="J1394" i="1"/>
  <c r="Q1394" i="1"/>
  <c r="R1394" i="1"/>
  <c r="J1395" i="1"/>
  <c r="Q1395" i="1"/>
  <c r="R1395" i="1"/>
  <c r="J1396" i="1"/>
  <c r="Q1396" i="1"/>
  <c r="R1396" i="1"/>
  <c r="J1397" i="1"/>
  <c r="Q1397" i="1"/>
  <c r="R1397" i="1"/>
  <c r="J1398" i="1"/>
  <c r="Q1398" i="1"/>
  <c r="R1398" i="1"/>
  <c r="J1399" i="1"/>
  <c r="Q1399" i="1"/>
  <c r="R1399" i="1"/>
  <c r="J1400" i="1"/>
  <c r="Q1400" i="1"/>
  <c r="R1400" i="1"/>
  <c r="J13590" i="1"/>
  <c r="Q13590" i="1"/>
  <c r="R13590" i="1"/>
  <c r="J1401" i="1"/>
  <c r="Q1401" i="1"/>
  <c r="R1401" i="1"/>
  <c r="J1402" i="1"/>
  <c r="Q1402" i="1"/>
  <c r="R1402" i="1"/>
  <c r="J1403" i="1"/>
  <c r="Q1403" i="1"/>
  <c r="R1403" i="1"/>
  <c r="J1404" i="1"/>
  <c r="Q1404" i="1"/>
  <c r="R1404" i="1"/>
  <c r="J1405" i="1"/>
  <c r="Q1405" i="1"/>
  <c r="R1405" i="1"/>
  <c r="J1406" i="1"/>
  <c r="Q1406" i="1"/>
  <c r="R1406" i="1"/>
  <c r="J1407" i="1"/>
  <c r="Q1407" i="1"/>
  <c r="R1407" i="1"/>
  <c r="J1408" i="1"/>
  <c r="Q1408" i="1"/>
  <c r="R1408" i="1"/>
  <c r="J1409" i="1"/>
  <c r="Q1409" i="1"/>
  <c r="R1409" i="1"/>
  <c r="J1410" i="1"/>
  <c r="Q1410" i="1"/>
  <c r="R1410" i="1"/>
  <c r="J1411" i="1"/>
  <c r="Q1411" i="1"/>
  <c r="R1411" i="1"/>
  <c r="J1412" i="1"/>
  <c r="Q1412" i="1"/>
  <c r="R1412" i="1"/>
  <c r="J1413" i="1"/>
  <c r="Q1413" i="1"/>
  <c r="R1413" i="1"/>
  <c r="J1414" i="1"/>
  <c r="Q1414" i="1"/>
  <c r="R1414" i="1"/>
  <c r="J1415" i="1"/>
  <c r="Q1415" i="1"/>
  <c r="R1415" i="1"/>
  <c r="J1416" i="1"/>
  <c r="Q1416" i="1"/>
  <c r="R1416" i="1"/>
  <c r="J1417" i="1"/>
  <c r="Q1417" i="1"/>
  <c r="R1417" i="1"/>
  <c r="J1418" i="1"/>
  <c r="Q1418" i="1"/>
  <c r="R1418" i="1"/>
  <c r="J1419" i="1"/>
  <c r="Q1419" i="1"/>
  <c r="R1419" i="1"/>
  <c r="J1420" i="1"/>
  <c r="Q1420" i="1"/>
  <c r="R1420" i="1"/>
  <c r="J1421" i="1"/>
  <c r="Q1421" i="1"/>
  <c r="R1421" i="1"/>
  <c r="J1422" i="1"/>
  <c r="Q1422" i="1"/>
  <c r="R1422" i="1"/>
  <c r="J1423" i="1"/>
  <c r="Q1423" i="1"/>
  <c r="R1423" i="1"/>
  <c r="J1424" i="1"/>
  <c r="Q1424" i="1"/>
  <c r="R1424" i="1"/>
  <c r="J1425" i="1"/>
  <c r="Q1425" i="1"/>
  <c r="R1425" i="1"/>
  <c r="J1426" i="1"/>
  <c r="Q1426" i="1"/>
  <c r="R1426" i="1"/>
  <c r="J6953" i="1"/>
  <c r="Q6953" i="1"/>
  <c r="R6953" i="1"/>
  <c r="J1427" i="1"/>
  <c r="Q1427" i="1"/>
  <c r="R1427" i="1"/>
  <c r="J1428" i="1"/>
  <c r="Q1428" i="1"/>
  <c r="R1428" i="1"/>
  <c r="J1429" i="1"/>
  <c r="Q1429" i="1"/>
  <c r="R1429" i="1"/>
  <c r="J1430" i="1"/>
  <c r="Q1430" i="1"/>
  <c r="R1430" i="1"/>
  <c r="J1431" i="1"/>
  <c r="Q1431" i="1"/>
  <c r="R1431" i="1"/>
  <c r="J1432" i="1"/>
  <c r="Q1432" i="1"/>
  <c r="R1432" i="1"/>
  <c r="J7912" i="1"/>
  <c r="Q7912" i="1"/>
  <c r="R7912" i="1"/>
  <c r="J6613" i="1"/>
  <c r="Q6613" i="1"/>
  <c r="R6613" i="1"/>
  <c r="J1433" i="1"/>
  <c r="Q1433" i="1"/>
  <c r="R1433" i="1"/>
  <c r="J1434" i="1"/>
  <c r="Q1434" i="1"/>
  <c r="R1434" i="1"/>
  <c r="J1435" i="1"/>
  <c r="Q1435" i="1"/>
  <c r="R1435" i="1"/>
  <c r="J6614" i="1"/>
  <c r="Q6614" i="1"/>
  <c r="R6614" i="1"/>
  <c r="J7913" i="1"/>
  <c r="Q7913" i="1"/>
  <c r="R7913" i="1"/>
  <c r="J1436" i="1"/>
  <c r="Q1436" i="1"/>
  <c r="R1436" i="1"/>
  <c r="J1437" i="1"/>
  <c r="Q1437" i="1"/>
  <c r="R1437" i="1"/>
  <c r="J1438" i="1"/>
  <c r="Q1438" i="1"/>
  <c r="R1438" i="1"/>
  <c r="J7914" i="1"/>
  <c r="Q7914" i="1"/>
  <c r="R7914" i="1"/>
  <c r="J1439" i="1"/>
  <c r="Q1439" i="1"/>
  <c r="R1439" i="1"/>
  <c r="J7915" i="1"/>
  <c r="Q7915" i="1"/>
  <c r="R7915" i="1"/>
  <c r="J7916" i="1"/>
  <c r="Q7916" i="1"/>
  <c r="R7916" i="1"/>
  <c r="J6954" i="1"/>
  <c r="Q6954" i="1"/>
  <c r="R6954" i="1"/>
  <c r="J7917" i="1"/>
  <c r="Q7917" i="1"/>
  <c r="R7917" i="1"/>
  <c r="J7918" i="1"/>
  <c r="Q7918" i="1"/>
  <c r="R7918" i="1"/>
  <c r="J7919" i="1"/>
  <c r="Q7919" i="1"/>
  <c r="R7919" i="1"/>
  <c r="J6955" i="1"/>
  <c r="Q6955" i="1"/>
  <c r="R6955" i="1"/>
  <c r="J1440" i="1"/>
  <c r="Q1440" i="1"/>
  <c r="R1440" i="1"/>
  <c r="J1441" i="1"/>
  <c r="Q1441" i="1"/>
  <c r="R1441" i="1"/>
  <c r="J6956" i="1"/>
  <c r="Q6956" i="1"/>
  <c r="R6956" i="1"/>
  <c r="J1442" i="1"/>
  <c r="Q1442" i="1"/>
  <c r="R1442" i="1"/>
  <c r="J1443" i="1"/>
  <c r="Q1443" i="1"/>
  <c r="R1443" i="1"/>
  <c r="J1444" i="1"/>
  <c r="Q1444" i="1"/>
  <c r="R1444" i="1"/>
  <c r="J1445" i="1"/>
  <c r="Q1445" i="1"/>
  <c r="R1445" i="1"/>
  <c r="J6615" i="1"/>
  <c r="Q6615" i="1"/>
  <c r="R6615" i="1"/>
  <c r="J1446" i="1"/>
  <c r="Q1446" i="1"/>
  <c r="R1446" i="1"/>
  <c r="J1447" i="1"/>
  <c r="Q1447" i="1"/>
  <c r="R1447" i="1"/>
  <c r="J1448" i="1"/>
  <c r="Q1448" i="1"/>
  <c r="R1448" i="1"/>
  <c r="J1449" i="1"/>
  <c r="Q1449" i="1"/>
  <c r="R1449" i="1"/>
  <c r="J6957" i="1"/>
  <c r="Q6957" i="1"/>
  <c r="R6957" i="1"/>
  <c r="J6616" i="1"/>
  <c r="Q6616" i="1"/>
  <c r="R6616" i="1"/>
  <c r="J6958" i="1"/>
  <c r="Q6958" i="1"/>
  <c r="R6958" i="1"/>
  <c r="J6617" i="1"/>
  <c r="Q6617" i="1"/>
  <c r="R6617" i="1"/>
  <c r="J7920" i="1"/>
  <c r="Q7920" i="1"/>
  <c r="R7920" i="1"/>
  <c r="J7921" i="1"/>
  <c r="Q7921" i="1"/>
  <c r="R7921" i="1"/>
  <c r="J7922" i="1"/>
  <c r="Q7922" i="1"/>
  <c r="R7922" i="1"/>
  <c r="J1450" i="1"/>
  <c r="Q1450" i="1"/>
  <c r="R1450" i="1"/>
  <c r="J1451" i="1"/>
  <c r="Q1451" i="1"/>
  <c r="R1451" i="1"/>
  <c r="J7923" i="1"/>
  <c r="Q7923" i="1"/>
  <c r="R7923" i="1"/>
  <c r="J13591" i="1"/>
  <c r="Q13591" i="1"/>
  <c r="R13591" i="1"/>
  <c r="J7924" i="1"/>
  <c r="Q7924" i="1"/>
  <c r="R7924" i="1"/>
  <c r="J7925" i="1"/>
  <c r="Q7925" i="1"/>
  <c r="R7925" i="1"/>
  <c r="J7926" i="1"/>
  <c r="Q7926" i="1"/>
  <c r="R7926" i="1"/>
  <c r="J7927" i="1"/>
  <c r="Q7927" i="1"/>
  <c r="R7927" i="1"/>
  <c r="J7928" i="1"/>
  <c r="Q7928" i="1"/>
  <c r="R7928" i="1"/>
  <c r="J7929" i="1"/>
  <c r="Q7929" i="1"/>
  <c r="R7929" i="1"/>
  <c r="J7930" i="1"/>
  <c r="Q7930" i="1"/>
  <c r="R7930" i="1"/>
  <c r="J6959" i="1"/>
  <c r="Q6959" i="1"/>
  <c r="R6959" i="1"/>
  <c r="J1452" i="1"/>
  <c r="Q1452" i="1"/>
  <c r="R1452" i="1"/>
  <c r="J1453" i="1"/>
  <c r="Q1453" i="1"/>
  <c r="R1453" i="1"/>
  <c r="J1454" i="1"/>
  <c r="Q1454" i="1"/>
  <c r="R1454" i="1"/>
  <c r="J1455" i="1"/>
  <c r="Q1455" i="1"/>
  <c r="R1455" i="1"/>
  <c r="J1456" i="1"/>
  <c r="Q1456" i="1"/>
  <c r="R1456" i="1"/>
  <c r="J1457" i="1"/>
  <c r="Q1457" i="1"/>
  <c r="R1457" i="1"/>
  <c r="J1458" i="1"/>
  <c r="Q1458" i="1"/>
  <c r="R1458" i="1"/>
  <c r="J1459" i="1"/>
  <c r="Q1459" i="1"/>
  <c r="R1459" i="1"/>
  <c r="J1460" i="1"/>
  <c r="Q1460" i="1"/>
  <c r="R1460" i="1"/>
  <c r="J1461" i="1"/>
  <c r="Q1461" i="1"/>
  <c r="R1461" i="1"/>
  <c r="J1462" i="1"/>
  <c r="Q1462" i="1"/>
  <c r="R1462" i="1"/>
  <c r="J1463" i="1"/>
  <c r="Q1463" i="1"/>
  <c r="R1463" i="1"/>
  <c r="J1464" i="1"/>
  <c r="Q1464" i="1"/>
  <c r="R1464" i="1"/>
  <c r="J1465" i="1"/>
  <c r="Q1465" i="1"/>
  <c r="R1465" i="1"/>
  <c r="J7931" i="1"/>
  <c r="Q7931" i="1"/>
  <c r="R7931" i="1"/>
  <c r="J1466" i="1"/>
  <c r="Q1466" i="1"/>
  <c r="R1466" i="1"/>
  <c r="J1467" i="1"/>
  <c r="Q1467" i="1"/>
  <c r="R1467" i="1"/>
  <c r="J6618" i="1"/>
  <c r="Q6618" i="1"/>
  <c r="R6618" i="1"/>
  <c r="J6960" i="1"/>
  <c r="Q6960" i="1"/>
  <c r="R6960" i="1"/>
  <c r="J1468" i="1"/>
  <c r="Q1468" i="1"/>
  <c r="R1468" i="1"/>
  <c r="J6961" i="1"/>
  <c r="Q6961" i="1"/>
  <c r="R6961" i="1"/>
  <c r="J7932" i="1"/>
  <c r="Q7932" i="1"/>
  <c r="R7932" i="1"/>
  <c r="J7933" i="1"/>
  <c r="Q7933" i="1"/>
  <c r="R7933" i="1"/>
  <c r="J1469" i="1"/>
  <c r="Q1469" i="1"/>
  <c r="R1469" i="1"/>
  <c r="J7934" i="1"/>
  <c r="Q7934" i="1"/>
  <c r="R7934" i="1"/>
  <c r="J6962" i="1"/>
  <c r="Q6962" i="1"/>
  <c r="R6962" i="1"/>
  <c r="J7935" i="1"/>
  <c r="Q7935" i="1"/>
  <c r="R7935" i="1"/>
  <c r="J1470" i="1"/>
  <c r="Q1470" i="1"/>
  <c r="R1470" i="1"/>
  <c r="J1471" i="1"/>
  <c r="Q1471" i="1"/>
  <c r="R1471" i="1"/>
  <c r="J1472" i="1"/>
  <c r="Q1472" i="1"/>
  <c r="R1472" i="1"/>
  <c r="J7936" i="1"/>
  <c r="Q7936" i="1"/>
  <c r="R7936" i="1"/>
  <c r="J6619" i="1"/>
  <c r="Q6619" i="1"/>
  <c r="R6619" i="1"/>
  <c r="J1473" i="1"/>
  <c r="Q1473" i="1"/>
  <c r="R1473" i="1"/>
  <c r="J6963" i="1"/>
  <c r="Q6963" i="1"/>
  <c r="R6963" i="1"/>
  <c r="J6964" i="1"/>
  <c r="Q6964" i="1"/>
  <c r="R6964" i="1"/>
  <c r="J6965" i="1"/>
  <c r="Q6965" i="1"/>
  <c r="R6965" i="1"/>
  <c r="J6966" i="1"/>
  <c r="Q6966" i="1"/>
  <c r="R6966" i="1"/>
  <c r="J6967" i="1"/>
  <c r="Q6967" i="1"/>
  <c r="R6967" i="1"/>
  <c r="J7937" i="1"/>
  <c r="Q7937" i="1"/>
  <c r="R7937" i="1"/>
  <c r="J7938" i="1"/>
  <c r="Q7938" i="1"/>
  <c r="R7938" i="1"/>
  <c r="J7939" i="1"/>
  <c r="Q7939" i="1"/>
  <c r="R7939" i="1"/>
  <c r="J7940" i="1"/>
  <c r="Q7940" i="1"/>
  <c r="R7940" i="1"/>
  <c r="J7941" i="1"/>
  <c r="Q7941" i="1"/>
  <c r="R7941" i="1"/>
  <c r="J7942" i="1"/>
  <c r="Q7942" i="1"/>
  <c r="R7942" i="1"/>
  <c r="J7943" i="1"/>
  <c r="Q7943" i="1"/>
  <c r="R7943" i="1"/>
  <c r="J7944" i="1"/>
  <c r="Q7944" i="1"/>
  <c r="R7944" i="1"/>
  <c r="J7945" i="1"/>
  <c r="Q7945" i="1"/>
  <c r="R7945" i="1"/>
  <c r="J7946" i="1"/>
  <c r="Q7946" i="1"/>
  <c r="R7946" i="1"/>
  <c r="J7947" i="1"/>
  <c r="Q7947" i="1"/>
  <c r="R7947" i="1"/>
  <c r="J7948" i="1"/>
  <c r="Q7948" i="1"/>
  <c r="R7948" i="1"/>
  <c r="J1474" i="1"/>
  <c r="Q1474" i="1"/>
  <c r="R1474" i="1"/>
  <c r="J1475" i="1"/>
  <c r="Q1475" i="1"/>
  <c r="R1475" i="1"/>
  <c r="J1476" i="1"/>
  <c r="Q1476" i="1"/>
  <c r="R1476" i="1"/>
  <c r="J1477" i="1"/>
  <c r="Q1477" i="1"/>
  <c r="R1477" i="1"/>
  <c r="J1478" i="1"/>
  <c r="Q1478" i="1"/>
  <c r="R1478" i="1"/>
  <c r="J1479" i="1"/>
  <c r="Q1479" i="1"/>
  <c r="R1479" i="1"/>
  <c r="J7949" i="1"/>
  <c r="Q7949" i="1"/>
  <c r="R7949" i="1"/>
  <c r="J1480" i="1"/>
  <c r="Q1480" i="1"/>
  <c r="R1480" i="1"/>
  <c r="J1481" i="1"/>
  <c r="Q1481" i="1"/>
  <c r="R1481" i="1"/>
  <c r="J1482" i="1"/>
  <c r="Q1482" i="1"/>
  <c r="R1482" i="1"/>
  <c r="J1483" i="1"/>
  <c r="Q1483" i="1"/>
  <c r="R1483" i="1"/>
  <c r="J1484" i="1"/>
  <c r="Q1484" i="1"/>
  <c r="R1484" i="1"/>
  <c r="J1485" i="1"/>
  <c r="Q1485" i="1"/>
  <c r="R1485" i="1"/>
  <c r="J1486" i="1"/>
  <c r="Q1486" i="1"/>
  <c r="R1486" i="1"/>
  <c r="J1487" i="1"/>
  <c r="Q1487" i="1"/>
  <c r="R1487" i="1"/>
  <c r="J1488" i="1"/>
  <c r="Q1488" i="1"/>
  <c r="R1488" i="1"/>
  <c r="J1489" i="1"/>
  <c r="Q1489" i="1"/>
  <c r="R1489" i="1"/>
  <c r="J6968" i="1"/>
  <c r="Q6968" i="1"/>
  <c r="R6968" i="1"/>
  <c r="J1490" i="1"/>
  <c r="Q1490" i="1"/>
  <c r="R1490" i="1"/>
  <c r="J1491" i="1"/>
  <c r="Q1491" i="1"/>
  <c r="R1491" i="1"/>
  <c r="J6969" i="1"/>
  <c r="Q6969" i="1"/>
  <c r="R6969" i="1"/>
  <c r="J1492" i="1"/>
  <c r="Q1492" i="1"/>
  <c r="R1492" i="1"/>
  <c r="J13592" i="1"/>
  <c r="Q13592" i="1"/>
  <c r="R13592" i="1"/>
  <c r="J1493" i="1"/>
  <c r="Q1493" i="1"/>
  <c r="R1493" i="1"/>
  <c r="J1494" i="1"/>
  <c r="Q1494" i="1"/>
  <c r="R1494" i="1"/>
  <c r="J7950" i="1"/>
  <c r="Q7950" i="1"/>
  <c r="R7950" i="1"/>
  <c r="J6970" i="1"/>
  <c r="Q6970" i="1"/>
  <c r="R6970" i="1"/>
  <c r="J7951" i="1"/>
  <c r="Q7951" i="1"/>
  <c r="R7951" i="1"/>
  <c r="J6620" i="1"/>
  <c r="Q6620" i="1"/>
  <c r="R6620" i="1"/>
  <c r="J1495" i="1"/>
  <c r="Q1495" i="1"/>
  <c r="R1495" i="1"/>
  <c r="J6971" i="1"/>
  <c r="Q6971" i="1"/>
  <c r="R6971" i="1"/>
  <c r="J1496" i="1"/>
  <c r="Q1496" i="1"/>
  <c r="R1496" i="1"/>
  <c r="J1497" i="1"/>
  <c r="Q1497" i="1"/>
  <c r="R1497" i="1"/>
  <c r="J12178" i="1"/>
  <c r="Q12178" i="1"/>
  <c r="R12178" i="1"/>
  <c r="J12179" i="1"/>
  <c r="Q12179" i="1"/>
  <c r="R12179" i="1"/>
  <c r="J12180" i="1"/>
  <c r="Q12180" i="1"/>
  <c r="R12180" i="1"/>
  <c r="J5418" i="1"/>
  <c r="Q5418" i="1"/>
  <c r="R5418" i="1"/>
  <c r="J5419" i="1"/>
  <c r="Q5419" i="1"/>
  <c r="R5419" i="1"/>
  <c r="J12181" i="1"/>
  <c r="Q12181" i="1"/>
  <c r="R12181" i="1"/>
  <c r="J12182" i="1"/>
  <c r="Q12182" i="1"/>
  <c r="R12182" i="1"/>
  <c r="J12183" i="1"/>
  <c r="Q12183" i="1"/>
  <c r="R12183" i="1"/>
  <c r="J5420" i="1"/>
  <c r="Q5420" i="1"/>
  <c r="R5420" i="1"/>
  <c r="J12184" i="1"/>
  <c r="Q12184" i="1"/>
  <c r="R12184" i="1"/>
  <c r="J12185" i="1"/>
  <c r="Q12185" i="1"/>
  <c r="R12185" i="1"/>
  <c r="J12186" i="1"/>
  <c r="Q12186" i="1"/>
  <c r="R12186" i="1"/>
  <c r="J12187" i="1"/>
  <c r="Q12187" i="1"/>
  <c r="R12187" i="1"/>
  <c r="J12188" i="1"/>
  <c r="Q12188" i="1"/>
  <c r="R12188" i="1"/>
  <c r="J12189" i="1"/>
  <c r="Q12189" i="1"/>
  <c r="R12189" i="1"/>
  <c r="J12190" i="1"/>
  <c r="Q12190" i="1"/>
  <c r="R12190" i="1"/>
  <c r="J12191" i="1"/>
  <c r="Q12191" i="1"/>
  <c r="R12191" i="1"/>
  <c r="J12192" i="1"/>
  <c r="Q12192" i="1"/>
  <c r="R12192" i="1"/>
  <c r="J12193" i="1"/>
  <c r="Q12193" i="1"/>
  <c r="R12193" i="1"/>
  <c r="J12194" i="1"/>
  <c r="Q12194" i="1"/>
  <c r="R12194" i="1"/>
  <c r="J12195" i="1"/>
  <c r="Q12195" i="1"/>
  <c r="R12195" i="1"/>
  <c r="J12196" i="1"/>
  <c r="Q12196" i="1"/>
  <c r="R12196" i="1"/>
  <c r="J12197" i="1"/>
  <c r="Q12197" i="1"/>
  <c r="R12197" i="1"/>
  <c r="J12198" i="1"/>
  <c r="Q12198" i="1"/>
  <c r="R12198" i="1"/>
  <c r="J12199" i="1"/>
  <c r="Q12199" i="1"/>
  <c r="R12199" i="1"/>
  <c r="J12200" i="1"/>
  <c r="Q12200" i="1"/>
  <c r="R12200" i="1"/>
  <c r="J12201" i="1"/>
  <c r="Q12201" i="1"/>
  <c r="R12201" i="1"/>
  <c r="J12202" i="1"/>
  <c r="Q12202" i="1"/>
  <c r="R12202" i="1"/>
  <c r="J12203" i="1"/>
  <c r="Q12203" i="1"/>
  <c r="R12203" i="1"/>
  <c r="J12204" i="1"/>
  <c r="Q12204" i="1"/>
  <c r="R12204" i="1"/>
  <c r="J12205" i="1"/>
  <c r="Q12205" i="1"/>
  <c r="R12205" i="1"/>
  <c r="J12206" i="1"/>
  <c r="Q12206" i="1"/>
  <c r="R12206" i="1"/>
  <c r="J12207" i="1"/>
  <c r="Q12207" i="1"/>
  <c r="R12207" i="1"/>
  <c r="J12208" i="1"/>
  <c r="Q12208" i="1"/>
  <c r="R12208" i="1"/>
  <c r="J12209" i="1"/>
  <c r="Q12209" i="1"/>
  <c r="R12209" i="1"/>
  <c r="J12210" i="1"/>
  <c r="Q12210" i="1"/>
  <c r="R12210" i="1"/>
  <c r="J12211" i="1"/>
  <c r="Q12211" i="1"/>
  <c r="R12211" i="1"/>
  <c r="J12212" i="1"/>
  <c r="Q12212" i="1"/>
  <c r="R12212" i="1"/>
  <c r="J12213" i="1"/>
  <c r="Q12213" i="1"/>
  <c r="R12213" i="1"/>
  <c r="J12214" i="1"/>
  <c r="Q12214" i="1"/>
  <c r="R12214" i="1"/>
  <c r="J12215" i="1"/>
  <c r="Q12215" i="1"/>
  <c r="R12215" i="1"/>
  <c r="J12216" i="1"/>
  <c r="Q12216" i="1"/>
  <c r="R12216" i="1"/>
  <c r="J12217" i="1"/>
  <c r="Q12217" i="1"/>
  <c r="R12217" i="1"/>
  <c r="J12218" i="1"/>
  <c r="Q12218" i="1"/>
  <c r="R12218" i="1"/>
  <c r="J12219" i="1"/>
  <c r="Q12219" i="1"/>
  <c r="R12219" i="1"/>
  <c r="J12220" i="1"/>
  <c r="Q12220" i="1"/>
  <c r="R12220" i="1"/>
  <c r="J12221" i="1"/>
  <c r="Q12221" i="1"/>
  <c r="R12221" i="1"/>
  <c r="J12222" i="1"/>
  <c r="Q12222" i="1"/>
  <c r="R12222" i="1"/>
  <c r="J12223" i="1"/>
  <c r="Q12223" i="1"/>
  <c r="R12223" i="1"/>
  <c r="J12224" i="1"/>
  <c r="Q12224" i="1"/>
  <c r="R12224" i="1"/>
  <c r="J12225" i="1"/>
  <c r="Q12225" i="1"/>
  <c r="R12225" i="1"/>
  <c r="J12226" i="1"/>
  <c r="Q12226" i="1"/>
  <c r="R12226" i="1"/>
  <c r="J12227" i="1"/>
  <c r="Q12227" i="1"/>
  <c r="R12227" i="1"/>
  <c r="J12228" i="1"/>
  <c r="Q12228" i="1"/>
  <c r="R12228" i="1"/>
  <c r="J12229" i="1"/>
  <c r="Q12229" i="1"/>
  <c r="R12229" i="1"/>
  <c r="J12230" i="1"/>
  <c r="Q12230" i="1"/>
  <c r="R12230" i="1"/>
  <c r="J12231" i="1"/>
  <c r="Q12231" i="1"/>
  <c r="R12231" i="1"/>
  <c r="J12232" i="1"/>
  <c r="Q12232" i="1"/>
  <c r="R12232" i="1"/>
  <c r="J12233" i="1"/>
  <c r="Q12233" i="1"/>
  <c r="R12233" i="1"/>
  <c r="J12234" i="1"/>
  <c r="Q12234" i="1"/>
  <c r="R12234" i="1"/>
  <c r="J12235" i="1"/>
  <c r="Q12235" i="1"/>
  <c r="R12235" i="1"/>
  <c r="J12236" i="1"/>
  <c r="Q12236" i="1"/>
  <c r="R12236" i="1"/>
  <c r="J12237" i="1"/>
  <c r="Q12237" i="1"/>
  <c r="R12237" i="1"/>
  <c r="J12238" i="1"/>
  <c r="Q12238" i="1"/>
  <c r="R12238" i="1"/>
  <c r="J12239" i="1"/>
  <c r="Q12239" i="1"/>
  <c r="R12239" i="1"/>
  <c r="J12240" i="1"/>
  <c r="Q12240" i="1"/>
  <c r="R12240" i="1"/>
  <c r="J12241" i="1"/>
  <c r="Q12241" i="1"/>
  <c r="R12241" i="1"/>
  <c r="J12242" i="1"/>
  <c r="Q12242" i="1"/>
  <c r="R12242" i="1"/>
  <c r="J12243" i="1"/>
  <c r="Q12243" i="1"/>
  <c r="R12243" i="1"/>
  <c r="J12244" i="1"/>
  <c r="Q12244" i="1"/>
  <c r="R12244" i="1"/>
  <c r="J12245" i="1"/>
  <c r="Q12245" i="1"/>
  <c r="R12245" i="1"/>
  <c r="J12246" i="1"/>
  <c r="Q12246" i="1"/>
  <c r="R12246" i="1"/>
  <c r="J12247" i="1"/>
  <c r="Q12247" i="1"/>
  <c r="R12247" i="1"/>
  <c r="J12248" i="1"/>
  <c r="Q12248" i="1"/>
  <c r="R12248" i="1"/>
  <c r="J12249" i="1"/>
  <c r="Q12249" i="1"/>
  <c r="R12249" i="1"/>
  <c r="J12250" i="1"/>
  <c r="Q12250" i="1"/>
  <c r="R12250" i="1"/>
  <c r="J12251" i="1"/>
  <c r="Q12251" i="1"/>
  <c r="R12251" i="1"/>
  <c r="J12252" i="1"/>
  <c r="Q12252" i="1"/>
  <c r="R12252" i="1"/>
  <c r="J5421" i="1"/>
  <c r="Q5421" i="1"/>
  <c r="R5421" i="1"/>
  <c r="J12253" i="1"/>
  <c r="Q12253" i="1"/>
  <c r="R12253" i="1"/>
  <c r="J12254" i="1"/>
  <c r="Q12254" i="1"/>
  <c r="R12254" i="1"/>
  <c r="J12255" i="1"/>
  <c r="Q12255" i="1"/>
  <c r="R12255" i="1"/>
  <c r="J12256" i="1"/>
  <c r="Q12256" i="1"/>
  <c r="R12256" i="1"/>
  <c r="J5422" i="1"/>
  <c r="Q5422" i="1"/>
  <c r="R5422" i="1"/>
  <c r="J5423" i="1"/>
  <c r="Q5423" i="1"/>
  <c r="R5423" i="1"/>
  <c r="J5424" i="1"/>
  <c r="Q5424" i="1"/>
  <c r="R5424" i="1"/>
  <c r="J5425" i="1"/>
  <c r="Q5425" i="1"/>
  <c r="R5425" i="1"/>
  <c r="J12257" i="1"/>
  <c r="Q12257" i="1"/>
  <c r="R12257" i="1"/>
  <c r="J5426" i="1"/>
  <c r="Q5426" i="1"/>
  <c r="R5426" i="1"/>
  <c r="J5427" i="1"/>
  <c r="Q5427" i="1"/>
  <c r="R5427" i="1"/>
  <c r="J5428" i="1"/>
  <c r="Q5428" i="1"/>
  <c r="R5428" i="1"/>
  <c r="J12258" i="1"/>
  <c r="Q12258" i="1"/>
  <c r="R12258" i="1"/>
  <c r="J12259" i="1"/>
  <c r="Q12259" i="1"/>
  <c r="R12259" i="1"/>
  <c r="J12260" i="1"/>
  <c r="Q12260" i="1"/>
  <c r="R12260" i="1"/>
  <c r="J12261" i="1"/>
  <c r="Q12261" i="1"/>
  <c r="R12261" i="1"/>
  <c r="J5429" i="1"/>
  <c r="Q5429" i="1"/>
  <c r="R5429" i="1"/>
  <c r="J5430" i="1"/>
  <c r="Q5430" i="1"/>
  <c r="R5430" i="1"/>
  <c r="J12262" i="1"/>
  <c r="Q12262" i="1"/>
  <c r="R12262" i="1"/>
  <c r="J12263" i="1"/>
  <c r="Q12263" i="1"/>
  <c r="R12263" i="1"/>
  <c r="J12264" i="1"/>
  <c r="Q12264" i="1"/>
  <c r="R12264" i="1"/>
  <c r="J12265" i="1"/>
  <c r="Q12265" i="1"/>
  <c r="R12265" i="1"/>
  <c r="J12266" i="1"/>
  <c r="Q12266" i="1"/>
  <c r="R12266" i="1"/>
  <c r="J12267" i="1"/>
  <c r="Q12267" i="1"/>
  <c r="R12267" i="1"/>
  <c r="J12268" i="1"/>
  <c r="Q12268" i="1"/>
  <c r="R12268" i="1"/>
  <c r="J5431" i="1"/>
  <c r="Q5431" i="1"/>
  <c r="R5431" i="1"/>
  <c r="J12269" i="1"/>
  <c r="Q12269" i="1"/>
  <c r="R12269" i="1"/>
  <c r="J5432" i="1"/>
  <c r="Q5432" i="1"/>
  <c r="R5432" i="1"/>
  <c r="J12270" i="1"/>
  <c r="Q12270" i="1"/>
  <c r="R12270" i="1"/>
  <c r="J5433" i="1"/>
  <c r="Q5433" i="1"/>
  <c r="R5433" i="1"/>
  <c r="J5434" i="1"/>
  <c r="Q5434" i="1"/>
  <c r="R5434" i="1"/>
  <c r="J12271" i="1"/>
  <c r="Q12271" i="1"/>
  <c r="R12271" i="1"/>
  <c r="J12272" i="1"/>
  <c r="Q12272" i="1"/>
  <c r="R12272" i="1"/>
  <c r="J12273" i="1"/>
  <c r="Q12273" i="1"/>
  <c r="R12273" i="1"/>
  <c r="J12274" i="1"/>
  <c r="Q12274" i="1"/>
  <c r="R12274" i="1"/>
  <c r="J12275" i="1"/>
  <c r="Q12275" i="1"/>
  <c r="R12275" i="1"/>
  <c r="J12276" i="1"/>
  <c r="Q12276" i="1"/>
  <c r="R12276" i="1"/>
  <c r="J5435" i="1"/>
  <c r="Q5435" i="1"/>
  <c r="R5435" i="1"/>
  <c r="J12277" i="1"/>
  <c r="Q12277" i="1"/>
  <c r="R12277" i="1"/>
  <c r="J5436" i="1"/>
  <c r="Q5436" i="1"/>
  <c r="R5436" i="1"/>
  <c r="J12278" i="1"/>
  <c r="Q12278" i="1"/>
  <c r="R12278" i="1"/>
  <c r="J12279" i="1"/>
  <c r="Q12279" i="1"/>
  <c r="R12279" i="1"/>
  <c r="J5437" i="1"/>
  <c r="Q5437" i="1"/>
  <c r="R5437" i="1"/>
  <c r="J12280" i="1"/>
  <c r="Q12280" i="1"/>
  <c r="R12280" i="1"/>
  <c r="J12281" i="1"/>
  <c r="Q12281" i="1"/>
  <c r="R12281" i="1"/>
  <c r="J5438" i="1"/>
  <c r="Q5438" i="1"/>
  <c r="R5438" i="1"/>
  <c r="J5439" i="1"/>
  <c r="Q5439" i="1"/>
  <c r="R5439" i="1"/>
  <c r="J5440" i="1"/>
  <c r="Q5440" i="1"/>
  <c r="R5440" i="1"/>
  <c r="J5441" i="1"/>
  <c r="Q5441" i="1"/>
  <c r="R5441" i="1"/>
  <c r="J5442" i="1"/>
  <c r="Q5442" i="1"/>
  <c r="R5442" i="1"/>
  <c r="J5443" i="1"/>
  <c r="Q5443" i="1"/>
  <c r="R5443" i="1"/>
  <c r="J12282" i="1"/>
  <c r="Q12282" i="1"/>
  <c r="R12282" i="1"/>
  <c r="J5444" i="1"/>
  <c r="Q5444" i="1"/>
  <c r="R5444" i="1"/>
  <c r="J5445" i="1"/>
  <c r="Q5445" i="1"/>
  <c r="R5445" i="1"/>
  <c r="J5446" i="1"/>
  <c r="Q5446" i="1"/>
  <c r="R5446" i="1"/>
  <c r="J12283" i="1"/>
  <c r="Q12283" i="1"/>
  <c r="R12283" i="1"/>
  <c r="J5447" i="1"/>
  <c r="Q5447" i="1"/>
  <c r="R5447" i="1"/>
  <c r="J12284" i="1"/>
  <c r="Q12284" i="1"/>
  <c r="R12284" i="1"/>
  <c r="J5448" i="1"/>
  <c r="Q5448" i="1"/>
  <c r="R5448" i="1"/>
  <c r="J5449" i="1"/>
  <c r="Q5449" i="1"/>
  <c r="R5449" i="1"/>
  <c r="J12285" i="1"/>
  <c r="Q12285" i="1"/>
  <c r="R12285" i="1"/>
  <c r="J5450" i="1"/>
  <c r="Q5450" i="1"/>
  <c r="R5450" i="1"/>
  <c r="J5451" i="1"/>
  <c r="Q5451" i="1"/>
  <c r="R5451" i="1"/>
  <c r="J5452" i="1"/>
  <c r="Q5452" i="1"/>
  <c r="R5452" i="1"/>
  <c r="J5453" i="1"/>
  <c r="Q5453" i="1"/>
  <c r="R5453" i="1"/>
  <c r="J5454" i="1"/>
  <c r="Q5454" i="1"/>
  <c r="R5454" i="1"/>
  <c r="J5455" i="1"/>
  <c r="Q5455" i="1"/>
  <c r="R5455" i="1"/>
  <c r="J12286" i="1"/>
  <c r="Q12286" i="1"/>
  <c r="R12286" i="1"/>
  <c r="J5456" i="1"/>
  <c r="Q5456" i="1"/>
  <c r="R5456" i="1"/>
  <c r="J5457" i="1"/>
  <c r="Q5457" i="1"/>
  <c r="R5457" i="1"/>
  <c r="J5458" i="1"/>
  <c r="Q5458" i="1"/>
  <c r="R5458" i="1"/>
  <c r="J5459" i="1"/>
  <c r="Q5459" i="1"/>
  <c r="R5459" i="1"/>
  <c r="J5460" i="1"/>
  <c r="Q5460" i="1"/>
  <c r="R5460" i="1"/>
  <c r="J12287" i="1"/>
  <c r="Q12287" i="1"/>
  <c r="R12287" i="1"/>
  <c r="J5461" i="1"/>
  <c r="Q5461" i="1"/>
  <c r="R5461" i="1"/>
  <c r="J5462" i="1"/>
  <c r="Q5462" i="1"/>
  <c r="R5462" i="1"/>
  <c r="J5463" i="1"/>
  <c r="Q5463" i="1"/>
  <c r="R5463" i="1"/>
  <c r="J5464" i="1"/>
  <c r="Q5464" i="1"/>
  <c r="R5464" i="1"/>
  <c r="J5465" i="1"/>
  <c r="Q5465" i="1"/>
  <c r="R5465" i="1"/>
  <c r="J12288" i="1"/>
  <c r="Q12288" i="1"/>
  <c r="R12288" i="1"/>
  <c r="J5466" i="1"/>
  <c r="Q5466" i="1"/>
  <c r="R5466" i="1"/>
  <c r="J5467" i="1"/>
  <c r="Q5467" i="1"/>
  <c r="R5467" i="1"/>
  <c r="J12289" i="1"/>
  <c r="Q12289" i="1"/>
  <c r="R12289" i="1"/>
  <c r="J5468" i="1"/>
  <c r="Q5468" i="1"/>
  <c r="R5468" i="1"/>
  <c r="J5469" i="1"/>
  <c r="Q5469" i="1"/>
  <c r="R5469" i="1"/>
  <c r="J12290" i="1"/>
  <c r="Q12290" i="1"/>
  <c r="R12290" i="1"/>
  <c r="J12291" i="1"/>
  <c r="Q12291" i="1"/>
  <c r="R12291" i="1"/>
  <c r="J12292" i="1"/>
  <c r="Q12292" i="1"/>
  <c r="R12292" i="1"/>
  <c r="J12293" i="1"/>
  <c r="Q12293" i="1"/>
  <c r="R12293" i="1"/>
  <c r="J5470" i="1"/>
  <c r="Q5470" i="1"/>
  <c r="R5470" i="1"/>
  <c r="J5471" i="1"/>
  <c r="Q5471" i="1"/>
  <c r="R5471" i="1"/>
  <c r="J5472" i="1"/>
  <c r="Q5472" i="1"/>
  <c r="R5472" i="1"/>
  <c r="J5473" i="1"/>
  <c r="Q5473" i="1"/>
  <c r="R5473" i="1"/>
  <c r="J5474" i="1"/>
  <c r="Q5474" i="1"/>
  <c r="R5474" i="1"/>
  <c r="J12294" i="1"/>
  <c r="Q12294" i="1"/>
  <c r="R12294" i="1"/>
  <c r="J12295" i="1"/>
  <c r="Q12295" i="1"/>
  <c r="R12295" i="1"/>
  <c r="J12296" i="1"/>
  <c r="Q12296" i="1"/>
  <c r="R12296" i="1"/>
  <c r="J12297" i="1"/>
  <c r="Q12297" i="1"/>
  <c r="R12297" i="1"/>
  <c r="J12298" i="1"/>
  <c r="Q12298" i="1"/>
  <c r="R12298" i="1"/>
  <c r="J5475" i="1"/>
  <c r="Q5475" i="1"/>
  <c r="R5475" i="1"/>
  <c r="J5476" i="1"/>
  <c r="Q5476" i="1"/>
  <c r="R5476" i="1"/>
  <c r="J5477" i="1"/>
  <c r="Q5477" i="1"/>
  <c r="R5477" i="1"/>
  <c r="J5478" i="1"/>
  <c r="Q5478" i="1"/>
  <c r="R5478" i="1"/>
  <c r="J5479" i="1"/>
  <c r="Q5479" i="1"/>
  <c r="R5479" i="1"/>
  <c r="J5480" i="1"/>
  <c r="Q5480" i="1"/>
  <c r="R5480" i="1"/>
  <c r="J5481" i="1"/>
  <c r="Q5481" i="1"/>
  <c r="R5481" i="1"/>
  <c r="J12299" i="1"/>
  <c r="Q12299" i="1"/>
  <c r="R12299" i="1"/>
  <c r="J12300" i="1"/>
  <c r="Q12300" i="1"/>
  <c r="R12300" i="1"/>
  <c r="J5482" i="1"/>
  <c r="Q5482" i="1"/>
  <c r="R5482" i="1"/>
  <c r="J5483" i="1"/>
  <c r="Q5483" i="1"/>
  <c r="R5483" i="1"/>
  <c r="J5484" i="1"/>
  <c r="Q5484" i="1"/>
  <c r="R5484" i="1"/>
  <c r="J5485" i="1"/>
  <c r="Q5485" i="1"/>
  <c r="R5485" i="1"/>
  <c r="J5486" i="1"/>
  <c r="Q5486" i="1"/>
  <c r="R5486" i="1"/>
  <c r="J5487" i="1"/>
  <c r="Q5487" i="1"/>
  <c r="R5487" i="1"/>
  <c r="J5488" i="1"/>
  <c r="Q5488" i="1"/>
  <c r="R5488" i="1"/>
  <c r="J5489" i="1"/>
  <c r="Q5489" i="1"/>
  <c r="R5489" i="1"/>
  <c r="J5490" i="1"/>
  <c r="Q5490" i="1"/>
  <c r="R5490" i="1"/>
  <c r="J5491" i="1"/>
  <c r="Q5491" i="1"/>
  <c r="R5491" i="1"/>
  <c r="J5492" i="1"/>
  <c r="Q5492" i="1"/>
  <c r="R5492" i="1"/>
  <c r="J5493" i="1"/>
  <c r="Q5493" i="1"/>
  <c r="R5493" i="1"/>
  <c r="J5494" i="1"/>
  <c r="Q5494" i="1"/>
  <c r="R5494" i="1"/>
  <c r="J12301" i="1"/>
  <c r="Q12301" i="1"/>
  <c r="R12301" i="1"/>
  <c r="J5495" i="1"/>
  <c r="Q5495" i="1"/>
  <c r="R5495" i="1"/>
  <c r="J5496" i="1"/>
  <c r="Q5496" i="1"/>
  <c r="R5496" i="1"/>
  <c r="J5497" i="1"/>
  <c r="Q5497" i="1"/>
  <c r="R5497" i="1"/>
  <c r="J5498" i="1"/>
  <c r="Q5498" i="1"/>
  <c r="R5498" i="1"/>
  <c r="J5499" i="1"/>
  <c r="Q5499" i="1"/>
  <c r="R5499" i="1"/>
  <c r="J5500" i="1"/>
  <c r="Q5500" i="1"/>
  <c r="R5500" i="1"/>
  <c r="J12302" i="1"/>
  <c r="Q12302" i="1"/>
  <c r="R12302" i="1"/>
  <c r="J12303" i="1"/>
  <c r="Q12303" i="1"/>
  <c r="R12303" i="1"/>
  <c r="J5501" i="1"/>
  <c r="Q5501" i="1"/>
  <c r="R5501" i="1"/>
  <c r="J5502" i="1"/>
  <c r="Q5502" i="1"/>
  <c r="R5502" i="1"/>
  <c r="J5503" i="1"/>
  <c r="Q5503" i="1"/>
  <c r="R5503" i="1"/>
  <c r="J5504" i="1"/>
  <c r="Q5504" i="1"/>
  <c r="R5504" i="1"/>
  <c r="J5505" i="1"/>
  <c r="Q5505" i="1"/>
  <c r="R5505" i="1"/>
  <c r="J12304" i="1"/>
  <c r="Q12304" i="1"/>
  <c r="R12304" i="1"/>
  <c r="J5506" i="1"/>
  <c r="Q5506" i="1"/>
  <c r="R5506" i="1"/>
  <c r="J12305" i="1"/>
  <c r="Q12305" i="1"/>
  <c r="R12305" i="1"/>
  <c r="J5507" i="1"/>
  <c r="Q5507" i="1"/>
  <c r="R5507" i="1"/>
  <c r="J12306" i="1"/>
  <c r="Q12306" i="1"/>
  <c r="R12306" i="1"/>
  <c r="J12307" i="1"/>
  <c r="Q12307" i="1"/>
  <c r="R12307" i="1"/>
  <c r="J5508" i="1"/>
  <c r="Q5508" i="1"/>
  <c r="R5508" i="1"/>
  <c r="J5509" i="1"/>
  <c r="Q5509" i="1"/>
  <c r="R5509" i="1"/>
  <c r="J12308" i="1"/>
  <c r="Q12308" i="1"/>
  <c r="R12308" i="1"/>
  <c r="J5510" i="1"/>
  <c r="Q5510" i="1"/>
  <c r="R5510" i="1"/>
  <c r="J12309" i="1"/>
  <c r="Q12309" i="1"/>
  <c r="R12309" i="1"/>
  <c r="J5511" i="1"/>
  <c r="Q5511" i="1"/>
  <c r="R5511" i="1"/>
  <c r="J5512" i="1"/>
  <c r="Q5512" i="1"/>
  <c r="R5512" i="1"/>
  <c r="J12310" i="1"/>
  <c r="Q12310" i="1"/>
  <c r="R12310" i="1"/>
  <c r="J12311" i="1"/>
  <c r="Q12311" i="1"/>
  <c r="R12311" i="1"/>
  <c r="J5513" i="1"/>
  <c r="Q5513" i="1"/>
  <c r="R5513" i="1"/>
  <c r="J12312" i="1"/>
  <c r="Q12312" i="1"/>
  <c r="R12312" i="1"/>
  <c r="J5514" i="1"/>
  <c r="Q5514" i="1"/>
  <c r="R5514" i="1"/>
  <c r="J5515" i="1"/>
  <c r="Q5515" i="1"/>
  <c r="R5515" i="1"/>
  <c r="J12313" i="1"/>
  <c r="Q12313" i="1"/>
  <c r="R12313" i="1"/>
  <c r="J12314" i="1"/>
  <c r="Q12314" i="1"/>
  <c r="R12314" i="1"/>
  <c r="J12315" i="1"/>
  <c r="Q12315" i="1"/>
  <c r="R12315" i="1"/>
  <c r="J12316" i="1"/>
  <c r="Q12316" i="1"/>
  <c r="R12316" i="1"/>
  <c r="J5516" i="1"/>
  <c r="Q5516" i="1"/>
  <c r="R5516" i="1"/>
  <c r="J5517" i="1"/>
  <c r="Q5517" i="1"/>
  <c r="R5517" i="1"/>
  <c r="J5518" i="1"/>
  <c r="Q5518" i="1"/>
  <c r="R5518" i="1"/>
  <c r="J5519" i="1"/>
  <c r="Q5519" i="1"/>
  <c r="R5519" i="1"/>
  <c r="J12317" i="1"/>
  <c r="Q12317" i="1"/>
  <c r="R12317" i="1"/>
  <c r="J5520" i="1"/>
  <c r="Q5520" i="1"/>
  <c r="R5520" i="1"/>
  <c r="J5521" i="1"/>
  <c r="Q5521" i="1"/>
  <c r="R5521" i="1"/>
  <c r="J5522" i="1"/>
  <c r="Q5522" i="1"/>
  <c r="R5522" i="1"/>
  <c r="J5523" i="1"/>
  <c r="Q5523" i="1"/>
  <c r="R5523" i="1"/>
  <c r="J12318" i="1"/>
  <c r="Q12318" i="1"/>
  <c r="R12318" i="1"/>
  <c r="J12319" i="1"/>
  <c r="Q12319" i="1"/>
  <c r="R12319" i="1"/>
  <c r="J5524" i="1"/>
  <c r="Q5524" i="1"/>
  <c r="R5524" i="1"/>
  <c r="J5525" i="1"/>
  <c r="Q5525" i="1"/>
  <c r="R5525" i="1"/>
  <c r="J12320" i="1"/>
  <c r="Q12320" i="1"/>
  <c r="R12320" i="1"/>
  <c r="J5526" i="1"/>
  <c r="Q5526" i="1"/>
  <c r="R5526" i="1"/>
  <c r="J5527" i="1"/>
  <c r="Q5527" i="1"/>
  <c r="R5527" i="1"/>
  <c r="J12321" i="1"/>
  <c r="Q12321" i="1"/>
  <c r="R12321" i="1"/>
  <c r="J5528" i="1"/>
  <c r="Q5528" i="1"/>
  <c r="R5528" i="1"/>
  <c r="J12322" i="1"/>
  <c r="Q12322" i="1"/>
  <c r="R12322" i="1"/>
  <c r="J5529" i="1"/>
  <c r="Q5529" i="1"/>
  <c r="R5529" i="1"/>
  <c r="J5530" i="1"/>
  <c r="Q5530" i="1"/>
  <c r="R5530" i="1"/>
  <c r="J5531" i="1"/>
  <c r="Q5531" i="1"/>
  <c r="R5531" i="1"/>
  <c r="J5532" i="1"/>
  <c r="Q5532" i="1"/>
  <c r="R5532" i="1"/>
  <c r="J5533" i="1"/>
  <c r="Q5533" i="1"/>
  <c r="R5533" i="1"/>
  <c r="J5534" i="1"/>
  <c r="Q5534" i="1"/>
  <c r="R5534" i="1"/>
  <c r="J5535" i="1"/>
  <c r="Q5535" i="1"/>
  <c r="R5535" i="1"/>
  <c r="J5536" i="1"/>
  <c r="Q5536" i="1"/>
  <c r="R5536" i="1"/>
  <c r="J5537" i="1"/>
  <c r="Q5537" i="1"/>
  <c r="R5537" i="1"/>
  <c r="J12323" i="1"/>
  <c r="Q12323" i="1"/>
  <c r="R12323" i="1"/>
  <c r="J5538" i="1"/>
  <c r="Q5538" i="1"/>
  <c r="R5538" i="1"/>
  <c r="J5539" i="1"/>
  <c r="Q5539" i="1"/>
  <c r="R5539" i="1"/>
  <c r="J5540" i="1"/>
  <c r="Q5540" i="1"/>
  <c r="R5540" i="1"/>
  <c r="J5541" i="1"/>
  <c r="Q5541" i="1"/>
  <c r="R5541" i="1"/>
  <c r="J5542" i="1"/>
  <c r="Q5542" i="1"/>
  <c r="R5542" i="1"/>
  <c r="J5543" i="1"/>
  <c r="Q5543" i="1"/>
  <c r="R5543" i="1"/>
  <c r="J12324" i="1"/>
  <c r="Q12324" i="1"/>
  <c r="R12324" i="1"/>
  <c r="J12325" i="1"/>
  <c r="Q12325" i="1"/>
  <c r="R12325" i="1"/>
  <c r="J5544" i="1"/>
  <c r="Q5544" i="1"/>
  <c r="R5544" i="1"/>
  <c r="J5545" i="1"/>
  <c r="Q5545" i="1"/>
  <c r="R5545" i="1"/>
  <c r="J12326" i="1"/>
  <c r="Q12326" i="1"/>
  <c r="R12326" i="1"/>
  <c r="J12327" i="1"/>
  <c r="Q12327" i="1"/>
  <c r="R12327" i="1"/>
  <c r="J5546" i="1"/>
  <c r="Q5546" i="1"/>
  <c r="R5546" i="1"/>
  <c r="J12328" i="1"/>
  <c r="Q12328" i="1"/>
  <c r="R12328" i="1"/>
  <c r="J12329" i="1"/>
  <c r="Q12329" i="1"/>
  <c r="R12329" i="1"/>
  <c r="J5547" i="1"/>
  <c r="Q5547" i="1"/>
  <c r="R5547" i="1"/>
  <c r="J12330" i="1"/>
  <c r="Q12330" i="1"/>
  <c r="R12330" i="1"/>
  <c r="J5548" i="1"/>
  <c r="Q5548" i="1"/>
  <c r="R5548" i="1"/>
  <c r="J5549" i="1"/>
  <c r="Q5549" i="1"/>
  <c r="R5549" i="1"/>
  <c r="J5550" i="1"/>
  <c r="Q5550" i="1"/>
  <c r="R5550" i="1"/>
  <c r="J5551" i="1"/>
  <c r="Q5551" i="1"/>
  <c r="R5551" i="1"/>
  <c r="J12331" i="1"/>
  <c r="Q12331" i="1"/>
  <c r="R12331" i="1"/>
  <c r="J12332" i="1"/>
  <c r="Q12332" i="1"/>
  <c r="R12332" i="1"/>
  <c r="J12333" i="1"/>
  <c r="Q12333" i="1"/>
  <c r="R12333" i="1"/>
  <c r="J12334" i="1"/>
  <c r="Q12334" i="1"/>
  <c r="R12334" i="1"/>
  <c r="J12335" i="1"/>
  <c r="Q12335" i="1"/>
  <c r="R12335" i="1"/>
  <c r="J5552" i="1"/>
  <c r="Q5552" i="1"/>
  <c r="R5552" i="1"/>
  <c r="J5553" i="1"/>
  <c r="Q5553" i="1"/>
  <c r="R5553" i="1"/>
  <c r="J12336" i="1"/>
  <c r="Q12336" i="1"/>
  <c r="R12336" i="1"/>
  <c r="J12337" i="1"/>
  <c r="Q12337" i="1"/>
  <c r="R12337" i="1"/>
  <c r="J12338" i="1"/>
  <c r="Q12338" i="1"/>
  <c r="R12338" i="1"/>
  <c r="J5554" i="1"/>
  <c r="Q5554" i="1"/>
  <c r="R5554" i="1"/>
  <c r="J12339" i="1"/>
  <c r="Q12339" i="1"/>
  <c r="R12339" i="1"/>
  <c r="J12340" i="1"/>
  <c r="Q12340" i="1"/>
  <c r="R12340" i="1"/>
  <c r="J12341" i="1"/>
  <c r="Q12341" i="1"/>
  <c r="R12341" i="1"/>
  <c r="J12342" i="1"/>
  <c r="Q12342" i="1"/>
  <c r="R12342" i="1"/>
  <c r="J12343" i="1"/>
  <c r="Q12343" i="1"/>
  <c r="R12343" i="1"/>
  <c r="J12344" i="1"/>
  <c r="Q12344" i="1"/>
  <c r="R12344" i="1"/>
  <c r="J12345" i="1"/>
  <c r="Q12345" i="1"/>
  <c r="R12345" i="1"/>
  <c r="J12346" i="1"/>
  <c r="Q12346" i="1"/>
  <c r="R12346" i="1"/>
  <c r="J12347" i="1"/>
  <c r="Q12347" i="1"/>
  <c r="R12347" i="1"/>
  <c r="J12348" i="1"/>
  <c r="Q12348" i="1"/>
  <c r="R12348" i="1"/>
  <c r="J12349" i="1"/>
  <c r="Q12349" i="1"/>
  <c r="R12349" i="1"/>
  <c r="J12350" i="1"/>
  <c r="Q12350" i="1"/>
  <c r="R12350" i="1"/>
  <c r="J12351" i="1"/>
  <c r="Q12351" i="1"/>
  <c r="R12351" i="1"/>
  <c r="J12352" i="1"/>
  <c r="Q12352" i="1"/>
  <c r="R12352" i="1"/>
  <c r="J5555" i="1"/>
  <c r="Q5555" i="1"/>
  <c r="R5555" i="1"/>
  <c r="J5556" i="1"/>
  <c r="Q5556" i="1"/>
  <c r="R5556" i="1"/>
  <c r="J5557" i="1"/>
  <c r="Q5557" i="1"/>
  <c r="R5557" i="1"/>
  <c r="J12353" i="1"/>
  <c r="Q12353" i="1"/>
  <c r="R12353" i="1"/>
  <c r="J5558" i="1"/>
  <c r="Q5558" i="1"/>
  <c r="R5558" i="1"/>
  <c r="J12354" i="1"/>
  <c r="Q12354" i="1"/>
  <c r="R12354" i="1"/>
  <c r="J12355" i="1"/>
  <c r="Q12355" i="1"/>
  <c r="R12355" i="1"/>
  <c r="J5559" i="1"/>
  <c r="Q5559" i="1"/>
  <c r="R5559" i="1"/>
  <c r="J12356" i="1"/>
  <c r="Q12356" i="1"/>
  <c r="R12356" i="1"/>
  <c r="J5560" i="1"/>
  <c r="Q5560" i="1"/>
  <c r="R5560" i="1"/>
  <c r="J5561" i="1"/>
  <c r="Q5561" i="1"/>
  <c r="R5561" i="1"/>
  <c r="J12357" i="1"/>
  <c r="Q12357" i="1"/>
  <c r="R12357" i="1"/>
  <c r="J12358" i="1"/>
  <c r="Q12358" i="1"/>
  <c r="R12358" i="1"/>
  <c r="J5562" i="1"/>
  <c r="Q5562" i="1"/>
  <c r="R5562" i="1"/>
  <c r="J5563" i="1"/>
  <c r="Q5563" i="1"/>
  <c r="R5563" i="1"/>
  <c r="J12359" i="1"/>
  <c r="Q12359" i="1"/>
  <c r="R12359" i="1"/>
  <c r="J5564" i="1"/>
  <c r="Q5564" i="1"/>
  <c r="R5564" i="1"/>
  <c r="J5565" i="1"/>
  <c r="Q5565" i="1"/>
  <c r="R5565" i="1"/>
  <c r="J5566" i="1"/>
  <c r="Q5566" i="1"/>
  <c r="R5566" i="1"/>
  <c r="J12360" i="1"/>
  <c r="Q12360" i="1"/>
  <c r="R12360" i="1"/>
  <c r="J12361" i="1"/>
  <c r="Q12361" i="1"/>
  <c r="R12361" i="1"/>
  <c r="J12362" i="1"/>
  <c r="Q12362" i="1"/>
  <c r="R12362" i="1"/>
  <c r="J12363" i="1"/>
  <c r="Q12363" i="1"/>
  <c r="R12363" i="1"/>
  <c r="J12364" i="1"/>
  <c r="Q12364" i="1"/>
  <c r="R12364" i="1"/>
  <c r="J5567" i="1"/>
  <c r="Q5567" i="1"/>
  <c r="R5567" i="1"/>
  <c r="J5568" i="1"/>
  <c r="Q5568" i="1"/>
  <c r="R5568" i="1"/>
  <c r="J12365" i="1"/>
  <c r="Q12365" i="1"/>
  <c r="R12365" i="1"/>
  <c r="J12366" i="1"/>
  <c r="Q12366" i="1"/>
  <c r="R12366" i="1"/>
  <c r="J12367" i="1"/>
  <c r="Q12367" i="1"/>
  <c r="R12367" i="1"/>
  <c r="J5569" i="1"/>
  <c r="Q5569" i="1"/>
  <c r="R5569" i="1"/>
  <c r="J5570" i="1"/>
  <c r="Q5570" i="1"/>
  <c r="R5570" i="1"/>
  <c r="J12368" i="1"/>
  <c r="Q12368" i="1"/>
  <c r="R12368" i="1"/>
  <c r="J5571" i="1"/>
  <c r="Q5571" i="1"/>
  <c r="R5571" i="1"/>
  <c r="J12369" i="1"/>
  <c r="Q12369" i="1"/>
  <c r="R12369" i="1"/>
  <c r="J12370" i="1"/>
  <c r="Q12370" i="1"/>
  <c r="R12370" i="1"/>
  <c r="J5572" i="1"/>
  <c r="Q5572" i="1"/>
  <c r="R5572" i="1"/>
  <c r="J12371" i="1"/>
  <c r="Q12371" i="1"/>
  <c r="R12371" i="1"/>
  <c r="J5573" i="1"/>
  <c r="Q5573" i="1"/>
  <c r="R5573" i="1"/>
  <c r="J12372" i="1"/>
  <c r="Q12372" i="1"/>
  <c r="R12372" i="1"/>
  <c r="J12373" i="1"/>
  <c r="Q12373" i="1"/>
  <c r="R12373" i="1"/>
  <c r="J5574" i="1"/>
  <c r="Q5574" i="1"/>
  <c r="R5574" i="1"/>
  <c r="J12374" i="1"/>
  <c r="Q12374" i="1"/>
  <c r="R12374" i="1"/>
  <c r="J12375" i="1"/>
  <c r="Q12375" i="1"/>
  <c r="R12375" i="1"/>
  <c r="J12376" i="1"/>
  <c r="Q12376" i="1"/>
  <c r="R12376" i="1"/>
  <c r="J12377" i="1"/>
  <c r="Q12377" i="1"/>
  <c r="R12377" i="1"/>
  <c r="J12378" i="1"/>
  <c r="Q12378" i="1"/>
  <c r="R12378" i="1"/>
  <c r="J12379" i="1"/>
  <c r="Q12379" i="1"/>
  <c r="R12379" i="1"/>
  <c r="J12380" i="1"/>
  <c r="Q12380" i="1"/>
  <c r="R12380" i="1"/>
  <c r="J12381" i="1"/>
  <c r="Q12381" i="1"/>
  <c r="R12381" i="1"/>
  <c r="J5575" i="1"/>
  <c r="Q5575" i="1"/>
  <c r="R5575" i="1"/>
  <c r="J5576" i="1"/>
  <c r="Q5576" i="1"/>
  <c r="R5576" i="1"/>
  <c r="J5577" i="1"/>
  <c r="Q5577" i="1"/>
  <c r="R5577" i="1"/>
  <c r="J12382" i="1"/>
  <c r="Q12382" i="1"/>
  <c r="R12382" i="1"/>
  <c r="J12383" i="1"/>
  <c r="Q12383" i="1"/>
  <c r="R12383" i="1"/>
  <c r="J12384" i="1"/>
  <c r="Q12384" i="1"/>
  <c r="R12384" i="1"/>
  <c r="J12385" i="1"/>
  <c r="Q12385" i="1"/>
  <c r="R12385" i="1"/>
  <c r="J5578" i="1"/>
  <c r="Q5578" i="1"/>
  <c r="R5578" i="1"/>
  <c r="J12386" i="1"/>
  <c r="Q12386" i="1"/>
  <c r="R12386" i="1"/>
  <c r="J12387" i="1"/>
  <c r="Q12387" i="1"/>
  <c r="R12387" i="1"/>
  <c r="J5579" i="1"/>
  <c r="Q5579" i="1"/>
  <c r="R5579" i="1"/>
  <c r="J12388" i="1"/>
  <c r="Q12388" i="1"/>
  <c r="R12388" i="1"/>
  <c r="J12389" i="1"/>
  <c r="Q12389" i="1"/>
  <c r="R12389" i="1"/>
  <c r="J12390" i="1"/>
  <c r="Q12390" i="1"/>
  <c r="R12390" i="1"/>
  <c r="J12391" i="1"/>
  <c r="Q12391" i="1"/>
  <c r="R12391" i="1"/>
  <c r="J5580" i="1"/>
  <c r="Q5580" i="1"/>
  <c r="R5580" i="1"/>
  <c r="J12392" i="1"/>
  <c r="Q12392" i="1"/>
  <c r="R12392" i="1"/>
  <c r="J5581" i="1"/>
  <c r="Q5581" i="1"/>
  <c r="R5581" i="1"/>
  <c r="J12393" i="1"/>
  <c r="Q12393" i="1"/>
  <c r="R12393" i="1"/>
  <c r="J12394" i="1"/>
  <c r="Q12394" i="1"/>
  <c r="R12394" i="1"/>
  <c r="J12395" i="1"/>
  <c r="Q12395" i="1"/>
  <c r="R12395" i="1"/>
  <c r="J12396" i="1"/>
  <c r="Q12396" i="1"/>
  <c r="R12396" i="1"/>
  <c r="J5582" i="1"/>
  <c r="Q5582" i="1"/>
  <c r="R5582" i="1"/>
  <c r="J5583" i="1"/>
  <c r="Q5583" i="1"/>
  <c r="R5583" i="1"/>
  <c r="J12397" i="1"/>
  <c r="Q12397" i="1"/>
  <c r="R12397" i="1"/>
  <c r="J12398" i="1"/>
  <c r="Q12398" i="1"/>
  <c r="R12398" i="1"/>
  <c r="J5584" i="1"/>
  <c r="Q5584" i="1"/>
  <c r="R5584" i="1"/>
  <c r="J5585" i="1"/>
  <c r="Q5585" i="1"/>
  <c r="R5585" i="1"/>
  <c r="J12399" i="1"/>
  <c r="Q12399" i="1"/>
  <c r="R12399" i="1"/>
  <c r="J5586" i="1"/>
  <c r="Q5586" i="1"/>
  <c r="R5586" i="1"/>
  <c r="J5587" i="1"/>
  <c r="Q5587" i="1"/>
  <c r="R5587" i="1"/>
  <c r="J12400" i="1"/>
  <c r="Q12400" i="1"/>
  <c r="R12400" i="1"/>
  <c r="J12401" i="1"/>
  <c r="Q12401" i="1"/>
  <c r="R12401" i="1"/>
  <c r="J5588" i="1"/>
  <c r="Q5588" i="1"/>
  <c r="R5588" i="1"/>
  <c r="J5589" i="1"/>
  <c r="Q5589" i="1"/>
  <c r="R5589" i="1"/>
  <c r="J5590" i="1"/>
  <c r="Q5590" i="1"/>
  <c r="R5590" i="1"/>
  <c r="J5591" i="1"/>
  <c r="Q5591" i="1"/>
  <c r="R5591" i="1"/>
  <c r="J5592" i="1"/>
  <c r="Q5592" i="1"/>
  <c r="R5592" i="1"/>
  <c r="J12402" i="1"/>
  <c r="Q12402" i="1"/>
  <c r="R12402" i="1"/>
  <c r="J5593" i="1"/>
  <c r="Q5593" i="1"/>
  <c r="R5593" i="1"/>
  <c r="J5594" i="1"/>
  <c r="Q5594" i="1"/>
  <c r="R5594" i="1"/>
  <c r="J12403" i="1"/>
  <c r="Q12403" i="1"/>
  <c r="R12403" i="1"/>
  <c r="J12404" i="1"/>
  <c r="Q12404" i="1"/>
  <c r="R12404" i="1"/>
  <c r="J5595" i="1"/>
  <c r="Q5595" i="1"/>
  <c r="R5595" i="1"/>
  <c r="J12405" i="1"/>
  <c r="Q12405" i="1"/>
  <c r="R12405" i="1"/>
  <c r="J5596" i="1"/>
  <c r="Q5596" i="1"/>
  <c r="R5596" i="1"/>
  <c r="J5597" i="1"/>
  <c r="Q5597" i="1"/>
  <c r="R5597" i="1"/>
  <c r="J12406" i="1"/>
  <c r="Q12406" i="1"/>
  <c r="R12406" i="1"/>
  <c r="J12407" i="1"/>
  <c r="Q12407" i="1"/>
  <c r="R12407" i="1"/>
  <c r="J12408" i="1"/>
  <c r="Q12408" i="1"/>
  <c r="R12408" i="1"/>
  <c r="J12409" i="1"/>
  <c r="Q12409" i="1"/>
  <c r="R12409" i="1"/>
  <c r="J5598" i="1"/>
  <c r="Q5598" i="1"/>
  <c r="R5598" i="1"/>
  <c r="J5599" i="1"/>
  <c r="Q5599" i="1"/>
  <c r="R5599" i="1"/>
  <c r="J5600" i="1"/>
  <c r="Q5600" i="1"/>
  <c r="R5600" i="1"/>
  <c r="J5601" i="1"/>
  <c r="Q5601" i="1"/>
  <c r="R5601" i="1"/>
  <c r="J5602" i="1"/>
  <c r="Q5602" i="1"/>
  <c r="R5602" i="1"/>
  <c r="J12410" i="1"/>
  <c r="Q12410" i="1"/>
  <c r="R12410" i="1"/>
  <c r="J12411" i="1"/>
  <c r="Q12411" i="1"/>
  <c r="R12411" i="1"/>
  <c r="J5603" i="1"/>
  <c r="Q5603" i="1"/>
  <c r="R5603" i="1"/>
  <c r="J5604" i="1"/>
  <c r="Q5604" i="1"/>
  <c r="R5604" i="1"/>
  <c r="J5605" i="1"/>
  <c r="Q5605" i="1"/>
  <c r="R5605" i="1"/>
  <c r="J5606" i="1"/>
  <c r="Q5606" i="1"/>
  <c r="R5606" i="1"/>
  <c r="J5607" i="1"/>
  <c r="Q5607" i="1"/>
  <c r="R5607" i="1"/>
  <c r="J12412" i="1"/>
  <c r="Q12412" i="1"/>
  <c r="R12412" i="1"/>
  <c r="J12413" i="1"/>
  <c r="Q12413" i="1"/>
  <c r="R12413" i="1"/>
  <c r="J5608" i="1"/>
  <c r="Q5608" i="1"/>
  <c r="R5608" i="1"/>
  <c r="J5609" i="1"/>
  <c r="Q5609" i="1"/>
  <c r="R5609" i="1"/>
  <c r="J12414" i="1"/>
  <c r="Q12414" i="1"/>
  <c r="R12414" i="1"/>
  <c r="J12415" i="1"/>
  <c r="Q12415" i="1"/>
  <c r="R12415" i="1"/>
  <c r="J12416" i="1"/>
  <c r="Q12416" i="1"/>
  <c r="R12416" i="1"/>
  <c r="J12417" i="1"/>
  <c r="Q12417" i="1"/>
  <c r="R12417" i="1"/>
  <c r="J5610" i="1"/>
  <c r="Q5610" i="1"/>
  <c r="R5610" i="1"/>
  <c r="J5611" i="1"/>
  <c r="Q5611" i="1"/>
  <c r="R5611" i="1"/>
  <c r="J12418" i="1"/>
  <c r="Q12418" i="1"/>
  <c r="R12418" i="1"/>
  <c r="J12419" i="1"/>
  <c r="Q12419" i="1"/>
  <c r="R12419" i="1"/>
  <c r="J5612" i="1"/>
  <c r="Q5612" i="1"/>
  <c r="R5612" i="1"/>
  <c r="J5613" i="1"/>
  <c r="Q5613" i="1"/>
  <c r="R5613" i="1"/>
  <c r="J5614" i="1"/>
  <c r="Q5614" i="1"/>
  <c r="R5614" i="1"/>
  <c r="J12420" i="1"/>
  <c r="Q12420" i="1"/>
  <c r="R12420" i="1"/>
  <c r="J5615" i="1"/>
  <c r="Q5615" i="1"/>
  <c r="R5615" i="1"/>
  <c r="J5616" i="1"/>
  <c r="Q5616" i="1"/>
  <c r="R5616" i="1"/>
  <c r="J12421" i="1"/>
  <c r="Q12421" i="1"/>
  <c r="R12421" i="1"/>
  <c r="J12422" i="1"/>
  <c r="Q12422" i="1"/>
  <c r="R12422" i="1"/>
  <c r="J5617" i="1"/>
  <c r="Q5617" i="1"/>
  <c r="R5617" i="1"/>
  <c r="J12423" i="1"/>
  <c r="Q12423" i="1"/>
  <c r="R12423" i="1"/>
  <c r="J12424" i="1"/>
  <c r="Q12424" i="1"/>
  <c r="R12424" i="1"/>
  <c r="J12425" i="1"/>
  <c r="Q12425" i="1"/>
  <c r="R12425" i="1"/>
  <c r="J12426" i="1"/>
  <c r="Q12426" i="1"/>
  <c r="R12426" i="1"/>
  <c r="J12427" i="1"/>
  <c r="Q12427" i="1"/>
  <c r="R12427" i="1"/>
  <c r="J12428" i="1"/>
  <c r="Q12428" i="1"/>
  <c r="R12428" i="1"/>
  <c r="J12429" i="1"/>
  <c r="Q12429" i="1"/>
  <c r="R12429" i="1"/>
  <c r="J12430" i="1"/>
  <c r="Q12430" i="1"/>
  <c r="R12430" i="1"/>
  <c r="J12431" i="1"/>
  <c r="Q12431" i="1"/>
  <c r="R12431" i="1"/>
  <c r="J12432" i="1"/>
  <c r="Q12432" i="1"/>
  <c r="R12432" i="1"/>
  <c r="J12433" i="1"/>
  <c r="Q12433" i="1"/>
  <c r="R12433" i="1"/>
  <c r="J12434" i="1"/>
  <c r="Q12434" i="1"/>
  <c r="R12434" i="1"/>
  <c r="J12435" i="1"/>
  <c r="Q12435" i="1"/>
  <c r="R12435" i="1"/>
  <c r="J12436" i="1"/>
  <c r="Q12436" i="1"/>
  <c r="R12436" i="1"/>
  <c r="J12437" i="1"/>
  <c r="Q12437" i="1"/>
  <c r="R12437" i="1"/>
  <c r="J12438" i="1"/>
  <c r="Q12438" i="1"/>
  <c r="R12438" i="1"/>
  <c r="J12439" i="1"/>
  <c r="Q12439" i="1"/>
  <c r="R12439" i="1"/>
  <c r="J12440" i="1"/>
  <c r="Q12440" i="1"/>
  <c r="R12440" i="1"/>
  <c r="J12441" i="1"/>
  <c r="Q12441" i="1"/>
  <c r="R12441" i="1"/>
  <c r="J12442" i="1"/>
  <c r="Q12442" i="1"/>
  <c r="R12442" i="1"/>
  <c r="J5618" i="1"/>
  <c r="Q5618" i="1"/>
  <c r="R5618" i="1"/>
  <c r="J5619" i="1"/>
  <c r="Q5619" i="1"/>
  <c r="R5619" i="1"/>
  <c r="J5620" i="1"/>
  <c r="Q5620" i="1"/>
  <c r="R5620" i="1"/>
  <c r="J5621" i="1"/>
  <c r="Q5621" i="1"/>
  <c r="R5621" i="1"/>
  <c r="J5622" i="1"/>
  <c r="Q5622" i="1"/>
  <c r="R5622" i="1"/>
  <c r="J5623" i="1"/>
  <c r="Q5623" i="1"/>
  <c r="R5623" i="1"/>
  <c r="J5624" i="1"/>
  <c r="Q5624" i="1"/>
  <c r="R5624" i="1"/>
  <c r="J5625" i="1"/>
  <c r="Q5625" i="1"/>
  <c r="R5625" i="1"/>
  <c r="J5626" i="1"/>
  <c r="Q5626" i="1"/>
  <c r="R5626" i="1"/>
  <c r="J5627" i="1"/>
  <c r="Q5627" i="1"/>
  <c r="R5627" i="1"/>
  <c r="J12443" i="1"/>
  <c r="Q12443" i="1"/>
  <c r="R12443" i="1"/>
  <c r="J5628" i="1"/>
  <c r="Q5628" i="1"/>
  <c r="R5628" i="1"/>
  <c r="J5629" i="1"/>
  <c r="Q5629" i="1"/>
  <c r="R5629" i="1"/>
  <c r="J12444" i="1"/>
  <c r="Q12444" i="1"/>
  <c r="R12444" i="1"/>
  <c r="J5630" i="1"/>
  <c r="Q5630" i="1"/>
  <c r="R5630" i="1"/>
  <c r="J5631" i="1"/>
  <c r="Q5631" i="1"/>
  <c r="R5631" i="1"/>
  <c r="J5632" i="1"/>
  <c r="Q5632" i="1"/>
  <c r="R5632" i="1"/>
  <c r="J5633" i="1"/>
  <c r="Q5633" i="1"/>
  <c r="R5633" i="1"/>
  <c r="J5634" i="1"/>
  <c r="Q5634" i="1"/>
  <c r="R5634" i="1"/>
  <c r="J5635" i="1"/>
  <c r="Q5635" i="1"/>
  <c r="R5635" i="1"/>
  <c r="J5636" i="1"/>
  <c r="Q5636" i="1"/>
  <c r="R5636" i="1"/>
  <c r="J5637" i="1"/>
  <c r="Q5637" i="1"/>
  <c r="R5637" i="1"/>
  <c r="J5638" i="1"/>
  <c r="Q5638" i="1"/>
  <c r="R5638" i="1"/>
  <c r="J5639" i="1"/>
  <c r="Q5639" i="1"/>
  <c r="R5639" i="1"/>
  <c r="J5640" i="1"/>
  <c r="Q5640" i="1"/>
  <c r="R5640" i="1"/>
  <c r="J5641" i="1"/>
  <c r="Q5641" i="1"/>
  <c r="R5641" i="1"/>
  <c r="J5642" i="1"/>
  <c r="Q5642" i="1"/>
  <c r="R5642" i="1"/>
  <c r="J5643" i="1"/>
  <c r="Q5643" i="1"/>
  <c r="R5643" i="1"/>
  <c r="J12445" i="1"/>
  <c r="Q12445" i="1"/>
  <c r="R12445" i="1"/>
  <c r="J5644" i="1"/>
  <c r="Q5644" i="1"/>
  <c r="R5644" i="1"/>
  <c r="J5645" i="1"/>
  <c r="Q5645" i="1"/>
  <c r="R5645" i="1"/>
  <c r="J5646" i="1"/>
  <c r="Q5646" i="1"/>
  <c r="R5646" i="1"/>
  <c r="J12446" i="1"/>
  <c r="Q12446" i="1"/>
  <c r="R12446" i="1"/>
  <c r="J5647" i="1"/>
  <c r="Q5647" i="1"/>
  <c r="R5647" i="1"/>
  <c r="J5648" i="1"/>
  <c r="Q5648" i="1"/>
  <c r="R5648" i="1"/>
  <c r="J12447" i="1"/>
  <c r="Q12447" i="1"/>
  <c r="R12447" i="1"/>
  <c r="J12448" i="1"/>
  <c r="Q12448" i="1"/>
  <c r="R12448" i="1"/>
  <c r="J12449" i="1"/>
  <c r="Q12449" i="1"/>
  <c r="R12449" i="1"/>
  <c r="J5649" i="1"/>
  <c r="Q5649" i="1"/>
  <c r="R5649" i="1"/>
  <c r="J12450" i="1"/>
  <c r="Q12450" i="1"/>
  <c r="R12450" i="1"/>
  <c r="J12451" i="1"/>
  <c r="Q12451" i="1"/>
  <c r="R12451" i="1"/>
  <c r="J5650" i="1"/>
  <c r="Q5650" i="1"/>
  <c r="R5650" i="1"/>
  <c r="J12452" i="1"/>
  <c r="Q12452" i="1"/>
  <c r="R12452" i="1"/>
  <c r="J12453" i="1"/>
  <c r="Q12453" i="1"/>
  <c r="R12453" i="1"/>
  <c r="J5651" i="1"/>
  <c r="Q5651" i="1"/>
  <c r="R5651" i="1"/>
  <c r="J12454" i="1"/>
  <c r="Q12454" i="1"/>
  <c r="R12454" i="1"/>
  <c r="J12455" i="1"/>
  <c r="Q12455" i="1"/>
  <c r="R12455" i="1"/>
  <c r="J12456" i="1"/>
  <c r="Q12456" i="1"/>
  <c r="R12456" i="1"/>
  <c r="J12457" i="1"/>
  <c r="Q12457" i="1"/>
  <c r="R12457" i="1"/>
  <c r="J12458" i="1"/>
  <c r="Q12458" i="1"/>
  <c r="R12458" i="1"/>
  <c r="J12459" i="1"/>
  <c r="Q12459" i="1"/>
  <c r="R12459" i="1"/>
  <c r="J12460" i="1"/>
  <c r="Q12460" i="1"/>
  <c r="R12460" i="1"/>
  <c r="J12461" i="1"/>
  <c r="Q12461" i="1"/>
  <c r="R12461" i="1"/>
  <c r="J12462" i="1"/>
  <c r="Q12462" i="1"/>
  <c r="R12462" i="1"/>
  <c r="J12463" i="1"/>
  <c r="Q12463" i="1"/>
  <c r="R12463" i="1"/>
  <c r="J12464" i="1"/>
  <c r="Q12464" i="1"/>
  <c r="R12464" i="1"/>
  <c r="J12465" i="1"/>
  <c r="Q12465" i="1"/>
  <c r="R12465" i="1"/>
  <c r="J12466" i="1"/>
  <c r="Q12466" i="1"/>
  <c r="R12466" i="1"/>
  <c r="J12467" i="1"/>
  <c r="Q12467" i="1"/>
  <c r="R12467" i="1"/>
  <c r="J12468" i="1"/>
  <c r="Q12468" i="1"/>
  <c r="R12468" i="1"/>
  <c r="J12469" i="1"/>
  <c r="Q12469" i="1"/>
  <c r="R12469" i="1"/>
  <c r="J12470" i="1"/>
  <c r="Q12470" i="1"/>
  <c r="R12470" i="1"/>
  <c r="J12471" i="1"/>
  <c r="Q12471" i="1"/>
  <c r="R12471" i="1"/>
  <c r="J12472" i="1"/>
  <c r="Q12472" i="1"/>
  <c r="R12472" i="1"/>
  <c r="J5652" i="1"/>
  <c r="Q5652" i="1"/>
  <c r="R5652" i="1"/>
  <c r="J5653" i="1"/>
  <c r="Q5653" i="1"/>
  <c r="R5653" i="1"/>
  <c r="J5654" i="1"/>
  <c r="Q5654" i="1"/>
  <c r="R5654" i="1"/>
  <c r="J12473" i="1"/>
  <c r="Q12473" i="1"/>
  <c r="R12473" i="1"/>
  <c r="J12474" i="1"/>
  <c r="Q12474" i="1"/>
  <c r="R12474" i="1"/>
  <c r="J5655" i="1"/>
  <c r="Q5655" i="1"/>
  <c r="R5655" i="1"/>
  <c r="J5656" i="1"/>
  <c r="Q5656" i="1"/>
  <c r="R5656" i="1"/>
  <c r="J5657" i="1"/>
  <c r="Q5657" i="1"/>
  <c r="R5657" i="1"/>
  <c r="J5658" i="1"/>
  <c r="Q5658" i="1"/>
  <c r="R5658" i="1"/>
  <c r="J5659" i="1"/>
  <c r="Q5659" i="1"/>
  <c r="R5659" i="1"/>
  <c r="J5660" i="1"/>
  <c r="Q5660" i="1"/>
  <c r="R5660" i="1"/>
  <c r="J5661" i="1"/>
  <c r="Q5661" i="1"/>
  <c r="R5661" i="1"/>
  <c r="J5662" i="1"/>
  <c r="Q5662" i="1"/>
  <c r="R5662" i="1"/>
  <c r="J12475" i="1"/>
  <c r="Q12475" i="1"/>
  <c r="R12475" i="1"/>
  <c r="J5663" i="1"/>
  <c r="Q5663" i="1"/>
  <c r="R5663" i="1"/>
  <c r="J5664" i="1"/>
  <c r="Q5664" i="1"/>
  <c r="R5664" i="1"/>
  <c r="J5665" i="1"/>
  <c r="Q5665" i="1"/>
  <c r="R5665" i="1"/>
  <c r="J12476" i="1"/>
  <c r="Q12476" i="1"/>
  <c r="R12476" i="1"/>
  <c r="J5666" i="1"/>
  <c r="Q5666" i="1"/>
  <c r="R5666" i="1"/>
  <c r="J12477" i="1"/>
  <c r="Q12477" i="1"/>
  <c r="R12477" i="1"/>
  <c r="J5667" i="1"/>
  <c r="Q5667" i="1"/>
  <c r="R5667" i="1"/>
  <c r="J12478" i="1"/>
  <c r="Q12478" i="1"/>
  <c r="R12478" i="1"/>
  <c r="J5668" i="1"/>
  <c r="Q5668" i="1"/>
  <c r="R5668" i="1"/>
  <c r="J12479" i="1"/>
  <c r="Q12479" i="1"/>
  <c r="R12479" i="1"/>
  <c r="J12480" i="1"/>
  <c r="Q12480" i="1"/>
  <c r="R12480" i="1"/>
  <c r="J5669" i="1"/>
  <c r="Q5669" i="1"/>
  <c r="R5669" i="1"/>
  <c r="J5670" i="1"/>
  <c r="Q5670" i="1"/>
  <c r="R5670" i="1"/>
  <c r="J12481" i="1"/>
  <c r="Q12481" i="1"/>
  <c r="R12481" i="1"/>
  <c r="J12482" i="1"/>
  <c r="Q12482" i="1"/>
  <c r="R12482" i="1"/>
  <c r="J5671" i="1"/>
  <c r="Q5671" i="1"/>
  <c r="R5671" i="1"/>
  <c r="J12483" i="1"/>
  <c r="Q12483" i="1"/>
  <c r="R12483" i="1"/>
  <c r="J12484" i="1"/>
  <c r="Q12484" i="1"/>
  <c r="R12484" i="1"/>
  <c r="J12485" i="1"/>
  <c r="Q12485" i="1"/>
  <c r="R12485" i="1"/>
  <c r="J12486" i="1"/>
  <c r="Q12486" i="1"/>
  <c r="R12486" i="1"/>
  <c r="J12487" i="1"/>
  <c r="Q12487" i="1"/>
  <c r="R12487" i="1"/>
  <c r="J12488" i="1"/>
  <c r="Q12488" i="1"/>
  <c r="R12488" i="1"/>
  <c r="J5672" i="1"/>
  <c r="Q5672" i="1"/>
  <c r="R5672" i="1"/>
  <c r="J12489" i="1"/>
  <c r="Q12489" i="1"/>
  <c r="R12489" i="1"/>
  <c r="J12490" i="1"/>
  <c r="Q12490" i="1"/>
  <c r="R12490" i="1"/>
  <c r="J5673" i="1"/>
  <c r="Q5673" i="1"/>
  <c r="R5673" i="1"/>
  <c r="J5674" i="1"/>
  <c r="Q5674" i="1"/>
  <c r="R5674" i="1"/>
  <c r="J12491" i="1"/>
  <c r="Q12491" i="1"/>
  <c r="R12491" i="1"/>
  <c r="J12492" i="1"/>
  <c r="Q12492" i="1"/>
  <c r="R12492" i="1"/>
  <c r="J12493" i="1"/>
  <c r="Q12493" i="1"/>
  <c r="R12493" i="1"/>
  <c r="J12494" i="1"/>
  <c r="Q12494" i="1"/>
  <c r="R12494" i="1"/>
  <c r="J12495" i="1"/>
  <c r="Q12495" i="1"/>
  <c r="R12495" i="1"/>
  <c r="J12496" i="1"/>
  <c r="Q12496" i="1"/>
  <c r="R12496" i="1"/>
  <c r="J12497" i="1"/>
  <c r="Q12497" i="1"/>
  <c r="R12497" i="1"/>
  <c r="J5675" i="1"/>
  <c r="Q5675" i="1"/>
  <c r="R5675" i="1"/>
  <c r="J12498" i="1"/>
  <c r="Q12498" i="1"/>
  <c r="R12498" i="1"/>
  <c r="J12499" i="1"/>
  <c r="Q12499" i="1"/>
  <c r="R12499" i="1"/>
  <c r="J12500" i="1"/>
  <c r="Q12500" i="1"/>
  <c r="R12500" i="1"/>
  <c r="J12501" i="1"/>
  <c r="Q12501" i="1"/>
  <c r="R12501" i="1"/>
  <c r="J12502" i="1"/>
  <c r="Q12502" i="1"/>
  <c r="R12502" i="1"/>
  <c r="J12503" i="1"/>
  <c r="Q12503" i="1"/>
  <c r="R12503" i="1"/>
  <c r="J12504" i="1"/>
  <c r="Q12504" i="1"/>
  <c r="R12504" i="1"/>
  <c r="J5676" i="1"/>
  <c r="Q5676" i="1"/>
  <c r="R5676" i="1"/>
  <c r="J5677" i="1"/>
  <c r="Q5677" i="1"/>
  <c r="R5677" i="1"/>
  <c r="J12505" i="1"/>
  <c r="Q12505" i="1"/>
  <c r="R12505" i="1"/>
  <c r="J5678" i="1"/>
  <c r="Q5678" i="1"/>
  <c r="R5678" i="1"/>
  <c r="J5679" i="1"/>
  <c r="Q5679" i="1"/>
  <c r="R5679" i="1"/>
  <c r="J12506" i="1"/>
  <c r="Q12506" i="1"/>
  <c r="R12506" i="1"/>
  <c r="J12507" i="1"/>
  <c r="Q12507" i="1"/>
  <c r="R12507" i="1"/>
  <c r="J12508" i="1"/>
  <c r="Q12508" i="1"/>
  <c r="R12508" i="1"/>
  <c r="J12509" i="1"/>
  <c r="Q12509" i="1"/>
  <c r="R12509" i="1"/>
  <c r="J12510" i="1"/>
  <c r="Q12510" i="1"/>
  <c r="R12510" i="1"/>
  <c r="J12511" i="1"/>
  <c r="Q12511" i="1"/>
  <c r="R12511" i="1"/>
  <c r="J12512" i="1"/>
  <c r="Q12512" i="1"/>
  <c r="R12512" i="1"/>
  <c r="J12513" i="1"/>
  <c r="Q12513" i="1"/>
  <c r="R12513" i="1"/>
  <c r="J12514" i="1"/>
  <c r="Q12514" i="1"/>
  <c r="R12514" i="1"/>
  <c r="J12515" i="1"/>
  <c r="Q12515" i="1"/>
  <c r="R12515" i="1"/>
  <c r="J12516" i="1"/>
  <c r="Q12516" i="1"/>
  <c r="R12516" i="1"/>
  <c r="J12517" i="1"/>
  <c r="Q12517" i="1"/>
  <c r="R12517" i="1"/>
  <c r="J12518" i="1"/>
  <c r="Q12518" i="1"/>
  <c r="R12518" i="1"/>
  <c r="J12519" i="1"/>
  <c r="Q12519" i="1"/>
  <c r="R12519" i="1"/>
  <c r="J12520" i="1"/>
  <c r="Q12520" i="1"/>
  <c r="R12520" i="1"/>
  <c r="J12521" i="1"/>
  <c r="Q12521" i="1"/>
  <c r="R12521" i="1"/>
  <c r="J12522" i="1"/>
  <c r="Q12522" i="1"/>
  <c r="R12522" i="1"/>
  <c r="J12523" i="1"/>
  <c r="Q12523" i="1"/>
  <c r="R12523" i="1"/>
  <c r="J12524" i="1"/>
  <c r="Q12524" i="1"/>
  <c r="R12524" i="1"/>
  <c r="J12525" i="1"/>
  <c r="Q12525" i="1"/>
  <c r="R12525" i="1"/>
  <c r="J12526" i="1"/>
  <c r="Q12526" i="1"/>
  <c r="R12526" i="1"/>
  <c r="J12527" i="1"/>
  <c r="Q12527" i="1"/>
  <c r="R12527" i="1"/>
  <c r="J12528" i="1"/>
  <c r="Q12528" i="1"/>
  <c r="R12528" i="1"/>
  <c r="J12529" i="1"/>
  <c r="Q12529" i="1"/>
  <c r="R12529" i="1"/>
  <c r="J12530" i="1"/>
  <c r="Q12530" i="1"/>
  <c r="R12530" i="1"/>
  <c r="J12531" i="1"/>
  <c r="Q12531" i="1"/>
  <c r="R12531" i="1"/>
  <c r="J12532" i="1"/>
  <c r="Q12532" i="1"/>
  <c r="R12532" i="1"/>
  <c r="J12533" i="1"/>
  <c r="Q12533" i="1"/>
  <c r="R12533" i="1"/>
  <c r="J12534" i="1"/>
  <c r="Q12534" i="1"/>
  <c r="R12534" i="1"/>
  <c r="J12535" i="1"/>
  <c r="Q12535" i="1"/>
  <c r="R12535" i="1"/>
  <c r="J5680" i="1"/>
  <c r="Q5680" i="1"/>
  <c r="R5680" i="1"/>
  <c r="J5681" i="1"/>
  <c r="Q5681" i="1"/>
  <c r="R5681" i="1"/>
  <c r="J5682" i="1"/>
  <c r="Q5682" i="1"/>
  <c r="R5682" i="1"/>
  <c r="J5683" i="1"/>
  <c r="Q5683" i="1"/>
  <c r="R5683" i="1"/>
  <c r="J5684" i="1"/>
  <c r="Q5684" i="1"/>
  <c r="R5684" i="1"/>
  <c r="J12536" i="1"/>
  <c r="Q12536" i="1"/>
  <c r="R12536" i="1"/>
  <c r="J12537" i="1"/>
  <c r="Q12537" i="1"/>
  <c r="R12537" i="1"/>
  <c r="J12538" i="1"/>
  <c r="Q12538" i="1"/>
  <c r="R12538" i="1"/>
  <c r="J12539" i="1"/>
  <c r="Q12539" i="1"/>
  <c r="R12539" i="1"/>
  <c r="J12540" i="1"/>
  <c r="Q12540" i="1"/>
  <c r="R12540" i="1"/>
  <c r="J12541" i="1"/>
  <c r="Q12541" i="1"/>
  <c r="R12541" i="1"/>
  <c r="J12542" i="1"/>
  <c r="Q12542" i="1"/>
  <c r="R12542" i="1"/>
  <c r="J12543" i="1"/>
  <c r="Q12543" i="1"/>
  <c r="R12543" i="1"/>
  <c r="J12544" i="1"/>
  <c r="Q12544" i="1"/>
  <c r="R12544" i="1"/>
  <c r="J5685" i="1"/>
  <c r="Q5685" i="1"/>
  <c r="R5685" i="1"/>
  <c r="J12545" i="1"/>
  <c r="Q12545" i="1"/>
  <c r="R12545" i="1"/>
  <c r="J12546" i="1"/>
  <c r="Q12546" i="1"/>
  <c r="R12546" i="1"/>
  <c r="J12547" i="1"/>
  <c r="Q12547" i="1"/>
  <c r="R12547" i="1"/>
  <c r="J12548" i="1"/>
  <c r="Q12548" i="1"/>
  <c r="R12548" i="1"/>
  <c r="J12549" i="1"/>
  <c r="Q12549" i="1"/>
  <c r="R12549" i="1"/>
  <c r="J12550" i="1"/>
  <c r="Q12550" i="1"/>
  <c r="R12550" i="1"/>
  <c r="J12551" i="1"/>
  <c r="Q12551" i="1"/>
  <c r="R12551" i="1"/>
  <c r="J12552" i="1"/>
  <c r="Q12552" i="1"/>
  <c r="R12552" i="1"/>
  <c r="J12553" i="1"/>
  <c r="Q12553" i="1"/>
  <c r="R12553" i="1"/>
  <c r="J5686" i="1"/>
  <c r="Q5686" i="1"/>
  <c r="R5686" i="1"/>
  <c r="J12554" i="1"/>
  <c r="Q12554" i="1"/>
  <c r="R12554" i="1"/>
  <c r="J12555" i="1"/>
  <c r="Q12555" i="1"/>
  <c r="R12555" i="1"/>
  <c r="J12556" i="1"/>
  <c r="Q12556" i="1"/>
  <c r="R12556" i="1"/>
  <c r="J12557" i="1"/>
  <c r="Q12557" i="1"/>
  <c r="R12557" i="1"/>
  <c r="J12558" i="1"/>
  <c r="Q12558" i="1"/>
  <c r="R12558" i="1"/>
  <c r="J12559" i="1"/>
  <c r="Q12559" i="1"/>
  <c r="R12559" i="1"/>
  <c r="J12560" i="1"/>
  <c r="Q12560" i="1"/>
  <c r="R12560" i="1"/>
  <c r="J5687" i="1"/>
  <c r="Q5687" i="1"/>
  <c r="R5687" i="1"/>
  <c r="J12561" i="1"/>
  <c r="Q12561" i="1"/>
  <c r="R12561" i="1"/>
  <c r="J12562" i="1"/>
  <c r="Q12562" i="1"/>
  <c r="R12562" i="1"/>
  <c r="J12563" i="1"/>
  <c r="Q12563" i="1"/>
  <c r="R12563" i="1"/>
  <c r="J12564" i="1"/>
  <c r="Q12564" i="1"/>
  <c r="R12564" i="1"/>
  <c r="J12565" i="1"/>
  <c r="Q12565" i="1"/>
  <c r="R12565" i="1"/>
  <c r="J12566" i="1"/>
  <c r="Q12566" i="1"/>
  <c r="R12566" i="1"/>
  <c r="J12567" i="1"/>
  <c r="Q12567" i="1"/>
  <c r="R12567" i="1"/>
  <c r="J12568" i="1"/>
  <c r="Q12568" i="1"/>
  <c r="R12568" i="1"/>
  <c r="J5688" i="1"/>
  <c r="Q5688" i="1"/>
  <c r="R5688" i="1"/>
  <c r="J12569" i="1"/>
  <c r="Q12569" i="1"/>
  <c r="R12569" i="1"/>
  <c r="J5689" i="1"/>
  <c r="Q5689" i="1"/>
  <c r="R5689" i="1"/>
  <c r="J5690" i="1"/>
  <c r="Q5690" i="1"/>
  <c r="R5690" i="1"/>
  <c r="J5691" i="1"/>
  <c r="Q5691" i="1"/>
  <c r="R5691" i="1"/>
  <c r="J12570" i="1"/>
  <c r="Q12570" i="1"/>
  <c r="R12570" i="1"/>
  <c r="J12571" i="1"/>
  <c r="Q12571" i="1"/>
  <c r="R12571" i="1"/>
  <c r="J12572" i="1"/>
  <c r="Q12572" i="1"/>
  <c r="R12572" i="1"/>
  <c r="J12573" i="1"/>
  <c r="Q12573" i="1"/>
  <c r="R12573" i="1"/>
  <c r="J5692" i="1"/>
  <c r="Q5692" i="1"/>
  <c r="R5692" i="1"/>
  <c r="J5693" i="1"/>
  <c r="Q5693" i="1"/>
  <c r="R5693" i="1"/>
  <c r="J5694" i="1"/>
  <c r="Q5694" i="1"/>
  <c r="R5694" i="1"/>
  <c r="J5695" i="1"/>
  <c r="Q5695" i="1"/>
  <c r="R5695" i="1"/>
  <c r="J5696" i="1"/>
  <c r="Q5696" i="1"/>
  <c r="R5696" i="1"/>
  <c r="J12574" i="1"/>
  <c r="Q12574" i="1"/>
  <c r="R12574" i="1"/>
  <c r="J12575" i="1"/>
  <c r="Q12575" i="1"/>
  <c r="R12575" i="1"/>
  <c r="J12576" i="1"/>
  <c r="Q12576" i="1"/>
  <c r="R12576" i="1"/>
  <c r="J5697" i="1"/>
  <c r="Q5697" i="1"/>
  <c r="R5697" i="1"/>
  <c r="J12577" i="1"/>
  <c r="Q12577" i="1"/>
  <c r="R12577" i="1"/>
  <c r="J5698" i="1"/>
  <c r="Q5698" i="1"/>
  <c r="R5698" i="1"/>
  <c r="J5699" i="1"/>
  <c r="Q5699" i="1"/>
  <c r="R5699" i="1"/>
  <c r="J12578" i="1"/>
  <c r="Q12578" i="1"/>
  <c r="R12578" i="1"/>
  <c r="J12579" i="1"/>
  <c r="Q12579" i="1"/>
  <c r="R12579" i="1"/>
  <c r="J5700" i="1"/>
  <c r="Q5700" i="1"/>
  <c r="R5700" i="1"/>
  <c r="J12580" i="1"/>
  <c r="Q12580" i="1"/>
  <c r="R12580" i="1"/>
  <c r="J12581" i="1"/>
  <c r="Q12581" i="1"/>
  <c r="R12581" i="1"/>
  <c r="J12582" i="1"/>
  <c r="Q12582" i="1"/>
  <c r="R12582" i="1"/>
  <c r="J12583" i="1"/>
  <c r="Q12583" i="1"/>
  <c r="R12583" i="1"/>
  <c r="J12584" i="1"/>
  <c r="Q12584" i="1"/>
  <c r="R12584" i="1"/>
  <c r="J12585" i="1"/>
  <c r="Q12585" i="1"/>
  <c r="R12585" i="1"/>
  <c r="J12586" i="1"/>
  <c r="Q12586" i="1"/>
  <c r="R12586" i="1"/>
  <c r="J12587" i="1"/>
  <c r="Q12587" i="1"/>
  <c r="R12587" i="1"/>
  <c r="J12588" i="1"/>
  <c r="Q12588" i="1"/>
  <c r="R12588" i="1"/>
  <c r="J12589" i="1"/>
  <c r="Q12589" i="1"/>
  <c r="R12589" i="1"/>
  <c r="J12590" i="1"/>
  <c r="Q12590" i="1"/>
  <c r="R12590" i="1"/>
  <c r="J5701" i="1"/>
  <c r="Q5701" i="1"/>
  <c r="R5701" i="1"/>
  <c r="J12591" i="1"/>
  <c r="Q12591" i="1"/>
  <c r="R12591" i="1"/>
  <c r="J5702" i="1"/>
  <c r="Q5702" i="1"/>
  <c r="R5702" i="1"/>
  <c r="J12592" i="1"/>
  <c r="Q12592" i="1"/>
  <c r="R12592" i="1"/>
  <c r="J12593" i="1"/>
  <c r="Q12593" i="1"/>
  <c r="R12593" i="1"/>
  <c r="J12594" i="1"/>
  <c r="Q12594" i="1"/>
  <c r="R12594" i="1"/>
  <c r="J12595" i="1"/>
  <c r="Q12595" i="1"/>
  <c r="R12595" i="1"/>
  <c r="J5703" i="1"/>
  <c r="Q5703" i="1"/>
  <c r="R5703" i="1"/>
  <c r="J12596" i="1"/>
  <c r="Q12596" i="1"/>
  <c r="R12596" i="1"/>
  <c r="J12597" i="1"/>
  <c r="Q12597" i="1"/>
  <c r="R12597" i="1"/>
  <c r="J5704" i="1"/>
  <c r="Q5704" i="1"/>
  <c r="R5704" i="1"/>
  <c r="J5705" i="1"/>
  <c r="Q5705" i="1"/>
  <c r="R5705" i="1"/>
  <c r="J5706" i="1"/>
  <c r="Q5706" i="1"/>
  <c r="R5706" i="1"/>
  <c r="J12598" i="1"/>
  <c r="Q12598" i="1"/>
  <c r="R12598" i="1"/>
  <c r="J5707" i="1"/>
  <c r="Q5707" i="1"/>
  <c r="R5707" i="1"/>
  <c r="J5708" i="1"/>
  <c r="Q5708" i="1"/>
  <c r="R5708" i="1"/>
  <c r="J5709" i="1"/>
  <c r="Q5709" i="1"/>
  <c r="R5709" i="1"/>
  <c r="J5710" i="1"/>
  <c r="Q5710" i="1"/>
  <c r="R5710" i="1"/>
  <c r="J5711" i="1"/>
  <c r="Q5711" i="1"/>
  <c r="R5711" i="1"/>
  <c r="J12599" i="1"/>
  <c r="Q12599" i="1"/>
  <c r="R12599" i="1"/>
  <c r="J5712" i="1"/>
  <c r="Q5712" i="1"/>
  <c r="R5712" i="1"/>
  <c r="J5713" i="1"/>
  <c r="Q5713" i="1"/>
  <c r="R5713" i="1"/>
  <c r="J5714" i="1"/>
  <c r="Q5714" i="1"/>
  <c r="R5714" i="1"/>
  <c r="J5715" i="1"/>
  <c r="Q5715" i="1"/>
  <c r="R5715" i="1"/>
  <c r="J5716" i="1"/>
  <c r="Q5716" i="1"/>
  <c r="R5716" i="1"/>
  <c r="J5717" i="1"/>
  <c r="Q5717" i="1"/>
  <c r="R5717" i="1"/>
  <c r="J5718" i="1"/>
  <c r="Q5718" i="1"/>
  <c r="R5718" i="1"/>
  <c r="J5719" i="1"/>
  <c r="Q5719" i="1"/>
  <c r="R5719" i="1"/>
  <c r="J5720" i="1"/>
  <c r="Q5720" i="1"/>
  <c r="R5720" i="1"/>
  <c r="J5721" i="1"/>
  <c r="Q5721" i="1"/>
  <c r="R5721" i="1"/>
  <c r="J5722" i="1"/>
  <c r="Q5722" i="1"/>
  <c r="R5722" i="1"/>
  <c r="J5723" i="1"/>
  <c r="Q5723" i="1"/>
  <c r="R5723" i="1"/>
  <c r="J5724" i="1"/>
  <c r="Q5724" i="1"/>
  <c r="R5724" i="1"/>
  <c r="J5725" i="1"/>
  <c r="Q5725" i="1"/>
  <c r="R5725" i="1"/>
  <c r="J5726" i="1"/>
  <c r="Q5726" i="1"/>
  <c r="R5726" i="1"/>
  <c r="J5727" i="1"/>
  <c r="Q5727" i="1"/>
  <c r="R5727" i="1"/>
  <c r="J5728" i="1"/>
  <c r="Q5728" i="1"/>
  <c r="R5728" i="1"/>
  <c r="J5729" i="1"/>
  <c r="Q5729" i="1"/>
  <c r="R5729" i="1"/>
  <c r="J5730" i="1"/>
  <c r="Q5730" i="1"/>
  <c r="R5730" i="1"/>
  <c r="J5731" i="1"/>
  <c r="Q5731" i="1"/>
  <c r="R5731" i="1"/>
  <c r="J5732" i="1"/>
  <c r="Q5732" i="1"/>
  <c r="R5732" i="1"/>
  <c r="J5733" i="1"/>
  <c r="Q5733" i="1"/>
  <c r="R5733" i="1"/>
  <c r="J5734" i="1"/>
  <c r="Q5734" i="1"/>
  <c r="R5734" i="1"/>
  <c r="J5735" i="1"/>
  <c r="Q5735" i="1"/>
  <c r="R5735" i="1"/>
  <c r="J5736" i="1"/>
  <c r="Q5736" i="1"/>
  <c r="R5736" i="1"/>
  <c r="J12600" i="1"/>
  <c r="Q12600" i="1"/>
  <c r="R12600" i="1"/>
  <c r="J5737" i="1"/>
  <c r="Q5737" i="1"/>
  <c r="R5737" i="1"/>
  <c r="J5738" i="1"/>
  <c r="Q5738" i="1"/>
  <c r="R5738" i="1"/>
  <c r="J5739" i="1"/>
  <c r="Q5739" i="1"/>
  <c r="R5739" i="1"/>
  <c r="J5740" i="1"/>
  <c r="Q5740" i="1"/>
  <c r="R5740" i="1"/>
  <c r="J5741" i="1"/>
  <c r="Q5741" i="1"/>
  <c r="R5741" i="1"/>
  <c r="J5742" i="1"/>
  <c r="Q5742" i="1"/>
  <c r="R5742" i="1"/>
  <c r="J5743" i="1"/>
  <c r="Q5743" i="1"/>
  <c r="R5743" i="1"/>
  <c r="J5744" i="1"/>
  <c r="Q5744" i="1"/>
  <c r="R5744" i="1"/>
  <c r="J12601" i="1"/>
  <c r="Q12601" i="1"/>
  <c r="R12601" i="1"/>
  <c r="J5745" i="1"/>
  <c r="Q5745" i="1"/>
  <c r="R5745" i="1"/>
  <c r="J5746" i="1"/>
  <c r="Q5746" i="1"/>
  <c r="R5746" i="1"/>
  <c r="J12602" i="1"/>
  <c r="Q12602" i="1"/>
  <c r="R12602" i="1"/>
  <c r="J5747" i="1"/>
  <c r="Q5747" i="1"/>
  <c r="R5747" i="1"/>
  <c r="J5748" i="1"/>
  <c r="Q5748" i="1"/>
  <c r="R5748" i="1"/>
  <c r="J5749" i="1"/>
  <c r="Q5749" i="1"/>
  <c r="R5749" i="1"/>
  <c r="J12603" i="1"/>
  <c r="Q12603" i="1"/>
  <c r="R12603" i="1"/>
  <c r="J12604" i="1"/>
  <c r="Q12604" i="1"/>
  <c r="R12604" i="1"/>
  <c r="J5750" i="1"/>
  <c r="Q5750" i="1"/>
  <c r="R5750" i="1"/>
  <c r="J12605" i="1"/>
  <c r="Q12605" i="1"/>
  <c r="R12605" i="1"/>
  <c r="J12606" i="1"/>
  <c r="Q12606" i="1"/>
  <c r="R12606" i="1"/>
  <c r="J12607" i="1"/>
  <c r="Q12607" i="1"/>
  <c r="R12607" i="1"/>
  <c r="J12608" i="1"/>
  <c r="Q12608" i="1"/>
  <c r="R12608" i="1"/>
  <c r="J12609" i="1"/>
  <c r="Q12609" i="1"/>
  <c r="R12609" i="1"/>
  <c r="J5751" i="1"/>
  <c r="Q5751" i="1"/>
  <c r="R5751" i="1"/>
  <c r="J12610" i="1"/>
  <c r="Q12610" i="1"/>
  <c r="R12610" i="1"/>
  <c r="J12611" i="1"/>
  <c r="Q12611" i="1"/>
  <c r="R12611" i="1"/>
  <c r="J12612" i="1"/>
  <c r="Q12612" i="1"/>
  <c r="R12612" i="1"/>
  <c r="J5752" i="1"/>
  <c r="Q5752" i="1"/>
  <c r="R5752" i="1"/>
  <c r="J12613" i="1"/>
  <c r="Q12613" i="1"/>
  <c r="R12613" i="1"/>
  <c r="J12614" i="1"/>
  <c r="Q12614" i="1"/>
  <c r="R12614" i="1"/>
  <c r="J5753" i="1"/>
  <c r="Q5753" i="1"/>
  <c r="R5753" i="1"/>
  <c r="J1498" i="1"/>
  <c r="Q1498" i="1"/>
  <c r="R1498" i="1"/>
  <c r="J1499" i="1"/>
  <c r="Q1499" i="1"/>
  <c r="R1499" i="1"/>
  <c r="J7952" i="1"/>
  <c r="Q7952" i="1"/>
  <c r="R7952" i="1"/>
  <c r="J1500" i="1"/>
  <c r="Q1500" i="1"/>
  <c r="R1500" i="1"/>
  <c r="J7953" i="1"/>
  <c r="Q7953" i="1"/>
  <c r="R7953" i="1"/>
  <c r="J6621" i="1"/>
  <c r="Q6621" i="1"/>
  <c r="R6621" i="1"/>
  <c r="J6972" i="1"/>
  <c r="Q6972" i="1"/>
  <c r="R6972" i="1"/>
  <c r="J1501" i="1"/>
  <c r="Q1501" i="1"/>
  <c r="R1501" i="1"/>
  <c r="J7954" i="1"/>
  <c r="Q7954" i="1"/>
  <c r="R7954" i="1"/>
  <c r="J6973" i="1"/>
  <c r="Q6973" i="1"/>
  <c r="R6973" i="1"/>
  <c r="J6974" i="1"/>
  <c r="Q6974" i="1"/>
  <c r="R6974" i="1"/>
  <c r="J7955" i="1"/>
  <c r="Q7955" i="1"/>
  <c r="R7955" i="1"/>
  <c r="J6975" i="1"/>
  <c r="Q6975" i="1"/>
  <c r="R6975" i="1"/>
  <c r="J7956" i="1"/>
  <c r="Q7956" i="1"/>
  <c r="R7956" i="1"/>
  <c r="J7957" i="1"/>
  <c r="Q7957" i="1"/>
  <c r="R7957" i="1"/>
  <c r="J7958" i="1"/>
  <c r="Q7958" i="1"/>
  <c r="R7958" i="1"/>
  <c r="J7959" i="1"/>
  <c r="Q7959" i="1"/>
  <c r="R7959" i="1"/>
  <c r="J7960" i="1"/>
  <c r="Q7960" i="1"/>
  <c r="R7960" i="1"/>
  <c r="J7961" i="1"/>
  <c r="Q7961" i="1"/>
  <c r="R7961" i="1"/>
  <c r="J7962" i="1"/>
  <c r="Q7962" i="1"/>
  <c r="R7962" i="1"/>
  <c r="J7963" i="1"/>
  <c r="Q7963" i="1"/>
  <c r="R7963" i="1"/>
  <c r="J7964" i="1"/>
  <c r="Q7964" i="1"/>
  <c r="R7964" i="1"/>
  <c r="J7965" i="1"/>
  <c r="Q7965" i="1"/>
  <c r="R7965" i="1"/>
  <c r="J7966" i="1"/>
  <c r="Q7966" i="1"/>
  <c r="R7966" i="1"/>
  <c r="J7967" i="1"/>
  <c r="Q7967" i="1"/>
  <c r="R7967" i="1"/>
  <c r="J7968" i="1"/>
  <c r="Q7968" i="1"/>
  <c r="R7968" i="1"/>
  <c r="J1502" i="1"/>
  <c r="Q1502" i="1"/>
  <c r="R1502" i="1"/>
  <c r="J1503" i="1"/>
  <c r="Q1503" i="1"/>
  <c r="R1503" i="1"/>
  <c r="J1504" i="1"/>
  <c r="Q1504" i="1"/>
  <c r="R1504" i="1"/>
  <c r="J1505" i="1"/>
  <c r="Q1505" i="1"/>
  <c r="R1505" i="1"/>
  <c r="J1506" i="1"/>
  <c r="Q1506" i="1"/>
  <c r="R1506" i="1"/>
  <c r="J1507" i="1"/>
  <c r="Q1507" i="1"/>
  <c r="R1507" i="1"/>
  <c r="J1508" i="1"/>
  <c r="Q1508" i="1"/>
  <c r="R1508" i="1"/>
  <c r="J1509" i="1"/>
  <c r="Q1509" i="1"/>
  <c r="R1509" i="1"/>
  <c r="J1510" i="1"/>
  <c r="Q1510" i="1"/>
  <c r="R1510" i="1"/>
  <c r="J1511" i="1"/>
  <c r="Q1511" i="1"/>
  <c r="R1511" i="1"/>
  <c r="J1512" i="1"/>
  <c r="Q1512" i="1"/>
  <c r="R1512" i="1"/>
  <c r="J1513" i="1"/>
  <c r="Q1513" i="1"/>
  <c r="R1513" i="1"/>
  <c r="J1514" i="1"/>
  <c r="Q1514" i="1"/>
  <c r="R1514" i="1"/>
  <c r="J1515" i="1"/>
  <c r="Q1515" i="1"/>
  <c r="R1515" i="1"/>
  <c r="J1516" i="1"/>
  <c r="Q1516" i="1"/>
  <c r="R1516" i="1"/>
  <c r="J1517" i="1"/>
  <c r="Q1517" i="1"/>
  <c r="R1517" i="1"/>
  <c r="J6976" i="1"/>
  <c r="Q6976" i="1"/>
  <c r="R6976" i="1"/>
  <c r="J1518" i="1"/>
  <c r="Q1518" i="1"/>
  <c r="R1518" i="1"/>
  <c r="J1519" i="1"/>
  <c r="Q1519" i="1"/>
  <c r="R1519" i="1"/>
  <c r="J1520" i="1"/>
  <c r="Q1520" i="1"/>
  <c r="R1520" i="1"/>
  <c r="J1521" i="1"/>
  <c r="Q1521" i="1"/>
  <c r="R1521" i="1"/>
  <c r="J1522" i="1"/>
  <c r="Q1522" i="1"/>
  <c r="R1522" i="1"/>
  <c r="J13593" i="1"/>
  <c r="Q13593" i="1"/>
  <c r="R13593" i="1"/>
  <c r="J1523" i="1"/>
  <c r="Q1523" i="1"/>
  <c r="R1523" i="1"/>
  <c r="J1524" i="1"/>
  <c r="Q1524" i="1"/>
  <c r="R1524" i="1"/>
  <c r="J1525" i="1"/>
  <c r="Q1525" i="1"/>
  <c r="R1525" i="1"/>
  <c r="J1526" i="1"/>
  <c r="Q1526" i="1"/>
  <c r="R1526" i="1"/>
  <c r="J1527" i="1"/>
  <c r="Q1527" i="1"/>
  <c r="R1527" i="1"/>
  <c r="J1528" i="1"/>
  <c r="Q1528" i="1"/>
  <c r="R1528" i="1"/>
  <c r="J1529" i="1"/>
  <c r="Q1529" i="1"/>
  <c r="R1529" i="1"/>
  <c r="J13594" i="1"/>
  <c r="Q13594" i="1"/>
  <c r="R13594" i="1"/>
  <c r="J1530" i="1"/>
  <c r="Q1530" i="1"/>
  <c r="R1530" i="1"/>
  <c r="J1531" i="1"/>
  <c r="Q1531" i="1"/>
  <c r="R1531" i="1"/>
  <c r="J1532" i="1"/>
  <c r="Q1532" i="1"/>
  <c r="R1532" i="1"/>
  <c r="J1533" i="1"/>
  <c r="Q1533" i="1"/>
  <c r="R1533" i="1"/>
  <c r="J1534" i="1"/>
  <c r="Q1534" i="1"/>
  <c r="R1534" i="1"/>
  <c r="J1535" i="1"/>
  <c r="Q1535" i="1"/>
  <c r="R1535" i="1"/>
  <c r="J1536" i="1"/>
  <c r="Q1536" i="1"/>
  <c r="R1536" i="1"/>
  <c r="J1537" i="1"/>
  <c r="Q1537" i="1"/>
  <c r="R1537" i="1"/>
  <c r="J7969" i="1"/>
  <c r="Q7969" i="1"/>
  <c r="R7969" i="1"/>
  <c r="J1538" i="1"/>
  <c r="Q1538" i="1"/>
  <c r="R1538" i="1"/>
  <c r="J1539" i="1"/>
  <c r="Q1539" i="1"/>
  <c r="R1539" i="1"/>
  <c r="J6977" i="1"/>
  <c r="Q6977" i="1"/>
  <c r="R6977" i="1"/>
  <c r="J6978" i="1"/>
  <c r="Q6978" i="1"/>
  <c r="R6978" i="1"/>
  <c r="J1540" i="1"/>
  <c r="Q1540" i="1"/>
  <c r="R1540" i="1"/>
  <c r="J6979" i="1"/>
  <c r="Q6979" i="1"/>
  <c r="R6979" i="1"/>
  <c r="J6980" i="1"/>
  <c r="Q6980" i="1"/>
  <c r="R6980" i="1"/>
  <c r="J6981" i="1"/>
  <c r="Q6981" i="1"/>
  <c r="R6981" i="1"/>
  <c r="J1541" i="1"/>
  <c r="Q1541" i="1"/>
  <c r="R1541" i="1"/>
  <c r="J6622" i="1"/>
  <c r="Q6622" i="1"/>
  <c r="R6622" i="1"/>
  <c r="J1542" i="1"/>
  <c r="Q1542" i="1"/>
  <c r="R1542" i="1"/>
  <c r="J1543" i="1"/>
  <c r="Q1543" i="1"/>
  <c r="R1543" i="1"/>
  <c r="J6982" i="1"/>
  <c r="Q6982" i="1"/>
  <c r="R6982" i="1"/>
  <c r="J6623" i="1"/>
  <c r="Q6623" i="1"/>
  <c r="R6623" i="1"/>
  <c r="J1544" i="1"/>
  <c r="Q1544" i="1"/>
  <c r="R1544" i="1"/>
  <c r="J7970" i="1"/>
  <c r="Q7970" i="1"/>
  <c r="R7970" i="1"/>
  <c r="J1545" i="1"/>
  <c r="Q1545" i="1"/>
  <c r="R1545" i="1"/>
  <c r="J1546" i="1"/>
  <c r="Q1546" i="1"/>
  <c r="R1546" i="1"/>
  <c r="J1547" i="1"/>
  <c r="Q1547" i="1"/>
  <c r="R1547" i="1"/>
  <c r="J7971" i="1"/>
  <c r="Q7971" i="1"/>
  <c r="R7971" i="1"/>
  <c r="J1548" i="1"/>
  <c r="Q1548" i="1"/>
  <c r="R1548" i="1"/>
  <c r="J1549" i="1"/>
  <c r="Q1549" i="1"/>
  <c r="R1549" i="1"/>
  <c r="J6983" i="1"/>
  <c r="Q6983" i="1"/>
  <c r="R6983" i="1"/>
  <c r="J6984" i="1"/>
  <c r="Q6984" i="1"/>
  <c r="R6984" i="1"/>
  <c r="J1550" i="1"/>
  <c r="Q1550" i="1"/>
  <c r="R1550" i="1"/>
  <c r="J6624" i="1"/>
  <c r="Q6624" i="1"/>
  <c r="R6624" i="1"/>
  <c r="J6985" i="1"/>
  <c r="Q6985" i="1"/>
  <c r="R6985" i="1"/>
  <c r="J6986" i="1"/>
  <c r="Q6986" i="1"/>
  <c r="R6986" i="1"/>
  <c r="J6987" i="1"/>
  <c r="Q6987" i="1"/>
  <c r="R6987" i="1"/>
  <c r="J6988" i="1"/>
  <c r="Q6988" i="1"/>
  <c r="R6988" i="1"/>
  <c r="J1551" i="1"/>
  <c r="Q1551" i="1"/>
  <c r="R1551" i="1"/>
  <c r="J6989" i="1"/>
  <c r="Q6989" i="1"/>
  <c r="R6989" i="1"/>
  <c r="J6990" i="1"/>
  <c r="Q6990" i="1"/>
  <c r="R6990" i="1"/>
  <c r="J6991" i="1"/>
  <c r="Q6991" i="1"/>
  <c r="R6991" i="1"/>
  <c r="J6992" i="1"/>
  <c r="Q6992" i="1"/>
  <c r="R6992" i="1"/>
  <c r="J6993" i="1"/>
  <c r="Q6993" i="1"/>
  <c r="R6993" i="1"/>
  <c r="J7972" i="1"/>
  <c r="Q7972" i="1"/>
  <c r="R7972" i="1"/>
  <c r="J7973" i="1"/>
  <c r="Q7973" i="1"/>
  <c r="R7973" i="1"/>
  <c r="J7974" i="1"/>
  <c r="Q7974" i="1"/>
  <c r="R7974" i="1"/>
  <c r="J7975" i="1"/>
  <c r="Q7975" i="1"/>
  <c r="R7975" i="1"/>
  <c r="J7976" i="1"/>
  <c r="Q7976" i="1"/>
  <c r="R7976" i="1"/>
  <c r="J7977" i="1"/>
  <c r="Q7977" i="1"/>
  <c r="R7977" i="1"/>
  <c r="J1552" i="1"/>
  <c r="Q1552" i="1"/>
  <c r="R1552" i="1"/>
  <c r="J13595" i="1"/>
  <c r="Q13595" i="1"/>
  <c r="R13595" i="1"/>
  <c r="J1553" i="1"/>
  <c r="Q1553" i="1"/>
  <c r="R1553" i="1"/>
  <c r="J1554" i="1"/>
  <c r="Q1554" i="1"/>
  <c r="R1554" i="1"/>
  <c r="J1555" i="1"/>
  <c r="Q1555" i="1"/>
  <c r="R1555" i="1"/>
  <c r="J1556" i="1"/>
  <c r="Q1556" i="1"/>
  <c r="R1556" i="1"/>
  <c r="J1557" i="1"/>
  <c r="Q1557" i="1"/>
  <c r="R1557" i="1"/>
  <c r="J1558" i="1"/>
  <c r="Q1558" i="1"/>
  <c r="R1558" i="1"/>
  <c r="J1559" i="1"/>
  <c r="Q1559" i="1"/>
  <c r="R1559" i="1"/>
  <c r="J1560" i="1"/>
  <c r="Q1560" i="1"/>
  <c r="R1560" i="1"/>
  <c r="J1561" i="1"/>
  <c r="Q1561" i="1"/>
  <c r="R1561" i="1"/>
  <c r="J1562" i="1"/>
  <c r="Q1562" i="1"/>
  <c r="R1562" i="1"/>
  <c r="J1563" i="1"/>
  <c r="Q1563" i="1"/>
  <c r="R1563" i="1"/>
  <c r="J1564" i="1"/>
  <c r="Q1564" i="1"/>
  <c r="R1564" i="1"/>
  <c r="J1565" i="1"/>
  <c r="Q1565" i="1"/>
  <c r="R1565" i="1"/>
  <c r="J1566" i="1"/>
  <c r="Q1566" i="1"/>
  <c r="R1566" i="1"/>
  <c r="J1567" i="1"/>
  <c r="Q1567" i="1"/>
  <c r="R1567" i="1"/>
  <c r="J1568" i="1"/>
  <c r="Q1568" i="1"/>
  <c r="R1568" i="1"/>
  <c r="J1569" i="1"/>
  <c r="Q1569" i="1"/>
  <c r="R1569" i="1"/>
  <c r="J1570" i="1"/>
  <c r="Q1570" i="1"/>
  <c r="R1570" i="1"/>
  <c r="J1571" i="1"/>
  <c r="Q1571" i="1"/>
  <c r="R1571" i="1"/>
  <c r="J1572" i="1"/>
  <c r="Q1572" i="1"/>
  <c r="R1572" i="1"/>
  <c r="J1573" i="1"/>
  <c r="Q1573" i="1"/>
  <c r="R1573" i="1"/>
  <c r="J7978" i="1"/>
  <c r="Q7978" i="1"/>
  <c r="R7978" i="1"/>
  <c r="J1574" i="1"/>
  <c r="Q1574" i="1"/>
  <c r="R1574" i="1"/>
  <c r="J1575" i="1"/>
  <c r="Q1575" i="1"/>
  <c r="R1575" i="1"/>
  <c r="J7979" i="1"/>
  <c r="Q7979" i="1"/>
  <c r="R7979" i="1"/>
  <c r="J1576" i="1"/>
  <c r="Q1576" i="1"/>
  <c r="R1576" i="1"/>
  <c r="J1577" i="1"/>
  <c r="Q1577" i="1"/>
  <c r="R1577" i="1"/>
  <c r="J1578" i="1"/>
  <c r="Q1578" i="1"/>
  <c r="R1578" i="1"/>
  <c r="J6625" i="1"/>
  <c r="Q6625" i="1"/>
  <c r="R6625" i="1"/>
  <c r="J6994" i="1"/>
  <c r="Q6994" i="1"/>
  <c r="R6994" i="1"/>
  <c r="J1579" i="1"/>
  <c r="Q1579" i="1"/>
  <c r="R1579" i="1"/>
  <c r="J7980" i="1"/>
  <c r="Q7980" i="1"/>
  <c r="R7980" i="1"/>
  <c r="J1580" i="1"/>
  <c r="Q1580" i="1"/>
  <c r="R1580" i="1"/>
  <c r="J1581" i="1"/>
  <c r="Q1581" i="1"/>
  <c r="R1581" i="1"/>
  <c r="J1582" i="1"/>
  <c r="Q1582" i="1"/>
  <c r="R1582" i="1"/>
  <c r="J13596" i="1"/>
  <c r="Q13596" i="1"/>
  <c r="R13596" i="1"/>
  <c r="J1583" i="1"/>
  <c r="Q1583" i="1"/>
  <c r="R1583" i="1"/>
  <c r="J6995" i="1"/>
  <c r="Q6995" i="1"/>
  <c r="R6995" i="1"/>
  <c r="J6996" i="1"/>
  <c r="Q6996" i="1"/>
  <c r="R6996" i="1"/>
  <c r="J6626" i="1"/>
  <c r="Q6626" i="1"/>
  <c r="R6626" i="1"/>
  <c r="J1584" i="1"/>
  <c r="Q1584" i="1"/>
  <c r="R1584" i="1"/>
  <c r="J1585" i="1"/>
  <c r="Q1585" i="1"/>
  <c r="R1585" i="1"/>
  <c r="J6997" i="1"/>
  <c r="Q6997" i="1"/>
  <c r="R6997" i="1"/>
  <c r="J13597" i="1"/>
  <c r="Q13597" i="1"/>
  <c r="R13597" i="1"/>
  <c r="J7981" i="1"/>
  <c r="Q7981" i="1"/>
  <c r="R7981" i="1"/>
  <c r="J5754" i="1"/>
  <c r="Q5754" i="1"/>
  <c r="R5754" i="1"/>
  <c r="J5755" i="1"/>
  <c r="Q5755" i="1"/>
  <c r="R5755" i="1"/>
  <c r="J12615" i="1"/>
  <c r="Q12615" i="1"/>
  <c r="R12615" i="1"/>
  <c r="J5756" i="1"/>
  <c r="Q5756" i="1"/>
  <c r="R5756" i="1"/>
  <c r="J12616" i="1"/>
  <c r="Q12616" i="1"/>
  <c r="R12616" i="1"/>
  <c r="J5757" i="1"/>
  <c r="Q5757" i="1"/>
  <c r="R5757" i="1"/>
  <c r="J5758" i="1"/>
  <c r="Q5758" i="1"/>
  <c r="R5758" i="1"/>
  <c r="J12617" i="1"/>
  <c r="Q12617" i="1"/>
  <c r="R12617" i="1"/>
  <c r="J5759" i="1"/>
  <c r="Q5759" i="1"/>
  <c r="R5759" i="1"/>
  <c r="J5760" i="1"/>
  <c r="Q5760" i="1"/>
  <c r="R5760" i="1"/>
  <c r="J12618" i="1"/>
  <c r="Q12618" i="1"/>
  <c r="R12618" i="1"/>
  <c r="J5761" i="1"/>
  <c r="Q5761" i="1"/>
  <c r="R5761" i="1"/>
  <c r="J5762" i="1"/>
  <c r="Q5762" i="1"/>
  <c r="R5762" i="1"/>
  <c r="J5763" i="1"/>
  <c r="Q5763" i="1"/>
  <c r="R5763" i="1"/>
  <c r="J12619" i="1"/>
  <c r="Q12619" i="1"/>
  <c r="R12619" i="1"/>
  <c r="J5764" i="1"/>
  <c r="Q5764" i="1"/>
  <c r="R5764" i="1"/>
  <c r="J5765" i="1"/>
  <c r="Q5765" i="1"/>
  <c r="R5765" i="1"/>
  <c r="J5766" i="1"/>
  <c r="Q5766" i="1"/>
  <c r="R5766" i="1"/>
  <c r="J5767" i="1"/>
  <c r="Q5767" i="1"/>
  <c r="R5767" i="1"/>
  <c r="J5768" i="1"/>
  <c r="Q5768" i="1"/>
  <c r="R5768" i="1"/>
  <c r="J12620" i="1"/>
  <c r="Q12620" i="1"/>
  <c r="R12620" i="1"/>
  <c r="J12621" i="1"/>
  <c r="Q12621" i="1"/>
  <c r="R12621" i="1"/>
  <c r="J5769" i="1"/>
  <c r="Q5769" i="1"/>
  <c r="R5769" i="1"/>
  <c r="J12622" i="1"/>
  <c r="Q12622" i="1"/>
  <c r="R12622" i="1"/>
  <c r="J5770" i="1"/>
  <c r="Q5770" i="1"/>
  <c r="R5770" i="1"/>
  <c r="J12623" i="1"/>
  <c r="Q12623" i="1"/>
  <c r="R12623" i="1"/>
  <c r="J5771" i="1"/>
  <c r="Q5771" i="1"/>
  <c r="R5771" i="1"/>
  <c r="J5772" i="1"/>
  <c r="Q5772" i="1"/>
  <c r="R5772" i="1"/>
  <c r="J12624" i="1"/>
  <c r="Q12624" i="1"/>
  <c r="R12624" i="1"/>
  <c r="J12625" i="1"/>
  <c r="Q12625" i="1"/>
  <c r="R12625" i="1"/>
  <c r="J12626" i="1"/>
  <c r="Q12626" i="1"/>
  <c r="R12626" i="1"/>
  <c r="J5773" i="1"/>
  <c r="Q5773" i="1"/>
  <c r="R5773" i="1"/>
  <c r="J5774" i="1"/>
  <c r="Q5774" i="1"/>
  <c r="R5774" i="1"/>
  <c r="J12627" i="1"/>
  <c r="Q12627" i="1"/>
  <c r="R12627" i="1"/>
  <c r="J12628" i="1"/>
  <c r="Q12628" i="1"/>
  <c r="R12628" i="1"/>
  <c r="J12629" i="1"/>
  <c r="Q12629" i="1"/>
  <c r="R12629" i="1"/>
  <c r="J12630" i="1"/>
  <c r="Q12630" i="1"/>
  <c r="R12630" i="1"/>
  <c r="J12631" i="1"/>
  <c r="Q12631" i="1"/>
  <c r="R12631" i="1"/>
  <c r="J12632" i="1"/>
  <c r="Q12632" i="1"/>
  <c r="R12632" i="1"/>
  <c r="J12633" i="1"/>
  <c r="Q12633" i="1"/>
  <c r="R12633" i="1"/>
  <c r="J12634" i="1"/>
  <c r="Q12634" i="1"/>
  <c r="R12634" i="1"/>
  <c r="J12635" i="1"/>
  <c r="Q12635" i="1"/>
  <c r="R12635" i="1"/>
  <c r="J12636" i="1"/>
  <c r="Q12636" i="1"/>
  <c r="R12636" i="1"/>
  <c r="J12637" i="1"/>
  <c r="Q12637" i="1"/>
  <c r="R12637" i="1"/>
  <c r="J12638" i="1"/>
  <c r="Q12638" i="1"/>
  <c r="R12638" i="1"/>
  <c r="J12639" i="1"/>
  <c r="Q12639" i="1"/>
  <c r="R12639" i="1"/>
  <c r="J5775" i="1"/>
  <c r="Q5775" i="1"/>
  <c r="R5775" i="1"/>
  <c r="J12640" i="1"/>
  <c r="Q12640" i="1"/>
  <c r="R12640" i="1"/>
  <c r="J12641" i="1"/>
  <c r="Q12641" i="1"/>
  <c r="R12641" i="1"/>
  <c r="J12642" i="1"/>
  <c r="Q12642" i="1"/>
  <c r="R12642" i="1"/>
  <c r="J12643" i="1"/>
  <c r="Q12643" i="1"/>
  <c r="R12643" i="1"/>
  <c r="J12644" i="1"/>
  <c r="Q12644" i="1"/>
  <c r="R12644" i="1"/>
  <c r="J12645" i="1"/>
  <c r="Q12645" i="1"/>
  <c r="R12645" i="1"/>
  <c r="J12646" i="1"/>
  <c r="Q12646" i="1"/>
  <c r="R12646" i="1"/>
  <c r="J12647" i="1"/>
  <c r="Q12647" i="1"/>
  <c r="R12647" i="1"/>
  <c r="J12648" i="1"/>
  <c r="Q12648" i="1"/>
  <c r="R12648" i="1"/>
  <c r="J12649" i="1"/>
  <c r="Q12649" i="1"/>
  <c r="R12649" i="1"/>
  <c r="J12650" i="1"/>
  <c r="Q12650" i="1"/>
  <c r="R12650" i="1"/>
  <c r="J12651" i="1"/>
  <c r="Q12651" i="1"/>
  <c r="R12651" i="1"/>
  <c r="J12652" i="1"/>
  <c r="Q12652" i="1"/>
  <c r="R12652" i="1"/>
  <c r="J12653" i="1"/>
  <c r="Q12653" i="1"/>
  <c r="R12653" i="1"/>
  <c r="J12654" i="1"/>
  <c r="Q12654" i="1"/>
  <c r="R12654" i="1"/>
  <c r="J12655" i="1"/>
  <c r="Q12655" i="1"/>
  <c r="R12655" i="1"/>
  <c r="J12656" i="1"/>
  <c r="Q12656" i="1"/>
  <c r="R12656" i="1"/>
  <c r="J5776" i="1"/>
  <c r="Q5776" i="1"/>
  <c r="R5776" i="1"/>
  <c r="J12657" i="1"/>
  <c r="Q12657" i="1"/>
  <c r="R12657" i="1"/>
  <c r="J12658" i="1"/>
  <c r="Q12658" i="1"/>
  <c r="R12658" i="1"/>
  <c r="J12659" i="1"/>
  <c r="Q12659" i="1"/>
  <c r="R12659" i="1"/>
  <c r="J12660" i="1"/>
  <c r="Q12660" i="1"/>
  <c r="R12660" i="1"/>
  <c r="J5777" i="1"/>
  <c r="Q5777" i="1"/>
  <c r="R5777" i="1"/>
  <c r="J5778" i="1"/>
  <c r="Q5778" i="1"/>
  <c r="R5778" i="1"/>
  <c r="J12661" i="1"/>
  <c r="Q12661" i="1"/>
  <c r="R12661" i="1"/>
  <c r="J12662" i="1"/>
  <c r="Q12662" i="1"/>
  <c r="R12662" i="1"/>
  <c r="J5779" i="1"/>
  <c r="Q5779" i="1"/>
  <c r="R5779" i="1"/>
  <c r="J12663" i="1"/>
  <c r="Q12663" i="1"/>
  <c r="R12663" i="1"/>
  <c r="J12664" i="1"/>
  <c r="Q12664" i="1"/>
  <c r="R12664" i="1"/>
  <c r="J12665" i="1"/>
  <c r="Q12665" i="1"/>
  <c r="R12665" i="1"/>
  <c r="J12666" i="1"/>
  <c r="Q12666" i="1"/>
  <c r="R12666" i="1"/>
  <c r="J12667" i="1"/>
  <c r="Q12667" i="1"/>
  <c r="R12667" i="1"/>
  <c r="J12668" i="1"/>
  <c r="Q12668" i="1"/>
  <c r="R12668" i="1"/>
  <c r="J5780" i="1"/>
  <c r="Q5780" i="1"/>
  <c r="R5780" i="1"/>
  <c r="J5781" i="1"/>
  <c r="Q5781" i="1"/>
  <c r="R5781" i="1"/>
  <c r="J12669" i="1"/>
  <c r="Q12669" i="1"/>
  <c r="R12669" i="1"/>
  <c r="J12670" i="1"/>
  <c r="Q12670" i="1"/>
  <c r="R12670" i="1"/>
  <c r="J5782" i="1"/>
  <c r="Q5782" i="1"/>
  <c r="R5782" i="1"/>
  <c r="J12671" i="1"/>
  <c r="Q12671" i="1"/>
  <c r="R12671" i="1"/>
  <c r="J12672" i="1"/>
  <c r="Q12672" i="1"/>
  <c r="R12672" i="1"/>
  <c r="J12673" i="1"/>
  <c r="Q12673" i="1"/>
  <c r="R12673" i="1"/>
  <c r="J5783" i="1"/>
  <c r="Q5783" i="1"/>
  <c r="R5783" i="1"/>
  <c r="J12674" i="1"/>
  <c r="Q12674" i="1"/>
  <c r="R12674" i="1"/>
  <c r="J12675" i="1"/>
  <c r="Q12675" i="1"/>
  <c r="R12675" i="1"/>
  <c r="J12676" i="1"/>
  <c r="Q12676" i="1"/>
  <c r="R12676" i="1"/>
  <c r="J12677" i="1"/>
  <c r="Q12677" i="1"/>
  <c r="R12677" i="1"/>
  <c r="J5784" i="1"/>
  <c r="Q5784" i="1"/>
  <c r="R5784" i="1"/>
  <c r="J5785" i="1"/>
  <c r="Q5785" i="1"/>
  <c r="R5785" i="1"/>
  <c r="J5786" i="1"/>
  <c r="Q5786" i="1"/>
  <c r="R5786" i="1"/>
  <c r="J5787" i="1"/>
  <c r="Q5787" i="1"/>
  <c r="R5787" i="1"/>
  <c r="J5788" i="1"/>
  <c r="Q5788" i="1"/>
  <c r="R5788" i="1"/>
  <c r="J5789" i="1"/>
  <c r="Q5789" i="1"/>
  <c r="R5789" i="1"/>
  <c r="J5790" i="1"/>
  <c r="Q5790" i="1"/>
  <c r="R5790" i="1"/>
  <c r="J5791" i="1"/>
  <c r="Q5791" i="1"/>
  <c r="R5791" i="1"/>
  <c r="J5792" i="1"/>
  <c r="Q5792" i="1"/>
  <c r="R5792" i="1"/>
  <c r="J5793" i="1"/>
  <c r="Q5793" i="1"/>
  <c r="R5793" i="1"/>
  <c r="J5794" i="1"/>
  <c r="Q5794" i="1"/>
  <c r="R5794" i="1"/>
  <c r="J12678" i="1"/>
  <c r="Q12678" i="1"/>
  <c r="R12678" i="1"/>
  <c r="J12679" i="1"/>
  <c r="Q12679" i="1"/>
  <c r="R12679" i="1"/>
  <c r="J12680" i="1"/>
  <c r="Q12680" i="1"/>
  <c r="R12680" i="1"/>
  <c r="J12681" i="1"/>
  <c r="Q12681" i="1"/>
  <c r="R12681" i="1"/>
  <c r="J12682" i="1"/>
  <c r="Q12682" i="1"/>
  <c r="R12682" i="1"/>
  <c r="J5795" i="1"/>
  <c r="Q5795" i="1"/>
  <c r="R5795" i="1"/>
  <c r="J12683" i="1"/>
  <c r="Q12683" i="1"/>
  <c r="R12683" i="1"/>
  <c r="J5796" i="1"/>
  <c r="Q5796" i="1"/>
  <c r="R5796" i="1"/>
  <c r="J5797" i="1"/>
  <c r="Q5797" i="1"/>
  <c r="R5797" i="1"/>
  <c r="J5798" i="1"/>
  <c r="Q5798" i="1"/>
  <c r="R5798" i="1"/>
  <c r="J5799" i="1"/>
  <c r="Q5799" i="1"/>
  <c r="R5799" i="1"/>
  <c r="J12684" i="1"/>
  <c r="Q12684" i="1"/>
  <c r="R12684" i="1"/>
  <c r="J5800" i="1"/>
  <c r="Q5800" i="1"/>
  <c r="R5800" i="1"/>
  <c r="J5801" i="1"/>
  <c r="Q5801" i="1"/>
  <c r="R5801" i="1"/>
  <c r="J5802" i="1"/>
  <c r="Q5802" i="1"/>
  <c r="R5802" i="1"/>
  <c r="J12685" i="1"/>
  <c r="Q12685" i="1"/>
  <c r="R12685" i="1"/>
  <c r="J5803" i="1"/>
  <c r="Q5803" i="1"/>
  <c r="R5803" i="1"/>
  <c r="J5804" i="1"/>
  <c r="Q5804" i="1"/>
  <c r="R5804" i="1"/>
  <c r="J12686" i="1"/>
  <c r="Q12686" i="1"/>
  <c r="R12686" i="1"/>
  <c r="J12687" i="1"/>
  <c r="Q12687" i="1"/>
  <c r="R12687" i="1"/>
  <c r="J12688" i="1"/>
  <c r="Q12688" i="1"/>
  <c r="R12688" i="1"/>
  <c r="J12689" i="1"/>
  <c r="Q12689" i="1"/>
  <c r="R12689" i="1"/>
  <c r="J12690" i="1"/>
  <c r="Q12690" i="1"/>
  <c r="R12690" i="1"/>
  <c r="J5805" i="1"/>
  <c r="Q5805" i="1"/>
  <c r="R5805" i="1"/>
  <c r="J12691" i="1"/>
  <c r="Q12691" i="1"/>
  <c r="R12691" i="1"/>
  <c r="J5806" i="1"/>
  <c r="Q5806" i="1"/>
  <c r="R5806" i="1"/>
  <c r="J5807" i="1"/>
  <c r="Q5807" i="1"/>
  <c r="R5807" i="1"/>
  <c r="J12692" i="1"/>
  <c r="Q12692" i="1"/>
  <c r="R12692" i="1"/>
  <c r="J5808" i="1"/>
  <c r="Q5808" i="1"/>
  <c r="R5808" i="1"/>
  <c r="J5809" i="1"/>
  <c r="Q5809" i="1"/>
  <c r="R5809" i="1"/>
  <c r="J5810" i="1"/>
  <c r="Q5810" i="1"/>
  <c r="R5810" i="1"/>
  <c r="J5811" i="1"/>
  <c r="Q5811" i="1"/>
  <c r="R5811" i="1"/>
  <c r="J5812" i="1"/>
  <c r="Q5812" i="1"/>
  <c r="R5812" i="1"/>
  <c r="J5813" i="1"/>
  <c r="Q5813" i="1"/>
  <c r="R5813" i="1"/>
  <c r="J5814" i="1"/>
  <c r="Q5814" i="1"/>
  <c r="R5814" i="1"/>
  <c r="J12693" i="1"/>
  <c r="Q12693" i="1"/>
  <c r="R12693" i="1"/>
  <c r="J12694" i="1"/>
  <c r="Q12694" i="1"/>
  <c r="R12694" i="1"/>
  <c r="J12695" i="1"/>
  <c r="Q12695" i="1"/>
  <c r="R12695" i="1"/>
  <c r="J12696" i="1"/>
  <c r="Q12696" i="1"/>
  <c r="R12696" i="1"/>
  <c r="J12697" i="1"/>
  <c r="Q12697" i="1"/>
  <c r="R12697" i="1"/>
  <c r="J5815" i="1"/>
  <c r="Q5815" i="1"/>
  <c r="R5815" i="1"/>
  <c r="J5816" i="1"/>
  <c r="Q5816" i="1"/>
  <c r="R5816" i="1"/>
  <c r="J12698" i="1"/>
  <c r="Q12698" i="1"/>
  <c r="R12698" i="1"/>
  <c r="J12699" i="1"/>
  <c r="Q12699" i="1"/>
  <c r="R12699" i="1"/>
  <c r="J5817" i="1"/>
  <c r="Q5817" i="1"/>
  <c r="R5817" i="1"/>
  <c r="J5818" i="1"/>
  <c r="Q5818" i="1"/>
  <c r="R5818" i="1"/>
  <c r="J12700" i="1"/>
  <c r="Q12700" i="1"/>
  <c r="R12700" i="1"/>
  <c r="J5819" i="1"/>
  <c r="Q5819" i="1"/>
  <c r="R5819" i="1"/>
  <c r="J5820" i="1"/>
  <c r="Q5820" i="1"/>
  <c r="R5820" i="1"/>
  <c r="J5821" i="1"/>
  <c r="Q5821" i="1"/>
  <c r="R5821" i="1"/>
  <c r="J5822" i="1"/>
  <c r="Q5822" i="1"/>
  <c r="R5822" i="1"/>
  <c r="J5823" i="1"/>
  <c r="Q5823" i="1"/>
  <c r="R5823" i="1"/>
  <c r="J5824" i="1"/>
  <c r="Q5824" i="1"/>
  <c r="R5824" i="1"/>
  <c r="J5825" i="1"/>
  <c r="Q5825" i="1"/>
  <c r="R5825" i="1"/>
  <c r="J5826" i="1"/>
  <c r="Q5826" i="1"/>
  <c r="R5826" i="1"/>
  <c r="J5827" i="1"/>
  <c r="Q5827" i="1"/>
  <c r="R5827" i="1"/>
  <c r="J12701" i="1"/>
  <c r="Q12701" i="1"/>
  <c r="R12701" i="1"/>
  <c r="J5828" i="1"/>
  <c r="Q5828" i="1"/>
  <c r="R5828" i="1"/>
  <c r="J5829" i="1"/>
  <c r="Q5829" i="1"/>
  <c r="R5829" i="1"/>
  <c r="J5830" i="1"/>
  <c r="Q5830" i="1"/>
  <c r="R5830" i="1"/>
  <c r="J5831" i="1"/>
  <c r="Q5831" i="1"/>
  <c r="R5831" i="1"/>
  <c r="J5832" i="1"/>
  <c r="Q5832" i="1"/>
  <c r="R5832" i="1"/>
  <c r="J5833" i="1"/>
  <c r="Q5833" i="1"/>
  <c r="R5833" i="1"/>
  <c r="J5834" i="1"/>
  <c r="Q5834" i="1"/>
  <c r="R5834" i="1"/>
  <c r="J5835" i="1"/>
  <c r="Q5835" i="1"/>
  <c r="R5835" i="1"/>
  <c r="J5836" i="1"/>
  <c r="Q5836" i="1"/>
  <c r="R5836" i="1"/>
  <c r="J5837" i="1"/>
  <c r="Q5837" i="1"/>
  <c r="R5837" i="1"/>
  <c r="J5838" i="1"/>
  <c r="Q5838" i="1"/>
  <c r="R5838" i="1"/>
  <c r="J5839" i="1"/>
  <c r="Q5839" i="1"/>
  <c r="R5839" i="1"/>
  <c r="J5840" i="1"/>
  <c r="Q5840" i="1"/>
  <c r="R5840" i="1"/>
  <c r="J5841" i="1"/>
  <c r="Q5841" i="1"/>
  <c r="R5841" i="1"/>
  <c r="J5842" i="1"/>
  <c r="Q5842" i="1"/>
  <c r="R5842" i="1"/>
  <c r="J5843" i="1"/>
  <c r="Q5843" i="1"/>
  <c r="R5843" i="1"/>
  <c r="J5844" i="1"/>
  <c r="Q5844" i="1"/>
  <c r="R5844" i="1"/>
  <c r="J12702" i="1"/>
  <c r="Q12702" i="1"/>
  <c r="R12702" i="1"/>
  <c r="J5845" i="1"/>
  <c r="Q5845" i="1"/>
  <c r="R5845" i="1"/>
  <c r="J5846" i="1"/>
  <c r="Q5846" i="1"/>
  <c r="R5846" i="1"/>
  <c r="J5847" i="1"/>
  <c r="Q5847" i="1"/>
  <c r="R5847" i="1"/>
  <c r="J5848" i="1"/>
  <c r="Q5848" i="1"/>
  <c r="R5848" i="1"/>
  <c r="J5849" i="1"/>
  <c r="Q5849" i="1"/>
  <c r="R5849" i="1"/>
  <c r="J12703" i="1"/>
  <c r="Q12703" i="1"/>
  <c r="R12703" i="1"/>
  <c r="J5850" i="1"/>
  <c r="Q5850" i="1"/>
  <c r="R5850" i="1"/>
  <c r="J5851" i="1"/>
  <c r="Q5851" i="1"/>
  <c r="R5851" i="1"/>
  <c r="J12704" i="1"/>
  <c r="Q12704" i="1"/>
  <c r="R12704" i="1"/>
  <c r="J5852" i="1"/>
  <c r="Q5852" i="1"/>
  <c r="R5852" i="1"/>
  <c r="J12705" i="1"/>
  <c r="Q12705" i="1"/>
  <c r="R12705" i="1"/>
  <c r="J12706" i="1"/>
  <c r="Q12706" i="1"/>
  <c r="R12706" i="1"/>
  <c r="J12707" i="1"/>
  <c r="Q12707" i="1"/>
  <c r="R12707" i="1"/>
  <c r="J12708" i="1"/>
  <c r="Q12708" i="1"/>
  <c r="R12708" i="1"/>
  <c r="J12709" i="1"/>
  <c r="Q12709" i="1"/>
  <c r="R12709" i="1"/>
  <c r="J12710" i="1"/>
  <c r="Q12710" i="1"/>
  <c r="R12710" i="1"/>
  <c r="J12711" i="1"/>
  <c r="Q12711" i="1"/>
  <c r="R12711" i="1"/>
  <c r="J12712" i="1"/>
  <c r="Q12712" i="1"/>
  <c r="R12712" i="1"/>
  <c r="J12713" i="1"/>
  <c r="Q12713" i="1"/>
  <c r="R12713" i="1"/>
  <c r="J12714" i="1"/>
  <c r="Q12714" i="1"/>
  <c r="R12714" i="1"/>
  <c r="J12715" i="1"/>
  <c r="Q12715" i="1"/>
  <c r="R12715" i="1"/>
  <c r="J12716" i="1"/>
  <c r="Q12716" i="1"/>
  <c r="R12716" i="1"/>
  <c r="J12717" i="1"/>
  <c r="Q12717" i="1"/>
  <c r="R12717" i="1"/>
  <c r="J12718" i="1"/>
  <c r="Q12718" i="1"/>
  <c r="R12718" i="1"/>
  <c r="J12719" i="1"/>
  <c r="Q12719" i="1"/>
  <c r="R12719" i="1"/>
  <c r="J12720" i="1"/>
  <c r="Q12720" i="1"/>
  <c r="R12720" i="1"/>
  <c r="J12721" i="1"/>
  <c r="Q12721" i="1"/>
  <c r="R12721" i="1"/>
  <c r="J12722" i="1"/>
  <c r="Q12722" i="1"/>
  <c r="R12722" i="1"/>
  <c r="J12723" i="1"/>
  <c r="Q12723" i="1"/>
  <c r="R12723" i="1"/>
  <c r="J12724" i="1"/>
  <c r="Q12724" i="1"/>
  <c r="R12724" i="1"/>
  <c r="J12725" i="1"/>
  <c r="Q12725" i="1"/>
  <c r="R12725" i="1"/>
  <c r="J12726" i="1"/>
  <c r="Q12726" i="1"/>
  <c r="R12726" i="1"/>
  <c r="J12727" i="1"/>
  <c r="Q12727" i="1"/>
  <c r="R12727" i="1"/>
  <c r="J12728" i="1"/>
  <c r="Q12728" i="1"/>
  <c r="R12728" i="1"/>
  <c r="J5853" i="1"/>
  <c r="Q5853" i="1"/>
  <c r="R5853" i="1"/>
  <c r="J5854" i="1"/>
  <c r="Q5854" i="1"/>
  <c r="R5854" i="1"/>
  <c r="J5855" i="1"/>
  <c r="Q5855" i="1"/>
  <c r="R5855" i="1"/>
  <c r="J5856" i="1"/>
  <c r="Q5856" i="1"/>
  <c r="R5856" i="1"/>
  <c r="J5857" i="1"/>
  <c r="Q5857" i="1"/>
  <c r="R5857" i="1"/>
  <c r="J12729" i="1"/>
  <c r="Q12729" i="1"/>
  <c r="R12729" i="1"/>
  <c r="J12730" i="1"/>
  <c r="Q12730" i="1"/>
  <c r="R12730" i="1"/>
  <c r="J5858" i="1"/>
  <c r="Q5858" i="1"/>
  <c r="R5858" i="1"/>
  <c r="J5859" i="1"/>
  <c r="Q5859" i="1"/>
  <c r="R5859" i="1"/>
  <c r="J12731" i="1"/>
  <c r="Q12731" i="1"/>
  <c r="R12731" i="1"/>
  <c r="J5860" i="1"/>
  <c r="Q5860" i="1"/>
  <c r="R5860" i="1"/>
  <c r="J5861" i="1"/>
  <c r="Q5861" i="1"/>
  <c r="R5861" i="1"/>
  <c r="J12732" i="1"/>
  <c r="Q12732" i="1"/>
  <c r="R12732" i="1"/>
  <c r="J5862" i="1"/>
  <c r="Q5862" i="1"/>
  <c r="R5862" i="1"/>
  <c r="J12733" i="1"/>
  <c r="Q12733" i="1"/>
  <c r="R12733" i="1"/>
  <c r="J12734" i="1"/>
  <c r="Q12734" i="1"/>
  <c r="R12734" i="1"/>
  <c r="J12735" i="1"/>
  <c r="Q12735" i="1"/>
  <c r="R12735" i="1"/>
  <c r="J5863" i="1"/>
  <c r="Q5863" i="1"/>
  <c r="R5863" i="1"/>
  <c r="J5864" i="1"/>
  <c r="Q5864" i="1"/>
  <c r="R5864" i="1"/>
  <c r="J12736" i="1"/>
  <c r="Q12736" i="1"/>
  <c r="R12736" i="1"/>
  <c r="J12737" i="1"/>
  <c r="Q12737" i="1"/>
  <c r="R12737" i="1"/>
  <c r="J12738" i="1"/>
  <c r="Q12738" i="1"/>
  <c r="R12738" i="1"/>
  <c r="J12739" i="1"/>
  <c r="Q12739" i="1"/>
  <c r="R12739" i="1"/>
  <c r="J12740" i="1"/>
  <c r="Q12740" i="1"/>
  <c r="R12740" i="1"/>
  <c r="J5865" i="1"/>
  <c r="Q5865" i="1"/>
  <c r="R5865" i="1"/>
  <c r="J5866" i="1"/>
  <c r="Q5866" i="1"/>
  <c r="R5866" i="1"/>
  <c r="J5867" i="1"/>
  <c r="Q5867" i="1"/>
  <c r="R5867" i="1"/>
  <c r="J5868" i="1"/>
  <c r="Q5868" i="1"/>
  <c r="R5868" i="1"/>
  <c r="J12741" i="1"/>
  <c r="Q12741" i="1"/>
  <c r="R12741" i="1"/>
  <c r="J12742" i="1"/>
  <c r="Q12742" i="1"/>
  <c r="R12742" i="1"/>
  <c r="J5869" i="1"/>
  <c r="Q5869" i="1"/>
  <c r="R5869" i="1"/>
  <c r="J12743" i="1"/>
  <c r="Q12743" i="1"/>
  <c r="R12743" i="1"/>
  <c r="J12744" i="1"/>
  <c r="Q12744" i="1"/>
  <c r="R12744" i="1"/>
  <c r="J12745" i="1"/>
  <c r="Q12745" i="1"/>
  <c r="R12745" i="1"/>
  <c r="J5870" i="1"/>
  <c r="Q5870" i="1"/>
  <c r="R5870" i="1"/>
  <c r="J12746" i="1"/>
  <c r="Q12746" i="1"/>
  <c r="R12746" i="1"/>
  <c r="J12747" i="1"/>
  <c r="Q12747" i="1"/>
  <c r="R12747" i="1"/>
  <c r="J12748" i="1"/>
  <c r="Q12748" i="1"/>
  <c r="R12748" i="1"/>
  <c r="J5871" i="1"/>
  <c r="Q5871" i="1"/>
  <c r="R5871" i="1"/>
  <c r="J5872" i="1"/>
  <c r="Q5872" i="1"/>
  <c r="R5872" i="1"/>
  <c r="J5873" i="1"/>
  <c r="Q5873" i="1"/>
  <c r="R5873" i="1"/>
  <c r="J5874" i="1"/>
  <c r="Q5874" i="1"/>
  <c r="R5874" i="1"/>
  <c r="J5875" i="1"/>
  <c r="Q5875" i="1"/>
  <c r="R5875" i="1"/>
  <c r="J5876" i="1"/>
  <c r="Q5876" i="1"/>
  <c r="R5876" i="1"/>
  <c r="J5877" i="1"/>
  <c r="Q5877" i="1"/>
  <c r="R5877" i="1"/>
  <c r="J12749" i="1"/>
  <c r="Q12749" i="1"/>
  <c r="R12749" i="1"/>
  <c r="J5878" i="1"/>
  <c r="Q5878" i="1"/>
  <c r="R5878" i="1"/>
  <c r="J12750" i="1"/>
  <c r="Q12750" i="1"/>
  <c r="R12750" i="1"/>
  <c r="J5879" i="1"/>
  <c r="Q5879" i="1"/>
  <c r="R5879" i="1"/>
  <c r="J5880" i="1"/>
  <c r="Q5880" i="1"/>
  <c r="R5880" i="1"/>
  <c r="J5881" i="1"/>
  <c r="Q5881" i="1"/>
  <c r="R5881" i="1"/>
  <c r="J5882" i="1"/>
  <c r="Q5882" i="1"/>
  <c r="R5882" i="1"/>
  <c r="J5883" i="1"/>
  <c r="Q5883" i="1"/>
  <c r="R5883" i="1"/>
  <c r="J5884" i="1"/>
  <c r="Q5884" i="1"/>
  <c r="R5884" i="1"/>
  <c r="J5885" i="1"/>
  <c r="Q5885" i="1"/>
  <c r="R5885" i="1"/>
  <c r="J5886" i="1"/>
  <c r="Q5886" i="1"/>
  <c r="R5886" i="1"/>
  <c r="J5887" i="1"/>
  <c r="Q5887" i="1"/>
  <c r="R5887" i="1"/>
  <c r="J5888" i="1"/>
  <c r="Q5888" i="1"/>
  <c r="R5888" i="1"/>
  <c r="J5889" i="1"/>
  <c r="Q5889" i="1"/>
  <c r="R5889" i="1"/>
  <c r="J5890" i="1"/>
  <c r="Q5890" i="1"/>
  <c r="R5890" i="1"/>
  <c r="J5891" i="1"/>
  <c r="Q5891" i="1"/>
  <c r="R5891" i="1"/>
  <c r="J12751" i="1"/>
  <c r="Q12751" i="1"/>
  <c r="R12751" i="1"/>
  <c r="J12752" i="1"/>
  <c r="Q12752" i="1"/>
  <c r="R12752" i="1"/>
  <c r="J12753" i="1"/>
  <c r="Q12753" i="1"/>
  <c r="R12753" i="1"/>
  <c r="J12754" i="1"/>
  <c r="Q12754" i="1"/>
  <c r="R12754" i="1"/>
  <c r="J12755" i="1"/>
  <c r="Q12755" i="1"/>
  <c r="R12755" i="1"/>
  <c r="J12756" i="1"/>
  <c r="Q12756" i="1"/>
  <c r="R12756" i="1"/>
  <c r="J5892" i="1"/>
  <c r="Q5892" i="1"/>
  <c r="R5892" i="1"/>
  <c r="J12757" i="1"/>
  <c r="Q12757" i="1"/>
  <c r="R12757" i="1"/>
  <c r="J12758" i="1"/>
  <c r="Q12758" i="1"/>
  <c r="R12758" i="1"/>
  <c r="J12759" i="1"/>
  <c r="Q12759" i="1"/>
  <c r="R12759" i="1"/>
  <c r="J12760" i="1"/>
  <c r="Q12760" i="1"/>
  <c r="R12760" i="1"/>
  <c r="J5893" i="1"/>
  <c r="Q5893" i="1"/>
  <c r="R5893" i="1"/>
  <c r="J12761" i="1"/>
  <c r="Q12761" i="1"/>
  <c r="R12761" i="1"/>
  <c r="J12762" i="1"/>
  <c r="Q12762" i="1"/>
  <c r="R12762" i="1"/>
  <c r="J5894" i="1"/>
  <c r="Q5894" i="1"/>
  <c r="R5894" i="1"/>
  <c r="J12763" i="1"/>
  <c r="Q12763" i="1"/>
  <c r="R12763" i="1"/>
  <c r="J12764" i="1"/>
  <c r="Q12764" i="1"/>
  <c r="R12764" i="1"/>
  <c r="J12765" i="1"/>
  <c r="Q12765" i="1"/>
  <c r="R12765" i="1"/>
  <c r="J12766" i="1"/>
  <c r="Q12766" i="1"/>
  <c r="R12766" i="1"/>
  <c r="J12767" i="1"/>
  <c r="Q12767" i="1"/>
  <c r="R12767" i="1"/>
  <c r="J12768" i="1"/>
  <c r="Q12768" i="1"/>
  <c r="R12768" i="1"/>
  <c r="J12769" i="1"/>
  <c r="Q12769" i="1"/>
  <c r="R12769" i="1"/>
  <c r="J5895" i="1"/>
  <c r="Q5895" i="1"/>
  <c r="R5895" i="1"/>
  <c r="J5896" i="1"/>
  <c r="Q5896" i="1"/>
  <c r="R5896" i="1"/>
  <c r="J5897" i="1"/>
  <c r="Q5897" i="1"/>
  <c r="R5897" i="1"/>
  <c r="J5898" i="1"/>
  <c r="Q5898" i="1"/>
  <c r="R5898" i="1"/>
  <c r="J5899" i="1"/>
  <c r="Q5899" i="1"/>
  <c r="R5899" i="1"/>
  <c r="J5900" i="1"/>
  <c r="Q5900" i="1"/>
  <c r="R5900" i="1"/>
  <c r="J12770" i="1"/>
  <c r="Q12770" i="1"/>
  <c r="R12770" i="1"/>
  <c r="J5901" i="1"/>
  <c r="Q5901" i="1"/>
  <c r="R5901" i="1"/>
  <c r="J5902" i="1"/>
  <c r="Q5902" i="1"/>
  <c r="R5902" i="1"/>
  <c r="J5903" i="1"/>
  <c r="Q5903" i="1"/>
  <c r="R5903" i="1"/>
  <c r="J5904" i="1"/>
  <c r="Q5904" i="1"/>
  <c r="R5904" i="1"/>
  <c r="J12771" i="1"/>
  <c r="Q12771" i="1"/>
  <c r="R12771" i="1"/>
  <c r="J5905" i="1"/>
  <c r="Q5905" i="1"/>
  <c r="R5905" i="1"/>
  <c r="J12772" i="1"/>
  <c r="Q12772" i="1"/>
  <c r="R12772" i="1"/>
  <c r="J12773" i="1"/>
  <c r="Q12773" i="1"/>
  <c r="R12773" i="1"/>
  <c r="J12774" i="1"/>
  <c r="Q12774" i="1"/>
  <c r="R12774" i="1"/>
  <c r="J5906" i="1"/>
  <c r="Q5906" i="1"/>
  <c r="R5906" i="1"/>
  <c r="J12775" i="1"/>
  <c r="Q12775" i="1"/>
  <c r="R12775" i="1"/>
  <c r="J12776" i="1"/>
  <c r="Q12776" i="1"/>
  <c r="R12776" i="1"/>
  <c r="J5907" i="1"/>
  <c r="Q5907" i="1"/>
  <c r="R5907" i="1"/>
  <c r="J5908" i="1"/>
  <c r="Q5908" i="1"/>
  <c r="R5908" i="1"/>
  <c r="J5909" i="1"/>
  <c r="Q5909" i="1"/>
  <c r="R5909" i="1"/>
  <c r="J12777" i="1"/>
  <c r="Q12777" i="1"/>
  <c r="R12777" i="1"/>
  <c r="J5910" i="1"/>
  <c r="Q5910" i="1"/>
  <c r="R5910" i="1"/>
  <c r="J5911" i="1"/>
  <c r="Q5911" i="1"/>
  <c r="R5911" i="1"/>
  <c r="J5912" i="1"/>
  <c r="Q5912" i="1"/>
  <c r="R5912" i="1"/>
  <c r="J12778" i="1"/>
  <c r="Q12778" i="1"/>
  <c r="R12778" i="1"/>
  <c r="J5913" i="1"/>
  <c r="Q5913" i="1"/>
  <c r="R5913" i="1"/>
  <c r="J5914" i="1"/>
  <c r="Q5914" i="1"/>
  <c r="R5914" i="1"/>
  <c r="J12779" i="1"/>
  <c r="Q12779" i="1"/>
  <c r="R12779" i="1"/>
  <c r="J5915" i="1"/>
  <c r="Q5915" i="1"/>
  <c r="R5915" i="1"/>
  <c r="J12780" i="1"/>
  <c r="Q12780" i="1"/>
  <c r="R12780" i="1"/>
  <c r="J12781" i="1"/>
  <c r="Q12781" i="1"/>
  <c r="R12781" i="1"/>
  <c r="J12782" i="1"/>
  <c r="Q12782" i="1"/>
  <c r="R12782" i="1"/>
  <c r="J5916" i="1"/>
  <c r="Q5916" i="1"/>
  <c r="R5916" i="1"/>
  <c r="J12783" i="1"/>
  <c r="Q12783" i="1"/>
  <c r="R12783" i="1"/>
  <c r="J12784" i="1"/>
  <c r="Q12784" i="1"/>
  <c r="R12784" i="1"/>
  <c r="J5917" i="1"/>
  <c r="Q5917" i="1"/>
  <c r="R5917" i="1"/>
  <c r="J5918" i="1"/>
  <c r="Q5918" i="1"/>
  <c r="R5918" i="1"/>
  <c r="J12785" i="1"/>
  <c r="Q12785" i="1"/>
  <c r="R12785" i="1"/>
  <c r="J5919" i="1"/>
  <c r="Q5919" i="1"/>
  <c r="R5919" i="1"/>
  <c r="J12786" i="1"/>
  <c r="Q12786" i="1"/>
  <c r="R12786" i="1"/>
  <c r="J5920" i="1"/>
  <c r="Q5920" i="1"/>
  <c r="R5920" i="1"/>
  <c r="J12787" i="1"/>
  <c r="Q12787" i="1"/>
  <c r="R12787" i="1"/>
  <c r="J5921" i="1"/>
  <c r="Q5921" i="1"/>
  <c r="R5921" i="1"/>
  <c r="J12788" i="1"/>
  <c r="Q12788" i="1"/>
  <c r="R12788" i="1"/>
  <c r="J12789" i="1"/>
  <c r="Q12789" i="1"/>
  <c r="R12789" i="1"/>
  <c r="J12790" i="1"/>
  <c r="Q12790" i="1"/>
  <c r="R12790" i="1"/>
  <c r="J12791" i="1"/>
  <c r="Q12791" i="1"/>
  <c r="R12791" i="1"/>
  <c r="J12792" i="1"/>
  <c r="Q12792" i="1"/>
  <c r="R12792" i="1"/>
  <c r="J5922" i="1"/>
  <c r="Q5922" i="1"/>
  <c r="R5922" i="1"/>
  <c r="J12793" i="1"/>
  <c r="Q12793" i="1"/>
  <c r="R12793" i="1"/>
  <c r="J5923" i="1"/>
  <c r="Q5923" i="1"/>
  <c r="R5923" i="1"/>
  <c r="J12794" i="1"/>
  <c r="Q12794" i="1"/>
  <c r="R12794" i="1"/>
  <c r="J5924" i="1"/>
  <c r="Q5924" i="1"/>
  <c r="R5924" i="1"/>
  <c r="J5925" i="1"/>
  <c r="Q5925" i="1"/>
  <c r="R5925" i="1"/>
  <c r="J5926" i="1"/>
  <c r="Q5926" i="1"/>
  <c r="R5926" i="1"/>
  <c r="J12795" i="1"/>
  <c r="Q12795" i="1"/>
  <c r="R12795" i="1"/>
  <c r="J5927" i="1"/>
  <c r="Q5927" i="1"/>
  <c r="R5927" i="1"/>
  <c r="J12796" i="1"/>
  <c r="Q12796" i="1"/>
  <c r="R12796" i="1"/>
  <c r="J12797" i="1"/>
  <c r="Q12797" i="1"/>
  <c r="R12797" i="1"/>
  <c r="J12798" i="1"/>
  <c r="Q12798" i="1"/>
  <c r="R12798" i="1"/>
  <c r="J5928" i="1"/>
  <c r="Q5928" i="1"/>
  <c r="R5928" i="1"/>
  <c r="J5929" i="1"/>
  <c r="Q5929" i="1"/>
  <c r="R5929" i="1"/>
  <c r="J12799" i="1"/>
  <c r="Q12799" i="1"/>
  <c r="R12799" i="1"/>
  <c r="J12800" i="1"/>
  <c r="Q12800" i="1"/>
  <c r="R12800" i="1"/>
  <c r="J5930" i="1"/>
  <c r="Q5930" i="1"/>
  <c r="R5930" i="1"/>
  <c r="J12801" i="1"/>
  <c r="Q12801" i="1"/>
  <c r="R12801" i="1"/>
  <c r="J12802" i="1"/>
  <c r="Q12802" i="1"/>
  <c r="R12802" i="1"/>
  <c r="J12803" i="1"/>
  <c r="Q12803" i="1"/>
  <c r="R12803" i="1"/>
  <c r="J12804" i="1"/>
  <c r="Q12804" i="1"/>
  <c r="R12804" i="1"/>
  <c r="J12805" i="1"/>
  <c r="Q12805" i="1"/>
  <c r="R12805" i="1"/>
  <c r="J5931" i="1"/>
  <c r="Q5931" i="1"/>
  <c r="R5931" i="1"/>
  <c r="J12806" i="1"/>
  <c r="Q12806" i="1"/>
  <c r="R12806" i="1"/>
  <c r="J12807" i="1"/>
  <c r="Q12807" i="1"/>
  <c r="R12807" i="1"/>
  <c r="J5932" i="1"/>
  <c r="Q5932" i="1"/>
  <c r="R5932" i="1"/>
  <c r="J12808" i="1"/>
  <c r="Q12808" i="1"/>
  <c r="R12808" i="1"/>
  <c r="J12809" i="1"/>
  <c r="Q12809" i="1"/>
  <c r="R12809" i="1"/>
  <c r="J12810" i="1"/>
  <c r="Q12810" i="1"/>
  <c r="R12810" i="1"/>
  <c r="J12811" i="1"/>
  <c r="Q12811" i="1"/>
  <c r="R12811" i="1"/>
  <c r="J12812" i="1"/>
  <c r="Q12812" i="1"/>
  <c r="R12812" i="1"/>
  <c r="J12813" i="1"/>
  <c r="Q12813" i="1"/>
  <c r="R12813" i="1"/>
  <c r="J5933" i="1"/>
  <c r="Q5933" i="1"/>
  <c r="R5933" i="1"/>
  <c r="J5934" i="1"/>
  <c r="Q5934" i="1"/>
  <c r="R5934" i="1"/>
  <c r="J5935" i="1"/>
  <c r="Q5935" i="1"/>
  <c r="R5935" i="1"/>
  <c r="J5936" i="1"/>
  <c r="Q5936" i="1"/>
  <c r="R5936" i="1"/>
  <c r="J5937" i="1"/>
  <c r="Q5937" i="1"/>
  <c r="R5937" i="1"/>
  <c r="J5938" i="1"/>
  <c r="Q5938" i="1"/>
  <c r="R5938" i="1"/>
  <c r="J5939" i="1"/>
  <c r="Q5939" i="1"/>
  <c r="R5939" i="1"/>
  <c r="J12814" i="1"/>
  <c r="Q12814" i="1"/>
  <c r="R12814" i="1"/>
  <c r="J12815" i="1"/>
  <c r="Q12815" i="1"/>
  <c r="R12815" i="1"/>
  <c r="J12816" i="1"/>
  <c r="Q12816" i="1"/>
  <c r="R12816" i="1"/>
  <c r="J5940" i="1"/>
  <c r="Q5940" i="1"/>
  <c r="R5940" i="1"/>
  <c r="J5941" i="1"/>
  <c r="Q5941" i="1"/>
  <c r="R5941" i="1"/>
  <c r="J5942" i="1"/>
  <c r="Q5942" i="1"/>
  <c r="R5942" i="1"/>
  <c r="J12817" i="1"/>
  <c r="Q12817" i="1"/>
  <c r="R12817" i="1"/>
  <c r="J12818" i="1"/>
  <c r="Q12818" i="1"/>
  <c r="R12818" i="1"/>
  <c r="J12819" i="1"/>
  <c r="Q12819" i="1"/>
  <c r="R12819" i="1"/>
  <c r="J12820" i="1"/>
  <c r="Q12820" i="1"/>
  <c r="R12820" i="1"/>
  <c r="J12821" i="1"/>
  <c r="Q12821" i="1"/>
  <c r="R12821" i="1"/>
  <c r="J12822" i="1"/>
  <c r="Q12822" i="1"/>
  <c r="R12822" i="1"/>
  <c r="J12823" i="1"/>
  <c r="Q12823" i="1"/>
  <c r="R12823" i="1"/>
  <c r="J5943" i="1"/>
  <c r="Q5943" i="1"/>
  <c r="R5943" i="1"/>
  <c r="J5944" i="1"/>
  <c r="Q5944" i="1"/>
  <c r="R5944" i="1"/>
  <c r="J12824" i="1"/>
  <c r="Q12824" i="1"/>
  <c r="R12824" i="1"/>
  <c r="J12825" i="1"/>
  <c r="Q12825" i="1"/>
  <c r="R12825" i="1"/>
  <c r="J12826" i="1"/>
  <c r="Q12826" i="1"/>
  <c r="R12826" i="1"/>
  <c r="J12827" i="1"/>
  <c r="Q12827" i="1"/>
  <c r="R12827" i="1"/>
  <c r="J5945" i="1"/>
  <c r="Q5945" i="1"/>
  <c r="R5945" i="1"/>
  <c r="J12828" i="1"/>
  <c r="Q12828" i="1"/>
  <c r="R12828" i="1"/>
  <c r="J12829" i="1"/>
  <c r="Q12829" i="1"/>
  <c r="R12829" i="1"/>
  <c r="J12830" i="1"/>
  <c r="Q12830" i="1"/>
  <c r="R12830" i="1"/>
  <c r="J12831" i="1"/>
  <c r="Q12831" i="1"/>
  <c r="R12831" i="1"/>
  <c r="J12832" i="1"/>
  <c r="Q12832" i="1"/>
  <c r="R12832" i="1"/>
  <c r="J12833" i="1"/>
  <c r="Q12833" i="1"/>
  <c r="R12833" i="1"/>
  <c r="J12834" i="1"/>
  <c r="Q12834" i="1"/>
  <c r="R12834" i="1"/>
  <c r="J12835" i="1"/>
  <c r="Q12835" i="1"/>
  <c r="R12835" i="1"/>
  <c r="J12836" i="1"/>
  <c r="Q12836" i="1"/>
  <c r="R12836" i="1"/>
  <c r="J5946" i="1"/>
  <c r="Q5946" i="1"/>
  <c r="R5946" i="1"/>
  <c r="J12837" i="1"/>
  <c r="Q12837" i="1"/>
  <c r="R12837" i="1"/>
  <c r="J12838" i="1"/>
  <c r="Q12838" i="1"/>
  <c r="R12838" i="1"/>
  <c r="J5947" i="1"/>
  <c r="Q5947" i="1"/>
  <c r="R5947" i="1"/>
  <c r="J12839" i="1"/>
  <c r="Q12839" i="1"/>
  <c r="R12839" i="1"/>
  <c r="J1586" i="1"/>
  <c r="Q1586" i="1"/>
  <c r="R1586" i="1"/>
  <c r="J6627" i="1"/>
  <c r="Q6627" i="1"/>
  <c r="R6627" i="1"/>
  <c r="J6998" i="1"/>
  <c r="Q6998" i="1"/>
  <c r="R6998" i="1"/>
  <c r="J7982" i="1"/>
  <c r="Q7982" i="1"/>
  <c r="R7982" i="1"/>
  <c r="J7983" i="1"/>
  <c r="Q7983" i="1"/>
  <c r="R7983" i="1"/>
  <c r="J7984" i="1"/>
  <c r="Q7984" i="1"/>
  <c r="R7984" i="1"/>
  <c r="J7985" i="1"/>
  <c r="Q7985" i="1"/>
  <c r="R7985" i="1"/>
  <c r="J7986" i="1"/>
  <c r="Q7986" i="1"/>
  <c r="R7986" i="1"/>
  <c r="J7987" i="1"/>
  <c r="Q7987" i="1"/>
  <c r="R7987" i="1"/>
  <c r="J6999" i="1"/>
  <c r="Q6999" i="1"/>
  <c r="R6999" i="1"/>
  <c r="J7988" i="1"/>
  <c r="Q7988" i="1"/>
  <c r="R7988" i="1"/>
  <c r="J7989" i="1"/>
  <c r="Q7989" i="1"/>
  <c r="R7989" i="1"/>
  <c r="J7990" i="1"/>
  <c r="Q7990" i="1"/>
  <c r="R7990" i="1"/>
  <c r="J7000" i="1"/>
  <c r="Q7000" i="1"/>
  <c r="R7000" i="1"/>
  <c r="J1587" i="1"/>
  <c r="Q1587" i="1"/>
  <c r="R1587" i="1"/>
  <c r="J1588" i="1"/>
  <c r="Q1588" i="1"/>
  <c r="R1588" i="1"/>
  <c r="J1589" i="1"/>
  <c r="Q1589" i="1"/>
  <c r="R1589" i="1"/>
  <c r="J1590" i="1"/>
  <c r="Q1590" i="1"/>
  <c r="R1590" i="1"/>
  <c r="J1591" i="1"/>
  <c r="Q1591" i="1"/>
  <c r="R1591" i="1"/>
  <c r="J7991" i="1"/>
  <c r="Q7991" i="1"/>
  <c r="R7991" i="1"/>
  <c r="J1592" i="1"/>
  <c r="Q1592" i="1"/>
  <c r="R1592" i="1"/>
  <c r="J1593" i="1"/>
  <c r="Q1593" i="1"/>
  <c r="R1593" i="1"/>
  <c r="J1594" i="1"/>
  <c r="Q1594" i="1"/>
  <c r="R1594" i="1"/>
  <c r="J1595" i="1"/>
  <c r="Q1595" i="1"/>
  <c r="R1595" i="1"/>
  <c r="J1596" i="1"/>
  <c r="Q1596" i="1"/>
  <c r="R1596" i="1"/>
  <c r="J1597" i="1"/>
  <c r="Q1597" i="1"/>
  <c r="R1597" i="1"/>
  <c r="J1598" i="1"/>
  <c r="Q1598" i="1"/>
  <c r="R1598" i="1"/>
  <c r="J1599" i="1"/>
  <c r="Q1599" i="1"/>
  <c r="R1599" i="1"/>
  <c r="J1600" i="1"/>
  <c r="Q1600" i="1"/>
  <c r="R1600" i="1"/>
  <c r="J13598" i="1"/>
  <c r="Q13598" i="1"/>
  <c r="R13598" i="1"/>
  <c r="J6628" i="1"/>
  <c r="Q6628" i="1"/>
  <c r="R6628" i="1"/>
  <c r="J7992" i="1"/>
  <c r="Q7992" i="1"/>
  <c r="R7992" i="1"/>
  <c r="J7993" i="1"/>
  <c r="Q7993" i="1"/>
  <c r="R7993" i="1"/>
  <c r="J6629" i="1"/>
  <c r="Q6629" i="1"/>
  <c r="R6629" i="1"/>
  <c r="J7001" i="1"/>
  <c r="Q7001" i="1"/>
  <c r="R7001" i="1"/>
  <c r="J13599" i="1"/>
  <c r="Q13599" i="1"/>
  <c r="R13599" i="1"/>
  <c r="J7002" i="1"/>
  <c r="Q7002" i="1"/>
  <c r="R7002" i="1"/>
  <c r="J7994" i="1"/>
  <c r="Q7994" i="1"/>
  <c r="R7994" i="1"/>
  <c r="J7995" i="1"/>
  <c r="Q7995" i="1"/>
  <c r="R7995" i="1"/>
  <c r="J7996" i="1"/>
  <c r="Q7996" i="1"/>
  <c r="R7996" i="1"/>
  <c r="J7997" i="1"/>
  <c r="Q7997" i="1"/>
  <c r="R7997" i="1"/>
  <c r="J7998" i="1"/>
  <c r="Q7998" i="1"/>
  <c r="R7998" i="1"/>
  <c r="J7003" i="1"/>
  <c r="Q7003" i="1"/>
  <c r="R7003" i="1"/>
  <c r="J7999" i="1"/>
  <c r="Q7999" i="1"/>
  <c r="R7999" i="1"/>
  <c r="J8000" i="1"/>
  <c r="Q8000" i="1"/>
  <c r="R8000" i="1"/>
  <c r="J8001" i="1"/>
  <c r="Q8001" i="1"/>
  <c r="R8001" i="1"/>
  <c r="J7004" i="1"/>
  <c r="Q7004" i="1"/>
  <c r="R7004" i="1"/>
  <c r="J1601" i="1"/>
  <c r="Q1601" i="1"/>
  <c r="R1601" i="1"/>
  <c r="J1602" i="1"/>
  <c r="Q1602" i="1"/>
  <c r="R1602" i="1"/>
  <c r="J1603" i="1"/>
  <c r="Q1603" i="1"/>
  <c r="R1603" i="1"/>
  <c r="J1604" i="1"/>
  <c r="Q1604" i="1"/>
  <c r="R1604" i="1"/>
  <c r="J1605" i="1"/>
  <c r="Q1605" i="1"/>
  <c r="R1605" i="1"/>
  <c r="J1606" i="1"/>
  <c r="Q1606" i="1"/>
  <c r="R1606" i="1"/>
  <c r="J1607" i="1"/>
  <c r="Q1607" i="1"/>
  <c r="R1607" i="1"/>
  <c r="J7005" i="1"/>
  <c r="Q7005" i="1"/>
  <c r="R7005" i="1"/>
  <c r="J1608" i="1"/>
  <c r="Q1608" i="1"/>
  <c r="R1608" i="1"/>
  <c r="J1609" i="1"/>
  <c r="Q1609" i="1"/>
  <c r="R1609" i="1"/>
  <c r="J1610" i="1"/>
  <c r="Q1610" i="1"/>
  <c r="R1610" i="1"/>
  <c r="J1611" i="1"/>
  <c r="Q1611" i="1"/>
  <c r="R1611" i="1"/>
  <c r="J1612" i="1"/>
  <c r="Q1612" i="1"/>
  <c r="R1612" i="1"/>
  <c r="J1613" i="1"/>
  <c r="Q1613" i="1"/>
  <c r="R1613" i="1"/>
  <c r="J1614" i="1"/>
  <c r="Q1614" i="1"/>
  <c r="R1614" i="1"/>
  <c r="J8002" i="1"/>
  <c r="Q8002" i="1"/>
  <c r="R8002" i="1"/>
  <c r="J1615" i="1"/>
  <c r="Q1615" i="1"/>
  <c r="R1615" i="1"/>
  <c r="J6630" i="1"/>
  <c r="Q6630" i="1"/>
  <c r="R6630" i="1"/>
  <c r="J8003" i="1"/>
  <c r="Q8003" i="1"/>
  <c r="R8003" i="1"/>
  <c r="J7006" i="1"/>
  <c r="Q7006" i="1"/>
  <c r="R7006" i="1"/>
  <c r="J1616" i="1"/>
  <c r="Q1616" i="1"/>
  <c r="R1616" i="1"/>
  <c r="J1617" i="1"/>
  <c r="Q1617" i="1"/>
  <c r="R1617" i="1"/>
  <c r="J1618" i="1"/>
  <c r="Q1618" i="1"/>
  <c r="R1618" i="1"/>
  <c r="J8004" i="1"/>
  <c r="Q8004" i="1"/>
  <c r="R8004" i="1"/>
  <c r="J8005" i="1"/>
  <c r="Q8005" i="1"/>
  <c r="R8005" i="1"/>
  <c r="J7007" i="1"/>
  <c r="Q7007" i="1"/>
  <c r="R7007" i="1"/>
  <c r="J7008" i="1"/>
  <c r="Q7008" i="1"/>
  <c r="R7008" i="1"/>
  <c r="J8006" i="1"/>
  <c r="Q8006" i="1"/>
  <c r="R8006" i="1"/>
  <c r="J1619" i="1"/>
  <c r="Q1619" i="1"/>
  <c r="R1619" i="1"/>
  <c r="J8007" i="1"/>
  <c r="Q8007" i="1"/>
  <c r="R8007" i="1"/>
  <c r="J8008" i="1"/>
  <c r="Q8008" i="1"/>
  <c r="R8008" i="1"/>
  <c r="J8009" i="1"/>
  <c r="Q8009" i="1"/>
  <c r="R8009" i="1"/>
  <c r="J8010" i="1"/>
  <c r="Q8010" i="1"/>
  <c r="R8010" i="1"/>
  <c r="J7009" i="1"/>
  <c r="Q7009" i="1"/>
  <c r="R7009" i="1"/>
  <c r="J8011" i="1"/>
  <c r="Q8011" i="1"/>
  <c r="R8011" i="1"/>
  <c r="J8012" i="1"/>
  <c r="Q8012" i="1"/>
  <c r="R8012" i="1"/>
  <c r="J8013" i="1"/>
  <c r="Q8013" i="1"/>
  <c r="R8013" i="1"/>
  <c r="J7010" i="1"/>
  <c r="Q7010" i="1"/>
  <c r="R7010" i="1"/>
  <c r="J8014" i="1"/>
  <c r="Q8014" i="1"/>
  <c r="R8014" i="1"/>
  <c r="J8015" i="1"/>
  <c r="Q8015" i="1"/>
  <c r="R8015" i="1"/>
  <c r="J8016" i="1"/>
  <c r="Q8016" i="1"/>
  <c r="R8016" i="1"/>
  <c r="J1620" i="1"/>
  <c r="Q1620" i="1"/>
  <c r="R1620" i="1"/>
  <c r="J1621" i="1"/>
  <c r="Q1621" i="1"/>
  <c r="R1621" i="1"/>
  <c r="J1622" i="1"/>
  <c r="Q1622" i="1"/>
  <c r="R1622" i="1"/>
  <c r="J13600" i="1"/>
  <c r="Q13600" i="1"/>
  <c r="R13600" i="1"/>
  <c r="J1623" i="1"/>
  <c r="Q1623" i="1"/>
  <c r="R1623" i="1"/>
  <c r="J1624" i="1"/>
  <c r="Q1624" i="1"/>
  <c r="R1624" i="1"/>
  <c r="J1625" i="1"/>
  <c r="Q1625" i="1"/>
  <c r="R1625" i="1"/>
  <c r="J1626" i="1"/>
  <c r="Q1626" i="1"/>
  <c r="R1626" i="1"/>
  <c r="J1627" i="1"/>
  <c r="Q1627" i="1"/>
  <c r="R1627" i="1"/>
  <c r="J1628" i="1"/>
  <c r="Q1628" i="1"/>
  <c r="R1628" i="1"/>
  <c r="J1629" i="1"/>
  <c r="Q1629" i="1"/>
  <c r="R1629" i="1"/>
  <c r="J1630" i="1"/>
  <c r="Q1630" i="1"/>
  <c r="R1630" i="1"/>
  <c r="J1631" i="1"/>
  <c r="Q1631" i="1"/>
  <c r="R1631" i="1"/>
  <c r="J1632" i="1"/>
  <c r="Q1632" i="1"/>
  <c r="R1632" i="1"/>
  <c r="J7011" i="1"/>
  <c r="Q7011" i="1"/>
  <c r="R7011" i="1"/>
  <c r="J1633" i="1"/>
  <c r="Q1633" i="1"/>
  <c r="R1633" i="1"/>
  <c r="J13601" i="1"/>
  <c r="Q13601" i="1"/>
  <c r="R13601" i="1"/>
  <c r="J1634" i="1"/>
  <c r="Q1634" i="1"/>
  <c r="R1634" i="1"/>
  <c r="J1635" i="1"/>
  <c r="Q1635" i="1"/>
  <c r="R1635" i="1"/>
  <c r="J1636" i="1"/>
  <c r="Q1636" i="1"/>
  <c r="R1636" i="1"/>
  <c r="J1637" i="1"/>
  <c r="Q1637" i="1"/>
  <c r="R1637" i="1"/>
  <c r="J1638" i="1"/>
  <c r="Q1638" i="1"/>
  <c r="R1638" i="1"/>
  <c r="J1639" i="1"/>
  <c r="Q1639" i="1"/>
  <c r="R1639" i="1"/>
  <c r="J1640" i="1"/>
  <c r="Q1640" i="1"/>
  <c r="R1640" i="1"/>
  <c r="J1641" i="1"/>
  <c r="Q1641" i="1"/>
  <c r="R1641" i="1"/>
  <c r="J7012" i="1"/>
  <c r="Q7012" i="1"/>
  <c r="R7012" i="1"/>
  <c r="J1642" i="1"/>
  <c r="Q1642" i="1"/>
  <c r="R1642" i="1"/>
  <c r="J8017" i="1"/>
  <c r="Q8017" i="1"/>
  <c r="R8017" i="1"/>
  <c r="J7013" i="1"/>
  <c r="Q7013" i="1"/>
  <c r="R7013" i="1"/>
  <c r="J1643" i="1"/>
  <c r="Q1643" i="1"/>
  <c r="R1643" i="1"/>
  <c r="J6631" i="1"/>
  <c r="Q6631" i="1"/>
  <c r="R6631" i="1"/>
  <c r="J8018" i="1"/>
  <c r="Q8018" i="1"/>
  <c r="R8018" i="1"/>
  <c r="J1644" i="1"/>
  <c r="Q1644" i="1"/>
  <c r="R1644" i="1"/>
  <c r="J1645" i="1"/>
  <c r="Q1645" i="1"/>
  <c r="R1645" i="1"/>
  <c r="J8019" i="1"/>
  <c r="Q8019" i="1"/>
  <c r="R8019" i="1"/>
  <c r="J6632" i="1"/>
  <c r="Q6632" i="1"/>
  <c r="R6632" i="1"/>
  <c r="J7014" i="1"/>
  <c r="Q7014" i="1"/>
  <c r="R7014" i="1"/>
  <c r="J1646" i="1"/>
  <c r="Q1646" i="1"/>
  <c r="R1646" i="1"/>
  <c r="J7015" i="1"/>
  <c r="Q7015" i="1"/>
  <c r="R7015" i="1"/>
  <c r="J1647" i="1"/>
  <c r="Q1647" i="1"/>
  <c r="R1647" i="1"/>
  <c r="J7016" i="1"/>
  <c r="Q7016" i="1"/>
  <c r="R7016" i="1"/>
  <c r="J8020" i="1"/>
  <c r="Q8020" i="1"/>
  <c r="R8020" i="1"/>
  <c r="J7017" i="1"/>
  <c r="Q7017" i="1"/>
  <c r="R7017" i="1"/>
  <c r="J8021" i="1"/>
  <c r="Q8021" i="1"/>
  <c r="R8021" i="1"/>
  <c r="J8022" i="1"/>
  <c r="Q8022" i="1"/>
  <c r="R8022" i="1"/>
  <c r="J8023" i="1"/>
  <c r="Q8023" i="1"/>
  <c r="R8023" i="1"/>
  <c r="J8024" i="1"/>
  <c r="Q8024" i="1"/>
  <c r="R8024" i="1"/>
  <c r="J8025" i="1"/>
  <c r="Q8025" i="1"/>
  <c r="R8025" i="1"/>
  <c r="J8026" i="1"/>
  <c r="Q8026" i="1"/>
  <c r="R8026" i="1"/>
  <c r="J8027" i="1"/>
  <c r="Q8027" i="1"/>
  <c r="R8027" i="1"/>
  <c r="J8028" i="1"/>
  <c r="Q8028" i="1"/>
  <c r="R8028" i="1"/>
  <c r="J8029" i="1"/>
  <c r="Q8029" i="1"/>
  <c r="R8029" i="1"/>
  <c r="J8030" i="1"/>
  <c r="Q8030" i="1"/>
  <c r="R8030" i="1"/>
  <c r="J8031" i="1"/>
  <c r="Q8031" i="1"/>
  <c r="R8031" i="1"/>
  <c r="J8032" i="1"/>
  <c r="Q8032" i="1"/>
  <c r="R8032" i="1"/>
  <c r="J1648" i="1"/>
  <c r="Q1648" i="1"/>
  <c r="R1648" i="1"/>
  <c r="J1649" i="1"/>
  <c r="Q1649" i="1"/>
  <c r="R1649" i="1"/>
  <c r="J1650" i="1"/>
  <c r="Q1650" i="1"/>
  <c r="R1650" i="1"/>
  <c r="J13602" i="1"/>
  <c r="Q13602" i="1"/>
  <c r="R13602" i="1"/>
  <c r="J1651" i="1"/>
  <c r="Q1651" i="1"/>
  <c r="R1651" i="1"/>
  <c r="J1652" i="1"/>
  <c r="Q1652" i="1"/>
  <c r="R1652" i="1"/>
  <c r="J1653" i="1"/>
  <c r="Q1653" i="1"/>
  <c r="R1653" i="1"/>
  <c r="J1654" i="1"/>
  <c r="Q1654" i="1"/>
  <c r="R1654" i="1"/>
  <c r="J1655" i="1"/>
  <c r="Q1655" i="1"/>
  <c r="R1655" i="1"/>
  <c r="J1656" i="1"/>
  <c r="Q1656" i="1"/>
  <c r="R1656" i="1"/>
  <c r="J1657" i="1"/>
  <c r="Q1657" i="1"/>
  <c r="R1657" i="1"/>
  <c r="J1658" i="1"/>
  <c r="Q1658" i="1"/>
  <c r="R1658" i="1"/>
  <c r="J1659" i="1"/>
  <c r="Q1659" i="1"/>
  <c r="R1659" i="1"/>
  <c r="J1660" i="1"/>
  <c r="Q1660" i="1"/>
  <c r="R1660" i="1"/>
  <c r="J1661" i="1"/>
  <c r="Q1661" i="1"/>
  <c r="R1661" i="1"/>
  <c r="J1662" i="1"/>
  <c r="Q1662" i="1"/>
  <c r="R1662" i="1"/>
  <c r="J1663" i="1"/>
  <c r="Q1663" i="1"/>
  <c r="R1663" i="1"/>
  <c r="J6633" i="1"/>
  <c r="Q6633" i="1"/>
  <c r="R6633" i="1"/>
  <c r="J7018" i="1"/>
  <c r="Q7018" i="1"/>
  <c r="R7018" i="1"/>
  <c r="J1664" i="1"/>
  <c r="Q1664" i="1"/>
  <c r="R1664" i="1"/>
  <c r="J1665" i="1"/>
  <c r="Q1665" i="1"/>
  <c r="R1665" i="1"/>
  <c r="J1666" i="1"/>
  <c r="Q1666" i="1"/>
  <c r="R1666" i="1"/>
  <c r="J1667" i="1"/>
  <c r="Q1667" i="1"/>
  <c r="R1667" i="1"/>
  <c r="J8033" i="1"/>
  <c r="Q8033" i="1"/>
  <c r="R8033" i="1"/>
  <c r="J8034" i="1"/>
  <c r="Q8034" i="1"/>
  <c r="R8034" i="1"/>
  <c r="J1668" i="1"/>
  <c r="Q1668" i="1"/>
  <c r="R1668" i="1"/>
  <c r="J1669" i="1"/>
  <c r="Q1669" i="1"/>
  <c r="R1669" i="1"/>
  <c r="J8035" i="1"/>
  <c r="Q8035" i="1"/>
  <c r="R8035" i="1"/>
  <c r="J7019" i="1"/>
  <c r="Q7019" i="1"/>
  <c r="R7019" i="1"/>
  <c r="J6634" i="1"/>
  <c r="Q6634" i="1"/>
  <c r="R6634" i="1"/>
  <c r="J7020" i="1"/>
  <c r="Q7020" i="1"/>
  <c r="R7020" i="1"/>
  <c r="J7021" i="1"/>
  <c r="Q7021" i="1"/>
  <c r="R7021" i="1"/>
  <c r="J13603" i="1"/>
  <c r="Q13603" i="1"/>
  <c r="R13603" i="1"/>
  <c r="J8036" i="1"/>
  <c r="Q8036" i="1"/>
  <c r="R8036" i="1"/>
  <c r="J7022" i="1"/>
  <c r="Q7022" i="1"/>
  <c r="R7022" i="1"/>
  <c r="J8037" i="1"/>
  <c r="Q8037" i="1"/>
  <c r="R8037" i="1"/>
  <c r="J8038" i="1"/>
  <c r="Q8038" i="1"/>
  <c r="R8038" i="1"/>
  <c r="J8039" i="1"/>
  <c r="Q8039" i="1"/>
  <c r="R8039" i="1"/>
  <c r="J8040" i="1"/>
  <c r="Q8040" i="1"/>
  <c r="R8040" i="1"/>
  <c r="J8041" i="1"/>
  <c r="Q8041" i="1"/>
  <c r="R8041" i="1"/>
  <c r="J8042" i="1"/>
  <c r="Q8042" i="1"/>
  <c r="R8042" i="1"/>
  <c r="J8043" i="1"/>
  <c r="Q8043" i="1"/>
  <c r="R8043" i="1"/>
  <c r="J8044" i="1"/>
  <c r="Q8044" i="1"/>
  <c r="R8044" i="1"/>
  <c r="J8045" i="1"/>
  <c r="Q8045" i="1"/>
  <c r="R8045" i="1"/>
  <c r="J8046" i="1"/>
  <c r="Q8046" i="1"/>
  <c r="R8046" i="1"/>
  <c r="J8047" i="1"/>
  <c r="Q8047" i="1"/>
  <c r="R8047" i="1"/>
  <c r="J8048" i="1"/>
  <c r="Q8048" i="1"/>
  <c r="R8048" i="1"/>
  <c r="J8049" i="1"/>
  <c r="Q8049" i="1"/>
  <c r="R8049" i="1"/>
  <c r="J8050" i="1"/>
  <c r="Q8050" i="1"/>
  <c r="R8050" i="1"/>
  <c r="J8051" i="1"/>
  <c r="Q8051" i="1"/>
  <c r="R8051" i="1"/>
  <c r="J8052" i="1"/>
  <c r="Q8052" i="1"/>
  <c r="R8052" i="1"/>
  <c r="J13604" i="1"/>
  <c r="Q13604" i="1"/>
  <c r="R13604" i="1"/>
  <c r="J1670" i="1"/>
  <c r="Q1670" i="1"/>
  <c r="R1670" i="1"/>
  <c r="J1671" i="1"/>
  <c r="Q1671" i="1"/>
  <c r="R1671" i="1"/>
  <c r="J1672" i="1"/>
  <c r="Q1672" i="1"/>
  <c r="R1672" i="1"/>
  <c r="J1673" i="1"/>
  <c r="Q1673" i="1"/>
  <c r="R1673" i="1"/>
  <c r="J1674" i="1"/>
  <c r="Q1674" i="1"/>
  <c r="R1674" i="1"/>
  <c r="J1675" i="1"/>
  <c r="Q1675" i="1"/>
  <c r="R1675" i="1"/>
  <c r="J1676" i="1"/>
  <c r="Q1676" i="1"/>
  <c r="R1676" i="1"/>
  <c r="J1677" i="1"/>
  <c r="Q1677" i="1"/>
  <c r="R1677" i="1"/>
  <c r="J1678" i="1"/>
  <c r="Q1678" i="1"/>
  <c r="R1678" i="1"/>
  <c r="J1679" i="1"/>
  <c r="Q1679" i="1"/>
  <c r="R1679" i="1"/>
  <c r="J1680" i="1"/>
  <c r="Q1680" i="1"/>
  <c r="R1680" i="1"/>
  <c r="J1681" i="1"/>
  <c r="Q1681" i="1"/>
  <c r="R1681" i="1"/>
  <c r="J1682" i="1"/>
  <c r="Q1682" i="1"/>
  <c r="R1682" i="1"/>
  <c r="J1683" i="1"/>
  <c r="Q1683" i="1"/>
  <c r="R1683" i="1"/>
  <c r="J1684" i="1"/>
  <c r="Q1684" i="1"/>
  <c r="R1684" i="1"/>
  <c r="J1685" i="1"/>
  <c r="Q1685" i="1"/>
  <c r="R1685" i="1"/>
  <c r="J1686" i="1"/>
  <c r="Q1686" i="1"/>
  <c r="R1686" i="1"/>
  <c r="J1687" i="1"/>
  <c r="Q1687" i="1"/>
  <c r="R1687" i="1"/>
  <c r="J1688" i="1"/>
  <c r="Q1688" i="1"/>
  <c r="R1688" i="1"/>
  <c r="J1689" i="1"/>
  <c r="Q1689" i="1"/>
  <c r="R1689" i="1"/>
  <c r="J1690" i="1"/>
  <c r="Q1690" i="1"/>
  <c r="R1690" i="1"/>
  <c r="J1691" i="1"/>
  <c r="Q1691" i="1"/>
  <c r="R1691" i="1"/>
  <c r="J7023" i="1"/>
  <c r="Q7023" i="1"/>
  <c r="R7023" i="1"/>
  <c r="J1692" i="1"/>
  <c r="Q1692" i="1"/>
  <c r="R1692" i="1"/>
  <c r="J1693" i="1"/>
  <c r="Q1693" i="1"/>
  <c r="R1693" i="1"/>
  <c r="J8053" i="1"/>
  <c r="Q8053" i="1"/>
  <c r="R8053" i="1"/>
  <c r="J1694" i="1"/>
  <c r="Q1694" i="1"/>
  <c r="R1694" i="1"/>
  <c r="J8054" i="1"/>
  <c r="Q8054" i="1"/>
  <c r="R8054" i="1"/>
  <c r="J8055" i="1"/>
  <c r="Q8055" i="1"/>
  <c r="R8055" i="1"/>
  <c r="J6635" i="1"/>
  <c r="Q6635" i="1"/>
  <c r="R6635" i="1"/>
  <c r="J7024" i="1"/>
  <c r="Q7024" i="1"/>
  <c r="R7024" i="1"/>
  <c r="J1695" i="1"/>
  <c r="Q1695" i="1"/>
  <c r="R1695" i="1"/>
  <c r="J12840" i="1"/>
  <c r="Q12840" i="1"/>
  <c r="R12840" i="1"/>
  <c r="J5948" i="1"/>
  <c r="Q5948" i="1"/>
  <c r="R5948" i="1"/>
  <c r="J12841" i="1"/>
  <c r="Q12841" i="1"/>
  <c r="R12841" i="1"/>
  <c r="J12842" i="1"/>
  <c r="Q12842" i="1"/>
  <c r="R12842" i="1"/>
  <c r="J12843" i="1"/>
  <c r="Q12843" i="1"/>
  <c r="R12843" i="1"/>
  <c r="J5949" i="1"/>
  <c r="Q5949" i="1"/>
  <c r="R5949" i="1"/>
  <c r="J12844" i="1"/>
  <c r="Q12844" i="1"/>
  <c r="R12844" i="1"/>
  <c r="J5950" i="1"/>
  <c r="Q5950" i="1"/>
  <c r="R5950" i="1"/>
  <c r="J12845" i="1"/>
  <c r="Q12845" i="1"/>
  <c r="R12845" i="1"/>
  <c r="J5951" i="1"/>
  <c r="Q5951" i="1"/>
  <c r="R5951" i="1"/>
  <c r="J5952" i="1"/>
  <c r="Q5952" i="1"/>
  <c r="R5952" i="1"/>
  <c r="J5953" i="1"/>
  <c r="Q5953" i="1"/>
  <c r="R5953" i="1"/>
  <c r="J5954" i="1"/>
  <c r="Q5954" i="1"/>
  <c r="R5954" i="1"/>
  <c r="J5955" i="1"/>
  <c r="Q5955" i="1"/>
  <c r="R5955" i="1"/>
  <c r="J12846" i="1"/>
  <c r="Q12846" i="1"/>
  <c r="R12846" i="1"/>
  <c r="J5956" i="1"/>
  <c r="Q5956" i="1"/>
  <c r="R5956" i="1"/>
  <c r="J5957" i="1"/>
  <c r="Q5957" i="1"/>
  <c r="R5957" i="1"/>
  <c r="J5958" i="1"/>
  <c r="Q5958" i="1"/>
  <c r="R5958" i="1"/>
  <c r="J12847" i="1"/>
  <c r="Q12847" i="1"/>
  <c r="R12847" i="1"/>
  <c r="J12848" i="1"/>
  <c r="Q12848" i="1"/>
  <c r="R12848" i="1"/>
  <c r="J12849" i="1"/>
  <c r="Q12849" i="1"/>
  <c r="R12849" i="1"/>
  <c r="J12850" i="1"/>
  <c r="Q12850" i="1"/>
  <c r="R12850" i="1"/>
  <c r="J12851" i="1"/>
  <c r="Q12851" i="1"/>
  <c r="R12851" i="1"/>
  <c r="J12852" i="1"/>
  <c r="Q12852" i="1"/>
  <c r="R12852" i="1"/>
  <c r="J12853" i="1"/>
  <c r="Q12853" i="1"/>
  <c r="R12853" i="1"/>
  <c r="J5959" i="1"/>
  <c r="Q5959" i="1"/>
  <c r="R5959" i="1"/>
  <c r="J5960" i="1"/>
  <c r="Q5960" i="1"/>
  <c r="R5960" i="1"/>
  <c r="J12854" i="1"/>
  <c r="Q12854" i="1"/>
  <c r="R12854" i="1"/>
  <c r="J12855" i="1"/>
  <c r="Q12855" i="1"/>
  <c r="R12855" i="1"/>
  <c r="J12856" i="1"/>
  <c r="Q12856" i="1"/>
  <c r="R12856" i="1"/>
  <c r="J12857" i="1"/>
  <c r="Q12857" i="1"/>
  <c r="R12857" i="1"/>
  <c r="J12858" i="1"/>
  <c r="Q12858" i="1"/>
  <c r="R12858" i="1"/>
  <c r="J5961" i="1"/>
  <c r="Q5961" i="1"/>
  <c r="R5961" i="1"/>
  <c r="J12859" i="1"/>
  <c r="Q12859" i="1"/>
  <c r="R12859" i="1"/>
  <c r="J5962" i="1"/>
  <c r="Q5962" i="1"/>
  <c r="R5962" i="1"/>
  <c r="J12860" i="1"/>
  <c r="Q12860" i="1"/>
  <c r="R12860" i="1"/>
  <c r="J12861" i="1"/>
  <c r="Q12861" i="1"/>
  <c r="R12861" i="1"/>
  <c r="J5963" i="1"/>
  <c r="Q5963" i="1"/>
  <c r="R5963" i="1"/>
  <c r="J5964" i="1"/>
  <c r="Q5964" i="1"/>
  <c r="R5964" i="1"/>
  <c r="J5965" i="1"/>
  <c r="Q5965" i="1"/>
  <c r="R5965" i="1"/>
  <c r="J12862" i="1"/>
  <c r="Q12862" i="1"/>
  <c r="R12862" i="1"/>
  <c r="J12863" i="1"/>
  <c r="Q12863" i="1"/>
  <c r="R12863" i="1"/>
  <c r="J12864" i="1"/>
  <c r="Q12864" i="1"/>
  <c r="R12864" i="1"/>
  <c r="J5966" i="1"/>
  <c r="Q5966" i="1"/>
  <c r="R5966" i="1"/>
  <c r="J12865" i="1"/>
  <c r="Q12865" i="1"/>
  <c r="R12865" i="1"/>
  <c r="J5967" i="1"/>
  <c r="Q5967" i="1"/>
  <c r="R5967" i="1"/>
  <c r="J12866" i="1"/>
  <c r="Q12866" i="1"/>
  <c r="R12866" i="1"/>
  <c r="J12867" i="1"/>
  <c r="Q12867" i="1"/>
  <c r="R12867" i="1"/>
  <c r="J5968" i="1"/>
  <c r="Q5968" i="1"/>
  <c r="R5968" i="1"/>
  <c r="J12868" i="1"/>
  <c r="Q12868" i="1"/>
  <c r="R12868" i="1"/>
  <c r="J12869" i="1"/>
  <c r="Q12869" i="1"/>
  <c r="R12869" i="1"/>
  <c r="J12870" i="1"/>
  <c r="Q12870" i="1"/>
  <c r="R12870" i="1"/>
  <c r="J5969" i="1"/>
  <c r="Q5969" i="1"/>
  <c r="R5969" i="1"/>
  <c r="J12871" i="1"/>
  <c r="Q12871" i="1"/>
  <c r="R12871" i="1"/>
  <c r="J12872" i="1"/>
  <c r="Q12872" i="1"/>
  <c r="R12872" i="1"/>
  <c r="J12873" i="1"/>
  <c r="Q12873" i="1"/>
  <c r="R12873" i="1"/>
  <c r="J12874" i="1"/>
  <c r="Q12874" i="1"/>
  <c r="R12874" i="1"/>
  <c r="J12875" i="1"/>
  <c r="Q12875" i="1"/>
  <c r="R12875" i="1"/>
  <c r="J12876" i="1"/>
  <c r="Q12876" i="1"/>
  <c r="R12876" i="1"/>
  <c r="J12877" i="1"/>
  <c r="Q12877" i="1"/>
  <c r="R12877" i="1"/>
  <c r="J12878" i="1"/>
  <c r="Q12878" i="1"/>
  <c r="R12878" i="1"/>
  <c r="J12879" i="1"/>
  <c r="Q12879" i="1"/>
  <c r="R12879" i="1"/>
  <c r="J5970" i="1"/>
  <c r="Q5970" i="1"/>
  <c r="R5970" i="1"/>
  <c r="J12880" i="1"/>
  <c r="Q12880" i="1"/>
  <c r="R12880" i="1"/>
  <c r="J12881" i="1"/>
  <c r="Q12881" i="1"/>
  <c r="R12881" i="1"/>
  <c r="J5971" i="1"/>
  <c r="Q5971" i="1"/>
  <c r="R5971" i="1"/>
  <c r="J5972" i="1"/>
  <c r="Q5972" i="1"/>
  <c r="R5972" i="1"/>
  <c r="J5973" i="1"/>
  <c r="Q5973" i="1"/>
  <c r="R5973" i="1"/>
  <c r="J12882" i="1"/>
  <c r="Q12882" i="1"/>
  <c r="R12882" i="1"/>
  <c r="J5974" i="1"/>
  <c r="Q5974" i="1"/>
  <c r="R5974" i="1"/>
  <c r="J12883" i="1"/>
  <c r="Q12883" i="1"/>
  <c r="R12883" i="1"/>
  <c r="J5975" i="1"/>
  <c r="Q5975" i="1"/>
  <c r="R5975" i="1"/>
  <c r="J5976" i="1"/>
  <c r="Q5976" i="1"/>
  <c r="R5976" i="1"/>
  <c r="J5977" i="1"/>
  <c r="Q5977" i="1"/>
  <c r="R5977" i="1"/>
  <c r="J12884" i="1"/>
  <c r="Q12884" i="1"/>
  <c r="R12884" i="1"/>
  <c r="J5978" i="1"/>
  <c r="Q5978" i="1"/>
  <c r="R5978" i="1"/>
  <c r="J12885" i="1"/>
  <c r="Q12885" i="1"/>
  <c r="R12885" i="1"/>
  <c r="J12886" i="1"/>
  <c r="Q12886" i="1"/>
  <c r="R12886" i="1"/>
  <c r="J12887" i="1"/>
  <c r="Q12887" i="1"/>
  <c r="R12887" i="1"/>
  <c r="J5979" i="1"/>
  <c r="Q5979" i="1"/>
  <c r="R5979" i="1"/>
  <c r="J5980" i="1"/>
  <c r="Q5980" i="1"/>
  <c r="R5980" i="1"/>
  <c r="J5981" i="1"/>
  <c r="Q5981" i="1"/>
  <c r="R5981" i="1"/>
  <c r="J5982" i="1"/>
  <c r="Q5982" i="1"/>
  <c r="R5982" i="1"/>
  <c r="J12888" i="1"/>
  <c r="Q12888" i="1"/>
  <c r="R12888" i="1"/>
  <c r="J5983" i="1"/>
  <c r="Q5983" i="1"/>
  <c r="R5983" i="1"/>
  <c r="J12889" i="1"/>
  <c r="Q12889" i="1"/>
  <c r="R12889" i="1"/>
  <c r="J5984" i="1"/>
  <c r="Q5984" i="1"/>
  <c r="R5984" i="1"/>
  <c r="J5985" i="1"/>
  <c r="Q5985" i="1"/>
  <c r="R5985" i="1"/>
  <c r="J12890" i="1"/>
  <c r="Q12890" i="1"/>
  <c r="R12890" i="1"/>
  <c r="J5986" i="1"/>
  <c r="Q5986" i="1"/>
  <c r="R5986" i="1"/>
  <c r="J5987" i="1"/>
  <c r="Q5987" i="1"/>
  <c r="R5987" i="1"/>
  <c r="J5988" i="1"/>
  <c r="Q5988" i="1"/>
  <c r="R5988" i="1"/>
  <c r="J12891" i="1"/>
  <c r="Q12891" i="1"/>
  <c r="R12891" i="1"/>
  <c r="J5989" i="1"/>
  <c r="Q5989" i="1"/>
  <c r="R5989" i="1"/>
  <c r="J5990" i="1"/>
  <c r="Q5990" i="1"/>
  <c r="R5990" i="1"/>
  <c r="J5991" i="1"/>
  <c r="Q5991" i="1"/>
  <c r="R5991" i="1"/>
  <c r="J5992" i="1"/>
  <c r="Q5992" i="1"/>
  <c r="R5992" i="1"/>
  <c r="J5993" i="1"/>
  <c r="Q5993" i="1"/>
  <c r="R5993" i="1"/>
  <c r="J12892" i="1"/>
  <c r="Q12892" i="1"/>
  <c r="R12892" i="1"/>
  <c r="J5994" i="1"/>
  <c r="Q5994" i="1"/>
  <c r="R5994" i="1"/>
  <c r="J12893" i="1"/>
  <c r="Q12893" i="1"/>
  <c r="R12893" i="1"/>
  <c r="J12894" i="1"/>
  <c r="Q12894" i="1"/>
  <c r="R12894" i="1"/>
  <c r="J12895" i="1"/>
  <c r="Q12895" i="1"/>
  <c r="R12895" i="1"/>
  <c r="J12896" i="1"/>
  <c r="Q12896" i="1"/>
  <c r="R12896" i="1"/>
  <c r="J12897" i="1"/>
  <c r="Q12897" i="1"/>
  <c r="R12897" i="1"/>
  <c r="J5995" i="1"/>
  <c r="Q5995" i="1"/>
  <c r="R5995" i="1"/>
  <c r="J12898" i="1"/>
  <c r="Q12898" i="1"/>
  <c r="R12898" i="1"/>
  <c r="J12899" i="1"/>
  <c r="Q12899" i="1"/>
  <c r="R12899" i="1"/>
  <c r="J12900" i="1"/>
  <c r="Q12900" i="1"/>
  <c r="R12900" i="1"/>
  <c r="J12901" i="1"/>
  <c r="Q12901" i="1"/>
  <c r="R12901" i="1"/>
  <c r="J5996" i="1"/>
  <c r="Q5996" i="1"/>
  <c r="R5996" i="1"/>
  <c r="J5997" i="1"/>
  <c r="Q5997" i="1"/>
  <c r="R5997" i="1"/>
  <c r="J5998" i="1"/>
  <c r="Q5998" i="1"/>
  <c r="R5998" i="1"/>
  <c r="J12902" i="1"/>
  <c r="Q12902" i="1"/>
  <c r="R12902" i="1"/>
  <c r="J12903" i="1"/>
  <c r="Q12903" i="1"/>
  <c r="R12903" i="1"/>
  <c r="J12904" i="1"/>
  <c r="Q12904" i="1"/>
  <c r="R12904" i="1"/>
  <c r="J12905" i="1"/>
  <c r="Q12905" i="1"/>
  <c r="R12905" i="1"/>
  <c r="J12906" i="1"/>
  <c r="Q12906" i="1"/>
  <c r="R12906" i="1"/>
  <c r="J12907" i="1"/>
  <c r="Q12907" i="1"/>
  <c r="R12907" i="1"/>
  <c r="J12908" i="1"/>
  <c r="Q12908" i="1"/>
  <c r="R12908" i="1"/>
  <c r="J12909" i="1"/>
  <c r="Q12909" i="1"/>
  <c r="R12909" i="1"/>
  <c r="J12910" i="1"/>
  <c r="Q12910" i="1"/>
  <c r="R12910" i="1"/>
  <c r="J12911" i="1"/>
  <c r="Q12911" i="1"/>
  <c r="R12911" i="1"/>
  <c r="J12912" i="1"/>
  <c r="Q12912" i="1"/>
  <c r="R12912" i="1"/>
  <c r="J12913" i="1"/>
  <c r="Q12913" i="1"/>
  <c r="R12913" i="1"/>
  <c r="J12914" i="1"/>
  <c r="Q12914" i="1"/>
  <c r="R12914" i="1"/>
  <c r="J12915" i="1"/>
  <c r="Q12915" i="1"/>
  <c r="R12915" i="1"/>
  <c r="J12916" i="1"/>
  <c r="Q12916" i="1"/>
  <c r="R12916" i="1"/>
  <c r="J12917" i="1"/>
  <c r="Q12917" i="1"/>
  <c r="R12917" i="1"/>
  <c r="J12918" i="1"/>
  <c r="Q12918" i="1"/>
  <c r="R12918" i="1"/>
  <c r="J12919" i="1"/>
  <c r="Q12919" i="1"/>
  <c r="R12919" i="1"/>
  <c r="J12920" i="1"/>
  <c r="Q12920" i="1"/>
  <c r="R12920" i="1"/>
  <c r="J12921" i="1"/>
  <c r="Q12921" i="1"/>
  <c r="R12921" i="1"/>
  <c r="J5999" i="1"/>
  <c r="Q5999" i="1"/>
  <c r="R5999" i="1"/>
  <c r="J12922" i="1"/>
  <c r="Q12922" i="1"/>
  <c r="R12922" i="1"/>
  <c r="J12923" i="1"/>
  <c r="Q12923" i="1"/>
  <c r="R12923" i="1"/>
  <c r="J12924" i="1"/>
  <c r="Q12924" i="1"/>
  <c r="R12924" i="1"/>
  <c r="J12925" i="1"/>
  <c r="Q12925" i="1"/>
  <c r="R12925" i="1"/>
  <c r="J12926" i="1"/>
  <c r="Q12926" i="1"/>
  <c r="R12926" i="1"/>
  <c r="J12927" i="1"/>
  <c r="Q12927" i="1"/>
  <c r="R12927" i="1"/>
  <c r="J12928" i="1"/>
  <c r="Q12928" i="1"/>
  <c r="R12928" i="1"/>
  <c r="J12929" i="1"/>
  <c r="Q12929" i="1"/>
  <c r="R12929" i="1"/>
  <c r="J12930" i="1"/>
  <c r="Q12930" i="1"/>
  <c r="R12930" i="1"/>
  <c r="J6000" i="1"/>
  <c r="Q6000" i="1"/>
  <c r="R6000" i="1"/>
  <c r="J6001" i="1"/>
  <c r="Q6001" i="1"/>
  <c r="R6001" i="1"/>
  <c r="J12931" i="1"/>
  <c r="Q12931" i="1"/>
  <c r="R12931" i="1"/>
  <c r="J6002" i="1"/>
  <c r="Q6002" i="1"/>
  <c r="R6002" i="1"/>
  <c r="J12932" i="1"/>
  <c r="Q12932" i="1"/>
  <c r="R12932" i="1"/>
  <c r="J12933" i="1"/>
  <c r="Q12933" i="1"/>
  <c r="R12933" i="1"/>
  <c r="J12934" i="1"/>
  <c r="Q12934" i="1"/>
  <c r="R12934" i="1"/>
  <c r="J6003" i="1"/>
  <c r="Q6003" i="1"/>
  <c r="R6003" i="1"/>
  <c r="J6004" i="1"/>
  <c r="Q6004" i="1"/>
  <c r="R6004" i="1"/>
  <c r="J6005" i="1"/>
  <c r="Q6005" i="1"/>
  <c r="R6005" i="1"/>
  <c r="J6006" i="1"/>
  <c r="Q6006" i="1"/>
  <c r="R6006" i="1"/>
  <c r="J6007" i="1"/>
  <c r="Q6007" i="1"/>
  <c r="R6007" i="1"/>
  <c r="J12935" i="1"/>
  <c r="Q12935" i="1"/>
  <c r="R12935" i="1"/>
  <c r="J12936" i="1"/>
  <c r="Q12936" i="1"/>
  <c r="R12936" i="1"/>
  <c r="J6008" i="1"/>
  <c r="Q6008" i="1"/>
  <c r="R6008" i="1"/>
  <c r="J6009" i="1"/>
  <c r="Q6009" i="1"/>
  <c r="R6009" i="1"/>
  <c r="J6010" i="1"/>
  <c r="Q6010" i="1"/>
  <c r="R6010" i="1"/>
  <c r="J12937" i="1"/>
  <c r="Q12937" i="1"/>
  <c r="R12937" i="1"/>
  <c r="J6011" i="1"/>
  <c r="Q6011" i="1"/>
  <c r="R6011" i="1"/>
  <c r="J6012" i="1"/>
  <c r="Q6012" i="1"/>
  <c r="R6012" i="1"/>
  <c r="J6013" i="1"/>
  <c r="Q6013" i="1"/>
  <c r="R6013" i="1"/>
  <c r="J6014" i="1"/>
  <c r="Q6014" i="1"/>
  <c r="R6014" i="1"/>
  <c r="J12938" i="1"/>
  <c r="Q12938" i="1"/>
  <c r="R12938" i="1"/>
  <c r="J12939" i="1"/>
  <c r="Q12939" i="1"/>
  <c r="R12939" i="1"/>
  <c r="J6015" i="1"/>
  <c r="Q6015" i="1"/>
  <c r="R6015" i="1"/>
  <c r="J6016" i="1"/>
  <c r="Q6016" i="1"/>
  <c r="R6016" i="1"/>
  <c r="J6017" i="1"/>
  <c r="Q6017" i="1"/>
  <c r="R6017" i="1"/>
  <c r="J6018" i="1"/>
  <c r="Q6018" i="1"/>
  <c r="R6018" i="1"/>
  <c r="J6019" i="1"/>
  <c r="Q6019" i="1"/>
  <c r="R6019" i="1"/>
  <c r="J6020" i="1"/>
  <c r="Q6020" i="1"/>
  <c r="R6020" i="1"/>
  <c r="J12940" i="1"/>
  <c r="Q12940" i="1"/>
  <c r="R12940" i="1"/>
  <c r="J6021" i="1"/>
  <c r="Q6021" i="1"/>
  <c r="R6021" i="1"/>
  <c r="J6022" i="1"/>
  <c r="Q6022" i="1"/>
  <c r="R6022" i="1"/>
  <c r="J12941" i="1"/>
  <c r="Q12941" i="1"/>
  <c r="R12941" i="1"/>
  <c r="J6023" i="1"/>
  <c r="Q6023" i="1"/>
  <c r="R6023" i="1"/>
  <c r="J6024" i="1"/>
  <c r="Q6024" i="1"/>
  <c r="R6024" i="1"/>
  <c r="J6025" i="1"/>
  <c r="Q6025" i="1"/>
  <c r="R6025" i="1"/>
  <c r="J6026" i="1"/>
  <c r="Q6026" i="1"/>
  <c r="R6026" i="1"/>
  <c r="J6027" i="1"/>
  <c r="Q6027" i="1"/>
  <c r="R6027" i="1"/>
  <c r="J6028" i="1"/>
  <c r="Q6028" i="1"/>
  <c r="R6028" i="1"/>
  <c r="J6029" i="1"/>
  <c r="Q6029" i="1"/>
  <c r="R6029" i="1"/>
  <c r="J6030" i="1"/>
  <c r="Q6030" i="1"/>
  <c r="R6030" i="1"/>
  <c r="J12942" i="1"/>
  <c r="Q12942" i="1"/>
  <c r="R12942" i="1"/>
  <c r="J6031" i="1"/>
  <c r="Q6031" i="1"/>
  <c r="R6031" i="1"/>
  <c r="J6032" i="1"/>
  <c r="Q6032" i="1"/>
  <c r="R6032" i="1"/>
  <c r="J6033" i="1"/>
  <c r="Q6033" i="1"/>
  <c r="R6033" i="1"/>
  <c r="J6034" i="1"/>
  <c r="Q6034" i="1"/>
  <c r="R6034" i="1"/>
  <c r="J12943" i="1"/>
  <c r="Q12943" i="1"/>
  <c r="R12943" i="1"/>
  <c r="J12944" i="1"/>
  <c r="Q12944" i="1"/>
  <c r="R12944" i="1"/>
  <c r="J12945" i="1"/>
  <c r="Q12945" i="1"/>
  <c r="R12945" i="1"/>
  <c r="J12946" i="1"/>
  <c r="Q12946" i="1"/>
  <c r="R12946" i="1"/>
  <c r="J6035" i="1"/>
  <c r="Q6035" i="1"/>
  <c r="R6035" i="1"/>
  <c r="J6036" i="1"/>
  <c r="Q6036" i="1"/>
  <c r="R6036" i="1"/>
  <c r="J6037" i="1"/>
  <c r="Q6037" i="1"/>
  <c r="R6037" i="1"/>
  <c r="J12947" i="1"/>
  <c r="Q12947" i="1"/>
  <c r="R12947" i="1"/>
  <c r="J6038" i="1"/>
  <c r="Q6038" i="1"/>
  <c r="R6038" i="1"/>
  <c r="J6039" i="1"/>
  <c r="Q6039" i="1"/>
  <c r="R6039" i="1"/>
  <c r="J12948" i="1"/>
  <c r="Q12948" i="1"/>
  <c r="R12948" i="1"/>
  <c r="J12949" i="1"/>
  <c r="Q12949" i="1"/>
  <c r="R12949" i="1"/>
  <c r="J12950" i="1"/>
  <c r="Q12950" i="1"/>
  <c r="R12950" i="1"/>
  <c r="J12951" i="1"/>
  <c r="Q12951" i="1"/>
  <c r="R12951" i="1"/>
  <c r="J12952" i="1"/>
  <c r="Q12952" i="1"/>
  <c r="R12952" i="1"/>
  <c r="J12953" i="1"/>
  <c r="Q12953" i="1"/>
  <c r="R12953" i="1"/>
  <c r="J12954" i="1"/>
  <c r="Q12954" i="1"/>
  <c r="R12954" i="1"/>
  <c r="J12955" i="1"/>
  <c r="Q12955" i="1"/>
  <c r="R12955" i="1"/>
  <c r="J12956" i="1"/>
  <c r="Q12956" i="1"/>
  <c r="R12956" i="1"/>
  <c r="J12957" i="1"/>
  <c r="Q12957" i="1"/>
  <c r="R12957" i="1"/>
  <c r="J12958" i="1"/>
  <c r="Q12958" i="1"/>
  <c r="R12958" i="1"/>
  <c r="J12959" i="1"/>
  <c r="Q12959" i="1"/>
  <c r="R12959" i="1"/>
  <c r="J12960" i="1"/>
  <c r="Q12960" i="1"/>
  <c r="R12960" i="1"/>
  <c r="J12961" i="1"/>
  <c r="Q12961" i="1"/>
  <c r="R12961" i="1"/>
  <c r="J12962" i="1"/>
  <c r="Q12962" i="1"/>
  <c r="R12962" i="1"/>
  <c r="J12963" i="1"/>
  <c r="Q12963" i="1"/>
  <c r="R12963" i="1"/>
  <c r="J12964" i="1"/>
  <c r="Q12964" i="1"/>
  <c r="R12964" i="1"/>
  <c r="J12965" i="1"/>
  <c r="Q12965" i="1"/>
  <c r="R12965" i="1"/>
  <c r="J12966" i="1"/>
  <c r="Q12966" i="1"/>
  <c r="R12966" i="1"/>
  <c r="J12967" i="1"/>
  <c r="Q12967" i="1"/>
  <c r="R12967" i="1"/>
  <c r="J12968" i="1"/>
  <c r="Q12968" i="1"/>
  <c r="R12968" i="1"/>
  <c r="J12969" i="1"/>
  <c r="Q12969" i="1"/>
  <c r="R12969" i="1"/>
  <c r="J6040" i="1"/>
  <c r="Q6040" i="1"/>
  <c r="R6040" i="1"/>
  <c r="J12970" i="1"/>
  <c r="Q12970" i="1"/>
  <c r="R12970" i="1"/>
  <c r="J6041" i="1"/>
  <c r="Q6041" i="1"/>
  <c r="R6041" i="1"/>
  <c r="J12971" i="1"/>
  <c r="Q12971" i="1"/>
  <c r="R12971" i="1"/>
  <c r="J6042" i="1"/>
  <c r="Q6042" i="1"/>
  <c r="R6042" i="1"/>
  <c r="J12972" i="1"/>
  <c r="Q12972" i="1"/>
  <c r="R12972" i="1"/>
  <c r="J12973" i="1"/>
  <c r="Q12973" i="1"/>
  <c r="R12973" i="1"/>
  <c r="J12974" i="1"/>
  <c r="Q12974" i="1"/>
  <c r="R12974" i="1"/>
  <c r="J12975" i="1"/>
  <c r="Q12975" i="1"/>
  <c r="R12975" i="1"/>
  <c r="J12976" i="1"/>
  <c r="Q12976" i="1"/>
  <c r="R12976" i="1"/>
  <c r="J12977" i="1"/>
  <c r="Q12977" i="1"/>
  <c r="R12977" i="1"/>
  <c r="J12978" i="1"/>
  <c r="Q12978" i="1"/>
  <c r="R12978" i="1"/>
  <c r="J12979" i="1"/>
  <c r="Q12979" i="1"/>
  <c r="R12979" i="1"/>
  <c r="J12980" i="1"/>
  <c r="Q12980" i="1"/>
  <c r="R12980" i="1"/>
  <c r="J12981" i="1"/>
  <c r="Q12981" i="1"/>
  <c r="R12981" i="1"/>
  <c r="J12982" i="1"/>
  <c r="Q12982" i="1"/>
  <c r="R12982" i="1"/>
  <c r="J12983" i="1"/>
  <c r="Q12983" i="1"/>
  <c r="R12983" i="1"/>
  <c r="J12984" i="1"/>
  <c r="Q12984" i="1"/>
  <c r="R12984" i="1"/>
  <c r="J12985" i="1"/>
  <c r="Q12985" i="1"/>
  <c r="R12985" i="1"/>
  <c r="J12986" i="1"/>
  <c r="Q12986" i="1"/>
  <c r="R12986" i="1"/>
  <c r="J12987" i="1"/>
  <c r="Q12987" i="1"/>
  <c r="R12987" i="1"/>
  <c r="J12988" i="1"/>
  <c r="Q12988" i="1"/>
  <c r="R12988" i="1"/>
  <c r="J6043" i="1"/>
  <c r="Q6043" i="1"/>
  <c r="R6043" i="1"/>
  <c r="J12989" i="1"/>
  <c r="Q12989" i="1"/>
  <c r="R12989" i="1"/>
  <c r="J12990" i="1"/>
  <c r="Q12990" i="1"/>
  <c r="R12990" i="1"/>
  <c r="J12991" i="1"/>
  <c r="Q12991" i="1"/>
  <c r="R12991" i="1"/>
  <c r="J12992" i="1"/>
  <c r="Q12992" i="1"/>
  <c r="R12992" i="1"/>
  <c r="J6044" i="1"/>
  <c r="Q6044" i="1"/>
  <c r="R6044" i="1"/>
  <c r="J6045" i="1"/>
  <c r="Q6045" i="1"/>
  <c r="R6045" i="1"/>
  <c r="J6046" i="1"/>
  <c r="Q6046" i="1"/>
  <c r="R6046" i="1"/>
  <c r="J6047" i="1"/>
  <c r="Q6047" i="1"/>
  <c r="R6047" i="1"/>
  <c r="J6048" i="1"/>
  <c r="Q6048" i="1"/>
  <c r="R6048" i="1"/>
  <c r="J6049" i="1"/>
  <c r="Q6049" i="1"/>
  <c r="R6049" i="1"/>
  <c r="J6050" i="1"/>
  <c r="Q6050" i="1"/>
  <c r="R6050" i="1"/>
  <c r="J6051" i="1"/>
  <c r="Q6051" i="1"/>
  <c r="R6051" i="1"/>
  <c r="J6052" i="1"/>
  <c r="Q6052" i="1"/>
  <c r="R6052" i="1"/>
  <c r="J12993" i="1"/>
  <c r="Q12993" i="1"/>
  <c r="R12993" i="1"/>
  <c r="J6053" i="1"/>
  <c r="Q6053" i="1"/>
  <c r="R6053" i="1"/>
  <c r="J6054" i="1"/>
  <c r="Q6054" i="1"/>
  <c r="R6054" i="1"/>
  <c r="J6055" i="1"/>
  <c r="Q6055" i="1"/>
  <c r="R6055" i="1"/>
  <c r="J6056" i="1"/>
  <c r="Q6056" i="1"/>
  <c r="R6056" i="1"/>
  <c r="J6057" i="1"/>
  <c r="Q6057" i="1"/>
  <c r="R6057" i="1"/>
  <c r="J6058" i="1"/>
  <c r="Q6058" i="1"/>
  <c r="R6058" i="1"/>
  <c r="J6059" i="1"/>
  <c r="Q6059" i="1"/>
  <c r="R6059" i="1"/>
  <c r="J6060" i="1"/>
  <c r="Q6060" i="1"/>
  <c r="R6060" i="1"/>
  <c r="J6061" i="1"/>
  <c r="Q6061" i="1"/>
  <c r="R6061" i="1"/>
  <c r="J6062" i="1"/>
  <c r="Q6062" i="1"/>
  <c r="R6062" i="1"/>
  <c r="J6063" i="1"/>
  <c r="Q6063" i="1"/>
  <c r="R6063" i="1"/>
  <c r="J6064" i="1"/>
  <c r="Q6064" i="1"/>
  <c r="R6064" i="1"/>
  <c r="J6065" i="1"/>
  <c r="Q6065" i="1"/>
  <c r="R6065" i="1"/>
  <c r="J6066" i="1"/>
  <c r="Q6066" i="1"/>
  <c r="R6066" i="1"/>
  <c r="J6067" i="1"/>
  <c r="Q6067" i="1"/>
  <c r="R6067" i="1"/>
  <c r="J6068" i="1"/>
  <c r="Q6068" i="1"/>
  <c r="R6068" i="1"/>
  <c r="J6069" i="1"/>
  <c r="Q6069" i="1"/>
  <c r="R6069" i="1"/>
  <c r="J6070" i="1"/>
  <c r="Q6070" i="1"/>
  <c r="R6070" i="1"/>
  <c r="J6071" i="1"/>
  <c r="Q6071" i="1"/>
  <c r="R6071" i="1"/>
  <c r="J6072" i="1"/>
  <c r="Q6072" i="1"/>
  <c r="R6072" i="1"/>
  <c r="J6073" i="1"/>
  <c r="Q6073" i="1"/>
  <c r="R6073" i="1"/>
  <c r="J12994" i="1"/>
  <c r="Q12994" i="1"/>
  <c r="R12994" i="1"/>
  <c r="J12995" i="1"/>
  <c r="Q12995" i="1"/>
  <c r="R12995" i="1"/>
  <c r="J12996" i="1"/>
  <c r="Q12996" i="1"/>
  <c r="R12996" i="1"/>
  <c r="J12997" i="1"/>
  <c r="Q12997" i="1"/>
  <c r="R12997" i="1"/>
  <c r="J12998" i="1"/>
  <c r="Q12998" i="1"/>
  <c r="R12998" i="1"/>
  <c r="J12999" i="1"/>
  <c r="Q12999" i="1"/>
  <c r="R12999" i="1"/>
  <c r="J13000" i="1"/>
  <c r="Q13000" i="1"/>
  <c r="R13000" i="1"/>
  <c r="J13001" i="1"/>
  <c r="Q13001" i="1"/>
  <c r="R13001" i="1"/>
  <c r="J13002" i="1"/>
  <c r="Q13002" i="1"/>
  <c r="R13002" i="1"/>
  <c r="J6074" i="1"/>
  <c r="Q6074" i="1"/>
  <c r="R6074" i="1"/>
  <c r="J13003" i="1"/>
  <c r="Q13003" i="1"/>
  <c r="R13003" i="1"/>
  <c r="J13004" i="1"/>
  <c r="Q13004" i="1"/>
  <c r="R13004" i="1"/>
  <c r="J13005" i="1"/>
  <c r="Q13005" i="1"/>
  <c r="R13005" i="1"/>
  <c r="J13006" i="1"/>
  <c r="Q13006" i="1"/>
  <c r="R13006" i="1"/>
  <c r="J13007" i="1"/>
  <c r="Q13007" i="1"/>
  <c r="R13007" i="1"/>
  <c r="J13008" i="1"/>
  <c r="Q13008" i="1"/>
  <c r="R13008" i="1"/>
  <c r="J13009" i="1"/>
  <c r="Q13009" i="1"/>
  <c r="R13009" i="1"/>
  <c r="J13010" i="1"/>
  <c r="Q13010" i="1"/>
  <c r="R13010" i="1"/>
  <c r="J13011" i="1"/>
  <c r="Q13011" i="1"/>
  <c r="R13011" i="1"/>
  <c r="J13012" i="1"/>
  <c r="Q13012" i="1"/>
  <c r="R13012" i="1"/>
  <c r="J13013" i="1"/>
  <c r="Q13013" i="1"/>
  <c r="R13013" i="1"/>
  <c r="J13014" i="1"/>
  <c r="Q13014" i="1"/>
  <c r="R13014" i="1"/>
  <c r="J13015" i="1"/>
  <c r="Q13015" i="1"/>
  <c r="R13015" i="1"/>
  <c r="J13016" i="1"/>
  <c r="Q13016" i="1"/>
  <c r="R13016" i="1"/>
  <c r="J13017" i="1"/>
  <c r="Q13017" i="1"/>
  <c r="R13017" i="1"/>
  <c r="J13018" i="1"/>
  <c r="Q13018" i="1"/>
  <c r="R13018" i="1"/>
  <c r="J13019" i="1"/>
  <c r="Q13019" i="1"/>
  <c r="R13019" i="1"/>
  <c r="J13020" i="1"/>
  <c r="Q13020" i="1"/>
  <c r="R13020" i="1"/>
  <c r="J6075" i="1"/>
  <c r="Q6075" i="1"/>
  <c r="R6075" i="1"/>
  <c r="J6076" i="1"/>
  <c r="Q6076" i="1"/>
  <c r="R6076" i="1"/>
  <c r="J6077" i="1"/>
  <c r="Q6077" i="1"/>
  <c r="R6077" i="1"/>
  <c r="J6078" i="1"/>
  <c r="Q6078" i="1"/>
  <c r="R6078" i="1"/>
  <c r="J6079" i="1"/>
  <c r="Q6079" i="1"/>
  <c r="R6079" i="1"/>
  <c r="J6080" i="1"/>
  <c r="Q6080" i="1"/>
  <c r="R6080" i="1"/>
  <c r="J6081" i="1"/>
  <c r="Q6081" i="1"/>
  <c r="R6081" i="1"/>
  <c r="J6082" i="1"/>
  <c r="Q6082" i="1"/>
  <c r="R6082" i="1"/>
  <c r="J6083" i="1"/>
  <c r="Q6083" i="1"/>
  <c r="R6083" i="1"/>
  <c r="J6084" i="1"/>
  <c r="Q6084" i="1"/>
  <c r="R6084" i="1"/>
  <c r="J6085" i="1"/>
  <c r="Q6085" i="1"/>
  <c r="R6085" i="1"/>
  <c r="J6086" i="1"/>
  <c r="Q6086" i="1"/>
  <c r="R6086" i="1"/>
  <c r="J6087" i="1"/>
  <c r="Q6087" i="1"/>
  <c r="R6087" i="1"/>
  <c r="J6088" i="1"/>
  <c r="Q6088" i="1"/>
  <c r="R6088" i="1"/>
  <c r="J6089" i="1"/>
  <c r="Q6089" i="1"/>
  <c r="R6089" i="1"/>
  <c r="J6090" i="1"/>
  <c r="Q6090" i="1"/>
  <c r="R6090" i="1"/>
  <c r="J6091" i="1"/>
  <c r="Q6091" i="1"/>
  <c r="R6091" i="1"/>
  <c r="J6092" i="1"/>
  <c r="Q6092" i="1"/>
  <c r="R6092" i="1"/>
  <c r="J6093" i="1"/>
  <c r="Q6093" i="1"/>
  <c r="R6093" i="1"/>
  <c r="J6094" i="1"/>
  <c r="Q6094" i="1"/>
  <c r="R6094" i="1"/>
  <c r="J6095" i="1"/>
  <c r="Q6095" i="1"/>
  <c r="R6095" i="1"/>
  <c r="J13021" i="1"/>
  <c r="Q13021" i="1"/>
  <c r="R13021" i="1"/>
  <c r="J13022" i="1"/>
  <c r="Q13022" i="1"/>
  <c r="R13022" i="1"/>
  <c r="J13023" i="1"/>
  <c r="Q13023" i="1"/>
  <c r="R13023" i="1"/>
  <c r="J6096" i="1"/>
  <c r="Q6096" i="1"/>
  <c r="R6096" i="1"/>
  <c r="J6097" i="1"/>
  <c r="Q6097" i="1"/>
  <c r="R6097" i="1"/>
  <c r="J6098" i="1"/>
  <c r="Q6098" i="1"/>
  <c r="R6098" i="1"/>
  <c r="J6099" i="1"/>
  <c r="Q6099" i="1"/>
  <c r="R6099" i="1"/>
  <c r="J6100" i="1"/>
  <c r="Q6100" i="1"/>
  <c r="R6100" i="1"/>
  <c r="J13024" i="1"/>
  <c r="Q13024" i="1"/>
  <c r="R13024" i="1"/>
  <c r="J13025" i="1"/>
  <c r="Q13025" i="1"/>
  <c r="R13025" i="1"/>
  <c r="J13026" i="1"/>
  <c r="Q13026" i="1"/>
  <c r="R13026" i="1"/>
  <c r="J13027" i="1"/>
  <c r="Q13027" i="1"/>
  <c r="R13027" i="1"/>
  <c r="J13028" i="1"/>
  <c r="Q13028" i="1"/>
  <c r="R13028" i="1"/>
  <c r="J13029" i="1"/>
  <c r="Q13029" i="1"/>
  <c r="R13029" i="1"/>
  <c r="J13030" i="1"/>
  <c r="Q13030" i="1"/>
  <c r="R13030" i="1"/>
  <c r="J6101" i="1"/>
  <c r="Q6101" i="1"/>
  <c r="R6101" i="1"/>
  <c r="J13031" i="1"/>
  <c r="Q13031" i="1"/>
  <c r="R13031" i="1"/>
  <c r="J6102" i="1"/>
  <c r="Q6102" i="1"/>
  <c r="R6102" i="1"/>
  <c r="J6103" i="1"/>
  <c r="Q6103" i="1"/>
  <c r="R6103" i="1"/>
  <c r="J6104" i="1"/>
  <c r="Q6104" i="1"/>
  <c r="R6104" i="1"/>
  <c r="J13032" i="1"/>
  <c r="Q13032" i="1"/>
  <c r="R13032" i="1"/>
  <c r="J6105" i="1"/>
  <c r="Q6105" i="1"/>
  <c r="R6105" i="1"/>
  <c r="J13033" i="1"/>
  <c r="Q13033" i="1"/>
  <c r="R13033" i="1"/>
  <c r="J13034" i="1"/>
  <c r="Q13034" i="1"/>
  <c r="R13034" i="1"/>
  <c r="J13035" i="1"/>
  <c r="Q13035" i="1"/>
  <c r="R13035" i="1"/>
  <c r="J13036" i="1"/>
  <c r="Q13036" i="1"/>
  <c r="R13036" i="1"/>
  <c r="J13037" i="1"/>
  <c r="Q13037" i="1"/>
  <c r="R13037" i="1"/>
  <c r="J13038" i="1"/>
  <c r="Q13038" i="1"/>
  <c r="R13038" i="1"/>
  <c r="J6106" i="1"/>
  <c r="Q6106" i="1"/>
  <c r="R6106" i="1"/>
  <c r="J6107" i="1"/>
  <c r="Q6107" i="1"/>
  <c r="R6107" i="1"/>
  <c r="J13039" i="1"/>
  <c r="Q13039" i="1"/>
  <c r="R13039" i="1"/>
  <c r="J13040" i="1"/>
  <c r="Q13040" i="1"/>
  <c r="R13040" i="1"/>
  <c r="J13041" i="1"/>
  <c r="Q13041" i="1"/>
  <c r="R13041" i="1"/>
  <c r="J13042" i="1"/>
  <c r="Q13042" i="1"/>
  <c r="R13042" i="1"/>
  <c r="J6108" i="1"/>
  <c r="Q6108" i="1"/>
  <c r="R6108" i="1"/>
  <c r="J6109" i="1"/>
  <c r="Q6109" i="1"/>
  <c r="R6109" i="1"/>
  <c r="J13043" i="1"/>
  <c r="Q13043" i="1"/>
  <c r="R13043" i="1"/>
  <c r="J13044" i="1"/>
  <c r="Q13044" i="1"/>
  <c r="R13044" i="1"/>
  <c r="J13045" i="1"/>
  <c r="Q13045" i="1"/>
  <c r="R13045" i="1"/>
  <c r="J13046" i="1"/>
  <c r="Q13046" i="1"/>
  <c r="R13046" i="1"/>
  <c r="J6110" i="1"/>
  <c r="Q6110" i="1"/>
  <c r="R6110" i="1"/>
  <c r="J6111" i="1"/>
  <c r="Q6111" i="1"/>
  <c r="R6111" i="1"/>
  <c r="J13047" i="1"/>
  <c r="Q13047" i="1"/>
  <c r="R13047" i="1"/>
  <c r="J13048" i="1"/>
  <c r="Q13048" i="1"/>
  <c r="R13048" i="1"/>
  <c r="J13049" i="1"/>
  <c r="Q13049" i="1"/>
  <c r="R13049" i="1"/>
  <c r="J13050" i="1"/>
  <c r="Q13050" i="1"/>
  <c r="R13050" i="1"/>
  <c r="J13051" i="1"/>
  <c r="Q13051" i="1"/>
  <c r="R13051" i="1"/>
  <c r="J13052" i="1"/>
  <c r="Q13052" i="1"/>
  <c r="R13052" i="1"/>
  <c r="J13053" i="1"/>
  <c r="Q13053" i="1"/>
  <c r="R13053" i="1"/>
  <c r="J6112" i="1"/>
  <c r="Q6112" i="1"/>
  <c r="R6112" i="1"/>
  <c r="J13054" i="1"/>
  <c r="Q13054" i="1"/>
  <c r="R13054" i="1"/>
  <c r="J6113" i="1"/>
  <c r="Q6113" i="1"/>
  <c r="R6113" i="1"/>
  <c r="J6114" i="1"/>
  <c r="Q6114" i="1"/>
  <c r="R6114" i="1"/>
  <c r="J13055" i="1"/>
  <c r="Q13055" i="1"/>
  <c r="R13055" i="1"/>
  <c r="J13056" i="1"/>
  <c r="Q13056" i="1"/>
  <c r="R13056" i="1"/>
  <c r="J6115" i="1"/>
  <c r="Q6115" i="1"/>
  <c r="R6115" i="1"/>
  <c r="J6116" i="1"/>
  <c r="Q6116" i="1"/>
  <c r="R6116" i="1"/>
  <c r="J13057" i="1"/>
  <c r="Q13057" i="1"/>
  <c r="R13057" i="1"/>
  <c r="J6117" i="1"/>
  <c r="Q6117" i="1"/>
  <c r="R6117" i="1"/>
  <c r="J6118" i="1"/>
  <c r="Q6118" i="1"/>
  <c r="R6118" i="1"/>
  <c r="J6119" i="1"/>
  <c r="Q6119" i="1"/>
  <c r="R6119" i="1"/>
  <c r="J6120" i="1"/>
  <c r="Q6120" i="1"/>
  <c r="R6120" i="1"/>
  <c r="J6121" i="1"/>
  <c r="Q6121" i="1"/>
  <c r="R6121" i="1"/>
  <c r="J6122" i="1"/>
  <c r="Q6122" i="1"/>
  <c r="R6122" i="1"/>
  <c r="J13058" i="1"/>
  <c r="Q13058" i="1"/>
  <c r="R13058" i="1"/>
  <c r="J13059" i="1"/>
  <c r="Q13059" i="1"/>
  <c r="R13059" i="1"/>
  <c r="J6123" i="1"/>
  <c r="Q6123" i="1"/>
  <c r="R6123" i="1"/>
  <c r="J13060" i="1"/>
  <c r="Q13060" i="1"/>
  <c r="R13060" i="1"/>
  <c r="J6124" i="1"/>
  <c r="Q6124" i="1"/>
  <c r="R6124" i="1"/>
  <c r="J6125" i="1"/>
  <c r="Q6125" i="1"/>
  <c r="R6125" i="1"/>
  <c r="J6126" i="1"/>
  <c r="Q6126" i="1"/>
  <c r="R6126" i="1"/>
  <c r="J13061" i="1"/>
  <c r="Q13061" i="1"/>
  <c r="R13061" i="1"/>
  <c r="J6127" i="1"/>
  <c r="Q6127" i="1"/>
  <c r="R6127" i="1"/>
  <c r="J13062" i="1"/>
  <c r="Q13062" i="1"/>
  <c r="R13062" i="1"/>
  <c r="J13063" i="1"/>
  <c r="Q13063" i="1"/>
  <c r="R13063" i="1"/>
  <c r="J6128" i="1"/>
  <c r="Q6128" i="1"/>
  <c r="R6128" i="1"/>
  <c r="J13064" i="1"/>
  <c r="Q13064" i="1"/>
  <c r="R13064" i="1"/>
  <c r="J13065" i="1"/>
  <c r="Q13065" i="1"/>
  <c r="R13065" i="1"/>
  <c r="J13066" i="1"/>
  <c r="Q13066" i="1"/>
  <c r="R13066" i="1"/>
  <c r="J6129" i="1"/>
  <c r="Q6129" i="1"/>
  <c r="R6129" i="1"/>
  <c r="J6130" i="1"/>
  <c r="Q6130" i="1"/>
  <c r="R6130" i="1"/>
  <c r="J6131" i="1"/>
  <c r="Q6131" i="1"/>
  <c r="R6131" i="1"/>
  <c r="J13067" i="1"/>
  <c r="Q13067" i="1"/>
  <c r="R13067" i="1"/>
  <c r="J13068" i="1"/>
  <c r="Q13068" i="1"/>
  <c r="R13068" i="1"/>
  <c r="J6132" i="1"/>
  <c r="Q6132" i="1"/>
  <c r="R6132" i="1"/>
  <c r="J6133" i="1"/>
  <c r="Q6133" i="1"/>
  <c r="R6133" i="1"/>
  <c r="J6134" i="1"/>
  <c r="Q6134" i="1"/>
  <c r="R6134" i="1"/>
  <c r="J6135" i="1"/>
  <c r="Q6135" i="1"/>
  <c r="R6135" i="1"/>
  <c r="J6136" i="1"/>
  <c r="Q6136" i="1"/>
  <c r="R6136" i="1"/>
  <c r="J13069" i="1"/>
  <c r="Q13069" i="1"/>
  <c r="R13069" i="1"/>
  <c r="J13070" i="1"/>
  <c r="Q13070" i="1"/>
  <c r="R13070" i="1"/>
  <c r="J13071" i="1"/>
  <c r="Q13071" i="1"/>
  <c r="R13071" i="1"/>
  <c r="J13072" i="1"/>
  <c r="Q13072" i="1"/>
  <c r="R13072" i="1"/>
  <c r="J13073" i="1"/>
  <c r="Q13073" i="1"/>
  <c r="R13073" i="1"/>
  <c r="J13074" i="1"/>
  <c r="Q13074" i="1"/>
  <c r="R13074" i="1"/>
  <c r="J13075" i="1"/>
  <c r="Q13075" i="1"/>
  <c r="R13075" i="1"/>
  <c r="J13076" i="1"/>
  <c r="Q13076" i="1"/>
  <c r="R13076" i="1"/>
  <c r="J6137" i="1"/>
  <c r="Q6137" i="1"/>
  <c r="R6137" i="1"/>
  <c r="J6138" i="1"/>
  <c r="Q6138" i="1"/>
  <c r="R6138" i="1"/>
  <c r="J6139" i="1"/>
  <c r="Q6139" i="1"/>
  <c r="R6139" i="1"/>
  <c r="J13077" i="1"/>
  <c r="Q13077" i="1"/>
  <c r="R13077" i="1"/>
  <c r="J6140" i="1"/>
  <c r="Q6140" i="1"/>
  <c r="R6140" i="1"/>
  <c r="J13078" i="1"/>
  <c r="Q13078" i="1"/>
  <c r="R13078" i="1"/>
  <c r="J13079" i="1"/>
  <c r="Q13079" i="1"/>
  <c r="R13079" i="1"/>
  <c r="J6141" i="1"/>
  <c r="Q6141" i="1"/>
  <c r="R6141" i="1"/>
  <c r="J13080" i="1"/>
  <c r="Q13080" i="1"/>
  <c r="R13080" i="1"/>
  <c r="J6142" i="1"/>
  <c r="Q6142" i="1"/>
  <c r="R6142" i="1"/>
  <c r="J6143" i="1"/>
  <c r="Q6143" i="1"/>
  <c r="R6143" i="1"/>
  <c r="J13081" i="1"/>
  <c r="Q13081" i="1"/>
  <c r="R13081" i="1"/>
  <c r="J6144" i="1"/>
  <c r="Q6144" i="1"/>
  <c r="R6144" i="1"/>
  <c r="J6145" i="1"/>
  <c r="Q6145" i="1"/>
  <c r="R6145" i="1"/>
  <c r="J6146" i="1"/>
  <c r="Q6146" i="1"/>
  <c r="R6146" i="1"/>
  <c r="J6147" i="1"/>
  <c r="Q6147" i="1"/>
  <c r="R6147" i="1"/>
  <c r="J6148" i="1"/>
  <c r="Q6148" i="1"/>
  <c r="R6148" i="1"/>
  <c r="J6149" i="1"/>
  <c r="Q6149" i="1"/>
  <c r="R6149" i="1"/>
  <c r="J6150" i="1"/>
  <c r="Q6150" i="1"/>
  <c r="R6150" i="1"/>
  <c r="J13082" i="1"/>
  <c r="Q13082" i="1"/>
  <c r="R13082" i="1"/>
  <c r="J13083" i="1"/>
  <c r="Q13083" i="1"/>
  <c r="R13083" i="1"/>
  <c r="J6151" i="1"/>
  <c r="Q6151" i="1"/>
  <c r="R6151" i="1"/>
  <c r="J13084" i="1"/>
  <c r="Q13084" i="1"/>
  <c r="R13084" i="1"/>
  <c r="J13085" i="1"/>
  <c r="Q13085" i="1"/>
  <c r="R13085" i="1"/>
  <c r="J13086" i="1"/>
  <c r="Q13086" i="1"/>
  <c r="R13086" i="1"/>
  <c r="J13087" i="1"/>
  <c r="Q13087" i="1"/>
  <c r="R13087" i="1"/>
  <c r="J13088" i="1"/>
  <c r="Q13088" i="1"/>
  <c r="R13088" i="1"/>
  <c r="J13089" i="1"/>
  <c r="Q13089" i="1"/>
  <c r="R13089" i="1"/>
  <c r="J13090" i="1"/>
  <c r="Q13090" i="1"/>
  <c r="R13090" i="1"/>
  <c r="J6152" i="1"/>
  <c r="Q6152" i="1"/>
  <c r="R6152" i="1"/>
  <c r="J6153" i="1"/>
  <c r="Q6153" i="1"/>
  <c r="R6153" i="1"/>
  <c r="J13091" i="1"/>
  <c r="Q13091" i="1"/>
  <c r="R13091" i="1"/>
  <c r="J13092" i="1"/>
  <c r="Q13092" i="1"/>
  <c r="R13092" i="1"/>
  <c r="J13093" i="1"/>
  <c r="Q13093" i="1"/>
  <c r="R13093" i="1"/>
  <c r="J13094" i="1"/>
  <c r="Q13094" i="1"/>
  <c r="R13094" i="1"/>
  <c r="J13095" i="1"/>
  <c r="Q13095" i="1"/>
  <c r="R13095" i="1"/>
  <c r="J6154" i="1"/>
  <c r="Q6154" i="1"/>
  <c r="R6154" i="1"/>
  <c r="J13096" i="1"/>
  <c r="Q13096" i="1"/>
  <c r="R13096" i="1"/>
  <c r="J13097" i="1"/>
  <c r="Q13097" i="1"/>
  <c r="R13097" i="1"/>
  <c r="J6155" i="1"/>
  <c r="Q6155" i="1"/>
  <c r="R6155" i="1"/>
  <c r="J6156" i="1"/>
  <c r="Q6156" i="1"/>
  <c r="R6156" i="1"/>
  <c r="J13098" i="1"/>
  <c r="Q13098" i="1"/>
  <c r="R13098" i="1"/>
  <c r="J13099" i="1"/>
  <c r="Q13099" i="1"/>
  <c r="R13099" i="1"/>
  <c r="J6157" i="1"/>
  <c r="Q6157" i="1"/>
  <c r="R6157" i="1"/>
  <c r="J6158" i="1"/>
  <c r="Q6158" i="1"/>
  <c r="R6158" i="1"/>
  <c r="J6159" i="1"/>
  <c r="Q6159" i="1"/>
  <c r="R6159" i="1"/>
  <c r="J13100" i="1"/>
  <c r="Q13100" i="1"/>
  <c r="R13100" i="1"/>
  <c r="J13101" i="1"/>
  <c r="Q13101" i="1"/>
  <c r="R13101" i="1"/>
  <c r="J6160" i="1"/>
  <c r="Q6160" i="1"/>
  <c r="R6160" i="1"/>
  <c r="J13102" i="1"/>
  <c r="Q13102" i="1"/>
  <c r="R13102" i="1"/>
  <c r="J13103" i="1"/>
  <c r="Q13103" i="1"/>
  <c r="R13103" i="1"/>
  <c r="J6161" i="1"/>
  <c r="Q6161" i="1"/>
  <c r="R6161" i="1"/>
  <c r="J13104" i="1"/>
  <c r="Q13104" i="1"/>
  <c r="R13104" i="1"/>
  <c r="J6162" i="1"/>
  <c r="Q6162" i="1"/>
  <c r="R6162" i="1"/>
  <c r="J6163" i="1"/>
  <c r="Q6163" i="1"/>
  <c r="R6163" i="1"/>
  <c r="J6164" i="1"/>
  <c r="Q6164" i="1"/>
  <c r="R6164" i="1"/>
  <c r="J6165" i="1"/>
  <c r="Q6165" i="1"/>
  <c r="R6165" i="1"/>
  <c r="J6166" i="1"/>
  <c r="Q6166" i="1"/>
  <c r="R6166" i="1"/>
  <c r="J6167" i="1"/>
  <c r="Q6167" i="1"/>
  <c r="R6167" i="1"/>
  <c r="J13105" i="1"/>
  <c r="Q13105" i="1"/>
  <c r="R13105" i="1"/>
  <c r="J13106" i="1"/>
  <c r="Q13106" i="1"/>
  <c r="R13106" i="1"/>
  <c r="J13107" i="1"/>
  <c r="Q13107" i="1"/>
  <c r="R13107" i="1"/>
  <c r="J6168" i="1"/>
  <c r="Q6168" i="1"/>
  <c r="R6168" i="1"/>
  <c r="J13108" i="1"/>
  <c r="Q13108" i="1"/>
  <c r="R13108" i="1"/>
  <c r="J6169" i="1"/>
  <c r="Q6169" i="1"/>
  <c r="R6169" i="1"/>
  <c r="J6170" i="1"/>
  <c r="Q6170" i="1"/>
  <c r="R6170" i="1"/>
  <c r="J13109" i="1"/>
  <c r="Q13109" i="1"/>
  <c r="R13109" i="1"/>
  <c r="J6171" i="1"/>
  <c r="Q6171" i="1"/>
  <c r="R6171" i="1"/>
  <c r="J13110" i="1"/>
  <c r="Q13110" i="1"/>
  <c r="R13110" i="1"/>
  <c r="J13111" i="1"/>
  <c r="Q13111" i="1"/>
  <c r="R13111" i="1"/>
  <c r="J6172" i="1"/>
  <c r="Q6172" i="1"/>
  <c r="R6172" i="1"/>
  <c r="J6173" i="1"/>
  <c r="Q6173" i="1"/>
  <c r="R6173" i="1"/>
  <c r="J13112" i="1"/>
  <c r="Q13112" i="1"/>
  <c r="R13112" i="1"/>
  <c r="J13113" i="1"/>
  <c r="Q13113" i="1"/>
  <c r="R13113" i="1"/>
  <c r="J13114" i="1"/>
  <c r="Q13114" i="1"/>
  <c r="R13114" i="1"/>
  <c r="J6174" i="1"/>
  <c r="Q6174" i="1"/>
  <c r="R6174" i="1"/>
  <c r="J6175" i="1"/>
  <c r="Q6175" i="1"/>
  <c r="R6175" i="1"/>
  <c r="J6176" i="1"/>
  <c r="Q6176" i="1"/>
  <c r="R6176" i="1"/>
  <c r="J6177" i="1"/>
  <c r="Q6177" i="1"/>
  <c r="R6177" i="1"/>
  <c r="J6178" i="1"/>
  <c r="Q6178" i="1"/>
  <c r="R6178" i="1"/>
  <c r="J13115" i="1"/>
  <c r="Q13115" i="1"/>
  <c r="R13115" i="1"/>
  <c r="J13116" i="1"/>
  <c r="Q13116" i="1"/>
  <c r="R13116" i="1"/>
  <c r="J13117" i="1"/>
  <c r="Q13117" i="1"/>
  <c r="R13117" i="1"/>
  <c r="J6179" i="1"/>
  <c r="Q6179" i="1"/>
  <c r="R6179" i="1"/>
  <c r="J13118" i="1"/>
  <c r="Q13118" i="1"/>
  <c r="R13118" i="1"/>
  <c r="J6180" i="1"/>
  <c r="Q6180" i="1"/>
  <c r="R6180" i="1"/>
  <c r="J6181" i="1"/>
  <c r="Q6181" i="1"/>
  <c r="R6181" i="1"/>
  <c r="J13119" i="1"/>
  <c r="Q13119" i="1"/>
  <c r="R13119" i="1"/>
  <c r="J13120" i="1"/>
  <c r="Q13120" i="1"/>
  <c r="R13120" i="1"/>
  <c r="J13121" i="1"/>
  <c r="Q13121" i="1"/>
  <c r="R13121" i="1"/>
  <c r="J13122" i="1"/>
  <c r="Q13122" i="1"/>
  <c r="R13122" i="1"/>
  <c r="J13123" i="1"/>
  <c r="Q13123" i="1"/>
  <c r="R13123" i="1"/>
  <c r="J13124" i="1"/>
  <c r="Q13124" i="1"/>
  <c r="R13124" i="1"/>
  <c r="J13125" i="1"/>
  <c r="Q13125" i="1"/>
  <c r="R13125" i="1"/>
  <c r="J13126" i="1"/>
  <c r="Q13126" i="1"/>
  <c r="R13126" i="1"/>
  <c r="J13127" i="1"/>
  <c r="Q13127" i="1"/>
  <c r="R13127" i="1"/>
  <c r="J6182" i="1"/>
  <c r="Q6182" i="1"/>
  <c r="R6182" i="1"/>
  <c r="J6183" i="1"/>
  <c r="Q6183" i="1"/>
  <c r="R6183" i="1"/>
  <c r="J13128" i="1"/>
  <c r="Q13128" i="1"/>
  <c r="R13128" i="1"/>
  <c r="J6184" i="1"/>
  <c r="Q6184" i="1"/>
  <c r="R6184" i="1"/>
  <c r="J6185" i="1"/>
  <c r="Q6185" i="1"/>
  <c r="R6185" i="1"/>
  <c r="J6186" i="1"/>
  <c r="Q6186" i="1"/>
  <c r="R6186" i="1"/>
  <c r="J6187" i="1"/>
  <c r="Q6187" i="1"/>
  <c r="R6187" i="1"/>
  <c r="J13129" i="1"/>
  <c r="Q13129" i="1"/>
  <c r="R13129" i="1"/>
  <c r="J13130" i="1"/>
  <c r="Q13130" i="1"/>
  <c r="R13130" i="1"/>
  <c r="J6188" i="1"/>
  <c r="Q6188" i="1"/>
  <c r="R6188" i="1"/>
  <c r="J13131" i="1"/>
  <c r="Q13131" i="1"/>
  <c r="R13131" i="1"/>
  <c r="J13132" i="1"/>
  <c r="Q13132" i="1"/>
  <c r="R13132" i="1"/>
  <c r="J13133" i="1"/>
  <c r="Q13133" i="1"/>
  <c r="R13133" i="1"/>
  <c r="J13134" i="1"/>
  <c r="Q13134" i="1"/>
  <c r="R13134" i="1"/>
  <c r="J13135" i="1"/>
  <c r="Q13135" i="1"/>
  <c r="R13135" i="1"/>
  <c r="J6189" i="1"/>
  <c r="Q6189" i="1"/>
  <c r="R6189" i="1"/>
  <c r="J13136" i="1"/>
  <c r="Q13136" i="1"/>
  <c r="R13136" i="1"/>
  <c r="J13137" i="1"/>
  <c r="Q13137" i="1"/>
  <c r="R13137" i="1"/>
  <c r="J6190" i="1"/>
  <c r="Q6190" i="1"/>
  <c r="R6190" i="1"/>
  <c r="J13138" i="1"/>
  <c r="Q13138" i="1"/>
  <c r="R13138" i="1"/>
  <c r="J13139" i="1"/>
  <c r="Q13139" i="1"/>
  <c r="R13139" i="1"/>
  <c r="J6191" i="1"/>
  <c r="Q6191" i="1"/>
  <c r="R6191" i="1"/>
  <c r="J6192" i="1"/>
  <c r="Q6192" i="1"/>
  <c r="R6192" i="1"/>
  <c r="J6193" i="1"/>
  <c r="Q6193" i="1"/>
  <c r="R6193" i="1"/>
  <c r="J13140" i="1"/>
  <c r="Q13140" i="1"/>
  <c r="R13140" i="1"/>
  <c r="J6194" i="1"/>
  <c r="Q6194" i="1"/>
  <c r="R6194" i="1"/>
  <c r="J13141" i="1"/>
  <c r="Q13141" i="1"/>
  <c r="R13141" i="1"/>
  <c r="J13142" i="1"/>
  <c r="Q13142" i="1"/>
  <c r="R13142" i="1"/>
  <c r="J6195" i="1"/>
  <c r="Q6195" i="1"/>
  <c r="R6195" i="1"/>
  <c r="J13143" i="1"/>
  <c r="Q13143" i="1"/>
  <c r="R13143" i="1"/>
  <c r="J13144" i="1"/>
  <c r="Q13144" i="1"/>
  <c r="R13144" i="1"/>
  <c r="J13145" i="1"/>
  <c r="Q13145" i="1"/>
  <c r="R13145" i="1"/>
  <c r="J13146" i="1"/>
  <c r="Q13146" i="1"/>
  <c r="R13146" i="1"/>
  <c r="J13147" i="1"/>
  <c r="Q13147" i="1"/>
  <c r="R13147" i="1"/>
  <c r="J13148" i="1"/>
  <c r="Q13148" i="1"/>
  <c r="R13148" i="1"/>
  <c r="J6196" i="1"/>
  <c r="Q6196" i="1"/>
  <c r="R6196" i="1"/>
  <c r="J13149" i="1"/>
  <c r="Q13149" i="1"/>
  <c r="R13149" i="1"/>
  <c r="J13150" i="1"/>
  <c r="Q13150" i="1"/>
  <c r="R13150" i="1"/>
  <c r="J6197" i="1"/>
  <c r="Q6197" i="1"/>
  <c r="R6197" i="1"/>
  <c r="J13151" i="1"/>
  <c r="Q13151" i="1"/>
  <c r="R13151" i="1"/>
  <c r="J13152" i="1"/>
  <c r="Q13152" i="1"/>
  <c r="R13152" i="1"/>
  <c r="J6198" i="1"/>
  <c r="Q6198" i="1"/>
  <c r="R6198" i="1"/>
  <c r="J13153" i="1"/>
  <c r="Q13153" i="1"/>
  <c r="R13153" i="1"/>
  <c r="J13154" i="1"/>
  <c r="Q13154" i="1"/>
  <c r="R13154" i="1"/>
  <c r="J13155" i="1"/>
  <c r="Q13155" i="1"/>
  <c r="R13155" i="1"/>
  <c r="J13156" i="1"/>
  <c r="Q13156" i="1"/>
  <c r="R13156" i="1"/>
  <c r="J13157" i="1"/>
  <c r="Q13157" i="1"/>
  <c r="R13157" i="1"/>
  <c r="J13158" i="1"/>
  <c r="Q13158" i="1"/>
  <c r="R13158" i="1"/>
  <c r="J13159" i="1"/>
  <c r="Q13159" i="1"/>
  <c r="R13159" i="1"/>
  <c r="J13160" i="1"/>
  <c r="Q13160" i="1"/>
  <c r="R13160" i="1"/>
  <c r="J6199" i="1"/>
  <c r="Q6199" i="1"/>
  <c r="R6199" i="1"/>
  <c r="J13161" i="1"/>
  <c r="Q13161" i="1"/>
  <c r="R13161" i="1"/>
  <c r="J13162" i="1"/>
  <c r="Q13162" i="1"/>
  <c r="R13162" i="1"/>
  <c r="J13163" i="1"/>
  <c r="Q13163" i="1"/>
  <c r="R13163" i="1"/>
  <c r="J13164" i="1"/>
  <c r="Q13164" i="1"/>
  <c r="R13164" i="1"/>
  <c r="J6200" i="1"/>
  <c r="Q6200" i="1"/>
  <c r="R6200" i="1"/>
  <c r="J6201" i="1"/>
  <c r="Q6201" i="1"/>
  <c r="R6201" i="1"/>
  <c r="J6202" i="1"/>
  <c r="Q6202" i="1"/>
  <c r="R6202" i="1"/>
  <c r="J6203" i="1"/>
  <c r="Q6203" i="1"/>
  <c r="R6203" i="1"/>
  <c r="J6204" i="1"/>
  <c r="Q6204" i="1"/>
  <c r="R6204" i="1"/>
  <c r="J6205" i="1"/>
  <c r="Q6205" i="1"/>
  <c r="R6205" i="1"/>
  <c r="J6206" i="1"/>
  <c r="Q6206" i="1"/>
  <c r="R6206" i="1"/>
  <c r="J13165" i="1"/>
  <c r="Q13165" i="1"/>
  <c r="R13165" i="1"/>
  <c r="J6207" i="1"/>
  <c r="Q6207" i="1"/>
  <c r="R6207" i="1"/>
  <c r="J6208" i="1"/>
  <c r="Q6208" i="1"/>
  <c r="R6208" i="1"/>
  <c r="J13166" i="1"/>
  <c r="Q13166" i="1"/>
  <c r="R13166" i="1"/>
  <c r="J13167" i="1"/>
  <c r="Q13167" i="1"/>
  <c r="R13167" i="1"/>
  <c r="J6209" i="1"/>
  <c r="Q6209" i="1"/>
  <c r="R6209" i="1"/>
  <c r="J6210" i="1"/>
  <c r="Q6210" i="1"/>
  <c r="R6210" i="1"/>
  <c r="J6211" i="1"/>
  <c r="Q6211" i="1"/>
  <c r="R6211" i="1"/>
  <c r="J6212" i="1"/>
  <c r="Q6212" i="1"/>
  <c r="R6212" i="1"/>
  <c r="J6213" i="1"/>
  <c r="Q6213" i="1"/>
  <c r="R6213" i="1"/>
  <c r="J6214" i="1"/>
  <c r="Q6214" i="1"/>
  <c r="R6214" i="1"/>
  <c r="J6215" i="1"/>
  <c r="Q6215" i="1"/>
  <c r="R6215" i="1"/>
  <c r="J6216" i="1"/>
  <c r="Q6216" i="1"/>
  <c r="R6216" i="1"/>
  <c r="J6217" i="1"/>
  <c r="Q6217" i="1"/>
  <c r="R6217" i="1"/>
  <c r="J6218" i="1"/>
  <c r="Q6218" i="1"/>
  <c r="R6218" i="1"/>
  <c r="J6219" i="1"/>
  <c r="Q6219" i="1"/>
  <c r="R6219" i="1"/>
  <c r="J13168" i="1"/>
  <c r="Q13168" i="1"/>
  <c r="R13168" i="1"/>
  <c r="J6220" i="1"/>
  <c r="Q6220" i="1"/>
  <c r="R6220" i="1"/>
  <c r="J13169" i="1"/>
  <c r="Q13169" i="1"/>
  <c r="R13169" i="1"/>
  <c r="J13170" i="1"/>
  <c r="Q13170" i="1"/>
  <c r="R13170" i="1"/>
  <c r="J13171" i="1"/>
  <c r="Q13171" i="1"/>
  <c r="R13171" i="1"/>
  <c r="J13172" i="1"/>
  <c r="Q13172" i="1"/>
  <c r="R13172" i="1"/>
  <c r="J13173" i="1"/>
  <c r="Q13173" i="1"/>
  <c r="R13173" i="1"/>
  <c r="J13174" i="1"/>
  <c r="Q13174" i="1"/>
  <c r="R13174" i="1"/>
  <c r="J13175" i="1"/>
  <c r="Q13175" i="1"/>
  <c r="R13175" i="1"/>
  <c r="J6221" i="1"/>
  <c r="Q6221" i="1"/>
  <c r="R6221" i="1"/>
  <c r="J1696" i="1"/>
  <c r="Q1696" i="1"/>
  <c r="R1696" i="1"/>
  <c r="J1697" i="1"/>
  <c r="Q1697" i="1"/>
  <c r="R1697" i="1"/>
  <c r="J1698" i="1"/>
  <c r="Q1698" i="1"/>
  <c r="R1698" i="1"/>
  <c r="J8056" i="1"/>
  <c r="Q8056" i="1"/>
  <c r="R8056" i="1"/>
  <c r="J8057" i="1"/>
  <c r="Q8057" i="1"/>
  <c r="R8057" i="1"/>
  <c r="J1699" i="1"/>
  <c r="Q1699" i="1"/>
  <c r="R1699" i="1"/>
  <c r="J8058" i="1"/>
  <c r="Q8058" i="1"/>
  <c r="R8058" i="1"/>
  <c r="J1700" i="1"/>
  <c r="Q1700" i="1"/>
  <c r="R1700" i="1"/>
  <c r="J7025" i="1"/>
  <c r="Q7025" i="1"/>
  <c r="R7025" i="1"/>
  <c r="J7026" i="1"/>
  <c r="Q7026" i="1"/>
  <c r="R7026" i="1"/>
  <c r="J7027" i="1"/>
  <c r="Q7027" i="1"/>
  <c r="R7027" i="1"/>
  <c r="J1701" i="1"/>
  <c r="Q1701" i="1"/>
  <c r="R1701" i="1"/>
  <c r="J8059" i="1"/>
  <c r="Q8059" i="1"/>
  <c r="R8059" i="1"/>
  <c r="J8060" i="1"/>
  <c r="Q8060" i="1"/>
  <c r="R8060" i="1"/>
  <c r="J8061" i="1"/>
  <c r="Q8061" i="1"/>
  <c r="R8061" i="1"/>
  <c r="J8062" i="1"/>
  <c r="Q8062" i="1"/>
  <c r="R8062" i="1"/>
  <c r="J8063" i="1"/>
  <c r="Q8063" i="1"/>
  <c r="R8063" i="1"/>
  <c r="J8064" i="1"/>
  <c r="Q8064" i="1"/>
  <c r="R8064" i="1"/>
  <c r="J8065" i="1"/>
  <c r="Q8065" i="1"/>
  <c r="R8065" i="1"/>
  <c r="J8066" i="1"/>
  <c r="Q8066" i="1"/>
  <c r="R8066" i="1"/>
  <c r="J8067" i="1"/>
  <c r="Q8067" i="1"/>
  <c r="R8067" i="1"/>
  <c r="J8068" i="1"/>
  <c r="Q8068" i="1"/>
  <c r="R8068" i="1"/>
  <c r="J1702" i="1"/>
  <c r="Q1702" i="1"/>
  <c r="R1702" i="1"/>
  <c r="J1703" i="1"/>
  <c r="Q1703" i="1"/>
  <c r="R1703" i="1"/>
  <c r="J13605" i="1"/>
  <c r="Q13605" i="1"/>
  <c r="R13605" i="1"/>
  <c r="J1704" i="1"/>
  <c r="Q1704" i="1"/>
  <c r="R1704" i="1"/>
  <c r="J1705" i="1"/>
  <c r="Q1705" i="1"/>
  <c r="R1705" i="1"/>
  <c r="J1706" i="1"/>
  <c r="Q1706" i="1"/>
  <c r="R1706" i="1"/>
  <c r="J7028" i="1"/>
  <c r="Q7028" i="1"/>
  <c r="R7028" i="1"/>
  <c r="J1707" i="1"/>
  <c r="Q1707" i="1"/>
  <c r="R1707" i="1"/>
  <c r="J1708" i="1"/>
  <c r="Q1708" i="1"/>
  <c r="R1708" i="1"/>
  <c r="J1709" i="1"/>
  <c r="Q1709" i="1"/>
  <c r="R1709" i="1"/>
  <c r="J1710" i="1"/>
  <c r="Q1710" i="1"/>
  <c r="R1710" i="1"/>
  <c r="J1711" i="1"/>
  <c r="Q1711" i="1"/>
  <c r="R1711" i="1"/>
  <c r="J1712" i="1"/>
  <c r="Q1712" i="1"/>
  <c r="R1712" i="1"/>
  <c r="J1713" i="1"/>
  <c r="Q1713" i="1"/>
  <c r="R1713" i="1"/>
  <c r="J1714" i="1"/>
  <c r="Q1714" i="1"/>
  <c r="R1714" i="1"/>
  <c r="J1715" i="1"/>
  <c r="Q1715" i="1"/>
  <c r="R1715" i="1"/>
  <c r="J1716" i="1"/>
  <c r="Q1716" i="1"/>
  <c r="R1716" i="1"/>
  <c r="J1717" i="1"/>
  <c r="Q1717" i="1"/>
  <c r="R1717" i="1"/>
  <c r="J1718" i="1"/>
  <c r="Q1718" i="1"/>
  <c r="R1718" i="1"/>
  <c r="J1719" i="1"/>
  <c r="Q1719" i="1"/>
  <c r="R1719" i="1"/>
  <c r="J1720" i="1"/>
  <c r="Q1720" i="1"/>
  <c r="R1720" i="1"/>
  <c r="J1721" i="1"/>
  <c r="Q1721" i="1"/>
  <c r="R1721" i="1"/>
  <c r="J1722" i="1"/>
  <c r="Q1722" i="1"/>
  <c r="R1722" i="1"/>
  <c r="J1723" i="1"/>
  <c r="Q1723" i="1"/>
  <c r="R1723" i="1"/>
  <c r="J8069" i="1"/>
  <c r="Q8069" i="1"/>
  <c r="R8069" i="1"/>
  <c r="J1724" i="1"/>
  <c r="Q1724" i="1"/>
  <c r="R1724" i="1"/>
  <c r="J13606" i="1"/>
  <c r="Q13606" i="1"/>
  <c r="R13606" i="1"/>
  <c r="J6636" i="1"/>
  <c r="Q6636" i="1"/>
  <c r="R6636" i="1"/>
  <c r="J6637" i="1"/>
  <c r="Q6637" i="1"/>
  <c r="R6637" i="1"/>
  <c r="J7029" i="1"/>
  <c r="Q7029" i="1"/>
  <c r="R7029" i="1"/>
  <c r="J1725" i="1"/>
  <c r="Q1725" i="1"/>
  <c r="R1725" i="1"/>
  <c r="J1726" i="1"/>
  <c r="Q1726" i="1"/>
  <c r="R1726" i="1"/>
  <c r="J8070" i="1"/>
  <c r="Q8070" i="1"/>
  <c r="R8070" i="1"/>
  <c r="J1727" i="1"/>
  <c r="Q1727" i="1"/>
  <c r="R1727" i="1"/>
  <c r="J8071" i="1"/>
  <c r="Q8071" i="1"/>
  <c r="R8071" i="1"/>
  <c r="J8072" i="1"/>
  <c r="Q8072" i="1"/>
  <c r="R8072" i="1"/>
  <c r="J1728" i="1"/>
  <c r="Q1728" i="1"/>
  <c r="R1728" i="1"/>
  <c r="J1729" i="1"/>
  <c r="Q1729" i="1"/>
  <c r="R1729" i="1"/>
  <c r="J7030" i="1"/>
  <c r="Q7030" i="1"/>
  <c r="R7030" i="1"/>
  <c r="J7031" i="1"/>
  <c r="Q7031" i="1"/>
  <c r="R7031" i="1"/>
  <c r="J7032" i="1"/>
  <c r="Q7032" i="1"/>
  <c r="R7032" i="1"/>
  <c r="J7033" i="1"/>
  <c r="Q7033" i="1"/>
  <c r="R7033" i="1"/>
  <c r="J8073" i="1"/>
  <c r="Q8073" i="1"/>
  <c r="R8073" i="1"/>
  <c r="J7034" i="1"/>
  <c r="Q7034" i="1"/>
  <c r="R7034" i="1"/>
  <c r="J8074" i="1"/>
  <c r="Q8074" i="1"/>
  <c r="R8074" i="1"/>
  <c r="J8075" i="1"/>
  <c r="Q8075" i="1"/>
  <c r="R8075" i="1"/>
  <c r="J8076" i="1"/>
  <c r="Q8076" i="1"/>
  <c r="R8076" i="1"/>
  <c r="J8077" i="1"/>
  <c r="Q8077" i="1"/>
  <c r="R8077" i="1"/>
  <c r="J8078" i="1"/>
  <c r="Q8078" i="1"/>
  <c r="R8078" i="1"/>
  <c r="J8079" i="1"/>
  <c r="Q8079" i="1"/>
  <c r="R8079" i="1"/>
  <c r="J8080" i="1"/>
  <c r="Q8080" i="1"/>
  <c r="R8080" i="1"/>
  <c r="J8081" i="1"/>
  <c r="Q8081" i="1"/>
  <c r="R8081" i="1"/>
  <c r="J8082" i="1"/>
  <c r="Q8082" i="1"/>
  <c r="R8082" i="1"/>
  <c r="J8083" i="1"/>
  <c r="Q8083" i="1"/>
  <c r="R8083" i="1"/>
  <c r="J7035" i="1"/>
  <c r="Q7035" i="1"/>
  <c r="R7035" i="1"/>
  <c r="J8084" i="1"/>
  <c r="Q8084" i="1"/>
  <c r="R8084" i="1"/>
  <c r="J8085" i="1"/>
  <c r="Q8085" i="1"/>
  <c r="R8085" i="1"/>
  <c r="J8086" i="1"/>
  <c r="Q8086" i="1"/>
  <c r="R8086" i="1"/>
  <c r="J8087" i="1"/>
  <c r="Q8087" i="1"/>
  <c r="R8087" i="1"/>
  <c r="J8088" i="1"/>
  <c r="Q8088" i="1"/>
  <c r="R8088" i="1"/>
  <c r="J8089" i="1"/>
  <c r="Q8089" i="1"/>
  <c r="R8089" i="1"/>
  <c r="J7036" i="1"/>
  <c r="Q7036" i="1"/>
  <c r="R7036" i="1"/>
  <c r="J7037" i="1"/>
  <c r="Q7037" i="1"/>
  <c r="R7037" i="1"/>
  <c r="J1730" i="1"/>
  <c r="Q1730" i="1"/>
  <c r="R1730" i="1"/>
  <c r="J1731" i="1"/>
  <c r="Q1731" i="1"/>
  <c r="R1731" i="1"/>
  <c r="J1732" i="1"/>
  <c r="Q1732" i="1"/>
  <c r="R1732" i="1"/>
  <c r="J1733" i="1"/>
  <c r="Q1733" i="1"/>
  <c r="R1733" i="1"/>
  <c r="J1734" i="1"/>
  <c r="Q1734" i="1"/>
  <c r="R1734" i="1"/>
  <c r="J1735" i="1"/>
  <c r="Q1735" i="1"/>
  <c r="R1735" i="1"/>
  <c r="J1736" i="1"/>
  <c r="Q1736" i="1"/>
  <c r="R1736" i="1"/>
  <c r="J1737" i="1"/>
  <c r="Q1737" i="1"/>
  <c r="R1737" i="1"/>
  <c r="J1738" i="1"/>
  <c r="Q1738" i="1"/>
  <c r="R1738" i="1"/>
  <c r="J13607" i="1"/>
  <c r="Q13607" i="1"/>
  <c r="R13607" i="1"/>
  <c r="J1739" i="1"/>
  <c r="Q1739" i="1"/>
  <c r="R1739" i="1"/>
  <c r="J1740" i="1"/>
  <c r="Q1740" i="1"/>
  <c r="R1740" i="1"/>
  <c r="J1741" i="1"/>
  <c r="Q1741" i="1"/>
  <c r="R1741" i="1"/>
  <c r="J1742" i="1"/>
  <c r="Q1742" i="1"/>
  <c r="R1742" i="1"/>
  <c r="J1743" i="1"/>
  <c r="Q1743" i="1"/>
  <c r="R1743" i="1"/>
  <c r="J1744" i="1"/>
  <c r="Q1744" i="1"/>
  <c r="R1744" i="1"/>
  <c r="J1745" i="1"/>
  <c r="Q1745" i="1"/>
  <c r="R1745" i="1"/>
  <c r="J1746" i="1"/>
  <c r="Q1746" i="1"/>
  <c r="R1746" i="1"/>
  <c r="J1747" i="1"/>
  <c r="Q1747" i="1"/>
  <c r="R1747" i="1"/>
  <c r="J1748" i="1"/>
  <c r="Q1748" i="1"/>
  <c r="R1748" i="1"/>
  <c r="J1749" i="1"/>
  <c r="Q1749" i="1"/>
  <c r="R1749" i="1"/>
  <c r="J1750" i="1"/>
  <c r="Q1750" i="1"/>
  <c r="R1750" i="1"/>
  <c r="J1751" i="1"/>
  <c r="Q1751" i="1"/>
  <c r="R1751" i="1"/>
  <c r="J1752" i="1"/>
  <c r="Q1752" i="1"/>
  <c r="R1752" i="1"/>
  <c r="J1753" i="1"/>
  <c r="Q1753" i="1"/>
  <c r="R1753" i="1"/>
  <c r="J1754" i="1"/>
  <c r="Q1754" i="1"/>
  <c r="R1754" i="1"/>
  <c r="J1755" i="1"/>
  <c r="Q1755" i="1"/>
  <c r="R1755" i="1"/>
  <c r="J1756" i="1"/>
  <c r="Q1756" i="1"/>
  <c r="R1756" i="1"/>
  <c r="J1757" i="1"/>
  <c r="Q1757" i="1"/>
  <c r="R1757" i="1"/>
  <c r="J1758" i="1"/>
  <c r="Q1758" i="1"/>
  <c r="R1758" i="1"/>
  <c r="J1759" i="1"/>
  <c r="Q1759" i="1"/>
  <c r="R1759" i="1"/>
  <c r="J8090" i="1"/>
  <c r="Q8090" i="1"/>
  <c r="R8090" i="1"/>
  <c r="J1760" i="1"/>
  <c r="Q1760" i="1"/>
  <c r="R1760" i="1"/>
  <c r="J1761" i="1"/>
  <c r="Q1761" i="1"/>
  <c r="R1761" i="1"/>
  <c r="J8091" i="1"/>
  <c r="Q8091" i="1"/>
  <c r="R8091" i="1"/>
  <c r="J8092" i="1"/>
  <c r="Q8092" i="1"/>
  <c r="R8092" i="1"/>
  <c r="J1762" i="1"/>
  <c r="Q1762" i="1"/>
  <c r="R1762" i="1"/>
  <c r="J13608" i="1"/>
  <c r="Q13608" i="1"/>
  <c r="R13608" i="1"/>
  <c r="J6638" i="1"/>
  <c r="Q6638" i="1"/>
  <c r="R6638" i="1"/>
  <c r="J1763" i="1"/>
  <c r="Q1763" i="1"/>
  <c r="R1763" i="1"/>
  <c r="J1764" i="1"/>
  <c r="Q1764" i="1"/>
  <c r="R1764" i="1"/>
  <c r="J7038" i="1"/>
  <c r="Q7038" i="1"/>
  <c r="R7038" i="1"/>
  <c r="J1765" i="1"/>
  <c r="Q1765" i="1"/>
  <c r="R1765" i="1"/>
  <c r="J8093" i="1"/>
  <c r="Q8093" i="1"/>
  <c r="R8093" i="1"/>
  <c r="J6639" i="1"/>
  <c r="Q6639" i="1"/>
  <c r="R6639" i="1"/>
  <c r="J1766" i="1"/>
  <c r="Q1766" i="1"/>
  <c r="R1766" i="1"/>
  <c r="J1767" i="1"/>
  <c r="Q1767" i="1"/>
  <c r="R1767" i="1"/>
  <c r="J7039" i="1"/>
  <c r="Q7039" i="1"/>
  <c r="R7039" i="1"/>
  <c r="J7040" i="1"/>
  <c r="Q7040" i="1"/>
  <c r="R7040" i="1"/>
  <c r="J8094" i="1"/>
  <c r="Q8094" i="1"/>
  <c r="R8094" i="1"/>
  <c r="J1768" i="1"/>
  <c r="Q1768" i="1"/>
  <c r="R1768" i="1"/>
  <c r="J1769" i="1"/>
  <c r="Q1769" i="1"/>
  <c r="R1769" i="1"/>
  <c r="J1770" i="1"/>
  <c r="Q1770" i="1"/>
  <c r="R1770" i="1"/>
  <c r="J1771" i="1"/>
  <c r="Q1771" i="1"/>
  <c r="R1771" i="1"/>
  <c r="J1772" i="1"/>
  <c r="Q1772" i="1"/>
  <c r="R1772" i="1"/>
  <c r="J6640" i="1"/>
  <c r="Q6640" i="1"/>
  <c r="R6640" i="1"/>
  <c r="J1773" i="1"/>
  <c r="Q1773" i="1"/>
  <c r="R1773" i="1"/>
  <c r="J1774" i="1"/>
  <c r="Q1774" i="1"/>
  <c r="R1774" i="1"/>
  <c r="J1775" i="1"/>
  <c r="Q1775" i="1"/>
  <c r="R1775" i="1"/>
  <c r="J1776" i="1"/>
  <c r="Q1776" i="1"/>
  <c r="R1776" i="1"/>
  <c r="J1777" i="1"/>
  <c r="Q1777" i="1"/>
  <c r="R1777" i="1"/>
  <c r="J1778" i="1"/>
  <c r="Q1778" i="1"/>
  <c r="R1778" i="1"/>
  <c r="J8095" i="1"/>
  <c r="Q8095" i="1"/>
  <c r="R8095" i="1"/>
  <c r="J1779" i="1"/>
  <c r="Q1779" i="1"/>
  <c r="R1779" i="1"/>
  <c r="J6641" i="1"/>
  <c r="Q6641" i="1"/>
  <c r="R6641" i="1"/>
  <c r="J7041" i="1"/>
  <c r="Q7041" i="1"/>
  <c r="R7041" i="1"/>
  <c r="J7042" i="1"/>
  <c r="Q7042" i="1"/>
  <c r="R7042" i="1"/>
  <c r="J7043" i="1"/>
  <c r="Q7043" i="1"/>
  <c r="R7043" i="1"/>
  <c r="J7044" i="1"/>
  <c r="Q7044" i="1"/>
  <c r="R7044" i="1"/>
  <c r="J13609" i="1"/>
  <c r="Q13609" i="1"/>
  <c r="R13609" i="1"/>
  <c r="J8096" i="1"/>
  <c r="Q8096" i="1"/>
  <c r="R8096" i="1"/>
  <c r="J8097" i="1"/>
  <c r="Q8097" i="1"/>
  <c r="R8097" i="1"/>
  <c r="J8098" i="1"/>
  <c r="Q8098" i="1"/>
  <c r="R8098" i="1"/>
  <c r="J8099" i="1"/>
  <c r="Q8099" i="1"/>
  <c r="R8099" i="1"/>
  <c r="J8100" i="1"/>
  <c r="Q8100" i="1"/>
  <c r="R8100" i="1"/>
  <c r="J8101" i="1"/>
  <c r="Q8101" i="1"/>
  <c r="R8101" i="1"/>
  <c r="J8102" i="1"/>
  <c r="Q8102" i="1"/>
  <c r="R8102" i="1"/>
  <c r="J8103" i="1"/>
  <c r="Q8103" i="1"/>
  <c r="R8103" i="1"/>
  <c r="J7045" i="1"/>
  <c r="Q7045" i="1"/>
  <c r="R7045" i="1"/>
  <c r="J8104" i="1"/>
  <c r="Q8104" i="1"/>
  <c r="R8104" i="1"/>
  <c r="J8105" i="1"/>
  <c r="Q8105" i="1"/>
  <c r="R8105" i="1"/>
  <c r="J8106" i="1"/>
  <c r="Q8106" i="1"/>
  <c r="R8106" i="1"/>
  <c r="J8107" i="1"/>
  <c r="Q8107" i="1"/>
  <c r="R8107" i="1"/>
  <c r="J8108" i="1"/>
  <c r="Q8108" i="1"/>
  <c r="R8108" i="1"/>
  <c r="J8109" i="1"/>
  <c r="Q8109" i="1"/>
  <c r="R8109" i="1"/>
  <c r="J8110" i="1"/>
  <c r="Q8110" i="1"/>
  <c r="R8110" i="1"/>
  <c r="J8111" i="1"/>
  <c r="Q8111" i="1"/>
  <c r="R8111" i="1"/>
  <c r="J8112" i="1"/>
  <c r="Q8112" i="1"/>
  <c r="R8112" i="1"/>
  <c r="J8113" i="1"/>
  <c r="Q8113" i="1"/>
  <c r="R8113" i="1"/>
  <c r="J8114" i="1"/>
  <c r="Q8114" i="1"/>
  <c r="R8114" i="1"/>
  <c r="J1780" i="1"/>
  <c r="Q1780" i="1"/>
  <c r="R1780" i="1"/>
  <c r="J1781" i="1"/>
  <c r="Q1781" i="1"/>
  <c r="R1781" i="1"/>
  <c r="J1782" i="1"/>
  <c r="Q1782" i="1"/>
  <c r="R1782" i="1"/>
  <c r="J8115" i="1"/>
  <c r="Q8115" i="1"/>
  <c r="R8115" i="1"/>
  <c r="J1783" i="1"/>
  <c r="Q1783" i="1"/>
  <c r="R1783" i="1"/>
  <c r="J1784" i="1"/>
  <c r="Q1784" i="1"/>
  <c r="R1784" i="1"/>
  <c r="J1785" i="1"/>
  <c r="Q1785" i="1"/>
  <c r="R1785" i="1"/>
  <c r="J1786" i="1"/>
  <c r="Q1786" i="1"/>
  <c r="R1786" i="1"/>
  <c r="J1787" i="1"/>
  <c r="Q1787" i="1"/>
  <c r="R1787" i="1"/>
  <c r="J1788" i="1"/>
  <c r="Q1788" i="1"/>
  <c r="R1788" i="1"/>
  <c r="J1789" i="1"/>
  <c r="Q1789" i="1"/>
  <c r="R1789" i="1"/>
  <c r="J1790" i="1"/>
  <c r="Q1790" i="1"/>
  <c r="R1790" i="1"/>
  <c r="J1791" i="1"/>
  <c r="Q1791" i="1"/>
  <c r="R1791" i="1"/>
  <c r="J1792" i="1"/>
  <c r="Q1792" i="1"/>
  <c r="R1792" i="1"/>
  <c r="J1793" i="1"/>
  <c r="Q1793" i="1"/>
  <c r="R1793" i="1"/>
  <c r="J1794" i="1"/>
  <c r="Q1794" i="1"/>
  <c r="R1794" i="1"/>
  <c r="J1795" i="1"/>
  <c r="Q1795" i="1"/>
  <c r="R1795" i="1"/>
  <c r="J1796" i="1"/>
  <c r="Q1796" i="1"/>
  <c r="R1796" i="1"/>
  <c r="J1797" i="1"/>
  <c r="Q1797" i="1"/>
  <c r="R1797" i="1"/>
  <c r="J1798" i="1"/>
  <c r="Q1798" i="1"/>
  <c r="R1798" i="1"/>
  <c r="J1799" i="1"/>
  <c r="Q1799" i="1"/>
  <c r="R1799" i="1"/>
  <c r="J1800" i="1"/>
  <c r="Q1800" i="1"/>
  <c r="R1800" i="1"/>
  <c r="J1801" i="1"/>
  <c r="Q1801" i="1"/>
  <c r="R1801" i="1"/>
  <c r="J1802" i="1"/>
  <c r="Q1802" i="1"/>
  <c r="R1802" i="1"/>
  <c r="J1803" i="1"/>
  <c r="Q1803" i="1"/>
  <c r="R1803" i="1"/>
  <c r="J1804" i="1"/>
  <c r="Q1804" i="1"/>
  <c r="R1804" i="1"/>
  <c r="J1805" i="1"/>
  <c r="Q1805" i="1"/>
  <c r="R1805" i="1"/>
  <c r="J1806" i="1"/>
  <c r="Q1806" i="1"/>
  <c r="R1806" i="1"/>
  <c r="J8116" i="1"/>
  <c r="Q8116" i="1"/>
  <c r="R8116" i="1"/>
  <c r="J1807" i="1"/>
  <c r="Q1807" i="1"/>
  <c r="R1807" i="1"/>
  <c r="J8117" i="1"/>
  <c r="Q8117" i="1"/>
  <c r="R8117" i="1"/>
  <c r="J7046" i="1"/>
  <c r="Q7046" i="1"/>
  <c r="R7046" i="1"/>
  <c r="J8118" i="1"/>
  <c r="Q8118" i="1"/>
  <c r="R8118" i="1"/>
  <c r="J8119" i="1"/>
  <c r="Q8119" i="1"/>
  <c r="R8119" i="1"/>
  <c r="J8120" i="1"/>
  <c r="Q8120" i="1"/>
  <c r="R8120" i="1"/>
  <c r="J8121" i="1"/>
  <c r="Q8121" i="1"/>
  <c r="R8121" i="1"/>
  <c r="J13610" i="1"/>
  <c r="Q13610" i="1"/>
  <c r="R13610" i="1"/>
  <c r="J1808" i="1"/>
  <c r="Q1808" i="1"/>
  <c r="R1808" i="1"/>
  <c r="J1809" i="1"/>
  <c r="Q1809" i="1"/>
  <c r="R1809" i="1"/>
  <c r="J1810" i="1"/>
  <c r="Q1810" i="1"/>
  <c r="R1810" i="1"/>
  <c r="J1811" i="1"/>
  <c r="Q1811" i="1"/>
  <c r="R1811" i="1"/>
  <c r="J1812" i="1"/>
  <c r="Q1812" i="1"/>
  <c r="R1812" i="1"/>
  <c r="J1813" i="1"/>
  <c r="Q1813" i="1"/>
  <c r="R1813" i="1"/>
  <c r="J1814" i="1"/>
  <c r="Q1814" i="1"/>
  <c r="R1814" i="1"/>
  <c r="J1815" i="1"/>
  <c r="Q1815" i="1"/>
  <c r="R1815" i="1"/>
  <c r="J1816" i="1"/>
  <c r="Q1816" i="1"/>
  <c r="R1816" i="1"/>
  <c r="J8122" i="1"/>
  <c r="Q8122" i="1"/>
  <c r="R8122" i="1"/>
  <c r="J1817" i="1"/>
  <c r="Q1817" i="1"/>
  <c r="R1817" i="1"/>
  <c r="J6642" i="1"/>
  <c r="Q6642" i="1"/>
  <c r="R6642" i="1"/>
  <c r="J1818" i="1"/>
  <c r="Q1818" i="1"/>
  <c r="R1818" i="1"/>
  <c r="J1819" i="1"/>
  <c r="Q1819" i="1"/>
  <c r="R1819" i="1"/>
  <c r="J13176" i="1"/>
  <c r="Q13176" i="1"/>
  <c r="R13176" i="1"/>
  <c r="J13177" i="1"/>
  <c r="Q13177" i="1"/>
  <c r="R13177" i="1"/>
  <c r="J13178" i="1"/>
  <c r="Q13178" i="1"/>
  <c r="R13178" i="1"/>
  <c r="J13179" i="1"/>
  <c r="Q13179" i="1"/>
  <c r="R13179" i="1"/>
  <c r="J13180" i="1"/>
  <c r="Q13180" i="1"/>
  <c r="R13180" i="1"/>
  <c r="J6222" i="1"/>
  <c r="Q6222" i="1"/>
  <c r="R6222" i="1"/>
  <c r="J6223" i="1"/>
  <c r="Q6223" i="1"/>
  <c r="R6223" i="1"/>
  <c r="J6224" i="1"/>
  <c r="Q6224" i="1"/>
  <c r="R6224" i="1"/>
  <c r="J6225" i="1"/>
  <c r="Q6225" i="1"/>
  <c r="R6225" i="1"/>
  <c r="J6226" i="1"/>
  <c r="Q6226" i="1"/>
  <c r="R6226" i="1"/>
  <c r="J6227" i="1"/>
  <c r="Q6227" i="1"/>
  <c r="R6227" i="1"/>
  <c r="J13181" i="1"/>
  <c r="Q13181" i="1"/>
  <c r="R13181" i="1"/>
  <c r="J13182" i="1"/>
  <c r="Q13182" i="1"/>
  <c r="R13182" i="1"/>
  <c r="J13183" i="1"/>
  <c r="Q13183" i="1"/>
  <c r="R13183" i="1"/>
  <c r="J13184" i="1"/>
  <c r="Q13184" i="1"/>
  <c r="R13184" i="1"/>
  <c r="J6228" i="1"/>
  <c r="Q6228" i="1"/>
  <c r="R6228" i="1"/>
  <c r="J6229" i="1"/>
  <c r="Q6229" i="1"/>
  <c r="R6229" i="1"/>
  <c r="J6230" i="1"/>
  <c r="Q6230" i="1"/>
  <c r="R6230" i="1"/>
  <c r="J6231" i="1"/>
  <c r="Q6231" i="1"/>
  <c r="R6231" i="1"/>
  <c r="J6232" i="1"/>
  <c r="Q6232" i="1"/>
  <c r="R6232" i="1"/>
  <c r="J13185" i="1"/>
  <c r="Q13185" i="1"/>
  <c r="R13185" i="1"/>
  <c r="J6233" i="1"/>
  <c r="Q6233" i="1"/>
  <c r="R6233" i="1"/>
  <c r="J6234" i="1"/>
  <c r="Q6234" i="1"/>
  <c r="R6234" i="1"/>
  <c r="J6235" i="1"/>
  <c r="Q6235" i="1"/>
  <c r="R6235" i="1"/>
  <c r="J6236" i="1"/>
  <c r="Q6236" i="1"/>
  <c r="R6236" i="1"/>
  <c r="J6237" i="1"/>
  <c r="Q6237" i="1"/>
  <c r="R6237" i="1"/>
  <c r="J13186" i="1"/>
  <c r="Q13186" i="1"/>
  <c r="R13186" i="1"/>
  <c r="J13187" i="1"/>
  <c r="Q13187" i="1"/>
  <c r="R13187" i="1"/>
  <c r="J13188" i="1"/>
  <c r="Q13188" i="1"/>
  <c r="R13188" i="1"/>
  <c r="J6238" i="1"/>
  <c r="Q6238" i="1"/>
  <c r="R6238" i="1"/>
  <c r="J6239" i="1"/>
  <c r="Q6239" i="1"/>
  <c r="R6239" i="1"/>
  <c r="J13189" i="1"/>
  <c r="Q13189" i="1"/>
  <c r="R13189" i="1"/>
  <c r="J13190" i="1"/>
  <c r="Q13190" i="1"/>
  <c r="R13190" i="1"/>
  <c r="J6240" i="1"/>
  <c r="Q6240" i="1"/>
  <c r="R6240" i="1"/>
  <c r="J13191" i="1"/>
  <c r="Q13191" i="1"/>
  <c r="R13191" i="1"/>
  <c r="J13192" i="1"/>
  <c r="Q13192" i="1"/>
  <c r="R13192" i="1"/>
  <c r="J6241" i="1"/>
  <c r="Q6241" i="1"/>
  <c r="R6241" i="1"/>
  <c r="J13193" i="1"/>
  <c r="Q13193" i="1"/>
  <c r="R13193" i="1"/>
  <c r="J13194" i="1"/>
  <c r="Q13194" i="1"/>
  <c r="R13194" i="1"/>
  <c r="J6242" i="1"/>
  <c r="Q6242" i="1"/>
  <c r="R6242" i="1"/>
  <c r="J6243" i="1"/>
  <c r="Q6243" i="1"/>
  <c r="R6243" i="1"/>
  <c r="J6244" i="1"/>
  <c r="Q6244" i="1"/>
  <c r="R6244" i="1"/>
  <c r="J13195" i="1"/>
  <c r="Q13195" i="1"/>
  <c r="R13195" i="1"/>
  <c r="J13196" i="1"/>
  <c r="Q13196" i="1"/>
  <c r="R13196" i="1"/>
  <c r="J13197" i="1"/>
  <c r="Q13197" i="1"/>
  <c r="R13197" i="1"/>
  <c r="J6245" i="1"/>
  <c r="Q6245" i="1"/>
  <c r="R6245" i="1"/>
  <c r="J6246" i="1"/>
  <c r="Q6246" i="1"/>
  <c r="R6246" i="1"/>
  <c r="J13198" i="1"/>
  <c r="Q13198" i="1"/>
  <c r="R13198" i="1"/>
  <c r="J13199" i="1"/>
  <c r="Q13199" i="1"/>
  <c r="R13199" i="1"/>
  <c r="J13200" i="1"/>
  <c r="Q13200" i="1"/>
  <c r="R13200" i="1"/>
  <c r="J13201" i="1"/>
  <c r="Q13201" i="1"/>
  <c r="R13201" i="1"/>
  <c r="J6247" i="1"/>
  <c r="Q6247" i="1"/>
  <c r="R6247" i="1"/>
  <c r="J6248" i="1"/>
  <c r="Q6248" i="1"/>
  <c r="R6248" i="1"/>
  <c r="J6249" i="1"/>
  <c r="Q6249" i="1"/>
  <c r="R6249" i="1"/>
  <c r="J6250" i="1"/>
  <c r="Q6250" i="1"/>
  <c r="R6250" i="1"/>
  <c r="J6251" i="1"/>
  <c r="Q6251" i="1"/>
  <c r="R6251" i="1"/>
  <c r="J6252" i="1"/>
  <c r="Q6252" i="1"/>
  <c r="R6252" i="1"/>
  <c r="J6253" i="1"/>
  <c r="Q6253" i="1"/>
  <c r="R6253" i="1"/>
  <c r="J6254" i="1"/>
  <c r="Q6254" i="1"/>
  <c r="R6254" i="1"/>
  <c r="J13202" i="1"/>
  <c r="Q13202" i="1"/>
  <c r="R13202" i="1"/>
  <c r="J6255" i="1"/>
  <c r="Q6255" i="1"/>
  <c r="R6255" i="1"/>
  <c r="J13203" i="1"/>
  <c r="Q13203" i="1"/>
  <c r="R13203" i="1"/>
  <c r="J13204" i="1"/>
  <c r="Q13204" i="1"/>
  <c r="R13204" i="1"/>
  <c r="J13205" i="1"/>
  <c r="Q13205" i="1"/>
  <c r="R13205" i="1"/>
  <c r="J13206" i="1"/>
  <c r="Q13206" i="1"/>
  <c r="R13206" i="1"/>
  <c r="J13207" i="1"/>
  <c r="Q13207" i="1"/>
  <c r="R13207" i="1"/>
  <c r="J13208" i="1"/>
  <c r="Q13208" i="1"/>
  <c r="R13208" i="1"/>
  <c r="J13209" i="1"/>
  <c r="Q13209" i="1"/>
  <c r="R13209" i="1"/>
  <c r="J13210" i="1"/>
  <c r="Q13210" i="1"/>
  <c r="R13210" i="1"/>
  <c r="J6256" i="1"/>
  <c r="Q6256" i="1"/>
  <c r="R6256" i="1"/>
  <c r="J13211" i="1"/>
  <c r="Q13211" i="1"/>
  <c r="R13211" i="1"/>
  <c r="J6257" i="1"/>
  <c r="Q6257" i="1"/>
  <c r="R6257" i="1"/>
  <c r="J6258" i="1"/>
  <c r="Q6258" i="1"/>
  <c r="R6258" i="1"/>
  <c r="J13212" i="1"/>
  <c r="Q13212" i="1"/>
  <c r="R13212" i="1"/>
  <c r="J6259" i="1"/>
  <c r="Q6259" i="1"/>
  <c r="R6259" i="1"/>
  <c r="J13213" i="1"/>
  <c r="Q13213" i="1"/>
  <c r="R13213" i="1"/>
  <c r="J6260" i="1"/>
  <c r="Q6260" i="1"/>
  <c r="R6260" i="1"/>
  <c r="J13214" i="1"/>
  <c r="Q13214" i="1"/>
  <c r="R13214" i="1"/>
  <c r="J13215" i="1"/>
  <c r="Q13215" i="1"/>
  <c r="R13215" i="1"/>
  <c r="J6261" i="1"/>
  <c r="Q6261" i="1"/>
  <c r="R6261" i="1"/>
  <c r="J6262" i="1"/>
  <c r="Q6262" i="1"/>
  <c r="R6262" i="1"/>
  <c r="J13216" i="1"/>
  <c r="Q13216" i="1"/>
  <c r="R13216" i="1"/>
  <c r="J6263" i="1"/>
  <c r="Q6263" i="1"/>
  <c r="R6263" i="1"/>
  <c r="J13217" i="1"/>
  <c r="Q13217" i="1"/>
  <c r="R13217" i="1"/>
  <c r="J6264" i="1"/>
  <c r="Q6264" i="1"/>
  <c r="R6264" i="1"/>
  <c r="J6265" i="1"/>
  <c r="Q6265" i="1"/>
  <c r="R6265" i="1"/>
  <c r="J6266" i="1"/>
  <c r="Q6266" i="1"/>
  <c r="R6266" i="1"/>
  <c r="J6267" i="1"/>
  <c r="Q6267" i="1"/>
  <c r="R6267" i="1"/>
  <c r="J6268" i="1"/>
  <c r="Q6268" i="1"/>
  <c r="R6268" i="1"/>
  <c r="J6269" i="1"/>
  <c r="Q6269" i="1"/>
  <c r="R6269" i="1"/>
  <c r="J13218" i="1"/>
  <c r="Q13218" i="1"/>
  <c r="R13218" i="1"/>
  <c r="J13219" i="1"/>
  <c r="Q13219" i="1"/>
  <c r="R13219" i="1"/>
  <c r="J13220" i="1"/>
  <c r="Q13220" i="1"/>
  <c r="R13220" i="1"/>
  <c r="J13221" i="1"/>
  <c r="Q13221" i="1"/>
  <c r="R13221" i="1"/>
  <c r="J13222" i="1"/>
  <c r="Q13222" i="1"/>
  <c r="R13222" i="1"/>
  <c r="J13223" i="1"/>
  <c r="Q13223" i="1"/>
  <c r="R13223" i="1"/>
  <c r="J13224" i="1"/>
  <c r="Q13224" i="1"/>
  <c r="R13224" i="1"/>
  <c r="J13225" i="1"/>
  <c r="Q13225" i="1"/>
  <c r="R13225" i="1"/>
  <c r="J13226" i="1"/>
  <c r="Q13226" i="1"/>
  <c r="R13226" i="1"/>
  <c r="J6270" i="1"/>
  <c r="Q6270" i="1"/>
  <c r="R6270" i="1"/>
  <c r="J6271" i="1"/>
  <c r="Q6271" i="1"/>
  <c r="R6271" i="1"/>
  <c r="J6272" i="1"/>
  <c r="Q6272" i="1"/>
  <c r="R6272" i="1"/>
  <c r="J6273" i="1"/>
  <c r="Q6273" i="1"/>
  <c r="R6273" i="1"/>
  <c r="J6274" i="1"/>
  <c r="Q6274" i="1"/>
  <c r="R6274" i="1"/>
  <c r="J6275" i="1"/>
  <c r="Q6275" i="1"/>
  <c r="R6275" i="1"/>
  <c r="J6276" i="1"/>
  <c r="Q6276" i="1"/>
  <c r="R6276" i="1"/>
  <c r="J6277" i="1"/>
  <c r="Q6277" i="1"/>
  <c r="R6277" i="1"/>
  <c r="J6278" i="1"/>
  <c r="Q6278" i="1"/>
  <c r="R6278" i="1"/>
  <c r="J13227" i="1"/>
  <c r="Q13227" i="1"/>
  <c r="R13227" i="1"/>
  <c r="J13228" i="1"/>
  <c r="Q13228" i="1"/>
  <c r="R13228" i="1"/>
  <c r="J13229" i="1"/>
  <c r="Q13229" i="1"/>
  <c r="R13229" i="1"/>
  <c r="J6279" i="1"/>
  <c r="Q6279" i="1"/>
  <c r="R6279" i="1"/>
  <c r="J13230" i="1"/>
  <c r="Q13230" i="1"/>
  <c r="R13230" i="1"/>
  <c r="J6280" i="1"/>
  <c r="Q6280" i="1"/>
  <c r="R6280" i="1"/>
  <c r="J6281" i="1"/>
  <c r="Q6281" i="1"/>
  <c r="R6281" i="1"/>
  <c r="J13231" i="1"/>
  <c r="Q13231" i="1"/>
  <c r="R13231" i="1"/>
  <c r="J13232" i="1"/>
  <c r="Q13232" i="1"/>
  <c r="R13232" i="1"/>
  <c r="J6282" i="1"/>
  <c r="Q6282" i="1"/>
  <c r="R6282" i="1"/>
  <c r="J6283" i="1"/>
  <c r="Q6283" i="1"/>
  <c r="R6283" i="1"/>
  <c r="J6284" i="1"/>
  <c r="Q6284" i="1"/>
  <c r="R6284" i="1"/>
  <c r="J13233" i="1"/>
  <c r="Q13233" i="1"/>
  <c r="R13233" i="1"/>
  <c r="J13234" i="1"/>
  <c r="Q13234" i="1"/>
  <c r="R13234" i="1"/>
  <c r="J13235" i="1"/>
  <c r="Q13235" i="1"/>
  <c r="R13235" i="1"/>
  <c r="J13236" i="1"/>
  <c r="Q13236" i="1"/>
  <c r="R13236" i="1"/>
  <c r="J13237" i="1"/>
  <c r="Q13237" i="1"/>
  <c r="R13237" i="1"/>
  <c r="J13238" i="1"/>
  <c r="Q13238" i="1"/>
  <c r="R13238" i="1"/>
  <c r="J13239" i="1"/>
  <c r="Q13239" i="1"/>
  <c r="R13239" i="1"/>
  <c r="J13240" i="1"/>
  <c r="Q13240" i="1"/>
  <c r="R13240" i="1"/>
  <c r="J13241" i="1"/>
  <c r="Q13241" i="1"/>
  <c r="R13241" i="1"/>
  <c r="J6285" i="1"/>
  <c r="Q6285" i="1"/>
  <c r="R6285" i="1"/>
  <c r="J6286" i="1"/>
  <c r="Q6286" i="1"/>
  <c r="R6286" i="1"/>
  <c r="J13242" i="1"/>
  <c r="Q13242" i="1"/>
  <c r="R13242" i="1"/>
  <c r="J13243" i="1"/>
  <c r="Q13243" i="1"/>
  <c r="R13243" i="1"/>
  <c r="J6287" i="1"/>
  <c r="Q6287" i="1"/>
  <c r="R6287" i="1"/>
  <c r="J13244" i="1"/>
  <c r="Q13244" i="1"/>
  <c r="R13244" i="1"/>
  <c r="J13245" i="1"/>
  <c r="Q13245" i="1"/>
  <c r="R13245" i="1"/>
  <c r="J13246" i="1"/>
  <c r="Q13246" i="1"/>
  <c r="R13246" i="1"/>
  <c r="J13247" i="1"/>
  <c r="Q13247" i="1"/>
  <c r="R13247" i="1"/>
  <c r="J13248" i="1"/>
  <c r="Q13248" i="1"/>
  <c r="R13248" i="1"/>
  <c r="J6288" i="1"/>
  <c r="Q6288" i="1"/>
  <c r="R6288" i="1"/>
  <c r="J13249" i="1"/>
  <c r="Q13249" i="1"/>
  <c r="R13249" i="1"/>
  <c r="J13250" i="1"/>
  <c r="Q13250" i="1"/>
  <c r="R13250" i="1"/>
  <c r="J6289" i="1"/>
  <c r="Q6289" i="1"/>
  <c r="R6289" i="1"/>
  <c r="J6290" i="1"/>
  <c r="Q6290" i="1"/>
  <c r="R6290" i="1"/>
  <c r="J6291" i="1"/>
  <c r="Q6291" i="1"/>
  <c r="R6291" i="1"/>
  <c r="J6292" i="1"/>
  <c r="Q6292" i="1"/>
  <c r="R6292" i="1"/>
  <c r="J6293" i="1"/>
  <c r="Q6293" i="1"/>
  <c r="R6293" i="1"/>
  <c r="J6294" i="1"/>
  <c r="Q6294" i="1"/>
  <c r="R6294" i="1"/>
  <c r="J6295" i="1"/>
  <c r="Q6295" i="1"/>
  <c r="R6295" i="1"/>
  <c r="J6296" i="1"/>
  <c r="Q6296" i="1"/>
  <c r="R6296" i="1"/>
  <c r="J6297" i="1"/>
  <c r="Q6297" i="1"/>
  <c r="R6297" i="1"/>
  <c r="J6298" i="1"/>
  <c r="Q6298" i="1"/>
  <c r="R6298" i="1"/>
  <c r="J6299" i="1"/>
  <c r="Q6299" i="1"/>
  <c r="R6299" i="1"/>
  <c r="J6300" i="1"/>
  <c r="Q6300" i="1"/>
  <c r="R6300" i="1"/>
  <c r="J6301" i="1"/>
  <c r="Q6301" i="1"/>
  <c r="R6301" i="1"/>
  <c r="J6302" i="1"/>
  <c r="Q6302" i="1"/>
  <c r="R6302" i="1"/>
  <c r="J6303" i="1"/>
  <c r="Q6303" i="1"/>
  <c r="R6303" i="1"/>
  <c r="J13251" i="1"/>
  <c r="Q13251" i="1"/>
  <c r="R13251" i="1"/>
  <c r="J6304" i="1"/>
  <c r="Q6304" i="1"/>
  <c r="R6304" i="1"/>
  <c r="J6305" i="1"/>
  <c r="Q6305" i="1"/>
  <c r="R6305" i="1"/>
  <c r="J6306" i="1"/>
  <c r="Q6306" i="1"/>
  <c r="R6306" i="1"/>
  <c r="J6307" i="1"/>
  <c r="Q6307" i="1"/>
  <c r="R6307" i="1"/>
  <c r="J13252" i="1"/>
  <c r="Q13252" i="1"/>
  <c r="R13252" i="1"/>
  <c r="J6308" i="1"/>
  <c r="Q6308" i="1"/>
  <c r="R6308" i="1"/>
  <c r="J13253" i="1"/>
  <c r="Q13253" i="1"/>
  <c r="R13253" i="1"/>
  <c r="J13254" i="1"/>
  <c r="Q13254" i="1"/>
  <c r="R13254" i="1"/>
  <c r="J6309" i="1"/>
  <c r="Q6309" i="1"/>
  <c r="R6309" i="1"/>
  <c r="J6310" i="1"/>
  <c r="Q6310" i="1"/>
  <c r="R6310" i="1"/>
  <c r="J6311" i="1"/>
  <c r="Q6311" i="1"/>
  <c r="R6311" i="1"/>
  <c r="J6312" i="1"/>
  <c r="Q6312" i="1"/>
  <c r="R6312" i="1"/>
  <c r="J6313" i="1"/>
  <c r="Q6313" i="1"/>
  <c r="R6313" i="1"/>
  <c r="J6314" i="1"/>
  <c r="Q6314" i="1"/>
  <c r="R6314" i="1"/>
  <c r="J13255" i="1"/>
  <c r="Q13255" i="1"/>
  <c r="R13255" i="1"/>
  <c r="J6315" i="1"/>
  <c r="Q6315" i="1"/>
  <c r="R6315" i="1"/>
  <c r="J6316" i="1"/>
  <c r="Q6316" i="1"/>
  <c r="R6316" i="1"/>
  <c r="J6317" i="1"/>
  <c r="Q6317" i="1"/>
  <c r="R6317" i="1"/>
  <c r="J13256" i="1"/>
  <c r="Q13256" i="1"/>
  <c r="R13256" i="1"/>
  <c r="J13257" i="1"/>
  <c r="Q13257" i="1"/>
  <c r="R13257" i="1"/>
  <c r="J13258" i="1"/>
  <c r="Q13258" i="1"/>
  <c r="R13258" i="1"/>
  <c r="J13259" i="1"/>
  <c r="Q13259" i="1"/>
  <c r="R13259" i="1"/>
  <c r="J6318" i="1"/>
  <c r="Q6318" i="1"/>
  <c r="R6318" i="1"/>
  <c r="J6319" i="1"/>
  <c r="Q6319" i="1"/>
  <c r="R6319" i="1"/>
  <c r="J6320" i="1"/>
  <c r="Q6320" i="1"/>
  <c r="R6320" i="1"/>
  <c r="J6321" i="1"/>
  <c r="Q6321" i="1"/>
  <c r="R6321" i="1"/>
  <c r="J6322" i="1"/>
  <c r="Q6322" i="1"/>
  <c r="R6322" i="1"/>
  <c r="J13260" i="1"/>
  <c r="Q13260" i="1"/>
  <c r="R13260" i="1"/>
  <c r="J13261" i="1"/>
  <c r="Q13261" i="1"/>
  <c r="R13261" i="1"/>
  <c r="J13262" i="1"/>
  <c r="Q13262" i="1"/>
  <c r="R13262" i="1"/>
  <c r="J6323" i="1"/>
  <c r="Q6323" i="1"/>
  <c r="R6323" i="1"/>
  <c r="J6324" i="1"/>
  <c r="Q6324" i="1"/>
  <c r="R6324" i="1"/>
  <c r="J13263" i="1"/>
  <c r="Q13263" i="1"/>
  <c r="R13263" i="1"/>
  <c r="J6325" i="1"/>
  <c r="Q6325" i="1"/>
  <c r="R6325" i="1"/>
  <c r="J13264" i="1"/>
  <c r="Q13264" i="1"/>
  <c r="R13264" i="1"/>
  <c r="J13265" i="1"/>
  <c r="Q13265" i="1"/>
  <c r="R13265" i="1"/>
  <c r="J13266" i="1"/>
  <c r="Q13266" i="1"/>
  <c r="R13266" i="1"/>
  <c r="J6326" i="1"/>
  <c r="Q6326" i="1"/>
  <c r="R6326" i="1"/>
  <c r="J13267" i="1"/>
  <c r="Q13267" i="1"/>
  <c r="R13267" i="1"/>
  <c r="J13268" i="1"/>
  <c r="Q13268" i="1"/>
  <c r="R13268" i="1"/>
  <c r="J13269" i="1"/>
  <c r="Q13269" i="1"/>
  <c r="R13269" i="1"/>
  <c r="J13270" i="1"/>
  <c r="Q13270" i="1"/>
  <c r="R13270" i="1"/>
  <c r="J6327" i="1"/>
  <c r="Q6327" i="1"/>
  <c r="R6327" i="1"/>
  <c r="J6328" i="1"/>
  <c r="Q6328" i="1"/>
  <c r="R6328" i="1"/>
  <c r="J13271" i="1"/>
  <c r="Q13271" i="1"/>
  <c r="R13271" i="1"/>
  <c r="J13272" i="1"/>
  <c r="Q13272" i="1"/>
  <c r="R13272" i="1"/>
  <c r="J13273" i="1"/>
  <c r="Q13273" i="1"/>
  <c r="R13273" i="1"/>
  <c r="J6329" i="1"/>
  <c r="Q6329" i="1"/>
  <c r="R6329" i="1"/>
  <c r="J13274" i="1"/>
  <c r="Q13274" i="1"/>
  <c r="R13274" i="1"/>
  <c r="J13275" i="1"/>
  <c r="Q13275" i="1"/>
  <c r="R13275" i="1"/>
  <c r="J6330" i="1"/>
  <c r="Q6330" i="1"/>
  <c r="R6330" i="1"/>
  <c r="J13276" i="1"/>
  <c r="Q13276" i="1"/>
  <c r="R13276" i="1"/>
  <c r="J6331" i="1"/>
  <c r="Q6331" i="1"/>
  <c r="R6331" i="1"/>
  <c r="J6332" i="1"/>
  <c r="Q6332" i="1"/>
  <c r="R6332" i="1"/>
  <c r="J6333" i="1"/>
  <c r="Q6333" i="1"/>
  <c r="R6333" i="1"/>
  <c r="J13277" i="1"/>
  <c r="Q13277" i="1"/>
  <c r="R13277" i="1"/>
  <c r="J6334" i="1"/>
  <c r="Q6334" i="1"/>
  <c r="R6334" i="1"/>
  <c r="J13278" i="1"/>
  <c r="Q13278" i="1"/>
  <c r="R13278" i="1"/>
  <c r="J6335" i="1"/>
  <c r="Q6335" i="1"/>
  <c r="R6335" i="1"/>
  <c r="J13279" i="1"/>
  <c r="Q13279" i="1"/>
  <c r="R13279" i="1"/>
  <c r="J6336" i="1"/>
  <c r="Q6336" i="1"/>
  <c r="R6336" i="1"/>
  <c r="J13280" i="1"/>
  <c r="Q13280" i="1"/>
  <c r="R13280" i="1"/>
  <c r="J6337" i="1"/>
  <c r="Q6337" i="1"/>
  <c r="R6337" i="1"/>
  <c r="J6338" i="1"/>
  <c r="Q6338" i="1"/>
  <c r="R6338" i="1"/>
  <c r="J13281" i="1"/>
  <c r="Q13281" i="1"/>
  <c r="R13281" i="1"/>
  <c r="J13282" i="1"/>
  <c r="Q13282" i="1"/>
  <c r="R13282" i="1"/>
  <c r="J6339" i="1"/>
  <c r="Q6339" i="1"/>
  <c r="R6339" i="1"/>
  <c r="J6340" i="1"/>
  <c r="Q6340" i="1"/>
  <c r="R6340" i="1"/>
  <c r="J6341" i="1"/>
  <c r="Q6341" i="1"/>
  <c r="R6341" i="1"/>
  <c r="J6342" i="1"/>
  <c r="Q6342" i="1"/>
  <c r="R6342" i="1"/>
  <c r="J6343" i="1"/>
  <c r="Q6343" i="1"/>
  <c r="R6343" i="1"/>
  <c r="J13283" i="1"/>
  <c r="Q13283" i="1"/>
  <c r="R13283" i="1"/>
  <c r="J13284" i="1"/>
  <c r="Q13284" i="1"/>
  <c r="R13284" i="1"/>
  <c r="J6344" i="1"/>
  <c r="Q6344" i="1"/>
  <c r="R6344" i="1"/>
  <c r="J6345" i="1"/>
  <c r="Q6345" i="1"/>
  <c r="R6345" i="1"/>
  <c r="J6346" i="1"/>
  <c r="Q6346" i="1"/>
  <c r="R6346" i="1"/>
  <c r="J6347" i="1"/>
  <c r="Q6347" i="1"/>
  <c r="R6347" i="1"/>
  <c r="J6348" i="1"/>
  <c r="Q6348" i="1"/>
  <c r="R6348" i="1"/>
  <c r="J6349" i="1"/>
  <c r="Q6349" i="1"/>
  <c r="R6349" i="1"/>
  <c r="J6350" i="1"/>
  <c r="Q6350" i="1"/>
  <c r="R6350" i="1"/>
  <c r="J6351" i="1"/>
  <c r="Q6351" i="1"/>
  <c r="R6351" i="1"/>
  <c r="J6352" i="1"/>
  <c r="Q6352" i="1"/>
  <c r="R6352" i="1"/>
  <c r="J6353" i="1"/>
  <c r="Q6353" i="1"/>
  <c r="R6353" i="1"/>
  <c r="J6354" i="1"/>
  <c r="Q6354" i="1"/>
  <c r="R6354" i="1"/>
  <c r="J13285" i="1"/>
  <c r="Q13285" i="1"/>
  <c r="R13285" i="1"/>
  <c r="J13286" i="1"/>
  <c r="Q13286" i="1"/>
  <c r="R13286" i="1"/>
  <c r="J13287" i="1"/>
  <c r="Q13287" i="1"/>
  <c r="R13287" i="1"/>
  <c r="J13288" i="1"/>
  <c r="Q13288" i="1"/>
  <c r="R13288" i="1"/>
  <c r="J13289" i="1"/>
  <c r="Q13289" i="1"/>
  <c r="R13289" i="1"/>
  <c r="J13290" i="1"/>
  <c r="Q13290" i="1"/>
  <c r="R13290" i="1"/>
  <c r="J13291" i="1"/>
  <c r="Q13291" i="1"/>
  <c r="R13291" i="1"/>
  <c r="J13292" i="1"/>
  <c r="Q13292" i="1"/>
  <c r="R13292" i="1"/>
  <c r="J13293" i="1"/>
  <c r="Q13293" i="1"/>
  <c r="R13293" i="1"/>
  <c r="J13294" i="1"/>
  <c r="Q13294" i="1"/>
  <c r="R13294" i="1"/>
  <c r="J13295" i="1"/>
  <c r="Q13295" i="1"/>
  <c r="R13295" i="1"/>
  <c r="J13296" i="1"/>
  <c r="Q13296" i="1"/>
  <c r="R13296" i="1"/>
  <c r="J13297" i="1"/>
  <c r="Q13297" i="1"/>
  <c r="R13297" i="1"/>
  <c r="J13298" i="1"/>
  <c r="Q13298" i="1"/>
  <c r="R13298" i="1"/>
  <c r="J13299" i="1"/>
  <c r="Q13299" i="1"/>
  <c r="R13299" i="1"/>
  <c r="J6355" i="1"/>
  <c r="Q6355" i="1"/>
  <c r="R6355" i="1"/>
  <c r="J13300" i="1"/>
  <c r="Q13300" i="1"/>
  <c r="R13300" i="1"/>
  <c r="J6356" i="1"/>
  <c r="Q6356" i="1"/>
  <c r="R6356" i="1"/>
  <c r="J13301" i="1"/>
  <c r="Q13301" i="1"/>
  <c r="R13301" i="1"/>
  <c r="J13302" i="1"/>
  <c r="Q13302" i="1"/>
  <c r="R13302" i="1"/>
  <c r="J13303" i="1"/>
  <c r="Q13303" i="1"/>
  <c r="R13303" i="1"/>
  <c r="J13304" i="1"/>
  <c r="Q13304" i="1"/>
  <c r="R13304" i="1"/>
  <c r="J13305" i="1"/>
  <c r="Q13305" i="1"/>
  <c r="R13305" i="1"/>
  <c r="J13306" i="1"/>
  <c r="Q13306" i="1"/>
  <c r="R13306" i="1"/>
  <c r="J13307" i="1"/>
  <c r="Q13307" i="1"/>
  <c r="R13307" i="1"/>
  <c r="J13308" i="1"/>
  <c r="Q13308" i="1"/>
  <c r="R13308" i="1"/>
  <c r="J13309" i="1"/>
  <c r="Q13309" i="1"/>
  <c r="R13309" i="1"/>
  <c r="J13310" i="1"/>
  <c r="Q13310" i="1"/>
  <c r="R13310" i="1"/>
  <c r="J13311" i="1"/>
  <c r="Q13311" i="1"/>
  <c r="R13311" i="1"/>
  <c r="J13312" i="1"/>
  <c r="Q13312" i="1"/>
  <c r="R13312" i="1"/>
  <c r="J13313" i="1"/>
  <c r="Q13313" i="1"/>
  <c r="R13313" i="1"/>
  <c r="J13314" i="1"/>
  <c r="Q13314" i="1"/>
  <c r="R13314" i="1"/>
  <c r="J13315" i="1"/>
  <c r="Q13315" i="1"/>
  <c r="R13315" i="1"/>
  <c r="J6357" i="1"/>
  <c r="Q6357" i="1"/>
  <c r="R6357" i="1"/>
  <c r="J13316" i="1"/>
  <c r="Q13316" i="1"/>
  <c r="R13316" i="1"/>
  <c r="J13317" i="1"/>
  <c r="Q13317" i="1"/>
  <c r="R13317" i="1"/>
  <c r="J13318" i="1"/>
  <c r="Q13318" i="1"/>
  <c r="R13318" i="1"/>
  <c r="J6358" i="1"/>
  <c r="Q6358" i="1"/>
  <c r="R6358" i="1"/>
  <c r="J13319" i="1"/>
  <c r="Q13319" i="1"/>
  <c r="R13319" i="1"/>
  <c r="J13320" i="1"/>
  <c r="Q13320" i="1"/>
  <c r="R13320" i="1"/>
  <c r="J13321" i="1"/>
  <c r="Q13321" i="1"/>
  <c r="R13321" i="1"/>
  <c r="J6359" i="1"/>
  <c r="Q6359" i="1"/>
  <c r="R6359" i="1"/>
  <c r="J13322" i="1"/>
  <c r="Q13322" i="1"/>
  <c r="R13322" i="1"/>
  <c r="J13323" i="1"/>
  <c r="Q13323" i="1"/>
  <c r="R13323" i="1"/>
  <c r="J13324" i="1"/>
  <c r="Q13324" i="1"/>
  <c r="R13324" i="1"/>
  <c r="J13325" i="1"/>
  <c r="Q13325" i="1"/>
  <c r="R13325" i="1"/>
  <c r="J13326" i="1"/>
  <c r="Q13326" i="1"/>
  <c r="R13326" i="1"/>
  <c r="J13327" i="1"/>
  <c r="Q13327" i="1"/>
  <c r="R13327" i="1"/>
  <c r="J6360" i="1"/>
  <c r="Q6360" i="1"/>
  <c r="R6360" i="1"/>
  <c r="J6361" i="1"/>
  <c r="Q6361" i="1"/>
  <c r="R6361" i="1"/>
  <c r="J13328" i="1"/>
  <c r="Q13328" i="1"/>
  <c r="R13328" i="1"/>
  <c r="J6362" i="1"/>
  <c r="Q6362" i="1"/>
  <c r="R6362" i="1"/>
  <c r="J6363" i="1"/>
  <c r="Q6363" i="1"/>
  <c r="R6363" i="1"/>
  <c r="J6364" i="1"/>
  <c r="Q6364" i="1"/>
  <c r="R6364" i="1"/>
  <c r="J13329" i="1"/>
  <c r="Q13329" i="1"/>
  <c r="R13329" i="1"/>
  <c r="J13330" i="1"/>
  <c r="Q13330" i="1"/>
  <c r="R13330" i="1"/>
  <c r="J6365" i="1"/>
  <c r="Q6365" i="1"/>
  <c r="R6365" i="1"/>
  <c r="J13331" i="1"/>
  <c r="Q13331" i="1"/>
  <c r="R13331" i="1"/>
  <c r="J6366" i="1"/>
  <c r="Q6366" i="1"/>
  <c r="R6366" i="1"/>
  <c r="J6367" i="1"/>
  <c r="Q6367" i="1"/>
  <c r="R6367" i="1"/>
  <c r="J6368" i="1"/>
  <c r="Q6368" i="1"/>
  <c r="R6368" i="1"/>
  <c r="J13332" i="1"/>
  <c r="Q13332" i="1"/>
  <c r="R13332" i="1"/>
  <c r="J6369" i="1"/>
  <c r="Q6369" i="1"/>
  <c r="R6369" i="1"/>
  <c r="J6370" i="1"/>
  <c r="Q6370" i="1"/>
  <c r="R6370" i="1"/>
  <c r="J6371" i="1"/>
  <c r="Q6371" i="1"/>
  <c r="R6371" i="1"/>
  <c r="J6372" i="1"/>
  <c r="Q6372" i="1"/>
  <c r="R6372" i="1"/>
  <c r="J6373" i="1"/>
  <c r="Q6373" i="1"/>
  <c r="R6373" i="1"/>
  <c r="J13333" i="1"/>
  <c r="Q13333" i="1"/>
  <c r="R13333" i="1"/>
  <c r="J6374" i="1"/>
  <c r="Q6374" i="1"/>
  <c r="R6374" i="1"/>
  <c r="J6375" i="1"/>
  <c r="Q6375" i="1"/>
  <c r="R6375" i="1"/>
  <c r="J6376" i="1"/>
  <c r="Q6376" i="1"/>
  <c r="R6376" i="1"/>
  <c r="J6377" i="1"/>
  <c r="Q6377" i="1"/>
  <c r="R6377" i="1"/>
  <c r="J6378" i="1"/>
  <c r="Q6378" i="1"/>
  <c r="R6378" i="1"/>
  <c r="J6379" i="1"/>
  <c r="Q6379" i="1"/>
  <c r="R6379" i="1"/>
  <c r="J6380" i="1"/>
  <c r="Q6380" i="1"/>
  <c r="R6380" i="1"/>
  <c r="J6381" i="1"/>
  <c r="Q6381" i="1"/>
  <c r="R6381" i="1"/>
  <c r="J13334" i="1"/>
  <c r="Q13334" i="1"/>
  <c r="R13334" i="1"/>
  <c r="J6382" i="1"/>
  <c r="Q6382" i="1"/>
  <c r="R6382" i="1"/>
  <c r="J6383" i="1"/>
  <c r="Q6383" i="1"/>
  <c r="R6383" i="1"/>
  <c r="J13335" i="1"/>
  <c r="Q13335" i="1"/>
  <c r="R13335" i="1"/>
  <c r="J13336" i="1"/>
  <c r="Q13336" i="1"/>
  <c r="R13336" i="1"/>
  <c r="J6384" i="1"/>
  <c r="Q6384" i="1"/>
  <c r="R6384" i="1"/>
  <c r="J13337" i="1"/>
  <c r="Q13337" i="1"/>
  <c r="R13337" i="1"/>
  <c r="J13338" i="1"/>
  <c r="Q13338" i="1"/>
  <c r="R13338" i="1"/>
  <c r="J6385" i="1"/>
  <c r="Q6385" i="1"/>
  <c r="R6385" i="1"/>
  <c r="J13339" i="1"/>
  <c r="Q13339" i="1"/>
  <c r="R13339" i="1"/>
  <c r="J13340" i="1"/>
  <c r="Q13340" i="1"/>
  <c r="R13340" i="1"/>
  <c r="J13341" i="1"/>
  <c r="Q13341" i="1"/>
  <c r="R13341" i="1"/>
  <c r="J13342" i="1"/>
  <c r="Q13342" i="1"/>
  <c r="R13342" i="1"/>
  <c r="J13343" i="1"/>
  <c r="Q13343" i="1"/>
  <c r="R13343" i="1"/>
  <c r="J13344" i="1"/>
  <c r="Q13344" i="1"/>
  <c r="R13344" i="1"/>
  <c r="J13345" i="1"/>
  <c r="Q13345" i="1"/>
  <c r="R13345" i="1"/>
  <c r="J13346" i="1"/>
  <c r="Q13346" i="1"/>
  <c r="R13346" i="1"/>
  <c r="J6386" i="1"/>
  <c r="Q6386" i="1"/>
  <c r="R6386" i="1"/>
  <c r="J6387" i="1"/>
  <c r="Q6387" i="1"/>
  <c r="R6387" i="1"/>
  <c r="J6388" i="1"/>
  <c r="Q6388" i="1"/>
  <c r="R6388" i="1"/>
  <c r="J6389" i="1"/>
  <c r="Q6389" i="1"/>
  <c r="R6389" i="1"/>
  <c r="J13347" i="1"/>
  <c r="Q13347" i="1"/>
  <c r="R13347" i="1"/>
  <c r="J6390" i="1"/>
  <c r="Q6390" i="1"/>
  <c r="R6390" i="1"/>
  <c r="J13348" i="1"/>
  <c r="Q13348" i="1"/>
  <c r="R13348" i="1"/>
  <c r="J6391" i="1"/>
  <c r="Q6391" i="1"/>
  <c r="R6391" i="1"/>
  <c r="J13349" i="1"/>
  <c r="Q13349" i="1"/>
  <c r="R13349" i="1"/>
  <c r="J13350" i="1"/>
  <c r="Q13350" i="1"/>
  <c r="R13350" i="1"/>
  <c r="J13351" i="1"/>
  <c r="Q13351" i="1"/>
  <c r="R13351" i="1"/>
  <c r="J13352" i="1"/>
  <c r="Q13352" i="1"/>
  <c r="R13352" i="1"/>
  <c r="J6392" i="1"/>
  <c r="Q6392" i="1"/>
  <c r="R6392" i="1"/>
  <c r="J13353" i="1"/>
  <c r="Q13353" i="1"/>
  <c r="R13353" i="1"/>
  <c r="J6393" i="1"/>
  <c r="Q6393" i="1"/>
  <c r="R6393" i="1"/>
  <c r="J6394" i="1"/>
  <c r="Q6394" i="1"/>
  <c r="R6394" i="1"/>
  <c r="J6395" i="1"/>
  <c r="Q6395" i="1"/>
  <c r="R6395" i="1"/>
  <c r="J6396" i="1"/>
  <c r="Q6396" i="1"/>
  <c r="R6396" i="1"/>
  <c r="J6397" i="1"/>
  <c r="Q6397" i="1"/>
  <c r="R6397" i="1"/>
  <c r="J6398" i="1"/>
  <c r="Q6398" i="1"/>
  <c r="R6398" i="1"/>
  <c r="J6399" i="1"/>
  <c r="Q6399" i="1"/>
  <c r="R6399" i="1"/>
  <c r="J6400" i="1"/>
  <c r="Q6400" i="1"/>
  <c r="R6400" i="1"/>
  <c r="J6401" i="1"/>
  <c r="Q6401" i="1"/>
  <c r="R6401" i="1"/>
  <c r="J6402" i="1"/>
  <c r="Q6402" i="1"/>
  <c r="R6402" i="1"/>
  <c r="J6403" i="1"/>
  <c r="Q6403" i="1"/>
  <c r="R6403" i="1"/>
  <c r="J6404" i="1"/>
  <c r="Q6404" i="1"/>
  <c r="R6404" i="1"/>
  <c r="J6405" i="1"/>
  <c r="Q6405" i="1"/>
  <c r="R6405" i="1"/>
  <c r="J6406" i="1"/>
  <c r="Q6406" i="1"/>
  <c r="R6406" i="1"/>
  <c r="J13354" i="1"/>
  <c r="Q13354" i="1"/>
  <c r="R13354" i="1"/>
  <c r="J6407" i="1"/>
  <c r="Q6407" i="1"/>
  <c r="R6407" i="1"/>
  <c r="J13355" i="1"/>
  <c r="Q13355" i="1"/>
  <c r="R13355" i="1"/>
  <c r="J13356" i="1"/>
  <c r="Q13356" i="1"/>
  <c r="R13356" i="1"/>
  <c r="J13357" i="1"/>
  <c r="Q13357" i="1"/>
  <c r="R13357" i="1"/>
  <c r="J13358" i="1"/>
  <c r="Q13358" i="1"/>
  <c r="R13358" i="1"/>
  <c r="J6408" i="1"/>
  <c r="Q6408" i="1"/>
  <c r="R6408" i="1"/>
  <c r="J13359" i="1"/>
  <c r="Q13359" i="1"/>
  <c r="R13359" i="1"/>
  <c r="J6409" i="1"/>
  <c r="Q6409" i="1"/>
  <c r="R6409" i="1"/>
  <c r="J13360" i="1"/>
  <c r="Q13360" i="1"/>
  <c r="R13360" i="1"/>
  <c r="J13361" i="1"/>
  <c r="Q13361" i="1"/>
  <c r="R13361" i="1"/>
  <c r="J13362" i="1"/>
  <c r="Q13362" i="1"/>
  <c r="R13362" i="1"/>
  <c r="J13363" i="1"/>
  <c r="Q13363" i="1"/>
  <c r="R13363" i="1"/>
  <c r="J13364" i="1"/>
  <c r="Q13364" i="1"/>
  <c r="R13364" i="1"/>
  <c r="J13365" i="1"/>
  <c r="Q13365" i="1"/>
  <c r="R13365" i="1"/>
  <c r="J6410" i="1"/>
  <c r="Q6410" i="1"/>
  <c r="R6410" i="1"/>
  <c r="J13366" i="1"/>
  <c r="Q13366" i="1"/>
  <c r="R13366" i="1"/>
  <c r="J13367" i="1"/>
  <c r="Q13367" i="1"/>
  <c r="R13367" i="1"/>
  <c r="J6411" i="1"/>
  <c r="Q6411" i="1"/>
  <c r="R6411" i="1"/>
  <c r="J6412" i="1"/>
  <c r="Q6412" i="1"/>
  <c r="R6412" i="1"/>
  <c r="J13368" i="1"/>
  <c r="Q13368" i="1"/>
  <c r="R13368" i="1"/>
  <c r="J13369" i="1"/>
  <c r="Q13369" i="1"/>
  <c r="R13369" i="1"/>
  <c r="J13370" i="1"/>
  <c r="Q13370" i="1"/>
  <c r="R13370" i="1"/>
  <c r="J13371" i="1"/>
  <c r="Q13371" i="1"/>
  <c r="R13371" i="1"/>
  <c r="J6413" i="1"/>
  <c r="Q6413" i="1"/>
  <c r="R6413" i="1"/>
  <c r="J6414" i="1"/>
  <c r="Q6414" i="1"/>
  <c r="R6414" i="1"/>
  <c r="J6415" i="1"/>
  <c r="Q6415" i="1"/>
  <c r="R6415" i="1"/>
  <c r="J13372" i="1"/>
  <c r="Q13372" i="1"/>
  <c r="R13372" i="1"/>
  <c r="J6416" i="1"/>
  <c r="Q6416" i="1"/>
  <c r="R6416" i="1"/>
  <c r="J13373" i="1"/>
  <c r="Q13373" i="1"/>
  <c r="R13373" i="1"/>
  <c r="J13374" i="1"/>
  <c r="Q13374" i="1"/>
  <c r="R13374" i="1"/>
  <c r="J6417" i="1"/>
  <c r="Q6417" i="1"/>
  <c r="R6417" i="1"/>
  <c r="J13375" i="1"/>
  <c r="Q13375" i="1"/>
  <c r="R13375" i="1"/>
  <c r="J6418" i="1"/>
  <c r="Q6418" i="1"/>
  <c r="R6418" i="1"/>
  <c r="J6419" i="1"/>
  <c r="Q6419" i="1"/>
  <c r="R6419" i="1"/>
  <c r="J6420" i="1"/>
  <c r="Q6420" i="1"/>
  <c r="R6420" i="1"/>
  <c r="J13376" i="1"/>
  <c r="Q13376" i="1"/>
  <c r="R13376" i="1"/>
  <c r="J13377" i="1"/>
  <c r="Q13377" i="1"/>
  <c r="R13377" i="1"/>
  <c r="J6421" i="1"/>
  <c r="Q6421" i="1"/>
  <c r="R6421" i="1"/>
  <c r="J6422" i="1"/>
  <c r="Q6422" i="1"/>
  <c r="R6422" i="1"/>
  <c r="J13378" i="1"/>
  <c r="Q13378" i="1"/>
  <c r="R13378" i="1"/>
  <c r="J6423" i="1"/>
  <c r="Q6423" i="1"/>
  <c r="R6423" i="1"/>
  <c r="J13379" i="1"/>
  <c r="Q13379" i="1"/>
  <c r="R13379" i="1"/>
  <c r="J6424" i="1"/>
  <c r="Q6424" i="1"/>
  <c r="R6424" i="1"/>
  <c r="J13380" i="1"/>
  <c r="Q13380" i="1"/>
  <c r="R13380" i="1"/>
  <c r="J6425" i="1"/>
  <c r="Q6425" i="1"/>
  <c r="R6425" i="1"/>
  <c r="J6426" i="1"/>
  <c r="Q6426" i="1"/>
  <c r="R6426" i="1"/>
  <c r="J6427" i="1"/>
  <c r="Q6427" i="1"/>
  <c r="R6427" i="1"/>
  <c r="J13381" i="1"/>
  <c r="Q13381" i="1"/>
  <c r="R13381" i="1"/>
  <c r="J13382" i="1"/>
  <c r="Q13382" i="1"/>
  <c r="R13382" i="1"/>
  <c r="J13383" i="1"/>
  <c r="Q13383" i="1"/>
  <c r="R13383" i="1"/>
  <c r="J13384" i="1"/>
  <c r="Q13384" i="1"/>
  <c r="R13384" i="1"/>
  <c r="J6428" i="1"/>
  <c r="Q6428" i="1"/>
  <c r="R6428" i="1"/>
  <c r="J13385" i="1"/>
  <c r="Q13385" i="1"/>
  <c r="R13385" i="1"/>
  <c r="J6429" i="1"/>
  <c r="Q6429" i="1"/>
  <c r="R6429" i="1"/>
  <c r="J13386" i="1"/>
  <c r="Q13386" i="1"/>
  <c r="R13386" i="1"/>
  <c r="J13387" i="1"/>
  <c r="Q13387" i="1"/>
  <c r="R13387" i="1"/>
  <c r="J6430" i="1"/>
  <c r="Q6430" i="1"/>
  <c r="R6430" i="1"/>
  <c r="J13388" i="1"/>
  <c r="Q13388" i="1"/>
  <c r="R13388" i="1"/>
  <c r="J6431" i="1"/>
  <c r="Q6431" i="1"/>
  <c r="R6431" i="1"/>
  <c r="J6432" i="1"/>
  <c r="Q6432" i="1"/>
  <c r="R6432" i="1"/>
  <c r="J6433" i="1"/>
  <c r="Q6433" i="1"/>
  <c r="R6433" i="1"/>
  <c r="J6434" i="1"/>
  <c r="Q6434" i="1"/>
  <c r="R6434" i="1"/>
  <c r="J6435" i="1"/>
  <c r="Q6435" i="1"/>
  <c r="R6435" i="1"/>
  <c r="J6436" i="1"/>
  <c r="Q6436" i="1"/>
  <c r="R6436" i="1"/>
  <c r="J6437" i="1"/>
  <c r="Q6437" i="1"/>
  <c r="R6437" i="1"/>
  <c r="J13389" i="1"/>
  <c r="Q13389" i="1"/>
  <c r="R13389" i="1"/>
  <c r="J13390" i="1"/>
  <c r="Q13390" i="1"/>
  <c r="R13390" i="1"/>
  <c r="J6438" i="1"/>
  <c r="Q6438" i="1"/>
  <c r="R6438" i="1"/>
  <c r="J13391" i="1"/>
  <c r="Q13391" i="1"/>
  <c r="R13391" i="1"/>
  <c r="J6439" i="1"/>
  <c r="Q6439" i="1"/>
  <c r="R6439" i="1"/>
  <c r="J6440" i="1"/>
  <c r="Q6440" i="1"/>
  <c r="R6440" i="1"/>
  <c r="J6441" i="1"/>
  <c r="Q6441" i="1"/>
  <c r="R6441" i="1"/>
  <c r="J6442" i="1"/>
  <c r="Q6442" i="1"/>
  <c r="R6442" i="1"/>
  <c r="J6443" i="1"/>
  <c r="Q6443" i="1"/>
  <c r="R6443" i="1"/>
  <c r="J6444" i="1"/>
  <c r="Q6444" i="1"/>
  <c r="R6444" i="1"/>
  <c r="J6445" i="1"/>
  <c r="Q6445" i="1"/>
  <c r="R6445" i="1"/>
  <c r="J6446" i="1"/>
  <c r="Q6446" i="1"/>
  <c r="R6446" i="1"/>
  <c r="J13392" i="1"/>
  <c r="Q13392" i="1"/>
  <c r="R13392" i="1"/>
  <c r="J6447" i="1"/>
  <c r="Q6447" i="1"/>
  <c r="R6447" i="1"/>
  <c r="J6448" i="1"/>
  <c r="Q6448" i="1"/>
  <c r="R6448" i="1"/>
  <c r="J6449" i="1"/>
  <c r="Q6449" i="1"/>
  <c r="R6449" i="1"/>
  <c r="J6450" i="1"/>
  <c r="Q6450" i="1"/>
  <c r="R6450" i="1"/>
  <c r="J6451" i="1"/>
  <c r="Q6451" i="1"/>
  <c r="R6451" i="1"/>
  <c r="J6452" i="1"/>
  <c r="Q6452" i="1"/>
  <c r="R6452" i="1"/>
  <c r="J6453" i="1"/>
  <c r="Q6453" i="1"/>
  <c r="R6453" i="1"/>
  <c r="J6454" i="1"/>
  <c r="Q6454" i="1"/>
  <c r="R6454" i="1"/>
  <c r="J6455" i="1"/>
  <c r="Q6455" i="1"/>
  <c r="R6455" i="1"/>
  <c r="J6456" i="1"/>
  <c r="Q6456" i="1"/>
  <c r="R6456" i="1"/>
  <c r="J13393" i="1"/>
  <c r="Q13393" i="1"/>
  <c r="R13393" i="1"/>
  <c r="J13394" i="1"/>
  <c r="Q13394" i="1"/>
  <c r="R13394" i="1"/>
  <c r="J13395" i="1"/>
  <c r="Q13395" i="1"/>
  <c r="R13395" i="1"/>
  <c r="J6457" i="1"/>
  <c r="Q6457" i="1"/>
  <c r="R6457" i="1"/>
  <c r="J6458" i="1"/>
  <c r="Q6458" i="1"/>
  <c r="R6458" i="1"/>
  <c r="J6459" i="1"/>
  <c r="Q6459" i="1"/>
  <c r="R6459" i="1"/>
  <c r="J6460" i="1"/>
  <c r="Q6460" i="1"/>
  <c r="R6460" i="1"/>
  <c r="J6461" i="1"/>
  <c r="Q6461" i="1"/>
  <c r="R6461" i="1"/>
  <c r="J6462" i="1"/>
  <c r="Q6462" i="1"/>
  <c r="R6462" i="1"/>
  <c r="J6463" i="1"/>
  <c r="Q6463" i="1"/>
  <c r="R6463" i="1"/>
  <c r="J13396" i="1"/>
  <c r="Q13396" i="1"/>
  <c r="R13396" i="1"/>
  <c r="J13397" i="1"/>
  <c r="Q13397" i="1"/>
  <c r="R13397" i="1"/>
  <c r="J6464" i="1"/>
  <c r="Q6464" i="1"/>
  <c r="R6464" i="1"/>
  <c r="J13398" i="1"/>
  <c r="Q13398" i="1"/>
  <c r="R13398" i="1"/>
  <c r="J6465" i="1"/>
  <c r="Q6465" i="1"/>
  <c r="R6465" i="1"/>
  <c r="J13399" i="1"/>
  <c r="Q13399" i="1"/>
  <c r="R13399" i="1"/>
  <c r="J6466" i="1"/>
  <c r="Q6466" i="1"/>
  <c r="R6466" i="1"/>
  <c r="J6467" i="1"/>
  <c r="Q6467" i="1"/>
  <c r="R6467" i="1"/>
  <c r="J13400" i="1"/>
  <c r="Q13400" i="1"/>
  <c r="R13400" i="1"/>
  <c r="J6468" i="1"/>
  <c r="Q6468" i="1"/>
  <c r="R6468" i="1"/>
  <c r="J13401" i="1"/>
  <c r="Q13401" i="1"/>
  <c r="R13401" i="1"/>
  <c r="J6469" i="1"/>
  <c r="Q6469" i="1"/>
  <c r="R6469" i="1"/>
  <c r="J13402" i="1"/>
  <c r="Q13402" i="1"/>
  <c r="R13402" i="1"/>
  <c r="J13403" i="1"/>
  <c r="Q13403" i="1"/>
  <c r="R13403" i="1"/>
  <c r="J13404" i="1"/>
  <c r="Q13404" i="1"/>
  <c r="R13404" i="1"/>
  <c r="J6470" i="1"/>
  <c r="Q6470" i="1"/>
  <c r="R6470" i="1"/>
  <c r="J6471" i="1"/>
  <c r="Q6471" i="1"/>
  <c r="R6471" i="1"/>
  <c r="J13405" i="1"/>
  <c r="Q13405" i="1"/>
  <c r="R13405" i="1"/>
  <c r="J13406" i="1"/>
  <c r="Q13406" i="1"/>
  <c r="R13406" i="1"/>
  <c r="J13407" i="1"/>
  <c r="Q13407" i="1"/>
  <c r="R13407" i="1"/>
  <c r="J6472" i="1"/>
  <c r="Q6472" i="1"/>
  <c r="R6472" i="1"/>
  <c r="J13408" i="1"/>
  <c r="Q13408" i="1"/>
  <c r="R13408" i="1"/>
  <c r="J13409" i="1"/>
  <c r="Q13409" i="1"/>
  <c r="R13409" i="1"/>
  <c r="J13410" i="1"/>
  <c r="Q13410" i="1"/>
  <c r="R13410" i="1"/>
  <c r="J13411" i="1"/>
  <c r="Q13411" i="1"/>
  <c r="R13411" i="1"/>
  <c r="J13412" i="1"/>
  <c r="Q13412" i="1"/>
  <c r="R13412" i="1"/>
  <c r="J6473" i="1"/>
  <c r="Q6473" i="1"/>
  <c r="R6473" i="1"/>
  <c r="J6474" i="1"/>
  <c r="Q6474" i="1"/>
  <c r="R6474" i="1"/>
  <c r="J13413" i="1"/>
  <c r="Q13413" i="1"/>
  <c r="R13413" i="1"/>
  <c r="J13414" i="1"/>
  <c r="Q13414" i="1"/>
  <c r="R13414" i="1"/>
  <c r="J13415" i="1"/>
  <c r="Q13415" i="1"/>
  <c r="R13415" i="1"/>
  <c r="J6475" i="1"/>
  <c r="Q6475" i="1"/>
  <c r="R6475" i="1"/>
  <c r="J13416" i="1"/>
  <c r="Q13416" i="1"/>
  <c r="R13416" i="1"/>
  <c r="J13417" i="1"/>
  <c r="Q13417" i="1"/>
  <c r="R13417" i="1"/>
  <c r="J13418" i="1"/>
  <c r="Q13418" i="1"/>
  <c r="R13418" i="1"/>
  <c r="J13419" i="1"/>
  <c r="Q13419" i="1"/>
  <c r="R13419" i="1"/>
  <c r="J13420" i="1"/>
  <c r="Q13420" i="1"/>
  <c r="R13420" i="1"/>
  <c r="J13421" i="1"/>
  <c r="Q13421" i="1"/>
  <c r="R13421" i="1"/>
  <c r="J13422" i="1"/>
  <c r="Q13422" i="1"/>
  <c r="R13422" i="1"/>
  <c r="J13423" i="1"/>
  <c r="Q13423" i="1"/>
  <c r="R13423" i="1"/>
  <c r="J13424" i="1"/>
  <c r="Q13424" i="1"/>
  <c r="R13424" i="1"/>
  <c r="J6476" i="1"/>
  <c r="Q6476" i="1"/>
  <c r="R6476" i="1"/>
  <c r="J13425" i="1"/>
  <c r="Q13425" i="1"/>
  <c r="R13425" i="1"/>
  <c r="J6477" i="1"/>
  <c r="Q6477" i="1"/>
  <c r="R6477" i="1"/>
  <c r="J13426" i="1"/>
  <c r="Q13426" i="1"/>
  <c r="R13426" i="1"/>
  <c r="J13427" i="1"/>
  <c r="Q13427" i="1"/>
  <c r="R13427" i="1"/>
  <c r="J13428" i="1"/>
  <c r="Q13428" i="1"/>
  <c r="R13428" i="1"/>
  <c r="J13429" i="1"/>
  <c r="Q13429" i="1"/>
  <c r="R13429" i="1"/>
  <c r="J6478" i="1"/>
  <c r="Q6478" i="1"/>
  <c r="R6478" i="1"/>
  <c r="J13430" i="1"/>
  <c r="Q13430" i="1"/>
  <c r="R13430" i="1"/>
  <c r="J13431" i="1"/>
  <c r="Q13431" i="1"/>
  <c r="R13431" i="1"/>
  <c r="J6479" i="1"/>
  <c r="Q6479" i="1"/>
  <c r="R6479" i="1"/>
  <c r="J6480" i="1"/>
  <c r="Q6480" i="1"/>
  <c r="R6480" i="1"/>
  <c r="J13432" i="1"/>
  <c r="Q13432" i="1"/>
  <c r="R13432" i="1"/>
  <c r="J13433" i="1"/>
  <c r="Q13433" i="1"/>
  <c r="R13433" i="1"/>
  <c r="J13434" i="1"/>
  <c r="Q13434" i="1"/>
  <c r="R13434" i="1"/>
  <c r="J13435" i="1"/>
  <c r="Q13435" i="1"/>
  <c r="R13435" i="1"/>
  <c r="J6481" i="1"/>
  <c r="Q6481" i="1"/>
  <c r="R6481" i="1"/>
  <c r="J13436" i="1"/>
  <c r="Q13436" i="1"/>
  <c r="R13436" i="1"/>
  <c r="J13437" i="1"/>
  <c r="Q13437" i="1"/>
  <c r="R13437" i="1"/>
  <c r="J6482" i="1"/>
  <c r="Q6482" i="1"/>
  <c r="R6482" i="1"/>
  <c r="J13438" i="1"/>
  <c r="Q13438" i="1"/>
  <c r="R13438" i="1"/>
  <c r="J13439" i="1"/>
  <c r="Q13439" i="1"/>
  <c r="R13439" i="1"/>
  <c r="J13440" i="1"/>
  <c r="Q13440" i="1"/>
  <c r="R13440" i="1"/>
  <c r="J6483" i="1"/>
  <c r="Q6483" i="1"/>
  <c r="R6483" i="1"/>
  <c r="J13441" i="1"/>
  <c r="Q13441" i="1"/>
  <c r="R13441" i="1"/>
  <c r="J13442" i="1"/>
  <c r="Q13442" i="1"/>
  <c r="R13442" i="1"/>
  <c r="J13443" i="1"/>
  <c r="Q13443" i="1"/>
  <c r="R13443" i="1"/>
  <c r="J13444" i="1"/>
  <c r="Q13444" i="1"/>
  <c r="R13444" i="1"/>
  <c r="J13445" i="1"/>
  <c r="Q13445" i="1"/>
  <c r="R13445" i="1"/>
  <c r="J13446" i="1"/>
  <c r="Q13446" i="1"/>
  <c r="R13446" i="1"/>
  <c r="J13447" i="1"/>
  <c r="Q13447" i="1"/>
  <c r="R13447" i="1"/>
  <c r="J6484" i="1"/>
  <c r="Q6484" i="1"/>
  <c r="R6484" i="1"/>
  <c r="J6485" i="1"/>
  <c r="Q6485" i="1"/>
  <c r="R6485" i="1"/>
  <c r="J13448" i="1"/>
  <c r="Q13448" i="1"/>
  <c r="R13448" i="1"/>
  <c r="J13449" i="1"/>
  <c r="Q13449" i="1"/>
  <c r="R13449" i="1"/>
  <c r="J13450" i="1"/>
  <c r="Q13450" i="1"/>
  <c r="R13450" i="1"/>
  <c r="J13451" i="1"/>
  <c r="Q13451" i="1"/>
  <c r="R13451" i="1"/>
  <c r="J13452" i="1"/>
  <c r="Q13452" i="1"/>
  <c r="R13452" i="1"/>
  <c r="J13453" i="1"/>
  <c r="Q13453" i="1"/>
  <c r="R13453" i="1"/>
  <c r="J6486" i="1"/>
  <c r="Q6486" i="1"/>
  <c r="R6486" i="1"/>
  <c r="J13454" i="1"/>
  <c r="Q13454" i="1"/>
  <c r="R13454" i="1"/>
  <c r="J6487" i="1"/>
  <c r="Q6487" i="1"/>
  <c r="R6487" i="1"/>
  <c r="J13455" i="1"/>
  <c r="Q13455" i="1"/>
  <c r="R13455" i="1"/>
  <c r="J6488" i="1"/>
  <c r="Q6488" i="1"/>
  <c r="R6488" i="1"/>
  <c r="J6489" i="1"/>
  <c r="Q6489" i="1"/>
  <c r="R6489" i="1"/>
  <c r="J13456" i="1"/>
  <c r="Q13456" i="1"/>
  <c r="R13456" i="1"/>
  <c r="J6490" i="1"/>
  <c r="Q6490" i="1"/>
  <c r="R6490" i="1"/>
  <c r="J13457" i="1"/>
  <c r="Q13457" i="1"/>
  <c r="R13457" i="1"/>
  <c r="J13458" i="1"/>
  <c r="Q13458" i="1"/>
  <c r="R13458" i="1"/>
  <c r="J13459" i="1"/>
  <c r="Q13459" i="1"/>
  <c r="R13459" i="1"/>
  <c r="J6491" i="1"/>
  <c r="Q6491" i="1"/>
  <c r="R6491" i="1"/>
  <c r="J6492" i="1"/>
  <c r="Q6492" i="1"/>
  <c r="R6492" i="1"/>
  <c r="J6493" i="1"/>
  <c r="Q6493" i="1"/>
  <c r="R6493" i="1"/>
  <c r="J6494" i="1"/>
  <c r="Q6494" i="1"/>
  <c r="R6494" i="1"/>
  <c r="J6495" i="1"/>
  <c r="Q6495" i="1"/>
  <c r="R6495" i="1"/>
  <c r="J6496" i="1"/>
  <c r="Q6496" i="1"/>
  <c r="R6496" i="1"/>
  <c r="J6497" i="1"/>
  <c r="Q6497" i="1"/>
  <c r="R6497" i="1"/>
  <c r="J6498" i="1"/>
  <c r="Q6498" i="1"/>
  <c r="R6498" i="1"/>
  <c r="J6499" i="1"/>
  <c r="Q6499" i="1"/>
  <c r="R6499" i="1"/>
  <c r="J6500" i="1"/>
  <c r="Q6500" i="1"/>
  <c r="R6500" i="1"/>
  <c r="J6501" i="1"/>
  <c r="Q6501" i="1"/>
  <c r="R6501" i="1"/>
  <c r="J13460" i="1"/>
  <c r="Q13460" i="1"/>
  <c r="R13460" i="1"/>
  <c r="J13461" i="1"/>
  <c r="Q13461" i="1"/>
  <c r="R13461" i="1"/>
  <c r="J13462" i="1"/>
  <c r="Q13462" i="1"/>
  <c r="R13462" i="1"/>
  <c r="J6502" i="1"/>
  <c r="Q6502" i="1"/>
  <c r="R6502" i="1"/>
  <c r="J13463" i="1"/>
  <c r="Q13463" i="1"/>
  <c r="R13463" i="1"/>
  <c r="J6503" i="1"/>
  <c r="Q6503" i="1"/>
  <c r="R6503" i="1"/>
  <c r="J6504" i="1"/>
  <c r="Q6504" i="1"/>
  <c r="R6504" i="1"/>
  <c r="J13464" i="1"/>
  <c r="Q13464" i="1"/>
  <c r="R13464" i="1"/>
  <c r="J13465" i="1"/>
  <c r="Q13465" i="1"/>
  <c r="R13465" i="1"/>
  <c r="J13466" i="1"/>
  <c r="Q13466" i="1"/>
  <c r="R13466" i="1"/>
  <c r="J13467" i="1"/>
  <c r="Q13467" i="1"/>
  <c r="R13467" i="1"/>
  <c r="J13468" i="1"/>
  <c r="Q13468" i="1"/>
  <c r="R13468" i="1"/>
  <c r="J13469" i="1"/>
  <c r="Q13469" i="1"/>
  <c r="R13469" i="1"/>
  <c r="J6505" i="1"/>
  <c r="Q6505" i="1"/>
  <c r="R6505" i="1"/>
  <c r="J6506" i="1"/>
  <c r="Q6506" i="1"/>
  <c r="R6506" i="1"/>
  <c r="J6507" i="1"/>
  <c r="Q6507" i="1"/>
  <c r="R6507" i="1"/>
  <c r="J6508" i="1"/>
  <c r="Q6508" i="1"/>
  <c r="R6508" i="1"/>
  <c r="J6509" i="1"/>
  <c r="Q6509" i="1"/>
  <c r="R6509" i="1"/>
  <c r="J6510" i="1"/>
  <c r="Q6510" i="1"/>
  <c r="R6510" i="1"/>
  <c r="J6511" i="1"/>
  <c r="Q6511" i="1"/>
  <c r="R6511" i="1"/>
  <c r="J6512" i="1"/>
  <c r="Q6512" i="1"/>
  <c r="R6512" i="1"/>
  <c r="J6513" i="1"/>
  <c r="Q6513" i="1"/>
  <c r="R6513" i="1"/>
  <c r="J6514" i="1"/>
  <c r="Q6514" i="1"/>
  <c r="R6514" i="1"/>
  <c r="J6515" i="1"/>
  <c r="Q6515" i="1"/>
  <c r="R6515" i="1"/>
  <c r="J13470" i="1"/>
  <c r="Q13470" i="1"/>
  <c r="R13470" i="1"/>
  <c r="J13471" i="1"/>
  <c r="Q13471" i="1"/>
  <c r="R13471" i="1"/>
  <c r="J13472" i="1"/>
  <c r="Q13472" i="1"/>
  <c r="R13472" i="1"/>
  <c r="J13473" i="1"/>
  <c r="Q13473" i="1"/>
  <c r="R13473" i="1"/>
  <c r="J13474" i="1"/>
  <c r="Q13474" i="1"/>
  <c r="R13474" i="1"/>
  <c r="J6516" i="1"/>
  <c r="Q6516" i="1"/>
  <c r="R6516" i="1"/>
  <c r="J6517" i="1"/>
  <c r="Q6517" i="1"/>
  <c r="R6517" i="1"/>
  <c r="J13475" i="1"/>
  <c r="Q13475" i="1"/>
  <c r="R13475" i="1"/>
  <c r="J6518" i="1"/>
  <c r="Q6518" i="1"/>
  <c r="R6518" i="1"/>
  <c r="J13476" i="1"/>
  <c r="Q13476" i="1"/>
  <c r="R13476" i="1"/>
  <c r="J13477" i="1"/>
  <c r="Q13477" i="1"/>
  <c r="R13477" i="1"/>
  <c r="J13478" i="1"/>
  <c r="Q13478" i="1"/>
  <c r="R13478" i="1"/>
  <c r="J6519" i="1"/>
  <c r="Q6519" i="1"/>
  <c r="R6519" i="1"/>
  <c r="J6520" i="1"/>
  <c r="Q6520" i="1"/>
  <c r="R6520" i="1"/>
  <c r="J13479" i="1"/>
  <c r="Q13479" i="1"/>
  <c r="R13479" i="1"/>
  <c r="J6521" i="1"/>
  <c r="Q6521" i="1"/>
  <c r="R6521" i="1"/>
  <c r="J13480" i="1"/>
  <c r="Q13480" i="1"/>
  <c r="R13480" i="1"/>
  <c r="J13481" i="1"/>
  <c r="Q13481" i="1"/>
  <c r="R13481" i="1"/>
  <c r="J13482" i="1"/>
  <c r="Q13482" i="1"/>
  <c r="R13482" i="1"/>
  <c r="J13483" i="1"/>
  <c r="Q13483" i="1"/>
  <c r="R13483" i="1"/>
  <c r="J13484" i="1"/>
  <c r="Q13484" i="1"/>
  <c r="R13484" i="1"/>
  <c r="J13485" i="1"/>
  <c r="Q13485" i="1"/>
  <c r="R13485" i="1"/>
  <c r="J6522" i="1"/>
  <c r="Q6522" i="1"/>
  <c r="R6522" i="1"/>
  <c r="J6523" i="1"/>
  <c r="Q6523" i="1"/>
  <c r="R6523" i="1"/>
  <c r="J6524" i="1"/>
  <c r="Q6524" i="1"/>
  <c r="R6524" i="1"/>
  <c r="J6525" i="1"/>
  <c r="Q6525" i="1"/>
  <c r="R6525" i="1"/>
  <c r="J6526" i="1"/>
  <c r="Q6526" i="1"/>
  <c r="R6526" i="1"/>
  <c r="J13486" i="1"/>
  <c r="Q13486" i="1"/>
  <c r="R13486" i="1"/>
  <c r="J13487" i="1"/>
  <c r="Q13487" i="1"/>
  <c r="R13487" i="1"/>
  <c r="J7047" i="1"/>
  <c r="Q7047" i="1"/>
  <c r="R7047" i="1"/>
  <c r="J7048" i="1"/>
  <c r="Q7048" i="1"/>
  <c r="R7048" i="1"/>
  <c r="J7049" i="1"/>
  <c r="Q7049" i="1"/>
  <c r="R7049" i="1"/>
  <c r="J7050" i="1"/>
  <c r="Q7050" i="1"/>
  <c r="R7050" i="1"/>
  <c r="J13611" i="1"/>
  <c r="Q13611" i="1"/>
  <c r="R13611" i="1"/>
  <c r="J8123" i="1"/>
  <c r="Q8123" i="1"/>
  <c r="R8123" i="1"/>
  <c r="J1820" i="1"/>
  <c r="Q1820" i="1"/>
  <c r="R1820" i="1"/>
  <c r="J8124" i="1"/>
  <c r="Q8124" i="1"/>
  <c r="R8124" i="1"/>
  <c r="J1821" i="1"/>
  <c r="Q1821" i="1"/>
  <c r="R1821" i="1"/>
  <c r="J1822" i="1"/>
  <c r="Q1822" i="1"/>
  <c r="R1822" i="1"/>
  <c r="J8125" i="1"/>
  <c r="Q8125" i="1"/>
  <c r="R8125" i="1"/>
  <c r="J1823" i="1"/>
  <c r="Q1823" i="1"/>
  <c r="R1823" i="1"/>
  <c r="J1824" i="1"/>
  <c r="Q1824" i="1"/>
  <c r="R1824" i="1"/>
  <c r="J1825" i="1"/>
  <c r="Q1825" i="1"/>
  <c r="R1825" i="1"/>
  <c r="J1826" i="1"/>
  <c r="Q1826" i="1"/>
  <c r="R1826" i="1"/>
  <c r="J8126" i="1"/>
  <c r="Q8126" i="1"/>
  <c r="R8126" i="1"/>
  <c r="J6527" i="1"/>
  <c r="Q6527" i="1"/>
  <c r="R6527" i="1"/>
  <c r="J6528" i="1"/>
  <c r="Q6528" i="1"/>
  <c r="R6528" i="1"/>
  <c r="J13488" i="1"/>
  <c r="Q13488" i="1"/>
  <c r="R13488" i="1"/>
  <c r="J1827" i="1"/>
  <c r="Q1827" i="1"/>
  <c r="R1827" i="1"/>
  <c r="J6529" i="1"/>
  <c r="Q6529" i="1"/>
  <c r="R6529" i="1"/>
  <c r="J6530" i="1"/>
  <c r="Q6530" i="1"/>
  <c r="R6530" i="1"/>
  <c r="J6531" i="1"/>
  <c r="Q6531" i="1"/>
  <c r="R6531" i="1"/>
  <c r="J13489" i="1"/>
  <c r="Q13489" i="1"/>
  <c r="R13489" i="1"/>
  <c r="J13490" i="1"/>
  <c r="Q13490" i="1"/>
  <c r="R13490" i="1"/>
  <c r="J1828" i="1"/>
  <c r="Q1828" i="1"/>
  <c r="R1828" i="1"/>
  <c r="J1829" i="1"/>
  <c r="Q1829" i="1"/>
  <c r="R1829" i="1"/>
  <c r="J1830" i="1"/>
  <c r="Q1830" i="1"/>
  <c r="R1830" i="1"/>
  <c r="J6532" i="1"/>
  <c r="Q6532" i="1"/>
  <c r="R6532" i="1"/>
  <c r="J6533" i="1"/>
  <c r="Q6533" i="1"/>
  <c r="R6533" i="1"/>
  <c r="J1831" i="1"/>
  <c r="Q1831" i="1"/>
  <c r="R1831" i="1"/>
  <c r="J1832" i="1"/>
  <c r="Q1832" i="1"/>
  <c r="R1832" i="1"/>
  <c r="J1833" i="1"/>
  <c r="Q1833" i="1"/>
  <c r="R1833" i="1"/>
  <c r="J6534" i="1"/>
  <c r="Q6534" i="1"/>
  <c r="R6534" i="1"/>
  <c r="J13491" i="1"/>
  <c r="Q13491" i="1"/>
  <c r="R13491" i="1"/>
  <c r="J1834" i="1"/>
  <c r="Q1834" i="1"/>
  <c r="R1834" i="1"/>
  <c r="J6535" i="1"/>
  <c r="Q6535" i="1"/>
  <c r="R6535" i="1"/>
  <c r="J13492" i="1"/>
  <c r="Q13492" i="1"/>
  <c r="R13492" i="1"/>
  <c r="J1835" i="1"/>
  <c r="Q1835" i="1"/>
  <c r="R1835" i="1"/>
  <c r="J6536" i="1"/>
  <c r="Q6536" i="1"/>
  <c r="R6536" i="1"/>
  <c r="J6537" i="1"/>
  <c r="Q6537" i="1"/>
  <c r="R6537" i="1"/>
  <c r="J6538" i="1"/>
  <c r="Q6538" i="1"/>
  <c r="R6538" i="1"/>
  <c r="J6539" i="1"/>
  <c r="Q6539" i="1"/>
  <c r="R6539" i="1"/>
  <c r="J6540" i="1"/>
  <c r="Q6540" i="1"/>
  <c r="R6540" i="1"/>
  <c r="J6541" i="1"/>
  <c r="Q6541" i="1"/>
  <c r="R6541" i="1"/>
  <c r="J1836" i="1"/>
  <c r="Q1836" i="1"/>
  <c r="R1836" i="1"/>
  <c r="J1837" i="1"/>
  <c r="Q1837" i="1"/>
  <c r="R1837" i="1"/>
  <c r="J1838" i="1"/>
  <c r="Q1838" i="1"/>
  <c r="R1838" i="1"/>
  <c r="J8127" i="1"/>
  <c r="Q8127" i="1"/>
  <c r="R8127" i="1"/>
  <c r="J8128" i="1"/>
  <c r="Q8128" i="1"/>
  <c r="R8128" i="1"/>
  <c r="J6542" i="1"/>
  <c r="Q6542" i="1"/>
  <c r="R6542" i="1"/>
  <c r="J6543" i="1"/>
  <c r="Q6543" i="1"/>
  <c r="R6543" i="1"/>
  <c r="J6544" i="1"/>
  <c r="Q6544" i="1"/>
  <c r="R6544" i="1"/>
  <c r="J6545" i="1"/>
  <c r="Q6545" i="1"/>
  <c r="R6545" i="1"/>
  <c r="J1839" i="1"/>
  <c r="Q1839" i="1"/>
  <c r="R1839" i="1"/>
  <c r="J1840" i="1"/>
  <c r="Q1840" i="1"/>
  <c r="R1840" i="1"/>
  <c r="J1841" i="1"/>
  <c r="Q1841" i="1"/>
  <c r="R1841" i="1"/>
  <c r="J1842" i="1"/>
  <c r="Q1842" i="1"/>
  <c r="R1842" i="1"/>
  <c r="J1843" i="1"/>
  <c r="Q1843" i="1"/>
  <c r="R1843" i="1"/>
  <c r="J6546" i="1"/>
  <c r="Q6546" i="1"/>
  <c r="R6546" i="1"/>
  <c r="J8129" i="1"/>
  <c r="Q8129" i="1"/>
  <c r="R8129" i="1"/>
  <c r="J1844" i="1"/>
  <c r="Q1844" i="1"/>
  <c r="R1844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20BE5FF-DCD0-4DB7-8FE8-541A2D707C43}" name="CSV_2021-04-05-100429" type="6" refreshedVersion="6" background="1" saveData="1">
    <textPr codePage="28597" sourceFile="C:\Users\Antonis\Desktop\CSV_2021-04-05-100429.csv" decimal="," thousands="." semicolon="1">
      <textFields count="7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<sst xmlns="http://schemas.openxmlformats.org/spreadsheetml/2006/main" count="178338" uniqueCount="43785">
  <si>
    <t>Περιφέρεια</t>
  </si>
  <si>
    <t>Διεύθυνση</t>
  </si>
  <si>
    <t>Περιφερειακή Ενότητα</t>
  </si>
  <si>
    <t>Δήμος</t>
  </si>
  <si>
    <t>Δημοτική Ενότητα</t>
  </si>
  <si>
    <t>Κοινότητα</t>
  </si>
  <si>
    <t>Είδος</t>
  </si>
  <si>
    <t>Τύπος Σχολείου</t>
  </si>
  <si>
    <t>Κωδ. ΥΠΠΘ</t>
  </si>
  <si>
    <t>Ονομασία</t>
  </si>
  <si>
    <t>Τηλέφωνο</t>
  </si>
  <si>
    <t>ΦΑΞ</t>
  </si>
  <si>
    <t>e-mail</t>
  </si>
  <si>
    <t>Περιοχή</t>
  </si>
  <si>
    <t>Ταχ. Διεύθυνση</t>
  </si>
  <si>
    <t>ΤΚ</t>
  </si>
  <si>
    <t>Γεωγραφικό Πλάτος</t>
  </si>
  <si>
    <t>Γεωγραφικό Μήκος</t>
  </si>
  <si>
    <t>Δυσπρόσιτο</t>
  </si>
  <si>
    <t>ΠΕΡΙΦΕΡΕΙΑΚΗ Δ/ΝΣΗ Α/ΘΜΙΑΣ ΚΑΙ Β/ΘΜΙΑΣ ΕΚΠ/ΣΗΣ ΑΝ. ΜΑΚΕΔΟΝΙΑΣ ΚΑΙ ΘΡΑΚΗΣ</t>
  </si>
  <si>
    <t>Α</t>
  </si>
  <si>
    <t>ΔΡΑΜΑΣ</t>
  </si>
  <si>
    <t>Κ.Ε.Σ.Υ. ΔΡΑΜΑΣ</t>
  </si>
  <si>
    <t>mail@kesy.dra.sch.gr</t>
  </si>
  <si>
    <t>ΔΡΑΜΑ</t>
  </si>
  <si>
    <t>ΑΜΠΕΛΑΚΙΑ - Τ.Θ. 1076</t>
  </si>
  <si>
    <t>ΟΧΙ</t>
  </si>
  <si>
    <t>ΕΒΡΟΥ</t>
  </si>
  <si>
    <t>ΑΛΕΞΑΝΔΡΟΥΠΟΛΗΣ</t>
  </si>
  <si>
    <t>Κ.Ε.Σ.Υ. ΕΒΡΟΥ</t>
  </si>
  <si>
    <t>mail@kesy.evr.sch.gr</t>
  </si>
  <si>
    <t>ΑΛΕΞΑΝΔΡΟΥΠΟΛΗ</t>
  </si>
  <si>
    <t>1ο χλμ. ΑΛΕΞΑΝΔΡΟΥΠΟΛΗΣ-ΠΑΛΑΓΙΑΣ</t>
  </si>
  <si>
    <t>ΚΑΒΑΛΑΣ</t>
  </si>
  <si>
    <t>ΚΕΣΥ ΚΑΒΑΛΑΣ</t>
  </si>
  <si>
    <t>mail@kesy.kav.sch.gr</t>
  </si>
  <si>
    <t>ΚΑΒΑΛΑ</t>
  </si>
  <si>
    <t>Εθνικής Αντίστασης 20</t>
  </si>
  <si>
    <t>ΞΑΝΘΗΣ</t>
  </si>
  <si>
    <t>Κ.Ε.Σ.Υ. ΞΑΝΘΗΣ</t>
  </si>
  <si>
    <t>mail@kday.xan.sch.gr</t>
  </si>
  <si>
    <t>ΞΑΝΘΗ</t>
  </si>
  <si>
    <t>11ο ΔΗΜΟΤΙΚΟ ΣΧΟΛΕΙΟ ΞΑΝΘΗΣ - ΝΕΑΠΟΛΗ</t>
  </si>
  <si>
    <t>ΡΟΔΟΠΗΣ</t>
  </si>
  <si>
    <t>ΚΟΜΟΤΗΝΗΣ</t>
  </si>
  <si>
    <t>Κ.Ε.Σ.Υ. ΡΟΔΟΠΗΣ</t>
  </si>
  <si>
    <t>kdayrodo@sch.gr</t>
  </si>
  <si>
    <t>ΚΟΜΟΤΗΝΗ</t>
  </si>
  <si>
    <t>ΜΠΟΤΣΑΡΗ ΜΑΡΚΟΥ 1</t>
  </si>
  <si>
    <t>ΔΙΕΥΘΥΝΣΗ Δ.Ε. ΔΡΑΜΑΣ</t>
  </si>
  <si>
    <t>ΚΑΤΩ ΝΕΥΡΟΚΟΠΙΟΥ</t>
  </si>
  <si>
    <t>Γυμνάσια</t>
  </si>
  <si>
    <t>Ημερήσιο Γυμνάσιο</t>
  </si>
  <si>
    <t>ΗΜΕΡΗΣΙΟ ΓΥΜΝΑΣΙΟ ΚΑΤΩ ΝΕΥΡΟΚΟΠΙ ΔΡΑΜΑΣ - ΓΥΜΝΑΣΙΟ Κ. ΝΕΥΡΟΚΟΠΙΟΥ</t>
  </si>
  <si>
    <t>gymkatne@sch.gr</t>
  </si>
  <si>
    <t>ΚΑΤΩ ΝΕΥΡΟΚΟΠΙ ΔΡΑΜΑΣ</t>
  </si>
  <si>
    <t>ΚΑΤΩ ΝΕΥΡΟΚΟΠΙ</t>
  </si>
  <si>
    <t>NAI</t>
  </si>
  <si>
    <t>1ο ΔΗΜΟΤΙΚΟ ΣΧΟΛΕΙΟ ΚΑΤΩ ΝΕΥΡΟΚΟΠΙΟΥ</t>
  </si>
  <si>
    <t>ΔΟΞΑΤΟΥ</t>
  </si>
  <si>
    <t>ΑΓΙΟΥ ΑΘΑΝΑΣΙΟΥ</t>
  </si>
  <si>
    <t>ΗΜΕΡΗΣΙΟ ΓΥΜΝΑΣΙΟ ΑΓΙΟΥ ΑΘΑΝΑΣΙΟΥ ΔΡΑΜΑΣ</t>
  </si>
  <si>
    <t>mail@gym-ag-athan.dra.sch.gr</t>
  </si>
  <si>
    <t>ΑΓΙΟΣ ΑΘΑΝΑΣΙΟΣ ΔΡΑΜΑΣ</t>
  </si>
  <si>
    <t>ΑΓΙΟΣ ΑΘΑΝΑΣΙΟΣ</t>
  </si>
  <si>
    <t>2ο ΔΗΜΟΤΙΚΟ ΣΧΟΛΕΙΟ ΑΓΙΟΥ ΑΘΑΝΑΣΙΟΥ</t>
  </si>
  <si>
    <t>ΠΡΟΣΟΤΣΑΝΗΣ</t>
  </si>
  <si>
    <t>ΗΜΕΡΗΣΙΟ ΓΥΜΝΑΣΙΟ ΠΡΟΣΟΤΣΑΝΗΣ ΔΡΑΜΑΣ</t>
  </si>
  <si>
    <t>mail@gym-prosots.dra.sch.gr</t>
  </si>
  <si>
    <t>ΠΡΟΣΟΤΣΑΝΗ</t>
  </si>
  <si>
    <t>ΜΑΚΕΔΟΝΟΜΑΧΩΝ</t>
  </si>
  <si>
    <t>2ο ΔΗΜΟΤΙΚΟ ΣΧΟΛΕΙΟ ΠΡΟΣΟΤΣΑΝΗΣ</t>
  </si>
  <si>
    <t>Ειδικής Επαγγελματικής Εκπαίδευσης και Κατάρτισης</t>
  </si>
  <si>
    <t>ΕΕΕΕΚ</t>
  </si>
  <si>
    <t>ΕΕΕΕΚ ΔΡΑΜΑ - ΕΕΕΕΚ ΔΡΑΜΑΣ</t>
  </si>
  <si>
    <t>mail@eeeek.dra.sch.gr</t>
  </si>
  <si>
    <t>ΤΕΡΜΑ ΝΙΚΟΠΟΛΕΩΣ  ΔΡΑΜΑ</t>
  </si>
  <si>
    <t>7ο ΔΗΜΟΤΙΚΟ ΣΧΟΛΕΙΟ ΔΡΑΜΑΣ</t>
  </si>
  <si>
    <t>Επαγγελματικά Λύκεια</t>
  </si>
  <si>
    <t>Ημερήσιο ΕΠΑΛ</t>
  </si>
  <si>
    <t>1ο ΗΜΕΡΗΣΙΟ ΕΠΑΛ ΔΟΞΑΤΟΥ</t>
  </si>
  <si>
    <t>mail@1epal-doxat.dra.sch.gr</t>
  </si>
  <si>
    <t>ΔΟΞΑΤΟ ΔΡΑΜΑΣ</t>
  </si>
  <si>
    <t>ΟΛΟΗΜΕΡΟ ΔΗΜΟΤΙΚΟ ΣΧΟΛΕΙΟ ΔΟΞΑΤΟΥ</t>
  </si>
  <si>
    <t>1ο ΗΜΕΡΗΣΙΟ ΕΠΑΛ ΠΡΟΣΟΤΣΑΝΗΣ ΔΡΑΜΑΣ</t>
  </si>
  <si>
    <t>mail@1epal-prosots.dra.sch.gr</t>
  </si>
  <si>
    <t>ΠΡΟΣΟΤΣΑΝΗ ΔΡΑΜΑΣ</t>
  </si>
  <si>
    <t>Κ. ΔΑΪΛΑΚΗ 6</t>
  </si>
  <si>
    <t>ΠΑΡΑΝΕΣΤΙΟΥ</t>
  </si>
  <si>
    <t>Ημερήσιο Γυμνάσιο με Λυκειακές Τάξεις</t>
  </si>
  <si>
    <t>ΓΥΜΝΑΣΙΟ (ΛΤ) ΠΑΡΑΝΕΣΤΙΟΥ</t>
  </si>
  <si>
    <t>mail@gym-paran.dra.sch.gr</t>
  </si>
  <si>
    <t>ΠΑΡΑΝΕΣΤΙ</t>
  </si>
  <si>
    <t>ΠΑΡΑΝΕΣΤΙ ΔΡΑΜΑΣ</t>
  </si>
  <si>
    <t>ΔΗΜΟΤΙΚΟ ΣΧΟΛΕΙΟ ΠΑΡΑΝΕΣΤΙΟΥ</t>
  </si>
  <si>
    <t>ΗΜΕΡΗΣΙΟ ΕΠΑΛ ΚΑΤΩ ΝΕΥΡΟΚΟΠΙΟΥ</t>
  </si>
  <si>
    <t>mail@epal-kat-nevrok.dra.sch.gr</t>
  </si>
  <si>
    <t>Λύκεια</t>
  </si>
  <si>
    <t>Ημερήσιο Γενικό Λύκειο</t>
  </si>
  <si>
    <t>1ο ΗΜΕΡΗΣΙΟ ΓΕΝΙΚΟ ΛΥΚΕΙΟ ΔΡΑΜΑΣ</t>
  </si>
  <si>
    <t>mail@1lyk-dramas.dra.sch.gr</t>
  </si>
  <si>
    <t>ΚΑΤΑΚΟΥΖΗΝΟΥ 12</t>
  </si>
  <si>
    <t>12ο ΟΛΟΗΜΕΡΟ ΔΗΜΟΤΙΚΟ ΣΧΟΛΕΙΟ ΔΡΑΜΑΣ - ΕΚΠΑΙΔΕΥΤΗΡΙΑ</t>
  </si>
  <si>
    <t>2ο ΗΜΕΡΗΣΙΟ ΓΕΝΙΚΟ ΛΥΚΕΙΟ ΔΡΑΜΑΣ</t>
  </si>
  <si>
    <t>mail@2lyk-dramas.dra.sch.gr</t>
  </si>
  <si>
    <t>ΓΟΥΝΑΡΗ 11</t>
  </si>
  <si>
    <t>9ο ΔΗΜΟΤΙΚΟ ΣΧΟΛΕΙΟ ΔΡΑΜΑΣ</t>
  </si>
  <si>
    <t>1ο ΗΜΕΡΗΣΙΟ ΓΕΝΙΚΟ ΛΥΚΕΙΟ ΠΡΟΣΟΤΣΑΝΗΣ ΔΡΑΜΑΣ - ΓΕΝΙΚΟ ΛΥΚΕΙΟ ΠΡΟΣΟΤΣΑΝΗΣ</t>
  </si>
  <si>
    <t>mail@lyk-prosots.dra.sch.gr</t>
  </si>
  <si>
    <t>Κ.ΔΑΪΛΑΚΗ 6</t>
  </si>
  <si>
    <t>ΚΑΛΑΜΠΑΚΙΟΥ</t>
  </si>
  <si>
    <t>ΗΜΕΡΗΣΙΟ ΓΕΝΙΚΟ ΛΥΚΕΙΟ ΚΑΛΑΜΠΑΚΙΟΥ ΔΡΑΜΑΣ</t>
  </si>
  <si>
    <t>mail@lyk-kalamp.dra.sch.gr</t>
  </si>
  <si>
    <t>Καλαμπάκι</t>
  </si>
  <si>
    <t>Β. Βουλγαροκτόνου 7β</t>
  </si>
  <si>
    <t>1ο ΔΗΜΟΤΙΚΟ ΣΧΟΛΕΙΟ ΚΑΛΑΜΠΑΚΙΟΥ</t>
  </si>
  <si>
    <t>2ο ΕΠΑΓΓΕΛΜΑΤΙΚΟ ΛΥΚΕΙΟ ΔΡΑΜΑΣ</t>
  </si>
  <si>
    <t>mail@2epal-dramas.dra.sch.gr</t>
  </si>
  <si>
    <t>ΑΔΡΙΑΝΟΥΠΟΛΕΩΣ 44</t>
  </si>
  <si>
    <t>1ο ΔΗΜΟΤΙΚΟ ΣΧΟΛΕΙΟ ΔΡΑΜΑΣ</t>
  </si>
  <si>
    <t>ΗΜΕΡΗΣΙΟ ΓΕΝΙΚΟ ΛΥΚΕΙΟ ΚΑΤΩ ΝΕΥΡΟΚΟΠΙ ΔΡΑΜΑΣ - ΓΕΝΙΚΟ ΛΥΚΕΙΟ ΚΑΤΩ ΝΕΥΡΟΚΟΠΙΟΥ</t>
  </si>
  <si>
    <t>mail@lyk-k-nevrok.dra.sch.gr</t>
  </si>
  <si>
    <t>ΚΑΤΩ ΝΕΥΡΟΚΟΠΙ  ΔΡΑΜΑΣ</t>
  </si>
  <si>
    <t>ΗΜΕΡΗΣΙΟ ΓΕΝΙΚΟ ΛΥΚΕΙΟ ΔΟΞΑΤΟΥ ΔΡΑΜΑΣ</t>
  </si>
  <si>
    <t>mail@lyk-doxat.dra.sch.gr</t>
  </si>
  <si>
    <t>ΤΕΡΜΑ ΕΘΝΙΚΗΣ ΑΝΤΙΣΤΑΣΗΣ</t>
  </si>
  <si>
    <t>4ο ΗΜΕΡΗΣΙΟ ΓΕΝΙΚΟ ΛΥΚΕΙΟ ΔΡΑΜΑΣ</t>
  </si>
  <si>
    <t>mail@4lyk-dramas.dra.sch.gr</t>
  </si>
  <si>
    <t>ΑΘΗΝΑΣ 30</t>
  </si>
  <si>
    <t>15ο ΟΛΟΗΜΕΡΟ ΔΗΜΟΤΙΚΟ ΣΧΟΛΕΙΟ ΔΡΑΜΑΣ</t>
  </si>
  <si>
    <t>3ο ΗΜΕΡΗΣΙΟ ΓΕΝΙΚΟ ΛΥΚΕΙΟ ΔΡΑΜΑΣ</t>
  </si>
  <si>
    <t>mail@3lyk-dramas.dra.sch.gr</t>
  </si>
  <si>
    <t>Εσπερινό ΕΠΑΛ</t>
  </si>
  <si>
    <t>ΕΣΠΕΡΙΝΟ ΕΠΑΛ ΔΡΑΜΑΣ</t>
  </si>
  <si>
    <t>mail@epal-esp-dramas.dra.sch.gr</t>
  </si>
  <si>
    <t>ΑΔΡΙΑΝΟΥΠΟΛΕΩΣ 70</t>
  </si>
  <si>
    <t>Σχολικό Εργαστηριακό Κέντρο</t>
  </si>
  <si>
    <t>ΣΕΚ</t>
  </si>
  <si>
    <t>Ε.Κ ΔΡΑΜΑΣ (ΕΡΓΑΣΤΗΡΙΑΚΟ ΚΕΝΤΡΟ ΔΡΑΜΑΣ)</t>
  </si>
  <si>
    <t>mail@ek-dramas.dra.sch.gr</t>
  </si>
  <si>
    <t>5ο ΗΜΕΡΗΣΙΟ ΓΥΜΝΑΣΙΟ ΔΡΑΜΑΣ</t>
  </si>
  <si>
    <t>mail@5gym-dramas.dra.sch.gr</t>
  </si>
  <si>
    <t>ΠΕΡΙΟΧΗ ΚΑΠΝΟΛΟΓΙΚΟΥ ΙΝΣΤΙΤΟΥΤΟΥ</t>
  </si>
  <si>
    <t>3ο ΟΛΟΗΜΕΡΟ ΔΗΜΟΤΙΚΟ ΣΧΟΛΕΙΟ ΔΡΑΜΑΣ</t>
  </si>
  <si>
    <t>ΚΥΡΙΩΝ</t>
  </si>
  <si>
    <t>ΗΜΕΡΗΣΙΟ ΓΥΜΝΑΣΙΟ ΚΥΡΓΙΩΝ ΔΡΑΜΑΣ</t>
  </si>
  <si>
    <t>mail@gym-kyrgion.dra.sch.gr</t>
  </si>
  <si>
    <t>ΚΥΡΓΙΑ ΔΡΑΜΑΣ</t>
  </si>
  <si>
    <t>ΔΗΜΟΤΙΚΟ ΣΧΟΛΕΙΟ ΚΥΡΓΙΩΝ</t>
  </si>
  <si>
    <t>4ο ΗΜΕΡΗΣΙΟ ΓΥΜΝΑΣΙΟ ΔΡΑΜΑΣ</t>
  </si>
  <si>
    <t>mail@4gym-dramas.dra.sch.gr</t>
  </si>
  <si>
    <t>ΤΕΡΜΑ ΝΙΚΟΠΟΛΕΩΣ</t>
  </si>
  <si>
    <t>ΑΓΙΑΣ ΠΑΡΑΣΚΕΥΗΣ</t>
  </si>
  <si>
    <t>ΗΜΕΡΗΣΙΟ ΓΥΜΝΑΣΙΟ ΚΑΛΑΜΠΑΚΙΟΥ ΔΡΑΜΑΣ</t>
  </si>
  <si>
    <t>mail@gym-kalamp.dra.sch.gr</t>
  </si>
  <si>
    <t>ΑΓΙΑ ΠΑΡΑΣΚΕΥΗ, ΔΡΑΜΑΣ</t>
  </si>
  <si>
    <t>6ο ΗΜΕΡΗΣΙΟ ΓΥΜΝΑΣΙΟ ΔΡΑΜΑΣ</t>
  </si>
  <si>
    <t>mail@6gym-dramas.dra.sch.gr</t>
  </si>
  <si>
    <t>ΠΑΡΥΦΕΣ ΚΟΡΥΛΟΒΟΥ</t>
  </si>
  <si>
    <t>4ο ΔΗΜΟΤΙΚΟ ΣΧΟΛΕΙΟ ΔΡΑΜΑΣ</t>
  </si>
  <si>
    <t>ΝΙΚΗΦΟΡΟΥ</t>
  </si>
  <si>
    <t>ΓΥΜΝΑΣΙΟ (Λ.Τ.) ΝΙΚΗΦΟΡΟΥ</t>
  </si>
  <si>
    <t>mail@gym-nikif.dra.sch.gr</t>
  </si>
  <si>
    <t>ΝΙΚΗΦΟΡΟΣ</t>
  </si>
  <si>
    <t>ΔΗΜΟΤΙΚΟ ΣΧΟΛΕΙΟ ΑΔΡΙΑΝΗΣ - ΝΙΚΗΦΟΡΟΥ</t>
  </si>
  <si>
    <t>2ο ΗΜΕΡΗΣΙΟ ΓΥΜΝΑΣΙΟ ΔΡΑΜΑΣ</t>
  </si>
  <si>
    <t>mail@2gym-dramas.dra.sch.gr</t>
  </si>
  <si>
    <t>ΑΝΤ. ΚΑΣΤΡΙΝΟΥ 2</t>
  </si>
  <si>
    <t>ΣΙΤΑΓΡΩΝ</t>
  </si>
  <si>
    <t>ΦΩΤΟΛΙΒΟΥΣ</t>
  </si>
  <si>
    <t>ΗΜΕΡΗΣΙΟ ΓΥΜΝΑΣΙΟ ΦΩΤΟΛΙΒΟΥΣ ΔΡΑΜΑΣ</t>
  </si>
  <si>
    <t>mail@gym-fotol.dra.sch.gr</t>
  </si>
  <si>
    <t>ΦΩΤΟΛΙΒΟΣ ΔΡΑΜΑΣ</t>
  </si>
  <si>
    <t>Δ.Δ. Φωτολίβους Δήμου Προσοτσάνης</t>
  </si>
  <si>
    <t>ΔΗΜΟΤΙΚΟ ΣΧΟΛΕΙΟ ΦΩΤΟΛΙΒΟΥΣ</t>
  </si>
  <si>
    <t>1ο ΗΜΕΡΗΣΙΟ ΓΥΜΝΑΣΙΟ ΔΡΑΜΑΣ</t>
  </si>
  <si>
    <t>mail@1gym-dramas.dra.sch.gr</t>
  </si>
  <si>
    <t>3ο ΗΜΕΡΗΣΙΟ ΓΥΜΝΑΣΙΟ ΔΡΑΜΑΣ</t>
  </si>
  <si>
    <t>mail@3gym-dramas.dra.sch.gr</t>
  </si>
  <si>
    <t>ΝΕΑ ΑΜΙΣΟΣ</t>
  </si>
  <si>
    <t>ΟΛΟΗΜΕΡΟ ΔΗΜΟΤΙΚΟ ΣΧΟΛΕΙΟ ΝΕΑΣ ΑΜΙΣΟΥ</t>
  </si>
  <si>
    <t>ΗΜΕΡΗΣΙΟ ΓΥΜΝΑΣΙΟ ΔΟΞΑΤΟΥ</t>
  </si>
  <si>
    <t>mail@gym-doxat.dra.sch.gr</t>
  </si>
  <si>
    <t>ΕΘΝΙΚΗΣ ΑΝΤΙΣΤΑΣΗΣ ΤΕΡΜΑ</t>
  </si>
  <si>
    <t>Εσπερινό Γυμνάσιο</t>
  </si>
  <si>
    <t>ΕΣΠΕΡΙΝΟ ΓΥΜΝΑΣΙΟ ΔΡΑΜΑΣ</t>
  </si>
  <si>
    <t>mail@gym-esp-dramas.dra.sch.gr</t>
  </si>
  <si>
    <t>ΑΝ. ΚΑΣΤΡΙΝΟΥ 2</t>
  </si>
  <si>
    <t>1ο ΗΜΕΡΗΣΙΟ ΕΠΑΛ ΔΡΑΜΑΣ</t>
  </si>
  <si>
    <t>mail@1epal-dramas.dra.sch.gr</t>
  </si>
  <si>
    <t>Μουσικό Γυμνάσιο με Μουσικές Λυκειακές Τάξεις</t>
  </si>
  <si>
    <t>ΜΟΥΣΙΚΟ ΣΧΟΛΕΙΟ ΔΡΑΜΑΣ (ΜΟΥΣΙΚΟ ΓΥΜΝΑΣΙΟ-ΜΟΥΣΙΚΟ ΓΕΝΙΚΟ ΛΥΚΕΙΟ)</t>
  </si>
  <si>
    <t>mail@gym-mous-dramas.dra.sch.gr</t>
  </si>
  <si>
    <t>1o ΧΛΜ. Ε.O ΔΡΑΜΑΣ-ΚΑΒΑΛΑΣ</t>
  </si>
  <si>
    <t>11ο ΔΗΜΟΤΙΚΟ ΣΧΟΛΕΙΟ ΔΡΑΜΑΣ</t>
  </si>
  <si>
    <t>Εσπερινό Γενικό Λύκειο</t>
  </si>
  <si>
    <t>ΕΣΠΕΡΙΝΟ ΓΕΝΙΚΟ ΛΥΚΕΙΟ ΔΡΑΜΑΣ</t>
  </si>
  <si>
    <t>mail@lyk-esp-dramas.dra.sch.gr</t>
  </si>
  <si>
    <t>ΑΝΤΩΝΙΟΥ ΚΑΣΤΡΙΝΟΥ 2</t>
  </si>
  <si>
    <t>Ενιαίο Ειδικό Επαγγελματικό Γυμνάσιο - Λύκειο</t>
  </si>
  <si>
    <t>ΕΝΙΑΙΟ ΕΙΔΙΚΟ ΕΠΑΓΓΕΛΜΑΤΙΚΟ ΓΥΜΝΑΣΙΟ - ΛΥΚΕΙΟ ΔΡΑΜΑΣ</t>
  </si>
  <si>
    <t>mail@ee-dramas.dra.sch.gr</t>
  </si>
  <si>
    <t>ΔΙΕΥΘΥΝΣΗ Δ.Ε. ΕΒΡΟΥ</t>
  </si>
  <si>
    <t>ΦΕΡΩΝ</t>
  </si>
  <si>
    <t>ΗΜΕΡΗΣΙΟ ΓΕΝΙΚΟ ΛΥΚΕΙΟ ΦΕΡΩΝ ΕΒΡΟΥ</t>
  </si>
  <si>
    <t>mail@lyk-feron.evr.sch.gr</t>
  </si>
  <si>
    <t>ΦΕΡΕΣ ΕΒΡΟΥ</t>
  </si>
  <si>
    <t>ΖΗΒΟΠΟΥΛΟΥ 2</t>
  </si>
  <si>
    <t>1ο ΔΗΜΟΤΙΚΟ ΣΧΟΛΕΙΟ ΦΕΡΩΝ</t>
  </si>
  <si>
    <t>ΕΣΠΕΡΙΝΟ ΓΥΜΝΑΣΙΟ ΑΛΕΞΑΝΔΡΟΥΠΟΛΗΣ</t>
  </si>
  <si>
    <t>mail@gym-esp-alexandr.evr.sch.gr</t>
  </si>
  <si>
    <t>14ης Μαΐου 110</t>
  </si>
  <si>
    <t>10ο ΔΗΜΟΤΙΚΟ ΣΧΟΛΕΙΟ ΑΛΕΞΑΝΔΡΟΥΠΟΛΗΣ</t>
  </si>
  <si>
    <t>Ενιαίο Ειδικό Επαγγελματικό Γυμνάσιο - Λύκειο  Αλεξανδρούπολης</t>
  </si>
  <si>
    <t>mail@gym-ee-alexandr.evr.sch.gr</t>
  </si>
  <si>
    <t>1ο χιλ. ΑΛΕΞΑΝΔΡΟΥΠΟΛΗΣ - ΠΑΛΑΓΙΑΣ</t>
  </si>
  <si>
    <t>6ο ΔΗΜΟΤΙΚΟ ΣΧΟΛΕΙΟ ΑΛΕΞΑΝΔΡΟΥΠΟΛΗΣ</t>
  </si>
  <si>
    <t>3ο ΕΣΠΕΡΙΝΟ ΕΠΑΛ ΑΛΕΞΑΝΔΡΟΥΠΟΛΗΣ</t>
  </si>
  <si>
    <t>mail@3epal-esp-alexandr.evr.sch.gr</t>
  </si>
  <si>
    <t>ΚΑΤΑΚΟΥΖΗΝΟΥ 16</t>
  </si>
  <si>
    <t>7ο ΔΗΜΟΤΙΚΟ ΣΧΟΛΕΙΟ ΑΛΕΞΑΝΔΡΟΥΠΟΛΗΣ</t>
  </si>
  <si>
    <t>ΟΡΕΣΤΙΑΔΟΣ</t>
  </si>
  <si>
    <t>ΕΣΠΕΡΙΝΟ ΓΥΜΝΑΣΙΟ ΟΡΕΣΤΙΑΔΟΣ</t>
  </si>
  <si>
    <t>mail@gym-esp-orest.evr.sch.gr</t>
  </si>
  <si>
    <t>ΟΡΕΣΤΙΑΔΑ</t>
  </si>
  <si>
    <t>ΠΑΡΟΔΟΣ ΜΟΥΡΟΥΖΗ 2</t>
  </si>
  <si>
    <t>ΟΡΕΣΤΙΑΔΑΣ</t>
  </si>
  <si>
    <t>1ο ΔΗΜΟΤΙΚΟ ΣΧΟΛΕΙΟ Ν. ΟΡΕΣΤΙΑΔΑΣ - ΚΥΡΙΛΛΕΙΟ</t>
  </si>
  <si>
    <t>ΕΣΠΕΡΙΝΟ ΓΕΝΙΚΟ ΛΥΚΕΙΟ ΑΛΕΞΑΝΔΡΟΥΠΟΛΗΣ</t>
  </si>
  <si>
    <t>mail@lyk-esp-alexandr.evr.sch.gr</t>
  </si>
  <si>
    <t>14ης ΜΑΙΟΥ 110</t>
  </si>
  <si>
    <t>Ε.Ε.Ε.Ε.Κ. ΑΛΕΞΑΝΔΡΟΥΠΟΛΗΣ</t>
  </si>
  <si>
    <t>mail@eeeek-alexandr.evr.sch.gr</t>
  </si>
  <si>
    <t>1ο χιλ. Αλεξ/πολης - Παλαγίας</t>
  </si>
  <si>
    <t>ΕΕΕΕΚ ΟΡΕΣΤΙΑΔΑΣ</t>
  </si>
  <si>
    <t>mail@eeeek-orest.evr.sch.gr</t>
  </si>
  <si>
    <t>ΚΩΝΣΤΑΝΤΙΝΟΥΠΟΛΕΩΣ 57</t>
  </si>
  <si>
    <t>6ο ΔΗΜΟΤΙΚΟ ΣΧΟΛΕΙΟ ΟΡΕΣΤΙΑΔΑΣ - ΕΥΓΕΝΙΔΕΙΟ</t>
  </si>
  <si>
    <t>1ο ΕΠΑ.Λ Ορεστιάδας-Κωνσταντίνος  Καραθεοδωρή</t>
  </si>
  <si>
    <t>mail@1epal-orest.evr.sch.gr</t>
  </si>
  <si>
    <t>ΟΡΕΣΤΙΑΔΑ ΕΒΡΟΥ</t>
  </si>
  <si>
    <t>ΙΠΠΟΚΡΑΤΟΥΣ 90</t>
  </si>
  <si>
    <t>8ο ΔΗΜΟΤΙΚΟ ΣΧΟΛΕΙΟ ΟΡΕΣΤΙΑΔΑΣ</t>
  </si>
  <si>
    <t>1ο ΗΜΕΡΗΣΙΟ ΕΠΑΛ ΑΛΕΞΑΝΔΡΟΥΠΟΛΗΣ</t>
  </si>
  <si>
    <t>mail@1epal-alexandr.evr.sch.gr</t>
  </si>
  <si>
    <t>2ο ΗΜΕΡΗΣΙΟ ΕΠΑΛ ΑΛΕΞΑΝΔΡΟΥΠΟΛΗΣ</t>
  </si>
  <si>
    <t>mail@2epal-alexandr.evr.sch.gr</t>
  </si>
  <si>
    <t>Λ. ΝΙΚΟΛΑΪΔΗ 11</t>
  </si>
  <si>
    <t>ΔΙΔΥΜΟΤΕΙΧΟΥ</t>
  </si>
  <si>
    <t>1ο ΕΠΑΛ ΔΙΔΥΜΟΤΕΙΧΟΥ - "ΕΥΓΕΝΙΟΣ ΕΥΓΕΝΙΔΗΣ"</t>
  </si>
  <si>
    <t>mail@1epal-didym.evr.sch.gr</t>
  </si>
  <si>
    <t>ΔΙΔΥΜΟΤΕΙΧΟ</t>
  </si>
  <si>
    <t>ΛΕΩΝΙΔΟΥ 52-54</t>
  </si>
  <si>
    <t>1ο ΔΗΜΟΤΙΚΟ ΣΧΟΛΕΙΟ ΔΙΔΥΜΟΤΕΙΧΟΥ</t>
  </si>
  <si>
    <t>3ο ΗΜΕΡΗΣΙΟ ΓΕΝΙΚΟ ΛΥΚΕΙΟ ΑΛΕΞΑΝΔΡΟΥΠΟΛΗΣ</t>
  </si>
  <si>
    <t>mail@3lyk-alexandr.evr.sch.gr</t>
  </si>
  <si>
    <t>ΔΗΜΗΤΡΑΣ 1</t>
  </si>
  <si>
    <t>4ο ΔΗΜΟΤΙΚΟ ΣΧΟΛΕΙΟ ΑΛΕΞΑΝΔΡΟΥΠΟΛΗΣ " ΧΡΟΝΗΣ ΑΗΔΟΝΙΔΗΣ "</t>
  </si>
  <si>
    <t>2ο ΗΜΕΡΗΣΙΟ ΓΕΝΙΚΟ ΛΥΚΕΙΟ ΑΛΕΞΑΝΔΡΟΥΠΟΛΗΣ</t>
  </si>
  <si>
    <t>mail@2lyk-alexandr.evr.sch.gr</t>
  </si>
  <si>
    <t>ΑΜΜΟΧΩΣΤΟΥ 4</t>
  </si>
  <si>
    <t>4ο ΗΜΕΡΗΣΙΟ ΓΕΝΙΚΟ ΛΥΚΕΙΟ ΑΛΕΞΑΝΔΡΟΥΠΟΛΗΣ</t>
  </si>
  <si>
    <t>mail@4lyk-alexandr.evr.sch.gr</t>
  </si>
  <si>
    <t>ΝΙΚΗΤΑΡΑ 35 Α</t>
  </si>
  <si>
    <t>ΣΟΥΦΛΙΟΥ</t>
  </si>
  <si>
    <t>ΗΜΕΡΗΣΙΟ ΓΕΝΙΚΟ ΛΥΚΕΙΟ ΣΟΥΦΛΙΟΥ ΕΒΡΟΥ</t>
  </si>
  <si>
    <t>mail@lyk-soufl.evr.sch.gr</t>
  </si>
  <si>
    <t>ΣΟΥΦΛΙ ΕΒΡΟΥ</t>
  </si>
  <si>
    <t>ΕΡΜΟΥ 1</t>
  </si>
  <si>
    <t>2ο ΔΗΜΟΤΙΚΟ ΣΧΟΛΕΙΟ ΣΟΥΦΛΙΟΥ</t>
  </si>
  <si>
    <t>2ο ΗΜΕΡΗΣΙΟ ΓΕΝΙΚΟ ΛΥΚΕΙΟ ΟΡΕΣΤΙΑΔΑΣ ΕΒΡΟΥ</t>
  </si>
  <si>
    <t>mail@2lyk-orest.evr.sch.gr</t>
  </si>
  <si>
    <t>ΖΑΡΙΦΗ 7</t>
  </si>
  <si>
    <t>7ο ΔΗΜΟΤΙΚΟ ΣΧΟΛΕΙΟ ΟΡΕΣΤΙΑΔΑΣ</t>
  </si>
  <si>
    <t>1ο ΗΜΕΡΗΣΙΟ ΓΕΝΙΚΟ ΛΥΚΕΙΟ ΑΛΕΞΑΝΔΡΟΥΠΟΛΗΣ</t>
  </si>
  <si>
    <t>mail@1lyk-alexandr.evr.sch.gr</t>
  </si>
  <si>
    <t>ΑΝΘΕΜΙΟΥ 3</t>
  </si>
  <si>
    <t>ΤΡΙΓΩΝΟΥ</t>
  </si>
  <si>
    <t>ΔΙΚΑΙΩΝ</t>
  </si>
  <si>
    <t>ΗΜΕΡΗΣΙΟ ΓΕΝΙΚΟ ΛΥΚΕΙΟ ΔΙΚΑΙΩΝ ΕΒΡΟΥ</t>
  </si>
  <si>
    <t>mail@lyk-dikaion.evr.sch.gr</t>
  </si>
  <si>
    <t>ΔΙΚΑΙΑ - ΟΡΕΣΤΙΑΔΑΣ</t>
  </si>
  <si>
    <t>ΔΙΚΑΙΑ, 1</t>
  </si>
  <si>
    <t>ΔΗΜΟΤΙΚΟ ΣΧΟΛΕΙΟ ΔΙΚΑΙΩΝ</t>
  </si>
  <si>
    <t>ΗΜΕΡΗΣΙΟ ΓΕΝΙΚΟ ΛΥΚΕΙΟ ΔΙΔΥΜΟΤΕΙΧΟΥ ΕΒΡΟΥ</t>
  </si>
  <si>
    <t>mail@lyk-didym.evr.sch.gr</t>
  </si>
  <si>
    <t>ΔΙΔΥΜΟΤΕΙΧΟΥ ΕΒΡΟΥ</t>
  </si>
  <si>
    <t>ΠΟΛΥΤΕΧΝΕΙΟΥ 3</t>
  </si>
  <si>
    <t>4ο ΔΗΜΟΤΙΚΟ ΣΧΟΛΕΙΟ ΔΙΔΥΜΟΤΕΙΧΟΥ</t>
  </si>
  <si>
    <t>ΣΑΜΟΘΡΑΚΗΣ</t>
  </si>
  <si>
    <t>ΗΜΕΡΗΣΙΟ ΓΕΝΙΚΟ ΛΥΚΕΙΟ ΣΑΜΟΘΡΑΚΗΣ ΕΒΡΟΥ</t>
  </si>
  <si>
    <t>lyksamot@sch.gr</t>
  </si>
  <si>
    <t>ΞΗΡΙΑ</t>
  </si>
  <si>
    <t>ΚΑΜΑΡΙΩΤΙΣΣΑ ΣΑΜΟΘΡΑΚΗΣ</t>
  </si>
  <si>
    <t>ΔΗΜΟΤΙΚΟ ΣΧΟΛΕΙΟ ΚΑΜΑΡΙΩΤΙΣΣΑΣ</t>
  </si>
  <si>
    <t>1ο ΕΚ ΑΛΕΞΑΝΔΡΟΥΠΟΛΗΣ</t>
  </si>
  <si>
    <t>mail@1sek-alexandr.evr.sch.gr</t>
  </si>
  <si>
    <t>1ο ΗΜΕΡΗΣΙΟ ΓΥΜΝΑΣΙΟ ΟΡΕΣΤΙΑΔΑΣ</t>
  </si>
  <si>
    <t>mail@1gym-orest.evr.sch.gr</t>
  </si>
  <si>
    <t>ΒΑΣ. ΚΩΝΣΤΑΝΤΙΝΟΥ 173</t>
  </si>
  <si>
    <t>1ο ΗΜΕΡΗΣΙΟ ΓΥΜΝΑΣΙΟ ΔΙΔΥΜΟΤΕΙΧΟΥ ΕΒΡΟΥ</t>
  </si>
  <si>
    <t>mail@1gym-didym.evr.sch.gr</t>
  </si>
  <si>
    <t>ΔΙΔΥΜΟΤΕΙΧΟ ΕΒΡΟΥ</t>
  </si>
  <si>
    <t>ΠΟΛΥΤΕΧΝΕΙΟΥ 1</t>
  </si>
  <si>
    <t>3ο ΔΗΜΟΤΙΚΟ ΣΧΟΛΕΙΟ ΔΙΔΥΜΟΤΕΙΧΟΥ</t>
  </si>
  <si>
    <t>ΗΜΕΡΗΣΙΟ ΓΥΜΝΑΣΙΟ ΣΑΜΟΘΡΑΚΗΣ</t>
  </si>
  <si>
    <t>mail@gym-samothr.evr.sch.gr</t>
  </si>
  <si>
    <t>ΣΑΜΟΘΡΑΚΗΣ ΕΒΡΟΥ</t>
  </si>
  <si>
    <t>ΤΟΠΟΘΕΣΙΑ ΞΗΡΙΑ</t>
  </si>
  <si>
    <t>4ο ΗΜΕΡΗΣΙΟ ΓΥΜΝΑΣΙΟ ΑΛΕΞΑΝΔΡΟΥΠΟΛΗΣ</t>
  </si>
  <si>
    <t>mail@4gym-alexandr.evr.sch.gr</t>
  </si>
  <si>
    <t>ΑΥΤ. ΘΕΟΔΩΡΑΣ 15</t>
  </si>
  <si>
    <t>ΒΥΣΣΑΣ</t>
  </si>
  <si>
    <t>ΡΙΖΙΩΝ</t>
  </si>
  <si>
    <t>ΗΜΕΡΗΣΙΟ ΓΥΜΝΑΣΙΟ ΡΙΖΙΩΝ</t>
  </si>
  <si>
    <t>mail@gym-rizion.evr.sch.gr</t>
  </si>
  <si>
    <t>ΡΙΖΙΑ</t>
  </si>
  <si>
    <t>ΑΛΕΞΑΝΔΡΟΥ ΠΑΠΑΓΟΥ</t>
  </si>
  <si>
    <t>ΔΗΜΟΤΙΚΟ ΣΧΟΛΕΙΟ ΡΙΖΙΩΝ</t>
  </si>
  <si>
    <t>2ο ΗΜΕΡΗΣΙΟ ΓΥΜΝΑΣΙΟ ΑΛΕΞΑΝΔΡΟΥΠΟΛΗΣ</t>
  </si>
  <si>
    <t>mail@2gym-alexandr.evr.sch.gr</t>
  </si>
  <si>
    <t>ΜΑΡΓΑΡΙΤΗ ΚΟΥΤΑΒΟΥ</t>
  </si>
  <si>
    <t>2ο ΗΜΕΡΗΣΙΟ ΓΥΜΝΑΣΙΟ ΟΡΕΣΤΙΑΔΑΣ - ΓΕΩΡΓΙΟΣ ΒΙΖΥΗΝΟΣ</t>
  </si>
  <si>
    <t>mail@2gym-orest.evr.sch.gr</t>
  </si>
  <si>
    <t>ΣΑΡΑΝΤΑ ΕΚΚΛΗΣΙΩΝ  ΤΕΡΜΑ</t>
  </si>
  <si>
    <t>1ο ΗΜΕΡΗΣΙΟ ΓΥΜΝΑΣΙΟ ΣΟΥΦΛΙΟΥ</t>
  </si>
  <si>
    <t>mail@gym-soufl.evr.sch.gr</t>
  </si>
  <si>
    <t>ΣΟΥΦΛΙ</t>
  </si>
  <si>
    <t>ΔΗΜΟΤΙΚΟ ΣΧΟΛΕΙΟ ΔΑΔΙΑΣ</t>
  </si>
  <si>
    <t>ΜΕΤΑΞΑΔΩΝ</t>
  </si>
  <si>
    <t>ΗΜΕΡΗΣΙΟ ΓΥΜΝΑΣΙΟ ΜΕ ΛΥΚΕΙΑΚΕΣ ΤΑΞΕΙΣ ΜΕΤΑΞΑΔΩΝ</t>
  </si>
  <si>
    <t>mail@gym-metax.evr.sch.gr</t>
  </si>
  <si>
    <t>ΜΕΤΑΞΑΔΕΣ</t>
  </si>
  <si>
    <t>ΔΗΜΟΤΙΚΟ ΣΧΟΛΕΙΟ ΜΕΤΑΞΑΔΩΝ</t>
  </si>
  <si>
    <t>3ο ΓΥΜΝΑΣΙΟ ΟΡΕΣΤΙΑΔΑΣ ΕΒΡΟΥ</t>
  </si>
  <si>
    <t>mail@3gym-orest.evr.sch.gr</t>
  </si>
  <si>
    <t xml:space="preserve">Ορεστιάδα </t>
  </si>
  <si>
    <t>Πάροδος Μουρούζη 2 -</t>
  </si>
  <si>
    <t>5ο ΗΜΕΡΗΣΙΟ ΓΥΜΝΑΣΙΟ ΑΛΕΞΑΝΔΡΟΥΠΟΛΗΣ</t>
  </si>
  <si>
    <t>mail@5gym-alexandr.evr.sch.gr</t>
  </si>
  <si>
    <t>Γ. ΚΑΡΤΑΛΗ 10</t>
  </si>
  <si>
    <t>5ο ΔΗΜΟΤΙΚΟ ΣΧΟΛΕΙΟ ΑΛΕΞΑΝΔΡΟΥΠΟΛΗΣ</t>
  </si>
  <si>
    <t>ΟΡΦΕΑ</t>
  </si>
  <si>
    <t>ΛΑΒΑΡΩΝ</t>
  </si>
  <si>
    <t>ΗΜΕΡΗΣΙΟ ΓΥΜΝΑΣΙΟ ΛΑΒΑΡΩΝ</t>
  </si>
  <si>
    <t>mail@gym-lavar.evr.sch.gr</t>
  </si>
  <si>
    <t>ΛΑΒΑΡΑ</t>
  </si>
  <si>
    <t>ΚΩΝΣΤΑΝΤΙΝΟΥΠΟΛΕΩΣ 61</t>
  </si>
  <si>
    <t>ΔΗΜΟΤΙΚΟ ΣΧΟΛΕΙΟ ΛΑΒΑΡΩΝ</t>
  </si>
  <si>
    <t>ΤΡΑΪΑΝΟΥΠΟΛΗΣ</t>
  </si>
  <si>
    <t>ΑΝΘΕΙΑΣ</t>
  </si>
  <si>
    <t>ΗΜΕΡΗΣΙΟ ΓΥΜΝΑΣΙΟ ΑΝΘΕΙΑΣ ΕΒΡΟΥ</t>
  </si>
  <si>
    <t>mail@gym-anthias.evr.sch.gr</t>
  </si>
  <si>
    <t xml:space="preserve">ΑΝΘΕΙΑ </t>
  </si>
  <si>
    <t>ΑΝΘΕΙΑ</t>
  </si>
  <si>
    <t>ΔΗΜΟΤΙΚΟ ΣΧΟΛΕΙΟ ΑΝΘΕΙΑΣ</t>
  </si>
  <si>
    <t>ΝΕΑΣ ΒΥΣΣΗΣ</t>
  </si>
  <si>
    <t>ΗΜΕΡΗΣΙΟ ΓΥΜΝΑΣΙΟ ΝΕΑΣ ΒΥΣΣΑΣ</t>
  </si>
  <si>
    <t>mail@gym-n-vyssas.evr.sch.gr</t>
  </si>
  <si>
    <t>ΝΕΑΣ ΒΥΣΣΑΣ ΕΒΡΟΥ</t>
  </si>
  <si>
    <t>ΝΕΑ ΒΥΣΣΑ</t>
  </si>
  <si>
    <t>ΔΗΜΟΤΙΚΟ ΣΧΟΛΕΙΟ ΝΕΑΣ ΒΥΣΣΑΣ-ΚΑΡΑΘΕΟΔΩΡΕΙΟ</t>
  </si>
  <si>
    <t>1ο ΗΜΕΡΗΣΙΟ ΓΥΜΝΑΣΙΟ ΔΙΚΑΙΩΝ ΕΒΡΟΥ</t>
  </si>
  <si>
    <t>gymdikai@sch.gr</t>
  </si>
  <si>
    <t>ΔΙΚΑΙΑ</t>
  </si>
  <si>
    <t>1ο ΗΜΕΡΗΣΙΟ ΓΥΜΝΑΣΙΟ ΦΕΡΩΝ ΕΒΡΟΥ</t>
  </si>
  <si>
    <t>mail@gym-feron.evr.sch.gr</t>
  </si>
  <si>
    <t>ΚΥΠΡΙΝΟΥ</t>
  </si>
  <si>
    <t>ΚΥΠΡΙΝΟΣ</t>
  </si>
  <si>
    <t>1ο ΗΜΕΡΗΣΙΟ ΓΥΜΝΑΣΙΟ ΚΥΠΡΙΝΟΥ</t>
  </si>
  <si>
    <t>mail@gym-kyprin.evr.sch.gr</t>
  </si>
  <si>
    <t>ΔΗΜΟΤΙΚΟ ΣΧΟΛΕΙΟ ΚΥΠΡΙΝΟΥ</t>
  </si>
  <si>
    <t>1ο ΗΜΕΡΗΣΙΟ ΓΥΜΝΑΣΙΟ ΑΛΕΞΑΝΔΡΟΥΠΟΛΗΣ - ΛΕΟΝΤΑΡΙΔΕΙΟ</t>
  </si>
  <si>
    <t>mail@1gym-alexandr.evr.sch.gr</t>
  </si>
  <si>
    <t>ΔΕΚΑΤΗΣ ΤΕΤΑΡΤΗΣ ΜΑΪΟΥ 110</t>
  </si>
  <si>
    <t>1ο ΗΜΕΡΗΣΙΟ ΓΕΝΙΚΟ ΛΥΚΕΙΟ ΟΡΕΣΤΙΑΔΑΣ ΕΒΡΟΥ</t>
  </si>
  <si>
    <t>mail@1lyk-orest.evr.sch.gr</t>
  </si>
  <si>
    <t>3ο ΗΜΕΡΗΣΙΟ ΓΥΜΝΑΣΙΟ ΑΛΕΞΑΝΔΡΟΥΠΟΛΗΣ "ΔΟΜΝΑ ΒΙΣΒΙΖΗ"</t>
  </si>
  <si>
    <t>mail@3gym-alexandr.evr.sch.gr</t>
  </si>
  <si>
    <t>ΑΝΘΕΜΙΟΥ 1</t>
  </si>
  <si>
    <t>ΗΜΕΡΗΣΙΟ ΓΕΝΙΚΟ ΛΥΚΕΙΟ ΝΕΑΣ ΒΥΣΣΑΣ</t>
  </si>
  <si>
    <t>mail@lyk-n-vyssas.evr.sch.gr</t>
  </si>
  <si>
    <t>ΝΕΑ ΒΥΣΣΑ ΕΒΡΟΥ</t>
  </si>
  <si>
    <t>Ε</t>
  </si>
  <si>
    <t>ΤΥΧΕΡΟΥ</t>
  </si>
  <si>
    <t>ΗΜΕΡΗΣΙΟ ΓΥΜΝΑΣΙΟ ΤΥΧΕΡΟΥ</t>
  </si>
  <si>
    <t>mail@gym-tycher.evr.sch.gr</t>
  </si>
  <si>
    <t>ΤΥΧΕΡΟ</t>
  </si>
  <si>
    <t>ΔΗΜΟΤΙΚΟ ΣΧΟΛΕΙΟ ΤΥΧΕΡΟΥ</t>
  </si>
  <si>
    <t>2ο ΗΜΕΡΗΣΙΟ ΓΥΜΝΑΣΙΟ ΔΙΔΥΜΟΤΕΙΧΟΥ</t>
  </si>
  <si>
    <t>mail@2gym-didym.evr.sch.gr</t>
  </si>
  <si>
    <t>ΠΟΛΥΤΕΧΝΕΙΟΥ 5</t>
  </si>
  <si>
    <t>ΗΜΕΡΗΣΙΟ ΓΕΝΙΚΟ ΛΥΚΕΙΟ ΤΥΧΕΡΟΥ</t>
  </si>
  <si>
    <t>mail@lyk-tycher.evr.sch.gr</t>
  </si>
  <si>
    <t>1ο ΕΣΠΕΡΙΝΟ ΓΕΛ ΟΡΕΣΤΙΑΔΑΣ</t>
  </si>
  <si>
    <t>mail@lyk-esp-orest.evr.sch.gr</t>
  </si>
  <si>
    <t>2ο ΕΣΠΕΡΙΝΟ ΕΠΑΛ ΟΡΕΣΤΙΑΔΑΣ</t>
  </si>
  <si>
    <t>mail@2epal-orest.evr.sch.gr</t>
  </si>
  <si>
    <t>ΜΟΥΣΙΚΟ ΓΥΜΝΑΣΙΟ ΜΕ Λ.Τ. ΑΛΕΞΑΝΔΡΟΥΠΟΛΗΣ</t>
  </si>
  <si>
    <t>mail@gym-mous-alexandr.evr.sch.gr</t>
  </si>
  <si>
    <t>Ηροδότου &amp; Δήμητρας</t>
  </si>
  <si>
    <t>Ενιαίο Ειδικό Επαγγελματικό Γυμνάσιο - Λύκειο Ορεστιάδας</t>
  </si>
  <si>
    <t>mail@gym-ee-orest.evr.sch.gr</t>
  </si>
  <si>
    <t>Ευριπίδου - Ζίγκμπουργκ και Μάρκου Μπότσαρη</t>
  </si>
  <si>
    <t>Ε.Κ. ΟΡΕΣΤΙΑΔΑΣ</t>
  </si>
  <si>
    <t>mail@ek-orest.evr.sch.gr</t>
  </si>
  <si>
    <t>4ο Ημερήσιο ΕΠΑ.Λ. Αλεξανδρούπολης</t>
  </si>
  <si>
    <t>mail@4epal-alexandr.evr.sch.gr</t>
  </si>
  <si>
    <t>6ο ΗΜΕΡΗΣΙΟ ΓΥΜΝΑΣΙΟ ΑΛΕΞΑΝΔΡΟΥΠΟΛΗΣ</t>
  </si>
  <si>
    <t>mail@6gym-alexandr.evr.sch.gr</t>
  </si>
  <si>
    <t>ΔΙΕΥΘΥΝΣΗ Δ.Ε. ΚΑΒΑΛΑΣ</t>
  </si>
  <si>
    <t>ΠΑΓΓΑΙΟΥ</t>
  </si>
  <si>
    <t>ΝΙΚΗΣΙΑΝΗΣ</t>
  </si>
  <si>
    <t>ΗΜΕΡΗΣΙΟ ΓΥΜΝΑΣΙΟ ΝΙΚΗΣΙΑΝΗΣ</t>
  </si>
  <si>
    <t>mail@gym-nikis.kav.sch.gr</t>
  </si>
  <si>
    <t>ΔΗΜΟΥ ΠΑΓΓΑΙΟΥ</t>
  </si>
  <si>
    <t>ΝΙΚΗΣΙΑΝΗ,</t>
  </si>
  <si>
    <t>ΔΗΜΟΤΙΚΟ ΣΧΟΛΕΙΟ ΝΙΚΗΣΙΑΝΗΣ</t>
  </si>
  <si>
    <t>ΟΡΦΑΝΟΥ</t>
  </si>
  <si>
    <t>ΠΟΔΟΧΩΡΙΟΥ</t>
  </si>
  <si>
    <t>ΗΜΕΡΗΣΙΟ ΓΥΜΝΑΣΙΟ ΠΟΔΟΧΩΡΙΟΥ ΚΑΒΑΛΑΣ - ΓΥΜΝΑΣΙΟ ΠΟΔΟΧΩΡΙΟΥ</t>
  </si>
  <si>
    <t>mail@gym-podoch.kav.sch.gr</t>
  </si>
  <si>
    <t>ΠΟΔΟΧΩΡΙΟΥ ΚΑΒΑΛΑΣ</t>
  </si>
  <si>
    <t>ΠΟΔΟΧΩΡΙ</t>
  </si>
  <si>
    <t>ΠΟΔΟΧΩΡΙ ΚΑΒΑΛΑΣ</t>
  </si>
  <si>
    <t>ΔΗΜΟΤΙΚΟ ΣΧΟΛΕΙΟ ΠΟΔΟΧΩΡΙΟΥ</t>
  </si>
  <si>
    <t>ΘΑΣΟΥ</t>
  </si>
  <si>
    <t>ΗΜΕΡΗΣΙΟ ΓΕΝΙΚΟ ΛΥΚΕΙΟ ΛΙΜΕΝΑ - ΓΕΝΙΚΟ ΛΥΚΕΙΟ ΛΙΜΕΝΑ ΘΑΣΟΥ</t>
  </si>
  <si>
    <t>mail@lyk-thasou.kav.sch.gr</t>
  </si>
  <si>
    <t>ΛΙΜΕΝΑΣ</t>
  </si>
  <si>
    <t>ΛΙΜΕΝΑΣ ΘΑΣΟΥ</t>
  </si>
  <si>
    <t>2ο ΔΗΜΟΤΙΚΟ ΣΧΟΛΕΙΟ ΘΑΣΟΥ</t>
  </si>
  <si>
    <t>ΗΜΕΡΗΣΙΟ ΓΥΜΝΑΣΙΟ ΛΙΜΕΝΑ ΘΑΣΟΥ ΚΑΒΑΛΑΣ</t>
  </si>
  <si>
    <t>mail@gym-thasou.kav.sch.gr</t>
  </si>
  <si>
    <t>ΛΙΜΕΝΑ ΘΑΣΟΥ ΚΑΒΑΛΑΣ</t>
  </si>
  <si>
    <t>ΝΕΑΣ ΚΑΡΒΑΛΗΣ</t>
  </si>
  <si>
    <t>Ε.Ε.Ε.ΕΚ. ΚΑΒΑΛΑΣ</t>
  </si>
  <si>
    <t>mail@eeek.kav.sch.gr</t>
  </si>
  <si>
    <t>Ν. ΚΑΡΒΑΛΗ</t>
  </si>
  <si>
    <t>ΝΕΑ ΚΑΡΒΑΛΗ</t>
  </si>
  <si>
    <t>ΔΗΜΟΤΙΚΟ ΣΧΟΛΕΙΟ ΝΕΑΣ ΚΑΡΒΑΛΗΣ</t>
  </si>
  <si>
    <t>2ο ΕΠΑ.Λ. ΚΑΒΑΛΑΣ (ΕΣΠΕΡΙΝΟ)</t>
  </si>
  <si>
    <t>mail@2epal-esp-kaval.kav.sch.gr</t>
  </si>
  <si>
    <t>ΣΑΜΟΥ  2</t>
  </si>
  <si>
    <t>9ο ΔΗΜΟΤΙΚΟ ΣΧΟΛΕΙΟ ΚΑΒΑΛΑΣ</t>
  </si>
  <si>
    <t>ΛΙΜΕΝΑΡΙΩΝ</t>
  </si>
  <si>
    <t>ΗΜΕΡΗΣΙΟ ΓΕΝΙΚΟ ΛΥΚΕΙΟ ΛΙΜΕΝΑΡΙΩΝ ΘΑΣΟΥ</t>
  </si>
  <si>
    <t>mail@lyk-limen.kav.sch.gr</t>
  </si>
  <si>
    <t>ΘΑΣΟΣ</t>
  </si>
  <si>
    <t>ΛΙΜΕΝΑΡΙΑ</t>
  </si>
  <si>
    <t>ΔΗΜΟΤΙΚΟ ΣΧΟΛΕΙΟ ΛΙΜΕΝΑΡΙΩΝ</t>
  </si>
  <si>
    <t>5ο ΗΜΕΡΗΣΙΟ ΓΕΝΙΚΟ ΛΥΚΕΙΟ ΚΑΒΑΛΑΣ</t>
  </si>
  <si>
    <t>mail@5lyk-kaval.kav.sch.gr</t>
  </si>
  <si>
    <t>ΠΑΙΔ. ΚΑΤΑΣΚΗΝΩΣΕΙΣ ΑΓ. ΣΙΛΑ</t>
  </si>
  <si>
    <t>21ο  ΔΗΜΟΤΙΚΟ ΣΧΟΛΕΙΟ ΚΑΒΑΛΑΣ</t>
  </si>
  <si>
    <t>ΕΛΕΥΘΕΡΩΝ</t>
  </si>
  <si>
    <t>ΝΕΑΣ ΠΕΡΑΜΟΥ</t>
  </si>
  <si>
    <t>ΗΜΕΡΗΣΙΟ ΓΕΝΙΚΟ ΛΥΚΕΙΟ ΝΕΑΣ ΠΕΡΑΜΟΥ</t>
  </si>
  <si>
    <t>mail@lyk-n-peram.kav.sch.gr</t>
  </si>
  <si>
    <t>ΝΕΑ ΠΕΡΑΜΟΣ ΔΗΜΟΣ ΠΑΓΓΑΙΟΥ</t>
  </si>
  <si>
    <t>ΑΓΙΑΣ ΕΙΡΗΝΗΣ</t>
  </si>
  <si>
    <t>ΕΛΕΥΘΕΡΟΥΠΟΛΗΣ</t>
  </si>
  <si>
    <t>1ο ΔΗΜΟΤΙΚΟ ΣΧΟΛΕΙΟ  ΝΕΑΣ ΠΕΡΑΜΟΥ</t>
  </si>
  <si>
    <t>ΗΜΕΡΗΣΙΟ ΓΕΝΙΚΟ ΛΥΚΕΙΟ ΠΟΔΟΧΩΡΙΟΥ</t>
  </si>
  <si>
    <t>mail@lyk-podoch.kav.sch.gr</t>
  </si>
  <si>
    <t>ΗΜΕΡΗΣΙΟ ΓΕΝΙΚΟ ΛΥΚΕΙΟ ΕΛΕΥΘΕΡΟΥΠΟΛΗΣ - Γ.Λ.ΕΛΕΥΘΕΡΟΥΠΟΛΗΣ</t>
  </si>
  <si>
    <t>mail@lyk-elefth.kav.sch.gr</t>
  </si>
  <si>
    <t>ΤΕΡΜΑ ΜΑΥΡΟΜΙΧΑΛΗ</t>
  </si>
  <si>
    <t>3ο ΔΗΜΟΤΙΚΟ ΣΧΟΛΕΙΟ ΕΛΕΥΘΕΡΟΥΠΟΛΗΣ</t>
  </si>
  <si>
    <t>ΝΕΣΤΟΥ</t>
  </si>
  <si>
    <t>ΧΡΥΣΟΥΠΟΛΗΣ</t>
  </si>
  <si>
    <t>ΗΜΕΡΗΣΙΟ ΓΕΝΙΚΟ ΛΥΚΕΙΟ ΧΡΥΣΟΥΠΟΛΗΣ</t>
  </si>
  <si>
    <t>mail@lyk-chrys.kav.sch.gr</t>
  </si>
  <si>
    <t>ΘΡΑΚΗΣ 10</t>
  </si>
  <si>
    <t>1ο ΔΗΜΟΤΙΚΟ ΣΧΟΛΕΙΟ ΧΡΥΣΟΥΠΟΛΗΣ</t>
  </si>
  <si>
    <t>ΗΜΕΡΗΣΙΟ ΓΕΝΙΚΟ ΛΥΚΕΙΟ ΝΙΚΗΣΙΑΝΗΣ</t>
  </si>
  <si>
    <t>mail@lyk-nikis.kav.sch.gr</t>
  </si>
  <si>
    <t>ΝΙΚΗΣΙΑΝΗ</t>
  </si>
  <si>
    <t>ΑΓΙΟΣ ΧΡΙΣΤΟΦΟΡΟΣ</t>
  </si>
  <si>
    <t>2ο ΗΜΕΡΗΣΙΟ ΓΕΝΙΚΟ ΛΥΚΕΙΟ ΚΑΒΑΛΑΣ</t>
  </si>
  <si>
    <t>mail@2lyk-kaval.kav.sch.gr</t>
  </si>
  <si>
    <t>ΔΗΜΟΣΘΕΝΟΥΣ 17</t>
  </si>
  <si>
    <t>22ο ΔΗΜΟΤΙΚΟ ΣΧΟΛΕΙΟ ΚΑΒΑΛΑΣ</t>
  </si>
  <si>
    <t>1ο ΗΜΕΡΗΣΙΟ ΓΕΝΙΚΟ ΛΥΚΕΙΟ ΚΑΒΑΛΑΣ</t>
  </si>
  <si>
    <t>mail@1lyk-kaval.kav.sch.gr</t>
  </si>
  <si>
    <t>Γ. ΚΙΤΣΟΥ 57</t>
  </si>
  <si>
    <t>5ο  ΔΗΜΟΤΙΚΟ ΣΧΟΛΕΙΟ ΚΑΒΑΛΑΣ</t>
  </si>
  <si>
    <t>ΗΜΕΡΗΣΙΟ ΓΥΜΝΑΣΙΟ ΛΙΜΕΝΑΡΙΩΝ ΘΑΣΟΥ</t>
  </si>
  <si>
    <t>mail@gym-limen.kav.sch.gr</t>
  </si>
  <si>
    <t xml:space="preserve">ΘΑΣΟΣ </t>
  </si>
  <si>
    <t>4ο ΗΜΕΡΗΣΙΟ ΓΥΜΝΑΣΙΟ ΚΑΒΑΛΑΣ - ΖΟΥΜΠΟΥΛΑΚΕΙΟ</t>
  </si>
  <si>
    <t>mail@4gym-kaval.kav.sch.gr</t>
  </si>
  <si>
    <t>ΚΑΡΑΪΣΚΑΚΗ 4</t>
  </si>
  <si>
    <t>3ο ΗΜΕΡΗΣΙΟ ΓΥΜΝΑΣΙΟ ΚΑΒΑΛΑΣ</t>
  </si>
  <si>
    <t>mail@3gym-kaval.kav.sch.gr</t>
  </si>
  <si>
    <t>ΣΚΡΑ 11</t>
  </si>
  <si>
    <t>12ο ΔΗΜΟΤΙΚΟ ΣΧΟΛΕΙΟ ΚΑΒΑΛΑΣ</t>
  </si>
  <si>
    <t>1ο ΗΜΕΡΗΣΙΟ ΓΥΜΝΑΣΙΟ ΚΑΒΑΛΑΣ</t>
  </si>
  <si>
    <t>mail@1gym-kaval.kav.sch.gr</t>
  </si>
  <si>
    <t>ΚΩΝΣΤΑΝΤΙΝΙΔΟΥ ΠΟΙΗΤΟΥ 16</t>
  </si>
  <si>
    <t>2ο ΗΜΕΡΗΣΙΟ ΓΥΜΝΑΣΙΟ ΚΑΒΑΛΑΣ</t>
  </si>
  <si>
    <t>mail@2gym-kaval.kav.sch.gr</t>
  </si>
  <si>
    <t>ΑΡΚΑΔΙΟΥ 2</t>
  </si>
  <si>
    <t>16ο ΔΗΜΟΤΙΚΟ ΣΧΟΛΕΙΟ ΚΑΒΑΛΑΣ</t>
  </si>
  <si>
    <t>ΗΜΕΡΗΣΙΟ ΓΥΜΝΑΣΙΟ ΕΛΕΥΘΕΡΟΥΠΟΛΗΣ ΚΑΒΑΛΑΣ</t>
  </si>
  <si>
    <t>mail@gym-elefth.kav.sch.gr</t>
  </si>
  <si>
    <t>ΕΛΕΥΘΕΡΟΥΠΟΛΗ ΚΑΒΑΛΑΣ</t>
  </si>
  <si>
    <t>Π. ΚΟΥΝΤΟΥΡΙΩΤΟΥ ΤΕΡΜΑ</t>
  </si>
  <si>
    <t>1ο ΕΚ ΚΑΒΑΛΑΣ (1ο Εργαστηριακό Κέντρο Καβάλας)</t>
  </si>
  <si>
    <t>mail@sek-kaval.kav.sch.gr</t>
  </si>
  <si>
    <t>ΣΑΜΟΥ 2</t>
  </si>
  <si>
    <t>1ο ΗΜΕΡΗΣΙΟ ΓΥΜΝΑΣΙΟ ΧΡΥΣΟΥΠΟΛΗΣ ΚΑΒΑΛΑΣ</t>
  </si>
  <si>
    <t>mail@gym-chrys.kav.sch.gr</t>
  </si>
  <si>
    <t>ΧΡΥΣΟΥΠΟΛΗ ΚΑΒΑΛΑΣ</t>
  </si>
  <si>
    <t>ΚΕΡΑΜΩΤΗΣ</t>
  </si>
  <si>
    <t>ΗΜΕΡΗΣΙΟ ΓΥΜΝΑΣΙΟ ΚΕΡΑΜΩΤΗΣ ΚΑΒΑΛΑΣ</t>
  </si>
  <si>
    <t>mail@gym-keram.kav.sch.gr</t>
  </si>
  <si>
    <t>ΚΕΡΑΜΩΤΗ ΚΑΒΑΛΑΣ</t>
  </si>
  <si>
    <t>ΚΕΡΑΜΩΤΗ</t>
  </si>
  <si>
    <t>ΔΗΜΟΤΙΚΟ ΣΧΟΛΕΙΟ ΚΕΡΑΜΩΤΗΣ</t>
  </si>
  <si>
    <t>ΦΙΛΙΠΠΩΝ</t>
  </si>
  <si>
    <t>ΑΜΥΓΔΑΛΕΩΝΟΣ</t>
  </si>
  <si>
    <t>ΗΜΕΡΗΣΙΟ ΓΥΜΝΑΣΙΟ ΑΜΥΓΔΑΛΕΩΝΑ ΚΑΒΑΛΑΣ</t>
  </si>
  <si>
    <t>mail@gym-amygd.kav.sch.gr</t>
  </si>
  <si>
    <t>ΑΜΥΓΔΑΛΕΩΝΑΣ ΚΑΒΑΛΑΣ</t>
  </si>
  <si>
    <t>ΔΗΜΟΤΙΚΟ ΣΧΟΛΕΙΟ ΑΜΥΓΔΑΛΕΩΝΑ "ΤΣΑΝΑΚΤΣΗΣ ΗΛΙΑΣ"</t>
  </si>
  <si>
    <t>7ο ΗΜΕΡΗΣΙΟ ΓΥΜΝΑΣΙΟ ΚΑΒΑΛΑΣ</t>
  </si>
  <si>
    <t>mail@7gym-kaval.kav.sch.gr</t>
  </si>
  <si>
    <t>ΗΜΕΡΗΣΙΟ ΓΥΜΝΑΣΙΟ ΝΕΑΣ ΠΕΡΑΜΟΥ ΚΑΒΑΛΑΣ</t>
  </si>
  <si>
    <t>mail@gym-n-peram.kav.sch.gr</t>
  </si>
  <si>
    <t>ΝΕΑ ΠΕΡΑΜΟΣ</t>
  </si>
  <si>
    <t>ΔΗΜΟΤΙΚΟ ΣΧΟΛΕΙΟ ΕΛΑΙΟΧΩΡΙΟΥ ΚΑΒΑΛΑΣ</t>
  </si>
  <si>
    <t>ΗΜΕΡΗΣΙΟ ΓΥΜΝΑΣΙΟ ΝΕΑΣ ΚΑΡΒΑΛΗΣ</t>
  </si>
  <si>
    <t>mail@gym-n-karval.kav.sch.gr</t>
  </si>
  <si>
    <t>ΣΤΑΥΡΟΥ ΑΝΤΩΝΙΑΔΗ</t>
  </si>
  <si>
    <t>ΠΑΛΑΙΑΣ ΚΑΒΑΛΑΣ</t>
  </si>
  <si>
    <t>ΗΜΕΡΗΣΙΟ ΓΥΜΝΑΣΙΟ ΚΡΗΝΙΔΩΝ ΚΑΒΑΛΑΣ</t>
  </si>
  <si>
    <t>mail@gym-krinid.kav.sch.gr</t>
  </si>
  <si>
    <t>ΚΡΗΝΙΔΕΣ ΚΑΒΑΛΑΣ</t>
  </si>
  <si>
    <t>ΕΓΝΑΤΙΑΣ 14</t>
  </si>
  <si>
    <t>2ο ΔΗΜΟΤΙΚΟ ΣΧΟΛΕΙΟ ΚΡΗΝΙΔΩΝ</t>
  </si>
  <si>
    <t>1ο ΗΜΕΡΗΣΙΟ ΕΠΑΛ ΧΡΥΣΟΥΠΟΛΗΣ</t>
  </si>
  <si>
    <t>mail@1epal-chrys.kav.sch.gr</t>
  </si>
  <si>
    <t>ΧΡΥΣΟΥΠΟΛΗ</t>
  </si>
  <si>
    <t>ΓΕΡΟΝΤΑ 5</t>
  </si>
  <si>
    <t>5ο ΗΜΕΡΗΣΙΟ ΓΥΜΝΑΣΙΟ ΚΑΒΑΛΑΣ</t>
  </si>
  <si>
    <t>mail@5gym-kaval.kav.sch.gr</t>
  </si>
  <si>
    <t>Θ.ΠΟΥΛΙΔΟΥ 14-16</t>
  </si>
  <si>
    <t>15ο ΔΗΜΟΤΙΚΟ ΣΧΟΛΕΙΟ ΚΑΒΑΛΑΣ</t>
  </si>
  <si>
    <t>ΠΡΙΝΟΥ</t>
  </si>
  <si>
    <t>ΗΜΕΡΗΣΙΟ ΓΥΜΝΑΣΙΟ ΠΡΙΝΟΥ</t>
  </si>
  <si>
    <t>mail@gym-prinou.kav.sch.gr</t>
  </si>
  <si>
    <t>ΠΡΙΝΟΣ</t>
  </si>
  <si>
    <t>ΠΡΙΝΟΣ  ΘΑΣΟΥ</t>
  </si>
  <si>
    <t>ΔΗΜΟΤΙΚΟ ΣΧΟΛΕΙΟ ΠΡΙΝΟΥ</t>
  </si>
  <si>
    <t>ΚΡΗΝΙΔΩΝ</t>
  </si>
  <si>
    <t>ΗΜΕΡΗΣΙΟ ΓΕΝΙΚΟ ΛΥΚΕΙΟ ΚΡΗΝΙΔΩΝ</t>
  </si>
  <si>
    <t>mail@lyk-krinid.kav.sch.gr</t>
  </si>
  <si>
    <t>ΚΡΗΝΙΔΕΣ</t>
  </si>
  <si>
    <t>Εγνατίας 14</t>
  </si>
  <si>
    <t>6ο ΗΜΕΡΗΣΙΟ ΓΥΜΝΑΣΙΟ ΚΑΒΑΛΑΣ</t>
  </si>
  <si>
    <t>mail@6gym-kaval.kav.sch.gr</t>
  </si>
  <si>
    <t>ΑΡΓΥΡΟΚΑΣΤΡΟΥ ΤΕΡΜΑ</t>
  </si>
  <si>
    <t>1ο ΗΜΕΡΗΣΙΟ ΕΠΑ.Λ. ΚΑΒΑΛΑΣ</t>
  </si>
  <si>
    <t>mail@1epal-kaval.kav.sch.gr</t>
  </si>
  <si>
    <t>ΜΟΥΣΙΚΟ ΓΥΜΝΑΣΙΟ ΚΑΒΑΛΑΣ ΜΕ ΛΥΚΕΙΑΚΕΣ ΤΑΞΕΙΣ</t>
  </si>
  <si>
    <t>mail@gym-mous-kaval.kav.sch.gr</t>
  </si>
  <si>
    <t>Καβάλα</t>
  </si>
  <si>
    <t>Χρυσοστόμου Σμύρνης 10</t>
  </si>
  <si>
    <t>ΕΣΠΕΡΙΝΟ ΓΥΜΝΑΣΙΟ ΚΑΒΑΛΑΣ</t>
  </si>
  <si>
    <t>mail@gym-esp-kaval.kav.sch.gr</t>
  </si>
  <si>
    <t>ΣΑΜΟΥ 2 ΠΕΡΙΓΙΑΛΙ</t>
  </si>
  <si>
    <t>1ο ΗΜΕΡΗΣΙΟ ΕΠΑΛ ΕΛΕΥΘΕΡΟΥΠΟΛΗΣ</t>
  </si>
  <si>
    <t>mail@1epal-elefth.kav.sch.gr</t>
  </si>
  <si>
    <t>ΕΛΕΥΘΕΡΟΥΠΟΛΗ</t>
  </si>
  <si>
    <t>ΦΡΙΞΟΥ ΠΑΠΑΧΡΗΣΤΙΔΗ 182</t>
  </si>
  <si>
    <t>2ο ΔΗΜΟΤΙΚΟ ΣΧΟΛΕΙΟ ΕΛΕΥΘΕΡΟΥΠΟΛΗΣ</t>
  </si>
  <si>
    <t>4ο ΗΜΕΡΗΣΙΟ ΕΠΑΛ ΚΑΒΑΛΑΣ</t>
  </si>
  <si>
    <t>mail@4epal-kaval.kav.sch.gr</t>
  </si>
  <si>
    <t>ΑΜΙΣΟΥ 31</t>
  </si>
  <si>
    <t>11ο ΔΗΜΟΤΙΚΟ ΣΧΟΛΕΙΟ ΚΑΒΑΛΑΣ</t>
  </si>
  <si>
    <t>6ο ΗΜΕΡΗΣΙΟ ΓΕΝΙΚΟ ΛΥΚΕΙΟ ΚΑΒΑΛΑΣ</t>
  </si>
  <si>
    <t>mail@6lyk-kaval.kav.sch.gr</t>
  </si>
  <si>
    <t>ΧΡΥΣΟΣΤΟΜΟΥ ΣΜΥΡΝΗΣ 10</t>
  </si>
  <si>
    <t>3ο ΗΜΕΡΗΣΙΟ ΓΕΝΙΚΟ ΛΥΚΕΙΟ ΚΑΒΑΛΑΣ</t>
  </si>
  <si>
    <t>mail@3lyk-kaval.kav.sch.gr</t>
  </si>
  <si>
    <t>2ο ΓΥΜΝΑΣΙΟ ΧΡΥΣΟΥΠΟΛΗΣ</t>
  </si>
  <si>
    <t>mail@2gym-chrys.kav.sch.gr</t>
  </si>
  <si>
    <t>Χρυσούπολη</t>
  </si>
  <si>
    <t>Ρήγα Φεραίου</t>
  </si>
  <si>
    <t>Ενιαίο Ειδικό Επαγγελματικό Γυμνάσιο- Λύκειο ΚΑΒΑΛΑΣ</t>
  </si>
  <si>
    <t>mail@gym-ee-kaval.kav.sch.gr</t>
  </si>
  <si>
    <t>ΚΑΡΑΙΣΚΑΚΗ 4</t>
  </si>
  <si>
    <t>ΔΙΕΥΘΥΝΣΗ Δ.Ε. ΞΑΝΘΗΣ</t>
  </si>
  <si>
    <t>ΣΤΑΥΡΟΥΠΟΛΗΣ</t>
  </si>
  <si>
    <t>ΣΤΑΥΡΟΥΠΟΛΕΩΣ</t>
  </si>
  <si>
    <t>ΗΜΕΡΗΣΙΟ ΓΥΜΝΑΣΙΟ Λ.Τ. ΣΤΑΥΡΟΥΠΟΛΗΣ ΞΑΝΘΗΣ</t>
  </si>
  <si>
    <t>mail@gym-stavr.xan.sch.gr</t>
  </si>
  <si>
    <t>ΣΤΑΥΡΟΥΠΟΛΗ ΞΑΝΘΗΣ</t>
  </si>
  <si>
    <t>ΔΗΜΟΤΙΚΟ ΣΧΟΛΕΙΟ ΣΤΑΥΡΟΥΠΟΛΗΣ</t>
  </si>
  <si>
    <t>ΕΣΠΕΡΙΝΟ ΓΕΝΙΚΟ ΛΥΚΕΙΟ ΞΑΝΘΗΣ</t>
  </si>
  <si>
    <t>mail@lyk-esp-xanth.xan.sch.gr</t>
  </si>
  <si>
    <t>ΔΗΜΟΚΡΙΤΟΥ 27</t>
  </si>
  <si>
    <t>13ο ΔΗΜΟΤΙΚΟ ΣΧΟΛΕΙΟ ΞΑΝΘΗΣ</t>
  </si>
  <si>
    <t>ΑΒΔΗΡΩΝ</t>
  </si>
  <si>
    <t>ΒΙΣΤΩΝΙΔΟΣ</t>
  </si>
  <si>
    <t>ΔΙΟΜΗΔΕΙΑΣ</t>
  </si>
  <si>
    <t>ΜΟΥΣΙΚΟ ΓΥΜΝΑΣΙΟ ΞΑΝΘΗΣ ΜΕ ΛΥΚΕΙΑΚΕΣ ΤΑΞΕΙΣ</t>
  </si>
  <si>
    <t>gymmousx@sch.gr</t>
  </si>
  <si>
    <t>ΔΙΟΜΗΔΕΙΑ ΞΑΝΘΗΣ</t>
  </si>
  <si>
    <t>ΔΗΜΟΤΙΚΟ ΣΧΟΛΕΙΟ ΔΙΟΜΗΔΕΙΑΣ</t>
  </si>
  <si>
    <t>1ο ΗΜΕΡΗΣΙΟ ΕΠΑΛ ΞΑΝΘΗΣ</t>
  </si>
  <si>
    <t>mail@1epal-xanth.xan.sch.gr</t>
  </si>
  <si>
    <t>ΝΕΑΠΟΛΗ</t>
  </si>
  <si>
    <t>ΝΕΑΠΟΛΗ ΞΑΝΘΗΣ</t>
  </si>
  <si>
    <t>18ο ΔΗΜΟΤΙΚΟ ΣΧΟΛΕΙΟ ΞΑΝΘΗΣ</t>
  </si>
  <si>
    <t>ΓΕΝΙΣΕΑΣ</t>
  </si>
  <si>
    <t>ΕΕΕΕΚ ΓΕΝΙΣΕΑΣ ΞΑΝΘΗΣ</t>
  </si>
  <si>
    <t>mail@eeek.xan.sch.gr</t>
  </si>
  <si>
    <t>ΓΕΝΙΣΕΑ ΞΑΝΘΗΣ</t>
  </si>
  <si>
    <t>ΔΗΜΟΤΙΚΟ ΣΧΟΛΕΙΟ ΓΕΝΙΣΕΑΣ</t>
  </si>
  <si>
    <t>Γυμνάσιο Μειονοτικής Εκπαίδευσης με Λυκειακές Τάξεις</t>
  </si>
  <si>
    <t>ΜΕΙΟΝΟΤΙΚΟ ΓΥΜΝΑΣΙΟ - ΛΥΚΕΙΟ  ΞΑΝΘΗΣ</t>
  </si>
  <si>
    <t>gymxanth@sch.gr</t>
  </si>
  <si>
    <t>ΧΑΤΖΗΣΤΑΥΡΟΥ 10</t>
  </si>
  <si>
    <t>3ο ΔΗΜΟΤΙΚΟ ΣΧΟΛΕΙΟ ΞΑΝΘΗΣ</t>
  </si>
  <si>
    <t>ΗΜΕΡΗΣΙΟ ΓΕΝΙΚΟ ΛΥΚΕΙΟ ΑΒΔΗΡΩΝ ΞΑΝΘΗΣ</t>
  </si>
  <si>
    <t>mail@lyk-avdir.xan.sch.gr</t>
  </si>
  <si>
    <t>ΑΒΔΗΡΑ ΞΑΝΘΗΣ</t>
  </si>
  <si>
    <t>ΑΒΔΗΡΑ</t>
  </si>
  <si>
    <t>ΔΗΜΟΤΙΚΟ ΣΧΟΛΕΙΟ ΑΒΔΗΡΩΝ</t>
  </si>
  <si>
    <t>1ο ΗΜΕΡΗΣΙΟ ΓΕΝΙΚΟ ΛΥΚΕΙΟ ΞΑΝΘΗΣ</t>
  </si>
  <si>
    <t>mail@1lyk-xanth.xan.sch.gr</t>
  </si>
  <si>
    <t>Ν. ΚΑΖΑΝΤΖΑΚΗ 1</t>
  </si>
  <si>
    <t>8ο ΔΗΜΟΤΙΚΟ ΣΧΟΛΕΙΟ ΞΑΝΘΗΣ</t>
  </si>
  <si>
    <t>2ο Ε.Κ. ΞΑΝΘΗΣ</t>
  </si>
  <si>
    <t>mail@2sek-xanth.xan.sch.gr</t>
  </si>
  <si>
    <t>ΝΕΑΠΟΛΗ.</t>
  </si>
  <si>
    <t>ΜΥΚΗΣ</t>
  </si>
  <si>
    <t>1ο ΗΜΕΡΗΣΙΟ ΕΠΑΛ ΓΛΑΥΚΗΣ</t>
  </si>
  <si>
    <t>mail@1epal-glafk.xan.sch.gr</t>
  </si>
  <si>
    <t>ΓΛΑΥΚΗ</t>
  </si>
  <si>
    <t>ΜΕΙΟΝΟΤΙΚΟ ΔΗΜΟΤΙΚΟ ΣΧΟΛΕΙΟ ΓΛΑΥΚΗΣ</t>
  </si>
  <si>
    <t>2ο ΗΜΕΡΗΣΙΟ ΕΠΑΛ ΞΑΝΘΗΣ</t>
  </si>
  <si>
    <t>mail@2epal-xanth.xan.sch.gr</t>
  </si>
  <si>
    <t>ΗΜΕΡΗΣΙΟ ΓΕΝΙΚΟ ΛΥΚΕΙΟ ΓΛΑΥΚΗΣ ΞΑΝΘΗ</t>
  </si>
  <si>
    <t>lykglafk@sch.gr</t>
  </si>
  <si>
    <t>ΓΛΑΥΚΗ ΞΑΝΘΗΣ</t>
  </si>
  <si>
    <t>4ο ΗΜΕΡΗΣΙΟ ΓΕΝΙΚΟ ΛΥΚΕΙΟ ΞΑΝΘΗΣ</t>
  </si>
  <si>
    <t>mail@4lyk-xanth.xan.sch.gr</t>
  </si>
  <si>
    <t>2ο ΗΜΕΡΗΣΙΟ ΓΕΝΙΚΟ ΛΥΚΕΙΟ ΞΑΝΘΗΣ</t>
  </si>
  <si>
    <t>mail@2lyk-xanth.xan.sch.gr</t>
  </si>
  <si>
    <t>ΤΖΑΒΕΛΑ 10</t>
  </si>
  <si>
    <t>2ο ΔΗΜΟΤΙΚΟ ΣΧΟΛΕΙΟ ΞΑΝΘΗΣ</t>
  </si>
  <si>
    <t>1ο ΕΚ ΞΑΝΘΗΣ</t>
  </si>
  <si>
    <t>mail@1sek-xanth.xan.sch.gr</t>
  </si>
  <si>
    <t>ΗΜΕΡΗΣΙΟ ΓΥΜΝΑΣΙΟ ΓΕΝΙΣΕΑΣ ΞΑΝΘΗΣ</t>
  </si>
  <si>
    <t>gymgenis@sch.gr</t>
  </si>
  <si>
    <t>ΓΕΝΙΣΕΑ</t>
  </si>
  <si>
    <t>1ο ΗΜΕΡΗΣΙΟ ΓΥΜΝΑΣΙΟ ΞΑΝΘΗΣ</t>
  </si>
  <si>
    <t>mail@1gym-xanth.xan.sch.gr</t>
  </si>
  <si>
    <t>ΑΝΔΡΕΟΥ ΔΗΜΗΤΡΙΟΥ 44</t>
  </si>
  <si>
    <t>4ο ΔΗΜΟΤΙΚΟ ΣΧΟΛΕΙΟ ΞΑΝΘΗΣ</t>
  </si>
  <si>
    <t>ΤΟΠΕΙΡΟΥ</t>
  </si>
  <si>
    <t>ΤΟΞΟΤΩΝ</t>
  </si>
  <si>
    <t>ΓΥΜΝΑΣΙΟ ΤΟΞΟΤΩΝ ΞΑΝΘΗΣ</t>
  </si>
  <si>
    <t>mail@gym-toxot.xan.sch.gr</t>
  </si>
  <si>
    <t>ΤΟΞΟΤΕΣ ΞΑΝΘΗΣ</t>
  </si>
  <si>
    <t>ΤΟΞΟΤΕΣ</t>
  </si>
  <si>
    <t>ΔΗΜΟΤΙΚΟ ΣΧΟΛΕΙΟ ΤΟΞΟΤΩΝ</t>
  </si>
  <si>
    <t>3ο ΗΜΕΡΗΣΙΟ ΓΥΜΝΑΣΙΟ ΞΑΝΘΗΣ - ΜΕΛΠΩ ΜΕΡΛΙΕ</t>
  </si>
  <si>
    <t>mail@3gym-xanth.xan.sch.gr</t>
  </si>
  <si>
    <t>ΒΕΛΙΣΑΡΙΟΥ 10</t>
  </si>
  <si>
    <t>6ο ΔΗΜΟΤΙΚΟ ΣΧΟΛΕΙΟ ΞΑΝΘΗΣ</t>
  </si>
  <si>
    <t>4ο ΗΜΕΡΗΣΙΟ ΓΥΜΝΑΣΙΟ ΞΑΝΘΗΣ</t>
  </si>
  <si>
    <t>mail@4gym-xanth.xan.sch.gr</t>
  </si>
  <si>
    <t>ΣΥΝΤΑΓΜΑΤΑΡΧΗ ΔΗΜΗΤΡΙΑΔΗ 3</t>
  </si>
  <si>
    <t>5ο ΔΗΜΟΤΙΚΟ ΣΧΟΛΕΙΟ ΞΑΝΘΗΣ</t>
  </si>
  <si>
    <t>ΕΡΑΣΜΙΟΥ</t>
  </si>
  <si>
    <t>ΗΜΕΡΗΣΙΟ ΓΥΜΝΑΣΙΟ ΕΡΑΣΜΙΟΥ ΞΑΝΘΗΣ</t>
  </si>
  <si>
    <t>mail@gym-erasm.xan.sch.gr</t>
  </si>
  <si>
    <t>ΕΡΑΣΜΙΟ ΞΑΝΘΗΣ</t>
  </si>
  <si>
    <t>ΔΗΜΟΤΙΚΟ ΣΧΟΛΕΙΟ ΕΡΑΣΜΙΟΥ</t>
  </si>
  <si>
    <t>ΕΣΠΕΡΙΝΟ ΓΥΜΝΑΣΙΟ ΞΑΝΘΗΣ</t>
  </si>
  <si>
    <t>mail@gym-esp-xanth.xan.sch.gr</t>
  </si>
  <si>
    <t>ΟΛΒΙΟΥ</t>
  </si>
  <si>
    <t>ΗΜΕΡΗΣΙΟ ΓΥΜΝΑΣΙΟ Ν. ΟΛΒΙΟΥ ΞΑΝΘΗΣ</t>
  </si>
  <si>
    <t>mail@gym-olviou.xan.sch.gr</t>
  </si>
  <si>
    <t>ΕΥΛΑΛΟ</t>
  </si>
  <si>
    <t>Ν. ΟΛΒΙΟ ΞΑΝΘΗΣ</t>
  </si>
  <si>
    <t>ΔΗΜΟΤΙΚΟ ΣΧΟΛΕΙΟ ΝΕΟΥ ΟΛΒΙΟΥ</t>
  </si>
  <si>
    <t>3ο ΗΜΕΡΗΣΙΟ ΓΕΝΙΚΟ ΛΥΚΕΙΟ ΞΑΝΘΗΣ</t>
  </si>
  <si>
    <t>mail@3lyk-xanth.xan.sch.gr</t>
  </si>
  <si>
    <t>ΝΙΚΟΥ ΜΑΤΣΟΥΚΑ 1</t>
  </si>
  <si>
    <t>ΗΜΕΡΗΣΙΟ ΓΥΜΝΑΣΙΟ ΓΛΑΥΚΗΣ ΞΑΝΘΗΣ</t>
  </si>
  <si>
    <t>gymglafk@sch.gr</t>
  </si>
  <si>
    <t>ΠΟΛΥΣΙΤΟΥ</t>
  </si>
  <si>
    <t>ΗΜΕΡΗΣΙΟ ΓΥΜΝΑΣΙΟ ΠΟΛΥΣΙΤΟΥ ΞΑΝΘΗΣ</t>
  </si>
  <si>
    <t>mail@gym-polys.xan.sch.gr</t>
  </si>
  <si>
    <t>ΠΟΛΥΣΙΤΟΣ ΞΑΝΘΗΣ</t>
  </si>
  <si>
    <t>ΔΗΜΟΤΙΚΟ ΣΧΟΛΕΙΟ ΠΟΛΥΣΙΤΟΥ</t>
  </si>
  <si>
    <t>ΕΧΙΝΟΥ</t>
  </si>
  <si>
    <t>ΗΜΕΡΗΣΙΟ ΓΥΜΝΑΣΙΟ ΕΧΙΝΟΥ ΞΑΝΘΗΣ</t>
  </si>
  <si>
    <t>mail@gym-echin.xan.sch.gr</t>
  </si>
  <si>
    <t>ΕΧΙΝΟΣ ΞΑΝΘΗΣ</t>
  </si>
  <si>
    <t>ΕΧΙΝΟΣ</t>
  </si>
  <si>
    <t>ΜΕΙΟΝΟΤΙΚΟ ΔΗΜΟΤΙΚΟ ΣΧΟΛΕΙΟ ΕΧΙΝΟΥ</t>
  </si>
  <si>
    <t>ΗΜΕΡΗΣΙΟ ΓΥΜΝΑΣΙΟ ΑΒΔΗΡΩΝ ΞΑΝΘΗΣ</t>
  </si>
  <si>
    <t>mail@gym-avdir.xan.sch.gr</t>
  </si>
  <si>
    <t>6ο ΗΜΕΡΗΣΙΟ ΓΥΜΝΑΣΙΟ ΞΑΝΘΗΣ - ΓΕΩΡΓΙΟΣ ΒΙΖΥΗΝΟΣ</t>
  </si>
  <si>
    <t>mail@6gym-xanth.xan.sch.gr</t>
  </si>
  <si>
    <t>2ο ΗΜΕΡΗΣΙΟ ΓΥΜΝΑΣΙΟ ΞΑΝΘΗΣ</t>
  </si>
  <si>
    <t>mail@2gym-xanth.xan.sch.gr</t>
  </si>
  <si>
    <t>ΒΕΛΙΣΣΑΡΙΟΥ 10</t>
  </si>
  <si>
    <t>5ο ΗΜΕΡΗΣΙΟ ΓΥΜΝΑΣΙΟ ΞΑΝΘΗΣ</t>
  </si>
  <si>
    <t>mail@5gym-xanth.xan.sch.gr</t>
  </si>
  <si>
    <t>ΗΜΕΡΗΣΙΟ ΓΥΜΝΑΣΙΟ ΣΜΙΝΘΗΣ ΞΑΝΘΗΣ</t>
  </si>
  <si>
    <t>mail@gym-smynth.xan.sch.gr</t>
  </si>
  <si>
    <t>ΣΜΙΝΘΗ ΞΑΝΘΗΣ</t>
  </si>
  <si>
    <t>ΣΜΙΝΘΗ</t>
  </si>
  <si>
    <t>ΜΕΙΟΝΟΤΙΚΟ ΔΗΜΟΤΙΚΟ ΣΧΟΛΕΙΟ ΣΜΙΝΘΗΣ</t>
  </si>
  <si>
    <t>Ιεροσπουδαστήριο</t>
  </si>
  <si>
    <t>ΜΟΥΣΟΥΛΜΑΝΙΚΟ  ΙΕΡΟΣΠΟΥΔΑΣΤΗΡΙΟ ΞΑΝΘΗΣ</t>
  </si>
  <si>
    <t>mail@gym-ierosp-xanth.xan.sch.gr</t>
  </si>
  <si>
    <t xml:space="preserve"> ΞΑΝΘΗ</t>
  </si>
  <si>
    <t>ΜΙΧΑΗΛ ΚΑΡΑΟΛΗ 79-81</t>
  </si>
  <si>
    <t>7ο ΗΜΕΡΗΣΙΟ ΓΥΜΝΑΣΙΟ ΞΑΝΘΗΣ</t>
  </si>
  <si>
    <t>mail@7gym-xanth.xan.sch.gr</t>
  </si>
  <si>
    <t>ΑΛΙΚΑΡΝΑΣΣΟΥ 4</t>
  </si>
  <si>
    <t>8ο ΗΜΕΡΗΣΙΟ ΓΥΜΝΑΣΙΟ ΞΑΝΘΗΣ</t>
  </si>
  <si>
    <t>mail@8gym-xanth.xan.sch.gr</t>
  </si>
  <si>
    <t>ΛΑΧΑΝΟΚΗΠΩΝ  2</t>
  </si>
  <si>
    <t>15ο ΔΗΜΟΤΙΚΟ ΣΧΟΛΕΙΟ ΞΑΝΘΗΣ</t>
  </si>
  <si>
    <t>1ο ΕΣΠΕΡΙΝΟ ΕΠΑΛ ΞΑΝΘΗΣ</t>
  </si>
  <si>
    <t>mail@1epal-esp-xanth.xan.sch.gr</t>
  </si>
  <si>
    <t>ΕΥΛΑΛΟΥ</t>
  </si>
  <si>
    <t>ΕΝΙΑΙΟ ΕΙΔΙΚΟ ΕΠΑΓΓΕΛΜΑΤΙΚΟ ΓΥΜΝΑΣΙΟ-ΛΥΚΕΙΟ ΞΑΝΘΗΣ</t>
  </si>
  <si>
    <t>mail@gym-ee-xanth.xan.sch.gr</t>
  </si>
  <si>
    <t>ΘΑΛΑΣΣΙΑ ΞΑΝΘΗΣ</t>
  </si>
  <si>
    <t>Θαλασσιά-Εύλαλο</t>
  </si>
  <si>
    <t>ΔΙΕΥΘΥΝΣΗ Δ.Ε. ΡΟΔΟΠΗΣ</t>
  </si>
  <si>
    <t>3ο ΗΜΕΡΗΣΙΟ ΓΕΝΙΚΟ ΛΥΚΕΙΟ ΚΟΜΟΤΗΝΗΣ ΡΟΔΟΠΗΣ</t>
  </si>
  <si>
    <t>mail@3lyk-komot.rod.sch.gr</t>
  </si>
  <si>
    <t>Κομοτηνή</t>
  </si>
  <si>
    <t>ΦΙΛΙΠΠΟΥ 33</t>
  </si>
  <si>
    <t>10ο ΔΗΜΟΤΙΚΟ ΣΧΟΛΕΙΟ ΚΟΜΟΤΗΝΗΣ</t>
  </si>
  <si>
    <t>ΜΑΡΩΝΕΙΑΣ-ΣΑΠΩΝ</t>
  </si>
  <si>
    <t>ΜΑΡΩΝΕΙΑΣ</t>
  </si>
  <si>
    <t>ΞΥΛΑΓΑΝΗΣ</t>
  </si>
  <si>
    <t>ΗΜΕΡΗΣΙΟ ΓΕΝΙΚΟ ΛΥΚΕΙΟ ΞΥΛΑΓΑΝΗΣ</t>
  </si>
  <si>
    <t>mail@lyk-xylag.rod.sch.gr</t>
  </si>
  <si>
    <t>ΞΥΛΑΓΑΝΗ</t>
  </si>
  <si>
    <t>ΞΥΛΑΓΑΝΗ Ν.ΡΟΔΟΠΗΣ</t>
  </si>
  <si>
    <t>ΔΗΜΟΤΙΚΟ ΣΧΟΛΕΙΟ ΞΥΛΑΓΑΝΗΣ</t>
  </si>
  <si>
    <t>2ο ΗΜΕΡΗΣΙΟ ΕΠΑΛ ΚΟΜΟΤΗΝΗΣ ΡΟΔΟΠΗΣ</t>
  </si>
  <si>
    <t>mail@2epal-komot.rod.sch.gr</t>
  </si>
  <si>
    <t>ΚΟΜΟΤΗΝΗΣ ΡΟΔΟΠΗΣ</t>
  </si>
  <si>
    <t>Μ. ΑΝΔΡΟΝΙΚΟΥ-Γ. ΠΑΠΑΝΔΡΕΟΥ</t>
  </si>
  <si>
    <t>ΤΕΡΜΑ ΣΙΣΜΑΝΟΓΛΟΥ</t>
  </si>
  <si>
    <t>1ο ΗΜΕΡΗΣΙΟ ΕΠΑΛ ΚΟΜΟΤΗΝΗΣ ΡΟΔΟΠΗΣ</t>
  </si>
  <si>
    <t>mail@1epal-komot.rod.sch.gr</t>
  </si>
  <si>
    <t>ΜΕΙΟΝΟΤΙΚΟ ΔΗΜΟΤΙΚΟ ΣΧΟΛΕΙΟ ΚΙΚΙΔΙΟΥ</t>
  </si>
  <si>
    <t>2ο ΗΜΕΡΗΣΙΟ ΓΕΝΙΚΟ ΛΥΚΕΙΟ ΚΟΜΟΤΗΝΗΣ ΡΟΔΟΠΗΣ</t>
  </si>
  <si>
    <t>mail@2lyk-komot.rod.sch.gr</t>
  </si>
  <si>
    <t>ΓΡΑΤΙΑΝΟΥΠΟΛΕΩΣ 1</t>
  </si>
  <si>
    <t>4ο ΜΕΙΟΝΟΤΙΚΟ ΔΗΜΟΤΙΚΟ ΣΧΟΛΕΙΟ ΚΟΜΟΤΗΝΗΣ</t>
  </si>
  <si>
    <t>1ο ΕΚ ΚΟΜΟΤΗΝΗΣ</t>
  </si>
  <si>
    <t>mail@1sek-komot.rod.sch.gr</t>
  </si>
  <si>
    <t>1ο ΗΜΕΡΗΣΙΟ ΓΕΝΙΚΟ ΛΥΚΕΙΟ ΚΟΜΟΤΗΝΗΣ ΡΟΔΟΠΗΣ</t>
  </si>
  <si>
    <t>mail@1lyk-komot.rod.sch.gr</t>
  </si>
  <si>
    <t>Γ. ΠΑΠΑΝΔΡΕΟΥ &amp; Μ.ΑΝΔΡΟΝΙΚΟΥ Ν.ΜΟΣΥΝΟΥΠΟΛΗ</t>
  </si>
  <si>
    <t>ΣΑΠΩΝ</t>
  </si>
  <si>
    <t>Λύκειο Διαπολιτισμικής Εκπαίδευσης</t>
  </si>
  <si>
    <t>ΓΕΝΙΚΟ ΛΥΚΕΙΟ ΔΙΑΠΟΛΙΤΙΣΜΙΚΗΣ ΕΚΠΑΙΔΕΥΣΗΣ ΣΑΠΩΝ ΡΟΔΟΠΗΣ - Γ.Λ.Δ.Ε. ΣΑΠΩΝ</t>
  </si>
  <si>
    <t>mail@lyk-diap-sappon.rod.sch.gr</t>
  </si>
  <si>
    <t>ΣΑΠΩΝ ΡΟΔΟΠΗΣ</t>
  </si>
  <si>
    <t>ΚΟΥΤΟΥΜΑΝΗ 1</t>
  </si>
  <si>
    <t>ΜΕΙΟΝΟΤΙΚΟ ΔΗΜΟΤΙΚΟ ΣΧΟΛΕΙΟ ΣΑΠΩΝ</t>
  </si>
  <si>
    <t>ΙΑΣΜΟΥ</t>
  </si>
  <si>
    <t>ΗΜΕΡΗΣΙΟ ΓΕΝΙΚΟ ΛΥΚΕΙΟ ΙΑΣΜΟΥ ΡΟΔΟΠΗΣ</t>
  </si>
  <si>
    <t>mail@lyk-iasmou.rod.sch.gr</t>
  </si>
  <si>
    <t>ΙΑΣΜΟΣ ΡΟΔΟΠΗΣ</t>
  </si>
  <si>
    <t>ΚΩΝΣΤΑΝΤΙΝΟΥΠΟΛΕΩΣ 2</t>
  </si>
  <si>
    <t>ΜΕΙΟΝΟΤΙΚΟ ΔΗΜΟΤΙΚΟ ΣΧΟΛΕΙΟ ΙΑΣΜΟΥ</t>
  </si>
  <si>
    <t>1ο ΗΜΕΡΗΣΙΟ ΓΥΜΝΑΣΙΟ ΚΟΜΟΤΗΝΗΣ ΡΟΔΟΠΗΣ - ΠΡΩΤΟ ΓΥΜΝΑΣΙΟ ΚΟΜΟΤΗΝΗΣ</t>
  </si>
  <si>
    <t>mail@1gym-komot.rod.sch.gr</t>
  </si>
  <si>
    <t xml:space="preserve">ΚΟΜΟΤΗΝΗ </t>
  </si>
  <si>
    <t>ΣΤΙΛΠΩΝΟΣ ΚΥΡΙΑΚΙΔΗ 93</t>
  </si>
  <si>
    <t>3ο ΔΗΜΟΤΙΚΟ ΣΧΟΛΕΙΟ ΚΟΜΟΤΗΝΗΣ</t>
  </si>
  <si>
    <t>ΗΜΕΡΗΣΙΟ ΓΥΜΝΑΣΙΟ ΞΥΛΑΓΑΝΗΣ ΡΟΔΟΠΗΣ</t>
  </si>
  <si>
    <t>mail@gym-xylag.rod.sch.gr</t>
  </si>
  <si>
    <t>ΑΡΡΙΑΝΩΝ</t>
  </si>
  <si>
    <t>ΟΡΓΑΝΗΣ</t>
  </si>
  <si>
    <t>ΗΜΕΡΗΣΙΟ ΓΥΜΝΑΣΙΟ ΟΡΓΑΝΗΣ ΡΟΔΟΠΗΣ</t>
  </si>
  <si>
    <t>mail@gym-organ.rod.sch.gr</t>
  </si>
  <si>
    <t>ΟΡΓΑΝΗ</t>
  </si>
  <si>
    <t>ΟΡΓΑΝΗ ΡΟΔΟΠΗΣ -</t>
  </si>
  <si>
    <t>ΜΕΙΟΝΟΤΙΚΟ ΔΗΜΟΤΙΚΟ ΣΧΟΛΕΙΟ ΟΡΓΑΝΗΣ</t>
  </si>
  <si>
    <t>2ο ΗΜΕΡΗΣΙΟ ΓΥΜΝΑΣΙΟ ΚΟΜΟΤΗΝΗΣ</t>
  </si>
  <si>
    <t>mail@2gym-komot.rod.sch.gr</t>
  </si>
  <si>
    <t>ΓΙΑΝΝΗ ΡΙΤΣΟΥ</t>
  </si>
  <si>
    <t>5ο ΔΗΜΟΤΙΚΟ ΣΧΟΛΕΙΟ ΚΟΜΟΤΗΝΗΣ</t>
  </si>
  <si>
    <t>4ο ΗΜΕΡΗΣΙΟ ΓΥΜΝΑΣΙΟ ΚΟΜΟΤΗΝΗΣ</t>
  </si>
  <si>
    <t>4gk@sch.gr</t>
  </si>
  <si>
    <t>ΟΛΥΜΠΟΥ  ΤΕΡΜΑ</t>
  </si>
  <si>
    <t>ΟΛΥΜΠΟΥ ΤΕΡΜΑ</t>
  </si>
  <si>
    <t>8ο ΔΗΜΟΤΙΚΟ ΣΧΟΛΕΙΟ ΚΟΜΟΤΗΝΗΣ</t>
  </si>
  <si>
    <t>Γυμνάσιο Διαπολιτισμικής Εκπαίδευσης</t>
  </si>
  <si>
    <t>ΓΥΜΝΑΣΙΟ ΔΙΑΠΟΛΙΤΙΣΜΙΚΗΣ ΕΚΠΑΙΔΕΥΣΗΣ ΣΑΠΩΝ</t>
  </si>
  <si>
    <t>mail@gym-sappon.rod.sch.gr</t>
  </si>
  <si>
    <t>ΣΑΠΕΣ ΡΟΔΟΠΗΣ</t>
  </si>
  <si>
    <t>ΓΥΜΝΑΣΙΑΡΧΗ Β. ΚΟΥΤΟΥΜΑΝΗ 1</t>
  </si>
  <si>
    <t>ΗΜΕΡΗΣΙΟ ΓΥΜΝΑΣΙΟ ΙΑΣΜΟΥ ΡΟΔΟΠΗΣ- ΓΥΜΝΑΣΙΟ</t>
  </si>
  <si>
    <t>mail@gym-iasmou.rod.sch.gr</t>
  </si>
  <si>
    <t>ΑΙΓΕΙΡΟΥ</t>
  </si>
  <si>
    <t>ΝΕΑΣ ΚΑΛΛΙΣΤΗΣ</t>
  </si>
  <si>
    <t>ΗΜΕΡΗΣΙΟ ΓΥΜΝΑΣΙΟ ΝΕΑΣ ΚΑΛΛΙΣΤΗΣ ΡΟΔΟΠΗΣ</t>
  </si>
  <si>
    <t>mail@gym-n-kallist.rod.sch.gr</t>
  </si>
  <si>
    <t>ΝΕΑ ΚΑΛΛΙΣΤΗ ΡΟΔΟΠΗΣ</t>
  </si>
  <si>
    <t>1ο χλμ. Επ. Οδού Ν. Καλλίστης - Πόρπης</t>
  </si>
  <si>
    <t>ΔΗΜΟΤΙΚΟ ΣΧΟΛΕΙΟ ΝΕΑΣ ΚΑΛΛΙΣΤΗΣ</t>
  </si>
  <si>
    <t>ΕΣΠΕΡΙΝΟ ΓΥΜΝΑΣΙΟ ΚΟΜΟΤΗΝΗΣ</t>
  </si>
  <si>
    <t>mail@gym-esp-komot.rod.sch.gr</t>
  </si>
  <si>
    <t>ΜΟΥΣΙΚΟ ΓΥΜΝΑΣΙΟ-ΛΥΚΕΙΟ ΚΟΜΟΤΗΝΗΣ ΡΟΔΟΠΗΣ</t>
  </si>
  <si>
    <t>mail@gym-mous-komot.rod.sch.gr</t>
  </si>
  <si>
    <t>Π. ΕΛΛΗ 6</t>
  </si>
  <si>
    <t>3ο ΗΜΕΡΗΣΙΟ ΓΥΜΝΑΣΙΟ ΚΟΜΟΤΗΝΗΣ ΡΟΔΟΠΗΣ με Κωδικό 4201030</t>
  </si>
  <si>
    <t>mail@3gym-komot.rod.sch.gr</t>
  </si>
  <si>
    <t>14ης ΜΑΪΟΥ ΤΕΡΜΑ</t>
  </si>
  <si>
    <t>ΝΕΟΥ ΣΙΔΗΡΟΧΩΡΙΟΥ</t>
  </si>
  <si>
    <t>ΗΜΕΡΗΣΙΟ ΓΥΜΝΑΣΙΟ ΝΕΟΥ ΣΙΔΗΡΟΧΩΡΙΟΥ ΡΟΔΟΠΗΣ</t>
  </si>
  <si>
    <t>mail@gym-n-sidir.rod.sch.gr</t>
  </si>
  <si>
    <t>ΝΕΟΥ ΣΙΔΗΡΟΧΩΡΙΟΥ ΡΟΔΟΠΗΣ</t>
  </si>
  <si>
    <t>ΝΕΟ ΣΙΔΗΡΟΧΩΡΙ</t>
  </si>
  <si>
    <t>ΔΗΜΟΤΙΚΟ ΣΧΟΛΕΙΟ ΝΕΟΥ ΣΙΔΗΡΟΧΩΡΙΟΥ</t>
  </si>
  <si>
    <t>ΜΕΙΟΝΟΤΙΚΟ ΓΥΜΝΑΣΙΟ-ΛΥΚΕΙΟ ΚΟΜΟΤΗΝΗΣ</t>
  </si>
  <si>
    <t>mail@gym-komot.rod.sch.gr</t>
  </si>
  <si>
    <t>ΣΩΖΟΥΠΟΛΕΩΣ 35</t>
  </si>
  <si>
    <t>2ο ΜΕΙΟΝΟΤΙΚΟ ΔΗΜΟΤΙΚΟ ΣΧΟΛΕΙΟ ΚΟΜΟΤΗΝΗΣ</t>
  </si>
  <si>
    <t>ΜΟΥΣΟΥΛΜΑΝΙΚΟ ΙΕΡΟΣΠΟΥΔΑΣΤΗΡΙΟ ΚΟΜΟΤΗΝΗΣ</t>
  </si>
  <si>
    <t>mail@gym-ierosp-komot.rod.sch.gr</t>
  </si>
  <si>
    <t>ΚΩΝΣΤΑΝΤΙΝΟΥ ΠΑΛΑΙΟΛΟΓΟΥ 8</t>
  </si>
  <si>
    <t>13ο ΔΗΜΟΤΙΚΟ ΣΧΟΛΕΙΟ ΚΟΜΟΤΗΝΗΣ</t>
  </si>
  <si>
    <t>ΕΣΠΕΡΙΝΟ ΕΠΑΛ ΚΟΜΟΤΗΝΗΣ</t>
  </si>
  <si>
    <t>mail@epal-esp-komot.rod.sch.gr</t>
  </si>
  <si>
    <t>ΕΕΕΕΚ ΚΟΜΟΤΗΝΗΣ</t>
  </si>
  <si>
    <t>mail@eeeek.rod.sch.gr</t>
  </si>
  <si>
    <t>ΥΦΑΝΤΕΣ Τ.Θ. 1023</t>
  </si>
  <si>
    <t>4ο ΔΗΜΟΤΙΚΟ ΣΧΟΛΕΙΟ ΚΟΜΟΤΗΝΗΣ</t>
  </si>
  <si>
    <t>ΕΣΠΕΡΙΝΟ ΓΕΝΙΚΟ ΛΥΚΕΙΟ ΚΟΜΟΤΗΝΗΣ</t>
  </si>
  <si>
    <t>mail@lyk-esp-komot.rod.sch.gr</t>
  </si>
  <si>
    <t>ΕΝΙΑΙΟ ΕΙΔΙΚΟ ΕΠΑΓΓΕΛΜΑΤΙΚΟ ΓΥΜΝΑΣΙΟ-ΛΥΚΕΙΟ ΚΟΜΟΤΗΝΗΣ</t>
  </si>
  <si>
    <t>mail@gym-ee-komot.rod.sch.gr</t>
  </si>
  <si>
    <t>ΜΕΛΕΤΗ</t>
  </si>
  <si>
    <t>ΜΕΛΕΤΗ ΡΟΔΟΠΗΣ</t>
  </si>
  <si>
    <t>5ο ΗΜΕΡΗΣΙΟ ΓΥΜΝΑΣΙΟ ΚΟΜΟΤΗΝΗΣ</t>
  </si>
  <si>
    <t>mail@5gym-komot.rod.sch.gr</t>
  </si>
  <si>
    <t>ΧΑΤΖΗΚΩΝΣΤΑΝΤΗ ΖΩΙΔΗ 6</t>
  </si>
  <si>
    <t>ΔΙΕΥΘΥΝΣΗ Π.Ε. ΔΡΑΜΑΣ</t>
  </si>
  <si>
    <t>Νηπιαγωγεία</t>
  </si>
  <si>
    <t>Ενιαίου Τύπου Ολοήμερο Νηπιαγωγείο</t>
  </si>
  <si>
    <t>ΝΗΠΙΑΓΩΓΕΙΟ ΑΡΚΑΔΙΚΟΥ ΔΡΑΜΑΣ</t>
  </si>
  <si>
    <t>mail@nip-arkad.dra.sch.gr</t>
  </si>
  <si>
    <t>ΑΡΚΑΔΙΚΟΣ</t>
  </si>
  <si>
    <t>ΑΚΡΟΠΟΛΕΩΣ 35</t>
  </si>
  <si>
    <t>16ο ΝΗΠΙΑΓΩΓΕΙΟ ΔΡΑΜΑΣ</t>
  </si>
  <si>
    <t>mail@16nip-dramas.dra.sch.gr</t>
  </si>
  <si>
    <t>ΧΑΛΚΗΔΩΝΟΣ 7</t>
  </si>
  <si>
    <t>Δημοτικά Σχολεία</t>
  </si>
  <si>
    <t>Ενιαίου Τύπου Ολοήμερο Δημοτικό Σχολείο</t>
  </si>
  <si>
    <t>mail@dim-n-amisou.dra.sch.gr</t>
  </si>
  <si>
    <t>ΝΕΑΣ ΙΩΝΙΑΣ 44</t>
  </si>
  <si>
    <t>mail@3dim-dramas.dra.sch.gr</t>
  </si>
  <si>
    <t>Δράμα,</t>
  </si>
  <si>
    <t>ΛΕΩΦΟΡΟΣ ΣΤΡΑΤΟΥ 63</t>
  </si>
  <si>
    <t>ΟΛΟΗΜΕΡΟ ΝΗΠΙΑΓΩΓΕΙΟ ΝΕΑΣ ΑΜΙΣΟΥ</t>
  </si>
  <si>
    <t>mail@nip-n-amisou.dra.sch.gr</t>
  </si>
  <si>
    <t>ΝΕΑΣ ΑΜΙΣΟΥ</t>
  </si>
  <si>
    <t>26ο ΝΗΠΙΑΓΩΓΕΙΟ ΔΡΑΜΑΣ</t>
  </si>
  <si>
    <t>mail@26nip-dramas.dra.sch.gr</t>
  </si>
  <si>
    <t>ΕΡΓΑΤΙΚΕΣ ΚΑΤΟΙΚΙΕΣ ΜΑΥΡΟΒΑΤΟΥ(ΑΓΙΟΥ ΣΑΒΒΑ)</t>
  </si>
  <si>
    <t>2/Θ 22ο ΝΗΠΙΑΓΩΓΕΙΟ ΔΡΑΜΑΣ</t>
  </si>
  <si>
    <t>mail@22nip-dramas.dra.sch.gr</t>
  </si>
  <si>
    <t>ΕΡΓΑΤΙΚΕΣ ΚΑΤΟΙΚΙΕΣ ΑΡΚΑΔΙΚΟΥ</t>
  </si>
  <si>
    <t>19ο 2/ΘΕΣΙΟ ΝΗΠΙΑΓΩΓΕΙΟ ΔΡΑΜΑΣ</t>
  </si>
  <si>
    <t>mail@19nip-dramas.dra.sch.gr</t>
  </si>
  <si>
    <t>ΠΕΡΣΕΦΟΝΗΣ 11</t>
  </si>
  <si>
    <t>6ο ΝΗΠΙΑΓΩΓΕΙΟ ΔΡΑΜΑΣ</t>
  </si>
  <si>
    <t>mail@6nip-dramas.dra.sch.gr</t>
  </si>
  <si>
    <t>ΟΔΥΣΕΩΣ ΚΑΙ ΚΑΣΤΡΙΝΟΥ</t>
  </si>
  <si>
    <t>8ο ΟΛΟΗΜΕΡΟ ΝΗΠΙΑΓΩΓΕΙΟ ΔΡΑΜΑΣ</t>
  </si>
  <si>
    <t>mail@8nip-dramas.dra.sch.gr</t>
  </si>
  <si>
    <t>ΤΡΟΙΑΣ 6</t>
  </si>
  <si>
    <t>7ο ΝΗΠΙΑΓΩΓΕΙΟ ΔΡΑΜΑΣ</t>
  </si>
  <si>
    <t>mail@7nip-dramas.dra.sch.gr</t>
  </si>
  <si>
    <t>Σ.ΑΒΔΕΛΑ 13</t>
  </si>
  <si>
    <t>4ο ΟΛΟΗΜΕΡΟ ΝΗΠΙΑΓΩΓΕΙΟ ΔΡΑΜΑΣ</t>
  </si>
  <si>
    <t>mail@4nip-dramas.dra.sch.gr</t>
  </si>
  <si>
    <t>ΙΦΙΓΕΝΕΙΑΣ ΓΕΩΡΓΙΑΔΟΥ</t>
  </si>
  <si>
    <t>10ο ΝΗΠΙΑΓΩΓΕΙΟ ΔΡΑΜΑΣ</t>
  </si>
  <si>
    <t>mail@10nip-dramas.dra.sch.gr</t>
  </si>
  <si>
    <t>ΜΑΚΕΔΟΝΙΑΣ ΤΕΡΜΑ</t>
  </si>
  <si>
    <t>3ο ΝΗΠΙΑΓΩΓΕΙΟ ΔΡΑΜΑΣ</t>
  </si>
  <si>
    <t>mail@3nip-dramas.dra.sch.gr</t>
  </si>
  <si>
    <t>ΟΔΥΣΣΕΩΣ 4</t>
  </si>
  <si>
    <t>13ο ΝΗΠΙΑΓΩΓΕΙΟ ΔΡΑΜΑΣ</t>
  </si>
  <si>
    <t>mail@13nip-dramas.dra.sch.gr</t>
  </si>
  <si>
    <t>ΙΠΠΟΚΡΑΤΟΥΣ 39</t>
  </si>
  <si>
    <t>27ο ΝΗΠΙΑΓΩΓΕΙΟ ΔΡΑΜΑΣ</t>
  </si>
  <si>
    <t>mail@27nip-dramas.dra.sch.gr</t>
  </si>
  <si>
    <t>ΠΕΛΟΠΟΝΝΗΣΟΥ 20</t>
  </si>
  <si>
    <t>21ο ΟΛΟΗΜΕΡΟ ΝΗΠΙΑΓΩΓΕΙΟ ΔΡΑΜΑΣ</t>
  </si>
  <si>
    <t>mail@21nip-dramas.dra.sch.gr</t>
  </si>
  <si>
    <t>ΙΟΥΣΤΙΝΙΑΝΟΥ 72</t>
  </si>
  <si>
    <t>ΒΩΛΑΚΟΣ</t>
  </si>
  <si>
    <t>ΔΗΜΟΤΙΚΟ ΣΧΟΛΕΙΟ ΒΩΛΑΚΑ</t>
  </si>
  <si>
    <t>mail@dim-volak.dra.sch.gr</t>
  </si>
  <si>
    <t>Βώλακας</t>
  </si>
  <si>
    <t>Βώλακας ,</t>
  </si>
  <si>
    <t>ΚΟΥΔΟΥΝΙΩΝ</t>
  </si>
  <si>
    <t>ΝΗΠΙΑΓΩΓΕΙΟ ΚΟΥΔΟΥΝΙΩΝ</t>
  </si>
  <si>
    <t>mail@nip-koudoun.dra.sch.gr</t>
  </si>
  <si>
    <t>ΚΟΥΔΟΥΝΙΑ</t>
  </si>
  <si>
    <t>ΜΙΚΡΟΠΟΛΕΩΣ</t>
  </si>
  <si>
    <t>ΝΗΠΙΑΓΩΓΕΙΟ ΜΙΚΡΟΠΟΛΗΣ</t>
  </si>
  <si>
    <t>mail@nip-mikrop.dra.sch.gr</t>
  </si>
  <si>
    <t>ΜΙΚΡΟΠΟΛΗΣ</t>
  </si>
  <si>
    <t>ΜΙΚΡΟΠΟΛΗ</t>
  </si>
  <si>
    <t>2ο 2/ΘΕΣΙΟ ΝΗΠΙΑΓΩΓΕΙΟ ΠΡΟΣΟΤΣΑΝΗΣ</t>
  </si>
  <si>
    <t>mail@2nip-prosots.dra.sch.gr</t>
  </si>
  <si>
    <t>ΕΛ ΒΕΝΙΖΕΛΟΥ 63</t>
  </si>
  <si>
    <t>ΝΗΠΙΑΓΩΓΕΙΟ ΚΥΡΓΙΩΝ</t>
  </si>
  <si>
    <t>mail@nip-kyrgion.dra.sch.gr</t>
  </si>
  <si>
    <t>ΚΥΡΓΙΩΝ</t>
  </si>
  <si>
    <t>ΚΥΡΓΙΑ</t>
  </si>
  <si>
    <t>1ο ΝΗΠΙΑΓΩΓΕΙΟ ΔΟΞΑΤΟΥ</t>
  </si>
  <si>
    <t>mail@1nip-doxat.dra.sch.gr</t>
  </si>
  <si>
    <t>ΕΘΝΙΚΗΣ ΑΝΤΙΣΤΑΣΕΩΣ 1</t>
  </si>
  <si>
    <t>ΜΟΝΑΣΤΗΡΑΚΙΟΥ</t>
  </si>
  <si>
    <t>ΝΗΠΙΑΓΩΓΕΙΟ ΜΟΝΑΣΤΗΡΑΚΙΟΥ</t>
  </si>
  <si>
    <t>mail@nip-monast.dra.sch.gr</t>
  </si>
  <si>
    <t>ΜΟΝΑΣΤΗΡΑΚΙ</t>
  </si>
  <si>
    <t>2ο ΝΗΠΙΑΓΩΓΕΙΟ ΔΟΞΑΤΟΥ</t>
  </si>
  <si>
    <t>mail@2nip-doxat.dra.sch.gr</t>
  </si>
  <si>
    <t>ΔΡΑΓΟΥΜΗ ΚΑΙ ΜΕΣΟΛΟΓΓΙΟΥ ΓΩΝΙΑ</t>
  </si>
  <si>
    <t>ΝΗΠΙΑΓΩΓΕΙΟ ΒΩΛΑΚΑ</t>
  </si>
  <si>
    <t>mail@nip-volak.dra.sch.gr</t>
  </si>
  <si>
    <t>ΒΩΛΑΚΑ</t>
  </si>
  <si>
    <t>ΒΩΛΑΚΑΣ</t>
  </si>
  <si>
    <t>ΠΕΡΙΘΩΡΙΟΥ</t>
  </si>
  <si>
    <t xml:space="preserve">Ολιγοθέσιο Ολοήμερο Δημοτικό Σχολείο </t>
  </si>
  <si>
    <t>ΔΗΜΟΤΙΚΟ ΣΧΟΛΕΙΟ ΠΕΡΙΘΩΡΙΟΥ ΔΡΑΜΑΣ</t>
  </si>
  <si>
    <t>mail@dim-perith.dra.sch.gr</t>
  </si>
  <si>
    <t>ΠΕΡΙΘΩΡΙ ΔΡΑΜΑΣ</t>
  </si>
  <si>
    <t>mail@dim-kat-nevrok.dra.sch.gr</t>
  </si>
  <si>
    <t>ΚΑΛΟΥ ΑΓΡΟΥ</t>
  </si>
  <si>
    <t>ΔΗΜΟΤΙΚΟ ΣΧΟΛΕΙΟ ΚΑΛΟΥ ΑΓΡΟΥ</t>
  </si>
  <si>
    <t>mail@dim-kal-agrou.dra.sch.gr</t>
  </si>
  <si>
    <t>Καλός Αγρός,</t>
  </si>
  <si>
    <t>ΚΑΛΟΣ ΑΓΡΟΣ</t>
  </si>
  <si>
    <t>5ο ΔΗΜΟΤΙΚΟ ΣΧΟΛΕΙΟ ΔΡΑΜΑΣ</t>
  </si>
  <si>
    <t>mail@5dim-dramas.dra.sch.gr</t>
  </si>
  <si>
    <t>Γαληνού 110</t>
  </si>
  <si>
    <t>9ο ΝΗΠΙΑΓΩΓΕΙΟ ΔΡΑΜΑΣ</t>
  </si>
  <si>
    <t>mail@9nip-dramas.dra.sch.gr</t>
  </si>
  <si>
    <t>ΠΛΑΤΕΙΑ Ι.Ν.ΚΩΝΝΟΥ ΚΑΙ ΕΛΕΝΗΣ</t>
  </si>
  <si>
    <t>mail@4dim-dramas.dra.sch.gr</t>
  </si>
  <si>
    <t>ΑΚΡΟΠΟΛΕΩΣ 100</t>
  </si>
  <si>
    <t>2ο ΝΗΠΙΑΓΩΓΕΙΟ ΔΡΑΜΑΣ</t>
  </si>
  <si>
    <t>mail@2nip-dramas.dra.sch.gr</t>
  </si>
  <si>
    <t>2ο ΝΗΠΙΑΓΩΓΕΙΟ ΚΑΛΑΜΠΑΚΙΟΥ</t>
  </si>
  <si>
    <t>mail@2nip-kalampak.dra.sch.gr</t>
  </si>
  <si>
    <t>Α. ΠΑΠΑΝΔΡΕΟΥ 52</t>
  </si>
  <si>
    <t>ΦΤΕΛΙΑΣ</t>
  </si>
  <si>
    <t>ΝΗΠΙΑΓΩΓΕΙΟ ΦΤΕΛΙΑΣ</t>
  </si>
  <si>
    <t>mail@nip-ftelias.dra.sch.gr</t>
  </si>
  <si>
    <t>ΦΤΕΛΙΑ</t>
  </si>
  <si>
    <t>14ο ΔΗΜΟΤΙΚΟ ΣΧΟΛΕΙΟ ΔΡΑΜΑΣ</t>
  </si>
  <si>
    <t>mail@14dim-dramas.dra.sch.gr</t>
  </si>
  <si>
    <t>ΜΗΤΡΟΠΟΛΙΤΟΥ ΛΑΥΡΕΝΤΙΟΥ 54</t>
  </si>
  <si>
    <t>1ο ΝΗΠΙΑΓΩΓΕΙΟ ΚΑΛΑΜΠΑΚΙΟΥ</t>
  </si>
  <si>
    <t>mail@1nip-kalamp.dra.sch.gr</t>
  </si>
  <si>
    <t>ΚΑΛΑΜΠΑΚΙ</t>
  </si>
  <si>
    <t>ΝΗΠΙΑΓΩΓΕΙΟ ΚΑΛΟΥ ΑΓΡΟΥ</t>
  </si>
  <si>
    <t>mail@nip-kal-agrou.dra.sch.gr</t>
  </si>
  <si>
    <t>5ο ΝΗΠΙΑΓΩΓΕΙΟ ΔΡΑΜΑΣ</t>
  </si>
  <si>
    <t>mail@5nip-dramas.dra.sch.gr</t>
  </si>
  <si>
    <t>ΠΑΠΑΦΛΕΣΣΑ 9</t>
  </si>
  <si>
    <t>mail@15dim-dramas.dra.sch.gr</t>
  </si>
  <si>
    <t xml:space="preserve">Δράμα, </t>
  </si>
  <si>
    <t>ΠΑΡΜΕΝΙΩΝΟΣ ΤΕΡΜΑ</t>
  </si>
  <si>
    <t>ΧΩΡΙΣΤΗΣ</t>
  </si>
  <si>
    <t>1ο ΝΗΠΙΑΓΩΓΕΙΟ ΧΩΡΙΣΤΗΣ</t>
  </si>
  <si>
    <t>mail@1nip-chorist.dra.sch.gr</t>
  </si>
  <si>
    <t>ΧΩΡΙΣΤΗ</t>
  </si>
  <si>
    <t>ΜΥΛΟΠΟΤΑΜΟΥ</t>
  </si>
  <si>
    <t>ΝΗΠΙΑΓΩΓΕΙΟ ΜΥΛΟΠΟΤΑΜΟΥ ΔΡΑΜΑΣ</t>
  </si>
  <si>
    <t>mail@nip-mylop.dra.sch.gr</t>
  </si>
  <si>
    <t>Μυλοπόταμος</t>
  </si>
  <si>
    <t>ΜΑΥΡΟΒΑΤΟΥ</t>
  </si>
  <si>
    <t>ΔΗΜΟΤΙΚΟ ΣΧΟΛΕΙΟ ΜΑΥΡΟΒΑΤΟΥ-ΝΕΑΣ ΣΕΒΑΣΤΕΙΑΣ</t>
  </si>
  <si>
    <t>mail@dim-mavrovat.dra.sch.gr</t>
  </si>
  <si>
    <t>ΜΑΥΡΟΒΑΤΟΣ</t>
  </si>
  <si>
    <t>ΞΗΡΟΠΟΤΑΜΟΥ</t>
  </si>
  <si>
    <t>1ο ΝΗΠΙΑΓΩΓΕΙΟ ΞΗΡΟΠΟΤΑΜΟΥ</t>
  </si>
  <si>
    <t>mail@nip-xirop.dra.sch.gr</t>
  </si>
  <si>
    <t>ΞΗΡΟΠΟΤΑΜΟΣ</t>
  </si>
  <si>
    <t>1ο ΔΗΜΟΤΙΚΟ ΣΧΟΛΕΙΟ ΑΓΙΟΥ ΑΘΑΝΑΣΙΟΥ</t>
  </si>
  <si>
    <t>mail@1dim-ag-athan.dra.sch.gr</t>
  </si>
  <si>
    <t xml:space="preserve">ΑΓΙΟΣ ΑΘΑΝΑΣΙΟΣ  </t>
  </si>
  <si>
    <t>ΟΜΟΝΟΙΑΣ 8</t>
  </si>
  <si>
    <t>mail@9dim-dramas.dra.sch.gr</t>
  </si>
  <si>
    <t>ΜΟΡΓΚΕΝΤΑΟΥ 4</t>
  </si>
  <si>
    <t>ΝΗΠΙΑΓΩΓΕΙΟ ΜΑΥΡΟΒΑΤΟΥ</t>
  </si>
  <si>
    <t>mail@nip-mavrovat.dra.sch.gr</t>
  </si>
  <si>
    <t>ΜΙΚΡΟΧΩΡΙΟΥ</t>
  </si>
  <si>
    <t>ΝΗΠΙΑΓΩΓΕΙΟ ΜΙΚΡΟΧΩΡΙΟΥ</t>
  </si>
  <si>
    <t>mail@nip-mikroch.dra.sch.gr</t>
  </si>
  <si>
    <t>ΜΙΚΡΟΧΩΡΙ</t>
  </si>
  <si>
    <t>ΚΑΛΑΜΩΝΟΣ</t>
  </si>
  <si>
    <t>ΝΗΠΙΑΓΩΓΕΙΟ ΚΑΛΑΜΩΝΑ</t>
  </si>
  <si>
    <t>mail@nip-kalam.dra.sch.gr</t>
  </si>
  <si>
    <t>ΚΑΛΑΜΩΝΑ</t>
  </si>
  <si>
    <t>ΚΑΛΑΜΩΝΑΣ</t>
  </si>
  <si>
    <t>ΔΗΜΟΤΙΚΟ ΣΧΟΛΕΙΟ ΑΡΓΥΡΟΥΠΟΛΗΣ-ΣΙΤΑΓΡΩΝ</t>
  </si>
  <si>
    <t>mail@dim-sitagr.dra.sch.gr</t>
  </si>
  <si>
    <t>ΑΡΓΥΡΟΥΠΟΛΗΣ-ΣΙΤΑΓΡΩΝ</t>
  </si>
  <si>
    <t>ΣΙΤΑΓΡΟΙ</t>
  </si>
  <si>
    <t>6ο ΔΗΜΟΤΙΚΟ ΣΧΟΛΕΙΟ ΔΡΑΜΑΣ</t>
  </si>
  <si>
    <t>mail@6dim-dramas.dra.sch.gr</t>
  </si>
  <si>
    <t>ΑΡΚΑΔΙΟΥ 1 -ΠΕΡΙΟΧΗ ΚΟΜΝΗΝΩΝ</t>
  </si>
  <si>
    <t>ΔΗΜΟΤΙΚΟ ΣΧΟΛΕΙΟ ΑΡΚΑΔΙΚΟΥ</t>
  </si>
  <si>
    <t>mail@dim-arkad.dra.sch.gr</t>
  </si>
  <si>
    <t>ΠΛΑΚΑΣ</t>
  </si>
  <si>
    <t>ΑΡΓΥΡΟΥΠΟΛΙΣ</t>
  </si>
  <si>
    <t>ΝΗΠΙΑΓΩΓΕΙΟ ΑΡΓΥΡΟΥΠΟΛΗΣ - ΣΙΤΑΓΡΩΝ</t>
  </si>
  <si>
    <t>mail@nip-argyr.dra.sch.gr</t>
  </si>
  <si>
    <t>ΑΡΓΥΡΟΥΠΟΛΗΣ - ΣΙΤΑΓΡΩΝ</t>
  </si>
  <si>
    <t>ΑΡΓΥΡΟΥΠΟΛΗ</t>
  </si>
  <si>
    <t>8ο ΔΗΜΟΤΙΚΟ ΣΧΟΛΕΙΟ ΔΡΑΜΑΣ</t>
  </si>
  <si>
    <t>mail@8dim-dramas.dra.sch.gr</t>
  </si>
  <si>
    <t>17ο ΝΗΠΙΑΓΩΓΕΙΟ ΔΡΑΜΑΣ</t>
  </si>
  <si>
    <t>mail@17nip-dramas.dra.sch.gr</t>
  </si>
  <si>
    <t>ΑΓΙΟΥ ΧΡΥΣΟΣΤΟΜΟΥ 1</t>
  </si>
  <si>
    <t>mail@2dim-ag-athan.dra.sch.gr</t>
  </si>
  <si>
    <t>25ης Μαρτίου 8 και Ηρακλέους</t>
  </si>
  <si>
    <t>mail@7dim-dramas.dra.sch.gr</t>
  </si>
  <si>
    <t>ΑΓΑΘΟΥΠΟΛΕΩΣ 15</t>
  </si>
  <si>
    <t>mail@2dim-prosots.dra.sch.gr</t>
  </si>
  <si>
    <t>Προσοτσάνη</t>
  </si>
  <si>
    <t>ΘΕΡΜΟΠΥΛΩΝ  2</t>
  </si>
  <si>
    <t>1/Θ ΝΗΠΙΑΓΩΓΕΙΟ ΝΙΚΗΦΟΡΟΥ</t>
  </si>
  <si>
    <t>mail@nip-nikif.dra.sch.gr</t>
  </si>
  <si>
    <t>2ο ΔΗΜΟΤΙΚΟ ΣΧΟΛΕΙΟ ΔΡΑΜΑΣ</t>
  </si>
  <si>
    <t>mail@2dim-dramas.dra.sch.gr</t>
  </si>
  <si>
    <t>ΝΙΚΟΜΗΔΕΙΑΣ 2</t>
  </si>
  <si>
    <t>mail@dim-kyrgion.dra.sch.gr</t>
  </si>
  <si>
    <t>ΚΥΡΓΙΑ-ΔΡΑΜΑΣ</t>
  </si>
  <si>
    <t>ΒΑΘΥΤΟΠΟΥ</t>
  </si>
  <si>
    <t>ΟΛΟΗΜΕΡΟ ΝΗΠΙΑΓΩΓΕΙΟ ΒΑΘΥΤΟΠΟΥ</t>
  </si>
  <si>
    <t>mail@nip-vathyt.dra.sch.gr</t>
  </si>
  <si>
    <t>ΒΑΘΥΤΟΠΟΣ</t>
  </si>
  <si>
    <t>ΑΔΡΙΑΝΗΣ</t>
  </si>
  <si>
    <t>ΝΗΠΙΑΓΩΓΕΙΟ ΑΔΡΙΑΝΗΣ</t>
  </si>
  <si>
    <t>mail@nip-adrian.dra.sch.gr</t>
  </si>
  <si>
    <t>ΣΤΑΔΙΟΥ 15</t>
  </si>
  <si>
    <t>ΝΗΠΙΑΓΩΓΕΙΟ ΦΩΤΟΛΙΒΟΥΣ ΔΡΑΜΑΣ</t>
  </si>
  <si>
    <t>mail@nip-fotol.dra.sch.gr</t>
  </si>
  <si>
    <t>ΦΩΤΟΛΙΒΟΣ</t>
  </si>
  <si>
    <t>1ο ΝΗΠΙΑΓΩΓΕΙΟ ΔΡΑΜΑΣ</t>
  </si>
  <si>
    <t>mail@1nip-dramas.dra.sch.gr</t>
  </si>
  <si>
    <t>ΚΕΦΑΛΗΝΙΑΣ</t>
  </si>
  <si>
    <t>13ο ΔΗΜΟΤΙΚΟ ΣΧΟΛΕΙΟ ΔΡΑΜΑΣ</t>
  </si>
  <si>
    <t>mail@13dim-dramas.dra.sch.gr</t>
  </si>
  <si>
    <t>1dimdramas@sch.gr</t>
  </si>
  <si>
    <t>Αδριανουπόλεως 42</t>
  </si>
  <si>
    <t>10ο ΔΗΜΟΤΙΚΟ ΣΧΟΛΕΙΟ ΔΡΑΜΑΣ</t>
  </si>
  <si>
    <t>mail@10dim-dramas.dra.sch.gr</t>
  </si>
  <si>
    <t>ΔΡΑΜΑ,</t>
  </si>
  <si>
    <t>ΠΑΠΑΦΛΕΣΣΑ 10</t>
  </si>
  <si>
    <t>mail@11dim-dramas.dra.sch.gr</t>
  </si>
  <si>
    <t>ΒΑΚΧΟΥ ΤΕΡΜΑ ΑΜΠΕΛΟΚΗΠΟΙ</t>
  </si>
  <si>
    <t>mail@12dim-dramas.dra.sch.gr</t>
  </si>
  <si>
    <t>ΚΑΤΩ ΒΡΟΝΤΟΥΣ</t>
  </si>
  <si>
    <t>ΔΗΜΟΤΙΚΟ ΣΧΟΛΕΙΟ ΚΑΤΩ ΒΡΟΝΤΟΥΣ</t>
  </si>
  <si>
    <t>mail@dim-kat-vront.dra.sch.gr</t>
  </si>
  <si>
    <t>ΚΑΤΩ ΒΡΟΝΤΟΥ</t>
  </si>
  <si>
    <t>ΔΗΜΟΤΙΚΟ ΣΧΟΛΕΙΟ ΞΗΡΟΠΟΤΑΜΟΥ</t>
  </si>
  <si>
    <t>mail@dim-xirop.dra.sch.gr</t>
  </si>
  <si>
    <t>Ξηροπόταμος</t>
  </si>
  <si>
    <t>mail@dim-fotol.dra.sch.gr</t>
  </si>
  <si>
    <t>ΚΑΛΛΙΦΥΤΟΥ</t>
  </si>
  <si>
    <t>ΔΗΜΟΤΙΚΟ ΣΧΟΛΕΙΟ ΚΑΛΛΙΦΥΤΟΥ</t>
  </si>
  <si>
    <t>mail@dim-kallif.dra.sch.gr</t>
  </si>
  <si>
    <t>Καλλίφυτος,</t>
  </si>
  <si>
    <t>ΠΕΤΡΟΥΣΣΗΣ</t>
  </si>
  <si>
    <t>ΔΗΜΟΤΙΚΟ ΣΧΟΛΕΙΟ ΠΕΤΡΟΥΣΑΣ</t>
  </si>
  <si>
    <t>mail@dim-petrous.dra.sch.gr</t>
  </si>
  <si>
    <t>ΠΕΤΡΟΥΣΑ</t>
  </si>
  <si>
    <t>ΟΛΟΗΜΕΡΟ ΝΗΠΙΑΓΩΓΕΙΟ ΠΕΡΙΘΩΡΙΟΥ</t>
  </si>
  <si>
    <t>mail@nip-perith.dra.sch.gr</t>
  </si>
  <si>
    <t>ΠΕΡΙΘΩΡΙ</t>
  </si>
  <si>
    <t>Ολοήμερο Νηπιαγωγείο Ειδικής Αγωγής</t>
  </si>
  <si>
    <t>ΕΙΔΙΚΟ ΝΗΠΙΑΓΩΓΕΙΟ ΔΡΑΜΑΣ</t>
  </si>
  <si>
    <t>mail@nip-eid-dramas.dra.sch.gr</t>
  </si>
  <si>
    <t>ΠΑΡΜΕΝΙΩΝΑ ΤΕΡΜΑ</t>
  </si>
  <si>
    <t>ΔΗΜΟΤΙΚΟ ΣΧΟΛΕΙΟ ΜΙΚΡΟΠΟΛΗΣ</t>
  </si>
  <si>
    <t>mail@dim-mikrop.dra.sch.gr</t>
  </si>
  <si>
    <t>Μικρόπολη</t>
  </si>
  <si>
    <t>mail@1dim-kalamp.dra.sch.gr</t>
  </si>
  <si>
    <t>2ο ΟΛΟΗΜΕΡΟ ΔΗΜΟΤΙΚΟ ΣΧΟΛΕΙΟ ΚΑΛΑΜΠΑΚΙΟΥ</t>
  </si>
  <si>
    <t>mail@2dim-kalamp.dra.sch.gr</t>
  </si>
  <si>
    <t>Α.ΠΑΠΑΝΔΡΕΟΥ 51</t>
  </si>
  <si>
    <t>1ο ΔΗΜΟΤΙΚΟ ΣΧΟΛΕΙΟ ΠΡΟΣΟΤΣΑΝΗΣ</t>
  </si>
  <si>
    <t>mail@1dim-prosots.dra.sch.gr</t>
  </si>
  <si>
    <t>Μ.ΑΛΕΞΑΝΔΡΟΥ 7</t>
  </si>
  <si>
    <t>ΔΗΜΟΤΙΚΟ ΣΧΟΛΕΙΟ ΧΩΡΙΣΤΗΣ</t>
  </si>
  <si>
    <t>mail@dim-chorist.dra.sch.gr</t>
  </si>
  <si>
    <t>mail@dim-adrian.dra.sch.gr</t>
  </si>
  <si>
    <t>mail@dim-doxat.dra.sch.gr</t>
  </si>
  <si>
    <t>Δοξάτο,</t>
  </si>
  <si>
    <t>1ο ΟΛΟΗΜΕΡΟ ΝΗΠΙΑΓΩΓΕΙΟ ΑΓΙΟΥ ΑΘΑΝΑΣΙΟΥ</t>
  </si>
  <si>
    <t>mail@1nip-ag-athan.dra.sch.gr</t>
  </si>
  <si>
    <t>ΕΙΚΟΣΤΗΣ ΠΕΜΠΤΗΣ ΜΑΡΤΙΟΥ ΚΑΙ ΗΡΑΚΛΕΟΥΣ 8</t>
  </si>
  <si>
    <t>ΝΗΠΙΑΓΩΓΕΙΟ ΚΑΛΛΙΦΥΤΟΥ</t>
  </si>
  <si>
    <t>mail@nip-kallif.dra.sch.gr</t>
  </si>
  <si>
    <t>ΚΑΛΛΙΦΥΤΟΣ</t>
  </si>
  <si>
    <t>1ο ΝΗΠΙΑΓΩΓΕΙΟ ΚΑΤΩ ΝΕΥΡΟΚΟΠΙΟΥ</t>
  </si>
  <si>
    <t>mail@1nip-kat-nevrok.dra.sch.gr</t>
  </si>
  <si>
    <t>Κ.ΝΕΥΡΟΚΟΠΙ</t>
  </si>
  <si>
    <t>2ο ΝΗΠΙΑΓΩΓΕΙΟ ΚΑΤΩ ΝΕΥΡΟΚΟΠΙΟΥ</t>
  </si>
  <si>
    <t>mail@2nip-kat-nevrok.dra.sch.gr</t>
  </si>
  <si>
    <t>ΝΗΠΙΑΓΩΓΕΙΟ ΠΑΡΑΝΕΣΤΙΟΥ</t>
  </si>
  <si>
    <t>mail@nip-paran.dra.sch.gr</t>
  </si>
  <si>
    <t>1ο ΝΗΠΙΑΓΩΓΕΙΟ ΠΡΟΣΟΤΣΑΝΗΣ</t>
  </si>
  <si>
    <t>mail@1nip-prosots.dra.sch.gr</t>
  </si>
  <si>
    <t>ΠΑΥΛΟΥ ΜΕΛΑ 17</t>
  </si>
  <si>
    <t>mail@dim-paran.dra.sch.gr</t>
  </si>
  <si>
    <t xml:space="preserve">ΠΑΡΑΝΕΣΤΙ </t>
  </si>
  <si>
    <t>ΚΕΦΑΛΑΡΙΟΥ</t>
  </si>
  <si>
    <t>ΝΗΠΙΑΓΩΓΕΙΟ ΚΕΦΑΛΑΡΙΟΥ ΔΡΑΜΑΣ</t>
  </si>
  <si>
    <t>mail@nip-p-kefal.dra.sch.gr</t>
  </si>
  <si>
    <t>ΚΕΦΑΛΑΡΙ</t>
  </si>
  <si>
    <t>1ο ΝΗΠΙΑΓΩΓΕΙΟ ΠΕΤΡΟΥΣΑΣ</t>
  </si>
  <si>
    <t>mail@1nip-petrous.dra.sch.gr</t>
  </si>
  <si>
    <t>2ο 2/θ ΝΗΠΙΑΓΩΓΕΙΟ ΑΓΙΟΥ ΑΘΑΝΑΣΙΟΥ</t>
  </si>
  <si>
    <t>mail@2nip-ag-athan.dra.sch.gr</t>
  </si>
  <si>
    <t>ΟΜΟΝΟΙΑΣ 10</t>
  </si>
  <si>
    <t>14ο ΝΗΠΙΑΓΩΓΕΙΟ ΔΡΑΜΑΣ</t>
  </si>
  <si>
    <t>mail@14nip-dramas.dra.sch.gr</t>
  </si>
  <si>
    <t>ΚΕΦΑΛΛΗΝΙΑΣ</t>
  </si>
  <si>
    <t>16ο ΔΗΜΟΤΙΚΟ ΣΧΟΛΕΙΟ ΔΡΑΜΑΣ</t>
  </si>
  <si>
    <t>mail@16dim-dramas.dra.sch.gr</t>
  </si>
  <si>
    <t>ΤΕΡΜΑ ΕΥΞΕΙΝΟΥ ΠΟΝΤΟΥ</t>
  </si>
  <si>
    <t>3ο ΔΗΜΟΤΙΚΟ ΣΧΟΛΕΙΟ ΠΡΟΣΟΤΣΑΝΗΣ</t>
  </si>
  <si>
    <t>mail@3dim-prosots.dra.sch.gr</t>
  </si>
  <si>
    <t>Τέρμα ΠΑΥΛΟΥ ΜΕΛΑ</t>
  </si>
  <si>
    <t>Ολοήμερο Δημοτικό Σχολείο Ειδικής Αγωγής</t>
  </si>
  <si>
    <t>ΕΙΔΙΚΟ ΔΗΜΟΤΙΚΟ ΣΧΟΛΕΙΟ Κ.ΝΕΥΡΟΚΟΠΙΟΥ</t>
  </si>
  <si>
    <t>Κ.ΝΕΥΡΟΚΟΠΙΟΥ</t>
  </si>
  <si>
    <t>ΕΙΔΙΚΟ ΝΗΠΙΑΓΩΓΕΙΟ Κ.ΝΕΥΡΟΚΟΠΙΟΥ</t>
  </si>
  <si>
    <t>Κ. ΝΕΥΡΟΚΟΠΙ</t>
  </si>
  <si>
    <t>1ο ΕΙΔΙΚΟ ΔΗΜΟΤΙΚΟ ΣΧΟΛΕΙΟ ΔΡΑΜΑΣ</t>
  </si>
  <si>
    <t>mail@dim-eid-dramas.dra.sch.gr</t>
  </si>
  <si>
    <t>ΠΑΡΜΕΝΙΩΝΟΣ  ΤΕΡΜΑ</t>
  </si>
  <si>
    <t>ΔΙΕΥΘΥΝΣΗ Π.Ε. ΕΒΡΟΥ</t>
  </si>
  <si>
    <t>22ο ΝΗΠΙΑΓΩΓΕΙΟ ΑΛΕΞΑΝΔΡΟΥΠΟΛΗΣ</t>
  </si>
  <si>
    <t>mail@22nip-alexandr.evr.sch.gr</t>
  </si>
  <si>
    <t>ΚΑΤΑΚΟΥΖΗΝΟΥ 13</t>
  </si>
  <si>
    <t>ΔΗΜΟΤΙΚΟ ΣΧΟΛΕΙΟ ΜΑΪΣΤΡΟΥ</t>
  </si>
  <si>
    <t>mail@dim-maistr.evr.sch.gr</t>
  </si>
  <si>
    <t>ΑΜΦΙΤΡΙΤΗΣ</t>
  </si>
  <si>
    <t>14ο ΝΗΠΙΑΓΩΓΕΙΟ ΑΛΕΞΑΝΔΡΟΥΠΟΛΗΣ</t>
  </si>
  <si>
    <t>mail@14nip-alexandr.evr.sch.gr</t>
  </si>
  <si>
    <t>Καλλιθέα/Αλεξανδρούπολης</t>
  </si>
  <si>
    <t>Ήρας και Φαναρίου Γωνία</t>
  </si>
  <si>
    <t>3ο ΝΗΠΙΑΓΩΓΕΙΟ ΑΛΕΞΑΝΔΡΟΥΠΟΛΗΣ</t>
  </si>
  <si>
    <t>mail@3nip-alexandr.evr.sch.gr</t>
  </si>
  <si>
    <t>14ης ΜΑΙΟΥ 37</t>
  </si>
  <si>
    <t>17ο ΝΗΠΙΑΓΩΓΕΙΟ ΑΛΕΞΑΝΔΡΟΥΠΟΛΗΣ</t>
  </si>
  <si>
    <t>mail@17nip-alexandr.evr.sch.gr</t>
  </si>
  <si>
    <t>ΣΑΡΑΝΤΑ ΕΚΚΛΗΣΙΩΝ 26</t>
  </si>
  <si>
    <t>15ο ΝΗΠΙΑΓΩΓΕΙΟ ΑΛΕΞΑΝΔΡΟΥΠΟΛΗΣ</t>
  </si>
  <si>
    <t>mail@15nip-alexandr.evr.sch.gr</t>
  </si>
  <si>
    <t>ΕΡΓΑΤΙΚΑ ΝΕΑΣ ΧΗΛΗΣ</t>
  </si>
  <si>
    <t>10ο ΝΗΠΙΑΓΩΓΕΙΟ ΑΛΕΞΑΝΔΡΟΥΠΟΛΗΣ</t>
  </si>
  <si>
    <t>mail@10nip-alexandr.evr.sch.gr</t>
  </si>
  <si>
    <t>ΚΑΛΛΙΠΟΛΕΩΣ 6</t>
  </si>
  <si>
    <t>mail@dim-dikaion.evr.sch.gr</t>
  </si>
  <si>
    <t>Πάροδος Όλγας και οδός Ερμού   ΔΙΚΑΙΑ</t>
  </si>
  <si>
    <t>mail@dim-rizion.evr.sch.gr</t>
  </si>
  <si>
    <t>ΘΡΑΚΗΣ  3</t>
  </si>
  <si>
    <t>ΕΙΔΙΚΟ ΔΗΜΟΤΙΚΟ ΣΧΟΛΕΙΟ ΑΛΕΞΑΝΔΡΟΥΠΟΛΗΣ</t>
  </si>
  <si>
    <t>dimidal@sch.gr</t>
  </si>
  <si>
    <t>ΠΡΩΤΟ ΧΙΛΙΟΜΕΤΡΟ ΑΛΕΞΑΝΔΡΟΥΠΟΛΗΣ-ΠΑΛΑΓΙΑΣ</t>
  </si>
  <si>
    <t>mail@7dim-orest.evr.sch.gr</t>
  </si>
  <si>
    <t>ΕΝΘΟΜΑΡΤΥΡΩΝ 5</t>
  </si>
  <si>
    <t>3ο ΝΗΠΙΑΓΩΓΕΙΟ ΟΡΕΣΤΙΑΔΑΣ</t>
  </si>
  <si>
    <t>mail@3nip-orest.evr.sch.gr</t>
  </si>
  <si>
    <t>ΑΓΙΩΝ ΘΕΟΔΩΡΩΝ 201</t>
  </si>
  <si>
    <t>ΜΑΚΡΗΣ</t>
  </si>
  <si>
    <t>Δημοτικό Σχολείο Μειονοτικής Εκπαίδευσης</t>
  </si>
  <si>
    <t>ΜΕΙΟΝΟΤΙΚΟ ΔΗΜΟΤΙΚΟ ΣΧΟΛΕΙΟ ΔΙΚΕΛΛΗΣ</t>
  </si>
  <si>
    <t>mail@dim-meion-dikell.evr.sch.gr</t>
  </si>
  <si>
    <t>ΔΙΚΕΛΛΗΣ</t>
  </si>
  <si>
    <t>ΔΙΚΕΛΛΑ</t>
  </si>
  <si>
    <t>mail@4dim-alexandr.evr.sch.gr</t>
  </si>
  <si>
    <t>ΠΕΝΤΑΛΟΦΟΥ 12</t>
  </si>
  <si>
    <t>ΝΗΠΙΑΓΩΓΕΙΟ ΠΥΡΓΟΥ</t>
  </si>
  <si>
    <t>mail@nip-pyrgou.evr.sch.gr</t>
  </si>
  <si>
    <t>ΠΥΡΓΟΥ</t>
  </si>
  <si>
    <t>ΠΥΡΓΟΣ</t>
  </si>
  <si>
    <t>2ο ΝΗΠΙΑΓΩΓΕΙΟ ΟΡΕΣΤΙΑΔΑΣ</t>
  </si>
  <si>
    <t>mail@2nip-orest.evr.sch.gr</t>
  </si>
  <si>
    <t>ΑΘΑΝΑΣΙΟΥ ΠΑΝΤΑΖΙΔΗ 89</t>
  </si>
  <si>
    <t>9ο ΝΗΠΙΑΓΩΓΕΙΟ ΑΛΕΞΑΝΔΡΟΥΠΟΛΗΣ</t>
  </si>
  <si>
    <t>mail@9nip-alexandr.evr.sch.gr</t>
  </si>
  <si>
    <t>ΠΑΠΑΔΙΑΜΑΝΤΗ 29</t>
  </si>
  <si>
    <t>ΔΗΜΟΤΙΚΟ ΣΧΟΛΕΙΟ ΛΕΠΤΗΣ</t>
  </si>
  <si>
    <t>dimleptis@sch.gr</t>
  </si>
  <si>
    <t>Λεπτή Ορεστιάδας</t>
  </si>
  <si>
    <t>ΑΛΕΠΟΧΩΡΙΟΥ</t>
  </si>
  <si>
    <t>Ολοήμερο Δημοτικό Σχολείο Μειονοτικής Εκπαίδευσης</t>
  </si>
  <si>
    <t>ΟΛΟΗΜΕΡΟ ΜΕΙΟΝΟΤΙΚΟ ΔΗΜΟΤΙΚΟ ΣΧΟΛΕΙΟ ΠΟΛΙΑΣ</t>
  </si>
  <si>
    <t>mail@dim-meion-polias.evr.sch.gr</t>
  </si>
  <si>
    <t>ΠΟΛΙΑΣ</t>
  </si>
  <si>
    <t>ΠΟΛΙΑ ΕΒΡΟΥ</t>
  </si>
  <si>
    <t>ΝΗΠΙΑΓΩΓΕΙΟ ΛΕΠΤΗΣ</t>
  </si>
  <si>
    <t>mail@nip-leptis.evr.sch.gr</t>
  </si>
  <si>
    <t>ΛΕΠΤΗ Τ.Θ. 132</t>
  </si>
  <si>
    <t>ΔΗΜΟΤΙΚΟ ΣΧΟΛΕΙΟ ΜΑΚΡΗΣ</t>
  </si>
  <si>
    <t>mail@dim-makris.evr.sch.gr</t>
  </si>
  <si>
    <t>ΜΑΚΡΗ</t>
  </si>
  <si>
    <t>ΜΑΚΡΗ ΑΛΕΞΠΟΛΗΣ ΤΘ 1015</t>
  </si>
  <si>
    <t>1ο ΝΗΠΙΑΓΩΓΕΙΟ ΔΙΔΥΜΟΤΕΙΧΟΥ</t>
  </si>
  <si>
    <t>mail@1nip-didym.evr.sch.gr</t>
  </si>
  <si>
    <t>ΘΕΟΤΟΚΟΠΟΥΛΟΥ 11</t>
  </si>
  <si>
    <t>ΜΙΚΡΟΥ ΔΕΡΕΙΟΥ</t>
  </si>
  <si>
    <t>ΟΛΟΗΜΕΡΟ ΜΕΙΟΝΟΤΙΚΟ ΔΗΜΟΤΙΚΟ ΣΧΟΛΕΙΟ ΓΕΡΙΚΟΥ</t>
  </si>
  <si>
    <t>mail@dim-meion-gerik.evr.sch.gr</t>
  </si>
  <si>
    <t>ΓΕΡΙΚΟΥ</t>
  </si>
  <si>
    <t>ΓΕΡΙΚΟ</t>
  </si>
  <si>
    <t>ΠΡΩΤΟΚΚΛΗΣΙΟΥ</t>
  </si>
  <si>
    <t>ΟΛΟΗΜΕΡΟ ΔΗΜΟΤΙΚΟ ΣΧΟΛΕΙΟ ΠΡΩΤΟΚΚΛΗΣΙΟΥ</t>
  </si>
  <si>
    <t>mail@dim-protokl.evr.sch.gr</t>
  </si>
  <si>
    <t>Πρωτοκκλήσι</t>
  </si>
  <si>
    <t>ΠΡΩΤΟΚΚΛΗΣΙ</t>
  </si>
  <si>
    <t>2ο ΝΗΠΙΑΓΩΓΕΙΟ ΔΙΔΥΜΟΤΕΙΧΟΥ</t>
  </si>
  <si>
    <t>mail@2nip-didym.evr.sch.gr</t>
  </si>
  <si>
    <t>ΕΥΓΕΝΙΟΥ ΕΥΓΕΝΙΔΗ 137</t>
  </si>
  <si>
    <t>ΜΕΙΟΝΟΤΙΚΟ ΔΗΜΟΤΙΚΟ ΣΧΟΛΕΙΟ ΜΑΚΡΗΣ</t>
  </si>
  <si>
    <t>mail@dim-meion-makris.evr.sch.gr</t>
  </si>
  <si>
    <t xml:space="preserve">ΜΑΚΡΗ  </t>
  </si>
  <si>
    <t>3ο ΝΗΠΙΑΓΩΓΕΙΟ ΔΙΔΥΜΟΤΕΙΧΟΥ</t>
  </si>
  <si>
    <t>mail@3nip-didym.evr.sch.gr</t>
  </si>
  <si>
    <t>ΔΙΟΙΚΗΤΗΡΙΟΥ 15</t>
  </si>
  <si>
    <t>ΜΕΙΟΝΟΤΙΚΟ ΔΗΜΟΤΙΚΟ ΣΧΟΛΕΙΟ ΜΙΚΡΑΚΙΟΥ</t>
  </si>
  <si>
    <t>mail@dim-meion-mikrak.evr.sch.gr</t>
  </si>
  <si>
    <t>ΜΙΚΡΑΚΙΟΥ</t>
  </si>
  <si>
    <t>ΜΙΚΡΑΚΙΟ</t>
  </si>
  <si>
    <t>4ο ΝΗΠΙΑΓΩΓΕΙΟ ΔΙΔΥΜΟΤΕΙΧΟΥ</t>
  </si>
  <si>
    <t>mail@4nip-didym.evr.sch.gr</t>
  </si>
  <si>
    <t>ΤΡΙΠΟΔΟΣ 10</t>
  </si>
  <si>
    <t>7ο ΝΗΠΙΑΓΩΓΕΙΟ ΑΛΕΞΑΝΔΡΟΥΠΟΛΗΣ</t>
  </si>
  <si>
    <t>mail@7nip-alexandr.evr.sch.gr</t>
  </si>
  <si>
    <t>ΕΛΛΗΣΠΟΝΤΟΥ 11</t>
  </si>
  <si>
    <t>ΜΕΙΟΝΟΤΙΚΟ ΔΗΜΟΤΙΚΟ ΣΧΟΛΕΙΟ ΜΕΓΑΛΟΥ ΔΕΡΕΙΟΥ</t>
  </si>
  <si>
    <t>dimmderi@sch.gr</t>
  </si>
  <si>
    <t>ΜΕΓΑΛΟ ΔΕΡΕΙΟ</t>
  </si>
  <si>
    <t>ΣΥΚΟΡΡΑΧΗΣ</t>
  </si>
  <si>
    <t>ΟΛΟΗΜΕΡΟ ΜΕΙΟΝΟΤΙΚΟ ΔΗΜΟΤΙΚΟ ΣΧΟΛΕΙΟ ΚΟΜΑΡΟΥ</t>
  </si>
  <si>
    <t>mail@dim-meion-komar.evr.sch.gr</t>
  </si>
  <si>
    <t>ΚΟΜΑΡΟΥ</t>
  </si>
  <si>
    <t>ΚΟΜΑΡΟΣ</t>
  </si>
  <si>
    <t>5ο ΝΗΠΙΑΓΩΓΕΙΟ ΔΙΔΥΜΟΤΕΙΧΟΥ</t>
  </si>
  <si>
    <t>mail@5nip-didym.evr.sch.gr</t>
  </si>
  <si>
    <t>ΒΟΥΔΟΥΡΗ 1</t>
  </si>
  <si>
    <t>ΜΕΙΟΝΟΤΙΚΟ ΔΗΜΟΤΙΚΟ ΣΧΟΛΕΙΟ ΡΟΥΣΣΑΣ</t>
  </si>
  <si>
    <t>mail@dim-meion-rousis.evr.sch.gr</t>
  </si>
  <si>
    <t>ΡΟΥΣΣΑ</t>
  </si>
  <si>
    <t>ΜΕΙΟΝΟΤΙΚΟ ΔΗΜΟΤΙΚΟ ΣΧΟΛΕΙΟ ΑΓΡΙΑΝΗΣ</t>
  </si>
  <si>
    <t>mail@dim-meion-agrian.evr.sch.gr</t>
  </si>
  <si>
    <t>ΑΓΡΙΑΝΗ</t>
  </si>
  <si>
    <t>ΧΩΡΙΟ ΑΓΡΙΑΝΗ - ΣΟΥΦΛΙΟΥ ΝΟΜΟΥ ΕΒΡΟΥ</t>
  </si>
  <si>
    <t>ΜΕΙΟΝΟΤΙΚΟ ΔΗΜΟΤΙΚΟ ΣΧΟΛΕΙΟ ΑΥΡΑΣ</t>
  </si>
  <si>
    <t>mail@dim-meion-avras.evr.sch.gr</t>
  </si>
  <si>
    <t>ΑΥΡΑ</t>
  </si>
  <si>
    <t>ΝΗΠΙΑΓΩΓΕΙΟ ΜΑΚΡΗΣ</t>
  </si>
  <si>
    <t>mail@nip-makris.evr.sch.gr</t>
  </si>
  <si>
    <t>ΜΕΙΟΝΟΤΙΚΟ ΔΗΜΟΤΙΚΟ ΣΧΟΛΕΙΟ ΠΕΡΑΜΑ - ΜΕΙΟΝΟΤΙΚΟ ΣΧΟΛΕΙΟ ΠΕΡΑΜΑΤΟΣ</t>
  </si>
  <si>
    <t>mail@dim-meion-peram.evr.sch.gr</t>
  </si>
  <si>
    <t>ΠΕΡΑΜΑ</t>
  </si>
  <si>
    <t>ΝΗΠΙΑΓΩΓΕΙΟ ΣΙΔΗΡΟΥΣ</t>
  </si>
  <si>
    <t>mail@nip-sidir.evr.sch.gr</t>
  </si>
  <si>
    <t>ΣΙΔΗΡΟΥΣ</t>
  </si>
  <si>
    <t>ΣΙΔΗΡΩ</t>
  </si>
  <si>
    <t>9ο ΔΗΜΟΤΙΚΟ ΣΧΟΛΕΙΟ ΑΛΕΞΑΝΔΡΟΥΠΟΛΗΣ</t>
  </si>
  <si>
    <t>mail@9dim-alexandr.evr.sch.gr</t>
  </si>
  <si>
    <t>ΡΟΔΟΥ 36</t>
  </si>
  <si>
    <t>ΝΗΠΙΑΓΩΓΕΙΟ ΑΓΡΙΑΝΗΣ ΕΒΡΟΥ</t>
  </si>
  <si>
    <t>mail@nip-agrian.evr.sch.gr</t>
  </si>
  <si>
    <t>ΑΓΡΙΑΝΗΣ</t>
  </si>
  <si>
    <t>ΔΑΔΙΑΣ</t>
  </si>
  <si>
    <t>mail@dim-dadias.evr.sch.gr</t>
  </si>
  <si>
    <t>ΔΑΔΙΑ</t>
  </si>
  <si>
    <t>10ο ΝΗΠΙΑΓΩΓΕΙΟ ΟΡΕΣΤΙΑΔΑΣ</t>
  </si>
  <si>
    <t>mail@10nip-orest.evr.sch.gr</t>
  </si>
  <si>
    <t>ΡΑΙΔΕΣΤΟΥ 30</t>
  </si>
  <si>
    <t>11ο ΝΗΠΙΑΓΩΓΕΙΟ ΑΛΕΞΑΝΔΡΟΥΠΟΛΗΣ</t>
  </si>
  <si>
    <t>mail@11nip-alexandr.evr.sch.gr</t>
  </si>
  <si>
    <t>ΠΑΤΡΙΑΡΧΗ ΓΡΗΓΟΡΙΟΥ 13</t>
  </si>
  <si>
    <t>18ο ΝΗΠΙΑΓΩΓΕΙΟ ΑΛΕΞΑΝΔΡΟΥΠΟΛΗΣ</t>
  </si>
  <si>
    <t>mail@18nip-alexandr.evr.sch.gr</t>
  </si>
  <si>
    <t>ΧΡΥΣΟΣΤΟΜΟΥ ΣΜΥΡΝΗΣ 31</t>
  </si>
  <si>
    <t>21ο ΝΗΠΙΑΓΩΓΕΙΟ ΑΛΕΞΑΝΔΡΟΥΠΟΛΗΣ</t>
  </si>
  <si>
    <t>mail@21nip-alexandr.evr.sch.gr</t>
  </si>
  <si>
    <t>ΜΙΧΑΗΛΟΓΛΟΥ 15</t>
  </si>
  <si>
    <t>mail@1dim-orest.evr.sch.gr</t>
  </si>
  <si>
    <t>ΝΕΑ ΟΡΕΣΤΙΑΔΑ</t>
  </si>
  <si>
    <t>ΒΑΣΙΛΕΩΣ ΚΩΝΣΤΑΝΤΙΝΟΥ 115</t>
  </si>
  <si>
    <t>8ο ΝΗΠΙΑΓΩΓΕΙΟ ΑΛΕΞΑΝΔΡΟΥΠΟΛΗΣ</t>
  </si>
  <si>
    <t>mail@8nip-alexandr.evr.sch.gr</t>
  </si>
  <si>
    <t>ΦΥΛΗΣ 56</t>
  </si>
  <si>
    <t>ΝΗΠΙΑΓΩΓΕΙΟ ΜΕΓΑΛΟΥ ΔΕΡΕΙΟΥ</t>
  </si>
  <si>
    <t>mail@nip-meg-dereiou.evr.sch.gr</t>
  </si>
  <si>
    <t>ΜΕΓΑΛΟΥ ΔΕΡΕΙΟΥ</t>
  </si>
  <si>
    <t>ΔΗΜΟΤΙΚΟ ΣΧΟΛΕΙΟ ΠΥΡΓΟΥ</t>
  </si>
  <si>
    <t>mail@dim-pyrgou.evr.sch.gr</t>
  </si>
  <si>
    <t xml:space="preserve">ΠΥΡΓΟΣ,  </t>
  </si>
  <si>
    <t>ΠΥΡΓΟΣ Τ.Θ. 230 -</t>
  </si>
  <si>
    <t>ΝΗΠΙΑΓΩΓΕΙΟ ΡΟΥΣΣΑΣ</t>
  </si>
  <si>
    <t>mail@nip-rouss.evr.sch.gr</t>
  </si>
  <si>
    <t>ΡΟΥΣΣΑΣ</t>
  </si>
  <si>
    <t>ΔΗΜΟΤΙΚΟ ΣΧΟΛΕΙΟ ΠΑΛΑΓΙΑΣ</t>
  </si>
  <si>
    <t>mail@dim-palagias.evr.sch.gr</t>
  </si>
  <si>
    <t>ΠΑΛΑΓΙΑ</t>
  </si>
  <si>
    <t>19ΗΣ ΜΑΙΟΥ ΚΑΙ ΣΤΡΑΒΩΝΟΣ</t>
  </si>
  <si>
    <t>ΚΑΣΤΑΝΕΩΝ</t>
  </si>
  <si>
    <t>ΔΗΜΟΤΙΚΟ ΣΧΟΛΕΙΟ ΚΑΣΤΑΝΕΩΝ</t>
  </si>
  <si>
    <t>mail@dim-kastan.evr.sch.gr</t>
  </si>
  <si>
    <t>ΚΑΣΤΑΝΙΕΣ</t>
  </si>
  <si>
    <t>1ο ΝΗΠΙΑΓΩΓΕΙΟ ΟΡΕΣΤΙΑΔΑΣ</t>
  </si>
  <si>
    <t>mail@1nip-orest.evr.sch.gr</t>
  </si>
  <si>
    <t>ΒΑΣ.ΚΩΝ/ΝΟΥ 115</t>
  </si>
  <si>
    <t>mail@1dim-n-vyssas.evr.sch.gr</t>
  </si>
  <si>
    <t>3ο ΔΗΜΟΤΙΚΟ ΣΧΟΛΕΙΟ ΑΛΕΞΑΝΔΡΟΥΠΟΛΗΣ -'' ΑΓΓΕΛΟΣ ΠΟΙΜΕΝΙΔΗΣ"</t>
  </si>
  <si>
    <t>mail@3dim-alexandr.evr.sch.gr</t>
  </si>
  <si>
    <t>Κ. ΠΑΛΑΙΟΛΟΓΟΥ 2</t>
  </si>
  <si>
    <t>1ο ΝΗΠΙΑΓΩΓΕΙΟ ΣΟΥΦΛΙΟΥ</t>
  </si>
  <si>
    <t>mail@1nip-soufl.evr.sch.gr</t>
  </si>
  <si>
    <t>Σουφλίου</t>
  </si>
  <si>
    <t>Αγίου Γεωργίου 11</t>
  </si>
  <si>
    <t>1ο ΝΗΠΙΑΓΩΓΕΙΟ ΑΛΕΞΑΝΔΡΟΥΠΟΛΗΣ</t>
  </si>
  <si>
    <t>mail@1nip-alexandr.evr.sch.gr</t>
  </si>
  <si>
    <t>ΕΙΚΟΣΙ ΟΚΤΩ ΟΚΤΩΒΡΙΟΥ 27</t>
  </si>
  <si>
    <t>ΝΗΠΙΑΓΩΓΕΙΟ ΔΙΚΑΙΩΝ</t>
  </si>
  <si>
    <t>mail@nip-dikaion.evr.sch.gr</t>
  </si>
  <si>
    <t>3ο ΔΗΜΟΤΙΚΟ ΣΧΟΛΕΙΟ ΟΡΕΣΤΙΑΔΑΣ</t>
  </si>
  <si>
    <t>mail@3dim-orest.evr.sch.gr</t>
  </si>
  <si>
    <t>3ο ΝΗΠΙΑΓΩΓΕΙΟ ΦΕΡΩΝ ΕΒΡΟΥ</t>
  </si>
  <si>
    <t>mail@3nip-ferron.evr.sch.gr</t>
  </si>
  <si>
    <t>ΧΑΡΙΛΑΟΥ ΤΡΙΚΟΥΠΗ 7</t>
  </si>
  <si>
    <t>2ο ΔΗΜΟΤΙΚΟ ΣΧΟΛΕΙΟ ΟΡΕΣΤΙΑΔΑΣ</t>
  </si>
  <si>
    <t>2dimorest@sch.gr</t>
  </si>
  <si>
    <t>Ορεστιάδα,</t>
  </si>
  <si>
    <t>ΟΡΕΣΤΟΥ 7</t>
  </si>
  <si>
    <t>ΝΗΠΙΑΓΩΓΕΙΟ ΤΥΧΕΡΟΥ</t>
  </si>
  <si>
    <t>mail@nip-tycher.evr.sch.gr</t>
  </si>
  <si>
    <t>Ι. ΠΡΟΔΡΟΜΟΥ &amp; ΑΘ. ΔΙΑΚΟΥ</t>
  </si>
  <si>
    <t>1ο ΝΗΠΙΑΓΩΓΕΙΟ ΝΕΑΣ ΒΥΣΣΑΣ</t>
  </si>
  <si>
    <t>mail@1nip-n-vyssis.evr.sch.gr</t>
  </si>
  <si>
    <t>ΝΕΑΣ ΒΥΣΣΑΣ</t>
  </si>
  <si>
    <t>7ο ΝΗΠΙΑΓΩΓΕΙΟ ΟΡΕΣΤΙΑΔΑΣ</t>
  </si>
  <si>
    <t>mail@7nip-orest.evr.sch.gr</t>
  </si>
  <si>
    <t>ΠΑΛΑΙΟΛΟΓΟΥ 20</t>
  </si>
  <si>
    <t>ΑΣΠΡΟΝΕΡΙΟΥ</t>
  </si>
  <si>
    <t>ΔΗΜΟΤΙΚΟ ΣΧΟΛΕΙΟ ΑΣΠΡΟΝΕΡΙΟΥ</t>
  </si>
  <si>
    <t>mail@dim-aspron.evr.sch.gr</t>
  </si>
  <si>
    <t>ΑΣΠΡΟΝΕΡΙ</t>
  </si>
  <si>
    <t>ΟΛΟΗΜΕΡΟ ΕΙΔΙΚΟ ΔΗΜΟΤΙΚΟ ΣΧΟΛΕΙΟ ΔΙΔΥΜΟΤΕΙΧΟΥ</t>
  </si>
  <si>
    <t>mail@dim-eid-didym.evr.sch.gr</t>
  </si>
  <si>
    <t>ΑΓ.ΦΩΤΕΙΝΗΣ 25</t>
  </si>
  <si>
    <t>4ο ΔΗΜΟΤΙΚΟ ΣΧΟΛΕΙΟ ΟΡΕΣΤΙΑΔΑΣ</t>
  </si>
  <si>
    <t>4dimorest@sch.gr</t>
  </si>
  <si>
    <t>Ορεστιάδα</t>
  </si>
  <si>
    <t>Αναγεννήσεως 227</t>
  </si>
  <si>
    <t>ΝΗΠΙΑΓΩΓΕΙΟ ΚΥΠΡΙΝΟΥ</t>
  </si>
  <si>
    <t>mail@nip-kyprin.evr.sch.gr</t>
  </si>
  <si>
    <t>ΝΗΠΙΑΓΩΓΕΙΟ ΜΕΤΑΞΑΔΩΝ</t>
  </si>
  <si>
    <t>mail@nip-metax.evr.sch.gr</t>
  </si>
  <si>
    <t>mail@dim-kyprin.evr.sch.gr</t>
  </si>
  <si>
    <t>Κυπρίνος Ορεστιάδας</t>
  </si>
  <si>
    <t>mail@4dim-didym.evr.sch.gr</t>
  </si>
  <si>
    <t>ΠΟΛΥΤΕΧΝΕΙΟΥ 4</t>
  </si>
  <si>
    <t>mail@1dim-didym.evr.sch.gr</t>
  </si>
  <si>
    <t>ΜΙΑΟΥΛΗ 4</t>
  </si>
  <si>
    <t>mail@3dim-didym.evr.sch.gr</t>
  </si>
  <si>
    <t>ΔΙΟΙΚΗΤΗΡΙΟΥ 17</t>
  </si>
  <si>
    <t>8ο ΝΗΠΙΑΓΩΓΕΙΟ ΟΡΕΣΤΙΑΔΑΣ</t>
  </si>
  <si>
    <t>mail@8nip-orest.evr.sch.gr</t>
  </si>
  <si>
    <t>ΚΟΣΜΑ ΑΙΤΩΛΟΥ 9</t>
  </si>
  <si>
    <t>ΜΕΙΟΝΟΤΙΚΟ ΔΗΜΟΤΙΚΟ ΣΧΟΛΕΙΟ ΠΕΤΡΟΛΟΦΟΥ</t>
  </si>
  <si>
    <t>mail@dim-meion-petrol.evr.sch.gr</t>
  </si>
  <si>
    <t>ΠΕΤΡΟΛΟΦΟΣ ΣΟΥΦΛΙΟΥ ΕΒΡΟΥ</t>
  </si>
  <si>
    <t>mail@6dim-orest.evr.sch.gr</t>
  </si>
  <si>
    <t>ΜΑΥΡΟΜΙΧΑΛΗ 4</t>
  </si>
  <si>
    <t>ΜΕΙΟΝΟΤΙΚΟ ΔΗΜΟΤΙΚΟ ΣΧΟΛΕΙΟ ΜΕΣΗΜΒΡΙΑΣ</t>
  </si>
  <si>
    <t>ΜΕΣΗΜΒΡΙΑΣ</t>
  </si>
  <si>
    <t>ΜΕΣΗΜΒΡΙΑ</t>
  </si>
  <si>
    <t>ΝΗΠΙΑΓΩΓΕΙΟ ΛΑΒΑΡΩΝ</t>
  </si>
  <si>
    <t>mail@nip-lavar.evr.sch.gr</t>
  </si>
  <si>
    <t>ΑΡΙΣΤΟΤΕΛΟΥΣ 61</t>
  </si>
  <si>
    <t>ΣΤΕΡΝΑΣ</t>
  </si>
  <si>
    <t>ΝΗΠΙΑΓΩΓΕΙΟ ΣΤΕΡΝΑΣ</t>
  </si>
  <si>
    <t>mail@nip-stern.evr.sch.gr</t>
  </si>
  <si>
    <t>ΣΤΕΡΝΑ</t>
  </si>
  <si>
    <t>ΣΟΦΙΚΟ</t>
  </si>
  <si>
    <t>ΝΗΠΙΑΓΩΓΕΙΟ ΣΟΦΙΚΟΥ ΕΒΡΟΥ</t>
  </si>
  <si>
    <t>mail@nip-sofik.evr.sch.gr</t>
  </si>
  <si>
    <t xml:space="preserve"> - ΔΙΔΥΜΟΤΕΙΧΟΥ</t>
  </si>
  <si>
    <t>6ο ΝΗΠΙΑΓΩΓΕΙΟ ΟΡΕΣΤΙΑΔΑΣ - ΕΥΓΕΝΙΔΕΙΟ</t>
  </si>
  <si>
    <t>mail@6nip-orest.evr.sch.gr</t>
  </si>
  <si>
    <t>ΑΡΧΗ ΕΥΑΓΓΕΛΙΣΤΡΙΑΣ</t>
  </si>
  <si>
    <t>mail@dim-lavar.evr.sch.gr</t>
  </si>
  <si>
    <t>4ο ΝΗΠΙΑΓΩΓΕΙΟ ΑΛΕΞΑΝΔΡΟΥΠΟΛΗΣ</t>
  </si>
  <si>
    <t>mail@4nip-alexandr.evr.sch.gr</t>
  </si>
  <si>
    <t>ΔΗΜΗΤΡΑΣ 29</t>
  </si>
  <si>
    <t>mail@5dim-alexandr.evr.sch.gr</t>
  </si>
  <si>
    <t>ΑΝΔΡΟΝΙΚΟΥ ΚΑΙ ΠΑΠΑΝΟΥΤΣΟΥ</t>
  </si>
  <si>
    <t>2ο ΔΗΜΟΤΙΚΟ ΣΧΟΛΕΙΟ ΔΙΔΥΜΟΤΕΙΧΟΥ</t>
  </si>
  <si>
    <t>mail@2dim-didym.evr.sch.gr</t>
  </si>
  <si>
    <t xml:space="preserve"> ΔΙΔΥΜΟΤΕΙΧΟ</t>
  </si>
  <si>
    <t>ΚΩΛΕΤΤΗ ΤΕΡΜΑ</t>
  </si>
  <si>
    <t>16ο ΝΗΠΙΑΓΩΓΕΙΟ ΑΛΕΞΑΝΔΡΟΥΠΟΛΗΣ</t>
  </si>
  <si>
    <t>mail@16nip-alexandr.evr.sch.gr</t>
  </si>
  <si>
    <t>ΠΑΡΟΔΟΣ ΧΑΛΚΗΔΟΝΟΣ 9</t>
  </si>
  <si>
    <t>ΜΕΙΟΝΟΤΙΚΟ ΔΗΜΟΤΙΚΟ ΣΧΟΛΕΙΟ ΓΟΝΙΚΟΥ</t>
  </si>
  <si>
    <t>mail@dim-meion-gonik.evr.sch.gr</t>
  </si>
  <si>
    <t>ΓΟΝΙΚΟ</t>
  </si>
  <si>
    <t>ΑΒΑΝΤΟΣ</t>
  </si>
  <si>
    <t>ΝΗΠΙΑΓΩΓΕΙΟ ΑΒΑΝΤΑ</t>
  </si>
  <si>
    <t>mail@nip-avant.evr.sch.gr</t>
  </si>
  <si>
    <t>ΑΒΑΝΤΑ</t>
  </si>
  <si>
    <t>ΑΒΑΝΤΑΣ Τ.Θ 1305 ΑΛΕΞΑΝΔΡΟΥΠΟΛΗ</t>
  </si>
  <si>
    <t>ΔΗΜΟΤΙΚΟ ΣΧΟΛΕΙΟ ΑΒΑΝΤΑ</t>
  </si>
  <si>
    <t>mail@dim-avant.evr.sch.gr</t>
  </si>
  <si>
    <t>ΑΒΑΝΤΑΣ Τ.Θ.1305</t>
  </si>
  <si>
    <t>ΜΕΙΟΝΟΤΙΚΟ ΔΗΜΟΤΙΚΟ ΣΧΟΛΕΙΟ ΣΙΔΗΡΟΧΩΡΙ</t>
  </si>
  <si>
    <t>mail@dim-meion-sidir.evr.sch.gr</t>
  </si>
  <si>
    <t>ΣΙΔΗΡΟΧΩΡΙ</t>
  </si>
  <si>
    <t>ΣΙΔΗΡΟΧΩΡΙΟΥ</t>
  </si>
  <si>
    <t>6ο ΝΗΠΙΑΓΩΓΕΙΟ ΑΛΕΞΑΝΔΡΟΥΠΟΛΗΣ</t>
  </si>
  <si>
    <t>mail@6nip-alexandr.evr.sch.gr</t>
  </si>
  <si>
    <t>ΤΡΑΠΕΖΟΥΝΤΟΣ 49</t>
  </si>
  <si>
    <t>ΜΕΙΟΝΟΤΙΚΟ ΔΗΜΟΤΙΚΟ ΣΧΟΛΕΙΟ ΑΛΕΞΑΝΔΡΟΥΠΟΛΗΣ</t>
  </si>
  <si>
    <t>mail@dim-meion-alexandr.evr.sch.gr</t>
  </si>
  <si>
    <t>ΚΑΣΑΝΔΡΑΣ 1</t>
  </si>
  <si>
    <t>12ο ΝΗΠΙΑΓΩΓΕΙΟ ΑΛΕΞΑΝΔΡΟΥΠΟΛΗΣ</t>
  </si>
  <si>
    <t>mail@12nip-alexandr.evr.sch.gr</t>
  </si>
  <si>
    <t>ΜΟΣΧΟΝΗΣΙΩΝ 23</t>
  </si>
  <si>
    <t>ΛΟΥΤΡΟΥ</t>
  </si>
  <si>
    <t>ΝΗΠΙΑΓΩΓΕΙΟ ΛΟΥΤΡΟΥ</t>
  </si>
  <si>
    <t>mail@nip-loutr.evr.sch.gr</t>
  </si>
  <si>
    <t>ΛΟΥΤΡΟΣ ΑΛΕΞΑΝΔΡΟΥΠΟΛΗΣ</t>
  </si>
  <si>
    <t>5ο ΝΗΠΙΑΓΩΓΕΙΟ ΑΛΕΞΑΝΔΡΟΥΠΟΛΗΣ</t>
  </si>
  <si>
    <t>mail@5nip-alexandr.evr.sch.gr</t>
  </si>
  <si>
    <t>ΙΜΒΡΑΣΟΥ 1</t>
  </si>
  <si>
    <t>ΔΗΜΟΤΙΚΟ ΣΧΟΛΕΙΟ ΝΕΑΣ ΧΗΛΗΣ</t>
  </si>
  <si>
    <t>mail@dim-n-chilis.evr.sch.gr</t>
  </si>
  <si>
    <t>ΝΕΑ ΧΗΛΗ</t>
  </si>
  <si>
    <t>ΚΑΝΑΡΗ 12 ΝΕΑ ΧΗΛΗ ΑΛΕΞΑΝΔΡΟΥΠΟΛΗΣ</t>
  </si>
  <si>
    <t>ΝΗΠΙΑΓΩΓΕΙΟ ΝΕΑΣ ΧΗΛΗΣ</t>
  </si>
  <si>
    <t>mail@nip-chilis.evr.sch.gr</t>
  </si>
  <si>
    <t>ΝΕΑΣ ΧΗΛΗΣ</t>
  </si>
  <si>
    <t>ΔΗΜΟΚΡΑΤΙΑΣ 43</t>
  </si>
  <si>
    <t>ΝΗΠΙΑΓΩΓΕΙΟ ΑΠΑΛΟΥ</t>
  </si>
  <si>
    <t>mail@nip-apalou.evr.sch.gr</t>
  </si>
  <si>
    <t>ΑΠΑΛΟΥ</t>
  </si>
  <si>
    <t>ΑΠΑΛΟΣ ΑΛΕΞΑΝΔΡΟΥΠΟΛΗΣ</t>
  </si>
  <si>
    <t>ΝΗΠΙΑΓΩΓΕΙΟ ΜΑΪΣΤΡΟΥ</t>
  </si>
  <si>
    <t>mail@nip-maistr.evr.sch.gr</t>
  </si>
  <si>
    <t>ΜΑΪΣΤΡΟΥ</t>
  </si>
  <si>
    <t>ΜΑΪΣΤΡΟΣ ΑΛΕΞΑΝΔΡΟΥΠΟΛΗΣ</t>
  </si>
  <si>
    <t>mail@dim-metax.evr.sch.gr</t>
  </si>
  <si>
    <t>Μεταξάδες</t>
  </si>
  <si>
    <t>2ο ΝΗΠΙΑΓΩΓΕΙΟ ΑΛΕΞΑΝΔΡΟΥΠΟΛΗΣ</t>
  </si>
  <si>
    <t>mail@2nip-alexandr.evr.sch.gr</t>
  </si>
  <si>
    <t>ΚΩΝΣΤΑΝΤΙΝΟΥΠΟΛΕΩΣ 51</t>
  </si>
  <si>
    <t>ΝΗΠΙΑΓΩΓΕΙΟ ΧΩΡΑΣ ΣΑΜΟΘΡΑΚΗΣ</t>
  </si>
  <si>
    <t>mail@nip-samoth.evr.sch.gr</t>
  </si>
  <si>
    <t>ΧΩΡΑΣ</t>
  </si>
  <si>
    <t>ΧΩΡΑ ΣΑΜΟΘΡΑΚΗΣ</t>
  </si>
  <si>
    <t>ΔΗΜΟΤΙΚΟ ΣΧΟΛΕΙΟ ΛΑΚΚΩΜΑΤΟΣ</t>
  </si>
  <si>
    <t>mail@dim-lakkom.evr.sch.gr</t>
  </si>
  <si>
    <t>ΛΑΚΚΩΜΑ</t>
  </si>
  <si>
    <t>ΝΗΠΙΑΓΩΓΕΙΟ ΛΑΚΚΩΜΑΤΟΣ</t>
  </si>
  <si>
    <t>mail@nip-lakkom.evr.sch.gr</t>
  </si>
  <si>
    <t>ΛΑΚΚΩΜΑΤΟΣ</t>
  </si>
  <si>
    <t>ΛΑΚΚΩΜΑ ΣΑΜΟΘΡΑΚΗΣ</t>
  </si>
  <si>
    <t>ΝΗΠΙΑΓΩΓΕΙΟ ΚΑΜΑΡΙΩΤΙΣΣΑΣ</t>
  </si>
  <si>
    <t>mail@nip-kamar.evr.sch.gr</t>
  </si>
  <si>
    <t>19ο ΝΗΠΙΑΓΩΓΕΙΟ ΑΛΕΞΑΝΔΡΟΥΠΟΛΗΣ</t>
  </si>
  <si>
    <t>mail@19nip-alexandr.evr.sch.gr</t>
  </si>
  <si>
    <t>ΠΑΡΟΔΟΣ ΔΕΡΚΩΝ 1</t>
  </si>
  <si>
    <t>mail@dim-kamar.evr.sch.gr</t>
  </si>
  <si>
    <t>ΣΑΜΟΘΡΑΚΗ</t>
  </si>
  <si>
    <t>ΚΑΜΑΡΙΩΤΙΣΣΑ</t>
  </si>
  <si>
    <t>1ο ΝΗΠΙΑΓΩΓΕΙΟ ΦΕΡΩΝ</t>
  </si>
  <si>
    <t>mail@1nip-ferron.evr.sch.gr</t>
  </si>
  <si>
    <t>ΒΙΖΒΙΖΗ 8</t>
  </si>
  <si>
    <t>2ο ΝΗΠΙΑΓΩΓΕΙΟ ΣΟΥΦΛΙΟΥ</t>
  </si>
  <si>
    <t>mail@2nip-soufl.evr.sch.gr</t>
  </si>
  <si>
    <t>ΚΥΡΙΛΛΟΥ Ε 4</t>
  </si>
  <si>
    <t>2ο ΝΗΠΙΑΓΩΓΕΙΟ ΦΕΡΩΝ</t>
  </si>
  <si>
    <t>mail@2nip-ferron.evr.sch.gr</t>
  </si>
  <si>
    <t>ΧΑΡΙΛΑΟΥ ΤΡΙΚΟΥΠΗ 9</t>
  </si>
  <si>
    <t>ΠΕΠΛΟΥ</t>
  </si>
  <si>
    <t>ΝΗΠΙΑΓΩΓΕΙΟ ΠΕΠΛΟΥ</t>
  </si>
  <si>
    <t>mail@nip-peplou.evr.sch.gr</t>
  </si>
  <si>
    <t>ΠΕΠΛΟΣ</t>
  </si>
  <si>
    <t>mail@dim-tycher.evr.sch.gr</t>
  </si>
  <si>
    <t>ΝΙΚΗΣ 45</t>
  </si>
  <si>
    <t>2ο ΔΗΜΟΤΙΚΟ ΣΧΟΛΕΙΟ ΦΕΡΩΝ</t>
  </si>
  <si>
    <t>mail@2dim-feron.evr.sch.gr</t>
  </si>
  <si>
    <t>ΕΒΡΟΥ 11</t>
  </si>
  <si>
    <t>ΘΟΥΡΙΟ</t>
  </si>
  <si>
    <t>ΕΙΔΙΚΟ ΝΗΠΙΑΓΩΓΕΙΟ ΟΡΕΣΤΙΑΔΑΣ</t>
  </si>
  <si>
    <t>mail@nip-eid-orest.evr.sch.gr</t>
  </si>
  <si>
    <t>Ταχυδρομική Θυρίδα 39-ΘΟΥΡΙΟ</t>
  </si>
  <si>
    <t>6dimalex@sch.gr</t>
  </si>
  <si>
    <t>mail@10dim-alexandr.evr.sch.gr</t>
  </si>
  <si>
    <t>ΙΚΤΙΝΟΥ 12</t>
  </si>
  <si>
    <t>12ο ΔΗΜΟΤΙΚΟ ΣΧΟΛΕΙΟ ΑΛΕΞΑΝΔΡΟΥΠΟΛΗΣ</t>
  </si>
  <si>
    <t>mail@12dim-alexandr.evr.sch.gr</t>
  </si>
  <si>
    <t>ΠΑΠΑΔΙΑΜΑΝΤΗ Κ ΑΛΚΙΒΙΑΔΗ</t>
  </si>
  <si>
    <t>mail@8dim-orest.evr.sch.gr</t>
  </si>
  <si>
    <t>Ρ. ΦΕΡΑΙΟΥ 4</t>
  </si>
  <si>
    <t>ΡΗΓΑ ΦΕΡΑΙΟΥ 4</t>
  </si>
  <si>
    <t>1ο ΔΗΜΟΤΙΚΟ ΣΧΟΛΕΙΟ ΣΟΥΦΛΙΟΥ</t>
  </si>
  <si>
    <t>mail@1dim-soufl.evr.sch.gr</t>
  </si>
  <si>
    <t>ΚΙΚΟΝΩΝ 15</t>
  </si>
  <si>
    <t>mail@2dim-soufl.evr.sch.gr</t>
  </si>
  <si>
    <t>ΓΡΗΓΟΡΙΟΥ Ε 2</t>
  </si>
  <si>
    <t>mail@dim-antheias.evr.sch.gr</t>
  </si>
  <si>
    <t>ΑΝΘΕΙΑ ΑΛΕΞΑΝΔΡΟΥΠΟΛΗΣ ΤΘ 1817</t>
  </si>
  <si>
    <t>ΑΝΘΕΙΑ ΑΛΕΞΑΝΔΡΟΥΠΟΛΗΣ</t>
  </si>
  <si>
    <t>ΔΗΜΟΤΙΚΟ ΣΧΟΛΕΙΟ ΑΠΑΛΟΥ</t>
  </si>
  <si>
    <t>mail@dim-apalou.evr.sch.gr</t>
  </si>
  <si>
    <t>ΑΠΑΛΟΣ</t>
  </si>
  <si>
    <t>ΔΗΜΟΤΙΚΟ ΣΧΟΛΕΙΟ ΠΕΠΛΟΥ</t>
  </si>
  <si>
    <t>mail@dim-peplou.evr.sch.gr</t>
  </si>
  <si>
    <t>ΝΗΠΙΑΓΩΓΕΙΟ ΡΙΖΙΩΝ</t>
  </si>
  <si>
    <t>mail@nip-rizion.evr.sch.gr</t>
  </si>
  <si>
    <t>mail@1dim-feron.evr.sch.gr</t>
  </si>
  <si>
    <t>ΦΕΡΕΣ</t>
  </si>
  <si>
    <t>ΑΙΣΩΠΟΥ 1</t>
  </si>
  <si>
    <t>3ο ΔΗΜΟΤΙΚΟ ΣΧΟΛΕΙΟ ΦΕΡΩΝ</t>
  </si>
  <si>
    <t>mail@3dim-feron.evr.sch.gr</t>
  </si>
  <si>
    <t>ΠΟΛΥΤΕΧΝΕΙΟΥ 12</t>
  </si>
  <si>
    <t>9ο ΝΗΠΙΑΓΩΓΕΙΟ ΟΡΕΣΤΙΑΔΑΣ</t>
  </si>
  <si>
    <t>mail@9nip-orest.evr.sch.gr</t>
  </si>
  <si>
    <t>ΡΗΓΑ ΦΕΡΑΙΟΥ 2</t>
  </si>
  <si>
    <t>1ο ΔΗΜΟΤΙΚΟ ΣΧΟΛΕΙΟ ΑΛΕΞΑΝΔΡΟΥΠΟΛΗΣ</t>
  </si>
  <si>
    <t>mail@1dim-alexandr.evr.sch.gr</t>
  </si>
  <si>
    <t>28ΗΣ ΟΚΤΩΒΡΙΟΥ 25</t>
  </si>
  <si>
    <t>mail@7dim-alexandr.evr.sch.gr</t>
  </si>
  <si>
    <t>ΔΗΜΗΤΡΑΣ 57</t>
  </si>
  <si>
    <t>8ο ΔΗΜΟΤΙΚΟ ΣΧΟΛΕΙΟ ΑΛΕΞΑΝΔΡΟΥΠΟΛΗΣ</t>
  </si>
  <si>
    <t>mail@8dim-alexandr.evr.sch.gr</t>
  </si>
  <si>
    <t>Αλεξανδρούπολη</t>
  </si>
  <si>
    <t>ΑΝΔΡΙΑΝΟΥΠΟΛΕΩΣ 59</t>
  </si>
  <si>
    <t>11ο ΔΗΜΟΤΙΚΟ ΣΧΟΛΕΙΟ ΑΛΕΞΑΝΔΡΟΥΠΟΛΗΣ</t>
  </si>
  <si>
    <t>mail@11dim-alexandr.evr.sch.gr</t>
  </si>
  <si>
    <t>ΠΟΙΜΕΝΙΔΗ ΚΑΙ ΜΥΡΙΒΗΛΗ (γωνία)</t>
  </si>
  <si>
    <t>ΜΕΙΟΝΟΤΙΚΟ ΔΗΜΟΤΙΚΟ ΣΧΟΛΕΙΟ ΔΙΔΥΜΟΤΕΙΧΟΥ</t>
  </si>
  <si>
    <t>mail@dim-meion-didym.evr.sch.gr</t>
  </si>
  <si>
    <t>ΒΡΑΝΑ 24</t>
  </si>
  <si>
    <t>ΜΕΙΟΝΟΤΙΚΟ ΔΗΜΟΤΙΚΟ ΣΧΟΛΕΙΟ ΣΙΔΗΡΟΥΣ</t>
  </si>
  <si>
    <t>mail@dim-meion-sidirous.evr.sch.gr</t>
  </si>
  <si>
    <t>4ο ΝΗΠΙΑΓΩΓΕΙΟ ΟΡΕΣΤΙΑΔΑΣ</t>
  </si>
  <si>
    <t>mail@4nip-orest.evr.sch.gr</t>
  </si>
  <si>
    <t>ΑΔΡΙΑΝΟΥΠΟΛΕΩΣ 248Α</t>
  </si>
  <si>
    <t>ΕΙΔΙΚΟ ΝΗΠΙΑΓΩΓΕΙΟ ΑΛΕΞΑΝΔΡΟΥΠΟΛΗΣ</t>
  </si>
  <si>
    <t>mail@nip-eid-alexandr.evr.sch.gr</t>
  </si>
  <si>
    <t>1ο  ΧΙΛΙΟΜΕΤΡΟ ΑΛΕΞΑΝΔΡΟΥΠΟΛΗΣ-ΠΑΛΑΓΙΑΣ</t>
  </si>
  <si>
    <t>5ο ΔΗΜΟΤΙΚΟ ΣΧΟΛΕΙΟ ΔΙΔΥΜΟΤΕΙΧΟΥ</t>
  </si>
  <si>
    <t>mail@5dim-didym.evr.sch.gr</t>
  </si>
  <si>
    <t>ΝΗΠΙΑΓΩΓΕΙΟ ΓΟΝΙΚΟΥ</t>
  </si>
  <si>
    <t>mail@nip-gonik.evr.sch.gr</t>
  </si>
  <si>
    <t>ΓΟΝΙΚΟΥ</t>
  </si>
  <si>
    <t>4ο ΝΗΠΙΑΓΩΓΕΙΟ ΣΟΥΦΛΙΟΥ</t>
  </si>
  <si>
    <t>mail@4nip-soufl.evr.sch.gr</t>
  </si>
  <si>
    <t>ΠΛΑΤΕΙΑ ΛΕΦΑΚΗ</t>
  </si>
  <si>
    <t>11ο ΝΗΠΙΑΓΩΓΕΙΟ ΟΡΕΣΤΙΑΔΑΣ</t>
  </si>
  <si>
    <t>mail@11nip-orest.evr.sch.gr</t>
  </si>
  <si>
    <t>Μάρκου Μπότσαρη 1</t>
  </si>
  <si>
    <t>ΝΗΠΙΑΓΩΓΕΙΟ ΠΑΛΑΓΙΑΣ ΑΛΕΞΑΝΔΡΟΥΠΟΛΗ</t>
  </si>
  <si>
    <t>mail@nip-palag.evr.sch.gr</t>
  </si>
  <si>
    <t>ΠΑΛΑΓΙΑΣ</t>
  </si>
  <si>
    <t>7ο ΝΗΠΙΑΓΩΓΕΙΟ ΔΙΔΥΜΟΤΕΙΧΟΥ</t>
  </si>
  <si>
    <t>mail@7nip-didym.evr.sch.gr</t>
  </si>
  <si>
    <t>ΝΗΠΙΑΓΩΓΕΙΟ ΣΙΔΗΡΟΧΩΡΙΟΥ</t>
  </si>
  <si>
    <t>Ολοήμερο Πειραματικό Δημοτικό Σχολείο ενταγμένο στο Πανεπιστήμιο</t>
  </si>
  <si>
    <t>1ο 12/Θ ΠΕΙΡΑΜΑΤΙΚΟ ΔΗΜΟΤΙΚΟ ΣΧΟΛΕΙΟ (ΕΝΤΑΓΜΕΝΟ ΣΤΟ ΠΑΝΕΠΙΣΤΗΜΙΟ) ΑΛΕΞΑΝΔΡΟΥΠΟΛΗΣ</t>
  </si>
  <si>
    <t>mail@dim-peir-alexandr.evr.sch.gr</t>
  </si>
  <si>
    <t>ΓΕΩΡΓΙΟΥ ΖΑΡΙΦΗ 5</t>
  </si>
  <si>
    <t>ΕΙΔΙΚΟ ΔΗΜΟΤΙΚΟ ΣΧΟΛΕΙΟ ΟΡΕΣΤΙΑΔΑΣ</t>
  </si>
  <si>
    <t>mail@1dim-eid-orest.evr.sch.gr</t>
  </si>
  <si>
    <t>ΘΟΥΡΙΟ -Τ.Θ.39</t>
  </si>
  <si>
    <t>ΟΛΟΗΜΕΡΟ ΔΗΜΟΤΙΚΟ ΣΧΟΛΕΙΟ ΛΟΥΤΡΟΥ</t>
  </si>
  <si>
    <t>mail@dim-loutr.evr.sch.gr</t>
  </si>
  <si>
    <t>ΛΟΥΤΡΟΣ</t>
  </si>
  <si>
    <t>13ο ΔΗΜΟΤΙΚΟ ΣΧΟΛΕΙΟ ΑΛΕΞΑΝΔΡΟΥΠΟΛΗΣ</t>
  </si>
  <si>
    <t>ΝΗΠΙΑΓΩΓΕΙΟ ΑΝΘΕΙΑΣ ΑΛΕΞΑΝΔΡΟΥΠΟΛΗΣ</t>
  </si>
  <si>
    <t>mail@nip-antheias.evr.sch.gr</t>
  </si>
  <si>
    <t>23ο ΝΗΠΙΑΓΩΓΕΙΟ ΑΛΕΞΑΝΔΡΟΥΠΟΛΗΣ</t>
  </si>
  <si>
    <t>mail@23nip-alexandr.evr.sch.gr</t>
  </si>
  <si>
    <t>ΠΟΙΜΕΝΙΔΗ 15</t>
  </si>
  <si>
    <t>24ο ΝΗΠΙΑΓΩΓΕΙΟ ΑΛΕΞΑΝΔΡΟΥΠΟΛΗΣ</t>
  </si>
  <si>
    <t>mail@24nip-alexandr.evr.sch.gr</t>
  </si>
  <si>
    <t>ΤΕΡΜΑ ΑΒΑΝΤΟΣ</t>
  </si>
  <si>
    <t>6ο ΝΗΠΙΑΓΩΓΕΙΟ ΔΙΔΥΜΟΤΕΙΧΟΥ</t>
  </si>
  <si>
    <t>mail@6nip-didym.evr.sch.gr</t>
  </si>
  <si>
    <t>ΑΓΙΑΣ ΦΩΤΕΙΝΗΣ 25</t>
  </si>
  <si>
    <t>2ο ΔΗΜΟΤΙΚΟ ΣΧΟΛΕΙΟ ΑΛΕΞΑΝΔΡΟΥΠΟΛΗΣ</t>
  </si>
  <si>
    <t>mail@2dim-alexandr.evr.sch.gr</t>
  </si>
  <si>
    <t>ΚΑΠΟΔΙΣΤΡΙΟΥ 26</t>
  </si>
  <si>
    <t>ΝΗΠΙΑΓΩΓΕΙΟ ΑΥΡΑΣ ΕΒΡΟΥ</t>
  </si>
  <si>
    <t>mail@nip-avras.evr.sch.gr</t>
  </si>
  <si>
    <t>ΑΥΡΑ ΣΑΠΏΝ</t>
  </si>
  <si>
    <t>ΜΕΙΟΝΟΤΙΚΟ ΔΗΜΟΤΙΚΟ ΣΧΟΛΕΙΟ ΠΛΑΚΑΣ</t>
  </si>
  <si>
    <t>ΠΛΑΚΑ</t>
  </si>
  <si>
    <t>ΚΕΝΤΡΟ</t>
  </si>
  <si>
    <t>ΔΙΕΥΘΥΝΣΗ Π.Ε. ΚΑΒΑΛΑΣ</t>
  </si>
  <si>
    <t>19ο ΝΗΠΙΑΓΩΓΕΙΟ ΚΑΒΑΛΑΣ</t>
  </si>
  <si>
    <t>mail@19nip-kaval.kav.sch.gr</t>
  </si>
  <si>
    <t>ΑΛΚΙΝΟΥ 11</t>
  </si>
  <si>
    <t>16ο  ΝΗΠΙΑΓΩΓΕΙΟ ΚΑΒΑΛΑΣ</t>
  </si>
  <si>
    <t>mail@16nip-kaval.kav.sch.gr</t>
  </si>
  <si>
    <t>ΦΙΛΑΔΕΛΦΕΙΑΣ  13</t>
  </si>
  <si>
    <t>1ο  ΝΗΠΙΑΓΩΓΕΙΟ ΑΜΥΓΔΑΛΕΩΝΑ</t>
  </si>
  <si>
    <t>mail@nip-amygd.kav.sch.gr</t>
  </si>
  <si>
    <t>ΑΜΥΓΔΑΛΕΩΝΑ</t>
  </si>
  <si>
    <t>ΑΜΥΓΔΑΛΕΩΝΑΣ</t>
  </si>
  <si>
    <t>10ο ΝΗΠΙΑΓΩΓΕΙΟ ΚΑΒΑΛΑΣ</t>
  </si>
  <si>
    <t>mail@10nip-kaval.kav.sch.gr</t>
  </si>
  <si>
    <t>ΡΩΜΑΝΟΥ 17</t>
  </si>
  <si>
    <t>17ο ΝΗΠΙΑΓΩΓΕΙΟ ΚΑΒΑΛΑΣ</t>
  </si>
  <si>
    <t>mail@17nip-kaval.kav.sch.gr</t>
  </si>
  <si>
    <t>ΔΡΑΜΑΣ 1</t>
  </si>
  <si>
    <t>25ο ΝΗΠΙΑΓΩΓΕΙΟ ΚΑΒΑΛΑΣ</t>
  </si>
  <si>
    <t>mail@25nip-kaval.kav.sch.gr</t>
  </si>
  <si>
    <t>ΥΨΗΛΑΝΤΟΥ 9</t>
  </si>
  <si>
    <t>18ο  ΝΗΠΙΑΓΩΓΕΙΟ ΚΑΒΑΛΑΣ</t>
  </si>
  <si>
    <t>mail@18nip-kaval.kav.sch.gr</t>
  </si>
  <si>
    <t>ΦΡΥΓΙΑΣ  28</t>
  </si>
  <si>
    <t>14ο ΝΗΠΙΑΓΩΓΕΙΟ ΚΑΒΑΛΑΣ</t>
  </si>
  <si>
    <t>mail@14nip-kaval.kav.sch.gr</t>
  </si>
  <si>
    <t>ΗΡΟΔΟΤΟΥ 8</t>
  </si>
  <si>
    <t>13ο  ΝΗΠΙΑΓΩΓΕΙΟ ΚΑΒΑΛΑΣ</t>
  </si>
  <si>
    <t>mail@13nip-kaval.kav.sch.gr</t>
  </si>
  <si>
    <t>ΘΕΣΣΑΛΟΝΙΚΗΣ 61</t>
  </si>
  <si>
    <t>8ο ΝΗΠΙΑΓΩΓΕΙΟ ΚΑΒΑΛΑΣ</t>
  </si>
  <si>
    <t>mail@8nip-kaval.kav.sch.gr</t>
  </si>
  <si>
    <t>Ι ΜΕΞΗ 10</t>
  </si>
  <si>
    <t>11ο ΝΗΠΙΑΓΩΓΕΙΟ ΚΑΒΑΛΑΣ</t>
  </si>
  <si>
    <t>mail@11nip-kaval.kav.sch.gr</t>
  </si>
  <si>
    <t>ΘΕΤΙΔΟΣ 2</t>
  </si>
  <si>
    <t>9ο ΝΗΠΙΑΓΩΓΕΙΟ ΚΑΒΑΛΑΣ</t>
  </si>
  <si>
    <t>mail@9nip-kaval.kav.sch.gr</t>
  </si>
  <si>
    <t>ΑΓΙΟΥ ΤΡΥΦΩΝΟΣ 2</t>
  </si>
  <si>
    <t>7ο ΝΗΠΙΑΓΩΓΕΙΟ ΚΑΒΑΛΑΣ</t>
  </si>
  <si>
    <t>mail@7nip-kaval.kav.sch.gr</t>
  </si>
  <si>
    <t>ΘΕΟΔΩΡΟΥ ΠΟΥΛΙΔΟΥ 71</t>
  </si>
  <si>
    <t>1ο ΝΗΠΙΑΓΩΓΕΙΟ ΝΕΑΣ ΚΑΡΒΑΛΗΣ</t>
  </si>
  <si>
    <t>mail@nip-n-karval.kav.sch.gr</t>
  </si>
  <si>
    <t>Ν. ΚΑΡΒΑΛΗΣ</t>
  </si>
  <si>
    <t>2ο ΝΗΠΙΑΓΩΓΕΙΟ ΝΕΑΣ ΚΑΡΒΑΛΗΣ</t>
  </si>
  <si>
    <t>mail@2nip-n-karval.kav.sch.gr</t>
  </si>
  <si>
    <t>15ο ΝΗΠΙΑΓΩΓΕΙΟ ΚΑΒΑΛΑΣ</t>
  </si>
  <si>
    <t>mail@15nip-kaval.kav.sch.gr</t>
  </si>
  <si>
    <t>ΟΜΟΝΟΙΑΣ 97</t>
  </si>
  <si>
    <t>mail@11dim-kaval.kav.sch.gr</t>
  </si>
  <si>
    <t>ΜΟΣΧΟΠΟΥΛΙΔΟΥ 2</t>
  </si>
  <si>
    <t>ΠΑΛΑΙΟΧΩΡΙΟΥ</t>
  </si>
  <si>
    <t>ΔΗΜΟΤΙΚΟ ΣΧΟΛΕΙΟ ΠΑΛΑΙΟΧΩΡΙΟΥ ΚΑΒΑΛΑΣ</t>
  </si>
  <si>
    <t>mail@dim-palaioch.kav.sch.gr</t>
  </si>
  <si>
    <t>ΠΑΛΑΙΟΧΩΡΙ</t>
  </si>
  <si>
    <t>mail@dim-nikis.kav.sch.gr</t>
  </si>
  <si>
    <t>ΝΙΚΗΣΙΑΝΗ ΔΗΜΟΥ ΠΑΓΓΑΙΟΥ</t>
  </si>
  <si>
    <t>ΞΕΡΙΑ</t>
  </si>
  <si>
    <t>ΝΗΠΙΑΓΩΓΕΙΟ ΝΕΟΥ ΞΕΡΙΑ</t>
  </si>
  <si>
    <t>mail@nip-xeria.kav.sch.gr</t>
  </si>
  <si>
    <t>Ν. ΞΕΡΙΑ</t>
  </si>
  <si>
    <t>Ν. ΞΕΡΙΑΣ</t>
  </si>
  <si>
    <t>ΑΚΡΟΠΟΤΑΜΟΥ</t>
  </si>
  <si>
    <t>ΝΗΠΙΑΓΩΓΕΙΟ ΑΚΡΟΠΟΤΑΜΟΥ ΚΑΒΑΛΑΣ</t>
  </si>
  <si>
    <t>mail@nip-akrop.kav.sch.gr</t>
  </si>
  <si>
    <t>ΑΚΡΟΠΟΤΑΜΟΣ</t>
  </si>
  <si>
    <t>4ο  ΝΗΠΙΑΓΩΓΕΙΟ ΚΑΒΑΛΑΣ</t>
  </si>
  <si>
    <t>mail@4nip-kaval.kav.sch.gr</t>
  </si>
  <si>
    <t>ΦΑΙΔΡΑΣ 3</t>
  </si>
  <si>
    <t>mail@1dim-chrys.kav.sch.gr</t>
  </si>
  <si>
    <t>Κύπρου και Υψηλάντη</t>
  </si>
  <si>
    <t>24ο ΝΗΠΙΑΓΩΓΕΙΟ ΚΑΒΑΛΑΣ</t>
  </si>
  <si>
    <t>mail@24nip-kaval.kav.sch.gr</t>
  </si>
  <si>
    <t>ΑΓΙΑΣ ΣΟΦΙΑΣ 2</t>
  </si>
  <si>
    <t>mail@22dim-kaval.kav.sch.gr</t>
  </si>
  <si>
    <t>ΔΗΜΟΣΘΕΝΟΥΣ 19</t>
  </si>
  <si>
    <t>ΑΜΙΣΙΑΝΩΝ</t>
  </si>
  <si>
    <t>ΝΗΠΙΑΓΩΓΕΙΟ ΑΜΙΣΙΑΝΩΝ</t>
  </si>
  <si>
    <t>mail@nip-amisian.kav.sch.gr</t>
  </si>
  <si>
    <t>ΑΜΙΣΙΑΝΑ</t>
  </si>
  <si>
    <t>ΘΕΟΛΟΓΟΥ</t>
  </si>
  <si>
    <t>ΔΗΜΟΤΙΚΟ ΣΧΟΛΕΙΟ ΘΕΟΛΟΓΟΥ-ΠΟΤΟΥ</t>
  </si>
  <si>
    <t>mail@dim-theol.kav.sch.gr</t>
  </si>
  <si>
    <t>ΘΕΟΛΟΓΟΥ-ΠΟΤΟΥ</t>
  </si>
  <si>
    <t>ΘΕΟΛΟΓΟΣ</t>
  </si>
  <si>
    <t>ΠΙΕΡΕΩΝ</t>
  </si>
  <si>
    <t>ΜΕΛΙΣΣΟΚΟΜΕΙΟΥ</t>
  </si>
  <si>
    <t>ΔΗΜΟΤΙΚΟ ΣΧΟΛΕΙΟ ΜΕΛΙΣΣΟΚΟΜΕΙΟΥ</t>
  </si>
  <si>
    <t>mail@dim-meliss.kav.sch.gr</t>
  </si>
  <si>
    <t>ΜΕΛΙΣΣΟΚΟΜΕΙΟ- ΚΑΒΑΛΑΣ</t>
  </si>
  <si>
    <t>ΜΕΛΙΣΣΟΚΟΜΕΙΟ</t>
  </si>
  <si>
    <t>2ο ΝΗΠΙΑΓΩΓΕΙΟ ΚΡΗΝΙΔΩΝ</t>
  </si>
  <si>
    <t>mail@2nip-krinid.kav.sch.gr</t>
  </si>
  <si>
    <t>28ΗΣ  ΟΚΤΩΒΡΙΟΥ 110</t>
  </si>
  <si>
    <t>12ο ΝΗΠΙΑΓΩΓΕΙΟ ΚΑΒΑΛΑΣ</t>
  </si>
  <si>
    <t>mail@12nip-kaval.kav.sch.gr</t>
  </si>
  <si>
    <t>ΒΕΝΙΖΕΛΟΥ 44</t>
  </si>
  <si>
    <t>ΓΑΛΗΨΟΥ</t>
  </si>
  <si>
    <t>ΝΗΠΙΑΓΩΓΕΙΟ ΓΑΛΗΨΟΥ</t>
  </si>
  <si>
    <t>mail@nip-galips.kav.sch.gr</t>
  </si>
  <si>
    <t>ΓΑΛΗΨΟΣ</t>
  </si>
  <si>
    <t>mail@2dim-krinid.kav.sch.gr</t>
  </si>
  <si>
    <t>Ι.ΜΕΤΑΞΑ  18</t>
  </si>
  <si>
    <t>22ο ΝΗΠΙΑΓΩΓΕΙΟ ΚΑΒΑΛΑΣ</t>
  </si>
  <si>
    <t>mail@22nip-kaval.kav.sch.gr</t>
  </si>
  <si>
    <t>ΔΩΜΑΤΙΩΝ</t>
  </si>
  <si>
    <t>ΝΗΠΙΑΓΩΓΕΙΟ ΔΩΜΑΤΙΩΝ</t>
  </si>
  <si>
    <t>mail@nip-domat.kav.sch.gr</t>
  </si>
  <si>
    <t>ΔΩΜΑΤΙΑ</t>
  </si>
  <si>
    <t>ΝΗΠΙΑΓΩΓΕΙΟ ΚΕΡΑΜΩΤΗΣ</t>
  </si>
  <si>
    <t>mail@nip-keram.kav.sch.gr</t>
  </si>
  <si>
    <t>2ο ΕΙΔΙΚΟ ΝΗΠΙΑΓΩΓΕΙΟ ΚΑΒΑΛΑΣ</t>
  </si>
  <si>
    <t>ΠΕΡΙΓΙΑΛΙ</t>
  </si>
  <si>
    <t>ΖΥΓΟΥ</t>
  </si>
  <si>
    <t>ΝΗΠΙΑΓΩΓΕΙΟ ΖΥΓΟΥ</t>
  </si>
  <si>
    <t>mail@nip-zygou.kav.sch.gr</t>
  </si>
  <si>
    <t>ΖΥΓΟΣ</t>
  </si>
  <si>
    <t>3ο ΝΗΠΙΑΓΩΓΕΙΟ ΧΡΥΣΟΥΠΟΛΗΣ</t>
  </si>
  <si>
    <t>mail@3nip-chrys.kav.sch.gr</t>
  </si>
  <si>
    <t>ΠΡΕΜΕΤΗΣ 1</t>
  </si>
  <si>
    <t>2ο  ΝΗΠΙΑΓΩΓΕΙΟ ΧΡΥΣΟΥΠΟΛΗΣ</t>
  </si>
  <si>
    <t>mail@2nip-chrys.kav.sch.gr</t>
  </si>
  <si>
    <t>Ε ΒΕΝΙΖΕΛΟΥ 113</t>
  </si>
  <si>
    <t>ΠΟΛΥΣΤΥΛΟΥ</t>
  </si>
  <si>
    <t>ΝΗΠΙΑΓΩΓΕΙΟ ΔΑΤΟΥ</t>
  </si>
  <si>
    <t>mail@nip-datou.kav.sch.gr</t>
  </si>
  <si>
    <t>ΠΟΛΥΣΤΥΛΟ</t>
  </si>
  <si>
    <t>ΚΟΚΚΙΝΟΧΩΜΑΤΟΣ</t>
  </si>
  <si>
    <t>ΝΗΠΙΑΓΩΓΕΙΟ ΚΟΚΚΙΝΟΧΩΜΑΤΟΣ</t>
  </si>
  <si>
    <t>mail@nip-kokkin.kav.sch.gr</t>
  </si>
  <si>
    <t>ΚΟΚΚΙΝΟΧΩΜΑ</t>
  </si>
  <si>
    <t>ΕΡΑΤΕΙΝΟΥ</t>
  </si>
  <si>
    <t>ΝΗΠΙΑΓΩΓΕΙΟ ΕΡΑΤΕΙΝΟΥ</t>
  </si>
  <si>
    <t>mail@nip-eratein.kav.sch.gr</t>
  </si>
  <si>
    <t>ΕΡΑΤΕΙΝΟ</t>
  </si>
  <si>
    <t>ΝΗΠΙΑΓΩΓΕΙΟ ΠΟΤΟΥ</t>
  </si>
  <si>
    <t>mail@nip-potou.kav.sch.gr</t>
  </si>
  <si>
    <t>ΠΟΤΟΣ</t>
  </si>
  <si>
    <t>ΝΕΑΣ ΚΑΡΥΑΣ</t>
  </si>
  <si>
    <t>ΝΗΠΙΑΓΩΓΕΙΟ ΝΕΑΣ ΚΑΡΥΑΣ</t>
  </si>
  <si>
    <t>mail@nip-n-karyas.kav.sch.gr</t>
  </si>
  <si>
    <t>ΝΕΑ ΚΑΡΥΑ</t>
  </si>
  <si>
    <t>1ο  ΝΗΠΙΑΓΩΓΕΙΟ ΕΛΕΥΘΕΡΟΥΠΟΛΗΣ</t>
  </si>
  <si>
    <t>mail@1nip-elefth.kav.sch.gr</t>
  </si>
  <si>
    <t>ΔΗΜΟΥ ΔΗΜΑΔΗ 18</t>
  </si>
  <si>
    <t>ΖΑΡΚΑΔΙΑΣ</t>
  </si>
  <si>
    <t>ΝΗΠΙΑΓΩΓΕΙΟ ΖΑΡΚΑΔΙΑΣ</t>
  </si>
  <si>
    <t>mail@nip-zarkad.kav.sch.gr</t>
  </si>
  <si>
    <t>ΖΑΡΚΑΔΙΑ</t>
  </si>
  <si>
    <t>ΠΟΤΑΜΙΑΣ</t>
  </si>
  <si>
    <t>ΝΗΠΙΑΓΩΓΕΙΟ ΠΟΤΑΜΙΑΣ ΘΑΣΟΥ</t>
  </si>
  <si>
    <t>mail@nip-potam.kav.sch.gr</t>
  </si>
  <si>
    <t>ΠΟΤΑΜΙΑ ΘΑΣΟΥ</t>
  </si>
  <si>
    <t>ΔΗΜΟΤΙΚΟ ΣΧΟΛΕΙΟ ΝΕΑΣ ΚΑΡΥΑΣ</t>
  </si>
  <si>
    <t>mail@dim-n-karyas.kav.sch.gr</t>
  </si>
  <si>
    <t>Νέα Καρυά</t>
  </si>
  <si>
    <t>5ο ΝΗΠΙΑΓΩΓΕΙΟ ΚΑΒΑΛΑΣ</t>
  </si>
  <si>
    <t>mail@5nip-kaval.kav.sch.gr</t>
  </si>
  <si>
    <t>ΚΑΡΑΪΣΚΑΚΗ  6</t>
  </si>
  <si>
    <t>ΟΡΕΙΝΟΥ</t>
  </si>
  <si>
    <t>ΛΕΚΑΝΗΣ</t>
  </si>
  <si>
    <t>ΝΗΠΙΑΓΩΓΕΙΟ ΛΕΚΑΝΗΣ</t>
  </si>
  <si>
    <t>mail@nip-lekan.kav.sch.gr</t>
  </si>
  <si>
    <t>ΛΕΚΑΝΗ</t>
  </si>
  <si>
    <t>1ο ΝΗΠΙΑΓΩΓΕΙΟ ΚΡΗΝΙΔΩΝ</t>
  </si>
  <si>
    <t>mail@1nip-krinid.kav.sch.gr</t>
  </si>
  <si>
    <t>ΙΩΑΝΝΗ ΜΕΤΑΞΑ  18</t>
  </si>
  <si>
    <t>ΠΑΝΑΓΙΑΣ</t>
  </si>
  <si>
    <t>ΝΗΠΙΑΓΩΓΕΙΟ ΠΑΝΑΓΙΑΣ ΘΑΣΟΥ</t>
  </si>
  <si>
    <t>mail@nip-panag.kav.sch.gr</t>
  </si>
  <si>
    <t>ΠΑΝΑΓΙΑ</t>
  </si>
  <si>
    <t>ΛΥΔΙΑΣ</t>
  </si>
  <si>
    <t>ΝΗΠΙΑΓΩΓΕΙΟ ΛΥΔΙΑΣ</t>
  </si>
  <si>
    <t>mail@nip-lydias.kav.sch.gr</t>
  </si>
  <si>
    <t>ΛΥΔΙΑ</t>
  </si>
  <si>
    <t>ΝΗΠΙΑΓΩΓΕΙΟ ΝΙΚΗΣΙΑΝΗΣ</t>
  </si>
  <si>
    <t>mail@1nip-pangaiou.kav.sch.gr</t>
  </si>
  <si>
    <t>ΝΗΠΙΑΓΩΓΕΙΟ ΠΑΛΗΟΥ</t>
  </si>
  <si>
    <t>mail@nip-paliou.kav.sch.gr</t>
  </si>
  <si>
    <t>ΠΑΛΑΙΟ ΤΣΙΦΛΙΚΙ</t>
  </si>
  <si>
    <t>Μ. ΑΝΑΓΝΩΣΤΑΚΗ 1</t>
  </si>
  <si>
    <t>ΝΗΠΙΑΓΩΓΕΙΟ ΦΙΛΙΠΠΩΝ</t>
  </si>
  <si>
    <t>mail@nip-filipp.kav.sch.gr</t>
  </si>
  <si>
    <t>ΦΙΛΙΠΠΟΙ</t>
  </si>
  <si>
    <t>mail@16dim-kaval.kav.sch.gr</t>
  </si>
  <si>
    <t>ΦΙΛΑΔΕΛΦΕΙΑΣ 13</t>
  </si>
  <si>
    <t>ΕΛΑΙΟΧΩΡΙΟΥ</t>
  </si>
  <si>
    <t>ΝΗΠΙΑΓΩΓΕΙΟ ΕΛΑΙΟΧΩΡΙΟΥ ΚΑΒΑΛΑΣ</t>
  </si>
  <si>
    <t>mail@nip-elaioch.kav.sch.gr</t>
  </si>
  <si>
    <t>Ελαιοχώριο - ΚΑΒΑΛΑΣ</t>
  </si>
  <si>
    <t>ΕΛΑΙΟΧΩΡΙ</t>
  </si>
  <si>
    <t>ΝΗΠΙΑΓΩΓΕΙΟ ΕΛΕΥΘΕΡΩΝ ΚΑΒΑΛΑΣ</t>
  </si>
  <si>
    <t>mail@nip-elefth.kav.sch.gr</t>
  </si>
  <si>
    <t>ΕΛΕΥΘΕΡΕΣ</t>
  </si>
  <si>
    <t>1ο ΔΗΜΟΤΙΚΟ ΣΧΟΛΕΙΟ ΕΛΕΥΘΕΡΟΥΠΟΛΗΣ</t>
  </si>
  <si>
    <t>mail@1dim-elefth.kav.sch.gr</t>
  </si>
  <si>
    <t>ΑΓΙΟΥ ΝΙΚΟΛΑΟΥ 5</t>
  </si>
  <si>
    <t>1ο ΝΗΠΙΑΓΩΓΕΙΟ ΝΕΑΣ ΠΕΡΑΜΟΥ</t>
  </si>
  <si>
    <t>mail@1nip-n-peram.kav.sch.gr</t>
  </si>
  <si>
    <t>Ν. ΠΕΡΑΜΟΥ</t>
  </si>
  <si>
    <t>ΝΙΚΗΣ 30</t>
  </si>
  <si>
    <t>8ο ΔΗΜΟΤΙΚΟ ΣΧΟΛΕΙΟ ΚΑΒΑΛΑΣ</t>
  </si>
  <si>
    <t>mail@8dim-kaval.kav.sch.gr</t>
  </si>
  <si>
    <t>Ι.  ΜΕΞΗ 10</t>
  </si>
  <si>
    <t>ΚΑΡΙΑΝΗΣ</t>
  </si>
  <si>
    <t>ΝΗΠΙΑΓΩΓΕΙΟ ΚΑΡΙΑΝΗΣ</t>
  </si>
  <si>
    <t>mail@nip-karian.kav.sch.gr</t>
  </si>
  <si>
    <t>ΚΑΡΙΑΝΗ</t>
  </si>
  <si>
    <t>ΜΕΣΟΡΟΠΗΣ</t>
  </si>
  <si>
    <t>ΝΗΠΙΑΓΩΓΕΙΟ ΜΕΣΟΡΟΠΗΣ</t>
  </si>
  <si>
    <t>mail@nip-mesor.kav.sch.gr</t>
  </si>
  <si>
    <t>ΠΑΓΓΑΙΟΥ / ΚΑΒΑΛΑΣ</t>
  </si>
  <si>
    <t>ΜΕΣΟΡΟΠΗ</t>
  </si>
  <si>
    <t>ΝΕΑΣ ΗΡΑΚΛΙΤΣΗΣ</t>
  </si>
  <si>
    <t>ΝΗΠΙΑΓΩΓΕΙΟ ΝΕΑΣ ΗΡΑΚΛΕΙΤΣΑΣ</t>
  </si>
  <si>
    <t>mail@nip-n-irakl.kav.sch.gr</t>
  </si>
  <si>
    <t>ΝΕΑΣ ΗΡΑΚΛΕΙΤΣΑΣ</t>
  </si>
  <si>
    <t>ΝΕΑ ΗΡΑΚΛΕΙΤΣΑ</t>
  </si>
  <si>
    <t>2ο  ΝΗΠΙΑΓΩΓΕΙΟ ΝΕΑΣ ΠΕΡΑΜΟΥ</t>
  </si>
  <si>
    <t>mail@2nip-n-peram.kav.sch.gr</t>
  </si>
  <si>
    <t>ΦΙΛΙΠΠΟΥ 41 -ΝΕΑ ΠΕΡΑΜΟΣ</t>
  </si>
  <si>
    <t>ΡΑΧΩΝΙΟΥ</t>
  </si>
  <si>
    <t>ΝΗΠΙΑΓΩΓΕΙΟ ΡΑΧΩΝΙΟΥ</t>
  </si>
  <si>
    <t>mail@nip-rachon.kav.sch.gr</t>
  </si>
  <si>
    <t>ΡΑΧΩΝΙ</t>
  </si>
  <si>
    <t>2ο ΝΗΠΙΑΓΩΓΕΙΟ ΘΑΣΟΥ</t>
  </si>
  <si>
    <t>mail@2nip-thasou.kav.sch.gr</t>
  </si>
  <si>
    <t>ΘΑΣΟΣ ΘΑΣΟΥ</t>
  </si>
  <si>
    <t>4ο ΝΗΠΙΑΓΩΓΕΙΟ ΧΡΥΣΟΥΠΟΛΗΣ</t>
  </si>
  <si>
    <t>mail@4nip-chrys.kav.sch.gr</t>
  </si>
  <si>
    <t>ΠΟΝΤΙΑΔΟΣ 137</t>
  </si>
  <si>
    <t>mail@12dim-kaval.kav.sch.gr</t>
  </si>
  <si>
    <t xml:space="preserve">ΚΑΒΑΛΑ </t>
  </si>
  <si>
    <t>ΟΡΦΑΝΙΟΥ</t>
  </si>
  <si>
    <t>ΝΗΠΙΑΓΩΓΕΙΟ ΟΡΦΑΝΙΟΥ</t>
  </si>
  <si>
    <t>mail@nip-orfan.kav.sch.gr</t>
  </si>
  <si>
    <t>ΟΡΦΑΝΙ</t>
  </si>
  <si>
    <t>mail@dim-amygd.kav.sch.gr</t>
  </si>
  <si>
    <t>Αμυγδαλεώνας</t>
  </si>
  <si>
    <t>ΑΓΙΟΥ ΓΕΩΡΓΙΟΥ</t>
  </si>
  <si>
    <t>ΟΦΡΥΝΙΟΥ</t>
  </si>
  <si>
    <t>ΝΗΠΙΑΓΩΓΕΙΟ ΟΦΡΥΝΙΟΥ</t>
  </si>
  <si>
    <t>mail@nip-ofryn.kav.sch.gr</t>
  </si>
  <si>
    <t>ΟΦΡΥΝΙΟ</t>
  </si>
  <si>
    <t>ΠΕΤΡΟΠΗΓΗΣ</t>
  </si>
  <si>
    <t>ΝΗΠΙΑΓΩΓΕΙΟ ΠΕΤΡΟΠΗΓΗΣ</t>
  </si>
  <si>
    <t>mail@nip-petrop.kav.sch.gr</t>
  </si>
  <si>
    <t>ΠΕΤΡΟΠΗΓΗ</t>
  </si>
  <si>
    <t>mail@dim-keram.kav.sch.gr</t>
  </si>
  <si>
    <t>Κεραμωτή</t>
  </si>
  <si>
    <t>Κεραμωτή Καβάλας</t>
  </si>
  <si>
    <t>24ο ΔΗΜΟΤΙΚΟ ΣΧΟΛΕΙΟ ΚΑΒΑΛΑΣ</t>
  </si>
  <si>
    <t>mail@24dim-kaval.kav.sch.gr</t>
  </si>
  <si>
    <t>ΕΥΞΕΙΝΟΥ ΠΟΝΤΟΥ 7</t>
  </si>
  <si>
    <t>ΓΕΩΡΓΙΑΝΗΣ</t>
  </si>
  <si>
    <t>ΝΗΠΙΑΓΩΓΕΙΟ ΓΕΩΡΓΙΑΝΗΣ</t>
  </si>
  <si>
    <t>mail@2nip-pangaiou.kav.sch.gr</t>
  </si>
  <si>
    <t>ΓΕΩΡΓΙΑΝΗ</t>
  </si>
  <si>
    <t>ΑΝΤΙΦΙΛΙΠΠΩΝ</t>
  </si>
  <si>
    <t>ΝΗΠΙΑΓΩΓΕΙΟ ΑΝΤΙΦΙΛΙΠΠΩΝ</t>
  </si>
  <si>
    <t>mail@nip-antifil.kav.sch.gr</t>
  </si>
  <si>
    <t>ΑΝΤΙΦΙΛΙΠΠΟΙ</t>
  </si>
  <si>
    <t>1ο ΔΗΜΟΤΙΚΟ ΣΧΟΛΕΙΟ ΚΡΗΝΙΔΩΝ</t>
  </si>
  <si>
    <t>mail@1dim-krinid.kav.sch.gr</t>
  </si>
  <si>
    <t>28ΗΣ ΟΚΤΩΒΡΙΟΥ 68</t>
  </si>
  <si>
    <t>ΠΛΑΤΑΝΟΤΟΠΟΥ</t>
  </si>
  <si>
    <t>ΝΗΠΙΑΓΩΓΕΙΟ ΠΛΑΤΑΝΟΤΟΠΟΥ</t>
  </si>
  <si>
    <t>mail@nip-platan.kav.sch.gr</t>
  </si>
  <si>
    <t>ΠΛΑΤΑΝΟΤΟΠΟΣ</t>
  </si>
  <si>
    <t>ΝΗΠΙΑΓΩΓΕΙΟ ΠΟΔΟΧΩΡΙΟΥ</t>
  </si>
  <si>
    <t>mail@nip-podoch.kav.sch.gr</t>
  </si>
  <si>
    <t>mail@2dim-thasou.kav.sch.gr</t>
  </si>
  <si>
    <t>ΔΗΜΟΤΙΚΟ ΣΧΟΛΕΙΟ ΑΜΙΣΙΑΝΩΝ</t>
  </si>
  <si>
    <t>mail@dim-amisian.kav.sch.gr</t>
  </si>
  <si>
    <t>ΠΕΡΝΗΣ</t>
  </si>
  <si>
    <t>ΝΗΠΙΑΓΩΓΕΙΟ ΠΕΡΝΗΣ</t>
  </si>
  <si>
    <t>mail@nip-pernis.kav.sch.gr</t>
  </si>
  <si>
    <t>ΠΕΡΝΗ</t>
  </si>
  <si>
    <t>ΚΑΛΛΙΡΑΧΗΣ</t>
  </si>
  <si>
    <t>ΝΗΠΙΑΓΩΓΕΙΟ ΚΑΛΛΙΡΑΧΗΣ</t>
  </si>
  <si>
    <t>mail@nip-kallir.kav.sch.gr</t>
  </si>
  <si>
    <t>ΚΑΛΛΙΡΑΧΗ</t>
  </si>
  <si>
    <t>ΣΩΤΗΡΟΣ</t>
  </si>
  <si>
    <t>ΝΗΠΙΑΓΩΓΕΙΟ ΣΚΑΛΑΣ ΣΩΤΗΡΑ</t>
  </si>
  <si>
    <t>mail@nip-sotira.kav.sch.gr</t>
  </si>
  <si>
    <t>ΣΚΑΛΑΣ ΣΩΤΗΡΑ</t>
  </si>
  <si>
    <t>ΣΚΑΛΑ ΣΩΤΗΡΑ</t>
  </si>
  <si>
    <t>ΝΗΠΙΑΓΩΓΕΙΟ ΘΕΟΛΟΓΟΥ</t>
  </si>
  <si>
    <t>mail@nip-theolog.kav.sch.gr</t>
  </si>
  <si>
    <t>5ο  ΝΗΠΙΑΓΩΓΕΙΟ ΧΡΥΣΟΥΠΟΛΗΣ</t>
  </si>
  <si>
    <t>mail@5nip-chrys.kav.sch.gr</t>
  </si>
  <si>
    <t>ΠΑΡ. ΕΓΝΑΤΙΑΣ 43 κ ΜΑΡΚ. ΜΠΟΤΣΑΡΗ</t>
  </si>
  <si>
    <t>10ο ΔΗΜΟΤΙΚΟ ΣΧΟΛΕΙΟ ΚΑΒΑΛΑΣ</t>
  </si>
  <si>
    <t>mail@10dim-kaval.kav.sch.gr</t>
  </si>
  <si>
    <t>ΚΩΝΣΤΑΝΤΙΝΟΥ  ΠΑΛΑΙΟΛΟΓΟΥ 1</t>
  </si>
  <si>
    <t>ΔΗΜΟΤΙΚΟ ΣΧΟΛΕΙΟ ΑΝΤΙΦΙΛΙΠΠΩΝ</t>
  </si>
  <si>
    <t>mail@dim-antif.kav.sch.gr</t>
  </si>
  <si>
    <t>ΑΝΤΙΦΙΛΙΠΠOI</t>
  </si>
  <si>
    <t>mail@dim-elaioch.kav.sch.gr</t>
  </si>
  <si>
    <t>ΔΗΜΟΤΙΚΟ ΣΧΟΛΕΙΟ ΕΛΕΥΘΕΡΩΝ</t>
  </si>
  <si>
    <t>mail@dim-elefth.kav.sch.gr</t>
  </si>
  <si>
    <t>ΔΗΜΟΤΙΚΟ ΣΧΟΛΕΙΟ ΓΕΩΡΓΙΑΝΗΣ</t>
  </si>
  <si>
    <t>mail@2dim-paggaiou.kav.sch.gr</t>
  </si>
  <si>
    <t>Π.ΤΣΟΠΑΝΙΔΗ-ΓΕΩΡΓΙΑΝΗ 9</t>
  </si>
  <si>
    <t>ΔΗΜΟΤΙΚΟ ΣΧΟΛΕΙΟ ΚΟΚΚΙΝΟΧΩΜΑΤΟΣ</t>
  </si>
  <si>
    <t>mail@dim-kokkin.kav.sch.gr</t>
  </si>
  <si>
    <t>ΚΟΚΚΙΝΟΧΩΜΑ ΚΑΒΑΛΑΣ</t>
  </si>
  <si>
    <t>mail@dim-podoch.kav.sch.gr</t>
  </si>
  <si>
    <t>ΔΗΜΟΤΙΚΟ ΣΧΟΛΕΙΟ ΟΦΡΥΝΙΟΥ</t>
  </si>
  <si>
    <t>mail@dim-ofryn.kav.sch.gr</t>
  </si>
  <si>
    <t>ΟΦΡΥΝΙΟ ΜΟΥΣΘΕΝΗΣ</t>
  </si>
  <si>
    <t>4ο ΔΗΜΟΤΙΚΟ ΣΧΟΛΕΙΟ ΚΑΒΑΛΑΣ</t>
  </si>
  <si>
    <t>mail@4dim-kaval.kav.sch.gr</t>
  </si>
  <si>
    <t>1ο  ΝΗΠΙΑΓΩΓΕΙΟ ΘΑΣΟΥ</t>
  </si>
  <si>
    <t>mail@1nip-thasou.kav.sch.gr</t>
  </si>
  <si>
    <t>1ο ΝΗΠΙΑΓΩΓΕΙΟ ΛΙΜΕΝΑΡΙΩΝ</t>
  </si>
  <si>
    <t>mail@1nip-limen.kav.sch.gr</t>
  </si>
  <si>
    <t>mail@2dim-elefth.kav.sch.gr</t>
  </si>
  <si>
    <t>ΕΛΕΥΘΕΡΟΥΠΟΛΗ,</t>
  </si>
  <si>
    <t>ΜΗΤΡΟΠΟΛΕΩΣ 5</t>
  </si>
  <si>
    <t>ΧΡΥΣΟΧΩΡΙΟΥ</t>
  </si>
  <si>
    <t>ΝΗΠΙΑΓΩΓΕΙΟ ΧΡΥΣΟΧΩΡΙΟΥ</t>
  </si>
  <si>
    <t>mail@nip-chrys.kav.sch.gr</t>
  </si>
  <si>
    <t>ΧΡΥΣΟΧΩΡΙ</t>
  </si>
  <si>
    <t>5ο ΔΗΜΟΤΙΚΟ ΣΧΟΛΕΙΟ ΧΡΥΣΟΥΠΟΛΗΣ</t>
  </si>
  <si>
    <t>mail@5dim-chrys.kav.sch.gr</t>
  </si>
  <si>
    <t>ΜΠΟΤΣΑΡΗ-ΕΓΝΑΤΙΑΣ 43</t>
  </si>
  <si>
    <t>ΔΗΜΟΤΙΚΟ ΣΧΟΛΕΙΟ ΦΙΛΙΠΠΩΝ</t>
  </si>
  <si>
    <t>mail@dim-filipp.kav.sch.gr</t>
  </si>
  <si>
    <t>17ο ΔΗΜΟΤΙΚΟ ΣΧΟΛΕΙΟ ΚΑΒΑΛΑΣ</t>
  </si>
  <si>
    <t>mail@17dim-kaval.kav.sch.gr</t>
  </si>
  <si>
    <t>18ο ΔΗΜΟΤΙΚΟ ΣΧΟΛΕΙΟ ΚΑΒΑΛΑΣ</t>
  </si>
  <si>
    <t>mail@18dim-kaval.kav.sch.gr</t>
  </si>
  <si>
    <t>ΜΑΡΤΖΩΚΗ 6</t>
  </si>
  <si>
    <t>mail@dim-n-peram.kav.sch.gr</t>
  </si>
  <si>
    <t>ΝΕΑ  ΠΕΡΑΜΟΣ</t>
  </si>
  <si>
    <t>ΑΓΙΟΥ ΝΙΚΟΛΑΟΥ</t>
  </si>
  <si>
    <t>ΝΗΠΙΑΓΩΓΕΙΟ ΠΡΙΝΟΥ "ΚΑΛΤΣΑ"</t>
  </si>
  <si>
    <t>mail@nip-prinou.kav.sch.gr</t>
  </si>
  <si>
    <t>3ο ΝΗΠΙΑΓΩΓΕΙΟ ΕΛΕΥΘΕΡΟΥΠΟΛΗΣ</t>
  </si>
  <si>
    <t>mail@3nip-elefth.kav.sch.gr</t>
  </si>
  <si>
    <t>ΑΚΡΟΒΟΥΝΙ</t>
  </si>
  <si>
    <t>ΝΗΠΙΑΓΩΓΕΙΟ ΚΑΡΑΒΑΓΓΕΛΗ</t>
  </si>
  <si>
    <t>mail@nip-karav.kav.sch.gr</t>
  </si>
  <si>
    <t>ΚΑΡΑΒΑΓΓΕΛΗ</t>
  </si>
  <si>
    <t>ΚΑΡΑΒΑΓΓΕΛΗΣ</t>
  </si>
  <si>
    <t>ΝΗΠΙΑΓΩΓΕΙΟ ΠΑΛΑΙΟΧΩΡΙΟΥ ΚΑΒΑΛΑΣ</t>
  </si>
  <si>
    <t>mail@nip-palaioch.kav.sch.gr</t>
  </si>
  <si>
    <t>ΠΗΓΩΝ</t>
  </si>
  <si>
    <t>ΝΗΠΙΑΓΩΓΕΙΟ ΠΗΓΩΝ</t>
  </si>
  <si>
    <t>mail@nip-pigon.kav.sch.gr</t>
  </si>
  <si>
    <t>ΠΗΓΕΣ</t>
  </si>
  <si>
    <t>25ο ΔΗΜΟΤΙΚΟ ΣΧΟΛΕΙΟ ΚΑΒΑΛΑΣ</t>
  </si>
  <si>
    <t>mail@25dim-kaval.kav.sch.gr</t>
  </si>
  <si>
    <t>ΥΨΗΛΑΝΤΟΥ 11</t>
  </si>
  <si>
    <t>mail@5dim-kaval.kav.sch.gr</t>
  </si>
  <si>
    <t>ΚΑΡΑΪΣΚΑΚΗ 6</t>
  </si>
  <si>
    <t>19ο  ΔΗΜΟΤΙΚΟ ΣΧΟΛΕΙΟ ΚΑΒΑΛΑΣ</t>
  </si>
  <si>
    <t>mail@19dim-kaval.kav.sch.gr</t>
  </si>
  <si>
    <t>ΑΛΚΙΝΟΟΥ 11</t>
  </si>
  <si>
    <t>ΔΗΜΟΤΙΚΟ ΣΧΟΛΕΙΟ ΠΑΝΑΓΙΑΣ ΘΑΣΟΥ</t>
  </si>
  <si>
    <t>mail@dim-panag.kav.sch.gr</t>
  </si>
  <si>
    <t>ΠΑΝΑΓΙΑ ΘΑΣΟΥ</t>
  </si>
  <si>
    <t>ΔΗΜΟΤΙΚΟ ΣΧΟΛΕΙΟ ΛΕΚΑΝΗΣ</t>
  </si>
  <si>
    <t>mail@dim-lekan.kav.sch.gr</t>
  </si>
  <si>
    <t>ΚΕΧΡΟΚΑΜΠΟΥ</t>
  </si>
  <si>
    <t>ΔΗΜΟΤΙΚΟ ΣΧΟΛΕΙΟ ΚΕΧΡΟΚΑΜΠΟΥ</t>
  </si>
  <si>
    <t>mail@dim-kechr.kav.sch.gr</t>
  </si>
  <si>
    <t>ΚΕΧΡΟΚΑΜΠΟΣ</t>
  </si>
  <si>
    <t>ΧΩΡΙΟ ΚΕΧΡΟΚΑΜΠΟΣ</t>
  </si>
  <si>
    <t>ΑΓΙΑΣΜΑΤΟΣ</t>
  </si>
  <si>
    <t>ΔΗΜΟΤΙΚΟ ΣΧΟΛΕΙΟ ΑΓΙΑΣΜΑΤΟΣ -ΠΗΓΩΝ</t>
  </si>
  <si>
    <t>mail@dim-agiasm.kav.sch.gr</t>
  </si>
  <si>
    <t>Αγίασμα</t>
  </si>
  <si>
    <t>ΑΓΙΑΣΜΑ  NEΣΤΟΥ</t>
  </si>
  <si>
    <t>ΔΗΜΟΤΙΚΟ ΣΧΟΛΕΙΟ ΚΑΛΛΙΡΑΧΗΣ</t>
  </si>
  <si>
    <t>mail@dim-kallir.kav.sch.gr</t>
  </si>
  <si>
    <t>ΓΡΑΒΟΥΝΗΣ</t>
  </si>
  <si>
    <t>ΔΗΜΟΤΙΚΟ ΣΧΟΛΕΙΟ ΓΡΑΒΟΥΝΑΣ-ΓΕΡΟΝΤΑ-ΖΑΡΚΑΔΙΑΣ-ΠΕΡΝΗΣ</t>
  </si>
  <si>
    <t>mail@dim-gravoun.kav.sch.gr</t>
  </si>
  <si>
    <t>ΔΗΜΟΣ ΝΕΣΤΟΥ</t>
  </si>
  <si>
    <t>Γραβούνα</t>
  </si>
  <si>
    <t>ΔΗΜΟΤΙΚΟ ΣΧΟΛΕΙΟ ΧΡΥΣΟΧΩΡΙΟΥ</t>
  </si>
  <si>
    <t>mail@dim-chrys.kav.sch.gr</t>
  </si>
  <si>
    <t>ΧΡΥΣΟΧΩΡΙ-ΝΕΣΤΟΥ-ΚΑΒΑΛΑΣ</t>
  </si>
  <si>
    <t>4ο ΔΗΜΟΤΙΚΟ ΣΧΟΛΕΙΟ ΧΡΥΣΟΥΠΟΛΗΣ</t>
  </si>
  <si>
    <t>mail@4dim-chrys.kav.sch.gr</t>
  </si>
  <si>
    <t>mail@21dim-kaval.kav.sch.gr</t>
  </si>
  <si>
    <t>ΑΓΙΟΣ ΛΟΥΚΑΣ-ΚΑΒΑΛΑ</t>
  </si>
  <si>
    <t>ΧΑΝΙΩΝ 1</t>
  </si>
  <si>
    <t>mail@dim-prinou.kav.sch.gr</t>
  </si>
  <si>
    <t>Πρίνος</t>
  </si>
  <si>
    <t>ΔΗΜΟΤΙΚΟ ΣΧΟΛΕΙΟ ΕΡΑΤΕΙΝΟΥ-ΠΕΤΡΟΠΗΓΗΣ-ΠΟΝΤΟΛΙΒΑΔΟΥ</t>
  </si>
  <si>
    <t>mail@dim-eratein.kav.sch.gr</t>
  </si>
  <si>
    <t>ΔΗΜΟΤΙΚΟ ΣΧΟΛΕΙΟ ΠΟΤΑΜΙΑΣ ΘΑΣΟΥ</t>
  </si>
  <si>
    <t>mail@dim-potam.kav.sch.gr</t>
  </si>
  <si>
    <t>ΠΟΤΑΜΙΑ</t>
  </si>
  <si>
    <t>ΔΗΜΟΤΙΚΟ ΣΧΟΛΕΙΟ ΖΥΓΟΥ</t>
  </si>
  <si>
    <t>mail@dim-zygou.kav.sch.gr</t>
  </si>
  <si>
    <t>20ο  ΝΗΠΙΑΓΩΓΕΙΟ ΚΑΒΑΛΑΣ</t>
  </si>
  <si>
    <t>mail@20nip-kaval.kav.sch.gr</t>
  </si>
  <si>
    <t>7ο ΔΗΜΟΤΙΚΟ ΣΧΟΛΕΙΟ ΚΑΒΑΛΑΣ</t>
  </si>
  <si>
    <t>mail@7dim-kaval.kav.sch.gr</t>
  </si>
  <si>
    <t>Θ ΠΟΥΛΙΔΟΥ 71</t>
  </si>
  <si>
    <t>mail@dim-n-karval.kav.sch.gr</t>
  </si>
  <si>
    <t>mail@dim-limen.kav.sch.gr</t>
  </si>
  <si>
    <t>Λιμενάρια</t>
  </si>
  <si>
    <t>13ο ΔΗΜΟΤΙΚΟ ΣΧΟΛΕΙΟ ΚΑΒΑΛΑΣ</t>
  </si>
  <si>
    <t>mail@13dim-kaval.kav.sch.gr</t>
  </si>
  <si>
    <t>mail@15dim-kaval.kav.sch.gr</t>
  </si>
  <si>
    <t>Ομονοίας 97</t>
  </si>
  <si>
    <t>2ο ΔΗΜΟΤΙΚΟ ΣΧΟΛΕΙΟ ΧΡΥΣΟΥΠΟΛΗΣ</t>
  </si>
  <si>
    <t>mail@2dim-chrys.kav.sch.gr</t>
  </si>
  <si>
    <t>Πρεμετής</t>
  </si>
  <si>
    <t>2ο ΝΗΠΙΑΓΩΓΕΙΟ ΛΙΜΕΝΑΡΙΩΝ</t>
  </si>
  <si>
    <t>mail@2nip-limen.kav.sch.gr</t>
  </si>
  <si>
    <t>14ο  ΔΗΜΟΤΙΚΟ ΣΧΟΛΕΙΟ ΚΑΒΑΛΑΣ</t>
  </si>
  <si>
    <t>mail@14dim-kaval.kav.sch.gr</t>
  </si>
  <si>
    <t>mail@9dim-kaval.kav.sch.gr</t>
  </si>
  <si>
    <t>ΔΗΜΟΤΙΚΟ ΣΧΟΛΕΙΟ ΠΑΛΗΟΥ</t>
  </si>
  <si>
    <t>mail@dim-paliou.kav.sch.gr</t>
  </si>
  <si>
    <t>ΠΑΛΗΟ</t>
  </si>
  <si>
    <t>2ο ΝΗΠΙΑΓΩΓΕΙΟ ΑΜΥΓΔΑΛΕΩΝΑ</t>
  </si>
  <si>
    <t>mail@2nip-amygd.kav.sch.gr</t>
  </si>
  <si>
    <t>2ο  ΔΗΜΟΤΙΚΟ ΣΧΟΛΕΙΟ ΝΕΑΣ ΠΕΡΑΜΟΥ</t>
  </si>
  <si>
    <t>mail@2dim-n-peram.kav.sch.gr</t>
  </si>
  <si>
    <t>ΜΗΤΡΟΠΟΛΙΤΟΥ ΑΜΒΡΟΣΙΟΥ ΚΑΙ  ΛΕΩΦΟΡΟΥ ΝΙΚΗΣ</t>
  </si>
  <si>
    <t>1ο  ΔΗΜΟΤΙΚΟ ΣΧΟΛΕΙΟ ΘΑΣΟΥ</t>
  </si>
  <si>
    <t>mail@1dim-thasou.kav.sch.gr</t>
  </si>
  <si>
    <t>ΠΙΕΡ ΝΤΕ ΒΑΜΠΕΖ, 1</t>
  </si>
  <si>
    <t>3ο ΝΗΠΙΑΓΩΓΕΙΟ ΝΕΑΣ ΠΕΡΑΜΟΥ</t>
  </si>
  <si>
    <t>mail@3nip-n-peram.kav.sch.gr</t>
  </si>
  <si>
    <t>Ν. ΠΕΡΑΜΟΣ</t>
  </si>
  <si>
    <t>ΝΙΚΗΣ ΚΑΙ ΜΗΤΡΟΠΟΛΙΤΟΥ ΑΜΒΡΟΣΙΟΥ</t>
  </si>
  <si>
    <t>mail@3dim-elefth.kav.sch.gr</t>
  </si>
  <si>
    <t>Ελευθερούπολη</t>
  </si>
  <si>
    <t>Λ. ΣΕΡΡΩΝ</t>
  </si>
  <si>
    <t>1ο  ΕΙΔΙΚΟ ΔΗΜΟΤΙΚΟ ΣΧΟΛΕΙΟ ΚΑΒΑΛΑΣ</t>
  </si>
  <si>
    <t>mail@1dim-eid-kaval.kav.sch.gr</t>
  </si>
  <si>
    <t>ΝΕΕΣ ΕΡΓΑΤΙΚΕΣ ΚΑΤΟΙΚΙΕΣ</t>
  </si>
  <si>
    <t>ΝΗΠΙΑΓΩΓΕΙΟ ΠΑΡΑΛΙΑΣ ΟΦΡΥΝΙΟΥ</t>
  </si>
  <si>
    <t>mail@nip-paral-ofryn.kav.sch.gr</t>
  </si>
  <si>
    <t>ΠΑΡΑΛΙΑΣ ΟΦΡΥΝΙΟΥ</t>
  </si>
  <si>
    <t>ΠΑΡΑΛΙΑ ΟΦΡΥΝΙΟΥ</t>
  </si>
  <si>
    <t>2ο  ΝΗΠΙΑΓΩΓΕΙΟ ΚΑΒΑΛΑΣ</t>
  </si>
  <si>
    <t>mail@2nip-kaval.kav.sch.gr</t>
  </si>
  <si>
    <t>ΚΟΛΟΚΟΤΡΩΝΗ 88</t>
  </si>
  <si>
    <t>1ο ΕΙΔΙΚΟ ΝΗΠΙΑΓΩΓΕΙΟ ΚΑΒΑΛΑΣ</t>
  </si>
  <si>
    <t>mail@nip-eid-kaval.kav.sch.gr</t>
  </si>
  <si>
    <t>4ο ΝΗΠΙΑΓΩΓΕΙΟ ΕΛΕΥΘΕΡΟΥΠΟΛΗΣ</t>
  </si>
  <si>
    <t>mail@4nip-elefth.kav.sch.gr</t>
  </si>
  <si>
    <t>ΝΕΟ ΣΥΡΡΑΚΟ</t>
  </si>
  <si>
    <t>2ο ΔΗΜΟΤΙΚΟ ΣΧΟΛΕΙΟ ΚΑΒΑΛΑΣ</t>
  </si>
  <si>
    <t>mail@2dim-kaval.kav.sch.gr</t>
  </si>
  <si>
    <t>ΔΙΕΥΘΥΝΣΗ Π.Ε. ΞΑΝΘΗΣ</t>
  </si>
  <si>
    <t>2ο ΕΙΔΙΚΟ ΔΗΜΟΤΙΚΟ ΣΧΟΛΕΙΟ Ν. ΞΑΝΘΗΣ-ΤΥΜΠΑΝΟ</t>
  </si>
  <si>
    <t>mail@2dim-eid-xanth.xan.sch.gr</t>
  </si>
  <si>
    <t>ΤΥΜΠΑΝΟ</t>
  </si>
  <si>
    <t>ΤΥΜΠΑΝΟ ΞΑΝΘΗΣ</t>
  </si>
  <si>
    <t>11ο  ΔΗΜΟΤΙΚΟ ΣΧΟΛΕΙΟ ΞΑΝΘΗ</t>
  </si>
  <si>
    <t>mail@11dim-xanth.xan.sch.gr</t>
  </si>
  <si>
    <t>1ο ΔΗΜΟΤΙΚΟ ΣΧΟΛΕΙΟ ΞΑΝΘΗΣ</t>
  </si>
  <si>
    <t>mail@1dim-xanth.xan.sch.gr</t>
  </si>
  <si>
    <t>ΜΑΤΣΙΝΗ 1</t>
  </si>
  <si>
    <t>ΩΡΑΙΟΥ</t>
  </si>
  <si>
    <t>ΜΕΙΟΝΟΤΙΚΟ ΔΗΜΟΤΙΚΟ ΣΧΟΛΕΙΟ ΡΕΥΜΑΤΟΣ</t>
  </si>
  <si>
    <t>mail@dim-meion-revmat.xan.sch.gr</t>
  </si>
  <si>
    <t>ΡΕΥΜΑΤΟΣ</t>
  </si>
  <si>
    <t>ΡΕΥΜΑ</t>
  </si>
  <si>
    <t>ΚΟΤΥΛΗΣ</t>
  </si>
  <si>
    <t>ΜΕΙΟΝΟΤΙΚΟ ΔΗΜΟΤΙΚΟ ΣΧΟΛΕΙΟ ΑΙΜΟΝΙΟΥ</t>
  </si>
  <si>
    <t>mail@dim-meion-aimon.xan.sch.gr</t>
  </si>
  <si>
    <t>ΑΙΜΟΝΙΟΥ</t>
  </si>
  <si>
    <t>ΑΙΜΟΝΙΟ</t>
  </si>
  <si>
    <t>ΜΕΙΟΝΟΤΙΚΟ ΔΗΜΟΤΙΚΟ ΣΧΟΛΕΙΟ ΠΡΟΣΗΛΙΟΥ</t>
  </si>
  <si>
    <t>mail@dim-meion-prosil.xan.sch.gr</t>
  </si>
  <si>
    <t>ΠΡΟΣΗΛΙΟΥ</t>
  </si>
  <si>
    <t>ΠΡΟΣΗΛΙΟ</t>
  </si>
  <si>
    <t>2/Θ ΜΕΙΟΝΟΤΙΚΟ ΔΗΜΟΤΙΚΟ ΣΧΟΛΕΙΟ ΖΟΥΜΠΟΥΛΙΟΥ</t>
  </si>
  <si>
    <t>mail@dim-meion-zoump.xan.sch.gr</t>
  </si>
  <si>
    <t>ΖΟΥΜΠΟΥΛΙ</t>
  </si>
  <si>
    <t>ΜΕΙΟΝΟΤΙΚΟ ΔΗΜΟΤΙΚΟ ΣΧΟΛΕΙΟ ΧΡΥΣΟΥ</t>
  </si>
  <si>
    <t>mail@dim-meion-chrysou.xan.sch.gr</t>
  </si>
  <si>
    <t>ΧΡΥΣΟΥ</t>
  </si>
  <si>
    <t>ΧΡΥΣΟ</t>
  </si>
  <si>
    <t>ΣΕΛΕΡΟΥ</t>
  </si>
  <si>
    <t>ΜΕΙΟΝΟΤΙΚΟ ΔΗΜΟΤΙΚΟ ΣΧΟΛΕΙΟ ΦΙΛΙΑ</t>
  </si>
  <si>
    <t>mail@dim-meion-filion.xan.sch.gr</t>
  </si>
  <si>
    <t>ΦΙΛΙΑ</t>
  </si>
  <si>
    <t>ΜΕΙΟΝΟΤΙΚΟ ΔΗΜΟΤΙΚΟ ΣΧΟΛΕΙΟ ΠΑΛΑΙΟΥ ΖΥΓΟΥ</t>
  </si>
  <si>
    <t>mail@dim-meion-p-zygou.xan.sch.gr</t>
  </si>
  <si>
    <t>ΠΑΛΑΙΟΣ ΖΥΓΟΣ</t>
  </si>
  <si>
    <t>ΠΑΛ. ΖΥΓΟΣ</t>
  </si>
  <si>
    <t>mail@dim-meion-echin.xan.sch.gr</t>
  </si>
  <si>
    <t>ΕΧΙΝΟΣ Ν ΞΑΝΘΗΣ</t>
  </si>
  <si>
    <t>mail@dim-genis.xan.sch.gr</t>
  </si>
  <si>
    <t>mail@6dim-xanth.xan.sch.gr</t>
  </si>
  <si>
    <t>ΒΕΛΙΣΣΑΡΙΟΥ 14</t>
  </si>
  <si>
    <t>12ο ΔΗΜΟΤΙΚΟ ΣΧΟΛΕΙΟ ΞΑΝΘΗΣ</t>
  </si>
  <si>
    <t>mail@12dim-xanth.xan.sch.gr</t>
  </si>
  <si>
    <t>ΜΑΡΑΘΩΝΟΣ 2</t>
  </si>
  <si>
    <t>ΜΕΙΟΝΟΤΙΚΟ ΔΗΜΟΤΙΚΟ ΣΧΟΛΕΙΟ ΚΥΚΝΟΥ - ΔΙΘΕΣΙΟ ΜΕΙΟΝΟΤΙΚΟ ΚΥΚΝΟΥ</t>
  </si>
  <si>
    <t>mail@dim-meion-kyknou.xan.sch.gr</t>
  </si>
  <si>
    <t>ΚΥΚΝΟΥ</t>
  </si>
  <si>
    <t>ΚΥΚΝΟΣ ΜΥΚΗΣ</t>
  </si>
  <si>
    <t>mail@dim-n-olviou.xan.sch.gr</t>
  </si>
  <si>
    <t>ΝΕΟ ΟΛΒΙΟ</t>
  </si>
  <si>
    <t>ΜΕΙΟΝΟΤΙΚΟ ΔΗΜΟΤΙΚΟ ΣΧΟΛΕΙΟ ΔΗΜΑΡΙΟΥ</t>
  </si>
  <si>
    <t>mail@dim-meion-dimar.xan.sch.gr</t>
  </si>
  <si>
    <t>ΔΗΜΑΡΙΟ</t>
  </si>
  <si>
    <t>ΜΑΓΓΑΝΩΝ</t>
  </si>
  <si>
    <t>ΝΗΠΙΑΓΩΓΕΙΟ ΜΑΓΓΑΝΑ</t>
  </si>
  <si>
    <t>mail@nip-mangan.xan.sch.gr</t>
  </si>
  <si>
    <t>ΜΑΓΓΑΝΑ</t>
  </si>
  <si>
    <t>ΜΕΙΟΝΟΤΙΚΟ ΔΗΜΟΤΙΚΟ ΣΧΟΛΕΙΟ ΚΟΤΥΛΗΣ</t>
  </si>
  <si>
    <t>mail@dim-meion-kotyl.xan.sch.gr</t>
  </si>
  <si>
    <t>ΚΟΤΥΛΗ ΞΑΝΘΗΣ</t>
  </si>
  <si>
    <t>ΚΟΤΥΛΗ</t>
  </si>
  <si>
    <t>6ο ΝΗΠΙΑΓΩΓΕΙΟ ΞΑΝΘΗΣ</t>
  </si>
  <si>
    <t>mail@6nip-xanth.xan.sch.gr</t>
  </si>
  <si>
    <t>ΚΛΕΜΑΝΣΩ 50</t>
  </si>
  <si>
    <t>mail@4dim-xanth.xan.sch.gr</t>
  </si>
  <si>
    <t>ΠΕΡΙΚΛΕΟΥΣ 1</t>
  </si>
  <si>
    <t>ΜΕΙΟΝΟΤΙΚΟ ΔΗΜΟΤΙΚΟ ΣΧΟΛΕΙΟ ΑΛΜΑΤΟΣ</t>
  </si>
  <si>
    <t>mail@dim-meion-almat.xan.sch.gr</t>
  </si>
  <si>
    <t>ΑΛΜΑ</t>
  </si>
  <si>
    <t>2/ΘΕΣΙΟ ΜΕΙΟΝΟΤΙΚΟ ΔΗΜΟΤΙΚΟ ΣΧΟΛΕΙΟ ΖΗΛΩΤΗΣ</t>
  </si>
  <si>
    <t>mail@dim-meion-zilot.xan.sch.gr</t>
  </si>
  <si>
    <t>ΖΗΛΩΤΗΣ</t>
  </si>
  <si>
    <t>ΖΗΛΩΤΗ</t>
  </si>
  <si>
    <t>ΝΗΠΙΑΓΩΓΕΙΟ ΚΕΝΤΗΤΗ</t>
  </si>
  <si>
    <t>mail@nip-kentit.xan.sch.gr</t>
  </si>
  <si>
    <t>ΚΕΝΤΗΤΗ</t>
  </si>
  <si>
    <t>12ο ΝΗΠΙΑΓΩΓΕΙΟ ΞΑΝΘΗ</t>
  </si>
  <si>
    <t>mail@12nip-xanth.xan.sch.gr</t>
  </si>
  <si>
    <t>ΒΕΝΙΖΕΛΟΥ 14</t>
  </si>
  <si>
    <t>ΘΕΡΜΩΝ</t>
  </si>
  <si>
    <t>ΝΗΠΙΑΓΩΓΕΙΟ ΑΝΩ ΘΕΡΜΕΣ</t>
  </si>
  <si>
    <t>mail@nip-an-therm.xan.sch.gr</t>
  </si>
  <si>
    <t>ΑΝΩ ΘΕΡΜΕΣ</t>
  </si>
  <si>
    <t>ΝΗΠΙΑΓΩΓΕΙΟ ΑΥΞΕΝΤΙΟΥ</t>
  </si>
  <si>
    <t>mail@nip-afxent.xan.sch.gr</t>
  </si>
  <si>
    <t>ΑΥΞΕΝΤΙΟ</t>
  </si>
  <si>
    <t>2/Θ ΜΕΙΟΝΟΤΙΚΟ ΔΗΜΟΤΙΚΟ ΣΧΟΛΕΙΟ ΕΥΛΑΛΟΥ</t>
  </si>
  <si>
    <t>mail@dim-meion-evlad.xan.sch.gr</t>
  </si>
  <si>
    <t>ΝΗΠΙΑΓΩΓΕΙΟ ΣΗΜΑΝΤΡΩΝ</t>
  </si>
  <si>
    <t>mail@nip-simantr.xan.sch.gr</t>
  </si>
  <si>
    <t>ΣΗΜΑΝΤΡΩΝ</t>
  </si>
  <si>
    <t>ΣΗΜΑΝΤΡΑ</t>
  </si>
  <si>
    <t>ΜΕΙΟΝΟΤΙΚΟ ΔΗΜΟΤΙΚΟ ΣΧΟΛΕΙΟ ΑΚΑΡΠΟ - ΔΙΘΕΣΙΟ ΜΕΙΟΝΟΤΙΚΟ ΔΗΜΟΤΙΚΟ ΣΧΟΛΕΙΟ ΑΚΑΡΠΟΥ</t>
  </si>
  <si>
    <t>mail@dim-meion-akarp.xan.sch.gr</t>
  </si>
  <si>
    <t>ΑΚΑΡΠΟ</t>
  </si>
  <si>
    <t>ΜΕΙΟΝΟΤΙΚΟ ΔΗΜΟΤΙΚΟ ΣΧΟΛΕΙΟ ΜΑΝΤΑΙΝΑΣ</t>
  </si>
  <si>
    <t>mail@dim-meion-mantain.xan.sch.gr</t>
  </si>
  <si>
    <t>ΜΑΝΤΑΙΝΑ</t>
  </si>
  <si>
    <t>ΜΕΙΟΝΟΤΙΚΟ ΔΗΜΟΤΙΚΟ ΣΧΟΛΕΙΟ ΘΕΟΤΟΚΟΥ</t>
  </si>
  <si>
    <t>mail@dim-meion-theot.xan.sch.gr</t>
  </si>
  <si>
    <t>ΘΕΟΤΟΚΟΥ</t>
  </si>
  <si>
    <t>ΘΕΟΤΟΚΟΣ</t>
  </si>
  <si>
    <t>ΝΗΠΙΑΓΩΓΕΙΟ ΛΕΥΚΟΠΕΤΡΑ</t>
  </si>
  <si>
    <t>mail@nip-lefkop.xan.sch.gr</t>
  </si>
  <si>
    <t>ΛΕΥΚΟΠΕΤΡΑ</t>
  </si>
  <si>
    <t>ΜΕΙΟΝΟΤΙΚΟ ΔΗΜΟΤΙΚΟ ΣΧΟΛΕΙΟ ΒΑΦΕΪΚΩΝ</t>
  </si>
  <si>
    <t>mail@dim-meion-vafaiik.xan.sch.gr</t>
  </si>
  <si>
    <t>ΒΑΦΕΙΚΑ</t>
  </si>
  <si>
    <t>ΒΑΦΕΪΚΑ</t>
  </si>
  <si>
    <t>ΓΕΡΑΚΑ</t>
  </si>
  <si>
    <t>ΜΕΙΟΝΟΤΙΚΟ ΔΗΜΟΤΙΚΟ ΣΧΟΛΕΙΟ ΜΕΓ. ΕΥΜΟΙΡΟΥ</t>
  </si>
  <si>
    <t>mail@dim-meion-meg-evmoir.xan.sch.gr</t>
  </si>
  <si>
    <t>ΜΕΓ. ΕΥΜΟΙΡΟΥ</t>
  </si>
  <si>
    <t>ΜΕΓ.ΕΥΜΟΙΡΟ</t>
  </si>
  <si>
    <t>ΜΕΙΟΝΟΤΙΚΟ ΔΗΜΟΤΙΚΟ ΣΧΟΛΕΙΟ ΚΟΤΙΝΟΥ</t>
  </si>
  <si>
    <t>mail@dim-meion-kotin.xan.sch.gr</t>
  </si>
  <si>
    <t>ΚΟΤΙΝΟΥ</t>
  </si>
  <si>
    <t>--</t>
  </si>
  <si>
    <t>ΜΕΙΟΝΟΤΙΚΟ ΔΗΜΟΤΙΚΟ ΣΧΟΛΕΙΟ ΙΣΑΙΑΣ</t>
  </si>
  <si>
    <t>mail@dim-meion-isaias.xan.sch.gr</t>
  </si>
  <si>
    <t>ΙΣΑΙΑΣ</t>
  </si>
  <si>
    <t>ΙΣΑΙΑ</t>
  </si>
  <si>
    <t>2ο ΜΕΙΟΝΟΤΙΚΟ ΔΗΜΟΤΙΚΟ ΣΧΟΛΕΙΟ ΞΑΝΘΗΣ</t>
  </si>
  <si>
    <t>mail@2dim-meion-xanth.xan.sch.gr</t>
  </si>
  <si>
    <t>ΛΕΩΦΟΡΟΣ  ΣΤΡΑΤΟΥ 8</t>
  </si>
  <si>
    <t>ΜΕΙΟΝΟΤΙΚΟ ΔΗΜΟΤΙΚΟ ΣΧΟΛΕΙΟ ΚΙΡΡΑΣ</t>
  </si>
  <si>
    <t>mail@dim-meion-kirras.xan.sch.gr</t>
  </si>
  <si>
    <t>ΚΙΡΡΑ</t>
  </si>
  <si>
    <t>ΚΙΡΡΑ ΞΑΝΘΗΣ</t>
  </si>
  <si>
    <t>ΜΕΙΟΝΟΤΙΚΟ ΔΗΜΟΤΙΚΟ ΣΧΟΛΕΙΟ ΠΑΛΑΙΟΥ ΚΑΤΡΑΜΙΟΥ</t>
  </si>
  <si>
    <t>mail@dim-meion-p-katram.xan.sch.gr</t>
  </si>
  <si>
    <t>ΠΑΛΑΙΟ ΚΑΤΡΑΜΙΟ</t>
  </si>
  <si>
    <t>ΠΑΛ.ΚΑΤΡΑΜΙΟ</t>
  </si>
  <si>
    <t>ΜΕΙΟΝΟΤΙΚΟ ΔΗΜΟΤΙΚΟ ΣΧΟΛΕΙΟ ΜΙΚΡΟΧΩΡΙΟΥ</t>
  </si>
  <si>
    <t>mail@dim-meion-mikroch.xan.sch.gr</t>
  </si>
  <si>
    <t>2/Θ ΝΗΠΙΑΓΩΓΕΙΟ ΤΟΞΟΤΩΝ</t>
  </si>
  <si>
    <t>mail@nip-toxot.xan.sch.gr</t>
  </si>
  <si>
    <t>ΑΒΑΤΟΥ</t>
  </si>
  <si>
    <t>ΟΛΟΗΜΕΡΟ ΜΕΙΟΝΟΤΙΚΟ ΔΗΜΟΤΙΚΟ ΣΧΟΛΕΙΟ ΒΑΝΙΑΝΟΥ</t>
  </si>
  <si>
    <t>mail@dim-meion-vanian.xan.sch.gr</t>
  </si>
  <si>
    <t>ΒΑΝΙΑΝΟΥ</t>
  </si>
  <si>
    <t>ΒΑΝΙΑΝΟ</t>
  </si>
  <si>
    <t>ΝΗΠΙΑΓΩΓΕΙΟ ΒΑΦΕΪΚΩΝ</t>
  </si>
  <si>
    <t>mail@nip-vafaik.xan.sch.gr</t>
  </si>
  <si>
    <t>ΜΕΙΟΝΟΤΙΚΟ ΔΗΜΟΤΙΚΟ ΣΧΟΛΕΙΟ ΠΑΧΝΗΣ</t>
  </si>
  <si>
    <t>mail@dim-pachn.xan.sch.gr</t>
  </si>
  <si>
    <t>ΠΑΧΝΗΣ</t>
  </si>
  <si>
    <t>ΠΑΧΝΗ</t>
  </si>
  <si>
    <t>ΝΗΠΙΑΓΩΓΕΙΟ ΑΛΜΑΤΟΣ</t>
  </si>
  <si>
    <t>mail@nip-almat.xan.sch.gr</t>
  </si>
  <si>
    <t>ΜΑΓΙΚΟΥ</t>
  </si>
  <si>
    <t>2/ΘΕΣΙΟ ΝΗΠΙΑΓΩΓΕΙΟ ΜΑΓΙΚΟΥ</t>
  </si>
  <si>
    <t>mail@nip-magik.xan.sch.gr</t>
  </si>
  <si>
    <t>ΜΑΓΙΚΟ</t>
  </si>
  <si>
    <t>ΚΙΜΜΕΡΙΩΝ</t>
  </si>
  <si>
    <t>ΔΗΜΟΤΙΚΟ ΣΧΟΛΕΙΟ ΚΙΜΜΕΡΙΩΝ</t>
  </si>
  <si>
    <t>mail@dim-kimmer.xan.sch.gr</t>
  </si>
  <si>
    <t>ΚΙΜΜΕΡΙΑ</t>
  </si>
  <si>
    <t>2ο ΝΗΠΙΑΓΩΓΕΙΟ ΞΑΝΘΗΣ</t>
  </si>
  <si>
    <t>mail@2nip-xanth.xan.sch.gr</t>
  </si>
  <si>
    <t>ΤΖΑΒΕΛΑ 6</t>
  </si>
  <si>
    <t>4ο  ΝΗΠΙΑΓΩΓΕΙΟ ΞΑΝΘΗΣ</t>
  </si>
  <si>
    <t>mail@4nip-xanth.xan.sch.gr</t>
  </si>
  <si>
    <t>1ο ΝΗΠΙΑΓΩΓΕΙΟ ΚΙΜΜΕΡΙΩΝ</t>
  </si>
  <si>
    <t>mail@nip-kimmer.xan.sch.gr</t>
  </si>
  <si>
    <t>ΝΗΠΙΑΓΩΓΕΙΟ ΝΕΟΥ ΖΥΓΟΥ</t>
  </si>
  <si>
    <t>mail@nip-n-zygou.xan.sch.gr</t>
  </si>
  <si>
    <t>ΝΕΟΣ ΖΥΓΟΣ</t>
  </si>
  <si>
    <t>3ο ΝΗΠΙΑΓΩΓΕΙΟ ΞΑΝΘΗΣ</t>
  </si>
  <si>
    <t>mail@3nip-xanth.xan.sch.gr</t>
  </si>
  <si>
    <t>ΑΒΔΗΡΩΝ 31</t>
  </si>
  <si>
    <t>15ο  ΝΗΠΙΑΓΩΓΕΙΟ ΞΑΝΘΗ</t>
  </si>
  <si>
    <t>mail@15nip-xanth.xan.sch.gr</t>
  </si>
  <si>
    <t>ΔΡΟΣΕΡΟ</t>
  </si>
  <si>
    <t>ΝΗΠΙΑΓΩΓΕΙΟ ΜΥΚΗΣ</t>
  </si>
  <si>
    <t>mail@nip-mykis.xan.sch.gr</t>
  </si>
  <si>
    <t>ΜΥΚΗ</t>
  </si>
  <si>
    <t>ΝΗΠΙΑΓΩΓΕΙΟ ΔΕΚΑΡΧΟ</t>
  </si>
  <si>
    <t>mail@nip-dekarch.xan.sch.gr</t>
  </si>
  <si>
    <t>ΔΕΚΑΡΧΟ</t>
  </si>
  <si>
    <t>17ο ΝΗΠΙΑΓΩΓΕΙΟ ΞΑΝΘΗΣ</t>
  </si>
  <si>
    <t>mail@17nip-xanth.xan.sch.gr</t>
  </si>
  <si>
    <t>ΙΕΡΟΛΟΧΙΤΩΝ 2</t>
  </si>
  <si>
    <t>mail@dim-polys.xan.sch.gr</t>
  </si>
  <si>
    <t>Πολύσιτος</t>
  </si>
  <si>
    <t>ΠΟΛΥΣΙΤΟΣ</t>
  </si>
  <si>
    <t>mail@dim-toxot.xan.sch.gr</t>
  </si>
  <si>
    <t xml:space="preserve">ΤΟΞΟΤΕΣ  </t>
  </si>
  <si>
    <t>ΤΟΞΟΤΕΣ  ΞΑΝΘΗΣ</t>
  </si>
  <si>
    <t>ΜΕΙΟΝΟΤΙΚΟ ΔΗΜΟΤΙΚΟ ΣΧΟΛΕΙΟ ΚΑΤΩ ΘΕΡΜΏΝ</t>
  </si>
  <si>
    <t>mail@dim-kat-therm.xan.sch.gr</t>
  </si>
  <si>
    <t>ΚΑΤΩ ΘΕΡΜΏΝ</t>
  </si>
  <si>
    <t>ΜΕΙΟΝΟΤΙΚΟ ΔΗΜΟΤΙΚΟ ΣΧΟΛΕΙΟ ΜΙΚΡ.ΤΥΜΠΑΝΟΥ</t>
  </si>
  <si>
    <t>mail@dim-meion-mikr-tympan.xan.sch.gr</t>
  </si>
  <si>
    <t>ΜΙΚΡ.ΤΥΜΠΑΝΟΥ</t>
  </si>
  <si>
    <t>ΜΙΚΡΟ ΤΥΜΠΑΝΟ</t>
  </si>
  <si>
    <t>ΜΕΙΟΝΟΤΙΚΟ ΔΗΜΟΤΙΚΟ ΣΧΟΛΕΙΟ ΓΡΗΓΟΡΟ - ΜΕΙΟΝΟΤΙΚΟ ΔΗΜΟΤΙΚΟ ΣΧΟΛΕΙΟ ΓΡΗΓΟΡΟΥ</t>
  </si>
  <si>
    <t>mail@dim-meion-grigor.xan.sch.gr</t>
  </si>
  <si>
    <t>ΓΡΗΓΟΡΟ</t>
  </si>
  <si>
    <t>ΜΕΙΟΝΟΤΙΚΟ ΔΗΜΟΤΙΚΟ ΣΧΟΛΕΙΟ ΜΕΛΙΒΟΙΩΝ</t>
  </si>
  <si>
    <t>mail@dim-meion-meliv.xan.sch.gr</t>
  </si>
  <si>
    <t>ΜΕΛΙΒΟΙΑ</t>
  </si>
  <si>
    <t>ΜΕΙΟΝΟΤΙΚΟ ΔΗΜΟΤΙΚΟ ΣΧΟΛΕΙΟ ΦΕΛΩΝΗΣ</t>
  </si>
  <si>
    <t>mail@dim-meion-felon.xan.sch.gr</t>
  </si>
  <si>
    <t>ΦΕΛΩΝΗ</t>
  </si>
  <si>
    <t>ΜΕΙΟΝΟΤΙΚΟ ΔΗΜΟΤΙΚΟ ΣΧΟΛΕΙΟ ΛΕΥΚΟΠΕΤΡΑΣ</t>
  </si>
  <si>
    <t>mail@dim-meion-lefkop.xan.sch.gr</t>
  </si>
  <si>
    <t>ΝΗΠΙΑΓΩΓΕΙΟ ΠΑΧΝΗΣ</t>
  </si>
  <si>
    <t>mail@nip-pachn.xan.sch.gr</t>
  </si>
  <si>
    <t>2ο ΜΕΙΟΝΟΤΙΚΟ ΔΗΜΟΤΙΚΟ ΣΧΟΛΕΙΟ ΚΙΜΜΕΡΙΩΝ</t>
  </si>
  <si>
    <t>mail@2dim-meion-kimmer.xan.sch.gr</t>
  </si>
  <si>
    <t>8ο ΝΗΠΙΑΓΩΓΕΙΟ ΞΑΝΘΗΣ</t>
  </si>
  <si>
    <t>mail@8nip-xanth.xan.sch.gr</t>
  </si>
  <si>
    <t>ΚΥΡΠΟΓΛΟΥ 15</t>
  </si>
  <si>
    <t>7ο ΝΗΠΙΑΓΩΓΕΙΟ ΞΑΝΘΗΣ</t>
  </si>
  <si>
    <t>mail@7nip-xanth.xan.sch.gr</t>
  </si>
  <si>
    <t>ΠΛΑΤΕΙΑ ΖΑΛΑΧΑ</t>
  </si>
  <si>
    <t>5ο  ΝΗΠΙΑΓΩΓΕΙΟ ΞΑΝΘΗΣ</t>
  </si>
  <si>
    <t>mail@5nip-xanth.xan.sch.gr</t>
  </si>
  <si>
    <t>ΠΛΑΤΕΙΑ ΔΗΜΟΓΕΡΟΝΤΙΑΣ-Ν.ΕΡΓΑΤΙΚΕΣ ΚΑΤΟΙΚΙΕΣ</t>
  </si>
  <si>
    <t>ΝΗΠΙΑΓΩΓΕΙΟ ΜΑΝΤΑΙΝΑΣ</t>
  </si>
  <si>
    <t>evisa9@yahoo.com</t>
  </si>
  <si>
    <t>Ξάνθη</t>
  </si>
  <si>
    <t>1ο ΝΗΠΙΑΓΩΓΕΙΟ ΚΕΝΤΑΥΡΟΥ</t>
  </si>
  <si>
    <t>mail@nip-kentavr.xan.sch.gr</t>
  </si>
  <si>
    <t>ΚΕΝΤΑΥΡΟΣ</t>
  </si>
  <si>
    <t>2/θ  ΜΕΙΟΝΟΤΙΚΟ ΔΗΜΟΤΙΚΟ ΣΧΟΛΕΙΟ ΒΕΛΟΧΩΡΙΟΥ</t>
  </si>
  <si>
    <t>mail@dim-meion-veloch.xan.sch.gr</t>
  </si>
  <si>
    <t>ΒΕΛΟΧΩΡΙ</t>
  </si>
  <si>
    <t>ΜΕΙΟΝΟΤΙΚΟ ΔΗΜΟΤΙΚΟ ΣΧΟΛΕΙΟ ΔΕΚΑΡΧΟΥ</t>
  </si>
  <si>
    <t>mail@dim-meion-dekarch.xan.sch.gr</t>
  </si>
  <si>
    <t>ΝΗΠΙΑΓΩΓΕΙΟ ΜΕΓΑΛΟ ΟΡΦΑΝΟ</t>
  </si>
  <si>
    <t>mail@nip-meg-orfan.xan.sch.gr</t>
  </si>
  <si>
    <t>ΜΕΓΑΛΟ ΟΡΦΑΝΟ</t>
  </si>
  <si>
    <t>ΜΕΙΟΝΟΤΙΚΟ ΔΗΜΟΤΙΚΟ ΣΧΟΛΕΙΟ ΤΡΙΓΏΝΟΥ</t>
  </si>
  <si>
    <t>mail@dim-meion-trigon.xan.sch.gr</t>
  </si>
  <si>
    <t>ΤΡΙΓΏΝΟ</t>
  </si>
  <si>
    <t>ΤΡΙΓΩΝΟ</t>
  </si>
  <si>
    <t>ΝΗΠΙΑΓΩΓΕΙΟ ΑΒΑΤΟΥ</t>
  </si>
  <si>
    <t>mail@nip-avatou.xan.sch.gr</t>
  </si>
  <si>
    <t>ΑΒΑΤΟ</t>
  </si>
  <si>
    <t>ΜΕΙΟΝΟΤΙΚΟ ΔΗΜΟΤΙΚΟ ΣΧΟΛΕΙΟ ΓΟΡΓΟΝΑΣ</t>
  </si>
  <si>
    <t>mail@dim-meion-gorgon.xan.sch.gr</t>
  </si>
  <si>
    <t>ΓΟΡΓΟΝΑ</t>
  </si>
  <si>
    <t>ΣΟΥΝΙΟΥ</t>
  </si>
  <si>
    <t>ΜΕΙΟΝΟΤΙΚΟ ΔΗΜΟΤΙΚΟ ΣΧΟΛΕΙΟ ΣΟΥΝΙΟΥ</t>
  </si>
  <si>
    <t>mail@dim-meion-souniou.xan.sch.gr</t>
  </si>
  <si>
    <t>ΣΟΥΝΙΟ</t>
  </si>
  <si>
    <t>13ο ΝΗΠΙΑΓΩΓΕΙΟ ΞΑΝΘΗΣ</t>
  </si>
  <si>
    <t>mail@13nip-xanth.xan.sch.gr</t>
  </si>
  <si>
    <t>Νεάπολη</t>
  </si>
  <si>
    <t>ΜΕΙΟΝΟΤΙΚΟ ΔΗΜΟΤΙΚΟ ΣΧΟΛΕΙΟ ΣΙΡΟΚΟΥ</t>
  </si>
  <si>
    <t>mail@dim-meion-sirok.xan.sch.gr</t>
  </si>
  <si>
    <t>ΣΙΡΟΚΟΥ</t>
  </si>
  <si>
    <t>ΕΞΟΧΗΣ</t>
  </si>
  <si>
    <t>ΝΗΠΙΑΓΩΓΕΙΟ ΕΞΟΧΗ</t>
  </si>
  <si>
    <t>mail@nip-exoch.xan.sch.gr</t>
  </si>
  <si>
    <t>ΕΞΟΧΗ</t>
  </si>
  <si>
    <t>ΣΑΤΡΩΝ</t>
  </si>
  <si>
    <t>ΝΗΠΙΑΓΩΓΕΙΟ ΤΕΜΕΝΟΣ</t>
  </si>
  <si>
    <t>mail@nip-temen.xan.sch.gr</t>
  </si>
  <si>
    <t>ΤΕΜΕΝΟΣ</t>
  </si>
  <si>
    <t>ΝΗΠΙΑΓΩΓΕΙΟ ΣΟΥΝΙΟΥ</t>
  </si>
  <si>
    <t>mail@nip-souniou.xan.sch.gr</t>
  </si>
  <si>
    <t>9ο  ΝΗΠΙΑΓΩΓΕΙΟ ΞΑΝΘΗΣ</t>
  </si>
  <si>
    <t>mail@9nip-xanth.xan.sch.gr</t>
  </si>
  <si>
    <t>ΑΘΗΝΩΝ 1</t>
  </si>
  <si>
    <t>mail@dim-meion-sminth.xan.sch.gr</t>
  </si>
  <si>
    <t>ΜΕΙΟΝΟΤΙΚΟ ΔΗΜΟΤΙΚΟ ΣΧΟΛΕΙΟ ΧΡΥΣΑΣ</t>
  </si>
  <si>
    <t>mail@dim-meion-chrys.xan.sch.gr</t>
  </si>
  <si>
    <t>ΧΡΥΣΑ</t>
  </si>
  <si>
    <t>ΚΙΚΟΝΩΝ ΚΑΙ ΣΑΠΑΙΩΝ 41</t>
  </si>
  <si>
    <t>17ο ΔΗΜΟΤΙΚΟ ΣΧΟΛΕΙΟ ΞΑΝΘΗΣ</t>
  </si>
  <si>
    <t>mail@17dim-xanth.xan.sch.gr</t>
  </si>
  <si>
    <t>ΙΕΡΟΛΟΧΙΤΩΝ 4  ΚΑΛΛΙΘΕΑ</t>
  </si>
  <si>
    <t>mail@15dim-xanth.xan.sch.gr</t>
  </si>
  <si>
    <t xml:space="preserve">ΞΑΝΘΗ  </t>
  </si>
  <si>
    <t>ΔΗΜΟΤΙΚΟ ΣΧΟΛΕΙΟ ΕΥΛΑΛΟΥ</t>
  </si>
  <si>
    <t>mail@dim-evlal.xan.sch.gr</t>
  </si>
  <si>
    <t>ΝΗΠΙΑΓΩΓΕΙΟ ΑΒΔΗΡΑ</t>
  </si>
  <si>
    <t>mail@nip-avdir.xan.sch.gr</t>
  </si>
  <si>
    <t>18dimxan@sch.gr</t>
  </si>
  <si>
    <t>ΗΛΙΟΥΠΟΛΕΩΣ 9</t>
  </si>
  <si>
    <t>ΜΕΙΟΝΟΤΙΚΟ ΔΗΜΟΤΙΚΟ ΣΧΟΛΕΙΟ ΠΟΤΑΜΟΧΩΡΙΟΥ</t>
  </si>
  <si>
    <t>mail@dim-potam.xan.sch.gr</t>
  </si>
  <si>
    <t>ΠΟΤΑΜΟΧΩΡΙΟΥ</t>
  </si>
  <si>
    <t>ΠΟΤΑΜΟΧΩΡΙ</t>
  </si>
  <si>
    <t>ΔΗΜΟΤΙΚΟ ΣΧΟΛΕΙΟ ΠΕΤΕΙΝΟΥ</t>
  </si>
  <si>
    <t>dimpetin@sch.gr</t>
  </si>
  <si>
    <t>ΠΕΤΕΙΝΟΣ-ΔΙΟΜΗΔΕΙΑ</t>
  </si>
  <si>
    <t>ΔΗΜΟΤΙΚΟ ΣΧΟΛΕΙΟ ΔΕΚΑΡΧΟ</t>
  </si>
  <si>
    <t>mail@dim-dekarch.xan.sch.gr</t>
  </si>
  <si>
    <t>ΔΕΚΑΡΧΟ ΞΑΝΘΗΣ</t>
  </si>
  <si>
    <t>16ο  ΝΗΠΙΑΓΩΓΕΙΟ ΞΑΝΘΗΣ</t>
  </si>
  <si>
    <t>mail@16nip-xanth.xan.sch.gr</t>
  </si>
  <si>
    <t>ΠΕΤΡΕΛΑΙΟΑΠΟΘΗΚΩΝ</t>
  </si>
  <si>
    <t>ΜΕΙΟΝΟΤΙΚΟ ΔΗΜΟΤΙΚΟ ΣΧΟΛΕΙΟ ΔΙΑΣΠΑΡΤΟΥ</t>
  </si>
  <si>
    <t>mail@dim-diasp.xan.sch.gr</t>
  </si>
  <si>
    <t>ΔΙΑΣΠΑΡΤΟΥ</t>
  </si>
  <si>
    <t>ΔΙΑΣΠΑΡΤΟ</t>
  </si>
  <si>
    <t>ΜΕΙΟΝΟΤΙΚΟ ΔΗΜΟΤΙΚΟ ΣΧΟΛΕΙΟ ΣΠΑΝΟΤΟΠΟΥ</t>
  </si>
  <si>
    <t>mail@dim-meion-spanot.xan.sch.gr</t>
  </si>
  <si>
    <t>ΣΠΑΝΟΤΟΠΟΥ</t>
  </si>
  <si>
    <t>ΚΟΜΝΗΝΩΝ</t>
  </si>
  <si>
    <t>ΟΛΟΗΜΕΡΟ ΜΕΙΟΝΟΤΙΚΟ ΔΗΜΟΤΙΚΟ ΣΧΟΛΕΙΟ ΜΟΡΣΙΝΗΣ</t>
  </si>
  <si>
    <t>mail@dim-meion-morsin.xan.sch.gr</t>
  </si>
  <si>
    <t>ΜΟΡΣΙΝΗΣ</t>
  </si>
  <si>
    <t>ΜΟΡΣΙΝΗ</t>
  </si>
  <si>
    <t>ΜΕΙΟΝΟΤΙΚΟ ΔΗΜΟΤΙΚΟ ΣΧΟΛΕΙΟ ΔΙΑΦΟΡΟΥ</t>
  </si>
  <si>
    <t>mail@dim-meion-diafor.xan.sch.gr</t>
  </si>
  <si>
    <t>ΔΙΑΦΟΡΟΥ</t>
  </si>
  <si>
    <t>ΔΗΜΟΤΙΚΟ ΣΧΟΛΕΙΟ ΕΞΟΧΗΣ</t>
  </si>
  <si>
    <t>mail@dim-exoch.xan.sch.gr</t>
  </si>
  <si>
    <t>Μέλισσα</t>
  </si>
  <si>
    <t>ΜΕΙΟΝΟΤΙΚΟ ΔΗΜΟΤΙΚΟ ΣΧΟΛΕΙΟ ΣΑΤΡΏΝ</t>
  </si>
  <si>
    <t>mail@dim-satron.xan.sch.gr</t>
  </si>
  <si>
    <t>ΣΑΤΡΏΝ</t>
  </si>
  <si>
    <t>ΣΑΤΡΕΣ</t>
  </si>
  <si>
    <t>ΜΕΙΟΝΟΤΙΚΟ ΔΗΜΟΤΙΚΟ ΣΧΟΛΕΙΟ Π.ΕΡΑΣΜΙΟΥ</t>
  </si>
  <si>
    <t>mail@dim-meion-erasm.xan.sch.gr</t>
  </si>
  <si>
    <t>Π.ΕΡΑΣΜΙΟΥ</t>
  </si>
  <si>
    <t>ΠΑΛΑΙΟ ΕΡΑΣΜΙΟ</t>
  </si>
  <si>
    <t>ΝΗΠΙΑΓΩΓΕΙΟ ΚΟΤΥΛΗΣ</t>
  </si>
  <si>
    <t>mail@nip-kotyl.xan.sch.gr</t>
  </si>
  <si>
    <t>mail@dim-erasm.xan.sch.gr</t>
  </si>
  <si>
    <t>ΕΡΑΣΜΙΟ</t>
  </si>
  <si>
    <t>ΜΕΙΟΝΟΤΙΚΟ ΔΗΜΟΤΙΚΟ ΣΧΟΛΕΙΟ ΣΤΗΡΙΓΜΑΤΟΣ</t>
  </si>
  <si>
    <t>mail@dim-meion-stirigm.xan.sch.gr</t>
  </si>
  <si>
    <t>ΣΤΗΡΙΓΜΑΤΟΣ</t>
  </si>
  <si>
    <t>ΜΕΙΟΝΟΤΙΚΟ ΔΗΜΟΤΙΚΟ ΣΧΟΛΕΙΟ ΤΕΜΕΝΟΥΣ</t>
  </si>
  <si>
    <t>mail@dim-temen.xan.sch.gr</t>
  </si>
  <si>
    <t>ΤΕΜΕΝΟΥΣ</t>
  </si>
  <si>
    <t>ΤΕΜΕΝΟΣ ΞΑΝΘΗΣ</t>
  </si>
  <si>
    <t>ΕΥΜΟΙΡΟΥ</t>
  </si>
  <si>
    <t>ΕΙΔΙΚΟ ΔΗΜΟΤΙΚΟ ΣΧΟΛΕΙΟ ΚΩΦΩΝ ΚΑΙ ΒΑΡΗΚΟΩΝ ΞΑΝΘΗΣ</t>
  </si>
  <si>
    <t>mail@dim-ekv-xanth.xan.sch.gr</t>
  </si>
  <si>
    <t>ΜΙΚΡΟ ΕΥΜΟΙΡΟ ΞΑΝΘΗΣ</t>
  </si>
  <si>
    <t>ΜΙΚΡΟ ΕΥΜΟΙΡΟ</t>
  </si>
  <si>
    <t>ΜΕΙΟΝΟΤΙΚΟ ΔΗΜΟΤΙΚΟ ΣΧΟΛΕΙΟ ΑΛΚΥΟΝΗΣ</t>
  </si>
  <si>
    <t>mail@dim-meion-alkyon.xan.sch.gr</t>
  </si>
  <si>
    <t>ΑΛΚΥΟΝΗ</t>
  </si>
  <si>
    <t>ΜΕΙΟΝΟΤΙΚΟ ΔΗΜΟΤΙΚΟ ΣΧΟΛΕΙΟ ΜΕΣΕΣ ΘΕΡΜΕΣ</t>
  </si>
  <si>
    <t>mail@dim-meion-mes-therm.xan.sch.gr</t>
  </si>
  <si>
    <t>ΜΕΣΕΣ ΘΕΡΜΕΣ</t>
  </si>
  <si>
    <t>ΝΗΠΙΑΓΩΓΕΙΟ  ΑΓΙΟΥ ΑΘΑΝΑΣΙΟΥ</t>
  </si>
  <si>
    <t>mail@nip-ag-athan.xan.sch.gr</t>
  </si>
  <si>
    <t>mail@dim-meion-glafk.xan.sch.gr</t>
  </si>
  <si>
    <t>ΝΗΠΙΑΓΩΓΕΙΟ ΜΙΚΡΟΥ ΕΥΜΟΙΡΟΥ</t>
  </si>
  <si>
    <t>mail@nip-m-evmoir.xan.sch.gr</t>
  </si>
  <si>
    <t>ΝΗΠΙΑΓΩΓΕΙΟ ΔΗΜΑΡΙΟ</t>
  </si>
  <si>
    <t>mail@nip-dimar.xan.sch.gr</t>
  </si>
  <si>
    <t>2/Θ  ΜΕΙΟΝΟΤΙΚΟ ΔΗΜΟΤΙΚΟ ΣΧΟΛΕΙΟ ΕΞΟΧΗΣ</t>
  </si>
  <si>
    <t>mail@dim-meion-exoch.xan.sch.gr</t>
  </si>
  <si>
    <t>ΜΕΙΟΝΟΤΙΚΟ ΔΗΜΟΤΙΚΟ ΣΧΟΛΕΙΟ ΜΕΔΟΥΣΑΣ</t>
  </si>
  <si>
    <t>mail@dim-medous.xan.sch.gr</t>
  </si>
  <si>
    <t>ΜΕΔΟΥΣΑΣ</t>
  </si>
  <si>
    <t>ΜΕΙΟΝΟΤΙΚΟ ΔΗΜΟΤΙΚΟ ΣΧΟΛΕΙΟ ΚΡΕΜΑΣΤΗ</t>
  </si>
  <si>
    <t>mail@dim-meion-kremast.xan.sch.gr</t>
  </si>
  <si>
    <t>ΚΡΕΜΑΣΤΗ</t>
  </si>
  <si>
    <t>ΜΕΙΟΝΟΤΙΚΟ ΔΗΜΟΤΙΚΟ ΣΧΟΛΕΙΟ ΜΙΚΡ.ΟΡΦΑΝΟΥ</t>
  </si>
  <si>
    <t>mail@dim-meion-mikr-orfan.xan.sch.gr</t>
  </si>
  <si>
    <t>ΜΙΚΡ.ΟΡΦΑΝΟΥ</t>
  </si>
  <si>
    <t>ΜΙΚΡΟ ΟΡΦΑΝΟ</t>
  </si>
  <si>
    <t>ΜΕΙΟΝΟΤΙΚΟ ΔΗΜΟΤΙΚΟ ΣΧΟΛΕΙΟ ΑΒΑΤΟΥ</t>
  </si>
  <si>
    <t>mail@dim-meion-avatou.xan.sch.gr</t>
  </si>
  <si>
    <t>ΜΕΙΟΝΟΤΙΚΟ ΔΗΜΟΤΙΚΟ ΣΧΟΛΕΙΟ ΜΕΓ. ΟΡΦΑΝΟΥ</t>
  </si>
  <si>
    <t>mail@dim-meion-meg-orfan.xan.sch.gr</t>
  </si>
  <si>
    <t>ΜΕΓ. ΟΡΦΑΝΟΥ</t>
  </si>
  <si>
    <t>ΜΕΓ.ΟΡΦΑΝΟ-ΞΑΝΘΗΣ</t>
  </si>
  <si>
    <t>ΜΕΙΟΝΟΤΙΚΟ ΔΗΜΟΤΙΚΟ ΣΧΟΛΕΙΟ ΑΝΩ ΘΕΡΜΩΝ</t>
  </si>
  <si>
    <t>mail@dim-meion-an-therm.xan.sch.gr</t>
  </si>
  <si>
    <t>ΑΝΩ ΘΕΡΜΩΝ</t>
  </si>
  <si>
    <t>ΜΕΙΟΝΟΤΙΚΟ ΔΗΜΟΤΙΚΟ ΣΧΟΛΕΙΟ ΚΥΡΝΟΥ</t>
  </si>
  <si>
    <t>mail@dim-meion-kyrnou.xan.sch.gr</t>
  </si>
  <si>
    <t>ΚΥΡΝΟΥ</t>
  </si>
  <si>
    <t>mail@dim-diomid.xan.sch.gr</t>
  </si>
  <si>
    <t>ΔΙΟΜΗΔΕΙΑ</t>
  </si>
  <si>
    <t>mail@dim-avdir.xan.sch.gr</t>
  </si>
  <si>
    <t>ΔΗΜΟΤΙΚΟ ΣΧΟΛΕΙΟ ΑΒΑΤΟΥ</t>
  </si>
  <si>
    <t>mail@dim-avatou.xan.sch.gr</t>
  </si>
  <si>
    <t>ΔΗΜΟΤΙΚΟ ΣΧΟΛΕΙΟ ΜΙΚΡΟΥ ΕΥΜΟΙΡΟΥ</t>
  </si>
  <si>
    <t>mail@dim-n-evmoir.xan.sch.gr</t>
  </si>
  <si>
    <t>mail@dim-stavr.xan.sch.gr</t>
  </si>
  <si>
    <t>ΣΤΑΥΡΟΥΠΟΛΗ</t>
  </si>
  <si>
    <t>ΜΕΙΟΝΟΤΙΚΟ ΔΗΜΟΤΙΚΟ ΣΧΟΛΕΙΟ ΩΡΑΙΟΥ</t>
  </si>
  <si>
    <t>mail@dim-meion-oraiou.xan.sch.gr</t>
  </si>
  <si>
    <t>ΩΡΑΙΟ</t>
  </si>
  <si>
    <t>ΝΗΠΙΑΓΩΓΕΙΟ ΓΕΝΙΣΕΑΣ</t>
  </si>
  <si>
    <t>mail@nip-genis.xan.sch.gr</t>
  </si>
  <si>
    <t>ΜΕΙΟΝΟΤΙΚΟ ΔΗΜΟΤΙΚΟ ΣΧΟΛΕΙΟ ΣΕΛΕΡΟΥ</t>
  </si>
  <si>
    <t>mail@dim-meion-seler.xan.sch.gr</t>
  </si>
  <si>
    <t>ΣΕΛΕΡΟ</t>
  </si>
  <si>
    <t>mail@3dim-xanth.xan.sch.gr</t>
  </si>
  <si>
    <t>28ΗΣ  ΟΚΤΩΒΡΙΟΥ 197</t>
  </si>
  <si>
    <t>ΜΕΙΟΝΟΤΙΚΟ ΔΗΜΟΤΙΚΟ ΣΧΟΛΕΙΟ ΚΕΝΤΑΥΡΟΥ</t>
  </si>
  <si>
    <t>mail@dim-kentavr.xan.sch.gr</t>
  </si>
  <si>
    <t>Κένταυρος</t>
  </si>
  <si>
    <t>ΜΕΙΟΝΟΤΙΚΟ ΔΗΜΟΤΙΚΟ ΣΧΟΛΕΙΟ ΑΙΩΡΑΣ</t>
  </si>
  <si>
    <t>mail@dim-meion-aioras.xan.sch.gr</t>
  </si>
  <si>
    <t>ΑΙΩΡΑ</t>
  </si>
  <si>
    <t>ΟΛΟΗΜΕΡΟ ΜΕΙΟΝΟΤΙΚΟ ΔΗΜΟΤΙΚΟ ΣΧΟΛΕΙΟ ΓΕΝΙΣΕΑΣ</t>
  </si>
  <si>
    <t>mail@dim-meion-genis.xan.sch.gr</t>
  </si>
  <si>
    <t>1ο ΜΕΙΟΝΟΤΙΚΟ ΔΗΜΟΤΙΚΟ ΣΧΟΛΕΙΟ ΚΙΜΜΕΡΙΩΝ</t>
  </si>
  <si>
    <t>mail@1dim-meion-kimmer.xan.sch.gr</t>
  </si>
  <si>
    <t>Κιμμέρια</t>
  </si>
  <si>
    <t>Μ. Αλεξάνδρου 20</t>
  </si>
  <si>
    <t>ΜΕΙΟΝΟΤΙΚΟ ΔΗΜΟΤΙΚΟ ΣΧΟΛΕΙΟ ΜΥΚΗΣ</t>
  </si>
  <si>
    <t>mail@dim-meion-mykis.xan.sch.gr</t>
  </si>
  <si>
    <t>ΜΥΚΗ   ΞΑΝΘΗΣ</t>
  </si>
  <si>
    <t>ΜΕΙΟΝΙΚΟ ΔΗΜΟΤΙΚΟ ΣΧΟΛΕΙΟ ΣΗΜΑΝΤΡΩΝ</t>
  </si>
  <si>
    <t>mail@dim-meion-simantr.xan.sch.gr</t>
  </si>
  <si>
    <t>ΝΗΠΙΑΓΩΓΕΙΟ ΣΜΙΝΘΗΣ</t>
  </si>
  <si>
    <t>mail@nip-smynth.xan.sch.gr</t>
  </si>
  <si>
    <t>ΣΜΙΝΘΗΣ</t>
  </si>
  <si>
    <t>1ο ΝΗΠΙΑΓΩΓΕΙΟ ΞΑΝΘΗΣ</t>
  </si>
  <si>
    <t>mail@1nip-xanth.xan.sch.gr</t>
  </si>
  <si>
    <t>mail@5dim-xanth.xan.sch.gr</t>
  </si>
  <si>
    <t>ΤΕΡΜΑ  ΣΤ. ΒΛΑΧΟΠΟΥΛΟΥ</t>
  </si>
  <si>
    <t>1ο ΜΕΙΟΝΟΤΙΚΟ ΔΗΜΟΤΙΚΟ ΣΧΟΛΕΙΟ ΞΑΝΘΗΣ</t>
  </si>
  <si>
    <t>mail@1dim-meion-xanth.xan.sch.gr</t>
  </si>
  <si>
    <t>ΥΔΡΑΣ 4</t>
  </si>
  <si>
    <t>10ο ΔΗΜΟΤΙΚΟ ΣΧΟΛΕΙΟ ΞΑΝΘΗΣ</t>
  </si>
  <si>
    <t>mail@10dim-xanth.xan.sch.gr</t>
  </si>
  <si>
    <t>ΣΤΡ.ΜΑΚΡΥΓΙΑΝΝΗ-ΣΤ.ΒΛΑΧΟΠΟΥΛΟΥ</t>
  </si>
  <si>
    <t>9ο ΔΗΜΟΤΙΚΟ ΣΧΟΛΕΙΟ ΞΑΝΘΗΣ</t>
  </si>
  <si>
    <t>mail@9dim-xanth.xan.sch.gr</t>
  </si>
  <si>
    <t>mail@8dim-xanth.xan.sch.gr</t>
  </si>
  <si>
    <t>ΑΛΕΞΑΝΔΡΟΥ ΠΑΠΑΓΟΥ-ΧΡΥΣΑ 51</t>
  </si>
  <si>
    <t>7ο ΔΗΜΟΤΙΚΟ ΣΧΟΛΕΙΟ ΞΑΝΘΗΣ</t>
  </si>
  <si>
    <t>mail@7dim-xanth.xan.sch.gr</t>
  </si>
  <si>
    <t>ΒΑΣΙΛΙΣΣΗΣ ΣΟΦΙΑΣ 27</t>
  </si>
  <si>
    <t>mail@13dim-xanth.xan.sch.gr</t>
  </si>
  <si>
    <t>ΑΛΙΚΑΡΝΑΣΣΟΥ  3</t>
  </si>
  <si>
    <t>14ο  ΔΗΜΟΤΙΚΟ ΣΧΟΛΕΙΟ ΞΑΝΘΗΣ</t>
  </si>
  <si>
    <t>14dimxan@sch.gr</t>
  </si>
  <si>
    <t>ΚΛΕΜΑΝΣΩ &amp; ΙΚΟΝΙΟΥ</t>
  </si>
  <si>
    <t>ΜΕΙΟΝΟΤΙΚΟ ΔΗΜΟΤΙΚΟ ΣΧΟΛΕΙΟ ΗΛΙΟΠΕΤΡΑΣ</t>
  </si>
  <si>
    <t>mail@dim-meion-iliop.xan.sch.gr</t>
  </si>
  <si>
    <t>ΗΛΙΟΠΕΤΡΑ</t>
  </si>
  <si>
    <t>1ο ΕΙΔΙΚΟ ΔΗΜΟΤΙΚΟ ΣΧΟΛΕΙΟ ΞΑΝΘΗΣ - ΕΙΔΙΚΟ ΣΧΟΛΕΙΟ ΞΑΝΘΗΣ</t>
  </si>
  <si>
    <t>mail@1dim-eid-xanth.xan.sch.gr</t>
  </si>
  <si>
    <t>11 ΔΗΜΟΤΙΚΟ-ΝΕΑΠΟΛΗ</t>
  </si>
  <si>
    <t>2/θ ΜΕΙΟΝΟΤΙΚΟ ΔΗΜΟΤΙΚΟ ΣΧΟΛΕΙΟ ΚΕΝΤΗΤΗΣ</t>
  </si>
  <si>
    <t>mail@dim-meion-kentit.xan.sch.gr</t>
  </si>
  <si>
    <t>ΝΗΠΙΑΓΩΓΕΙΟ ΓΛΑΥΚΗΣ</t>
  </si>
  <si>
    <t>mail@nip-glafk.xan.sch.gr</t>
  </si>
  <si>
    <t>ΓΛΑΥΚΗΣ</t>
  </si>
  <si>
    <t>ΔΑΦΝΩΝΟΣ</t>
  </si>
  <si>
    <t>ΟΛΟΗΜΕΡΟ ΝΗΠΙΑΓΩΓΕΙΟ ΔΑΦΝΩΝΑ</t>
  </si>
  <si>
    <t>mail@nip-dafnon.xan.sch.gr</t>
  </si>
  <si>
    <t>ΔΑΦΝΩΝΑΣ</t>
  </si>
  <si>
    <t>ΜΕΙΟΝΟΤΙΚΟ ΔΗΜΟΤΙΚΟ ΣΧΟΛΕΙΟ ΠΙΛΗΜΑΤΟΣ - ΜΕΙΟΝΟΤΙΚΟ ΔΗΜΟΤΙΚΟ ΣΧΟΛΕΙΟ ΠΙΛΗΜΑΤΟΣ</t>
  </si>
  <si>
    <t>mail@dim-meion-pilim.xan.sch.gr</t>
  </si>
  <si>
    <t>ΠΙΛΗΜΑΤΟΣ</t>
  </si>
  <si>
    <t>ΠΙΛΗΜΑ</t>
  </si>
  <si>
    <t>ΜΕΙΟΝΟΤΙΚΟ ΔΗΜΟΤΙΚΟ ΣΧΟΛΕΙΟ ΠΑΛ.ΟΛΒΙΟΥ - ΜΕΙΟΝΟΤΙΚΟ ΔΗΜΟΤΙΚΟ ΣΧΟΛΕΙΟ ΠΑΛΑΙΟΥ ΟΛΒΙΟΥ</t>
  </si>
  <si>
    <t>mail@dim-meion-p-olviou.xan.sch.gr</t>
  </si>
  <si>
    <t>ΠΑΛ.ΟΛΒΙΟΥ</t>
  </si>
  <si>
    <t>ΠΑΛ. ΟΛΒΙΟΥ</t>
  </si>
  <si>
    <t>20ο ΔΗΜΟΤΙΚΟ ΣΧΟΛΕΙΟ ΞΑΝΘΗΣ</t>
  </si>
  <si>
    <t>mail@20dim-xanth.xan.sch.gr</t>
  </si>
  <si>
    <t>ΝΗΠΙΑΓΩΓΕΙΟ ΕΥΛΑΛΟΥ</t>
  </si>
  <si>
    <t>mail@nip-evlal.xan.sch.gr</t>
  </si>
  <si>
    <t>ΝΗΠΙΑΓΩΓΕΙΟ ΗΛΙΟΠΕΤΡΑ</t>
  </si>
  <si>
    <t>mail@nip-iliop.xan.sch.gr</t>
  </si>
  <si>
    <t>ΝΗΠΙΑΓΩΓΕΙΟ ΣΕΛΕΡΟ</t>
  </si>
  <si>
    <t>mail@nip-seler.xan.sch.gr</t>
  </si>
  <si>
    <t>ΝΗΠΙΑΓΩΓΕΙΟ ΩΡΑΙΟ</t>
  </si>
  <si>
    <t>mail@nip-oraiou.xan.sch.gr</t>
  </si>
  <si>
    <t>ΕΙΔΙΚΟ ΝΗΠΙΑΓΩΓΕΙΟ Ν. ΖΥΓΟΥ</t>
  </si>
  <si>
    <t>mail@nip-eid-xanth.xan.sch.gr</t>
  </si>
  <si>
    <t>Ν. ΖΥΓΟΣ</t>
  </si>
  <si>
    <t>Ν.ΖΥΓΟΣ</t>
  </si>
  <si>
    <t>2ο ΝΗΠΙΑΓΩΓΕΙΟ ΚΕΝΤΑΥΡΟΥ</t>
  </si>
  <si>
    <t>mail@2nip-kentavr.xan.sch.gr</t>
  </si>
  <si>
    <t>ΚΕΝΤΑΥΡΟΥ</t>
  </si>
  <si>
    <t>mail@2dim-xanth.xan.sch.gr</t>
  </si>
  <si>
    <t>ΕΙΔΙΚΟ ΔΗΜΟΤΙΚΟ ΣΧΟΛΕΙΟ ΤΥΦΛΩΝ ΚΑΙ ΑΜΒΛΥΩΠΩΝ ΦΕΛΩΝΗΣ</t>
  </si>
  <si>
    <t>mail@dim-eid-tyf-felon.xan.sch.gr</t>
  </si>
  <si>
    <t>ΕΙΔΙΚΟ ΔΗΜΟΤΙΚΟ ΣΧΟΛΕΙΟ ΕΧΙΝΟΥ</t>
  </si>
  <si>
    <t>ΝΗΠΙΑΓΩΓΕΙΟ ΕΧΙΝΟΥ</t>
  </si>
  <si>
    <t>mail@nip-echin.xan.sch.gr</t>
  </si>
  <si>
    <t>2ο Νηπιαγωγείο Κιμμερίων</t>
  </si>
  <si>
    <t>mail@nip-par-kimmer.xan.sch.gr</t>
  </si>
  <si>
    <t>Κιμμερίων</t>
  </si>
  <si>
    <t>Σαλαμίνος 30</t>
  </si>
  <si>
    <t>18ο ΝΗΠΙΑΓΩΓΕΙΟ ΞΑΝΘΗΣ</t>
  </si>
  <si>
    <t>mail@18nip-xanth.xan.sch.gr</t>
  </si>
  <si>
    <t>ΑΠΟΛΛΩΝΟΣ 2</t>
  </si>
  <si>
    <t>ΓΑΛΑΝΗΣ</t>
  </si>
  <si>
    <t>2ο ΕΙΔΙΚΟ ΝΗΠΙΑΓΩΓΕΙΟ ΘΑΛΑΣΣΙΑΣ</t>
  </si>
  <si>
    <t>ΘΑΛΑΣΣΙΑΣ</t>
  </si>
  <si>
    <t>ΘΑΛΑΣΣΙΑ</t>
  </si>
  <si>
    <t>ΝΗΠΙΑΓΩΓΕΙΟ ΚΥΡΝΟΥ</t>
  </si>
  <si>
    <t>mail@nip-kyrnou.xan.sch.gr</t>
  </si>
  <si>
    <t>ΚΥΡΝΟΣ</t>
  </si>
  <si>
    <t>ΝΗΠΙΑΓΩΓΕΙΟ ΓΟΡΓΟΝΑΣ</t>
  </si>
  <si>
    <t>mail@nip-gorgon.xan.sch.gr</t>
  </si>
  <si>
    <t>ΓΟΡΓΟΝΑΣ</t>
  </si>
  <si>
    <t>ΝΗΠΙΑΓΩΓΕΙΟ ΜΕΛΙΒΟΙΩΝ</t>
  </si>
  <si>
    <t>mail@nip-meliv.xan.sch.gr</t>
  </si>
  <si>
    <t>ΜΕΛΙΒΟΙΩΝ</t>
  </si>
  <si>
    <t>ΝΗΠΙΑΓΩΓΕΙΟ ΦΙΛΙΩΝ</t>
  </si>
  <si>
    <t>mail@nip-filion.xan.sch.gr</t>
  </si>
  <si>
    <t xml:space="preserve"> ΞΑΝΘΗΣ</t>
  </si>
  <si>
    <t>ΝΗΠΙΑΓΩΓΕΙΟ ΑΙΩΡΑΣ</t>
  </si>
  <si>
    <t>nipaiora@sch.gr</t>
  </si>
  <si>
    <t>Αιώρα</t>
  </si>
  <si>
    <t>ΔΙΕΥΘΥΝΣΗ Π.Ε. ΡΟΔΟΠΗΣ</t>
  </si>
  <si>
    <t>3ο ΜΕΙΟΝΟΤΙΚΟ ΔΗΜΟΤΙΚΟ ΣΧΟΛΕΙΟ ΚΟΜΟΤΗΝΗΣ</t>
  </si>
  <si>
    <t>mail@3dim-meion-komot.rod.sch.gr</t>
  </si>
  <si>
    <t>ΑΝΤΙΓΟΝΟΥ 19</t>
  </si>
  <si>
    <t>mail@dim-meion-sappon.rod.sch.gr</t>
  </si>
  <si>
    <t>ΑΛΚΙΒΙΑΔΗ 2</t>
  </si>
  <si>
    <t>mail@4dim-meion-komot.rod.sch.gr</t>
  </si>
  <si>
    <t>ΣΥΝ. ΗΦΑΙΣΤΟΥ</t>
  </si>
  <si>
    <t>ΚΑΛΧΑΝΤΟΣ</t>
  </si>
  <si>
    <t>ΜΕΙΟΝΟΤΙΚΟ ΔΗΜΟΤΙΚΟ ΣΧΟΛΕΙΟ ΚΑΛΧΑΝΤΟΣ</t>
  </si>
  <si>
    <t>mail@1dim-meion-kalch.rod.sch.gr</t>
  </si>
  <si>
    <t>ΚΑΛΧΑΣ</t>
  </si>
  <si>
    <t>ΠΕΤΡΟΜΠΕΗ ΜΑΥΡΟΜΙΧΑΛΗ 29</t>
  </si>
  <si>
    <t>ΣΩΣΤΟΥ</t>
  </si>
  <si>
    <t>ΑΣΩΜΑΤΩΝ</t>
  </si>
  <si>
    <t>ΜΕΙΟΝΟΤΙΚΟ ΔΗΜΟΤΙΚΟ ΣΧΟΛΕΙΟ ΑΓΙΑΣΜΑΤΟΣ</t>
  </si>
  <si>
    <t>mail@dim-meion-agiasm.rod.sch.gr</t>
  </si>
  <si>
    <t>ΑΓΙΑΣΜΑ</t>
  </si>
  <si>
    <t>mail@13dim-komot.rod.sch.gr</t>
  </si>
  <si>
    <t>ΦΙΛΙΚΗΣ ΕΤΑΙΡΕΙΑΣ  63</t>
  </si>
  <si>
    <t>ΑΜΒΡΟΣΙΑΣ</t>
  </si>
  <si>
    <t>ΜΕΙΟΝΟΤΙΚΟ ΔΗΜΟΤΙΚΟ ΣΧΟΛΕΙΟ ΠΑΛΛΑΔΙΟΥ</t>
  </si>
  <si>
    <t>mail@dim-meion-pallad.rod.sch.gr</t>
  </si>
  <si>
    <t>ΠΑΛΛΑΔΙΟΥ</t>
  </si>
  <si>
    <t>ΑΙΣΩΠΟΥ 2</t>
  </si>
  <si>
    <t>ΜΕΙΟΝΟΤΙΚΟ ΔΗΜΟΤΙΚΟ ΣΧΟΛΕΙΟ ΤΥΧΗΡΟΥ</t>
  </si>
  <si>
    <t>mail@dim-meion-tychir.rod.sch.gr</t>
  </si>
  <si>
    <t>ΤΥΧΗΡΟΥ</t>
  </si>
  <si>
    <t>ΤΥΧΗΡΟ</t>
  </si>
  <si>
    <t>ΜΙΡΑΝΩΝ</t>
  </si>
  <si>
    <t>ΜΕΙΟΝΟΤΙΚΟ ΔΗΜΟΤΙΚΟ ΣΧΟΛΕΙΟ ΜΙΡΑΝΩΝ</t>
  </si>
  <si>
    <t>mail@dim-meion-moiran.rod.sch.gr</t>
  </si>
  <si>
    <t>ΜΙΡΑΝΑ</t>
  </si>
  <si>
    <t>ΦΙΛΛΥΡΑΣ</t>
  </si>
  <si>
    <t>ΝΕΟΥ ΚΑΛΛΥΝΤΗΡΙΟΥ</t>
  </si>
  <si>
    <t>ΜΕΙΟΝΟΤΙΚΟ ΔΗΜΟΤΙΚΟ ΣΧΟΛΕΙΟ ΚΑΛΛΥΝΤΗΡΙΟΥ</t>
  </si>
  <si>
    <t>mail@2dim-meion-kallynt.rod.sch.gr</t>
  </si>
  <si>
    <t>ΚΑΛΛΥΝΤΗΡΙΟΥ</t>
  </si>
  <si>
    <t>ΚΑΛΛΥΝΤΗΡΙΟ</t>
  </si>
  <si>
    <t>ΑΡΑΤΟΥ</t>
  </si>
  <si>
    <t>ΜΕΙΟΝΟΤΙΚΟ ΔΗΜΟΤΙΚΟ ΣΧΟΛΕΙΟ ΑΡΑΤΟΥ</t>
  </si>
  <si>
    <t>mail@dim-meion-aratou.rod.sch.gr</t>
  </si>
  <si>
    <t>ΑΡΑΤΟΣ - Ν. ΡΟΔΟΠΗΣ</t>
  </si>
  <si>
    <t>ΜΕΙΟΝΟΤΙΚΟ ΔΗΜΟΤΙΚΟ ΣΧΟΛΕΙΟ ΒΕΛΚΙΟΥ</t>
  </si>
  <si>
    <t>mail@dim-meion-velkiou.rod.sch.gr</t>
  </si>
  <si>
    <t>ΒΕΛΚΙΟΥ</t>
  </si>
  <si>
    <t>ΒΕΛΚΙΟ</t>
  </si>
  <si>
    <t>ΜΕΛΕΤΗΣ</t>
  </si>
  <si>
    <t>ΜΕΙΟΝΟΤΙΚΟ ΔΗΜΟΤΙΚΟ ΣΧΟΛΕΙΟ ΜΕΛΕΤΗΣ</t>
  </si>
  <si>
    <t>mail@dim-meion-melet.rod.sch.gr</t>
  </si>
  <si>
    <t>-</t>
  </si>
  <si>
    <t>ΚΡΩΒΥΛΗΣ</t>
  </si>
  <si>
    <t>ΜΕΙΟΝΟΤΙΚΟ ΔΗΜΟΤΙΚΟ ΣΧΟΛΕΙΟ ΚΡΩΒΥΛΗΣ</t>
  </si>
  <si>
    <t>mail@dim-meion-krovyl.rod.sch.gr</t>
  </si>
  <si>
    <t>ΚΡΩΒΥΛΗ</t>
  </si>
  <si>
    <t>ΜΙΣΧΟΥ</t>
  </si>
  <si>
    <t>ΜΕΙΟΝΟΤΙΚΟ ΔΗΜΟΤΙΚΟ ΣΧΟΛΕΙΟ ΜΙΣΧΟΥ</t>
  </si>
  <si>
    <t>mail@dim-meion-misch.rod.sch.gr</t>
  </si>
  <si>
    <t>ΜΙΣΧΟΣ</t>
  </si>
  <si>
    <t>ΑΜΑΡΑΝΤΩΝ</t>
  </si>
  <si>
    <t>1ο ΜΕΙΟΝΟΤΙΚΟ ΔΗΜΟΤΙΚΟ ΣΧΟΛΕΙΟ ΒΑΚΟΣ</t>
  </si>
  <si>
    <t>mail@1dim-meion-vakkou.rod.sch.gr</t>
  </si>
  <si>
    <t>ΒΑΚΟΣ</t>
  </si>
  <si>
    <t>ΒΑΚΟΣ Α</t>
  </si>
  <si>
    <t>mail@10dim-komot.rod.sch.gr</t>
  </si>
  <si>
    <t>ΔΕΚΑΤΗΣ ΤΕΤΑΡΤΗΣ ΜΑΪΟΥ 1920 ΤΕΡΜΑ ΚΟΜΟΤΗΝΗ</t>
  </si>
  <si>
    <t>ΜΕΙΟΝΟΤΙΚΟ ΔΗΜΟΤΙΚΟ ΣΧΟΛΕΙΟ ΣΥΜΒΟΛΩΝ</t>
  </si>
  <si>
    <t>mail@dim-meion-symbol.rod.sch.gr</t>
  </si>
  <si>
    <t>ΣΥΜΒΟΛΩΝ</t>
  </si>
  <si>
    <t>ΣΥΜΒΟΛΑ</t>
  </si>
  <si>
    <t>ΜΕΙΟΝΟΤΙΚΟ ΔΗΜΟΤΙΚΟ ΣΧΟΛΕΙΟ ΣΑΛΜΏΝΗΣ</t>
  </si>
  <si>
    <t>mail@dim-meion-salmon.rod.sch.gr</t>
  </si>
  <si>
    <t>ΣΑΛΜΏΝΗΣ</t>
  </si>
  <si>
    <t>ΣΑΛΜΩΝΗ</t>
  </si>
  <si>
    <t>ΣΑΛΠΗΣ</t>
  </si>
  <si>
    <t>ΜΕΙΟΝΟΤΙΚΟ ΔΗΜΟΤΙΚΟ ΣΧΟΛΕΙΟ ΣΑΛΠΗΣ</t>
  </si>
  <si>
    <t>mail@dim-meion-salpis.rod.sch.gr</t>
  </si>
  <si>
    <t>ΣΑΛΠΗ</t>
  </si>
  <si>
    <t>ΑΜΑΞΑΔΩΝ</t>
  </si>
  <si>
    <t>ΜΕΙΟΝΟΤΙΚΟ ΔΗΜΟΤΙΚΟ ΣΧΟΛΕΙΟ ΑΜΑΞΑΔΩΝ</t>
  </si>
  <si>
    <t>mail@dim-meion-amaxad.rod.sch.gr</t>
  </si>
  <si>
    <t>ΑΜΑΞΑΔΕΣ</t>
  </si>
  <si>
    <t>ΑΓΙΟΧΩΡΙΟΥ</t>
  </si>
  <si>
    <t>ΜΕΙΟΝΟΤΙΚΟ ΔΗΜΟΤΙΚΟ ΣΧΟΛΕΙΟ ΑΓΙΟΧΩΡΙΟΥ</t>
  </si>
  <si>
    <t>mail@dim-meion-agioch.rod.sch.gr</t>
  </si>
  <si>
    <t>Αγιοχώρι</t>
  </si>
  <si>
    <t>ΑΓΙΟΧΩΡΙ</t>
  </si>
  <si>
    <t>ΕΒΡΙΝΟΥ</t>
  </si>
  <si>
    <t>ΜΕΙΟΝΟΤΙΚΟ ΔΗΜΟΤΙΚΟ ΣΧΟΛΕΙΟ ΕΒΡΕΝΟΥ</t>
  </si>
  <si>
    <t>mail@dim-meion-evren.rod.sch.gr</t>
  </si>
  <si>
    <t>ΕΒΡΕΝΟΣ</t>
  </si>
  <si>
    <t>ΜΕΙΟΝΟΤΙΚΟ ΔΗΜΟΤΙΚΟ ΣΧΟΛΕΙΟ ΓΑΛΗΝΗΣ</t>
  </si>
  <si>
    <t>mail@dim-meion-galin.rod.sch.gr</t>
  </si>
  <si>
    <t>ΓΑΛΗΝΗΣ</t>
  </si>
  <si>
    <t>ΓΑΛΗΝΗ</t>
  </si>
  <si>
    <t>ΜΕΙΟΝΟΤΙΚΟ ΔΗΜΟΤΙΚΟ ΣΧΟΛΕΙΟ ΜΩΣΑΪΚΟΥ</t>
  </si>
  <si>
    <t>mail@dim-meion-mosaik.rod.sch.gr</t>
  </si>
  <si>
    <t>ΜΩΣΑΪΚΟΥ</t>
  </si>
  <si>
    <t>ΜΩΣΑΊΚΟ ΡΟΔΟΠΗΣ</t>
  </si>
  <si>
    <t>ΜΕΙΟΝΟΤΙΚΟ ΔΗΜΟΤΙΚΟ ΣΧΟΛΕΙΟ ΔΥΜΗΣ</t>
  </si>
  <si>
    <t>mail@dim-meion-dymis.rod.sch.gr</t>
  </si>
  <si>
    <t>ΔΥΜΗΣ</t>
  </si>
  <si>
    <t>ΔΥΜΗ</t>
  </si>
  <si>
    <t>ΜΕΙΟΝΟΤΙΚΟ ΔΗΜΟΤΙΚΟ ΣΧΟΛΕΙΟ ΚΟΠΤΕΡΟΥ</t>
  </si>
  <si>
    <t>mail@dim-meion-kopter.rod.sch.gr</t>
  </si>
  <si>
    <t>ΚΟΠΤΕΡΟΥ</t>
  </si>
  <si>
    <t>ΚΟΠΤΕΡΟ</t>
  </si>
  <si>
    <t>1ο ΜΕΙΟΝΟΤΙΚΟ ΔΗΜΟΤΙΚΟ ΣΧΟΛΕΙΟ ΚΟΜΟΤΗΝΗΣ</t>
  </si>
  <si>
    <t>mail@1dim-meion-komot.rod.sch.gr</t>
  </si>
  <si>
    <t>ΜΕΓΑ ΠΙΣΤΟΥ</t>
  </si>
  <si>
    <t>ΜΕΙΟΝΟΤΙΚΟ ΔΗΜΟΤΙΚΟ ΣΧΟΛΕΙΟ ΜΕΓΑΛΟΥ ΠΙΣΤΟΥ</t>
  </si>
  <si>
    <t>mail@dim-meion-meg-pistou.rod.sch.gr</t>
  </si>
  <si>
    <t>ΜΕΓΑΛΟ  ΠΙΣΤΟ</t>
  </si>
  <si>
    <t>ΜΕΓΑ ΠΙΣΤΟ</t>
  </si>
  <si>
    <t>ΑΡΧΟΝΤΙΚΩΝ</t>
  </si>
  <si>
    <t>ΜΕΙΟΝΟΤΙΚΟ ΔΗΜΟΤΙΚΟ ΣΧΟΛΕΙΟ ΑΡΧΟΝΤΙΚΏΝ</t>
  </si>
  <si>
    <t>mail@dim-meion-archont.rod.sch.gr</t>
  </si>
  <si>
    <t>ΑΡΧΟΝΤΙΚΑ</t>
  </si>
  <si>
    <t>ΝΕΔΑ</t>
  </si>
  <si>
    <t>ΜΕΙΟΝΟΤΙΚΟ ΔΗΜΟΤΙΚΟ ΣΧΟΛΕΙΟ ΝΕΔΑΣ</t>
  </si>
  <si>
    <t>mail@dim-meion-nedas.rod.sch.gr</t>
  </si>
  <si>
    <t>ΝΕΔΑΣ</t>
  </si>
  <si>
    <t>ΜΕΙΟΝΟΤΙΚΟ ΔΗΜΟΤΙΚΟ ΣΧΟΛΕΙΟ ΚΟΜΟΤΗΝΗΣ - ΟΣΜΑΝΙΕ</t>
  </si>
  <si>
    <t>mail@dim-meion-osman.rod.sch.gr</t>
  </si>
  <si>
    <t>Μ. ΑΛΕΞΑΝΔΡΟΥ 17</t>
  </si>
  <si>
    <t>ΛΥΚΕΙΟΥ</t>
  </si>
  <si>
    <t>ΜΕΙΟΝΟΤΙΚΟ ΔΗΜΟΤΙΚΟ ΣΧΟΛΕΙΟ ΛΥΚΕΙΟΥ</t>
  </si>
  <si>
    <t>mail@1dim-meion-lykeiou.rod.sch.gr</t>
  </si>
  <si>
    <t>ΛΥΚΕΙΟ</t>
  </si>
  <si>
    <t>ΗΠΙΟΥ</t>
  </si>
  <si>
    <t>ΜΕΙΟΝΟΤΙΚΟ ΔΗΜΟΤΙΚΟ ΣΧΟΛΕΙΟ ΗΠΙΟΥ</t>
  </si>
  <si>
    <t>mail@dim-meion-ipiou.rod.sch.gr</t>
  </si>
  <si>
    <t>ΗΠΙΟ</t>
  </si>
  <si>
    <t>ΜΕΙΟΝΟΤΙΚΟ ΔΗΜΟΤΙΚΟ ΣΧΟΛΕΙΟ ΑΡΡΙΑΝΏΝ</t>
  </si>
  <si>
    <t>mail@1dim-meion-arrian.rod.sch.gr</t>
  </si>
  <si>
    <t>ΑΡΡΙΑΝΑ  Ν.ΡΟΔΟΠΗΣ</t>
  </si>
  <si>
    <t>ΑΡΡΙΑΝΑ</t>
  </si>
  <si>
    <t>ΜΕΙΟΝΟΤΙΚΟ ΔΗΜΟΤΙΚΟ ΣΧΟΛΕΙΟ ΙΑΜΠΟΛΕΩΣ</t>
  </si>
  <si>
    <t>mail@dim-meion-iampol.rod.sch.gr</t>
  </si>
  <si>
    <t>ΙΑΜΠΟΛΕΩΣ</t>
  </si>
  <si>
    <t>ΙΑΜΠΟΛΗ</t>
  </si>
  <si>
    <t>ΣΤΥΛΑΡΙΟΥ</t>
  </si>
  <si>
    <t>ΜΕΙΟΝΟΤΙΚΟ ΔΗΜΟΤΙΚΟ ΣΧΟΛΕΙΟ ΣΤΥΛΑΡΙΟΥ</t>
  </si>
  <si>
    <t>mail@dim-meion-stylar.rod.sch.gr</t>
  </si>
  <si>
    <t>ΣΤΥΛΑΡΙΟ</t>
  </si>
  <si>
    <t>ΜΕΙΟΝΟΤΙΚΟ ΔΗΜΟΤΙΚΟ ΣΧΟΛΕΙΟ ΡΙΖΩΜΑΤΟΣ</t>
  </si>
  <si>
    <t>mail@dim-meion-rizom.rod.sch.gr</t>
  </si>
  <si>
    <t>ΡΙΖΩΜΑΤΟΣ</t>
  </si>
  <si>
    <t>ΡΙΖΩΜΑ</t>
  </si>
  <si>
    <t>ΣΩΣΤΗ</t>
  </si>
  <si>
    <t>ΔΗΜΟΤΙΚΟ ΣΧΟΛΕΙΟ ΣΩΣΤΗ</t>
  </si>
  <si>
    <t>dimsostou@dim-sostou.rod.sch.gr</t>
  </si>
  <si>
    <t>ΣΩΣΤΗΣ</t>
  </si>
  <si>
    <t>ΒΡΑΓΙΑΣ</t>
  </si>
  <si>
    <t>ΜΕΙΟΝΟΤΙΚΟ ΔΗΜΟΤΙΚΟ ΣΧΟΛΕΙΟ ΒΡΑΓΙΑΣ</t>
  </si>
  <si>
    <t>mail@dim-meion-vragiou.rod.sch.gr</t>
  </si>
  <si>
    <t>ΣΑΛΑΜΙΝΑΣ 8</t>
  </si>
  <si>
    <t>ΠΛΑΓΙΑ</t>
  </si>
  <si>
    <t>ΜΕΙΟΝΟΤΙΚΟ ΔΗΜΟΤΙΚΟ ΣΧΟΛΕΙΟ ΠΛΑΓΙΑΣ</t>
  </si>
  <si>
    <t>mail@dim-meion-plagias.rod.sch.gr</t>
  </si>
  <si>
    <t>Χωριό Πλαγιά Νομού Ροδόπης</t>
  </si>
  <si>
    <t>ΛΑΜΠΡΟΥ</t>
  </si>
  <si>
    <t>ΜΕΙΟΝΟΤΙΚΟ ΔΗΜΟΤΙΚΟ ΣΧΟΛΕΙΟ ΛΑΜΠΡΟΥ</t>
  </si>
  <si>
    <t>mail@dim-meion-lampr.rod.sch.gr</t>
  </si>
  <si>
    <t>ΛΑΜΠΡΟ</t>
  </si>
  <si>
    <t>ΜΕΙΟΝΟΤΙΚΟ ΔΗΜΟΤΙΚΟ ΣΧΟΛΕΙΟ ΠΕΛΕΚΗΤΗΣ</t>
  </si>
  <si>
    <t>mail@dim-meion-pelek.rod.sch.gr</t>
  </si>
  <si>
    <t>ΠΕΛΕΚΗΤΗ - ΑΜΑΞΑΔΩΝ</t>
  </si>
  <si>
    <t>ΛΟΦΑΡΙΟΥ</t>
  </si>
  <si>
    <t>ΜΕΙΟΝΟΤΙΚΟ ΔΗΜΟΤΙΚΟ ΣΧΟΛΕΙΟ ΛΟΦΑΡΙΟΥ</t>
  </si>
  <si>
    <t>mail@dim-meion-lofar.rod.sch.gr</t>
  </si>
  <si>
    <t>ΛΟΦΑΡΙΟ</t>
  </si>
  <si>
    <t>mail@8dim-komot.rod.sch.gr</t>
  </si>
  <si>
    <t>ΣΚΑΛΩΜΑ</t>
  </si>
  <si>
    <t>ΜΕΙΟΝΟΤΙΚΟ ΔΗΜΟΤΙΚΟ ΣΧΟΛΕΙΟ ΣΚΑΛΩΜΑΤΟΣ</t>
  </si>
  <si>
    <t>mail@dim-meion-skalom.rod.sch.gr</t>
  </si>
  <si>
    <t>ΜΕΙΟΝΟΤΙΚΟ ΔΗΜΟΤΙΚΟ ΣΧΟΛΕΙΟ ΜΑΣΤΑΝΛΗ ΚΟΜΟΤΗΝΗΣ</t>
  </si>
  <si>
    <t>mail@dim-meion-mastanl.rod.sch.gr</t>
  </si>
  <si>
    <t>ΜΙΝΩΟΣ 17</t>
  </si>
  <si>
    <t>ΦΑΝΑΡΙΟΥ</t>
  </si>
  <si>
    <t>ΝΗΠΙΑΓΩΓΕΙΟ ΦΑΝΑΡΙΟΥ ΚΟΜΟΤΗΝΗΣ</t>
  </si>
  <si>
    <t>mail@nip-fanar.rod.sch.gr</t>
  </si>
  <si>
    <t>ΦΑΝΑΡΙ</t>
  </si>
  <si>
    <t>ΑΜΦΙΑΣ</t>
  </si>
  <si>
    <t>ΜΕΙΟΝΟΤΙΚΟ ΔΗΜΟΤΙΚΟ ΣΧΟΛΕΙΟ ΤΣΙΦΛΙΚΙ</t>
  </si>
  <si>
    <t>mail@dim-meion-tsifl.rod.sch.gr</t>
  </si>
  <si>
    <t>ΣΑΠΕΣ</t>
  </si>
  <si>
    <t>ΤΣΙΦΛΙΚΙ</t>
  </si>
  <si>
    <t>ΜΕΙΟΝΟΤΙΚΟ ΔΗΜΟΤΙΚΟ ΣΧΟΛΕΙΟ ΣΑΡΑΚΗΝΗΣ</t>
  </si>
  <si>
    <t>mail@dim-meion-sarak.rod.sch.gr</t>
  </si>
  <si>
    <t>ΣΑΡΑΚΗΝΗΣ</t>
  </si>
  <si>
    <t>ΣΑΡΑΚΗΝΗ</t>
  </si>
  <si>
    <t>ΜΕΙΟΝΟΤΙΚΟ ΔΗΜΟΤΙΚΟ ΣΧΟΛΕΙΟ ΕΡΓΑΝΗΣ</t>
  </si>
  <si>
    <t>mail@dim-meion-ergan.rod.sch.gr</t>
  </si>
  <si>
    <t>ΕΡΓΑΝΗΣ</t>
  </si>
  <si>
    <t>ΕΡΓΑΝΗ</t>
  </si>
  <si>
    <t>ΜΙΚΡΟΥ ΠΙΣΤΟΥ</t>
  </si>
  <si>
    <t>ΜΕΙΟΝΟΤΙΚΟ ΔΗΜΟΤΙΚΟ ΣΧΟΛΕΙΟ ΜΙΚΡΟΥ ΠΙΣΤΟΥ</t>
  </si>
  <si>
    <t>mail@dim-meion-mikr-pistou.rod.sch.gr</t>
  </si>
  <si>
    <t>ΜΙΚΡΟ ΠΙΣΤΟ</t>
  </si>
  <si>
    <t>ΓΡΑΤΙΝΗ</t>
  </si>
  <si>
    <t>ΝΗΠΙΑΓΩΓΕΙΟ ΓΡΑΤΙΝΗΣ</t>
  </si>
  <si>
    <t>mail@nip-gratin.rod.sch.gr</t>
  </si>
  <si>
    <t>ΠΑΤΕΡΜΩΝ</t>
  </si>
  <si>
    <t>ΜΕΙΟΝΟΤΙΚΟ ΔΗΜΟΤΙΚΟ ΣΧΟΛΕΙΟ ΠΑΤΕΡΜΩΝ</t>
  </si>
  <si>
    <t>mail@dim-meion-paterm.rod.sch.gr</t>
  </si>
  <si>
    <t>ΠΑΤΕΡΜΑ</t>
  </si>
  <si>
    <t>ΔΡΟΣΙΑ</t>
  </si>
  <si>
    <t>ΜΕΙΟΝΟΤΙΚΟ ΔΗΜΟΤΙΚΟ ΣΧΟΛΕΙΟ ΔΡΟΣΙΑΣ</t>
  </si>
  <si>
    <t>mail@dim-meion-drosias.rod.sch.gr</t>
  </si>
  <si>
    <t>ΔΡΟΣΙΑΣ</t>
  </si>
  <si>
    <t>ΚΕΧΡΟΥ</t>
  </si>
  <si>
    <t>ΜΕΙΟΝΟΤΙΚΟ ΔΗΜΟΤΙΚΟ ΣΧΟΛΕΙΟ ΚΕΧΡΟΥ</t>
  </si>
  <si>
    <t>mail@dim-meion-kechr.rod.sch.gr</t>
  </si>
  <si>
    <t>ΚΕΧΡΟΣ</t>
  </si>
  <si>
    <t>ΝΗΠΙΑΓΩΓΕΙΟ ΑΜΦΙΩΝ</t>
  </si>
  <si>
    <t>mail@nip-amfion.rod.sch.gr</t>
  </si>
  <si>
    <t>ΑΜΦΙΑ ΣΑΠΩΝ</t>
  </si>
  <si>
    <t>2ο ΜΕΙΟΝΟΤΙΚΟ ΔΗΜΟΤΙΚΟ ΣΧΟΛΕΙΟ ΜΙΚΡΟΣ ΚΕΧΡΟΣ - ΜΙΚΡΟΥ ΚΕΧΡΟΥ</t>
  </si>
  <si>
    <t>mail@2dim-meion-mikr-kechr.rod.sch.gr</t>
  </si>
  <si>
    <t>ΜΙΚΡΟΣ ΚΕΧΡΟΣ</t>
  </si>
  <si>
    <t>ΔΗΜΟΤΙΚΟ ΣΧΟΛΕΙΟ ΦΑΝΑΡΙΟΥ</t>
  </si>
  <si>
    <t>mail@dim-fanar.rod.sch.gr</t>
  </si>
  <si>
    <t>ΦΑΝΑΡΙ Ν. ΡΟΔΟΠΗΣ</t>
  </si>
  <si>
    <t>2ο ΝΗΠΙΑΓΩΓΕΙΟ ΚΟΜΟΤΗΝΗΣ</t>
  </si>
  <si>
    <t>mail@2nip-komot.rod.sch.gr</t>
  </si>
  <si>
    <t>ΘΕΜΙΔΟΣ 4</t>
  </si>
  <si>
    <t>ΝΗΠΙΑΓΩΓΕΙΟ ΙΑΣΜΟΥ</t>
  </si>
  <si>
    <t>mail@nip-iasmou.rod.sch.gr</t>
  </si>
  <si>
    <t>ΙΑΣΜΟΣ</t>
  </si>
  <si>
    <t>mail@dim-n-kallistr.rod.sch.gr</t>
  </si>
  <si>
    <t>ΝΕΑ ΚΑΛΛΙΣΤΗ</t>
  </si>
  <si>
    <t>1ο ΜΕΙΟΝΟΤΙΚΟ ΔΗΜΟΤΙΚΟ ΣΧΟΛΕΙΟ ΑΣΩΜΑΤΩΝ</t>
  </si>
  <si>
    <t>mail@1dim-meion-asom.rod.sch.gr</t>
  </si>
  <si>
    <t>ΑΣΩΜΑΤΟΙ ΝΟΜΟΥ ΡΟΔΟΠΗΣ</t>
  </si>
  <si>
    <t>ΑΡΙΣΒΗΣ</t>
  </si>
  <si>
    <t>2ο ΜΕΙΟΝΟΤΙΚΟ ΔΗΜΟΤΙΚΟ ΣΧΟΛΕΙΟ ΑΡΙΣΒΗΣ - ΜΕΙΟΝΟΤΙΚΟ ΣΧΟΛΕΙΟ ΑΡΙΣΒΗΣ</t>
  </si>
  <si>
    <t>mail@2dim-meion-arisv.rod.sch.gr</t>
  </si>
  <si>
    <t>ΛΗΝΟΥ</t>
  </si>
  <si>
    <t>ΜΕΙΟΝΟΤΙΚΟ ΔΗΜΟΤΙΚΟ ΣΧΟΛΕΙΟ ΛΗΝΟΥ</t>
  </si>
  <si>
    <t>mail@dim-meion-linou.rod.sch.gr</t>
  </si>
  <si>
    <t>ΛΗΝΟΣ</t>
  </si>
  <si>
    <t>ΛΗΝΟ</t>
  </si>
  <si>
    <t>ΚΙΝΥΡΩΝ</t>
  </si>
  <si>
    <t>ΜΕΙΟΝΟΤΙΚΟ ΔΗΜΟΤΙΚΟ ΣΧΟΛΕΙΟ ΚΙΝΥΡΑ - ΜΕΙΟΝΟΤΙΚΟ ΣΧΟΛΕΙΟ ΚΙΝΥΡΩΝ</t>
  </si>
  <si>
    <t>mail@dim-meion-kinyr.rod.sch.gr</t>
  </si>
  <si>
    <t>ΚΙΝΥΡΑ</t>
  </si>
  <si>
    <t>ΜΕΙΟΝΟΤΙΚΟ ΔΗΜΟΤΙΚΟ ΣΧΟΛΕΙΟ ΚΑΤΩ ΚΑΡΔΑΜΟΥ</t>
  </si>
  <si>
    <t>mail@dim-meion-kat-kardam.rod.sch.gr</t>
  </si>
  <si>
    <t>ΚΑΤΩ ΚΑΡΔΑΜΟΥ</t>
  </si>
  <si>
    <t>ΚΑΤΩ  ΚΑΡΔΑΜΟΣ</t>
  </si>
  <si>
    <t>2ο ΜΕΙΟΝΟΤΙΚΟ ΔΗΜΟΤΙΚΟ ΣΧΟΛΕΙΟ ΦΙΛΥΡΑΣ</t>
  </si>
  <si>
    <t>mail@2dim-meion-filyr.rod.sch.gr</t>
  </si>
  <si>
    <t>ΦΙΛΥΡΑΣ</t>
  </si>
  <si>
    <t>ΦΙΛΛΥΡΑ</t>
  </si>
  <si>
    <t>ΜΕΙΟΝΟΤΙΚΟ ΔΗΜΟΤΙΚΟ ΣΧΟΛΕΙΟ ΚΟΜΟΤΗΝΗΣ - ΣΕΧΡΕ ΚΙΟΥΣΤΟΥ</t>
  </si>
  <si>
    <t>mail@dim-meion-sechr.rod.sch.gr</t>
  </si>
  <si>
    <t>Π.ΓΡΗΓΟΡΙΟΥ Ε 8</t>
  </si>
  <si>
    <t>ΚΑΤΩ ΔΡΟΣΙΝΗ</t>
  </si>
  <si>
    <t>ΜΕΙΟΝΟΤΙΚΟ ΔΗΜΟΤΙΚΟ ΣΧΟΛΕΙΟ ΚΑΤΩ ΔΡΟΣΙΝΗΣ</t>
  </si>
  <si>
    <t>mail@dim-kat-drosin.rod.sch.gr</t>
  </si>
  <si>
    <t>ΚΑΤΩ ΔΡΟΣΙΝΗΣ</t>
  </si>
  <si>
    <t>ΚΑΤΩ  ΔΡΟΣΙΝΗ</t>
  </si>
  <si>
    <t>ΑΓΡΑΣ</t>
  </si>
  <si>
    <t>ΜΕΙΟΝΟΤΙΚΟ ΔΗΜΟΤΙΚΟ ΣΧΟΛΕΙΟ ΑΓΡΑΣ - ΜΕΙΟΝΟΤΙΚΟ ΣΧΟΛΕΙΟ ΑΓΡΑΣ</t>
  </si>
  <si>
    <t>mail@dim-meion-agras.rod.sch.gr</t>
  </si>
  <si>
    <t>ΑΓΡΑ</t>
  </si>
  <si>
    <t>ΜΕΙΟΝΟΤΙΚΟ ΔΗΜΟΤΙΚΟ ΣΧΟΛΕΙΟ ΜΥΡΤΙΣΚΗΣ</t>
  </si>
  <si>
    <t>mail@dim-meion-myrtisk.rod.sch.gr</t>
  </si>
  <si>
    <t>ΜΥΡΤΙΣΚΗ</t>
  </si>
  <si>
    <t>ΘΡΥΛΟΡΙΟΥ</t>
  </si>
  <si>
    <t>ΜΕΙΟΝΟΤΙΚΟ ΔΗΜΟΤΙΚΟ ΣΧΟΛΕΙΟ ΦΥΛΑΚΑ</t>
  </si>
  <si>
    <t>mail@dim-meion-fylak.rod.sch.gr</t>
  </si>
  <si>
    <t>ΦΥΛΑΚΑ</t>
  </si>
  <si>
    <t>ΦΥΛΑΚΑΣ</t>
  </si>
  <si>
    <t>ΠΟΡΠΗΣ</t>
  </si>
  <si>
    <t>ΟΛΟΗΜΕΡΟ ΜΕΙΟΝΟΤΙΚΟ ΔΗΜΟΤΙΚΟ ΣΧΟΛΕΙΟ ΠΟΡΠΗΣ</t>
  </si>
  <si>
    <t>mail@dim-porpis.rod.sch.gr</t>
  </si>
  <si>
    <t>ΠΟΡΠΗ</t>
  </si>
  <si>
    <t>ΕΣΟΧΗΣ</t>
  </si>
  <si>
    <t>ΜΕΙΟΝΟΤΙΚΟ ΔΗΜΟΤΙΚΟ ΣΧΟΛΕΙΟ ΕΣΟΧΗΣ</t>
  </si>
  <si>
    <t>mail@dim-meion-esoch.rod.sch.gr</t>
  </si>
  <si>
    <t>ΕΣΟΧΗ</t>
  </si>
  <si>
    <t>7° ΝΗΠΙΑΓΩΓΕΙΟ ΚΟΜΟΤΗΝΗΣ</t>
  </si>
  <si>
    <t>mail@7nip-komot.rod.sch.gr</t>
  </si>
  <si>
    <t>ΓΡ. ΜΑΡΑΣΛΗ 19</t>
  </si>
  <si>
    <t>ΜΕΙΟΝΟΤΙΚΟ ΔΗΜΟΤΙΚΟ ΣΧΟΛΕΙΟ ΑΡΣΑΚΕΙΟΥ</t>
  </si>
  <si>
    <t>mail@dim-meion-arsak.rod.sch.gr</t>
  </si>
  <si>
    <t>ΑΡΣΑΚΕΙΟ</t>
  </si>
  <si>
    <t>ΑΡΣΑΚΕΙΟ ΣΑΠΩΝ</t>
  </si>
  <si>
    <t>ΑΝΩ ΔΡΟΣΙΝΗΣ</t>
  </si>
  <si>
    <t>ΜΕΙΟΝΟΤΙΚΟ ΔΗΜΟΤΙΚΟ ΣΧΟΛΕΙΟ ΑΝΩ ΔΡΟΣΙΝΗΣ</t>
  </si>
  <si>
    <t>mail@dim-an-drosin.rod.sch.gr</t>
  </si>
  <si>
    <t>ΑΝΩ  ΔΡΟΣΙΝΗ</t>
  </si>
  <si>
    <t>ΜΕΙΟΝΟΤΙΚΟ ΔΗΜΟΤΙΚΟ ΣΧΟΛΕΙΟ ΦΩΛΕΑΣ</t>
  </si>
  <si>
    <t>mail@dim-meion-foleas.rod.sch.gr</t>
  </si>
  <si>
    <t>ΦΩΛΕΑ</t>
  </si>
  <si>
    <t>ΠΑΣΣΟΥ</t>
  </si>
  <si>
    <t>ΜΕΙΟΝΟΤΙΚΟ ΔΗΜΟΤΙΚΟ ΣΧΟΛΕΙΟ ΠΑΣΣΟΥ</t>
  </si>
  <si>
    <t>mail@dim-meion-passou.rod.sch.gr</t>
  </si>
  <si>
    <t>ΠΑΣΣΟΣ</t>
  </si>
  <si>
    <t>ΜΕΙΟΝΟΤΙΚΟ ΔΗΜΟΤΙΚΟ ΣΧΟΛΕΙΟ ΚΑΤΩ ΒΥΡΣΙΝΗΣ</t>
  </si>
  <si>
    <t>mail@dim-meion-kat-vyrsin.rod.sch.gr</t>
  </si>
  <si>
    <t>ΚΑΤΩ ΒΥΡΣΙΝΗΣ</t>
  </si>
  <si>
    <t>ΚΑΤΩ  ΒΥΡΣΙΝΗ</t>
  </si>
  <si>
    <t>ΜΕΙΟΝΟΤΙΚΟ ΔΗΜΟΤΙΚΟ ΣΧΟΛΕΙΟ ΚΥΜΗΣ</t>
  </si>
  <si>
    <t>mail@dim-meion-kymis.rod.sch.gr</t>
  </si>
  <si>
    <t>ΚΥΜΗ</t>
  </si>
  <si>
    <t>ΚΥΜΗ ΡΟΔΟΠΗΣ</t>
  </si>
  <si>
    <t>ΣΙΔΗΡΑΔΩΝ</t>
  </si>
  <si>
    <t>ΜΕΙΟΝΟΤΙΚΟ ΔΗΜΟΤΙΚΟ ΣΧΟΛΕΙΟ ΣΙΔΗΡΑΔΩΝ</t>
  </si>
  <si>
    <t>mail@dim-meion-sidir.rod.sch.gr</t>
  </si>
  <si>
    <t>ΣΙΔΗΡΑΔΕΣ</t>
  </si>
  <si>
    <t>ΜΕΙΟΝΟΤΙΚΟ ΔΗΜΟΤΙΚΟ ΣΧΟΛΕΙΟ ΚΑΛΑΜΟΚΑΣΤΡΟΥ</t>
  </si>
  <si>
    <t>mail@dim-meion-kalam.rod.sch.gr</t>
  </si>
  <si>
    <t>ΚΑΛΑΜΟΚΑΣΤΡΟ</t>
  </si>
  <si>
    <t>ΝΗΠΙΑΓΩΓΕΙΟ Ν. ΚΑΛΛΙΣΤΗΣ</t>
  </si>
  <si>
    <t>mail@nip-n-kallist.rod.sch.gr</t>
  </si>
  <si>
    <t>ΚΟΜΟΤΗΝΗ ΡΟΔΟΠΗΣ</t>
  </si>
  <si>
    <t>Ν. ΚΑΛΛΙΣΤΗ</t>
  </si>
  <si>
    <t>ΜΕΙΟΝΟΤΙΚΟ ΔΗΜΟΤΙΚΟ ΣΧΟΛΕΙΟ ΚΑΛΥΒΙΩΝ</t>
  </si>
  <si>
    <t>mail@dim-kalyv.rod.sch.gr</t>
  </si>
  <si>
    <t>ΚΑΛΥΒΙΩΝ</t>
  </si>
  <si>
    <t>ΚΑΛΥΒΙΑ</t>
  </si>
  <si>
    <t>ΜΕΙΟΝΟΤΙΚΟ ΔΗΜΟΤΙΚΟ ΣΧΟΛΕΙΟ ΣΜΙΓΑΔΑΣ</t>
  </si>
  <si>
    <t>mail@dim-meion-smigad.rod.sch.gr</t>
  </si>
  <si>
    <t>ΣΜΙΓΑΔΑΣ</t>
  </si>
  <si>
    <t>ΣΜΙΓΑΔΑ</t>
  </si>
  <si>
    <t>ΟΜΗΡΙΚΟΥ</t>
  </si>
  <si>
    <t>ΜΕΙΟΝΟΤΙΚΟ ΔΗΜΟΤΙΚΟ ΣΧΟΛΕΙΟ ΟΜΗΡΙΚΟΥ</t>
  </si>
  <si>
    <t>mail@dim-meion-omirik.rod.sch.gr</t>
  </si>
  <si>
    <t>ΟΜΗΡΙΚΟ</t>
  </si>
  <si>
    <t>Ολοήμερο Δημοτικό Σχολείο Διαπολιτισμικής Εκπαίδευσης</t>
  </si>
  <si>
    <t>ΔΙΑΠΟΛΙΤΙΣΜΙΚΟ ΔΗΜΟΤΙΚΟ ΣΧΟΛΕΙΟ ΙΑΣΜΟΥ</t>
  </si>
  <si>
    <t>mail@dim-iasmou.rod.sch.gr</t>
  </si>
  <si>
    <t>ΜΕΙΟΝΟΤΙΚΟ ΔΗΜΟΤΙΚΟ ΣΧΟΛΕΙΟ ΑΝΩ ΒΥΡΣΙΝΗΣ</t>
  </si>
  <si>
    <t>mail@dim-meion-an-vyrsin.rod.sch.gr</t>
  </si>
  <si>
    <t>ΑΝΩ ΒΥΡΣΙΝΗ</t>
  </si>
  <si>
    <t>ΑΝΩ  ΒΥΡΣΙΝΗ</t>
  </si>
  <si>
    <t>ΔΡΥΜΗΣ</t>
  </si>
  <si>
    <t>ΜΕΙΟΝΟΤΙΚΟ ΔΗΜΟΤΙΚΟ ΣΧΟΛΕΙΟ ΔΡΥΜΗΣ</t>
  </si>
  <si>
    <t>mail@dim-meion-drymis.rod.sch.gr</t>
  </si>
  <si>
    <t>ΔΡΥΜΗ</t>
  </si>
  <si>
    <t>mail@dim-organ.rod.sch.gr</t>
  </si>
  <si>
    <t>ΜΕΙΟΝΟΤΙΚΟ ΔΗΜΟΤΙΚΟ ΣΧΟΛΕΙΟ ΒΕΝΝΑΣ</t>
  </si>
  <si>
    <t>mail@dim-meion-vennas.rod.sch.gr</t>
  </si>
  <si>
    <t>ΒΕΝΝΑ</t>
  </si>
  <si>
    <t>mail@2dim-meion-komot.rod.sch.gr</t>
  </si>
  <si>
    <t>ΦΙΛΙΠΠΟΥΠΟΛΕΩΣ 30</t>
  </si>
  <si>
    <t>ΜΕΙΟΝΟΤΙΚΟ ΔΗΜΟΤΙΚΟ ΣΧΟΛΕΙΟ ΑΜΑΡΑΝΤΩΝ</t>
  </si>
  <si>
    <t>mail@dim-meion-amarant.rod.sch.gr</t>
  </si>
  <si>
    <t>ΑΜΑΡΑΝΤΑ</t>
  </si>
  <si>
    <t>ΑΜΑΡΑΝΤΑ-ΚΟΜΟΤΗΝΗ-ΡΟΔΟΠΗΣ</t>
  </si>
  <si>
    <t>ΜΕΙΟΝΟΤΙΚΟ ΔΗΜΟΤΙΚΟ ΣΧΟΛΕΙΟ ΙΣΑΛΟΥ</t>
  </si>
  <si>
    <t>mail@dim-meion-isalou.rod.sch.gr</t>
  </si>
  <si>
    <t>ΙΣΑΛΟΥ</t>
  </si>
  <si>
    <t>ΙΣΑΛΟΣ</t>
  </si>
  <si>
    <t>ΜΕΙΟΝΟΤΙΚΟ ΔΗΜΟΤΙΚΟ ΣΧΟΛΕΙΟ ΑΝΩ ΚΑΡΔΑΜΟΥ</t>
  </si>
  <si>
    <t>mail@dim-meion-an-kardam.rod.sch.gr</t>
  </si>
  <si>
    <t>ΑΝΩ ΚΑΡΔΑΜΟΥ</t>
  </si>
  <si>
    <t>ΑΝΩ  ΚΑΡΔΑΜΟΣ</t>
  </si>
  <si>
    <t>ΠΟΛΥΑΝΘΟΥ</t>
  </si>
  <si>
    <t>ΜΕΙΟΝΟΤΙΚΟ ΔΗΜΟΤΙΚΟ ΣΧΟΛΕΙΟ ΠΟΛΥΑΝΘΟΣ</t>
  </si>
  <si>
    <t>mail@dim-meion-polyanth.rod.sch.gr</t>
  </si>
  <si>
    <t>ΠΟΛΥΑΝΘΟΣ</t>
  </si>
  <si>
    <t>ΚΗΚΙΔΙΟΥ</t>
  </si>
  <si>
    <t>mail@dim-meion-kikid.rod.sch.gr</t>
  </si>
  <si>
    <t>ΚΙΚΙΔΙΟΥ</t>
  </si>
  <si>
    <t>ΚΙΚΙΔΙΟ</t>
  </si>
  <si>
    <t>2ο ΜΕΙΟΝΟΤΙΚΟ ΔΗΜΟΤΙΚΟ ΣΧΟΛΕΙΟ ΛΥΚΕΙΟΥ - ΜΕΙΟΝΟΤΙΚΟ ΔΗΜΟΤΙΚΟ ΣΧΟΛΕΙΟ ΛΥΚΕΙΟΥ</t>
  </si>
  <si>
    <t>mail@2dim-meion-lykeiou.rod.sch.gr</t>
  </si>
  <si>
    <t>ΙΜΕΡΟΥ</t>
  </si>
  <si>
    <t>ΜΕΙΟΝΟΤΙΚΟ ΔΗΜΟΤΙΚΟ ΣΧΟΛΕΙΟ ΠΑΜΦΟΡΟΥ</t>
  </si>
  <si>
    <t>mail@dim-meion-pamfor.rod.sch.gr</t>
  </si>
  <si>
    <t>ΠΑΜΦΟΡΟΥ</t>
  </si>
  <si>
    <t>ΠΑΜΦΟΡΟ</t>
  </si>
  <si>
    <t>ΜΕΙΟΝΟΤΙΚΟ ΔΗΜΟΤΙΚΟ ΣΧΟΛΕΙΟ ΜΙΚΡ.ΔΟΥΚΑΤΟΥ</t>
  </si>
  <si>
    <t>mail@dim-meion-mikr-doukat.rod.sch.gr</t>
  </si>
  <si>
    <t>ΜΙΚΡ.ΔΟΥΚΑΤΟΥ</t>
  </si>
  <si>
    <t>ΜΙΚΡΟ ΔΟΥΚΑΤΟ</t>
  </si>
  <si>
    <t>ΜΕΙΟΝΟΤΙΚΟ ΔΗΜΟΤΙΚΟ ΣΧΟΛΕΙΟ ΜΑΥΡΟΜΑΤΙΟΥ ΡΟΔΟΠΗΣ</t>
  </si>
  <si>
    <t>mail@dim-meion-mavrom.rod.sch.gr</t>
  </si>
  <si>
    <t>ΜΑΥΡΟΜΑΤΙΟΥ ΡΟΔΟΠΗΣ</t>
  </si>
  <si>
    <t>ΜΑΥΡΟΜΑΤΙ</t>
  </si>
  <si>
    <t>ΜΕΓΑΛΟΥ ΔΟΥΚΑΤΟΥ</t>
  </si>
  <si>
    <t>ΜΕΙΟΝΟΤΙΚΟ ΔΗΜΟΤΙΚΟ ΣΧΟΛΕΙΟ ΜΕΓΑΛΟΥ ΔΟΥΚΑΤΟΥ</t>
  </si>
  <si>
    <t>mail@dim-meion-meg-doukat.rod.sch.gr</t>
  </si>
  <si>
    <t>ΜΕΓΑΛΟ ΔΟΥΚΑΤΟ</t>
  </si>
  <si>
    <t>ΜΕΓΑΛΟ  ΔΟΥΚΑΤΟ</t>
  </si>
  <si>
    <t>ΜΕΙΟΝΟΤΙΚΟ ΣΧΟΛΕΙΟ ΣΏΣΤΗ</t>
  </si>
  <si>
    <t>mail@dim-meion-sostou.rod.sch.gr</t>
  </si>
  <si>
    <t>ΣΏΣΤΗ</t>
  </si>
  <si>
    <t>ΜΕΙΟΝΟΤΙΚΟ ΔΗΜΟΤΙΚΟ ΣΧΟΛΕΙΟ ΜΟΝΑΣΤΗΡΙ ΚΕΧΡΟΥ - ΜΕΙΟΝΟΤΙΚΟ ΔΗΜΟΤΙΚΟ ΣΧΟΛΕΙΟ ΜΟΝΑΣΤΗΡΙΟΥ</t>
  </si>
  <si>
    <t>mail@dim-meion-monast.rod.sch.gr</t>
  </si>
  <si>
    <t>ΜΟΝΑΣΤΗΡΙ ΚΕΧΡΟΥ</t>
  </si>
  <si>
    <t>ΜΟΝΑΣΤΗΡΙΟΥ</t>
  </si>
  <si>
    <t>ΚΑΛΛΙΣΤΗΣ</t>
  </si>
  <si>
    <t>ΜΕΙΟΝΟΤΙΚΟ ΔΗΜΟΤΙΚΟ ΣΧΟΛΕΙΟ ΠΑΛ.ΚΑΛΛΙΣΤΗΣ</t>
  </si>
  <si>
    <t>mail@dim-meion-p-kallist.rod.sch.gr</t>
  </si>
  <si>
    <t>ΠΑΛ.ΚΑΛΛΙΣΤΗΣ</t>
  </si>
  <si>
    <t>ΠΑΛΙΑ ΚΑΛΛΙΣΤΗ</t>
  </si>
  <si>
    <t>ΝΗΠΙΑΓΩΓΕΙΟ ΞΥΛΑΓΑΝΗΣ</t>
  </si>
  <si>
    <t>mail@nip-xylag.rod.sch.gr</t>
  </si>
  <si>
    <t>ΣΩΚΡΑΤΗ 11</t>
  </si>
  <si>
    <t>ΔΟΚΟΥ</t>
  </si>
  <si>
    <t>ΜΕΙΟΝΟΤΙΚΟ ΔΗΜΟΤΙΚΟ ΣΧΟΛΕΙΟ ΔΟΚΟΥ</t>
  </si>
  <si>
    <t>mail@dim-meion-dokou.rod.sch.gr</t>
  </si>
  <si>
    <t>ΔΟΚΟΣ</t>
  </si>
  <si>
    <t>ΜΕΙΟΝΟΤΙΚΟ ΔΗΜΟΤΙΚΟ ΣΧΟΛΕΙΟ ΚΕΡΑΣΙΑΣ</t>
  </si>
  <si>
    <t>mail@dim-meion-keras.rod.sch.gr</t>
  </si>
  <si>
    <t>ΚΕΡΑΣΙΑ</t>
  </si>
  <si>
    <t>ΜΕΙΟΝΟΤΙΚΟ ΔΗΜΟΤΙΚΟ ΣΧΟΛΕΙΟ ΤΣΟΥΚΑ - ΜΕΙΟΝΟΤΙΚΟ ΣΧΟΛΕΙΟ ΤΣΟΥΚΑΣ</t>
  </si>
  <si>
    <t>mail@dim-meion-tsouk.rod.sch.gr</t>
  </si>
  <si>
    <t>ΤΣΟΥΚΑ</t>
  </si>
  <si>
    <t>ΜΕΙΟΝΟΤΙΚΟ ΔΗΜΟΤΙΚΟ ΣΧΟΛΕΙΟ ΧΑΡΑΔΡΑΣ - ΜΕΙΟΝΟΤΙΚΟ ΣΧΟΛΕΙΟ ΧΑΡΑΔΡΑΣ</t>
  </si>
  <si>
    <t>ΧΑΡΑΔΡΑΣ</t>
  </si>
  <si>
    <t>ΧΑΡΑΔΡΑ</t>
  </si>
  <si>
    <t>ΜΕΙΟΝΟΤΙΚΟ ΔΗΜΟΤΙΚΟ ΣΧΟΛΕΙΟ ΧΛΟΗΣ</t>
  </si>
  <si>
    <t>mail@dim-meion-chlois.rod.sch.gr</t>
  </si>
  <si>
    <t>ΧΛΟΗ</t>
  </si>
  <si>
    <t>2ο ΔΗΜΟΤΙΚΟ ΣΧΟΛΕΙΟ ΚΟΜΟΤΗΝΗΣ</t>
  </si>
  <si>
    <t>mail@2dim-komot.rod.sch.gr</t>
  </si>
  <si>
    <t>ΝΗΠΙΑΓΩΓΕΙΟ ΑΡΣΑΚΕΙΟ</t>
  </si>
  <si>
    <t>mail@nip-arsak.rod.sch.gr</t>
  </si>
  <si>
    <t>11ο ΔΗΜΟΤΙΚΟ ΣΧΟΛΕΙΟ ΚΟΜΟΤΗΝΗΣ</t>
  </si>
  <si>
    <t>mail@11dim-komot.rod.sch.gr</t>
  </si>
  <si>
    <t>ΑΓΙΟΥ ΚΟΣΜΑ ΑΙΤΩΛΟΥ 15</t>
  </si>
  <si>
    <t>mail@dim-n-sidir.rod.sch.gr</t>
  </si>
  <si>
    <t>ΚΟΣΜΙΟΥ</t>
  </si>
  <si>
    <t>ΔΗΜΟΤΙΚΟ ΣΧΟΛΕΙΟ ΚΟΣΜΙΟΥ</t>
  </si>
  <si>
    <t>mail@dim-kosmiou.rod.sch.gr</t>
  </si>
  <si>
    <t>ΚΟΣΜΙΟ</t>
  </si>
  <si>
    <t>ΚΟΣΜΙΟ ΚΟΜΟΤΗΝΗΣ</t>
  </si>
  <si>
    <t>ΕΙΔΙΚΟ ΔΗΜΟΤΙΚΟ ΣΧΟΛΕΙΟ ΚΟΜΟΤΗΝΗΣ -  ΕΙΔΙΚΟ ΣΧΟΛΕΙΟ ΚΟΜΟΤΗΝΗΣ</t>
  </si>
  <si>
    <t>mail@1dim-eid-komot.rod.sch.gr</t>
  </si>
  <si>
    <t>ΜΕΡ. ΣΕΡΡΩΝ 1</t>
  </si>
  <si>
    <t>9ο ΝΗΠΙΑΓΩΓΕΙΟ ΚΟΜΟΤΗΝΗΣ</t>
  </si>
  <si>
    <t>mail@9nip-komot.rod.sch.gr</t>
  </si>
  <si>
    <t>ΑΛΕΞ. ΠΑΠΑΔΙΑΜΑΝΤΗ</t>
  </si>
  <si>
    <t>ΜΥΣΤΑΚΑ</t>
  </si>
  <si>
    <t>ΜΕΙΟΝΟΤΙΚΟ ΔΗΜΟΤΙΚΟ ΣΧΟΛΕΙΟ ΜΥΣΤΑΚΑ</t>
  </si>
  <si>
    <t>mail@dim-meion-mystak.rod.sch.gr</t>
  </si>
  <si>
    <t>ΜΥΣΤΑΚΑΣ</t>
  </si>
  <si>
    <t>ΝΕΥΡΩΝ</t>
  </si>
  <si>
    <t>ΜΕΙΟΝΟΤΙΚΟ ΔΗΜΟΤΙΚΟ ΣΧΟΛΕΙΟ ΝΕΥΡΩΝ</t>
  </si>
  <si>
    <t>mail@dim-meion-nevron.rod.sch.gr</t>
  </si>
  <si>
    <t>ΝΕΥΡΑ</t>
  </si>
  <si>
    <t>ΔΗΜΟΤΙΚΟ ΣΧΟΛΕΙΟ ΑΜΑΞΑΔΩΝ</t>
  </si>
  <si>
    <t>mail@dim-amaxad.rod.sch.gr</t>
  </si>
  <si>
    <t>ΑΜΑΞΑΔΕΣ   Ν. ΡΟΔΟΠΗΣ</t>
  </si>
  <si>
    <t>ΡΑΓΑΔΑΣ</t>
  </si>
  <si>
    <t>ΜΕΙΟΝΟΤΙΚΟ ΔΗΜΟΤΙΚΟ ΣΧΟΛΕΙΟ ΡΑΓΑΔΑ - ΜΕΙΟΝΟΤΙΚΟ ΣΧΟΛΕΙΟ Β ΡΑΓΑΔΑΣ</t>
  </si>
  <si>
    <t>ΡΑΓΑΔΑ</t>
  </si>
  <si>
    <t>mail@3dim-komot.rod.sch.gr</t>
  </si>
  <si>
    <t>ΣΚΕΠΑΣΤΟΥ 24</t>
  </si>
  <si>
    <t>7ο ΔΗΜΟΤΙΚΟ ΣΧΟΛΕΙΟ ΚΟΜΟΤΗΝΗΣ</t>
  </si>
  <si>
    <t>mail@7dim-komot.rod.sch.gr</t>
  </si>
  <si>
    <t>ΓΡΗΓΟΡΙΟΥ ΜΑΡΑΣΛΗ 21</t>
  </si>
  <si>
    <t>mail@4dim-komot.rod.sch.gr</t>
  </si>
  <si>
    <t>ΧΑΡ. ΒΑΜΒΑΚΑ   30</t>
  </si>
  <si>
    <t>mail@5dim-komot.rod.sch.gr</t>
  </si>
  <si>
    <t>ΓΙΑΝΝΗ ΡΙΤΣΟΥ  ΚΟΜΟΤΗΝΗ 4</t>
  </si>
  <si>
    <t>6ο ΔΗΜΟΤΙΚΟ ΣΧΟΛΕΙΟ ΚΟΜΟΤΗΝΗΣ</t>
  </si>
  <si>
    <t>6dimkomo@sch.gr</t>
  </si>
  <si>
    <t>ΜΕΣΟΛΟΓΓΙΟΥ  9</t>
  </si>
  <si>
    <t>ΝΗΠΙΑΓΩΓΕΙΟ ΗΦΑΙΣΤΟΥ</t>
  </si>
  <si>
    <t>mail@nip-ifaist.rod.sch.gr</t>
  </si>
  <si>
    <t>ΗΦΑΙΣΤΟΣ</t>
  </si>
  <si>
    <t>ΗΦΑΙΣΤΟΥ</t>
  </si>
  <si>
    <t>ΜΕΙΟΝΟΤΙΚΟ ΔΗΜΟΤΙΚΟ ΣΧΟΛΕΙΟ ΑΜΦΙΩΝ</t>
  </si>
  <si>
    <t>mail@dim-meion-amfion.rod.sch.gr</t>
  </si>
  <si>
    <t>ΑΜΦΙΑ</t>
  </si>
  <si>
    <t>1ο ΜΕΙΟΝΟΤΙΚΟ ΔΗΜΟΤΙΚΟ ΣΧΟΛΕΙΟ ΡΑΓΑΔΑΣ</t>
  </si>
  <si>
    <t>mail@1dim-meion-ragad.rod.sch.gr</t>
  </si>
  <si>
    <t>ΜΕΙΟΝΟΤΙΚΟ ΔΗΜΟΤΙΚΟ ΣΧΟΛΕΙΟ ΧΑΜΗΛΟ ΚΕΧΡΟΥ - ΜΕΙΟΝΟΤΙΚΟ ΣΧΟΛΕΙΟ ΧΑΜΗΛΟΥ ΚΕΧΡΟΥ</t>
  </si>
  <si>
    <t>ΧΑΜΗΛΟ ΚΕΧΡΟΥ</t>
  </si>
  <si>
    <t>ΜΕΙΟΝΟΤΙΚΟ ΔΗΜΟΤΙΚΟ ΣΧΟΛΕΙΟ ΑΡΙΣΒΗΣ</t>
  </si>
  <si>
    <t>mail@1dim-meion-arisv.rod.sch.gr</t>
  </si>
  <si>
    <t>ΑΡΙΣΒΗ</t>
  </si>
  <si>
    <t>ΔΑΡΜΕΝΗ</t>
  </si>
  <si>
    <t>ΜΕΙΟΝΟΤΙΚΟ ΔΗΜΟΤΙΚΟ ΣΧΟΛΕΙΟ ΔΑΡΜΕΝΗΣ</t>
  </si>
  <si>
    <t>mail@dim-meion-darmen.rod.sch.gr</t>
  </si>
  <si>
    <t>ΣΤΡΟΦΗ</t>
  </si>
  <si>
    <t>ΟΛΟΗΜΕΡΟ ΜΕΙΟΝΟΤΙΚΟ ΔΗΜΟΤΙΚΟ ΣΧΟΛΕΙΟ ΣΤΡΟΦΗΣ</t>
  </si>
  <si>
    <t>mail@dim-meion-strof.rod.sch.gr</t>
  </si>
  <si>
    <t>ΜΕΙΟΝΟΤΙΚΟ ΔΗΜΟΤΙΚΟ ΣΧΟΛΕΙΟ ΦΙΛΛΥΡΑΣ</t>
  </si>
  <si>
    <t>mail@1dim-meion-filyr.rod.sch.gr</t>
  </si>
  <si>
    <t>ΔΕΙΛΙΝΩΝ</t>
  </si>
  <si>
    <t>ΜΕΙΟΝΟΤΙΚΟ ΔΗΜΟΤΙΚΟ ΣΧΟΛΕΙΟ ΔΕΙΛΙΝΩΝ</t>
  </si>
  <si>
    <t>mail@dim-meion-deilin.rod.sch.gr</t>
  </si>
  <si>
    <t>ΔΕΙΛΙΝΑ</t>
  </si>
  <si>
    <t>ΣΚΙΑΔΑΣ</t>
  </si>
  <si>
    <t>ΜΕΙΟΝΟΤΙΚΟ ΔΗΜΟΤΙΚΟ ΣΧΟΛΕΙΟ ΣΚΙΑΔΑΣ - ΜΕΙΟΝΟΤΙΚΟ ΔΗΜΟΤΙΚΟ ΣΧΟΛΕΙΟ ΣΚΙΑΔΑΣ</t>
  </si>
  <si>
    <t>mail@dim-meion-skiad.rod.sch.gr</t>
  </si>
  <si>
    <t>ΣΚΙΑΔΑ</t>
  </si>
  <si>
    <t>ΜΕΙΟΝΟΤΙΚΟ ΔΗΜΟΤΙΚΟ ΣΧΟΛΕΙΟ ΑΜΒΡΟΣΙΑΣ - ΜΕΙΟΝΟΤΙΚΟ ΔΗΜΟΤΙΚΟ ΣΧΟΛΕΙΟ ΑΜΒΡΟΣΙΑΣ</t>
  </si>
  <si>
    <t>mail@dim-amvros.rod.sch.gr</t>
  </si>
  <si>
    <t>ΧΩΡΙΟ ΑΜΒΡΟΣΙΑ</t>
  </si>
  <si>
    <t>mail@dim-meion-iasmou.rod.sch.gr</t>
  </si>
  <si>
    <t>ΚΟΛΟΚΟΤΡΩΝΗ</t>
  </si>
  <si>
    <t>ΔΗΜΟΤΙΚΟ ΣΧΟΛΕΙΟ ΑΙΓΕΙΡΟΥ</t>
  </si>
  <si>
    <t>mail@dim-aigeir.rod.sch.gr</t>
  </si>
  <si>
    <t>ΑΙΓΕΙΡΟΣ</t>
  </si>
  <si>
    <t>ΔΙΑΠΟΛΙΤΙΣΜΙΚΟ ΔΗΜΟΤΙΚΟ ΣΧΟΛΕΙΟ ΣΑΠΩΝ</t>
  </si>
  <si>
    <t>mail@dim-sapon.rod.sch.gr</t>
  </si>
  <si>
    <t>Γ. ΓΕΝΝΗΜΑΤΑ 2</t>
  </si>
  <si>
    <t>ΔΗΜΟΤΙΚΟ ΣΧΟΛΕΙΟ ΑΡΑΤΟΥ</t>
  </si>
  <si>
    <t>mail@dim-aratou.rod.sch.gr</t>
  </si>
  <si>
    <t>ΑΡΑΤΟΣ</t>
  </si>
  <si>
    <t>ΑΡΑΤΟΣ ΡΟΔΟΠΗΣ</t>
  </si>
  <si>
    <t>mail@dim-xylag.rod.sch.gr</t>
  </si>
  <si>
    <t>9ο ΔΗΜΟΤΙΚΟ ΣΧΟΛΕΙΟ ΚΟΜΟΤΗΝΗΣ</t>
  </si>
  <si>
    <t>mail@9dim-komot.rod.sch.gr</t>
  </si>
  <si>
    <t>ΑΛ. ΠΑΠΑΔΙΑΜΑΝΤΗ ΤΕΡΜΑ ΚΟΜΟΤΗΝΗ</t>
  </si>
  <si>
    <t>12ο ΔΗΜΟΤΙΚΟ ΣΧΟΛΕΙΟ ΚΟΜΟΤΗΝΗΣ</t>
  </si>
  <si>
    <t>mail@12dim-komot.rod.sch.gr</t>
  </si>
  <si>
    <t>ΟΠΙΣΘΕΝ ΝΟΣΟΚΟΜΕΙΟΥ -ΔΙΠΛΑ ΣΤΟ 9ο ΔΗΜΟΤΙΚΟ ΣΧ. ΚΟΜΟΤΗΝΗΣ</t>
  </si>
  <si>
    <t>ΝΗΠΙΑΓΩΓΕΙΟ ΑΡΡΙΑΝΑ</t>
  </si>
  <si>
    <t>mail@nip-arrian.rod.sch.gr</t>
  </si>
  <si>
    <t>ΝΗΠΙΑΓΩΓΕΙΟ ΑΙΓΕΙΡΟΥ</t>
  </si>
  <si>
    <t>mail@nip-aigeir.rod.sch.gr</t>
  </si>
  <si>
    <t>ΝΗΠΙΑΓΩΓΕΙΟ ΑΜΑΞΑΔΩΝ</t>
  </si>
  <si>
    <t>mail@nip-amaxad.rod.sch.gr</t>
  </si>
  <si>
    <t>1ο ΝΗΠΙΑΓΩΓΕΙΟ ΣΑΠΩΝ</t>
  </si>
  <si>
    <t>mail@1nip-sapon.rod.sch.gr</t>
  </si>
  <si>
    <t>ΚΕΡΑΣΟΥΝΤΟΣ 25</t>
  </si>
  <si>
    <t>ΝΗΠΙΑΓΩΓΕΙΟ ΑΡΑΤΟΥ</t>
  </si>
  <si>
    <t>mail@nip-aratou.rod.sch.gr</t>
  </si>
  <si>
    <t>1ο ΝΗΠΙΑΓΩΓΕΙΟ ΚΟΜΟΤΗΝΗΣ</t>
  </si>
  <si>
    <t>mail@1nip-komot.rod.sch.gr</t>
  </si>
  <si>
    <t>Γ.ΜΑΜΕΛΗ 11</t>
  </si>
  <si>
    <t>3ο ΝΗΠΙΑΓΩΓΕΙΟ ΚΟΜΟΤΗΝΗΣ</t>
  </si>
  <si>
    <t>mail@3nip-komot.rod.sch.gr</t>
  </si>
  <si>
    <t>2ο ΝΗΠΙΑΓΩΓΕΙΟ ΣΑΠΩΝ</t>
  </si>
  <si>
    <t>mail@2nip-sapon.rod.sch.gr</t>
  </si>
  <si>
    <t>ΓΕΩΡΓΙΟΥ ΓΕΝΝΗΜΑΤΑ 13</t>
  </si>
  <si>
    <t>ΝΗΠΙΑΓΩΓΕΙΟ ΚΟΣΜΙΟΥ</t>
  </si>
  <si>
    <t>mail@nip-kosmiou.rod.sch.gr</t>
  </si>
  <si>
    <t>8ο ΝΗΠΙΑΓΩΓΕΙΟ ΚΟΜΟΤΗΝΗΣ</t>
  </si>
  <si>
    <t>mail@8nip-komot.rod.sch.gr</t>
  </si>
  <si>
    <t>ΝΗΠΙΑΓΩΓΕΙΟ ΝΕΟΥ ΣΙΔΗΡΟΧΩΡΙΟΥ</t>
  </si>
  <si>
    <t>mail@nip-n-sidir.rod.sch.gr</t>
  </si>
  <si>
    <t>ΝΗΠΙΑΓΩΓΕΙΟ ΣΩΣΤΗ</t>
  </si>
  <si>
    <t>mail@nip-sostou.rod.sch.gr</t>
  </si>
  <si>
    <t>ΝΗΠΙΑΓΩΓΕΙΟ ΚΟΠΤΕΡΟΥ</t>
  </si>
  <si>
    <t>mail@nip-kopter.rod.sch.gr</t>
  </si>
  <si>
    <t>4ο ΝΗΠΙΑΓΩΓΕΙΟ ΚΟΜΟΤΗΝΗΣ</t>
  </si>
  <si>
    <t>mail@4nip-komot.rod.sch.gr</t>
  </si>
  <si>
    <t>ΧΑΡ. ΒΑΜΒΑΚΑ 30</t>
  </si>
  <si>
    <t>2ο ΜΕΙΟΝΟΤΙΚΟ ΔΗΜΟΤΙΚΟ ΣΧΟΛΕΙΟ ΑΡΡΙΑΝΏΝ - ΜΕΙΟΝΟΤΙΚΟ ΣΧΟΛΕΙΟ ΑΡΡΙΑΝΩΝ</t>
  </si>
  <si>
    <t>mail@2dim-meion-arrian.rod.sch.gr</t>
  </si>
  <si>
    <t>ΑΡΡΙΑΝΏΝ</t>
  </si>
  <si>
    <t>5ο ΝΗΠΙΑΓΩΓΕΙΟ ΚΟΜΟΤΗΝΗΣ</t>
  </si>
  <si>
    <t>mail@5nip-komot.rod.sch.gr</t>
  </si>
  <si>
    <t>ΓΙΑΝΝΗ ΡΙΤΣΟΥ 9</t>
  </si>
  <si>
    <t>6ο ΝΗΠΙΑΓΩΓΕΙΟ ΚΟΜΟΤΗΝΗΣ</t>
  </si>
  <si>
    <t>mail@6nip-komot.rod.sch.gr</t>
  </si>
  <si>
    <t>ΜΕΣΟΛΟΓΓΙΟΥ 7</t>
  </si>
  <si>
    <t>10ο ΝΗΠΙΑΓΩΓΕΙΟ ΚΟΜΟΤΗΝΗΣ</t>
  </si>
  <si>
    <t>mail@10nip-komot.rod.sch.gr</t>
  </si>
  <si>
    <t>Π.ΕΛΗ ΤΕΡΜΑ</t>
  </si>
  <si>
    <t>11ο ΝΗΠΙΑΓΩΓΕΙΟ ΚΟΜΟΤΗΝΗΣ</t>
  </si>
  <si>
    <t>mail@11nip-komot.rod.sch.gr</t>
  </si>
  <si>
    <t>12ο ΝΗΠΙΑΓΩΓΕΙΟ ΚΟΜΟΤΗΝΗΣ</t>
  </si>
  <si>
    <t>mail@12nip-komot.rod.sch.gr</t>
  </si>
  <si>
    <t>ΕΚΤΕΝΕΠΟΛ</t>
  </si>
  <si>
    <t>13ο ΝΗΠΙΑΓΩΓΕΙΟ ΚΟΜΟΤΗΝΗΣ</t>
  </si>
  <si>
    <t>mail@13nip-komot.rod.sch.gr</t>
  </si>
  <si>
    <t>Μ.Μ.ΑΝΘΙΜΟΥ 1</t>
  </si>
  <si>
    <t>1ο ΜΕΙΟΝΟΤΙΚΟ ΔΗΜΟΤΙΚΟ ΣΧΟΛΕΙΟ ΜΙΚ. ΚΕΧΡΟΥ - ΜΕΙΟΝΟΤΙΚΟ ΔΗΜΟΤΙΚΟ ΣΧΟΛΕΙΟ ΜΙΚΡΟΥ ΚΕΧΡΟΥ</t>
  </si>
  <si>
    <t>ΜΙΚ. ΚΕΧΡΟΥ</t>
  </si>
  <si>
    <t>ΔΗΜΟΤΙΚΟ ΣΧΟΛΕΙΟ ΡΟΔΙΤΗ</t>
  </si>
  <si>
    <t>mail@dim-rodit.rod.sch.gr</t>
  </si>
  <si>
    <t>ΡΟΔΙΤΗΣ</t>
  </si>
  <si>
    <t>ΡΟΔΙΤΗΣ  ΚΟΜΟΤΗΝΗΣ</t>
  </si>
  <si>
    <t>ΜΕΙΟΝΟΤΙΚΟ ΔΗΜΟΤΙΚΟ ΣΧΟΛΕΙΟ ΒΑΚΟΥ</t>
  </si>
  <si>
    <t>mail@2dim-meion-vakkou.rod.sch.gr</t>
  </si>
  <si>
    <t>ΝΗΠΙΑΓΩΓΕΙΟ ΒΕΝΝΑΣ</t>
  </si>
  <si>
    <t>mail@nip-vennas.rod.sch.gr</t>
  </si>
  <si>
    <t>ΝΗΠΙΑΓΩΓΕΙΟ ΛΥΚΕΙΟΥ</t>
  </si>
  <si>
    <t>mail@nip-lykeiou.rod.sch.gr</t>
  </si>
  <si>
    <t>ΝΗΠΙΑΓΩΓΕΙΟ ΛΑΜΠΡΟΥ</t>
  </si>
  <si>
    <t>14ο ΔΗΜΟΤΙΚΟ ΣΧΟΛΕΙΟ ΚΟΜΟΤΗΝΗ</t>
  </si>
  <si>
    <t>14ο ΝΗΠΙΑΓΩΓΕΙΟ ΚΟΜΟΤΗΝΗΣ</t>
  </si>
  <si>
    <t>mail@14nip-komot.rod.sch.gr</t>
  </si>
  <si>
    <t>ΟΠΙΣΘΕΝ ΝΟΣΟΚΟΜΕΙΟΥ</t>
  </si>
  <si>
    <t>ΝΗΠΙΑΓΩΓΕΙΟ ΘΡΥΛΟΡΙΟΥ</t>
  </si>
  <si>
    <t>mail@nip-thryl.rod.sch.gr</t>
  </si>
  <si>
    <t>ΘΡΥΛΟΡΙΟ</t>
  </si>
  <si>
    <t>15ο ΝΗΠΙΑΓΩΓΕΙΟ ΚΟΜΟΤΗΝΗΣ</t>
  </si>
  <si>
    <t>mail@15nip-komot.rod.sch.gr</t>
  </si>
  <si>
    <t>ΕΙΔΙΚΟ ΝΗΠΙΑΓΩΓΕΙΟ ΚΟΜΟΤΗΝΗΣ</t>
  </si>
  <si>
    <t>mail@nip-eid-komot.rod.sch.gr</t>
  </si>
  <si>
    <t>ΜΕΡΑΡΧΙΑΣ ΣΕΡΡΩΝ 1</t>
  </si>
  <si>
    <t>1ο ΔΗΜΟΤΙΚΟ ΣΧΟΛΕΙΟ ΚΟΜΟΤΗΝΗΣ</t>
  </si>
  <si>
    <t>mail@1dim-komot.rod.sch.gr</t>
  </si>
  <si>
    <t>Κομοτηνή ,</t>
  </si>
  <si>
    <t>ΣΟΦΟΥΛΗ   2</t>
  </si>
  <si>
    <t>ΘΕΜΙΣΤΟΚΛΗ ΣΟΦΟΥΛΗ 2</t>
  </si>
  <si>
    <t>ΜΕΙΟΝΟΤΙΚΟ ΔΗΜΟΤΙΚΟ ΣΧΟΛΕΙΟ ΔΡΑΝΙΑΣ</t>
  </si>
  <si>
    <t>mail@dim-meion-dranias.rod.sch.gr</t>
  </si>
  <si>
    <t>ΔΡΑΝΙΑΣ</t>
  </si>
  <si>
    <t>ΔΡΑΝΙΑ</t>
  </si>
  <si>
    <t>ΠΑΓΟΥΡΙΩΝ</t>
  </si>
  <si>
    <t>ΜΕΙΟΝΟΤΙΚΟ ΔΗΜΟΤΙΚΟ ΣΧΟΛΕΙΟ ΠΑΓΟΥΡΙΑ ΡΟΔΟΠΗΣ</t>
  </si>
  <si>
    <t>mail@dim-meion-pagour.rod.sch.gr</t>
  </si>
  <si>
    <t>ΠΑΓΟΥΡΙΑ ΡΟΔΟΠΗΣ</t>
  </si>
  <si>
    <t>ΠΑΓΟΥΡΙΑ</t>
  </si>
  <si>
    <t>ΝΗΠΙΑΓΩΓΕΙΟ ΑΜΑΡΑΝΤΩΝ.</t>
  </si>
  <si>
    <t>mail@nip-amarant.rod.sch.gr</t>
  </si>
  <si>
    <t>ΝΗΠΙΑΓΩΓΕΙΟ ΑΝΩ ΒΥΡΣΙΝΗΣ</t>
  </si>
  <si>
    <t>mail@nip-an-vyrsin.rod.sch.gr</t>
  </si>
  <si>
    <t>ΑΝΩ ΒΥΡΣΙΝΗΣ</t>
  </si>
  <si>
    <t>ΝΗΠΙΑΓΩΓΕΙΟ ΚΥΜΗΣ</t>
  </si>
  <si>
    <t>mail@nip-kymis.rod.sch.gr</t>
  </si>
  <si>
    <t>ΚΥΜΗΣ</t>
  </si>
  <si>
    <t>ΝΗΠΙΑΓΩΓΕΙΟ   ΜΕΓΑΛΟΥ   ΠΙΣΤΟΥ</t>
  </si>
  <si>
    <t>mail@nip-meg-pistou.rod.sch.gr</t>
  </si>
  <si>
    <t>ΜΕΓΑΛΟΥ ΠΙΣΤΟΥ</t>
  </si>
  <si>
    <t>ΜΕΓΑ ΠΙΣΤΟ ΔΗΜΟΣ IAΣΜΟΥ</t>
  </si>
  <si>
    <t>ΝΗΠΙΑΓΩΓΕΙΟ ΚΑΛΧΑ</t>
  </si>
  <si>
    <t>mail@nip-kalch.rod.sch.gr</t>
  </si>
  <si>
    <t>ΚΑΛΧΑ</t>
  </si>
  <si>
    <t>ΜΕΙΟΝΟΤΙΚΟ ΔΗΜΟΤΙΚΟ  ΣΧΟΛΕΙΟ ΘΑΜΝΑΣ</t>
  </si>
  <si>
    <t>mail@dim-meion-thamn.rod.sch.gr</t>
  </si>
  <si>
    <t>ΘΑΜΝΑ</t>
  </si>
  <si>
    <t>ΝΗΠΙΑΓΩΓΕΙΟ ΠΑΣΣΟΥ</t>
  </si>
  <si>
    <t>mail@nip-passou.rod.sch.gr</t>
  </si>
  <si>
    <t>ΝΗΠΙΑΓΩΓΕΙΟ ΑΡΧΟΝΤΙΚΩΝ</t>
  </si>
  <si>
    <t>mail@nip-archont.rod.sch.gr</t>
  </si>
  <si>
    <t>ΝΗΠΙΑΓΩΓΕΙΟ ΑΣΩΜΑΤΟΙ</t>
  </si>
  <si>
    <t>mail@nip-asomaton.rod.sch.gr</t>
  </si>
  <si>
    <t>ΑΣΩΜΑΤΟΙ</t>
  </si>
  <si>
    <t>ΑΣΩΜΑΤΟΙ ΡΟΔΟΠΗΣ</t>
  </si>
  <si>
    <t>ΝΗΠΙΑΓΩΓΕΙΟ ΟΡΓΑΝΗΣ</t>
  </si>
  <si>
    <t>mail@nip-organ.rod.sch.gr</t>
  </si>
  <si>
    <t>ΝΗΠΙΑΓΩΓΕΙΟ ΕΣΟΧΗΣ</t>
  </si>
  <si>
    <t>mail@nip-esoch.rod.sch.gr</t>
  </si>
  <si>
    <t>ΕΣΟΧΗ ΡΟΔΟΠΗΣ</t>
  </si>
  <si>
    <t>ΠΕΡΙΦΕΡΕΙΑΚΗ Δ/ΝΣΗ Α/ΘΜΙΑΣ ΚΑΙ Β/ΘΜΙΑΣ ΕΚΠ/ΣΗΣ ΑΤΤΙΚΗΣ</t>
  </si>
  <si>
    <t>ΚΕΝΤΡΙΚΟΥ ΤΟΜΕΑ ΑΘΗΝΩΝ</t>
  </si>
  <si>
    <t>ΑΘΗΝΑΙΩΝ</t>
  </si>
  <si>
    <t>1ου ΔΗΜ. ΔΙΑΜΕΡ. ΑΘΗΝΑΙΩΝ</t>
  </si>
  <si>
    <t>1ο ΚΕΣΥ Α' ΑΘΗΝΑΣ</t>
  </si>
  <si>
    <t>mail@1kesy-a.att.sch.gr</t>
  </si>
  <si>
    <t>ΜΕΤΑΞΟΥΡΓΕΙΟ</t>
  </si>
  <si>
    <t>ΧΙΟΥ 16-18</t>
  </si>
  <si>
    <t>ΒΟΡΕΙΟΥ ΤΟΜΕΑ ΑΘΗΝΩΝ</t>
  </si>
  <si>
    <t>ΝΕΑΣ ΙΩΝΙΑΣ</t>
  </si>
  <si>
    <t>1ο ΚΕΣΥ Β ΑΘΗΝΑΣ</t>
  </si>
  <si>
    <t>1kesyvath@sch.gr</t>
  </si>
  <si>
    <t>ΝΕΑ ΙΩΝΙΑ</t>
  </si>
  <si>
    <t>ΗΡΑΚΛΕΙΟΥ 269</t>
  </si>
  <si>
    <t>ΔΥΤΙΚΟΥ ΤΟΜΕΑ ΑΘΗΝΩΝ</t>
  </si>
  <si>
    <t>ΑΙΓΑΛΕΩ</t>
  </si>
  <si>
    <t>1ο ΚΕΣΥ Γ ΑΘΗΝΑΣ</t>
  </si>
  <si>
    <t>mail@1kesy-g.att.sch.gr</t>
  </si>
  <si>
    <t>ΘΗΒΩΝ 250</t>
  </si>
  <si>
    <t>ΝΟΤΙΟΥ ΤΟΜΕΑ ΑΘΗΝΩΝ</t>
  </si>
  <si>
    <t>ΑΛΙΜΟΥ</t>
  </si>
  <si>
    <t>1ο Κ.Ε.Σ.Υ. Δ΄ΑΘΗΝΑΣ</t>
  </si>
  <si>
    <t>mail@dkday-athin.att.sch.gr</t>
  </si>
  <si>
    <t>ΝΕΑ ΣΜΥΡΝΗ</t>
  </si>
  <si>
    <t>ΣΥΓΓΡΟΥ 165</t>
  </si>
  <si>
    <t>ΑΝΑΤΟΛΙΚΗΣ ΑΤΤΙΚΗΣ</t>
  </si>
  <si>
    <t>ΚΡΩΠΙΑΣ</t>
  </si>
  <si>
    <t>1ο ΚΕΣΥ ΑΝΑΤΟΛΙΚΗΣ ΑΤΤΙΚΗΣ</t>
  </si>
  <si>
    <t>mail@1kesy-anatol.att.sch.gr</t>
  </si>
  <si>
    <t>ΚΟΡΩΠΙ</t>
  </si>
  <si>
    <t>ΑΔΡΙΑΝΟΥ 26</t>
  </si>
  <si>
    <t>ΔΥΤΙΚΗΣ ΑΤΤΙΚΗΣ</t>
  </si>
  <si>
    <t>ΕΛΕΥΣΙΝΑΣ</t>
  </si>
  <si>
    <t>ΕΛΕΥΣΙΝΟΣ</t>
  </si>
  <si>
    <t>ΚΕΣΥ ΔΥΤΙΚΗΣ ΑΤΤΙΚΗΣ</t>
  </si>
  <si>
    <t>kesydytat@sch.gr</t>
  </si>
  <si>
    <t>ΕΛΕΥΣΙΝΑ</t>
  </si>
  <si>
    <t>ΙΩΝΟΣ ΔΡΑΓΟΥΜΗ 24</t>
  </si>
  <si>
    <t>ΠΕΙΡΑΙΩΣ</t>
  </si>
  <si>
    <t>1ο ΔΗΜ. ΔΙΑΜΕΡ. ΠΕΙΡΑΙΩΣ</t>
  </si>
  <si>
    <t>1ο Κ.Ε.Σ.Υ. Πειραιά</t>
  </si>
  <si>
    <t>mail@1kesy-peiraia.att.sch.gr</t>
  </si>
  <si>
    <t>ΠΕΙΡΑΙΑΣ</t>
  </si>
  <si>
    <t>ΜΗΛΟΥ 21 &amp; ΑΙΓΑΛΕΩ 30</t>
  </si>
  <si>
    <t>2ου ΔΗΜ. ΔΙΑΜΕΡ. ΑΘΗΝΑΙΩΝ</t>
  </si>
  <si>
    <t>2ο ΚΕΣΥ Α΄ ΑΘΗΝΑΣ</t>
  </si>
  <si>
    <t>2kesyaath@sch.gr</t>
  </si>
  <si>
    <t>ΑΘΗΝΑ</t>
  </si>
  <si>
    <t>YMHTTOY 219</t>
  </si>
  <si>
    <t>2ο ΚΕΣΥ Β΄ ΑΘΗΝΑΣ</t>
  </si>
  <si>
    <t>2kesyvath@sch.gr</t>
  </si>
  <si>
    <t xml:space="preserve">ΑΓΙΑ ΠΑΡΑΣΚΕΥΗ </t>
  </si>
  <si>
    <t>ΖΑΧΑΡΙΑ ΠΑΠΑΝΤΩΝΙΟΥ 13</t>
  </si>
  <si>
    <t>ΙΛΙΟΥ (ΝΕΩΝ ΛΙΟΣΙΩΝ)</t>
  </si>
  <si>
    <t>2ο ΚΕΣΥ Γ΄ ΑΘΗΝΑΣ</t>
  </si>
  <si>
    <t>mail@2kesy-g.att.sch.gr</t>
  </si>
  <si>
    <t>ΙΛΙΟΝ</t>
  </si>
  <si>
    <t>Ανδρέα Παπανδρέου 107</t>
  </si>
  <si>
    <t>ΑΓΙΟΥ ΔΗΜΗΤΡΙΟΥ</t>
  </si>
  <si>
    <t>2ο ΚΕΣΥ Δ΄ ΑΘΗΝΑΣ</t>
  </si>
  <si>
    <t>2kesydath@sch.gr</t>
  </si>
  <si>
    <t>ΑΧΑΡΝΩΝ</t>
  </si>
  <si>
    <t>2ο ΚΕΣΥ ΑΝΑΤΟΛΙΚΗΣ ΑΤΤΙΚΗΣ</t>
  </si>
  <si>
    <t>2kesyanat@sch.gr</t>
  </si>
  <si>
    <t xml:space="preserve">Αχαρνές </t>
  </si>
  <si>
    <t>Αγ. ʼννας     (Προσωρινή στέγαση στο 5ο ΓΕΛ Αχαρνών)</t>
  </si>
  <si>
    <t>ΚΟΡΥΔΑΛΛΟΥ</t>
  </si>
  <si>
    <t>2ο ΚΕΣΥ ΠΕΙΡΑΙΑ</t>
  </si>
  <si>
    <t>2kesypeir@sch.gr</t>
  </si>
  <si>
    <t>ΠΑΠΑΣΤΡΑΤΟΥ 14</t>
  </si>
  <si>
    <t>ΔΙΕΥΘΥΝΣΗ Δ.Ε. Α΄ ΑΘΗΝΑΣ</t>
  </si>
  <si>
    <t>4ο ΗΜΕΡΗΣΙΟ ΓΕΝΙΚΟ ΛΥΚΕΙΟ ΑΘΗΝΩΝ</t>
  </si>
  <si>
    <t>mail@4lyk-athin.att.sch.gr</t>
  </si>
  <si>
    <t>Μαιζώνος 21-29 και Σωνιέρου 3-5</t>
  </si>
  <si>
    <t>20ο ΔΗΜΟΤΙΚΟ ΣΧΟΛΕΙΟ ΑΘΗΝΩΝ</t>
  </si>
  <si>
    <t>6ου ΔΗΜ. ΔΙΑΜΕΡ. ΑΘΗΝΑΙΩΝ</t>
  </si>
  <si>
    <t>8ο ΗΜΕΡΗΣΙΟ ΓΥΜΝΑΣΙΟ ΑΘΗΝΩΝ</t>
  </si>
  <si>
    <t>mail@8gym-athin.att.sch.gr</t>
  </si>
  <si>
    <t>ΝΙΚΟΠΟΛΕΩΣ 33</t>
  </si>
  <si>
    <t>48ο ΔΗΜΟΤΙΚΟ ΣΧΟΛΕΙΟ ΑΘΗΝΩΝ</t>
  </si>
  <si>
    <t>ΖΩΓΡΑΦΟΥ</t>
  </si>
  <si>
    <t>5ο ΗΜΕΡΗΣΙΟ ΓΥΜΝΑΣΙΟ ΖΩΓΡΑΦΟΥ</t>
  </si>
  <si>
    <t>mail@5gym-zograf.att.sch.gr</t>
  </si>
  <si>
    <t>ΜΕΓ. ΑΛΕΞΑΝΔΡΟΥ ΚΑΙ ΚΟΡΥΤΣΑΣ, ΓΟΥΔΗ</t>
  </si>
  <si>
    <t>4ο  ΔΗΜΟΤΙΚΟ ΣΧΟΛΕΙΟ ΖΩΓΡΑΦΟΥ</t>
  </si>
  <si>
    <t>3ου ΔΗΜ. ΔΙΑΜΕΡ. ΑΘΗΝΑΙΩΝ</t>
  </si>
  <si>
    <t>9ο ΗΜΕΡΗΣΙΟ ΓΥΜΝΑΣΙΟ ΑΘΗΝΩΝ</t>
  </si>
  <si>
    <t>mail@9gym-athin.att.sch.gr</t>
  </si>
  <si>
    <t>ΑΘΗΝΩΝ</t>
  </si>
  <si>
    <t>ΤΡΩΩΝ 2</t>
  </si>
  <si>
    <t>77ο ΔΗΜΟΤΙΚΟ ΣΧΟΛΕΙΟ ΑΘΗΝΩΝ - ΜΕΛΙΝΑ ΜΕΡΚΟΥΡΗ</t>
  </si>
  <si>
    <t>1ο ΓΕΝΙΚΟ ΛΥΚΕΙΟ ΖΩΓΡΑΦΟΥ</t>
  </si>
  <si>
    <t>mail@1lyk-zograf.att.sch.gr</t>
  </si>
  <si>
    <t>ΚΡΙΝΩΝ 26</t>
  </si>
  <si>
    <t>3ο ΔΗΜΟΤΙΚΟ ΣΧΟΛΕΙΟ ΖΩΓΡΑΦΟΥ</t>
  </si>
  <si>
    <t>17ο ΗΜΕΡΗΣΙΟ ΓΕΝΙΚΟ ΛΥΚΕΙΟ ΑΘΗΝΩΝ</t>
  </si>
  <si>
    <t>mail@17lyk-athin.att.sch.gr</t>
  </si>
  <si>
    <t>ΚΥΝΙΣΚΑΣ 29</t>
  </si>
  <si>
    <t>13ο ΔΗΜΟΤΙΚΟ ΣΧΟΛΕΙΟ ΑΘΗΝΩΝ</t>
  </si>
  <si>
    <t>2ο ΗΜΕΡΗΣΙΟ ΓΕΝΙΚΟ ΛΥΚΕΙΟ ΑΘΗΝΩΝ "ΘΕΟΔΩΡΟΣ ΑΓΓΕΛΟΠΟΥΛΟΣ"</t>
  </si>
  <si>
    <t>mail@2lyk-athin.att.sch.gr</t>
  </si>
  <si>
    <t>Χέυδεν 35 &amp; Αχαρνών 80</t>
  </si>
  <si>
    <t>170ο ΔΗΜΟΤΙΚΟ ΣΧΟΛΕΙΟ ΑΘΗΝΩΝ</t>
  </si>
  <si>
    <t>7ου ΔΗΜ. ΔΙΑΜΕΡ. ΑΘΗΝΑΙΩΝ</t>
  </si>
  <si>
    <t>16ο ΗΜΕΡΗΣΙΟ ΓΕΝΙΚΟ ΛΥΚΕΙΟ ΑΘΗΝΩΝ</t>
  </si>
  <si>
    <t>mail@16lyk-athin.att.sch.gr</t>
  </si>
  <si>
    <t>ΠΑΝΟΡΜΟΥ ΚΑΙ ΛΑΡΙΣΗΣ 47</t>
  </si>
  <si>
    <t>ΨΥΧΙΚΟΥ</t>
  </si>
  <si>
    <t>104ο  ΔΗΜΟΤΙΚΟ ΣΧΟΛΕΙΟ ΑΘΗΝΩΝ</t>
  </si>
  <si>
    <t>5ου ΔΗΜ. ΔΙΑΜΕΡ. ΑΘΗΝΑΙΩΝ</t>
  </si>
  <si>
    <t>49ο ΗΜΕΡΗΣΙΟ ΓΕΝΙΚΟ ΛΥΚΕΙΟ ΑΘΗΝΩΝ - ΤΕΣΣΑΡΑΚΟΣΤΟ ΕΝΑΤΟ ΕΝΙΑΙΟ ΛΥΚΕΙΟ ΑΘΗΝΩΝ</t>
  </si>
  <si>
    <t>mail@49lyk-athin.att.sch.gr</t>
  </si>
  <si>
    <t>ΑΧΑΡΝΩΝ 413-415</t>
  </si>
  <si>
    <t>39ο ΔΗΜΟΤΙΚΟ ΣΧΟΛΕΙΟ ΑΘΗΝΩΝ</t>
  </si>
  <si>
    <t>19ο ΗΜΕΡΗΣΙΟ ΓΥΜΝΑΣΙΟ ΑΘΗΝΩΝ</t>
  </si>
  <si>
    <t>mail@19gym-athin.att.sch.gr</t>
  </si>
  <si>
    <t>Αγ. Μελετίου 105</t>
  </si>
  <si>
    <t>ΗΜΕΡΗΣΙΟ ΓΥΜΝΑΣΙΟ ΝΟΣΟΚΟΜΕΙΟ ΠΑΙΔΩΝ</t>
  </si>
  <si>
    <t>mail@gym-np-ag-sofia.att.sch.gr</t>
  </si>
  <si>
    <t xml:space="preserve">ΝΟΣΟΚΟΜΕΙΟ ΠΑΙΔΩΝ </t>
  </si>
  <si>
    <t>ΘΗΒΩΝ ΚΑΙ ΜΙΚΡΑΣ ΑΣΙΑΣ</t>
  </si>
  <si>
    <t>ΚΑΙΣΑΡΙΑΝΗΣ</t>
  </si>
  <si>
    <t>1ο ΗΜΕΡΗΣΙΟ ΓΥΜΝΑΣΙΟ ΚΑΙΣΑΡΙΑΝΗΣ - ΔΗΜΗΤΡΗΣ ΚΑΡΑΜΟΛΕΓΚΟΣ</t>
  </si>
  <si>
    <t>mail@1gym-kaisar.att.sch.gr</t>
  </si>
  <si>
    <t>ΚΑΙΣΑΡΙΑΝΗ</t>
  </si>
  <si>
    <t>ΗΡ. ΚΩΝΣΤΑΝΤΟΠΟΥΛΟΥ 13 Β</t>
  </si>
  <si>
    <t>ΒΥΡΩΝΑ</t>
  </si>
  <si>
    <t>3ο ΔΗΜΟΤΙΚΟ ΣΧΟΛΕΙΟ ΚΑΙΣΑΡΙΑΝΗΣ</t>
  </si>
  <si>
    <t>2ο ΗΜΕΡΗΣΙΟ ΓΥΜΝΑΣΙΟ ΚΑΙΣΑΡΙΑΝΗΣ</t>
  </si>
  <si>
    <t>mail@2gym-kaisar.att.sch.gr</t>
  </si>
  <si>
    <t>ΗΡΩΣ ΚΩΝΣΤΑΝΤΟΠΟΥΛΟΥ 13Β</t>
  </si>
  <si>
    <t>4ο ΗΜΕΡΗΣΙΟ ΕΠΑΛ ΑΘΗΝΩΝ</t>
  </si>
  <si>
    <t>mail@4epal-athin.att.sch.gr</t>
  </si>
  <si>
    <t>ΡΩΣ 1</t>
  </si>
  <si>
    <t>24ο ΔΗΜΟΤΙΚΟ ΣΧΟΛΕΙΟ ΑΘΗΝΑΣ</t>
  </si>
  <si>
    <t>5ο ΕΣΠΕΡΙΝΟ ΕΠΑΛ ΑΘΗΝΩΝ</t>
  </si>
  <si>
    <t>mail@5epal-esp-athin.att.sch.gr</t>
  </si>
  <si>
    <t>ΑΘΗΝA</t>
  </si>
  <si>
    <t>ΚΩΛΕΤΤΗ 34</t>
  </si>
  <si>
    <t>35ο ΔΗΜΟΤΙΚΟ ΣΧΟΛΕΙΟ ΑΘΗΝΩΝ</t>
  </si>
  <si>
    <t>Ε.Ε.Ε.ΕΚ ΚΩΦΩΝ ΒΑΡΗΚΟΩΝ ΑΘΗΝΑΣ</t>
  </si>
  <si>
    <t>mail@eeeek-kv.att.sch.gr</t>
  </si>
  <si>
    <t>ΑΜΠΕΛΟΚΗΠΟΙ</t>
  </si>
  <si>
    <t>ΖΑΧΑΡΩΦ 1  - ΑΘΗΝΑ</t>
  </si>
  <si>
    <t>16ο ΔΗΜΟΤΙΚΟ ΣΧΟΛΕΙΟ ΑΘΗΝΩΝ</t>
  </si>
  <si>
    <t>4ου ΔΗΜ. ΔΙΑΜΕΡ. ΑΘΗΝΑΙΩΝ</t>
  </si>
  <si>
    <t>50ο ΗΜΕΡΗΣΙΟ ΓΕΝΙΚΟ ΛΥΚΕΙΟ ΑΘΗΝΩΝ</t>
  </si>
  <si>
    <t>mail@50lyk-athin.att.sch.gr</t>
  </si>
  <si>
    <t>ΧΑΤΖΗΑΠΟΣΤΟΛΟΥ 56-72</t>
  </si>
  <si>
    <t>59ο  ΔΗΜΟΤΙΚΟ ΣΧΟΛΕΙΟ ΑΘΗΝΩΝ</t>
  </si>
  <si>
    <t>7ο ΕΚ ΖΩΓΡΑΦΟΥ</t>
  </si>
  <si>
    <t>mail@7sek-athin.att.sch.gr</t>
  </si>
  <si>
    <t>ΗΡΩΩΝ ΠΟΛΥΤΕΧΝΕΙΟΥ  9</t>
  </si>
  <si>
    <t>1ο ΗΜΕΡΗΣΙΟ ΕΠΑΛ ΖΩΓΡΑΦΟΥ</t>
  </si>
  <si>
    <t>mail@1epal-zograf.att.sch.gr</t>
  </si>
  <si>
    <t>ΗΡ. ΠΟΛΥΤΕΧΝΕΙΟΥ  9</t>
  </si>
  <si>
    <t>6ο ΗΜΕΡΗΣΙΟ ΕΠΑΛ ΑΘΗΝΩΝ</t>
  </si>
  <si>
    <t>mail@6epal-athin.att.sch.gr</t>
  </si>
  <si>
    <t>ΝΕΣΤΟΥ 4</t>
  </si>
  <si>
    <t>19ο ΗΜΕΡΗΣΙΟ ΓΕΝΙΚΟ ΛΥΚΕΙΟ ΑΘΗΝΩΝ - ΑΘΗΝΑ ΠΑΛΛΑΔΑ</t>
  </si>
  <si>
    <t>mail@19lyk-athin.att.sch.gr</t>
  </si>
  <si>
    <t>ΘΗΡΑΣ 45-47 &amp; ΙΕΡΟΣΟΛΥΜΩΝ</t>
  </si>
  <si>
    <t>21ο ΔΗΜΟΤΙΚΟ ΣΧΟΛΕΙΟ ΑΘΗΝΩΝ "ΛΕΛΑ ΚΑΡΑΓΙΑΝΝΗ"</t>
  </si>
  <si>
    <t>38ο ΗΜΕΡΗΣΙΟ ΓΕΝΙΚΟ ΛΥΚΕΙΟ ΑΘΗΝΑΣ</t>
  </si>
  <si>
    <t>mail@38lyk-athin.att.sch.gr</t>
  </si>
  <si>
    <t>ΕΥΕΛΠΙΔΩΝ 40</t>
  </si>
  <si>
    <t>172ο  ΔΗΜΟΤΙΚΟ ΣΧΟΛΕΙΟ ΑΘΗΝΩΝ</t>
  </si>
  <si>
    <t>ΝΕΑΣ ΦΙΛΑΔΕΛΦΕΙΑΣ - ΝΕΑΣ ΧΑΛΚΗΔΟΝAΣ</t>
  </si>
  <si>
    <t>ΝΕΑΣ ΦΙΛΑΔΕΛΦΕΙΑΣ</t>
  </si>
  <si>
    <t>3ο ΕΣΠΕΡΙΝΟ ΕΠΑ.Λ ΝΕΑΣ ΦΙΛΑΔΕΛΦΕΙΑΣ</t>
  </si>
  <si>
    <t>mail@3epal-esp-n-filad.att.sch.gr</t>
  </si>
  <si>
    <t>ΝΕΑ ΦΙΛΑΔΕΛΦΕΙΑ</t>
  </si>
  <si>
    <t>ΘΕΣΣΑΛΟΝΙΚΗΣ ΚΑΙ ΛΑΧΑΝΑ 7</t>
  </si>
  <si>
    <t>Ν. ΙΩΝΙΑΣ</t>
  </si>
  <si>
    <t>5ο ΔΗΜΟΤΙΚΟ ΣΧΟΛΕΙΟ ΝΕΑΣ ΦΙΛΑΔΕΛΦΕΙΑΣ</t>
  </si>
  <si>
    <t>1ο ΗΜΕΡΗΣΙΟ ΕΠΑΛ ΑΘΗΝΩΝ</t>
  </si>
  <si>
    <t>1epal-athin@sch.gr</t>
  </si>
  <si>
    <t>ΑΧΙΛΛΕΩΣ 37-41</t>
  </si>
  <si>
    <t>64ο ΔΗΜΟΤΙΚΟ ΣΧΟΛΕΙΟ ΑΘΗΝΩΝ</t>
  </si>
  <si>
    <t>7ο ΕΣΠΕΡΙΝΟ ΕΠΑΛ ΑΘΗΝΩΝ</t>
  </si>
  <si>
    <t>mail@7epal-esp-athin.att.sch.gr</t>
  </si>
  <si>
    <t>ΝΕΣΤΟΥ  4</t>
  </si>
  <si>
    <t>3ο ΕΣΠΕΡΙΝΟ ΓΕΝΙΚΟ ΛΥΚΕΙΟ ΑΘΗΝΩΝ</t>
  </si>
  <si>
    <t>mail@3lyk-esp-athin.att.sch.gr</t>
  </si>
  <si>
    <t xml:space="preserve"> ΑΘΗΝΑ</t>
  </si>
  <si>
    <t>ΖΕΥΞΙΔΟΣ 1  ΚΑΙ ΠΥΘΕΟΥ</t>
  </si>
  <si>
    <t>93ο ΔΗΜΟΤΙΚΟ ΣΧΟΛΕΙΟ ΑΘΗΝΩΝ-ΓΡΗΓΟΡΗΣ ΛΑΜΠΡΑΚΗΣ</t>
  </si>
  <si>
    <t>20ο ΗΜΕΡΗΣΙΟ ΓΕΝΙΚΟ ΛΥΚΕΙΟ ΑΘΗΝΩΝ</t>
  </si>
  <si>
    <t>mail@20lyk-athin.att.sch.gr</t>
  </si>
  <si>
    <t>ΖΥΜΠΡΑΚΑΚΗ 46 -48</t>
  </si>
  <si>
    <t>69ο ΔΗΜΟΤΙΚΟ ΣΧΟΛΕΙΟ ΑΘΗΝΩΝ</t>
  </si>
  <si>
    <t>14ο ΗΜΕΡΗΣΙΟ ΓΕΝΙΚΟ ΛΥΚΕΙΟ ΑΘΗΝΩΝ</t>
  </si>
  <si>
    <t>mail@14lyk-athin.att.sch.gr</t>
  </si>
  <si>
    <t>ΣΙΚΕΛΙΑΣ 7-9</t>
  </si>
  <si>
    <t>71ο ΔΗΜΟΤΙΚΟ ΣΧΟΛΕΙΟ ΑΘΗΝΩΝ</t>
  </si>
  <si>
    <t>ΗΛΙΟΥΠΟΛΕΩΣ</t>
  </si>
  <si>
    <t>1ο ΗΜΕΡΗΣΙΟ ΓΕΝΙΚΟ ΛΥΚΕΙΟ ΗΛΙΟΥΠΟΛΗΣ - ΓΕΝΙΚΟ ΛΥΚΕΙΟ ΗΛΙΟΥΠΟΛΗΣ</t>
  </si>
  <si>
    <t>mail@1lyk-ilioup.att.sch.gr</t>
  </si>
  <si>
    <t>ΗΛΙΟΥΠΟΛΗ</t>
  </si>
  <si>
    <t>ΓΡ. ΑΥΞΕΝΤΙΟΥ 2</t>
  </si>
  <si>
    <t>ΗΛΙΟΥΠΟΛΗΣ</t>
  </si>
  <si>
    <t>20ο ΔΗΜΟΤΙΚΟ ΣΧΟΛΕΙΟ ΗΛΙΟΥΠΟΛΗΣ</t>
  </si>
  <si>
    <t>15ο ΗΜΕΡΗΣΙΟ ΓΕΝΙΚΟ ΛΥΚΕΙΟ ΑΘΗΝΩΝ</t>
  </si>
  <si>
    <t>mail@15lyk-athin.att.sch.gr</t>
  </si>
  <si>
    <t>ΚΥΨΕΛΗΣ 46 &amp; ΠΑΞΩΝ</t>
  </si>
  <si>
    <t>86ο ΔΗΜΟΤΙΚΟ ΣΧΟΛΕΙΟ ΑΘΗΝΩΝ</t>
  </si>
  <si>
    <t>ΓΑΛΑΤΣΙΟΥ</t>
  </si>
  <si>
    <t>1ο ΗΜΕΡΗΣΙΟ ΕΠΑΛ ΓΑΛΑΤΣΙΟΥ</t>
  </si>
  <si>
    <t>mail@1epal-galats.att.sch.gr</t>
  </si>
  <si>
    <t>ΓΑΛΑΤΣΙ</t>
  </si>
  <si>
    <t>ΤΑΫΓΕΤΟΥ ΚΑΙ ΠΑΣΣΩΒ 8</t>
  </si>
  <si>
    <t>ΤΑΫΓΕΤΟΥ 60</t>
  </si>
  <si>
    <t>65ο ΔΗΜΟΤΙΚΟ ΣΧΟΛΕΙΟ ΑΘΗΝΩΝ - ΑΝΤΩΝΗΣ ΣΑΜΑΡΑΚΗΣ</t>
  </si>
  <si>
    <t>2ο ΗΜΕΡΗΣΙΟ ΓΕΝΙΚΟ ΛΥΚΕΙΟ ΓΑΛΑΤΣΙΟΥ</t>
  </si>
  <si>
    <t>mail@2lyk-galats.att.sch.gr</t>
  </si>
  <si>
    <t>ΠΑΣΣΩΒ 8</t>
  </si>
  <si>
    <t>112ο  ΔΗΜΟΤΙΚΟ ΣΧΟΛΕΙΟ ΑΘΗΝΩΝ</t>
  </si>
  <si>
    <t>26ο ΗΜΕΡΗΣΙΟ ΓΕΝΙΚΟ ΛΥΚΕΙΟ ΑΘΗΝΩΝ - ΜΑΡΑΣΛΕΙΟ</t>
  </si>
  <si>
    <t>mail@26lyk-athin.att.sch.gr</t>
  </si>
  <si>
    <t>ΚΟΛΩΝΑΚΙ   ΑΘΗΝΑ</t>
  </si>
  <si>
    <t>ΜΑΡΑΣΛΗ 8 και ΣΟΥΗΔΙΑΣ</t>
  </si>
  <si>
    <t>15ο ΔΗΜΟΤΙΚΟ ΣΧΟΛΕΙΟ ΑΘΗΝΩΝ</t>
  </si>
  <si>
    <t>52ο ΗΜΕΡΗΣΙΟ ΓΕΝΙΚΟ ΛΥΚΕΙΟ ΑΘΗΝΩΝ</t>
  </si>
  <si>
    <t>mail@52lyk-athin.att.sch.gr</t>
  </si>
  <si>
    <t>Αθήνα</t>
  </si>
  <si>
    <t>ΤΡΙΠΟΛΕΩΣ 1-5</t>
  </si>
  <si>
    <t>57ο ΔΗΜΟΤΙΚΟ ΣΧΟΛΕΙΟ ΑΘΗΝΩΝ</t>
  </si>
  <si>
    <t>53ο ΗΜΕΡΗΣΙΟ ΓΕΝΙΚΟ ΛΥΚΕΙΟ ΑΘΗΝΩΝ</t>
  </si>
  <si>
    <t>mail@53lyk-athin.att.sch.gr</t>
  </si>
  <si>
    <t>ΓΡΑΜΜΟΥ 23</t>
  </si>
  <si>
    <t>62ο ΔΗΜΟΤΙΚΟ ΣΧΟΛΕΙΟ ΑΘΗΝΩΝ</t>
  </si>
  <si>
    <t>ΔΑΦΝΗΣ - ΥΜΗΤΤΟΥ</t>
  </si>
  <si>
    <t>ΔΑΦΝΗΣ</t>
  </si>
  <si>
    <t>3ο ΗΜΕΡΗΣΙΟ ΓΕΝΙΚΟ ΛΥΚΕΙΟ ΔΑΦΝΗΣ</t>
  </si>
  <si>
    <t>mail@3lyk-dafnis.att.sch.gr</t>
  </si>
  <si>
    <t>ΑΓΙΟΣ ΔΗΜΗΤΡΙΟΣ</t>
  </si>
  <si>
    <t>ΣΟΦΟΚΛΗ ΒΕΝΙΖΕΛΟΥ 79</t>
  </si>
  <si>
    <t>4ο ΔΗΜΟΤΙΚΟ ΣΧΟΛΕΙΟ ΔΑΦΝΗΣ</t>
  </si>
  <si>
    <t>63ο ΗΜΕΡΗΣΙΟ ΓΕΝΙΚΟ ΛΥΚΕΙΟ ΑΘΗΝΩΝ</t>
  </si>
  <si>
    <t>mail@63lyk-athin.att.sch.gr</t>
  </si>
  <si>
    <t>ΟΡΦΕΩΣ 93</t>
  </si>
  <si>
    <t>85ο ΔΗΜΟΤΙΚΟ ΣΧΟΛΕΙΟ ΑΘΗΝΩΝ</t>
  </si>
  <si>
    <t>2ο ΗΜΕΡΗΣΙΟ ΓΕΝΙΚΟ ΛΥΚΕΙΟ ΚΑΙΣΑΡΙΑΝΗΣ</t>
  </si>
  <si>
    <t>mail@2lyk-kaisar.att.sch.gr</t>
  </si>
  <si>
    <t>ΗΡΩΣ ΚΩΝΣΤΑΝΤΟΠΟΥΛΟΥ 13β</t>
  </si>
  <si>
    <t>65ο ΗΜΕΡΗΣΙΟ ΓΕΝΙΚΟ ΛΥΚΕΙΟ ΑΘΗΝΩΝ</t>
  </si>
  <si>
    <t>mail@65lyk-athin.att.sch.gr</t>
  </si>
  <si>
    <t>ΑΘΗΝΑ - ΠΑΤΗΣΙΑ</t>
  </si>
  <si>
    <t>ΝΙΡΒΑΝΑ 44-46</t>
  </si>
  <si>
    <t>130ο  ΔΗΜΟΤΙΚΟ ΣΧΟΛΕΙΟ ΑΘΗΝΩΝ</t>
  </si>
  <si>
    <t>4ο ΗΜΕΡΗΣΙΟ ΓΕΝΙΚΟ ΛΥΚΕΙΟ ΗΛΙΟΥΠΟΛΗΣ</t>
  </si>
  <si>
    <t>mail@4lyk-ilioup.att.sch.gr</t>
  </si>
  <si>
    <t>ΒΑΚΧΟΥ 13</t>
  </si>
  <si>
    <t>21ο ΔΗΜΟΤΙΚΟ ΣΧΟΛΕΙΟ ΗΛΙΟΥΠΟΛΗΣ</t>
  </si>
  <si>
    <t>9ο ΗΜΕΡΗΣΙΟ ΕΠΑΛ ΑΘΗΝΩΝ</t>
  </si>
  <si>
    <t>mail@9epal-athin.att.sch.gr</t>
  </si>
  <si>
    <t>ΔΡΑΚΟΝΤΟΣ 4</t>
  </si>
  <si>
    <t>59ο ΗΜΕΡΗΣΙΟ ΓΕΝΙΚΟ ΛΥΚΕΙΟ ΑΘΗΝΩΝ</t>
  </si>
  <si>
    <t>mail@59lyk-athin.att.sch.gr</t>
  </si>
  <si>
    <t>ΣΕΚΟΥΝΔΟΥ 10</t>
  </si>
  <si>
    <t>173ο ΔΗΜΟΤΙΚΟ ΣΧΟΛΕΙΟ ΑΘΗΝΩΝ</t>
  </si>
  <si>
    <t>43ο ΗΜΕΡΗΣΙΟ ΓΕΝΙΚΟ ΛΥΚΕΙΟ ΑΘΗΝΑ</t>
  </si>
  <si>
    <t>mail@43lyk-athin.att.sch.gr</t>
  </si>
  <si>
    <t>ΑΣΠΡΟΓΕΡΑΚΑ 2</t>
  </si>
  <si>
    <t>5ο ΔΗΜΟΤΙΚΟ ΣΧΟΛΕΙΟ ΔΑΦΝΗΣ  "ΓΕΩΡΓΙΟΣ ΜΠΟΥΖΙΑΝΗΣ"</t>
  </si>
  <si>
    <t>6ο ΗΜΕΡΗΣΙΟ ΓΕΝΙΚΟ ΛΥΚΕΙΟ ΖΩΓΡΑΦΟΥ</t>
  </si>
  <si>
    <t>mail@6lyk-zograf.att.sch.gr</t>
  </si>
  <si>
    <t>ΤΑΞΙΛΟΥ ΚΑΙ ΥΔΑΣΠΟΥ 18</t>
  </si>
  <si>
    <t>1ο ΔΗΜΟΤΙΚΟ ΣΧΟΛΕΙΟ ΚΑΙΣΑΡΙΑΝΗΣ</t>
  </si>
  <si>
    <t>ΒΥΡΩΝΟΣ</t>
  </si>
  <si>
    <t>1ο ΗΜΕΡΗΣΙΟ ΓΕΝΙΚΟ ΛΥΚΕΙΟ ΒΥΡΩΝΑ</t>
  </si>
  <si>
    <t>mail@1lyk-vyron.att.sch.gr</t>
  </si>
  <si>
    <t>ΒΥΡΩΝΑΣ</t>
  </si>
  <si>
    <t>Γ.ΓΕΝΝΗΜΑΤΑ 34 (εναντι)</t>
  </si>
  <si>
    <t>7ο ΗΜΕΡΗΣΙΟ ΓΕΝΙΚΟ ΛΥΚΕΙΟ ΑΘΗΝΩΝ</t>
  </si>
  <si>
    <t>mail@7lyk-athin.att.sch.gr</t>
  </si>
  <si>
    <t>ΠΑΓΚΡΑΤΙ</t>
  </si>
  <si>
    <t>ΠΡΑΤΙΝΟΥ 19</t>
  </si>
  <si>
    <t>1ο ΔΗΜΟΤΙΚΟ ΣΧΟΛΕΙΟ ΑΘΗΝΩΝ</t>
  </si>
  <si>
    <t>42ο ΗΜΕΡΗΣΙΟ ΓΕΝΙΚΟ ΛΥΚΕΙΟ ΑΘΗΝΑΣ</t>
  </si>
  <si>
    <t>mail@42lyk-athin.att.sch.gr</t>
  </si>
  <si>
    <t>ΜΑΙΖΩΝΟΣ 21-29 &amp; ΣΩΝΙΕΡΟΥ 3-5</t>
  </si>
  <si>
    <t>55ο ΔΗΜΟΤΙΚΟ ΣΧΟΛΕΙΟ ΑΘΗΝΩΝ</t>
  </si>
  <si>
    <t>3ο ΗΜΕΡΗΣΙΟ ΓΕΝΙΚΟ ΛΥΚΕΙΟ ΓΑΛΑΤΣΙΟΥ</t>
  </si>
  <si>
    <t>mail@3lyk-galats.att.sch.gr</t>
  </si>
  <si>
    <t>ΑΓ. ΕΙΡΗΝΗΣ 5</t>
  </si>
  <si>
    <t>7ο ΔΗΜΟΤΙΚΟ ΣΧΟΛΕΙΟ ΓΑΛΑΤΣΙΟΥ</t>
  </si>
  <si>
    <t>3ο ΗΜΕΡΗΣΙΟ ΓΕΝΙΚΟ ΛΥΚΕΙΟ ΖΩΓΡΑΦΟΥ</t>
  </si>
  <si>
    <t>mail@3lyk-zograf.att.sch.gr</t>
  </si>
  <si>
    <t>ΗΡΩΩΝ ΠΟΛΥΤΕΧΝΕΙΟΥ 3</t>
  </si>
  <si>
    <t>1ο ΔΗΜΟΤΙΚΟ ΣΧΟΛΕΙΟ ΖΩΓΡΑΦΟΥ</t>
  </si>
  <si>
    <t>1ο ΗΜΕΡΗΣΙΟ ΓΕΝΙΚΟ ΛΥΚΕΙΟ ΚΑΙΣΑΡΙΑΝΗΣ - ΜΑΡΙΟΣ ΧΑΚΚΑΣ</t>
  </si>
  <si>
    <t>mail@1lyk-kaisar.att.sch.gr</t>
  </si>
  <si>
    <t>ΗΜΕΡΗΣΙΟ ΓΕΝΙΚΟ ΛΥΚΕΙΟ ΚΑΡΕΑ ΑΘΗΝΑΣ</t>
  </si>
  <si>
    <t>mail@lyk-karea.att.sch.gr</t>
  </si>
  <si>
    <t>Βύρωνας</t>
  </si>
  <si>
    <t>ΕΛΛΗΝΩΝ ΑΞΙΩΜΑΤΙΚΩΝ 4</t>
  </si>
  <si>
    <t>12ο ΔΗΜΟΤΙΚΟ ΣΧΟΛΕΙΟ ΗΛΙΟΥΠΟΛΗΣ</t>
  </si>
  <si>
    <t>6ο ΗΜΕΡΗΣΙΟ ΓΕΝΙΚΟ ΛΥΚΕΙΟ ΑΘΗΝΩΝ</t>
  </si>
  <si>
    <t>mail@6lyk-athin.att.sch.gr</t>
  </si>
  <si>
    <t>ΖΕΥΞΙΔΟΣ 1 - ΠΥΘΕΟΥ</t>
  </si>
  <si>
    <t>9ο ΗΜΕΡΗΣΙΟ ΓΕΝΙΚΟ ΛΥΚΕΙΟ ΑΘΗΝΩΝ</t>
  </si>
  <si>
    <t>mail@9lyk-athin.att.sch.gr</t>
  </si>
  <si>
    <t>73ο ΔΗΜΟΤΙΚΟ ΣΧΟΛΕΙΟ ΑΘΗΝΩΝ</t>
  </si>
  <si>
    <t>ΥΜΗΤΤΟΥ</t>
  </si>
  <si>
    <t>1ο ΗΜΕΡΗΣΙΟ ΓΕΝΙΚΟ ΛΥΚΕΙΟ ΥΜΗΤΤΟΥ</t>
  </si>
  <si>
    <t>mail@1lyk-ymitt.att.sch.gr</t>
  </si>
  <si>
    <t>Υμηττός</t>
  </si>
  <si>
    <t>Προύσσης 1 &amp; Ηλιουπόλεως</t>
  </si>
  <si>
    <t>4ο ΔΗΜΟΤΙΚΟ ΣΧΟΛΕΙΟ ΥΜΗΤΤΟΥ</t>
  </si>
  <si>
    <t>1ο ΗΜΕΡΗΣΙΟ ΕΠΑΛ ΔΑΦΝΗΣ</t>
  </si>
  <si>
    <t>mail@1epal-dafnis.att.sch.gr</t>
  </si>
  <si>
    <t>ΔΑΦΝΗ</t>
  </si>
  <si>
    <t>ΓΡΑΜΜΟΥ 1</t>
  </si>
  <si>
    <t>10ο ΗΜΕΡΗΣΙΟ ΕΠΑΓΓΕΛΜΑΤΙΚΟ ΛΥΚΕΙΟ ΑΘΗΝΩΝ</t>
  </si>
  <si>
    <t>mail@10epal-athin.att.sch.gr</t>
  </si>
  <si>
    <t>ΤΙΜΟΘΕΟΥ 18 ΚΑΙ ΔΑΜΑΡΕΩΣ - ΠΑΓΚΡΑΤΙ</t>
  </si>
  <si>
    <t>2ο ΔΗΜΟΤΙΚΟ ΣΧΟΛΕΙΟ ΑΘΗΝΩΝ</t>
  </si>
  <si>
    <t>4ο ΗΜΕΡΗΣΙΟ ΓΕΝΙΚΟ ΛΥΚΕΙΟ ΖΩΓΡΑΦΟΥ</t>
  </si>
  <si>
    <t>mail@4lyk-zograf.att.sch.gr</t>
  </si>
  <si>
    <t>ΒΑΚΤΡΙΑΝΗΣ 99</t>
  </si>
  <si>
    <t>8ο  ΔΗΜΟΤΙΚΟ ΣΧΟΛΕΙΟ ΖΩΓΡΑΦΟΥ</t>
  </si>
  <si>
    <t>3ο ΗΜΕΡΗΣΙΟ ΓΕΝΙΚΟ ΛΥΚΕΙΟ ΒΥΡΩΝΑ</t>
  </si>
  <si>
    <t>mail@3lyk-vyron.att.sch.gr</t>
  </si>
  <si>
    <t>ΤΑΤΑΟΥΛΩΝ 2</t>
  </si>
  <si>
    <t>11ο ΔΗΜΟΤΙΚΟ ΣΧΟΛΕΙΟ ΒΥΡΩΝΑ</t>
  </si>
  <si>
    <t>5ο ΗΜΕΡΗΣΙΟ ΓΕΝΙΚΟ ΛΥΚΕΙΟ ΒΥΡΩΝΑ</t>
  </si>
  <si>
    <t>mail@5lyk-vyron.att.sch.gr</t>
  </si>
  <si>
    <t>ΤΑΤΑΟΥΛΩΝ ΚΑΙ ΜΗΔΕΙΑΣ</t>
  </si>
  <si>
    <t>3ο ΗΜΕΡΗΣΙΟ ΓΕΝΙΚΟ ΛΥΚΕΙΟ ΝΕΑΣ ΦΙΛΑΔΕΛΦΕΙΑΣ - ΜΙΛΤΟΣ ΚΟΥΝΤΟΥΡΑΣ</t>
  </si>
  <si>
    <t>mail@3lyk-n-filad.att.sch.gr</t>
  </si>
  <si>
    <t>ΝΕΑ  ΦΙΛΑΔΕΛΦΕΙΑ</t>
  </si>
  <si>
    <t>ΛΕΩΦ. ΘΕΣΣΑΛΟΝΙΚΗΣ 40 ΚΑΙ ΛΑΧΑΝΑ</t>
  </si>
  <si>
    <t>Ν. ΦΙΛΑΔΕΛΦΕΙΑΣ</t>
  </si>
  <si>
    <t>27ο ΗΜΕΡΗΣΙΟ ΓΕΝΙΚΟ ΛΥΚΕΙΟ ΑΘΗΝΩΝ</t>
  </si>
  <si>
    <t>mail@27lyk-athin.att.sch.gr</t>
  </si>
  <si>
    <t>ΠΥΛΟΥ ΚΑΙ ΜΟΝΑΣΤΗΡΙΟΥ 43-45</t>
  </si>
  <si>
    <t>56ο  ΔΗΜΟΤΙΚΟ ΣΧΟΛΕΙΟ ΑΘΗΝΩΝ</t>
  </si>
  <si>
    <t>57ο ΗΜΕΡΗΣΙΟ ΓΕΝΙΚΟ ΛΥΚΕΙΟ ΑΘΗΝΩΝ</t>
  </si>
  <si>
    <t>mail@57lyk-athin.att.sch.gr</t>
  </si>
  <si>
    <t>ΑΣΤΡΑΠΟΓΙΑΝΝΟΥ 3</t>
  </si>
  <si>
    <t>12ο ΔΗΜΟΤΙΚΟ ΣΧΟΛΕΙΟ ΑΘΗΝΩΝ</t>
  </si>
  <si>
    <t>6ο ΕΣΠΕΡΙΝΟ ΓΕΝΙΚΟ ΛΥΚΕΙΟ ΑΘΗΝΑΣ</t>
  </si>
  <si>
    <t>mail@6lyk-esp-athin.att.sch.gr</t>
  </si>
  <si>
    <t>ΣΑΜΟΥ 46</t>
  </si>
  <si>
    <t>13ο ΗΜΕΡΗΣΙΟ ΓΕΝΙΚΟ ΛΥΚΕΙΟ ΑΘΗΝΩΝ</t>
  </si>
  <si>
    <t>mail@13lyk-athin.att.sch.gr</t>
  </si>
  <si>
    <t>ΠΑΓΚΡΑΤΙ-ΑΘΗΝΑ</t>
  </si>
  <si>
    <t>ΑΛΦΕΙΩΝΙΑΣ 10-12 και  ΒΟΥΤΣΙΝΑ</t>
  </si>
  <si>
    <t>90ο ΔΗΜΟΤΙΚΟ ΣΧΟΛΕΙΟ ΑΘΗΝΩΝ</t>
  </si>
  <si>
    <t>1ο ΗΜΕΡΗΣΙΟ ΕΠΑΛ ΥΜΗΤΤΟΣ - ΠΑΠΑΣΤΡΑΤΕΙΟΣ</t>
  </si>
  <si>
    <t>mail@1epal-ymitt.att.sch.gr</t>
  </si>
  <si>
    <t>ΥΜΗΤΤΟΣ</t>
  </si>
  <si>
    <t>ΠΑΠΑΣΤΡΑΤΟΥ 35</t>
  </si>
  <si>
    <t>1ο ΔΗΜΟΤΙΚΟ ΣΧΟΛΕΙΟ ΥΜΗΤΤΟΥ</t>
  </si>
  <si>
    <t>8ο ΗΜΕΡΗΣΙΟ ΓΕΝΙΚΟ ΛΥΚΕΙΟ ΑΘΗΝΑΣ</t>
  </si>
  <si>
    <t>mail@8lyk-athin.att.sch.gr</t>
  </si>
  <si>
    <t>1ο ΗΜΕΡΗΣΙΟ ΓΕΝΙΚΟ ΛΥΚΕΙΟ ΝΕΑΣ ΦΙΛΑΔΕΛΦΕΙΑΣ</t>
  </si>
  <si>
    <t>mail@1lyk-n-filad.att.sch.gr</t>
  </si>
  <si>
    <t>Ν.ΤΡΥΠΙΑ 47</t>
  </si>
  <si>
    <t>2ο ΔΗΜΟΤΙΚΟ ΣΧΟΛΕΙΟ ΝΕΑΣ ΦΙΛΑΔΕΛΦΕΙΑΣ</t>
  </si>
  <si>
    <t>3ο ΗΜΕΡΗΣΙΟ ΓΕΝΙΚΟ ΛΥΚΕΙΟ ΥΜΗΤΤΟΥ</t>
  </si>
  <si>
    <t>mail@3lyk-ymitt.att.sch.gr</t>
  </si>
  <si>
    <t>ΙΟΝΙΩΝ ΝΗΣΩΝ 35</t>
  </si>
  <si>
    <t>9ο ΔΗΜΟΤΙΚΟ ΣΧΟΛΕΙΟ ΗΛΙΟΥΠΟΛΗΣ</t>
  </si>
  <si>
    <t>39ο ΗΜΕΡΗΣΙΟ ΓΕΝΙΚΟ ΛΥΚΕΙΟ ΑΘΗΝΩΝ</t>
  </si>
  <si>
    <t>mail@39lyk-athin.att.sch.gr</t>
  </si>
  <si>
    <t>ΒΕΛΒΕΝΔΟΥ 47</t>
  </si>
  <si>
    <t>45ο ΔΗΜΟΤΙΚΟ ΣΧΟΛΕΙΟ ΑΘΗΝΩΝ</t>
  </si>
  <si>
    <t>1ο ΗΜΕΡΗΣΙΟ ΕΠΑ.Λ.  ΚΑΙΣΑΡΙΑΝΗΣ</t>
  </si>
  <si>
    <t>1epal-kaisar@sch.gr</t>
  </si>
  <si>
    <t>ΗΡΩΣ ΚΩΝΣΤΑΝΤΟΠΟΥΛΟΥ 2</t>
  </si>
  <si>
    <t>6ο ΔΗΜΟΤΙΚΟ ΣΧΟΛΕΙΟ ΚΑΙΣΑΡΙΑΝΗΣ</t>
  </si>
  <si>
    <t>2ο ΗΜΕΡΗΣΙΟ ΕΠΑΛ ΑΘΗΝΩΝ</t>
  </si>
  <si>
    <t>mail@2epal-athin.att.sch.gr</t>
  </si>
  <si>
    <t>ΣΙΝΑ 70</t>
  </si>
  <si>
    <t>14ο ΔΗΜΟΤΙΚΟ ΣΧΟΛΕΙΟ ΑΘΗΝΩΝ - ΔΗΜΗΤΡΗΣ ΠΙΚΙΩΝΗΣ</t>
  </si>
  <si>
    <t>2ο ΗΜΕΡΗΣΙΟ ΓΕΝΙΚΟ ΛΥΚΕΙΟ ΔΑΦΝΗΣ</t>
  </si>
  <si>
    <t>mail@2lyk-dafnis.att.sch.gr</t>
  </si>
  <si>
    <t>1ο ΕΣΠΕΡΙΝΟ ΓΕΝΙΚΟ ΛΥΚΕΙΟ ΑΘΗΝΩΝ</t>
  </si>
  <si>
    <t>mail@1lyk-esp-athin.att.sch.gr</t>
  </si>
  <si>
    <t>2ο ΗΜΕΡΗΣΙΟ ΓΕΝΙΚΟ ΛΥΚΕΙΟ ΗΛΙΟΥΠΟΛΗΣ</t>
  </si>
  <si>
    <t>mail@2lyk-ilioup.att.sch.gr</t>
  </si>
  <si>
    <t>ΜΑΡΙΝΟΥ ΑΝΤΥΠΑ ΚΑΙ ΤΖΟΥΜΑΓΙΑΣ</t>
  </si>
  <si>
    <t>11ο ΔΗΜΟΤΙΚΟ ΣΧΟΛΕΙΟ ΗΛΙΟΥΠΟΛΗΣ</t>
  </si>
  <si>
    <t>3ο ΗΜΕΡΗΣΙΟ ΓΕΝΙΚΟ ΛΥΚΕΙΟ ΗΛΙΟΥΠΟΛΗΣ</t>
  </si>
  <si>
    <t>mail@3lyk-ilioup.att.sch.gr</t>
  </si>
  <si>
    <t>ΟΛΥΜΠΙΟΝΙΚΩΝ 2 ΚΑΙ ΛΑΣΚΑΡΑΤΟΥ</t>
  </si>
  <si>
    <t>15ο ΔΗΜΟΤΙΚΟ ΣΧΟΛΕΙΟ ΗΛΙΟΥΠΟΛΗΣ</t>
  </si>
  <si>
    <t>2ο ΗΜΕΡΗΣΙΟ ΕΠΑΛ ΓΑΛΑΤΣΙΟΥ</t>
  </si>
  <si>
    <t>mail@2epal-galats.att.sch.gr</t>
  </si>
  <si>
    <t>ΤΑΥΓΕΤΟΥ 60 &amp; ΠΑΣΣΩΒ 8</t>
  </si>
  <si>
    <t>40ο ΗΜΕΡΗΣΙΟ ΓΕΝΙΚΟ ΛΥΚΕΙΟ ΑΘΗΝΩΝ</t>
  </si>
  <si>
    <t>mail@40lyk-athin.att.sch.gr</t>
  </si>
  <si>
    <t>Λύκειο Ειδικής Αγωγής</t>
  </si>
  <si>
    <t>ΕΙΔΙΚΟ ΓΕΛ ΑΘΗΝΩΝ</t>
  </si>
  <si>
    <t>mail@lyk-eid-athin.att.sch.gr</t>
  </si>
  <si>
    <t>ΥΔΡΑΣ 2 &amp; ΑΛΚΙΒΙΑΔΟΥ</t>
  </si>
  <si>
    <t>1ο  ΔΗΜΟΤΙΚΟ ΣΧΟΛΕΙΟ ΗΛΙΟΥΠΟΛΗΣ</t>
  </si>
  <si>
    <t>46ο ΗΜΕΡΗΣΙΟ ΓΕΝΙΚΟ ΛΥΚΕΙΟ ΑΘΗΝΩΝ</t>
  </si>
  <si>
    <t>mail@46lyk-athin.att.sch.gr</t>
  </si>
  <si>
    <t>ΧΑΡΙΛΑΟΥ ΤΡΙΚΟΥΠΗ  174</t>
  </si>
  <si>
    <t>135ο ΔΗΜΟΤΙΚΟ ΣΧΟΛΕΙΟ ΑΘΗΝΩΝ</t>
  </si>
  <si>
    <t>Πρότυπο Λύκειο</t>
  </si>
  <si>
    <t>2ο ΠΡΟΤΥΠΟ ΓΕΝΙΚΟ ΛΥΚΕΙΟ ΑΘΗΝΑΣ</t>
  </si>
  <si>
    <t>mail@2lyk-peir-athin.att.sch.gr</t>
  </si>
  <si>
    <t>Τ. ΦΙΛΗΜΟΝΟΣ 30 &amp; ΕΛΕΝΑΣ ΒΕΝΙΖΕΛΟΥ</t>
  </si>
  <si>
    <t>3ο ΕΡΓΑΣΤΗΡΙΑΚΟ ΚΕΝΤΡΟ ΑΘΗΝΑΣ</t>
  </si>
  <si>
    <t>mail@3sek-a-athin-att.sch.gr</t>
  </si>
  <si>
    <t>ΛΕΩΦΟΡΟΣ  ΒΟΥΛΙΑΓΜΕΝΗΣ 521</t>
  </si>
  <si>
    <t>13ο ΔΗΜΟΤΙΚΟ ΣΧΟΛΕΙΟ ΗΛΙΟΥΠΟΛΗΣ</t>
  </si>
  <si>
    <t>22ο ΗΜΕΡΗΣΙΟ ΓΕΝΙΚΟ ΛΥΚΕΙΟ ΑΘΗΝΩΝ</t>
  </si>
  <si>
    <t>mail@22lyk-athin.att.sch.gr</t>
  </si>
  <si>
    <t>ΟΛΟΦΥΤΟΥ  55 ΚΑΙ ΛΑΡΝΕΩΣ 2</t>
  </si>
  <si>
    <t>113ο  ΔΗΜΟΤΙΚΟ ΣΧΟΛΕΙΟ ΑΘΗΝΩΝ</t>
  </si>
  <si>
    <t>5ο ΗΜΕΡΗΣΙΟ ΓΕΝΙΚΟ ΛΥΚΕΙΟ ΗΛΙΟΥΠΟΛΗΣ - ΕΥΑΓΓΕΛΟΣ ΠΑΠΑΝΟΥΤΣΟΣ</t>
  </si>
  <si>
    <t>mail@5lyk-ilioup.att.sch.gr</t>
  </si>
  <si>
    <t>ΒΟΥΛΙΑΓΜΕΝΗΣ 525</t>
  </si>
  <si>
    <t>12ο ΗΜΕΡΗΣΙΟ ΓΕΝΙΚΟ ΛΥΚΕΙΟ ΑΘΗΝΩΝ</t>
  </si>
  <si>
    <t>mail@12lyk-athin.att.sch.gr</t>
  </si>
  <si>
    <t>ΚΕΙΡΙΑΔΩΝ -ΣΦΗΤΤΙΩΝ 1</t>
  </si>
  <si>
    <t>ΝΕΑΣ ΧΑΛΚΗΔΟΝΟΣ</t>
  </si>
  <si>
    <t>ΗΜΕΡΗΣΙΟ ΓΕΝΙΚΟ ΛΥΚΕΙΟ ΝΕΑΣ ΧΑΛΚΗΔΟΝΑΣ ΑΘΗΝΩΝ</t>
  </si>
  <si>
    <t>mail@lyk-n-chalk.att.sch.gr</t>
  </si>
  <si>
    <t>ΝΕΑ ΧΑΛΚΗΔΟΝΑ ΑΘΗΝΩΝ</t>
  </si>
  <si>
    <t>ΜΑΡΙΝΟΥ ΑΝΤΥΠΑ  1 ΚΑΙ ΠΕΤΑΛΑ 73</t>
  </si>
  <si>
    <t>1ο ΔΗΜΟΤΙΚΟ ΣΧΟΛΕΙΟ ΝΕΑΣ ΧΑΛΚΗΔΟΝΑΣ</t>
  </si>
  <si>
    <t>4ο ΕΚ ΜΕΤΑΞΟΥΡΓΕΙΟ</t>
  </si>
  <si>
    <t>4-ek@sch.gr</t>
  </si>
  <si>
    <t>ΜΕΤΑΞΟΥΡΓΕΙΟ - ΑΘΗΝΑ</t>
  </si>
  <si>
    <t>ΑΧΙΛΛΕΩΣ 37-41 ΚΑΙ ΜΥΛΛΕΡΟΥ</t>
  </si>
  <si>
    <t>4ο ΗΜΕΡΗΣΙΟ ΓΥΜΝΑΣΙΟ ΓΑΛΑΤΣΙΟΥ</t>
  </si>
  <si>
    <t>mail@4gym-galats.att.sch.gr</t>
  </si>
  <si>
    <t>ΔΡΥΟΠΙΔΟΣ 7</t>
  </si>
  <si>
    <t>2ο ΔΗΜΟΤΙΚΟ ΣΧΟΛΕΙΟ ΓΑΛΑΤΣΙΟΥ</t>
  </si>
  <si>
    <t>6ο ΗΜΕΡΗΣΙΟ ΓΥΜΝΑΣΙΟ ΓΑΛΑΤΣΙΟΥ</t>
  </si>
  <si>
    <t>mail@6gym-galats.att.sch.gr</t>
  </si>
  <si>
    <t>ΑΛΚΥΟΝΗΣ ΚΑΙ ΑΙΓΟΣΘΕΝΩΝ</t>
  </si>
  <si>
    <t>15ο ΗΜΕΡΗΣΙΟ ΓΥΜΝΑΣΙΟ ΑΘΗΝΩΝ</t>
  </si>
  <si>
    <t>mail@15gym-athin.att.sch.gr</t>
  </si>
  <si>
    <t>ΡΗΝΕΙΑΣ 2</t>
  </si>
  <si>
    <t>ΓΥΜΝΑΣΙΟ ΚΑΡΕΑ (ΧΡΗΣΤΟΣ ΑΝΤΩΝΙΑΔΗΣ)</t>
  </si>
  <si>
    <t>mail@gym-karea.att.sch.gr</t>
  </si>
  <si>
    <t>ΕΛΛΗΝΩΝ ΑΞΙΩΜΑΤΙΚΩΝ 2</t>
  </si>
  <si>
    <t>52ο ΗΜΕΡΗΣΙΟ ΓΥΜΝΑΣΙΟ ΑΘΗΝΩΝ</t>
  </si>
  <si>
    <t>mail@52gym-athin.att.sch.gr</t>
  </si>
  <si>
    <t>ΠΕΤΡΑΣ - ΤΡΙΠΟΛΕΩΣ 2-4</t>
  </si>
  <si>
    <t>127ο ΔΗΜΟΤΙΚΟ ΣΧΟΛΕΙΟ ΑΘΗΝΩΝ</t>
  </si>
  <si>
    <t>21ο ΗΜΕΡΗΣΙΟ ΓΥΜΝΑΣΙΟ ΑΘΗΝΩΝ</t>
  </si>
  <si>
    <t>mail@21gym-athin.att.sch.gr</t>
  </si>
  <si>
    <t>ΤΑΥΓΕΤΟΥ 60</t>
  </si>
  <si>
    <t>3ο ΗΜΕΡΗΣΙΟ ΓΥΜΝΑΣΙΟ ΓΑΛΑΤΣΙΟΥ</t>
  </si>
  <si>
    <t>mail@3gym-galats.att.sch.gr</t>
  </si>
  <si>
    <t>67ο ΗΜΕΡΗΣΙΟ ΓΥΜΝΑΣΙΟ ΑΘΗΝΑΣ</t>
  </si>
  <si>
    <t>mail@67gym-athin.att.sch.gr</t>
  </si>
  <si>
    <t>ΛΙΟΣΙΩΝ 195</t>
  </si>
  <si>
    <t>52ο ΔΗΜΟΤΙΚΟ ΣΧΟΛΕΙΟ ΑΘΗΝΩΝ</t>
  </si>
  <si>
    <t>66ο ΗΜΕΡΗΣΙΟ ΓΥΜΝΑΣΙΟ ΑΘΗΝΩΝ - "ΑΡΙΣΤΟΚΛΕΙΟ"</t>
  </si>
  <si>
    <t>mail@66gym-athin.att.sch.gr</t>
  </si>
  <si>
    <t xml:space="preserve">ΑΘΗΝΑΙ  </t>
  </si>
  <si>
    <t>ΔΡΑΚΟΝΤΟΣ 6</t>
  </si>
  <si>
    <t>162ο  ΔΗΜΟΤΙΚΟ ΣΧΟΛΕΙΟ ΑΘΗΝΩΝ</t>
  </si>
  <si>
    <t>20ο ΗΜΕΡΗΣΙΟ ΓΥΜΝΑΣΙΟ ΑΘΗΝΩΝ</t>
  </si>
  <si>
    <t>mail@20gym-athin.att.sch.gr</t>
  </si>
  <si>
    <t>Μ.ΚΟΡΑΚΑ 44</t>
  </si>
  <si>
    <t>5ο ΗΜΕΡΗΣΙΟ ΓΥΜΝΑΣΙΟ ΗΛΙΟΥΠΟΛΗΣ</t>
  </si>
  <si>
    <t>mail@5gym-ilioup.att.sch.gr</t>
  </si>
  <si>
    <t>Λ.ΒΟΥΛΙΑΓΜΕΝΗΣ 521</t>
  </si>
  <si>
    <t>50ο ΗΜΕΡΗΣΙΟ ΓΥΜΝΑΣΙΟ ΑΘΗΝΩΝ</t>
  </si>
  <si>
    <t>mail@50gym-athin.att.sch.gr</t>
  </si>
  <si>
    <t>ΧΑΤΖΗΑΠΟΣΤΟΛΟΥ 74-76 ΚΑΙ ΔΟΡΔΟΥ</t>
  </si>
  <si>
    <t>Πρότυπο Γυμνάσιο</t>
  </si>
  <si>
    <t>2ο ΠΡΟΤΥΠΟ ΓΥΜΝΑΣΙΟ ΑΘΗΝΩΝ</t>
  </si>
  <si>
    <t>mail@2gym-peir-athin.att.sch.gr</t>
  </si>
  <si>
    <t>Τ. ΦΙΛΗΜΟΝΟΣ 36 ΚΑΙ ΤΣΟΧΑ</t>
  </si>
  <si>
    <t>17ο  ΔΗΜΟΤΙΚΟ ΣΧΟΛΕΙΟ ΑΘΗΝΩΝ</t>
  </si>
  <si>
    <t>54ο ΗΜΕΡΗΣΙΟ ΓΥΜΝΑΣΙΟ ΑΘΗΝΩΝ</t>
  </si>
  <si>
    <t>mail@54gym-athin.att.sch.gr</t>
  </si>
  <si>
    <t>ΚΑΛΑΜΑ 2</t>
  </si>
  <si>
    <t>144ο  ΔΗΜΟΤΙΚΟ ΣΧΟΛΕΙΟ ΑΘΗΝΩΝ</t>
  </si>
  <si>
    <t>56ο ΗΜΕΡΗΣΙΟ ΓΥΜΝΑΣΙΟ ΑΘΗΝΩΝ</t>
  </si>
  <si>
    <t>mail@56gym-athin.att.sch.gr</t>
  </si>
  <si>
    <t>ΑΧΑΙΑΣ 3</t>
  </si>
  <si>
    <t>ΑΧΑΪΑΣ 3</t>
  </si>
  <si>
    <t>ΝΕΟΥ ΨΥΧΙΚΟΥ</t>
  </si>
  <si>
    <t>18ο ΔΗΜΟΤΙΚΟ ΣΧΟΛΕΙΟ ΑΘΗΝΩΝ</t>
  </si>
  <si>
    <t>3ο ΗΜΕΡΗΣΙΟ ΓΥΜΝΑΣΙΟ ΥΜΗΤΤΟΥ</t>
  </si>
  <si>
    <t>mail@3gym-ymitt.att.sch.gr</t>
  </si>
  <si>
    <t>ΙΟΝΙΩΝ ΝΗΣΩΝ 33</t>
  </si>
  <si>
    <t>1ο ΗΜΕΡΗΣΙΟ ΕΠΑΛ ΗΛΙΟΥΠΟΛΗΣ</t>
  </si>
  <si>
    <t>mail@1epal-ilioup.att.sch.gr</t>
  </si>
  <si>
    <t>Λ. ΒΟΥΛΙΑΓΜΕΝΗΣ 523</t>
  </si>
  <si>
    <t>1ο ΕΚ ΑΘΗΝΩΝ</t>
  </si>
  <si>
    <t>mail@1sek-a-athin.att.sch.gr</t>
  </si>
  <si>
    <t>1ο ΗΜΕΡΗΣΙΟ ΓΥΜΝΑΣΙΟ ΓΑΛΑΤΣΙΟΥ</t>
  </si>
  <si>
    <t>mail@1gym-galats.att.sch.gr</t>
  </si>
  <si>
    <t>7ο ΗΜΕΡΗΣΙΟ ΓΥΜΝΑΣΙΟ ΗΛΙΟΥΠΟΛΗΣ</t>
  </si>
  <si>
    <t>mail@7gym-ilioup.att.sch.gr</t>
  </si>
  <si>
    <t>ΠΟΥΣΟΥΛΙΔΟΥ 18</t>
  </si>
  <si>
    <t>4ο ΔΗΜΟΤΙΚΟ ΣΧΟΛΕΙΟ ΗΛΙΟΥΠΟΛΗΣ</t>
  </si>
  <si>
    <t>72ο ΗΜΕΡΗΣΙΟ ΓΥΜΝΑΣΙΟ ΑΘΗΝΩΝ</t>
  </si>
  <si>
    <t>mail@72gym-athin.att.sch.gr</t>
  </si>
  <si>
    <t>ΕΥΑΓΡΙΟΥ &amp;  ΚΡΟΥΣΙΟΥ</t>
  </si>
  <si>
    <t>33ο ΔΗΜΟΤΙΚΟ ΣΧΟΛΕΙΟ ΑΘΗΝΩΝ</t>
  </si>
  <si>
    <t>2ο ΗΜΕΡΗΣΙΟ ΓΥΜΝΑΣΙΟ ΝΕΑΣ ΦΙΛΑΔΕΛΦΕΙΑΣ</t>
  </si>
  <si>
    <t>mail@2gym-n-filad.att.sch.gr</t>
  </si>
  <si>
    <t>Ν. ΦΙΛΑΔΕΛΦΕΙΑ</t>
  </si>
  <si>
    <t>ΤΡΩΑΔΟΣ 37</t>
  </si>
  <si>
    <t>3ο  ΔΗΜΟΤΙΚΟ ΣΧΟΛΕΙΟ Ν. ΦΙΛΑΔΕΛΦΕΙΑΣ</t>
  </si>
  <si>
    <t>4ο ΗΜΕΡΗΣΙΟ ΓΥΜΝΑΣΙΟ ΔΑΦΝΗΣ</t>
  </si>
  <si>
    <t>mail@4gym-dafnis.att.sch.gr</t>
  </si>
  <si>
    <t>ΕΘΝΑΡΧΟΥ ΜΑΚΑΡΙΟΥ  153-155</t>
  </si>
  <si>
    <t>39ο ΗΜΕΡΗΣΙΟ ΓΥΜΝΑΣΙΟ ΑΘΗΝΩΝ</t>
  </si>
  <si>
    <t>mail@39gym-athin.att.sch.gr</t>
  </si>
  <si>
    <t>59ο ΗΜΕΡΗΣΙΟ ΓΥΜΝΑΣΙΟ ΑΘΗΝΩΝ - ΦΩΤΗΣ ΚΟΝΤΟΓΛΟΥ</t>
  </si>
  <si>
    <t>mail@59gym-athin.att.sch.gr</t>
  </si>
  <si>
    <t>ΣΕΚΟΥΝΔΟΥ 10 &amp; Λ.ΙΩΝΙΑΣ 319-327</t>
  </si>
  <si>
    <t>3ο ΗΜΕΡΗΣΙΟ ΓΥΜΝΑΣΙΟ ΒΥΡΩΝΑ ΑΤΤΙΚΗΣ</t>
  </si>
  <si>
    <t>mail@3gym-vyron.att.sch.gr</t>
  </si>
  <si>
    <t>ΒΥΡΩΝΑΣ ΑΤΤΙΚΗΣ</t>
  </si>
  <si>
    <t>3ο ΗΜΕΡΗΣΙΟ ΓΥΜΝΑΣΙΟ ΖΩΓΡΑΦΟΥ</t>
  </si>
  <si>
    <t>mail@3gym-zograf.att.sch.gr</t>
  </si>
  <si>
    <t>2ο ΗΜΕΡΗΣΙΟ ΓΥΜΝΑΣΙΟ ΓΑΛΑΤΣΙΟΥ</t>
  </si>
  <si>
    <t>mail@2gym-galats.att.sch.gr</t>
  </si>
  <si>
    <t>Γαλάτσι</t>
  </si>
  <si>
    <t>Σουλίου 2-4 &amp; Λεωφ. Γαλατσίου</t>
  </si>
  <si>
    <t>12ο ΔΗΜΟΤΙΚΟ ΣΧΟΛΕΙΟ ΓΑΛΑΤΣΙΟΥ</t>
  </si>
  <si>
    <t>6ο ΗΜΕΡΗΣΙΟ ΓΥΜΝΑΣΙΟ ΑΘΗΝΑΣ</t>
  </si>
  <si>
    <t>mail@6gym-athin.att.sch.gr</t>
  </si>
  <si>
    <t>ΑΘΗNA,</t>
  </si>
  <si>
    <t>ΖΕΥΞΙΔΟΣ 1 &amp; ΠΥΘΕΟΥ</t>
  </si>
  <si>
    <t>6ο ΕΚ ΑΘΗΝΩΝ</t>
  </si>
  <si>
    <t>mail@6sek-athin.att.sch.gr</t>
  </si>
  <si>
    <t xml:space="preserve">ΑΘΗΝΩΝ </t>
  </si>
  <si>
    <t>ΠΑΣΣΩΒ 2 - ΤΑΥΓΕΤΟΥ 60</t>
  </si>
  <si>
    <t>49ο ΗΜΕΡΗΣΙΟ ΓΥΜΝΑΣΙΟ ΑΘΗΝΑΣ - ΔΗΜΟΦΙΛΟΣ</t>
  </si>
  <si>
    <t>49gymath@sch.gr</t>
  </si>
  <si>
    <t xml:space="preserve">ΑΓΙΟΣ ΕΛΕΥΘΕΡΙΟΣ ΠΑΤΗΣΙΑ </t>
  </si>
  <si>
    <t>ΤΣΟΥΝΤΑ 26 &amp; ΒΟΥΤΥΡΑ</t>
  </si>
  <si>
    <t>23ο ΗΜΕΡΗΣΙΟ ΓΥΜΝΑΣΙΟ ΑΘΗΝΑΣ</t>
  </si>
  <si>
    <t>23gymath@sch.gr</t>
  </si>
  <si>
    <t>ΚΕΔΡΗΝΟΥ ΚΑΙ Δ.ΤΣΕΛΙΟΥ 1</t>
  </si>
  <si>
    <t>111ο  ΔΗΜΟΤΙΚΟ ΣΧΟΛΕΙΟ ΑΘΗΝΩΝ</t>
  </si>
  <si>
    <t>1ο ΗΜΕΡΗΣΙΟ ΓΥΜΝΑΣΙΟ ΗΛΙΟΥΠΟΛΗΣ</t>
  </si>
  <si>
    <t>mail@1gym-ilioup.att.sch.gr</t>
  </si>
  <si>
    <t>ΓΡ.ΑΥΞΕΝΤΙΟΥ 2</t>
  </si>
  <si>
    <t>63ο ΗΜΕΡΗΣΙΟ ΓΥΜΝΑΣΙΟ ΑΘΗΝΩΝ</t>
  </si>
  <si>
    <t>mail@63gym-athin.att.sch.gr</t>
  </si>
  <si>
    <t>ΑΜΦΙΠΟΛΕΩΣ 52</t>
  </si>
  <si>
    <t>81ο  ΔΗΜΟΤΙΚΟ ΣΧΟΛΕΙΟ ΑΘΗΝΩΝ</t>
  </si>
  <si>
    <t>7ο ΗΜΕΡΗΣΙΟ ΓΥΜΝΑΣΙΟ ΑΘΗΝΩΝ (0501100)</t>
  </si>
  <si>
    <t>7gymathi@sch.gr</t>
  </si>
  <si>
    <t>ΣΠΥΡΟΥ ΜΕΡΚΟΥΡΗ 20</t>
  </si>
  <si>
    <t>3ο ΗΜΕΡΗΣΙΟ ΓΥΜΝΑΣΙΟ ΝΕΑΣ ΦΙΛΑΔΕΛΦΕΙΑΣ</t>
  </si>
  <si>
    <t>3gymnfil@sch.gr</t>
  </si>
  <si>
    <t>ΙΑΣΩΝΙΔΟΥ 22</t>
  </si>
  <si>
    <t>18ο ΗΜΕΡΗΣΙΟ ΓΥΜΝΑΣΙΟ ΑΘΗΝΩΝ</t>
  </si>
  <si>
    <t>18gymath@sch.gr</t>
  </si>
  <si>
    <t>ΔΑΙΡΠΦΕΛΔ 13</t>
  </si>
  <si>
    <t>16ο ΗΜΕΡΗΣΙΟ ΓΥΜΝΑΣΙΟ ΑΘΗΝΩΝ</t>
  </si>
  <si>
    <t>mail@16gym-athin.att.sch.gr</t>
  </si>
  <si>
    <t>Αμπελόκηποι Αθήνα</t>
  </si>
  <si>
    <t>Πανόρμου και Λαρίσης 47</t>
  </si>
  <si>
    <t>38ο ΗΜΕΡΗΣΙΟ ΓΥΜΝΑΣΙΟ ΑΘΗΝΩΝ</t>
  </si>
  <si>
    <t>mail@38gym-athin.att.sch.gr</t>
  </si>
  <si>
    <t>6ο ΗΜΕΡΗΣΙΟ ΓΥΜΝΑΣΙΟ ΖΩΓΡΑΦΟΥ</t>
  </si>
  <si>
    <t>mail@6gym-zograf.att.sch.gr</t>
  </si>
  <si>
    <t>5ο ΔΗΜΟΤΙΚΟ ΣΧΟΛΕΙΟ ΖΩΓΡΑΦΟΥ</t>
  </si>
  <si>
    <t>43ο ΗΜΕΡΗΣΙΟ ΓΥΜΝΑΣΙΟ ΑΘΗΝΩΝ</t>
  </si>
  <si>
    <t>mail@43gym-athin.att.sch.gr</t>
  </si>
  <si>
    <t>1ο ΗΜΕΡΗΣΙΟ ΓΥΜΝΑΣΙΟ ΥΜΗΤΤΟΥ</t>
  </si>
  <si>
    <t>mail@1gym-ymitt.att.sch.gr</t>
  </si>
  <si>
    <t>ΠΡΟΥΣΣΗΣ ΚΑΙ ΔΗΜΟΚΡΑΤΙΑΣ</t>
  </si>
  <si>
    <t>5ο ΗΜΕΡΗΣΙΟ ΓΥΜΝΑΣΙΟ ΓΑΛΑΤΣΙΟΥ</t>
  </si>
  <si>
    <t>mail@5gym-galats.att.sch.gr</t>
  </si>
  <si>
    <t>ΩΡΩΠΟΥ ΚΑΙ ΦΑΥΝΟΥ 2</t>
  </si>
  <si>
    <t>5ο ΔΗΜΟΤΙΚΟ ΣΧΟΛΕΙΟ ΓΑΛΑΤΣΙΟΥ</t>
  </si>
  <si>
    <t>ΗΜΕΡΗΣΙΟ ΓΥΜΝΑΣΙΟ ΝΕΑΣ ΧΑΛΚΗΔΟΝΑΣ ΑΘΗΝΩΝ</t>
  </si>
  <si>
    <t>mail@gym-n-chalk.att.sch.gr</t>
  </si>
  <si>
    <t xml:space="preserve">ΝΕΑ ΧΑΛΚΗΔΟΝΑ </t>
  </si>
  <si>
    <t>ΣΟΛΩΜΟΥ ΚΑΙ ΠΕΤΑΛΑ</t>
  </si>
  <si>
    <t>40ο ΗΜΕΡΗΣΙΟ ΓΥΜΝΑΣΙΟ ΑΘΗΝΑΣ</t>
  </si>
  <si>
    <t>mail@40gym-athin.att.sch.gr</t>
  </si>
  <si>
    <t>ΣΚΙΑΘΟΥ ΚΑΙ ΖΩΤΟΥ</t>
  </si>
  <si>
    <t>2ο ΕΣΠΕΡΙΝΟ ΓΥΜΝΑΣΙΟ ΑΘΗΝΩΝ</t>
  </si>
  <si>
    <t>mail@2gym-esp-athin.att.sch.gr</t>
  </si>
  <si>
    <t>Π.ΚΥΡΙΑΚΟΥ 12</t>
  </si>
  <si>
    <t>57ο ΗΜΕΡΗΣΙΟ ΓΥΜΝΑΣΙΟ ΑΘΗΝΩΝ</t>
  </si>
  <si>
    <t>mail@57gym-athin.att.sch.gr</t>
  </si>
  <si>
    <t>4ο ΗΜΕΡΗΣΙΟ ΓΥΜΝΑΣΙΟ ΖΩΓΡΑΦΟΥ</t>
  </si>
  <si>
    <t>mail@4gym-zograf.att.sch.gr</t>
  </si>
  <si>
    <t>12ο  ΔΗΜΟΤΙΚΟ ΣΧΟΛΕΙΟ ΖΩΓΡΑΦΟΥ - ΣΤΡΑΤΗΓΟΣ ΓΙΑΝΝΗΣ ΜΑΚΡΥΓΙΑΝΝΗΣ</t>
  </si>
  <si>
    <t>ΓΥΜΝΑΣΙΟ ΔΙΑΠΟΛΙΤΙΣΜΙΚΗΣ ΕΚΠΑΙΔΕΥΣΗΣ Α΄ ΑΘΗΝΑΣ</t>
  </si>
  <si>
    <t>mail@2gym-athin.att.sch.gr</t>
  </si>
  <si>
    <t>ΗΠΕΙΡΟΥ 4</t>
  </si>
  <si>
    <t>54ο ΔΗΜΟΤΙΚΟ ΣΧΟΛΕΙΟ ΑΘΗΝΩΝ</t>
  </si>
  <si>
    <t>65ο ΗΜΕΡΗΣΙΟ ΓΥΜΝΑΣΙΟ ΑΘΗΝΩΝ</t>
  </si>
  <si>
    <t>mail@65gym-athin.att.sch.gr</t>
  </si>
  <si>
    <t>ΜΗΛΙΑΡΑΚΗ 71</t>
  </si>
  <si>
    <t>44ο  ΔΗΜΟΤΙΚΟ ΣΧΟΛΕΙΟ ΑΘΗΝΩΝ</t>
  </si>
  <si>
    <t>12ο ΗΜΕΡΗΣΙΟ ΓΥΜΝΑΣΙΟ ΑΘΗΝΩΝ</t>
  </si>
  <si>
    <t>mail@12gym-athin.att.sch.gr</t>
  </si>
  <si>
    <t>ΚΕΙΡΙΑΔΩΝ ΚΑΙ ΣΦΗΤΤΙΩΝ 1</t>
  </si>
  <si>
    <t>13ο ΗΜΕΡΗΣΙΟ ΓΥΜΝΑΣΙΟ ΑΘΗΝΩΝ</t>
  </si>
  <si>
    <t>13gymath@sch.gr</t>
  </si>
  <si>
    <t>ΑΛΦΕΙΩΝΙΑΣ 10-12 &amp; ΒΟΥΤΣΙΝΑ</t>
  </si>
  <si>
    <t>2ο ΗΜΕΡΗΣΙΟ ΓΥΜΝΑΣΙΟ ΑΝΩ ΗΛΙΟΥΠΟΛΗ - ΔΕΛΜΟΥΖΕΙΟ</t>
  </si>
  <si>
    <t>mail@2gym-ilioup.att.sch.gr</t>
  </si>
  <si>
    <t>ΑΝΩ ΗΛΙΟΥΠΟΛΗ</t>
  </si>
  <si>
    <t>ΚΕΦΑΛΛΗΝΙΑΣ ΚΑΙ ΜΕΣΣΗΝΙΑΣ</t>
  </si>
  <si>
    <t>17ο  ΔΗΜΟΤΙΚΟ ΣΧΟΛΕΙΟ ΗΛΙΟΥΠΟΛΗΣ</t>
  </si>
  <si>
    <t>62ο ΗΜΕΡΗΣΙΟ ΓΥΜΝΑΣΙΟ ΑΘΗΝΩΝ</t>
  </si>
  <si>
    <t>mail@62gym-athin.att.sch.gr</t>
  </si>
  <si>
    <t>ΠΑΝΔΩΡΟΥ 13-15</t>
  </si>
  <si>
    <t>137ο ΔΗΜΟΤΙΚΟ ΣΧΟΛΕΙΟ ΑΘΗΝΩΝ</t>
  </si>
  <si>
    <t>17ο ΗΜΕΡΗΣΙΟ ΓΥΜΝΑΣΙΟ ΑΘΗΝΩΝ</t>
  </si>
  <si>
    <t>mail@17gym-athin.att.sch.gr</t>
  </si>
  <si>
    <t>4ο ΗΜΕΡΗΣΙΟ ΓΥΜΝΑΣΙΟ ΗΛΙΟΥΠΟΛΗΣ</t>
  </si>
  <si>
    <t>mail@4gym-ilioup.att.sch.gr</t>
  </si>
  <si>
    <t>ΓΡΑΜΜΟΥ &amp; ΒΑΚΧΟΥ 13</t>
  </si>
  <si>
    <t>46ο ΗΜΕΡΗΣΙΟ ΓΥΜΝΑΣΙΟ ΑΘΗΝΑΣ</t>
  </si>
  <si>
    <t>mail@46gym-athin.att.sch.gr</t>
  </si>
  <si>
    <t>ΑΣΚΛΗΠΙΟΥ 183</t>
  </si>
  <si>
    <t>40ο ΔΗΜΟΤΙΚΟ ΣΧΟΛΕΙΟ ΑΘΗΝΩΝ</t>
  </si>
  <si>
    <t>5ο ΕΚ Ν. ΦΙΛΑΔΕΛΦΕΙΑΣ</t>
  </si>
  <si>
    <t>mail@5sek-athin.att.sch.gr</t>
  </si>
  <si>
    <t>ΛΑΧΑΝΑ 7</t>
  </si>
  <si>
    <t>1ο ΔΗΜΟΤΙΚΟ ΣΧΟΛΕΙΟ Ν. ΦΙΛΑΔΕΛΦΕΙΑΣ ΣΠΑΘΑΡΗ</t>
  </si>
  <si>
    <t>48ο ΗΜΕΡΗΣΙΟ ΓΥΜΝΑΣΙΟ ΑΘΗΝΩΝ</t>
  </si>
  <si>
    <t>mail@48gym-athin.att.sch.gr</t>
  </si>
  <si>
    <t>Μ. ΚΟΡΑΚΑ 44</t>
  </si>
  <si>
    <t>31ο ΔΗΜΟΤΙΚΟ ΣΧΟΛΕΙΟ ΑΘΗΝΑΣ</t>
  </si>
  <si>
    <t>1ο ΗΜΕΡΗΣΙΟ ΓΥΜΝΑΣΙΟ ΔΑΦΝΗΣ</t>
  </si>
  <si>
    <t>mail@1gym-dafnis.att.sch.gr</t>
  </si>
  <si>
    <t>1ο ΗΜΕΡΗΣΙΟ ΓΥΜΝΑΣΙΟ ΝΕΑΣ ΦΙΛΑΔΕΛΦΕΙΑΣ</t>
  </si>
  <si>
    <t>mail@1gym-n-filad.att.sch.gr</t>
  </si>
  <si>
    <t>Ν. ΤΡΥΠΙΑ 47</t>
  </si>
  <si>
    <t>68ο ΗΜΕΡΗΣΙΟ ΓΥΜΝΑΣΙΟ ΑΘΗΝΩΝ</t>
  </si>
  <si>
    <t>mail@68gym-athin.att.sch.gr</t>
  </si>
  <si>
    <t>ΘΥΣΣΟΥ ΚΑΙ ΑΒΙΑΣ</t>
  </si>
  <si>
    <t>14ο ΗΜΕΡΗΣΙΟ ΓΥΜΝΑΣΙΟ ΑΘΗΝΩΝ</t>
  </si>
  <si>
    <t>mail@14gym-athin.att.sch.gr</t>
  </si>
  <si>
    <t>ΑΝ. ΖΙΝΝΗ ΚΑΙ ΟΔΥΣΣΕΩΣ ΑΝΔΡΟΥΤΣΟΥ 28</t>
  </si>
  <si>
    <t>96ο ΔΗΜΟΤΙΚΟ ΣΧΟΛΕΙΟ ΑΘΗΝΩΝ</t>
  </si>
  <si>
    <t>4ο ΗΜΕΡΗΣΙΟ ΓΥΜΝΑΣΙΟ ΒΥΡΩΝΑ</t>
  </si>
  <si>
    <t>mail@4gym-vyron.att.sch.gr</t>
  </si>
  <si>
    <t>ΚΡΙΕΖΩΤΟΥ ΚΑΙ ΤΣΑΚΑΛΩΦ</t>
  </si>
  <si>
    <t>1ο ΗΜΕΡΗΣΙΟ ΓΥΜΝΑΣΙΟ ΒΥΡΩΝΑ</t>
  </si>
  <si>
    <t>mail@1gym-vyron.att.sch.gr</t>
  </si>
  <si>
    <t>Γ. ΓΕΝΝΗΜΑΤΑ 34</t>
  </si>
  <si>
    <t>1ο ΠΡΟΤΥΠΟ ΓΥΜΝΑΣΙΟ ΑΘΗΝΑΣ</t>
  </si>
  <si>
    <t>1gympeir@sch.gr</t>
  </si>
  <si>
    <t>ΑΔΡΙΑΝΟΥ 114</t>
  </si>
  <si>
    <t>74ο ΔΗΜΟΤΙΚΟ ΣΧΟΛΕΙΟ ΑΘΗΝΩΝ</t>
  </si>
  <si>
    <t>51ο ΗΜΕΡΗΣΙΟ ΓΥΜΝΑΣΙΟ ΑΘΗΝΩΝ</t>
  </si>
  <si>
    <t>mail@51gym-athin.att.sch.gr</t>
  </si>
  <si>
    <t>ΛΕΝΟΡΜΑΝ &amp; ΑΛΙΚΑΡΝΑΣΣΟΥ 20 - 28</t>
  </si>
  <si>
    <t>1ο ΕΣΠΕΡΙΝΟ ΓΥΜΝΑΣΙΟ ΑΘΗΝΩΝ</t>
  </si>
  <si>
    <t>1gymespa@sch.gr</t>
  </si>
  <si>
    <t>Πλατεία Κολιάτσου</t>
  </si>
  <si>
    <t>Νικοπόλεως 33-35</t>
  </si>
  <si>
    <t>41ο ΗΜΕΡΗΣΙΟ ΓΕΝΙΚΟ ΛΥΚΕΙΟ ΑΘΗΝΩΝ</t>
  </si>
  <si>
    <t>mail@41lyk-athin.att.sch.gr</t>
  </si>
  <si>
    <t>ΛΕΛΑΣ ΚΑΡΑΓΙΑΝΝΗ 16-18</t>
  </si>
  <si>
    <t>24ο ΗΜΕΡΗΣΙΟ ΓΕΝΙΚΟ ΛΥΚΕΙΟ ΑΘΗΝΩΝ</t>
  </si>
  <si>
    <t>mail@24lyk-athin.att.sch.gr</t>
  </si>
  <si>
    <t>Γ. ΣΟΥΚΑ 3</t>
  </si>
  <si>
    <t>105ο ΔΗΜΟΤΙΚΟ ΣΧΟΛΕΙΟ ΑΘΗΝΩΝ</t>
  </si>
  <si>
    <t>26ο ΗΜΕΡΗΣΙΟ ΓΥΜΝΑΣΙΟ ΑΘΗΝΩΝ - ΜΑΡΑΣΛΕΙΟ</t>
  </si>
  <si>
    <t>mail@26gym-athin.att.sch.gr</t>
  </si>
  <si>
    <t>ΜΑΡΑΣΛΗ 8</t>
  </si>
  <si>
    <t>41ο ΗΜΕΡΗΣΙΟ ΓΥΜΝΑΣΙΟ ΑΘΗΝΩΝ</t>
  </si>
  <si>
    <t>mail@41gym-athin.att.sch.gr</t>
  </si>
  <si>
    <t>ΠΑΤΜΟΥ 11-13</t>
  </si>
  <si>
    <t>2ο ΗΜΕΡΗΣΙΟ ΓΕΝΙΚΟ ΛΥΚΕΙΟ ΝΕΑΣ ΦΙΛΑΔΕΛΦΕΙΑΣ</t>
  </si>
  <si>
    <t>mail@2lyk-n-filad.att.sch.gr</t>
  </si>
  <si>
    <t xml:space="preserve">ΝΕΑ  ΦΙΛΑΔΕΛΦΕΙΑ, </t>
  </si>
  <si>
    <t>ΤΡΩΑΔΟΣ 39</t>
  </si>
  <si>
    <t>5ο ΗΜΕΡΗΣΙΟ ΓΕΝΙΚΟ ΛΥΚΕΙΟ ΖΩΓΡΑΦΟΥ</t>
  </si>
  <si>
    <t>mail@5lyk-zograf.att.sch.gr</t>
  </si>
  <si>
    <t>Γ.ΠΑΠΑΝΔΡΕΟΥ ΤΕΡΜΑ- ΓΟΥΔΗ</t>
  </si>
  <si>
    <t>1ο ΗΜΕΡΗΣΙΟ ΓΕΝΙΚΟ ΛΥΚΕΙΟ ΓΑΛΑΤΣΙΟΥ</t>
  </si>
  <si>
    <t>mail@1lyk-galats.att.sch.gr</t>
  </si>
  <si>
    <t>5ο ΗΜΕΡΗΣΙΟ ΓΥΜΝΑΣΙΟ ΑΘΗΝΩΝ</t>
  </si>
  <si>
    <t>mail@5gym-athin.att.sch.gr</t>
  </si>
  <si>
    <t>ΑΡΑΧΩΒΗΣ 48 ΚΑΙ ΕΜ ΜΠΕΝΑΚΗ  75-77</t>
  </si>
  <si>
    <t>42ο ΗΜΕΡΗΣΙΟ ΓΥΜΝΑΣΙΟ ΑΘΗΝΑΣ</t>
  </si>
  <si>
    <t>mail@42gym-athin.att.sch.gr</t>
  </si>
  <si>
    <t>ΜΙΧΑΗΛ ΒΟΔΑ 12</t>
  </si>
  <si>
    <t>18ο ΗΜΕΡΗΣΙΟ ΓΕΝΙΚΟ ΛΥΚΕΙΟ ΑΘΗΝΩΝ</t>
  </si>
  <si>
    <t>mail@18lyk-athin.att.sch.gr</t>
  </si>
  <si>
    <t>Λ. ΙΩΝΙΑΣ ΚΑΙ ΔΑΙΡΠΦΕΛΔ 11</t>
  </si>
  <si>
    <t>56ο ΗΜΕΡΗΣΙΟ ΓΕΝΙΚΟ ΛΥΚΕΙΟ ΑΘΗΝΩΝ</t>
  </si>
  <si>
    <t>mail@56lyk-athin.att.sch.gr</t>
  </si>
  <si>
    <t>ΠΑΝΟΡΜΟΥ  7</t>
  </si>
  <si>
    <t>ΠΑΝΟΡΜΟΥ 7</t>
  </si>
  <si>
    <t>1ο ΠΡΟΤΥΠΟ ΓΕΝΙΚΟ ΛΥΚΕΙΟ ΑΘΗΝΩΝ - ΓΕΝΝΑΔΕΙΟ</t>
  </si>
  <si>
    <t>mail@1lyk-peir-gennad.att.sch.gr</t>
  </si>
  <si>
    <t>ΗΠΙΤΟΥ 15</t>
  </si>
  <si>
    <t>4ο ΗΜΕΡΗΣΙΟ ΓΥΜΝΑΣΙΟ ΑΘΗΝΑΣ</t>
  </si>
  <si>
    <t>mail@4gym-athin.att.sch.gr</t>
  </si>
  <si>
    <t>2ο ΗΜΕΡΗΣΙΟ ΕΠΑΛ ΝΕΑΣ ΦΙΛΑΔΕΛΦΕΙΑΣ</t>
  </si>
  <si>
    <t>mail@2epal-n-filad.att.sch.gr</t>
  </si>
  <si>
    <t>ΘΕΣΣΑΛΟΝΙΚΗΣ 40 &amp; ΛΑΧΑΝΑ</t>
  </si>
  <si>
    <t>21ο ΗΜΕΡΗΣΙΟ ΓΕΝΙΚΟ ΛΥΚΕΙΟ ΑΘΗΝΩΝ</t>
  </si>
  <si>
    <t>mail@21lyk-athin.att.sch.gr</t>
  </si>
  <si>
    <t>2ο Εργαστηριακό Κέντρο Αθηνών</t>
  </si>
  <si>
    <t>mail@2sek-a-ath.att.sch.gr</t>
  </si>
  <si>
    <t>Παπαστράτου 35, ΥΜΗΤΤΟΣ</t>
  </si>
  <si>
    <t>4ο ΗΜΕΡΗΣΙΟ ΓΕΝΙΚΟ ΛΥΚΕΙΟ ΓΑΛΑΤΣΙΟΥ - ΚΩΝ. ΚΑΡΑΘΕΟΔΩΡΗ</t>
  </si>
  <si>
    <t>4lykgala@sch.gr</t>
  </si>
  <si>
    <t>Βεΐκου και Αγ.Ειρήνης 9</t>
  </si>
  <si>
    <t>1ο ΗΜΕΡΗΣΙΟ ΕΠΑΛ ΝΕΑΣ ΦΙΛΑΔΕΛΦΕΙΑΣ</t>
  </si>
  <si>
    <t>mail@1epal-n-filad.att.sch.gr</t>
  </si>
  <si>
    <t>Γυμνάσιο Ειδικής Αγωγής</t>
  </si>
  <si>
    <t>ΕΙΔΙΚΟ ΓΥΜΝΑΣΙΟ ΑΘΗΝΩΝ</t>
  </si>
  <si>
    <t>mail@gym-eid-athin.att.sch.gr</t>
  </si>
  <si>
    <t>ΥΔΡΑΣ 2</t>
  </si>
  <si>
    <t>60ο ΗΜΕΡΗΣΙΟ ΓΥΜΝΑΣΙΟ ΑΘΗΝΑΣ</t>
  </si>
  <si>
    <t>mail@60gym-athin.att.sch.gr</t>
  </si>
  <si>
    <t>ΡΗΝΕΙΑΣ  2-4</t>
  </si>
  <si>
    <t>3ο ΗΜΕΡΗΣΙΟ ΓΥΜΝΑΣΙΟ ΗΛΙΟΥΠΟΛΗΣ</t>
  </si>
  <si>
    <t>3gymilip@sch.gr</t>
  </si>
  <si>
    <t>24ο ΗΜΕΡΗΣΙΟ ΓΥΜΝΑΣΙΟ ΑΘΗΝΩΝ</t>
  </si>
  <si>
    <t>mail@24gym-athin.att.sch.gr</t>
  </si>
  <si>
    <t>Γ.ΣΟΥΚΑ 3</t>
  </si>
  <si>
    <t>3ο ΗΜΕΡΗΣΙΟ ΕΠΑΛ ΑΘΗΝΩΝ</t>
  </si>
  <si>
    <t>3-epal@sch.gr</t>
  </si>
  <si>
    <t>60ο  ΔΗΜΟΤΙΚΟ ΣΧΟΛΕΙΟ ΑΘΗΝΩΝ</t>
  </si>
  <si>
    <t>3ο ΕΣΠΕΡΙΝΟ ΓΥΜΝΑΣΙΟ ΑΘΗΝΑΣ</t>
  </si>
  <si>
    <t>mail@3gym-esp-athin.att.sch.gr</t>
  </si>
  <si>
    <t>ΣΠ. ΜΕΡΚΟΥΡΗ 20</t>
  </si>
  <si>
    <t>1ο ΗΜΕΡΗΣΙΟ ΓΥΜΝΑΣΙΟ ΖΩΓΡΑΦΟΥ</t>
  </si>
  <si>
    <t>mail@1gym-zograf.att.sch.gr</t>
  </si>
  <si>
    <t>2ο ΕΣΠΕΡΙΝΟ ΓΕΝΙΚΟ ΛΥΚΕΙΟ ΑΘΗΝΩΝ</t>
  </si>
  <si>
    <t>mail@2lyk-esp-athin.att.sch.gr</t>
  </si>
  <si>
    <t>ΠΑΝΑΓΗ ΚΥΡΙΑΚΟΥ 12</t>
  </si>
  <si>
    <t>Ηλιούπολη</t>
  </si>
  <si>
    <t>ΜΟΥΣΙΚΟ ΣΧΟΛΕΙΟ ΑΘΗΝΑΣ</t>
  </si>
  <si>
    <t>mail@gym-mous-athin.att.sch.gr</t>
  </si>
  <si>
    <t>Ακαδημία Πλάτωνος</t>
  </si>
  <si>
    <t>Δράκοντος 37</t>
  </si>
  <si>
    <t>Πειραματικό Γυμνάσιο με Λυκειακές Τάξεις</t>
  </si>
  <si>
    <t>ΠΕΙΡΑΜΑΤΙΚΟ ΣΧΟΛΕΙΟ ΠΑΝΕΠΙΣΤΗΜΙΟΥ ΑΘΗΝΩΝ</t>
  </si>
  <si>
    <t>mail@lyk-aei-athin.att.sch.gr</t>
  </si>
  <si>
    <t>ΣΚΟΥΦΑ 43</t>
  </si>
  <si>
    <t>ΠΣ ΛΥΚΕΙΟ MYSCHOOL</t>
  </si>
  <si>
    <t>Αγρίνιο</t>
  </si>
  <si>
    <t>Α΄Πάροδος Καμαρούλας</t>
  </si>
  <si>
    <t>ΜΕΣΟΛΟΓΓΙΟΥ</t>
  </si>
  <si>
    <t>ΠΣ ΕΠΑΛ MYSCHOOL</t>
  </si>
  <si>
    <t>Δοκιμαστική Μονάδα</t>
  </si>
  <si>
    <t>Ενιαίο Ειδικό Επαγγελματικό Γυμνάσιο - Λύκειο Αθήνας</t>
  </si>
  <si>
    <t>mail@gym-ee-athin.att.sch.gr</t>
  </si>
  <si>
    <t>ΑΓΙΩΝ ΑΣΩΜΑΤΩΝ 16-20</t>
  </si>
  <si>
    <t>Καλλιτεχνικό Γυμνάσιο</t>
  </si>
  <si>
    <t>ΚΑΛΛΙΤΕΧΝΙΚΟ ΓΥΜΝΑΣΙΟ ΑΘΗΝΩΝ</t>
  </si>
  <si>
    <t>mail@gym-kall-athin.att.sch.gr</t>
  </si>
  <si>
    <t>Εργαστήριο Ειδικής Επαγγελματικής Εκπαίδευσης (Ε.Ε.Ε.ΕΚ.) Αθηνών</t>
  </si>
  <si>
    <t>ΔΙΕΥΘΥΝΣΗ Δ.Ε. ΑΝΑΤΟΛΙΚΗΣ ΑΤΤΙΚΗΣ</t>
  </si>
  <si>
    <t>ΣΑΡΩΝΙΚΟΥ</t>
  </si>
  <si>
    <t>ΚΑΛΥΒΙΩΝ ΘΟΡΙΚΟΥ</t>
  </si>
  <si>
    <t>2ο ΗΜΕΡΗΣΙΟ ΓΥΜΝΑΣΙΟ ΚΑΛΥΒΙΩΝ</t>
  </si>
  <si>
    <t>mail@2gym-kalyv.att.sch.gr</t>
  </si>
  <si>
    <t>ΛΑΓΟΝΗΣΙ</t>
  </si>
  <si>
    <t>Μ.ΑΛΕΞΑΝΔΡΟΥ ΚΑΙ ΑΡΓΟΝΑΥΤΩΝ</t>
  </si>
  <si>
    <t>ΚΟΡΩΠΙΟΥ</t>
  </si>
  <si>
    <t>3ο ΔΗΜΟΤΙΚΟ ΣΧΟΛΕΙΟ ΚΑΛΥΒΙΩΝ</t>
  </si>
  <si>
    <t>ΘΡΑΚΟΜΑΚΕΔΟΝΩΝ</t>
  </si>
  <si>
    <t>ΗΜΕΡΗΣΙΟ ΓΕΝΙΚΟ ΛΥΚΕΙΟ ΘΡΑΚΟΜΑΚΕΔΟΝΩΝ</t>
  </si>
  <si>
    <t>mail@lyk-thrak.att.sch.gr</t>
  </si>
  <si>
    <t>ΘΡΑΚΟΜΑΚΕΔΟΝΕΣ</t>
  </si>
  <si>
    <t>ΜΕΓ. ΑΛΕΞΑΝΔΡΟΥ - ΟΛΥΜΠΙΩΝ</t>
  </si>
  <si>
    <t>1ο  ΔΗΜΟΤΙΚΟ ΣΧΟΛΕΙΟ ΘΡΑΚΟΜΑΚΕΔΟΝΩΝ</t>
  </si>
  <si>
    <t>ΒΑΡΗΣ - ΒΟΥΛΑΣ - ΒΟΥΛΙΑΓΜΕΝΗΣ</t>
  </si>
  <si>
    <t>ΒΟΥΛΙΑΓΜΕΝΗΣ</t>
  </si>
  <si>
    <t>ΗΜΕΡΗΣΙΟ ΓΥΜΝΑΣΙΟ ΒΟΥΛΙΑΓΜΕΝΗΣ</t>
  </si>
  <si>
    <t>mail@gym-vouliag.att.sch.gr</t>
  </si>
  <si>
    <t>Βουλιαγμένη</t>
  </si>
  <si>
    <t>Ιάσονος 52 - 56</t>
  </si>
  <si>
    <t>ΓΛΥΦΑΔΑΣ</t>
  </si>
  <si>
    <t>ΟΛΟΗΜΕΡΟ ΔΗΜΟΤΙΚΟ ΣΧΟΛΕΙΟ ΒΟΥΛΙΑΓΜΕΝΗΣ</t>
  </si>
  <si>
    <t>ΜΑΡΑΘΩΝΟΣ</t>
  </si>
  <si>
    <t>ΓΕΝΙΚΟ ΛΥΚΕΙΟ ΜΑΡΑΘΩΝΑ</t>
  </si>
  <si>
    <t>mail@lyk-marath.att.sch.gr</t>
  </si>
  <si>
    <t>ΜΑΡΑΘΩΝΑΣ</t>
  </si>
  <si>
    <t>ΛΕΩΦΟΡΟΣ ΔΗΜΟΚΡΑΤΙΑΣ 7</t>
  </si>
  <si>
    <t>ΠΑΛΛΗΝΗΣ</t>
  </si>
  <si>
    <t>1ο ΟΛΟΗΜΕΡΟ ΔΗΜΟΤΙΚΟ ΣΧΟΛΕΙΟ ΜΑΡΑΘΩΝΑ</t>
  </si>
  <si>
    <t>3ο ΗΜΕΡΗΣΙΟ ΓΕΝΙΚΟ ΛΥΚΕΙΟ ΑΧΑΡΝΩΝ</t>
  </si>
  <si>
    <t>mail@3lyk-acharn.att.sch.gr</t>
  </si>
  <si>
    <t>ΑΧΑΡΝΕΣ</t>
  </si>
  <si>
    <t>ΜΕΤΣΟΒΟΥ ΚΑΙ ΑΡΚΑΔΙΟΥ ΚΡΗΤΗΣ</t>
  </si>
  <si>
    <t>4ο ΟΛΟΗΜΕΡΟ ΔΗΜΟΤΙΚΟ ΣΧΟΛΕΙΟ ΑΧΑΡΝΩΝ</t>
  </si>
  <si>
    <t>ΛΑΥΡΕΩΤΙΚΗΣ</t>
  </si>
  <si>
    <t>1ο ΓΥΜΝΑΣΙΟ ΛΑΥΡΙΟΥ</t>
  </si>
  <si>
    <t>mail@gym-lavriou.att.sch.gr</t>
  </si>
  <si>
    <t>ΛΑΥΡΙΟ</t>
  </si>
  <si>
    <t>ΑΝΔΡΕΑ ΚΟΡΔΕΛΛΑ 2</t>
  </si>
  <si>
    <t>3ο ΔΗΜΟΤΙΚΟ ΣΧΟΛΕΙΟ ΛΑΥΡΙΟΥ</t>
  </si>
  <si>
    <t>ΚΕΡΑΤΕΑΣ</t>
  </si>
  <si>
    <t>ΗΜΕΡΗΣΙΟ ΓΕΝΙΚΟ ΛΥΚΕΙΟ ΚΕΡΑΤΕΑΣ</t>
  </si>
  <si>
    <t>mail@lyk-kerat.att.sch.gr</t>
  </si>
  <si>
    <t>ΚΕΡΑΤΕΑ</t>
  </si>
  <si>
    <t>ΒΑΣ ΑΛΕΞΑΝΔΡΟΥ 2</t>
  </si>
  <si>
    <t>4ο ΔΗΜΟΤΙΚΟ ΣΧΟΛΕΙΟ ΚΕΡΑΤΕΑΣ</t>
  </si>
  <si>
    <t>ΔΙΟΝΥΣΟΥ</t>
  </si>
  <si>
    <t>ΚΡΥΟΝΕΡΙΟΥ</t>
  </si>
  <si>
    <t>ΗΜΕΡΗΣΙΟ ΓΥΜΝΑΣΙΟ ΚΡΥΟΝΕΡΙΟΥ</t>
  </si>
  <si>
    <t>mail@gym-kryon.att.sch.gr</t>
  </si>
  <si>
    <t>ΑΓΙΑΣ ΤΡΙΑΔΟΣ  28-30</t>
  </si>
  <si>
    <t>ΚΗΦΙΣΙΑΣ</t>
  </si>
  <si>
    <t>1ο ΟΛΟΗΜΕΡΟ ΔΗΜΟΤΙΚΟ ΣΧΟΛΕΙΟ ΚΡΥΟΝΕΡΙ</t>
  </si>
  <si>
    <t>3ο ΗΜΕΡΗΣΙΟ ΓΥΜΝΑΣΙΟ ΑΧΑΡΝΩΝ</t>
  </si>
  <si>
    <t>mail@3gym-acharn.att.sch.gr</t>
  </si>
  <si>
    <t>ΣΠΑΡΤΗΣ - ΜΗΤΡΟΜΑΡΑ ΑΧΑΡΝΕΣ</t>
  </si>
  <si>
    <t>22ο ΟΛΟΗΜΕΡΟ ΔΗΜΟΤΙΚΟ ΣΧΟΛΕΙΟ ΑΧΑΡΝΩΝ</t>
  </si>
  <si>
    <t>ΝΕΑΣ ΜΑΚΡΗΣ</t>
  </si>
  <si>
    <t>Ε.Ε.Ε.ΕΚ. Ν. ΜΑΚΡΗΣ - Ε.Ε.Ε.ΕΚ. ΠΑΜΜΑΚΑΡΙΣΤΟΥ  Ν. ΜΑΚΡΗΣ</t>
  </si>
  <si>
    <t>mail@eeek-n-makris.att.sch.gr</t>
  </si>
  <si>
    <t>Ν ΜΑΚΡΗ</t>
  </si>
  <si>
    <t>Λ. ΜΑΡΑΘΩΝΟΣ 01</t>
  </si>
  <si>
    <t>1ο ΔΗΜΟΤΙΚΟ ΣΧΟΛΕΙΟ ΝΕΑΣ ΜΑΚΡΗΣ</t>
  </si>
  <si>
    <t>ΡΑΦΗΝΑΣ - ΠΙΚΕΡΜΙΟΥ</t>
  </si>
  <si>
    <t>ΡΑΦΗΝΑΣ</t>
  </si>
  <si>
    <t>ΕΕΕΕΚ ΡΑΦΗΝΑ - ΕΕΕΕΚ ΝΤΑΟΥ ΠΙΚΠΑ ΠΕΝΤΕΛΗΣ</t>
  </si>
  <si>
    <t>mail@eeeek-pikpa.att.sch.gr</t>
  </si>
  <si>
    <t>ΡΑΦΗΝΑ</t>
  </si>
  <si>
    <t>ΑΝ.ΠΑΠΑΝΔΡΕΟΥ 65 -  ΔΙΑΣΤΑΥΡΩΣΗ ΡΑΦΗΝΑΣ</t>
  </si>
  <si>
    <t>ΕΙΔΙΚΟ ΔΗΜΟΤΙΚΟ ΣΧΟΛΕΙΟ ΡΑΦΗΝΑΣ ΠΝΑ</t>
  </si>
  <si>
    <t>ΩΡΩΠΟΥ</t>
  </si>
  <si>
    <t>ΑΥΛΩΝΟΣ</t>
  </si>
  <si>
    <t>2ο ΓΥΜΝΑΣΙΟ και ΛΥΚΕΙΑΚΕΣ ΤΑΞΕΙΣ ΑΥΛΩΝΑ</t>
  </si>
  <si>
    <t>mail@gym-par-avlon.att.sch.gr</t>
  </si>
  <si>
    <t>ΑΥΛΩΝΑΣ</t>
  </si>
  <si>
    <t>19 ΧΙΛΙΟΜ ΠΑΛΑΙΑ ΕΘΝΙΚΗΣ ΟΔΟΥ ΑΘΗΝΩΝ ΧΑΛΚΙΔΟΣ</t>
  </si>
  <si>
    <t>ΑΓΙΟΥ ΣΤΕΦΑΝΟΥ</t>
  </si>
  <si>
    <t>2ο ΔΗΜΟΤΙΚΟ ΣΧΟΛΕΙΟ ΑΥΛΩΝΑΣ</t>
  </si>
  <si>
    <t>ΠΑΙΑΝΙΑΣ</t>
  </si>
  <si>
    <t>ΓΛΥΚΩΝ ΝΕΡΩΝ</t>
  </si>
  <si>
    <t>2ο ΗΜΕΡΗΣΙΟ ΓΥΜΝΑΣΙΟ ΓΛΥΚΩΝ ΝΕΡΩΝ</t>
  </si>
  <si>
    <t>mail@2gym-gl-neron.att.sch.gr</t>
  </si>
  <si>
    <t>ΓΛΥΚΑ ΝΕΡΑ</t>
  </si>
  <si>
    <t>ΝΙΚΟΠΟΛΕΩΣ ΚΑΙ ΜΕΣΟΛΟΓΓΙΟΥ</t>
  </si>
  <si>
    <t>2ο ΔΗΜΟΤΙΚΟ ΣΧΟΛΕΙΟ ΓΛΥΚΩΝ ΝΕΡΩΝ</t>
  </si>
  <si>
    <t>ΠΙΚΕΡΜΙΟΥ</t>
  </si>
  <si>
    <t>ΗΜΕΡΗΣΙΟ ΓΥΜΝΑΣΙΟ ΠΙΚΕΡΜΙΟΥ</t>
  </si>
  <si>
    <t>mail@gym-pikerm.att.sch.gr</t>
  </si>
  <si>
    <t>ΠΙΚΕΡΜΙ</t>
  </si>
  <si>
    <t>Ιερέως Κοντοράβδη 9</t>
  </si>
  <si>
    <t>1ο  ΔΗΜΟΤΙΚΟ ΣΧΟΛΕΙΟ ΠΙΚΕΡΜΙΟΥ</t>
  </si>
  <si>
    <t>ΣΤΑΜΑΤΑΣ</t>
  </si>
  <si>
    <t>1ο ΕΠΑΛ Διονύσου - "Ζήνων"</t>
  </si>
  <si>
    <t>1epaldion@sch.gr</t>
  </si>
  <si>
    <t>ΣΤΑΜΑΤΑ - ΔΗΜΟΣ ΔΙΟΝΥΣΟΥ</t>
  </si>
  <si>
    <t>ΛΕΩΦΟΡΟΣ ΔΡΟΣΙΑΣ-ΣΤΑΜΑΤΑΣ 25Α</t>
  </si>
  <si>
    <t>3ο ΔΗΜΟΤΙΚΟ ΣΧΟΛΕΙΟ ΔΙΟΝΥΣΟΥ</t>
  </si>
  <si>
    <t>ΜΑΡΚΟΠΟΥΛΟΥ ΩΡΩΠΟΥ</t>
  </si>
  <si>
    <t>1ο ΗΜΕΡΗΣΙΟ ΕΠΑΛ ΜΑΡΚΟΠΟΥΛΟΥ-ΩΡΩΠΟΥ</t>
  </si>
  <si>
    <t>epal-markop@sch.gr</t>
  </si>
  <si>
    <t>ΜΑΡΚΟΠΟΥΛΟ-ΩΡΩΠΟΥ</t>
  </si>
  <si>
    <t>ΠΑΡΑΛΙΑ ΜΑΡΚΟΠΟΥΛΟΥ-ΩΡΩΠΟΥ</t>
  </si>
  <si>
    <t>2ο ΔΗΜΟΤΙΚΟ ΣΧΟΛΕΙΟ ΣΚΑΛΑΣ ΩΡΩΠΟΥ ΚΑΙ ΝΕΩΝ ΠΑΛΑΤΙΩΝ</t>
  </si>
  <si>
    <t>3ο ΕΚ ΑΝ. ΑΤΤΙΚΗΣ (ΡΑΦΗΝΑΣ)</t>
  </si>
  <si>
    <t>mail@3sek-an-attik.att.sch.gr</t>
  </si>
  <si>
    <t>Λ. ΜΑΡΑΘΩΝΟΣ 26 ΧΛΜ</t>
  </si>
  <si>
    <t>2ο ΔΗΜΟΤΙΚΟ ΣΧΟΛΕΙΟ ΡΑΦΗΝΑΣ</t>
  </si>
  <si>
    <t>5ο ΕΚ ΑΝ. ΑΤΤΙΚΗΣ (ΑΧΑΡΝΩΝ- ΛΑΘΕΑ)</t>
  </si>
  <si>
    <t>mail@5sek-acharn.att.sch.gr</t>
  </si>
  <si>
    <t>ΠΤΟΛΕΜΑΪΔΟΣ 1</t>
  </si>
  <si>
    <t>25ο  ΔΗΜΟΤΙΚΟ ΣΧΟΛΕΙΟ ΑΧΑΡΝΩΝ</t>
  </si>
  <si>
    <t>1ο ΕΚ ΑΝ. ΑΤΤΙΚΗΣ (ΑΧΑΡΝΩΝ)</t>
  </si>
  <si>
    <t>mail@1sek-anatol.att.sch.gr</t>
  </si>
  <si>
    <t>ΑΓ. ΔΙΟΝΥΣΙΟΥ 50</t>
  </si>
  <si>
    <t>10ο ΟΛΟΗΜΕΡΟ ΔΗΜΟΤΙΚΟ ΣΧΟΛΕΙΟ ΑΧΑΡΝΩΝ</t>
  </si>
  <si>
    <t>ΒΑΡΗΣ</t>
  </si>
  <si>
    <t>1ο ΗΜΕΡΗΣΙΟ ΕΠΑΛ ΒΑΡΗΣ</t>
  </si>
  <si>
    <t>mail@1epal-varis.att.sch.gr</t>
  </si>
  <si>
    <t>Βάρη</t>
  </si>
  <si>
    <t>ΜΟΥΤΟΥΣΗ 2</t>
  </si>
  <si>
    <t>1ο ΟΛΟΗΜΕΡΟ ΔΗΜΟΤΙΚΟ ΣΧΟΛΕΙΟ ΒΑΡΗΣ</t>
  </si>
  <si>
    <t>ΣΠΑΤΩΝ - ΑΡΤΕΜΙΔΟΣ</t>
  </si>
  <si>
    <t>ΣΠΑΤΩΝ-ΛΟΥΤΣΑΣ</t>
  </si>
  <si>
    <t>1ο ΗΜΕΡΗΣΙΟ ΓΕΝΙΚΟ ΛΥΚΕΙΟ ΣΠΑΤΩΝ</t>
  </si>
  <si>
    <t>mail@lyk-spaton.att.sch.gr</t>
  </si>
  <si>
    <t>ΣΠΑΤΑ</t>
  </si>
  <si>
    <t>ΜΥΚΗΝΑΪΚΩΝ ΤΑΦΩΝ &amp; Η. ΜΑΡΓΕΤΗ 2</t>
  </si>
  <si>
    <t>1ο ΔΗΜΟΤΙΚΟ ΣΧΟΛΕΙΟ ΣΠΑΤΩΝ</t>
  </si>
  <si>
    <t>ΚΑΠΑΝΔΡΙΤΙΟΥ</t>
  </si>
  <si>
    <t>ΗΜΕΡΗΣΙΟ ΓΕΝΙΚΟ ΛΥΚΕΙΟ ΚΑΠΑΝΔΡΙΤΙΟΥ - ΚΑΛΛΙΣΤΡΑΤΟΣ ΚΩΔ.0552051</t>
  </si>
  <si>
    <t>mail@lyk-kapandr.att.sch.gr</t>
  </si>
  <si>
    <t>ΚΑΠΑΝΔΡΙΤΙ</t>
  </si>
  <si>
    <t>ΑΓΑΘΑΓΓΕΛΟΥ ΤΣΕΜΠΕΡΛΙΔΗ  5</t>
  </si>
  <si>
    <t>ΔΗΜΟΤΙΚΟ ΣΧΟΛΕΙΟ ΚΑΠΑΝΔΡΙΤΙΟΥ</t>
  </si>
  <si>
    <t>1ο ΗΜΕΡΗΣΙΟ ΓΕΝΙΚΟ ΛΥΚΕΙΟ ΑΧΑΡΝΩΝ</t>
  </si>
  <si>
    <t>mail@1lyk-acharn.att.sch.gr</t>
  </si>
  <si>
    <t>ΚΥΠΡΟΥ ΚΑΙ ΠΑΠΑΝΙΚΑ</t>
  </si>
  <si>
    <t>7ο ΟΛΟΗΜΕΡΟ ΔΗΜΟΤΙΚΟ ΣΧΟΛΕΙΟ ΑΧΑΡΝΩΝ</t>
  </si>
  <si>
    <t>1ο ΗΜΕΡΗΣΙΟ ΕΠΑΛ ΑΧΑΡΝΩΝ - ΛΑΘΕΑ</t>
  </si>
  <si>
    <t>mail@1epal-acharn.att.sch.gr</t>
  </si>
  <si>
    <t>ΗΜΕΡΗΣΙΟ ΓΕΝΙΚΟ ΛΥΚΕΙΟ ΠΑΙΑΝΙΑΣ - ΔΗΜΟΣΘΕΝΕΙΟ</t>
  </si>
  <si>
    <t>mail@lyk-paian.att.sch.gr</t>
  </si>
  <si>
    <t>ΠΑΙΑΝΙΑ</t>
  </si>
  <si>
    <t>ΠΑΡΟΔΟΣ ΑΝΑΠΑΥΣΕΩΣ</t>
  </si>
  <si>
    <t>3ο ΔΗΜΟΤΙΚΟ ΣΧΟΛΕΙΟ ΠΑΙΑΝΙΑΣ</t>
  </si>
  <si>
    <t>ΓΕΝΙΚΟ ΛΥΚΕΙΟ ΒΑΡΗΣ</t>
  </si>
  <si>
    <t>lykvaris@sch.gr</t>
  </si>
  <si>
    <t>ΒΑΡΗ</t>
  </si>
  <si>
    <t>ΜΟΥΤΟΥΣΗ ΚΩΝΣΤΑΝΤΙΝΟΥ 2</t>
  </si>
  <si>
    <t>ΗΜΕΡΗΣΙΟ ΓΕΝΙΚΟ ΛΥΚΕΙΟ ΔΡΟΣΙΑΣ - ΓΕΝΙΚΟ ΛΥΚΕΙΟ ΔΡΟΣΙΑΣ</t>
  </si>
  <si>
    <t>mail@lyk-drosias.att.sch.gr</t>
  </si>
  <si>
    <t>ΕΚΑΛΗ</t>
  </si>
  <si>
    <t>ΛΕΥΚΗΣ  2</t>
  </si>
  <si>
    <t>1ο ΔΗΜΟΤΙΚΟ ΣΧΟΛΕΙΟ ΔΡΟΣΙΑΣ</t>
  </si>
  <si>
    <t>4ο ΗΜΕΡΗΣΙΟ ΓΕΝΙΚΟ ΛΥΚΕΙΟ ΑΧΑΡΝΩΝ</t>
  </si>
  <si>
    <t>mail@4lyk-acharn.att.sch.gr</t>
  </si>
  <si>
    <t>ΕΧΙΝΟΥ ΚΑΙ ΧΑΛΚΙΔΟΣ</t>
  </si>
  <si>
    <t>18ο Ολοήμερο Δημοτικό Σχολείο Αχαρνών</t>
  </si>
  <si>
    <t>ΗΜΕΡΗΣΙΟ ΓΕΝΙΚΟ ΛΥΚΕΙΟ ΔΙΟΝΥΣΟΥ - ΦΩΤΗΣ ΚΟΝΤΟΓΛΟΥ</t>
  </si>
  <si>
    <t>mail@lyk-dionys.att.sch.gr</t>
  </si>
  <si>
    <t>ΔΙΟΝΥΣΟΣ</t>
  </si>
  <si>
    <t>ΑΤΤΑΛΟΥ - ΒΕΡΓΙΝΑΣ</t>
  </si>
  <si>
    <t>2ο ΔΗΜΟΤΙΚΟ ΣΧΟΛΕΙΟ ΔΙΟΝΥΣΟΥ</t>
  </si>
  <si>
    <t>ΒΟΥΛΑΣ</t>
  </si>
  <si>
    <t>2ο ΓΕΝΙΚΟ ΛΥΚΕΙΟ ΒΟΥΛΑΣ</t>
  </si>
  <si>
    <t>mail@2lyk-voulas.att.sch.gr</t>
  </si>
  <si>
    <t>ΒΟΥΛΑ</t>
  </si>
  <si>
    <t>ΠΡΟΟΔΟΥ - ΒΟΥΛΙΑΓΜΕΝΗΣ</t>
  </si>
  <si>
    <t>2ο ΔΗΜΟΤΙΚΟ ΣΧΟΛΕΙΟ ΒΟΥΛΑΣ</t>
  </si>
  <si>
    <t>ΗΜΕΡΗΣΙΟ ΓΕΝΙΚΟ ΛΥΚΕΙΟ ΒΟΥΛΙΑΓΜΕΝΗΣ</t>
  </si>
  <si>
    <t>mail@lyk-vouliagm.att.sch.gr</t>
  </si>
  <si>
    <t>ΒΟΥΛΙΑΓΜΕΝΗ</t>
  </si>
  <si>
    <t>Λ. ΚΑΒΟΥΡΙΟΥ ΚΑΙ ΕΚΤΟΡΟΣ</t>
  </si>
  <si>
    <t>1ο ΗΜΕΡΗΣΙΟ ΓΕΝΙΚΟ ΛΥΚΕΙΟ ΓΕΡΑΚΑ</t>
  </si>
  <si>
    <t>mail@lyk-gerak.att.sch.gr</t>
  </si>
  <si>
    <t>ΓΕΡΑΚΑΣ</t>
  </si>
  <si>
    <t>ΑΓΙΟΥ Ι. ΘΕΟΛΟΓΟΥ ΚΑΙ ΠΑΠΑΦΛΕΣΣΑ</t>
  </si>
  <si>
    <t>5ο ΔΗΜΟΤΙΚΟ ΣΧΟΛΕΙΟ ΓΕΡΑΚΑ</t>
  </si>
  <si>
    <t>1ο ΗΜΕΡΗΣΙΟ ΓΕΝΙΚΟ ΛΥΚΕΙΟ ΝΕΑΣ ΜΑΚΡΗΣ</t>
  </si>
  <si>
    <t>mail@lyk-n-makris.att.sch.gr</t>
  </si>
  <si>
    <t>ΝΕΑ ΜΑΚΡΗ</t>
  </si>
  <si>
    <t>ΛΥΚΕΙΟΥ &amp; ΚΟΛΛΙΑ</t>
  </si>
  <si>
    <t>ΑΝΟΙΞΕΩΣ</t>
  </si>
  <si>
    <t>ΓΕΝΙΚΟ ΛΥΚΕΙΟ ΑΝΟΙΞΗΣ</t>
  </si>
  <si>
    <t>lykanoix@sch.gr</t>
  </si>
  <si>
    <t>ΑΝΟΙΞΗ</t>
  </si>
  <si>
    <t>ΠΡΟΦΗΤΗ ΗΛΙΑ 4</t>
  </si>
  <si>
    <t>ΟΛΟΗΜΕΡΟ ΔΗΜΟΤΙΚΟ ΣΧΟΛΕΙΟ ΣΤΑΜΑΤΑΣ</t>
  </si>
  <si>
    <t>1ο ΗΜΕΡΗΣΙΟ ΓΕΝΙΚΟ ΛΥΚΕΙΟ ΚΟΡΩΠΙΟΥ</t>
  </si>
  <si>
    <t>mail@lyk-korop.att.sch.gr</t>
  </si>
  <si>
    <t>ΠΛΑΤΕΙΑ ΜΕΡΚΟΥΡΗ</t>
  </si>
  <si>
    <t>1ο ΔΗΜΟΤΙΚΟ ΣΧΟΛΕΙΟ ΚΟΡΩΠΙΟΥ</t>
  </si>
  <si>
    <t>ΗΜΕΡΗΣΙΟ ΓΕΝΙΚΟ ΛΥΚΕΙΟ ΑΓ. ΣΤΕΦΑΝΟΥ</t>
  </si>
  <si>
    <t>mail@lyk-ag-stefan.att.sch.gr</t>
  </si>
  <si>
    <t>ΑΓ. ΣΤΕΦΑΝΟΣ</t>
  </si>
  <si>
    <t>ΣΩΤΗΡΑΣ 1</t>
  </si>
  <si>
    <t>2ο  ΔΗΜΟΤΙΚΟ ΣΧΟΛΕΙΟ ΑΓΙΟΥ ΣΤΕΦΑΝΟΥ</t>
  </si>
  <si>
    <t>Καλλιτεχνικό Γυμνάσιο με Λυκειακές Τάξεις</t>
  </si>
  <si>
    <t>ΚΑΛΛΙΤΕΧΝΙΚΟ ΓΥΜΝΑΣΙΟ ΓΕΡΑΚΑ ΜΕ ΛΥΚΕΙΑΚΕΣ ΤΑΞΕΙΣ</t>
  </si>
  <si>
    <t>mail@gym-kall-gerak.att.sch.gr</t>
  </si>
  <si>
    <t>ΗΡΑΚΛΕΙΑΣ ΚΑΙ ΣΚΙΑΘΟΥ</t>
  </si>
  <si>
    <t>1ο ΕΣΠΕΡΙΝΟ ΕΠΑΛ ΚΟΡΩΠΙΟΥ</t>
  </si>
  <si>
    <t>mail@1epal-esp-korop.att.sch.gr</t>
  </si>
  <si>
    <t>ΚΟΛΟΚΟΤΡΩΝΗ 101</t>
  </si>
  <si>
    <t>4ο  ΔΗΜΟΤΙΚΟ ΣΧΟΛΕΙΟ ΚΟΡΩΠΙΟΥ</t>
  </si>
  <si>
    <t>ΗΜΕΡΗΣΙΟ ΓΕΝΙΚΟ ΛΥΚΕΙΟ ΑΥΛΩΝΑ</t>
  </si>
  <si>
    <t>mail@lyk-avlon.att.sch.gr</t>
  </si>
  <si>
    <t>ΑΥΛΩΝΑ</t>
  </si>
  <si>
    <t>Μ. ΠΑΠΑΙΩΑΝΝΟΥ 1</t>
  </si>
  <si>
    <t>1ο ΔΗΜΟΤΙΚΟ ΣΧΟΛΕΙΟ ΑΥΛΩΝΑ</t>
  </si>
  <si>
    <t>ΜΑΡΚΟΠΟΥΛΟΥ ΜΕΣΟΓΑΙΑΣ</t>
  </si>
  <si>
    <t>1ο ΓΕΝΙΚΟ ΛΥΚΕΙΟ ΜΑΡΚΟΠΟΥΛΟΥ</t>
  </si>
  <si>
    <t>mail@lyk-markop.att.sch.gr</t>
  </si>
  <si>
    <t>ΜΑΡΚΟΠΟΥΛΟ</t>
  </si>
  <si>
    <t>Κ. ΣΩΤΗΡΙΟΥ 3</t>
  </si>
  <si>
    <t>3ο  ΔΗΜΟΤΙΚΟ ΣΧΟΛΕΙΟ ΜΑΡΚΟΠΟΥΛΟΥ ΜΕΣΟΓΑΙΑΣ</t>
  </si>
  <si>
    <t>2ο ΗΜΕΡΗΣΙΟ ΕΠΑΛ ΑΧΑΡΝΩΝ - ΕΠΑΛ</t>
  </si>
  <si>
    <t>mail@2epal-acharn.att.sch.gr</t>
  </si>
  <si>
    <t>2ο ΗΜΕΡΗΣΙΟ ΓΕΝΙΚΟ ΛΥΚΕΙΟ ΑΧΑΡΝΩΝ - ΓΕΝΙΚΟ ΛΥΚΕΙΟ ΑΧΑΡΝΩΝ</t>
  </si>
  <si>
    <t>mail@2lyk-acharn.att.sch.gr</t>
  </si>
  <si>
    <t>ΜΙΧΑΗΛ ΣΟΥΡΛΑΤΖΗ 8</t>
  </si>
  <si>
    <t>15ο ΟΛΟΗΜΕΡΟ ΔΗΜΟΤΙΚΟ ΣΧΟΛΕΙΟ ΑΧΑΡΝΩΝ</t>
  </si>
  <si>
    <t>ΗΜΕΡΗΣΙΟ ΓΕΝΙΚΟ ΛΥΚΕΙΟ ΚΡΥΟΝΕΡΙΟΥ</t>
  </si>
  <si>
    <t>mail@lyk-kryon.att.sch.gr</t>
  </si>
  <si>
    <t>ΑΓΙΑΣ ΤΡΙΑΔΟΣ 28-30</t>
  </si>
  <si>
    <t>ΕΣΠΕΡΙΝΟ ΓΕΝΙΚΟ ΛΥΚΕΙΟ ΑΧΑΡΝΩΝ</t>
  </si>
  <si>
    <t>mail@lyk-esp-acharn.att.sch.gr</t>
  </si>
  <si>
    <t>ΛΙΟΣΙΩΝ 44</t>
  </si>
  <si>
    <t>3ο  ΔΗΜΟΤΙΚΟ ΣΧΟΛΕΙΟ ΑΧΑΡΝΩΝ</t>
  </si>
  <si>
    <t>1ο ΕΣΠΕΡΙΝΟ ΕΠΑΛ ΑΧΑΡΝΩΝ - ΝΕΑΠΟΛΗ</t>
  </si>
  <si>
    <t>mail@1epal-esp-acharn.att.sch.gr</t>
  </si>
  <si>
    <t>ΑΓΙΟΥ ΔΙΟΝΥΣΙΟΥ 50</t>
  </si>
  <si>
    <t>1ο ΗΜΕΡΗΣΙΟ ΓΕΝΙΚΟ ΛΥΚΕΙΟ ΚΑΛΥΒΙΩΝ ΘΟΡΙΚΟΥ</t>
  </si>
  <si>
    <t>mail@lyk-kalyv.att.sch.gr</t>
  </si>
  <si>
    <t>ΚΑΛΥΒΙΑ ΘΟΡΙΚΟΥ</t>
  </si>
  <si>
    <t>ΕΛΕΥΘΕΡΙΟΥ ΒΕΝΙΖΕΛΟΥ 40</t>
  </si>
  <si>
    <t>1ο ΔΗΜΟΤΙΚΟ ΣΧΟΛΕΙΟ ΚΑΛΥΒΙΩΝ</t>
  </si>
  <si>
    <t>1ο ΗΜΕΡΗΣΙΟ ΕΠΑΛ ΛΑΥΡΙΟΥ</t>
  </si>
  <si>
    <t>mail@1epal-lavriou.att.sch.gr</t>
  </si>
  <si>
    <t>ΛΑΥΡΙΟΥ</t>
  </si>
  <si>
    <t>ΠΑΝΑΓΙΩΤΟΥ ΚΟΚΟΡΕ 2</t>
  </si>
  <si>
    <t>1ο  ΔΗΜΟΤΙΚΟ ΣΧΟΛΕΙΟ ΛΑΥΡΙΟΥ</t>
  </si>
  <si>
    <t>ΑΝΑΒΥΣΣΟΥ</t>
  </si>
  <si>
    <t>ΗΜΕΡΗΣΙΟ ΓΕΝΙΚΟ ΛΥΚΕΙΟ ΑΝΑΒΥΣΣΟΥ- ΓΕΛ ΑΝΑΒΥΣΣΟΥ</t>
  </si>
  <si>
    <t>mail@lyk-anavyss.att.sch.gr</t>
  </si>
  <si>
    <t>ΑΝΑΒΥΣΣΟΣ</t>
  </si>
  <si>
    <t>ΚΑΝΑΡΗ ΚΑΙ ΠΑΣΧΑΛΙΑΣ 14</t>
  </si>
  <si>
    <t>1ο ΔΗΜΟΤΙΚΟ ΣΧΟΛΕΙΟ ΑΝΑΒΥΣΣΟΥ</t>
  </si>
  <si>
    <t>ΗΜΕΡΗΣΙΟ ΓΕΝΙΚΟ ΛΥΚΕΙΟ ΛΑΥΡΙΟΥ</t>
  </si>
  <si>
    <t>mail@lyk-lavriou.att.sch.gr</t>
  </si>
  <si>
    <t>Α. ΚΟΡΔΕΛΛΑ 4</t>
  </si>
  <si>
    <t>ΑΡΤΕΜΙΔΟΣ</t>
  </si>
  <si>
    <t>ΑΡΤΕΜΙΔΑΣ</t>
  </si>
  <si>
    <t>1ο ΗΜΕΡΗΣΙΟ ΓΕΝΙΚΟ ΛΥΚΕΙΟ ΑΡΤΕΜΙΔΟΣ - ΟΔΥΣΣΕΑΣ ΕΛΥΤΗΣ</t>
  </si>
  <si>
    <t>mail@lyk-artem.att.sch.gr</t>
  </si>
  <si>
    <t>ΑΡΤΕΜΙΣ</t>
  </si>
  <si>
    <t>ΑΝΘΕΩΝ ΚΑΙ ΑΝΔΡΕΑ ΠΑΠΑΝΔΡΕΟΥ</t>
  </si>
  <si>
    <t>1ο  ΔΗΜΟΤΙΚΟ ΣΧΟΛΕΙΟ ΑΡΤΕΜΙΔΑΣ</t>
  </si>
  <si>
    <t>1ο ΗΜΕΡΗΣΙΟ ΓΥΜΝΑΣΙΟ ΑΥΛΩΝΑ</t>
  </si>
  <si>
    <t>mail@gym-avlon.att.sch.gr</t>
  </si>
  <si>
    <t>Μ. ΠΑΠΑΪΩΑΝΝΟΥ  1</t>
  </si>
  <si>
    <t>ΗΜΕΡΗΣΙΟ ΓΥΜΝΑΣΙΟ ΔΡΟΣΙΑΣ</t>
  </si>
  <si>
    <t>mail@gym-drosias.att.sch.gr</t>
  </si>
  <si>
    <t>ΕΙΚΟΣΤΗΣ ΠΕΜΠΤΗΣ ΜΑΡΤΙΟΥ ΚΑΙ ΠΡΩΤΗΣ ΜΑΪΟΥ 1</t>
  </si>
  <si>
    <t>ΟΛΟΗΜΕΡΟ ΔΗΜΟΤΙΚΟ ΣΧΟΛΕΙΟ ΡΟΔΟΠΟΛΗΣ</t>
  </si>
  <si>
    <t>ΩΡΩΠΙΩΝ</t>
  </si>
  <si>
    <t>ΣΚΑΛΑΣ ΩΡΩΠΟΥ</t>
  </si>
  <si>
    <t>1ο ΓΥΜΝΑΣΙΟ ΧΑΛΚΟΥΤΣΙΟΥ</t>
  </si>
  <si>
    <t>mail@1gym-chalk.att.sch.gr</t>
  </si>
  <si>
    <t>ΧΑΛΚΟΥΤΣΙ</t>
  </si>
  <si>
    <t>ΕΙΚΟΣΤΗΣ ΠΕΜΠΤΗΣ ΜΑΡΤΙΟΥ-ΑΧΙΛΛΕΩΣ 1</t>
  </si>
  <si>
    <t>ΔΗΜΟΤΙΚΟ ΣΧΟΛΕΙΟ ΧΑΛΚΟΥΤΣΙΟΥ</t>
  </si>
  <si>
    <t>4ο ΗΜΕΡΗΣΙΟ ΓΥΜΝΑΣΙΟ ΑΧΑΡΝΩΝ</t>
  </si>
  <si>
    <t>mail@4gym-acharn.att.sch.gr</t>
  </si>
  <si>
    <t>ΠΑΠΑΝΑΣΤΑΣΙΟΥ ΚΑΙ ΜΕΤΣΟΒΟΥ</t>
  </si>
  <si>
    <t>1ο ΗΜΕΡΗΣΙΟ ΓΥΜΝΑΣΙΟ ΣΚΑΛΑΣ ΩΡΩΠΟΥ</t>
  </si>
  <si>
    <t>mail@gym-skalas.att.sch.gr</t>
  </si>
  <si>
    <t>ΣΚΑΛΑ ΩΡΩΠΟΥ</t>
  </si>
  <si>
    <t>ΣΤΑΔΙΟΥ 3-5</t>
  </si>
  <si>
    <t>1ο ΔΗΜΟΤΙΚΟ ΣΧΟΛΕΙΟ ΣΚΑΛΑΣ ΩΡΩΠΟΥ ΚΑΙ ΝΕΩΝ ΠΑΛΑΤΙΩΝ</t>
  </si>
  <si>
    <t>1ο ΗΜΕΡΗΣΙΟ ΕΠΑΛ ΡΑΦΗΝΑΣ</t>
  </si>
  <si>
    <t>mail@1epal-rafin.att.sch.gr</t>
  </si>
  <si>
    <t>Λ.  ΜΑΡΑΘΩΝΟΣ 25 ΧΛΜ</t>
  </si>
  <si>
    <t>1ο ΗΜΕΡΗΣΙΟ ΓΥΜΝΑΣΙΟ ΝΕΑΣ ΜΑΚΡΗΣ</t>
  </si>
  <si>
    <t>mail@gym-n-makris.att.sch.gr</t>
  </si>
  <si>
    <t>ΡΟΥΜΕΛΗΣ</t>
  </si>
  <si>
    <t>1ο ΗΜΕΡΗΣΙΟ ΓΥΜΝΑΣΙΟ ΜΑΡΚΟΠΟΥΛΟΥ ΜΕΣΟΓΑΙΑΣ</t>
  </si>
  <si>
    <t>mail@gym-markop.att.sch.gr</t>
  </si>
  <si>
    <t xml:space="preserve">ΜΑΡΚΟΠΟΥΛΟ ΜΕΣΟΓΑΙΑΣ </t>
  </si>
  <si>
    <t>ΠΑΠΑΒΑΣΙΛΕΙΟΥ 36</t>
  </si>
  <si>
    <t>1ο  ΔΗΜΟΤΙΚΟ ΣΧΟΛΕΙΟ ΜΑΡΚΟΠΟΥΛΟΥ ΜΕΣΟΓΑΙΑΣ</t>
  </si>
  <si>
    <t>1ο ΓΥΜΝΑΣΙΟ ΑΧΑΡΝΩΝ</t>
  </si>
  <si>
    <t>mail@1gym-acharn.att.sch.gr</t>
  </si>
  <si>
    <t>ΓΥΜΝΑΣΙΟ ΑΓΙΟΥ ΣΤΕΦΑΝΟΥ</t>
  </si>
  <si>
    <t>mail@gym-ag-stefan.att.sch.gr</t>
  </si>
  <si>
    <t>ΑΓΙΟΣ ΣΤΕΦΑΝΟΣ</t>
  </si>
  <si>
    <t>ΑΓΙΑΣ ΣΩΤΗΡΑΣ 1</t>
  </si>
  <si>
    <t>ΗΜΕΡΗΣΙΟ ΓΥΜΝΑΣΙΟ ΔΙΟΝΥΣΟΥ - ΦΩΤΗΣ ΚΟΝΤΟΓΛΟΥ</t>
  </si>
  <si>
    <t>mail@gym-dionys.att.sch.gr</t>
  </si>
  <si>
    <t>ΑΤΤΑΛΟΥ ΚΑΙ ΒΕΡΓΙΝΑΣ</t>
  </si>
  <si>
    <t>1ο ΗΜΕΡΗΣΙΟ ΓΥΜΝΑΣΙΟ ΓΕΡΑΚΑ</t>
  </si>
  <si>
    <t>mail@1gym-gerak.att.sch.gr</t>
  </si>
  <si>
    <t>ΑΓΙΟΥ ΙΩΑΝΝΟΥ ΘΕΟΛΟΓΟΥ - ΑΓΙΑΣ ΛΑΥΡΑΣ 1</t>
  </si>
  <si>
    <t>3ο ΔΗΜΟΤΙΚΟ ΣΧΟΛΕΙΟ ΓΕΡΑΚΑ</t>
  </si>
  <si>
    <t>2ο ΕΣΠΕΡΙΝΟ ΕΠΑΛ ΑΧΑΡΝΩΝ</t>
  </si>
  <si>
    <t>mail@2epal-esp-acharn.att.sch.gr</t>
  </si>
  <si>
    <t>ΠΤΟΛΕΜΑΪΔΟΣ ΚΑΙ ΝΕΖΕΡ</t>
  </si>
  <si>
    <t>8ο ΗΜΕΡΗΣΙΟ ΓΥΜΝΑΣΙΟ ΑΧΑΡΝΩΝ</t>
  </si>
  <si>
    <t>mail@8gym-acharn.att.sch.gr</t>
  </si>
  <si>
    <t>ΑΧΑΡΝΕΩΝ ΙΠΠΕΩΝ ΚΑΙ ΠΑΛΙΓΓΕΝΕΣΙΑΣ</t>
  </si>
  <si>
    <t>17ο ΟΛΟΗΜΕΡΟ ΔΗΜΟΤΙΚΟ ΣΧΟΛΕΙΟ ΑΧΑΡΝΩΝ</t>
  </si>
  <si>
    <t>ΗΜΕΡΗΣΙΟ ΓΥΜΝΑΣΙΟ ΑΝΟΙΞΗ</t>
  </si>
  <si>
    <t>mail@gym-anoix.att.sch.gr</t>
  </si>
  <si>
    <t>ΚΑΝΑΡΗ 2-4</t>
  </si>
  <si>
    <t>1ο ΔΗΜΟΤΙΚΟ ΣΧΟΛΕΙΟ ΑΝΟΙΞΗΣ</t>
  </si>
  <si>
    <t>1ο ΗΜΕΡΗΣΙΟ ΓΥΜΝΑΣΙΟ ΓΛΥΚΩΝ ΝΕΡΩΝ</t>
  </si>
  <si>
    <t>mail@gym-gl-neron.att.sch.gr</t>
  </si>
  <si>
    <t>ΌΘΩΝΟΣ ΚΑΙ ΘΕΣΣΑΛΟΝΙΚΗΣ 1</t>
  </si>
  <si>
    <t>3ο ΔΗΜΟΤΙΚΟ ΣΧΟΛΕΙΟ ΓΛΥΚΩΝ ΝΕΡΩΝ</t>
  </si>
  <si>
    <t>9ο ΗΜΕΡΗΣΙΟ ΓΥΜΝΑΣΙΟ ΑΧΑΡΝΩΝ</t>
  </si>
  <si>
    <t>mail@9gym-acharn.att.sch.gr</t>
  </si>
  <si>
    <t>ΑΧΑΡΝΑΙ</t>
  </si>
  <si>
    <t>Λ. ΘΡΑΚΟΜΑΚΕΔΟΝΩΝ 25</t>
  </si>
  <si>
    <t>11ο ΗΜΕΡΗΣΙΟ ΓΥΜΝΑΣΙΟ ΑΧΑΡΝΩΝ</t>
  </si>
  <si>
    <t>mail@11gym-acharn.att.sch.gr</t>
  </si>
  <si>
    <t>ΗΡΩΩΝ ΠΟΛΥΤΕΧΝΕΙΟΥ ΚΑΙ ΔΙΟΜΗΔΟΥΣ  2</t>
  </si>
  <si>
    <t>8ο  ΔΗΜΟΤΙΚΟ ΣΧΟΛΕΙΟ ΑΧΑΡΝΩΝ</t>
  </si>
  <si>
    <t>1ο ΗΜΕΡΗΣΙΟ ΓΥΜΝΑΣΙΟ ΑΡΤΕΜΙΔΟΣ</t>
  </si>
  <si>
    <t>mail@gym-artem.att.sch.gr</t>
  </si>
  <si>
    <t>ΑΝΘΕΩΝ  ΚΑΙ Α. ΠΑΠΑΝΔΡΕΟΥ</t>
  </si>
  <si>
    <t>1ο ΗΜΕΡΗΣΙΟ ΓΥΜΝΑΣΙΟ ΣΠΑΤΩΝ</t>
  </si>
  <si>
    <t>mail@gym-spaton.att.sch.gr</t>
  </si>
  <si>
    <t>ΜΥΚΗΝΑΪΚΩΝ ΤΑΦΩΝ</t>
  </si>
  <si>
    <t>ΡΟΔΟΠΟΛΕΩΣ</t>
  </si>
  <si>
    <t>ΗΜΕΡΗΣΙΟ ΓΥΜΝΑΣΙΟ ΡΟΔΟΠΟΛΗΣ ΑΝΑΤΟΛΙΚΗΣ ΑΤΤΙΚΗΣ</t>
  </si>
  <si>
    <t>mail@gym-rodop.att.sch.gr</t>
  </si>
  <si>
    <t>ΡΟΔΟΠΟΛΗΣ ΑΝΑΤΟΛΙΚΗΣ ΑΤΤΙΚΗΣ</t>
  </si>
  <si>
    <t>ΠΛΑΤ ΕΙΚΟΣΤΗΣ ΠΕΜΠΤΗΣ ΜΑΡΤΙΟΥΟΥ 1</t>
  </si>
  <si>
    <t>2ο ΕΚ ΑΝ. ΑΤΤΙΚΗΣ (ΚΟΡΩΠΙΟΥ)</t>
  </si>
  <si>
    <t>mail@2sek-anatol.att.sch.gr</t>
  </si>
  <si>
    <t>ΓΥΜΝΑΣΙΟ ΔΙΑΠΟΛΙΤΙΣΜΙΚΗΣ ΕΚΠΑΙΔΕΥΣΗΣ ΑΧΑΡΝΩΝ</t>
  </si>
  <si>
    <t>mail@2gym-diapol-acharn.att.sch.gr</t>
  </si>
  <si>
    <t>ΑΓ ΔΙΟΝΥΣΙΟΥ ΚΑΙ ΑΙΓΑΙΟΥ ΠΕΛΑΓΟΥΣ</t>
  </si>
  <si>
    <t>6ο ΗΜΕΡΗΣΙΟ ΓΥΜΝΑΣΙΟ ΑΧΑΡΝΩΝ</t>
  </si>
  <si>
    <t>6gymach@sch.gr</t>
  </si>
  <si>
    <t>Αχαρνές</t>
  </si>
  <si>
    <t>Φιλιατών 1 &amp; Ροδόπης</t>
  </si>
  <si>
    <t>9ο ΔΗΜΟΤΙΚΟ ΣΧΟΛΕΙΟ ΑΧΑΡΝΩΝ</t>
  </si>
  <si>
    <t>1ο ΗΜΕΡΗΣΙΟ ΓΥΜΝΑΣΙΟ ΚΟΡΩΠΙΟΥ</t>
  </si>
  <si>
    <t>mail@1gym-korop.att.sch.gr</t>
  </si>
  <si>
    <t>ΕΣΠΕΡΙΝΟ ΓΥΜΝΑΣΙΟ ΑΧΑΡΝΩΝ</t>
  </si>
  <si>
    <t>mail@gym-esp-acharn.att.sch.gr</t>
  </si>
  <si>
    <t>Μουσικό Γυμνάσιο</t>
  </si>
  <si>
    <t>ΠΕΙΡΑΜΑΤΙΚΟ ΜΟΥΣΙΚΟ ΓΥΜΝΑΣΙΟ ΠΑΛΛΗΝΗΣ</t>
  </si>
  <si>
    <t>mail@gym-mous-pallin.att.sch.gr</t>
  </si>
  <si>
    <t>ΠΑΛΛΗΝΗ</t>
  </si>
  <si>
    <t>ΘΕΣΗ ΜΑΡΙΖΑ - ΠΑΛΛΗΝΗ</t>
  </si>
  <si>
    <t>2ο ΔΗΜΟΤΙΚΟ ΣΧΟΛΕΙΟ ΠΑΛΛΗΝΗΣ</t>
  </si>
  <si>
    <t>1ο ΗΜΕΡΗΣΙΟ ΓΥΜΝΑΣΙΟ ΠΑΙΑΝΙΑΣ</t>
  </si>
  <si>
    <t>mail@1gym-paian.att.sch.gr</t>
  </si>
  <si>
    <t>Λ. ΑΝΔΡΙΚΟΥ, 1</t>
  </si>
  <si>
    <t>1ο ΗΜΕΡΗΣΙΟ ΓΥΜΝΑΣΙΟ ΚΑΠΑΝΔΡΙΤΙΟΥ</t>
  </si>
  <si>
    <t>mail@1gym-kapandr.att.sch.gr</t>
  </si>
  <si>
    <t>ΤΣΕΜΠΕΡΛΙΔΗ 5</t>
  </si>
  <si>
    <t>ΗΜΕΡΗΣΙΟ ΓΥΜΝΑΣΙΟ ΚΕΡΑΤΕΑΣ</t>
  </si>
  <si>
    <t>mail@gym-kerat.att.sch.gr</t>
  </si>
  <si>
    <t>Β. ΑΛΕΞΑΝΔΡΟΥ 2</t>
  </si>
  <si>
    <t>1ο ΗΜΕΡΗΣΙΟ ΓΥΜΝΑΣΙΟ ΚΑΛΥΒΙΩΝ ΘΟΡΙΚΟΥ</t>
  </si>
  <si>
    <t>mail@1gym-kalyv.att.sch.gr</t>
  </si>
  <si>
    <t>ΤΕΡΜΑ ΟΔΟΥ ΕΛΥΜΙΩΤΗ</t>
  </si>
  <si>
    <t>ΗΜΕΡΗΣΙΟ ΓΥΜΝΑΣΙΟ ΘΡΑΚΟΜΑΚΕΔΟΝΩΝ</t>
  </si>
  <si>
    <t>mail@gym-thrak.att.sch.gr</t>
  </si>
  <si>
    <t>ΕΜΜ ΠΑΠΠΑ ΚΑΙ ΠΛΑΤΕΙΑ ΑΡΙΣΤΟΤΕΛΟΥΣ</t>
  </si>
  <si>
    <t>10ο ΗΜΕΡΗΣΙΟ ΓΥΜΝΑΣΙΟ ΑΧΑΡΝΩΝ</t>
  </si>
  <si>
    <t>mail@10gym-acharn.att.sch.gr</t>
  </si>
  <si>
    <t>ΣΩΚΡΑΤΟΥΣ 236</t>
  </si>
  <si>
    <t>13ο ΔΗΜΟΤΙΚΟ ΣΧΟΛΕΙΟ ΑΧΑΡΝΩΝ</t>
  </si>
  <si>
    <t>2ο ΗΜΕΡΗΣΙΟ ΓΥΜΝΑΣΙΟ ΒΟΥΛΑΣ</t>
  </si>
  <si>
    <t>mail@2gym-voulas.att.sch.gr</t>
  </si>
  <si>
    <t>ΠΡΟΟΔΟΥ ΚΑΙ ΒΟΥΛΙΑΓΜΕΝΗΣ</t>
  </si>
  <si>
    <t>1ο ΗΜΕΡΗΣΙΟ ΓΥΜΝΑΣΙΟ ΡΑΦΗΝΑΣ</t>
  </si>
  <si>
    <t>mail@gym-rafin.att.sch.gr</t>
  </si>
  <si>
    <t>ΑΓ. ΧΡΥΣΟΣΤΟΜΟΥ ΣΜΥΡΝΗΣ 10</t>
  </si>
  <si>
    <t>4ο ΔΗΜΟΤΙΚΟ ΣΧΟΛΕΙΟ ΡΑΦΗΝΑΣ</t>
  </si>
  <si>
    <t>1ο ΗΜΕΡΗΣΙΟ ΓΥΜΝΑΣΙΟ ΒΑΡΗΣ</t>
  </si>
  <si>
    <t>mail@1gym-varis.att.sch.gr</t>
  </si>
  <si>
    <t>ΝΙΚΗΣ 4</t>
  </si>
  <si>
    <t>ΗΜΕΡΗΣΙΟ ΓΥΜΝΑΣΙΟ ΑΝΑΒΥΣΣΟΥ</t>
  </si>
  <si>
    <t>mail@gym-anavyss.att.sch.gr</t>
  </si>
  <si>
    <t>ΚΑΝΑΡΗ 14</t>
  </si>
  <si>
    <t>2ο ΗΜΕΡΗΣΙΟ ΓΥΜΝΑΣΙΟ ΚΟΡΩΠΙΟΥ</t>
  </si>
  <si>
    <t>mail@2gym-korop.att.sch.gr</t>
  </si>
  <si>
    <t>ΣΠ. ΔΑΒΑΡΗ ΚΑΙ ΥΔΡΑΣ</t>
  </si>
  <si>
    <t>2ο ΗΜΕΡΗΣΙΟ ΓΥΜΝΑΣΙΟ ΠΑΛΛΗΝΗΣ</t>
  </si>
  <si>
    <t>mail@2gym-pallin.att.sch.gr</t>
  </si>
  <si>
    <t>ΛΕΟΝΤΑΡΙΟΥ ΚΑΙ ΚΟΛΛΕΓΙΟΥ</t>
  </si>
  <si>
    <t>5ο ΔΗΜΟΤΙΚΟ ΣΧΟΛΕΙΟ ΠΑΛΛΗΝΗΣ</t>
  </si>
  <si>
    <t>7ο ΗΜΕΡΗΣΙΟ ΓΥΜΝΑΣΙΟ ΑΧΑΡΝΩΝ</t>
  </si>
  <si>
    <t>mail@7gym-acharn.att.sch.gr</t>
  </si>
  <si>
    <t>ΚΥΠΡΟΥ ΚΑΙ ΧΕΙΛΕΤΖΑΡΗ</t>
  </si>
  <si>
    <t>2ο ΗΜΕΡΗΣΙΟ ΓΥΜΝΑΣΙΟ ΓΕΡΑΚΑ</t>
  </si>
  <si>
    <t>mail@2gym-gerak.att.sch.gr</t>
  </si>
  <si>
    <t>ΑΡΙΣΤΟΓΕΙΤΟΝΑ-ΑΝΑΚΡΕΟΝΤΑ 8</t>
  </si>
  <si>
    <t>2ο ΔΗΜΟΤΙΚΟ ΣΧΟΛΕΙΟ ΓΕΡΑΚΑ</t>
  </si>
  <si>
    <t>ΗΜΕΡΗΣΙΟ ΓΥΜΝΑΣΙΟ ΜΑΡΑΘΩΝΑ</t>
  </si>
  <si>
    <t>mail@gym-marath.att.sch.gr</t>
  </si>
  <si>
    <t>ΣΠΗΛΑΙΟΥ ΠΑΝΟΣ 24</t>
  </si>
  <si>
    <t>1ο ΗΜΕΡΗΣΙΟ ΓΥΜΝΑΣΙΟ ΠΑΛΛΗΝΗΣ</t>
  </si>
  <si>
    <t>mail@1gym-pallin.att.sch.gr</t>
  </si>
  <si>
    <t>ΛΕΩΦ. ΜΑΡΑΘΩΝΟΣ ΚΑΙ ΑΘΗΝΑΣ 16 ΧΙΛ</t>
  </si>
  <si>
    <t>2ο ΗΜΕΡΗΣΙΟ ΓΥΜΝΑΣΙΟ ΠΑΙΑΝΙΑΣ</t>
  </si>
  <si>
    <t>mail@2gym-paian.att.sch.gr</t>
  </si>
  <si>
    <t>Λ. ΑΝΔΡΙΚΟΥ 1</t>
  </si>
  <si>
    <t>ΕΣΠΕΡΙΝΟ ΓΥΜΝΑΣΙΟ ΠΑΛΛΗΝΗΣ</t>
  </si>
  <si>
    <t>mail@gym-esp-pallin.att.sch.gr</t>
  </si>
  <si>
    <t>ΔΕΚΑΤΟΕΚΤΟ ΧΛΜ. ΛΕΩΦ. ΜΑΡΑΘΩΝΟΣ</t>
  </si>
  <si>
    <t>1ο ΗΜΕΡΗΣΙΟ ΓΕΝΙΚΟ ΛΥΚΕΙΟ ΓΛΥΚΩΝ ΝΕΡΩΝ</t>
  </si>
  <si>
    <t>mail@lyk-gl-neron.att.sch.gr</t>
  </si>
  <si>
    <t>ΜΠΟΥΜΠΟΥΛΙΝΑΣ ΚΑΙ ΘΕΣΣΑΛΛΟΝΙΚΗΣ 4</t>
  </si>
  <si>
    <t>1ο ΗΜΕΡΗΣΙΟ ΓΥΜΝΑΣΙΟ ΒΟΥΛΑΣ</t>
  </si>
  <si>
    <t>mail@1gym-voulas.att.sch.gr</t>
  </si>
  <si>
    <t xml:space="preserve">ΒΟΥΛΑ  </t>
  </si>
  <si>
    <t>ΞΕΝΟΦΩΝΤΟΣ ΚΑΙ ΠΕΡΙΚΛΕΟΥΣ</t>
  </si>
  <si>
    <t>2ο ΗΜΕΡΗΣΙΟ ΓΥΜΝΑΣΙΟ ΛΑΥΡΙΟΥ</t>
  </si>
  <si>
    <t>mail@2gym-lavriou.att.sch.gr</t>
  </si>
  <si>
    <t>Λ. ΣΟΥΝΙΟΥ</t>
  </si>
  <si>
    <t>2ο ΔΗΜΟΤΙΚΟ ΣΧΟΛΕΙΟ ΛΑΥΡΙΟΥ</t>
  </si>
  <si>
    <t>ΑΓΙΑΣ</t>
  </si>
  <si>
    <t>1ο ΗΜΕΡΗΣΙΟ ΓΕΝΙΚΟ ΛΥΚΕΙΟ ΡΑΦΗΝΑΣ</t>
  </si>
  <si>
    <t>mail@lyk-rafin.att.sch.gr</t>
  </si>
  <si>
    <t>ΑΓΙΟΥ ΧΡΥΣΟΣΤΟΜΟΥ ΣΜΥΡΝΗΣ 10</t>
  </si>
  <si>
    <t>1ο ΗΜΕΡΗΣΙΟ ΕΠΑ.Λ. ΚΟΡΩΠΙΟΥ</t>
  </si>
  <si>
    <t>mail@1epal-korop.att.sch.gr</t>
  </si>
  <si>
    <t>3ο ΗΜΕΡΗΣΙΟ ΓΥΜΝΑΣΙΟ ΓΕΡΑΚΑΣ ΑΤΤΙΚΗΣ</t>
  </si>
  <si>
    <t>mail@3gym-gerak.att.sch.gr</t>
  </si>
  <si>
    <t>ΓΕΡΑΚΑΣ ΑΤΤΙΚΗΣ</t>
  </si>
  <si>
    <t>ΚΕΑΣ ΚΑΙ ΣΕΡΙΦΟΥ</t>
  </si>
  <si>
    <t>2ο ΗΜΕΡΗΣΙΟ ΓΕΝΙΚΟ ΛΥΚΕΙΟ ΠΑΛΛΗΝΗΣ</t>
  </si>
  <si>
    <t>mail@2lyk-pallin.att.sch.gr</t>
  </si>
  <si>
    <t>ΚΑΝΤΖΑ - ΠΑΛΛΗΝΗΣ</t>
  </si>
  <si>
    <t>ΚΟΛΛΕΓΙΟΥ ΚΑΙ ΛΕΟΝΤΑΡΙΟΥ</t>
  </si>
  <si>
    <t>ΕΣΠΕΡΙΝΟ ΓΕΝ. ΛΥΚΕΙΟ ΠΑΛΛΗΝΗΣ</t>
  </si>
  <si>
    <t>mail@lyk-esp-pallin.att.sch.gr</t>
  </si>
  <si>
    <t>ΛΕΩΦΟΡΟΣ ΜΑΡΑΘΩΝΟΣ 16 ΧΛΜ</t>
  </si>
  <si>
    <t>2ο ΗΜΕΡΗΣΙΟ ΓΥΜΝΑΣΙΟ ΒΑΡΗΣ</t>
  </si>
  <si>
    <t>mail@2gym-varis.att.sch.gr</t>
  </si>
  <si>
    <t>ΛΕΩΦΟΡΟΣ ΒΑΡΗΣ ΚΑΙ ΖΑΚΥΝΘΟΥ</t>
  </si>
  <si>
    <t>ΔΗΜΟΤΙΚΟ ΣΧΟΛΕΙΟ ΔΙΛΟΦΟΥ ΒΑΡΗΣ</t>
  </si>
  <si>
    <t>Μουσικό Γενικό Λύκειο</t>
  </si>
  <si>
    <t>ΜΟΥΣΙΚΟ ΓΕΝΙΚΟ ΛΥΚΕΙΟ ΠΑΛΛΗΝΗΣ</t>
  </si>
  <si>
    <t>mail@lyk-mous-pallin.att.sch.gr</t>
  </si>
  <si>
    <t>ΛΕΩΦ. ΜΑΡΑΘΩΝΟΣ 17 ΧΙΛ</t>
  </si>
  <si>
    <t>5ο ΗΜΕΡΗΣΙΟ ΓΕΝΙΚΟ ΛΥΚΕΙΟ ΑΧΑΡΝΩΝ - ΑΓΙΑ ΑΝΝΑ</t>
  </si>
  <si>
    <t>mail@5lyk-acharn.att.sch.gr</t>
  </si>
  <si>
    <t>ΡΟΔΟΠΗΣ Κ ΦΙΛΙΑΤΩΝ</t>
  </si>
  <si>
    <t>ΗΜΕΡΗΣΙΟ ΓΕΝΙΚΟ ΛΥΚΕΙΟ ΣΚΑΛΑΣ ΩΡΩΠΟΥ "ΜΙΚΗΣ ΘΕΟΔΩΡΑΚΗΣ"</t>
  </si>
  <si>
    <t>mail@lyk-skalas.att.sch.gr</t>
  </si>
  <si>
    <t>ΛΕΩΦΟΡΟΣ ΣΤΑΔΙΟΥ  2</t>
  </si>
  <si>
    <t>2ο ΗΜΕΡΗΣΙΟ ΓΥΜΝΑΣΙΟ ΑΧΑΡΝΩΝ - Ε.ΔΑΜΑΣΚΟΣ</t>
  </si>
  <si>
    <t>mail@2gym-acharn.att.sch.gr</t>
  </si>
  <si>
    <t>ΣΟΥΡΛΑΤΖΗ 8</t>
  </si>
  <si>
    <t>1ο ΗΜΕΡΗΣΙΟ ΓΕΝΙΚΟ ΛΥΚΕΙΟ ΠΑΛΛΗΝΗΣ - ΠΙΕΡ ΝΤΕ ΚΟΥΜΠΕΡΤΕΝ</t>
  </si>
  <si>
    <t>mail@lyk-pallin.att.sch.gr</t>
  </si>
  <si>
    <t>ΛΕΩΦ.  ΜΑΡΑΘΩΝΟΣ 16 ΧΛΜ</t>
  </si>
  <si>
    <t>2ο ΗΜΕΡΗΣΙΟ ΓΕΝΙΚΟ ΛΥΚΕΙΟ ΓΕΡΑΚΑΣ ΑΤΤΙΚΗΣ</t>
  </si>
  <si>
    <t>mail@2lyk-gerak.att.sch.gr</t>
  </si>
  <si>
    <t>ΚΕΑΣ ΚΑΙ ΑΝΑΦΗΣ 1</t>
  </si>
  <si>
    <t>1ο ΗΜΕΡΗΣΙΟ ΓΕΝΙΚΟ ΛΥΚΕΙΟ ΒΟΥΛΑΣ</t>
  </si>
  <si>
    <t>mail@1lyk-voulas.att.sch.gr</t>
  </si>
  <si>
    <t>ΕΛ. ΒΕΝΙΖΕΛΟΥ ΚΑΙ ΠΕΡΙΚΛΕΟΥΣ</t>
  </si>
  <si>
    <t>5ο ΗΜΕΡΗΣΙΟ ΓΥΜΝΑΣΙΟ ΑΧΑΡΝΩΝ</t>
  </si>
  <si>
    <t>mail@5gym-acharn.att.sch.gr</t>
  </si>
  <si>
    <t>ΘΕΣΣΑΛΙΑΣ ΚΑΙ ΚΡΑΤΙΝΟΥ</t>
  </si>
  <si>
    <t>ΚΑΛΑΜΟΥ</t>
  </si>
  <si>
    <t>1ο ΗΜΕΡΗΣΙΟ ΓΥΜΝΑΣΙΟ ΚΑΛΑΜΟΥ ΑΤΤΙΚΗΣ</t>
  </si>
  <si>
    <t>mail@gym-kalam.att.sch.gr</t>
  </si>
  <si>
    <t>ΚΑΛΑΜΟΣ ΑΤΤΙΚΗΣ</t>
  </si>
  <si>
    <t>ΛΕΩΦΟΡΟΣ ΚΑΛΑΜΟΥ</t>
  </si>
  <si>
    <t>ΟΛΟΗΜΕΡΟ ΔΗΜΟΤΙΚΟ ΣΧΟΛΕΙΟ ΚΑΛΑΜΟΥ</t>
  </si>
  <si>
    <t>3ο ΗΜΕΡΗΣΙΟ ΓΥΜΝΑΣΙΟ ΠΑΛΛΗΝΗΣ</t>
  </si>
  <si>
    <t>mail@3gym-pallin.att.sch.gr</t>
  </si>
  <si>
    <t>ΠΛΟΥΤΑΡΧΟΥ &amp; ΤΙΤΟΥ ΠΑΤΡΙΚΙΟΥ</t>
  </si>
  <si>
    <t>6ο ΔΗΜΟΤΙΚΟ ΣΧΟΛΕΙΟ ΠΑΛΛΗΝΗΣ</t>
  </si>
  <si>
    <t>2ο ΗΜΕΡΗΣΙΟ ΓΕΝΙΚΟ ΛΥΚΕΙΟ ΓΛΥΚΩΝ ΝΕΡΩΝ</t>
  </si>
  <si>
    <t>mail@2lyk-gl-neron.att.sch.gr</t>
  </si>
  <si>
    <t>ΜΕΣΟΛΟΓΓΙΟΥ ΚΑΙ ΑΡΓΟΣΤΟΛΙΟΥ, ΦΟΥΡΕΣΙ</t>
  </si>
  <si>
    <t>ΕΝΙΑΙΟ ΕΙΔΙΚΟ ΕΠΑΓΓΕΛΜΑΤΙΚΟ ΓΥΜΝΑΣΙΟ - ΛΥΚΕΙΟ (ΕΝ.Ε.Ε. ΓΥ.Λ) ΑΧΑΡΝΩΝ</t>
  </si>
  <si>
    <t>mail@tee-eid-agogis.att.sch.gr</t>
  </si>
  <si>
    <t>ΛΙΟΣΙΩΝ Κ ΜΙΛΤΙΑΔΟΥ 1</t>
  </si>
  <si>
    <t>20ο ΟΛΟΗΜΕΡΟ ΔΗΜΟΤΙΚΟ ΣΧΟΛΕΙΟ ΑΧΑΡΝΩΝ</t>
  </si>
  <si>
    <t>6ο ΗΜΕΡΗΣΙΟ ΓΕΝΙΚΟ ΛΥΚΕΙΟ ΑΧΑΡΝΕΣ</t>
  </si>
  <si>
    <t>mail@6lyk-acharn.att.sch.gr</t>
  </si>
  <si>
    <t>Π. ΔΗΜΑ</t>
  </si>
  <si>
    <t>27ο ΔΗΜΟΤΙΚΟ ΣΧΟΛΕΙΟ ΑΧΑΡΝΩΝ</t>
  </si>
  <si>
    <t>2ο ΗΜΕΡΗΣΙΟ ΓΥΜΝΑΣΙΟ ΜΑΡΚΟΠΟΥΛΟΥ ΜΕΣΟΓΑΙΑΣ ΑΤΤΙΚΗΣ</t>
  </si>
  <si>
    <t>mail@2gym-markop.att.sch.gr</t>
  </si>
  <si>
    <t>ΜΑΡΚΟΠΟΥΛΟ ΑΤΤΙΚΗΣ</t>
  </si>
  <si>
    <t>ΣΩΤΗΡΟΣ 11</t>
  </si>
  <si>
    <t>2ο  ΔΗΜΟΤΙΚΟ ΣΧΟΛΕΙΟ ΠΟΡΤΟ ΡΑΦΤΗ</t>
  </si>
  <si>
    <t>ΚΟΥΒΑΡΑ</t>
  </si>
  <si>
    <t>ΗΜΕΡΗΣΙΟ ΓΥΜΝΑΣΙΟ ΚΟΥΒΑΡΑ</t>
  </si>
  <si>
    <t>mail@gym-kouvar.att.sch.gr</t>
  </si>
  <si>
    <t>ΠΕΤΑ ΚΟΥΒΑΡΑ</t>
  </si>
  <si>
    <t>ΟΜΗΡΟΥ 17</t>
  </si>
  <si>
    <t>ΟΛΟΗΜΕΡΟ ΔΗΜΟΤΙΚΟ ΣΧΟΛΕΙΟ ΚΟΥΒΑΡΑ</t>
  </si>
  <si>
    <t>2ο ΗΜΕΡΗΣΙΟ ΓΥΜΝΑΣΙΟ ΑΡΤΕΜΙΔΟΣ - ΓΥΜΝΑΣΙΟ</t>
  </si>
  <si>
    <t>mail@2gym-artem.att.sch.gr</t>
  </si>
  <si>
    <t>ΑΡΤΕΜΙΔA</t>
  </si>
  <si>
    <t>Α. ΠΑΠΑΝΔΡΕΟΥ 3</t>
  </si>
  <si>
    <t>3ο ΗΜΕΡΗΣΙΟ ΓΕΝΙΚΟ ΛΥΚΕΙΟ ΚΟΡΩΠΙΟΥ</t>
  </si>
  <si>
    <t>mail@3lyk-korop.att.sch.gr</t>
  </si>
  <si>
    <t>ΦΕΙΔΙΟΥ 6 ΚΑΙ ΑΝΤΩΝΙΟΥ ΔΗΜΑ</t>
  </si>
  <si>
    <t>2ο ΗΜΕΡΗΣΙΟ ΓΕΝΙΚΟ ΛΥΚΕΙΟ ΚΑΛΥΒΙΩΝ</t>
  </si>
  <si>
    <t>mail@2lyk-kalyv.att.sch.gr</t>
  </si>
  <si>
    <t>ΛΑΓΟΝΗΣΙ ΚΑΛΥΒΙΩΝ</t>
  </si>
  <si>
    <t>ΣΤΑΔΙΟΥ ΚΑΙ ΑΡΓΟΝΑΥΤΩΝ</t>
  </si>
  <si>
    <t>ΗΜΕΡΗΣΙΟ ΓΕΝΙΚΟ ΛΥΚΕΙΟ ΠΙΚΕΡΜΙΟΥ</t>
  </si>
  <si>
    <t>mail@lyk-pikerm.att.sch.gr</t>
  </si>
  <si>
    <t>ΑΓΙΟΥ ΧΡΙΣΤΟΦΟΡΟΥ 18</t>
  </si>
  <si>
    <t>ΣΑΡΩΝΙΔΟΣ</t>
  </si>
  <si>
    <t>ΗΜΕΡΗΣΙΟ ΓΥΜΝΑΣΙΟ ΣΑΡΩΝΙΔΑ - ΓΥΜΝΑΣΙΟ ΣΑΡΩΝΙΔΑΣ</t>
  </si>
  <si>
    <t>mail@gym-saron.att.sch.gr</t>
  </si>
  <si>
    <t>ΣΑΡΩΝΙΔΑ</t>
  </si>
  <si>
    <t>ΙΠΠΟΚΡΑΤΟΥΣ 78</t>
  </si>
  <si>
    <t>2ο ΔΗΜΟΤΙΚΟ ΣΧΟΛΕΙΟ ΑΝΑΒΥΣΣΟΥ</t>
  </si>
  <si>
    <t>12ο ΗΜΕΡΗΣΙΟ ΓΥΜΝΑΣΙΟ ΑΧΑΡΝΕΣ</t>
  </si>
  <si>
    <t>mail@12gym-acharn.att.sch.gr</t>
  </si>
  <si>
    <t>ATTIKI</t>
  </si>
  <si>
    <t>B. ΠΑΤΟΥΛΙΔΟΥ 2  &amp; ΠΥΡΡΟΥ ΔΗΜΑ</t>
  </si>
  <si>
    <t>ΑΝΘΟΥΣΗΣ</t>
  </si>
  <si>
    <t>ΑΝΘΟΥΣΑΣ</t>
  </si>
  <si>
    <t>ΗΜΕΡΗΣΙΟ ΓΥΜΝΑΣΙΟ ΑΝΘΟΥΣΑ - ΓΥΜΝΑΣΙΟ ΑΝΘΟΥΣΑΣ</t>
  </si>
  <si>
    <t>mail@gym-anthous.att.sch.gr</t>
  </si>
  <si>
    <t>ΑΝΘΟΥΣΑ</t>
  </si>
  <si>
    <t>ΑΡΓΟΥΣ ΚΑΙ ΑΓΙΟΥ ΜΗΝΑ</t>
  </si>
  <si>
    <t>ΔΗΜΟΤΙΚΟ ΣΧΟΛΕΙΟ ΑΝΘΟΥΣΑΣ ΑΤΤΙΚΗΣ</t>
  </si>
  <si>
    <t>2ο ΗΜΕΡΗΣΙΟ ΓΥΜΝΑΣΙΟ ΝΕΑΣ ΜΑΚΡΗΣ</t>
  </si>
  <si>
    <t>mail@2gym-n-makris.att.sch.gr</t>
  </si>
  <si>
    <t>ΧΡΥΣΟΣΤΟΜΟΥ ΣΜΥΡΝΗΣ 80, ΝΕΟΣ ΒΟΥΤΖΑΣ</t>
  </si>
  <si>
    <t>3ο ΟΛΟΗΜΕΡΟ ΔΗΜΟΤΙΚΟ ΣΧΟΛΕΙΟ ΡΑΦΗΝΑΣ</t>
  </si>
  <si>
    <t>7ο ΗΜΕΡΗΣΙΟ ΓΕΝΙΚΟ ΛΥΚΕΙΟ ΑΧΑΡΝΩΝ</t>
  </si>
  <si>
    <t>mail@7lyk-acharn.att.sch.gr</t>
  </si>
  <si>
    <t>2ο ΗΜΕΡΗΣΙΟ ΓΕΝΙΚΟ ΛΥΚΕΙΟ ΜΑΡΚΟΠΟΥΛΟΥ</t>
  </si>
  <si>
    <t>mail@2lyk-markop.att.sch.gr</t>
  </si>
  <si>
    <t>ΠΟΡΤΟ ΡΑΦΤΗ</t>
  </si>
  <si>
    <t>ΣΩΤΗΡΟΣ 10</t>
  </si>
  <si>
    <t>ΓΕΝΙΚΟ ΛΥΚΕΙΟ ΚΑΛΑΜΟΥ ΑΤΤΙΚΗΣ</t>
  </si>
  <si>
    <t>mail@lyk-kalam.att.sch.gr</t>
  </si>
  <si>
    <t>Λεωφόρος Καπανδριτίου - Καλάμου</t>
  </si>
  <si>
    <t>ΑΦΙΔΝΩΝ</t>
  </si>
  <si>
    <t>ΣΤΑΜΑΤΑ</t>
  </si>
  <si>
    <t>ΕΝΙΑΙΟ ΕΙΔΙΚΟ ΕΠΑΓΓΕΛΜΑΤΙΚΟ ΓΥΜΝΑΣΙΟ - ΛΥΚΕΙΟ ΚΟΡΩΠΙΟΥ</t>
  </si>
  <si>
    <t>mail@tee-eid-agogis-korop.att.sch.gr</t>
  </si>
  <si>
    <t>ΚΟΛΟΚΟΤΡΩΝΗ  85</t>
  </si>
  <si>
    <t>ΒΑΡΥΜΠΟΜΠΗ</t>
  </si>
  <si>
    <t>2ο ΗΜΕΡΗΣΙΟ ΓΕΝΙΚΟ ΛΥΚΕΙΟ ΑΡΤΕΜΙΔΑΣ</t>
  </si>
  <si>
    <t>mail@2lyk-artem.att.sch.gr</t>
  </si>
  <si>
    <t>ΑΡΤΕΜΙΔΑ</t>
  </si>
  <si>
    <t>Λ.ΒΡΑΥΡΩΝΟΣ 320</t>
  </si>
  <si>
    <t>Εσπερινό Γυμνάσιο με Λυκειακές Τάξεις</t>
  </si>
  <si>
    <t>ΕΣΠΕΡΙΝΟ ΓΥΜΝΑΣΙΟ ΛΑΥΡΙΟΥ ΜΕ ΛΥΚΕΙΑΚΕΣ ΤΑΞΕΙΣ</t>
  </si>
  <si>
    <t>mail@gym-esp-lavriou.att.sch.gr</t>
  </si>
  <si>
    <t>3ο ΗΜΕΡΗΣΙΟ ΕΠΑ.Λ. ΑΧΑΡΝΩΝ</t>
  </si>
  <si>
    <t>mail@3epal-acharn.att.sch.gr</t>
  </si>
  <si>
    <t>Δ. Δέδε 62 και Μητρομάρα</t>
  </si>
  <si>
    <t>2ο ΔΗΜΟΤΙΚΟ ΣΧΟΛΕΙΟ ΑΧΑΡΝΩΝ</t>
  </si>
  <si>
    <t>ΕΣΠΕΡΙΝΟ ΕΠΑ.Λ. ΡΑΦΗΝΑΣ</t>
  </si>
  <si>
    <t>epal-esp-rafin@sch.gr</t>
  </si>
  <si>
    <t>Ραφήνα</t>
  </si>
  <si>
    <t>25ο χλμ. Λ. Μαραθώνος</t>
  </si>
  <si>
    <t>3ο ΓΥΜΝΑΣΙΟ ΚΟΡΩΠΙΟΥ</t>
  </si>
  <si>
    <t>mail@3gym-korop.att.sch.gr</t>
  </si>
  <si>
    <t>ΚΙΤΣΙ ΚΟΡΩΠΙΟΥ</t>
  </si>
  <si>
    <t>ΠΑΠΑΓΙΑΝΝΟΠΟΥΛΟΥ ΚΑΙ ΑΓΙΑΣ ΤΡΙΑΔΟΣ</t>
  </si>
  <si>
    <t>2ο ΓΕΝΙΚΟ ΛΥΚΕΙΟ ΚΟΡΩΠΙΟΥ</t>
  </si>
  <si>
    <t>mail@2lyk-korop.att.sch.gr</t>
  </si>
  <si>
    <t>3ο Γυμνάσιο Ν. Μάκρης</t>
  </si>
  <si>
    <t>2ο ΓΕΝΙΚΟ ΛΥΚΕΙΟ ΝΕΑΣ ΜΑΚΡΗΣ</t>
  </si>
  <si>
    <t>mail@2lyk-n-makris.att.sch.gr</t>
  </si>
  <si>
    <t>ΛΕΩΦ. ΜΑΡΑΘΩΝΟΣ 14</t>
  </si>
  <si>
    <t>3ο Γυμνάσιο Βάρης</t>
  </si>
  <si>
    <t>2ο Γενικό Λύκειο Βάρης</t>
  </si>
  <si>
    <t>3ο ΗΜΕΡΗΣΙΟ ΓΥΜΝΑΣΙΟ ΑΡΤΕΜΙΔΑΣ</t>
  </si>
  <si>
    <t>ΕΝΙΑΙΟ ΕΙΔΙΚΟ ΕΠΑΓΓΕΛΜΑΤΙΚΟ ΓΥΜΝΑΣΙΟ - ΛΥΚΕΙΟ ΩΡΩΠΟΥ</t>
  </si>
  <si>
    <t>mail@gym-ee-oropou.att.sch.gr</t>
  </si>
  <si>
    <t>Ωρωπός</t>
  </si>
  <si>
    <t>Σύλλης 2  κτίριο Β</t>
  </si>
  <si>
    <t>Εργαστήριο Ειδικής Επαγγελματικής Εκπαίδευσης (Ε.Ε.Ε.ΕΚ.) Ωρωπού</t>
  </si>
  <si>
    <t>ΔΙΕΥΘΥΝΣΗ Δ.Ε. Β΄ ΑΘΗΝΑΣ</t>
  </si>
  <si>
    <t>ΠΕΝΤΕΛΗΣ</t>
  </si>
  <si>
    <t>ΗΜΕΡΗΣΙΟ ΓΥΜΝΑΣΙΟ ΠΕΝΤΕΛΗΣ</t>
  </si>
  <si>
    <t>mail@gym-pentel.att.sch.gr</t>
  </si>
  <si>
    <t>ΠΕΝΤΕΛΗ</t>
  </si>
  <si>
    <t>ΤΣΑΚΩΝΑ 3</t>
  </si>
  <si>
    <t>ΑΜΑΡΟΥΣΙΟΥ</t>
  </si>
  <si>
    <t>1ο ΔΗΜΟΤΙΚΟ ΣΧΟΛΕΙΟ ΠΕΝΤΕΛΗΣ - ΚΡΥΣΤΑΛΛΕΙΟ</t>
  </si>
  <si>
    <t>2ο ΗΜΕΡΗΣΙΟ ΓΥΜΝΑΣΙΟ ΑΜΑΡΟΥΣΙΟΥ</t>
  </si>
  <si>
    <t>mail@2gym-amarous.att.sch.gr</t>
  </si>
  <si>
    <t>ΑΜΑΡΟΥΣΙΟ</t>
  </si>
  <si>
    <t>ΜΕΓΑΛΟΥ ΑΛΕΞΑΝΔΡΟΥ 125</t>
  </si>
  <si>
    <t>3ο ΔΗΜΟΤΙΚΟ ΣΧΟΛΕΙΟ ΑΜΑΡΟΥΣΙΟΥ</t>
  </si>
  <si>
    <t>3ο ΓΥΜΝΑΣΙΟ ΑΜΑΡΟΥΣΙΟΥ</t>
  </si>
  <si>
    <t>mail@3gym-amarous.att.sch.gr</t>
  </si>
  <si>
    <t>ΜΑΡΟΥΣΙ</t>
  </si>
  <si>
    <t>ΝΑΥΑΡΙΝΟΥ ΚΑΙ ΥΔΡΑΣ</t>
  </si>
  <si>
    <t>9ο ΔΗΜΟΤΙΚΟ ΣΧΟΛΕΙΟ ΑΜΑΡΟΥΣΙΟΥ</t>
  </si>
  <si>
    <t>1ο ΗΜΕΡΗΣΙΟ ΓΥΜΝΑΣΙΟ ΚΗΦΙΣΙΑΣ</t>
  </si>
  <si>
    <t>mail@1gym-kifis.att.sch.gr</t>
  </si>
  <si>
    <t>ΚΗΦΙΣΙΑ</t>
  </si>
  <si>
    <t>ΛΕΒΙΔΟΥ 42</t>
  </si>
  <si>
    <t>2ο ΔΗΜΟΤΙΚΟ ΣΧΟΛΕΙΟ ΚΗΦΙΣΙΑΣ - ΚΩΣΤΗΣ ΠΑΛΑΜΑΣ</t>
  </si>
  <si>
    <t>ΕΣΠΕΡΙΝΟ ΓΥΜΝΑΣΙΟ ΝΕΑΣ ΙΩΝΙΑΣ</t>
  </si>
  <si>
    <t>mail@gym-esp-n-ionias.att.sch.gr</t>
  </si>
  <si>
    <t>ΑΒΕΡΩΦ ΚΑΙ ΠΑΠΑΦΛΕΣΣΑ 2</t>
  </si>
  <si>
    <t>7ο ΔΗΜΟΤΙΚΟ ΣΧΟΛΕΙΟ ΝΕΑΣ ΙΩΝΙΑΣ</t>
  </si>
  <si>
    <t>ΝΕΑΣ ΠΕΝΤΕΛΗΣ</t>
  </si>
  <si>
    <t>ΗΜΕΡΗΣΙΟ ΓΥΜΝΑΣΙΟ ΝΕΑΣ ΠΕΝΤΕΛΗΣ</t>
  </si>
  <si>
    <t>mail@gym-n-pentel.att.sch.gr</t>
  </si>
  <si>
    <t>ΝΕΑ ΠΕΝΤΕΛΗ</t>
  </si>
  <si>
    <t>ΑΛΕΞ. ΠΑΝΑΓΟΥΛΗ  ΚΑΙ ΜΕΣΟΛΟΓΓΙΟΥ 2</t>
  </si>
  <si>
    <t>ΔΗΜΟΤΙΚΟ ΣΧΟΛΕΙΟ ΝΕΑΣ ΠΕΝΤΕΛΗΣ</t>
  </si>
  <si>
    <t>ΗΡΑΚΛΕΙΟΥ</t>
  </si>
  <si>
    <t>1ο ΗΜΕΡΗΣΙΟ ΓΕΝΙΚΟ ΛΥΚΕΙΟ ΗΡΑΚΛΕΙΟΥ ΑΤΤΙΚΗΣ</t>
  </si>
  <si>
    <t>1lyknira@sch.gr</t>
  </si>
  <si>
    <t>ΗΡΑΚΛΕΙΟ ΑΤΤΙΚΗΣ</t>
  </si>
  <si>
    <t>ΠΕΥΚΩΝ 50</t>
  </si>
  <si>
    <t>2ο ΔΗΜΟΤΙΚΟ ΣΧΟΛΕΙΟ ΗΡΑΚΛΕΙΟΥ ΑΤΤΙΚΗΣ</t>
  </si>
  <si>
    <t>4ο ΗΜΕΡΗΣΙΟ ΓΕΝΙΚΟ ΛΥΚΕΙΟ ΝΕΑΣ ΙΩΝΙΑΣ</t>
  </si>
  <si>
    <t>mail@4lyk-n-ionias.att.sch.gr</t>
  </si>
  <si>
    <t>ΜΕΣΣΗΝΙΑΣ 27</t>
  </si>
  <si>
    <t>10ο ΔΗΜΟΤΙΚΟ ΣΧΟΛΕΙΟ ΝΕΑΣ ΙΩΝΙΑΣ</t>
  </si>
  <si>
    <t>3ο ΗΜΕΡΗΣΙΟ ΓΕΝΙΚΟ ΛΥΚΕΙΟ ΚΗΦΙΣΙΑΣ</t>
  </si>
  <si>
    <t>mail@3lyk-kifis.att.sch.gr</t>
  </si>
  <si>
    <t>ΠΕΛΟΠΟΝΝΗΣΟΥ 3</t>
  </si>
  <si>
    <t>8ο ΔΗΜΟΤΙΚΟ ΣΧΟΛΕΙΟ ΚΗΦΙΣΙΑΣ</t>
  </si>
  <si>
    <t>9ο ΗΜΕΡΗΣΙΟ ΓΕΝΙΚΟ ΛΥΚΕΙΟ ΑΜΑΡΟΥΣΙΟΥ</t>
  </si>
  <si>
    <t>mail@9lyk-amarous.att.sch.gr</t>
  </si>
  <si>
    <t>ΝΙΚΗΣ 46</t>
  </si>
  <si>
    <t>7ο ΔΗΜΟΤΙΚΟ ΣΧΟΛΕΙΟ ΑΜΑΡΟΥΣΙΟΥ</t>
  </si>
  <si>
    <t>5ο ΗΜΕΡΗΣΙΟ ΓΕΝΙΚΟ ΛΥΚΕΙΟ ΝΕΑΣ ΙΩΝΙΑΣ - ΑΝΑΤΟΛΙΑ</t>
  </si>
  <si>
    <t>mail@5lyk-n-ionias.att.sch.gr</t>
  </si>
  <si>
    <t>ΦΙΛΕΛΛΗΝΩΝ ΚΑΙ ΕΜΜΑΝΟΥΗΛ ΠΑΠΠΑ 6</t>
  </si>
  <si>
    <t>6ο ΔΗΜΟΤΙΚΟ ΣΧΟΛΕΙΟ ΝΕΑΣ ΙΩΝΙΑΣ</t>
  </si>
  <si>
    <t>5ο ΗΜΕΡΗΣΙΟ ΓΥΜΝΑΣΙΟ ΗΡΑΚΛΕΙΟΥ ΑΤΤΙΚΗΣ</t>
  </si>
  <si>
    <t>mail@5gym-n-irakl.att.sch.gr</t>
  </si>
  <si>
    <t>ΗΡΑΚΛΕΙΟ  ΑΤΤΙΚΗΣ</t>
  </si>
  <si>
    <t>ΠΛΑΠΟΥΤΑ 67-69</t>
  </si>
  <si>
    <t>5ο ΔΗΜΟΤΙΚΟ ΣΧΟΛΕΙΟ ΗΡΑΚΛΕΙΟΥ ΑΤΤΙΚΗΣ</t>
  </si>
  <si>
    <t>6ο ΗΜΕΡΗΣΙΟ ΓΥΜΝΑΣΙΟ ΗΡΑΚΛΕΙΟΥ ΑΤΤΙΚΗΣ</t>
  </si>
  <si>
    <t>mail@6gym-n-irakl.att.sch.gr</t>
  </si>
  <si>
    <t>ΕΥΡΙΠΙΔΟΥ 9</t>
  </si>
  <si>
    <t>3ο ΔΗΜΟΤΙΚΟ ΣΧΟΛΕΙΟ ΗΡΑΚΛΕΙΟΥ ΑΤΤΙΚΗΣ</t>
  </si>
  <si>
    <t>ΧΑΛΑΝΔΡΙΟΥ</t>
  </si>
  <si>
    <t>2ο ΕΚ ΧΑΛΑΝΔΡΙΟΥ</t>
  </si>
  <si>
    <t>mail@2sek-chalandr.att.sch.gr</t>
  </si>
  <si>
    <t>ΧΑΛΑΝΔΡΙ</t>
  </si>
  <si>
    <t>ΡΙΖΑΡΕΙΟΥ 22</t>
  </si>
  <si>
    <t>3ο ΔΗΜΟΤΙΚΟ ΣΧΟΛΕΙΟ ΧΑΛΑΝΔΡΙΟΥ</t>
  </si>
  <si>
    <t>ΕΙΔΙΚΟ ΛΥΚΕΙΟ ΚΩΦΩΝ ΚΑΙ ΒΑΡΗΚΟΩΝ ΑΓΙΑΣ ΠΑΡΑΣΚΕΥΗΣ</t>
  </si>
  <si>
    <t>mail@lyk-ekv-ag-parask.att.sch.gr</t>
  </si>
  <si>
    <t>ΑΓ ΠΑΡΑΣΚΕΥΗ</t>
  </si>
  <si>
    <t>ΠΙΝΔΟΥ 27</t>
  </si>
  <si>
    <t>ΗΜΕΡΗΣΙΟ ΕΠΑΛ ΑΝΑΒΡΥΤΩΝ</t>
  </si>
  <si>
    <t>mail@epal-anavr.att.sch.gr</t>
  </si>
  <si>
    <t>Λ. ΚΗΦΙΣΙΑΣ 184 ΚΤΗΜΑ ΣΥΓΓΡΟΥ</t>
  </si>
  <si>
    <t>1ο ΔΗΜΟΤΙΚΟ ΣΧΟΛΕΙΟ ΚΗΦΙΣΙΑΣ ΓΕΩΡΓΙΟΣ ΔΡΟΣΙΝΗΣ</t>
  </si>
  <si>
    <t>3ο ΗΜΕΡΗΣΙΟ ΕΠΑ.Λ. ΧΑΛΑΝΔΡΙΟΥ</t>
  </si>
  <si>
    <t>mail@3epal-chalandr.att.sch.gr</t>
  </si>
  <si>
    <t>2ο ΗΜΕΡΗΣΙΟ ΕΠΑΛ ΑΜΑΡΟΥΣΙΟΥ</t>
  </si>
  <si>
    <t>mail@2epal-amarous.att.sch.gr</t>
  </si>
  <si>
    <t>ΚΤΗΜΑ ΜΑΚΡΗΚΩΣΤΑ</t>
  </si>
  <si>
    <t>ΚΤΗΜΑ ΜΑΚΡΗΚΩΣΤΑ ΜΑΡΟΥΣΙ</t>
  </si>
  <si>
    <t>5ο ΔΗΜΟΤΙΚΟ ΣΧΟΛΕΙΟ ΑΜΑΡΟΥΣΙΟΥ</t>
  </si>
  <si>
    <t>ΦΙΛΟΘΕΗΣ - ΨΥΧΙΚΟΥ</t>
  </si>
  <si>
    <t>ΦΙΛΟΘΕΗΣ</t>
  </si>
  <si>
    <t>ΗΜΕΡΗΣΙΟ ΓΕΝΙΚΟ ΛΥΚΕΙΟ ΦΙΛΟΘΕΗΣ</t>
  </si>
  <si>
    <t>mail@lyk-filoth.att.sch.gr</t>
  </si>
  <si>
    <t>ΦΙΛΟΘΕΗ</t>
  </si>
  <si>
    <t>ΠΑΠΑΦΛΕΣΣΑ 15 &amp; ΛΟΥΚΗ ΑΚΡΙΤΑ</t>
  </si>
  <si>
    <t>7ο ΕΣΠΕΡΙΝΟ ΕΠΑΛ ΧΑΛΑΝΔΡΙΟΥ</t>
  </si>
  <si>
    <t>mail@7epal-esp-chalandr.att.sch.gr</t>
  </si>
  <si>
    <t>1ο ΗΜΕΡΗΣΙΟ ΓΕΝΙΚΟ ΛΥΚΕΙΟ ΧΑΛΑΝΔΡΙΟΥ - ΚΑΛΛΙΣΠΕΡΕΙΟ</t>
  </si>
  <si>
    <t>mail@1lyk-chalandr.att.sch.gr</t>
  </si>
  <si>
    <t>ΔΙΟΝΥΣΟΥ 20</t>
  </si>
  <si>
    <t>14ο ΔΗΜΟΤΙΚΟ ΣΧΟΛΕΙΟ ΧΑΛΑΝΔΡΙΟΥ</t>
  </si>
  <si>
    <t>ΒΡΙΛΗΣΣΙΩΝ</t>
  </si>
  <si>
    <t>2ο ΗΜΕΡΗΣΙΟ ΓΕΝΙΚΟ ΛΥΚΕΙΟ ΒΡΙΛΗΣΣΙΩΝ</t>
  </si>
  <si>
    <t>mail@2lyk-vriliss.att.sch.gr</t>
  </si>
  <si>
    <t>ΒΡΙΛΗΣΣΙΑ</t>
  </si>
  <si>
    <t>ΤΑΥΓΕΤΟΥ ΚΑΙ ΔΙΡΦΗΣ</t>
  </si>
  <si>
    <t>6ο ΔΗΜΟΤΙΚΟ ΣΧΟΛΕΙΟ ΒΡΙΛΗΣΣΙΩΝ</t>
  </si>
  <si>
    <t>3ο ΕΚ ΑΜΑΡΟΥΣΙΟΥ</t>
  </si>
  <si>
    <t>mail@3sek-amarous.att.sch.gr</t>
  </si>
  <si>
    <t>ΚΤΗΜΑ ΜΑΚΡΥΚΩΣΤΑ 7</t>
  </si>
  <si>
    <t>2ο ΕΠΑΛ ΑΓΙΑΣ ΠΑΡΑΣΚΕΥΗΣ</t>
  </si>
  <si>
    <t>mail@2epal-ag-parask.att.sch.gr</t>
  </si>
  <si>
    <t>ΑΓΙΑ ΠΑΡΑΣΚΕΥΗ</t>
  </si>
  <si>
    <t>ΠΑΠΑΦΛΕΣΣΑ 17</t>
  </si>
  <si>
    <t>6ο ΔΗΜΟΤΙΚΟ ΣΧΟΛΕΙΟ ΧΑΛΑΝΔΡΙΟΥ</t>
  </si>
  <si>
    <t>ΕΣΠΕΡΙΝΟ ΓΕΝΙΚΟ ΛΥΚΕΙΟ ΝΕΑΣ ΙΩΝΙΑΣ</t>
  </si>
  <si>
    <t>mail@lyk-esp-n-ionias.att.sch.gr</t>
  </si>
  <si>
    <t>ΠΑΠΑΦΛΕΣΣΑ ΚΑΙ ΑΒΕΡΩΦ 2</t>
  </si>
  <si>
    <t>3ο ΔΗΜΟΤΙΚΟ ΣΧΟΛΕΙΟ ΝΕΑΣ ΙΩΝΙΑΣ</t>
  </si>
  <si>
    <t>ΓΕΝΙΚΟ ΛΥΚΕΙΟ ΝΕΑΣ ΠΕΝΤΕΛΗΣ</t>
  </si>
  <si>
    <t>mail@lyk-n-pentel.att.sch.gr</t>
  </si>
  <si>
    <t>ΜΕΣΟΛΟΓΓΙΟΥ ΚΑΙ ΠΑΝΑΓΟΥΛΗ</t>
  </si>
  <si>
    <t>2ο ΗΜΕΡΗΣΙΟ ΓΕΝΙΚΟ ΛΥΚΕΙΟ ΑΜΑΡΟΥΣΙΟΥ</t>
  </si>
  <si>
    <t>mail@2lyk-amarous.att.sch.gr</t>
  </si>
  <si>
    <t>Μ. ΑΛΕΞΑΝΔΡΟΥ 125</t>
  </si>
  <si>
    <t>1ο ΗΜΕΡΗΣΙΟ ΓΕΝΙΚΟ ΛΥΚΕΙΟ ΑΜΑΡΟΥΣΙΟΥ</t>
  </si>
  <si>
    <t>mail@1lyk-amarous.att.sch.gr</t>
  </si>
  <si>
    <t>Λ. ΚΗΦΙΣΙΑΣ 213</t>
  </si>
  <si>
    <t>1ο ΔΗΜΟΤΙΚΟ ΣΧΟΛΕΙΟ ΑΜΑΡΟΥΣΙΟΥ</t>
  </si>
  <si>
    <t>4ο ΗΜΕΡΗΣΙΟ ΓΕΝΙΚΟ ΛΥΚΕΙΟ ΧΑΛΑΝΔΡΙΟΥ</t>
  </si>
  <si>
    <t>mail@4lyk-chalandr.att.sch.gr</t>
  </si>
  <si>
    <t>Εθνικής Αντιστάσεως 45 &amp; Λευκάδος</t>
  </si>
  <si>
    <t>ΛΥΚΟΒΡΥΣΗΣ - ΠΕΥΚΗΣ</t>
  </si>
  <si>
    <t>ΠΕΥΚΗΣ</t>
  </si>
  <si>
    <t>2ο ΗΜΕΡΗΣΙΟ ΓΕΝΙΚΟ ΛΥΚΕΙΟ ΠΕΥΚΗΣ</t>
  </si>
  <si>
    <t>mail@2lyk-pefkis.att.sch.gr</t>
  </si>
  <si>
    <t>ΠΕΥΚΗ</t>
  </si>
  <si>
    <t>ΕΛΕΥΘ. ΒΕΝΙΖΕΛΟΥ 24 ΚΑΙ ΚΟΡΙΝΘΟΥ</t>
  </si>
  <si>
    <t>3ο ΔΗΜΟΤΙΚΟ ΣΧΟΛΕΙΟ ΠΕΥΚΗΣ</t>
  </si>
  <si>
    <t>2ο ΗΜΕΡΗΣΙΟ ΓΕΝΙΚΟ ΛΥΚΕΙΟ ΧΑΛΑΝΔΡΙΟΥ</t>
  </si>
  <si>
    <t>mail@2lyk-chalandr.att.sch.gr</t>
  </si>
  <si>
    <t>ΧΑΛΑΝΔΡΙ ΑΤΤΙΚΗΣ</t>
  </si>
  <si>
    <t>Λ.ΠΕΝΤΕΛΗΣ ΚΑΙ ΑΧΑΪΑΣ  2</t>
  </si>
  <si>
    <t>12ο ΔΗΜΟΤΙΚΟ ΣΧΟΛΕΙΟ ΧΑΛΑΝΔΡΙΟΥ</t>
  </si>
  <si>
    <t>3ο ΗΜΕΡΗΣΙΟ ΓΕΝΙΚΟ ΛΥΚΕΙΟ ΗΡΑΚΛΕΙΟΥ ΑΤΤΙΚΗΣ</t>
  </si>
  <si>
    <t>mail@3lyk-n-irakl.att.sch.gr</t>
  </si>
  <si>
    <t>Λ. ΗΡΑΚΛΕΙΟΥ 333</t>
  </si>
  <si>
    <t>3ο ΗΜΕΡΗΣΙΟ ΓΕΝΙΚΟ ΛΥΚΕΙΟ ΑΜΑΡΟΥΣΙΟΥ</t>
  </si>
  <si>
    <t>mail@3lyk-amarous.att.sch.gr</t>
  </si>
  <si>
    <t>ΚΥΡΙΛΟΥ ΚΑΙ ΠΕΛΙΚΑ</t>
  </si>
  <si>
    <t>1ο ΗΜΕΡΗΣΙΟ ΕΠΑΛ ΑΜΑΡΟΥΣΙΟΥ</t>
  </si>
  <si>
    <t>mail@1epal-amarous.att.sch.gr</t>
  </si>
  <si>
    <t>ΑΜΑΡΟΥΣΙΟΝ</t>
  </si>
  <si>
    <t>ΚΤΗΜΑ ΜΑΚΡΥΚΩΣΤΑ</t>
  </si>
  <si>
    <t>ΠΡΟΤΥΠΟ ΓΕΝΙΚΟ ΛΥΚΕΙΟ ΑΝΑΒΡΥΤΩΝ</t>
  </si>
  <si>
    <t>mail@lyk-peir-anavr.att.sch.gr</t>
  </si>
  <si>
    <t>Κηφισιά</t>
  </si>
  <si>
    <t>ΛΕΩΦΟΡΟΣ ΚΗΦΙΣΙΑΣ 184</t>
  </si>
  <si>
    <t>2ο ΗΜΕΡΗΣΙΟ ΓΕΝΙΚΟ ΛΥΚΕΙΟ ΗΡΑΚΛΕΙΟΥ ΑΤΤΙΚΗΣ</t>
  </si>
  <si>
    <t>mail@2lyk-n-irakl.att.sch.gr</t>
  </si>
  <si>
    <t>Ηράκλειο</t>
  </si>
  <si>
    <t>Ακτίου 1</t>
  </si>
  <si>
    <t>5ο ΗΜΕΡΗΣΙΟ ΓΕΝΙΚΟ ΛΥΚΕΙΟ ΧΑΛΑΝΔΡΙΟΥ</t>
  </si>
  <si>
    <t>mail@5lyk-chalandr.att.sch.gr</t>
  </si>
  <si>
    <t>ΑΡΙΣΤΟΦΑΝΟΥΣ ΚΑΙ ΣΑΛΑΜΙΝΟΣ</t>
  </si>
  <si>
    <t>4ο ΔΗΜΟΤΙΚΟ ΣΧΟΛΕΙΟ ΧΑΛΑΝΔΡΙΟΥ</t>
  </si>
  <si>
    <t>1ο ΗΜΕΡΗΣΙΟ ΓΕΝΙΚΟ ΛΥΚΕΙΟ ΒΡΙΛΗΣΣΙΩΝ</t>
  </si>
  <si>
    <t>mail@1lyk-vriliss.att.sch.gr</t>
  </si>
  <si>
    <t>ΘΕΣΣΑΛΙΑΣ ΚΑΙ ΜΑΚΕΔΟΝΙΑΣ</t>
  </si>
  <si>
    <t>16ο ΔΗΜΟΤΙΚΟ ΣΧΟΛΕΙΟ ΧΑΛΑΝΔΡΙΟΥ</t>
  </si>
  <si>
    <t>8ο ΗΜΕΡΗΣΙΟ ΓΕΝΙΚΟ ΛΥΚΕΙΟ ΑΜΑΡΟΥΣΙΟΥ</t>
  </si>
  <si>
    <t>mail@8lyk-amarous.att.sch.gr</t>
  </si>
  <si>
    <t>ΚΡΙΕΖΗ 55</t>
  </si>
  <si>
    <t>11ο ΔΗΜΟΤΙΚΟ ΣΧΟΛΕΙΟ ΧΑΛΑΝΔΡΙΟΥ</t>
  </si>
  <si>
    <t>3ο ΗΜΕΡΗΣΙΟ ΓΕΝΙΚΟ ΛΥΚΕΙΟ ΝΕΑΣ ΙΩΝΙΑΣ</t>
  </si>
  <si>
    <t>mail@3lyk-n-ionias.att.sch.gr</t>
  </si>
  <si>
    <t>ΔΕΜΙΡΔΕΣΙΟΥ 121</t>
  </si>
  <si>
    <t>11ο ΔΗΜΟΤΙΚΟ ΣΧΟΛΕΙΟ ΝΕΑΣ ΙΩΝΙΑΣ</t>
  </si>
  <si>
    <t>2ο ΗΜΕΡΗΣΙΟ ΓΕΝΙΚΟ ΛΥΚΕΙΟ ΚΗΦΙΣΙΑΣ - ΛΥΡΕΙΟ ΔΙΔΑΚΤΗΡΙΟ</t>
  </si>
  <si>
    <t>mail@2lyk-kifis.att.sch.gr</t>
  </si>
  <si>
    <t>ΟΘΩΝΟΣ ΚΑΙ ΠΥΘΑΓΟΡΑ 2</t>
  </si>
  <si>
    <t>4ο ΔΗΜΟΤΙΚΟ ΣΧΟΛΕΙΟ ΚΗΦΙΣΙΑΣ</t>
  </si>
  <si>
    <t>3ο ΗΜΕΡΗΣΙΟ ΓΕΝΙΚΟ ΛΥΚΕΙΟ ΑΓΙΑΣ ΠΑΡΑΣΚΕΥΗΣ</t>
  </si>
  <si>
    <t>mail@3lyk-ag-parask.att.sch.gr</t>
  </si>
  <si>
    <t>ΧΡΥΣ. ΣΜΥΡΝΗΣ ΚΑΙ ΠΛΑΤΑΙΩΝ</t>
  </si>
  <si>
    <t>ΧΟΛΑΡΓΟΥ</t>
  </si>
  <si>
    <t>5ο ΔΗΜΟΤΙΚΟ ΣΧΟΛΕΙΟ ΧΑΛΑΝΔΡΙΟΥ</t>
  </si>
  <si>
    <t>ΠΑΠΑΓΟΥ - ΧΟΛΑΡΓΟΥ</t>
  </si>
  <si>
    <t>2ο ΗΜΕΡΗΣΙΟ ΓΕΝΙΚΟ ΛΥΚΕΙΟ ΧΟΛΑΡΓΟΥ</t>
  </si>
  <si>
    <t>mail@2lyk-cholarg.att.sch.gr</t>
  </si>
  <si>
    <t>ΧΟΛΑΡΓΟΣ</t>
  </si>
  <si>
    <t>ΑΡΙΣΤΟΤΕΛΟΥΣ 47</t>
  </si>
  <si>
    <t>2ο ΔΗΜΟΤΙΚΟ ΣΧΟΛΕΙΟ ΧΟΛΑΡΓΟΥ</t>
  </si>
  <si>
    <t>2ο ΗΜΕΡΗΣΙΟ ΓΕΝΙΚΟ ΛΥΚΕΙΟ ΑΓΙΑΣ ΠΑΡΑΣΚΕΥΗΣ</t>
  </si>
  <si>
    <t>mail@2lyk-ag-parask.att.sch.gr</t>
  </si>
  <si>
    <t>ΥΑΚΙΝΘΟΥ 25</t>
  </si>
  <si>
    <t>11ο ΔΗΜΟΤΙΚΟ ΣΧΟΛΕΙΟ ΑΓΙΑΣ ΠΑΡΑΣΚΕΥΗΣ</t>
  </si>
  <si>
    <t>6ο ΗΜΕΡΗΣΙΟ ΓΕΝΙΚΟ ΛΥΚΕΙΟ ΑΜΑΡΟΥΣΙΟΥ</t>
  </si>
  <si>
    <t>mail@6lyk-amarous.att.sch.gr</t>
  </si>
  <si>
    <t>ΕΥΚΑΛΥΠΤΩΝ 39</t>
  </si>
  <si>
    <t>10ο ΔΗΜΟΤΙΚΟ ΣΧΟΛΕΙΟ ΑΜΑΡΟΥΣΙΟΥ</t>
  </si>
  <si>
    <t>1ο ΗΜΕΡΗΣΙΟ ΓΕΝΙΚΟ ΛΥΚΕΙΟ ΧΟΛΑΡΓΟΥ</t>
  </si>
  <si>
    <t>mail@1lyk-cholarg.att.sch.gr</t>
  </si>
  <si>
    <t>ΚΑΡΑΪΣΚΑΚΗ - ΜΕΛΑ 16</t>
  </si>
  <si>
    <t>1ο ΔΗΜΟΤΙΚΟ ΣΧΟΛΕΙΟ ΧΟΛΑΡΓΟΥ</t>
  </si>
  <si>
    <t>ΠΡΟΤΥΠΟ ΓΕΝΙΚΟ ΛΥΚΕΙΟ ΒΑΡΒΑΚΕΙΟΥ ΣΧΟΛΗΣ</t>
  </si>
  <si>
    <t>lykpeirv@sch.gr</t>
  </si>
  <si>
    <t>ΨΥΧΙΚΟ</t>
  </si>
  <si>
    <t>ΜΟΥΣΩΝ 20</t>
  </si>
  <si>
    <t>4ο ΔΗΜΟΤΙΚΟ ΣΧΟΛΕΙΟ ΝΕΟΥ ΨΥΧΙΚΟΥ</t>
  </si>
  <si>
    <t>1ο ΗΜΕΡΗΣΙΟ ΓΕΝΙΚΟ ΛΥΚΕΙΟ ΠΕΥΚΗΣ</t>
  </si>
  <si>
    <t>mail@1lyk-pefkis.att.sch.gr</t>
  </si>
  <si>
    <t>Λ. ΕΙΡΗΝΗΣ 34</t>
  </si>
  <si>
    <t>2ο ΔΗΜΟΤΙΚΟ ΣΧΟΛΕΙΟ ΠΕΥΚΗΣ</t>
  </si>
  <si>
    <t>1ο ΗΜΕΡΗΣΙΟ ΓΕΝΙΚΟ ΛΥΚΕΙΟ ΚΗΦΙΣΙΑΣ</t>
  </si>
  <si>
    <t>mail@1lyk-kifis.att.sch.gr</t>
  </si>
  <si>
    <t>ΗΜΕΡΗΣΙΟ ΓΕΝΙΚΟ ΛΥΚΕΙΟ ΠΕΝΤΕΛΗΣ</t>
  </si>
  <si>
    <t>mail@lyk-pentel.att.sch.gr</t>
  </si>
  <si>
    <t>Σ. ΤΣΑΚΩΝΑ 3</t>
  </si>
  <si>
    <t>2ο ΗΜΕΡΗΣΙΟ ΕΠΑΛ ΧΑΛΑΝΔΡΙΟΥ</t>
  </si>
  <si>
    <t>mail@2epal-chalandr.att.sch.gr</t>
  </si>
  <si>
    <t>ΕΛΛΗΣ 3</t>
  </si>
  <si>
    <t>5ο ΗΜΕΡΗΣΙΟ ΓΕΝΙΚΟ ΛΥΚΕΙΟ ΑΜΑΡΟΥΣΙΟΥ</t>
  </si>
  <si>
    <t>mail@5lyk-amarous.att.sch.gr</t>
  </si>
  <si>
    <t>ΟΛΥΜΠΙΑΣ 40</t>
  </si>
  <si>
    <t>ΝΑΞΟΥ</t>
  </si>
  <si>
    <t>ΜΕΛΙΣΣΙΩΝ</t>
  </si>
  <si>
    <t>2ο ΗΜΕΡΗΣΙΟ ΓΥΜΝΑΣΙΟ ΜΕΛΙΣΣΙΩΝ</t>
  </si>
  <si>
    <t>mail@2gym-meliss.att.sch.gr</t>
  </si>
  <si>
    <t>ΜΕΛΙΣΣΙΑ</t>
  </si>
  <si>
    <t>ΑΓ. ΕΙΡΗΝΗΣ  2Β</t>
  </si>
  <si>
    <t>3ο ΔΗΜΟΤΙΚΟ ΣΧΟΛΕΙΟ ΜΕΛΙΣΣΙΩΝ</t>
  </si>
  <si>
    <t>6ο ΗΜΕΡΗΣΙΟ ΓΥΜΝΑΣΙΟ ΧΑΛΑΝΔΡΙΟΥ</t>
  </si>
  <si>
    <t>mail@6gym-chalandr.att.sch.gr</t>
  </si>
  <si>
    <t>ΓΡΙΒΑ  14</t>
  </si>
  <si>
    <t>1ο ΗΜΕΡΗΣΙΟ ΓΥΜΝΑΣΙΟ ΒΡΙΛΗΣΣΙΩΝ</t>
  </si>
  <si>
    <t>mail@1gym-vriliss.att.sch.gr</t>
  </si>
  <si>
    <t>ΠΙΝΔΟΥ ΚΑΙ ΜΑΚΕΔΟΝΙΑΣ</t>
  </si>
  <si>
    <t>ΗΜΕΡΗΣΙΟ ΓΕΝΙΚΟ ΛΥΚΕΙΟ ΜΕΛΙΣΣΙΩΝ</t>
  </si>
  <si>
    <t>mail@lyk-meliss.att.sch.gr</t>
  </si>
  <si>
    <t>ΠΟΝΤΟΥ 5</t>
  </si>
  <si>
    <t>1ο ΔΗΜΟΤΙΚΟ ΣΧΟΛΕΙΟ ΜΕΛΙΣΣΙΩΝ</t>
  </si>
  <si>
    <t>3ο ΗΜΕΡΗΣΙΟ ΓΥΜΝΑΣΙΟ ΑΓ. ΠΑΡΑΣΚΕΥΗΣ</t>
  </si>
  <si>
    <t>3gymagpa@sch.gr</t>
  </si>
  <si>
    <t>ΑΓ. ΠΑΡΑΣΚΕΥΗΣ</t>
  </si>
  <si>
    <t>ΔΕΡΒΕΝΑΚΙΩΝ ΚΑΙ Σ.ΚΑΡΑΓΙΩΡΓΑ</t>
  </si>
  <si>
    <t>5ο ΔΗΜΟΤΙΚΟ ΣΧΟΛΕΙΟ ΑΓΙΑΣ ΠΑΡΑΣΚΕΥΗΣ - ΧΕΛΜΕΙΟ</t>
  </si>
  <si>
    <t>4ο ΗΜΕΡΗΣΙΟ ΓΥΜΝΑΣΙΟ ΝΕΑΣ ΙΩΝΙΑΣ</t>
  </si>
  <si>
    <t>mail@4gym-n-ionias.att.sch.gr</t>
  </si>
  <si>
    <t>ΝΕΑ  ΙΩΝΙΑ</t>
  </si>
  <si>
    <t>ΔΕΜΙΡΔΕΣΙΟΥ 121 (ΕΝΑΝΤΙ)</t>
  </si>
  <si>
    <t>ΜΕΤΑΜΟΡΦΩΣΕΩΣ</t>
  </si>
  <si>
    <t>1ο ΗΜΕΡΗΣΙΟ ΓΥΜΝΑΣΙΟ ΜΕΤΑΜΟΡΦΩΣΗΣ</t>
  </si>
  <si>
    <t>mail@1gym-metam.att.sch.gr</t>
  </si>
  <si>
    <t>ΜΕΤΑΜΟΡΦΩΣΗ</t>
  </si>
  <si>
    <t>ΚΟΡΙΝΘΟΥ 4</t>
  </si>
  <si>
    <t>1ο ΔΗΜΟΤΙΚΟ ΣΧΟΛΕΙΟ ΜΕΤΑΜΟΡΦΩΣΗΣ</t>
  </si>
  <si>
    <t>1ο ΗΜΕΡΗΣΙΟ ΓΥΜΝΑΣΙΟ ΧΟΛΑΡΓΟΥ</t>
  </si>
  <si>
    <t>mail@1gym-cholarg.att.sch.gr</t>
  </si>
  <si>
    <t>ΑΕΤΙΔΕΩΝ 48-50</t>
  </si>
  <si>
    <t>ΕΙΔΙΚΟ ΓΥΜΝΑΣΙΟ ΚΩΦΩΝ ΚΑΙ ΒΑΡΗΚΟΩΝ ΑΓΙΑΣ ΠΑΡΑΣΚΕΥΗΣ</t>
  </si>
  <si>
    <t>mail@gym-ekv-ag-parask.att.sch.gr</t>
  </si>
  <si>
    <t>8ο ΗΜΕΡΗΣΙΟ ΓΥΜΝΑΣΙΟ ΑΜΑΡΟΥΣΙΟΥ</t>
  </si>
  <si>
    <t>mail@8gym-amarous.att.sch.gr</t>
  </si>
  <si>
    <t>ΑΓΙΑ ΦΙΛΟΘΕΗ ΑΜΑΡΟΥΣΙΟΥ</t>
  </si>
  <si>
    <t>2ο ΗΜΕΡΗΣΙΟ ΓΥΜΝΑΣΙΟ ΒΡΙΛΗΣΣΙΑ ΑΤΤΙΚΗΣ</t>
  </si>
  <si>
    <t>mail@2gym-vriliss.att.sch.gr</t>
  </si>
  <si>
    <t>ΒΡΙΛΗΣΣΙΑ  ΑΤΤΙΚΗΣ</t>
  </si>
  <si>
    <t>ΤΑΥΓΕΤΟΥ ΚΑΙ ΛΕΥΚΩΝ ΟΡΕΩΝ</t>
  </si>
  <si>
    <t>1ο ΗΜΕΡΗΣΙΟ ΓΥΜΝΑΣΙΟ ΜΕΛΙΣΣΙΩΝ</t>
  </si>
  <si>
    <t>mail@1gym-meliss.gr</t>
  </si>
  <si>
    <t>ΑΝΔΡΕΑ ΠΑΠΑΝΔΡΕΟΥ 21</t>
  </si>
  <si>
    <t>1ο ΗΜΕΡΗΣΙΟ ΓΥΜΝΑΣΙΟ ΑΓΙΑΣ ΠΑΡΑΣΚΕΥΗΣ</t>
  </si>
  <si>
    <t>mail@1gym-ag-parask.att.sch.gr</t>
  </si>
  <si>
    <t>ΑΙΤΩΛΙΑΣ 31</t>
  </si>
  <si>
    <t>6ο ΔΗΜΟΤΙΚΟ ΣΧΟΛΕΙΟ ΑΓΙΑΣ ΠΑΡΑΣΚΕΥΗΣ</t>
  </si>
  <si>
    <t>4ο ΗΜΕΡΗΣΙΟ ΓΥΜΝΑΣΙΟ ΜΕΤΑΜΟΡΦΩΣΗΣ ΑΤΤΙΚΗΣ</t>
  </si>
  <si>
    <t>mail@4gym-metam.att.sch.gr</t>
  </si>
  <si>
    <t>ΜΕΤΑΜΟΡΦΩΣΗ ΑΤΤΙΚΗΣ</t>
  </si>
  <si>
    <t>ΙΠΠΟΚΡΑΤΟΥΣ ΚΑΙ ΑΣΚΛΗΠΙΟΥ 24</t>
  </si>
  <si>
    <t>4ο ΔΗΜΟΤΙΚΟ ΣΧΟΛΕΙΟ ΝΕΟΥ ΗΡΑΚΛΕΙΟΥ</t>
  </si>
  <si>
    <t>3ο ΗΜΕΡΗΣΙΟ ΓΥΜΝΑΣΙΟ ΧΑΛΑΝΔΡΙΟΥ - ΓΕΩΡΓΙΟΣ ΣΕΦΕΡΗΣ</t>
  </si>
  <si>
    <t>mail@3gym-chalandr.att.sch.gr</t>
  </si>
  <si>
    <t>ΜΙΚΡΑΣ ΑΣΙΑΣ 89</t>
  </si>
  <si>
    <t>6ο ΔΗΜΟΤΙΚΟ ΣΧΟΛΕΙΟ ΑΜΑΡΟΥΣΙΟΥ</t>
  </si>
  <si>
    <t>3ο ΗΜΕΡΗΣΙΟ ΓΥΜΝΑΣΙΟ ΒΡΙΛΗΣΣΙΩΝ</t>
  </si>
  <si>
    <t>3gymvril@sch.gr</t>
  </si>
  <si>
    <t>ΒΟΡΕΙΟΥ ΗΠΕΙΡΟΥ  42 &amp; ΑΓΙΑΣΟΥ</t>
  </si>
  <si>
    <t>2ο ΔΗΜΟΤΙΚΟ ΣΧΟΛΕΙΟ ΒΡΙΛΗΣΣΙΩΝ</t>
  </si>
  <si>
    <t>ΗΜΕΡΗΣΙΟ ΓΥΜΝΑΣΙΟ ΨΥΧΙΚΟΥ - ΓΥΜΝΑΣΙΟ ΨΥΧΙΚΟΥ "ΚΩΝΣΤΑΝΤΙΝΟΣ ΚΑΡΑΘΕΟΔΩΡΗ"</t>
  </si>
  <si>
    <t>mail@gym-p-psych.att.sch.gr</t>
  </si>
  <si>
    <t>ΡΟΪΔΗ ΚΑΙ ΘΕΟΤΟΚΗ</t>
  </si>
  <si>
    <t>ΔΗΜΟΤΙΚΟ ΣΧΟΛΕΙΟ ΦΙΛΟΘΕΗΣ</t>
  </si>
  <si>
    <t>5ο ΗΜΕΡΗΣΙΟ ΓΥΜΝΑΣΙΟ ΧΑΛΑΝΔΡΙΟΥ</t>
  </si>
  <si>
    <t>mail@5gym-chalandr.att.sch.gr</t>
  </si>
  <si>
    <t>ΜΕΘΩΝΗΣ ΚΑΙ ΛΟΚΡΙΔΟΣ</t>
  </si>
  <si>
    <t>10ο ΔΗΜΟΤΙΚΟ ΣΧΟΛΕΙΟ ΧΑΛΑΝΔΡΙΟΥ</t>
  </si>
  <si>
    <t>ΗΜΕΡΗΣΙΟ ΓΥΜΝΑΣΙΟ ΦΙΛΟΘΕΗΣ</t>
  </si>
  <si>
    <t>mail@gym-filoth.att.sch.gr</t>
  </si>
  <si>
    <t>ΑΝΔΡΕΑ ΜΕΤΑΞΑ 7</t>
  </si>
  <si>
    <t>2ο ΗΜΕΡΗΣΙΟ ΓΥΜΝΑΣΙΟ ΜΕΤΑΜΟΡΦΩΣΗΣ</t>
  </si>
  <si>
    <t>mail@2gym-metam.att.sch.gr</t>
  </si>
  <si>
    <t>ΠΑΝΑΘΗΝΑΙΩΝ ΚΑΙ ΗΛΕΙΑΣ 27</t>
  </si>
  <si>
    <t>3ο ΔΗΜΟΤΙΚΟ ΣΧΟΛΕΙΟ ΜΕΤΑΜΟΡΦΩΣΗΣ</t>
  </si>
  <si>
    <t>4ο ΗΜΕΡΗΣΙΟ ΓΥΜΝΑΣΙΟ ΧΑΛΑΝΔΡΙΟΥ</t>
  </si>
  <si>
    <t>mail@4gym-chalandr.att.sch.gr</t>
  </si>
  <si>
    <t>ΚΙΘΑΙΡΩΝΟΣ 2</t>
  </si>
  <si>
    <t>2ο ΗΜΕΡΗΣΙΟ ΓΥΜΝΑΣΙΟ ΚΗΦΙΣΙΑΣ</t>
  </si>
  <si>
    <t>mail@2gym-kifis.att.sch.gr</t>
  </si>
  <si>
    <t>1ο ΗΜΕΡΗΣΙΟ ΓΥΜΝΑΣΙΟ ΑΜΑΡΟΥΣΙΟΥ</t>
  </si>
  <si>
    <t>mail@1gym-amarous.att.sch.gr</t>
  </si>
  <si>
    <t>ΚΗΦΙΣΙΑΣ 213</t>
  </si>
  <si>
    <t>4ο ΕΡΓΑΣΤΗΡΙΑΚΟ ΚΕΝΤΡΟ Β ΑΘΗΝΑΣ (ΝΕΑΣ ΙΩΝΙΑΣ)</t>
  </si>
  <si>
    <t>mail@4sek-v-athin.att.sch.gr</t>
  </si>
  <si>
    <t>ΑΛ. ΠΑΝΑΓΟΥΛΗ 6</t>
  </si>
  <si>
    <t>2ο ΔΗΜΟΤΙΚΟ ΣΧΟΛΕΙΟ ΝΕΑΣ ΙΩΝΙΑΣ</t>
  </si>
  <si>
    <t>2ο ΗΜΕΡΗΣΙΟ ΓΥΜΝΑΣΙΟ ΑΓΙΑΣ ΠΑΡΑΣΚΕΥΗΣ</t>
  </si>
  <si>
    <t>mail@2gym-ag-parask.att.sch.gr</t>
  </si>
  <si>
    <t>ΝΕΑΠΟΛΕΩΣ 7</t>
  </si>
  <si>
    <t>2ο ΔΗΜΟΤΙΚΟ ΣΧΟΛΕΙΟ ΑΓΙΑΣ ΠΑΡΑΣΚΕΥΗΣ</t>
  </si>
  <si>
    <t>1ο ΗΜΕΡΗΣΙΟ ΓΥΜΝΑΣΙΟ ΧΑΛΑΝΔΡΙΟΥ</t>
  </si>
  <si>
    <t>mail@1gym-chalandr.att.sch.gr</t>
  </si>
  <si>
    <t>ΔΙΟΝΥΣΟΥ ΚΑΙ ΚΑΛΛΙΣΠΕΡΗ</t>
  </si>
  <si>
    <t>6ο ΗΜΕΡΗΣΙΟ ΓΥΜΝΑΣΙΟ ΝΕΑΣ ΙΩΝΙΑΣ</t>
  </si>
  <si>
    <t>mail@6gym-n-ionias.att.sch.gr</t>
  </si>
  <si>
    <t>4ο ΗΜΕΡΗΣΙΟ ΓΥΜΝΑΣΙΟ ΗΡΑΚΛΕΙΟΥ ΑΤΤΙΚΗΣ</t>
  </si>
  <si>
    <t>4gymnira@sch.gr</t>
  </si>
  <si>
    <t>ΚΗΦΙΣΙΑΣ 30</t>
  </si>
  <si>
    <t>9ο ΔΗΜΟΤΙΚΟ ΣΧΟΛΕΙΟ ΗΡΑΚΛΕΙΟΥ ΑΤΤΙΚΗΣ</t>
  </si>
  <si>
    <t>2ο ΗΜΕΡΗΣΙΟ ΓΕΝΙΚΟ ΛΥΚΕΙΟ ΝΕΑΣ ΙΩΝΙΑΣ</t>
  </si>
  <si>
    <t>mail@2lyk-n-ionias.att.sch.gr</t>
  </si>
  <si>
    <t>ΑΝΔΡΕΑ ΚΑΛΒΟΥ 103</t>
  </si>
  <si>
    <t>4ο ΔΗΜΟΤΙΚΟ ΣΧΟΛΕΙΟ ΝΕΑΣ ΙΩΝΙΑΣ</t>
  </si>
  <si>
    <t>5ο ΗΜΕΡΗΣΙΟ ΓΥΜΝΑΣΙΟ ΑΓΙΑΣ ΠΑΡΑΣΚΕΥΗΣ "ΛΕΛΑ ΚΑΡΑΓΙΑΝΝΗ"</t>
  </si>
  <si>
    <t>5gymagpa@sch.gr</t>
  </si>
  <si>
    <t>ΛΕΛΑΣ ΚΑΡΑΓΙΑΝΝΗ 1 &amp; ΚΑΡΑΪΣΚΑΚΗ</t>
  </si>
  <si>
    <t>3ο ΔΗΜΟΤΙΚΟ ΣΧΟΛΕΙΟ ΑΓΙΑΣ ΠΑΡΑΣΚΕΥΗΣ</t>
  </si>
  <si>
    <t>ΝΕΑΣ ΕΡΥΘΡΑΙΑΣ</t>
  </si>
  <si>
    <t>1ο ΗΜΕΡΗΣΙΟ ΓΥΜΝΑΣΙΟ ΝΕΑΣ ΕΡΥΘΡΑΙΑΣ</t>
  </si>
  <si>
    <t>mail@gym-n-erythr.att.sch.gr</t>
  </si>
  <si>
    <t>ΝΕΑ ΕΡΥΘΡΑΙΑ</t>
  </si>
  <si>
    <t>ΕΛΕΥΘΕΡΙΟΥ ΒΕΝΙΖΕΛΟΥ 173 &amp; Ι. ΔΡΥΜΠΕΤΗ</t>
  </si>
  <si>
    <t>1ο  ΔΗΜΟΤΙΚΟ ΣΧΟΛΕΙΟ ΝΕΑΣ ΕΡΥΘΡΑΙΑΣ</t>
  </si>
  <si>
    <t>6ο ΗΜΕΡΗΣΙΟ ΓΥΜΝΑΣΙΟ ΑΜΑΡΟΥΣΙΟΥ</t>
  </si>
  <si>
    <t>mail@6gym-amarous.att.sch.gr</t>
  </si>
  <si>
    <t>ΗΜΕΡΗΣΙΟ ΓΥΜΝΑΣΙΟ ΜΕΤΑΜΟΡΦΩΣΗΣ-ΗΡΑΚΛΕΙΟΥ</t>
  </si>
  <si>
    <t>mail@3gym-metam.att.sch.gr</t>
  </si>
  <si>
    <t>ΜΕΤΑΜΟΡΦΩΣΗΣ</t>
  </si>
  <si>
    <t>ΑΓΙΟΥ ΝΕΚΤΑΡΙΟΥ 71-75</t>
  </si>
  <si>
    <t>2ο ΔΗΜΟΤΙΚΟ ΣΧΟΛΕΙΟ ΜΕΤΑΜΟΡΦΩΣΗΣ</t>
  </si>
  <si>
    <t>7ο ΗΜΕΡΗΣΙΟ ΓΥΜΝΑΣΙΟ ΧΑΛΑΝΔΡΙΟΥ</t>
  </si>
  <si>
    <t>mail@7gym-chalandr.att.sch.gr</t>
  </si>
  <si>
    <t>ΚΟΔΡΟΥ 24</t>
  </si>
  <si>
    <t>2ο ΗΜΕΡΗΣΙΟ ΓΥΜΝΑΣΙΟ ΝΕΟΥ ΨΥΧΙΚΟΥ-«ΓΡΗΓΟΡΙΟΣ ΞΕΝΟΠΟΥΛΟΣ»</t>
  </si>
  <si>
    <t>mail@2gym-psych.att.sch.gr</t>
  </si>
  <si>
    <t>ΝΕΟ ΨΥΧΙΚΟ</t>
  </si>
  <si>
    <t>ΞΕΝΟΠΟΥΛΟΥ 13</t>
  </si>
  <si>
    <t>3ο ΔΗΜΟΤΙΚΟ ΣΧΟΛΕΙΟ ΝΕΟΥ ΨΥΧΙΚΟΥ</t>
  </si>
  <si>
    <t>1ο ΗΜΕΡΗΣΙΟ ΓΥΜΝΑΣΙΟ ΠΕΥΚΗΣ</t>
  </si>
  <si>
    <t>mail@1gym-pefkis.att.sch.gr</t>
  </si>
  <si>
    <t>ΚΟΡΑΗ ΚΑΙ ΚΑΖΑΝΤΖΑΚΗ</t>
  </si>
  <si>
    <t>ΒΑΡΒΑΚΕΙΟ ΠΡΟΤΥΠΟ ΓΥΜΝΑΣΙΟ</t>
  </si>
  <si>
    <t>mail@gym-peir-athin.att.sch.gr</t>
  </si>
  <si>
    <t>ΜΟΥΣΩΝ ΚΑΙ ΠΑΠΑΔΙΑΜΑΝΤΗ 1</t>
  </si>
  <si>
    <t>1ο ΔΗΜΟΤΙΚΟ ΣΧΟΛΕΙΟ ΨΥΧΙΚΟΥ</t>
  </si>
  <si>
    <t>2ο ΗΜΕΡΗΣΙΟ ΓΥΜΝΑΣΙΟ ΠΕΥΚΗΣ</t>
  </si>
  <si>
    <t>mail@2gym-pefkis.att.sch.gr</t>
  </si>
  <si>
    <t>ΚΟΡΙΝΘΟΥ ΚΑΙ ΚΑΛΥΜΝΟΥ</t>
  </si>
  <si>
    <t>5ο ΗΜΕΡΗΣΙΟ ΓΥΜΝΑΣΙΟ ΝΕΑΣ ΙΩΝΙΑΣ</t>
  </si>
  <si>
    <t>mail@5gym-n-ionias.att.sch.gr</t>
  </si>
  <si>
    <t>ΚΑΛΒΟΥ ΚΑΙ ΤΖΑΒΕΛΛΑ 2</t>
  </si>
  <si>
    <t>1ο ΗΜΕΡΗΣΙΟ ΓΥΜΝΑΣΙΟ ΗΡΑΚΛΕΙΟΥ ΑΤΤΙΚΗΣ</t>
  </si>
  <si>
    <t>mail@1gym-n-irakl.att.sch.gr</t>
  </si>
  <si>
    <t>1ο ΗΜΕΡΗΣΙΟ ΓΥΜΝΑΣΙΟ ΝΕΟΥ ΨΥΧΙΚΟΥ</t>
  </si>
  <si>
    <t>mail@1gym-psych.att.sch.gr</t>
  </si>
  <si>
    <t>ΝΕΟ  ΨΥΧΙΚΟ</t>
  </si>
  <si>
    <t>ΤΖΑΒΕΛΑ 64</t>
  </si>
  <si>
    <t>2ο ΔΗΜΟΤΙΚΟ ΣΧΟΛΕΙΟ ΝΕΟΥ ΨΥΧΙΚΟΥ</t>
  </si>
  <si>
    <t>1ο ΗΜΕΡΗΣΙΟ ΓΥΜΝΑΣΙΟ ΝΕΑΣ ΙΩΝΙΑΣ</t>
  </si>
  <si>
    <t>mail@1gym-n-ionias.att.sch.gr</t>
  </si>
  <si>
    <t>ΑΒΕΡΩΦ ΚΑΙ ΠΑΠΑΦΛΕΣΣΑ 2-6</t>
  </si>
  <si>
    <t>4ο ΗΜΕΡΗΣΙΟ ΓΥΜΝΑΣΙΟ ΑΜΑΡΟΥΣΙΟΥ</t>
  </si>
  <si>
    <t>mail@4gym-amarous.att.sch.gr</t>
  </si>
  <si>
    <t>Ν. ΖΕΚΑΚΟΥ 3</t>
  </si>
  <si>
    <t>ΖΕΚΑΚΟΥ 3</t>
  </si>
  <si>
    <t>2ο ΗΜΕΡΗΣΙΟ ΓΥΜΝΑΣΙΟ ΝΕΑΣ ΙΩΝΙΑΣ</t>
  </si>
  <si>
    <t>mail@2gym-n-ionias.att.sch.gr</t>
  </si>
  <si>
    <t>ΚΗΦΙΣΟΥ 2-4</t>
  </si>
  <si>
    <t>5ο ΗΜΕΡΗΣΙΟ ΓΥΜΝΑΣΙΟ ΑΜΑΡΟΥΣΙΟΥ</t>
  </si>
  <si>
    <t>mail@5gym-amarous.att.sch.gr</t>
  </si>
  <si>
    <t>7ο ΗΜΕΡΗΣΙΟ ΓΥΜΝΑΣΙΟ ΝΕΑΣ ΙΩΝΙΑΣ</t>
  </si>
  <si>
    <t>mail@7gym-n-ionias.att.sch.gr</t>
  </si>
  <si>
    <t>ΕΜΜ. ΠΑΠΠΑ 6</t>
  </si>
  <si>
    <t>3ο ΗΜΕΡΗΣΙΟ ΓΥΜΝΑΣΙΟ ΝΕΑΣ ΙΩΝΙΑΣ</t>
  </si>
  <si>
    <t>mail@3gym-n-ionias.att.sch.gr</t>
  </si>
  <si>
    <t>ΣΑΛΑΜΙΝΟΣ - ΚΑΛΛΙΠΟΛΕΩΣ</t>
  </si>
  <si>
    <t>8ο ΔΗΜΟΤΙΚΟ ΣΧΟΛΕΙΟ ΝΕΑΣ ΙΩΝΙΑΣ</t>
  </si>
  <si>
    <t>ΕΝΙΑΙΟ ΕΙΔΙΚΟ ΕΠΑΓΓΕΛΜΑΤΙΚΟ ΓΥΜΝΑΣΙΟ - ΛΥΚΕΙΟ ΑΓΙΑΣ ΠΑΡΑΣΚΕΥΗΣ ΚΑΙ ΓΙΑ ΚΩΦΟΥΣ-ΒΑΡΗΚΟΟΥΣ ΜΑΘΗΤΕΣ</t>
  </si>
  <si>
    <t>mail@gym-ee-ekv-ag-parask.att.sch.gr</t>
  </si>
  <si>
    <t>1ο ΗΜΕΡΗΣΙΟ ΓΕΝΙΚΟ ΛΥΚΕΙΟ ΜΕΤΑΜΟΡΦΩΣΗ ΑΤΤΙΚΗΣ</t>
  </si>
  <si>
    <t>mail@1lyk-metam.att.sch.gr</t>
  </si>
  <si>
    <t>ΡΑΛΛΗ - ΤΑΤΟΪΟΥ 8</t>
  </si>
  <si>
    <t>6ο ΔΗΜΟΤΙΚΟ ΣΧΟΛΕΙΟ ΜΕΤΑΜΟΡΦΩΣΗΣ</t>
  </si>
  <si>
    <t>2ο ΕΣΠΕΡΙΝΟ ΕΠΑΛ Ν. ΙΩΝΙΑΣ</t>
  </si>
  <si>
    <t>mail@2epal-esp-n-ionias.att.sch.gr</t>
  </si>
  <si>
    <t>ΑΝΤΙΓΟΝΗΣ 1</t>
  </si>
  <si>
    <t>1ο ΗΜΕΡΗΣΙΟ ΓΕΝΙΚΟ ΛΥΚΕΙΟ ΑΓΙΑΣ ΠΑΡΑΣΚΕΥΗΣ</t>
  </si>
  <si>
    <t>mail@1lyk-ag-parask.att.sch.gr</t>
  </si>
  <si>
    <t>ΝΕΑΠΟΛΕΩΣ 5</t>
  </si>
  <si>
    <t>4ο ΗΜΕΡΗΣΙΟ ΓΕΝΙΚΟ ΛΥΚΕΙΟ ΑΓΙΑΣ ΠΑΡΑΣΚΕΥΗΣ</t>
  </si>
  <si>
    <t>mail@4lyk-ag-parask.att.sch.gr</t>
  </si>
  <si>
    <t>ΛΥΚΟΒΡΥΣΕΩΣ</t>
  </si>
  <si>
    <t>ΗΜΕΡΗΣΙΟ ΓΕΝΙΚΟ ΛΥΚΕΙΟ ΛΥΚΟΒΡΥΣΗΣ ΑΤΤΙΚΗΣ - ΓΕΛ ΛΥΚΟΒΡΥΣΗΣ</t>
  </si>
  <si>
    <t>mail@1lyk-lykovr.att.sch.gr</t>
  </si>
  <si>
    <t>ΛΥΚΟΒΡΥΣΗ  ΑΤΤΙΚΗΣ</t>
  </si>
  <si>
    <t>ΟΔΟΣ ΚΟΤΤΟΥ 6</t>
  </si>
  <si>
    <t>2ο ΔΗΜΟΤΙΚΟ ΣΧΟΛΕΙΟ ΛΥΚΟΒΡΥΣΗΣ</t>
  </si>
  <si>
    <t>1ο ΕΚ ΑΓ. ΠΑΡΑΣΚΕΥΗΣ</t>
  </si>
  <si>
    <t>mail@1sek-v-athin.att.sch.gr</t>
  </si>
  <si>
    <t>ΠΑΠΑΦΛΕΣΣΑ, 17</t>
  </si>
  <si>
    <t>2ο ΗΜΕΡΗΣΙΟ ΓΥΜΝΑΣΙΟ ΧΟΛΑΡΓΟΥ</t>
  </si>
  <si>
    <t>mail@2gym-cholarg.att.sch.gr</t>
  </si>
  <si>
    <t>3ο ΗΜΕΡΗΣΙΟ ΓΥΜΝΑΣΙΟ ΚΗΦΙΣΙΑΣ</t>
  </si>
  <si>
    <t>mail@3gym-kifis.att.sch.gr</t>
  </si>
  <si>
    <t>ΠΑΤΡΩΝ 11-13, ΚΗΦΙΣΙΑ</t>
  </si>
  <si>
    <t>3ο ΔΗΜΟΤΙΚΟ ΣΧΟΛΕΙΟ ΚΗΦΙΣΙΑΣ</t>
  </si>
  <si>
    <t>1ο ΗΜΕΡΗΣΙΟ ΓΥΜΝΑΣΙΟ ΛΥΚΟΒΡΥΣΗΣ ΑΤΤΙΚΗΣ</t>
  </si>
  <si>
    <t>mail@gym-lykovr.att.sch.gr</t>
  </si>
  <si>
    <t>ΛΥΚΟΒΡΥΣΗ ΑΤΤΙΚΗΣ</t>
  </si>
  <si>
    <t>ΑΓΙΟΥ ΓΕΩΡΓΙΟΥ 17</t>
  </si>
  <si>
    <t>1ο ΔΗΜΟΤΙΚΟ ΣΧΟΛΕΙΟ ΛΥΚΟΒΡΥΣΗΣ</t>
  </si>
  <si>
    <t>1ο ΗΜΕΡΗΣΙΟ ΕΠΑΛ ΑΓΙΑΣ ΠΑΡΑΣΚΕΥΗΣ</t>
  </si>
  <si>
    <t>mail@1epal-ag-parask.att.sch.gr</t>
  </si>
  <si>
    <t>ΑΓΙΑ  ΠΑΡΑΣΚΕΥΗ</t>
  </si>
  <si>
    <t>ΠΑΠΑΦΛΕΣΣΑ  17</t>
  </si>
  <si>
    <t>1ο ΗΜΕΡΗΣΙΟ ΓΕΝΙΚΟ ΛΥΚΕΙΟ ΝΕΑΣ ΙΩΝΙΑΣ</t>
  </si>
  <si>
    <t>mail@1lyk-n-ionias.att.sch.gr</t>
  </si>
  <si>
    <t>ΑΒΕΡΩΦ και ΠΑΠΑΦΛΕΣΣΑ 2</t>
  </si>
  <si>
    <t>2ο ΗΜΕΡΗΣΙΟ ΓΥΜΝΑΣΙΟ ΧΑΛΑΝΔΡΙΟΥ</t>
  </si>
  <si>
    <t>mail@2gym-chalandr.att.sch.gr</t>
  </si>
  <si>
    <t>Λ.ΠΕΝΤΕΛΗΣ ΚΑΙ ΑΧΑΪΑΣ 2</t>
  </si>
  <si>
    <t>ΠΡΟΤΥΠΟ ΓΥΜΝΑΣΙΟ ΑΝΑΒΡΥΤΩΝ</t>
  </si>
  <si>
    <t>mail@gym-peir-anavr.att.sch.gr</t>
  </si>
  <si>
    <t>ΚΗΦΙΣΙΑΣ 182-184</t>
  </si>
  <si>
    <t>1ο ΗΜΕΡΗΣΙΟ ΓΕΝΙΚΟ ΛΥΚΕΙΟ ΝΕΟΥ ΨΥΧΙΚΟΥ</t>
  </si>
  <si>
    <t>mail@1lyk-n-psych.att.sch.gr</t>
  </si>
  <si>
    <t>ΑΓΙΑΣ ΣΟΦΙΑΣ 40</t>
  </si>
  <si>
    <t>ΠΑΠΑΓΟΥ</t>
  </si>
  <si>
    <t>1ο ΗΜΕΡΗΣΙΟ ΓΕΝΙΚΟ ΛΥΚΕΙΟ ΠΑΠΑΓΟΥ</t>
  </si>
  <si>
    <t>mail@1lyk-papag.att.sch.gr</t>
  </si>
  <si>
    <t>ΚΥΠΡΟΥ ΚΑΙ ΙΩΝΙΑΣ 4</t>
  </si>
  <si>
    <t>1ο ΔΗΜΟΤΙΚΟ ΣΧΟΛΕΙΟ  ΠΑΠΑΓΟΥ</t>
  </si>
  <si>
    <t>4ο ΗΜΕΡΗΣΙΟ ΓΥΜΝΑΣΙΟ ΑΓΙΑΣ ΠΑΡΑΣΚΕΥΗΣ</t>
  </si>
  <si>
    <t>4gymagpa@sch.gr</t>
  </si>
  <si>
    <t>ΔΗΜΟΚΡΑΤΙΑΣ 1 ΚΑΙ ΘΡΑΣΥΒΟΥΛΟΥ</t>
  </si>
  <si>
    <t>7ο ΔΗΜΟΤΙΚΟ ΣΧΟΛΕΙΟ ΑΓΙΑΣ ΠΑΡΑΣΚΕΥΗΣ</t>
  </si>
  <si>
    <t>7ο ΗΜΕΡΗΣΙΟ ΓΥΜΝΑΣΙΟ ΑΜΑΡΟΥΣΙΟΥ</t>
  </si>
  <si>
    <t>mail@7gym-amarous.att.sch.gr</t>
  </si>
  <si>
    <t>ΣΑΜΟΥ ΚΑΙ ΜΟΝΕΜΒΑΣΙΑΣ</t>
  </si>
  <si>
    <t>3ο ΗΜΕΡΗΣΙΟ ΓΕΝΙΚΟ ΛΥΚΕΙΟ ΧΑΛΑΝΔΡΙΟΥ</t>
  </si>
  <si>
    <t>mail@3lyk-chalandr.att.sch.gr</t>
  </si>
  <si>
    <t>ΕΕΕΕΚ ΗΡΑΚΛΕΙΟ ΑΤΤΙΚΗΣ - ΕΕΕΕΚ ΗΡΑΚΛΕΙΟΥ ΑΤΤΙΚΗΣ</t>
  </si>
  <si>
    <t>mail@eeeek-n-irakl.att.sch.gr</t>
  </si>
  <si>
    <t>ΠΕΥΚΩΝ 88-90</t>
  </si>
  <si>
    <t>4ο ΗΜΕΡΗΣΙΟ ΓΕΝΙΚΟ ΛΥΚΕΙΟ ΗΡΑΚΛΕΙΟΥ ΑΤΤΙΚΗΣ</t>
  </si>
  <si>
    <t>4lyknira@sch.gr</t>
  </si>
  <si>
    <t>ΚΗΦΙΣΙΑΣ 32</t>
  </si>
  <si>
    <t>4ο ΗΜΕΡΗΣΙΟ ΓΕΝΙΚΟ ΛΥΚΕΙΟ ΑΜΑΡΟΥΣΙΟΥ (ΖΕΚΑΚΕΙΟ)</t>
  </si>
  <si>
    <t>mail@4lyk-amarous.att.sch.gr</t>
  </si>
  <si>
    <t>4ο ΔΗΜΟΤΙΚΟ ΣΧΟΛΕΙΟ ΑΜΑΡΟΥΣΙΟΥ - ΖΕΚΑΚΕΙΟ</t>
  </si>
  <si>
    <t>ΗΜΕΡΗΣΙΟ ΓΕΝΙΚΟ ΛΥΚΕΙΟ ΨΥΧΙΚΟΥ - ΓΕΝΙΚΟ ΛΥΚΕΙΟ ΨΥΧΙΚΟΥ</t>
  </si>
  <si>
    <t>mail@lyk-p-psych.att.sch.gr</t>
  </si>
  <si>
    <t>ΡΟΪΔΗ ΚΑΙ ΘΕΟΤΟΚΗ 1</t>
  </si>
  <si>
    <t>1ο ΗΜΕΡΗΣΙΟ ΓΥΜΝΑΣΙΟ ΠΑΠΑΓΟΥ</t>
  </si>
  <si>
    <t>mail@1gym-papag.att.sch.gr</t>
  </si>
  <si>
    <t>ΚΥΠΡΟΥ 4 ΚΑΙ ΙΩΝΙΑΣ</t>
  </si>
  <si>
    <t>ΑΝΑΞΑΓΟΡΕΙΟ ΓΕΝΙΚΟ ΛΥΚΕΙΟ ΝΕΑΣ ΕΡΥΘΡΑΙΑΣ</t>
  </si>
  <si>
    <t>lykneryt@sch.gr</t>
  </si>
  <si>
    <t>ΝΕΑ  ΕΡΥΘΡΑΙΑ</t>
  </si>
  <si>
    <t>ΚΑΖΑΝΤΖΑΚΗ 29</t>
  </si>
  <si>
    <t>3ο ΔΗΜΟΤΙΚΟ ΣΧΟΛΕΙΟ ΝΕΑΣ ΕΡΥΘΡΑΙΑΣ</t>
  </si>
  <si>
    <t>8ο ΓΥΜΝΑΣΙΟ-Λ.Τ. ΧΑΛΑΝΔΡΙΟΥ</t>
  </si>
  <si>
    <t>mail@8gym-chalandr.att.sch.gr</t>
  </si>
  <si>
    <t>ΕΙΚΟΣΤΗΣ ΟΓΔΟΗΣ ΟΚΤΩΒΡΙΟΥ ΑΓ ΦΩΤΕΙΝΗΣ</t>
  </si>
  <si>
    <t>3ο ΔΗΜΟΤΙΚΟ ΣΧΟΛΕΙΟ ΒΡΙΛΗΣΣΙΩΝ</t>
  </si>
  <si>
    <t>1ο ΗΜΕΡΗΣΙΟ ΕΠΑΛ ΝΕΑΣ ΙΩΝΙΑΣ</t>
  </si>
  <si>
    <t>mail@1epal-n-ionias.att.sch.gr</t>
  </si>
  <si>
    <t>ΑΜΙΣΟΥ  ΚΑΙ ΚΗΦΙΣΟΥ  2</t>
  </si>
  <si>
    <t>Νέα Ιωνία</t>
  </si>
  <si>
    <t>6ο ΗΜΕΡΗΣΙΟ ΓΕΝΙΚΟ ΛΥΚΕΙΟ ΝΕΑΣ ΙΩΝΙΑΣ</t>
  </si>
  <si>
    <t>mail@6lyk-n-ionias.att.sch.gr</t>
  </si>
  <si>
    <t>ΚΑΛΛΙΠΟΛΕΩΣ ΚΑΙ ΣΑΛΑΜΙΝΟΣ</t>
  </si>
  <si>
    <t>3ο ΗΜΕΡΗΣΙΟ ΕΠΑΛ ΑΜΑΡΟΥΣΙΟΥ</t>
  </si>
  <si>
    <t>mail@3epal-amarous.att.sch.gr</t>
  </si>
  <si>
    <t>Μαρούσι</t>
  </si>
  <si>
    <t>2ο ΗΜΕΡΗΣΙΟ ΓΕΝΙΚΟ ΛΥΚΕΙΟ ΜΕΤΑΜΟΡΦΩΣΗΣ ΑΤΤΙΚΗΣ</t>
  </si>
  <si>
    <t>mail@2lyk-metam.att.sch.gr</t>
  </si>
  <si>
    <t>ΝΑΥΑΡΙΝΟΥ 19</t>
  </si>
  <si>
    <t>ΛΥΚΟΒΡΥΣΗ</t>
  </si>
  <si>
    <t>ΔΙΕΥΘΥΝΣΗ Δ.Ε. Γ΄ ΑΘΗΝΑΣ</t>
  </si>
  <si>
    <t>10ο ΗΜΕΡΗΣΙΟ ΓΥΜΝΑΣΙΟ ΙΛΙΟΥ</t>
  </si>
  <si>
    <t>mail@10gym-iliou.att.sch.gr</t>
  </si>
  <si>
    <t>ΙΛΙΟN</t>
  </si>
  <si>
    <t>ΖΑΓΟΡΙΟΥ 64</t>
  </si>
  <si>
    <t>ΑΓΙΩΝ ΑΝΑΡΓΥΡΩΝ</t>
  </si>
  <si>
    <t>6ο ΔΗΜΟΤΙΚΟ ΣΧΟΛΕΙΟ ΙΛΙΟΥ</t>
  </si>
  <si>
    <t>ΠΕΡΙΣΤΕΡΙΟΥ</t>
  </si>
  <si>
    <t>1ου ΔΗΜ. ΔΙΑΜΕΡ. ΠΕΡΙΣΤΕΡΙΟΥ</t>
  </si>
  <si>
    <t>17ο ΗΜΕΡΗΣΙΟ ΓΥΜΝΑΣΙΟ ΠΕΡΙΣΤΕΡΙΟΥ</t>
  </si>
  <si>
    <t>mail@17gym-perist.att.sch.gr</t>
  </si>
  <si>
    <t>Περιστέρι</t>
  </si>
  <si>
    <t>Κηπουπόλεως &amp; Μουσών</t>
  </si>
  <si>
    <t>17ο ΔΗΜΟΤΙΚΟ ΣΧΟΛΕΙΟ ΠΕΡΙΣΤΕΡΙΟΥ</t>
  </si>
  <si>
    <t>1ο ΗΜΕΡΗΣΙΟ ΓΥΜΝΑΣΙΟ ΙΛΙΟΥ</t>
  </si>
  <si>
    <t>mail@1gym-iliou.att.sch.gr</t>
  </si>
  <si>
    <t>ΚΑΛΧΟΥ 58 (http://1gym-iliou.att.sch.gr/)</t>
  </si>
  <si>
    <t>ΙΛΙΟΥ</t>
  </si>
  <si>
    <t>2ο ΔΗΜΟΤΙΚΟ ΣΧΟΛΕΙΟ ΙΛΙΟΥ</t>
  </si>
  <si>
    <t>2ου ΔΗΜ. ΔΙΑΜΕΡ. ΠΕΡΙΣΤΕΡΙΟΥ</t>
  </si>
  <si>
    <t>1ο ΗΜΕΡΗΣΙΟ ΓΕΝΙΚΟ ΛΥΚΕΙΟ ΠΕΡΙΣΤΕΡΙΟΥ</t>
  </si>
  <si>
    <t>mail@1lyk-perist.att.sch.gr</t>
  </si>
  <si>
    <t>ΠΕΡΙΣΤΕΡΙ</t>
  </si>
  <si>
    <t>ΠΕΛΑΣΓΙΑΣ ΚΑΙ ΠΑΠΑΔΙΑΜΑΝΤΗ 1</t>
  </si>
  <si>
    <t>27ο ΔΗΜΟΤΙΚΟ ΣΧΟΛΕΙΟ ΠΕΡΙΣΤΕΡΙΟΥ "ΚΩΝΣΤΑΝΤΙΝΟΣ ΠΑΠΛΩΜΑΤΑΣ"</t>
  </si>
  <si>
    <t>Ε.Ε.Ε.ΕΚ. ΜΑΘΗΤΩΝ ΜΕ ΠΡΟΒΛΗΜΑΤΑ ΟΡΑΣΗΣ ΚΑΙ ΠΟΛΛΑΠΛΕΣ ΑΝΑΠΗΡΙΕΣ (πρώην ΤΥΦΛΩΝ ΠΟΛΥΑΝΑΠΗΡΩΝ)</t>
  </si>
  <si>
    <t>mail@eeeek-tyf-pol.att.sch.gr</t>
  </si>
  <si>
    <t>ΠΑΡΟΔΟΣ ΤΗΣ ΟΔΟΥ ΣΚΡΑ (από Θηβών 250)</t>
  </si>
  <si>
    <t>11ο ΔΗΜΟΤΙΚΟ ΣΧΟΛΕΙΟ ΑΙΓΑΛΕΩ</t>
  </si>
  <si>
    <t>ΕΕΕΕΚ ΑΙΓΑΛΕΩ - ΕΕΕΕΚ ΑΙΓΑΛΕΩ</t>
  </si>
  <si>
    <t>mail@eeeek-aigal.att.sch.gr</t>
  </si>
  <si>
    <t>ΙΑΣΙΟΥ ΚΑΙ ΟΡΥΖΟΜΥΛΩΝ 15</t>
  </si>
  <si>
    <t>12ο ΔΗΜΟΤΙΚΟ ΣΧΟΛΕΙΟ ΑΙΓΑΛΕΩ</t>
  </si>
  <si>
    <t>10ο ΗΜΕΡΗΣΙΟ ΓΕΝΙΚΟ ΛΥΚΕΙΟ ΠΕΡΙΣΤΕΡΙΟΥ</t>
  </si>
  <si>
    <t>mail@10lyk-perist.att.sch.gr</t>
  </si>
  <si>
    <t>ΙΩΑΝΝΙΝΩΝ 82</t>
  </si>
  <si>
    <t>3ου ΔΗΜ. ΔΙΑΜΕΡ. ΠΕΡΙΣΤΕΡΙΟΥ</t>
  </si>
  <si>
    <t>1ο ΕΣΠΕΡΙΝΟ ΕΠΑΛ ΠΕΡΙΣΤΕΡΙΟΥ</t>
  </si>
  <si>
    <t>mail@1epal-esp-perist.att.sch.gr</t>
  </si>
  <si>
    <t>ΚΥΠΡΟΥ ΚΑΙ ΨΑΡΡΩΝ 28</t>
  </si>
  <si>
    <t>1ο ΔΗΜΟΤΙΚΟ ΣΧΟΛΕΙΟ ΠΕΡΙΣΤΕΡΙΟΥ</t>
  </si>
  <si>
    <t>ΑΓΙΩΝ ΑΝΑΡΓΥΡΩΝ - ΚΑΜΑΤΕΡΟΥ</t>
  </si>
  <si>
    <t>1ο ΕΚ ΑΓ. ΑΝΑΡΓΥΡΩΝ</t>
  </si>
  <si>
    <t>mail@1sek-g-athin.att.sch.gr</t>
  </si>
  <si>
    <t>ΑΓ. ΑΝΑΡΓΥΡΩΝ</t>
  </si>
  <si>
    <t>ΣΗΤΕΙΑΣ 4-6</t>
  </si>
  <si>
    <t>47ο ΔΗΜΟΤΙΚΟ ΣΧΟΛΕΙΟ ΠΕΡΙΣΤΕΡΙΟΥ</t>
  </si>
  <si>
    <t>ΚΑΜΑΤΕΡΟΥ</t>
  </si>
  <si>
    <t>1ο ΗΜΕΡΗΣΙΟ ΕΠΑ.Λ ΚΑΜΑΤΕΡΟΥ</t>
  </si>
  <si>
    <t>mail@1epal-kamat.att.sch.gr</t>
  </si>
  <si>
    <t>ΚΑΜΑΤΕΡΟ</t>
  </si>
  <si>
    <t>ΣΩΚΡΑΤΟΥΣ ΚΑΙ ΠΑΥΛΟΥ ΜΕΛΑ  1</t>
  </si>
  <si>
    <t>8ο ΔΗΜΟΤΙΚΟ ΣΧΟΛΕΙΟ ΚΑΜΑΤΕΡΟΥ</t>
  </si>
  <si>
    <t>7ο ΗΜΕΡΗΣΙΟ ΓΕΝΙΚΟ ΛΥΚΕΙΟ ΙΛΙΟΥ</t>
  </si>
  <si>
    <t>mail@7lyk-iliou.att.sch.gr</t>
  </si>
  <si>
    <t>ΒΥΤΙΒΙΛΙΑ 50-52</t>
  </si>
  <si>
    <t>26ο ΔΗΜΟΤΙΚΟ ΣΧΟΛΕΙΟ ΙΛΙΟΥ</t>
  </si>
  <si>
    <t>2ο ΗΜΕΡΗΣΙΟ ΕΠΑΛ ΙΛΙΟΥ</t>
  </si>
  <si>
    <t>mail@2epal-iliou.att.sch.gr</t>
  </si>
  <si>
    <t>ΑΝΔΡΟΜΑΧΗΣ 1  ΚΑΙ ΦΥΛΗΣ</t>
  </si>
  <si>
    <t>8ο ΔΗΜΟΤΙΚΟ ΣΧΟΛΕΙΟ ΙΛΙΟΥ</t>
  </si>
  <si>
    <t>1ο ΗΜΕΡΗΣΙΟ ΕΠΑΛ ΑΙΓΑΛΕΩ</t>
  </si>
  <si>
    <t>mail@1epal-aigal.att.sch.gr</t>
  </si>
  <si>
    <t>ΘΗΒΩΝ ΚΑΙ ΠΕΤΡΟΥ ΡΑΛΛΗ</t>
  </si>
  <si>
    <t>ΕΙΔΙΚΟ ΛΥΚΕΙΟ ΙΛΙΟΝ</t>
  </si>
  <si>
    <t>mail@lyk-eid-iliou.att.sch.gr</t>
  </si>
  <si>
    <t>Λ. ΧΑΣΙΑΣ &amp; Σ. ΘΕΟΛΟΓΟΥ 1 (Ε.Κ.Α.)</t>
  </si>
  <si>
    <t>4ο ΗΜΕΡΗΣΙΟ ΓΕΝΙΚΟ ΛΥΚΕΙΟ ΙΛΙΟΥ</t>
  </si>
  <si>
    <t>mail@4lyk-iliou.att.sch.gr</t>
  </si>
  <si>
    <t>ΑΛΑΜΑΝΑΣ ΚΑΙ ΔΙΟΣ 1</t>
  </si>
  <si>
    <t>4ο ΔΗΜΟΤΙΚΟ ΣΧΟΛΕΙΟ ΙΛΙΟΥ</t>
  </si>
  <si>
    <t>1ο ΗΜΕΡΗΣΙΟ ΕΠΑΛ ΙΛΙΟΥ</t>
  </si>
  <si>
    <t>mail@1epal-iliou.att.sch.gr</t>
  </si>
  <si>
    <t>ΑΝΔΡΟΜΑΧΗΣ ΚΑΙ ΛΕΩΦΟΡΟΣ ΧΑΣΙΑΣ</t>
  </si>
  <si>
    <t>1ο ΗΜΕΡΗΣΙΟ ΓΕΝΙΚΟ ΛΥΚΕΙΟ ΙΛΙΟΥ</t>
  </si>
  <si>
    <t>mail@1lyk-iliou.att.sch.gr</t>
  </si>
  <si>
    <t>ΙΔΟΜΕΝΕΩΣ 104 &amp; ΑΓ. ΒΑΡΒΑΡΑΣ</t>
  </si>
  <si>
    <t>1ο ΗΜΕΡΗΣΙΟ ΕΠΑΛ ΑΓΙΩΝ ΑΝΑΡΓΥΡΩΝ</t>
  </si>
  <si>
    <t>mail@1epal-ag-anarg.att.sch.gr</t>
  </si>
  <si>
    <t>ΑΓΙΟΙ ΑΝΑΡΓΥΡΟΙ</t>
  </si>
  <si>
    <t>ΣΗΤΕΙΑΣ 4</t>
  </si>
  <si>
    <t>5ο ΔΗΜΟΤΙΚΟ ΣΧΟΛΕΙΟ ΠΕΡΙΣΤΕΡΙΟΥ</t>
  </si>
  <si>
    <t>ΑΓΙΑΣ ΒΑΡΒΑΡΑΣ</t>
  </si>
  <si>
    <t>2ο ΗΜΕΡΗΣΙΟ ΓΕΝΙΚΟ ΛΥΚΕΙΟ ΑΓΙΑΣ ΒΑΡΒΑΡΑΣ</t>
  </si>
  <si>
    <t>mail@2lyk-ag-varvar.att.sch.gr</t>
  </si>
  <si>
    <t>ΑΓΙΑ ΒΑΡΒΑΡΑ</t>
  </si>
  <si>
    <t>28ης ΟΚΤΩΒΡΙΟΥ 11Α &amp; ΕΛ. ΒΕΝΙΖΕΛΟΥ</t>
  </si>
  <si>
    <t>8ο ΔΗΜΟΤΙΚΟ ΣΧΟΛΕΙΟ ΑΓΙΑΣ ΒΑΡΒΑΡΑΣ</t>
  </si>
  <si>
    <t>3ο ΕΣΠΕΡΙΝΟ ΕΠΑΛ ΑΓΙΩΝ ΑΝΑΡΓΥΡΩΝ</t>
  </si>
  <si>
    <t>mail@3epal-esp-ag-anarg.att.sch.gr</t>
  </si>
  <si>
    <t>ΚΑΖΑΝΤΖΑΚΗ ΚΑΙ ΣΗΤΕΙΑΣ 4 - 6</t>
  </si>
  <si>
    <t>ΠΕΤΡΟΥΠΟΛΕΩΣ</t>
  </si>
  <si>
    <t>2ο ΗΜΕΡΗΣΙΟ ΓΕΝΙΚΟ ΛΥΚΕΙΟ ΠΕΤΡΟΥΠΟΛΗΣ</t>
  </si>
  <si>
    <t>mail@2lyk-petroup.att.sch.gr</t>
  </si>
  <si>
    <t>ΠΕΤΡΟΥΠΟΛΗ</t>
  </si>
  <si>
    <t>ΕΙΚΟΣΤΗΣ ΟΓΔΟΗΣ ΟΚΤΩΒΡΙΟΥ 113-117 &amp; ΣΚΟΥΦΑ</t>
  </si>
  <si>
    <t>6ο ΔΗΜΟΤΙΚΟ ΣΧΟΛΕΙΟ ΠΕΤΡΟΥΠΟΛΗΣ</t>
  </si>
  <si>
    <t>6ο ΗΜΕΡΗΣΙΟ ΓΕΝΙΚΟ ΛΥΚΕΙΟ ΑΙΓΑΛΕΩ</t>
  </si>
  <si>
    <t>mail@6lyk-aigal.att.sch.gr</t>
  </si>
  <si>
    <t>ΜΙΝΩΟΣ ΚΑΙ ΠΡΟΟΔΟΥ 1</t>
  </si>
  <si>
    <t>11ο ΗΜΕΡΗΣΙΟ ΓΕΝΙΚΟ ΛΥΚΕΙΟ ΠΕΡΙΣΤΕΡΙΟΥ</t>
  </si>
  <si>
    <t>mail@11lyk-perist.att.sch.gr</t>
  </si>
  <si>
    <t>ΣΚΑΜΑΝΔΡΟΥ 73</t>
  </si>
  <si>
    <t>5ο ΗΜΕΡΗΣΙΟ ΓΕΝΙΚΟ ΛΥΚΕΙΟ ΑΙΓΑΛΕΩ</t>
  </si>
  <si>
    <t>mail@5lyk-aigal.att.sch.gr</t>
  </si>
  <si>
    <t>ΣΟΥΛΙΟΥ 35</t>
  </si>
  <si>
    <t>8ο ΔΗΜΟΤΙΚΟ ΣΧΟΛΕΙΟ ΑΙΓΑΛΕΩ "ΚΩΣΤΑΣ ΚΡΥΣΤΑΛΛΗΣ"</t>
  </si>
  <si>
    <t>5ο ΗΜΕΡΗΣΙΟ ΓΕΝΙΚΟ ΛΥΚΕΙΟ ΠΕΤΡΟΥΠΟΛΗΣ</t>
  </si>
  <si>
    <t>5lykpetr@sch.gr</t>
  </si>
  <si>
    <t>ΚΩΝΣΤΑΝΤΙΝΟΥΠΟΛΕΩΣ 15-17</t>
  </si>
  <si>
    <t>14ο ΔΗΜΟΤΙΚΟ ΣΧΟΛΕΙΟ ΙΛΙΟΥ</t>
  </si>
  <si>
    <t>2ο ΗΜΕΡΗΣΙΟ ΓΕΝΙΚΟ ΛΥΚΕΙΟ ΙΛΙΟΥ</t>
  </si>
  <si>
    <t>2lykiliou@sch.gr</t>
  </si>
  <si>
    <t>ΠΗΝΕΛΟΠΗΣ 62</t>
  </si>
  <si>
    <t>15ο ΔΗΜΟΤΙΚΟ ΣΧΟΛΕΙΟ ΙΛΙΟΥ</t>
  </si>
  <si>
    <t>5ο ΗΜΕΡΗΣΙΟ ΓΕΝΙΚΟ ΛΥΚΕΙΟ ΙΛΙΟΥ</t>
  </si>
  <si>
    <t>mail@5lyk-iliou.att.sch.gr</t>
  </si>
  <si>
    <t>ΚΑΛΠΑΚΙΟΥ ΚΑΙ ΖΙΤΣΗΣ 15</t>
  </si>
  <si>
    <t>25ο ΔΗΜΟΤΙΚΟ ΣΧΟΛΕΙΟ ΙΛΙΟΥ</t>
  </si>
  <si>
    <t>ΧΑΪΔΑΡΙΟΥ</t>
  </si>
  <si>
    <t>ΧΑΙΔΑΡΙΟΥ</t>
  </si>
  <si>
    <t>1ο ΗΜΕΡΗΣΙΟ ΕΠΑΛ ΧΑΪΔΑΡΙΟΥ - ΔΙΟΝΥΣΙΟΣ ΣΟΛΩΜΟΣ</t>
  </si>
  <si>
    <t>mail@1epal-chaid.att.sch.gr</t>
  </si>
  <si>
    <t>ΧΑΪΔΑΡΙ</t>
  </si>
  <si>
    <t>ΑΓ. ΤΡΙΑΔΑΣ ΚΑΙ ΡΙΜΙΝΙ 2-4</t>
  </si>
  <si>
    <t>10ο ΔΗΜΟΤΙΚΟ ΣΧΟΛΕΙΟ ΧΑΪΔΑΡΙΟΥ</t>
  </si>
  <si>
    <t>3ο ΗΜΕΡΗΣΙΟ ΓΕΝΙΚΟ ΛΥΚΕΙΟ ΙΛΙΟΥ</t>
  </si>
  <si>
    <t>mail@3lyk-iliou.att.sch.gr</t>
  </si>
  <si>
    <t>ΑΛΑΜΑΝΑΣ 14Α</t>
  </si>
  <si>
    <t>7ο ΔΗΜΟΤΙΚΟ ΣΧΟΛΕΙΟ ΙΛΙΟΥ</t>
  </si>
  <si>
    <t>2ο ΗΜΕΡΗΣΙΟ ΓΕΝΙΚΟ ΛΥΚΕΙΟ ΠΕΡΙΣΤΕΡΙΟΥ</t>
  </si>
  <si>
    <t>mail@2lyk-perist.att.sch.gr</t>
  </si>
  <si>
    <t>ΧΑΛΚΙΔΟΣ &amp; ΟΔΥΣΣΕΩΣ</t>
  </si>
  <si>
    <t>28ο ΔΗΜΟΤΙΚΟ ΣΧΟΛΕΙΟ ΠΕΡΙΣΤΕΡΙΟΥ</t>
  </si>
  <si>
    <t>ΕΣΠΕΡΙΝΟ ΓΕΝΙΚΟ ΛΥΚΕΙΟ ΑΙΓΑΛΕΩ</t>
  </si>
  <si>
    <t>mail@lyk-esp-aigal.att.sch.gr</t>
  </si>
  <si>
    <t>ΙΕΡΑ ΟΔΟΣ 306</t>
  </si>
  <si>
    <t>3ο ΗΜΕΡΗΣΙΟ ΓΕΝΙΚΟ ΛΥΚΕΙΟ ΑΙΓΑΛΕΩ</t>
  </si>
  <si>
    <t>mail@3lyk-aigal.att.sch.gr</t>
  </si>
  <si>
    <t>ΑΓΙΟΥ ΒΑΣΙΛΕΙΟΥ ΚΑΙ ΛΑΚΩΝΙΑΣ 52</t>
  </si>
  <si>
    <t>1ο ΗΜΕΡΗΣΙΟ ΓΕΝΙΚΟ ΛΥΚΕΙΟ ΑΓΙΑΣ ΒΑΡΒΑΡΑΣ</t>
  </si>
  <si>
    <t>mail@1lyk-ag-varvar.att.sch.gr</t>
  </si>
  <si>
    <t>ΕΛ.ΒΕΝΙΖΕΛΟΥ &amp; Δ. ΚΟΜΝΗΝΟΥ</t>
  </si>
  <si>
    <t>2ο ΔΗΜΟΤΙΚΟ ΣΧΟΛΕΙΟ ΑΓΙΑΣ ΒΑΡΒΑΡΑΣ</t>
  </si>
  <si>
    <t>5ο ΕΚ Γ' ΑΘΗΝΑΣ (ΙΛΙΟΥ)</t>
  </si>
  <si>
    <t>mail@5sek-g-athin.att.sch.gr</t>
  </si>
  <si>
    <t>ΑΧΙΛΛΕΩΣ ΧΑΣΙΑΣ 123</t>
  </si>
  <si>
    <t>1ο ΗΜΕΡΗΣΙΟ ΓΕΝΙΚΟ ΛΥΚΕΙΟ ΠΕΤΡΟΥΠΟΛΗΣ</t>
  </si>
  <si>
    <t>mail@1lyk-petroup.att.sch.gr</t>
  </si>
  <si>
    <t>ΑΝΑΤΟΛ. ΡΩΜΥΛΙΑΣ 116 - 118  &amp; ΘΕΣΣΑΛΙΑΣ</t>
  </si>
  <si>
    <t>4ο ΗΜΕΡΗΣΙΟ ΓΕΝΙΚΟ ΛΥΚΕΙΟ ΠΕΤΡΟΥΠΟΛΗΣ</t>
  </si>
  <si>
    <t>mail@4lyk-petroup.att.sch.gr</t>
  </si>
  <si>
    <t>ΗΠΕΙΡΟΥ ΚΑΙ ΕΛΑΙΩΝ</t>
  </si>
  <si>
    <t>5ο ΔΗΜΟΤΙΚΟ ΣΧΟΛΕΙΟ ΠΕΤΡΟΥΠΟΛΗΣ</t>
  </si>
  <si>
    <t>2ο ΗΜΕΡΗΣΙΟ ΓΕΝΙΚΟ ΛΥΚΕΙΟ ΑΓ. ΑΝΑΡΓΥΡΩΝ</t>
  </si>
  <si>
    <t>mail@2lyk-ag-anarg.att.sch.gr</t>
  </si>
  <si>
    <t>ΠΙΝΔΟΥ  ΔΑΒΑΚΗ 20</t>
  </si>
  <si>
    <t>6ο ΔΗΜΟΤΙΚΟ ΣΧΟΛΕΙΟ ΑΓΙΩΝ ΑΝΑΡΓΥΡΩΝ</t>
  </si>
  <si>
    <t>1ο ΗΜΕΡΗΣΙΟ ΓΕΝΙΚΟ ΛΥΚΕΙΟ ΚΑΜΑΤΕΡΟΥ</t>
  </si>
  <si>
    <t>mail@1lyk-kamat.att.sch.gr</t>
  </si>
  <si>
    <t>ΕΛΛΗΣ ΚΑΙ ΑΘ. ΔΙΑΚΟΥ</t>
  </si>
  <si>
    <t>7ο ΔΗΜΟΤΙΚΟ ΣΧΟΛΕΙΟ ΚΑΜΑΤΕΡΟΥ</t>
  </si>
  <si>
    <t>1ο ΗΜΕΡΗΣΙΟ ΓΕΝΙΚΟ ΛΥΚΕΙΟ ΑΓ. ΑΝΑΡΓΥΡΩΝ</t>
  </si>
  <si>
    <t>mail@1lyk-ag-anarg.att.sch.gr</t>
  </si>
  <si>
    <t>ΑΓ. ΑΝΑΡΓΥΡΟΙ</t>
  </si>
  <si>
    <t>ΣΥΡΟΥ-ΠΑΠΑΓΟΥ 1</t>
  </si>
  <si>
    <t>1ο ΔΗΜΟΤΙΚΟ ΣΧΟΛΕΙΟ ΑΓΙΩΝ ΑΝΑΡΓΥΡΩΝ</t>
  </si>
  <si>
    <t>9ο ΗΜΕΡΗΣΙΟ ΓΕΝΙΚΟ ΛΥΚΕΙΟ ΠΕΡΙΣΤΕΡΙΟΥ</t>
  </si>
  <si>
    <t>mail@9lyk-perist.att.sch.gr</t>
  </si>
  <si>
    <t>ΠΕΛΑΣΓΩΝ 42</t>
  </si>
  <si>
    <t>39ο ΔΗΜΟΤΙΚΟ ΣΧΟΛΕΙΟ ΠΕΡΙΣΤΕΡΙΟΥ</t>
  </si>
  <si>
    <t>8ο ΗΜΕΡΗΣΙΟ ΓΕΝΙΚΟ ΛΥΚΕΙΟ ΠΕΡΙΣΤΕΡΙΟΥ</t>
  </si>
  <si>
    <t>mail@8lyk-perist.att.sch.gr</t>
  </si>
  <si>
    <t>ΜΙΧΑΛΑΚΟΠΟΥΛΟΥ &amp;  ΑΓ. ΤΡΙΑΔΟΣ</t>
  </si>
  <si>
    <t>18ο ΔΗΜΟΤΙΚΟ ΣΧΟΛΕΙΟ ΠΕΡΙΣΤΕΡΙΟΥ</t>
  </si>
  <si>
    <t>3ο ΗΜΕΡΗΣΙΟ ΓΕΝΙΚΟ ΛΥΚΕΙΟ ΑΓ. ΑΝΑΡΓΥΡΩΝ</t>
  </si>
  <si>
    <t>mail@3lyk-ag-anarg.att.sch.gr</t>
  </si>
  <si>
    <t>ΔΕΛΗΓΙΑΝΝΗ   &amp;  ΚΑΡΠΕΝΗΣΙΟΥ</t>
  </si>
  <si>
    <t>5ο ΔΗΜΟΤΙΚΟ ΣΧΟΛΕΙΟ ΑΓΙΩΝ ΑΝΑΡΓΥΡΩΝ</t>
  </si>
  <si>
    <t>1ο ΗΜΕΡΗΣΙΟ ΓΕΝΙΚΟ ΛΥΚΕΙΟ ΑΙΓΑΛΕΩ</t>
  </si>
  <si>
    <t>mail@1lyk-aigal.att.sch.gr</t>
  </si>
  <si>
    <t>ΠΑΠΑΝΙΚΟΛΗ 14</t>
  </si>
  <si>
    <t>6ο ΔΗΜΟΤΙΚΟ ΣΧΟΛΕΙΟ ΑΙΓΑΛΕΩ - ΚΩΝΣΤΑΝΤΙΝΟΣ ΚΑΒΑΦΗΣ</t>
  </si>
  <si>
    <t>3ο ΗΜΕΡΗΣΙΟ ΓΕΝΙΚΟ ΛΥΚΕΙΟ ΠΕΡΙΣΤΕΡΙΟΥ</t>
  </si>
  <si>
    <t>mail@3lyk-perist.att.sch.gr</t>
  </si>
  <si>
    <t>ΑΓΙΟΥ ΠΑΥΛΟΥ 53</t>
  </si>
  <si>
    <t>19ο ΔΗΜΟΤΙΚΟ ΣΧΟΛΕΙΟ ΠΕΡΙΣΤΕΡΙΟΥ</t>
  </si>
  <si>
    <t>4ο ΗΜΕΡΗΣΙΟ ΓΕΝΙΚΟ ΛΥΚΕΙΟ ΑΙΓΑΛΕΩ 0551451</t>
  </si>
  <si>
    <t>mail@4lyk-aigal.att.sch.gr</t>
  </si>
  <si>
    <t>9ο ΔΗΜΟΤΙΚΟ ΣΧΟΛΕΙΟ ΑΙΓΑΛΕΩ - ΟΔΥΣΣΕΑΣ ΕΛΥΤΗΣ</t>
  </si>
  <si>
    <t>6ο ΗΜΕΡΗΣΙΟ ΓΕΝΙΚΟ ΛΥΚΕΙΟ ΠΕΡΙΣΤΕΡΙΟΥ - ΚΑΒΑΦΕΙΟ</t>
  </si>
  <si>
    <t>mail@6lyk-perist.att.sch.gr</t>
  </si>
  <si>
    <t>ΜΙΧΑΛΑΚΟΠΟΥΛΟΥ ΚΑΙ ΑΓ.ΤΡΙΑΔΟΣ 1</t>
  </si>
  <si>
    <t>5ο ΗΜΕΡΗΣΙΟ ΓΕΝΙΚΟ ΛΥΚΕΙΟ ΠΕΡΙΣΤΕΡΙΟΥ - ΟΔΥΣΣΕΑΣ ΕΛΥΤΗΣ</t>
  </si>
  <si>
    <t>mail@5lyk-perist.att.sch.gr</t>
  </si>
  <si>
    <t>ΑΓΙΑΣ ΑΝΑΣΤΑΣΙΑΣ ΚΑΙ ΤΗΛΕΜΑΧΟΥ 22</t>
  </si>
  <si>
    <t>14ο ΔΗΜΟΤΙΚΟ ΣΧΟΛΕΙΟ ΠΕΡΙΣΤΕΡΙΟΥ</t>
  </si>
  <si>
    <t>4ο ΗΜΕΡΗΣΙΟ ΓΕΝΙΚΟ ΛΥΚΕΙΟ ΧΑΪΔΑΡΙΟΥ</t>
  </si>
  <si>
    <t>mail@4lyk-chaid.att.sch.gr</t>
  </si>
  <si>
    <t>ΟΔΥΣΣΕΩΣ 8</t>
  </si>
  <si>
    <t>4ο ΔΗΜΟΤΙΚΟ ΣΧΟΛΕΙΟ ΧΑΪΔΑΡΙΟΥ</t>
  </si>
  <si>
    <t>4ου ΔΗΜ. ΔΙΑΜΕΡ. ΠΕΡΙΣΤΕΡΙΟΥ</t>
  </si>
  <si>
    <t>14ο ΗΜΕΡΗΣΙΟ ΓΕΝΙΚΟ ΛΥΚΕΙΟ ΠΕΡΙΣΤΕΡΙΟΥ</t>
  </si>
  <si>
    <t>mail@14lyk-perist.att.sch.gr</t>
  </si>
  <si>
    <t>ΠΟΓΡΑΔΕΤΣ 5</t>
  </si>
  <si>
    <t>31ο ΔΗΜΟΤΙΚΟ ΣΧΟΛΕΙΟ ΠΕΡΙΣΤΕΡΙΟΥ</t>
  </si>
  <si>
    <t>6ο ΗΜΕΡΗΣΙΟ ΓΕΝΙΚΟ ΛΥΚΕΙΟ ΙΛΙΟΥ</t>
  </si>
  <si>
    <t>mail@6lyk-iliou.att.sch.gr</t>
  </si>
  <si>
    <t>ΓΑΛΕΡΙΟΥ ΚΑΙ ΚΑΠΠΑΔΟΚΙΑΣ 15</t>
  </si>
  <si>
    <t>13ο ΔΗΜΟΤΙΚΟ ΣΧΟΛΕΙΟ ΙΛΙΟΥ</t>
  </si>
  <si>
    <t>ΕΣΠΕΡΙΝΟ ΓΕΝΙΚΟ ΛΥΚΕΙΟ ΑΓΙΩΝ ΑΝΑΡΓΥΡΩΝ</t>
  </si>
  <si>
    <t>mail@lyk-esp-ag-anarg.att.sch.gr</t>
  </si>
  <si>
    <t>ΣΥΡΟΥ ΚΑΙ ΠΑΠΑΓΟΥ 1</t>
  </si>
  <si>
    <t>ΠΡΟΤΥΠΟ ΓΕΝΙΚΟ ΛΥΚΕΙΟ ΑΓ. ΑΝΑΡΓΥΡΩΝ</t>
  </si>
  <si>
    <t>mail@lyk-peir-ag-anarg.att.sch.gr</t>
  </si>
  <si>
    <t>ΚΩΝΣΤΑΝΤΙΝΟΥΠΟΛΕΩΣ 255</t>
  </si>
  <si>
    <t>20ο ΔΗΜΟΤΙΚΟ ΣΧΟΛΕΙΟ ΙΛΙΟΥ</t>
  </si>
  <si>
    <t>2ο ΗΜΕΡΗΣΙΟ ΓΕΝΙΚΟ ΛΥΚΕΙΟ ΧΑΪΔΑΡΙΟΥ - ΡΗΓΑΣ ΦΕΡΑΙΟΣ</t>
  </si>
  <si>
    <t>mail@2lyk-chaid.att.sch.gr</t>
  </si>
  <si>
    <t>ΦΙΛΟΠΑΠΠΟΥ 28</t>
  </si>
  <si>
    <t>1ο ΗΜΕΡΗΣΙΟ ΓΕΝΙΚΟ ΛΥΚΕΙΟ ΧΑΪΔΑΡΙΟΥ</t>
  </si>
  <si>
    <t>mail@1lyk-chaid.att.sch.gr</t>
  </si>
  <si>
    <t>ΑΝΕΞΑΡΤΗΣΙΑΣ 17</t>
  </si>
  <si>
    <t>3ο ΔΗΜΟΤΙΚΟ ΣΧΟΛΕΙΟ ΧΑΪΔΑΡΙΟΥ</t>
  </si>
  <si>
    <t>2ο ΗΜΕΡΗΣΙΟ ΓΕΝΙΚΟ ΛΥΚΕΙΟ ΚΑΜΑΤΕΡΟΥ ΑΤΤΙΚΗΣ</t>
  </si>
  <si>
    <t>mail@2lyk-kamat.att.sch.gr</t>
  </si>
  <si>
    <t>ΚΑΜΑΤΕΡΟ ΑΤΤΙΚΗΣ</t>
  </si>
  <si>
    <t>ΠΕΡΓΑΜΟΥ ΚΑΙ ΔΩΔΕΚΑΝΗΣΟΥ</t>
  </si>
  <si>
    <t>4ο ΔΗΜΟΤΙΚΟ ΣΧΟΛΕΙΟ ΚΑΜΑΤΕΡΟΥ  "ΔΗΜΗΤΡΙΟΣ ΝΑΝΟΠΟΥΛΟΣ"</t>
  </si>
  <si>
    <t>4ο ΕΚ Γ' ΑΘΗΝΑΣ (ΠΕΡΙΣΤΕΡΙΟΥ)</t>
  </si>
  <si>
    <t>mail@4sek-g-athin.att.sch.gr</t>
  </si>
  <si>
    <t>Λευκωσίας 50 &amp; Αγ. Ιωάννου Θεολόγου</t>
  </si>
  <si>
    <t>2ο ΕΣΠΕΡΙΝΟ ΕΠΑ.Λ ΠΕΡΙΣΤΕΡΙΟΥ</t>
  </si>
  <si>
    <t>mail@2epal-esp-perist.att.sch.gr</t>
  </si>
  <si>
    <t>ΣΠΕΤΣΩΝ 46 - ΜΕΓ. ΑΛΕΞΑΝΔΡΟΥ 79</t>
  </si>
  <si>
    <t>12ο ΔΗΜΟΤΙΚΟ ΣΧΟΛΕΙΟ ΠΕΡΙΣΤΕΡΙΟΥ</t>
  </si>
  <si>
    <t>7ο ΗΜΕΡΗΣΙΟ ΓΥΜΝΑΣΙΟ ΙΛΙΟΥ</t>
  </si>
  <si>
    <t>mail@7gym-iliou.att.sch.gr</t>
  </si>
  <si>
    <t>ΑΛΑΜΑΝΑΣ &amp; ΔΙΟΣ 1</t>
  </si>
  <si>
    <t>7ο ΗΜΕΡΗΣΙΟ ΓΥΜΝΑΣΙΟ ΑΙΓΑΛΕΩ</t>
  </si>
  <si>
    <t>mail@7gym-aigal.att.sch.gr</t>
  </si>
  <si>
    <t>ΘΗΒΩΝ 250 (Πάροδος)</t>
  </si>
  <si>
    <t>ΚΥΠΡΟΥ 1</t>
  </si>
  <si>
    <t>5ο ΗΜΕΡΗΣΙΟ ΓΥΜΝΑΣΙΟ ΠΕΡΙΣΤΕΡΙΟΥ</t>
  </si>
  <si>
    <t>mail@5gym-perist.att.sch.gr</t>
  </si>
  <si>
    <t>ΚΑΤΣΑΝΤΩΝΗ 16</t>
  </si>
  <si>
    <t>ΕΙΔΙΚΟ ΓΥΜΝΑΣΙΟ ΙΛΙΟΥ - ΠΡΩΗΝ ΑΝΑΠΗΡΩΝ ΠΑΙΔΩΝ</t>
  </si>
  <si>
    <t>gymeidil@sch.gr</t>
  </si>
  <si>
    <t>ΣΠΥΡΟΥ ΘΕΟΛΟΓΟΥ 1</t>
  </si>
  <si>
    <t>1ο ΔΗΜΟΤΙΚΟ ΣΧΟΛΕΙΟ ΚΑΜΑΤΕΡΟΥ</t>
  </si>
  <si>
    <t>4ο ΗΜΕΡΗΣΙΟ ΓΥΜΝΑΣΙΟ ΙΛΙΟΥ</t>
  </si>
  <si>
    <t>mail@4gym-iliou.att.sch.gr</t>
  </si>
  <si>
    <t>ΘΕΣΣΑΛΟΝΙΚΗΣ ΚΑΙ ΔΡΑΓΟΥΜΑΝΟΥ</t>
  </si>
  <si>
    <t>24ο ΔΗΜΟΤΙΚΟ ΣΧΟΛΕΙΟ ΙΛΙΟΥ</t>
  </si>
  <si>
    <t>1ο ΗΜΕΡΗΣΙΟ ΓΥΜΝΑΣΙΟ ΑΓΙΩΝ ΑΝΑΡΓΥΡΩΝ</t>
  </si>
  <si>
    <t>mail@1gym-ag-anarg.att.sch.gr</t>
  </si>
  <si>
    <t>ΑΓΙΩΝ ΑΝΑΡΓΥΡΩΝ &amp; ΝΙΚ. ΠΛΑΣΤΗΡΑ,</t>
  </si>
  <si>
    <t>3ο ΗΜΕΡΗΣΙΟ ΓΕΝΙΚΟ ΛΥΚΕΙΟ ΠΕΤΡΟΥΠΟΛΗΣ</t>
  </si>
  <si>
    <t>mail@3lyk-petroup.att.sch.gr</t>
  </si>
  <si>
    <t>ΜΥΣΤΡΑ ΚΑΙ ΣΤΡΑΤΗΓΟΥ ΚΕΦΑΛΑ</t>
  </si>
  <si>
    <t>ΠΕΤΡΟΥΠΟΛΗΣ</t>
  </si>
  <si>
    <t>7ο ΔΗΜΟΤΙΚΟ ΣΧΟΛΕΙΟ ΠΕΤΡΟΥΠΟΛΗΣ</t>
  </si>
  <si>
    <t>9ο ΗΜΕΡΗΣΙΟ ΓΥΜΝΑΣΙΟ ΙΛΙΟΥ</t>
  </si>
  <si>
    <t>mail@9gym-iliou.att.sch.gr</t>
  </si>
  <si>
    <t>ΔΙΟΣ 25 ΚΑΙ ΠΟΣΕΙΔΩΝΟΣ</t>
  </si>
  <si>
    <t>11ο ΗΜΕΡΗΣΙΟ ΓΥΜΝΑΣΙΟ ΙΛΙΟΥ</t>
  </si>
  <si>
    <t>mail@11gym-iliou.att.sch.gr</t>
  </si>
  <si>
    <t>ΠΕΤΡΟΥΠΟΛΕΩΣ ΚΑΙ ΑΕΤΟΜΗΛΙΤΣΗΣ</t>
  </si>
  <si>
    <t>9ο ΔΗΜΟΤΙΚΟ ΣΧΟΛΕΙΟ ΙΛΙΟΥ</t>
  </si>
  <si>
    <t>2ο ΗΜΕΡΗΣΙΟ ΓΥΜΝΑΣΙΟ ΑΓΙΩΝ ΑΝΑΡΓΥΡΩΝ</t>
  </si>
  <si>
    <t>mail@2gym-ag-anarg.att.sch.gr</t>
  </si>
  <si>
    <t>ΜΑΝΙΑΚΙΟΥ ΚΑΙ ΑΝΔΡΟΥΤΣΟΥ 4</t>
  </si>
  <si>
    <t>3ο ΔΗΜΟΤΙΚΟ ΣΧΟΛΕΙΟ ΑΓΙΩΝ ΑΝΑΡΓΥΡΩΝ</t>
  </si>
  <si>
    <t>6ο ΗΜΕΡΗΣΙΟ ΓΥΜΝΑΣΙΟ ΠΕΤΡΟΥΠΟΛΗΣ</t>
  </si>
  <si>
    <t>mail@6gym-petroup.att.sch.gr</t>
  </si>
  <si>
    <t>ΟΛΥΜΠΙΑΣ ΚΑΙ Β.ΗΠΕΙΡΟΥ</t>
  </si>
  <si>
    <t>1ο ΔΗΜΟΤΙΚΟ ΣΧΟΛΕΙΟ ΠΕΤΡΟΥΠΟΛΗΣ</t>
  </si>
  <si>
    <t>3ο ΗΜΕΡΗΣΙΟ ΓΥΜΝΑΣΙΟ ΙΛΙΟΥ - ΤΕΜΠΟΝΕΡΑ</t>
  </si>
  <si>
    <t>mail@3gym-iliou.att.sch.gr</t>
  </si>
  <si>
    <t>ΠΗΝΕΛΟΠΗΣ 64</t>
  </si>
  <si>
    <t>3ο ΗΜΕΡΗΣΙΟ ΓΥΜΝΑΣΙΟ ΑΙΓΑΛΕΩ</t>
  </si>
  <si>
    <t>mail@3gym-aigal.att.sch.gr</t>
  </si>
  <si>
    <t>2ο ΔΗΜΟΤΙΚΟ ΣΧΟΛΕΙΟ ΑΙΓΑΛΕΩ "ΝΙΚΟΣ ΓΚΑΤΣΟΣ"</t>
  </si>
  <si>
    <t>1ο ΗΜΕΡΗΣΙΟ ΓΥΜΝΑΣΙΟ ΑΙΓΑΛΕΩ</t>
  </si>
  <si>
    <t>mail@1gym-aigal.att.sch.gr</t>
  </si>
  <si>
    <t>ΠΑΠΑΝΙΚΟΛΗ &amp; ΚΟΥΝΤΟΥΡΙΩΤΟΥ</t>
  </si>
  <si>
    <t>7ο ΗΜΕΡΗΣΙΟ ΓΥΜΝΑΣΙΟ ΧΑΪΔΑΡΙΟΥ - ΝΕΑ ΦΩΚΑΙΑ</t>
  </si>
  <si>
    <t>mail@7gym-chaid.att.sch.gr</t>
  </si>
  <si>
    <t>ΗΛΙΑ ΒΕΝΕΖΗ 24</t>
  </si>
  <si>
    <t>2ο ΔΗΜΟΤΙΚΟ ΣΧΟΛΕΙΟ ΧΑΪΔΑΡΙΟΥ</t>
  </si>
  <si>
    <t>4ο ΗΜΕΡΗΣΙΟ ΓΥΜΝΑΣΙΟ ΧΑΪΔΑΡΙΟΥ</t>
  </si>
  <si>
    <t>mail@4gym-chaid.att.sch.gr</t>
  </si>
  <si>
    <t>N. ΠΛΟΥΜΠΙΔΗ 24 &amp; ΟΔΥΣΣΕΩΣ</t>
  </si>
  <si>
    <t>2ο ΗΜΕΡΗΣΙΟ ΓΥΜΝΑΣΙΟ ΑΙΓΑΛΕΩ</t>
  </si>
  <si>
    <t>mail@2gym-aigal.att.sch.gr</t>
  </si>
  <si>
    <t>ΜΥΚΗΝΩΝ ΚΑΙ ΚΟΡΙΝΘΟΥ</t>
  </si>
  <si>
    <t>17ο ΔΗΜΟΤΙΚΟ ΣΧΟΛΕΙΟ ΑΙΓΑΛΕΩ - Γ. ΔΡΟΣΙΝΗΣ</t>
  </si>
  <si>
    <t>5ο ΗΜΕΡΗΣΙΟ ΓΥΜΝΑΣΙΟ ΧΑΪΔΑΡΙΟΥ</t>
  </si>
  <si>
    <t>mail@5gym-chaid.att.sch.gr</t>
  </si>
  <si>
    <t>ΜΠΟΥΜΠΟΥΛΙΝΑΣ 88</t>
  </si>
  <si>
    <t>1ο ΔΗΜΟΤΙΚΟ ΣΧΟΛΕΙΟ ΧΑΪΔΑΡΙΟΥ</t>
  </si>
  <si>
    <t>15ο ΗΜΕΡΗΣΙΟ ΓΥΜΝΑΣΙΟ ΠΕΡΙΣΤΕΡΙΟΥ - ΚΩΣΤΗΣ ΠΑΛΑΜΑΣ</t>
  </si>
  <si>
    <t>mail@15gym-perist.att.sch.gr</t>
  </si>
  <si>
    <t>ΚΑΖΑΝΤΖΑΚΗ 4</t>
  </si>
  <si>
    <t>9ο ΔΗΜΟΤΙΚΟ ΣΧΟΛΕΙΟ ΠΕΡΙΣΤΕΡΙΟΥ</t>
  </si>
  <si>
    <t>8ο ΗΜΕΡΗΣΙΟ ΓΥΜΝΑΣΙΟ ΙΛΙΟΥ</t>
  </si>
  <si>
    <t>mail@8gym-iliou.att.sch.gr</t>
  </si>
  <si>
    <t>ΑΧΑΪΑΣ ΚΑΙ ΝΑΥΠΛΙΟΥ</t>
  </si>
  <si>
    <t>4ο ΗΜΕΡΗΣΙΟ ΓΥΜΝΑΣΙΟ ΠΕΤΡΟΥΠΟΛΗΣ</t>
  </si>
  <si>
    <t>mail@4gym-petroup.att.sch.gr</t>
  </si>
  <si>
    <t>ΣΤΡΑΤΗΓΟΥ ΚΕΦΑΛΑ 38 ΚΑΙ ΜΥΣΤΡΑ</t>
  </si>
  <si>
    <t>3ο ΗΜΕΡΗΣΙΟ ΓΥΜΝΑΣΙΟ ΚΑΜΑΤΕΡΟΥ</t>
  </si>
  <si>
    <t>mail@3gym-kamat.att.sch.gr</t>
  </si>
  <si>
    <t>ΕΡΜΙΟΝΗΣ 4</t>
  </si>
  <si>
    <t>3ο ΗΜΕΡΗΣΙΟ ΓΥΜΝΑΣΙΟ ΧΑΪΔΑΡΙΟΥ</t>
  </si>
  <si>
    <t>mail@3gym-chaid.att.sch.gr</t>
  </si>
  <si>
    <t>ΠΕΛΟΠΟΝΝΗΣΟΥ ΚΑΙ ΙΕΡΑ ΟΔΟΣ 328</t>
  </si>
  <si>
    <t>5ο ΔΗΜΟΤΙΚΟ ΣΧΟΛΕΙΟ ΧΑΪΔΑΡΙΟΥ- ΟΔ. ΕΛΥΤΗΣ</t>
  </si>
  <si>
    <t>5ο ΗΜΕΡΗΣΙΟ ΓΥΜΝΑΣΙΟ ΙΛΙΟΥ</t>
  </si>
  <si>
    <t>mail@5gym-iliou.att.sch.gr</t>
  </si>
  <si>
    <t>ΕΛΑΙΩΝ 61 &amp; ΜΑΚΑΡΙΟΥ</t>
  </si>
  <si>
    <t>12ο ΔΗΜΟΤΙΚΟ ΣΧΟΛΕΙΟ ΙΛΙΟΥ</t>
  </si>
  <si>
    <t>1ο ΗΜΕΡΗΣΙΟ ΓΥΜΝΑΣΙΟ ΠΕΤΡΟΥΠΟΛΗΣ</t>
  </si>
  <si>
    <t>mail@1gym-petroup.att.sch.gr</t>
  </si>
  <si>
    <t>ΑΝ.ΡΩΜΥΛΙΑΣ-ΘΕΣΣΑΛΙΑΣ</t>
  </si>
  <si>
    <t>6ο ΕΚ ΧΑΪΔΑΡΙΟΥ</t>
  </si>
  <si>
    <t>mail@6sek-g-athin.att.sch.gr</t>
  </si>
  <si>
    <t>ΡΙΜΙΝΙ 2-4</t>
  </si>
  <si>
    <t>4ο ΗΜΕΡΗΣΙΟ ΓΥΜΝΑΣΙΟ ΑΙΓΑΛΕΩ</t>
  </si>
  <si>
    <t>mail@4gym-aigal.att.sch.gr</t>
  </si>
  <si>
    <t>7ο ΔΗΜΟΤΙΚΟ ΣΧΟΛΕΙΟ ΑΙΓΑΛΕΩ - ΚΩΣΤΗΣ ΠΑΛΑΜΑΣ</t>
  </si>
  <si>
    <t>2ο ΗΜΕΡΗΣΙΟ ΓΥΜΝΑΣΙΟ ΚΑΜΑΤΕΡΟΥ</t>
  </si>
  <si>
    <t>mail@2gym-kamat.att.sch.gr</t>
  </si>
  <si>
    <t>ΔΕΝΔΡΟΧΩΡΙΟΥ ΚΑΙ ΠΕΡΓΑΜΟΥ</t>
  </si>
  <si>
    <t>9ο ΗΜΕΡΗΣΙΟ ΓΥΜΝΑΣΙΟ ΠΕΡΙΣΤΕΡΙΟΥ</t>
  </si>
  <si>
    <t>mail@9gym-perist.att.sch.gr</t>
  </si>
  <si>
    <t>ΑΡΓΥΡΟΚΑΣΤΡΟΥ 6</t>
  </si>
  <si>
    <t>15ο ΔΗΜΟΤΙΚΟ ΣΧΟΛΕΙΟ ΠΕΡΙΣΤΕΡΙΟΥ</t>
  </si>
  <si>
    <t>3ο ΗΜΕΡΗΣΙΟ ΓΥΜΝΑΣΙΟ ΑΓΙΑΣ ΒΑΡΒΑΡΑΣ - ΑΝΤΩΝΗΣ ΣΑΜΑΡΑΚΗΣ</t>
  </si>
  <si>
    <t>mail@3gym-ag-varvar.att.sch.gr</t>
  </si>
  <si>
    <t>ΡΑΙΔΕΣΤΟΥ 2</t>
  </si>
  <si>
    <t>6ο ΗΜΕΡΗΣΙΟ ΓΥΜΝΑΣΙΟ ΧΑΪΔΑΡΙΟΥ</t>
  </si>
  <si>
    <t>mail@6gym-chaid.att.sch.gr</t>
  </si>
  <si>
    <t>ΜΠΟΥΜΠΟΥΛΙΝΑΣ 14</t>
  </si>
  <si>
    <t>3ο ΗΜΕΡΗΣΙΟ ΓΥΜΝΑΣΙΟ ΠΕΡΙΣΤΕΡΙΟΥ</t>
  </si>
  <si>
    <t>mail@3gym-perist.att.sch.gr</t>
  </si>
  <si>
    <t>ΚΥΠΡΟΥ - ΨΑΡΡΩΝ 28</t>
  </si>
  <si>
    <t>2ο ΗΜΕΡΗΣΙΟ ΓΥΜΝΑΣΙΟ ΑΓΙΑΣ ΒΑΡΒΑΡΑΣ</t>
  </si>
  <si>
    <t>mail@2gym-ag-varvar.att.sch.gr</t>
  </si>
  <si>
    <t>ΑΓΙΑ  ΒΑΡΒΑΡΑ</t>
  </si>
  <si>
    <t>ΔΙΟΜ.ΚΟΜΝΗΝΟΥ ΚΑΙ ΡΑΙΔΕΣΤΟΥ</t>
  </si>
  <si>
    <t>ΝΙΚΑΙΑΣ</t>
  </si>
  <si>
    <t>1ο ΗΜΕΡΗΣΙΟ ΓΥΜΝΑΣΙΟ ΚΑΜΑΤΕΡΟΥ</t>
  </si>
  <si>
    <t>mail@1gym-kamat.att.sch.gr</t>
  </si>
  <si>
    <t>ΕΛΛΗΣ ΚΑΙ  ΑΘ.  ΔΙΑΚΟΥ</t>
  </si>
  <si>
    <t>2ο ΗΜΕΡΗΣΙΟ ΓΥΜΝΑΣΙΟ ΠΕΤΡΟΥΠΟΛΗΣ</t>
  </si>
  <si>
    <t>mail@2gym-petroup.att.sch.gr</t>
  </si>
  <si>
    <t>ΕΛΑΙΩΝ ΚΑΙ ΚΡΩΠΙΑΣ</t>
  </si>
  <si>
    <t>6ο ΗΜΕΡΗΣΙΟ ΓΥΜΝΑΣΙΟ ΙΛΙΟΥ</t>
  </si>
  <si>
    <t>mail@6gym-iliou.att.sch.gr</t>
  </si>
  <si>
    <t>ΠΟΡΦΥΡΑ ΚΑΙ ΠΟΡΦΥΡΟΓΕΝΝΗΤΟΥ</t>
  </si>
  <si>
    <t>1ο ΗΜΕΡΗΣΙΟ ΓΥΜΝΑΣΙΟ ΠΕΡΙΣΤΕΡΙΟΥ</t>
  </si>
  <si>
    <t>mail@1gym-perist.att.sch.gr</t>
  </si>
  <si>
    <t>ΠΕΛΑΣΓΙΑΣ ΚΑΙ ΠΑΠΑΔΙΑΜΑΝΤΗ</t>
  </si>
  <si>
    <t>3ο ΗΜΕΡΗΣΙΟ ΓΥΜΝΑΣΙΟ ΠΕΤΡΟΥΠΟΛΗΣ</t>
  </si>
  <si>
    <t>mail@3gym-petroup.att.sch.gr</t>
  </si>
  <si>
    <t>ΡΗΓΑ ΦΕΡΡΑΙΟΥ  47  ΚΑΙ ΣΤΕΡΕΑΣ ΕΛΛΑΔΟΣ</t>
  </si>
  <si>
    <t>3ο ΔΗΜΟΤΙΚΟ ΣΧΟΛΕΙΟ ΠΕΤΡΟΥΠΟΛΗΣ</t>
  </si>
  <si>
    <t>5ο ΗΜΕΡΗΣΙΟ ΓΥΜΝΑΣΙΟ ΠΕΤΡΟΥΠΟΛΗΣ</t>
  </si>
  <si>
    <t>mail@5gym-petroup.att.sch.gr</t>
  </si>
  <si>
    <t>ΕΝ.Ε.Ε.ΓΥ.Λ. ΙΛΙΟΥ</t>
  </si>
  <si>
    <t>mail@eneegyl-iliou.att.sch.gr</t>
  </si>
  <si>
    <t>Σπύρου Θεολόγου 1 &amp; Λ. Φυλής  8η Στάση Ίλιον.</t>
  </si>
  <si>
    <t>1ο ΗΜΕΡΗΣΙΟ ΓΥΜΝΑΣΙΟ ΑΓΙΑΣ ΒΑΡΒΑΡΑΣ</t>
  </si>
  <si>
    <t>mail@1gym-ag-varvar.att.sch.gr</t>
  </si>
  <si>
    <t>ΑΝΕΞΑΡΤΗΣΙΑΣ  42 ΚΑΙ ΚΕΡΚΥΡΑΣ</t>
  </si>
  <si>
    <t>7ο ΔΗΜΟΤΙΚΟ ΣΧΟΛΕΙΟ ΑΓΙΑΣ ΒΑΡΒΑΡΑΣ</t>
  </si>
  <si>
    <t>ΠΡΟΤΥΠΟ ΓΥΜΝΑΣΙΟ ΑΓΙΩΝ ΑΝΑΡΓΥΡΩΝ</t>
  </si>
  <si>
    <t>mail@gym-peir-ag-anarg.att.sch.gr</t>
  </si>
  <si>
    <t>ΑΓ. ΑΝΑΡΓΥΡΩΝ ΚΑΙ ΝΙΚ. ΠΛΑΣΤΗΡΑ</t>
  </si>
  <si>
    <t>2ο ΗΜΕΡΗΣΙΟ ΓΥΜΝΑΣΙΟ ΧΑΪΔΑΡΙΟΥ</t>
  </si>
  <si>
    <t>mail@2gym-chaid.att.sch.gr</t>
  </si>
  <si>
    <t>ΕΠΑΥΛΕΩΣ ΚΑΙ ΑΝΑΓΕΝΝΗΣΕΩΣ 25</t>
  </si>
  <si>
    <t>14ο ΔΗΜΟΤΙΚΟ ΣΧΟΛΕΙΟ ΧΑΪΔΑΡΙΟΥ</t>
  </si>
  <si>
    <t>ΜΟΥΣΙΚΟ ΓΥΜΝΑΣΙΟ ΙΛΙΟΥ ΜΕ ΛΥΚΕΙΑΚΕΣ ΤΑΞΕΙΣ</t>
  </si>
  <si>
    <t>mail@gym-mous-iliou.att.sch.gr</t>
  </si>
  <si>
    <t>ΠΕΤΡΑΚΟΓΙΩΡΓΗ 1</t>
  </si>
  <si>
    <t>ΕΣΠΕΡΙΝΟ ΓΥΜΝΑΣΙΟ ΑΓΙΩΝ ΑΝΑΡΓΥΡΩΝ - ΗΡΩ ΚΩΝΣΤΑΝΤΟΠΟΥΛΟΥ</t>
  </si>
  <si>
    <t>mail@gym-esp-ag-anarg.att.sch.gr</t>
  </si>
  <si>
    <t>ΑΓΙΩΝ ΑΝΑΡΓΥΡΩΝ ΚΑΙ ΠΛΑΣΤΗΡΑ</t>
  </si>
  <si>
    <t>10ο ΗΜΕΡΗΣΙΟ ΓΥΜΝΑΣΙΟ ΠΕΡΙΣΤΕΡΙΟΥ</t>
  </si>
  <si>
    <t>mail@10gym-perist.att.sch.gr</t>
  </si>
  <si>
    <t>ΙΩΑΝΝΙΝΩΝ ΚΑΙ ΚΑΚΤΟΥ 28</t>
  </si>
  <si>
    <t>41ο ΔΗΜΟΤΙΚΟ ΣΧΟΛΕΙΟ ΠΕΡΙΣΤΕΡΙΟΥ</t>
  </si>
  <si>
    <t>9ο ΗΜΕΡΗΣΙΟ ΓΥΜΝΑΣΙΟ ΑΙΓΑΛΕΩ</t>
  </si>
  <si>
    <t>mail@9gym-aigal.att.sch.gr</t>
  </si>
  <si>
    <t>ΙΕΡΑ ΟΔΟΣ ΚΑΙ ΨΑΡΩΝ 4</t>
  </si>
  <si>
    <t xml:space="preserve"> 2ο ΗΜΕΡΗΣΙΟ ΓΥΜΝΑΣΙΟ ΠΕΡΙΣΤΕΡΙΟΥ </t>
  </si>
  <si>
    <t>mail@2gym-perist.att.sch.gr</t>
  </si>
  <si>
    <t>ΧΑΛΚΙΔΟΣ ΚΑΙ ΟΔΥΣΣΕΩΣ</t>
  </si>
  <si>
    <t>13ο ΗΜΕΡΗΣΙΟ ΓΥΜΝΑΣΙΟ ΠΕΡΙΣΤΕΡΙΟΥ</t>
  </si>
  <si>
    <t>mail@13gym-perist.att.sch.gr</t>
  </si>
  <si>
    <t>ΕΘΝΙΚΗΣ ΑΝΤΙΣΤΑΣΕΩΣ ΚΑΙ ΦΕΡΡΩΝ 125</t>
  </si>
  <si>
    <t>13ο ΔΗΜΟΤΙΚΟ ΣΧΟΛΕΙΟ ΠΕΡΙΣΤΕΡΙΟΥ</t>
  </si>
  <si>
    <t>12ο ΗΜΕΡΗΣΙΟ ΓΥΜΝΑΣΙΟ ΠΕΡΙΣΤΕΡΙΟΥ</t>
  </si>
  <si>
    <t>mail@12gym-perist.att.sch.gr</t>
  </si>
  <si>
    <t>ΦΙΛΙΚΩΝ 37</t>
  </si>
  <si>
    <t>35ο ΔΗΜΟΤΙΚΟ ΣΧΟΛΕΙΟ ΠΕΡΙΣΤΕΡΙΟΥ</t>
  </si>
  <si>
    <t>1ο ΕΠΑΛ ΠΕΤΡΟΥΠΟΛΗΣ</t>
  </si>
  <si>
    <t>mail@1epal-petroup.att.sch.gr</t>
  </si>
  <si>
    <t>7ο ΗΜΕΡΗΣΙΟ ΓΥΜΝΑΣΙΟ ΠΕΡΙΣΤΕΡΙΟΥ</t>
  </si>
  <si>
    <t>mail@7gym-perist.att.sch.gr</t>
  </si>
  <si>
    <t>ΙΩΑΝΝΙΝΩΝ 46</t>
  </si>
  <si>
    <t>ΕΣΠΕΡΙΝΟ ΓΥΜΝΑΣΙΟ ΑΙΓΑΛΕΩ</t>
  </si>
  <si>
    <t>mail@gym-esp-aigal.att.sch.gr</t>
  </si>
  <si>
    <t>6ο ΗΜΕΡΗΣΙΟ ΓΥΜΝΑΣΙΟ ΠΕΡΙΣΤΕΡΙΟΥ</t>
  </si>
  <si>
    <t>mail@6gym-perist.att.sch.gr</t>
  </si>
  <si>
    <t>ΠΛΟΥΤΑΡΧΟΥ 31</t>
  </si>
  <si>
    <t>3ο ΗΜΕΡΗΣΙΟ ΕΠΑΛ ΠΕΡΙΣΤΕΡΙΟΥ</t>
  </si>
  <si>
    <t>mail@3epal-perist.att.sch.gr</t>
  </si>
  <si>
    <t>ΑΓΙΟΥ ΠΑΥΛΟΥ 51</t>
  </si>
  <si>
    <t>5ο ΗΜΕΡΗΣΙΟ ΓΥΜΝΑΣΙΟ ΑΙΓΑΛΕΩ</t>
  </si>
  <si>
    <t>mail@5gym-aigal.att.sch.gr</t>
  </si>
  <si>
    <t>ΟΡΥΖΟΜΥΛΩΝ 17</t>
  </si>
  <si>
    <t>8ο ΗΜΕΡΗΣΙΟ ΓΥΜΝΑΣΙΟ ΠΕΡΙΣΤΕΡΙΟΥ</t>
  </si>
  <si>
    <t>mail@8gym-perist.att.sch.gr</t>
  </si>
  <si>
    <t>ΜΙΧΑΛΑΚΟΠΟΥΛΟΥ ΚΑΙ ΑΡΙΣΤΑΡΧΟΥ</t>
  </si>
  <si>
    <t>13ο ΗΜΕΡΗΣΙΟ ΓΕΝΙΚΟ ΛΥΚΕΙΟ ΠΕΡΙΣΤΕΡΙΟΥ</t>
  </si>
  <si>
    <t>mail@13lyk-perist.att.sch.gr</t>
  </si>
  <si>
    <t>ΣΠΕΤΣΩΝ 46</t>
  </si>
  <si>
    <t>3ο ΗΜΕΡΗΣΙΟ ΓΥΜΝΑΣΙΟ ΑΓΙΩΝ ΑΝΑΡΓΥΡΩΝ</t>
  </si>
  <si>
    <t>3gymagan@sch.gr</t>
  </si>
  <si>
    <t>ΠΙΝΔΟΥ ΔΑΒΑΚΗ 18</t>
  </si>
  <si>
    <t>1ο ΗΜΕΡΗΣΙΟ ΓΥΜΝΑΣΙΟ ΧΑΪΔΑΡΙΟΥ</t>
  </si>
  <si>
    <t>mail@1gym-chaid.att.sch.gr</t>
  </si>
  <si>
    <t>3ο ΗΜΕΡΗΣΙΟ ΓΕΝΙΚΟ ΛΥΚΕΙΟ ΧΑΙΔΑΡΙΟΥ</t>
  </si>
  <si>
    <t>mail@3lyk-chaid.att.sch.gr</t>
  </si>
  <si>
    <t>ΣΑΤΩΒΡΙΑΝΔΟΥ ΚΑΙ ΑΦΡΟΔΙΤΗΣ</t>
  </si>
  <si>
    <t>ΕΣΠΕΡΙΝΟ ΓΥΜΝΑΣΙΟ ΠΕΡΙΣΤΕΡΙΟΥ</t>
  </si>
  <si>
    <t>mail@gym-esp-perist.att.sch.gr</t>
  </si>
  <si>
    <t>ΚΛΕΙΤΟΡΟΣ ΚΑΙ ΑΓΙΟΥ ΠΑΥΛΟΥ 53</t>
  </si>
  <si>
    <t>4ο ΗΜΕΡΗΣΙΟ ΓΥΜΝΑΣΙΟ ΑΓΙΩΝ ΑΝΑΡΓΥΡΩΝ</t>
  </si>
  <si>
    <t>mail@4gym-ag-anarg.att.sch.gr</t>
  </si>
  <si>
    <t>ΠΕΛΟΠΟΝΝΗΣΟΥ 5</t>
  </si>
  <si>
    <t>8ο ΔΗΜΟΤΙΚΟ ΣΧΟΛΕΙΟ ΑΓΙΩΝ ΑΝΑΡΓΥΡΩΝ</t>
  </si>
  <si>
    <t>14ο ΗΜΕΡΗΣΙΟ ΓΥΜΝΑΣΙΟ ΠΕΡΙΣΤΕΡΙΟΥ</t>
  </si>
  <si>
    <t>mail@14gym-perist.att.sch.gr</t>
  </si>
  <si>
    <t>ΚΥΠΡΟΥ ΚΑΙ ΦΩΛΟΠΟΥΛΟΥ</t>
  </si>
  <si>
    <t>3ο ΕΚ ΠΕΡΙΣΤΕΡΙΟΥ</t>
  </si>
  <si>
    <t>mail@3sek-g-athin.att.sch.gr</t>
  </si>
  <si>
    <t>ΠΕΥΚΩΝ 7 &amp; ΕΥΚΑΛΥΠΤΩΝ</t>
  </si>
  <si>
    <t>2ο ΗΜΕΡΗΣΙΟ ΕΠΑΛ ΑΙΓΑΛΕΩ</t>
  </si>
  <si>
    <t>mail@2epal-aigal.att.sch.gr</t>
  </si>
  <si>
    <t>ΘΗΒΩΝ &amp; Π. ΡΑΛΛΗ</t>
  </si>
  <si>
    <t>7ο ΗΜΕΡΗΣΙΟ ΓΕΝΙΚΟ ΛΥΚΕΙΟ ΠΕΡΙΣΤΕΡΙΟΥ</t>
  </si>
  <si>
    <t>mail@7lyk-perist.att.sch.gr</t>
  </si>
  <si>
    <t>16ο ΗΜΕΡΗΣΙΟ ΓΥΜΝΑΣΙΟ ΠΕΡΙΣΤΕΡΙΟΥ</t>
  </si>
  <si>
    <t>16gymper@sch.gr</t>
  </si>
  <si>
    <t>ΑΡΧΙΜΗΔΟΥΣ ΚΑΙ ΑΝΑΞΙΜΑΝΔΡΟΥ</t>
  </si>
  <si>
    <t>20ο ΔΗΜΟΤΙΚΟ ΣΧΟΛΕΙΟ ΠΕΡΙΣΤΕΡΙΟΥ</t>
  </si>
  <si>
    <t>2ο ΕΚ ΑΙΓΑΛΕΩ</t>
  </si>
  <si>
    <t>mail@2sek-g-athin.att.sch.gr</t>
  </si>
  <si>
    <t>ΘΗΒΩΝ ΚΑΙ Π. ΡΑΛΛΗ 250</t>
  </si>
  <si>
    <t>1ο ΕΣΠΕΡΙΝΟ ΕΠΑΛ ΑΙΓΑΛΕΩ</t>
  </si>
  <si>
    <t>mail@1epal-esp-aigal.att.sch.gr</t>
  </si>
  <si>
    <t>ΘΗΒΩΝ Κ Π. ΡΑΛΛΗ</t>
  </si>
  <si>
    <t>1ο ΗΜΕΡΗΣΙΟ ΕΠΑΛ ΠΕΡΙΣΤΕΡΙΟΥ</t>
  </si>
  <si>
    <t>mail@1epal-perist.att.sch.gr</t>
  </si>
  <si>
    <t>ΛΕΥΚΩΣΙΑΣ 50</t>
  </si>
  <si>
    <t>2ο ΗΜΕΡΗΣΙΟ ΕΠΑΛ ΠΕΡΙΣΤΕΡΙΟΥ</t>
  </si>
  <si>
    <t>mail@2epal-perist.att.sch.gr</t>
  </si>
  <si>
    <t>ΠΕΥΚΩΝ ΚΑΙ ΕΥΚΑΛΥΠΤΩΝ</t>
  </si>
  <si>
    <t>ΕΝΙΑΙΟ ΕΙΔΙΚΟ ΕΠΑΓΓΕΛΜΑΤΙΚΟ ΓΥΜΝΑΣΙΟ ΛΥΚΕΙΟ ΠΕΡΙΣΤΕΡΙΟΥ</t>
  </si>
  <si>
    <t>mail@gym-ee-perist.att.sch.gr</t>
  </si>
  <si>
    <t>Αγ. Παύλου 51</t>
  </si>
  <si>
    <t>ΕΝΙΑΙΟ ΕΙΔΙΚΟ ΕΠΑΓΓΕΛΜΑΤΙΚΟ ΓΥΜΝΑΣΙΟ - ΛΥΚΕΙΟ ΑΙΓΑΛΕΩ</t>
  </si>
  <si>
    <t>mail@eneegyl-aigal.att.sch.gr</t>
  </si>
  <si>
    <t>ΜΙΝΩΟΣ ΚΑΙ ΠΡΟΟΔΟΥ</t>
  </si>
  <si>
    <t>ΜΑΡΑΘΩΝΟΣ 10</t>
  </si>
  <si>
    <t>ΚΑΛΛΙΤΕΧΝΙΚΟ ΓΥΜΝΑΣΙΟ ΠΕΡΙΣΤΕΡΙΟΥ ΜΕ ΛΥΚΕΙΑΚΕΣ ΤΑΞΕΙΣ</t>
  </si>
  <si>
    <t>mail@gym-kall-perist.att.sch.gr</t>
  </si>
  <si>
    <t>ΑΓ. ΙΩΑΝΝΟΥ ΘΕΟΛΟΓΟΥ ΚΑΙ ΛΕΥΚΩΣΙΑΣ 50</t>
  </si>
  <si>
    <t>ΔΙΕΥΘΥΝΣΗ Δ.Ε. Δ΄ ΑΘΗΝΑΣ</t>
  </si>
  <si>
    <t>ΚΑΛΛΙΘΕΑΣ</t>
  </si>
  <si>
    <t>2ο ΔΗΜ. ΔΙΑΜΕΡ. ΚΑΛΛΙΘΕΑΣ</t>
  </si>
  <si>
    <t>2ο ΗΜΕΡΗΣΙΟ ΓΥΜΝΑΣΙΟ ΚΑΛΛΙΘΕΑΣ</t>
  </si>
  <si>
    <t>mail@2gym-kallith.att.sch.gr</t>
  </si>
  <si>
    <t>ΚΑΛΛΙΘΕΑ</t>
  </si>
  <si>
    <t>ΜΕΓΑΛΟΠΟΛΕΩΣ 21</t>
  </si>
  <si>
    <t>20ο  ΔΗΜΟΤΙΚΟ ΣΧΟΛΕΙΟ ΚΑΛΛΙΘΕΑΣ</t>
  </si>
  <si>
    <t>ΠΑΛΑΙΟΥ ΦΑΛΗΡΟΥ</t>
  </si>
  <si>
    <t>3ο ΗΜΕΡΗΣΙΟ ΓΕΝΙΚΟ ΛΥΚΕΙΟ ΠΑΛΑΙΟΥ ΦΑΛΗΡΟΥ - "ΣΟΦΙΑ ΜΠΕΦΟΝ"</t>
  </si>
  <si>
    <t>mail@3lyk-p-falir.att.sch.gr</t>
  </si>
  <si>
    <t>ΠΑΛΑΙΟ ΦΑΛΗΡΟ</t>
  </si>
  <si>
    <t>ΑΝΔΡΟΜΑΧΗΣ - ΒΥΡΩΝΟΣ ΒΕΡΡΑ 3</t>
  </si>
  <si>
    <t>4ο ΔΗΜΟΤΙΚΟ ΣΧΟΛΕΙΟ ΠΑΛΑΙΟΥ  ΦΑΛΗΡΟΥ</t>
  </si>
  <si>
    <t>8ο ΗΜΕΡΗΣΙΟ ΓΥΜΝΑΣΙΟ ΓΛΥΦΑΔΑΣ</t>
  </si>
  <si>
    <t>mail@8gym-glyfad.att.sch.gr</t>
  </si>
  <si>
    <t>ΓΛΥΦΑΔΑ</t>
  </si>
  <si>
    <t>ΠΕΡΓΑΜΟΥ ΚΑΙ ΡΟΔΟΠΗΣ 1</t>
  </si>
  <si>
    <t>2ο ΔΗΜΟΤΙΚΟ ΣΧΟΛΕΙΟ ΓΛΥΦΑΔΑΣ</t>
  </si>
  <si>
    <t>6ο ΗΜΕΡΗΣΙΟ ΓΥΜΝΑΣΙΟ ΑΓ ΔΗΜΗΤΡΙΟΥ</t>
  </si>
  <si>
    <t>mail@6gym-ag-dimitr.att.sch.gr</t>
  </si>
  <si>
    <t xml:space="preserve">ΑΓ ΔΗΜΗΤΡΙΟΣ </t>
  </si>
  <si>
    <t>ΜΑΚΡΥΓΙΑΝΝΗ  98</t>
  </si>
  <si>
    <t>20ο ΔΗΜΟΤΙΚΟ ΣΧΟΛΕΙΟ ΑΓΙΟΥ ΔΗΜΗΤΡΙΟΥ</t>
  </si>
  <si>
    <t>ΝΕΑΣ ΣΜΥΡΝΗΣ</t>
  </si>
  <si>
    <t>2ο ΗΜΕΡΗΣΙΟ ΓΕΝΙΚΟ ΛΥΚΕΙΟ Ν. ΣΜΥΡΝΗΣ - ΟΜΗΡΕΙΟ</t>
  </si>
  <si>
    <t>mail@2lyk-n-smyrn.att.sch.gr</t>
  </si>
  <si>
    <t>ΝΙΚΟΜΗΔΕΙΑΣ 7</t>
  </si>
  <si>
    <t>ΝΙΚΟΜΗΔΕΙΑΣ 7-9</t>
  </si>
  <si>
    <t>13ο  ΔΗΜΟΤΙΚΟ ΣΧΟΛΕΙΟ ΝΕΑΣ ΣΜΥΡΝΗΣ</t>
  </si>
  <si>
    <t>3ο Ε.Κ. ΝΕΑΣ ΣΜΥΡΝΗΣ</t>
  </si>
  <si>
    <t>mail@3sek-d-athin.att.sch.gr</t>
  </si>
  <si>
    <t>ΚΥΠΡΟΥ 21-25</t>
  </si>
  <si>
    <t>3ο ΗΜΕΡΗΣΙΟ ΓΕΝΙΚΟ ΛΥΚΕΙΟ ΑΓ. ΔΗΜΗΤΡΙΟΥ</t>
  </si>
  <si>
    <t>mail@3lyk-ag-dimitr.att.sch.gr</t>
  </si>
  <si>
    <t>ΑΓ. ΔΗΜΗΤΡΙΟΣ</t>
  </si>
  <si>
    <t>ΑΡΓΟΣΤΟΛΙΟΥ ΚΑΙ ΣΑΜΟΥ</t>
  </si>
  <si>
    <t>ΕΛΛΗΝΙΚΟΥ - ΑΡΓΥΡΟΥΠΟΛΗΣ</t>
  </si>
  <si>
    <t>ΑΡΓΥΡΟΥΠΟΛΕΩΣ</t>
  </si>
  <si>
    <t>ΑΡΓΥΡΟΥΠΟΛΗΣ</t>
  </si>
  <si>
    <t>2ο ΗΜΕΡΗΣΙΟ ΓΕΝΙΚΟ ΛΥΚΕΙΟ ΑΡΓΥΡΟΥΠΟΛΗΣ - Γ. ΣΕΦΕΡΗΣ</t>
  </si>
  <si>
    <t>mail@2lyk-argyr.att.sch.gr</t>
  </si>
  <si>
    <t>ΜΑΡΙΝΟΥ ΑΝΤΥΠΑ 2</t>
  </si>
  <si>
    <t>6ο ΔΗΜΟΤΙΚΟ ΣΧΟΛΕΙΟ ΑΡΓΥΡΟΥΠΟΛΗΣ</t>
  </si>
  <si>
    <t>1ο ΗΜΕΡΗΣΙΟ ΕΠΑΛ ΝΕΑΣ ΣΜΥΡΝΗΣ</t>
  </si>
  <si>
    <t>mail@1epal-n-smyrn.att.sch.gr</t>
  </si>
  <si>
    <t>2ο ΗΜΕΡΗΣΙΟ ΕΠΑΛ ΝΕΑΣ ΣΜΥΡΝΗΣ</t>
  </si>
  <si>
    <t>mail@2epal-n-smyrn.att.sch.gr</t>
  </si>
  <si>
    <t>12ο ΔΗΜΟΤΙΚΟ ΣΧΟΛΕΙΟ ΝΕΑΣ ΣΜΥΡΝΗΣ</t>
  </si>
  <si>
    <t>1ο ΔΗΜ. ΔΙΑΜΕΡ. ΚΑΛΛΙΘΕΑΣ</t>
  </si>
  <si>
    <t>5ο ΗΜΕΡΗΣΙΟ ΓΕΝΙΚΟ ΛΥΚΕΙΟ ΚΑΛΛΙΘΕΑΣ</t>
  </si>
  <si>
    <t>mail@5lyk-kallith.att.sch.gr</t>
  </si>
  <si>
    <t>ΕΠΤΑΝΗΣΟΥ 4 &amp; ΠΑΤΡΙΑΡΧΟΥ ΓΡΗΓΟΡΙΟΥ Ε'</t>
  </si>
  <si>
    <t>4ο ΔΗΜΟΤΙΚΟ ΣΧΟΛΕΙΟ ΤΑΥΡΟΥ</t>
  </si>
  <si>
    <t>ΠΡΟΤΥΠΟ ΓΕΝΙΚΟ ΛΥΚΕΙΟ ΕΥΑΓΓΕΛΙΚΗΣ ΣΧΟΛΗΣ ΣΜΥΡΝΗΣ</t>
  </si>
  <si>
    <t>mail@lyk-evsch-n-smyrn.att.sch.gr</t>
  </si>
  <si>
    <t>ΛΕΣΒΟΥ 4</t>
  </si>
  <si>
    <t>8ο  ΔΗΜΟΤΙΚΟ ΣΧΟΛΕΙΟ ΠΑΛΑΙΟΥ ΦΑΛΗΡΟΥ</t>
  </si>
  <si>
    <t>2ο ΗΜΕΡΗΣΙΟ ΓΕΝΙΚΟ ΛΥΚΕΙΟ ΓΛΥΦΑΔΑΣ</t>
  </si>
  <si>
    <t>mail@2lyk-glyfad.att.sch.gr</t>
  </si>
  <si>
    <t>Λ. ΒΟΥΛΙΑΓΜΕΝΗΣ ΚΑΙ Ρ. ΦΕΡΑΙΟΥ 2-4</t>
  </si>
  <si>
    <t>9ο ΔΗΜΟΤΙΚΟ ΣΧΟΛΕΙΟ ΓΛΥΦΑΔΑΣ</t>
  </si>
  <si>
    <t>1ο ΗΜΕΡΗΣΙΟ ΓΕΝΙΚΟ ΛΥΚΕΙΟ ΓΛΥΦΑΔΑΣ</t>
  </si>
  <si>
    <t>mail@1lyk-glyfad.att.sch.gr</t>
  </si>
  <si>
    <t>ΑΛΣΟΥΣ-ΑΓ ΝΙΚΟΛΑΟΥ</t>
  </si>
  <si>
    <t>13ο ΔΗΜΟΤΙΚΟ ΣΧΟΛΕΙΟ ΓΛΥΦΑΔΑΣ</t>
  </si>
  <si>
    <t>4ο ΗΜΕΡΗΣΙΟ ΓΕΝΙΚΟ ΛΥΚΕΙΟ ΑΛΙΜΟΥ - ΜΑΚΡΥΓΙΑΝΝΕΙΟ</t>
  </si>
  <si>
    <t>mail@4lyk-alimou.att.sch.gr</t>
  </si>
  <si>
    <t>ΑΛΙΜΟΣ</t>
  </si>
  <si>
    <t>ΥΨΗΛΑΝΤΟΥ - ΠΑΡΘΕΝΩΝΟΣ 2</t>
  </si>
  <si>
    <t>6ο ΔΗΜΟΤΙΚΟ ΣΧΟΛΕΙΟ ΑΛΙΜΟΥ</t>
  </si>
  <si>
    <t>3ο ΔΗΜ. ΔΙΑΜΕΡ. ΚΑΛΛΙΘΕΑΣ</t>
  </si>
  <si>
    <t>ΕΣΠΕΡΙΝΟ ΓΕΝΙΚΟ ΛΥΚΕΙΟ ΚΑΛΛΙΘΕΑΣ</t>
  </si>
  <si>
    <t>mail@lyk-esp-kallith.att.sch.gr</t>
  </si>
  <si>
    <t>ΛΑΓΟΥΜΙΤΖΗ 12</t>
  </si>
  <si>
    <t>11ο  ΔΗΜΟΤΙΚΟ ΣΧΟΛΕΙΟ ΚΑΛΛΙΘΕΑΣ</t>
  </si>
  <si>
    <t>6ο ΗΜΕΡΗΣΙΟ ΓΕΝΙΚΟ ΛΥΚΕΙΟ ΚΑΛΛΙΘΕΑΣ</t>
  </si>
  <si>
    <t>mail@6lyk-kallith.att.sch.gr</t>
  </si>
  <si>
    <t>ΣΩΚΡΑΤΟΥΣ 222  &amp;  ΛΥΣΙΚΡΑΤΟΥΣ</t>
  </si>
  <si>
    <t>10ο ΔΗΜΟΤΙΚΟ ΣΧΟΛΕΙΟ ΚΑΛΛΙΘΕΑΣ</t>
  </si>
  <si>
    <t>1ο ΗΜΕΡΗΣΙΟ ΕΠΑΛ ΓΛΥΦΑΔΑΣ</t>
  </si>
  <si>
    <t>1epal-glyfad@sch.gr</t>
  </si>
  <si>
    <t>ΙΛΙΟΥ 17 &amp; ΑΓΑΜΕΜΝΟΝΟΣ</t>
  </si>
  <si>
    <t>14ο ΔΗΜΟΤΙΚΟ ΣΧΟΛΕΙΟ ΓΛΥΦΑΔΑΣ</t>
  </si>
  <si>
    <t>3ο ΗΜΕΡΗΣΙΟ ΓΕΝΙΚΟ ΛΥΚΕΙΟ ΝΕΑΣ ΣΜΥΡΝΗΣ - ΚΕΝΤΡΙΚΟ -</t>
  </si>
  <si>
    <t>3lyknsmy@sch.gr</t>
  </si>
  <si>
    <t>3ο ΓΕΝΙΚΟ ΛΥΚΕΙΟ ΓΛΥΦΑΔΑΣ</t>
  </si>
  <si>
    <t>3lykglyf@sch.gr</t>
  </si>
  <si>
    <t>ΛΕΩΦΟΡΟΣ ΚΥΠΡΟΥ 200</t>
  </si>
  <si>
    <t>4ο  ΔΗΜΟΤΙΚΟ ΣΧΟΛΕΙΟ ΕΛΛΗΝΙΚΟΥ</t>
  </si>
  <si>
    <t>1ο ΗΜΕΡΗΣΙΟ ΓΕΝΙΚΟ ΛΥΚΕΙΟ ΑΓΙΟΥ ΔΗΜΗΤΡΙΟΥ - ΤΑΚΗΣ ΖΕΝΕΤΟΣ</t>
  </si>
  <si>
    <t>mail@1lyk-ag-dimitr.att.sch.gr</t>
  </si>
  <si>
    <t>ΣΤΡ. ΠΑΠΑΓΟΥ 23</t>
  </si>
  <si>
    <t>17ο ΔΗΜΟΤΙΚΟ ΣΧΟΛΕΙΟ ΑΓΙΟΥ ΔΗΜΗΤΡΙΟΥ</t>
  </si>
  <si>
    <t>ΜΟΣΧΑΤΟΥ - ΤΑΥΡΟΥ</t>
  </si>
  <si>
    <t>ΤΑΥΡΟΥ</t>
  </si>
  <si>
    <t>1ο ΕΣΠΕΡΙΝΟ ΕΠΑΛ ΤΑΥΡΟΥ</t>
  </si>
  <si>
    <t>mail@1epal-esp-tavrou.att.sch.gr</t>
  </si>
  <si>
    <t>ΤΑΥΡΟΣ</t>
  </si>
  <si>
    <t>ΕΣΤΑΥΡΩΜΕΝΟΥ 5</t>
  </si>
  <si>
    <t>2ο   ΔΗΜΟΤΙΚΟ ΣΧΟΛΕΙΟ ΤΑΥΡΟΥ</t>
  </si>
  <si>
    <t>1ο ΗΜΕΡΗΣΙΟ ΓΕΝΙΚΟ ΛΥΚΕΙΟ ΑΛΙΜΟΥ - ΘΟΥΚΥΔΙΔΕΙΟ</t>
  </si>
  <si>
    <t>mail@1lyk-alimou.att.sch.gr</t>
  </si>
  <si>
    <t>ΥΨΗΛΑΝΤΟΥ  ΚΑΙ  ΘΗΣΕΙΟΥ</t>
  </si>
  <si>
    <t>5ο  ΔΗΜΟΤΙΚΟ ΣΧΟΛΕΙΟ ΑΛΙΜΟΥ</t>
  </si>
  <si>
    <t>4ο ΗΜΕΡΗΣΙΟ ΓΕΝΙΚΟ ΛΥΚΕΙΟ ΓΛΥΦΑΔΑΣ</t>
  </si>
  <si>
    <t>mail@4lyk-glyfad.att.sch.gr</t>
  </si>
  <si>
    <t>ΚΥΝΟΥΡΙΑΣ ΚΑΙ ΠΥΘΑΓΟΡΑ 1</t>
  </si>
  <si>
    <t>8ο ΔΗΜΟΤΙΚΟ ΣΧΟΛΕΙΟ ΓΛΥΦΑΔΑΣ</t>
  </si>
  <si>
    <t>3ο ΓΕΝΙΚΟ ΛΥΚΕΙΟ ΑΛΙΜΟΥ - "ΑΓΙΟΣ ΠΑΝΤΕΛΕΗΜΩΝ"</t>
  </si>
  <si>
    <t>mail@3lyk-alimou.att.sch.gr</t>
  </si>
  <si>
    <t>ʼλιμος</t>
  </si>
  <si>
    <t>Δωδεκανήσου 12</t>
  </si>
  <si>
    <t>2ο ΔΗΜΟΤΙΚΟ ΣΧΟΛΕΙΟ ΑΛΙΜΟΥ - ΕΛΕΥΘΕΡΙΟΣ ΒΕΝΙΖΕΛΟΣ</t>
  </si>
  <si>
    <t>1ο ΗΜΕΡΗΣΙΟ ΓΕΝΙΚΟ ΛΥΚΕΙΟ ΤΑΥΡΟΥ-"Χρίστος Τσολάκης"</t>
  </si>
  <si>
    <t>mail@1lyk-tavrou.att.sch.gr</t>
  </si>
  <si>
    <t>ΑΓΙΑΣ ΣΟΦΙΑΣ 16</t>
  </si>
  <si>
    <t>3ο ΔΗΜΟΤΙΚΟ ΣΧΟΛΕΙΟ ΤΑΥΡΟΥ</t>
  </si>
  <si>
    <t>ΜΟΣΧΑΤΟΥ</t>
  </si>
  <si>
    <t>2ο ΗΜΕΡΗΣΙΟ ΓΕΝΙΚΟ ΛΥΚΕΙΟ ΜΟΣΧΑΤΟΥ-"ΝΙΚΟΣ ΚΑΖΑΝΤΖΑΚΗΣ"</t>
  </si>
  <si>
    <t>mail@2lyk-mosch.att.sch.gr</t>
  </si>
  <si>
    <t>ΜΟΣΧΑΤΟ</t>
  </si>
  <si>
    <t>ΙΛΙΣΣΟΥ Κ ΚΕΦΑΛΛΗΝΙΑΣ</t>
  </si>
  <si>
    <t>12ο ΔΗΜΟΤΙΚΟ ΣΧΟΛΕΙΟ ΚΑΛΛΙΘΕΑΣ</t>
  </si>
  <si>
    <t>1ο ΗΜΕΡΗΣΙΟ ΓΕΝΙΚΟ ΛΥΚΕΙΟ ΜΟΣΧΑΤΟΥ</t>
  </si>
  <si>
    <t>mail@1lyk-mosch.att.sch.gr</t>
  </si>
  <si>
    <t>ΛΕΩΦΟΡΟΣ ΠΟΣΕΙΔΩΝΟΣ 11</t>
  </si>
  <si>
    <t>6ο ΔΗΜΟΤΙΚΟ ΣΧΟΛΕΙΟ ΜΟΣΧΑΤΟΥ</t>
  </si>
  <si>
    <t>5ο ΗΜΕΡΗΣΙΟ ΓΕΝΙΚΟ ΛΥΚΕΙΟ ΓΛΥΦΑΔΑΣ</t>
  </si>
  <si>
    <t>mail@5lyk-glyfad.att.sch.gr</t>
  </si>
  <si>
    <t>ΠΕΛΛΗΣ 70</t>
  </si>
  <si>
    <t>5ο  ΔΗΜΟΤΙΚΟ ΣΧΟΛΕΙΟ ΓΛΥΦΑΔΑΣ</t>
  </si>
  <si>
    <t>5ο ΗΜΕΡΗΣΙΟ ΓΕΝΙΚΟ ΛΥΚΕΙΟ Ν. ΣΜΥΡΝΗΣ - Κ. ΚΑΡΑΘΕΟΔΩΡΗ</t>
  </si>
  <si>
    <t>mail@5lyk-n-smyrn.att.sch.gr</t>
  </si>
  <si>
    <t>ΑΓΝΩΣΤΩΝ ΜΑΡΤΥΡΩΝ 1-3 &amp;ΔΕΠΑΣΤΑ</t>
  </si>
  <si>
    <t>5ο ΔΗΜΟΤΙΚΟ ΣΧΟΛΕΙΟ ΝΕΑΣ ΣΜΥΡΝΗΣ</t>
  </si>
  <si>
    <t>4ο ΗΜΕΡΗΣΙΟ ΓΕΝΙΚΟ ΛΥΚΕΙΟ ΑΡΓΥΡΟΥΠΟΛΗΣ - ΑΛΕΞΑΝΔΡΟΣ ΔΕΛΜΟΥΖΟΣ</t>
  </si>
  <si>
    <t>mail@4lyk-argyr.att.sch.gr</t>
  </si>
  <si>
    <t>ΑΒΕΡΩΦ 68</t>
  </si>
  <si>
    <t>7ο ΔΗΜΟΤΙΚΟ ΣΧΟΛΕΙΟ ΑΡΓΥΡΟΥΠΟΛΗΣ</t>
  </si>
  <si>
    <t>2ο ΗΜΕΡΗΣΙΟ ΓΕΝΙΚΟ ΛΥΚΕΙΟ ΑΓ. ΔΗΜΗΤΡΙΟΥ</t>
  </si>
  <si>
    <t>mail@2lyk-ag-dimitr.att.sch.gr</t>
  </si>
  <si>
    <t xml:space="preserve">ΑΓΙΟΣ ΔΗΜΗΤΡΙΟΣ </t>
  </si>
  <si>
    <t>ΑΓΙΟΥ ΔΗΜΗΤΡΙΟΥ 198</t>
  </si>
  <si>
    <t>6ο ΔΗΜΟΤΙΚΟ ΣΧΟΛΕΙΟ ΑΓΙΟΥ ΔΗΜΗΤΡΙΟΥ</t>
  </si>
  <si>
    <t>4ο ΗΜΕΡΗΣΙΟ ΓΕΝΙΚΟ ΛΥΚΕΙΟ ΠΑΛΑΙΟΥ ΦΑΛΗΡΟΥ</t>
  </si>
  <si>
    <t>mail@4lyk-p-falir.att.sch.gr</t>
  </si>
  <si>
    <t>ΧΑΡΙΤΩΝ 34</t>
  </si>
  <si>
    <t>12ο ΔΗΜΟΤΙΚΟ ΣΧΟΛΕΙΟ ΠΑΛΑΙΟΥ ΦΑΛΗΡΟΥ</t>
  </si>
  <si>
    <t>7ο ΗΜΕΡΗΣΙΟ ΓΕΝΙΚΟ ΛΥΚΕΙΟ ΚΑΛΛΙΘΕΑΣ</t>
  </si>
  <si>
    <t>7lykkall@sch.gr</t>
  </si>
  <si>
    <t>Δοϊράνης 86 και Ιφιγενείας</t>
  </si>
  <si>
    <t>21ο  ΔΗΜΟΤΙΚΟ ΣΧΟΛΕΙΟ ΚΑΛΛΙΘΕΑΣ</t>
  </si>
  <si>
    <t>1ο ΗΜΕΡΗΣΙΟ ΓΕΝΙΚΟ ΛΥΚΕΙΟ ΠΑΛΑΙΟΥ ΦΑΛΗΡΟΥ</t>
  </si>
  <si>
    <t>mail@1lyk-p-falir.att.sch.gr</t>
  </si>
  <si>
    <t>ΝΑΙΑΔΩΝ 39</t>
  </si>
  <si>
    <t>1ο ΔΗΜΟΤΙΚΟ ΣΧΟΛΕΙΟ ΠΑΛΑΙΟΥ ΦΑΛΗΡΟΥ</t>
  </si>
  <si>
    <t>3ο ΓΕΝΙΚΟ ΛΥΚΕΙΟ ΑΡΓΥΡΟΥΠΟΛΗΣ</t>
  </si>
  <si>
    <t>mail@3lyk-argyr.att.sch.gr</t>
  </si>
  <si>
    <t>ΚΟΜΝΗΝΩΝ &amp; ΑΓΙΑΣ ΒΑΡΒΑΡΑΣ 1</t>
  </si>
  <si>
    <t>1ο ΔΗΜΟΤΙΚΟ ΣΧΟΛΕΙΟ ΑΡΓΥΡΟΥΠΟΛΗΣ</t>
  </si>
  <si>
    <t>1ο ΗΜΕΡΗΣΙΟ ΓΕΝΙΚΟ ΛΥΚΕΙΟ ΑΡΓΥΡΟΥΠΟΛΗΣ</t>
  </si>
  <si>
    <t>mail@1lyk-argyr.att.sch.gr</t>
  </si>
  <si>
    <t>ΠΟΛΕΜΙΣΤΩΝ 15</t>
  </si>
  <si>
    <t>ΕΛΛΗΝΙΚΟΥ</t>
  </si>
  <si>
    <t>1ο ΓΕΝΙΚΟ ΛΥΚΕΙΟ ΕΛΛΗΝΙΚΟΥ</t>
  </si>
  <si>
    <t>mail@1lyk-ellin.att.sch.gr</t>
  </si>
  <si>
    <t>ΑΡΓΥΡΟΥΠΟΛΗΣ - ΕΛΛΗΝΙΚΟ ΑΤΤΙΚΗΣ</t>
  </si>
  <si>
    <t>ΕΘΝ ΜΑΚΑΡΙΟΥ 7  ΕΛΛΗΝΙΚΟ</t>
  </si>
  <si>
    <t>2ο ΗΜΕΡΗΣΙΟ ΓΕΝΙΚΟ ΛΥΚΕΙΟ ΑΛΙΜΟΥ - ΓΕΩΡΓΙΟΣ ΚΑΡΑΙΣΚΑΚΗΣ</t>
  </si>
  <si>
    <t>mail@2lyk-alimou.att.sch.gr</t>
  </si>
  <si>
    <t>ΕΛΕΥΘΕΡΙΟΥ ΒΕΝΙΖΕΛΟΥ 4</t>
  </si>
  <si>
    <t>1ο ΗΜΕΡΗΣΙΟ ΓΕΝΙΚΟ ΛΥΚΕΙΟ ΝΕΑΣ ΣΜΥΡΝΗΣ</t>
  </si>
  <si>
    <t>1lyknsmy@sch.gr</t>
  </si>
  <si>
    <t>ΑΓΙΟΥ ΑΝΔΡΕΟΥ ΚΑΙ ΚΟΡΑΗ 20</t>
  </si>
  <si>
    <t>1ο  ΔΗΜΟΤΙΚΟ ΣΧΟΛΕΙΟ ΝΕΑΣ ΣΜΥΡΝΗΣ</t>
  </si>
  <si>
    <t>2ο ΣΕΚ ΑΡΓΥΡΟΥΠΟΛΗΣ</t>
  </si>
  <si>
    <t>mail@2sek-d-athin.att.sch.gr</t>
  </si>
  <si>
    <t>ΔΑΒΑΚΗ 10</t>
  </si>
  <si>
    <t>8ο ΔΗΜΟΤΙΚΟ ΣΧΟΛΕΙΟ ΑΡΓΥΡΟΥΠΟΛΗΣ</t>
  </si>
  <si>
    <t>3ο ΗΜΕΡΗΣΙΟ ΕΠΑΛ ΤΑΥΡΟΥ</t>
  </si>
  <si>
    <t>mail@3epal-tavrou.att.sch.gr</t>
  </si>
  <si>
    <t>6ο ΗΜΕΡΗΣΙΟ ΓΕΝΙΚΟ ΛΥΚΕΙΟ ΓΛΥΦΑΔΑΣ</t>
  </si>
  <si>
    <t>mail@6lyk-glyfad.att.sch.gr</t>
  </si>
  <si>
    <t>ΑΓΙΑΣ ΤΡΙΑΔΟΣ 12</t>
  </si>
  <si>
    <t>12ο ΗΜΕΡΗΣΙΟ ΓΥΜΝΑΣΙΟ ΚΑΛΛΙΘΕΑΣ - ΚΟΣΜΑΣ Ο ΑΙΤΩΛΟΣ</t>
  </si>
  <si>
    <t>mail@12gym-kallith.att.sch.gr</t>
  </si>
  <si>
    <t>ΚΡΕΜΟΥ 43</t>
  </si>
  <si>
    <t>17ο  ΔΗΜΟΤΙΚΟ ΣΧΟΛΕΙΟ ΚΑΛΛΙΘΕΑΣ - ΕΛΛΗ ΑΛΕΞΙΟΥ</t>
  </si>
  <si>
    <t>2ο ΗΜΕΡΗΣΙΟ ΓΥΜΝΑΣΙΟ ΑΛΙΜΟΥ</t>
  </si>
  <si>
    <t>mail@2gym-alimou.att.sch.gr</t>
  </si>
  <si>
    <t>ΑΜΜΟΧΩΣΤΟΥ 36</t>
  </si>
  <si>
    <t>21ο ΔΗΜΟΤΙΚΟ ΣΧΟΛΕΙΟ ΑΓΙΟΥ ΔΗΜΗΤΡΙΟΥ</t>
  </si>
  <si>
    <t>4ο ΗΜΕΡΗΣΙΟ ΓΥΜΝΑΣΙΟ ΠΑΛΑΙΟΥ ΦΑΛΗΡΟΥ</t>
  </si>
  <si>
    <t>4gympfal@sch.gr</t>
  </si>
  <si>
    <t>ΠΥΘΑΓΟΡΑ ΚΑΙ ΜΕΝΑΝΔΡΟΥ 9</t>
  </si>
  <si>
    <t>4ο ΗΜΕΡΗΣΙΟ ΓΥΜΝΑΣΙΟ ΑΛΙΜΟΥ</t>
  </si>
  <si>
    <t>mail@4gym-alimou.att.sch.gr</t>
  </si>
  <si>
    <t>ΜΕΓΑΛΟΥ ΑΛΕΞΑΝΔΡΟΥ 16</t>
  </si>
  <si>
    <t>5ο ΗΜΕΡΗΣΙΟ ΓΥΜΝΑΣΙΟ ΑΛΙΜΟΥ - ΟΔΥΣΣΕΑΣ ΕΛΥΤΗΣ</t>
  </si>
  <si>
    <t>mail@5gym-alimou.att.sch.gr</t>
  </si>
  <si>
    <t>ΥΨΗΛΑΝΤΟΥ ΚΑΙ ΑΜΜΟΧΩΣΤΟΥ 38</t>
  </si>
  <si>
    <t>3ο ΗΜΕΡΗΣΙΟ ΓΥΜΝΑΣΙΟ ΑΓΙΟΥ ΔΗΜΗΤΡΙΟΥ</t>
  </si>
  <si>
    <t>mail@3gym-ag-dimitr.att.sch.gr</t>
  </si>
  <si>
    <t>ΒΕΛΕΣΤΙΝΟΥ 75</t>
  </si>
  <si>
    <t>1ο ΗΜΕΡΗΣΙΟ ΓΥΜΝΑΣΙΟ ΚΑΛΛΙΘΕΑΣ</t>
  </si>
  <si>
    <t>1gymklth@sch.gr</t>
  </si>
  <si>
    <t>ΑΙΓΕΩΣ 41-43</t>
  </si>
  <si>
    <t>1ο ΔΗΜΟΤΙΚΟ ΣΧΟΛΕΙΟ ΜΟΣΧΑΤΟΥ</t>
  </si>
  <si>
    <t>3ο ΗΜΕΡΗΣΙΟ ΓΥΜΝΑΣΙΟ ΑΡΓΥΡΟΥΠΟΛΗΣ</t>
  </si>
  <si>
    <t>mail@3gym-argyr.att.sch.gr</t>
  </si>
  <si>
    <t>3ο ΗΜΕΡΗΣΙΟ ΓΥΜΝΑΣΙΟ ΓΛΥΦΑΔΑΣ</t>
  </si>
  <si>
    <t>mail@3gym-glyfad.att.sch.gr</t>
  </si>
  <si>
    <t>Λ. ΚΥΠΡΟΥ 200</t>
  </si>
  <si>
    <t>2ο ΗΜΕΡΗΣΙΟ ΓΥΜΝΑΣΙΟ ΤΑΥΡΟΥ - ΑΘΗΝΑ ΧΑΤΖΗΕΣΜΕΡ</t>
  </si>
  <si>
    <t>mail@2gym-tavrou.att.sch.gr</t>
  </si>
  <si>
    <t>ΚΟΡΥΖΗ ΚΑΙ ΘΡΑΚΗΣ</t>
  </si>
  <si>
    <t>5ο  ΔΗΜΟΤΙΚΟ ΣΧΟΛΕΙΟ ΤΑΥΡΟΥ</t>
  </si>
  <si>
    <t>14ο ΗΜΕΡΗΣΙΟ ΓΥΜΝΑΣΙΟ ΚΑΛΛΙΘΕΑΣ</t>
  </si>
  <si>
    <t>mail@14gym-kallith.att.sch.gr</t>
  </si>
  <si>
    <t>ΣΩΚΡΑΤΟΥΣ 210-212 &amp; ΛΑΜΠΡΟΥ ΚΑΤΣΩΝΗ</t>
  </si>
  <si>
    <t>2ο ΗΜΕΡΗΣΙΟ ΓΥΜΝΑΣΙΟ ΜΟΣΧΑΤΟΥ - ΙΛΙΣΣΙΑΔΕΙΟΝ</t>
  </si>
  <si>
    <t>mail@2gym-mosch.att.sch.gr</t>
  </si>
  <si>
    <t>ΚΑΠΟΔΙΣΤΡΙΟΥ  8-10 ΚΑΙ ΑΓ. ΚΩΝ/ΝΟΥ</t>
  </si>
  <si>
    <t>2ο ΔΗΜΟΤΙΚΟ ΣΧΟΛΕΙΟ ΜΟΣΧΑΤΟΥ</t>
  </si>
  <si>
    <t>5ο ΗΜΕΡΗΣΙΟ ΓΥΜΝΑΣΙΟ ΠΑΛΑΙΟΥ ΦΑΛΗΡΟΥ</t>
  </si>
  <si>
    <t>5gympfal@sch.gr</t>
  </si>
  <si>
    <t>ΖΕΦΥΡΟΥ 20</t>
  </si>
  <si>
    <t>6ο ΗΜΕΡΗΣΙΟ ΓΥΜΝΑΣΙΟ ΚΑΛΛΙΘΕΑΣ</t>
  </si>
  <si>
    <t>mail@6gym-kallith.att.sch.gr</t>
  </si>
  <si>
    <t>ΜΑΤΖΑΓΡΙΩΤΑΚΗ 10</t>
  </si>
  <si>
    <t>7ο ΗΜΕΡΗΣΙΟ ΓΥΜΝΑΣΙΟ ΝΕΑΣ ΣΜΥΡΝΗΣ - ΕΦΕΣΙΟ</t>
  </si>
  <si>
    <t>mail@7gym-n-smyrn.att.sch.gr</t>
  </si>
  <si>
    <t>ΝΕΑ  ΣΜΥΡΝΗ</t>
  </si>
  <si>
    <t>ΓΕΝΝΑΔΙΟΥ &amp; ΑΓΙΩΝ ΣΑΡΑΝΤΑ</t>
  </si>
  <si>
    <t>18ο ΔΗΜΟΤΙΚΟ ΣΧΟΛΕΙΟ ΑΓΙΟΥ ΔΗΜΗΤΡΙΟΥ</t>
  </si>
  <si>
    <t>1ο ΓΥΜΝΑΣΙΟ ΤΑΥΡΟΥ</t>
  </si>
  <si>
    <t>mail@1gym-tavrou.att.sch.gr</t>
  </si>
  <si>
    <t>8ο Ε.Κ ΤΑΥΡΟΥ</t>
  </si>
  <si>
    <t>mail@8sek-athin.att.sch.gr</t>
  </si>
  <si>
    <t>ΕΣΤΑΥΡΩΜΕΝΟΥ  5</t>
  </si>
  <si>
    <t>3ο ΗΜΕΡΗΣΙΟ ΓΥΜΝΑΣΙΟ ΜΟΣΧΑΤΟΥ</t>
  </si>
  <si>
    <t>mail@3gym-mosch.att.sch.gr</t>
  </si>
  <si>
    <t>ΙΛΙΣΟΥ ΚΑΙ ΜΙΑΟΥΛΗ</t>
  </si>
  <si>
    <t>5ο ΗΜΕΡΗΣΙΟ ΓΥΜΝΑΣΙΟ ΓΛΥΦΑΔΑΣ</t>
  </si>
  <si>
    <t>mail@5gym-glyfad.att.sch.gr</t>
  </si>
  <si>
    <t>ΓΕΝΝΗΜΑΤΑ ΚΑΙ ΠΕΛΛΗΣ 70</t>
  </si>
  <si>
    <t>4ο ΗΜΕΡΗΣΙΟ ΓΥΜΝΑΣΙΟ ΓΛΥΦΑΔΑΣ - ΠΗΝΕΛΟΠΗ ΔΕΛΤΑ</t>
  </si>
  <si>
    <t>mail@4gym-glyfad.att.sch.gr</t>
  </si>
  <si>
    <t>Γ. ΓΕΝΝΗΜΑΤΑ  ΚΑΙ  ΑΓ. ΝΕΚΤΑΡΙΟΥ</t>
  </si>
  <si>
    <t>1ο ΗΜΕΡΗΣΙΟ ΓΥΜΝΑΣΙΟ ΠΑΛΑΙΟΥ ΦΑΛΗΡΟΥ - ΗΒΗ ΑΘΑΝΑΣΙΑΔΟΥ</t>
  </si>
  <si>
    <t>1gympfal@sch.gr</t>
  </si>
  <si>
    <t>ΝΑΪΑΔΩΝ 39</t>
  </si>
  <si>
    <t>1ο ΗΜΕΡΗΣΙΟ ΕΠΑΛ ΕΛΛΗΝΙΚΟΥ</t>
  </si>
  <si>
    <t>mail@1epal-ellin.att.sch.gr</t>
  </si>
  <si>
    <t>ΕΛΛΗΝΙΚΟ</t>
  </si>
  <si>
    <t>ΕΛ. ΒΕΝΙΖΕΛΟΥ 2-4</t>
  </si>
  <si>
    <t>2ο ΔΗΜΟΤΙΚΟ ΣΧΟΛΕΙΟ ΕΛΛΗΝΙΚΟΥ - ΕΙΡΗΝΗ</t>
  </si>
  <si>
    <t>3ο ΗΜΕΡΗΣΙΟ ΓΥΜΝΑΣΙΟ ΑΛΙΜΟΥ</t>
  </si>
  <si>
    <t>mail@3gym-alimou.att.sch.gr</t>
  </si>
  <si>
    <t>ΚΟΥΜΟΥΝΔΟΥΡΟΥ 19</t>
  </si>
  <si>
    <t>10ο ΗΜΕΡΗΣΙΟ ΓΥΜΝΑΣΙΟ ΚΑΛΛΙΘΕΑΣ</t>
  </si>
  <si>
    <t>mail@10gym-kallith.att.sch.gr</t>
  </si>
  <si>
    <t>ΕΛΕΥΘΕΡΙΟΥ ΒΕΝΙΖΕΛΟΥ 175</t>
  </si>
  <si>
    <t>9ο ΔΗΜΟΤΙΚΟ ΣΧΟΛΕΙΟ ΚΑΛΛΙΘΕΑΣ</t>
  </si>
  <si>
    <t>1ο ΣΕΚ ΑΓΙΟΥ ΔΗΜΗΤΡΙΟΥ</t>
  </si>
  <si>
    <t>mail@1sek-d-ath.att.sch.gr</t>
  </si>
  <si>
    <t>ΜΑΚΡΥΓΙΑΝΝΗ 94-96</t>
  </si>
  <si>
    <t>2ο ΗΜΕΡΗΣΙΟ ΓΥΜΝΑΣΙΟ ΓΛΥΦΑΔΑΣ</t>
  </si>
  <si>
    <t>mail@2gym-glyfad.att.sch.gr</t>
  </si>
  <si>
    <t>ΒΟΥΛΙΑΓΜΕΝΗΣ ΚΑΙ ΡΗΓΑ ΦΕΡΡΑΙΟΥ 2-4</t>
  </si>
  <si>
    <t>1ο ΗΜΕΡΗΣΙΟ ΓΥΜΝΑΣΙΟ ΑΓΙΟΥ ΔΗΜΗΤΡΙΟΥ</t>
  </si>
  <si>
    <t>mail@1gym-ag-dimitr.att.sch.gr</t>
  </si>
  <si>
    <t>ΣΤΡ.ΠΑΠΑΓΟΥ 23</t>
  </si>
  <si>
    <t>2ο ΗΜΕΡΗΣΙΟ ΓΥΜΝΑΣΙΟ ΝΕΑΣ ΣΜΥΡΝΗΣ - ΟΜΗΡΕΙΟ</t>
  </si>
  <si>
    <t>mail@2gym-n-smyrn.att.sch.gr</t>
  </si>
  <si>
    <t>2ο ΗΜΕΡΗΣΙΟ ΓΥΜΝΑΣΙΟ ΑΡΓΥΡΟΥΠΟΛΗΣ</t>
  </si>
  <si>
    <t>mail@2gym-argyr.att.sch.gr</t>
  </si>
  <si>
    <t>ΟΜΗΡΟΥ 27 - ΜΙΛΗΤΟΥ</t>
  </si>
  <si>
    <t>4ο ΔΗΜΟΤΙΚΟ ΣΧΟΛΕΙΟ ΑΡΓΥΡΟΥΠΟΛΗΣ</t>
  </si>
  <si>
    <t>4ο ΗΜΕΡΗΣΙΟ ΓΥΜΝΑΣΙΟ ΑΡΓΥΡΟΥΠΟΛΗΣ - ΑΡΓΟΝΑΥΤΕΣ</t>
  </si>
  <si>
    <t>mail@4gym-argyr.att.sch.gr</t>
  </si>
  <si>
    <t>ΑΡΓΟΝΑΥΤΩΝ 34</t>
  </si>
  <si>
    <t>1ο ΗΜΕΡΗΣΙΟ ΓΥΜΝΑΣΙΟ ΓΛΥΦΑΔΑΣ</t>
  </si>
  <si>
    <t>1gymglyf@sch.gr</t>
  </si>
  <si>
    <t>ΑΛΣΟΥΣ ΚΑΙ ΑΓΙΟΥ ΝΙΚΟΛΑΟΥ</t>
  </si>
  <si>
    <t>2ο ΕΣΠΕΡΙΝΟ ΕΠΑΛ ΑΓΙΟΥ ΔΗΜΗΤΡΙΟΥ</t>
  </si>
  <si>
    <t>mail@2epal-esp-ag-dimitr.att.sch.gr</t>
  </si>
  <si>
    <t>ΑΡΓΟΣΤΟΛΙΟΥ 55</t>
  </si>
  <si>
    <t>1ο ΗΜΕΡΗΣΙΟ ΓΥΜΝΑΣΙΟ ΜΟΣΧΑΤΟΥ - ΙΩΑΝΝΗΣ ΜΑΚΡΥΓΙΑΝΝΗΣ</t>
  </si>
  <si>
    <t>mail@1gym-mosch.att.sch.gr</t>
  </si>
  <si>
    <t>Λ. ΠΟΣΕΙΔΩΝΟΣ 11</t>
  </si>
  <si>
    <t>9ο ΗΜΕΡΗΣΙΟ ΓΥΜΝΑΣΙΟ ΚΑΛΛΙΘΕΑΣ - ΜΑΝΟΣ ΧΑΤΖΙΔΑΚΙΣ</t>
  </si>
  <si>
    <t>mail@9gym-kallith.att.sch.gr</t>
  </si>
  <si>
    <t>13ο ΗΜΕΡΗΣΙΟ ΓΥΜΝΑΣΙΟ ΚΑΛΛΙΘΕΑΣ - ΣΩΚΡΑΤΗΣ</t>
  </si>
  <si>
    <t>mail@13gym-kallith.att.sch.gr</t>
  </si>
  <si>
    <t>ΣΩΚΡΑΤΟΥΣ 165- 167</t>
  </si>
  <si>
    <t>15ο ΔΗΜΟΤΙΚΟ ΣΧΟΛΕΙΟ ΚΑΛΛΙΘΕΑΣ - ΜΕΛΙΝΑ ΜΕΡΚΟΥΡΗ</t>
  </si>
  <si>
    <t>6ο ΗΜΕΡΗΣΙΟ ΓΥΜΝΑΣΙΟ ΓΛΥΦΑΔΑΣ</t>
  </si>
  <si>
    <t>mail@6gym-glyfad.att.sch.gr</t>
  </si>
  <si>
    <t>ΕΠΑΜΕΙΝΩΝΔΑ 27</t>
  </si>
  <si>
    <t>1ο ΗΜΕΡΗΣΙΟ ΓΥΜΝΑΣΙΟ ΑΡΓΥΡΟΥΠΟΛΗΣ</t>
  </si>
  <si>
    <t>mail@1gym-argyr.att.sch.gr</t>
  </si>
  <si>
    <t>ΑΝΕΞΑΡΤΗΣΙΑΣ 8</t>
  </si>
  <si>
    <t>2ο ΔΗΜΟΤΙΚΟ ΣΧΟΛΕΙΟ ΑΡΓΥΡΟΥΠΟΛΗΣ</t>
  </si>
  <si>
    <t>2ο ΓΥΜΝΑΣΙΟ ΔΙΑΠΟΛΙΤΙΣΜΙΚΗΣ ΕΚΠΑΙΔΕΥΣΗΣ ΕΛΛΗΝΙΚΟΥ</t>
  </si>
  <si>
    <t>mail@2gym-apod-athin.att.sch.gr</t>
  </si>
  <si>
    <t>ΟΔΟΣ 31η, ΑΡΙΘΜΟΣ 8</t>
  </si>
  <si>
    <t>ΠΡΟΤΥΠΟ ΓΥΜΝΑΣΙΟ ΕΥΑΓΓΕΛΙΚΗΣ ΣΧΟΛΗΣ ΣΜΥΡΝΗΣ</t>
  </si>
  <si>
    <t>mail@gym-evsch-n-smyrn.att.sch.gr</t>
  </si>
  <si>
    <t>7ο ΗΜΕΡΗΣΙΟ ΓΥΜΝΑΣΙΟ ΓΛΥΦΑΔΑΣ</t>
  </si>
  <si>
    <t>mail@7gym-glyfad.att.sch.gr</t>
  </si>
  <si>
    <t>ΑΝΑΤΟΛΙΚΗΣ ΡΩΜΥΛΙΑΣ 105</t>
  </si>
  <si>
    <t>12ο ΔΗΜΟΤΙΚΟ ΣΧΟΛΕΙΟ ΓΛΥΦΑΔΑΣ</t>
  </si>
  <si>
    <t>ΕΙΔΙΚΟ ΓΥΜΝΑΣΙΟ ΚΩΦΩΝ ΒΑΡΗΚΟΩΝ ΑΡΓΥΡΟΥΠΟΛΗΣ</t>
  </si>
  <si>
    <t>gymekvar@sch.gr</t>
  </si>
  <si>
    <t>ΥΜΗΤΤΟΥ 4 &amp; ΦΕΙΔΙΟΥ 27</t>
  </si>
  <si>
    <t>11ο ΔΗΜΟΤΙΚΟ ΣΧΟΛΕΙΟ ΑΡΓΥΡΟΥΠΟΛΗΣ</t>
  </si>
  <si>
    <t>4ο ΗΜΕΡΗΣΙΟ ΓΕΝΙΚΟ ΛΥΚΕΙΟ ΚΑΛΛΙΘΕΑΣ</t>
  </si>
  <si>
    <t>mail@4lyk-kallith.att.sch.gr</t>
  </si>
  <si>
    <t>4ο ΗΜΕΡΗΣΙΟ ΓΥΜΝΑΣΙΟ ΝΕΑΣ ΣΜΥΡΝΗΣ - ΙΩΝΙΟ</t>
  </si>
  <si>
    <t>mail@4gym-n-smyrn.att.sch.gr</t>
  </si>
  <si>
    <t>ΚΟΡΑΗ ΚΑΙ ΜΗΔΕΙΑΣ 2</t>
  </si>
  <si>
    <t>1ο ΗΜΕΡΗΣΙΟ ΓΥΜΝΑΣΙΟ ΝΕΑΣ ΣΜΥΡΝΗΣ</t>
  </si>
  <si>
    <t>mail@1gym-n-smyrn.att.sch.gr</t>
  </si>
  <si>
    <t>ΚΟΡΑΗ 20</t>
  </si>
  <si>
    <t>4ο ΗΜΕΡΗΣΙΟ ΓΥΜΝΑΣΙΟ ΑΓΙΟΥ ΔΗΜΗΤΡΙΟΥ</t>
  </si>
  <si>
    <t>mail@4gym-ag-dimitr.att.sch.gr</t>
  </si>
  <si>
    <t>ΤΕΠΕΛΕΝΙΟΥ 20</t>
  </si>
  <si>
    <t>5ο ΔΗΜΟΤΙΚΟ ΣΧΟΛΕΙΟ ΑΓΙΟΥ ΔΗΜΗΤΡΙΟΥ</t>
  </si>
  <si>
    <t>2ο ΗΜΕΡΗΣΙΟ ΓΥΜΝΑΣΙΟ ΑΓΙΟΥ ΔΗΜΗΤΡΙΟΥ - Δ. ΓΛΗΝΟΣ</t>
  </si>
  <si>
    <t>mail@2gym-ag-dimitr.att.sch.gr</t>
  </si>
  <si>
    <t>ΑΡΓΟΣΤΟΛΙΟΥ ΚΑΙ ΛΗΜΝΟΥ 6</t>
  </si>
  <si>
    <t>13ο ΔΗΜΟΤΙΚΟ ΣΧΟΛΕΙΟ ΑΓΙΟΥ ΔΗΜΗΤΡΙΟΥ</t>
  </si>
  <si>
    <t>3ο ΗΜΕΡΗΣΙΟ ΓΥΜΝΑΣΙΟ ΝΕΑΣ ΣΜΥΡΝΗΣ - ΚΕΝΤΡΙΚΟ</t>
  </si>
  <si>
    <t>mail@3gym-n-smyrn.att.sch.gr</t>
  </si>
  <si>
    <t>7ο ΗΜΕΡΗΣΙΟ ΓΥΜΝΑΣΙΟ ΚΑΛΛΙΘΕΑΣ</t>
  </si>
  <si>
    <t>mail@7gym-kallith.att.sch.gr</t>
  </si>
  <si>
    <t>ΑΝΔΡΟΜΑΧΗΣ 289</t>
  </si>
  <si>
    <t>1ο ΗΜΕΡΗΣΙΟ ΓΥΜΝΑΣΙΟ ΑΛΙΜΟΥ</t>
  </si>
  <si>
    <t>mail@1gym-alimou.att.sch.gr</t>
  </si>
  <si>
    <t>ΡΗΓΑ ΦΕΡΑΙΟΥ ΚΑΙ ΠΗΝ. ΔΕΛΤΑ</t>
  </si>
  <si>
    <t>ΜΟΥΣΙΚΟ ΓΥΜΝΑΣΙΟ ΑΛΙΜΟΥ - ΜΟΥΣΙΚΟ ΓΥΜΝΑΣΙΟ ΑΛΙΜΟΥ ΜΕ ΛΥΚΕΙΑΚΕΣ ΤΑΞΕΙΣ</t>
  </si>
  <si>
    <t>mail@gym-mous-alim.att.sch.gr</t>
  </si>
  <si>
    <t>Κυθηρίων 69 &amp; Δήμητρας 17</t>
  </si>
  <si>
    <t>3ο ΔΗΜΟΤΙΚΟ ΣΧΟΛΕΙΟ ΑΡΓΥΡΟΥΠΟΛΗΣ</t>
  </si>
  <si>
    <t>5ο ΗΜΕΡΗΣΙΟ ΓΥΜΝΑΣΙΟ ΚΑΛΛΙΘΕΑΣ</t>
  </si>
  <si>
    <t>mail@5gym-kallith.att.sch.gr</t>
  </si>
  <si>
    <t>ΑΡΑΠΑΚΗ 50</t>
  </si>
  <si>
    <t>2ο ΔΗΜΟΤΙΚΟ ΣΧΟΛΕΙΟ ΚΑΛΛΙΘΕΑΣ - ΕΛΛΗ ΑΛΕΞΙΟΥ</t>
  </si>
  <si>
    <t>5ο ΗΜΕΡΗΣΙΟ ΓΥΜΝΑΣΙΟ ΑΓΙΟΥ ΔΗΜΗΤΡΙΟΥ</t>
  </si>
  <si>
    <t>mail@5gym-ag-dimitr.att.sch.gr</t>
  </si>
  <si>
    <t>ΝΑΞΟΥ 36</t>
  </si>
  <si>
    <t>7ο  ΔΗΜΟΤΙΚΟ ΣΧΟΛΕΙΟ ΑΓΙΟΥ ΔΗΜΗΤΡΙΟΥ</t>
  </si>
  <si>
    <t>6ο ΗΜΕΡΗΣΙΟ ΓΕΝΙΚΟ ΛΥΚΕΙΟ ΝΕΑΣ ΣΜΥΡΝΗΣ</t>
  </si>
  <si>
    <t>mail@6lyk-n-smyrn.att.sch.gr</t>
  </si>
  <si>
    <t>ΕΥΞΕΙΝΟΥ ΠΟΝΤΟΥ 71</t>
  </si>
  <si>
    <t>7ο ΔΗΜΟΤΙΚΟ ΣΧΟΛΕΙΟ ΝΕΑΣ ΣΜΥΡΝΗΣ</t>
  </si>
  <si>
    <t>3ο ΗΜΕΡΗΣΙΟ ΓΕΝΙΚΟ ΛΥΚΕΙΟ ΚΑΛΛΙΘΕΑΣ</t>
  </si>
  <si>
    <t>mail@3lyk-kallith.att.sch.gr</t>
  </si>
  <si>
    <t>ΔΟΪΡΑΝΗΣ 176</t>
  </si>
  <si>
    <t>2ο ΓΕΝΙΚΟ ΛΥΚΕΙΟ ΔΙΑΠΟΛΙΤΙΣΜΙΚΗΣ ΕΚΠΑΙΔΕΥΣΗΣ ΕΛΛΗΝΙΚΟΥ</t>
  </si>
  <si>
    <t>mail@2lyk-diap-ellin.att.sch.gr</t>
  </si>
  <si>
    <t>Οδός 31η, αριθμός 8</t>
  </si>
  <si>
    <t>3ο ΗΜΕΡΗΣΙΟ ΓΥΜΝΑΣΙΟ ΠΑΛΑΙΟΥ ΦΑΛΗΡΟΥ</t>
  </si>
  <si>
    <t>mail@3gym-p-falir.att.sch.gr</t>
  </si>
  <si>
    <t>ΠΑΜΦΥΛΙΑΣ ΚΑΙ Β. ΒΕΡΡΑ 1</t>
  </si>
  <si>
    <t>5ο ΗΜΕΡΗΣΙΟ ΓΥΜΝΑΣΙΟ ΝΕΑΣ ΣΜΥΡΝΗΣ</t>
  </si>
  <si>
    <t>mail@5gym-n-smyrn.att.sch.gr</t>
  </si>
  <si>
    <t>ΑΓΝΩΣΤΩΝ ΜΑΡΤΥΡΩΝ 1</t>
  </si>
  <si>
    <t>2ο ΗΜΕΡΗΣΙΟ ΓΕΝΙΚΟ ΛΥΚΕΙΟ ΠΑΛ.ΦΑΛΗΡΟΥ</t>
  </si>
  <si>
    <t>mail@2lyk-p-falir.att.sch.gr</t>
  </si>
  <si>
    <t>ΠΑΛ.ΦΑΛΗΡΟ</t>
  </si>
  <si>
    <t>ΤΕΡΨΙΘΕΑΣ 35</t>
  </si>
  <si>
    <t>8ο ΗΜΕΡΗΣΙΟ ΓΥΜΝΑΣΙΟ ΝΕΑΣ ΣΜΥΡΝΗΣ - ΕΣΤΙΑ</t>
  </si>
  <si>
    <t>mail@8gym-n-smyrn.att.sch.gr</t>
  </si>
  <si>
    <t>25ης ΜΑΡΤΙΟΥ 3</t>
  </si>
  <si>
    <t>6ο  ΔΗΜΟΤΙΚΟ ΣΧΟΛΕΙΟ  ΝΕΑΣ  ΣΜΥΡΝΗΣ</t>
  </si>
  <si>
    <t>6ο ΗΜΕΡΗΣΙΟ ΓΥΜΝΑΣΙΟ ΝΕΑΣ ΣΜΥΡΝΗΣ</t>
  </si>
  <si>
    <t>mail@6gym-n-smyrn.att.sch.gr</t>
  </si>
  <si>
    <t>ΓΕΝΝΑΔΙΟΥ ΚΑΙ ΑΡΣΑΚΕΙΟΥ  47</t>
  </si>
  <si>
    <t>4ο ΗΜΕΡΗΣΙΟ ΓΕΝΙΚΟ ΛΥΚΕΙΟ Ν. ΣΜΥΡΝΗΣ "ΔΗΜΗΤΡΗΣ ΓΛΗΝΟΣ"</t>
  </si>
  <si>
    <t>mail@4lyk-n-smyrn.att.sch.gr</t>
  </si>
  <si>
    <t>ΜΗΔΕΙΑΣ 2Α</t>
  </si>
  <si>
    <t>2ο ΗΜΕΡΗΣΙΟ ΓΕΝΙΚΟ ΛΥΚΕΙΟ ΚΑΛΛΙΘΕΑΣ</t>
  </si>
  <si>
    <t>mail@2lyk-kallith.att.sch.gr</t>
  </si>
  <si>
    <t>ΜΕΓΑΛΟΠΟΛΕΩΣ 21 &amp; ΚΡΕΜΟΥ</t>
  </si>
  <si>
    <t>1ο ΗΜΕΡΗΣΙΟ ΓΕΝΙΚΟ ΛΥΚΕΙΟ ΚΑΛΛΙΘΕΑΣ</t>
  </si>
  <si>
    <t>mail@1lyk-kallith.att.sch.gr</t>
  </si>
  <si>
    <t>ΑΙΓΕΩΣ  41-43 &amp; ΑΓΗΣΙΛΑΟΥ</t>
  </si>
  <si>
    <t>ΕΣΠΕΡΙΝΟ ΓΕΝΙΚΟ ΛΥΚΕΙΟ ΑΓΙΟΥ ΔΗΜΗΤΡΙΟΥ</t>
  </si>
  <si>
    <t>mail@lyk-esp-ag-dimitr.att.sch.gr</t>
  </si>
  <si>
    <t>ΑΓΙΟΣ  ΔΗΜΗΤΡΙΟΣ</t>
  </si>
  <si>
    <t>ΠΑΠΑΝΑΣΤΑΣΙΟΥ 47 &amp; Α. ΠΑΠΑΝΔΡΕΟΥ</t>
  </si>
  <si>
    <t>2ο ΔΗΜΟΤΙΚΟ ΣΧΟΛΕΙΟ ΑΓΙΟΥ ΔΗΜΗΤΡΙΟΥ</t>
  </si>
  <si>
    <t>1ο ΗΜΕΡΗΣΙΟ ΓΥΜΝΑΣΙΟ ΕΛΛΗΝΙΚΟΥ - ΡΗΓΑΣ ΦΕΡΑΙΟΣ</t>
  </si>
  <si>
    <t>mail@1gym-ellin.att.sch.gr</t>
  </si>
  <si>
    <t>ΤΡΙΑΚΟΣΤΗ ΤΡΙΤΗ 20</t>
  </si>
  <si>
    <t>2ο ΗΜΕΡΗΣΙΟ ΓΥΜΝΑΣΙΟ ΠΑΛΑΙΟΥ ΦΑΛΗΡΟΥ</t>
  </si>
  <si>
    <t>mail@2gym-p-falir.att.sch.gr</t>
  </si>
  <si>
    <t>7ο ΗΜΕΡΗΣΙΟ ΓΕΝΙΚΟ ΛΥΚΕΙΟ Ν.ΣΜΥΡΝΗ - ΕΣΤΙΑ</t>
  </si>
  <si>
    <t>mail@7lyk-n-smyrn.att.sch.gr</t>
  </si>
  <si>
    <t>Ν.ΣΜΥΡΝΗ</t>
  </si>
  <si>
    <t>1ο ΗΜΕΡΗΣΙΟ ΕΠΑΛ ΑΡΓΥΡΟΥΠΟΛΗΣ</t>
  </si>
  <si>
    <t>mail@1epal-argyr.att.sch.gr</t>
  </si>
  <si>
    <t>ΑΝΑΣΤΑΣΕΩΣ 19</t>
  </si>
  <si>
    <t>1ο ΗΜΕΡΗΣΙΟ ΕΠΑΛ ΑΛΙΜΟΥ - ΕΥΠΑΛΙΝΕΙΟ</t>
  </si>
  <si>
    <t>mail@1epal-alimou.att.sch.gr</t>
  </si>
  <si>
    <t>ΠΑΤΜΟΥ 1 ΚΑΙ ΔΩΔΕΚΑΝΗΣΟΥ 12</t>
  </si>
  <si>
    <t>1ο ΗΜΕΡΗΣΙΟ ΕΠΑΛ ΑΓ. ΔΗΜΗΤΡΙΟΥ</t>
  </si>
  <si>
    <t>mail@1epal-ag-dimitr.att.sch.gr</t>
  </si>
  <si>
    <t>ΑΡΓΟΣΤΟΛΙΟΥ  55-59 &amp; ΔΗΛΟΥ</t>
  </si>
  <si>
    <t>2ο ΗΜΕΡΗΣΙΟ ΓΥΜΝΑΣΙΟ ΕΛΛΗΝΙΚΟ - ΕΛΛΗ ΑΛΕΞΙΟΥ</t>
  </si>
  <si>
    <t>mail@2gym-ellin.att.sch.gr</t>
  </si>
  <si>
    <t>ΤΡΙΑΚΟΣΤΗ ΤΡΙΤΗ ΟΔΟΣ 20</t>
  </si>
  <si>
    <t>ΕΣΠΕΡΙΝΟ ΓΥΜΝΑΣΙΟ ΜΟΣΧΑΤΟΥ</t>
  </si>
  <si>
    <t>mail@gym-esp-mosch.att.sch.gr</t>
  </si>
  <si>
    <t>ΛΕΩΦΟΡΟΣ ΠΟΣΕΙΔΩΝΟΣ 11 &amp; ΚΩΝΣΤΑΝΤΙΝΟΥΠΟΛΕΩΣ</t>
  </si>
  <si>
    <t>ΕΝΙΑΙΟ ΕΙΔΙΚΟ ΕΠΑΓΓΕΛΜΑΤΙΚΟ ΓΥΜΝΑΣΙΟ - ΛΥΚΕΙΟ ΑΓΙΟΥ ΔΗΜΗΤΡΙΟΥ</t>
  </si>
  <si>
    <t>mail@gymee-ag-dimitr.att.sch.gr</t>
  </si>
  <si>
    <t>ΜΑΚΡΥΓΙΑΝΝΗ 106</t>
  </si>
  <si>
    <t>1ο ΕΣΠΕΡΙΝΟ ΓΥΜΝΑΣΙΟ ΑΓΙΟΥ ΔΗΜΗΤΡΙΟΥ</t>
  </si>
  <si>
    <t>mail@gym-esp-ag-dimitr.att.sch.gr</t>
  </si>
  <si>
    <t>ΠΑΠΑΝΑΣΤΑΣΙΟΥ 47  ΚΑΙ Α. ΠΑΠΑΝΔΡΕΟΥ</t>
  </si>
  <si>
    <t>Ειδικό Λύκειο (Ε.Α.Ε) Κωφών και Βαρηκόων Αργυρούπολης</t>
  </si>
  <si>
    <t>lykekvar@sch.gr</t>
  </si>
  <si>
    <t>YMHTTOY 4 &amp; ΦΕΙΔΙΟΥ 27</t>
  </si>
  <si>
    <t>Ε.Ε.Ε.ΕΚ. ΑΓΙΟΥ ΔΗΜΗΤΡΙΟΥ</t>
  </si>
  <si>
    <t>mail@eeeek-ag-dimitr.att.sch.gr</t>
  </si>
  <si>
    <t>ΑΡΓΟΣΤΟΛΙΟΥ 65</t>
  </si>
  <si>
    <t>Θ. ΣΟΦΟΥΛΗ 2</t>
  </si>
  <si>
    <t>Ελληνικό</t>
  </si>
  <si>
    <t>ΕΕΕΕΚ ΚΑΛΛΙΘΕΑΣ</t>
  </si>
  <si>
    <t>mail@eeeek-kallith.att.sch.gr</t>
  </si>
  <si>
    <t>Καλλιθέα</t>
  </si>
  <si>
    <t>Μαντζαγριωτάκη 12</t>
  </si>
  <si>
    <t>ΔΙΕΥΘΥΝΣΗ Δ.Ε. ΔΥΤΙΚΗΣ ΑΤΤΙΚΗΣ</t>
  </si>
  <si>
    <t>ΦΥΛΗΣ</t>
  </si>
  <si>
    <t>ΖΕΦΥΡΙΟΥ</t>
  </si>
  <si>
    <t>ΗΜΕΡΗΣΙΟ ΓΕΝΙΚΟ ΛΥΚΕΙΟ ΖΕΦΥΡΙΟΥ</t>
  </si>
  <si>
    <t>mail@lyk-zefyr.att.sch.gr</t>
  </si>
  <si>
    <t>ΖΕΦΥΡΙ</t>
  </si>
  <si>
    <t>ΠΑΠΑΦΛΕΣΣΑ 6</t>
  </si>
  <si>
    <t>1ο ΔΗΜΟΤΙΚΟ ΣΧΟΛΕΙΟ ΖΕΦΥΡΙΟΥ</t>
  </si>
  <si>
    <t>ΜΑΝΔΡΑΣ - ΕΙΔΥΛΛΙΑΣ</t>
  </si>
  <si>
    <t>ΕΡΥΘΡΩΝ</t>
  </si>
  <si>
    <t>ΗΜΕΡΗΣΙΟ ΓΥΜΝΑΣΙΟ ΕΡΥΘΡΩΝ</t>
  </si>
  <si>
    <t>mail@gym-erythr.att.sch.gr</t>
  </si>
  <si>
    <t>ΕΡΥΘΡΕΣ</t>
  </si>
  <si>
    <t>ΔΗΜΟΤΙΚΟ ΣΧΟΛΕΙΟ ΕΡΥΘΡΩΝ ΑΤΤΙΚΗΣ</t>
  </si>
  <si>
    <t>2ο ΗΜΕΡΗΣΙΟ ΓΥΜΝΑΣΙΟ ΖΕΦΥΡΙ ΑΤΤΙΚΗΣ</t>
  </si>
  <si>
    <t>mail@2gym-zefyr.att.sch.gr</t>
  </si>
  <si>
    <t>ΖΕΦΥΡΙ   ΑΤΤΙΚΗΣ</t>
  </si>
  <si>
    <t>ΠΑΠΑΝΑΣΤΑΣΙΟΥ 16</t>
  </si>
  <si>
    <t>ΑΝΩ ΛΙΟΣΙΩΝ</t>
  </si>
  <si>
    <t>ΜΕΓΑΡΕΩΝ</t>
  </si>
  <si>
    <t>3ο ΣΕΚ ΜΕΓΑΡΩΝ</t>
  </si>
  <si>
    <t>mail@3sek-dytik.att.sch.gr</t>
  </si>
  <si>
    <t>ΜΕΓΑΡΩΝ</t>
  </si>
  <si>
    <t>ΝΙΚΗΦΟΡΟΥ ΦΩΚΑ 40</t>
  </si>
  <si>
    <t>7ο ΔΗΜΟΤΙΚΟ ΣΧΟΛΕΙΟ ΜΕΓΑΡΩΝ</t>
  </si>
  <si>
    <t>ΗΜΕΡΗΣΙΟ ΓΥΜΝΑΣΙΟ ΦΥΛΗΣ ΑΤΤΙΚΗΣ - ΓΥΜΝΑΣΙΟ ΦΥΛΗΣ</t>
  </si>
  <si>
    <t>mail@gym-fylis.att.sch.gr</t>
  </si>
  <si>
    <t xml:space="preserve">ΦΥΛΗ </t>
  </si>
  <si>
    <t>ΒΥΖΑΝΤΙΟΥ 11</t>
  </si>
  <si>
    <t>9ο ΔΗΜΟΤΙΚΟ ΣΧΟΛΕΙΟ ΑΝΩ ΛΙΟΣΙΩΝ</t>
  </si>
  <si>
    <t>ΑΣΠΡΟΠΥΡΓΟΥ</t>
  </si>
  <si>
    <t>1ο ΗΜΕΡΗΣΙΟ ΕΠΑΛ ΑΣΠΡΟΠΥΡΓΟΥ</t>
  </si>
  <si>
    <t>mail@1epal-asprop.att.sch.gr</t>
  </si>
  <si>
    <t>ΑΣΠΡΟΠΥΡΓΟΣ</t>
  </si>
  <si>
    <t>ΚΡΙΕΖΗ ΚΑΙ ΑΘ.ΔΙΑΚΟΥ</t>
  </si>
  <si>
    <t>1ο ΔΗΜΟΤΙΚΟ ΣΧΟΛΕΙΟ ΑΣΠΡΟΠΥΡΓΟΥ</t>
  </si>
  <si>
    <t>ΗΜΕΡΗΣΙΟ ΓΕΝΙΚΟ ΛΥΚΕΙΟ ΝΕΑΣ ΠΕΡΑΜΟΥ ΑΤΤΙΚΗΣ</t>
  </si>
  <si>
    <t>mail@lyk-n-peram.att.sch.gr</t>
  </si>
  <si>
    <t>ΝΕΑΣ ΠΕΡΑΜΟΥ ΑΤΤΙΚΗΣ</t>
  </si>
  <si>
    <t>ΦΑΝΕΡΩΜΕΝΗΣ 1</t>
  </si>
  <si>
    <t>2ο ΔΗΜΟΤΙΚΟ ΣΧΟΛΕΙΟ ΝΕΑΣ ΠΕΡΑΜΟΥ</t>
  </si>
  <si>
    <t>1ο ΓΕΝΙΚΟ ΛΥΚΕΙΟ ΑΝΩ ΛΙΟΣΙΩΝ</t>
  </si>
  <si>
    <t>mail@1lyk-an-liosion.att.sch.gr</t>
  </si>
  <si>
    <t>ΑΝΩ ΛΙΟΣΙΑ</t>
  </si>
  <si>
    <t>ΘΕΟΦΙΛΟΥ ΚΑΙ ΒΟΛΑΝΑΚΗ</t>
  </si>
  <si>
    <t>4ο ΔΗΜΟΤΙΚΟ ΣΧΟΛΕΙΟ ΑΝΩ ΛΙΟΣΙΩΝ</t>
  </si>
  <si>
    <t>1ο ΗΜΕΡΗΣΙΟ ΕΠΑΛ ΜΕΓΑΡΩΝ</t>
  </si>
  <si>
    <t>mail@1epal-megar.att.sch.gr</t>
  </si>
  <si>
    <t>ΜΕΓΑΡΑ</t>
  </si>
  <si>
    <t>ΚΟΥΡΚΟΥΡΙ</t>
  </si>
  <si>
    <t>1ο ΔΗΜΟΤΙΚΟ ΣΧΟΛΕΙΟ ΜΕΓΑΡΩΝ</t>
  </si>
  <si>
    <t>1ο ΗΜΕΡΗΣΙΟ ΓΕΝΙΚΟ ΛΥΚΕΙΟ ΑΣΠΡΟΠΥΡΓΟΥ</t>
  </si>
  <si>
    <t>mail@lyk-asprop.att.sch.gr</t>
  </si>
  <si>
    <t>ΑΓΙΑΣ ΜΑΡΙΝΗΣ 21</t>
  </si>
  <si>
    <t>4ο ΔΗΜΟΤΙΚΟ ΣΧΟΛΕΙΟ ΑΣΠΡΟΠΥΡΓΟΥ</t>
  </si>
  <si>
    <t>2ο ΗΜΕΡΗΣΙΟ ΓΕΝΙΚΟ ΛΥΚΕΙΟ ΜΕΓΑΡΩΝ</t>
  </si>
  <si>
    <t>mail@2lyk-megar.att.sch.gr</t>
  </si>
  <si>
    <t>ΜΕΓΑΡΑ ΑΤΤΙΚΗΣ</t>
  </si>
  <si>
    <t>ΡΗΓΑ ΦΕΡΑΙΟΥ ΤΕΡΜΑ</t>
  </si>
  <si>
    <t>4ο ΔΗΜΟΤΙΚΟ ΣΧΟΛΕΙΟ ΜΕΓΑΡΩΝ</t>
  </si>
  <si>
    <t>1ο ΗΜΕΡΗΣΙΟ ΓΕΝΙΚΟ ΛΥΚΕΙΟ ΜΕΓΑΡΩΝ</t>
  </si>
  <si>
    <t>mail@1lyk-megar.att.sch.gr</t>
  </si>
  <si>
    <t>ΜΟΥΣΕΙΟΥ 1</t>
  </si>
  <si>
    <t>3ο ΗΜΕΡΗΣΙΟ ΓΕΝΙΚΟ ΛΥΚΕΙΟ ΑΝΩ ΛΙΟΣΙΩΝ</t>
  </si>
  <si>
    <t>mail@3lyk-an-liosion.att.sch.gr</t>
  </si>
  <si>
    <t>ΑΝΩ ΛΙΟΣΙA</t>
  </si>
  <si>
    <t>ΦΥΛΗΣ 147- ΚΟΡΑΗ</t>
  </si>
  <si>
    <t>2ο ΗΜΕΡΗΣΙΟ ΓΕΝΙΚΟ ΛΥΚΕΙΟ ΑΝΩ ΛΙΟΣΙΩΝ</t>
  </si>
  <si>
    <t>mail@2lyk-an-liosion.att.sch.gr</t>
  </si>
  <si>
    <t>ΠΙΝΔΟΥ ΚΑΙ ΑΛΙΑΚΜΟΝΟΣ</t>
  </si>
  <si>
    <t>10ο ΔΗΜΟΤΙΚΟ ΣΧΟΛΕΙΟ ΑΝΩ ΛΙΟΣΙΩΝ</t>
  </si>
  <si>
    <t>1ο ΗΜΕΡΗΣΙΟ ΕΠΑΛ ΑΝΩ ΛΙΟΣΙΩΝ</t>
  </si>
  <si>
    <t>mail@1epal-an-liosion.att.sch.gr</t>
  </si>
  <si>
    <t>ΚΩΝΣΤΑΝΤΙΝΟΥΠΟΛΕΩΣ 46</t>
  </si>
  <si>
    <t>1ο ΗΜΕΡΗΣΙΟ ΕΠΑΛ ΕΛΕΥΣΙΝΑΣ</t>
  </si>
  <si>
    <t>mail@1epal-elefs.att.sch.gr</t>
  </si>
  <si>
    <t>ΓΕΛΑΣ 1</t>
  </si>
  <si>
    <t>10ο ΔΗΜΟΤΙΚΟ ΣΧΟΛΕΙΟ ΕΛΕΥΣΙΝΑΣ</t>
  </si>
  <si>
    <t>ΓΕΝΙΚΟ ΛΥΚΕΙΟ ΕΡΥΘΡΩΝ</t>
  </si>
  <si>
    <t>mail@lyk-erythr.att.sch.gr</t>
  </si>
  <si>
    <t>ΕΡΥΘΡΕΣ ΑΤΤΙΚΗΣ</t>
  </si>
  <si>
    <t>ΕΘΝΙΚΗΣ ΑΝΤΙΣΤΑΣΕΩΣ</t>
  </si>
  <si>
    <t>1ο ΗΜΕΡΗΣΙΟ ΓΕΝΙΚΟ ΛΥΚΕΙΟ ΕΛΕΥΣΙΝΟΣ ΑΤΤΙΚΗΣ</t>
  </si>
  <si>
    <t>mail@1lyk-elefs.att.sch.gr</t>
  </si>
  <si>
    <t>ΕΛΕΥΣΙΝΟΣ ΑΤΤΙΚΗΣ</t>
  </si>
  <si>
    <t>ΑΘΗΝΑΣ 22</t>
  </si>
  <si>
    <t>3ο ΔΗΜΟΤΙΚΟ ΣΧΟΛΕΙΟ ΕΛΕΥΣΙΝΑΣ</t>
  </si>
  <si>
    <t>2ο ΗΜΕΡΗΣΙΟ ΓΕΝΙΚΟ ΛΥΚΕΙΟ ΕΛΕΥΣΙΝΑΣ - ΠΥΡΟΥΝΑΚΕΙΟ</t>
  </si>
  <si>
    <t>mail@2lyk-elefs.att.sch.gr</t>
  </si>
  <si>
    <t>ΙΕΡΑ ΟΔΟΣ ΚΑΙ ΠΑΓΚΑΛΟΥ</t>
  </si>
  <si>
    <t>1ο ΔΗΜΟΤΙΚΟ ΣΧΟΛΕΙΟ ΕΛΕΥΣΙΝΑΣ</t>
  </si>
  <si>
    <t>ΜΑΓΟΥΛΑΣ</t>
  </si>
  <si>
    <t>ΗΜΕΡΗΣΙΟ ΓΕΝΙΚΟ ΛΥΚΕΙΟ ΜΑΓΟΥΛΑΣ</t>
  </si>
  <si>
    <t>mail@lyk-magoul.att.sch.gr</t>
  </si>
  <si>
    <t>ΜΑΓΟΥΛΑ</t>
  </si>
  <si>
    <t>ΟΜΗΡΟΥ 4</t>
  </si>
  <si>
    <t>3ο ΔΗΜΟΤΙΚΟ ΣΧΟΛΕΙΟ ΜΑΓΟΥΛΑΣ</t>
  </si>
  <si>
    <t>3ο ΗΜΕΡΗΣΙΟ ΓΥΜΝΑΣΙΟ ΜΕΓΑΡΩΝ</t>
  </si>
  <si>
    <t>mail@3gym-megar.att.sch.gr</t>
  </si>
  <si>
    <t>ΚΟΥΡΚΟΥΡΙΑ</t>
  </si>
  <si>
    <t>1ο ΗΜΕΡΗΣΙΟ ΓΥΜΝΑΣΙΟ ΑΣΠΡΟΠΥΡΓΟΥ</t>
  </si>
  <si>
    <t>mail@1gym-asprop.att.sch.gr</t>
  </si>
  <si>
    <t>ΑΓ.ΜΑΡΙΝΗΣ 21</t>
  </si>
  <si>
    <t>2ο ΗΜΕΡΗΣΙΟ ΓΥΜΝΑΣΙΟ ΑΣΠΡΟΠΥΡΓΟΥ - ΓΥΜΝΑΣΙΟ ΠΑΡΑΛΙΑΣ</t>
  </si>
  <si>
    <t>mail@2gym-asprop.att.sch.gr</t>
  </si>
  <si>
    <t>ΣΩΚΡΑΤΟΥΣ ΣΟΛΩΝΟΣ ΓΩΝΙΑ</t>
  </si>
  <si>
    <t>5ο ΔΗΜΟΤΙΚΟ ΣΧΟΛΕΙΟ ΑΣΠΡΟΠΥΡΓΟΥ</t>
  </si>
  <si>
    <t>ΗΜΕΡΗΣΙΟ ΓΥΜΝΑΣΙΟ ΝΕΑΣ ΠΕΡΑΜΟΥ ΑΤΤΙΚΗΣ</t>
  </si>
  <si>
    <t>mail@gym-n-peram.att.sch.gr</t>
  </si>
  <si>
    <t>ΝΕΑ ΠΕΡΑΜΟΣ ΑΤΤΙΚΗΣ</t>
  </si>
  <si>
    <t>1ο ΣΕΚ ΕΛΕΥΣΙΝΑΣ - 1ο Ε.Κ ΔΥΤΙΚΗΣ ΑΤΤΙΚΗΣ</t>
  </si>
  <si>
    <t>mail@1sek-dytik.att.sch.gr</t>
  </si>
  <si>
    <t>1ο ΗΜΕΡΗΣΙΟ ΓΥΜΝΑΣΙΟ ΕΛΕΥΣΙΝΑΣ - ΑΙΣΧΥΛΕΙΟ</t>
  </si>
  <si>
    <t>mail@1gym-elefs.att.sch.gr</t>
  </si>
  <si>
    <t>ΓΥΦΤΕΑ 27</t>
  </si>
  <si>
    <t>2ο ΗΜΕΡΗΣΙΟ ΓΥΜΝΑΣΙΟ ΑΝΩ ΛΙΟΣΙΩΝ</t>
  </si>
  <si>
    <t>mail@2gym-an-liosion.att.sch.gr</t>
  </si>
  <si>
    <t>ΑΡΑΧΘΟΥ ΚΑΙ ΖΑΛΟΓΓΟΥ</t>
  </si>
  <si>
    <t>ΜΑΝΔΡΑΣ</t>
  </si>
  <si>
    <t>ΗΜΕΡΗΣΙΟ ΓΕΝΙΚΟ ΛΥΚΕΙΟ ΜΑΝΔΡΑΣ ΑΤΤΙΚΗΣ</t>
  </si>
  <si>
    <t>mail@lyk-mandr.att.sch.gr</t>
  </si>
  <si>
    <t>ΜΑΝΔΡΑ ΑΤΤΙΚΗΣ</t>
  </si>
  <si>
    <t>ΟΜΗΡΟΥ ΚΑΙ ΔΙΟΜΗΔΟΥΣ 1</t>
  </si>
  <si>
    <t>1ο ΔΗΜΟΤΙΚΟ ΣΧΟΛΕΙΟ ΜΑΝΔΡΑΣ</t>
  </si>
  <si>
    <t>4ο ΗΜΕΡΗΣΙΟ ΓΥΜΝΑΣΙΟ ΕΛΕΥΣΙΝΑΣ</t>
  </si>
  <si>
    <t>mail@4gym-elefs.att.sch.gr</t>
  </si>
  <si>
    <t>ΧΑΤΖΗΔΑΚΗ ΚΑΙ ΝΙΚΟΛΑΪΔΗ</t>
  </si>
  <si>
    <t>11ο ΔΗΜΟΤΙΚΟ ΣΧΟΛΕΙΟ ΕΛΕΥΣΙΝΑΣ</t>
  </si>
  <si>
    <t>3ο ΗΜΕΡΗΣΙΟ ΓΥΜΝΑΣΙΟ ΑΣΠΡΟΠΥΡΓΟΥ</t>
  </si>
  <si>
    <t>mail@3gym-asprop.att.sch.gr</t>
  </si>
  <si>
    <t>ΓΕΡΜΑΝΙΚΑ</t>
  </si>
  <si>
    <t>ΝΙΚΗΣ ΚΑΙ ΤΣΙΓΚΟΥ</t>
  </si>
  <si>
    <t>3ο ΔΗΜΟΤΙΚΟ ΣΧΟΛΕΙΟ ΑΣΠΡΟΠΥΡΓΟΥ</t>
  </si>
  <si>
    <t>2ο ΗΜΕΡΗΣΙΟ ΑΠΟΓΕΥΜΑΤΙΝΟ ΕΠΑΓΓΕΛΜΑΤΙΚΟ ΛΥΚΕΙΟ (ΕΠΑ.Λ.) ΕΛΕΥΣΙΝΑΣ - ΚΕΛΕΟΣ</t>
  </si>
  <si>
    <t>mail@2epal-elefs.att.sch.gr</t>
  </si>
  <si>
    <t>1ο ΗΜΕΡΗΣΙΟ ΓΥΜΝΑΣΙΟ ΑΝΩ ΛΙΟΣΙΩΝ</t>
  </si>
  <si>
    <t>mail@1gym-an-liosion.att.sch.gr</t>
  </si>
  <si>
    <t>ΤΣΑΡΟΥΧΗ ΚΑΙ ΠΑΡΘΕΝΗ</t>
  </si>
  <si>
    <t>2ο ΗΜΕΡΗΣΙΟ ΓΥΜΝΑΣΙΟ ΜΕΓΑΡΩΝ</t>
  </si>
  <si>
    <t>mail@2gym-megar.att.sch.gr</t>
  </si>
  <si>
    <t>ΒΙΛΙΩΝ</t>
  </si>
  <si>
    <t>1ο ΗΜΕΡΗΣΙΟ ΓΥΜΝΑΣΙΟ -Λ.Τ. ΒΙΛΙΩΝ</t>
  </si>
  <si>
    <t>mail@gym-villion.att.sch.gr</t>
  </si>
  <si>
    <t>ΒΙΛΙΑ ΑΤΤΙΚΗΣ</t>
  </si>
  <si>
    <t>ΠΕΡΙΟΧΗ ΒΕΡΟΡΙ</t>
  </si>
  <si>
    <t>ΔΗΜΟΤΙΚΟ ΣΧΟΛΕΙΟ ΒΙΛΛΙΩΝ ΑΤΤΙΚΗΣ</t>
  </si>
  <si>
    <t>1ο ΗΜΕΡΗΣΙΟ ΓΥΜΝΑΣΙΟ ΖΕΦΥΡΙΟΥ</t>
  </si>
  <si>
    <t>mail@gym-zefyr.att.sch.gr</t>
  </si>
  <si>
    <t>ΘΕΡΙΣΟΥ ΚΑΙ ΚΡΥΣΤΑΛΛΗ</t>
  </si>
  <si>
    <t>2ο ΔΗΜΟΤΙΚΟ ΣΧΟΛΕΙΟ ΖΕΦΥΡΙΟΥ</t>
  </si>
  <si>
    <t>3ο ΗΜΕΡΗΣΙΟ ΓΥΜΝΑΣΙΟ ΑΝΩ ΛΙΟΣΙΩΝ</t>
  </si>
  <si>
    <t>mail@3gym-an-liosion.att.sch.gr</t>
  </si>
  <si>
    <t>'Ανω Λιόσια</t>
  </si>
  <si>
    <t>ΟΡΘΟΔΟΞΙΑΣ</t>
  </si>
  <si>
    <t>2ο ΔΗΜΟΤΙΚΟ ΣΧΟΛΕΙΟ ΑΝΩ ΛΙΟΣΙΩΝ</t>
  </si>
  <si>
    <t>1ο ΗΜΕΡΗΣΙΟ ΓΥΜΝΑΣΙΟ ΜΑΝΔΡΑΣ</t>
  </si>
  <si>
    <t>mail@1gym-mandr.att.sch.gr</t>
  </si>
  <si>
    <t>ΜΑΝΔΡΑ</t>
  </si>
  <si>
    <t>ΠΕΥΚΑ ΚΩΣΤΗΛΙ</t>
  </si>
  <si>
    <t>ΕΣΠΕΡΙΝΟ ΓΥΜΝΑΣΙΟ ΕΛΕΥΣΙΝΑΣ ΜΕ ΛΥΚΕΙΑΚΕΣ ΤΑΞΕΙΣ</t>
  </si>
  <si>
    <t>mail@gym-esp-elefs.att.sch.gr</t>
  </si>
  <si>
    <t>ΠΙΝΔΟΥ &amp; ΑΘΗΝΑΣ</t>
  </si>
  <si>
    <t>ΕΣΠΕΡΙΝΟ ΓΥΜΝΑΣΙΟ ΑΝΩ ΛΙΟΣΙΩΝ</t>
  </si>
  <si>
    <t>mail@gym-esp-an-liosion.att.sch.gr</t>
  </si>
  <si>
    <t>ΗΜΕΡΗΣΙΟ ΓΥΜΝΑΣΙΟ ΜΑΓΟΥΛΑΣ ΔΥΤΙΚΗΣ ΑΤΤΙΚΗΣ</t>
  </si>
  <si>
    <t>mail@gym-magoul.att.sch.gr</t>
  </si>
  <si>
    <t>ΜΑΓΟΥΛΑ ΔΥΤΙΚΗΣ ΑΤΤΙΚΗΣ</t>
  </si>
  <si>
    <t>2ο ΗΜΕΡΗΣΙΟ ΓΥΜΝΑΣΙΟ ΕΛΕΥΣΙΝΑΣ</t>
  </si>
  <si>
    <t>mail@2gym-elefs.att.sch.gr</t>
  </si>
  <si>
    <t>4ο ΗΜΕΡΗΣΙΟ ΓΥΜΝΑΣΙΟ ΑΣΠΡΟΠΥΡΓΟΥ</t>
  </si>
  <si>
    <t>mail@4gym-asprop.att.sch.gr</t>
  </si>
  <si>
    <t>ΓΕΝΟΚΤΟΝΙΑΣ - ΓΚΟΡΥΤΣΑ</t>
  </si>
  <si>
    <t>9ο ΔΗΜΟΤΙΚΟ ΣΧΟΛΕΙΟ ΑΣΠΡΟΠΥΡΓΟΥ</t>
  </si>
  <si>
    <t>3ο ΗΜΕΡΗΣΙΟ ΓΥΜΝΑΣΙΟ ΕΛΕΥΣΙΝΑΣ</t>
  </si>
  <si>
    <t>mail@3gym-elefs.att.sch.gr</t>
  </si>
  <si>
    <t>1ο ΗΜΕΡΗΣΙΟ ΓΥΜΝΑΣΙΟ ΜΕΓΑΡΩΝ - ΕΥΚΛΕΙΔΕΙΟ</t>
  </si>
  <si>
    <t>mail@1gym-megar.att.sch.gr</t>
  </si>
  <si>
    <t>Ε.Ε.Ε.ΕΚ ΕΛΕΥΣΙΝΑΣ</t>
  </si>
  <si>
    <t>mail@eeeek-mandr.att.sch.gr</t>
  </si>
  <si>
    <t>Γ.ΚΟΥΒΙΔΗ 134 και ΠΟΥΛΑΝΤΖΑ 10</t>
  </si>
  <si>
    <t>9ο ΔΗΜΟΤΙΚΟ ΣΧΟΛΕΙΟ ΕΛΕΥΣΙΝΑΣ</t>
  </si>
  <si>
    <t>ΕΝΙΑΙΟ ΕΙΔΙΚΟ ΕΠΑΓΓΕΛΜΑΤΙΚΟ ΓΥΜΝΑΣΙΟ - ΛΥΚΕΙΟ ΕΛΕΥΣΙΝΑΣ</t>
  </si>
  <si>
    <t>mail@gym-eid-epag-elefs.att.sch.gr</t>
  </si>
  <si>
    <t>ΠΟΥΛΑΝΤΖΑ &amp; ΚΟΥΒΙΔΗ</t>
  </si>
  <si>
    <t>ΗΜΕΡΗΣΙΟ ΓΕΝΙΚΟ ΛΥΚΕΙΟ ΦΥΛΗΣ</t>
  </si>
  <si>
    <t>mail@lyk-fylis.att.sch.gr</t>
  </si>
  <si>
    <t>ΦΥΛΗ</t>
  </si>
  <si>
    <t>ΒΥΖΑΝΤΙΟΥ 1 &amp; ΑΝΔΡΕΑ ΜΙΑΟΥΛΗ</t>
  </si>
  <si>
    <t>ΔΗΜΟΤΙΚΟ ΣΧΟΛΕΙΟ ΦΥΛΗΣ</t>
  </si>
  <si>
    <t>4ο ΗΜΕΡΗΣΙΟ ΓΥΜΝΑΣΙΟ ΑΝΩ ΛΙΟΣΙΩΝ</t>
  </si>
  <si>
    <t>mail@4gym-an-liosion.att.sch.gr</t>
  </si>
  <si>
    <t>ΠΥΘΑΓΟΡΑ ΚΑΙ ΠΙΤΤΑΚΟΥ</t>
  </si>
  <si>
    <t>7ο ΔΗΜΟΤΙΚΟ ΣΧΟΛΕΙΟ ΑΝΩ ΛΙΟΣΙΩΝ</t>
  </si>
  <si>
    <t>ΜΟΥΣΙΚΟ ΓΥΜΝΑΣΙΟ ΕΛΕΥΣΙΝΑΣ</t>
  </si>
  <si>
    <t>ΔΙΕΥΘΥΝΣΗ Δ.Ε. ΠΕΙΡΑΙΑ</t>
  </si>
  <si>
    <t>5ο ΔΗΜ. ΔΙΑΜΕΡ. ΠΕΙΡΑΙΩΣ</t>
  </si>
  <si>
    <t>4ο ΗΜΕΡΗΣΙΟ ΓΥΜΝΑΣΙΟ ΠΕΙΡΑΙΑ</t>
  </si>
  <si>
    <t>mail@4gym-peiraia.att.sch.gr</t>
  </si>
  <si>
    <t>ΣΠΑΡΤΗΣ 203</t>
  </si>
  <si>
    <t>43ο ΟΛΟΗΜΕΡΟ ΔΗΜΟΤΙΚΟ ΣΧΟΛΕΙΟ ΠΕΙΡΑΙΑ - ΚΩΣΤΗΣ ΠΑΛΑΜΑΣ</t>
  </si>
  <si>
    <t>3ο ΗΜΕΡΗΣΙΟ ΓΥΜΝΑΣΙΟ ΠΕΙΡΑΙΑ</t>
  </si>
  <si>
    <t>mail@3gym-peiraia.att.sch.gr</t>
  </si>
  <si>
    <t>ΠΕΙΡΑΙΑ</t>
  </si>
  <si>
    <t>ΚΟΥΜΟΥΝΔΟΥΡΟΥ 41-43</t>
  </si>
  <si>
    <t>5ο ΔΗΜΟΤΙΚΟ ΣΧΟΛΕΙΟ ΠΕΙΡΑΙΑ</t>
  </si>
  <si>
    <t>ΠΕΡΑΜΑΤΟΣ</t>
  </si>
  <si>
    <t>2ο ΗΜΕΡΗΣΙΟ ΓΕΝΙΚΟ ΛΥΚΕΙΟ ΠΕΡΑΜΑΤΟΣ</t>
  </si>
  <si>
    <t>mail@2lyk-peram.att.sch.gr</t>
  </si>
  <si>
    <t>ΛΕΩΦ ΔΗΜΟΚΡΑΤΙΑΣ ΚΑΙ ΣΟΥΛΙΟΥ 4</t>
  </si>
  <si>
    <t>ΔΗΜΟΤΙΚΟ ΣΧΟΛΕΙΟ ΝΕΟΥ ΙΚΟΝΙΟΥ ΠΕΡΑΜΑΤΟΣ</t>
  </si>
  <si>
    <t>3ο ΗΜΕΡΗΣΙΟ ΓΕΝΙΚΟ ΛΥΚΕΙΟ ΠΕΙΡΑΙΑ</t>
  </si>
  <si>
    <t>mail@3lyk-peiraia.att.sch.gr</t>
  </si>
  <si>
    <t>Κ. ΜΑΥΡΟΜΙΧΑΛΗ 14</t>
  </si>
  <si>
    <t>1ο ΔΗΜΟΤΙΚΟ ΣΧΟΛΕΙΟ ΠΕΙΡΑΙΑ</t>
  </si>
  <si>
    <t>ΚΕΡΑΤΣΙΝΙΟΥ - ΔΡΑΠΕΤΣΩΝΑΣ</t>
  </si>
  <si>
    <t>ΔΡΑΠΕΤΣΩΝΑΣ</t>
  </si>
  <si>
    <t>2ο ΗΜΕΡΗΣΙΟ ΓΕΝΙΚΟ ΛΥΚΕΙΟ ΔΡΑΠΕΤΣΩΝΑΣ</t>
  </si>
  <si>
    <t>mail@2lyk-drapets.att.sch.gr</t>
  </si>
  <si>
    <t>ΔΡΑΠΕΤΣΩΝΑ</t>
  </si>
  <si>
    <t>ΑΓΙΟΥ ΦΑΝΟΥΡΙΟΥ 10</t>
  </si>
  <si>
    <t>3ο ΔΗΜΟΤΙΚΟ ΣΧΟΛΕΙΟ ΔΡΑΠΕΤΣΩΝΑΣ</t>
  </si>
  <si>
    <t>ΜΟΥΣΙΚΟ ΓΥΜΝΑΣΙΟ ΠΕΙΡΑΙΑ - ΜΟΥΣΙΚΟ ΣΧΟΛΕΙΟ ΠΕΙΡΑΙΑ</t>
  </si>
  <si>
    <t>mail@gym-mous-peiraia.att.sch.gr</t>
  </si>
  <si>
    <t>Κ. ΜΑΥΡΟΜΙΧΑΛΗ 27</t>
  </si>
  <si>
    <t>ΝΗΣΩΝ</t>
  </si>
  <si>
    <t>ΣΑΛΑΜΙΝΟΣ</t>
  </si>
  <si>
    <t>ΑΜΠΕΛΑΚΙΩΝ</t>
  </si>
  <si>
    <t>ΗΜΕΡΗΣΙΟ ΓΥΜΝΑΣΙΟ ΑΜΠΕΛΑΚΙΩΝ ΣΑΛΑΜΙΝΑΣ</t>
  </si>
  <si>
    <t>mail@gym-ampel.att.sch.gr</t>
  </si>
  <si>
    <t>ΑΜΠΕΛΑΚΙΑ ΣΑΛΑΜΙΝΑΣ</t>
  </si>
  <si>
    <t>Λ.ΔΗΜΟΚΡΑΤΙΑΣ</t>
  </si>
  <si>
    <t>ΣΑΛΑΜΙΝΑΣ</t>
  </si>
  <si>
    <t>12/Θ ΟΛΟΗΜΕΡΟ ΔΗΜΟΤΙΚΟ ΣΧΟΛΕΙΟ ΑΜΠΕΛΑΚΙΩΝ ΣΑΛΑΜΙΝΑΣ</t>
  </si>
  <si>
    <t>ΤΡΟΙΖΗΝΙΑΣ-ΜΕΘΑΝΩΝ</t>
  </si>
  <si>
    <t>ΜΕΘΑΝΩΝ</t>
  </si>
  <si>
    <t>ΛΟΥΤΡΟΠΟΛΕΩΣ ΜΕΘΑΝΩΝ</t>
  </si>
  <si>
    <t>ΓΥΜΝΑΣΙΟ - ΛΥΚΕΙΑΚΕΣ ΤΑΞΕΙΣ ΜΕΘΑΝΩΝ</t>
  </si>
  <si>
    <t>mail@gym-methan.att.sch.gr</t>
  </si>
  <si>
    <t>ΜΕΘΑΝΑ</t>
  </si>
  <si>
    <t>ΔΗΜΟΤΙΚΟ ΣΧΟΛΕΙΟ ΜΕΘΑΝΩΝ</t>
  </si>
  <si>
    <t>ΤΡΟΙΖΗΝΟΣ</t>
  </si>
  <si>
    <t>1ο ΗΜΕΡΗΣΙΟ ΕΠΑΛ ΓΑΛΑΤΑ ΤΡΟΙΖΗΝΙΑΣ - ΕΠΑΛ ΓΑΛΑΤΑ</t>
  </si>
  <si>
    <t>mail@1epal-galat.att.sch.gr</t>
  </si>
  <si>
    <t>ΓΑΛΑΤΑΣ ΤΡΟΙΖΗΝΙΑΣ</t>
  </si>
  <si>
    <t>ΓΑΛΑΤΑΣ</t>
  </si>
  <si>
    <t>ΔΗΜΟΤΙΚΟ ΣΧΟΛΕΙΟ ΓΑΛΑΤΑ</t>
  </si>
  <si>
    <t>1ο ΕΚ ΠΕΙΡΑΙΑ</t>
  </si>
  <si>
    <t>mail@1sek-peiraia.att.sch.gr</t>
  </si>
  <si>
    <t>ΣΑΛΑΜΙΝΟΣ 4 &amp; ΑΝΤΙΠΛΟΙΑΡΧΟΥ ΒΛΑΧΑΚΟΥ</t>
  </si>
  <si>
    <t>1ο ΕΣΠΕΡΙΝΟ ΓΥΜΝΑΣΙΟ ΚΟΡΥΔΑΛΛΟΥ</t>
  </si>
  <si>
    <t>mail@gym-esp-koryd.att.sch.gr</t>
  </si>
  <si>
    <t>ΚΟΡΥΔΑΛΛΟΣ</t>
  </si>
  <si>
    <t>ΣΟΛΩΜΟΥ 2-4</t>
  </si>
  <si>
    <t>6ο ΔΗΜΟΤΙΚΟ ΣΧΟΛΕΙΟ ΚΟΡΥΔΑΛΛΟΥ</t>
  </si>
  <si>
    <t>1ο ΗΜΕΡΗΣΙΟ ΓΥΜΝΑΣΙΟ ΚΟΡΥΔΑΛΛΟΥ - ΑΝΤΩΝΗΣ ΣΑΜΑΡΑΚΗΣ</t>
  </si>
  <si>
    <t>mail@1gym-koryd.att.sch.gr</t>
  </si>
  <si>
    <t>ΕΠΤΑΝΗΣΟΥ 19 ΚΑΙ ΛΕΣΒΟΥ</t>
  </si>
  <si>
    <t>4ο ΔΗΜΟΤΙΚΟ ΣΧΟΛΕΙΟ ΚΟΡΥΔΑΛΛΟΥ</t>
  </si>
  <si>
    <t>ΚΕΡΑΤΣΙΝΙΟΥ</t>
  </si>
  <si>
    <t>ΗΜΕΡΗΣΙΟ ΕΠΑΛ ΚΕΡΑΤΣΙΝΙΟΥ ΑΤΤΙΚΗΣ</t>
  </si>
  <si>
    <t>mail@1epal-kerats.att.sch.gr</t>
  </si>
  <si>
    <t>ΚΕΡΑΤΣΙΝΙ ΑΤΤΙΚΗΣ</t>
  </si>
  <si>
    <t>ΟΛΥΜΠΟΥ 3</t>
  </si>
  <si>
    <t>4ο ΔΗΜ. ΔΙΑΜΕΡ. ΠΕΙΡΑΙΩΣ</t>
  </si>
  <si>
    <t>ΕΕΕΕΚ ΠΕΙΡΑΙΑΣ - ΕΕΕΕΚ ΠΕΙΡΑΙΑ</t>
  </si>
  <si>
    <t>mail@eeeek-peiraia.att.sch.gr</t>
  </si>
  <si>
    <t>ΑΝΔΡΙΤΣΑΙΝΗΣ 10</t>
  </si>
  <si>
    <t>14ο ΔΗΜΟΤΙΚΟ ΣΧΟΛΕΙΟ ΠΕΙΡΑΙΑ</t>
  </si>
  <si>
    <t>ΝΙΚΑΙΑΣ - ΑΓΙΟΥ Ι. ΡΕΝΤΗ</t>
  </si>
  <si>
    <t>ΑΓΙΟΥ ΙΩΑΝΝΟΥ ΡΕΝΤΗ</t>
  </si>
  <si>
    <t>3ο ΗΜΕΡΗΣΙΟ ΓΥΜΝΑΣΙΟ ΑΓ. Ι. ΡΕΝΤΗ</t>
  </si>
  <si>
    <t>mail@3gym-ag-ioann.att.sch.gr</t>
  </si>
  <si>
    <t>Α. Ι.  ΡΕΝΤΗ</t>
  </si>
  <si>
    <t>ΚΟΥΜΟΥΝΔΟΥΡΟΥ 36-40</t>
  </si>
  <si>
    <t>2ο ΟΛΟΗΜΕΡΟ ΔΗΜΟΤΙΚΟ ΣΧΟΛΕΙΟ ΑΓΙΟΥ ΙΩΑΝΝΗ ΡΕΝΤΗ - ΑΝΤΩΝΗΣ ΣΑΜΑΡΑΚΗΣ</t>
  </si>
  <si>
    <t>ΗΜΕΡΗΣΙΟ ΕΠΑΛ ΑΓΙΟΥ ΙΩΑΝΝΗ ΡΕΝΤΗ</t>
  </si>
  <si>
    <t>mail@epal-ag-ioann.att.sch.gr</t>
  </si>
  <si>
    <t>ΑΓΙΟΥ ΙΩΑΝΝΗ ΡΕΝΤΗ</t>
  </si>
  <si>
    <t>ΝΙΚ. ΜΑΝΔΗΛΑΡΑ 14 (ΕΙΣΟΔΟΣ ΑΠΟ ΠΛΑΤΕΙΑ ΕΛ. ΒΕΝΙΖΕΛΟΥ)</t>
  </si>
  <si>
    <t>5ο ΔΗΜΟΤΙΚΟ ΣΧΟΛΕΙΟ ΑΓΙΟΥ ΙΩΑΝΝΗ ΡΕΝΤΗ</t>
  </si>
  <si>
    <t>ΗΜΕΡΗΣΙΟ ΓΥΜΝΑΣΙΟ ΓΑΛΑΤΑΣ ΤΡΟΙΖΗΝΙΑΣ</t>
  </si>
  <si>
    <t>mail@gym-galat.att.sch.gr</t>
  </si>
  <si>
    <t>ΑΙΓΙΝΑΣ</t>
  </si>
  <si>
    <t>1ο ΗΜΕΡΗΣΙΟ ΕΠΑΛ ΑΙΓΙΝΑΣ</t>
  </si>
  <si>
    <t>mail@1epal-aigin.att.sch.gr</t>
  </si>
  <si>
    <t>ΑΙΓΙΝΑ</t>
  </si>
  <si>
    <t>ΚΑΠΟΔΙΣΤΡΙΟΥ</t>
  </si>
  <si>
    <t>1ο  ΔΗΜΟΤΙΚΟ ΣΧΟΛΕΙΟ ΑΙΓΙΝΑΣ</t>
  </si>
  <si>
    <t>1ο ΗΜΕΡΗΣΙΟ ΓΕΝΙΚΟ ΛΥΚΕΙΟ ΑΙΓΙΝΑΣ</t>
  </si>
  <si>
    <t>mail@lyk-aigin.att.sch.gr</t>
  </si>
  <si>
    <t>ΑΓΙΑΣ ΒΑΡΒΑΡΑΣ 15</t>
  </si>
  <si>
    <t>ΟΛΟΗΜΕΡΟ ΔΗΜΟΤΙΚΟ ΣΧΟΛΕΙΟ ΑΓΙΩΝ ΑΣΩΜΑΤΩΝ</t>
  </si>
  <si>
    <t>2ο ΔΗΜ. ΔΙΑΜΕΡ. ΠΕΙΡΑΙΩΣ</t>
  </si>
  <si>
    <t>9ο ΗΜΕΡΗΣΙΟ ΓΕΝΙΚΟ ΛΥΚΕΙΟ ΠΕΙΡΑΙΑ</t>
  </si>
  <si>
    <t>mail@9lyk-peiraia.att.sch.gr</t>
  </si>
  <si>
    <t>ΟΥΪΛΣΩΝΟΣ 11-23 ΚΑΙ ΣΗΡΑΓΓΕΙΟΥ</t>
  </si>
  <si>
    <t>28ο ΔΗΜΟΤΙΚΟ ΣΧΟΛΕΙΟ ΠΕΙΡΑΙΑ</t>
  </si>
  <si>
    <t>2ο ΕΣΠΕΡΙΝΟ ΕΠΑΛ ΔΡΑΠΕΤΣΩΝΑΣ</t>
  </si>
  <si>
    <t>mail@2epal-esp-drapets.att.sch.gr</t>
  </si>
  <si>
    <t>Μ. ΜΠΟΤΣΑΡΗ 124</t>
  </si>
  <si>
    <t>4ο ΟΛΟΗΜΕΡΟ ΔΗΜΟΤΙΚΟ ΣΧΟΛΕΙΟ ΚΕΡΑΤΣΙΝΙΟΥ</t>
  </si>
  <si>
    <t>1ο ΗΜΕΡΗΣΙΟ ΓΕΝΙΚΟ ΛΥΚΕΙΟ ΠΕΙΡΑΙΑ</t>
  </si>
  <si>
    <t>mail@1lyk-peiraia.att.sch.gr</t>
  </si>
  <si>
    <t>ΑΦΕΝΤΟΥΛΗ 5</t>
  </si>
  <si>
    <t>22ο ΟΛΟΗΜΕΡΟ ΔΗΜΟΤΙΚΟ ΣΧΟΛΕΙΟ ΠΕΙΡΑΙΑΣ</t>
  </si>
  <si>
    <t>2ο ΕΚ ΠΕΙΡΑΙΑ - ΚΑΜΙΝΙΩΝ</t>
  </si>
  <si>
    <t>mail@2sek-peiraia.att.sch.gr</t>
  </si>
  <si>
    <t>ΑΘΗΝΩΝ ΠΕΙΡΑΙΩΣ 95</t>
  </si>
  <si>
    <t>17ο ΔΗΜΟΤΙΚΟ ΣΧΟΛΕΙΟ ΠΕΙΡΑΙΑ</t>
  </si>
  <si>
    <t>ΗΜΕΡΗΣΙΟ ΓΕΝΙΚΟ ΛΥΚΕΙΟ ΑΓΙΟΥ ΙΩΑΝΝΗ ΡΕΝΤΗ</t>
  </si>
  <si>
    <t>mail@lyk-ag-ioann.att.sch.gr</t>
  </si>
  <si>
    <t>ΑΓΙΟΣ ΙΩΑΝΝΗΣ ΡΕΝΤΗΣ</t>
  </si>
  <si>
    <t>ΑΓΙΟΥ ΙΩΑΝΝΗ ΡΕΝΤΗ  113-115,</t>
  </si>
  <si>
    <t>ΜΕΓΑΛΟΥ ΑΛΕΞΑΝΔΡΟΥ 8</t>
  </si>
  <si>
    <t>7ο ΕΣΠΕΡΙΝΟ ΕΠΑΛ ΠΕΙΡΑΙΑ</t>
  </si>
  <si>
    <t>mail@7epal-esp-peiraia.att.sch.gr</t>
  </si>
  <si>
    <t>ΣΑΛΑΜΙΝΑΣ 4</t>
  </si>
  <si>
    <t>5ο ΓΕΝΙΚΟ ΛΥΚΕΙΟ ΚΟΡΥΔΑΛΛΟΥ</t>
  </si>
  <si>
    <t>mail@5lyk-koryd.att.sch.gr</t>
  </si>
  <si>
    <t>ΓΕΝΙΚΟ ΛΥΚΕΙΟ ΚΑΜΙΝΙΩΝ</t>
  </si>
  <si>
    <t>mail@lyk-kamin.att.sch.gr</t>
  </si>
  <si>
    <t>ΚΑΜΙΝΙΑ</t>
  </si>
  <si>
    <t>ΕΡΜΟΥΠΟΛΕΩΣ 46</t>
  </si>
  <si>
    <t>13ο ΗΜΕΡΗΣΙΟ ΓΕΝΙΚΟ ΛΥΚΕΙΟ ΠΕΙΡΑΙΑ</t>
  </si>
  <si>
    <t>mail@13lyk-peiraia.att.sch.gr</t>
  </si>
  <si>
    <t>ΚΑΡΑΪΣΚΟΥ 147 &amp; ΜΠΟΥΜΠΟΥΛΙΝΑΣ</t>
  </si>
  <si>
    <t>2ο ΔΗΜΟΤΙΚΟ ΣΧΟΛΕΙΟ ΠΕΙΡΑΙΑ "ΟΥΡΟΥΓΟΥΑΗ"</t>
  </si>
  <si>
    <t>2ο ΗΜΕΡΗΣΙΟ ΓΕΝΙΚΟ ΛΥΚΕΙΟ ΚΕΡΑΤΣΙΝΙΟΥ</t>
  </si>
  <si>
    <t>mail@2lyk-kerats.att.sch.gr</t>
  </si>
  <si>
    <t>ΚΕΡΑΤΣΙΝΙ</t>
  </si>
  <si>
    <t>ΔΕΜΕΡΤΖΗ ΚΑΙ ΕΛΛΗΣ 1</t>
  </si>
  <si>
    <t>14ο ΔΗΜΟΤΙΚΟ ΣΧΟΛΕΙΟ ΚΕΡΑΤΣΙΝΙΟΥ</t>
  </si>
  <si>
    <t>ΖΑΝΝΕΙΟ ΠΡΟΤΥΠΟ ΓΕΝΙΚΟ ΛΥΚΕΙΟ ΠΕΙΡΑΙΑ</t>
  </si>
  <si>
    <t>mail@lyk-peir-zanneio.att.sch.gr</t>
  </si>
  <si>
    <t>ΚΟΛΟΚΟΤΡΩΝΗ 6</t>
  </si>
  <si>
    <t>ΗΜΕΡΗΣΙΟ ΓΕΝΙΚΟ ΛΥΚΕΙΟ ΚΑΛΛΙΠΟΛΗΣ ΠΕΙΡΑΙΩΣ</t>
  </si>
  <si>
    <t>mail@lyk-kallip.att.sch.gr</t>
  </si>
  <si>
    <t>ΜΑΡΙΑΣ ΧΑΤΖΗΚΥΡΙΑΚΟΥ 27</t>
  </si>
  <si>
    <t>32ο ΟΛΟΗΜΕΡΟ ΔΗΜΟΤΙΚΟ ΣΧΟΛΕΙΟ ΠΕΙΡΑΙΑ</t>
  </si>
  <si>
    <t>ΓΑΛΑΤΑ</t>
  </si>
  <si>
    <t>ΗΜΕΡΗΣΙΟ ΓΕΝΙΚΟ ΛΥΚΕΙΟ ΓΑΛΑΤΑ</t>
  </si>
  <si>
    <t>mail@lyk-galat.att.sch.gr</t>
  </si>
  <si>
    <t>Επαρχ. οδός Γαλατά - Φαναρίου</t>
  </si>
  <si>
    <t>8ο ΗΜΕΡΗΣΙΟ ΓΕΝΙΚΟ ΛΥΚΕΙΟ ΠΕΙΡΑΙΑ</t>
  </si>
  <si>
    <t>mail@8lyk-peiraia.att.sch.gr</t>
  </si>
  <si>
    <t>ΔΗΜΗΤΡΑΚΟΠΟΥΛΟΥ 116</t>
  </si>
  <si>
    <t>27ο ΔΗΜΟΤΙΚΟ ΣΧΟΛΕΙΟ ΠΕΙΡΑΙΑ</t>
  </si>
  <si>
    <t>ΥΔΡΑΣ</t>
  </si>
  <si>
    <t>ΗΜΕΡΗΣΙΟ ΓΕΝΙΚΟ ΛΥΚΕΙΟ ΥΔΡΑΣ</t>
  </si>
  <si>
    <t>mail@lyk-ydras.att.sch.gr</t>
  </si>
  <si>
    <t>ΥΔΡΑ</t>
  </si>
  <si>
    <t>1ο ΟΛΟΗΜΕΡΟ ΔΗΜΟΤΙΚΟ ΣΧΟΛΕΙΟ ΥΔΡΑΣ</t>
  </si>
  <si>
    <t>2ο ΗΜΕΡΗΣΙΟ ΓΕΝΙΚΟ ΛΥΚΕΙΟ ΝΙΚΑΙΑΣ</t>
  </si>
  <si>
    <t>mail@2lyk-nikaias.att.sch.gr</t>
  </si>
  <si>
    <t>ΝΙΚΑΙΑ</t>
  </si>
  <si>
    <t>ΠΕΤΡΟΥ ΡΑΛΛΗ ΚΑΙ ΚΑΣΤΑΜΟΝΗΣ 48</t>
  </si>
  <si>
    <t>5ο ΔΗΜΟΤΙΚΟ ΣΧΟΛΕΙΟ ΝΙΚΑΙΑΣ</t>
  </si>
  <si>
    <t>2ο ΗΜΕΡΗΣΙΟ ΓΕΝΙΚΟ ΛΥΚΕΙΟ ΚΟΡΥΔΑΛΛΟΥ</t>
  </si>
  <si>
    <t>mail@2lyk-koryd.att.sch.gr</t>
  </si>
  <si>
    <t>ΣΙΚΕΛΙΑΝΟΥ 8</t>
  </si>
  <si>
    <t>3ο ΗΜΕΡΗΣΙΟ ΓΕΝΙΚΟ ΛΥΚΕΙΟ ΝΙΚΑΙΑΣ</t>
  </si>
  <si>
    <t>3lyknika@sch.gr</t>
  </si>
  <si>
    <t>ΑΚΡΟΠΟΛΕΩΣ 53</t>
  </si>
  <si>
    <t>15ο ΔΗΜΟΤΙΚΟ ΣΧΟΛΕΙΟ ΝΙΚΑΙΑΣ</t>
  </si>
  <si>
    <t>1ο ΗΜΕΡΗΣΙΟ ΓΕΝΙΚΟ ΛΥΚΕΙΟ ΔΡΑΠΕΤΣΩΝΑΣ</t>
  </si>
  <si>
    <t>mail@1lyk-drapets.att.sch.gr</t>
  </si>
  <si>
    <t>ΑΓ ΠΑΝΤΕΛΕΗΜΟΝΟΣ 77</t>
  </si>
  <si>
    <t>4ο ΔΗΜΟΤΙΚΟ ΣΧΟΛΕΙΟ ΔΡΑΠΕΤΣΩΝΑΣ</t>
  </si>
  <si>
    <t>1ο ΗΜΕΡΗΣΙΟ ΓΕΝΙΚΟ ΛΥΚΕΙΟ ΚΟΡΥΔΑΛΛΟΥ - ΜΙΚΗΣ ΘΕΟΔΩΡΑΚΗΣ</t>
  </si>
  <si>
    <t>mail@1lyk-koryd.att.sch.gr</t>
  </si>
  <si>
    <t>19ο  ΔΗΜΟΤΙΚΟ ΣΧΟΛΕΙΟ ΝΙΚΑΙΑΣ</t>
  </si>
  <si>
    <t>ΡΑΛΛΕΙΟ ΓΕΝΙΚΟ ΛΥΚΕΙΟ ΘΗΛΕΩΝ ΠΕΙΡΑΙΑ</t>
  </si>
  <si>
    <t>lykralle@sch.gr</t>
  </si>
  <si>
    <t>ΓΡΗΓΟΡΙΟΥ ΛΑΜΠΡΑΚΗ 1</t>
  </si>
  <si>
    <t>38ο ΟΛΟΗΜΕΡΟ ΔΗΜΟΤΙΚΟ ΣΧΟΛΕΙΟ ΠΕΙΡΑΙΑΣ</t>
  </si>
  <si>
    <t>1ο ΗΜΕΡΗΣΙΟ ΓΕΝΙΚΟ ΛΥΚΕΙΟ ΝΙΚΑΙΑΣ</t>
  </si>
  <si>
    <t>mail@1lyk-nikaias.att.sch.gr</t>
  </si>
  <si>
    <t>ΚΥΠΡΟΥ &amp; ΣΑΜΨΟΥΝΤΟΣ</t>
  </si>
  <si>
    <t>23ο ΟΛΟΗΜΕΡΟ ΔΗΜΟΤΙΚΟ ΣΧΟΛΕΙΟ ΝΙΚΑΙΑΣ</t>
  </si>
  <si>
    <t>1ο ΕΚ Β ΠΕΙΡΑΙΑ ΣΑΛΑΜΙΝΑΣ</t>
  </si>
  <si>
    <t>mail@1sek-v-peiraia.att.sch.gr</t>
  </si>
  <si>
    <t xml:space="preserve"> ΣΑΛΑΜΙΝΑΣ</t>
  </si>
  <si>
    <t>ΖΩΟΔΟΧΟΥ ΠΗΓΗΣ 21</t>
  </si>
  <si>
    <t>2ο ΔΗΜΟΤΙΚΟ ΣΧΟΛΕΙΟ ΣΑΛΑΜΙΝΑΣ</t>
  </si>
  <si>
    <t>3ο ΔΗΜ. ΔΙΑΜΕΡ. ΠΕΙΡΑΙΩΣ</t>
  </si>
  <si>
    <t>2ο ΗΜΕΡΗΣΙΟ ΓΕΝΙΚΟ ΛΥΚΕΙΟ ΠΕΙΡΑΙΑ</t>
  </si>
  <si>
    <t>mail@2lyk-peiraia.att.sch.gr</t>
  </si>
  <si>
    <t>ΠΥΘΑΓΟΡΑ 22 &amp; Μ. Αλεξάνδρου</t>
  </si>
  <si>
    <t>35ο ΔΗΜΟΤΙΚΟ ΣΧΟΛΕΙΟ ΠΕΙΡΑΙΑ</t>
  </si>
  <si>
    <t>1ο ΗΜΕΡΗΣΙΟ ΕΠΑΛ ΣΑΛΑΜΙΝΑΣ</t>
  </si>
  <si>
    <t>mail@1epal-salam.att.sch.gr</t>
  </si>
  <si>
    <t>ΣΑΛΑΜΙΝΑ</t>
  </si>
  <si>
    <t>1ο ΗΜΕΡΗΣΙΟ ΓΕΝΙΚΟ ΛΥΚΕΙΟ ΣΑΛΑΜΙΝΑΣ</t>
  </si>
  <si>
    <t>mail@1lyk-salam.att.sch.gr</t>
  </si>
  <si>
    <t>Λ. ΦΑΝΕΡΩΜΕΝΗΣ 174</t>
  </si>
  <si>
    <t>3ο ΟΛΟΗΜΕΡΟ ΔΗΜΟΤΙΚΟ ΣΧΟΛΕΙΟ ΣΑΛΑΜΙΝΑΣ</t>
  </si>
  <si>
    <t>ΚΥΘΗΡΩΝ</t>
  </si>
  <si>
    <t>ΗΜΕΡΗΣΙΟ ΓΕΝΙΚΟ ΛΥΚΕΙΟ ΚΥΘΗΡΩΝ</t>
  </si>
  <si>
    <t>mail@lyk-kythir.att.sch.gr</t>
  </si>
  <si>
    <t>ΧΩΡΑ ΚΥΘΗΡΑ</t>
  </si>
  <si>
    <t>ΟΛΟΗΜΕΡΟ ΔΗΜΟΤΙΚΟ ΣΧΟΛΕΙΟ ΧΩΡΑΣ-ΚΑΡΒΟΥΝΑΔΩΝ ΚΥΘΗΡΩΝ</t>
  </si>
  <si>
    <t>10ο ΗΜΕΡΗΣΙΟ ΓΕΝΙΚΟ ΛΥΚΕΙΟ ΠΕΙΡΑΙΑ</t>
  </si>
  <si>
    <t>mail@10lyk-peiraia.att.sch.gr</t>
  </si>
  <si>
    <t>ΚΕΧΑΓΙΑ 6</t>
  </si>
  <si>
    <t>44ο ΔΗΜΟΤΙΚΟ ΣΧΟΛΕΙΟ ΠΕΙΡΑΙΑ</t>
  </si>
  <si>
    <t>1ο ΗΜΕΡΗΣΙΟ ΓΕΝΙΚΟ ΛΥΚΕΙΟ ΠΕΡΑΜΑΤΟΣ</t>
  </si>
  <si>
    <t>mail@1lyk-peram.att.sch.gr</t>
  </si>
  <si>
    <t>ΤΕΡΜΑ ΑΝΑΠΑΥΣΕΩΣ</t>
  </si>
  <si>
    <t>5ο ΔΗΜΟΤΙΚΟ ΣΧΟΛΕΙΟ ΠΕΡΑΜΑΤΟΣ</t>
  </si>
  <si>
    <t>7ο ΗΜΕΡΗΣΙΟ ΓΕΝΙΚΟ ΛΥΚΕΙΟ ΠΕΙΡΑΙΑ</t>
  </si>
  <si>
    <t>mail@7lyk-peiraia.att.sch.gr</t>
  </si>
  <si>
    <t>ΧΟΡΜΟΒΙΤΟΥ 195</t>
  </si>
  <si>
    <t>15ο ΗΜΕΡΗΣΙΟ ΓΕΝΙΚΟ ΛΥΚΕΙΟ ΠΕΙΡΑΙΑ</t>
  </si>
  <si>
    <t>mail@15lyk-peiraia.att.sch.gr</t>
  </si>
  <si>
    <t>ΛΑΚΩΝΙΑΣ ΚΑΙ Π.ΜΑΥΡΟΜΙΧΑΛΗ 26</t>
  </si>
  <si>
    <t>3ο ΗΜΕΡΗΣΙΟ ΓΕΝΙΚΟ ΛΥΚΕΙΟ ΚΟΡΥΔΑΛΛΟΥ</t>
  </si>
  <si>
    <t>mail@3lyk-koryd.att.sch.gr</t>
  </si>
  <si>
    <t>ΕΣΠΕΡΙΝΟ ΓΕΝΙΚΟ ΛΥΚΕΙΟ ΠΕΡΑΜΑΤΟΣ</t>
  </si>
  <si>
    <t>mail@lyk-esp-peram.att.sch.gr</t>
  </si>
  <si>
    <t>Λ. ΕΙΡΗΝΗΣ ΚΑΙ ΑΝΑΠΑΥΣΕΩΣ</t>
  </si>
  <si>
    <t>ΖΑΝΝΕΙΟ ΕΠΑΛ ΠΕΙΡΑΙΑ</t>
  </si>
  <si>
    <t>mail@6epal-peiraia.att.sch.gr</t>
  </si>
  <si>
    <t>ΕΣΠΕΡΙΝΟ ΓΕΝΙΚΟ ΛΥΚΕΙΟ ΝΙΚΑΙΑΣ</t>
  </si>
  <si>
    <t>mail@lyk-esp-nikaias.att.sch.gr</t>
  </si>
  <si>
    <t>4ο ΗΜΕΡΗΣΙΟ ΓΕΝΙΚΟ ΛΥΚΕΙΟ ΚΟΡΥΔΑΛΛΟΥ</t>
  </si>
  <si>
    <t>mail@4lyk-koryd.att.sch.gr</t>
  </si>
  <si>
    <t>4ο ΗΜΕΡΗΣΙΟ ΓΕΝΙΚΟ ΛΥΚΕΙΟ ΝΙΚΑΙΑΣ</t>
  </si>
  <si>
    <t>mail@4lyk-nikaias.att.sch.gr</t>
  </si>
  <si>
    <t>ΜΠΕΛΟΓΙΑΝΝΗ 132Α</t>
  </si>
  <si>
    <t>12ο ΔΗΜΟΤΙΚΟ ΣΧΟΛΕΙΟ ΝΙΚΑΙΑΣ</t>
  </si>
  <si>
    <t>1ο ΗΜΕΡΗΣΙΟ ΓΕΝΙΚΟ ΛΥΚΕΙΟ ΚΕΡΑΤΣΙΝΙΟΥ</t>
  </si>
  <si>
    <t>mail@1lyk-kerats.att.sch.gr</t>
  </si>
  <si>
    <t>ΥΨΗΛΑΝΤΟΥ 176 ΚΑΙ ΟΛΥΜΠΟΥ</t>
  </si>
  <si>
    <t>12ο ΔΗΜΟΤΙΚΟ ΣΧΟΛΕΙΟ ΚΕΡΑΤΣΙΝΙΟΥ</t>
  </si>
  <si>
    <t>ΣΠΕΤΣΩΝ</t>
  </si>
  <si>
    <t>ΗΜΕΡΗΣΙΟ ΓΕΝΙΚΟ ΛΥΚΕΙΟ ΣΠΕΤΣΩΝ</t>
  </si>
  <si>
    <t>mail@lyk-spets.att.sch.gr</t>
  </si>
  <si>
    <t>ΣΠΕΤΣΕΣ</t>
  </si>
  <si>
    <t>Α.Κ.Σ.Σ.</t>
  </si>
  <si>
    <t>ΔΗΜΟΤΙΚΟ ΣΧΟΛΕΙΟ ΣΠΕΤΣΩΝ</t>
  </si>
  <si>
    <t>1ο ΗΜΕΡΗΣΙΟ ΕΠΑΛ ΚΟΡΥΔΑΛΛΟΥ - ΕΠΑ.Λ ΚΟΡΥΔΑΛΛΟΥ</t>
  </si>
  <si>
    <t>mail@1epal-koryd.att.sch.gr</t>
  </si>
  <si>
    <t>ΚΑΡΑΟΛΗ-ΔΗΜΗΤΡΙΟΥ 68-70</t>
  </si>
  <si>
    <t>5ο ΟΛΟΗΜΕΡΟ ΔΗΜΟΤΙΚΟ ΣΧΟΛΕΙΟ ΚΟΡΥΔΑΛΛΟΥ</t>
  </si>
  <si>
    <t>4ο Ε.Κ ΠΕΙΡΑΙΑ - ΝΙΚΑΙΑ - ΡΕΝΤΗ</t>
  </si>
  <si>
    <t>mail@4sek-a-peiraia.att.sch.gr</t>
  </si>
  <si>
    <t>ΚΙΛΙΚΙΑΣ ΚΑΙ ΒΕΡΟΙΑΣ 2</t>
  </si>
  <si>
    <t>14ο ΔΗΜΟΤΙΚΟ ΣΧΟΛΕΙΟ ΝΙΚΑΙΑΣ</t>
  </si>
  <si>
    <t>2ο Ε.Κ. Β ΠΕΙΡΑΙΑ - (ΑΙΓΙΝΑΣ)</t>
  </si>
  <si>
    <t>mail@2sek-b-peiraia.att.sch.gr</t>
  </si>
  <si>
    <t>Β ΠΕΙΡΑΙΑ</t>
  </si>
  <si>
    <t>Λ. ΚΑΠΟΔΙΣΤΡΙΟΥ</t>
  </si>
  <si>
    <t>3ο ΗΜΕΡΗΣΙΟ ΕΠΑΛ ΠΕΙΡΑΙΑ</t>
  </si>
  <si>
    <t>mail@3epal-peiraia.att.sch.gr</t>
  </si>
  <si>
    <t>ΣΑΛΑΜΙΝΟΣ 4  ΚΑΙ ΒΛΑΧΑΚΟΥ</t>
  </si>
  <si>
    <t>1ο ΗΜΕΡΗΣΙΟ ΕΠΑΛ ΠΕΙΡΑΙΑ</t>
  </si>
  <si>
    <t>mail@1epal-peiraia.att.sch.gr</t>
  </si>
  <si>
    <t>ΑΘΗΝΩΝ - ΠΕΙΡΑΙΩΣ 95</t>
  </si>
  <si>
    <t>ΕΣΠΕΡΙΝΟ ΓΕΝΙΚΟ ΛΥΚΕΙΟ ΚΟΡΥΔΑΛΛΟΥ</t>
  </si>
  <si>
    <t>mail@lyk-esp-koryd.att.sch.gr</t>
  </si>
  <si>
    <t>3ο ΗΜΕΡΗΣΙΟ ΓΕΝΙΚΟ ΛΥΚΕΙΟ ΚΕΡΑΤΣΙΝΙΟΥ</t>
  </si>
  <si>
    <t>mail@3lyk-kerats.att.sch.gr</t>
  </si>
  <si>
    <t>ΤΕΡΜΑ ΜΥΣΤΡΑ ΚΑΙ ΚΩΝΣΤΑΝΤΙΝΟΥΠΟΛΕΩΣ</t>
  </si>
  <si>
    <t>ΠΡΟΤΥΠΟ ΓΕΝΙΚΟ ΛΥΚΕΙΟ ΙΩΝΙΔΕΙΟΥ ΣΧΟΛΗΣ ΠΕΙΡΑΙΑ</t>
  </si>
  <si>
    <t>mail@lyk-peir-ionid.att.sch.gr</t>
  </si>
  <si>
    <t>ΣΩΤΗΡΟΣ ΔΙΟΣ 17</t>
  </si>
  <si>
    <t>21ο ΔΗΜΟΤΙΚΟ ΣΧΟΛΕΙΟ ΠΕΙΡΑΙΑ</t>
  </si>
  <si>
    <t>1ο ΗΜΕΡΗΣΙΟ ΕΠΑΛ ΔΡΑΠΕΤΣΩΝΑΣ</t>
  </si>
  <si>
    <t>mail@1epal-drapets.att.sch.gr</t>
  </si>
  <si>
    <t>2ο ΕΣΠΕΡΙΝΟ ΕΠΑΛ ΠΕΙΡΑΙΑ</t>
  </si>
  <si>
    <t>mail@2epal-esp-peiraia.att.sch.gr</t>
  </si>
  <si>
    <t>ΛΕΩΦ. ΑΘΗΝΩΝ -ΠΕΙΡΑΙΩΣ 95</t>
  </si>
  <si>
    <t>5ο ΗΜΕΡΗΣΙΟ ΓΕΝΙΚΟ ΛΥΚΕΙΟ ΝΙΚΑΙΑΣ</t>
  </si>
  <si>
    <t>mail@5lyk-nikaias.att.sch.gr</t>
  </si>
  <si>
    <t>ΣΙΚΕΛΙΑΝΟΥ ΚΑΙ ΒΕΡΓΙΝΑΣ 30</t>
  </si>
  <si>
    <t>25ο ΔΗΜΟΤΙΚΟ ΣΧΟΛΕΙΟ ΝΙΚΑΙΑΣ</t>
  </si>
  <si>
    <t>ΖΑΝΝΕΙΟ ΠΡΟΤΥΠΟ ΓΥΜΝΑΣΙΟ</t>
  </si>
  <si>
    <t>gymzanne@sch.gr</t>
  </si>
  <si>
    <t>3ο ΟΛΟΗΜΕΡΟ ΔΗΜΟΤΙΚΟ ΣΧΟΛΕΙΟ ΠΕΙΡΑΙΑ</t>
  </si>
  <si>
    <t>5ο ΗΜΕΡΗΣΙΟ ΓΥΜΝΑΣΙΟ ΚΟΡΥΔΑΛΛΟΥ</t>
  </si>
  <si>
    <t>mail@5gym-koryd.att.sch.gr</t>
  </si>
  <si>
    <t>ΣΤΑΜΑΤΟΠΟΥΛΟΥ 1</t>
  </si>
  <si>
    <t>2ο ΗΜΕΡΗΣΙΟ ΓΥΜΝΑΣΙΟ ΔΡΑΠΕΤΣΩΝΑΣ</t>
  </si>
  <si>
    <t>mail@2gym-drapets.att.sch.gr</t>
  </si>
  <si>
    <t>7ο ΗΜΕΡΗΣΙΟ ΓΥΜΝΑΣΙΟ ΚΕΡΑΤΣΙΝΙΟΥ</t>
  </si>
  <si>
    <t>7gymkera@sch.gr</t>
  </si>
  <si>
    <t>ΖΑΠΠΑ ΚΑΙ ΠΑΠΑΝΑΣΤΑΣΙΟΥ</t>
  </si>
  <si>
    <t>1ο  ΔΗΜΟΤΙΚΟ ΣΧΟΛΕΙΟ ΚΕΡΑΤΣΙΝΙΟΥ</t>
  </si>
  <si>
    <t>1ο ΗΜΕΡΗΣΙΟ ΓΥΜΝΑΣΙΟ ΣΑΛΑΜΙΝΑΣ</t>
  </si>
  <si>
    <t>mail@1gym-salam.att.sch.gr</t>
  </si>
  <si>
    <t>ΖΩΟΔΟΧΟΥ ΠΗΓΗΣ 19</t>
  </si>
  <si>
    <t>4ο ΗΜΕΡΗΣΙΟ ΓΥΜΝΑΣΙΟ ΝΙΚΑΙΑΣ - ΗΛΙΑΣ ΒΕΝΕΖΗΣ</t>
  </si>
  <si>
    <t>mail@4gym-nikaias.att.sch.gr</t>
  </si>
  <si>
    <t>ΑΚΡΟΠΟΛΕΩΣ 51</t>
  </si>
  <si>
    <t>30ο ΟΛΟΗΜΕΡΟ ΔΗΜΟΤΙΚΟ ΣΧΟΛΕΙΟ ΠΕΙΡΑΙΑ</t>
  </si>
  <si>
    <t>ΗΜΕΡΗΣΙΟ ΓΥΜΝΑΣΙΟ ΥΔΡΑΣ</t>
  </si>
  <si>
    <t>mail@gym-ydras.att.sch.gr</t>
  </si>
  <si>
    <t>ΗΜΕΡΗΣΙΟ ΓΥΜΝΑΣΙΟ ΝΕΟΥ ΦΑΛΗΡΟΥ "ΓΕΩΡΓΙΟΣ ΚΑΡΑΪΣΚΑΚΗΣ"</t>
  </si>
  <si>
    <t>mail@gym-n-falir.att.sch.gr</t>
  </si>
  <si>
    <t>ΝΕΟ ΦΑΛΗΡΟ</t>
  </si>
  <si>
    <t>ΔΑΒΑΚΗ ΠΙΝΔΟΥ ΚΑΙ ΔΙΑΜΑΝΤΗ 2</t>
  </si>
  <si>
    <t>1ο ΔΗΜΟΤΙΚΟ ΣΧΟΛΕΙΟ ΝΕΟΥ ΦΑΛΗΡΟΥ</t>
  </si>
  <si>
    <t>1ο ΗΜΕΡΗΣΙΟ ΓΥΜΝΑΣΙΟ ΠΕΙΡΑΙΑ</t>
  </si>
  <si>
    <t>mail@1gym-peiraia.att.sch.gr</t>
  </si>
  <si>
    <t>1ο ΗΜΕΡΗΣΙΟ ΓΥΜΝΑΣΙΟ ΠΕΡΑΜΑΤΟΣ</t>
  </si>
  <si>
    <t>mail@1gym-peram.att.sch.gr</t>
  </si>
  <si>
    <t>ΕΙΡΗΝΗΣ-ΑΝΑΠΑΥΣΕΩΣ</t>
  </si>
  <si>
    <t>6ο Ε.Κ. ΠΕΙΡΑΙΑ ΚΟΡΥΔΑΛΛΟΥ</t>
  </si>
  <si>
    <t>mail@6sek-a-peiraia.att.sch.gr</t>
  </si>
  <si>
    <t>ΠΕΙΡΑΙΑ ΚΟΡΥΔΑΛΛΟΥ</t>
  </si>
  <si>
    <t>ΚΑΡΑΟΛΗ ΔΗΜΗΤΡΙΟΥ  68-70</t>
  </si>
  <si>
    <t>10ο ΗΜΕΡΗΣΙΟ ΓΥΜΝΑΣΙΟ ΠΕΙΡΑΙΑ</t>
  </si>
  <si>
    <t>mail@10gym-peiraia.att.sch.gr</t>
  </si>
  <si>
    <t>ΕΛ.ΒΕΝΙΖΕΛΟΥ 39</t>
  </si>
  <si>
    <t>3ο ΗΜΕΡΗΣΙΟ ΓΥΜΝΑΣΙΟ ΚΕΡΑΤΣΙΝΙΟΥ</t>
  </si>
  <si>
    <t>mail@3gym-kerats.att.sch.gr</t>
  </si>
  <si>
    <t>ΖΑΠΠΑ-ΠΑΠΑΝΑΣΤΑΣΙΟΥ</t>
  </si>
  <si>
    <t>4ο ΗΜΕΡΗΣΙΟ ΓΥΜΝΑΣΙΟ ΚΕΡΑΤΣΙΝΙΟΥ</t>
  </si>
  <si>
    <t>mail@4gym-kerats.att.sch.gr</t>
  </si>
  <si>
    <t>Λ.ΣΧΙΣΤΟΥ ΚΑΙ ΥΨΗΛΑΝΤΟΥ</t>
  </si>
  <si>
    <t>1ο ΗΜΕΡΗΣΙΟ ΓΥΜΝΑΣΙΟ ΑΙΓΙΝΑΣ - ΚΑΠΟΔΙΣΤΡΙΑΚΟ</t>
  </si>
  <si>
    <t>mail@1gym-aigin.att.sch.gr</t>
  </si>
  <si>
    <t>ΓΥΜΝΑΣΙΟ ΚΥΘΗΡΩΝ</t>
  </si>
  <si>
    <t>mail@gym-kythir.att.sch.gr</t>
  </si>
  <si>
    <t>ΚΥΘΗΡΑ</t>
  </si>
  <si>
    <t>ΚΥΘΗΡΑ - ΧΩΡΑ</t>
  </si>
  <si>
    <t>7ο ΗΜΕΡΗΣΙΟ ΓΥΜΝΑΣΙΟ ΚΟΡΥΔΑΛΛΟΥ</t>
  </si>
  <si>
    <t>mail@7gym-koryd.att.sch.gr</t>
  </si>
  <si>
    <t>Μ.ΑΣΙΑΣ ΚΑΙ ΧΕΙΜΑΡΑΣ</t>
  </si>
  <si>
    <t>1ο ΕΣΠΕΡΙΝΟ ΓΥΜΝΑΣΙΟ ΠΕΙΡΑΙΑ</t>
  </si>
  <si>
    <t>mail@1gym-esp-peiraia.att.sch.gr</t>
  </si>
  <si>
    <t>Πειραιάς</t>
  </si>
  <si>
    <t>Σωτήρος Διός 17</t>
  </si>
  <si>
    <t>5ο ΗΜΕΡΗΣΙΟ ΓΥΜΝΑΣΙΟ ΝΙΚΑΙΑΣ</t>
  </si>
  <si>
    <t>mail@5gym-nikaias.att.sch.gr</t>
  </si>
  <si>
    <t>ΠΡΑΞΙΤΕΛΟΥΣ 91</t>
  </si>
  <si>
    <t>13ο ΔΗΜΟΤΙΚΟ ΣΧΟΛΕΙΟ ΝΙΚΑΙΑΣ</t>
  </si>
  <si>
    <t>2ο ΗΜΕΡΗΣΙΟ ΓΥΜΝΑΣΙΟ ΚΕΡΑΤΣΙΝΙΟΥ</t>
  </si>
  <si>
    <t>mail@2gym-kerats.att.sch.gr</t>
  </si>
  <si>
    <t>6ο ΗΜΕΡΗΣΙΟ ΓΥΜΝΑΣΙΟ ΠΕΙΡΑΙΑ</t>
  </si>
  <si>
    <t>mail@6gym-peiraia.att.sch.gr</t>
  </si>
  <si>
    <t>Γ. ΘΕΟΤΟΚΗ 62</t>
  </si>
  <si>
    <t>56ο ΔΗΜΟΤΙΚΟ ΣΧΟΛΕΙΟ ΠΕΙΡΑΙΑ</t>
  </si>
  <si>
    <t>2ο ΗΜΕΡΗΣΙΟ ΓΥΜΝΑΣΙΟ ΑΙΓΙΝΑΣ</t>
  </si>
  <si>
    <t>mail@2gym-aigin.att.sch.gr</t>
  </si>
  <si>
    <t>Γ. ΛΥΚΟΥΡΗ 2</t>
  </si>
  <si>
    <t>ΟΛΟΗΜΕΡΟ ΔΗΜΟΤΙΚΟ ΣΧΟΛΕΙΟ ΚΥΨΕΛΗΣ</t>
  </si>
  <si>
    <t>9ο ΗΜΕΡΗΣΙΟ ΓΥΜΝΑΣΙΟ ΠΕΙΡΑΙΑ - ΕΝΑΤΟ ΓΥΜΝΑΣΙΟ ΠΕΙΡΑΙΑ</t>
  </si>
  <si>
    <t>mail@9gym-peiraia.att.sch.gr</t>
  </si>
  <si>
    <t>ΣΗΡΑΓΓΕΙΟΥ 5</t>
  </si>
  <si>
    <t>9ο ΗΜΕΡΗΣΙΟ ΓΥΜΝΑΣΙΟ ΝΙΚΑΙΑΣ</t>
  </si>
  <si>
    <t>mail@9gym-nikaias.att.sch.gr</t>
  </si>
  <si>
    <t>ΑΓΓΕΛΟΥ ΣΙΚΕΛΙΑΝΟΥ 24</t>
  </si>
  <si>
    <t>14ο ΗΜΕΡΗΣΙΟ ΓΥΜΝΑΣΙΟ ΠΕΙΡΑΙΑ</t>
  </si>
  <si>
    <t>14gympei@sch.gr</t>
  </si>
  <si>
    <t>Κω &amp; Αγίων Αναργύρων</t>
  </si>
  <si>
    <t>18ο ΔΗΜΟΤΙΚΟ ΣΧΟΛΕΙΟ ΠΕΙΡΑΙΑ</t>
  </si>
  <si>
    <t>2ο ΗΜΕΡΗΣΙΟ ΓΥΜΝΑΣΙΟ ΣΑΛΑΜΙΝΑΣ</t>
  </si>
  <si>
    <t>mail@2gym-salam.att.sch.gr</t>
  </si>
  <si>
    <t>ΓΕΩΡΓΙΟΥ ΠΑΠΑΝΔΡΕΟΥ ΚΑΙ ΥΔΡΑΣ</t>
  </si>
  <si>
    <t>5ο ΔΗΜΟΤΙΚΟ ΣΧΟΛΕΙΟ ΣΑΛΑΜΙΝΑΣ</t>
  </si>
  <si>
    <t>3ο ΗΜΕΡΗΣΙΟ ΓΥΜΝΑΣΙΟ ΝΙΚΑΙΑΣ</t>
  </si>
  <si>
    <t>mail@3gym-nikaias.att.sch.gr</t>
  </si>
  <si>
    <t>ΜΥΛΑΣΣΩΝ ΚΑΙ ΑΡΜΕΝΙΩΝ ΠΡΟΣΚΟΠΩΝ</t>
  </si>
  <si>
    <t>8ο ΔΗΜΟΤΙΚΟ ΣΧΟΛΕΙΟ ΝΙΚΑΙΑΣ</t>
  </si>
  <si>
    <t>8ο ΗΜΕΡΗΣΙΟ ΓΥΜΝΑΣΙΟ ΚΟΡΥΔΑΛΛΟΥ</t>
  </si>
  <si>
    <t>mail@8gym-koryd.att.sch.gr</t>
  </si>
  <si>
    <t>ΑΡΚΕΣΙΝΗΣ 5</t>
  </si>
  <si>
    <t>6ο ΗΜΕΡΗΣΙΟ ΓΥΜΝΑΣΙΟ ΚΕΡΑΤΣΙΝΙΟΥ</t>
  </si>
  <si>
    <t>mail@6gym-kerats.att.sch.gr</t>
  </si>
  <si>
    <t>ΠΗΛΙΟΥ 11, ΚΩΣΤΗ ΠΑΛΑΜΑ ΚΑΙ ΑΝΔΡΕΑ ΜΙΑΟΥΛΗ</t>
  </si>
  <si>
    <t>3ο ΗΜΕΡΗΣΙΟ ΓΥΜΝΑΣΙΟ ΚΟΡΥΔΑΛΛΟΥ</t>
  </si>
  <si>
    <t>mail@3gym-koryd.att.sch.gr</t>
  </si>
  <si>
    <t>ΑΓΙΟΥ ΓΕΩΡΓΙΟΥ 58</t>
  </si>
  <si>
    <t>16ο ΔΗΜΟΤΙΚΟ ΣΧΟΛΕΙΟ ΚΟΡΥΔΑΛΛΟΥ</t>
  </si>
  <si>
    <t>7ο ΓΥΜΝΑΣΙΟ ΝΙΚΑΙΑΣ</t>
  </si>
  <si>
    <t>mail@7gym-nikaias.att.sch.gr</t>
  </si>
  <si>
    <t>ΠΑΝΤΕΙΧΙΟΥ 23</t>
  </si>
  <si>
    <t>ΠΟΡΟΥ</t>
  </si>
  <si>
    <t>ΗΜΕΡΗΣΙΟ ΓΥΜΝΑΣΙΟ ΠΟΡΟΥ</t>
  </si>
  <si>
    <t>mail@gym-porou.att.sch.gr</t>
  </si>
  <si>
    <t>ΠΟΡΟΣ</t>
  </si>
  <si>
    <t>ΠΑΠΑΔΟΠΟΥΛΟΥ 58</t>
  </si>
  <si>
    <t>2ο  ΔΗΜΟΤΙΚΟ ΣΧΟΛΕΙΟ ΠΟΡΟΥ</t>
  </si>
  <si>
    <t>ΡΑΛΛΕΙΟ ΓΥΜΝΑΣΙΟ ΘΗΛΕΩΝ ΠΕΙΡΑΙΑ</t>
  </si>
  <si>
    <t>mail@gym-ralleion.att.sch.gr</t>
  </si>
  <si>
    <t>ΕΠΟΝΙΤΩΝ 21 &amp; ΠΕΙΡΑΙΩΣ</t>
  </si>
  <si>
    <t>2ο ΗΜΕΡΗΣΙΟ ΓΥΜΝΑΣΙΟ ΚΟΡΥΔΑΛΛΟΥ</t>
  </si>
  <si>
    <t>mail@2gym-koryd.att.sch.gr</t>
  </si>
  <si>
    <t>ΨΑΡΩΝ 15</t>
  </si>
  <si>
    <t>2ο ΔΗΜΟΤΙΚΟ ΣΧΟΛΕΙΟ ΚΟΡΥΔΑΛΛΟΥ</t>
  </si>
  <si>
    <t>2ο ΗΜΕΡΗΣΙΟ ΓΥΜΝΑΣΙΟ ΝΙΚΑΙΑΣ - ΜΑΡΙΑΝΘΗ ΣΚΑΛΑ</t>
  </si>
  <si>
    <t>mail@2gym-nikaias.att.sch.gr</t>
  </si>
  <si>
    <t>ΚΙΛΙΚΙΑΣ ΚΑΙ ΕΦΕΣΟΥ</t>
  </si>
  <si>
    <t>ΑΓΚΙΣΤΡΙΟΥ</t>
  </si>
  <si>
    <t>ΗΜΕΡΗΣΙΟ ΓΥΜΝΑΣΙΟ ΑΓΚΙΣΤΡΙΟΥ ΜΕ ΛΥΚΕΙΑΚΕΣ ΤΑΞΕΙΣ</t>
  </si>
  <si>
    <t>mail@gym-agkistr.att.sch.gr</t>
  </si>
  <si>
    <t>ΑΓΚΙΣΤΡΙ</t>
  </si>
  <si>
    <t>ΣΚΑΛΑ</t>
  </si>
  <si>
    <t>ΔΗΜΟΤΙΚΟ ΣΧΟΛΕΙΟ ΑΓΚΙΣΤΡΙ</t>
  </si>
  <si>
    <t>1ο ΗΜΕΡ. ΓΥΜΝΑΣΙΟ ΑΓΙΟΥ ΙΩΑΝΝΗ ΡΕΝΤΗ - "ΑΛ. ΠΑΠΑΔΙΑΜΑΝΤΗΣ"</t>
  </si>
  <si>
    <t>mail@1gym-ag-ioann.att.sch.gr</t>
  </si>
  <si>
    <t>ΑΓΙΟΣ ΙΩΑΝΝΗΣ ΡΕΝΤΗ</t>
  </si>
  <si>
    <t>Ν ΜΑΝΔΗΛΑΡΑ 14 &amp; ΦΛΕΜΙΝΓΚ</t>
  </si>
  <si>
    <t>ΠΡΟΤΥΠΟ ΓΥΜΝΑΣΙΟ ΙΩΝΙΔΕΙΟΥ ΣΧΟΛΗΣ ΠΕΙΡΑΙΑ</t>
  </si>
  <si>
    <t>gympeiri@sch.gr</t>
  </si>
  <si>
    <t>1ο ΗΜΕΡΗΣΙΟ ΓΥΜΝΑΣΙΟ ΚΑΛΛΙΠΟΛΗΣ ΠΕΙΡΑΙΑ</t>
  </si>
  <si>
    <t>mail@1gym-kallip.att.sch.gr</t>
  </si>
  <si>
    <t>ΚΑΛΛΙΠΟΛΗ ΠΕΙΡΑΙΑΣ</t>
  </si>
  <si>
    <t>Μ.ΧΑΤΖΗΚΥΡΙΑΚΟΥ 27</t>
  </si>
  <si>
    <t>13ο ΗΜΕΡΗΣΙΟ ΓΥΜΝΑΣΙΟ ΠΕΙΡΑΙΑ</t>
  </si>
  <si>
    <t>mail@13gym-peiraia.att.sch.gr</t>
  </si>
  <si>
    <t>ΗΜΕΡΗΣΙΟ ΓΥΜΝΑΣΙΟ ΑΙΑΝΤΕΙΟΥ</t>
  </si>
  <si>
    <t>mail@gym-aiant.att.sch.gr</t>
  </si>
  <si>
    <t>ΑΙΑΝΤΕΙΟΥ</t>
  </si>
  <si>
    <t>ΒΑΣΙΛΕΩΣ  ΓΕΩΡΓΙΟΥ &amp;  ΜΥΤΙΛΗΝΗΣ ΑΙΑΝΤΕΙΟ ΣΑΛΑΜΙΝΑΣ</t>
  </si>
  <si>
    <t>1ο ΔΗΜΟΤΙΚΟ ΣΧΟΛΕΙΟ ΣΑΛΑΜΙΝΑΣ</t>
  </si>
  <si>
    <t>4ο ΗΜΕΡΗΣΙΟ ΓΥΜΝΑΣΙΟ ΚΟΡΥΔΑΛΛΟΥ</t>
  </si>
  <si>
    <t>mail@4gym-koryd.att.sch.gr</t>
  </si>
  <si>
    <t>ΕΣΠΕΡΙΝΟ ΓΥΜΝΑΣΙΟ ΝΙΚΑΙΑΣ</t>
  </si>
  <si>
    <t>mail@gym-esp-nikaias.att.sch.gr</t>
  </si>
  <si>
    <t>ΚΥΠΡΟΥ ΚΑΙ ΣΑΜΨΟΥΝΤΟΣ  1</t>
  </si>
  <si>
    <t>6ο ΔΗΜΟΤΙΚΟ ΣΧΟΛΕΙΟ ΝΙΚΑΙΑΣ</t>
  </si>
  <si>
    <t>ΕΣΠΕΡΙΝΟ ΓΥΜΝΑΣΙΟ ΠΕΡΑΜΑΤΟΣ</t>
  </si>
  <si>
    <t>mail@gym-esp-peram.att.sch.gr</t>
  </si>
  <si>
    <t>Λ.ΕΙΡΗΝΗΣ ΚΑΙ ΑΝΑΠΑΥΣΕΩΣ</t>
  </si>
  <si>
    <t>5ο ΗΜΕΡΗΣΙΟ ΓΥΜΝΑΣΙΟ ΚΕΡΑΤΣΙΝΙΟΥ</t>
  </si>
  <si>
    <t>mail@5gym-kerats.att.sch.gr</t>
  </si>
  <si>
    <t>ΣΩΚΡΑΤΟΥΣ  217</t>
  </si>
  <si>
    <t>21ο ΔΗΜΟΤΙΚΟ ΣΧΟΛΕΙΟ ΚΕΡΑΤΣΙΝΙΟΥ</t>
  </si>
  <si>
    <t>1ο ΗΜΕΡΗΣΙΟ ΓΥΜΝΑΣΙΟ ΚΕΡΑΤΣΙΝΙΟΥ</t>
  </si>
  <si>
    <t>mail@1gym-kerats.att.sch.gr</t>
  </si>
  <si>
    <t>ΚΩΝΣΤΑΝΤΙΝΟΥΠΟΛΕΩΣ ΚΑΙ ΜΥΣΤΡΑ</t>
  </si>
  <si>
    <t>6ο ΗΜΕΡΗΣΙΟ ΓΥΜΝΑΣΙΟ ΝΙΚΑΙΑΣ - ΓΕΩΡΓΙΟΣ ΣΕΦΕΡΗΣ</t>
  </si>
  <si>
    <t>mail@6gym-nikaias.att.sch.gr</t>
  </si>
  <si>
    <t>ΜΑΝΤΟΥΒΑΛΟΥ &amp; ΠΑΠΑΦΛΕΣΣΑ</t>
  </si>
  <si>
    <t>ΗΜΕΡΗΣΙΟ ΓΥΜΝΑΣΙΟ ΣΠΕΤΣΩΝ</t>
  </si>
  <si>
    <t>mail@gym-spets.att.sch.gr</t>
  </si>
  <si>
    <t>10ο ΗΜΕΡΗΣΙΟ ΓΥΜΝΑΣΙΟ ΝΙΚΑΙΑΣ</t>
  </si>
  <si>
    <t>mail@10gym-nikaias.att.sch.gr</t>
  </si>
  <si>
    <t>ΑΡΤΕΜΙΔΟΣ 25</t>
  </si>
  <si>
    <t>26ο ΔΗΜΟΤΙΚΟ ΣΧΟΛΕΙΟ ΝΙΚΑΙΑΣ</t>
  </si>
  <si>
    <t>7ο Ε.Κ. Α' ΠΕΙΡΑΙΑ (ΠΕΡΑΜΑΤΟΣ)</t>
  </si>
  <si>
    <t>mail@7sek-a-peiraia.att.sch.gr</t>
  </si>
  <si>
    <t>ΠΕΙΡΑΙΑ  ΠΕΡΑΜΑΤΟΣ</t>
  </si>
  <si>
    <t>Λ. ΔΗΜΟΚΡΑΤΙΑΣ ΚΑΙ ΜΑΡΙΑΣ ΚΙΟΥΡΙ</t>
  </si>
  <si>
    <t>11ο ΗΜΕΡΗΣΙΟ ΓΥΜΝΑΣΙΟ ΝΙΚΑΙΑΣ - ΓΙΑΝΝΗΣ ΡΙΤΣΟΣ</t>
  </si>
  <si>
    <t>mail@11gym-nikaias.att.sch.gr</t>
  </si>
  <si>
    <t>ΠΕΤΡΟΥ ΡΑΛΛΗ 182</t>
  </si>
  <si>
    <t>7ο ΓΥΜΝΑΣΙΟ ΠΕΙΡΑΙΑ</t>
  </si>
  <si>
    <t>mail@7gym-peiraia.att.sch.gr</t>
  </si>
  <si>
    <t>ΣΠΑΡΤΗΣ 140</t>
  </si>
  <si>
    <t>3ο ΗΜΕΡΗΣΙΟ ΓΥΜΝΑΣΙΟ ΠΕΡΑΜΑΤΟΣ</t>
  </si>
  <si>
    <t>mail@3gym-peram.att.sch.gr</t>
  </si>
  <si>
    <t>ΛΕΩΦΟΡΟΣ ΔΗΜΟΚΡΑΤΙΑΣ ΚΑΙ ΣΟΥΛΙΟΥ 4</t>
  </si>
  <si>
    <t>1ο ΗΜΕΡΗΣΙΟ ΓΥΜΝΑΣΙΟ ΔΡΑΠΕΤΣΩΝΑΣ</t>
  </si>
  <si>
    <t>mail@1gym-drapets.att.sch.gr</t>
  </si>
  <si>
    <t>ΑΓΙΟΥ ΠΑΝΤΕΛΕΗΜΟΝΟΣ 77</t>
  </si>
  <si>
    <t>ΗΜΕΡΗΣΙΟ ΓΕΝΙΚΟ ΛΥΚΕΙΟ ΑΜΠΕΛΑΚΙΩΝ ΣΑΛΑΜΙΝΑΣ</t>
  </si>
  <si>
    <t>mail@lyk-ampel.att.sch.gr</t>
  </si>
  <si>
    <t>ΛΕΩΦΟΡΟΣ ΔΗΜΟΚΡΑΤΙΑΣ</t>
  </si>
  <si>
    <t>3ο ΗΜΕΡΗΣΙΟ ΓΥΜΝΑΣΙΟ ΣΑΛΑΜΙΝΑΣ</t>
  </si>
  <si>
    <t>mail@3gym-salam.att.sch.gr</t>
  </si>
  <si>
    <t>ΖΩΟΔΟΧΟΥ ΠΗΓΗΣ 1</t>
  </si>
  <si>
    <t>8ο ΗΜΕΡΗΣΙΟ ΓΥΜΝΑΣΙΟ ΠΕΙΡΑΙΑ</t>
  </si>
  <si>
    <t>mail@8gym-peiraia.att.sch.gr</t>
  </si>
  <si>
    <t>ΚΟΥΜΟΥΝΔΟΥΡΟΥ 91</t>
  </si>
  <si>
    <t>6ο ΔΗΜΟΤΙΚΟ ΣΧΟΛΕΙΟ ΠΕΙΡΑΙΑ</t>
  </si>
  <si>
    <t>1ο ΗΜΕΡΗΣΙΟ ΓΥΜΝΑΣΙΟ ΝΙΚΑΙΑΣ</t>
  </si>
  <si>
    <t>1gymnika@sch.gr</t>
  </si>
  <si>
    <t>4ο ΗΜΕΡΗΣΙΟ ΓΕΝΙΚΟ ΛΥΚΕΙΟ ΚΕΡΑΤΣΙΝΙΟΥ</t>
  </si>
  <si>
    <t>4lykerat@sch.gr</t>
  </si>
  <si>
    <t>ΣΩΚΡΑΤΟΥΣ ΚΑΙ ΠΡΟΠΟΝΤΙΔΟΣ</t>
  </si>
  <si>
    <t>2ο ΗΜΕΡΗΣΙΟ ΓΥΜΝΑΣΙΟ ΚΑΛΛΙΠΟΛΗΣ</t>
  </si>
  <si>
    <t>mail@2gym-kallip.att.sch.gr</t>
  </si>
  <si>
    <t>ΚΑΛΛΙΠΟΛΗ</t>
  </si>
  <si>
    <t>ΚΑΡΠΑΘΟΥ 126</t>
  </si>
  <si>
    <t>34ο ΔΗΜΟΤΙΚΟ ΣΧΟΛΕΙΟ ΠΕΙΡΑΙΑ</t>
  </si>
  <si>
    <t>2ο ΗΜΕΡΗΣΙΟ ΓΕΝΙΚΟ ΛΥΚΕΙΟ ΣΑΛΑΜΙΝΑΣ</t>
  </si>
  <si>
    <t>mail@2lyk-salam.att.sch.gr</t>
  </si>
  <si>
    <t>Λ.ΦΑΝΕΡΩΜΕΝΗΣ</t>
  </si>
  <si>
    <t>3ο ΕΚ ΠΕΙΡΑΙΑ</t>
  </si>
  <si>
    <t>mail@3sek-peiraia.att.sch.gr</t>
  </si>
  <si>
    <t>Μ.ΜΠΟΤΣΑΡΗ 124</t>
  </si>
  <si>
    <t>1ο ΔΗΜΟΤΙΚΟ ΣΧΟΛΕΙΟ ΔΡΑΠΕΤΣΩΝΑΣ</t>
  </si>
  <si>
    <t>1ο ΗΜΕΡΗΣΙΟ ΕΠΑΛ ΠΕΡΑΜΑΤΟΣ</t>
  </si>
  <si>
    <t>mail@1epal-peram.att.sch.gr</t>
  </si>
  <si>
    <t>Λ. ΔΗΜΟΚΡΑΤΙΑΣ ΚΑΙ Μ. ΚΙΟΥΡΙ</t>
  </si>
  <si>
    <t>ΗΜΕΡΗΣΙΟ ΓΕΝΙΚΟ ΛΥΚΕΙΟ ΠΟΡΟΥ</t>
  </si>
  <si>
    <t>mail@lyk-porou.att.sch.gr</t>
  </si>
  <si>
    <t>1ο ΟΛΟΗΜΕΡΟ ΔΗΜΟΤΙΚΟ ΣΧΟΛΕΙΟ ΠΟΡΟΥ</t>
  </si>
  <si>
    <t>1ο ΗΜΕΡΗΣΙΟ ΕΠΑΛ ΝΙΚΑΙΑΣ "ΠΑΝΑΓΙΩΤΗΣ ΓΙΑΝΝΑΚΗΣ"</t>
  </si>
  <si>
    <t>mail@1epal-nikaias.att.sch.gr</t>
  </si>
  <si>
    <t>ΓΥΜΝΑΣΙΟ ΚΑΜΙΝΙΩΝ</t>
  </si>
  <si>
    <t>mail@gym-kamin.att.sch.gr</t>
  </si>
  <si>
    <t>ΔΩΔΕΚΑΝΗΣΟΥ 28-30,</t>
  </si>
  <si>
    <t>15ο ΔΗΜΟΤΙΚΟ ΣΧΟΛΕΙΟ ΠΕΙΡΑΙΑ</t>
  </si>
  <si>
    <t>2ο ΗΜΕΡΗΣΙΟ ΓΥΜΝΑΣΙΟ ΠΕΡΑΜΑΤΟΣ</t>
  </si>
  <si>
    <t>mail@2gym-peram.att.sch.gr</t>
  </si>
  <si>
    <t>ΕΥΡΥΒΙΑΔΟΥ ΚΑΙ ΚΩΝΣΤΑΝΤΙΝΟΥΠΟΛΕΩΣ</t>
  </si>
  <si>
    <t>6ο ΔΗΜΟΤΙΚΟ ΣΧΟΛΕΙΟ ΠΕΡΑΜΑΤΟΣ</t>
  </si>
  <si>
    <t>9ο ΗΜΕΡΗΣΙΟ ΕΠΑΛ ΠΕΙΡΑΙΑ - ΝΑΥΤΙΚΗΣ ΚΑΤΕΥΘΥΝΣΗΣ</t>
  </si>
  <si>
    <t>mail@9epal-peiraia.att.sch.gr</t>
  </si>
  <si>
    <t>ΔΕΛΗΓΙΩΡΓΗ 10</t>
  </si>
  <si>
    <t>36ο ΔΗΜΟΤΙΚΟ ΣΧΟΛΕΙΟ ΠΕΙΡΑΙΑ</t>
  </si>
  <si>
    <t>ΜΕΣΑΓΡΟΥ</t>
  </si>
  <si>
    <t>ΗΜΕΡΗΣΙΟ ΓΥΜΝΑΣΙΟ ΜΕΣΑΓΡΟΣ ΑΙΓΙΝΑΣ - ΓΥΜΝΑΣΙΟ ΜΕΣΑΓΡΟΥ ΑΙΓΙΝΑΣ</t>
  </si>
  <si>
    <t>mail@gym-mesagr.att.sch.gr</t>
  </si>
  <si>
    <t>ΜΕΣΑΓΡΟΣ ΑΙΓΙΝΑΣ</t>
  </si>
  <si>
    <t>ΜΕΣΑΓΡΟΣ</t>
  </si>
  <si>
    <t>ΟΛΟΗΜΕΡΟ ΔΗΜΟΤΙΚΟ ΣΧΟΛΕΙΟ  ΜΕΣΑΓΡΟΥ - ΑΓΙΑΣ ΜΑΡΙΝΑΣ</t>
  </si>
  <si>
    <t>ΕΣΠΕΡΙΝΟ ΓΥΜΝΑΣΙΟ-Λ.Τ. ΓΑΛΑΤΑ</t>
  </si>
  <si>
    <t>mail@gym-esp-galat.att.sch.gr</t>
  </si>
  <si>
    <t>ΤΡΟΙΖΗΝΙΑ</t>
  </si>
  <si>
    <t>2ο ΗΜΕΡΗΣΙΟ ΓΥΜΝΑΣΙΟ ΠΕΙΡΑΙΑ</t>
  </si>
  <si>
    <t>mail@2gym-peiraia.att.sch.gr</t>
  </si>
  <si>
    <t>ΠΥΘΑΓΟΡΑ 22 &amp; Μ.ΑΛΕΞΑΝΔΡΟΥ</t>
  </si>
  <si>
    <t>1ο ΕΣΠΕΡΙΝΟ ΓΕΝΙΚΟ ΛΥΚΕΙΟ ΠΕΙΡΑΙΑ</t>
  </si>
  <si>
    <t>mail@1lyk-esp-peiraia.att.sch.gr</t>
  </si>
  <si>
    <t>ΣΩΤΗΡΟΣ-ΔΙΟΣ 17</t>
  </si>
  <si>
    <t>ΕΕΕΕΚ ΓΑΛΑΤΑΣ</t>
  </si>
  <si>
    <t>mail@eeeek-galata.att.sch.gr</t>
  </si>
  <si>
    <t>2ο ΕΕΕΕΚ ΠΕΙΡΑΙΑΣ - ΑΝΟΙΞΗ</t>
  </si>
  <si>
    <t>mail@2eeeek-peiraia.att.sch.gr</t>
  </si>
  <si>
    <t>ΛΕΒΑΔΕΙΑΣ - ΚΕΧΑΓΙΑ 6</t>
  </si>
  <si>
    <t>ΕΝΙΑΙΟ ΕΙΔΙΚΟ ΕΠΑΓΓΕΛΜΑΤΙΚΟ ΓΥΜΝΑΣΙΟ-ΛΥΚΕΙΟ ΠΕΙΡΑΙΑ</t>
  </si>
  <si>
    <t>maill@gym-ee-peiraia.att.sch.gr</t>
  </si>
  <si>
    <t>41ο ΔΗΜΟΤΙΚΟ ΣΧΟΛΕΙΟ ΠΕΙΡΑΙΑ</t>
  </si>
  <si>
    <t>ΕΣΠΕΡΙΝΟ ΕΠΑ.Λ. ΣΑΛΑΜΙΝΑΣ</t>
  </si>
  <si>
    <t>mail@epal-esp-salam.att.sch.gr</t>
  </si>
  <si>
    <t>4ο ΗΜΕΡΗΣΙΟ ΕΠΑΛ ΠΕΙΡΑΙΑ ΝΑΥΤΙΚΗΣ ΚΑΤΕΥΘΥΝΣΗΣ - ΝΙΚΟΣ ΚΑΒΒΑΔΙΑΣ</t>
  </si>
  <si>
    <t>mail@4epal-peiraia.att.sch.gr</t>
  </si>
  <si>
    <t>ΕΛΛΗΣ 101 ΚΑΙ ΚΑΛΟΚΑΙΡΙΝΟΥ</t>
  </si>
  <si>
    <t>ΕΝΙΑΙΟ ΕΙΔΙΚΟ ΕΠΑΓΓΕΛΜΑΤΙΚΟ ΓΥΜΝΑΣΙΟ ΛΥΚΕΙΟ ΔΡΑΠΕΤΣΩΝΑΣ</t>
  </si>
  <si>
    <t>eneegyldrapets@sch.gr</t>
  </si>
  <si>
    <t>ΚΑΛΛΙΤΕΧΝΙΚΟ ΓΥΜΝΑΣΙΟ ΜΕ ΛΥΚΕΙΑΚΕΣ ΤΑΞΕΙΣ  ΚΕΡΑΤΣΙΝΙΟΥ-ΔΡΑΠΕΤΣΩΝΑΣ</t>
  </si>
  <si>
    <t>mail@gym-kall-kerats.att.sch.gr</t>
  </si>
  <si>
    <t>ΕΛΕΥΘΕΡΙΟΥ ΒΕΝΙΖΕΛΟΥ 98</t>
  </si>
  <si>
    <t>ΗΜΕΡΗΣΙΟ ΓΕΝΙΚΟ ΛΥΚΕΙΟ ΑΙΑΝΤΕΙΟΥ</t>
  </si>
  <si>
    <t>Κερατσίνι</t>
  </si>
  <si>
    <t>ΔΙΕΥΘΥΝΣΗ Π.Ε. Α΄ ΑΘΗΝΑΣ</t>
  </si>
  <si>
    <t>4ο ΝΗΠΙΑΓΩΓΕΙΟ ΖΩΓΡΑΦΟΥ</t>
  </si>
  <si>
    <t>mail@4nip-zograf.att.sch.gr</t>
  </si>
  <si>
    <t>Μ.ΑΛΕΞΑΝΔΡΟΥ ΚΑΙ ΚΟΡΥΤΣΑΣ</t>
  </si>
  <si>
    <t>3ο  ΔΗΜΟΤΙΚΟ ΣΧΟΛΕΙΟ ΒΥΡΩΝΑ</t>
  </si>
  <si>
    <t>mail@3dim-vyron.att.sch.gr</t>
  </si>
  <si>
    <t>ΜΕΣΟΛΟΓΓΙΟΥ ΚΑΙ ΕΡΥΘΡΑΙΑΣ</t>
  </si>
  <si>
    <t>103ο  ΔΗΜΟΤΙΚΟ ΣΧΟΛΕΙΟ ΑΘΗΝΩΝ</t>
  </si>
  <si>
    <t>mail@103dim-athin.att.sch.gr</t>
  </si>
  <si>
    <t>ΣΤΟΥΑΡΤ 21</t>
  </si>
  <si>
    <t>1ο ΝΗΠΙΑΓΩΓΕΙΟ ΚΑΙΣΑΡΙΑΝΗΣ</t>
  </si>
  <si>
    <t>mail@1nip-kaisar.att.sch.gr</t>
  </si>
  <si>
    <t>ΕΘΝ. ΑΝΤΙΣΤΑΣΗΣ 113</t>
  </si>
  <si>
    <t>mail@3dim-zograf.att.sch.gr</t>
  </si>
  <si>
    <t>ΚΡΙΝΩΝ 28</t>
  </si>
  <si>
    <t>51ο ΔΗΜΟΤΙΚΟ ΣΧΟΛΕΙΟ ΑΘΗΝΩΝ</t>
  </si>
  <si>
    <t>mail@51dim-athin.att.sch.gr</t>
  </si>
  <si>
    <t>ΑΚΟΜΙΝΑΤΟΥ 40</t>
  </si>
  <si>
    <t>8ο ΝΗΠΙΑΓΩΓΕΙΟ ΒΥΡΩΝΑ</t>
  </si>
  <si>
    <t>mail@8nip-vyron.att.sch.gr</t>
  </si>
  <si>
    <t>ΚΩΝΣΤΑΝΤΙΛΙΕΡΗ ΚΑΙ ΕΡΥΘΡΑΙΑΣ</t>
  </si>
  <si>
    <t>10ο ΝΗΠΙΑΓΩΓΕΙΟ ΖΩΓΡΑΦΟΥ</t>
  </si>
  <si>
    <t>mail@10nip-zograf.att.sch.gr</t>
  </si>
  <si>
    <t>ΑΣΤΕΡΙΟΥ ΚΑΙ ΚΑΛΑΒΡΥΤΩΝ  2</t>
  </si>
  <si>
    <t>2ο ΝΗΠΙΑΓΩΓΕΙΟ ΖΩΓΡΑΦΟΥ</t>
  </si>
  <si>
    <t>mail@2nip-zograf.att.sch.gr</t>
  </si>
  <si>
    <t>2ο ΝΗΠΙΑΓΩΓΕΙΟ ΚΑΙΣΑΡΙΑΝΗΣ</t>
  </si>
  <si>
    <t>mail@2nip-kaisar.att.sch.gr</t>
  </si>
  <si>
    <t>ΕΘΝ. ΑΝΤΙΣΤΑΣΗΣ 118</t>
  </si>
  <si>
    <t>6ο ΝΗΠΙΑΓΩΓΕΙΟ ΚΑΙΣΑΡΙΑΝΗΣ</t>
  </si>
  <si>
    <t>mail@6nip-kaisar.att.sch.gr</t>
  </si>
  <si>
    <t>9ο ΝΗΠΙΑΓΩΓΕΙΟ ΖΩΓΡΑΦΟΥ</t>
  </si>
  <si>
    <t>mail@9nip-zograf.att.sch.gr</t>
  </si>
  <si>
    <t>ΚΡΙΝΩΝ 41</t>
  </si>
  <si>
    <t>mail@105dim-athin.att.sch.gr</t>
  </si>
  <si>
    <t>ΑΘΗΝΑ,</t>
  </si>
  <si>
    <t>ΧΟΡΜΟΠΟΥΛΟΥ 20</t>
  </si>
  <si>
    <t>7ο  ΝΗΠΙΑΓΩΓΕΙΟ ΖΩΓΡΑΦΟΥ</t>
  </si>
  <si>
    <t>mail@7nip-zograf.att.sch.gr</t>
  </si>
  <si>
    <t>4ο ΝΗΠΙΑΓΩΓΕΙΟ ΚΑΙΣΑΡΙΑΝΗΣ</t>
  </si>
  <si>
    <t>4nipkaisar@sch.gr</t>
  </si>
  <si>
    <t>ΗΡΩΣ ΚΩΝΣΤΑΝΤΟΠΟΥΛΟΥ 9</t>
  </si>
  <si>
    <t>3ο ΝΗΠΙΑΓΩΓΕΙΟ ΥΜΗΤΤΟΥ</t>
  </si>
  <si>
    <t>mail3nip-ymitt@att.sch.gr</t>
  </si>
  <si>
    <t>ΑΛΕΞ. ΠΑΝΑΓΟΥΛΗ 54</t>
  </si>
  <si>
    <t>95ο  ΝΗΠΙΑΓΩΓΕΙΟ ΑΘΗΝΩΝ</t>
  </si>
  <si>
    <t>mail@95nip-athin.att.sch.gr</t>
  </si>
  <si>
    <t>115ο ΝΗΠΙΑΓΩΓΕΙΟ ΑΘΗΝΩΝ</t>
  </si>
  <si>
    <t>mail@115nip-athin.att.sch.gr</t>
  </si>
  <si>
    <t>ΖΗΝΟΔΩΡΟΥ ΚΑΙ ΙΦΙΓΕΝΕΙΑΣ 23</t>
  </si>
  <si>
    <t>5ο ΝΗΠΙΑΓΩΓΕΙΟ ΚΑΙΣΑΡΙΑΝΗΣ</t>
  </si>
  <si>
    <t>mail@5nip-kaisar.att.sch.gr</t>
  </si>
  <si>
    <t>12ο ΝΗΠΙΑΓΩΓΕΙΟ ΖΩΓΡΑΦΟΥ</t>
  </si>
  <si>
    <t>mail@12nip-zograf.att.sch.gr</t>
  </si>
  <si>
    <t>ΓΑΖΗΣ 26</t>
  </si>
  <si>
    <t>6ο ΝΗΠΙΑΓΩΓΕΙΟ ΖΩΓΡΑΦΟΥ</t>
  </si>
  <si>
    <t>mail@6nip-zograf.att.sch.gr</t>
  </si>
  <si>
    <t>5ο ΝΗΠΙΑΓΩΓΕΙΟ ΖΩΓΡΑΦΟΥ</t>
  </si>
  <si>
    <t>mail@5nip-zograf.att.sch.gr</t>
  </si>
  <si>
    <t>ΚΡΑΤΕΡΟΥ ΚΑΙ  ΑΛΚΑΙΟΥ  42</t>
  </si>
  <si>
    <t>11ο ΝΗΠΙΑΓΩΓΕΙΟ ΖΩΓΡΑΦΟΥ</t>
  </si>
  <si>
    <t>mail@11nip-zograf.att.sch.gr</t>
  </si>
  <si>
    <t>1ο ΝΗΠΙΑΓΩΓΕΙΟ ΖΩΓΡΑΦΟΥ</t>
  </si>
  <si>
    <t>mail@1nip-zograf.att.sch.gr</t>
  </si>
  <si>
    <t>ΓΡ. ΚΟΥΣΙΔΗ 87</t>
  </si>
  <si>
    <t>32ο ΔΗΜΟΤΙΚΟ ΣΧΟΛΕΙΟ ΑΘΗΝΩΝ</t>
  </si>
  <si>
    <t>mail@32dim-athin.att.sch.gr</t>
  </si>
  <si>
    <t>ΑΡΙΣΤΟΤΕΛΟΥΣ 55</t>
  </si>
  <si>
    <t>12ο ΝΗΠΙΑΓΩΓΕΙΟ ΗΛΙΟΥΠΟΛΗΣ</t>
  </si>
  <si>
    <t>mail@12nip-ilioup.att.sch.gr</t>
  </si>
  <si>
    <t>ΦΑΝΑΡΙΩΤΩΝ 8-10</t>
  </si>
  <si>
    <t>18ο ΝΗΠΙΑΓΩΓΕΙΟ ΖΩΓΡΑΦΟΥ</t>
  </si>
  <si>
    <t>mail@18nip-zograf.att.sch.gr</t>
  </si>
  <si>
    <t>13ο ΝΗΠΙΑΓΩΓΕΙΟ ΒΥΡΩΝΑ</t>
  </si>
  <si>
    <t>mail@13nip-vyron.att.sch.gr</t>
  </si>
  <si>
    <t>Μίνωος 1</t>
  </si>
  <si>
    <t>36ο ΔΗΜΟΤΙΚΟ ΣΧΟΛΕΙΟ ΑΘΗΝΩΝ</t>
  </si>
  <si>
    <t>mail@36dim-athin.att.sch.gr</t>
  </si>
  <si>
    <t>ΙΟΥΣΤΙΝΙΑΝΟΥ 30-34</t>
  </si>
  <si>
    <t>4ο ΝΗΠΙΑΓΩΓΕΙΟ ΥΜΗΤΤΟΣ</t>
  </si>
  <si>
    <t>mail@4nip-ymitt.att.sch.gr</t>
  </si>
  <si>
    <t>ΥΨΗΛΑΝΤΟΥ 27</t>
  </si>
  <si>
    <t>18ο ΝΗΠΙΑΓΩΓΕΙΟ ΗΛΙΟΥΠΟΛΗΣ</t>
  </si>
  <si>
    <t>mail@18nip-ilioup.att.sch.gr</t>
  </si>
  <si>
    <t>ΚΙΘΑΙΡΩΝΟΣ 35</t>
  </si>
  <si>
    <t>2ο ΔΗΜΟΤΙΚΟ ΣΧΟΛΕΙΟ ΚΑΙΣΑΡΙΑΝΗΣ</t>
  </si>
  <si>
    <t>2dimkais@sch.gr</t>
  </si>
  <si>
    <t>Καισαριανή,</t>
  </si>
  <si>
    <t>Ειρήνης 19</t>
  </si>
  <si>
    <t>mail@5dim-zograf.att.sch.gr</t>
  </si>
  <si>
    <t>ΠΕΡΙΑΝΔΡΟΥ 27</t>
  </si>
  <si>
    <t>8ο ΝΗΠΙΑΓΩΓΕΙΟ ΗΛΙΟΥΠΟΛΗΣ</t>
  </si>
  <si>
    <t>mail@8nip-ilioup.att.sch.gr</t>
  </si>
  <si>
    <t>ΜΕΣΣΗΝΙΑΣ ΚΑΙ ΔΑΜΑΣΚΗΝΟΥ  1</t>
  </si>
  <si>
    <t>11ο ΝΗΠΙΑΓΩΓΕΙΟ ΗΛΙΟΥΠΟΛΗΣ</t>
  </si>
  <si>
    <t>mail@11nip-ilioup.att.sch.gr</t>
  </si>
  <si>
    <t>ΘΕΟΤΟΚΗ 2</t>
  </si>
  <si>
    <t>3ο ΝΗΠΙΑΓΩΓΕΙΟ ΖΩΓΡΑΦΟΥ</t>
  </si>
  <si>
    <t>mail@3nip-zograf.att.sch.gr</t>
  </si>
  <si>
    <t>ΜΑΚΡΥΓΙΑΝΝΗ 46</t>
  </si>
  <si>
    <t>21ο ΝΗΠΙΑΓΩΓΕΙΟ ΗΛΙΟΥΠΟΛΗΣ</t>
  </si>
  <si>
    <t>mail@21nip-ilioup.att.sch.gr</t>
  </si>
  <si>
    <t>ΔΑΜΑΣΚΗΝΟΥ ΚΑΙ ΜΕΣΣΗΝΙΑΣ 1</t>
  </si>
  <si>
    <t>24ο ΝΗΠΙΑΓΩΓΕΙΟ ΗΛΙΟΥΠΟΛΗΣ</t>
  </si>
  <si>
    <t>mail@24nip-ilioup.att.sch.gr</t>
  </si>
  <si>
    <t>Μ. ΑΝΤΥΠΑ 34</t>
  </si>
  <si>
    <t>20ο ΝΗΠΙΑΓΩΓΕΙΟ ΗΛΙΟΥΠΟΛΗΣ</t>
  </si>
  <si>
    <t>mail@20nip-ilioup.att.sch.gr</t>
  </si>
  <si>
    <t>ΦΛΕΜΙΓΚ 1</t>
  </si>
  <si>
    <t>mail@59dim-athin.att.sch.gr</t>
  </si>
  <si>
    <t>ΔΟΡΔΟΥ 41 ΚΑΙ ΑΜΦΙΑΡΑΟΥ</t>
  </si>
  <si>
    <t>15ο ΝΗΠΙΑΓΩΓΕΙΟ ΗΛΙΟΥΠΟΛΗΣ</t>
  </si>
  <si>
    <t>mail@15nip-ilioup.att.sch.gr</t>
  </si>
  <si>
    <t>ΘΡΑΚΗΣ ΚΑΙ ΑΛΙΜΟΥΝΤΟΣ</t>
  </si>
  <si>
    <t>6ο ΔΗΜΟΤΙΚΟ ΣΧΟΛΕΙΟ ΖΩΓΡΑΦΟΥ</t>
  </si>
  <si>
    <t>mail@6dim-zograf.att.sch.gr</t>
  </si>
  <si>
    <t>23ο ΝΗΠΙΑΓΩΓΕΙΟ ΗΛΙΟΥΠΟΛΗΣ</t>
  </si>
  <si>
    <t>mail@23nip-ilioup.att.sch.gr</t>
  </si>
  <si>
    <t>ΓΕΩΡΓΙΟΥ ΦΥΤΡΟΥ 1</t>
  </si>
  <si>
    <t>2ο ΝΗΠΙΑΓΩΓΕΙΟ ΥΜΗΤΤΟΣ</t>
  </si>
  <si>
    <t>mail@2nip-ymitt.att.sch.gr</t>
  </si>
  <si>
    <t>ΔΟΡΥΛΑΙΟΥ 2</t>
  </si>
  <si>
    <t>7ο ΝΗΠΙΑΓΩΓΕΙΟ ΗΛΙΟΥΠΟΛΗΣ</t>
  </si>
  <si>
    <t>mail@7nip-ilioup.att.sch.gr</t>
  </si>
  <si>
    <t>ΒΑΚΧΟΥ ΚΑΙ ΗΡΑΚΛΕΟΥΣ 21</t>
  </si>
  <si>
    <t>41ο ΝΗΠΙΑΓΩΓΕΙΟ ΑΘΗΝΩΝ</t>
  </si>
  <si>
    <t>mail@41nip-athin.att.sch.gr</t>
  </si>
  <si>
    <t>ΑΙΓΙΟΥ 33  ΚΑΙ ΙΜΙΩΝ</t>
  </si>
  <si>
    <t>102ο ΝΗΠΙΑΓΩΓΕΙΟ ΑΘΗΝΩΝ</t>
  </si>
  <si>
    <t>mail@102nip-athin.att.sch.gr</t>
  </si>
  <si>
    <t>ΑΙΓΙΟΥ 33 ΚΑΙ ΙΜΙΩΝ</t>
  </si>
  <si>
    <t>2ο ΔΗΜΟΤΙΚΟ ΣΧΟΛΕΙΟ ΖΩΓΡΑΦΟΥ</t>
  </si>
  <si>
    <t>mail@2dim-zograf.att.sch.gr</t>
  </si>
  <si>
    <t>ΕΥΝΟΜΙΑΣ 2</t>
  </si>
  <si>
    <t>4ο ΝΗΠΙΑΓΩΓΕΙΟ ΒΥΡΩΝΑ</t>
  </si>
  <si>
    <t>mail@4nip-vyron.att.sch.gr</t>
  </si>
  <si>
    <t>ΚΟΛΟΚΟΤΡΩΝΗ 40</t>
  </si>
  <si>
    <t>12ο ΝΗΠΙΑΓΩΓΕΙΟ ΒΥΡΩΝΑ</t>
  </si>
  <si>
    <t>mail@12nip-vyron.att.sch.gr</t>
  </si>
  <si>
    <t>ΗΠΕΙΡΟΥ 11</t>
  </si>
  <si>
    <t>13ο  ΝΗΠΙΑΓΩΓΕΙΟ ΗΛΙΟΥΠΟΛΗΣ</t>
  </si>
  <si>
    <t>mail@13nip-ilioup.att.sch.gr</t>
  </si>
  <si>
    <t>ΜΥΡΩΝΟΣ ΚΑΙ ΖΗΝΟΒΙΟΥ 12</t>
  </si>
  <si>
    <t>4ο ΝΗΠΙΑΓΩΓΕΙΟ ΗΛΙΟΥΠΟΛΗΣ</t>
  </si>
  <si>
    <t>mail@4nip-ilioup.att.sch.gr</t>
  </si>
  <si>
    <t>ΓΡΙΒΑ 4</t>
  </si>
  <si>
    <t>mail@137dim-athin.att.sch.gr</t>
  </si>
  <si>
    <t>ΑΛΚΙΦΡΟΝΟΣ 51-55</t>
  </si>
  <si>
    <t>149ο ΔΗΜΟΤΙΚΟ ΣΧΟΛΕΙΟ ΑΘΗΝΩΝ</t>
  </si>
  <si>
    <t>mail@149dim-athin.att.sch.gr</t>
  </si>
  <si>
    <t>Αθήνα,</t>
  </si>
  <si>
    <t>ΑΓΑΘΟΔΑΙΜΟΝΟΣ 41</t>
  </si>
  <si>
    <t>mail@56dim-athin.att.sch.gr</t>
  </si>
  <si>
    <t>ΤΙΜΑΙΟΥ 9</t>
  </si>
  <si>
    <t>5ο ΝΗΠΙΑΓΩΓΕΙΟ ΥΜΗΤΤΟΥ</t>
  </si>
  <si>
    <t>mail@5nip-ymitt.att.sch.gr</t>
  </si>
  <si>
    <t>ΔΕΡΒΕΝΑΚΙΩΝ 86 ΚΑΙ ΜΕΛΙΝΑΣ ΜΕΡΚΟΥΡΗ 86</t>
  </si>
  <si>
    <t>10ο ΝΗΠΙΑΓΩΓΕΙΟ ΒΥΡΩΝΑ</t>
  </si>
  <si>
    <t>mail@10nip-vyron.att.sch.gr</t>
  </si>
  <si>
    <t>ΤΑΤΑΟΥΛΩΝ ΚΑΙ ΒΥΖΑΝΤΙΟΥ 1</t>
  </si>
  <si>
    <t>mail@6dim-kaisar.att.sch.gr</t>
  </si>
  <si>
    <t>ΗΡΩΣ ΚΩΝΣΤΑΝΤΟΠΟΥΛΟΥ 13Α1</t>
  </si>
  <si>
    <t>61ο ΔΗΜΟΤΙΚΟ ΣΧΟΛΕΙΟ ΑΘΗΝΩΝ</t>
  </si>
  <si>
    <t>mail@61dim-athin.att.sch.gr</t>
  </si>
  <si>
    <t>ΔΙΣΤΟΜΟΥ 67</t>
  </si>
  <si>
    <t>mail@60dim-athin.att.sch.gr</t>
  </si>
  <si>
    <t>ΑΙΜΟΝΟΣ ΚΑΙ ΤΗΛΕΦΑΝΟΥΣ</t>
  </si>
  <si>
    <t>4ο ΔΗΜΟΤΙΚΟ ΣΧΟΛΕΙΟ ΚΑΙΣΑΡΙΑΝΗΣ</t>
  </si>
  <si>
    <t>mail@4dim-kaisar.att.sch.gr</t>
  </si>
  <si>
    <t>Καισαριανή</t>
  </si>
  <si>
    <t>ΧΙΟΥ 3 ΚΑΙ ΜΑΝΩΛΙΔΗ</t>
  </si>
  <si>
    <t>mail@57dim-athin.att.sch.gr</t>
  </si>
  <si>
    <t>mail@77dim-athin.att.sch.gr</t>
  </si>
  <si>
    <t>ΤΡΩΩΝ 18</t>
  </si>
  <si>
    <t>20dimili@sch.gr</t>
  </si>
  <si>
    <t>ΑΓΑΜΕΜΝΟΝΟΣ 1</t>
  </si>
  <si>
    <t>46ο ΔΗΜΟΤΙΚΟ ΣΧΟΛΕΙΟ ΑΘΗΝΩΝ</t>
  </si>
  <si>
    <t>mail@46dim-athin.att.sch.gr</t>
  </si>
  <si>
    <t>ΚΕΑΣ 69</t>
  </si>
  <si>
    <t>138ο ΝΗΠΙΑΓΩΓΕΙΟ ΑΘΗΝΩΝ</t>
  </si>
  <si>
    <t>mail@138nip-athin.att.sch.gr</t>
  </si>
  <si>
    <t>ΣΟΥΚΑ ΚΑΙ ΧΟΡΜΟΠΟΥΛΟΥ 20</t>
  </si>
  <si>
    <t>19ο ΝΗΠΙΑΓΩΓΕΊΟ ΗΛΙΟΥΠΟΛΗΣ</t>
  </si>
  <si>
    <t>mail@19nip-ilioup.att.sch.gr</t>
  </si>
  <si>
    <t>ΑΡΙΣΤΑΡΧΟΥ Κ ΠΟΛΥΚΛΕΙΤΟΥ</t>
  </si>
  <si>
    <t>mail@12dim-ilioup.att.sch.gr</t>
  </si>
  <si>
    <t>34ο  ΔΗΜΟΤΙΚΟ ΣΧΟΛΕΙΟ ΑΘΗΝΩΝ</t>
  </si>
  <si>
    <t>mail@34dim-athin.att.sch.gr</t>
  </si>
  <si>
    <t>ΧΑΛΚΟΜΑΤΑΔΩΝ 42</t>
  </si>
  <si>
    <t>mail@85dim-athin.att.sch.gr</t>
  </si>
  <si>
    <t>ΣΠΥΡΟΥ ΠΑΤΣΗ 56</t>
  </si>
  <si>
    <t>ΔΗΜΟΤΙΚΟ ΣΧΟΛΕΙΟ ΑΘΗΝΑ - ΝΟΣΟΚ. ΠΑΙΔΩΝ ΑΓΙΑ ΣΟΦΙΑ</t>
  </si>
  <si>
    <t>dimagsofia@sch.gr</t>
  </si>
  <si>
    <t>ΘΗΒΩΝ ΚΑΙ Μ. ΑΣΙΑΣ</t>
  </si>
  <si>
    <t>70ο ΔΗΜΟΤΙΚΟ ΣΧΟΛΕΙΟ ΑΘΗΝΩΝ</t>
  </si>
  <si>
    <t>mail@70dim-athin.att.sch.gr</t>
  </si>
  <si>
    <t>ΚΑΛΛΙΣΠΕΡΗ 1</t>
  </si>
  <si>
    <t>3ο ΔΗΜΟΤΙΚΟ ΣΧΟΛΕΙΟ ΗΛΙΟΥΠΟΛΗΣ</t>
  </si>
  <si>
    <t>mail@3dim-ilioup.att.sch.gr</t>
  </si>
  <si>
    <t>ΚΙΘΑΙΡΩΝΟΣ 1 ΚΑΙ ΣΟΦΟΥΛΗ</t>
  </si>
  <si>
    <t>6ο ΔΗΜΟΤΙΚΟ ΣΧΟΛΕΙΟ ΗΛΙΟΥΠΟΛΗΣ</t>
  </si>
  <si>
    <t>mail@6dim-ilioup.att.sch.gr</t>
  </si>
  <si>
    <t>ΜΑΡΙΝΟΥ ΑΝΤΥΠΑ 34</t>
  </si>
  <si>
    <t>109ο ΔΗΜΟΤΙΚΟ ΣΧΟΛΕΙΟ ΑΘΗΝΩΝ "ΟΔΥΣΣΕΑΣ ΕΛΥΤΗΣ"</t>
  </si>
  <si>
    <t>mail@109dim-athin.att.sch.gr</t>
  </si>
  <si>
    <t>ΘΕΟΤΟΚΟΠΟΥΛΟΥ 50</t>
  </si>
  <si>
    <t>ΔΗΜΟΤΙΚΟ ΣΧΟΛΕΙΟ ΑΘΗΝΩΝ - ΝΟΣΟΚ. ΠΑΙΔΩΝ Π. ΚΑΙ Α. ΚΥΡΙΑΚΟΥ</t>
  </si>
  <si>
    <t>mail@dim-kyriak.att.sch.gr</t>
  </si>
  <si>
    <t>ΘΗΒΩΝ ΚΑΙ ΛΕΒΑΔΕΙΑΣ 1</t>
  </si>
  <si>
    <t>mail@12dim-athin.att.sch.gr</t>
  </si>
  <si>
    <t>ΚΟΡΓΙΑΛΕΝΙΟΥ 2</t>
  </si>
  <si>
    <t>99ο ΝΗΠΙΑΓΩΓΕΙΟ ΑΘΗΝΩΝ</t>
  </si>
  <si>
    <t>mail@99nip-athin.att.sch.gr</t>
  </si>
  <si>
    <t>ΤΕΩ 56</t>
  </si>
  <si>
    <t>98 ΝΗΠΙΑΓΩΓΕΙΟ ΑΘΗΝΩΝ</t>
  </si>
  <si>
    <t>mail@98nip-athin.att.sch.gr</t>
  </si>
  <si>
    <t>ΣΙΤΑΚΗ 62 ΚΑΙ Ι. ΦΩΚΑ</t>
  </si>
  <si>
    <t>42ο ΝΗΠΙΑΓΩΓΕΙΟ ΑΘΗΝΩΝ</t>
  </si>
  <si>
    <t>mail@42nip-athin.att.sch.gr</t>
  </si>
  <si>
    <t>2ο  ΔΗΜΟΤΙΚΟ ΣΧΟΛΕΙΟ Ν. ΧΑΛΚΗΔΟΝΑΣ</t>
  </si>
  <si>
    <t>mail@2dim-n-chalk.att.sch.gr</t>
  </si>
  <si>
    <t>Ν. ΧΑΛΚΗΔΟΝΑ</t>
  </si>
  <si>
    <t>ΑΓΙΩΝ ΑΝΑΡΓΥΡΩΝ 2</t>
  </si>
  <si>
    <t>79ο ΔΗΜΟΤΙΚΟ ΣΧΟΛΕΙΟ ΑΘΗΝΩΝ</t>
  </si>
  <si>
    <t>mail@79dim-athin.att.sch.gr</t>
  </si>
  <si>
    <t>ΕΥΓΕΝΙΟΥ ΚΑΡΑΒΙΑ 9</t>
  </si>
  <si>
    <t>68ο ΝΗΠΙΑΓΩΓΕΙΟ ΑΘΗΝΩΝ</t>
  </si>
  <si>
    <t>mail@68nip-athin.att.sch.gr</t>
  </si>
  <si>
    <t>ΑΜΦΙΚΡΑΤΟΥΣ ΚΑΙ ΙΛΙΑΔΟΣ</t>
  </si>
  <si>
    <t>2ο ΔΗΜΟΤΙΚΟ ΣΧΟΛΕΙΟ ΗΛΙΟΥΠΟΛΗΣ</t>
  </si>
  <si>
    <t>mail@2dim-ilioup.att.sch.gr</t>
  </si>
  <si>
    <t>ΠΟΥΣΟΥΛΙΔΟΥ 10</t>
  </si>
  <si>
    <t>9ο ΝΗΠΙΑΓΩΓΕΙΟ ΗΛΙΟΥΠΟΛΗΣ</t>
  </si>
  <si>
    <t>mail@9nip-ilioup.att.sch.gr</t>
  </si>
  <si>
    <t>ΧΕΛΜΟΥ 1</t>
  </si>
  <si>
    <t>7ο  ΔΗΜΟΤΙΚΟ ΣΧΟΛΕΙΟ ΒΥΡΩΝΑ</t>
  </si>
  <si>
    <t>mail@7dim-vyron.att.sch.gr</t>
  </si>
  <si>
    <t>ΣΩΚΙΩΝ 38</t>
  </si>
  <si>
    <t>mail@17dim-athin.att.sch.gr</t>
  </si>
  <si>
    <t>ΑΜΠΕΛΑΚΙΩΝ 24</t>
  </si>
  <si>
    <t>15dimilioup@sch.gr</t>
  </si>
  <si>
    <t>3ο  ΝΗΠΙΑΓΩΓΕΙΟ ΚΑΙΣΑΡΙΑΝΗΣ</t>
  </si>
  <si>
    <t>mail@3nip-kaisar.att.sch.gr</t>
  </si>
  <si>
    <t>ΔΕΡΒΕΝΑΚΙΩΝ 2</t>
  </si>
  <si>
    <t>78ο ΝΗΠΙΑΓΩΓΕΙΟ ΑΘΗΝΑΣ</t>
  </si>
  <si>
    <t>mail@78nip-athin.att.sch.gr</t>
  </si>
  <si>
    <t>ΕΚΑΤΑΙΟΥ 80</t>
  </si>
  <si>
    <t>8ο ΝΗΠΙΑΓΩΓΕΙΟ ΖΩΓΡΑΦΟΥ</t>
  </si>
  <si>
    <t>mail@8nip-zograf.att.sch.gr</t>
  </si>
  <si>
    <t>28ης Οκτωβρίου 6 και Ιοκάστης</t>
  </si>
  <si>
    <t>14ο ΝΗΠΙΑΓΩΓΕΙΟ ΖΩΓΡΑΦΟΥ</t>
  </si>
  <si>
    <t>mail@14nip-zograf.att.sch.gr</t>
  </si>
  <si>
    <t>28ΗΣ ΟΚΤΩΒΡΙΟΥ 6</t>
  </si>
  <si>
    <t>1ο ΔΗΜΟΤΙΚΟ ΣΧΟΛΕΙΟ ΒΥΡΩΝΑ</t>
  </si>
  <si>
    <t>mail@1dim-vyron.att.sch.gr</t>
  </si>
  <si>
    <t>ΑΓΙΑΣ ΣΟΦΙΑΣ</t>
  </si>
  <si>
    <t>mail@113dim-athin.att.sch.gr</t>
  </si>
  <si>
    <t>ΣΙΤΑΚΗΣ 64</t>
  </si>
  <si>
    <t>17ο ΝΗΠΙΑΓΩΓΕΙΟ ΖΩΓΡΑΦΟΥ</t>
  </si>
  <si>
    <t>mail@17nip-zograf.att.sch.gr</t>
  </si>
  <si>
    <t>11ο ΔΗΜΟΤΙΚΟ ΣΧΟΛΕΙΟ ΓΑΛΑΤΣΙΟΥ</t>
  </si>
  <si>
    <t>mail@11dim-galats.att.sch.gr</t>
  </si>
  <si>
    <t>ΚΥΜΟΘΟΗΣ 16</t>
  </si>
  <si>
    <t>89ο ΝΗΠΙΑΓΩΓΕΙΟ ΑΘΗΝΩΝ</t>
  </si>
  <si>
    <t>mail@89nip-athin.att.sch.gr</t>
  </si>
  <si>
    <t>ΣΜΟΛΙΚΑ ΚΑΙ ΚΑΡΑΓΙΑΝΝΗ 2</t>
  </si>
  <si>
    <t>60ο ΝΗΠΙΑΓΩΓΕΙΟ ΑΘΗΝΩΝ</t>
  </si>
  <si>
    <t>mail@60nip-athin.att.sch.gr</t>
  </si>
  <si>
    <t>ΒΟΡΕΙΟΥ ΗΠΕΙΡΟΥ 81</t>
  </si>
  <si>
    <t>mail@1dim-zograf.att.sch.gr</t>
  </si>
  <si>
    <t>ΗΡ. ΠΟΛΥΤΕΧΝΕΙΟΥ  1</t>
  </si>
  <si>
    <t>ΗΡΩΩΝ ΠΟΛΥΤΕΧΝΕΙΟΥ 1</t>
  </si>
  <si>
    <t>mail@4dim-zograf.att.sch.gr</t>
  </si>
  <si>
    <t>Μ. ΑΛΕΞΑΝΔΡΟΥ ΚΑΙ ΚΟΡΥΤΣΑΣ</t>
  </si>
  <si>
    <t>105ο ΝΗΠΙΑΓΩΓΕΙΟ ΑΘΗΝΩΝ</t>
  </si>
  <si>
    <t>mail@105nip-athin.att.sch.gr</t>
  </si>
  <si>
    <t>ΜΙΧΑΗΛ ΚΟΡΑΚΑ 44</t>
  </si>
  <si>
    <t>mail@4dim-ilioup.att.sch.gr</t>
  </si>
  <si>
    <t>ΣΟΦΟΚΛΗ ΒΕΝΙΖΕΛΟΥ 83</t>
  </si>
  <si>
    <t>10ο ΝΗΠΙΑΓΩΓΕΙΟ ΗΛΙΟΥΠΟΛΗΣ</t>
  </si>
  <si>
    <t>mail@10nip-ilioup.att.sch.gr</t>
  </si>
  <si>
    <t>ΚΟΤΖΙΑ 25</t>
  </si>
  <si>
    <t>5ο ΝΗΠΙΑΓΩΓΕΙΟ ΔΑΦΝΗΣ</t>
  </si>
  <si>
    <t>mail@5nip-dafnis.att.sch.gr</t>
  </si>
  <si>
    <t>ΔΗΛΟΥ 30-32</t>
  </si>
  <si>
    <t>88ο ΔΗΜΟΤΙΚΟ ΣΧΟΛΕΙΟ ΑΘΗΝΩΝ</t>
  </si>
  <si>
    <t>mail@88dim-athin.att.sch.gr</t>
  </si>
  <si>
    <t>mail@52dim-athin.att.sch.gr</t>
  </si>
  <si>
    <t>67ο  ΔΗΜΟΤΙΚΟ ΣΧΟΛΕΙΟ ΑΘΗΝΩΝ</t>
  </si>
  <si>
    <t>mail@67dim-athin.att.sch.gr</t>
  </si>
  <si>
    <t>ΣΥΡΡΑΚΟΥ 2</t>
  </si>
  <si>
    <t>19ο ΔΗΜΟΤΙΚΟ ΣΧΟΛΕΙΟ ΖΩΓΡΑΦΟΥ</t>
  </si>
  <si>
    <t>mail@19dim-zograf.att.sch.gr</t>
  </si>
  <si>
    <t>143ο  ΝΗΠΙΑΓΩΓΕΙΟ ΑΘΗΝΩΝ</t>
  </si>
  <si>
    <t>mail@143nip-athin.att.sch.gr</t>
  </si>
  <si>
    <t>ΓΕΩΡΓΟΥΛΙΑ ΚΑΙ ΩΡΩΠΟΥ</t>
  </si>
  <si>
    <t>8ο  ΔΗΜΟΤΙΚΟ ΣΧΟΛΕΙΟ ΗΛΙΟΥΠΟΛΗΣ</t>
  </si>
  <si>
    <t>mail@8dim-ilioup.att.sch.gr</t>
  </si>
  <si>
    <t>ΜΕΣΣΗΝΙΑΣ ΚΑΙ ΚΕΦΑΛΛΗΝΙΑΣ</t>
  </si>
  <si>
    <t>mail@18dim-athin.att.sch.gr</t>
  </si>
  <si>
    <t>145ο ΔΗΜΟΤΙΚΟ ΣΧΟΛΕΙΟ ΑΘΗΝΩΝ</t>
  </si>
  <si>
    <t>mail@145dim-athin.att.sch.gr</t>
  </si>
  <si>
    <t>ΝΙΚΗΦΟΡΟΥ ΓΡΗΓΟΡΑ 5</t>
  </si>
  <si>
    <t>125ο ΝΗΠΙΑΓΩΓΕΙΟ ΑΘΗΝΩΝ</t>
  </si>
  <si>
    <t>mail@125nip-athin.att.sch.gr</t>
  </si>
  <si>
    <t>ΑΛΕΞΑΝΔΡΕΙΑΣ 2</t>
  </si>
  <si>
    <t>39ο ΝΗΠΙΑΓΩΓΕΙΟ ΑΘΗΝΩΝ</t>
  </si>
  <si>
    <t>mail@39nip-athin.att.sch.gr</t>
  </si>
  <si>
    <t>82ο ΝΗΠΙΑΓΩΓΕΙΟ ΑΘΗΝΩΝ</t>
  </si>
  <si>
    <t>mail@82nip-athin.att.sch.gr</t>
  </si>
  <si>
    <t>104ο  ΝΗΠΙΑΓΩΓΕΙΟ ΑΘΗΝΩΝ</t>
  </si>
  <si>
    <t>mail@104nip-athin.att.sch.gr</t>
  </si>
  <si>
    <t>87ο ΠΕΙΡΑΜΑΤΙΚΟ ΔΙΑΠΟΛΙΤΙΣΜΙΚΟ ΔΗΜΟΤΙΚΟ ΣΧΟΛΕΙΟ ΑΘΗΝΩΝ</t>
  </si>
  <si>
    <t>mail@87dim-athin.att.sch.gr</t>
  </si>
  <si>
    <t>ΟΡΦΕΩΣ 58</t>
  </si>
  <si>
    <t>mail@31dim-athin.att.sch.gr</t>
  </si>
  <si>
    <t>Ζερβουδάκη 50</t>
  </si>
  <si>
    <t>8ο  ΝΗΠΙΑΓΩΓΕΙΟ ΑΘΗΝΩΝ</t>
  </si>
  <si>
    <t>mail@8nip-athin.att.sch.gr</t>
  </si>
  <si>
    <t>ΔΑΜΑΡΕΩΣ 65</t>
  </si>
  <si>
    <t>mail@9dim-ilioup.att.sch.gr</t>
  </si>
  <si>
    <t>ΙΟΝΙΩΝ ΝΗΣΩΝ 35 - ΥΜΗΤΤΌΣ</t>
  </si>
  <si>
    <t>76ο  ΔΗΜΟΤΙΚΟ ΣΧΟΛΕΙΟ ΑΘΗΝΩΝ</t>
  </si>
  <si>
    <t>mail@76dim-athin.att.sch.gr</t>
  </si>
  <si>
    <t>ΚΥΚΛΩΠΩΝ 6</t>
  </si>
  <si>
    <t>107ο ΔΗΜΟΤΙΚΟ ΣΧΟΛΕΙΟ ΑΘΗΝΩΝ</t>
  </si>
  <si>
    <t>mail@107dim-athin.att.sch.gr</t>
  </si>
  <si>
    <t>ΘΕΟΛΟΓΟΥ ΙΩΑΝΝΙΔΗ 9</t>
  </si>
  <si>
    <t>6ο ΔΗΜΟΤΙΚΟ ΣΧΟΛΕΙΟ ΒΥΡΩΝΑ</t>
  </si>
  <si>
    <t>mail@6dim-vyron.att.sch.gr</t>
  </si>
  <si>
    <t>ΑΔΑΝΩΝ 3</t>
  </si>
  <si>
    <t>30ο  ΝΗΠΙΑΓΩΓΕΙΟ ΑΘΗΝΩΝ</t>
  </si>
  <si>
    <t>mail@30nip-athin.att.sch.gr</t>
  </si>
  <si>
    <t>ΤΡΑΛΛΕΩΝ ΚΑΙ ΩΡΩΠΟΥ</t>
  </si>
  <si>
    <t>113ο ΝΗΠΙΑΓΩΓΕΙΟ ΑΘΗΝΩΝ</t>
  </si>
  <si>
    <t>mail@113nip-athin.att.sch.gr</t>
  </si>
  <si>
    <t>mail@1dim-kaisar.att.sch.gr</t>
  </si>
  <si>
    <t>ΕΘΝΙΚΗΣ ΑΝΤΙΣΤΑΣΗΣ 113</t>
  </si>
  <si>
    <t>74ο ΝΗΠΙΑΓΩΓΕΙΟ ΑΘΗΝΩΝ</t>
  </si>
  <si>
    <t>mail@74nip-athin.att.sch.gr</t>
  </si>
  <si>
    <t>ΣΑΡΑΝΤΑΠΟΡΟΥ 20</t>
  </si>
  <si>
    <t>ΝΗΠΙΑΓΩΓΕΙΟ ΑΘΗΝΩΝ - ΝΟΣΟΚ. ΠΑΙΔΩΝ Π. ΚΑΙ Α. ΚΥΡΙΑΚΟΥ</t>
  </si>
  <si>
    <t>mail@nip-kyriak.att.sch.gr</t>
  </si>
  <si>
    <t>36ο ΝΗΠΙΑΓΩΓΕΙΟ ΑΘΗΝΩΝ</t>
  </si>
  <si>
    <t>mail@36nip-athin.att.sch.gr</t>
  </si>
  <si>
    <t>ΜΠΑΜΠΗ ΑΝΝΙΝΟΥ 18</t>
  </si>
  <si>
    <t>6ο  ΔΗΜΟΤΙΚΟ ΣΧΟΛΕΙΟ ΔΑΦΝΗΣ</t>
  </si>
  <si>
    <t>mail@6dim-dafnis.att.sch.gr</t>
  </si>
  <si>
    <t>ΓΥΜΝΑΣΤΗΡΙΟΥ 64</t>
  </si>
  <si>
    <t>mail@64dim-athin.att.sch.gr</t>
  </si>
  <si>
    <t>ΜΕΓΑΛΟΥ ΑΛΕΞΑΝΔΡΟΥ 63</t>
  </si>
  <si>
    <t>11ο ΝΗΠΙΑΓΩΓΕΙΟ ΒΥΡΩΝΑ</t>
  </si>
  <si>
    <t>mail@11nip-vyron.att.sch.gr</t>
  </si>
  <si>
    <t>2ο ΔΗΜΟΤΙΚΟ ΣΧΟΛΕΙΟ ΥΜΗΤΤΟΥ</t>
  </si>
  <si>
    <t>mail@2dim-ymitt.att.sch.gr</t>
  </si>
  <si>
    <t>ΔΟΡΥΛΑΙΟΥ 2-4</t>
  </si>
  <si>
    <t>mail@33dim-athin.att.sch.gr</t>
  </si>
  <si>
    <t>ΕΥΑΓΡΙΟΥ ΚΑΙ ΚΡΟΥΣΙΟΥ</t>
  </si>
  <si>
    <t>16ο ΝΗΠΙΑΓΩΓΕΙΟ ΗΛΙΟΥΠΟΛΗΣ</t>
  </si>
  <si>
    <t>mail@16nip-ilioup.att.sch.gr</t>
  </si>
  <si>
    <t>ΑΓΑΜΕΜΝΩΝΟΣ 1</t>
  </si>
  <si>
    <t>mail@1dim-n-filad.att.sch.gr</t>
  </si>
  <si>
    <t>ΕΠΤΑΛΟΦΟΥ 10</t>
  </si>
  <si>
    <t>117ο ΔΗΜΟΤΙΚΟ ΣΧΟΛΕΙΟ ΑΘΗΝΩΝ</t>
  </si>
  <si>
    <t>mail@117dim-athin.att.sch.gr</t>
  </si>
  <si>
    <t>ΜΑΧΗΣ ΑΝΑΛΑΤΟΥ 70</t>
  </si>
  <si>
    <t>ΕΙΔΙΚΟ ΝΗΠΙΑΓΩΓΕΙΟ ΚΑΙΣΑΡΙΑΝΗΣ(Μ.Δ.Δ.Ε.) - ΡΟΖΑ ΙΜΒΡΙΩΤΗ</t>
  </si>
  <si>
    <t>mail@nip-eid-marasl.att.sch.gr</t>
  </si>
  <si>
    <t>ΣΟΛΟΜΩΝΙΔΟΥ - 68</t>
  </si>
  <si>
    <t>2ο  ΝΗΠΙΑΓΩΓΕΙΟ ΑΘΗΝΩΝ</t>
  </si>
  <si>
    <t>mail@2nip-athin.att.sch.gr</t>
  </si>
  <si>
    <t>ΧΑΛΚΟΜΑΤΑΔΩΝ  &amp; ΙΣΤΡΙΑΣ</t>
  </si>
  <si>
    <t>mail@81dim-athin.att.sch.gr</t>
  </si>
  <si>
    <t>ΣΚΑΜΒΩΝΙΔΩΝ 46</t>
  </si>
  <si>
    <t>mail@13dim-ilioup.att.sch.gr</t>
  </si>
  <si>
    <t>ΗΡΩΣ ΚΩΝΣΤΑΝΤΟΠΟΥΛΟΥ ΚΑΙ ΘΑΛΕΙΑΣ ΛΟΥΚΙΔΟΥ 3</t>
  </si>
  <si>
    <t>mail@11dim-ilioup.att.sch.gr</t>
  </si>
  <si>
    <t>ΚΟΤΖΙΑ ΚΑΙ ΣΤΟΥΡΝΑΡΑ 1</t>
  </si>
  <si>
    <t>46ο ΝΗΠΙΑΓΩΓΕΙΟ ΑΘΗΝΩΝ</t>
  </si>
  <si>
    <t>mail@46nip-athin.att.sch.gr</t>
  </si>
  <si>
    <t>ΑΔΡΙΑΝΟΥ 106</t>
  </si>
  <si>
    <t>66ο ΔΗΜΟΤΙΚΟ ΣΧΟΛΕΙΟ ΑΘΗΝΩΝ</t>
  </si>
  <si>
    <t>mail@66dim-athin.att.sch.gr</t>
  </si>
  <si>
    <t>ΑΛΑΜΑΝΑΣ 6</t>
  </si>
  <si>
    <t>4ο ΝΗΠΙΑΓΩΓΕΙΟ Ν. ΦΙΛΑΔΕΛΦΕΙΑΣ</t>
  </si>
  <si>
    <t>mail@4nip-n-filad.att.sch.gr</t>
  </si>
  <si>
    <t>ΚΑΝΑΡΗ 6</t>
  </si>
  <si>
    <t>106ο ΝΗΠΙΑΓΩΓΕΙΟ ΑΘΗΝΩΝ</t>
  </si>
  <si>
    <t>mail@106nip-athin.att.sch.gr</t>
  </si>
  <si>
    <t>ΜΙΧΑΗΛ ΒΟΔΑ 9</t>
  </si>
  <si>
    <t>mail@3dim-n-filad.att.sch.gr</t>
  </si>
  <si>
    <t>ΓΡΑΜΜΟΥ 2</t>
  </si>
  <si>
    <t>97ο  ΝΗΠΙΑΓΩΓΕΙΟ ΑΘΗΝΩΝ</t>
  </si>
  <si>
    <t>mail@97nip-athin.att.sch.gr</t>
  </si>
  <si>
    <t>ΑΧΑΡΝΩΝ 399</t>
  </si>
  <si>
    <t>35ο ΝΗΠΙΑΓΩΓΕΙΟ ΑΘΗΝΩΝ</t>
  </si>
  <si>
    <t>mail@35nip-athin.att.sch.gr</t>
  </si>
  <si>
    <t>7ο ΝΗΠΙΑΓΩΓΕΙΟ ΑΘΗΝΑ</t>
  </si>
  <si>
    <t>mail@7nip-athin.att.sch.gr</t>
  </si>
  <si>
    <t>ΕΜΠΕΔΟΚΛΕΟΥΣ 12</t>
  </si>
  <si>
    <t>mail@62dim-athin.att.sch.gr</t>
  </si>
  <si>
    <t>ΣΜΟΛΙΚΑ 2 ΚΑΙ ΠΛ. ΛΕΛΑΣ ΚΑΡΑΓΙΑΝΝΗ</t>
  </si>
  <si>
    <t>30ο ΔΗΜΟΤΙΚΟ ΣΧΟΛΕΙΟ ΑΘΗΝΩΝ</t>
  </si>
  <si>
    <t>mail@30dim-athin.att.sch.gr</t>
  </si>
  <si>
    <t>ΧΙΛΙΑΝΔΑΡΙΟΥ 2</t>
  </si>
  <si>
    <t>mail@1dim-ilioup.att.sch.gr</t>
  </si>
  <si>
    <t>ΦΛΕΜΙΝΓΚ 1</t>
  </si>
  <si>
    <t>18ο ΝΗΠΙΑΓΩΓΕΙΟ ΑΘΗΝΩΝ</t>
  </si>
  <si>
    <t>mail@18nip-athin.att.sch.gr</t>
  </si>
  <si>
    <t>40o  ΝΗΠΙΑΓΩΓΕΙΟ  ΑΘΗΝΩΝ</t>
  </si>
  <si>
    <t>mail@40nip-athin.att.sch.gr</t>
  </si>
  <si>
    <t>174ο ΔΗΜΟΤΙΚΟ ΣΧΟΛΕΙΟ ΑΘΗΝΩΝ</t>
  </si>
  <si>
    <t>mail@174dim-athin.att.sch.gr</t>
  </si>
  <si>
    <t>ΠΑΝΔΟΣΙΑΣ 2</t>
  </si>
  <si>
    <t>mail@130dim-athin.att.sch.gr</t>
  </si>
  <si>
    <t>ΠΡΕΤΕΝΤΕΡΗ 20</t>
  </si>
  <si>
    <t>mail@17dim-ilioup.att.sch.gr</t>
  </si>
  <si>
    <t>58ο  ΔΗΜΟΤΙΚΟ ΣΧΟΛΕΙΟ ΑΘΗΝΩΝ</t>
  </si>
  <si>
    <t>mail@58dim-athin.att.sch.gr</t>
  </si>
  <si>
    <t>ΛΕΝΟΡΜΑΝ 268</t>
  </si>
  <si>
    <t>mail@69dim-athin.att.sch.gr</t>
  </si>
  <si>
    <t>ΤΕΡΤΙΠΗ 42</t>
  </si>
  <si>
    <t>mail@11dim-vyron.att.sch.gr</t>
  </si>
  <si>
    <t>ΒΥΖΑΝΤΙΟΥ ΚΑΙ ΤΑΤΑΟΥΛΩΝ 1</t>
  </si>
  <si>
    <t>mail@170dim-athin.att.sch.gr</t>
  </si>
  <si>
    <t>ΘΗΡΑΣ 110</t>
  </si>
  <si>
    <t>mail@86dim-athin.att.sch.gr</t>
  </si>
  <si>
    <t>ΑΙΓΙΝΗΣ 61</t>
  </si>
  <si>
    <t>9ο ΝΗΠΙΑΓΩΓΕΙΟ ΑΘΗΝΩΝ</t>
  </si>
  <si>
    <t>mail@9nip-athin.att.sch.gr</t>
  </si>
  <si>
    <t>ΓΕΝΝΑΙΟΥ ΚΟΛΟΚΟΤΡΩΝΗ 25</t>
  </si>
  <si>
    <t>mail@48dim-athin.att.sch.gr</t>
  </si>
  <si>
    <t>ΑΙΛΙΑΝΟΥ 10Α</t>
  </si>
  <si>
    <t>13ο   ΝΗΠΙΑΓΩΓΕΙΟ ΑΘΗΝΩΝ</t>
  </si>
  <si>
    <t>mail@13nip-athin.att.sch.gr</t>
  </si>
  <si>
    <t>ΕΥΦΡΟΝΙΟΥ 81</t>
  </si>
  <si>
    <t>mail@8dim-zograf.att.sch.gr</t>
  </si>
  <si>
    <t>ΜΑΚΡΥΓΙΑΝΝΗ 44A -ΙΟΚΑΣΤΗΣ</t>
  </si>
  <si>
    <t>3ο ΝΗΠΙΑΓΩΓΕΙΟ ΓΑΛΑΤΣΙ</t>
  </si>
  <si>
    <t>mail@3nip-galats.att.sch.gr</t>
  </si>
  <si>
    <t>ΕΣΠΕΡΙΔΩΝ 12</t>
  </si>
  <si>
    <t>1ο  ΝΗΠΙΑΓΩΓΕΙΟ ΒΥΡΩΝΑ</t>
  </si>
  <si>
    <t>mail@1nip-vyron.att.sch.gr</t>
  </si>
  <si>
    <t>6ο ΝΗΠΙΑΓΩΓΕΙΟ ΓΑΛΑΤΣΙΟΥ</t>
  </si>
  <si>
    <t>mail@6nip-galats.att.sch.gr</t>
  </si>
  <si>
    <t>ΖΑΛΟΓΓΟΥ 11</t>
  </si>
  <si>
    <t>25ο ΔΗΜΟΤΙΚΟ ΣΧΟΛΕΙΟ ΑΘΗΝΩΝ</t>
  </si>
  <si>
    <t>mail@25dim-athin.att.sch.gr</t>
  </si>
  <si>
    <t>49ο  ΝΗΠΙΑΓΩΓΕΙΟ ΑΘΗΝΩΝ</t>
  </si>
  <si>
    <t>mail@49nip-athin.att.sch.gr</t>
  </si>
  <si>
    <t>ΑΛΙΜΟΥΣΙΩΝ 28</t>
  </si>
  <si>
    <t>11ο ΔΗΜΟΤΙΚΟ ΣΧΟΛΕΙΟ ΑΘΗΝΩΝ</t>
  </si>
  <si>
    <t>mail@11dim-athin.att.sch.gr</t>
  </si>
  <si>
    <t>9ο ΝΗΠΙΑΓΩΓΕΙΟ ΓΑΛΑΤΣΙΟΥ</t>
  </si>
  <si>
    <t>mail@9nip-galats.att.sch.gr</t>
  </si>
  <si>
    <t>ΕΣΠΕΡΙΔΩΝ 12-14</t>
  </si>
  <si>
    <t>4ο  ΔΗΜΟΤΙΚΟ ΣΧΟΛΕΙΟ ΒΥΡΩΝΑ</t>
  </si>
  <si>
    <t>mail@4dim-vyron.att.sch.gr</t>
  </si>
  <si>
    <t>ΕΛΛΗΝΩΝ ΑΞΙΩΜΑΤΙΚΩΝ 8</t>
  </si>
  <si>
    <t>11 ΝΗΠΙΑΓΩΓΕΙΟ ΓΑΛΑΤΣΙOY</t>
  </si>
  <si>
    <t>mail@11nip-galats.att.sch.gr</t>
  </si>
  <si>
    <t>ΑΓΙΑΣ ΕΙΡΗΝΗΣ 5</t>
  </si>
  <si>
    <t>47ο ΝΗΠΙΑΓΩΓΕΙΟ ΑΘΗΝΩΝ</t>
  </si>
  <si>
    <t>mail@47nip-athin.att.sch.gr</t>
  </si>
  <si>
    <t>64ο ΝΗΠΙΑΓΩΓΕΙΟ ΑΘΗΝΩΝ</t>
  </si>
  <si>
    <t>mail@64nip-athin.att.sch.gr</t>
  </si>
  <si>
    <t>8ο ΝΗΠΙΑΓΩΓΕΙΟ ΓΑΛΑΤΣΙ</t>
  </si>
  <si>
    <t>mail@8nip-galats.att.sch.gr</t>
  </si>
  <si>
    <t>ΦΙΓΑΛΕΙΑΣ 67</t>
  </si>
  <si>
    <t>5ο ΝΗΠΙΑΓΩΓΕΙΟ ΒΥΡΩΝΑ</t>
  </si>
  <si>
    <t>mail@5nip-vyron.att.sch.gr</t>
  </si>
  <si>
    <t>134ο ΝΗΠΙΑΓΩΓΕΙΟ ΑΘΗΝΩΝ</t>
  </si>
  <si>
    <t>mail@134nip-athin.att.sch.gr</t>
  </si>
  <si>
    <t>13ο ΝΗΠΙΑΓΩΓΕΙΟ ΓΑΛΑΤΣΙΟΥ</t>
  </si>
  <si>
    <t>mail@13nip-galats.att.sch.gr</t>
  </si>
  <si>
    <t>ΔΡΥΟΠΙΔΟΣ  9</t>
  </si>
  <si>
    <t>1ο ΝΗΠΙΑΓΩΓΕΙΟ ΓΑΛΑΤΣΙΟΥ</t>
  </si>
  <si>
    <t>mail@1nip-galats.att.sch.gr</t>
  </si>
  <si>
    <t>ΜΙΑΟΥΛΗ  3</t>
  </si>
  <si>
    <t>79ο  ΝΗΠΙΑΓΩΓΕΙΟ ΑΘΗΝΩΝ</t>
  </si>
  <si>
    <t>mail@79nip-athin.att.sch.gr</t>
  </si>
  <si>
    <t>ΓΡΗΓΟΡΑ 7</t>
  </si>
  <si>
    <t>2ο ΝΗΠΙΑΓΩΓΕΙΟ ΓΑΛΑΤΣΙΟΥ</t>
  </si>
  <si>
    <t>mail@2nip-galats.att.sch.gr</t>
  </si>
  <si>
    <t>ΔΡΥΟΠΙΔΟΣ 9</t>
  </si>
  <si>
    <t>4ο ΔΗΜΟΤΙΚΟ ΣΧΟΛΕΙΟ ΓΑΛΑΤΣΙΟΥ</t>
  </si>
  <si>
    <t>mail@4dim-galats.att.sch.gr</t>
  </si>
  <si>
    <t>ΠΡΩΤΟΠΑΠΑΔΑΚΗ 8</t>
  </si>
  <si>
    <t>9ο ΝΗΠΙΑΓΩΓΕΙΟ ΒΥΡΩΝΑ</t>
  </si>
  <si>
    <t>mail@9nip-vyron.att.sch.gr</t>
  </si>
  <si>
    <t>3ο ΝΗΠΙΑΓΩΓΕΙΟ ΑΘΗΝΩΝ</t>
  </si>
  <si>
    <t>mail@3nip-athin.att.sch.gr</t>
  </si>
  <si>
    <t>ΤΣΑΚΑΣΙΑΝΟΥ 26</t>
  </si>
  <si>
    <t>16ο ΝΗΠΙΑΓΩΓΕΙΟ ΖΩΓΡΑΦΟΥ</t>
  </si>
  <si>
    <t>mail@16nip-zograf.att.sch.gr</t>
  </si>
  <si>
    <t>ΜΑΙΚΗΝΑ 30</t>
  </si>
  <si>
    <t>5ο ΝΗΠΙΑΓΩΓΕΙΟ ΗΛΙΟΥΠΟΛΗΣ</t>
  </si>
  <si>
    <t>mail@5nip-ilioup.att.sch.gr</t>
  </si>
  <si>
    <t>38ο ΝΗΠΙΑΓΩΓΕΙΟ ΑΘΗΝΩΝ</t>
  </si>
  <si>
    <t>mail@38nip-athin.att.sch.gr</t>
  </si>
  <si>
    <t>13ο ΝΗΠΙΑΓΩΓΕΙΟ ΖΩΓΡΑΦΟΥ</t>
  </si>
  <si>
    <t>mail@13nip-zograf.att.sch.gr</t>
  </si>
  <si>
    <t>4ο  ΝΗΠΙΑΓΩΓΕΙΟ ΑΘΗΝΩΝ</t>
  </si>
  <si>
    <t>mail@4nip-athin.att.sch.gr</t>
  </si>
  <si>
    <t>ΚΟΚΚΕΡΕΛ 14, Αθήνα</t>
  </si>
  <si>
    <t>2ο ΝΗΠΙΑΓΩΓΕΙΟ ΝΕΑΣ ΦΙΛΑΔΕΛΦΕΙΑΣ</t>
  </si>
  <si>
    <t>mail@2nip-n-filad.att.sch.gr</t>
  </si>
  <si>
    <t>ΣΜΥΡΝΗΣ 38</t>
  </si>
  <si>
    <t>6/Θ ΠΕΙΡΑΜΑΤΙΚΟ ΔΗΜΟΤΙΚΟ ΣΧΟΛΕΙΟ ΠΑΝΕΠΙΣΤΗΜΙΟΥ ΑΘΗΝΩΝ - Π.Σ.Π.Α.</t>
  </si>
  <si>
    <t>pspa@sch.gr</t>
  </si>
  <si>
    <t>Σκουφά 43</t>
  </si>
  <si>
    <t>24ο ΝΗΠΙΑΓΩΓΕΙΟ ΑΘΗΝΩΝ</t>
  </si>
  <si>
    <t>mail@24nip-athin.att.sch.gr</t>
  </si>
  <si>
    <t>ΦΩΚΙΩΝΟΣ ΝΕΓΡΗ 63</t>
  </si>
  <si>
    <t>116ο  ΝΗΠΙΑΓΩΓΕΙΟ ΑΘΗΝΩΝ</t>
  </si>
  <si>
    <t>mail@116nip-athin.att.sch.gr</t>
  </si>
  <si>
    <t>26ο ΝΗΠΙΑΓΩΓΕΙΟ ΑΘΗΝΩΝ</t>
  </si>
  <si>
    <t>mail@26nip-athin.att.sch.gr</t>
  </si>
  <si>
    <t>ΧΙΛΙΑΝΔΑΡΙΟΥ 4</t>
  </si>
  <si>
    <t>mail@44dim-athin.att.sch.gr</t>
  </si>
  <si>
    <t>ΚΟΥΡΤΙΔΟΥ ΚΑΙ ΜΗΛΙΑΡΑΚΗ 57-59</t>
  </si>
  <si>
    <t>20ο ΝΗΠΙΑΓΩΓΕΙΟ ΑΘΗΝΩΝ</t>
  </si>
  <si>
    <t>mail@20nip-athin.att.sch.gr</t>
  </si>
  <si>
    <t>ΘΕΟΛΟΓΟΥ ΙΩΑΝΝΙΔΗ 7</t>
  </si>
  <si>
    <t>7ο  ΔΗΜΟΤΙΚΟ ΣΧΟΛΕΙΟ ΚΑΙΣΑΡΙΑΝΗΣ</t>
  </si>
  <si>
    <t>mail@7dim-kaisar.att.sch.gr</t>
  </si>
  <si>
    <t>129ο  ΝΗΠΙΑΓΩΓΕΙΟ ΑΘΗΝΩΝ</t>
  </si>
  <si>
    <t>mail@129nip-athin.att.sch.gr</t>
  </si>
  <si>
    <t>ΠΥΡΣΟΓΙΑΝΝΗΣ 13A</t>
  </si>
  <si>
    <t>33ο  ΝΗΠΙΑΓΩΓΕΙΟ ΑΘΗΝΩΝ</t>
  </si>
  <si>
    <t>mail@33nip-athin.att.sch.gr</t>
  </si>
  <si>
    <t>Τ ΦΙΛΗΜΟΝΟΣ 19</t>
  </si>
  <si>
    <t>28ο ΝΗΠΙΑΓΩΓΕΙΟ ΑΘΗΝΩΝ</t>
  </si>
  <si>
    <t>mail@28nip-athin.att.sch.gr</t>
  </si>
  <si>
    <t>29ο ΝΗΠΙΑΓΩΓΕΙΟ ΑΘΗΝΩΝ</t>
  </si>
  <si>
    <t>mail@29nip-athin.att.sch.gr</t>
  </si>
  <si>
    <t>ΜΟΥΣΤΟΞΥΔΗ 23</t>
  </si>
  <si>
    <t>mail@104dim-athin.att.sch.gr</t>
  </si>
  <si>
    <t>ΜΑΙΑΝΔΡΟΥΠΟΛΕΩΣ 42</t>
  </si>
  <si>
    <t>37ο ΝΗΠΙΑΓΩΓΕΙΟ ΑΘΗΝΩΝ</t>
  </si>
  <si>
    <t>mail@37nip-athin.att.sch.gr</t>
  </si>
  <si>
    <t>ΚΥΠΡΟΥ 43</t>
  </si>
  <si>
    <t>3ο ΔΗΜΟΤΙΚΟ ΣΧΟΛΕΙΟ ΑΘΗΝΩΝ</t>
  </si>
  <si>
    <t>mail@3dim-athin.att.sch.gr</t>
  </si>
  <si>
    <t>55ο ΝΗΠΙΑΓΩΓΕΙΟ ΑΘΗΝΩΝ</t>
  </si>
  <si>
    <t>mail@55nip-athin.att.sch.gr</t>
  </si>
  <si>
    <t>22ο ΝΗΠΙΑΓΩΓΕΙΟ ΑΘΗΝΩΝ</t>
  </si>
  <si>
    <t>mail@22nip-athin.att.sch.gr</t>
  </si>
  <si>
    <t>142ο  ΔΗΜΟΤΙΚΟ ΣΧΟΛΕΙΟ ΑΘΗΝΩΝ</t>
  </si>
  <si>
    <t>mail@142dim-athin.att.sch.gr</t>
  </si>
  <si>
    <t>ΚΡΥΣΤΑΛΛΗ 10-16</t>
  </si>
  <si>
    <t>65ο ΝΗΠΙΑΓΩΓΕΙΟ ΑΘΗΝΩΝ</t>
  </si>
  <si>
    <t>mail@65nip-athin.att.sch.gr</t>
  </si>
  <si>
    <t>ΑΔΜΗΤΟΥ  64</t>
  </si>
  <si>
    <t>84ο ΝΗΠΙΑΓΩΓΕΙΟ ΑΘΗΝΩΝ</t>
  </si>
  <si>
    <t>mail@84nip-athin.att.sch.gr</t>
  </si>
  <si>
    <t>ΑΓΙΩΝ ΑΣΩΜΑΤΩΝ 35</t>
  </si>
  <si>
    <t>66ο ΝΗΠΙΑΓΩΓΕΙΟ ΑΘΗΝΩΝ</t>
  </si>
  <si>
    <t>mail@66nip-athin.att.sch.gr</t>
  </si>
  <si>
    <t>ΥΓΕΙΑΣ 11</t>
  </si>
  <si>
    <t>76ο ΝΗΠΙΑΓΩΓΕΙΟ ΑΘΗΝΩΝ</t>
  </si>
  <si>
    <t>mail@76nip-athin.att.sch.gr</t>
  </si>
  <si>
    <t>ΜΙΧ. ΝΟΜΙΚΟΥ 26</t>
  </si>
  <si>
    <t>7ο ΝΗΠΙΑΓΩΓΕΙΟ ΒΥΡΩΝΑ</t>
  </si>
  <si>
    <t>mail@7nip-vyron.att.sch.gr</t>
  </si>
  <si>
    <t>ΑΙΓΙΑΛΕΙΑΣ 33</t>
  </si>
  <si>
    <t>50ο  ΝΗΠΙΑΓΩΓΕΙΟ ΑΘΗΝΩΝ</t>
  </si>
  <si>
    <t>mail@50nip-athin.att.sch.gr</t>
  </si>
  <si>
    <t>ΣΙΛΑΝΙΩΝΟΣ 1</t>
  </si>
  <si>
    <t>128ο ΔΗΜΟΤΙΚΟ ΣΧΟΛΕΙΟ ΑΘΗΝΩΝ</t>
  </si>
  <si>
    <t>mail@128dim-athin.att.sch.gr</t>
  </si>
  <si>
    <t>53ο  ΝΗΠΙΑΓΩΓΕΙΟ ΑΘΗΝΩΝ</t>
  </si>
  <si>
    <t>mail@53nip-athin.att.sch.gr</t>
  </si>
  <si>
    <t>ΑΧΝΙΑΔΩΝ 3</t>
  </si>
  <si>
    <t>80ο ΝΗΠΙΑΓΩΓΕΙΟ ΑΘΗΝΩΝ</t>
  </si>
  <si>
    <t>mail@80nip-athin.att.sch.gr</t>
  </si>
  <si>
    <t>ΥΓΕΙΑΣ 11A</t>
  </si>
  <si>
    <t>71ο ΝΗΠΙΑΓΩΓΕΙΟ ΑΘΗΝΩΝ</t>
  </si>
  <si>
    <t>mail@71nip-athin.att.sch.gr</t>
  </si>
  <si>
    <t>Γ. ΚΟΛΟΚΟΤΡΩΝΗ 25-27</t>
  </si>
  <si>
    <t>48ο ΝΗΠΙΑΓΩΓΕΙΟ ΑΘΗΝΩΝ</t>
  </si>
  <si>
    <t>mail@48nip-athin.att.sch.gr</t>
  </si>
  <si>
    <t>ΑΚΤΑΙΟΥ 6</t>
  </si>
  <si>
    <t>91ο ΝΗΠΙΑΓΩΓΕΙΟ ΑΘΗΝΩΝ</t>
  </si>
  <si>
    <t>mail@91nip-athin.att.sch.gr</t>
  </si>
  <si>
    <t>117ο ΝΗΠΙΑΓΩΓΕΙΟ ΑΘΗΝΩΝ</t>
  </si>
  <si>
    <t>mail@117nip-athin.att.sch.gr</t>
  </si>
  <si>
    <t>ΤΥΠΑΛΔΟΥ  ΚΟΖΑΚΗ 11-17 ΚΑΙ ΦΛΟΓΑΪΤΟΥ  2-6</t>
  </si>
  <si>
    <t>96ο  ΝΗΠΙΑΓΩΓΕΙΟ ΑΘΗΝΩΝ</t>
  </si>
  <si>
    <t>mail@96nip-athin.att.sch.gr</t>
  </si>
  <si>
    <t>ΑΡΙΣΤΟΒΟΥΛΟΥ 12</t>
  </si>
  <si>
    <t>92ο  ΝΗΠΙΑΓΩΓΕΙΟ ΑΘΗΝΩΝ</t>
  </si>
  <si>
    <t>mail@92nip-athin.att.sch.gr</t>
  </si>
  <si>
    <t>ΑΔΜΗΤΟΥ 64</t>
  </si>
  <si>
    <t>93ο  ΝΗΠΙΑΓΩΓΕΙΟ ΑΘΗΝΩΝ</t>
  </si>
  <si>
    <t>mail@93nip-athin.att.sch.gr</t>
  </si>
  <si>
    <t>51ο ΝΗΠΙΑΓΩΓΕΙΟ ΑΘΗΝΩΝ</t>
  </si>
  <si>
    <t>mail@51nip-athin.att.sch.gr</t>
  </si>
  <si>
    <t>ΑΛΚΜΗΝΗΣ 71</t>
  </si>
  <si>
    <t>119ο ΝΗΠΙΑΓΩΓΕΙΟ ΑΘΗΝΩΝ</t>
  </si>
  <si>
    <t>mail@119nip-athin.att.sch.gr</t>
  </si>
  <si>
    <t>6ο  ΝΗΠΙΑΓΩΓΕΙΟ ΒΥΡΩΝΑ</t>
  </si>
  <si>
    <t>mail@6nip-vyron.att.sch.gr</t>
  </si>
  <si>
    <t>ΑΙΓΙΑΛΕΙΑΣ 33Α</t>
  </si>
  <si>
    <t>122ο ΝΗΠΙΑΓΩΓΕΙΟ ΑΘΗΝΩΝ</t>
  </si>
  <si>
    <t>mail@122nip-athin.att.sch.gr</t>
  </si>
  <si>
    <t>ΕΥΑΓΡΙΟΥ ΚΑΙ ΕΡΑΣΜΟΥ</t>
  </si>
  <si>
    <t>123ο  ΝΗΠΙΑΓΩΓΕΙΟ ΑΘΗΝΩΝ</t>
  </si>
  <si>
    <t>mail@123nip-athin.att.sch.gr</t>
  </si>
  <si>
    <t>mail@5dim-n-filad.att.sch.gr</t>
  </si>
  <si>
    <t>ΝΙΚΗΤΑΡΑ 28</t>
  </si>
  <si>
    <t>6ο ΕΙΔΙΚΟ ΔΗΜΟΤΙΚΟ ΣΧΟΛΕΙΟ ΑΘΗΝΩΝ</t>
  </si>
  <si>
    <t>mail@6dim-eid-athin.att.sch.gr</t>
  </si>
  <si>
    <t>ΧΑΤΖΗΑΠΟΣΤΟΛΟΥ-ΤΡΙΑΝΤΑΦΥΛΛΟΠΟΥΛΟΥ</t>
  </si>
  <si>
    <t>126ο ΝΗΠΙΑΓΩΓΕΙΟ ΑΘΗΝΩΝ</t>
  </si>
  <si>
    <t>mail@126nip-athin.att.sch.gr</t>
  </si>
  <si>
    <t>109ο ΝΗΠΙΑΓΩΓΕΙΟ ΑΘΗΝΩΝ</t>
  </si>
  <si>
    <t>mail@109nip-athin.att.sch.gr</t>
  </si>
  <si>
    <t>139ο ΝΗΠΙΑΓΩΓΕΙΟ ΑΘΗΝΩΝ</t>
  </si>
  <si>
    <t>mail@139nip-athin.att.sch.gr</t>
  </si>
  <si>
    <t>mail@12dim-galats.att.sch.gr</t>
  </si>
  <si>
    <t>ΛΕΩΦ. ΓΑΛΑΤΣΙΟΥ 86</t>
  </si>
  <si>
    <t>10ο ΔΗΜΟΤΙΚΟ ΣΧΟΛΕΙΟ ΒΥΡΩΝΑ</t>
  </si>
  <si>
    <t>mail@10dim-vyron.att.sch.gr</t>
  </si>
  <si>
    <t>ΙΩΑΝΝΙΝΩΝ 12</t>
  </si>
  <si>
    <t>3ο ΔΗΜΟΤΙΚΟ ΣΧΟΛΕΙΟ ΥΜΗΤΤΟΥ</t>
  </si>
  <si>
    <t>mail@3dim-ymitt.att.sch.gr</t>
  </si>
  <si>
    <t>1dimathi@sch.gr</t>
  </si>
  <si>
    <t>72ο ΔΗΜΟΤΙΚΟ ΣΧΟΛΕΙΟ ΑΘΗΝΩΝ - ΑΝΔΡΕΑΣ ΚΑΛΒΟΣ</t>
  </si>
  <si>
    <t>mail@72dim-athin.att.sch.gr</t>
  </si>
  <si>
    <t>ΑΚΤΑΙΟΥ 2-4</t>
  </si>
  <si>
    <t>mail@7dim-galats.att.sch.gr</t>
  </si>
  <si>
    <t>ΔΡΥΑΔΩΝ 43</t>
  </si>
  <si>
    <t>mail@12dim-zograf.att.sch.gr</t>
  </si>
  <si>
    <t>ΜΑΚΡΥΓΙΑΝΝΗ 44Α</t>
  </si>
  <si>
    <t>6ο  ΝΗΠΙΑΓΩΓΕΙΟ ΗΛΙΟΥΠΟΛΗΣ</t>
  </si>
  <si>
    <t>mail@6nip-ilioup.att.sch.gr</t>
  </si>
  <si>
    <t>ΜΥΚΟΝΟΥ ΚΑΙ ΛΑΡΝΑΚΟΣ</t>
  </si>
  <si>
    <t>139ο ΔΗΜΟΤΙΚΟ ΣΧΟΛΕΙΟ ΑΘΗΝΩΝ</t>
  </si>
  <si>
    <t>mail@139dim-athin.att.sch.gr</t>
  </si>
  <si>
    <t>ΜΑΒΙΛΗ 11</t>
  </si>
  <si>
    <t>7ο ΔΗΜΟΤΙΚΟ ΣΧΟΛΕΙΟ ΗΛΙΟΥΠΟΛΗΣ</t>
  </si>
  <si>
    <t>mail@7dim-ilioup.att.sch.gr</t>
  </si>
  <si>
    <t>Γράμμου 30 &amp; Ματσούκα,</t>
  </si>
  <si>
    <t>67ο ΝΗΠΙΑΓΩΓΕΙΟ ΑΘΗΝΩΝ</t>
  </si>
  <si>
    <t>mail@67nip-athin.att.sch.gr</t>
  </si>
  <si>
    <t>1ο ΝΗΠΙΑΓΩΓΕΙΟ ΥΜΗΤΤΟΣ</t>
  </si>
  <si>
    <t>mail@1nip-ymitt.att.sch.gr</t>
  </si>
  <si>
    <t>ΠΡΟΥΣΣΗΣ 1</t>
  </si>
  <si>
    <t>88ο ΝΗΠΙΑΓΩΓΕΙΟ ΑΘΗΝΩΝ</t>
  </si>
  <si>
    <t>mail@88nip-athin.att.sch.gr</t>
  </si>
  <si>
    <t>ΑΜΦΙΚΡΑΤΟΥΣ ΚΑΙ ΙΛΙΑΔΟΣ 6</t>
  </si>
  <si>
    <t>34ο ΝΗΠΙΑΓΩΓΕΙΟ ΑΘΗΝΩΝ</t>
  </si>
  <si>
    <t>mail@34nip-athin.att.sch.gr</t>
  </si>
  <si>
    <t>4ο ΝΗΠΙΑΓΩΓΕΙΟ ΔΑΦΝΗΣ</t>
  </si>
  <si>
    <t>mail@4nip-dafnis.att.sch.gr</t>
  </si>
  <si>
    <t>ΕΘΝΙΚΗΣ ΑΝΤΙΣΤΑΣΗΣ 21</t>
  </si>
  <si>
    <t>mail@20dim-athin.att.sch.gr</t>
  </si>
  <si>
    <t>ΜΑΥΡΟΓΕΝΟΥΣ 8</t>
  </si>
  <si>
    <t>12ο ΝΗΠΙΑΓΩΓΕΙΟ ΑΘΗΝΩΝ</t>
  </si>
  <si>
    <t>mail@12nip-athin.att.sch.gr</t>
  </si>
  <si>
    <t>ΠΟΝΤΟΥ ΚΑΙ ΑΓ. ΘΩΜΑ</t>
  </si>
  <si>
    <t>6ο  ΝΗΠΙΑΓΩΓΕΙΟ ΔΑΦΝΗΣ</t>
  </si>
  <si>
    <t>mail@6nip-dafnis.att.sch.gr</t>
  </si>
  <si>
    <t>ΧΙΟΥ  45</t>
  </si>
  <si>
    <t>29ο ΔΗΜΟΤΙΚΟ ΣΧΟΛΕΙΟ ΑΘΗΝΩΝ - ΝΙΚΟΣ ΓΚΑΤΣΟΣ</t>
  </si>
  <si>
    <t>mail@29dim-athin.att.sch.gr</t>
  </si>
  <si>
    <t>ΔΟΙΡΑΝΗΣ 43</t>
  </si>
  <si>
    <t>124ο ΝΗΠΙΑΓΩΓΕΙΟ ΑΘΗΝΩΝ</t>
  </si>
  <si>
    <t>mail@124nip-athin.att.sch.gr</t>
  </si>
  <si>
    <t>mail@45dim-athin.att.sch.gr</t>
  </si>
  <si>
    <t>ΠΥΘΙΑΣ 38</t>
  </si>
  <si>
    <t>63ο ΔΗΜΟΤΙΚΟ ΣΧΟΛΕΙΟ ΑΘΗΝΩΝ - ΓΙΑΝΝΗΣ ΡΙΤΣΟΣ</t>
  </si>
  <si>
    <t>mail@63dim-athin.att.sch.gr</t>
  </si>
  <si>
    <t>mail@127dim-athin.att.sch.gr</t>
  </si>
  <si>
    <t>ΚΑΛΛΙΠΟΛΕΩΣ 10-12</t>
  </si>
  <si>
    <t>112ο  ΝΗΠΙΑΓΩΓΕΙΟ ΑΘΗΝΑ</t>
  </si>
  <si>
    <t>mail@112nip-athin.att.sch.gr</t>
  </si>
  <si>
    <t>ΛΑΓΟΥΜΙΤΖΗ 55</t>
  </si>
  <si>
    <t>27ο  ΝΗΠΙΑΓΩΓΕΙΟ ΑΘΗΝΩΝ</t>
  </si>
  <si>
    <t>mail@27nip-athin.att.sch.gr</t>
  </si>
  <si>
    <t>22ο  ΔΗΜΟΤΙΚΟ ΣΧΟΛΕΙΟ ΑΘΗΝΩΝ</t>
  </si>
  <si>
    <t>mail@22dim-athin.att.sch.gr</t>
  </si>
  <si>
    <t>2ο ΝΗΠΙΑΓΩΓΕΙΟ ΔΑΦΝΗΣ</t>
  </si>
  <si>
    <t>mail@2nip-dafnis.att.sch.gr</t>
  </si>
  <si>
    <t>ΟΛΓΑΣ ΚΑΙ ΑΡΙΣΤΟΤΕΛΟΥΣ 9</t>
  </si>
  <si>
    <t>10ο ΟΛΟΗΜΕΡΟ ΝΗΠΙΑΓΩΓΕΙΟ ΓΑΛΑΤΣΙΟΥ</t>
  </si>
  <si>
    <t>mail@10nip-galats.att.sch.gr</t>
  </si>
  <si>
    <t>ΑΙΓΟΣΘΕΝΩΝ 59</t>
  </si>
  <si>
    <t>4ο  ΔΗΜΟΤΙΚΟ ΣΧΟΛΕΙΟ Ν. ΦΙΛΑΔΕΛΦΕΙΑΣ</t>
  </si>
  <si>
    <t>mail@4dim-n-filad.att.sch.gr</t>
  </si>
  <si>
    <t>Ν.  Φιλαδέλφεια</t>
  </si>
  <si>
    <t>Λαχανά 1</t>
  </si>
  <si>
    <t>52ο ΝΗΠΙΑΓΩΓΕΙΟ ΑΘΗΝΩΝ</t>
  </si>
  <si>
    <t>mail@52nip-athin.att.sch.gr</t>
  </si>
  <si>
    <t>ΑΙΓΗΙΔΩΝ 35</t>
  </si>
  <si>
    <t>31ο ΝΗΠΙΑΓΩΓΕΙΟ ΑΘΗΝΩΝ</t>
  </si>
  <si>
    <t>mail@31nip-athin.att.sch.gr</t>
  </si>
  <si>
    <t>ΑΡΙΣΤΟΤΈΛΟΥΣ 55</t>
  </si>
  <si>
    <t>118ο ΝΗΠΙΑΓΩΓΕΙΟ ΑΘΗΝΩΝ</t>
  </si>
  <si>
    <t>mail@118nip-athin.att.sch.gr</t>
  </si>
  <si>
    <t>ΠΥΡΛΑ 31</t>
  </si>
  <si>
    <t>22ο  ΝΗΠΙΑΓΩΓΕΙΟ ΗΛΙΟΥΠΟΛΗΣ</t>
  </si>
  <si>
    <t>mail@22nip-ilioup.att.sch.gr</t>
  </si>
  <si>
    <t>ΣΑΡΩΝΙΚΟΥ 31</t>
  </si>
  <si>
    <t>83ο ΝΗΠΙΑΓΩΓΕΙΟ ΑΘΗΝΩΝ</t>
  </si>
  <si>
    <t>mail@83nip-athin.att.sch.gr</t>
  </si>
  <si>
    <t>ΤΙΜΑΙΟΥ 5</t>
  </si>
  <si>
    <t>131ο ΝΗΠΙΑΓΩΓΕΙΟ ΑΘΗΝΩΝ</t>
  </si>
  <si>
    <t>mail@131nip-athin.att.sch.gr</t>
  </si>
  <si>
    <t>ΚΟΥΡΤΙΔΟΥ ΚΑΙ ΠΥΡΛΑ 33</t>
  </si>
  <si>
    <t>mail@3dim-kaisar.att.sch.gr</t>
  </si>
  <si>
    <t>ΗΡΩΣ ΚΩΝΣΤΑΝΤΟΠΟΥΛΟΥ 13Α</t>
  </si>
  <si>
    <t>87ο ΝΗΠΙΑΓΩΓΕΙΟ ΑΘΗΝΩΝ</t>
  </si>
  <si>
    <t>87nipath@sch.gr</t>
  </si>
  <si>
    <t>17ο  ΝΗΠΙΑΓΩΓΕΙΟ ΑΘΗΝΩΝ</t>
  </si>
  <si>
    <t>mail@17nip-athin.att.sch.gr</t>
  </si>
  <si>
    <t>54ο  ΝΗΠΙΑΓΩΓΕΙΟ ΑΘΗΝΩΝ</t>
  </si>
  <si>
    <t>mail@54nip-athin.att.sch.gr</t>
  </si>
  <si>
    <t>ΑΙΜΟΥ 25</t>
  </si>
  <si>
    <t>mail@4dim-ymitt.att.sch.gr</t>
  </si>
  <si>
    <t>ΠΡΟΥΣΗΣ 1</t>
  </si>
  <si>
    <t>130ο ΝΗΠΙΑΓΩΓΕΙΟ ΑΘΗΝΩΝ</t>
  </si>
  <si>
    <t>mail@130nip-athin.att.sch.gr</t>
  </si>
  <si>
    <t>ΑΙΜΩΝΟΣ ΚΑΙ ΤΗΛΕΦΑΝΟΥΣ</t>
  </si>
  <si>
    <t>61ο ΝΗΠΙΑΓΩΓΕΙΟ ΑΘΗΝΩΝ</t>
  </si>
  <si>
    <t>mail@61nip-athin.att.sch.gr</t>
  </si>
  <si>
    <t>85ο ΝΗΠΙΑΓΩΓΕΙΟ ΑΘΗΝΩΝ</t>
  </si>
  <si>
    <t>mail@85nip-athin.att.sch.gr</t>
  </si>
  <si>
    <t>Μ.ΑΛΕΞΑΝΔΡΟΥ 63</t>
  </si>
  <si>
    <t>75ο ΔΗΜΟΤΙΚΟ ΣΧΟΛΕΙΟ ΑΘΗΝΩΝ</t>
  </si>
  <si>
    <t>mail@75dim-athin.att.sch.gr</t>
  </si>
  <si>
    <t>ΡΙΚΑΚΗ 9</t>
  </si>
  <si>
    <t>106ο ΔΗΜΟΤΙΚΟ ΣΧΟΛΕΙΟ ΑΘΗΝΩΝ</t>
  </si>
  <si>
    <t>mail@106dim-athin.att.sch.gr</t>
  </si>
  <si>
    <t>ΠΟΝΤΟΥ &amp; ΑΓ. ΘΩΜΑ</t>
  </si>
  <si>
    <t>5ο ΔΗΜΟΤΙΚΟ ΣΧΟΛΕΙΟ ΗΛΙΟΥΠΟΛΗΣ</t>
  </si>
  <si>
    <t>mail@5dim-ilioup.att.sch.gr</t>
  </si>
  <si>
    <t>mail@21dim-ilioup.att.sch.gr</t>
  </si>
  <si>
    <t>ΤΕΜΠΟΝΕΡΑ ΚΑΙ ΜΑΤΣΟΥΚΑ</t>
  </si>
  <si>
    <t>41ο ΔΗΜΟΤΙΚΟ ΣΧΟΛΕΙΟ ΑΘΗΝΩΝ</t>
  </si>
  <si>
    <t>mail@41dim-athin.att.sch.gr</t>
  </si>
  <si>
    <t>ΒΑΡΒΑΚΗ 23</t>
  </si>
  <si>
    <t>mail@144dim-athin.att.sch.gr</t>
  </si>
  <si>
    <t>ΧΑΤΖΗΑΠΟΣΤΟΛΟΥ ΚΑΙ ΜΕΤΟΧΙΤΗ 1</t>
  </si>
  <si>
    <t>mail@71dim-athin.att.sch.gr</t>
  </si>
  <si>
    <t>ΓΕΝ. ΚΟΛΟΚΟΤΡΩΝΗ 25</t>
  </si>
  <si>
    <t>62ο ΝΗΠΙΑΓΩΓΕΙΟ ΑΘΗΝΩΝ</t>
  </si>
  <si>
    <t>mail@62nip-athin.att.sch.gr</t>
  </si>
  <si>
    <t>ΑΙΛΙΑΝΟΥ 10</t>
  </si>
  <si>
    <t>49ο ΔΗΜΟΤΙΚΟ ΣΧΟΛΕΙΟ ΑΘΗΝΩΝ</t>
  </si>
  <si>
    <t>49dimath@sch.gr</t>
  </si>
  <si>
    <t>ΑΓ. ΑΣΩΜΑΤΩΝ 35</t>
  </si>
  <si>
    <t>142ο  ΝΗΠΙΑΓΩΓΕΙΟ ΑΘΗΝΩΝ</t>
  </si>
  <si>
    <t>mail@142nip-athin.att.sch.gr</t>
  </si>
  <si>
    <t>ΕΥΓΕΝΙΟΥ ΚΑΡΑΒΙΑ 9 ΚΑΙ ΔΕΥΚΑΛΙΩΝΟΣ 34</t>
  </si>
  <si>
    <t>mail@54dim-athin.att.sch.gr</t>
  </si>
  <si>
    <t>Μ. ΒΟΔΑ 9</t>
  </si>
  <si>
    <t>7ο ΔΗΜΟΤΙΚΟ ΣΧΟΛΕΙΟ Ν. ΦΙΛΑΔΕΛΦΕΙΑΣ</t>
  </si>
  <si>
    <t>mail@7dim-n-filad.att.sch.gr</t>
  </si>
  <si>
    <t>ΠΑΡΟΔΟΣ ΠΑΠΑΝΙΚΟΛΗ</t>
  </si>
  <si>
    <t>7ο ΔΗΜΟΤΙΚΟ ΣΧΟΛΕΙΟ ΔΑΦΝΗΣ</t>
  </si>
  <si>
    <t>mail@7dim-dafnis.att.sch.gr</t>
  </si>
  <si>
    <t>ΕΘΝ. ΑΝΤΙΣΤΑΣΗΣ ΚΑΙ ΑΡΙΣΤΟΤΕΛΟΥΣ 9</t>
  </si>
  <si>
    <t>8ο ΔΗΜΟΤΙΚΟ ΣΧΟΛΕΙΟ ΒΥΡΩΝΑ</t>
  </si>
  <si>
    <t>mail@8dim-vyron.att.sch.gr</t>
  </si>
  <si>
    <t>128ο ΝΗΠΙΑΓΩΓΕΙΟ ΑΘΗΝΩΝ</t>
  </si>
  <si>
    <t>mail@128nip-athin.att.sch.gr</t>
  </si>
  <si>
    <t>ΔΗΜΩΝΑΚΤΟΣ 17</t>
  </si>
  <si>
    <t>1ο ΝΗΠΙΑΓΩΓΕΙΟ ΔΑΦΝΗΣ</t>
  </si>
  <si>
    <t>mail@1nip-dafnis.att.sch.gr</t>
  </si>
  <si>
    <t>ΕΘΝΑΡΧΟΥ ΜΑΚΑΡΙΟΥ ΚΑΙ ΚΙΟΥ 2</t>
  </si>
  <si>
    <t>103ο ΝΗΠΙΑΓΩΓΕΙΟ ΑΘΗΝΑΣ</t>
  </si>
  <si>
    <t>mail@103nip-athin.att.sch.gr</t>
  </si>
  <si>
    <t>mail@1dim-ymitt.att.sch.gr</t>
  </si>
  <si>
    <t>ΠΑΠΑΣΤΡΑΤΟΥ 34</t>
  </si>
  <si>
    <t>21dimath@sch.gr</t>
  </si>
  <si>
    <t>99ο ΔΗΜΟΤΙΚΟ ΣΧΟΛΕΙΟ ΑΘΗΝΑΣ</t>
  </si>
  <si>
    <t>mail@99dim-athin.att.sch.gr</t>
  </si>
  <si>
    <t>ΥΓΕΙΑΣ 11α</t>
  </si>
  <si>
    <t>17ο ΝΗΠΙΑΓΩΓΕΙΟ ΗΛΙΟΥΠΟΛΗΣ</t>
  </si>
  <si>
    <t>mail@17nip-ilioup.att.sch.gr</t>
  </si>
  <si>
    <t>ΜΥΚΟΝΟΥ ΚΑΙ ΖΑΠΠΑ 2</t>
  </si>
  <si>
    <t>1ο ΝΗΠΙΑΓΩΓΕΙΟ ΗΛΙΟΥΠΟΛΗΣ</t>
  </si>
  <si>
    <t>mail@1nip-ilioup.att.sch.gr</t>
  </si>
  <si>
    <t>ΠΡΩΤΟΠΑΠΠΑ  2</t>
  </si>
  <si>
    <t>2ο ΝΗΠΙΑΓΩΓΕΙΟ ΗΛΙΟΥΠΟΛΗΣ</t>
  </si>
  <si>
    <t>mail@2nip-ilioup.att.sch.gr</t>
  </si>
  <si>
    <t>ΠΟΥΣΟΥΛΙΔΟΥ 19</t>
  </si>
  <si>
    <t>120ο  ΔΗΜΟΤΙΚΟ ΣΧΟΛΕΙΟ ΑΘΗΝΩΝ</t>
  </si>
  <si>
    <t>mail@120dim-athin.att.sch.gr</t>
  </si>
  <si>
    <t>ΚΟΚΚΕΡΕΛ 14</t>
  </si>
  <si>
    <t>3ο ΝΗΠΙΑΓΩΓΕΙΟ ΒΥΡΩΝΑ</t>
  </si>
  <si>
    <t>mail@3nip-vyron.att.sch.gr</t>
  </si>
  <si>
    <t>ΘΥΜΑΤΩΝ ΠΟΛΕΜΟΥ 27</t>
  </si>
  <si>
    <t>ΝΗΠΙΑΓΩΓΕΙΟ ΑΘΗΝΩΝ - ΝΟΣΟΚ. ΠΑΙΔΩΝ ΑΓ.ΣΟΦΙΑ</t>
  </si>
  <si>
    <t>mail@nip-np-ag-sofia.att.sch.gr</t>
  </si>
  <si>
    <t>ΜΙΚΡΑΣ ΑΣΙΑΣ ΚΑΙ ΘΗΒΩΝ 1</t>
  </si>
  <si>
    <t>133ο ΔΗΜΟΤΙΚΟ ΣΧΟΛΕΙΟ ΑΘΗΝΩΝ</t>
  </si>
  <si>
    <t>mail@133dim-athin.att.sch.gr</t>
  </si>
  <si>
    <t>ΚΥΨΕΛΗΣ &amp; ΤΡΟΙΑΣ 6</t>
  </si>
  <si>
    <t>4ο  ΔΗΜΟΤΙΚΟ ΣΧΟΛΕΙΟ ΑΘΗΝΩΝ</t>
  </si>
  <si>
    <t>mail@4dim-athin.att.sch.gr</t>
  </si>
  <si>
    <t>ΘΕΑΓΕΝΟΥΣ - ΚΟΝΩΝΟΣ</t>
  </si>
  <si>
    <t>8ο ΔΗΜΟΤΙΚΟ ΣΧΟΛΕΙΟ ΔΑΦΝΗΣ</t>
  </si>
  <si>
    <t>mail@8dim-dafnis.att.sch.gr</t>
  </si>
  <si>
    <t>ΕΛΕΥΘΕΡΙΑΣ 2A</t>
  </si>
  <si>
    <t>mail@172dim-athin.att.sch.gr</t>
  </si>
  <si>
    <t>ΣΚΟΠΕΛΟΥ 67</t>
  </si>
  <si>
    <t>3ο ΝΗΠΙΑΓΩΓΕΙΟ ΗΛΙΟΥΠΟΛΗΣ</t>
  </si>
  <si>
    <t>mail@3nip-ilioup.att.sch.gr</t>
  </si>
  <si>
    <t>ΠΕΛΟΠΟΝΝΗΣΟΥ 34</t>
  </si>
  <si>
    <t>14ο  ΝΗΠΙΑΓΩΓΕΙΟ ΗΛΙΟΥΠΟΛΗΣ</t>
  </si>
  <si>
    <t>mail@14nip-ilioup.att.sch.gr</t>
  </si>
  <si>
    <t>ΘΡΑΚΗΣ 31</t>
  </si>
  <si>
    <t>100ο ΔΗΜΟΤΙΚΟ ΣΧΟΛΕΙΟ ΑΘΗΝΩΝ</t>
  </si>
  <si>
    <t>mail@100dim-athin.att.sch.gr</t>
  </si>
  <si>
    <t>ΠΥΡΡΑΣ 15</t>
  </si>
  <si>
    <t>mail@40dim-athin.att.sch.gr</t>
  </si>
  <si>
    <t>ΜΟΜΦΕΡΑΤΟΥ ΚΑΙ ΦΑΛΗΡΕΩΣ 2-4</t>
  </si>
  <si>
    <t>2ο  ΝΗΠΙΑΓΩΓΕΙΟ ΒΥΡΩΝΑ</t>
  </si>
  <si>
    <t>mail@2nip-vyorn.att.sch.gr</t>
  </si>
  <si>
    <t>134ο ΔΗΜΟΤΙΚΟ ΣΧΟΛΕΙΟ ΑΘΗΝΩΝ</t>
  </si>
  <si>
    <t>mail@134dim-athin.att.sch.gr</t>
  </si>
  <si>
    <t>ΕΡΥΘΡΑΙΑΣ 14-18</t>
  </si>
  <si>
    <t>9ο ΔΗΜΟΤΙΚΟ ΣΧΟΛΕΙΟ ΓΑΛΑΤΣΙΟΥ</t>
  </si>
  <si>
    <t>mail@9dim-galats.att.sch.gr</t>
  </si>
  <si>
    <t>ΗΡΟΔΟΤΟΥ 3</t>
  </si>
  <si>
    <t>mail@73dim-athin.att.sch.gr</t>
  </si>
  <si>
    <t>mail@173dim-athin.att.sch.gr</t>
  </si>
  <si>
    <t>ΕΥΘΥΚΡΑΤΟΥΣ 2-8</t>
  </si>
  <si>
    <t>10ο ΔΗΜΟΤΙΚΟ ΣΧΟΛΕΙΟ ΗΛΙΟΥΠΟΛΗΣ</t>
  </si>
  <si>
    <t>mail@10dim-ilioup.att.sch.gr</t>
  </si>
  <si>
    <t>ΜΥΚΟΝΟΥ 34</t>
  </si>
  <si>
    <t>mail@4dim-dafnis.att.sch.gr</t>
  </si>
  <si>
    <t>ΑΛ. ΠΑΠΑΝΑΣΤΑΣΙΟΥ 72</t>
  </si>
  <si>
    <t>9ο ΕΙΔΙΚΟ ΔΗΜΟΤΙΚΟ ΣΧΟΛΕΙΟ ΑΘΗΝΩΝ</t>
  </si>
  <si>
    <t>mail@9dim-eid-athin.att.sch.gr</t>
  </si>
  <si>
    <t>ΠΟΝΤΟΥ ΚΑΙ ΑΓΙΟΥ ΘΩΜΑ</t>
  </si>
  <si>
    <t>16ο ΝΗΠΙΑΓΩΓΕΙΟ ΑΘΗΝΩΝ</t>
  </si>
  <si>
    <t>mail@16nip-athin.att.sch.gr</t>
  </si>
  <si>
    <t>Ι. ΠΑΓΚΑ  23</t>
  </si>
  <si>
    <t>mail@24dim-athin.att.sch.gr</t>
  </si>
  <si>
    <t>ΣΑΡΑΝΤΟΠΟΡΟΥ 20</t>
  </si>
  <si>
    <t>ΔΕΝ ΥΠΑΡΧΕΙ</t>
  </si>
  <si>
    <t>1ο  ΔΗΜΟΤΙΚΟ ΣΧΟΛΕΙΟ ΔΑΦΝΗΣ</t>
  </si>
  <si>
    <t>mail@1dim-dafnis.att.sch.gr</t>
  </si>
  <si>
    <t>ΕΛΛΗΣ 19</t>
  </si>
  <si>
    <t>mail@39dim-athin.att.sch.gr</t>
  </si>
  <si>
    <t>77ο ΝΗΠΙΑΓΩΓΕΙΟ ΑΘΗΝΩΝ</t>
  </si>
  <si>
    <t>mail@77nip-athin.att.sch.gr</t>
  </si>
  <si>
    <t>Ι.ΠΑΓΚΑ 23</t>
  </si>
  <si>
    <t>mail@65dim-athin.att.sch.gr</t>
  </si>
  <si>
    <t>26ο  ΔΗΜΟΤΙΚΟ ΣΧΟΛΕΙΟ ΑΘΗΝΩΝ</t>
  </si>
  <si>
    <t>mail@26dim-athin.att.sch.gr</t>
  </si>
  <si>
    <t>ΦΩΚ. ΝΕΓΡΗ 63</t>
  </si>
  <si>
    <t>9ο ΔΗΜΟΤΙΚΟ ΣΧΟΛΕΙΟ ΔΑΦΝΗΣ</t>
  </si>
  <si>
    <t>mail@9dim-dafnis.att.sch.gr</t>
  </si>
  <si>
    <t>ΖΩΟΔΟΧΟΥ ΠΗΓΗΣ 21-23 &amp; ΚΑΒΑΛΑΣ 20</t>
  </si>
  <si>
    <t>mail@112dim-athin.att.sch.gr</t>
  </si>
  <si>
    <t>2ο ΔΗΜΟΤΙΚΟ ΣΧΟΛΕΙΟ ΔΑΦΝΗΣ</t>
  </si>
  <si>
    <t>mail@2dim-dafnis.att.sch.gr</t>
  </si>
  <si>
    <t>Δάφνη</t>
  </si>
  <si>
    <t>ΑΛΕΞΑΝΔΡΕΙΑΣ  60</t>
  </si>
  <si>
    <t>ΑΛΕΞΑΝΔΡΕΙΑΣ 60</t>
  </si>
  <si>
    <t>132ο ΔΗΜΟΤΙΚΟ ΣΧΟΛΕΙΟ ΑΘΗΝΩΝ</t>
  </si>
  <si>
    <t>mail@132dim-athin.att.sch.gr</t>
  </si>
  <si>
    <t>28ο ΔΗΜΟΤΙΚΟ ΣΧΟΛΕΙΟ ΑΘΗΝΩΝ</t>
  </si>
  <si>
    <t>mail@28dim-athin.att.sch.gr</t>
  </si>
  <si>
    <t>108ο ΝΗΠΙΑΓΩΓΕΙΟ ΑΘΗΝΩΝ</t>
  </si>
  <si>
    <t>mail@108nip-athin.att.sch.gr</t>
  </si>
  <si>
    <t>ΒΩΚΟΥ 35 - ΓΟΥΔΑ 36 - ΚΕΦΑΛΑ 22-28</t>
  </si>
  <si>
    <t>140ο ΝΗΠΙΑΓΩΓΕΙΟ ΑΘΗΝΩΝ</t>
  </si>
  <si>
    <t>mail@140nip-athin.att.sch.gr</t>
  </si>
  <si>
    <t>ΧΑΤΖΗΑΠΟΣΤΟΛΟΥ ΚΑΙ ΜΕΤΟΧΙΤΗ</t>
  </si>
  <si>
    <t>38ο ΔΗΜΟΤΙΚΟ ΣΧΟΛΕΙΟ ΑΘΗΝΩΝ</t>
  </si>
  <si>
    <t>mail@38dim-athin.att.sch.gr</t>
  </si>
  <si>
    <t>63ο ΝΗΠΙΑΓΩΓΕΙΟ ΑΘΗΝΩΝ</t>
  </si>
  <si>
    <t>mail@63nip-athin.att.sch.gr</t>
  </si>
  <si>
    <t>ΙΘΑΚΗΣ 74-76</t>
  </si>
  <si>
    <t>23ο ΝΗΠΙΑΓΩΓΕΙΟ ΑΘΗΝΩΝ</t>
  </si>
  <si>
    <t>mail@23nip-athin.att.sch.gr</t>
  </si>
  <si>
    <t>53ο  ΔΗΜΟΤΙΚΟ ΣΧΟΛΕΙΟ ΑΘΗΝΩΝ</t>
  </si>
  <si>
    <t>mail@53dim-athin.att.sch.gr</t>
  </si>
  <si>
    <t>ΤΑΡΣΟΥ 26</t>
  </si>
  <si>
    <t>141ο  ΔΗΜΟΤΙΚΟ ΣΧΟΛΕΙΟ ΑΘΗΝΩΝ</t>
  </si>
  <si>
    <t>mail@141dim-athin.att.sch.gr</t>
  </si>
  <si>
    <t>ΑΧΑΡΝΩΝ 399 &amp; ΤΣΟΥΝΤΑ</t>
  </si>
  <si>
    <t>1ο ΔΩΔΕΚΑΘΕΣΙΟ (12/Θ) ΠΕΙΡΑΜΑΤΙΚΟ ΔΗΜΟΤΙΚΟ ΣΧΟΛΕΙΟ ΠΑΝΕΠΙΣΤΗΜΙΟΥ ΑΘΗΝΩΝ (ΜΑΡΑΣΛΕΙΟ)</t>
  </si>
  <si>
    <t>mail@1dim-uoa.att.sch.gr</t>
  </si>
  <si>
    <t>ΜΑΡΑΣΛΗ 4</t>
  </si>
  <si>
    <t>152ο ΔΗΜΟΤΙΚΟ ΣΧΟΛΕΙΟ ΑΘΗΝΩΝ</t>
  </si>
  <si>
    <t>mail@152dim-athin.att.sch.gr</t>
  </si>
  <si>
    <t>ΜΗΛΙΑΡΑΚΗ 57</t>
  </si>
  <si>
    <t>72ο ΝΗΠΙΑΓΩΓΕΙΟ ΑΘΗΝΩΝ</t>
  </si>
  <si>
    <t>mail@72nip-athin.att.sch.gr</t>
  </si>
  <si>
    <t>8ο  ΔΗΜΟΤΙΚΟ ΣΧΟΛΕΙΟ ΝΕΑΣ ΦΙΛΑΔΕΛΦΕΙΑΣ</t>
  </si>
  <si>
    <t>mail@8dim-n-filad.att.sch.gr</t>
  </si>
  <si>
    <t>ΜΑΙΑΝΔΡΟΥ 85</t>
  </si>
  <si>
    <t>107ο  ΝΗΠΙΑΓΩΓΕΙΟ ΑΘΗΝΩΝ</t>
  </si>
  <si>
    <t>annaskam@yahoo.gr</t>
  </si>
  <si>
    <t>mail@1dim-n-chalk.att.sch.gr</t>
  </si>
  <si>
    <t>ΝΕΑ ΧΑΛΚΗΔΟΝΑ</t>
  </si>
  <si>
    <t>ΓΡΗΓΟΡΙΟΥ Ε΄ 1</t>
  </si>
  <si>
    <t>mail@135dim-athin.att.sch.gr</t>
  </si>
  <si>
    <t xml:space="preserve">Αθήνα </t>
  </si>
  <si>
    <t>ΜΟΜΦΕΡΑΤΟΥ 94</t>
  </si>
  <si>
    <t>ΠΡΟΤΥΠΟ ΠΕΙΡΑΜΑΤΙΚΟ ΔΗΜΟΤΙΚΟ ΣΧΟΛΕΙΟ (ΕΝΤΑΓΜΕΝΟ ΣΤΟ ΠΑΝΕΠΙΣΤΗΜΙΟ) ΑΘΗΝΩΝ - ΜΟΝΟΘΕΣΙΟΠΡΟΤΥΠΟ ΠΕΙΡΑΜΑΤΙΚΟ ΔΗΜΟΤΙΚΟ ΣΧΟΛΕΙΟ ΠΑΝΕΠΙΣΤΗΜΙΟΥ ΑΘΗΝΩΝ</t>
  </si>
  <si>
    <t>mail@dim-1th-marasl.att.sch.gr</t>
  </si>
  <si>
    <t>mail@2dim-n-filad.att.sch.gr</t>
  </si>
  <si>
    <t>ΕΦΕΣΟΥ 1 ΚΑΙ Ν.ΤΡΥΠΙΑ</t>
  </si>
  <si>
    <t>108ο ΔΗΜΟΤΙΚΟ ΣΧΟΛΕΙΟ ΑΘΗΝΩΝ</t>
  </si>
  <si>
    <t>mail@108dim-athin.att.sch.gr</t>
  </si>
  <si>
    <t>mail@5dim-dafnis.att.sch.gr</t>
  </si>
  <si>
    <t>114ο ΝΗΠΙΑΓΩΓΕΙΟ ΑΘΗΝΩΝ</t>
  </si>
  <si>
    <t>mail@114nip-athin.att.sch.gr</t>
  </si>
  <si>
    <t>ΔΑΜΑΡΕΩΣ 166</t>
  </si>
  <si>
    <t>23ο ΔΗΜΟΤΙΚΟ ΣΧΟΛΕΙΟ ΑΘΗΝΩΝ</t>
  </si>
  <si>
    <t>mail@23dim-athin.att.sch.gr</t>
  </si>
  <si>
    <t>ΜΙΧΑΗΛ ΝΟΜΙΚΟΥ 26</t>
  </si>
  <si>
    <t>6ο ΔΗΜΟΤΙΚΟ ΣΧΟΛΕΙΟ ΝΕΑΣ ΦΙΛΑΔΕΛΦΕΙΑΣ</t>
  </si>
  <si>
    <t>mail@6dim-n-filad.att.sch.gr</t>
  </si>
  <si>
    <t>ΠΕΛΑΣΓΩΝ 16</t>
  </si>
  <si>
    <t>mail@162dim-athin.att.sch.gr</t>
  </si>
  <si>
    <t>ΖΗΝΟΔΩΡΟΥ 23  ΚΑΙ  ΙΦΙΓΕΝΕΙΑΣ</t>
  </si>
  <si>
    <t>150ο ΔΗΜΟΤΙΚΟ ΣΧΟΛΕΙΟ ΑΘΗΝΩΝ</t>
  </si>
  <si>
    <t>mail@150dim-athin.att.sch.gr</t>
  </si>
  <si>
    <t>ΚΟΔΡΙΓΚΤΩΝΟΣ 26</t>
  </si>
  <si>
    <t>44ο ΝΗΠΙΑΓΩΓΕΙΟ ΑΘΗΝΩΝ</t>
  </si>
  <si>
    <t>mail@44nip-athin.att.sch.gr</t>
  </si>
  <si>
    <t>5ο ΝΗΠΙΑΓΩΓΕΙΟ ΑΘΗΝΩΝ</t>
  </si>
  <si>
    <t>mail@5nip-athin.att.sch.gr</t>
  </si>
  <si>
    <t>Κεφαλά 22-28                                      Παράρτημα: Κ. Τσαλδάρη 17</t>
  </si>
  <si>
    <t>165ο  ΔΗΜΟΤΙΚΟ ΣΧΟΛΕΙΟ ΑΘΗΝΩΝ</t>
  </si>
  <si>
    <t>mail@165dim-athin.att.sch.gr</t>
  </si>
  <si>
    <t>10ο ΝΗΠΙΑΓΩΓΕΙΟ ΑΘΗΝΩΝ</t>
  </si>
  <si>
    <t>mail@10nip-athin.att.sch.gr</t>
  </si>
  <si>
    <t>ΣΤΙΛΠΩΝΟΣ 36</t>
  </si>
  <si>
    <t>3/ΘΕΣΙΟ ΠΕΙΡΑΜΑΤΙΚΟ ΔΗΜΟΤΙΚΟ ΣΧΟΛΕΙΟ ΠΑΝΕΠΙΣΤΗΜΙΟΥ ΑΘΗΝΩΝ (ΜΑΡΑΣΛΕΙΟ)</t>
  </si>
  <si>
    <t>mail@dim-aei-marasl.att.sch.gr</t>
  </si>
  <si>
    <t>ΔΗΜΟΤΙΚΟ ΣΧΟΛΕΙΟ ΠΡΟΤΥΠΟ ΕΙΔΙΚΟ Μ.Δ.Δ.Ε. ΚΑΙΣΑΡΙΑΝΗΣ - ΡΟΖΑ ΙΜΒΡΙΩΤΗ</t>
  </si>
  <si>
    <t>mail@dim-eid-mdde.att.sch.gr</t>
  </si>
  <si>
    <t>ΣΟΛΟΜΩΝΙΔΟΥ 68</t>
  </si>
  <si>
    <t>91ο ΔΗΜΟΤΙΚΟ ΣΧΟΛΕΙΟ ΑΘΗΝΩΝ</t>
  </si>
  <si>
    <t>mail@91dim-athin.att.sch.gr</t>
  </si>
  <si>
    <t>ΦΙΛΟΛΑΟΥ 163</t>
  </si>
  <si>
    <t>11ο ΝΗΠΙΑΓΩΓΕΙΟ ΑΘΗΝΩΝ</t>
  </si>
  <si>
    <t>mail@11nip-athin.att.sch.gr</t>
  </si>
  <si>
    <t>1ο ΔΗΜΟΤΙΚΟ ΣΧΟΛΕΙΟ ΓΑΛΑΤΣΙΟΥ</t>
  </si>
  <si>
    <t>mail@1dim-galats.att.sch.gr</t>
  </si>
  <si>
    <t>59ο ΝΗΠΙΑΓΩΓΕΙΟ ΑΘΗΝΩΝ</t>
  </si>
  <si>
    <t>mail@59nip-athin.att.sch.gr</t>
  </si>
  <si>
    <t>101ο  ΔΗΜΟΤΙΚΟ ΣΧΟΛΕΙΟ ΑΘΗΝΩΝ</t>
  </si>
  <si>
    <t>mail@101dim-athin.att.sch.gr</t>
  </si>
  <si>
    <t>ΠΟΛΥΔΟΥΡΗ 4</t>
  </si>
  <si>
    <t>mail@2dim-galats.att.sch.gr</t>
  </si>
  <si>
    <t>Δρυοπίδος 9</t>
  </si>
  <si>
    <t>3ο ΔΗΜΟΤΙΚΟ ΣΧΟΛΕΙΟ ΓΑΛΑΤΣΙΟΥ</t>
  </si>
  <si>
    <t>mail@3dim-galats.att.sch.gr</t>
  </si>
  <si>
    <t>mail@5dim-galats.att.sch.gr</t>
  </si>
  <si>
    <t>ΟΡΦΑΝΙΔΟΥ 101</t>
  </si>
  <si>
    <t>56ο  ΝΗΠΙΑΓΩΓΕΙΟ ΑΘΗΝΑ</t>
  </si>
  <si>
    <t>mail@56nip-athin.att.sch.gr</t>
  </si>
  <si>
    <t>mail@13dim-athin.att.sch.gr</t>
  </si>
  <si>
    <t>ΣΤΙΛΠΩΝΟΣ 38</t>
  </si>
  <si>
    <t>10ο ΕΙΔΙΚΟ ΔΗΜΟΤΙΚΟ ΣΧΟΛΕΙΟ ΑΘΗΝΩΝ</t>
  </si>
  <si>
    <t>mail@dim-eid-ptde.att.sch.gr</t>
  </si>
  <si>
    <t>1ο ΝΗΠΙΑΓΩΓΕΙΟ Ν. ΦΙΛΑΔΕΛΦΕΙΑΣ</t>
  </si>
  <si>
    <t>mail@1nip-n-filad.att.sch.gr</t>
  </si>
  <si>
    <t>ΕΦΕΣΟΥ 1 ΚΑΙ Ν. ΤΡΥΠΙΑ</t>
  </si>
  <si>
    <t>1ο ΝΗΠΙΑΓΩΓΕΙΟ ΑΘΗΝΩΝ</t>
  </si>
  <si>
    <t>mail@1nip-athin.att.sch.gr</t>
  </si>
  <si>
    <t>ΠΡΟΜΠΟΝΑ 44</t>
  </si>
  <si>
    <t>75ο ΝΗΠΙΑΓΩΓΕΙΟ ΑΘΗΝΩΝ</t>
  </si>
  <si>
    <t>mail@75nip-athin.att.sch.gr</t>
  </si>
  <si>
    <t>ΧΑΝΣΕΝ ΚΑΙ ΤΣΙΛΛΕΡ 23</t>
  </si>
  <si>
    <t>81ο ΝΗΠΙΑΓΩΓΕΙΟ ΑΘΗΝΩΝ</t>
  </si>
  <si>
    <t>mail@81nip-athin.att.sch.gr</t>
  </si>
  <si>
    <t>ΕΙΔΙΚΟ ΔΗΜΟΤΙΚΟ ΣΧΟΛΕΙΟ ΑΘΗΝΑ - ΕΛΕΠΑΠ</t>
  </si>
  <si>
    <t>mail@dim-eid-elepaap.att.sch.gr</t>
  </si>
  <si>
    <t>ΚΟΝΩΝΟΣ 16</t>
  </si>
  <si>
    <t>100ο ΝΗΠΙΑΓΩΓΕΙΟ ΑΘΗΝΩΝ</t>
  </si>
  <si>
    <t>mail@100nip-athin.att.sch.gr</t>
  </si>
  <si>
    <t>ΧΟΦΜΑΝ  3</t>
  </si>
  <si>
    <t>110ο  ΝΗΠΙΑΓΩΓΕΙΟ ΑΘΗΝΩΝ</t>
  </si>
  <si>
    <t>mail@110nip-athin.att.sch.gr</t>
  </si>
  <si>
    <t>121ο  ΝΗΠΙΑΓΩΓΕΙΟ ΑΘΗΝΩΝ</t>
  </si>
  <si>
    <t>mail@121nip-athin.att.sch.gr</t>
  </si>
  <si>
    <t>ΙΩΑΝΝΗ ΦΩΚΑ ΚΑΙ ΣΙΤΑΚΗΣ 62</t>
  </si>
  <si>
    <t>9ο  ΔΗΜΟΤΙΚΟ ΣΧΟΛΕΙΟ ΒΥΡΩΝΑ</t>
  </si>
  <si>
    <t>mail@9dim-vyron.att.sch.gr</t>
  </si>
  <si>
    <t>ΕΛΛΗΝΩΝ ΠΑΤΡΙΩΤΩΝ ΚΑΙ ΘΥΜΑΤΩΝ ΠΟΛΕΜΟΥ 27</t>
  </si>
  <si>
    <t>133ο ΝΗΠΙΑΓΩΓΕΙΟ ΑΘΗΝΩΝ</t>
  </si>
  <si>
    <t>mail@133nip-athin.att.sch.gr</t>
  </si>
  <si>
    <t>ΧΑΛΚΩΜΑΤΑΔΩΝ ΚΑΙ ΙΣΤΡΙΑΣ</t>
  </si>
  <si>
    <t>mail@90dim-athin.att.sch.gr</t>
  </si>
  <si>
    <t>ΒΑΘΥΚΛΕΟΥΣ ΚΑΙ ΑΜΦΙΚΡΑΤΟΥΣ 6</t>
  </si>
  <si>
    <t>144ο ΝΗΠΙΑΓΩΓΕΙΟ ΑΘΗΝΩΝ</t>
  </si>
  <si>
    <t>mail@144nip-athin.att.sch.gr</t>
  </si>
  <si>
    <t>145ο ΝΗΠΙΑΓΩΓΕΙΟ ΑΘΗΝΩΝ</t>
  </si>
  <si>
    <t>mail@145nip-athin.att.sch.gr</t>
  </si>
  <si>
    <t>1ο ΕΙΔΙΚΟ ΝΗΠΙΑΓΩΓΕΙΟ ΑΘΗΝΑ - ΕΛΕΠΑΠ</t>
  </si>
  <si>
    <t>mail@1nip-elepap.att.sch.gr</t>
  </si>
  <si>
    <t>3ο  ΝΗΠΙΑΓΩΓΕΙΟ ΝΕΑΣ  ΦΙΛΑΔΕΛΦΕΙΑΣ</t>
  </si>
  <si>
    <t>mail@3nip-n-filad.att.sch.gr</t>
  </si>
  <si>
    <t>ΑΡΧΙΕΠ.ΧΡΥΣ.ΠΑΠΑΔΟΠΟΥΛΟΥ ΠΑΠΑΔΟΠΟΥΛΟΥ 16</t>
  </si>
  <si>
    <t>5ο ΝΗΠΙΑΓΩΓΕΙΟ Ν. ΦΙΛΑΔΕΛΦΕΙΑΣ</t>
  </si>
  <si>
    <t>mail@5nip-n-filad.att.sch.gr</t>
  </si>
  <si>
    <t>ΝΙΚΗΤΑΡΑ 26</t>
  </si>
  <si>
    <t>6ο ΝΗΠΙΑΓΩΓΕΙΟ Ν. ΦΙΛΑΔΕΛΦΕΙΑΣ</t>
  </si>
  <si>
    <t>mail@6nip-n-filad.att.sch.gr</t>
  </si>
  <si>
    <t>ΛΑΧΑΝΑ 3</t>
  </si>
  <si>
    <t>mail@55dim-athin.att.sch.gr</t>
  </si>
  <si>
    <t>ΛΙΟΣΙΩΝ 42</t>
  </si>
  <si>
    <t>7ο  ΝΗΠΙΑΓΩΓΕΙΟ ΝΕΑΣ ΦΙΛΑΔΕΛΦΕΙΑΣ</t>
  </si>
  <si>
    <t>mail@7nip-n-filad.att.sch.gr</t>
  </si>
  <si>
    <t>ΠΙΝΔΟΥ 75</t>
  </si>
  <si>
    <t>120ο ΝΗΠΙΑΓΩΓΕΙΟ ΑΘΗΝΩΝ</t>
  </si>
  <si>
    <t>mail@120nip-athin.att.sch.gr</t>
  </si>
  <si>
    <t>ΚΕΔΡΗΝΟΥ ΚΑΙ ΤΣΕΛΙΟΥ</t>
  </si>
  <si>
    <t>8ο  ΝΗΠΙΑΓΩΓΕΙΟ ΝΕΑΣ ΦΙΛΑΔΕΛΦΕΙΑΣ</t>
  </si>
  <si>
    <t>mail@8nip-n-filad.att.sch.gr</t>
  </si>
  <si>
    <t>ΠΕΛΑΣΓΩΝ 14</t>
  </si>
  <si>
    <t>9ο ΝΗΠΙΑΓΩΓΕΙΟ ΝΕΑΣ ΦΙΛΑΔΕΛΦΕΙΑΣ</t>
  </si>
  <si>
    <t>mail@9nip-n-filad.att.sch.gr</t>
  </si>
  <si>
    <t>ΤΥΑΝΝΩΝ ΚΑΙ ΜΑΙΑΝΔΡΟΥ 85</t>
  </si>
  <si>
    <t>2ο ΝΗΠΙΑΓΩΓΕΙΟ ΝΕΑΣ ΧΑΛΚΗΔΟΝΑΣ</t>
  </si>
  <si>
    <t>mail@2nip-n-chalk.att.sch.gr</t>
  </si>
  <si>
    <t>ΝΕΑ ΧΑΛΚΗΔΟΝΑΣ</t>
  </si>
  <si>
    <t>ΑΓ. ΑΝΑΡΓΥΡΩΝ 2</t>
  </si>
  <si>
    <t>16ο ΔΗΜΟΤΙΚΟ ΣΧΟΛΕΙΟ ΓΑΛΑΤΣΙΟΥ</t>
  </si>
  <si>
    <t>mail@16dim-galats.att.sch.gr</t>
  </si>
  <si>
    <t>mail@96dim-athin.att.sch.gr</t>
  </si>
  <si>
    <t>ΦΩΤΟΜΑΡΑ 60</t>
  </si>
  <si>
    <t>90ο ΝΗΠΙΑΓΩΓΕΙΟ ΑΘΗΝΩΝ</t>
  </si>
  <si>
    <t>mail@90nip-athin.att.sch.gr</t>
  </si>
  <si>
    <t>43ο ΝΗΠΙΑΓΩΓΕΙΟ ΑΘΗΝΑΣ</t>
  </si>
  <si>
    <t>mail@43nip-athin.att.sch.gr</t>
  </si>
  <si>
    <t>8ο ΔΗΜΟΤΙΚΟ ΣΧΟΛΕΙΟ ΑΘΗΝΩΝ</t>
  </si>
  <si>
    <t>mail@8dim-athin.att.sch.gr</t>
  </si>
  <si>
    <t>6ο ΝΗΠΙΑΓΩΓΕΙΟ ΑΘΗΝΑ</t>
  </si>
  <si>
    <t>mail@6nip-athin.att.sch.gr</t>
  </si>
  <si>
    <t>ΕΡΓΟΤΙΜΟΥ 30</t>
  </si>
  <si>
    <t>4ο ΝΗΠΙΑΓΩΓΕΙΟ ΓΑΛΑΤΣΙΟΥ</t>
  </si>
  <si>
    <t>mail@4nip-galats.att.sch.gr</t>
  </si>
  <si>
    <t>69ο  ΝΗΠΙΑΓΩΓΕΙΟ ΑΘΗΝΩΝ</t>
  </si>
  <si>
    <t>mail@69nip-athin.att.sch.gr</t>
  </si>
  <si>
    <t>15ο ΝΗΠΙΑΓΩΓΕΙΟ ΓΑΛΑΤΣΙΟΥ</t>
  </si>
  <si>
    <t>mail@15nip-galats.att.sch.gr</t>
  </si>
  <si>
    <t>101ο ΝΗΠΙΑΓΩΓΕΙΟ ΑΘΗΝΩΝ</t>
  </si>
  <si>
    <t>mail@101nip-athin.att.sch.gr</t>
  </si>
  <si>
    <t>132ο ΝΗΠΙΑΓΩΓΕΙΟ ΑΘΗΝΩΝ</t>
  </si>
  <si>
    <t>mail@132nip-athin.att.sch.gr</t>
  </si>
  <si>
    <t>Αθηνών</t>
  </si>
  <si>
    <t>Πόντου &amp; Αγ. Θωμά</t>
  </si>
  <si>
    <t>1ο ΝΗΠΙΑΓΩΓΕΙΟ ΝΕΑΣ ΧΑΛΚΗΔΟΝΑΣ</t>
  </si>
  <si>
    <t>mail@1nip-n-chalk.att.sch.gr</t>
  </si>
  <si>
    <t>ΝΕΑΣ ΧΑΛΚΗΔΟΝΑΣ</t>
  </si>
  <si>
    <t>ΓΡΗΓΟΡΙΟΥ Ε 1</t>
  </si>
  <si>
    <t>mail@2dim-athin.att.sch.gr</t>
  </si>
  <si>
    <t>15ο ΝΗΠΙΑΓΩΓΕΙΟ ΑΘΗΝΩΝ</t>
  </si>
  <si>
    <t>mail@15nip-athin.att.sch.gr</t>
  </si>
  <si>
    <t>Π. ΚΥΡΙΑΚΟΥ 10</t>
  </si>
  <si>
    <t>5ο  ΔΗΜΟΤΙΚΟ ΣΧΟΛΕΙΟ ΒΥΡΩΝΑ</t>
  </si>
  <si>
    <t>mail@5dim-vyron.att.sch.gr</t>
  </si>
  <si>
    <t>57ο ΝΗΠΙΑΓΩΓΕΙΟ ΑΘΗΝΩΝ</t>
  </si>
  <si>
    <t>mail@57nip-athin.att.sch.gr</t>
  </si>
  <si>
    <t>129ο ΔΗΜΟΤΙΚΟ ΣΧΟΛΕΙΟ ΑΘΗΝΩΝ</t>
  </si>
  <si>
    <t>mail@129dim-athin.att.sch.gr</t>
  </si>
  <si>
    <t>92ο ΔΗΜΟΤΙΚΟ ΣΧΟΛΕΙΟ ΑΘΗΝΩΝ</t>
  </si>
  <si>
    <t>mail@92dim-athin.att.sch.gr</t>
  </si>
  <si>
    <t>127ο ΝΗΠΙΑΓΩΓΕΙΟ ΑΘΗΝΩΝ</t>
  </si>
  <si>
    <t>mail@127nip-athin.att.sch.gr</t>
  </si>
  <si>
    <t>14ο ΝΗΠΙΑΓΩΓΕΙΟ ΑΘΗΝΩΝ</t>
  </si>
  <si>
    <t>mail@14nip-athin.att.sch.gr</t>
  </si>
  <si>
    <t>45ο ΝΗΠΙΑΓΩΓΕΙΟ ΑΘΗΝΩΝ</t>
  </si>
  <si>
    <t>mail@45nip-athin.att.sch.gr</t>
  </si>
  <si>
    <t>ΠΥΘΕΟΥ ΚΑΙ ΑΓΚΥΛΗΣ</t>
  </si>
  <si>
    <t>73ο ΝΗΠΙΑΓΩΓΕΙΟ ΑΘΗΝΩΝ</t>
  </si>
  <si>
    <t>mail@73nip-athin.att.sch.gr</t>
  </si>
  <si>
    <t>mail@15dim-athin.att.sch.gr</t>
  </si>
  <si>
    <t xml:space="preserve">ΑΘΗΝΑ </t>
  </si>
  <si>
    <t>94ο ΔΗΜΟΤΙΚΟ ΣΧΟΛΕΙΟ ΑΘΗΝΩΝ</t>
  </si>
  <si>
    <t>mail@94dim-athin.att.sch.gr</t>
  </si>
  <si>
    <t>86ο ΝΗΠΙΑΓΩΓΕΙΟ ΑΘΗΝΑΣ</t>
  </si>
  <si>
    <t>mail@86nip-athin.att.sch.gr</t>
  </si>
  <si>
    <t>ΚΡΟΤΩΝΟΣ 4</t>
  </si>
  <si>
    <t>25ο ΝΗΠΙΑΓΩΓΕΙΟ ΑΘΗΝΩΝ</t>
  </si>
  <si>
    <t>mail@25nip-athin.att.sch.gr</t>
  </si>
  <si>
    <t>ΣΟΥΚΑ -  ΧΟΡΜΟΠΟΥΛΟΥ 20</t>
  </si>
  <si>
    <t>50ο ΔΗΜΟΤΙΚΟ ΣΧΟΛΕΙΟ ΑΘΗΝΩΝ</t>
  </si>
  <si>
    <t>mail@50dim-athin.att.sch.gr</t>
  </si>
  <si>
    <t>ΑΡΙΣΤΟΜΕΝΟΥΣ 101</t>
  </si>
  <si>
    <t>mail@111dim-athin.att.sch.gr</t>
  </si>
  <si>
    <t>ΚΕΔΡΗΝΟΥ ΚΑΙ ΤΣΕΛΙΟΥ 1</t>
  </si>
  <si>
    <t>135ο ΝΗΠΙΑΓΩΓΕΙΟ ΑΘΗΝΑΣ</t>
  </si>
  <si>
    <t>mail@135nip-athin.att.sch.gr</t>
  </si>
  <si>
    <t>123ο  ΔΗΜΟΤΙΚΟ ΣΧΟΛΕΙΟ ΑΘΗΝΩΝ</t>
  </si>
  <si>
    <t>mail@123dim-athin.att.sch.gr</t>
  </si>
  <si>
    <t>ΑΜΦΙΚΡΑΤΟΥΣ 6</t>
  </si>
  <si>
    <t>141ο  ΝΗΠΙΑΓΩΓΕΙΟ ΑΘΗΝΩΝ</t>
  </si>
  <si>
    <t>mail@141nip-athin.att.sch.gr</t>
  </si>
  <si>
    <t>ΔΟΡΔΟΥ 41</t>
  </si>
  <si>
    <t>mail@35dim-athin.att.sch.gr</t>
  </si>
  <si>
    <t>21ο ΝΗΠΙΑΓΩΓΕΙΟ ΑΘΗΝΩΝ</t>
  </si>
  <si>
    <t>mail@21nip-athin.att.sch.gr</t>
  </si>
  <si>
    <t>19ο  ΝΗΠΙΑΓΩΓΕΙΟ ΑΘΗΝΩΝ</t>
  </si>
  <si>
    <t>mail@19nip-athin.att.sch.gr</t>
  </si>
  <si>
    <t>ΡΑΓΚΑΒΗ 84</t>
  </si>
  <si>
    <t>111ο  ΝΗΠΙΑΓΩΓΕΙΟ ΑΘΗΝΩΝ</t>
  </si>
  <si>
    <t>mail@111nip-athin.att.sch.gr</t>
  </si>
  <si>
    <t>2ο  ΕΙΔΙΚΟ ΝΗΠΙΑΓΩΓΕΙΟ ΑΘΗΝΑ - ΕΛΕΠΑΠ</t>
  </si>
  <si>
    <t>mail@2nip-eid-elepap.att.sch.gr</t>
  </si>
  <si>
    <t>ΑΡΙΣΤΑΡΧΟΥ -24 ΑΘΗΝΑ</t>
  </si>
  <si>
    <t>32ο ΝΗΠΙΑΓΩΓΕΙΟ ΑΘΗΝΩΝ</t>
  </si>
  <si>
    <t>mail@32nip-athin.att.sch.gr</t>
  </si>
  <si>
    <t>ΓΡΑΜΜΟΥ 21</t>
  </si>
  <si>
    <t>9ο  ΔΗΜΟΤΙΚΟ ΣΧΟΛΕΙΟ ΑΘΗΝΩΝ</t>
  </si>
  <si>
    <t>mail@9dim-athin.att.sch.gr</t>
  </si>
  <si>
    <t>ΕΥΦΡΟΝΙΟΥ 81 ΚΑΙ ΜΠΙΓΛΙΣΤΑΣ 2</t>
  </si>
  <si>
    <t>10ο ΔΗΜΟΤΙΚΟ ΣΧΟΛΕΙΟ ΑΘΗΝΩΝ</t>
  </si>
  <si>
    <t>mail@10dim-athin.att.sch.gr</t>
  </si>
  <si>
    <t>ΖΑΓΟΡΑΣ 18</t>
  </si>
  <si>
    <t>27ο ΔΗΜΟΤΙΚΟ ΣΧΟΛΕΙΟ ΑΘΗΝΩΝ</t>
  </si>
  <si>
    <t>mail@27dim-athin.att.sch.gr</t>
  </si>
  <si>
    <t>70ο ΝΗΠΙΑΓΩΓΕΙΟ ΑΘΗΝΩΝ</t>
  </si>
  <si>
    <t>mail@70nip-athin.att.sch.gr</t>
  </si>
  <si>
    <t>mail@16dim-athin.att.sch.gr</t>
  </si>
  <si>
    <t>Τ. ΦΙΛΗΜΟΝΟΣ 19</t>
  </si>
  <si>
    <t>12ο ΝΗΠΙΑΓΩΓΕΙΟ ΓΑΛΑΤΣΙΟΥ</t>
  </si>
  <si>
    <t>mail@12nip-galats.att.sch.gr</t>
  </si>
  <si>
    <t>ΧΡ. ΛΑΔΑ 12</t>
  </si>
  <si>
    <t>102ο ΔΗΜΟΤΙΚΟ ΣΧΟΛΕΙΟ ΑΘΗΝΩΝ</t>
  </si>
  <si>
    <t>mail@102dim-athin.att.sch.gr</t>
  </si>
  <si>
    <t>ΒΑΦΕΙΟΧΩΡΙΟΥ 25</t>
  </si>
  <si>
    <t>89ο  ΔΗΜΟΤΙΚΟ ΣΧΟΛΕΙΟ ΑΘΗΝΩΝ</t>
  </si>
  <si>
    <t>mail@89dim-athin.att.sch.gr</t>
  </si>
  <si>
    <t>mail@93dim-athin.att.sch.gr</t>
  </si>
  <si>
    <t>ΠΥΘΕΟΥ 9</t>
  </si>
  <si>
    <t>2ο ΕΙΔΙΚΟ ΔΗΜΟΤΙΚΟ ΣΧΟΛΕΙΟ ΕΛΕΠΑΠ</t>
  </si>
  <si>
    <t>mail@2dim-eid-elepaap.att.sch.gr</t>
  </si>
  <si>
    <t>ΑΡΙΣΤΑΡΧΟΥ 24</t>
  </si>
  <si>
    <t>mail@14dim-athin.att.sch.gr</t>
  </si>
  <si>
    <t>mail@74dim-athin.att.sch.gr</t>
  </si>
  <si>
    <t>ΑΔΡΙΑΝΟΥ 106-108</t>
  </si>
  <si>
    <t>3ο ΝΗΠΙΑΓΩΓΕΙΟ ΔΑΦΝΗΣ</t>
  </si>
  <si>
    <t>mail@3nip-dafnis.att.sch.gr</t>
  </si>
  <si>
    <t>ΑΛ. ΠΑΠΑΝΑΣΤΑΣΙΟΥ 74</t>
  </si>
  <si>
    <t>148ο ΝΗΠΙΑΓΩΓΕΙΟ ΑΘΗΝΑΣ</t>
  </si>
  <si>
    <t>mail@148nip-athin.att.sch.gr</t>
  </si>
  <si>
    <t>149ο ΝΗΠΙΑΓΩΓΕΙΟ ΑΘΗΝΩΝ</t>
  </si>
  <si>
    <t>mail@149nip-athin.att.sch.gr</t>
  </si>
  <si>
    <t>Αθηνα</t>
  </si>
  <si>
    <t>Πυρσογιαννης 13Α</t>
  </si>
  <si>
    <t>7ο ΝΗΠΙΑΓΩΓΕΙΟ ΔΑΦΝΗΣ</t>
  </si>
  <si>
    <t>mail@7nip-dafnis.att.sch.gr</t>
  </si>
  <si>
    <t>4ο ΕΙΔΙΚΟ ΔΗΜΟΤΙΚΟ ΣΧΟΛΕΙΟ ΑΘΗΝΩΝ</t>
  </si>
  <si>
    <t>mail@4dim-eid-athin.att.sch.gr</t>
  </si>
  <si>
    <t>ΤΑΥΓΕΤΟΥ    60</t>
  </si>
  <si>
    <t>1ο ΕΙΔΙΚΟ ΔΗΜΟΤΙΚΟ ΣΧΟΛΕΙΟ Ν. ΦΙΛΑΔΕΛΦΕΙΑΣ</t>
  </si>
  <si>
    <t>1ο ΕΙΔΙΚΟ ΝΗΠΙΑΓΩΓΕΙΟ Ν. ΦΙΛΑΔΕΛΦΕΙΑΣ</t>
  </si>
  <si>
    <t>ΘΟΥΚΥΔΙΔΟΥ 9</t>
  </si>
  <si>
    <t>6ο ΕΙΔΙΚΟ ΝΗΠΙΑΓΩΓΕΙΟ ΑΘΗΝΩΝ</t>
  </si>
  <si>
    <t>mail@6nip-eid-athin.att.sch.gr</t>
  </si>
  <si>
    <t>Νικοπόλεως 33 - Κάτω Πατήσια</t>
  </si>
  <si>
    <t>ΝΗΠΙΑΓΩΓΕΙΟ ΕΙΔΙΚΗΣ ΑΓΩΓΗΣ ΒΥΡΩΝΑ</t>
  </si>
  <si>
    <t>1ο ΕΙΔΙΚΟ ΔΗΜΟΤΙΚΟ ΣΧΟΛΕΙΟ ΒΥΡΩΝΑ</t>
  </si>
  <si>
    <t>ΝΗΠΙΑΓΩΓΕΙΟ ΕΙΔΙΚΗΣ ΑΓΩΓΗΣ Π.Τ.Δ.Ε.Π.Α.</t>
  </si>
  <si>
    <t>19ο ΝΗΠΙΑΓΩΓΕΙΟ ΖΩΓΡΑΦΟΥ</t>
  </si>
  <si>
    <t>mail@19nip-zograf.att.sch.gr</t>
  </si>
  <si>
    <t>ΠΑΝΕΠΙΣΤΗΜΙΟΠΟΛΗ</t>
  </si>
  <si>
    <t>7ο ΝΗΠΙΑΓΩΓΕΙΟ ΚΑΙΣΑΡΙΑΝΗΣ</t>
  </si>
  <si>
    <t>mail@7nip-kaisar.att.sch.gr</t>
  </si>
  <si>
    <t>ΛΕΩΝΙΔΑ ΜΑΝΩΛΙΔΗ 5</t>
  </si>
  <si>
    <t>ΚΥΨΕΛΗ</t>
  </si>
  <si>
    <t>12ο  ΔΗΜΟΤΙΚΟ ΣΧΟΛΕΙΟ ΒΥΡΩΝΑ</t>
  </si>
  <si>
    <t>mail@12dim-vyron.att.sch.gr</t>
  </si>
  <si>
    <t>Ι. ΜΕΡΚΟΥΡΙΑΔΗ 20  ΚΑΙ ΣΥΒΡΙΣΣΑΡΙΟΥ</t>
  </si>
  <si>
    <t>3ο ΝΗΠΙΑΓΩΓΕΙΟ ΝΕΑΣ ΧΑΛΚΗΔΟΝΑΣ</t>
  </si>
  <si>
    <t>mail@3nip-n-chalk.att.sch.gr</t>
  </si>
  <si>
    <t>ΚΗΦΙΣΟΥ 64Α &amp; ΚΑΛΒΟΥ</t>
  </si>
  <si>
    <t>ΔΙΕΥΘΥΝΣΗ Π.Ε. ΑΝΑΤΟΛΙΚΗΣ ΑΤΤΙΚΗΣ</t>
  </si>
  <si>
    <t>1ο ΟΛΟΗΜΕΡΟ ΔΗΜΟΤΙΚΟ ΣΧΟΛΕΙΟ ΑΧΑΡΝΩΝ</t>
  </si>
  <si>
    <t>mail@1dim-acharn.att.sch.gr</t>
  </si>
  <si>
    <t>ΗΡΩΩΝ ΠΟΛΥΤΕΧΝΕΙΟΥ 12</t>
  </si>
  <si>
    <t>1ο ΝΗΠΙΑΓΩΓΕΙΟ ΑΧΑΡΝΩΝ</t>
  </si>
  <si>
    <t>mail@1nip-acharn.att.sch.gr</t>
  </si>
  <si>
    <t>ΚΩΝΣΤΑΝΤΙΝΟΥΠΟΛΕΩΣ  315 ΚΑΙ ΔΗΜΟΚΡΙΤΟΥ 1 Α</t>
  </si>
  <si>
    <t>22ο ΝΗΠΙΑΓΩΓΕΙΟ ΑΧΑΡΝΩΝ</t>
  </si>
  <si>
    <t>mail@22nip-acharn.att.sch.gr</t>
  </si>
  <si>
    <t>ΑΘΗΝΑΣ  ΥΓΕΙΑΣ ΕΡΓ. ΚΑΤΟΙΚΙΕΣ</t>
  </si>
  <si>
    <t>13ο ΝΗΠΙΑΓΩΓΕΙΟ ΑΧΑΡΝΩΝ</t>
  </si>
  <si>
    <t>mail@13nip-acharn.att.sch.gr</t>
  </si>
  <si>
    <t>ΕΣΠΕΡΙΔΩΝ 25,</t>
  </si>
  <si>
    <t>2ο ΔΗΜΟΤΙΚΟ ΣΧΟΛΕΙΟ ΚΟΡΩΠΙΟΥ</t>
  </si>
  <si>
    <t>mail@2dim-korop.att.sch.gr</t>
  </si>
  <si>
    <t>ΒΑΣΙΛΕΩΣ ΚΩΝΣΤΑΝΤΙΝΟΥ 298</t>
  </si>
  <si>
    <t>3ο ΝΗΠΙΑΓΩΓΕΙΟ ΑΡΤΕΜΙΔΟΣ</t>
  </si>
  <si>
    <t>mail@3nip-artem.att.sch.gr</t>
  </si>
  <si>
    <t>Λ. ΒΡΑΥΡΩΝΟΣ ΑΓ ΚΩΝΣΤΑΝΤΙΝΟΥ</t>
  </si>
  <si>
    <t>1ο ΝΗΠΙΑΓΩΓΕΙΟ ΓΕΡΑΚΑ</t>
  </si>
  <si>
    <t>mail@1nip-gerak.att.sch.gr</t>
  </si>
  <si>
    <t>ΚΑΡΔΙΤΣΗΣ 1</t>
  </si>
  <si>
    <t>2ο  ΝΗΠΙΑΓΩΓΕΙΟ ΓΕΡΑΚΑ</t>
  </si>
  <si>
    <t>mail@2nip-gerak.att.sch.gr</t>
  </si>
  <si>
    <t>ΓΑΡΓΗΤΤΟΥ 83</t>
  </si>
  <si>
    <t>2ο ΝΗΠΙΑΓΩΓΕΙΟ ΑΧΑΡΝΩΝ</t>
  </si>
  <si>
    <t>mail@2nip-acharn.att.sch.gr</t>
  </si>
  <si>
    <t>ΚΑΠΕΤΑΝ ΚΑΡΑΤΖΑ 15</t>
  </si>
  <si>
    <t>4ο ΟΛΟΗΜΕΡΟ ΝΗΠΙΑΓΩΓΕΙΟ ΓΕΡΑΚΑ</t>
  </si>
  <si>
    <t>mail@4nip-gerak.att.sch.gr</t>
  </si>
  <si>
    <t>ΛΕΩΝΙΔΑ ΚΑΙ ΙΑΣΩΝΑ</t>
  </si>
  <si>
    <t>5ο ΝΗΠΙΑΓΩΓΕΙΟ ΓΕΡΑΚΑ</t>
  </si>
  <si>
    <t>mail@5nip-gerak.att.sch.gr</t>
  </si>
  <si>
    <t>ΣΟΥΤΣΟΥ ΚΑΙ ΠΟΛΥΛΑ</t>
  </si>
  <si>
    <t>3ο ΝΗΠΙΑΓΩΓΕΙΟ ΓΛΥΚΩΝ ΝΕΡΩΝ</t>
  </si>
  <si>
    <t>mail@3nip-gl-neron.att.sch.gr</t>
  </si>
  <si>
    <t>ΚΩΝΣΤΑΝΤΙΝΟΥ ΑΝΔΡΙΚΟΥ  26</t>
  </si>
  <si>
    <t>5ο ΝΗΠΙΑΓΩΓΕΙΟ ΠΑΛΛΗΝΗΣ</t>
  </si>
  <si>
    <t>mail@5nip-pallin.att.sch.gr</t>
  </si>
  <si>
    <t>ΠΑΛΛ.ΑΘΗΝΑΣ ΚΑΙ ΤΗΝΟΥ 2</t>
  </si>
  <si>
    <t>6ο ΝΗΠΙΑΓΩΓΕΙΟ ΠΑΛΛΗΝΗΣ</t>
  </si>
  <si>
    <t>mail@6nip-pallin.att.sch.gr</t>
  </si>
  <si>
    <t>ΕΡΑΤΟΥΣ ΚΑΙ ΘΡΑΚΗΣ ΠΑΝΟΡΑΜΑ ΠΑΛΛΗΝΗΣ</t>
  </si>
  <si>
    <t>ΕΙΔΙΚΟ ΣΧΟΛΕΙΟ ΠΙΚΠΑ ΒΟΥΛΑΣ</t>
  </si>
  <si>
    <t>mail@dim-eid-voulas.att.sch.gr</t>
  </si>
  <si>
    <t>ΛΕΩΦΟΡΟΣ ΚΩΝΣΤΑΝΤΙΝΟΥ ΚΑΡΑΜΑΝΛΗ 2</t>
  </si>
  <si>
    <t>3ο ΟΛΟΗΜΕΡΟ ΝΗΠΙΑΓΩΓΕΙΟ ΡΑΦΗΝΑΣ</t>
  </si>
  <si>
    <t>mail@3nip-rafin.att.sch.gr</t>
  </si>
  <si>
    <t>ΛΕΩΦ. ΔΗΜΟΚΡΑΤΙΑΣ 14</t>
  </si>
  <si>
    <t>2ο ΝΗΠΙΑΓΩΓΕΙΟ ΠΑΛΛΗΝΗΣ</t>
  </si>
  <si>
    <t>mail@2nip-pallin.att.sch.gr</t>
  </si>
  <si>
    <t>ΚΡΗΤΗΣ  6</t>
  </si>
  <si>
    <t>7ο ΝΗΠΙΑΓΩΓΕΙΟ ΠΑΛΛΗΝΗΣ</t>
  </si>
  <si>
    <t>mail@7nip-pallin.att.sch.gr</t>
  </si>
  <si>
    <t>Παλλήνη</t>
  </si>
  <si>
    <t>ΑΓΙΑΣ ΣΟΦΙΑΣ &amp; Ν.ΜΙΛΗΣΗ ΑΝΩ ΜΠΑΛΑΝΑ, 15351 ΠΑΛΛΗΝΗ</t>
  </si>
  <si>
    <t>3ο ΝΗΠΙΑΓΩΓΕΙΟ ΓΕΡΑΚΑ</t>
  </si>
  <si>
    <t>mail@3nip-gerak.att.sch.gr</t>
  </si>
  <si>
    <t>ΜΙΑΟΥΛΗ &amp; ΓΚΟΥΡΑ</t>
  </si>
  <si>
    <t>8ο ΝΗΠΙΑΓΩΓΕΙΟ ΠΑΛΛΗΝΗΣ</t>
  </si>
  <si>
    <t>mail@8nip-pallin.att.sch.gr</t>
  </si>
  <si>
    <t>ΦΛΕΜΙΝΓΚ 15</t>
  </si>
  <si>
    <t>mail@4dim-acharn.att.sch.gr</t>
  </si>
  <si>
    <t>ΑΓΙΟΥ ΚΩΝΣΤΑΝΤΙΝΟΥ ΚΑΙ ΕΛΕΝΗΣ 49</t>
  </si>
  <si>
    <t>3ο ΝΗΠΙΑΓΩΓΕΙΟ ΣΠΑΤΩΝ</t>
  </si>
  <si>
    <t>mail@3nip-spaton.att.sch.gr</t>
  </si>
  <si>
    <t>ΧΡΙΣΤΟΥΠΟΛΗ - ΣΠΑΤΩΝ</t>
  </si>
  <si>
    <t>ΣΟΦΟΚΛΕΟΥΣ 4</t>
  </si>
  <si>
    <t>3ο ΝΗΠΙΑΓΩΓΕΙΟ ΒΑΡΗΣ</t>
  </si>
  <si>
    <t>mail@3nip-varis.att.sch.gr</t>
  </si>
  <si>
    <t>ΣΦΑΚΤΗΡΙΑΣ 19Α</t>
  </si>
  <si>
    <t>2ο  ΔΗΜΟΤΙΚΟ ΣΧΟΛΕΙΟ ΠΑΙΑΝΙΑΣ</t>
  </si>
  <si>
    <t>mail@2dim-paian.att.sch.gr</t>
  </si>
  <si>
    <t>Παιανία,</t>
  </si>
  <si>
    <t>ΚΥΠΡΟΥ ΚΑΙ ΑΝΘΗΡΟΥ</t>
  </si>
  <si>
    <t>1ο  ΝΗΠΙΑΓΩΓΕΙΟ ΓΛΥΚΩΝ ΝΕΡΩΝ</t>
  </si>
  <si>
    <t>mail@1nip-g-neron.att.sch.gr</t>
  </si>
  <si>
    <t>Π. ΝΙΡΒΑΝΑ 4</t>
  </si>
  <si>
    <t>3ο ΟΛΟΗΜΕΡΟ ΝΗΠΙΑΓΩΓΕΙΟ ΠΑΛΛΗΝΗΣ</t>
  </si>
  <si>
    <t>mail@3nip-pallin.att.sch.gr</t>
  </si>
  <si>
    <t>ΑΡΜΟΔΙΟΥ 9</t>
  </si>
  <si>
    <t>ΟΛΟΗΜΕΡΟ ΝΗΠΙΑΓΩΓΕΙΟ ΠΙΚΕΡΜΙΟΥ</t>
  </si>
  <si>
    <t>mail@nip-pikerm.att.sch.gr</t>
  </si>
  <si>
    <t>ΙΕΡΕΩΣ ΚΟΝΤΟΡΑΒΔΗ 9</t>
  </si>
  <si>
    <t>1ο 2/θ ΟΛΟΗΜΕΡΟ ΝΗΠΙΑΓΩΓΕΙΟ ΣΠΑΤΩΝ</t>
  </si>
  <si>
    <t>mail@1nip-spaton.att.sch.gr</t>
  </si>
  <si>
    <t>ΣΠΑΤΩΝ</t>
  </si>
  <si>
    <t>ΑΣΚΛΗΠΙΟΥ 1</t>
  </si>
  <si>
    <t>2 ΝΗΠΙΑΓΩΓΕΙΟ ΣΠΑΤΩΝ</t>
  </si>
  <si>
    <t>mail@2nip-spaton.att.sch.gr</t>
  </si>
  <si>
    <t>ΠΕΣΟΝΤΩΝ ΗΡΩΩΝ  11</t>
  </si>
  <si>
    <t>1ο ΟΛΟΗΜΕΡΟ ΔΗΜΟΤΙΚΟ ΣΧΟΛΕΙΟ ΓΛΥΚΩΝ ΝΕΡΩΝ</t>
  </si>
  <si>
    <t>mail@1dim-glykon.att.sch.gr</t>
  </si>
  <si>
    <t>ΓΛΥΚA ΝΕΡA,</t>
  </si>
  <si>
    <t>ΑΔ. ΚΟΡΑΗ 35ΚΑΙ ΚΑΡΑΪΣΚΑΚΗ</t>
  </si>
  <si>
    <t>4ο ΔΗΜΟΤΙΚΟ ΣΧΟΛΕΙΟ ΑΡΤΕΜΙΔΟΣ</t>
  </si>
  <si>
    <t>mail@4dim-artem.att.sch.gr</t>
  </si>
  <si>
    <t>ΑΝΔΡΟΥ 8 &amp; Λ. ΒΡΑΥΡΩΝΟΣ</t>
  </si>
  <si>
    <t>mail@dim-anthous.att.sch.gr</t>
  </si>
  <si>
    <t>ΞΑΝΘΗΣ ΚΑΙ ΚΑΛΑΒΡΥΤΩΝ</t>
  </si>
  <si>
    <t>1ο ΝΗΠΙΑΓΩΓΕΙΟ ΒΑΡΗΣ</t>
  </si>
  <si>
    <t>mail@1nip-varis.att.sch.gr</t>
  </si>
  <si>
    <t>ΒΑΚΧΟΥ ΚΑΙ ΛΕΥΚΗΣ 19</t>
  </si>
  <si>
    <t>mail@dim-thrak.att.sch.gr</t>
  </si>
  <si>
    <t>ΕΜΜΑΝΟΥΗΛ ΠΑΠΠΑ 66</t>
  </si>
  <si>
    <t>1ο ΔΗΜΟΤΙΚΟ ΣΧΟΛΕΙΟ ΓΕΡΑΚΑ</t>
  </si>
  <si>
    <t>mail@1dim-gerak.att.sch.gr</t>
  </si>
  <si>
    <t>Δράμας και Λακωνίας</t>
  </si>
  <si>
    <t>4ο  ΔΗΜΟΤΙΚΟ ΣΧΟΛΕΙΟ ΠΑΙΑΝΙΑΣ</t>
  </si>
  <si>
    <t>mail@4dim-paian.att.sch.gr</t>
  </si>
  <si>
    <t>ΚΥΠΡΟΥ - ΑΓ. ΑΝΔΡΕΑΣ</t>
  </si>
  <si>
    <t>mail@3dim-acharn.att.sch.gr</t>
  </si>
  <si>
    <t>mail@7dim-acharn.att.sch.gr</t>
  </si>
  <si>
    <t>ΩΡΑΙΟΚΑΣΤΡΟΥ 1</t>
  </si>
  <si>
    <t>mail@2dim-gerak.att.sch.gr</t>
  </si>
  <si>
    <t>ΔΗΜΟΤΙΚΟ ΣΧΟΛΕΙΟ ΚΑΤΩ ΣΟΥΛΙΟΥ-ΜΑΡΑΘΩΝΑ</t>
  </si>
  <si>
    <t>mail@dim-kat-souliou.att.sch.gr</t>
  </si>
  <si>
    <t>ΚΑΤΩ ΣΟΥΛΙ-ΜΑΡΑΘΩΝΑ</t>
  </si>
  <si>
    <t>ΚΩΝΣΤΑΝΤΙΝΟΥ ΜΠΕΝΑΚΗ 13</t>
  </si>
  <si>
    <t>mail@dim-anavyss.att.sch.gr</t>
  </si>
  <si>
    <t>Ανάβυσσος</t>
  </si>
  <si>
    <t>ΛΕΩΦΟΡΟΣ ΚΑΡΑΜΑΝΛΗ</t>
  </si>
  <si>
    <t>1ο ΟΛΟΗΜΕΡΟ ΝΗΠΙΑΓΩΓΕΙΟ ΑΝΑΒΥΣΣΟΥ</t>
  </si>
  <si>
    <t>mail@1nip-anavyss.att.sch.gr</t>
  </si>
  <si>
    <t>ΝΙΚ. ΠΛΑΣΤΗΡΑ 11</t>
  </si>
  <si>
    <t>1ο ΝΗΠΙΑΓΩΓΕΙΟ ΚΟΡΩΠΙΟΥ</t>
  </si>
  <si>
    <t>mail@1nip-korop.att.sch.gr</t>
  </si>
  <si>
    <t>ΙΩΑΝΝΗ ΓΚΙΟΚΑ 19</t>
  </si>
  <si>
    <t>4ο ΝΗΠΙΑΓΩΓΕΙΟ ΚΑΛΥΒΙΩΝ</t>
  </si>
  <si>
    <t>mail@4nip-kalyv.att.sch.gr</t>
  </si>
  <si>
    <t>ΟΛΥΜΠΟΥ ΚΑΙ ΚΟΥΝΤΟΥΡΙΩΤΗ</t>
  </si>
  <si>
    <t>2ο ΝΗΠΙΑΓΩΓΕΙΟ ΜΑΡΚΟΠΟΥΛΟΥ</t>
  </si>
  <si>
    <t>mail@2nip-markop.att.sch.gr</t>
  </si>
  <si>
    <t>ΜΑΡΚΟΠΟΥΛΟΥ ΜΕΣΟΓΑΙΑΣ ΑΤΤΙΚΗΣ</t>
  </si>
  <si>
    <t>Γ. ΠΙΝΗ 23</t>
  </si>
  <si>
    <t>1ο  ΝΗΠΙΑΓΩΓΕΙΟ ΚΕΡΑΤΕΑΣ</t>
  </si>
  <si>
    <t>mail@1nip-kerat.att.sch.gr</t>
  </si>
  <si>
    <t>ΤΡΟΙΑΣ 1</t>
  </si>
  <si>
    <t>1ο ΝΗΠΙΑΓΩΓΕΙΟ ΠΑΙΑΝΙΑΣ</t>
  </si>
  <si>
    <t>mail@1nip-paian.att.sch.gr</t>
  </si>
  <si>
    <t>ΠΕΔΟΥΛΑ ΚΥΠΡΟΥ ΚΑΙ ΑΓΙΑΣ ΤΡΙΑΔΟΣ</t>
  </si>
  <si>
    <t>mail@dim-vouliagm.att.sch.gr</t>
  </si>
  <si>
    <t>ΙΑΣΟΝΟΣ 54</t>
  </si>
  <si>
    <t>2ο ΝΗΠΙΑΓΩΓΕΙΟ ΝΕΑΣ ΜΑΚΡΗΣ</t>
  </si>
  <si>
    <t>mail@2nip-n-makris.att.sch.gr</t>
  </si>
  <si>
    <t>ΑΓΙΑΣ ΠΑΡΑΣΚΕΥΗΣ ΚΑΙ ΚΑΡΑΓΕΩΡΓΙΟΥ 1</t>
  </si>
  <si>
    <t>1ο ΝΗΠΙΑΓΩΓΕΙΟ ΝΕΑΣ ΜΑΚΡΗΣ</t>
  </si>
  <si>
    <t>mail@1nip-n-makris.att.sch.gr</t>
  </si>
  <si>
    <t>ΑΓΙΑΣ ΠΑΡΑΣΚΕΥΗΣ 7</t>
  </si>
  <si>
    <t>3ο ΟΛΟΗΜΕΡΟ ΝΗΠΙΑΓΩΓΕΙΟ ΚΕΡΑΤΕΑΣ</t>
  </si>
  <si>
    <t>mail@3nip-kerat.att.sch.gr</t>
  </si>
  <si>
    <t>ΣΤΑΜΑΤΙΟΥ ΡΩΜΑ 6</t>
  </si>
  <si>
    <t>3ο ΝΗΠΙΑΓΩΓΕΙΟ ΚΟΡΩΠΙΟΥ</t>
  </si>
  <si>
    <t>mail@3nip-korop.att.sch.gr</t>
  </si>
  <si>
    <t>ΑΝΔΡΟΥΤΣΟΥ 7</t>
  </si>
  <si>
    <t>1ο ΔΗΜΟΤΙΚΟ ΣΧΟΛΕΙΟ ΠΑΙΑΝΙΑΣ</t>
  </si>
  <si>
    <t>mail@1dim-paian.att.sch.gr</t>
  </si>
  <si>
    <t>Παιανία</t>
  </si>
  <si>
    <t>Γ.ΚΑΤΣΙΜΙΧΑ</t>
  </si>
  <si>
    <t>1ο ΟΛΟΗΜΕΡΟ ΔΗΜΟΤΙΚΟ ΣΧΟΛΕΙΟ ΒΑΡΚΙΖΑΣ</t>
  </si>
  <si>
    <t>mail@dim-varkiz.att.sch.gr</t>
  </si>
  <si>
    <t>ΒΑΡΚΙΖΑ</t>
  </si>
  <si>
    <t>ΤΙΤΑΝΩΝ 14</t>
  </si>
  <si>
    <t>1ο ΝΗΠΙΑΓΩΓΕΙΟ ΚΙΤΣΙΟΥ</t>
  </si>
  <si>
    <t>mail@nip-kitsiou.att.sch.gr</t>
  </si>
  <si>
    <t>ΚΙΤΣΙΟΥ</t>
  </si>
  <si>
    <t>ΣΤΑΜΑΤΙΟΥ ΓΚΙΚΑ 2</t>
  </si>
  <si>
    <t>ΝΗΠΙΑΓΩΓΕΙΟ ΑΝΘΟΥΣΑΣ</t>
  </si>
  <si>
    <t>mail@nip-anthous.att.sch.gr</t>
  </si>
  <si>
    <t>ΖΑΚΥΝΘΟΥ</t>
  </si>
  <si>
    <t>2ο ΝΗΠΙΑΓΩΓΕΙΟ ΠΟΡΤΟ-ΡΑΦΤΗ</t>
  </si>
  <si>
    <t>mail@2nip-porto-rafti.att.sch.gr</t>
  </si>
  <si>
    <t>ΠΟΡΤΟ-ΡΑΦΤΗ</t>
  </si>
  <si>
    <t>ΑΓΙΟΥ ΝΙΚΟΛΑΟΥ ΚΑΙ 25ης ΜΑΡΤΙΟΥ</t>
  </si>
  <si>
    <t>3ο ΝΗΠΙΑΓΩΓΕΙΟ ΒΟΥΛΑΣ</t>
  </si>
  <si>
    <t>mail@3nip-voulas.att.sch.gr</t>
  </si>
  <si>
    <t>ΠΡΟΟΔΟΥ 22 ΚΑΙ ΔΗΜΗΤΡΑΚΟΠΟΥΛΟΥ</t>
  </si>
  <si>
    <t>7ο ΟΛΟΗΜΕΡΟ ΔΗΜΟΤΙΚΟ ΣΧΟΛΕΙΟ ΠΑΛΛΗΝΗΣ</t>
  </si>
  <si>
    <t>mail@7dim-pallin.att.sch.gr</t>
  </si>
  <si>
    <t>Παλλήνη,</t>
  </si>
  <si>
    <t>ΜΙΛΗΣΗ &amp; ΑΓ. ΣΟΦΙΑΣ</t>
  </si>
  <si>
    <t>3ο ΝΗΠΙΑΓΩΓΕΙΟ ΛΑΥΡΙΟΥ</t>
  </si>
  <si>
    <t>mail@3nip-lavriou.att.sch.gr</t>
  </si>
  <si>
    <t>ΠΑΝΑΓΙΩΤΗ ΚΟΚΟΡΕ</t>
  </si>
  <si>
    <t>ΟΛΟΗΜΕΡΟ ΝΗΠΙΑΓΩΓΕΙΟ ΑΓΙΑΣ ΜΑΡΙΝΑΣ ΚΟΡΩΠΙΟΥ</t>
  </si>
  <si>
    <t>mail@nip-ag-marin-korop.att.sch.gr</t>
  </si>
  <si>
    <t>ΑΓΙΑΣ ΜΑΡΙΝΑΣ ΚΟΡΩΠΙΟΥ</t>
  </si>
  <si>
    <t>ΠΑΠΑΓΙΑΝΝΟΠΟΥΛΟΥ 74</t>
  </si>
  <si>
    <t>4ο ΟΛΟΗΜΕΡΟ ΔΗΜΟΤΙΚΟ ΣΧΟΛΕΙΟ ΓΕΡΑΚΑ</t>
  </si>
  <si>
    <t>mail@4dim-gerak.att.sch.gr</t>
  </si>
  <si>
    <t>ΙΑΣΟΝΟΣ 12</t>
  </si>
  <si>
    <t>mail@1dim-kalyv.att.sch.gr</t>
  </si>
  <si>
    <t>ΚΑΛΥΒIA</t>
  </si>
  <si>
    <t>ΣΟΥΝΙΟΥ 22</t>
  </si>
  <si>
    <t>3ο ΝΗΠΙΑΓΩΓΕΙΟ ΠΑΙΑΝΙΑΣ</t>
  </si>
  <si>
    <t>mail@3nip-paian.att.sch.gr</t>
  </si>
  <si>
    <t>ΑΧΙΛΛΕΑ ΣΕΡΦΙΩΤΗ ΚΑΙ ΟΡΦΕΑ</t>
  </si>
  <si>
    <t>mail@2dim-glykon.att.sch.gr</t>
  </si>
  <si>
    <t>ΤΡΙΦΥΛΙΑΣ ΚΑΙ ΑΡΓΟΣΤΟΛΙΟΥ 31</t>
  </si>
  <si>
    <t>1ο ΟΛΟΗΜΕΡΟ ΝΗΠΙΑΓΩΓΕΙΟ ΔΙΛΟΦΟΥ ΒΑΡΗΣ</t>
  </si>
  <si>
    <t>mail@nip-dilof.att.sch.gr</t>
  </si>
  <si>
    <t>ΔΙΛΟΦΟΥ ΒΑΡΗΣ</t>
  </si>
  <si>
    <t>ΚΕΚΡΩΠΟΣ ΚΑΙ ΚΕΡΚΥΡΑΣ</t>
  </si>
  <si>
    <t>2ο ΝΗΠΙΑΓΩΓΕΙΟ ΑΝΑΒΥΣΣΟΥ</t>
  </si>
  <si>
    <t>mail@2nip-anav.att.sch.gr</t>
  </si>
  <si>
    <t>ΑΓ. ΚΥΡΙΑΚΗΣ</t>
  </si>
  <si>
    <t>4ο ΝΗΠΙΑΓΩΓΕΙΟ ΚΟΡΩΠΙΟΥ</t>
  </si>
  <si>
    <t>mail@4nip-korop.att.sch.gr</t>
  </si>
  <si>
    <t>ΓΕΩΡΓΙΟΥ ΒΛΑΧΟΥ ΚΑΙ ΑΠΟΛΛΩΝΟΣ</t>
  </si>
  <si>
    <t>mail@dim-pikerm.att.sch.gr</t>
  </si>
  <si>
    <t>mail@1dim-markop.att.sch.gr</t>
  </si>
  <si>
    <t>Γ. ΠΑΠΑΒΑΣΙΛΕΙΟΥ 34 &amp; ΔΗΜΗΤΡΙΟΥ ΚΑΡΑΟΛΗ 1</t>
  </si>
  <si>
    <t>mail@3dim-paian.att.sch.gr</t>
  </si>
  <si>
    <t>ΠΑΡΟΔΟΣ ΙΩΑΝΝΟΥ ΖΑΧΑΡΙΑ</t>
  </si>
  <si>
    <t>ΓΡΑΜΜΑΤΙΚΟΥ</t>
  </si>
  <si>
    <t>ΟΛΟΗΜΕΡΟ ΔΗΜΟΤΙΚΟ ΣΧΟΛΕΙΟ ΓΡΑΜΜΑΤΙΚΟΥ</t>
  </si>
  <si>
    <t>mail@dim-gramm.att.sch.gr</t>
  </si>
  <si>
    <t>ΓΡΑΜΜΑΤΙΚΟ</t>
  </si>
  <si>
    <t>ΑΓΙΟΥ ΓΕΩΡΓΙΟΥ 18</t>
  </si>
  <si>
    <t>2ο ΔΗΜΟΤΙΚΟ ΣΧΟΛΕΙΟ ΝΕΑΣ ΜΑΚΡΗΣ</t>
  </si>
  <si>
    <t>mail@2dim-n-makris.att.sch.gr</t>
  </si>
  <si>
    <t>Νέα Μάκρη</t>
  </si>
  <si>
    <t>Λεωφόρος Μαραθώνος 196</t>
  </si>
  <si>
    <t>4ο ΔΗΜΟΤΙΚΟ ΣΧΟΛΕΙΟ ΠΑΛΛΗΝΗΣ</t>
  </si>
  <si>
    <t>mail@4dim-pallin.att.sch.gr</t>
  </si>
  <si>
    <t>ΛΕΟΝΤΑΡΙΟΥ 5</t>
  </si>
  <si>
    <t>1ο  ΝΗΠΙΑΓΩΓΕΙΟ ΑΡΤΕΜΙΔΟΣ</t>
  </si>
  <si>
    <t>mail@1nip-artem.att.sch.gr</t>
  </si>
  <si>
    <t>ΑΡΤΑΣ 6</t>
  </si>
  <si>
    <t>ΔΗΜΟΤΙΚΟ ΣΧΟΛΕΙΟ ΤΥΜΒΟΥ ΜΑΡΑΘΩΝΑ</t>
  </si>
  <si>
    <t>mail@dim-tymvou.att.sch.gr</t>
  </si>
  <si>
    <t xml:space="preserve"> ΤΥΜΒΟΣ ΜΑΡΑΘΩΝΑ</t>
  </si>
  <si>
    <t>ΣΛΙΜΑΝ 62</t>
  </si>
  <si>
    <t>1ο ΝΗΠΙΑΓΩΓΕΙΟ ΠΑΛΛΗΝΗΣ</t>
  </si>
  <si>
    <t>mail@1nip-pallin.att.sch.gr</t>
  </si>
  <si>
    <t>ΜΑΥΡΟΜΙΧΑΛΗ ΚΑΙ ΥΨΗΛΑΝΤΟΥ</t>
  </si>
  <si>
    <t>2ο ΝΗΠΙΑΓΩΓΕΙΟ ΚΑΛΥΒΙΩΝ</t>
  </si>
  <si>
    <t>mail@2nip-kalyv.att.sch.gr</t>
  </si>
  <si>
    <t>ΓΚΑΡΟΝ 16</t>
  </si>
  <si>
    <t>mail@15dim-acharn.att.sch.gr</t>
  </si>
  <si>
    <t>ΑΓΙΑΣ   ΤΡΙΑΔΟΣ   ΚΑΙ   ΠΑΝ. ΜΥΡΟΒΛΗΤΙΣΣΑΣ</t>
  </si>
  <si>
    <t>ΔΗΜΟΤΙΚΟ ΣΧΟΛΕΙΟ ΑΝΑΤΟΛΗΣ</t>
  </si>
  <si>
    <t>mail@dim-anatol.att.sch.gr</t>
  </si>
  <si>
    <t>ΑΝΑΤΟΛΗ ΝΕΑΣ ΜΑΚΡΗΣ</t>
  </si>
  <si>
    <t>ΛΕΩΦ. ΔΙΟΝΥΣΟΥ 112</t>
  </si>
  <si>
    <t>mail@4dim-korop.att.sch.gr</t>
  </si>
  <si>
    <t>Γ. ΒΛΑΧΟΥ ΚΑΙ ΑΠΟΛΛΩΝΟΣ</t>
  </si>
  <si>
    <t>1ο ΔΗΜΟΤΙΚΟ ΣΧΟΛΕΙΟ ΔΙΟΝΥΣΟΥ</t>
  </si>
  <si>
    <t>mail@1dim-dionys.att.sch.gr</t>
  </si>
  <si>
    <t>Διόνυσος</t>
  </si>
  <si>
    <t>Στρατή Καρρά &amp; Κίου</t>
  </si>
  <si>
    <t>mail@3dim-gl-neron.att.sch.gr</t>
  </si>
  <si>
    <t>ΚΩΝΣΤΑΝΤΙΝΟΥΠΟΛΕΩΣ 41</t>
  </si>
  <si>
    <t>4ο ΟΛΟΗΜΕΡΟ ΝΗΠΙΑΓΩΓΕΙΟ ΒΟΥΛΑ</t>
  </si>
  <si>
    <t>4nipvoul@sch.gr</t>
  </si>
  <si>
    <t>ΚΑΒΑΦΗ 1 ΚΑΙ ΔΡΟΣΙΝΗ</t>
  </si>
  <si>
    <t>mail@5dim-pallin.att.sch.gr</t>
  </si>
  <si>
    <t>ΑΡΜΟΔΙΟΥ 20</t>
  </si>
  <si>
    <t>ΟΛΟΗΜΕΡΟ ΝΗΠΙΑΓΩΓΕΙΟ ΒΑΡΚΙΖΑΣ</t>
  </si>
  <si>
    <t>nipbarkiz@sch.gr</t>
  </si>
  <si>
    <t>ΤΙΤΑΝΩΝ 16</t>
  </si>
  <si>
    <t>1ο ΔΗΜΟΤΙΚΟ ΣΧΟΛΕΙΟ ΡΑΦΗΝΑΣ</t>
  </si>
  <si>
    <t>mail@1dim-rafin.att.sch.gr</t>
  </si>
  <si>
    <t>mail@dim-kapandr.att.sch.gr</t>
  </si>
  <si>
    <t>Λ.ΠΟΛΥΔΕΝΔΡΙΟΥ 11</t>
  </si>
  <si>
    <t>2ο ΟΛΟΗΜΕΡΟ ΝΗΠΙΑΓΩΓΕΙΟ ΚΟΡΩΠΙΟΥ</t>
  </si>
  <si>
    <t>mail@2nip-korop.att.sch.gr</t>
  </si>
  <si>
    <t>mail@1dim-artem.att.sch.gr</t>
  </si>
  <si>
    <t>ΣΠΕΤΣΩΝ ΚΑΙ ΘΕΜΙΣΤΟΚΛΕΟΥΣ</t>
  </si>
  <si>
    <t>ΔΗΜΟΤΙΚΟ ΣΧΟΛΕΙΟ ΑΓΙΑΣ ΜΑΡΙΝΑΣ ΚΟΡΩΠΙΟΥ</t>
  </si>
  <si>
    <t>mail@dim-ag-marin-korop.att.sch.gr</t>
  </si>
  <si>
    <t>ΑΓΙΑ ΜΑΡΙΝΑ</t>
  </si>
  <si>
    <t>ΠΑΠΑΓΙΑΝΝΟΠΟΥΛΟΥ  70</t>
  </si>
  <si>
    <t>4ο ΝΗΠΙΑΓΩΓΕΙΟ ΠΑΛΛΗΝΗΣ</t>
  </si>
  <si>
    <t>mail@4nip-pallin.att.sch.gr</t>
  </si>
  <si>
    <t>ΛΕΩΦΟΡΟΣ ΛΕΟΝΤΑΡΙΟΥ</t>
  </si>
  <si>
    <t>ΕΙΔΙΚΟ ΝΗΠΙΑΓΩΓΕΙΟ ΒΟΥΛΑ - ΕΙΔΙΚΟ ΠΙΚΠΑ</t>
  </si>
  <si>
    <t>mail@nip-eid-voulas.att.sch.gr</t>
  </si>
  <si>
    <t>ΚΑΡΑΜΑΝΛΗ 2</t>
  </si>
  <si>
    <t>4ο ΝΗΠΙΑΓΩΓΕΙΟ ΠΑΙΑΝΙΑΣ</t>
  </si>
  <si>
    <t>mail@4nip-paian.att.sch.gr</t>
  </si>
  <si>
    <t>ΙΩΑΝΝΟΥ ΜΕΤΑΞΑ 1-ΠΑΙΑΝΙΑ</t>
  </si>
  <si>
    <t>3ο ΝΗΠΙΑΓΩΓΕΙΟ ΜΑΡΚΟΠΟΥΛΟΥ</t>
  </si>
  <si>
    <t>mail@3nip-markop.att.sch.gr</t>
  </si>
  <si>
    <t>ΜΑΡΚΟΠΟΥΛΟΥ</t>
  </si>
  <si>
    <t>ΑΝΘΕΩΝ ΚΑΙ ΕΠΙΚΟΥΡΟΥ  3</t>
  </si>
  <si>
    <t>mail@1dim-n-makris.att.sch.gr</t>
  </si>
  <si>
    <t>ΛΕΩΦ. ΜΑΡΑΘΩΝΟΣ  115</t>
  </si>
  <si>
    <t>mail@2dim-lavriou.att.sch.gr</t>
  </si>
  <si>
    <t>ΛΕΩΦΟΡΟΣ ΣΟΥΝΙΟΥ</t>
  </si>
  <si>
    <t>1ο ΝΗΠΙΑΓΩΓΕΙΟ ΠΟΡΤΟ ΡΑΦΤΗ</t>
  </si>
  <si>
    <t>mail@1nip-porto-rafti.att.sch.gr</t>
  </si>
  <si>
    <t>ΜΕΛΙΝΑΣ ΜΕΡΚΟΥΡΗ 1</t>
  </si>
  <si>
    <t>1ο ΔΗΜΟΤΙΚΟ ΣΧΟΛΕΙΟ ΒΟΥΛΑΣ</t>
  </si>
  <si>
    <t>mail@1dim-voulas.att.sch.gr</t>
  </si>
  <si>
    <t>ΠΑΓΚΑΛΟΥ 1</t>
  </si>
  <si>
    <t>mail@dim-kouvar.att.sch.gr</t>
  </si>
  <si>
    <t>ΚΟΥΒΑΡΑΣ</t>
  </si>
  <si>
    <t>ΠΑΠΑΔΙΑΜΑΝΤΗ 15</t>
  </si>
  <si>
    <t>mail@3dim-kalyv.att.sch.gr</t>
  </si>
  <si>
    <t>Γ. ΚΑΡΑΪΣΚΑΚΗ</t>
  </si>
  <si>
    <t>1ο ΔΗΜΟΤΙΚΟ ΣΧΟΛΕΙΟ ΚΙΤΣΙΟΥ</t>
  </si>
  <si>
    <t>mail@dim-kitsiou.att.sch.gr</t>
  </si>
  <si>
    <t>ΚΙΤΣΙ</t>
  </si>
  <si>
    <t>Παπαγιαννοπούλου 247 &amp; Αγ. Τριάδας</t>
  </si>
  <si>
    <t>mail@3dim-markop.att.sch.gr</t>
  </si>
  <si>
    <t>ΚΩΣΤΑ ΣΩΤΗΡΙΟΥ 1</t>
  </si>
  <si>
    <t>mail@1dim-korop.att.sch.gr</t>
  </si>
  <si>
    <t>ΙΩΑΝΝOY ΓΚΙΟΚΑ 19</t>
  </si>
  <si>
    <t>2ο   ΔΗΜΟΤΙΚΟ ΣΧΟΛΕΙΟ ΜΑΡΚΟΠΟΥΛΟΥ  ΜΕΣΟΓΑΙΑΣ</t>
  </si>
  <si>
    <t>mail@2dim-markop.att.sch.gr</t>
  </si>
  <si>
    <t>Μαρκόπουλο</t>
  </si>
  <si>
    <t>ΜΥΡΡΙΝΟΥΝΤΟΣ 22</t>
  </si>
  <si>
    <t>2ο ΔΗΜΟΤΙΚΟ ΣΧΟΛΕΙΟ ΚΕΡΑΤΕΑΣ</t>
  </si>
  <si>
    <t>mail@2dim-kerat.att.sch.gr</t>
  </si>
  <si>
    <t>Κερατέα</t>
  </si>
  <si>
    <t>ΠΑΥΛΟΥ ΜΕΛΑ 20</t>
  </si>
  <si>
    <t>mail@dim-eid-pentel.att.sch.gr</t>
  </si>
  <si>
    <t>ΑΝΔΡΕΑ ΠΑΠΑΝΔΡΕΟΥ 52, ΔΙΑΣΤΑΥΡΩΣΗ ΡΑΦΗΝΑΣ</t>
  </si>
  <si>
    <t>3ο ΟΛΟΗΜΕΡΟ ΔΗΜΟΤΙΚΟ ΣΧΟΛΕΙΟ ΣΠΑΤΩΝ</t>
  </si>
  <si>
    <t>mail@3dim-spaton.att.sch.gr</t>
  </si>
  <si>
    <t>ΧΡΗΣΤΟΥ ΜΠΕΚΑ</t>
  </si>
  <si>
    <t>1ο ΝΗΠΙΑΓΩΓΕΙΟ ΚΑΛΥΒΙΩΝ</t>
  </si>
  <si>
    <t>mail@1nip-kalyv.att.sch.gr</t>
  </si>
  <si>
    <t>ΑΓΙΟΥ ΠΕΤΡΟΥ&amp;ΣΑΜΟΘΡΑΚΗΣ</t>
  </si>
  <si>
    <t>mail@1dim-lavriou.att.sch.gr</t>
  </si>
  <si>
    <t>ΔΗΜΑΡΧΟΥ ΡΕΛΙΟΥ</t>
  </si>
  <si>
    <t>3ο ΟΛΟΗΜΕΡΟ ΔΗΜΟΤΙΚΟ ΣΧΟΛΕΙΟ ΒΟΥΛΑΣ</t>
  </si>
  <si>
    <t>mail@3dim-voulas.att.sch.gr</t>
  </si>
  <si>
    <t>ΜΠΙΖΑΝΙΟΥ 1  ΚΑΙ ΥΜΗΤΤΟΥ  1</t>
  </si>
  <si>
    <t>1ο ΔΗΜΟΤΙΚΟ ΣΧΟΛΕΙΟ ΠΑΛΛΗΝΗΣ</t>
  </si>
  <si>
    <t>mail@1dim-pallin.att.sch.gr</t>
  </si>
  <si>
    <t>ΕΘΝΙΚΗΣ ΑΝΤΙΣΤΑΣΕΩΣ ΚΑΙ ΜΑΥΡΟΜΙΧΑΛΗ</t>
  </si>
  <si>
    <t>mail@6dim-pallin.att.sch.gr</t>
  </si>
  <si>
    <t>ΕΡΑΤΟΥΣ ΚΑΙ ΟΛΥΜΠΙΑΣ</t>
  </si>
  <si>
    <t>mail@2dim-pallin.att.sch.gr</t>
  </si>
  <si>
    <t>ΑΝΑΤΟΛΗΣ 6</t>
  </si>
  <si>
    <t>mail@5dim-gerak.att.sch.gr</t>
  </si>
  <si>
    <t>ΑΝΑΦΗΣ 32</t>
  </si>
  <si>
    <t>1ο ΝΗΠΙΑΓΩΓΕΙΟ ΣΑΡΩΝΙΔΑΣ</t>
  </si>
  <si>
    <t>mail@nip-saron.att.sch.gr</t>
  </si>
  <si>
    <t>ΣΑΡΩΝΙΔΑΣ</t>
  </si>
  <si>
    <t>ΚΕΦΑΛΛΗΝΙΑΣ 26</t>
  </si>
  <si>
    <t>ΝΗΠΙΑΓΩΓΕΙΟ ΤΥΜΒΟΥ ΜΑΡΑΘΩΝΑ</t>
  </si>
  <si>
    <t>mail@nip-tymvou.att.sch.gr</t>
  </si>
  <si>
    <t>ΤΥΜΒΟΥ ΜΑΡΑΘΩΝΑ</t>
  </si>
  <si>
    <t>ΘΕΣΣΑΛΙΑΣ 90</t>
  </si>
  <si>
    <t>ΝΗΠΙΑΓΩΓΕΙΟ ΛΕΓΡΑΙΝΩΝ</t>
  </si>
  <si>
    <t>mail@nip-legrain.att.sch.gr</t>
  </si>
  <si>
    <t>ΛΕΓΡΑΙΝΩΝ</t>
  </si>
  <si>
    <t>ΛΕΓΡΑΙΝΑ</t>
  </si>
  <si>
    <t>ΠΑΛΑΙΑΣ ΦΩΚΑΙΑΣ</t>
  </si>
  <si>
    <t>2/ΘΕΣΙΟ ΝΗΠΙΑΓΩΓΕΙΟ ΠΑΛΑΙΑΣ ΦΩΚΑΙΑΣ</t>
  </si>
  <si>
    <t>mail@nip-p-fokaias.att.sch.gr</t>
  </si>
  <si>
    <t>Ι.ΚΑΡΑΠΙΠΕΡΗ</t>
  </si>
  <si>
    <t>mail@1dim-marath.att.sch.gr</t>
  </si>
  <si>
    <t>ΜΑΡΑΘΩΝΑ</t>
  </si>
  <si>
    <t>ΑΝΑΣΤΑΣΙΟΥ ΧΡΥΣΙΝΑ 7</t>
  </si>
  <si>
    <t>ΑΝ. ΧΡΥΣΙΝΑ 7</t>
  </si>
  <si>
    <t>ΟΛΟΗΜΕΡΟ ΝΗΠΙΑΓΩΓΕΙΟ ΑΓΙΑΣ ΜΑΡΙΝΑΣ ΝΕΑΣ ΜΑΚΡΗΣ</t>
  </si>
  <si>
    <t>mail@nip-ag-marin-nm.att.sch.gr</t>
  </si>
  <si>
    <t>ΑΓΙΑΣ ΜΑΡΙΝΑΣ ΝΕΑΣ ΜΑΚΡΗΣ</t>
  </si>
  <si>
    <t>ΑΓΙΑΣ ΜΑΡΙΝΑΣ</t>
  </si>
  <si>
    <t>mail@2dim-voulas.att.sch.gr</t>
  </si>
  <si>
    <t>ΠΛΑΠΟΥΤΑ 7 ΚΑΙ ΑΣΚΛΗΠΙΟΥ</t>
  </si>
  <si>
    <t>ΟΛΟΗΜΕΡΟ ΝΗΠΙΑΓΩΓΕΙΟ ΑΝΑΤΟΛΗΣ ΝΕΑΣ ΜΑΚΡΗΣ</t>
  </si>
  <si>
    <t>mail@nip-anatol.att.sch.gr</t>
  </si>
  <si>
    <t>ΑΝΑΤΟΛΗΣ ΝΕΑΣ ΜΑΚΡΗΣ</t>
  </si>
  <si>
    <t>Λ. ΜΑΡΑΘΩΝΑ 229</t>
  </si>
  <si>
    <t>ΔΗΜΟΤΙΚΟ ΣΧΟΛΕΙΟ ΑΓΙΑΣ ΜΑΡΙΝΑΣ ΝΕΑΣ ΜΑΚΡΗΣ</t>
  </si>
  <si>
    <t>mail@dim-ag-marin.att.sch.gr</t>
  </si>
  <si>
    <t>ΑΓΙΑ ΜΑΡΙΝΑ ΝΕΑΣ ΜΑΚΡΗΣ</t>
  </si>
  <si>
    <t>ΣΥΚΑΜΙΝΟΥ</t>
  </si>
  <si>
    <t>ΟΛΟΗΜΕΡΟ ΔΗΜΟΤΙΚΟ ΣΧΟΛΕΙΟ ΣΥΚΑΜΙΝΟΥ</t>
  </si>
  <si>
    <t>mail@dim-sykam.att.sch.gr</t>
  </si>
  <si>
    <t>ΣΥΚΑΜΙΝΟ</t>
  </si>
  <si>
    <t>ΑΓ. ΔΗΜΗΤΡΙΟΥ</t>
  </si>
  <si>
    <t>mail@dim-sofr-avlon.att.sch.gr</t>
  </si>
  <si>
    <t xml:space="preserve"> ΑΥΛΩΝΑΣ</t>
  </si>
  <si>
    <t>Ε.Κ.Κ.Ν. ΑΥΛΩΝΑΣ</t>
  </si>
  <si>
    <t>mail@1dim-spaton.att.sch.gr</t>
  </si>
  <si>
    <t>ΑΔ.ΚΟΡΑΗ 1</t>
  </si>
  <si>
    <t>2ο ΟΛΟΗΜΕΡΟ ΔΗΜΟΤΙΚΟ ΣΧΟΛΕΙΟ ΑΡΤΕΜΙΔΟΣ</t>
  </si>
  <si>
    <t>mail@2dim-artem.att.sch.gr</t>
  </si>
  <si>
    <t>ΑΓΙΟΥ ΙΩΑΝΝΟΥ 6</t>
  </si>
  <si>
    <t>1ο  ΔΗΜΟΤΙΚΟ ΣΧΟΛΕΙΟ ΚΕΡΑΤΕΑΣ</t>
  </si>
  <si>
    <t>mail@1dim-kerat.att.sch.gr</t>
  </si>
  <si>
    <t>Λ. ΣΟΥΝΙΟΥ 38</t>
  </si>
  <si>
    <t>2ο ΟΛΟΗΜΕΡΟ ΝΗΠΙΑΓΩΓΕΙΟ ΒΟΥΛΑΣ</t>
  </si>
  <si>
    <t>mail@2nip-voulas.att.sch.gr</t>
  </si>
  <si>
    <t>ΑΣΚΛΗΠΙΟΥ ΚΑΙ ΟΔΥΣΣΕΩΣ</t>
  </si>
  <si>
    <t>mail@2dim-rafin.att.sch.gr</t>
  </si>
  <si>
    <t>ΛΕΩΦΟΡΟΣ ΜΑΡΑΘΩΝΟΣ 103</t>
  </si>
  <si>
    <t>3ο ΝΗΠΙΑΓΩΓΕΙΟ ΑΧΑΡΝΩΝ</t>
  </si>
  <si>
    <t>mail@3nip-acharn.att.sch.gr</t>
  </si>
  <si>
    <t>ΑΝΑΣΤΑΣΙΟΥ ΒΡΕΤΤΟΥ 15</t>
  </si>
  <si>
    <t>4ο ΝΗΠΙΑΓΩΓΕΙΟ ΑΧΑΡΝΩΝ</t>
  </si>
  <si>
    <t>mail@4nip-acharn.att.sch.gr</t>
  </si>
  <si>
    <t>ΝΕΡΑΪΔΑΣ 4</t>
  </si>
  <si>
    <t>5ο ΟΛΟΗΜΕΡΟ ΝΗΠΙΑΓΩΓΕΙΟ ΑΧΑΡΝΩΝ</t>
  </si>
  <si>
    <t>mail@5nip-acharn.att.sch.gr</t>
  </si>
  <si>
    <t>ΔΗΜΗΤΡΙΟΥ  ΔΕΔΕ 66</t>
  </si>
  <si>
    <t>6ο  ΝΗΠΙΑΓΩΓΕΙΟ ΑΧΑΡΝΩΝ</t>
  </si>
  <si>
    <t>mail@6nip-acharn.att.sch.gr</t>
  </si>
  <si>
    <t>ΜΙΑΟΥΛΗ ΚΑΙ ΚΑΤΑΡΑ</t>
  </si>
  <si>
    <t>7ο  ΝΗΠΙΑΓΩΓΕΙΟ ΑΧΑΡΝΩΝ</t>
  </si>
  <si>
    <t>mail@7nip-acharn.att.sch.gr</t>
  </si>
  <si>
    <t>Α. ΠΑΠΑΧΡΗΣΤΟΥ ΤΕΡΜΑ</t>
  </si>
  <si>
    <t>8ο ΝΗΠΙΑΓΩΓΕΙΟ ΑΧΑΡΝΩΝ</t>
  </si>
  <si>
    <t>mail@8nip-acharn.att.sch.gr</t>
  </si>
  <si>
    <t>ΔΕΥΚΑΛΙΩΝΟΣ 3</t>
  </si>
  <si>
    <t>9ο  ΝΗΠΙΑΓΩΓΕΙΟ ΑΧΑΡΝΩΝ</t>
  </si>
  <si>
    <t>mail@9nip-acharn.att.sch.gr</t>
  </si>
  <si>
    <t>ΕΝΔΕΚΑΤΗ ΣΤΑΣΗ ΑΓΙΑΣ ΑΝΝΑΣ</t>
  </si>
  <si>
    <t>10ο ΝΗΠΙΑΓΩΓΕΙΟ ΑΧΑΡΝΩΝ</t>
  </si>
  <si>
    <t>mail@10nip-acharn.att.sch.gr</t>
  </si>
  <si>
    <t>ΣΩΚΡΑΤΟΥΣ 68</t>
  </si>
  <si>
    <t>11ο ΝΗΠΙΑΓΩΓΕΙΟ ΑΧΑΡΝΩΝ</t>
  </si>
  <si>
    <t>mail@11nip-acharn.att.sch.gr</t>
  </si>
  <si>
    <t>ΜΑΤΣΟΥΚΑ 11</t>
  </si>
  <si>
    <t>12ο ΝΗΠΙΑΓΩΓΕΙΟ ΑΧΑΡΝΩΝ</t>
  </si>
  <si>
    <t>mail@12nip-acharn.att.sch.gr</t>
  </si>
  <si>
    <t>ΔΕΚΕΛΕΙΑΣ ΚΑΙ ΔΗΜ. ΔΑΜΑΣΚΟΥ</t>
  </si>
  <si>
    <t>14ο ΝΗΠΙΑΓΩΓΕΙΟ ΑΧΑΡΝΩΝ</t>
  </si>
  <si>
    <t>mail@14nip-acharn.att.sch.gr</t>
  </si>
  <si>
    <t>ΘΕΑΓΕΝΟΥΣ ΚΑΙ ΣΑΠΦΟΥΣ</t>
  </si>
  <si>
    <t>15ο ΝΗΠΙΑΓΩΓΕΙΟ ΑΧΑΡΝΩΝ</t>
  </si>
  <si>
    <t>mail@15nip-acharn.att.sch.gr</t>
  </si>
  <si>
    <t>17ο ΝΗΠΙΑΓΩΓΕΙΟ ΑΧΑΡΝΩΝ</t>
  </si>
  <si>
    <t>mail@17nip-acharn.att.sch.gr</t>
  </si>
  <si>
    <t>ΛΑΪΚΩΝ ΑΓΩΝΩΝ 53</t>
  </si>
  <si>
    <t>18ο ΝΗΠΙΑΓΩΓΕΙΟ ΑΧΑΡΝΩΝ</t>
  </si>
  <si>
    <t>mail@18nip-acharn.att.sch.gr</t>
  </si>
  <si>
    <t>19ο ΝΗΠΙΑΓΩΓΕΙΟ ΑΧΑΡΝΩΝ</t>
  </si>
  <si>
    <t>mail@19nip-acharn.att.sch.gr</t>
  </si>
  <si>
    <t>ΒΥΣΑΡΑΚΗ ΚΑΙ ΠΤΟΛΕΜΑΪΔΟΣ 50</t>
  </si>
  <si>
    <t>20ο ΝΗΠΙΑΓΩΓΕΙΟ ΑΧΑΡΝΩΝ</t>
  </si>
  <si>
    <t>mail@20nip-acharn.att.sch.gr</t>
  </si>
  <si>
    <t>ΑΝΑΣΤΑΣΙΟΥ ΒΑΡΕΛΑ 37</t>
  </si>
  <si>
    <t>21ο ΝΗΠΙΑΓΩΓΕΙΟ ΑΧΑΡΝΩΝ</t>
  </si>
  <si>
    <t>mail@21nip-acharn.att.sch.gr</t>
  </si>
  <si>
    <t>ΑΓΙΟΥ ΠΕΤΡΟΥ 93 ΚΑΙ ΔΙΟΣΚΟΥΡΩΝ 7</t>
  </si>
  <si>
    <t>23ο ΟΛΟΗΜΕΡΟ ΝΗΠΙΑΓΩΓΕΙΟ ΑΧΑΡΝΕΣ</t>
  </si>
  <si>
    <t>mail@23nip-acharn.att.sch.gr</t>
  </si>
  <si>
    <t>ΤΡΙΦΥΛΛΙΑΣ 70</t>
  </si>
  <si>
    <t>24ο ΝΗΠΙΑΓΩΓΕΙΟ ΑΧΑΡΝΩΝ</t>
  </si>
  <si>
    <t>mail@24nip-acharn.att.sch.gr</t>
  </si>
  <si>
    <t>ΓΙΑΝΝΗ ΒΛΑΧΟΓΙΑΝΝΗ 42</t>
  </si>
  <si>
    <t>25ο ΝΗΠΙΑΓΩΓΕΙΟ ΑΧΑΡΝΩΝ</t>
  </si>
  <si>
    <t>mail@25nip-acharn.att.sch.gr</t>
  </si>
  <si>
    <t>26ο ΝΗΠΙΑΓΩΓΕΙΟ ΑΧΑΡΝΩΝ</t>
  </si>
  <si>
    <t>mail@26nip-acharn.att.sch.gr</t>
  </si>
  <si>
    <t>ΜΟΝΕΜΒΑΣΙΑΣ ΛΑΘΕΑ</t>
  </si>
  <si>
    <t>27ο ΟΛΟΗΜΕΡΟ ΝΗΠΙΑΓΩΓΕΙΟ ΑΧΑΡΝΕΣ</t>
  </si>
  <si>
    <t>mail@27nip-acharn.att.sch.gr</t>
  </si>
  <si>
    <t>ΠΤΟΛΕΜΑΪΔΟΣ 50</t>
  </si>
  <si>
    <t>ΟΛΟΗΜΕΡΟ ΝΗΠΙΑΓΩΓΕΙΟ ΒΑΡΥΜΠΟΜΠΗΣ</t>
  </si>
  <si>
    <t>mail@nip-varymp.att.sch.gr</t>
  </si>
  <si>
    <t>ΒΑΡΥΜΠΟΜΠΗΣ</t>
  </si>
  <si>
    <t>ΔΡΥΟΣ ΚΑΙ ΑΚΑΚΙΑΣ 8</t>
  </si>
  <si>
    <t>1ο ΝΗΠΙΑΓΩΓΕΙΟ ΘΡΑΚΟΜΑΚΕΔΟΝΩΝ</t>
  </si>
  <si>
    <t>mail@1nip-thrak.att.sch.gr</t>
  </si>
  <si>
    <t>ΑΔΡΙΑΝΟΥΠΟΛΕΩΣ ΚΑΙ ΠΛΑΤΕΙΑ ΑΡΙΣΤΟΤΕΛΟΥΣ 48</t>
  </si>
  <si>
    <t>2ο ΝΗΠΙΑΓΩΓΕΙΟ ΘΡΑΚΟΜΑΚΕΔΟΝΩΝ</t>
  </si>
  <si>
    <t>mail@2nip-thrak.att.sch.gr</t>
  </si>
  <si>
    <t>ΒΕΡΟΙΑΣ ΚΑΙ ΧΑΛΚΙΔΙΚΗΣ</t>
  </si>
  <si>
    <t>2/θ ΝΗΠΙΑΓΩΓΕΙΟ ΑΓΙΩΝ ΑΠΟΣΤΟΛΩΝ</t>
  </si>
  <si>
    <t>mail@nip-ag-apost.att.sch.gr</t>
  </si>
  <si>
    <t>ΑΓΙΩΝ ΑΠΟΣΤΟΛΩΝ</t>
  </si>
  <si>
    <t>ΑΙΓΙΝΗΣ-ΑΓΙΟΙ ΑΠΟΣΤΟΛΟΙ</t>
  </si>
  <si>
    <t>1ο ΝΗΠΙΑΓΩΓΕΙΟ ΑΓΙΟΥ ΣΤΕΦΑΝΟΥ</t>
  </si>
  <si>
    <t>mail@1nip-ag-stefan.att.sch.gr</t>
  </si>
  <si>
    <t>ΗΡΩΩΝ ΠΟΛΥΤΕΧΝΕΙΟΥ 2</t>
  </si>
  <si>
    <t>2ο ΟΛΟΗΜΕΡΟ ΝΗΠΙΑΓΩΓΕΙΟ ΑΓΙΟΥ ΣΤΕΦΑΝΟΥ</t>
  </si>
  <si>
    <t>mail@2nip-ag-stefan.att.sch.gr</t>
  </si>
  <si>
    <t>1ο ΟΛΟΗΜΕΡΟ ΝΗΠΙΑΓΩΓΕΙΟ ΑΝΟΙΞΗΣ</t>
  </si>
  <si>
    <t>mail@1nip-anoix.att.sch.gr</t>
  </si>
  <si>
    <t>ΑΝΟΙΞΗΣ</t>
  </si>
  <si>
    <t>ΝΑΥΑΡΙΝΟΥ</t>
  </si>
  <si>
    <t>1ο ΝΗΠΙΑΓΩΓΕΙΟ ΑΥΛΩΝΑ</t>
  </si>
  <si>
    <t>mail@1nip-avlon.att.sch.gr</t>
  </si>
  <si>
    <t>ΠΟΛΥΤΕΧΝΕΙΟΥ  19</t>
  </si>
  <si>
    <t>2ο ΝΗΠΙΑΓΩΓΕΙΟ ΑΥΛΩΝΑ</t>
  </si>
  <si>
    <t>mail@2nip-avlon.att.sch.gr</t>
  </si>
  <si>
    <t>ΚΩΝΣΤΑΝΤΙΝΟΠΟΥΛΟΥ Ι. 3</t>
  </si>
  <si>
    <t>1ο ΟΛΟΗΜΕΡΟ ΝΗΠΙΑΓΩΓΕΙΟ ΑΦΙΔΝΩΝ</t>
  </si>
  <si>
    <t>mail@nip-afidn.att.sch.gr</t>
  </si>
  <si>
    <t>ΜΕΓΑΛΟΥ ΑΛΕΞΑΝΔΡΟΥ</t>
  </si>
  <si>
    <t>ΒΑΡΝΑΒΑ</t>
  </si>
  <si>
    <t>ΝΗΠΙΑΓΩΓΕΙΟ ΒΑΡΝΑΒΑ</t>
  </si>
  <si>
    <t>mail@nip-varnav.att.sch.gr</t>
  </si>
  <si>
    <t>ΔΗΜΟΤΙΚΟΥ ΣΧΟΛΕΙΟΥ 17</t>
  </si>
  <si>
    <t>1ο ΝΗΠΙΑΓΩΓΕΙΟ ΔΙΟΝΥΣΟΥ</t>
  </si>
  <si>
    <t>kinder1dionysos@gmail.com</t>
  </si>
  <si>
    <t>ΣΑΤΩΒΡΙΑΝΔΟΥ 18</t>
  </si>
  <si>
    <t>2ο ΟΛΟΗΜΕΡΟ ΝΗΠΙΑΓΩΓΕΙΟ ΑΝΟΙΞΗ</t>
  </si>
  <si>
    <t>mail@2nip-anoix.att.sch.gr</t>
  </si>
  <si>
    <t>2ο ΟΛΟΗΜΕΡΟ ΝΗΠΙΑΓΩΓΕΙΟ ΔΙΟΝΥΣΟΥ</t>
  </si>
  <si>
    <t>mail@2nip-dionys.att.sch.gr</t>
  </si>
  <si>
    <t>ΓΡΗΓΟΡΙΟΥ ΚΥΔΩΝΙΩΝ ΚΑΙ ΔΙΟΝΥΣΟΥ</t>
  </si>
  <si>
    <t>1ο ΟΛΟΗΜΕΡΟ ΝΗΠΙΑΓΩΓΕΙΟ ΔΡΟΣΙΑΣ ΔΙΟΝΥΣΟΥ</t>
  </si>
  <si>
    <t>mail@nip-drosias.att.sch.gr</t>
  </si>
  <si>
    <t>ΓΡΗΓΟΡΙΟΥ ΛΑΜΠΡΑΚΗ 10</t>
  </si>
  <si>
    <t>mail@3dim-rafin.att.sch.gr</t>
  </si>
  <si>
    <t>ΠΑΡΟΔΟΣ  ΔΗΜΟΚΡΑΤΙΑΣ-ΚΙΟΥΠΙ (ΒΕΡΓΙΝΑΣ &amp; ΑΡΙΑΔΝΗΣ)</t>
  </si>
  <si>
    <t>1ο ΕΙΔΙΚΟ ΝΗΠΙΑΓΩΓΕΙΟ ΑΧΑΡΝΩΝ</t>
  </si>
  <si>
    <t>mail@1nip-eid-acharn.att.sch.gr</t>
  </si>
  <si>
    <t>ΠΑΝΑΓΙΑΣ ΜΥΡΟΒΛΗΤΙΣΣΑΣ ΚΑΙ ΜΑΡΚΟΥ ΑΥΓΕΡΗ</t>
  </si>
  <si>
    <t>2ο ΝΗΠΙΑΓΩΓΕΙΟ ΚΕΡΑΤΕΑΣ</t>
  </si>
  <si>
    <t>mail@2nip-kerat.att.sch.gr</t>
  </si>
  <si>
    <t>ΟΛΟΗΜΕΡΟ ΝΗΠΙΑΓΩΓΕΙΟ ΚΑΛΑΜΟΥ</t>
  </si>
  <si>
    <t>mail@nip-kalam.att.sch.gr</t>
  </si>
  <si>
    <t>ΚΑΛΑΜΟΣ</t>
  </si>
  <si>
    <t>1ο ΝΗΠΙΑΓΩΓΕΙΟ ΚΑΠΑΝΔΡΙΤΙΟΥ</t>
  </si>
  <si>
    <t>mail@nip-kapandr.att.sch.gr</t>
  </si>
  <si>
    <t>mail@dim-anoiks.att.sch.gr</t>
  </si>
  <si>
    <t>ΚΑΝΑΡΗ 1</t>
  </si>
  <si>
    <t>2ο ΔΗΜΟΤΙΚΟ ΣΧΟΛΕΙΟ ΣΠΑΤΩΝ</t>
  </si>
  <si>
    <t>mail@2dim-spaton.att.sch.gr</t>
  </si>
  <si>
    <t xml:space="preserve">ΣΠΑΤΑ </t>
  </si>
  <si>
    <t>ΑΘΗΝΑΣ 6</t>
  </si>
  <si>
    <t>mail@dim-drosias.att.sch.gr</t>
  </si>
  <si>
    <t>ΑΡΓΥΡΟΥΠΌΛΕΩΣ 19</t>
  </si>
  <si>
    <t>1ο ΟΛΟΗΜΕΡΟ ΝΗΠΙΑΓΩΓΕΙΟ ΒΟΥΛΑΣ</t>
  </si>
  <si>
    <t>mail@1nip-voulas.att.sch.gr</t>
  </si>
  <si>
    <t>ΠΑΓΚΑΛΟΥ ΚΑΙ ΓΡΑΜΜΟΥ</t>
  </si>
  <si>
    <t>1ο  ΝΗΠΙΑΓΩΓΕΙΟ ΚΡΥΟΝΕΡΙΟΥ</t>
  </si>
  <si>
    <t>mail@nip-kryon.att.sch.gr</t>
  </si>
  <si>
    <t>ΚΡΥΟΝΕΡΙ</t>
  </si>
  <si>
    <t>ΥΨΗΛΑΝΤΟΥ ΚΑΙ ΑΓΙΑΣ ΤΡΙΑΔΟΣ</t>
  </si>
  <si>
    <t>4ο 2/Θ ΝΗΠΙΑΓΩΓΕΙΟ ΛΑΥΡΙΟΥ</t>
  </si>
  <si>
    <t>mail@4nip-lavriou.att.sch.gr</t>
  </si>
  <si>
    <t>2ο ΟΛΟΗΜΕΡΟ ΝΗΠΙΑΓΩΓΕΙΟ ΚΡΥΟΝΕΡΙ</t>
  </si>
  <si>
    <t>mail@2nip-kryon.att.sch.gr</t>
  </si>
  <si>
    <t>ΣΕΒΔΙΚΙΟΥ ΚΑΙ ΜΙΛΗΤΟΥ</t>
  </si>
  <si>
    <t>ΜΑΛΑΚΑΣΗΣ</t>
  </si>
  <si>
    <t>ΝΗΠΙΑΓΩΓΕΙΟ ΜΑΛΑΚΑΣΑΣ</t>
  </si>
  <si>
    <t>mail@nip-malak.att.sch.gr</t>
  </si>
  <si>
    <t>ΜΑΛΑΚΑΣΑΣ</t>
  </si>
  <si>
    <t>ΓΥΜΝΑΣΤΗΡΙΟΥ 9</t>
  </si>
  <si>
    <t>1ο ΝΗΠΙΑΓΩΓΕΙΟ ΜΑΡΚΟΠΟΥΛΟΥ ΩΡΩΠΟΥ</t>
  </si>
  <si>
    <t>mail@nip-markop.att.sch.gr</t>
  </si>
  <si>
    <t>ΜΑΡΚΟΠΟΥΛΟ ΩΡΩΠΟΥ</t>
  </si>
  <si>
    <t>ΝΗΠΙΑΓΩΓΕΙΟ ΜΗΛΕΣΙΟΥ</t>
  </si>
  <si>
    <t>mail@nip-miles.att.sch.gr</t>
  </si>
  <si>
    <t>ΜΗΛΕΣΙΟΥ</t>
  </si>
  <si>
    <t>ΜΗΛΕΣΙ</t>
  </si>
  <si>
    <t>2ο ΝΗΠΙΑΓΩΓΕΙΟ ΛΑΥΡΙΟΥ</t>
  </si>
  <si>
    <t>mail@2nip-lavriou.att.sch.gr</t>
  </si>
  <si>
    <t>ΝΕΩΝ ΠΑΛΑΤΙΩΝ</t>
  </si>
  <si>
    <t>1ο 2/θ ΝΗΠΙΑΓΩΓΕΙΟ ΝΕΩΝ ΠΑΛΑΤΙΩΝ</t>
  </si>
  <si>
    <t>mail@1nip-n-palat.att.sch.gr</t>
  </si>
  <si>
    <t>ΝΕΑ ΠΑΛΑΤΙΑ</t>
  </si>
  <si>
    <t>ΑΘΑΝΑΣΙΟΥ ΔΙΑΚΟΥ 35</t>
  </si>
  <si>
    <t>2ο  ΝΗΠΙΑΓΩΓΕΙΟ ΝΕΩΝ ΠΑΛΑΤΙΩΝ</t>
  </si>
  <si>
    <t>mail@2nip-n-palat.att.sch.gr</t>
  </si>
  <si>
    <t>ΒΑΣΙΛΙΚΗΣ ΚΩΤΤΙΔΟΥ</t>
  </si>
  <si>
    <t>ΠΟΛΥΔΕΝΔΡΙΟΥ</t>
  </si>
  <si>
    <t>ΝΗΠΙΑΓΩΓΕΙΟ ΠΟΛΥΔΕΝΔΡΙΟΥ</t>
  </si>
  <si>
    <t>mail@nip-polyd.att.sch.gr</t>
  </si>
  <si>
    <t>ΕΙΡΗΝΗΣ 10</t>
  </si>
  <si>
    <t>2/Θ ΝΗΠΙΑΓΩΓΕΙΟ ΡΟΔΟΠΟΛΗΣ</t>
  </si>
  <si>
    <t>mail@nip-rodop.att.sch.gr</t>
  </si>
  <si>
    <t>ΡΟΔΟΠΟΛΗΣ</t>
  </si>
  <si>
    <t>ΚΑΡΑΙΣΚΑΚΗ  2</t>
  </si>
  <si>
    <t>ΝΗΠΙΑΓΩΓΕΙΟ ΣΚΑΛΑΣ ΩΡΩΠΟΥ</t>
  </si>
  <si>
    <t>mail@nip-skalas.att.sch.gr</t>
  </si>
  <si>
    <t>ΟΔΟΣ ΣΤΑΔΙΟΥ</t>
  </si>
  <si>
    <t>2/Θ ΝΗΠΙΑΓΩΓΕΙΟ ΣΤΑΜΑΤΑΣ</t>
  </si>
  <si>
    <t>mail@nip-stamat.att.sch.gr</t>
  </si>
  <si>
    <t>ΕΙΚΟΣΤΗΣ ΠΕΜΠΤΗΣ ΜΑΡΤΙΟΥ 1-3</t>
  </si>
  <si>
    <t>ΝΗΠΙΑΓΩΓΕΙΟ ΣΥΚΑΜΙΝΟΥ</t>
  </si>
  <si>
    <t>mail@1nip-sykam.att.sch.gr</t>
  </si>
  <si>
    <t>ΝΗΠΙΑΓΩΓΕΙΟ ΧΑΛΚΟΥΤΣΙΟΥ</t>
  </si>
  <si>
    <t>mail@nip-chalk.att.sch.gr</t>
  </si>
  <si>
    <t>ΧΑΛΚΟΥΤΣΙΟΥ</t>
  </si>
  <si>
    <t>mail@3dim-gerak.att.sch.gr</t>
  </si>
  <si>
    <t>3ο ΝΗΠΙΑΓΩΓΕΙΟ ΚΑΛΥΒΙΩΝ</t>
  </si>
  <si>
    <t>mail@3nip-kalyv.att.sch.gr</t>
  </si>
  <si>
    <t>ΘΟΡΩΝ</t>
  </si>
  <si>
    <t>ΔΗΜΟΤΙΚΟ ΣΧΟΛΕΙΟ ΣΑΡΩΝΙΔΑΣ</t>
  </si>
  <si>
    <t>mail@dim-saron.att.sch.gr</t>
  </si>
  <si>
    <t>Σαρωνίδα</t>
  </si>
  <si>
    <t>Κεφαλληνίας 28</t>
  </si>
  <si>
    <t>1ο ΔΗΜΟΤΙΚΟ ΣΧΟΛΕΙΟ ΠΑΛΑΙΑΣ ΦΩΚΑΙΑΣ</t>
  </si>
  <si>
    <t>mail@dim-p-fokaias.att.sch.gr</t>
  </si>
  <si>
    <t>ΠΑΛΑΙΑ ΦΩΚΑΙΑ, ΣΑΡΩΝΙΚΟY</t>
  </si>
  <si>
    <t>ΑΧΛΑΔΕΑΣ 3</t>
  </si>
  <si>
    <t>mail@dim-dilof.att.sch.gr</t>
  </si>
  <si>
    <t>ΔΙΛΟΦΟ ΒΑΡΗΣ</t>
  </si>
  <si>
    <t>ΣΑΜΟΥ ΚΑΙ ΖΑΛΟΓΓΟΥ</t>
  </si>
  <si>
    <t>2ο ΟΛΟΗΜΕΡΟ ΔΗΜΟΤΙΚΟ ΣΧΟΛΕΙΟ ΒΑΡΗΣ</t>
  </si>
  <si>
    <t>mail@2dim-varis.att.sch.gr</t>
  </si>
  <si>
    <t>ΧΑΤΖΗΔΑΚΗ 2</t>
  </si>
  <si>
    <t>mail@2dim-porto-rafti.att.sch.gr</t>
  </si>
  <si>
    <t>ΑΓΙΟΥ ΝΙΚΟΛΑΟΥ ΚΑΙ ΕΙΚΟΣΤΗΣ  ΠΕΜΠΤΗΣ ΜΑΡΤΙΟΥ</t>
  </si>
  <si>
    <t>2ο ΔΗΜΟΤΙΚΟ ΣΧΟΛΕΙΟ ΚΑΛΥΒΙΩΝ</t>
  </si>
  <si>
    <t>mail@2dim-kalyv.att.sch.gr</t>
  </si>
  <si>
    <t>ΑΓ. ΠΕΤΡΟΥ</t>
  </si>
  <si>
    <t>ΑΓΙΟΥ ΠΕΤΡΟΥ</t>
  </si>
  <si>
    <t>mail@3dim-lavriou.att.sch.gr</t>
  </si>
  <si>
    <t>ΛΕΩΦΟΡΟΣ ΑΘΗΝΩΝ 12</t>
  </si>
  <si>
    <t>2ο ΝΗΠΙΑΓΩΓΕΙΟ ΠΑΙΑΝΙΑΣ</t>
  </si>
  <si>
    <t>mail@2nip-paian.att.sch.gr</t>
  </si>
  <si>
    <t>ΠΕΔΟΥΛΑ ΚΥΠΡΟΥ 1</t>
  </si>
  <si>
    <t>3ο ΔΗΜΟΤΙΚΟ ΣΧΟΛΕΙΟ ΚΕΡΑΤΕΑΣ</t>
  </si>
  <si>
    <t>mail@3dim-kerat.att.sch.gr</t>
  </si>
  <si>
    <t>ΕΥΕΡΓΕΤΗ ΚΩΝ. ΠΡΙΦΤΗ 50</t>
  </si>
  <si>
    <t>mail@dim-skalas.att.sch.gr</t>
  </si>
  <si>
    <t>ΝΕΑ ΠΑΛΑΤΙΑ ΩΡΩΠΟΥ</t>
  </si>
  <si>
    <t>ΑΡΓΥΡΟΥΠΟΛΕΩΣ 24</t>
  </si>
  <si>
    <t>mail@dim-chalk.att.sch.gr</t>
  </si>
  <si>
    <t>ΛΕΩΦΟΡΟΣ ΧΑΛΚΟΥΤΣΙΟΥ</t>
  </si>
  <si>
    <t>3ο  ΔΗΜΟΤΙΚΟ ΣΧΟΛΕΙΟ ΚΟΡΩΠΙΟΥ</t>
  </si>
  <si>
    <t>mail@3dim-korop.att.sch.gr</t>
  </si>
  <si>
    <t>5ο ΟΛΟΗΜΕΡΟ ΔΗΜΟΤΙΚΟ ΣΧΟΛΕΙΟ ΑΡΤΕΜΙΔΑΣ</t>
  </si>
  <si>
    <t>mail@5dim-artem.att.sch.gr</t>
  </si>
  <si>
    <t>ΣΠΕΤΣΩΝ ΚΑΙ ΘΕΜΙΣΤΙΚΛΕΟΥΣ</t>
  </si>
  <si>
    <t>mail@dim-avlon.att.sch.gr</t>
  </si>
  <si>
    <t>ΗΡΩΩΝ ΠΟΛΥΤΕΧΝΕΙΟΥ 17</t>
  </si>
  <si>
    <t>mail@2dim-acharn.att.sch.gr</t>
  </si>
  <si>
    <t>ΠΑΡΝΗΘΟΣ 19</t>
  </si>
  <si>
    <t>3ο ΔΗΜΟΤΙΚΟ ΣΧΟΛΕΙΟ ΑΡΤΕΜΙΔΟΣ</t>
  </si>
  <si>
    <t>mail@3dim-artem.att.sch.gr</t>
  </si>
  <si>
    <t>ΝΙΚΟΥ ΚΑΖΑΝΤΖΑΚΗ 38</t>
  </si>
  <si>
    <t>5ο ΔΗΜΟΤΙΚΟ ΣΧΟΛΕΙΟ ΑΧΑΡΝΩΝ</t>
  </si>
  <si>
    <t>mail@5dim-acharn.att.sch.gr</t>
  </si>
  <si>
    <t>Δ. ΔΕΔΕ 100 ΚΑΙ Γ. ΛΑΖΑΡΟΥ 24</t>
  </si>
  <si>
    <t>6ο ΟΛΟΗΜΕΡΟ ΔΗΜΟΤΙΚΟ ΣΧΟΛΕΙΟ ΑΧΑΡΝΩΝ</t>
  </si>
  <si>
    <t>mail@6dim-acharn.att.sch.gr</t>
  </si>
  <si>
    <t>mail@8dim-acharn.att.sch.gr</t>
  </si>
  <si>
    <t>ΑΧΑΡΝEΣ</t>
  </si>
  <si>
    <t>ΔΕΥΚΑΛΙΩΝΟΣ 5</t>
  </si>
  <si>
    <t>4ο ΟΛΟΗΜΕΡΟ ΔΗΜΟΤΙΚΟ ΣΧΟΛΕΙΟ ΒΟΥΛΑΣ</t>
  </si>
  <si>
    <t>4dimvoul@sch.gr</t>
  </si>
  <si>
    <t>ΚΑΖΑΝΤΖΑΚΗ 2</t>
  </si>
  <si>
    <t>mail@9dim-acharn.att.sch.gr</t>
  </si>
  <si>
    <t>ΑΓΙΑΣ ΑΝΝΑΣ 45</t>
  </si>
  <si>
    <t>mail@10dim-acharn.att.sch.gr</t>
  </si>
  <si>
    <t>ΘΗΒΩΝ  10</t>
  </si>
  <si>
    <t>11ο ΔΗΜΟΤΙΚΟ ΣΧΟΛΕΙΟ ΑΧΑΡΝΩΝ</t>
  </si>
  <si>
    <t>mail@11dim-acharn.att.sch.gr</t>
  </si>
  <si>
    <t>Κορίνθου 4</t>
  </si>
  <si>
    <t>3ο ΔΗΜΟΤΙΚΟ ΣΧΟΛΕΙΟ ΠΑΛΛΗΝΗΣ</t>
  </si>
  <si>
    <t>mail@3dim-pallin.att.sch.gr</t>
  </si>
  <si>
    <t>ΠΥΘΑΓΟΡΑ 2</t>
  </si>
  <si>
    <t>mail@13dim-acharn.att.sch.gr</t>
  </si>
  <si>
    <t>ΧΑΤΖΗΠΕΤΡΟΥ Δ 8</t>
  </si>
  <si>
    <t>mail@1dim-varis.att.sch.gr</t>
  </si>
  <si>
    <t>ΑΤΤΙΔΟΣ 7</t>
  </si>
  <si>
    <t>14ο ΔΗΜΟΤΙΚΟ ΣΧΟΛΕΙΟ ΑΧΑΡΝΩΝ</t>
  </si>
  <si>
    <t>mail@14dim-acharn.att.sch.gr</t>
  </si>
  <si>
    <t>Λευκάδος και Θεαγένους</t>
  </si>
  <si>
    <t>16ο ΔΗΜΟΤΙΚΟ ΣΧΟΛΕΙΟ ΑΧΑΡΝΩΝ</t>
  </si>
  <si>
    <t>mail@16dim-acharn.att.sch.gr</t>
  </si>
  <si>
    <t>ΜΕΝΩΝΟΣ ΚΑΙ ΑΝΔΡΟΜΑΧΗΣ</t>
  </si>
  <si>
    <t>mail@18dim-acharn.att.sch.gr</t>
  </si>
  <si>
    <t>Αγ.Πέτρου και Σαμψούντος</t>
  </si>
  <si>
    <t>19ο ΔΗΜΟΤΙΚΟ ΣΧΟΛΕΙΟ ΑΧΑΡΝΩΝ</t>
  </si>
  <si>
    <t>mail@19dim-acharn.att.sch.gr</t>
  </si>
  <si>
    <t>ΚΥΘΝΟΥ ΚΑΙ Δ.ΚΑΤΑΡΑ-Μ.ΣΧΟΙΝΑ</t>
  </si>
  <si>
    <t>mail@20dim-acharn.att.sch.gr</t>
  </si>
  <si>
    <t>21ο ΔΗΜΟΤΙΚΟ ΣΧΟΛΕΙΟ ΑΧΑΡΝΩΝ</t>
  </si>
  <si>
    <t>mail@21dim-acharn.att.sch.gr</t>
  </si>
  <si>
    <t>ΠΛΑΤΑΙΩΝ 3</t>
  </si>
  <si>
    <t>23ο ΔΗΜΟΤΙΚΟ ΣΧΟΛΕΙΟ ΑΧΑΡΝΩΝ</t>
  </si>
  <si>
    <t>mail@23dim-acharn.att.sch.gr</t>
  </si>
  <si>
    <t>ΑΝΔΡΙΤΣΑΙΝΗΣ 15</t>
  </si>
  <si>
    <t>24ο ΟΛΟΗΜΕΡΟ ΔΗΜΟΤΙΚΟ ΣΧΟΛΕΙΟ ΑΧΑΡΝΩΝ</t>
  </si>
  <si>
    <t>mail@24dim-acharn.att.sch.gr</t>
  </si>
  <si>
    <t>ΚΡΗΝΗΣ 33</t>
  </si>
  <si>
    <t>2ο ΝΗΠΙΑΓΩΓΕΙΟ ΑΡΤΕΜΙΔΟΣ</t>
  </si>
  <si>
    <t>mail@2nip-artem.att.sch.gr</t>
  </si>
  <si>
    <t>ΑΓΙΟΥ ΙΩΑΝΝΟΥ ΚΑΙ ΑΝΔΡΟΥ  Υ</t>
  </si>
  <si>
    <t>4ο ΝΗΠΙΑΓΩΓΕΙΟ ΑΡΤΕΜΙΔΟΣ</t>
  </si>
  <si>
    <t>mail@4nip-artem.att.sch.gr</t>
  </si>
  <si>
    <t>ΑΝΔΡΟΥ ΚΑΙ ΕΙΡΗΝΗΣ 1</t>
  </si>
  <si>
    <t>ΔΗΜΟΤΙΚΟ ΣΧΟΛΕΙΟ ΒΑΡΥΜΠΟΜΠΗΣ</t>
  </si>
  <si>
    <t>mail@dim-varymp.att.sch.gr</t>
  </si>
  <si>
    <t>ΔΡΥΟΣ 8 ΚΑΙ ΑΚΑΚΙΑΣ</t>
  </si>
  <si>
    <t>28ο ΟΛΟΗΜΕΡΟ ΔΗΜΟΤΙΚΟ ΣΧΟΛΕΙΟ ΑΧΑΡΝΩΝ</t>
  </si>
  <si>
    <t>mail@dim-kapot.att.sch.gr</t>
  </si>
  <si>
    <t>Αχαρνές,</t>
  </si>
  <si>
    <t>ΟΙΚΙΣΜΟΣ ΚΑΠΟΤΑ</t>
  </si>
  <si>
    <t>2ο ΔΗΜΟΤΙΚΟ ΣΧΟΛΕΙΟ ΘΡΑΚΟΜΑΚΕΔΟΝΩΝ</t>
  </si>
  <si>
    <t>mail@2dim-thrak.att.sch.gr</t>
  </si>
  <si>
    <t>1ο ΕΙΔΙΚΟ ΔΗΜΟΤΙΚΟ ΣΧΟΛΕΙΟ ΑΧΑΡΝΩΝ</t>
  </si>
  <si>
    <t>mail@1dim-eid-acharn.att.sch.gr</t>
  </si>
  <si>
    <t>ΜΑΡΚ. ΑΥΓΕΡΗ ΚΑΙ Π. ΜΥΡΟΒΛΙΤΙΣΣΑΣ</t>
  </si>
  <si>
    <t>mail@17dim-acharn.att.sch.gr</t>
  </si>
  <si>
    <t>ΜΕΛΠΟΜΕΝΟΥ ΚΑΙ ΔΙΟΝΥΣΟΥ</t>
  </si>
  <si>
    <t>1ο ΔΗΜΟΤΙΚΟ ΣΧΟΛΕΙΟ ΑΓΙΟΥ ΣΤΕΦΑΝΟΥ</t>
  </si>
  <si>
    <t>mail@1dim-ag-stefan.att.sch.gr</t>
  </si>
  <si>
    <t>ΛΕΩΦ. ΛΙΜΝΗΣ ΜΑΡΑΘΩΝΟΣ 4</t>
  </si>
  <si>
    <t>mail@2dim-ag-stefan.att.sch.gr</t>
  </si>
  <si>
    <t>ʼγιος Στέφανος</t>
  </si>
  <si>
    <t>ΤΡΑΠΕΖΟΥΝΤΟΣ ΚΑΙ ΛΙΒΕΡΩΝ</t>
  </si>
  <si>
    <t>6ο ΝΗΠΙΑΓΩΓΕΙΟ ΓΕΡΑΚΑ</t>
  </si>
  <si>
    <t>mail@6nip-gerak.att.sch.gr</t>
  </si>
  <si>
    <t>Αισώπου και Νυμφών 46</t>
  </si>
  <si>
    <t>ΔΗΜΟΤΙΚΟ ΣΧΟΛΕΙΟ ΑΦΙΔΝΩΝ</t>
  </si>
  <si>
    <t>mail@dim-afidn.att.sch.gr</t>
  </si>
  <si>
    <t>ΑΦΙΔΝΕΣ</t>
  </si>
  <si>
    <t>ΑΝΔΡΟΥΤΣΟΥ 11</t>
  </si>
  <si>
    <t>ΔΗΜΟΤΙΚΟ ΣΧΟΛΕΙΟ ΒΑΡΝΑΒΑ</t>
  </si>
  <si>
    <t>mail@dim-varnav.att.sch.gr</t>
  </si>
  <si>
    <t>ΒΑΡΝΑΒΑΣ</t>
  </si>
  <si>
    <t>ΔΗΜΟΤΙΚΟΥ ΣΧΟΛΕΙΟΥ  2</t>
  </si>
  <si>
    <t>mail@2dim-dionys.att.sch.gr</t>
  </si>
  <si>
    <t>ΠΑΤΡΙΑΡΧΟΥ ΓΡΗΓΟΡΙΟΥ ΚΥΔΩΝΙΩΝ ΚΑΙ ΔΙΟΝΥΣΟΥ</t>
  </si>
  <si>
    <t>mail@dim-kalam.att.sch.gr</t>
  </si>
  <si>
    <t>ΚΑΛΑΜΟΣ- ΑΤΤΙΚΗΣ</t>
  </si>
  <si>
    <t>ΑΝΑΣΤΑΣΙΟΥ ΚΑΡΑΝΤΑΝΟΥ -ΚΑΛΑΜΟΣ</t>
  </si>
  <si>
    <t>mail@dim-kryon.att.sch.gr</t>
  </si>
  <si>
    <t>ΣΕΒΔΙΚΙΟΥ  18 και Υακίνθων</t>
  </si>
  <si>
    <t>2ο ΔΗΜΟΤΙΚΟ ΣΧΟΛΕΙΟ ΚΡΥΟΝΕΡΙΟΥ</t>
  </si>
  <si>
    <t>mail@2dim-kryon.att.sch.gr</t>
  </si>
  <si>
    <t>ΥΨΗΛΑΝΤΟΥ ΚΑΙ ΚΑΝΑΡΗ</t>
  </si>
  <si>
    <t>ΔΗΜΟΤΙΚΟ ΣΧΟΛΕΙΟ ΜΑΛΑΚΑΣΑΣ</t>
  </si>
  <si>
    <t>mail@dim-malakasas.att.sch.gr</t>
  </si>
  <si>
    <t>ΜΑΛΑΚΑΣΑ ΩΡΩΠΟΥ</t>
  </si>
  <si>
    <t>ΔΙΔΑΚΤΗΡΙΩΝ 9</t>
  </si>
  <si>
    <t>ΔΗΜΟΤΙΚΟ ΣΧΟΛΕΙΟ ΜΑΡΚΟΠΟΥΛΟΥ ΩΡΩΠΟΥ</t>
  </si>
  <si>
    <t>mail@dim-markop.att.sch.gr</t>
  </si>
  <si>
    <t>mail@dim-stamat.att.sch.gr</t>
  </si>
  <si>
    <t>25ης ΜΑΡΤΙΟΥ 1-3</t>
  </si>
  <si>
    <t>ΕΙΔΙΚΟ ΔΗΜΟΤΙΚΟ ΣΧΟΛΕΙΟ ΠΑΜΜΑΚΑΡΙΣΤΟΥ</t>
  </si>
  <si>
    <t>mail@1dim-eid-n-makris.att.sch.gr</t>
  </si>
  <si>
    <t>ΛΕΩΦΟΡΟΣ ΜΑΡΑΘΩΝΑ 1</t>
  </si>
  <si>
    <t>ΟΛΟΗΜΕΡΟ ΝΗΠΙΑΓΩΓΕΙΟ ΚΑΤΩ ΣΟΥΛΙΟΥ</t>
  </si>
  <si>
    <t>mail@nip-kat-souliou.att.sch.gr</t>
  </si>
  <si>
    <t>ΚΑΤΩ ΣΟΥΛΙΟΥ</t>
  </si>
  <si>
    <t>6/ΘΕΣΙΟ ΔΗΜΟΤΙΚΟ ΣΧΟΛΕΙΟ ΠΟΛΥΔΕΝΔΡΙΟΥ</t>
  </si>
  <si>
    <t>mail@dim-polyd.att.sch.gr</t>
  </si>
  <si>
    <t>ΠΟΛΥΔΕΝΔΡΙ</t>
  </si>
  <si>
    <t>12ο ΟΛΟΗΜΕΡΟ ΔΗΜΟΤΙΚΟ ΣΧΟΛΕΙΟ ΑΧΑΡΝΩΝ</t>
  </si>
  <si>
    <t>mail@12dim-acharn.att.sch.gr</t>
  </si>
  <si>
    <t>1ο ΟΛΟΗΜΕΡΟ ΝΗΠΙΑΓΩΓΕΙΟ ΡΑΦΗΝΑΣ</t>
  </si>
  <si>
    <t>mail@1nip-rafin.att.sch.gr</t>
  </si>
  <si>
    <t>ΧΡΥΣΟΣΤΟΜΟΥ ΣΜΥΡΝΗΣ-ΕΥΒΟΙΚΟΥ 1</t>
  </si>
  <si>
    <t>1ο ΝΗΠΙΑΓΩΓΕΙΟ ΜΑΡΚΟΠΟΥΛΟΥ</t>
  </si>
  <si>
    <t>mail@1nip-markop.att.sch.gr</t>
  </si>
  <si>
    <t>4ο ΝΗΠΙΑΓΩΓΕΙΟ ΡΑΦΗΝΑΣ</t>
  </si>
  <si>
    <t>mail@4nip-rafin.att.sch.gr</t>
  </si>
  <si>
    <t>ΧΡΥΣΟΣΤΟΜΟΥ ΣΜΥΡΝΗΣ ΚΑΙ  ΕΥΒΟΙΚΟΥ  1</t>
  </si>
  <si>
    <t>1ο ΝΗΠΙΑΓΩΓΕΙΟ ΛΑΥΡΙΟΥ</t>
  </si>
  <si>
    <t>mail@1nip-lavriou.att.sch.gr</t>
  </si>
  <si>
    <t>Π. ΚΟΚΟΡΕ</t>
  </si>
  <si>
    <t>mail@22dim-acharn.att.sch.gr</t>
  </si>
  <si>
    <t>ΣΠΑΡΤΗΣ ΚΑΙ ΜΗΤΡΟΜΑΡΑΣ</t>
  </si>
  <si>
    <t>2ο ΝΗΠΙΑΓΩΓΕΙΟ ΡΑΦΗΝΑΣ</t>
  </si>
  <si>
    <t>mail@2nip-rafin.att.sch.gr</t>
  </si>
  <si>
    <t>ΛΕΩΦΟΡΟΣ ΜΑΡΑΘΩΝΟΣ</t>
  </si>
  <si>
    <t>5ο  ΝΗΠΙΑΓΩΓΕΙΟ ΒΟΥΛΑΣ</t>
  </si>
  <si>
    <t>mail@5nip-voulas.att.sch.gr</t>
  </si>
  <si>
    <t>ΑΛΕΞΑΝΔΡΑΣ 1</t>
  </si>
  <si>
    <t>1ο ΟΛΟΗΜΕΡΟ ΝΗΠΙΑΓΩΓΕΙΟ ΜΑΡΑΘΩΝΑ</t>
  </si>
  <si>
    <t>mail@1nip-marath.att.sch.gr</t>
  </si>
  <si>
    <t>ΝΗΠΙΑΓΩΓΕΙΟ ΒΟΥΛΙΑΓΜΕΝΗΣ ΑΤΤΙΚΗΣ</t>
  </si>
  <si>
    <t>nip.vouliagmenis@gmail.com</t>
  </si>
  <si>
    <t>ΙΑΣΩΝΟΣ 6 &amp; Ορφέως</t>
  </si>
  <si>
    <t>2ο  ΝΗΠΙΑΓΩΓΕΙΟ ΒΑΡΗΣ</t>
  </si>
  <si>
    <t>mail@2nip-varis.att.sch.gr</t>
  </si>
  <si>
    <t>ΑΤΤΙΔΟΣ ΚΑΙ ΔΗΜΗΤΡΑΣ 19</t>
  </si>
  <si>
    <t>ΝΗΠΙΑΓΩΓΕΙΟ ΚΟΥΒΑΡΑ</t>
  </si>
  <si>
    <t>npkouvar@otenet.gr</t>
  </si>
  <si>
    <t>2ο ΝΗΠΙΑΓΩΓΕΙΟ ΜΑΡΑΘΩΝΑ</t>
  </si>
  <si>
    <t>mail@2nip-marath.att.sch.gr</t>
  </si>
  <si>
    <t>ΑΝΑΣΤ. ΧΡΥΣΙΝΑ 7</t>
  </si>
  <si>
    <t>1ο ΟΛΟΗΜΕΡΟ ΔΗΜΟΤΙΚΟ ΣΧΟΛΕΙΟ ΠΟΡΤΟ ΡΑΦΤΗ</t>
  </si>
  <si>
    <t>mail@dim-porto-rafti.att.sch.gr</t>
  </si>
  <si>
    <t>ΚΑΡΟΛΟΥ ΚΟΥΝ 1</t>
  </si>
  <si>
    <t>2ο ΝΗΠΙΑΓΩΓΕΙΟ ΓΛΥΚΩΝ ΝΕΡΩΝ</t>
  </si>
  <si>
    <t>mail@2nip-gl-neron.att.sch.gr</t>
  </si>
  <si>
    <t>ΤΡΙΦΥΛΛΙΑΣ ΚΑΙ ΑΡΓΟΣΤΟΛΙΟΥ</t>
  </si>
  <si>
    <t>mail@25dim-acharn.att.sch.gr</t>
  </si>
  <si>
    <t>ΔΗΜΟΤΙΚΟ ΣΧΟΛΕΙΟ ΩΡΩΠΟΥ</t>
  </si>
  <si>
    <t>dimoropo@sch.gr</t>
  </si>
  <si>
    <t>ΔΗΜΟΤΙΚΟΥ ΣΧΟΛΕΙΟΥ 10</t>
  </si>
  <si>
    <t>5ο ΔΗΜΟΤΙΚΟ ΣΧΟΛΕΙΟ ΠΑΙΑΝΙΑ</t>
  </si>
  <si>
    <t>5ο ΝΗΠΙΑΓΩΓΕΙΟ ΠΑΙΑΝΙΑΣ</t>
  </si>
  <si>
    <t>mail@5nip-paian.att.sch.gr</t>
  </si>
  <si>
    <t>Δημάρχου Ίωνα Βορρέ  1 (πρώην Διαδόχου Κωνσταντίνου)</t>
  </si>
  <si>
    <t>4ο ΝΗΠΙΑΓΩΓΕΙΟ ΜΑΡΚΟΠΟΥΛΟΥ</t>
  </si>
  <si>
    <t>mail@4nip-markop.att.sch.gr</t>
  </si>
  <si>
    <t>Γ.Μαμούρη &amp; 25ης Μαρτίου</t>
  </si>
  <si>
    <t>3ο ΝΗΠΙΑΓΩΓΕΙΟ ΠΟΡΤΟ ΡΑΦΤΗ</t>
  </si>
  <si>
    <t>mail@3nip-porto-rafti.att.sch.gr</t>
  </si>
  <si>
    <t>Καλύμνου 53</t>
  </si>
  <si>
    <t>3ο ΝΗΠΙΑΓΩΓΕΙΟ ΑΓ. ΣΤΕΦΑΝΟΥ</t>
  </si>
  <si>
    <t>mail@3nip-ag-stefan.att.sch.gr</t>
  </si>
  <si>
    <t>ΗΡΩΩΝ ΠΟΛΥΤΕΧΝΕΙΟΥ  2</t>
  </si>
  <si>
    <t>26ο ΔΗΜΟΤΙΚΟ ΣΧΟΛΕΙΟ ΑΧΑΡΝΩΝ</t>
  </si>
  <si>
    <t>mail@26dim-acharn.att.sch.gr</t>
  </si>
  <si>
    <t>ΙΩΑΝΝΗ ΜΕΛΙΣΣΑΝΙΔΗ &amp; ΦΑΝΗΣ ΧΑΛΚIΑ</t>
  </si>
  <si>
    <t>mail@2dim-skalas.att.sch.gr</t>
  </si>
  <si>
    <t>ΣΤΑΔΙΟΥ</t>
  </si>
  <si>
    <t>ΟΛΟΗΜΕΡΟ ΝΗΠΙΑΓΩΓΕΙΟ ΩΡΩΠΟΥ</t>
  </si>
  <si>
    <t>mail@nip-oropou.att.sch.gr</t>
  </si>
  <si>
    <t>Ν. ΠΑΡΟΥΣΗ Κ΄Α. ΣΥΓΓΡΟΥ</t>
  </si>
  <si>
    <t>28ο ΟΛΟΗΜΕΡΟ ΝΗΠΙΑΓΩΓΕΙΟ ΑΧΑΡΝΩΝ</t>
  </si>
  <si>
    <t>mail@28nip-acharn.att.sch.gr</t>
  </si>
  <si>
    <t>ΚΡΑΤΙΝΟΥ 3</t>
  </si>
  <si>
    <t>29ο  ΝΗΠΙΑΓΩΓΕΙΟ ΑΧΑΡΝΩΝ</t>
  </si>
  <si>
    <t>mail@29nip-acharn.att.sch.gr</t>
  </si>
  <si>
    <t>ΧΑΡ.  ΤΑΪΓΑΝΙΔΗ ΚΑΙ ΘΩΜΑ ΜΠΙΜΗ</t>
  </si>
  <si>
    <t>30ο ΝΗΠΙΑΓΩΓΕΙΟ ΑΧΑΡΝΩΝ</t>
  </si>
  <si>
    <t>mail@30nip-acharn.att.sch.gr</t>
  </si>
  <si>
    <t>ΝΙΚΟΛΑΟΥ ΚΑΚΛΑΜΑΝΑΚΗ 20</t>
  </si>
  <si>
    <t>31ο ΝΗΠΙΑΓΩΓΕΙΟ ΑΧΑΡΝΕΣ</t>
  </si>
  <si>
    <t>mail@31nip-acharn.att.sch.gr</t>
  </si>
  <si>
    <t>Κ.ΚΕΝΤΕΡΗ 8</t>
  </si>
  <si>
    <t>33ο ΟΛΟΗΜΕΡΟ ΝΗΠΙΑΓΩΓΕΙΟ ΑΧΑΡΝΩΝ</t>
  </si>
  <si>
    <t>mail@33nip-acharn.att.sch.gr</t>
  </si>
  <si>
    <t xml:space="preserve">ΑΧΑΡΝΩΝ </t>
  </si>
  <si>
    <t>ΜΗΤΡΟΜΑΡΑ 100</t>
  </si>
  <si>
    <t>34ο ΟΛΟΗΜΕΡΟ ΝΗΠΙΑΓΩΓΕΙΟ ΑΧΑΡΝΩΝ</t>
  </si>
  <si>
    <t>mail@34nip-acharn.att.sch.gr</t>
  </si>
  <si>
    <t>ΔΑΝΙΗΛ ΒΡΕΤΤΟΥ 3 A</t>
  </si>
  <si>
    <t>mail@27dim-acharn.att.sch.gr</t>
  </si>
  <si>
    <t>ΚΑΧΙ ΚΑΚΙΑΣΒΙΛΙ 6</t>
  </si>
  <si>
    <t>29ο ΔΗΜΟΤΙΚΟ ΣΧΟΛΕΙΟ ΑΧΑΡΝΩΝ</t>
  </si>
  <si>
    <t>29dim@ovs.gr</t>
  </si>
  <si>
    <t>ΟΛΥΜΠΙΑΚΟ ΧΩΡΙΟ</t>
  </si>
  <si>
    <t>ΙΩΑΝΝΗ ΜΕΛΙΣΣΑΝΙΔΗ ΚΑΙ ΦΑΝΗΣ ΧΑΛΚΙΑ</t>
  </si>
  <si>
    <t>30ο ΟΛΟΗΜΕΡΟ ΔΗΜΟΤΙΚΟ ΣΧΟΛΕΙΟ ΑΧΑΡΝΩΝ</t>
  </si>
  <si>
    <t>mail@30dim-acharn.att.sch.gr</t>
  </si>
  <si>
    <t>ΚΑΧΙ ΚΑΧΙΑΣΒΙΛΙ 6</t>
  </si>
  <si>
    <t>ΟΛΟΗΜΕΡΟ ΔΗΜΟΤΙΚΟ ΣΧΟΛΕΙΟ ΑΓΙΩΝ ΑΠΟΣΤΟΛΩΝ</t>
  </si>
  <si>
    <t>mail@dim-ag-apost.att.sch.gr</t>
  </si>
  <si>
    <t>ΑΓΙΟΙ  ΑΠΟΣΤΟΛΟΙ, ΚΑΛΑΜΟΥ</t>
  </si>
  <si>
    <t>ΑΓΙΟΙ ΑΠΟΣΤΟΛΟΙ, AΓΙΟΙ ΑΠΟΣΤΟΛΟΙ, ΑΤΤΙΚΗΣ</t>
  </si>
  <si>
    <t>mail@dim-rodop.att.sch.gr</t>
  </si>
  <si>
    <t>ΡΟΔΟΠΟΛΗ</t>
  </si>
  <si>
    <t>ΚΟΛΟΚΟΤΡΩΝΗ 12</t>
  </si>
  <si>
    <t>2ο ΝΗΠΙΑΓΩΓΕΙΟ ΣΑΡΩΝΙΔΑΣ</t>
  </si>
  <si>
    <t>mail@2nip-saron.att.sch.gr</t>
  </si>
  <si>
    <t>ΛΕΩΦ. ΣΑΡΩΝΙΔΑΣ 16</t>
  </si>
  <si>
    <t>5o ΝΗΠΙΑΓΩΓΕΙΟ ΚΟΡΩΠΙΟΥ</t>
  </si>
  <si>
    <t>mail@5nip-korop.att.sch.gr</t>
  </si>
  <si>
    <t>Αγ.Παρασκευής 48</t>
  </si>
  <si>
    <t>5ο  ΝΗΠΙΑΓΩΓΕΙΟ ΑΡΤΕΜΙΔΟΣ</t>
  </si>
  <si>
    <t>mail@5nip-artem.att.sch.gr</t>
  </si>
  <si>
    <t>ΑΡΚΑΔΙΑΣ 7</t>
  </si>
  <si>
    <t>7ο  ΝΗΠΙΑΓΩΓΕΙΟ ΓΕΡΑΚΑ</t>
  </si>
  <si>
    <t>mail@7nip-gerak.att.sch.gr</t>
  </si>
  <si>
    <t>ΑΜΦΙΛΟΧΙΑΣ</t>
  </si>
  <si>
    <t>8ο  ΝΗΠΙΑΓΩΓΕΙΟ ΓΕΡΑΚΑ</t>
  </si>
  <si>
    <t>mail@8nip-gerak.att.sch.gr</t>
  </si>
  <si>
    <t>ΑΡΓΟΣΤΟΛΙΟΥ 2</t>
  </si>
  <si>
    <t>ΝΗΠΙΑΓΩΓΕΙΟ ΓΡΑΜΜΑΤΙΚΟΥ ΑΤΤΙΚΗΣ</t>
  </si>
  <si>
    <t>mail@nip-gramm.att.sch.gr</t>
  </si>
  <si>
    <t>28ΗΣ ΟΚΤΩΒΡΙΟΥ 15</t>
  </si>
  <si>
    <t>3ο ΝΗΠΙΑΓΩΓΕΙΟ ΜΑΡΑΘΩΝΑ</t>
  </si>
  <si>
    <t>mail@3nip-marath.att.sch.gr</t>
  </si>
  <si>
    <t>ΑΝΑΣΤΑΣΙΟΥ ΧΡΥΣΙΝΑ  7</t>
  </si>
  <si>
    <t>3ο ΝΗΠΙΑΓΩΓΕΙΟ ΝΕΑΣ ΜΑΚΡΗΣ</t>
  </si>
  <si>
    <t>mail@3nip-n-makris.att.sch.gr</t>
  </si>
  <si>
    <t>ΕΜΜΕΗ  13</t>
  </si>
  <si>
    <t>9ο ΝΗΠΙΑΓΩΓΕΙΟ ΠΑΛΛΗΝΗΣ</t>
  </si>
  <si>
    <t>mail@9nip-pallin.att.sch.gr</t>
  </si>
  <si>
    <t>ΚΑΤΩ  ΒΑΚΑΛΟΠΟΥΛΟ-   ΠΑΛΛΗΝΗ</t>
  </si>
  <si>
    <t>ΚΩΣΤΑ ΒΑΡΝΑΛΗ</t>
  </si>
  <si>
    <t>4ο ΝΗΠΙΑΓΩΓΕΙΟ ΣΠΑΤΩΝ</t>
  </si>
  <si>
    <t>mail@4nip-spaton.att.sch.gr</t>
  </si>
  <si>
    <t>ΑΝΑΣΤΑΣΕΩΣ ΧΡΙΣΤΟΥ 7</t>
  </si>
  <si>
    <t>6ο  ΔΗΜΟΤΙΚΟ ΣΧΟΛΕΙΟ ΑΡΤΕΜΙΔΟΣ</t>
  </si>
  <si>
    <t>mail@6dim-artem.att.sch.gr</t>
  </si>
  <si>
    <t>7ο ΔΗΜΟΤΙΚΟ ΣΧΟΛΕΙΟ ΑΡΤΕΜΙΔΑΣ</t>
  </si>
  <si>
    <t>mail@7dim-artem.att.sch.gr</t>
  </si>
  <si>
    <t>ΤΗΝΟΥ ΚΑΙ ΚΑΛΛΙΠΟΛΕΩΣ</t>
  </si>
  <si>
    <t>6ο ΔΗΜΟΤΙΚΟ ΣΧΟΛΕΙΟ ΓΕΡΑΚΑ</t>
  </si>
  <si>
    <t>mail@6dim-gerak.att.sch.gr</t>
  </si>
  <si>
    <t>ΚΟΡΟΜΗΛΑ 17</t>
  </si>
  <si>
    <t>4ο ΔΗΜΟΤΙΚΟ ΣΧΟΛΕΙΟ ΚΑΛΥΒΙΩΝ</t>
  </si>
  <si>
    <t>mail@4dim-kalyv.att.sch.gr</t>
  </si>
  <si>
    <t>ΛΑΓΟΝΗΣΙ-ΚΑΛΥΒΙΑ</t>
  </si>
  <si>
    <t>ΜΕΣΣΑΡΙΑΣ ΚΑΙ  ΚΥΠΡΟΥ</t>
  </si>
  <si>
    <t>ΕΙΔΙΚΟ ΔΗΜΟΤΙΚΟ ΣΧΟΛΕΙΟ ΛΑΥΡΙΟΥ</t>
  </si>
  <si>
    <t>mail@dim-eid-lavriou.att.sch.gr</t>
  </si>
  <si>
    <t>ΣΤΡΑΒΩΝΟΣ ΚΑΙ ΑΝΩΝΥΜΩΝ</t>
  </si>
  <si>
    <t>ΕΙΔΙΚΟ ΝΗΠΙΑΓΩΓΕΙΟ ΛΑΥΡΙΟΥ</t>
  </si>
  <si>
    <t>eidikonipiagogeiolavrio@gmail.com</t>
  </si>
  <si>
    <t>ΣΤΡΑΒΩΝΟΣ &amp; ΑΝΩΝΥΜΩΝ</t>
  </si>
  <si>
    <t>ΕΙΔΙΚΟ ΝΗΠΙΑΓΩΓΕΙΟ ΝΤΑΟΥ ΠΕΝΤΕΛΗΣ- ΡΑΦΗΝΑ</t>
  </si>
  <si>
    <t>mail@nip-eid-pentel.att.sch.gr</t>
  </si>
  <si>
    <t>ΝΤΑΟΥ ΠΕΝΤΕΛΗΣ- ΡΑΦΗΝΑ</t>
  </si>
  <si>
    <t>ΑΝΔΡΕΑ ΠΑΠΑΝΔΡΕΟΥ</t>
  </si>
  <si>
    <t>ΕΙΔΙΚΟ ΔΗΜΟΤΙΚΟ ΣΧΟΛΕΙΟ ΩΡΩΠΟΥ</t>
  </si>
  <si>
    <t>mail@dim-eid-oropou.att.sch.gr</t>
  </si>
  <si>
    <t>ΣΩΚΡΑΤΟΥΣ  9</t>
  </si>
  <si>
    <t>4ο  ΔΗΜΟΤΙΚΟ ΣΧΟΛΕΙΟ ΜΑΡΚΟΠΟΥΛΟΥ</t>
  </si>
  <si>
    <t>mail@4dim-markop.att.sch.gr</t>
  </si>
  <si>
    <t>ΑΝΑΞΑΓΟΡΑ ΚΑΙ  ΑΙΣΧΥΛΟΥ</t>
  </si>
  <si>
    <t>7ο ΔΗΜΟΤΙΚΟ ΣΧΟΛΕΙΟ ΓΕΡΑΚΑ</t>
  </si>
  <si>
    <t>mail@7dim-gerak.att.sch.gr</t>
  </si>
  <si>
    <t>Νυμφών 46 Β</t>
  </si>
  <si>
    <t>6ο ΝΗΠΙΑΓΩΓΕΙΟ ΑΡΤΕΜΙΔΟΣ</t>
  </si>
  <si>
    <t>mail@6nip-artem.att.sch.gr</t>
  </si>
  <si>
    <t>ΑΡΚΑΔΙΑΣ ΚΑΙ ΙΩΑΝΝΙΝΩΝ ΑΡΤΕΜΙΔΑ</t>
  </si>
  <si>
    <t>ΑΡΚΑΔΙΑΣ ΚΑΙ ΙΩΑΝΝΙΝΩΝ</t>
  </si>
  <si>
    <t>2ο ΟΛΟΗΜΕΡΟ ΝΗΠΙΑΓΩΓΕΙΟ ΠΙΚΕΡΜΙΟΥ</t>
  </si>
  <si>
    <t>mail@2nip-pikerm.att.sch.gr</t>
  </si>
  <si>
    <t>2ο ΔΗΜΟΤΙΚΟ ΣΧΟΛΕΙΟ ΠΙΚΕΡΜΙΟΥ</t>
  </si>
  <si>
    <t>mail@2dim-pikerm.att.sch.gr</t>
  </si>
  <si>
    <t>Πικέρμι,</t>
  </si>
  <si>
    <t>7ο ΝΗΠΙΑΓΩΓΕΙΟ ΑΡΤΕΜΙΔΑΣ</t>
  </si>
  <si>
    <t>mail@7nip-artem.att.sch.gr</t>
  </si>
  <si>
    <t>ΑΓΙΟΥ ΚΩΝΣΤΑΝΤΙΝΟΥ ΚΑΙ ΕΛΕΝΗΣ ΚΑΙ ΑΛΕΞΑΝΔΡΑΣ</t>
  </si>
  <si>
    <t>4ο ΝΗΠΙΑΓΩΓΕΙΟ ΓΛΥΚΩΝ ΝΕΡΩΝ</t>
  </si>
  <si>
    <t>mail@4nip-gl-neron.att.sch.gr</t>
  </si>
  <si>
    <t>Χρυσανθέμων 9</t>
  </si>
  <si>
    <t>4ο ΝΗΠΙΑΓΩΓΕΙΟ ΝΕΑΣ ΜΑΚΡΗΣ</t>
  </si>
  <si>
    <t>mail@4nip-n-makris.att.sch.gr</t>
  </si>
  <si>
    <t>ΑΓ. ΑΝΔΡΕΑΣ Ν. ΜΑΚΡΗ</t>
  </si>
  <si>
    <t>Ε΄ ΠΑΙΔΙΚΗ ΕΞΟΧΗ ΠΟΣΕΙΔΩΝΟΣ 33</t>
  </si>
  <si>
    <t>2ο ΝΗΠΙΑΓΩΓΕΙΟ ΔΡΟΣΙΑΣ</t>
  </si>
  <si>
    <t>mail@2nip-drosias.att.sch.gr</t>
  </si>
  <si>
    <t>2ο ΝΗΠΙΑΓΩΓΕΙΟ ΚΑΠΑΝΔΡΙΤΙΟΥ</t>
  </si>
  <si>
    <t>mail@2nip-kapandr.att.sch.gr</t>
  </si>
  <si>
    <t>ΑΓΑΘΑΓΓΕΛΟΥ ΤΣΕΜΠΕΡΛΙΔΗ</t>
  </si>
  <si>
    <t>mail@2dim-anavyss.att.sch.gr</t>
  </si>
  <si>
    <t>ΠΥΡΙΧΟΥ ΚΑΙ ΡΟΥΜΕΛΗΣ</t>
  </si>
  <si>
    <t>5ο ΔΗΜΟΤΙΚΟ ΣΧΟΛΕΙΟ ΒΟΥΛΑ</t>
  </si>
  <si>
    <t>mail@4dim-kerat.att.sch.gr</t>
  </si>
  <si>
    <t>ΣΠΥΡΟΥ ΜΥΡΙΛΑ 2</t>
  </si>
  <si>
    <t>5ο ΔΗΜΟΤΙΚΟ ΣΧΟΛΕΙΟ ΚΟΡΩΠΙΟΥ</t>
  </si>
  <si>
    <t>mail@5dim-korop.att.sch.gr</t>
  </si>
  <si>
    <t>Κ. Δ. ΘΕΟΔΟΣΙΟΥ 10 &amp; ΑΦΡΟΔΙΤΗΣ</t>
  </si>
  <si>
    <t>3ο ΔΗΜΟΤΙΚΟ ΣΧΟΛΕΙΟ ΠΟΡΤΟ ΡΑΦΤΗ</t>
  </si>
  <si>
    <t>mail@3dim-porto-raft.att.sch.gr</t>
  </si>
  <si>
    <t>ΚΑΡΟΛΟΥ ΚΟΥΝ 3</t>
  </si>
  <si>
    <t>6ο ΝΗΠΙΑΓΩΓΕΙΟ ΒΟΥΛΑΣ</t>
  </si>
  <si>
    <t>mail@6nip-voulas.att.sch.gr</t>
  </si>
  <si>
    <t>ΠΑΓΚΑΛΟΥ 1 ΚΑΙ ΠΟΣΕΙΔΩΝΟΣ</t>
  </si>
  <si>
    <t>4ο ΟΛΟΗΜΕΡΟ ΝΗΠΙΑΓΩΓΕΙΟ ΚΕΡΑΤΕΑΣ</t>
  </si>
  <si>
    <t>mail@4nip-kerat.att.sch.gr</t>
  </si>
  <si>
    <t>ΚΩΝΣΤΑΝΤΙΝΟΥ ΒΑΡΝΑΛΗ 10</t>
  </si>
  <si>
    <t>2ο ΝΗΠΙΑΓΩΓΕΙΟ ΚΙΤΣΙΟΥ</t>
  </si>
  <si>
    <t>mail@2nip-kitsiou.att.sch.gr</t>
  </si>
  <si>
    <t>Μ. ΑΛΕΞΑΝΔΡΟΥ 8</t>
  </si>
  <si>
    <t>4ο ΝΗΠΙΑΓΩΓΕΙΟ ΠΟΡΤΟ ΡΑΦΤΗ</t>
  </si>
  <si>
    <t>xatzikidou@gmail.com</t>
  </si>
  <si>
    <t>ΚΑΛΥΜΝΟΥ 53</t>
  </si>
  <si>
    <t>3ο ΝΗΠΙΑΓΩΓΕΙΟ ΘΡΑΚΟΜΑΚΕΔΟΝΩΝ</t>
  </si>
  <si>
    <t>mail@3nip-thrak.att.sch.gr</t>
  </si>
  <si>
    <t>ΗΦΑΙΣΤΙΩΝΟΣ &amp; ΑΡΙΣΤΟΤΕΛΟΥΣ</t>
  </si>
  <si>
    <t>35ο ΝΗΠΙΑΓΩΓΕΙΟ ΑΧΑΡΝΩΝ</t>
  </si>
  <si>
    <t>mail@35nip-acharn.att.sch.gr</t>
  </si>
  <si>
    <t>36ο ΝΗΠΙΑΓΩΓΕΙΟ ΑΧΑΡΝΩΝ</t>
  </si>
  <si>
    <t>mail@36nip-acharn.att.sch.gr</t>
  </si>
  <si>
    <t>Ανδριτσαινης 15 Αυλίζα</t>
  </si>
  <si>
    <t>37ο ΝΗΠΙΑΓΩΓΕΙΟ ΑΧΑΡΝΩΝ</t>
  </si>
  <si>
    <t>ΟΔΟΣ</t>
  </si>
  <si>
    <t>38ο ΝΗΠΙΑΓΩΓΕΙΟ ΑΧΑΡΝΩΝ</t>
  </si>
  <si>
    <t>5ο ΝΗΠΙΑΓΩΓΕΙΟ ΜΑΡΚΟΠΟΥΛΟΥ</t>
  </si>
  <si>
    <t>mail@5nip-markop.att.sch.gr</t>
  </si>
  <si>
    <t>Β.ΠΕΤΟΥΡΗ  17</t>
  </si>
  <si>
    <t>6ο ΝΗΠΙΑΓΩΓΕΙΟ ΚΟΡΩΠΙΟΥ</t>
  </si>
  <si>
    <t>mail@6nip-korop.att.sch.gr</t>
  </si>
  <si>
    <t>Δημ. Χριστοδούλου 3</t>
  </si>
  <si>
    <t>3ο ΝΗΠΙΑΓΩΓΕΙΟ ΑΝΑΒΥΣΣΟΥ</t>
  </si>
  <si>
    <t>mail@3nip-anavyss.att.sch.gr</t>
  </si>
  <si>
    <t>ΠΥΡΡΙΧΟΥ-ΘΕΣΗ ΛΑΚΚΑ 20</t>
  </si>
  <si>
    <t>10ο ΝΗΠΙΑΓΩΓΕΙΟ ΓΕΡΑΚΑ</t>
  </si>
  <si>
    <t>mail@10nip-gerak.att.sch.gr</t>
  </si>
  <si>
    <t>Αγίου Ιωάννη Θεολόγου &amp; Αγ. Λαύρας</t>
  </si>
  <si>
    <t>3ο ΟΛΟΗΜΕΡΟ ΝΗΠΙΑΓΩΓΕΙΟ ΚΡΥΟΝΕΡΙΟΥ</t>
  </si>
  <si>
    <t>mail@3nip-kryon.att.sch.gr</t>
  </si>
  <si>
    <t>ΠΛΑΤΕΙΑ ΜΙΚΡΑΣ ΑΣΙΑΣ  49</t>
  </si>
  <si>
    <t>3ο ΝΗΠΙΑΓΩΓΕΙΟ ΔΙΟΝΥΣΟΥ</t>
  </si>
  <si>
    <t>4ο ΝΗΠΙΑΓΩΓΕΙΟ ΑΓΙΟΥ ΣΤΕΦΑΝΟΥ</t>
  </si>
  <si>
    <t>mail@4nip-ag-stefan.att.sch.gr</t>
  </si>
  <si>
    <t>9ο ΝΗΠΙΑΓΩΓΕΙΟ ΓΕΡΑΚΑ</t>
  </si>
  <si>
    <t>mail@9nip-gerak.att.sch.gr</t>
  </si>
  <si>
    <t>EΛΑΙΔΟΣ ΚΑΙ  ΜΥΡΤΙΑΣ</t>
  </si>
  <si>
    <t>5ο ΝΗΠΙΑΓΩΓΕΙΟ ΓΛΥΚΩΝ ΝΕΡΩΝ</t>
  </si>
  <si>
    <t>5ο ΝΗΠΙΑΓΩΓΕΙΟ ΣΠΑΤΩΝ</t>
  </si>
  <si>
    <t>mail@5nip-spaton.att.sch.gr</t>
  </si>
  <si>
    <t>ΑΝΑΣΤΑΣΕΩΣ ΧΡΙΣΤΟΥ 9</t>
  </si>
  <si>
    <t>ΑΓΙΟΥ ΔΗΜΗΤΡΙΟΥ 6</t>
  </si>
  <si>
    <t>3dimdionys@sch.gr</t>
  </si>
  <si>
    <t>ΛΕΩΦ. ΣΤΑΜΑΤΑΣ 25A,</t>
  </si>
  <si>
    <t>ΑΓΙΑ ΤΡΙΑΔΑ</t>
  </si>
  <si>
    <t>4ο ΔΗΜΟΤΙΚΟ ΣΧΟΛΕΙΟ ΣΠΑΤΑ</t>
  </si>
  <si>
    <t>mail@4dim-rafin.att.sch.gr</t>
  </si>
  <si>
    <t>ΣΤΡΑΤΟΥ ΑΝΤΩΝΙΑΔΗ</t>
  </si>
  <si>
    <t>Αρτέμιδα</t>
  </si>
  <si>
    <t>8ο ΔΗΜΟΤΙΚΟ ΣΧΟΛΕΙΟ ΓΕΡΑΚΑ</t>
  </si>
  <si>
    <t>mail@8dim-gerak.att.sch.gr</t>
  </si>
  <si>
    <t>ΝΑΥΑΡΙΝΟΥ 43</t>
  </si>
  <si>
    <t>31ο ΔΗΜΟΤΙΚΟ ΣΧΟΛΕΙΟ ΑΧΑΡΝΩΝ</t>
  </si>
  <si>
    <t>4ο ΔΗΜΟΤΙΚΟ ΣΧΟΛΕΙΟ ΔΙΟΝΥΣΟΥ</t>
  </si>
  <si>
    <t>mail@4dim-dionys.att.sch.gr</t>
  </si>
  <si>
    <t>ΝΑΠΟΛΕΟΝΤΟΣ ΖΕΡΒΑ 4</t>
  </si>
  <si>
    <t>11ο ΝΗΠΙΑΓΩΓΕΙΟ ΓΕΡΑΚΑ</t>
  </si>
  <si>
    <t>mail@11nip-gerak.att.sch.gr</t>
  </si>
  <si>
    <t>ΝΙΚΗΤΑΡΑ ΚΑΙ ΝΑΥΑΡΙΝΟΥ</t>
  </si>
  <si>
    <t>8ο ΝΗΠΙΑΓΩΓΕΙΟ ΑΡΤΕΜΙΔΑΣ</t>
  </si>
  <si>
    <t>mail@8nip-artem.att.sch.gr</t>
  </si>
  <si>
    <t>Ιωάννου Προδρόμου &amp; Αρκαδίας</t>
  </si>
  <si>
    <t>12ο ΝΗΠΙΑΓΩΓΕΙΟ ΓΕΡΑΚΑ</t>
  </si>
  <si>
    <t>7ο ΝΗΠΙΑΓΩΓΕΙΟ ΚΟΡΩΠΙΟΥ</t>
  </si>
  <si>
    <t>mail@7nip-korop.att.sch.gr</t>
  </si>
  <si>
    <t>ΖΑΛΟΓΓΟΥ 9</t>
  </si>
  <si>
    <t>Ειδικό Νηπιαγωγείο Νέας Μάκρης Παμμακαρίστου</t>
  </si>
  <si>
    <t>mail@nip-eid-n-makris.att.sch.gr</t>
  </si>
  <si>
    <t>Ν. ΜΑΚΡΗ</t>
  </si>
  <si>
    <t>Λ. ΜΑΡΑΘΩΝΟΣ &amp; ΑΓΙΑΣ ΠΑΡΑΣΚΕΥΗΣ</t>
  </si>
  <si>
    <t>ΜΑΡΑΘΩΝΟΣ  1</t>
  </si>
  <si>
    <t>Ειδικό Νηπιαγωγείο Ωρωπού</t>
  </si>
  <si>
    <t>7ο ΝΗΠΙΑΓΩΓΕΙΟ ΒΟΥΛΑΣ</t>
  </si>
  <si>
    <t>39ο ΝΗΠΙΑΓΩΓΕΙΟ ΑΧΑΡΝΩΝ</t>
  </si>
  <si>
    <t>40ο ΝΗΠΙΑΓΩΓΕΙΟ ΑΧΑΡΝΩΝ</t>
  </si>
  <si>
    <t>5ο ΝΗΠΙΑΓΩΓΕΙΟ ΝΕΑΣ ΜΑΚΡΗΣ</t>
  </si>
  <si>
    <t>13ο ΝΗΠΙΑΓΩΓΕΙΟ ΓΕΡΑΚΑ</t>
  </si>
  <si>
    <t>ΔΙΕΥΘΥΝΣΗ Π.Ε. Β΄ ΑΘΗΝΑΣ</t>
  </si>
  <si>
    <t>ΕΙΔΙΚΟ ΝΗΠΙΑΓΩΓΕΙΟ ΗΡΑΚΛΕΙΟΥ ΑΤΤΙΚΗΣ</t>
  </si>
  <si>
    <t>mail@nip-eid-n-irakl.att.sch.gr</t>
  </si>
  <si>
    <t>ΗΡΑΚΛΕΙΟΥ ΑΤΤΙΚΗΣ</t>
  </si>
  <si>
    <t>ΣΑΝΤΟΡΙΝΗΣ 4 &amp; ΑΝΑΦΗΣ</t>
  </si>
  <si>
    <t>1ο ΝΗΠΙΑΓΩΓΕΙΟ ΒΡΙΛΗΣΣΙΩΝ</t>
  </si>
  <si>
    <t>mail@1nip-vriliss.att.sch.gr</t>
  </si>
  <si>
    <t>ΓΡΑΜΜΟΥ 5</t>
  </si>
  <si>
    <t>1ο ΝΗΠΙΑΓΩΓΕΙΟ ΠΑΛΑΙΟΥ ΨΥΧΙΚΟΥ</t>
  </si>
  <si>
    <t>1nippsychikou@gmail.com</t>
  </si>
  <si>
    <t>ΠΑΛΑΙΟΥ ΨΥΧΙΚΟΥ</t>
  </si>
  <si>
    <t>ΚΡΙΝΩΝ 6</t>
  </si>
  <si>
    <t>4ο ΝΗΠΙΑΓΩΓΕΙΟ ΝΕΟΥ ΨΥΧΙΚΟΥ</t>
  </si>
  <si>
    <t>mail@4nip-n-psych.att.sch.gr</t>
  </si>
  <si>
    <t>ΚΑΡΑΘΕΟΔΩΡΗ ΚΑΙ ΟΥΡΑΝΗ 16</t>
  </si>
  <si>
    <t>10ο ΝΗΠΙΑΓΩΓΕΙΟ ΧΑΛΑΝΔΡΙΟΥ</t>
  </si>
  <si>
    <t>mail@10nip-chalandr.att.sch.gr</t>
  </si>
  <si>
    <t>Σαλαμίνος και Αριστοφάνους</t>
  </si>
  <si>
    <t>5ο  ΝΗΠΙΑΓΩΓΕΙΟ ΒΡΙΛΗΣΣΙΩΝ</t>
  </si>
  <si>
    <t>mail@5nip-vriliss.att.sch.gr</t>
  </si>
  <si>
    <t>ΕΙΚΟΣΤΗΣ ΠΕΜΠΤΗΣ ΜΑΡΤΙΟΥ ΚΑΙ ΜΑΚΕΔΟΝΙΑΣ</t>
  </si>
  <si>
    <t>3ο ΝΗΠΙΑΓΩΓΕΙΟ ΑΓΙΑΣ ΠΑΡΑΣΚΕΥΗΣ - ΧΕΛΜΕΙΟ</t>
  </si>
  <si>
    <t>mail@3nip-ag-parask.att.sch.gr</t>
  </si>
  <si>
    <t>ΑΓΙΑ ΠΑΡΑΣΚΕΥΗ  ΑΤΤΙΚΗΣ</t>
  </si>
  <si>
    <t>ΨΑΡΡΩΝ 11</t>
  </si>
  <si>
    <t>9ο ΝΗΠΙΑΓΩΓΕΙΟ ΧΑΛΑΝΔΡΙΟΥ</t>
  </si>
  <si>
    <t>mail@9nip-chalandr.att.sch.gr</t>
  </si>
  <si>
    <t>ΚΡΗΤΗΣ 24</t>
  </si>
  <si>
    <t>7ο ΝΗΠΙΑΓΩΓΕΙΟ ΧΑΛΑΝΔΡΙΟΥ</t>
  </si>
  <si>
    <t>mail@7nip-chalandr.att.sch.gr</t>
  </si>
  <si>
    <t>mail@4dim-amarous.att.sch.gr</t>
  </si>
  <si>
    <t>ΣΩΡΟΥ 72</t>
  </si>
  <si>
    <t>1ο ΝΗΠΙΑΓΩΓΕΙΟ ΑΜΑΡΟΥΣΙΟΥ</t>
  </si>
  <si>
    <t>mail@1nip-amarous.att.sch.gr</t>
  </si>
  <si>
    <t>ΝΕΑΠΟΛΕΩΣ 67</t>
  </si>
  <si>
    <t>mail@5dim-amarous.att.sch.gr</t>
  </si>
  <si>
    <t>ΑΜΑΡΥΣΙΑΣ ΑΡΤΕΜΙΔΑΣ 15</t>
  </si>
  <si>
    <t>16ο ΔΗΜΟΤΙΚΟ ΣΧΟΛΕΙΟ ΑΜΑΡΟΥΣΙΟΥ</t>
  </si>
  <si>
    <t>mail@16dim-amarous.att.sch.gr</t>
  </si>
  <si>
    <t>Μ. ΑΛΕΞΑΝΔΡΟΥ 44</t>
  </si>
  <si>
    <t>mail@3dim-amarous.att.sch.gr</t>
  </si>
  <si>
    <t>ΦΛΟΙΑΣ 33</t>
  </si>
  <si>
    <t>7ο ΝΗΠΙΑΓΩΓΕΙΟ ΑΜΑΡΟΥΣΙΟΥ</t>
  </si>
  <si>
    <t>mail@7nip-amarous.att.sch.gr</t>
  </si>
  <si>
    <t>ΣΤΡ. ΠΑΠΑΓΟΥ 55</t>
  </si>
  <si>
    <t>19ο ΝΗΠΙΑΓΩΓΕΙΟ ΑΜΑΡΟΥΣΙΟΥ</t>
  </si>
  <si>
    <t>mail@19nip-amarous.att.sch.gr</t>
  </si>
  <si>
    <t>ΚΑΡΑΟΛΗ ΔΗΜΗΤΡΙΟΥ 1</t>
  </si>
  <si>
    <t>9ο ΝΗΠΙΑΓΩΓΕΙΟ ΑΓΙΑΣ ΠΑΡΑΣΚΕΥΗΣ</t>
  </si>
  <si>
    <t>mail@9nip-ag-parask.att.sch.gr</t>
  </si>
  <si>
    <t>ΕΥΑΓΓΕΛΙΣΤΡΙΑΣ 11A</t>
  </si>
  <si>
    <t>ΕΚΑΛΗΣ</t>
  </si>
  <si>
    <t>ΝΗΠΙΑΓΩΓΕΙΟ ΕΚΑΛΗΣ</t>
  </si>
  <si>
    <t>mail@nip-ekalis.att.sch.gr</t>
  </si>
  <si>
    <t>ΜΑΡΓΑΡΙΤΑΣ  9 ΚΑΙ ΡΟΔΩΝ</t>
  </si>
  <si>
    <t>2ο ΔΗΜΟΤΙΚΟ ΣΧΟΛΕΙΟ ΜΕΛΙΣΣΙΩΝ</t>
  </si>
  <si>
    <t>mail@2dim-meliss.att.sch.gr</t>
  </si>
  <si>
    <t>17ης  ΝΟΕΜΒΡΗ 9 &amp; ΡΟΔΩΝΗΣ</t>
  </si>
  <si>
    <t>mail@7dim-amarous.att.sch.gr</t>
  </si>
  <si>
    <t>ΠΑΤΜΟΥ 3</t>
  </si>
  <si>
    <t>13ο ΔΗΜΟΤΙΚΟ ΣΧΟΛΕΙΟ ΑΜΑΡΟΥΣΙΟΥ</t>
  </si>
  <si>
    <t>mail@13dim-amarous.att.sch.gr</t>
  </si>
  <si>
    <t>ΔΗΜΗΤΡΙΟΥ ΨΑΡΡΟΥ ΚΑΙ ΒΑΛΤΕΤΣΙΟΥ 12</t>
  </si>
  <si>
    <t>mail@3dim-meliss.att.sch.gr</t>
  </si>
  <si>
    <t>ΑΓ. ΕΙΡΗΝΗΣ 4</t>
  </si>
  <si>
    <t>mail@6dim-amarous.att.sch.gr</t>
  </si>
  <si>
    <t>ΚΑΡΑΟΛΗ  ΚΑΙ ΔΗΜΗΤΡΙΟΥ  1</t>
  </si>
  <si>
    <t>4ο ΔΗΜΟΤΙΚΟ ΣΧΟΛΕΙΟ ΜΕΤΑΜΟΡΦΩΣΗΣ</t>
  </si>
  <si>
    <t>mail@4dim-metam.att.sch.gr</t>
  </si>
  <si>
    <t>Μεταμόρφωση Αττικής</t>
  </si>
  <si>
    <t>ΑΘΗΝΑΣ ΚΑΙ ΑΥΛΩΝΟΣ</t>
  </si>
  <si>
    <t>14ο ΔΗΜΟΤΙΚΟ ΣΧΟΛΕΙΟ ΗΡΑΚΛΕΙΟΥ ΑΤΤΙΚΗΣ</t>
  </si>
  <si>
    <t>mail@14dim-n-irakl.att.sch.gr</t>
  </si>
  <si>
    <t>ΙΩΑΝΝΟΥ ΠΑΠΑΙΩΑΝΝΟΥ 7</t>
  </si>
  <si>
    <t>8ο  ΝΗΠΙΑΓΩΓΕΙΟ  ΑΜΑΡΟΥΣΙ0Υ</t>
  </si>
  <si>
    <t>mail@8nip-amarous.att.sch.gr</t>
  </si>
  <si>
    <t>ΣΤΡ.ΣΑΡΑΦΗ ΚΑΙ ΠΑΠΑΝΔΡΕΟΥ</t>
  </si>
  <si>
    <t>11ο ΔΗΜΟΤΙΚΟ ΣΧΟΛΕΙΟ ΑΜΑΡΟΥΣΙΟΥ</t>
  </si>
  <si>
    <t>mail@11dim-amarous.att.sch.gr</t>
  </si>
  <si>
    <t>3ο  ΝΗΠΙΑΓΩΓΕΙΟ ΑΜΑΡΟΥΣΙΟΥ</t>
  </si>
  <si>
    <t>mail@3nip-amarous.att.sch.gr</t>
  </si>
  <si>
    <t>mail@4dim-kifis.att.sch.gr</t>
  </si>
  <si>
    <t>ΣΟΥΛΙΟΥ 12</t>
  </si>
  <si>
    <t>3ο ΔΗΜΟΤΙΚΟ ΣΧΟΛΕΙΟ ΧΟΛΑΡΓΟΥ - Μ. ΚΟΥΤΣΟΦΤΑΣ Α. ΠΑΝΑΓΙΔΗΣ</t>
  </si>
  <si>
    <t>mail@3dim-cholarg.att.sch.gr</t>
  </si>
  <si>
    <t>17ΗΣ ΝΟΕΜΒΡΙΟΥ 119</t>
  </si>
  <si>
    <t>17ης ΝΟΕΜΒΡΙΟΥ 119</t>
  </si>
  <si>
    <t>1ο ΔΗΜΟΤΙΚΟ ΣΧΟΛΕΙΟ ΠΕΥΚΗΣ</t>
  </si>
  <si>
    <t>mail@1dim-pefkis.att.sch.gr</t>
  </si>
  <si>
    <t>ΙΩΑΝΝΙΝΩΝ 24</t>
  </si>
  <si>
    <t>7ο  ΝΗΠΙΑΓΩΓΕΙΟ ΑΓΙΑΣ ΠΑΡΑΣΚΕΥΗΣ</t>
  </si>
  <si>
    <t>mail@7nip-ag-parask.att.sch.gr</t>
  </si>
  <si>
    <t>ΛΟΥΚΗ ΑΚΡΙΤΑ ΚΑΙ ΑΓΙΟΥ ΔΗΜΗΤΡΙΟΥ ΝΑΥΠΑΚΤΙΑΣ</t>
  </si>
  <si>
    <t>2ο ΝΗΠΙΑΓΩΓΕΙΟ ΧΟΛΑΡΓΟY</t>
  </si>
  <si>
    <t>mail@2nip-cholarg.att.sch.gr</t>
  </si>
  <si>
    <t>5ο ΝΗΠΙΑΓΩΓΕΙΟ ΧΟΛΑΡΓΟΥ</t>
  </si>
  <si>
    <t>mail@5nip-cholarg.att.sch.gr</t>
  </si>
  <si>
    <t>ΑΡΤΕΜΙΔΟΣ 59</t>
  </si>
  <si>
    <t>5ο ΔΗΜΟΤΙΚΟ ΣΧΟΛΕΙΟ ΧΟΛΑΡΓΟΥ</t>
  </si>
  <si>
    <t>mail@5dim-cholarg.att.sch.gr</t>
  </si>
  <si>
    <t>ΣΑΡΑΝΤΑΠΟΡΟΥ 78</t>
  </si>
  <si>
    <t>1ο ΝΗΠΙΑΓΩΓΕΙΟ ΑΓΙΑΣ ΠΑΡΑΣΚΕΥΗΣ</t>
  </si>
  <si>
    <t>mail@1nip-ag-parask.att.sch.gr</t>
  </si>
  <si>
    <t>ΑΓΙΟΥ ΙΩΑΝΝΟΥ 27</t>
  </si>
  <si>
    <t>5ο ΔΗΜΟΤΙΚΟ ΣΧΟΛΕΙΟ ΚΗΦΙΣΙΑΣ</t>
  </si>
  <si>
    <t>mail@5dim-kifis.att.sch.gr</t>
  </si>
  <si>
    <t>ΠΑΥΛΟΥ ΜΠΑΚΟΓΙΑΝΝΗ 31</t>
  </si>
  <si>
    <t>2ο ΝΗΠΙΑΓΩΓΕΙΟ ΑΓΙΑΣ ΠΑΡΑΣΚΕΥΗΣ</t>
  </si>
  <si>
    <t>mail@2nip-ag-parask.att.sch.gr</t>
  </si>
  <si>
    <t>ΛΕΩΝΙΔΟΥ 8</t>
  </si>
  <si>
    <t>10ο ΝΗΠΙΑΓΩΓΕΙΟ ΑΓΙΑΣ ΠΑΡΑΣΚΕΥΗΣ</t>
  </si>
  <si>
    <t>mail@10nip-ag-parask.att.sch.gr</t>
  </si>
  <si>
    <t>1ο ΕΙΔΙΚΟ ΔΗΜΟΤΙΚΟ ΣΧΟΛΕΙΟ ΑΜΑΡΟΥΣΙΟΥ</t>
  </si>
  <si>
    <t>mail@1dim-eid-amarous.att.sch.gr</t>
  </si>
  <si>
    <t>ΠΕΝΤΕΛΗΣ 58</t>
  </si>
  <si>
    <t>12ο ΝΗΠΙΑΓΩΓΕΙΟ ΑΓΙΑΣ ΠΑΡΑΣΚΕΥΗΣ</t>
  </si>
  <si>
    <t>mail@12nip-ag-parask.att.sch.gr</t>
  </si>
  <si>
    <t>ΨΑΡΡΩΝ  5</t>
  </si>
  <si>
    <t>8ο ΝΗΠΙΑΓΩΓΕΙΟ ΑΓΙΑΣ ΠΑΡΑΣΚΕΥΗΣ</t>
  </si>
  <si>
    <t>mail@8nip-ag-parask.att.sch.gr</t>
  </si>
  <si>
    <t>ΧΕΙΛΩΝΩΣ 19</t>
  </si>
  <si>
    <t>4ο ΝΗΠΙΑΓΩΓΕΙΟ ΑΓΙΑΣ ΠΑΡΑΣΚΕΥΗΣ</t>
  </si>
  <si>
    <t>mail@4nip-ag-parask.att.sch.gr</t>
  </si>
  <si>
    <t>ΧΙΟΥ-ΤΣΙΜΙΣΚΗ</t>
  </si>
  <si>
    <t>ΕΙΔΙΚΟ ΝΗΠΙΑΓΩΓΕΙΟ ΚΩΦΩΝ ΚΑΙ ΒΑΡΗΚΟΩΝ ΛΥΚΟΒΡΥΣΗ - ΠΕΥΚΗ</t>
  </si>
  <si>
    <t>mail@nip-ekv-filoth.att.sch.gr</t>
  </si>
  <si>
    <t>ΛΥΚΟΒΡΥΣΗ ΠΕΥΚΗ</t>
  </si>
  <si>
    <t>ΠΛΑΤΩΝΟΣ 22</t>
  </si>
  <si>
    <t>8ο ΔΗΜΟΤΙΚΟ ΣΧΟΛΕΙΟ ΑΓΙΑΣ ΠΑΡΑΣΚΕΥΗΣ</t>
  </si>
  <si>
    <t>mail@8dim-ag-parask.att.sch.gr</t>
  </si>
  <si>
    <t>ΑΓ. ΠΑΡΑΣΚΕΥΗ</t>
  </si>
  <si>
    <t>ΡΗΓΑ ΦΕΡΑΙΟΥ 3</t>
  </si>
  <si>
    <t>15ο ΔΗΜΟΤΙΚΟ ΣΧΟΛΕΙΟ ΑΜΑΡΟΥΣΙΟΥ</t>
  </si>
  <si>
    <t>mail@15dim-amarous.att.sch.gr</t>
  </si>
  <si>
    <t>ΜΑΚΡΥΓΙΑΝΝΗ  7</t>
  </si>
  <si>
    <t>mail@2dim-cholarg.att.sch.gr</t>
  </si>
  <si>
    <t>17ης  ΝΟΕΜΒΡΙΟΥ 119</t>
  </si>
  <si>
    <t>mail@1dim-meliss.att.sch.gr</t>
  </si>
  <si>
    <t>ΘΕΡΜΟΠΥΛΩΝ 4</t>
  </si>
  <si>
    <t>ΕΙΔΙΚΟ ΝΗΠΙΑΓΩΓΕΙΟ ΑΜΑΡΟΥΣΙΟΥ-ΣΙΚΙΑΡΙΔΕΙΟ</t>
  </si>
  <si>
    <t>mail@1nip-eid-amarous.att.sch.gr</t>
  </si>
  <si>
    <t>8ο ΝΗΠΙΑΓΩΓΕΙΟ ΝΕΑΣ ΙΩΝΙΑΣ</t>
  </si>
  <si>
    <t>mail@8nip-n-ionias.att.sch.gr</t>
  </si>
  <si>
    <t>ΚΙΛΚΙΣ 1 ΚΑΙ ΜΕΤΡΩΝ</t>
  </si>
  <si>
    <t>mail@2dim-n-ionias.att.sch.gr</t>
  </si>
  <si>
    <t>ΚΙΛΚΙΣ 1 &amp; ΑΛΕΚΟΥ ΠΑΝΑΓΟΥΛΗ</t>
  </si>
  <si>
    <t>6ο ΔΗΜΟΤΙΚΟ ΣΧΟΛΕΙΟ ΚΗΦΙΣΙΑΣ "ΠΗΝΕΛΟΠΗ ΔΕΛΤΑ"</t>
  </si>
  <si>
    <t>mail@6dim-kifis.att.sch.gr</t>
  </si>
  <si>
    <t>ΛΑΜΠΡΟΥ ΚΑΤΣΩΝΗ 53</t>
  </si>
  <si>
    <t>mail@1dim-psych.att.sch.gr</t>
  </si>
  <si>
    <t>ΔΗΜΟΚΡΑΤΙΑΣ 23</t>
  </si>
  <si>
    <t>11ο ΝΗΠΙΑΓΩΓΕΙΟ ΝΕΑΣ ΙΩΝΙΑΣ</t>
  </si>
  <si>
    <t>mail@11nip-n-ionias.att.sch.gr</t>
  </si>
  <si>
    <t>ΣΟΛΩΝΟΣ 38</t>
  </si>
  <si>
    <t>8ο ΔΗΜΟΤΙΚΟ ΣΧΟΛΕΙΟ ΑΜΑΡΟΥΣΙΟΥ</t>
  </si>
  <si>
    <t>mail@8dim-amarous.att.sch.gr</t>
  </si>
  <si>
    <t>ΜΑΡΑΘΩΝΟΔΡΟΜΟΥ 54</t>
  </si>
  <si>
    <t>mail@1dim-papag.att.sch.gr</t>
  </si>
  <si>
    <t>ΙΩΝΙΑΣ &amp; ΣΩΡΑΝΟΥ   ΤΟΥ ΕΦΕΣΙΟΥ</t>
  </si>
  <si>
    <t>mail@dim-n-pentel.att.sch.gr</t>
  </si>
  <si>
    <t>ΑΡΓΥΡΟΚΑΣΤΡΟΥ 2</t>
  </si>
  <si>
    <t>2ο ΔΗΜΟΤΙΚΟ ΣΧΟΛΕΙΟ ΧΑΛΑΝΔΡΙΟΥ</t>
  </si>
  <si>
    <t>mail@2dim-chalandr.att.sch.gr</t>
  </si>
  <si>
    <t>Φ.ΛΙΤΣΑ ΚΑΙ ΚΑΛΛΙΣΠΕΡΗ</t>
  </si>
  <si>
    <t>mail@4dim-chalandr.att.sch.gr</t>
  </si>
  <si>
    <t>ΑΡΙΣΤΟΦΑΝΟΥΣ 79Α  &amp; ΝΕΦΕΛΗΣ</t>
  </si>
  <si>
    <t>5ο ΝΗΠΙΑΓΩΓΕΙΟ ΑΓΙΑΣ ΠΑΡΑΣΚΕΥΗΣ</t>
  </si>
  <si>
    <t>mail@5nip-ag-parask.att.sch.gr</t>
  </si>
  <si>
    <t>ΤΕΡΜΑ ΖΕΦΥΡΩΝ</t>
  </si>
  <si>
    <t>mail@9dim-amarous.att.sch.gr</t>
  </si>
  <si>
    <t>ΑΥΤ. ΗΡΑΚΛΕΙΟΥ 42</t>
  </si>
  <si>
    <t>1ο ΔΗΜΟΤΙΚΟ ΣΧΟΛΕΙΟ ΝΕΑΣ ΙΩΝΙΑΣ</t>
  </si>
  <si>
    <t>mail@1dim-n-ionias.att.sch.gr</t>
  </si>
  <si>
    <t>ΚΡΗΤΗΣ 77</t>
  </si>
  <si>
    <t>mail@2dim-n-psych.att.sch.gr</t>
  </si>
  <si>
    <t>25ης ΜΑΡΤΙΟΥ 2</t>
  </si>
  <si>
    <t>25 ΜΑΡΤΙΟΥ 2</t>
  </si>
  <si>
    <t>mail@3dim-chalandr.att.sch.gr</t>
  </si>
  <si>
    <t>ΜΑΡΑΘΩΝΟΣ ΚΑΙ ΜΙΚΡΑΣ ΑΣΙΑΣ</t>
  </si>
  <si>
    <t>9ο ΔΗΜΟΤΙΚΟ ΣΧΟΛΕΙΟ ΑΓΙΑΣ ΠΑΡΑΣΚΕΥΗΣ</t>
  </si>
  <si>
    <t>mail@9dim-ag-parask.att.sch.gr</t>
  </si>
  <si>
    <t>ΑΓΙΟΥ ΔΗΜΗΤΡΙΟΥ ΝΑΥΠΑΚΤΙΑΣ</t>
  </si>
  <si>
    <t>2ο ΟΛΟΗΜΕΡΟ ΔΗΜΟΤΙΚΟ ΣΧΟΛΕΙΟ ΕΚΑΛΗ - ΖΑΝΝΕΙΟ</t>
  </si>
  <si>
    <t>mail@dim-ekalis-zanneio.att.sch.gr</t>
  </si>
  <si>
    <t>ΘΗΣΕΩΣ 131</t>
  </si>
  <si>
    <t>mail@12dim-chalandr.att.sch.gr</t>
  </si>
  <si>
    <t>Χαλάνδρι</t>
  </si>
  <si>
    <t>ΙΩΑΝΝΙΝΩΝ 38 ΚΑΙ ΤΑΫΓΕΤΟΥ</t>
  </si>
  <si>
    <t>4ο ΝΗΠΙΑΓΩΓΕΙΟ ΧΟΛΑΡΓΟΥ</t>
  </si>
  <si>
    <t>mail@4nip-cholarg.att.sch.gr</t>
  </si>
  <si>
    <t>ΦΑΝΕΡΩΜΕΝΗΣ 31</t>
  </si>
  <si>
    <t>1ο ΔΗΜΟΤΙΚΟ ΣΧΟΛΕΙΟ ΑΓΙΑΣ ΠΑΡΑΣΚΕΥΗΣ</t>
  </si>
  <si>
    <t>mail@1dim-ag-parask.att.sch.gr</t>
  </si>
  <si>
    <t>4ο ΟΛΟΗΜΕΡΟ ΝΗΠΙΑΓΩΓΕΙΟ ΚΗΦΙΣΙΑ</t>
  </si>
  <si>
    <t>mail@4nip-kifis.att.sch.gr</t>
  </si>
  <si>
    <t>ΑΓΓΕΛΟΥ ΓΟΥΛΑΝΔΡΗ 3</t>
  </si>
  <si>
    <t>mail@1dim-amarous.att.sch.gr</t>
  </si>
  <si>
    <t>ΚΗΦΙΣΙΑΣ 211</t>
  </si>
  <si>
    <t>mail@7dim-n-ionias.att.sch.gr</t>
  </si>
  <si>
    <t>ΕΙΔΙΚΟ ΔΗΜΟΤΙΚΟ ΣΧΟΛΕΙΟ  ΚΩΦΩΝ ΚΑΙ ΒΑΡΗΚΟΩΝ ΛΥΚΟΒΡΥΣΗ-ΠΕΥΚΗ</t>
  </si>
  <si>
    <t>mail@dim-ekv-filoth.att.sch.gr</t>
  </si>
  <si>
    <t>ΛΥΚΟΒΡΥΣΗ-ΠΕΥΚΗ</t>
  </si>
  <si>
    <t>mail@3dim-pefkis.att.sch.gr</t>
  </si>
  <si>
    <t>ΚΟΡΙΝΘΟΥ 5  &amp; ΚΑΛΥΜΝΟΥ</t>
  </si>
  <si>
    <t>mail@5dim-ag-parask.att.sch.gr</t>
  </si>
  <si>
    <t>ΨΑΡΩΝ 11</t>
  </si>
  <si>
    <t>19ο ΔΗΜΟΤΙΚΟ ΣΧΟΛΕΙΟ ΝΕΑΣ ΙΩΝΙΑΣ</t>
  </si>
  <si>
    <t>mail@19dim-n-ionias.att.sch.gr</t>
  </si>
  <si>
    <t>ΠΕΡΙΣΣΟΣ-ΝΕΑ ΙΩΝΙΑ ΑΤΤΙΚΗΣ</t>
  </si>
  <si>
    <t>ΑΓΙΑΣ ΑΝΑΣΤΑΣΙΑΣ 4</t>
  </si>
  <si>
    <t>mail@5dim-chalandr.att.sch.gr</t>
  </si>
  <si>
    <t>ΒΡΙΛΗΣΣΙΩΝ 2</t>
  </si>
  <si>
    <t>ΕΙΔΙΚΟ ΔΗΜΟΤΙΚΟ ΣΧΟΛΕΙΟ ΝΕΑΣ ΙΩΝΙΑΣ</t>
  </si>
  <si>
    <t>mail@1dim-eid-periss.att.sch.gr</t>
  </si>
  <si>
    <t>ΜΕΣΣΗΝΙΑΣ 15</t>
  </si>
  <si>
    <t>mail@6dim-chalandr.att.sch.gr</t>
  </si>
  <si>
    <t>ΦΙΛΙΚΗΣ ΕΤΑΙΡΕΙΑΣ 2</t>
  </si>
  <si>
    <t>mail@2dim-ag-parask.att.sch.gr</t>
  </si>
  <si>
    <t>2ο  ΝΗΠΙΑΓΩΓΕΙΟ ΝΕΟΥ ΗΡΑΚΛΕΙΟΥ</t>
  </si>
  <si>
    <t>mail@2nip-n-irakl.att.sch.gr</t>
  </si>
  <si>
    <t>ΝΕΟΥ ΗΡΑΚΛΕΙΟΥ</t>
  </si>
  <si>
    <t>ΙΑΚΩΒΙΔΟΥ ΚΑΙ ΠΙΤΛΙΓΚΕΡ</t>
  </si>
  <si>
    <t>3ο ΝΗΠΙΑΓΩΓΕΙΟ  ΗΡΑΚΛΕΙΟΥ ΑΤΤΙΚΗΣ</t>
  </si>
  <si>
    <t>mail@3nip-n-irakl.att.sch.gr</t>
  </si>
  <si>
    <t>ΗΡΩΣ ΚΩΝΣΤΑΝΤΟΠΟΥΛΟΥ 1</t>
  </si>
  <si>
    <t>mail@8dim-kifis.att.sch.gr</t>
  </si>
  <si>
    <t>ΠΕΛΟΠΟΝΝΗΣΟΥ ΚΑΙ ΝΑΥΠΛΙΟΥ</t>
  </si>
  <si>
    <t>2ο ΔΗΜΟΤΙΚΟ ΣΧΟΛΕΙΟ ΝΕΑΣ ΕΡΥΘΡΑΙΑΣ</t>
  </si>
  <si>
    <t>mail@2dim-n-eryth.att.sch.gr</t>
  </si>
  <si>
    <t>ΣΠΕΤΣΩΝ ΚΑΙ ΨΑΡΩΝ</t>
  </si>
  <si>
    <t>mail@1dim-n-erythr.att.sch.gr</t>
  </si>
  <si>
    <t>Ν.  ΚΗΦΙΣΙΑ</t>
  </si>
  <si>
    <t>ΚΟΡΙΝΘΟΥ 12</t>
  </si>
  <si>
    <t>mail@3dim-n-erythr.att.sch.gr</t>
  </si>
  <si>
    <t>ΨΑΡΩΝ 1 ΚΑΙ ΣΠΕΤΣΩΝ</t>
  </si>
  <si>
    <t>5ο ΝΗΠΙΑΓΩΓΕΙΟ ΑΜΑΡΟΥΣΙΟΥ</t>
  </si>
  <si>
    <t>mail@5nip-amarous.att.sch.gr</t>
  </si>
  <si>
    <t>ΑΝΤΩΝΙΟΥ ΠΑΡΑΣΚΕΥΑ 18</t>
  </si>
  <si>
    <t>mail@11dim-chalandr.att.sch.gr</t>
  </si>
  <si>
    <t>ΠΟΛΥΔΡΟΣΟ ΧΑΛΑΝΔΡΙΟΥ</t>
  </si>
  <si>
    <t>ΚΡΙΝΩΝ 24 &amp; ΚΡΙΕΖΗ</t>
  </si>
  <si>
    <t>ΚΡΙΝΩΝ 24</t>
  </si>
  <si>
    <t>3ο ΝΗΠΙΑΓΩΓΕΙΟ ΚΗΦΙΣΙΑΣ</t>
  </si>
  <si>
    <t>mail@3nip-kifis.att.sch.gr</t>
  </si>
  <si>
    <t>ΕΛΑΙΩΝ ΚΑΙ ΠΗΓΑΣΟΥ 2</t>
  </si>
  <si>
    <t>5ο  ΝΗΠΙΑΓΩΓΕΙΟ ΚΗΦΙΣΙΑΣ</t>
  </si>
  <si>
    <t>mail@5nip-kifis.att.sch.gr</t>
  </si>
  <si>
    <t>ΛΕΩΦ. ΚΗΦΙΣΙΑΣ 282</t>
  </si>
  <si>
    <t>mail@7dim-ag-parask.att.sch.gr</t>
  </si>
  <si>
    <t>ΛΥΚΟΥΡΓΟΥ ΚΑΙ ΑΡΤΕΜΩΝΟΣ</t>
  </si>
  <si>
    <t>1ο ΝΗΠΙΑΓΩΓΕΙΟ ΜΕΤΑΜΟΡΦΩΣΗΣ</t>
  </si>
  <si>
    <t>mail@1nip-metam.att.sch.gr</t>
  </si>
  <si>
    <t>ΗΒΗΣ ΚΑΙ ΤΑΤΟΪΟΥ</t>
  </si>
  <si>
    <t>6ο ΝΗΠΙΑΓΩΓΕΙΟ ΚΗΦΙΣΙΑΣ</t>
  </si>
  <si>
    <t>mail@6nip-kifis.att.sch.gr</t>
  </si>
  <si>
    <t>ΠΛ.ΠΟΛΙΤΕΙΑΣ</t>
  </si>
  <si>
    <t>9ο ΝΗΠΙΑΓΩΓΕΙΟ ΚΗΦΙΣΙΑΣ</t>
  </si>
  <si>
    <t>mail@9nip-kifis.att.sch.gr</t>
  </si>
  <si>
    <t>ΕΛΑΙΩΝ ΚΑΙ ΠΗΓΑΣΣΟΥ 2</t>
  </si>
  <si>
    <t>1ο ΔΗΜΟΤΙΚΟ ΣΧΟΛΕΙΟ ΒΡΙΛΗΣΣΙΩΝ</t>
  </si>
  <si>
    <t>mail@1dim-vriliss.att.sch.gr</t>
  </si>
  <si>
    <t>ΦΛΩΡΙΝΗΣ 24</t>
  </si>
  <si>
    <t>2ο ΝΗΠΙΑΓΩΓΕΙΟ ΝΕΑΣ ΙΩΝΙΑΣ ΑΤΤΙΚΗΣ</t>
  </si>
  <si>
    <t>mail@2nip-n-ionias.att.sch.gr</t>
  </si>
  <si>
    <t>ΑΓ ΛΑΥΡΑΣ 43 &amp; ΛΕΥΚΩΣΙΑΣ 5</t>
  </si>
  <si>
    <t>1ο ΔΗΜΟΤΙΚΟ ΣΧΟΛΕΙΟ ΝΕΟΥ ΨΥΧΙΚΟΥ</t>
  </si>
  <si>
    <t>mail@1dim-n-psych.att.sch.gr</t>
  </si>
  <si>
    <t>ΣΕΦΕΡΗ 21</t>
  </si>
  <si>
    <t>4ο ΔΗΜΟΤΙΚΟ ΣΧΟΛΕΙΟ ΒΡΙΛΗΣΣΙΩΝ</t>
  </si>
  <si>
    <t>mail@4dim-vriliss.att.sch.gr</t>
  </si>
  <si>
    <t>ΤΕΙΡΕΣΙΟΥ 2 ΚΑΙ ΣΠΑΡΤΗΣ</t>
  </si>
  <si>
    <t>mail@10dim-amarous.att.sch.gr</t>
  </si>
  <si>
    <t>ΜΑΝΔΗΛΑΡΑ 1</t>
  </si>
  <si>
    <t>3ο ΝΗΠΙΑΓΩΓΕΙΟ ΛΥΚΟΒΡΥΣΗΣ</t>
  </si>
  <si>
    <t>3niplyk@otenet.gr</t>
  </si>
  <si>
    <t>ΜΙΑΟΥΛΗ ΚΑΙ ΑΓΙΑΣ ΛΑΥΡΑΣ</t>
  </si>
  <si>
    <t>2ο ΝΗΠΙΑΓΩΓΕΙΟ ΛΥΚΟΒΡΥΣΗΣ</t>
  </si>
  <si>
    <t>2niplyk@gmail.com</t>
  </si>
  <si>
    <t>ΜΠΕΝΙΣΗ    17</t>
  </si>
  <si>
    <t>3ο ΝΗΠΙΑΓΩΓΕΙΟ ΜΕΤΑΜΟΡΦΩΣΗΣ</t>
  </si>
  <si>
    <t>mail@3nip-metam.att.sch.gr</t>
  </si>
  <si>
    <t>ΗΛΕΙΑΣ 27</t>
  </si>
  <si>
    <t>2ο ΝΗΠΙΑΓΩΓΕΙΟ ΜΕΤΑΜΟΡΦΩΣΗΣ</t>
  </si>
  <si>
    <t>mail@2nip-metam.att.sch.gr</t>
  </si>
  <si>
    <t>ΑΘΗΝΑΣ ΚΑΙ ΑΠΟΛΛΩΝΟΣ</t>
  </si>
  <si>
    <t>4ο  ΝΗΠΙΑΓΩΓΕΙΟ ΜΕΤΑΜΟΡΦΩΣΗΣ</t>
  </si>
  <si>
    <t>mail@4nip-metam.att.sch.gr</t>
  </si>
  <si>
    <t>ΔΗΜΗΤΡΗ ΓΛΗΝΟΥ-ΑΓΙΑΣ ΒΑΡΒΑΡΑΣ</t>
  </si>
  <si>
    <t>mail@1dim-kifis.att.sch.gr</t>
  </si>
  <si>
    <t>ΧΡ. ΛΑΔΑ 18</t>
  </si>
  <si>
    <t>3ο ΝΗΠΙΑΓΩΓΕΙΟ ΜΕΛΙΣΣΙΩΝ</t>
  </si>
  <si>
    <t>mail@3nip-meliss.att.sch.gr</t>
  </si>
  <si>
    <t>ΑΓΙΑΣ ΕΙΡΗΝΗΣ 4</t>
  </si>
  <si>
    <t>5ο ΝΗΠΙΑΓΩΓΕΙΟ ΜΕΛΙΣΣΙΩΝ</t>
  </si>
  <si>
    <t>mail@5nip-meliss.att.sch.gr</t>
  </si>
  <si>
    <t>6ο ΝΗΠΙΑΓΩΓΕΙΟ ΑΜΑΡΟΥΣΙΟΥ</t>
  </si>
  <si>
    <t>mail@6nip-amarous.att.sch.gr</t>
  </si>
  <si>
    <t>Δ. ΨΑΡΡΟΥ ΚΑΙ ΒΑΛΤΕΤΣΙΟΥ</t>
  </si>
  <si>
    <t>1ο ΝΗΠΙΑΓΩΓΕΙΟ ΝΕΑΣ ΕΡΥΘΡΑΙΑΣ</t>
  </si>
  <si>
    <t>mail@1nip-n-erythr.att.sch.gr</t>
  </si>
  <si>
    <t>ΕΛΕΥΘΕΡΙΟΥ ΒΕΝΙΖΕΛΟΥ 4 ΚΑΙ ΑΡΤΑΚΗ</t>
  </si>
  <si>
    <t>2ο ΝΗΠΙΑΓΩΓΕΙΟ ΠΕΥΚΗΣ</t>
  </si>
  <si>
    <t>mail@2nip-pefkis.att.sch.gr</t>
  </si>
  <si>
    <t>Μ. ΑΣΙΑΣ 6 &amp; ΙΩΑΝΝΙΝΩΝ</t>
  </si>
  <si>
    <t>2ο ΝΗΠΙΑΓΩΓΕΙΟ ΑΜΑΡΟΥΣΙΟΥ</t>
  </si>
  <si>
    <t>mail@2nip-amarous.att.sch.gr</t>
  </si>
  <si>
    <t>4ο ΝΗΠΙΑΓΩΓΕΙΟ ΝΕΟΥ ΗΡΑΚΛΕΙΟΥ</t>
  </si>
  <si>
    <t>mail@4nip-irakl.att.sch.gr</t>
  </si>
  <si>
    <t>ΠΑΠΑΙΩΑΝΝΟΥ ΚΑΙ ΠΑΠΑΔΑΚΗ</t>
  </si>
  <si>
    <t>dimfil@sch.gr</t>
  </si>
  <si>
    <t>ΚΕΧΑΓΙΑ &amp; ΖΩΣΙΜΑ</t>
  </si>
  <si>
    <t>mail@dim-pentel.att.sch.gr</t>
  </si>
  <si>
    <t>ΗΓΟΥΜ. ΜΑΚΡΥΓΙΑΝΝΗ 4</t>
  </si>
  <si>
    <t>4ο ΝΗΠΙΑΓΩΓΕΙΟ ΑΜΑΡΟΥΣΙΟΥ - ΖΕΚΑΚΕΙΟ</t>
  </si>
  <si>
    <t>mail@4nip-amarous.att.sch.gr</t>
  </si>
  <si>
    <t>ΖΕΚΑΚΟΥ 7</t>
  </si>
  <si>
    <t>13ο  ΝΗΠΙΑΓΩΓΕΙΟ  ΑΓΙΑΣ  ΠΑΡΑΣΚΕΥΗΣ</t>
  </si>
  <si>
    <t>mail@13nip-ag-parask.att.sch.gr</t>
  </si>
  <si>
    <t>ΘΡΑΣΥΒΟΥΛΟΥ 8</t>
  </si>
  <si>
    <t>2ο ΝΗΠΙΑΓΩΓΕΙΟ ΜΕΛΙΣΣΙΩΝ</t>
  </si>
  <si>
    <t>mail@2nip-meliss.att.sch.gr</t>
  </si>
  <si>
    <t>ΓΡΑΜΜΟΥ 8</t>
  </si>
  <si>
    <t>1ο ΝΗΠΙΑΓΩΓΕΙΟ ΝΕΑΣ ΙΩΝΙΑΣ</t>
  </si>
  <si>
    <t>protonipiagogion.ionias@yahoo.gr</t>
  </si>
  <si>
    <t>ΓΡΗΓΟΡΙΟΥ Ε κ'  ΙΚΑΡΙΑΣ</t>
  </si>
  <si>
    <t>ΕΙΔΙΚΟ ΔΗΜΟΤΙΚΟ ΣΧΟΛΕΙΟ ΠΕΝΤΕΛΗΣ</t>
  </si>
  <si>
    <t>mail@3dim-pentel.att.sch.gr</t>
  </si>
  <si>
    <t>ΤΕΡΜΑ ΙΠΠΟΚΡΑΤΟΥΣ ΠΑΛΑΙΑ ΠΕΝΤΕΛΗ</t>
  </si>
  <si>
    <t>3ο ΝΗΠΙΑΓΩΓΕΙΟ ΝΕΑΣ ΙΩΝΙΑΣ</t>
  </si>
  <si>
    <t>mail@3nip-n-ionias.att.sch.gr</t>
  </si>
  <si>
    <t>ΜΟΥΤΑΛΑΣΚΗ 47</t>
  </si>
  <si>
    <t>1ο ΝΗΠΙΑΓΩΓΕΙΟ ΧΟΛΑΡΓΟΥ</t>
  </si>
  <si>
    <t>mail@1nip-cholarg.att.sch.gr</t>
  </si>
  <si>
    <t>ΦΕΙΔΙΟΥ 12</t>
  </si>
  <si>
    <t>11ο ΝΗΠΙΑΓΩΓΕΙΟ ΑΓΙΑΣ ΠΑΡΑΣΚΕΥΗΣ</t>
  </si>
  <si>
    <t>mail@11nip-ag-parask.att.sch.gr</t>
  </si>
  <si>
    <t>ΜΠΟΥΜΠΟΥΛΙΝΑΣ 4Α</t>
  </si>
  <si>
    <t>3ο ΝΗΠΙΑΓΩΓΕΙΟ ΧΟΛΑΡΓΟΥ</t>
  </si>
  <si>
    <t>nipiagogeio3@yahoo.gr</t>
  </si>
  <si>
    <t>6ο ΝΗΠΙΑΓΩΓΕΙΟ ΑΓΙΑΣ ΠΑΡΑΣΚΕΥΗΣ</t>
  </si>
  <si>
    <t>mail@6nip-ag-parask.att.sch.gr</t>
  </si>
  <si>
    <t>ΑΙΤΩΛΙΑΣ 30</t>
  </si>
  <si>
    <t>mail@2dim-vriliss.att.sch.gr</t>
  </si>
  <si>
    <t>ΠΑΛΑΙΩΝ ΠΑΤΡΩΝ ΓΕΡΜΑΝΟΥ 23</t>
  </si>
  <si>
    <t>10ο  ΝΗΠΙΑΓΩΓΕΙΟ ΑΜΑΡΟΥΣΙΟΥ</t>
  </si>
  <si>
    <t>mail@10nip-amarous.att.sch.gr</t>
  </si>
  <si>
    <t>2ο ΔΗΜΟΤΙΚΟ ΣΧΟΛΕΙΟ ΠΑΠΑΓΟΥ</t>
  </si>
  <si>
    <t>mail@2dim-papag.att.sch.gr</t>
  </si>
  <si>
    <t>ΜΑΚΕΔΟΝΙΑΣ 2</t>
  </si>
  <si>
    <t>3ο ΔΗΜΟΤΙΚΟ ΣΧΟΛΕΙΟ ΠΑΠΑΓΟΥ</t>
  </si>
  <si>
    <t>3papagou@gmail.com</t>
  </si>
  <si>
    <t>5ο ΝΗΠΙΑΓΩΓΕΙΟ ΝΕΑΣ ΙΩΝΙΑΣ</t>
  </si>
  <si>
    <t>mail@5nip-n-ionias.att.sch.gr</t>
  </si>
  <si>
    <t>ΦΕΡΤΕΚΙΟΥ 1</t>
  </si>
  <si>
    <t>1ο ΝΗΠΙΑΓΩΓΕΙΟ ΠΕΥΚΗΣ</t>
  </si>
  <si>
    <t>mail@1nip-pefkis.att.sch.gr</t>
  </si>
  <si>
    <t>ΚΟΥΝΤΟΥΡΙΩΤΟΥ ΚΑΙ ΔΑΓΚΛΗ</t>
  </si>
  <si>
    <t>3ο ΝΗΠΙΑΓΩΓΕΙΟ ΠΕΥΚΗΣ</t>
  </si>
  <si>
    <t>mail@3nip-pefkis.att.sch.gr</t>
  </si>
  <si>
    <t>ΚΑΝΑΡΗ 23</t>
  </si>
  <si>
    <t>1ο ΝΗΠΙΑΓΩΓΕΙΟ ΚΗΦΙΣΙΑΣ</t>
  </si>
  <si>
    <t>mail@1nip-kifis.att.sch.gr</t>
  </si>
  <si>
    <t>ΣΥΓΓΡΟΥ 7 ΚΑΙ ΚΙΘΑΙΡΩΝΟΣ</t>
  </si>
  <si>
    <t>mail@3dim-vriliss.att.sch.gr</t>
  </si>
  <si>
    <t>ΕΙΚΟΣΤΗΣ ΠΕΜΠΤΗΣ ΜΑΡΤΙΟΥ ΚΑΙ ΜΑΚΕΔΟΝΙΑΣ 25</t>
  </si>
  <si>
    <t>mail@3dim-n-psych.att.sch.gr</t>
  </si>
  <si>
    <t>Νέο Ψυχικό</t>
  </si>
  <si>
    <t>Κ. ΟΥΡΑΝΗ 16</t>
  </si>
  <si>
    <t>4ο ΝΗΠΙΑΓΩΓΕΙΟ ΠΕΥΚΗΣ</t>
  </si>
  <si>
    <t>mail@4nip-pefkis.att.sch.gr</t>
  </si>
  <si>
    <t>ΒΟΥΛΓΑΡΟΚΤΟΝΟΥ ΚΑΙ ΚΑΝΑΡΗ</t>
  </si>
  <si>
    <t>19ο ΝΗΠΙΑΓΩΓΕΙΟ ΝΕΑΣ ΙΩΝΙΑΣ</t>
  </si>
  <si>
    <t>mail@19nip-n-ionias.att.sch.gr</t>
  </si>
  <si>
    <t>22ο ΝΗΠΙΑΓΩΓΕΙΟ ΝΕΑΣ ΙΩΝΙΑΣ</t>
  </si>
  <si>
    <t>mail@22nip-n-ionias.att.sch.gr</t>
  </si>
  <si>
    <t>mail@4dim-n-psych.att.sch.gr</t>
  </si>
  <si>
    <t>ΚΑΡΑΘΕΟΔΩΡΗ ΚΑΙ ΚΩΣΤΗ ΟΥΡΑΝΗ 16</t>
  </si>
  <si>
    <t>7ο ΝΗΠΙΑΓΩΓΕΙΟ ΝΕΑΣ ΙΩΝΙΑΣ</t>
  </si>
  <si>
    <t>mail@7nip-n-ionias.att.sch.gr</t>
  </si>
  <si>
    <t>5ο  ΔΗΜΟΤΙΚΟ ΣΧΟΛΕΙΟ ΒΡΙΛΗΣΣΙΩΝ</t>
  </si>
  <si>
    <t>mail@5dim-vriliss.att.sch.gr</t>
  </si>
  <si>
    <t>ΑΛΦΕΙΟΥ 62</t>
  </si>
  <si>
    <t>mail@6dim-vriliss.att.sch.gr</t>
  </si>
  <si>
    <t>ΠΙΕΡΙΩΝ 16</t>
  </si>
  <si>
    <t>7ο ΔΗΜΟΤΙΚΟ ΧΑΛΑΝΔΡΙΟΥ</t>
  </si>
  <si>
    <t>7dimchalandr@sch.gr</t>
  </si>
  <si>
    <t>ΚΡΗΤΗΣ 24 ΚΑΙ ΕΥΡΥΤΑΝΙΑΣ</t>
  </si>
  <si>
    <t>9ο ΔΗΜΟΤΙΚΟ ΣΧΟΛΕΙΟ ΧΑΛΑΝΔΡΙΟΥ</t>
  </si>
  <si>
    <t>mail@9dim-chalandr.att.sch.gr</t>
  </si>
  <si>
    <t>ΖΑΛΟΓΓΟΥ 17</t>
  </si>
  <si>
    <t>mail@10dim-chalandr.att.sch.gr</t>
  </si>
  <si>
    <t>9ο ΝΗΠΙΑΓΩΓΕΙΟ ΑΜΑΡΟΥΣΙΟΥ</t>
  </si>
  <si>
    <t>mail@9nip-amarous.att.sch.gr</t>
  </si>
  <si>
    <t>ΥΔΡΑΣ 8</t>
  </si>
  <si>
    <t>5ο ΝΗΠΙΑΓΩΓΕΙΟ ΝΕΟΥ ΗΡΑΚΛΕΙΟΥ</t>
  </si>
  <si>
    <t>mail@5nip-irakl.att.sch.gr</t>
  </si>
  <si>
    <t>ΧΡΥΣΑΝΘΕΜΩΝ 43</t>
  </si>
  <si>
    <t>11ο ΝΗΠΙΑΓΩΓΕΙΟ ΑΜΑΡΟΥΣΙΟΥ</t>
  </si>
  <si>
    <t>mail@11nip-amarous.att.sch.gr</t>
  </si>
  <si>
    <t>ΚΡΗΤΗΣ 19</t>
  </si>
  <si>
    <t>13ο ΝΗΠΙΑΓΩΓΕΙΟ ΑΜΑΡΟΥΣΙΟΥ</t>
  </si>
  <si>
    <t>mail@13nip-amarous.att.sch.gr</t>
  </si>
  <si>
    <t>ΑΜΑΡΥΣΙΑΣ ΑΡΤΕΜΙΔΟΣ 15</t>
  </si>
  <si>
    <t>16ο ΝΗΠΙΑΓΩΓΕΙΟ ΑΜΑΡΟΥΣΙΟΥ</t>
  </si>
  <si>
    <t>mail@16nip-amarous.att.sch.gr</t>
  </si>
  <si>
    <t>ΜΑΚΡΥΓΙΑΝΝΗ 1</t>
  </si>
  <si>
    <t>6ο ΝΗΠΙΑΓΩΓΕΙΟ ΜΕΤΑΜΟΡΦΩΣΗΣ</t>
  </si>
  <si>
    <t>6nipmetam@gmail.com</t>
  </si>
  <si>
    <t>ΨΥΤΤΑΛΕΙΑΣ ΚΑΙ ΡΗΓΑ ΦΕΡΑΙΟΥ</t>
  </si>
  <si>
    <t>2ο ΝΗΠΙΑΓΩΓΕΙΟ ΚΗΦΙΣΙΑΣ</t>
  </si>
  <si>
    <t>mail@2nip-kifis.att.sch.gr</t>
  </si>
  <si>
    <t>ΚΕΔΡΟΥ 2</t>
  </si>
  <si>
    <t>7ο ΝΗΠΙΑΓΩΓΕΙΟ ΚΗΦΙΣΙΑΣ</t>
  </si>
  <si>
    <t>mail@7nip-kifis.att.sch.gr</t>
  </si>
  <si>
    <t>ΦΙΓΑΛΕΙΑΣ ΚΑΙ ΣΦΑΚΤΗΡΙΑΣ</t>
  </si>
  <si>
    <t>8ο  ΝΗΠΙΑΓΩΓΕΙΟ ΚΗΦΙΣΙΑΣ</t>
  </si>
  <si>
    <t>mail@8nip-kifis.att.sch.gr</t>
  </si>
  <si>
    <t>ΠΑΥΛΟΥ ΜΠΑΚΟΓΙΑΝΝΗ 31 B΄</t>
  </si>
  <si>
    <t>4ο ΝΗΠΙΑΓΩΓΕΙΟ ΜΕΛΙΣΣΙΑ</t>
  </si>
  <si>
    <t>mail@4nip-meliss.att.sch.gr</t>
  </si>
  <si>
    <t>ΣΩΚΡΑΤΟΥΣ 24</t>
  </si>
  <si>
    <t>6ο ΝΗΠΙΑΓΩΓΕΙΟ ΝΕΑΣ ΙΩΝΙΑΣ</t>
  </si>
  <si>
    <t>mail@6nip-n-ionias.att.sch.gr</t>
  </si>
  <si>
    <t>ΤΖΑΒΕΛΑ ΚΑΙ ΔΕΡΚΩΝ 24</t>
  </si>
  <si>
    <t>5ο ΝΗΠΙΑΓΩΓΕΙΟ ΠΕΥΚΗΣ</t>
  </si>
  <si>
    <t>mail@5nip-pefkis.att.sch.gr</t>
  </si>
  <si>
    <t>13ο ΔΗΜΟΤΙΚΟ ΣΧΟΛΕΙΟ ΧΑΛΑΝΔΡΙΟΥ</t>
  </si>
  <si>
    <t>mail@13dim-chalandr.att.sch.gr</t>
  </si>
  <si>
    <t>ΟΛΥΜΠΟΥ 13</t>
  </si>
  <si>
    <t>18ο ΔΗΜΟΤΙΚΟ ΣΧΟΛΕΙΟ ΑΜΑΡΟΥΣΙΟΥ</t>
  </si>
  <si>
    <t>mail@18dim-amarous.att.sch.gr</t>
  </si>
  <si>
    <t>ΣΥΓΓΡΟΥ ΚΑΙ ΙΩΝΟΣ</t>
  </si>
  <si>
    <t>10ο ΔΗΜΟΤΙΚΟ ΣΧΟΛΕΙΟ ΗΡΑΚΛΕΙΟΥ ΑΤΤΙΚΗΣ</t>
  </si>
  <si>
    <t>mail@10dim-n-irakl.att.sch.gr</t>
  </si>
  <si>
    <t xml:space="preserve"> ΗΡΑΚΛΕΙΟ</t>
  </si>
  <si>
    <t>ΜΑΤΡΟΖΟΥ ΚΑΙ ΑΥΓΗΣ</t>
  </si>
  <si>
    <t>7ο ΝΗΠΙΑΓΩΓΕΙΟ ΝΕΟΥ ΗΡΑΚΛΕΙΟΥ</t>
  </si>
  <si>
    <t>mail@7nip-irakl.att.sch.gr</t>
  </si>
  <si>
    <t>ΠΕΥΚΩΝ 110</t>
  </si>
  <si>
    <t>mail@9dim-irakl.att.sch.gr</t>
  </si>
  <si>
    <t>ΑΥΓΗΣ &amp; ΜΑΤΡΟΖΟΥ</t>
  </si>
  <si>
    <t>1ο ΝΗΠΙΑΓΩΓΕΙΟ ΗΡΑΚΛΕΙΟΥ ΑΤΤΙΚΗΣ</t>
  </si>
  <si>
    <t>mail@1nip-n-irakl.att.sch.gr</t>
  </si>
  <si>
    <t>ΗΛΕΚΤΡΑΣ ΑΠΟΣΤΟΛΟΥ 93</t>
  </si>
  <si>
    <t>8ο ΝΗΠΙΑΓΩΓΕΙΟ ΗΡΑΚΛΕΙΟΥ ΑΤΤΙΚΗΣ</t>
  </si>
  <si>
    <t>mail@8nip-irakl.att.sch.gr</t>
  </si>
  <si>
    <t xml:space="preserve"> ΗΡΑΚΛΕΙΟ ΑΤΤΙΚΗΣ</t>
  </si>
  <si>
    <t>ΥΜΗΤΤΟΥ ΚΑΙ ΠΕΝΤΕΛΗΣ</t>
  </si>
  <si>
    <t>13ο ΔΗΜΟΤΙΚΟ ΣΧΟΛΕΙΟ ΗΡΑΚΛΕΙΟΥ ΑΤΤΙΚΗΣ</t>
  </si>
  <si>
    <t>mail@13dim-n-irakl.att.sch.gr</t>
  </si>
  <si>
    <t xml:space="preserve"> Ηράκλειο, </t>
  </si>
  <si>
    <t>Αγίου Νεκταρίου 2 -</t>
  </si>
  <si>
    <t>9ο ΝΗΠΙΑΓΩΓΕΙΟ ΗΡΑΚΛΕΙΟΥ ΑΤΤΙΚΗΣ</t>
  </si>
  <si>
    <t>mail@9nip-irakl.att.sch.gr</t>
  </si>
  <si>
    <t>ΜΑΚΕΔΟΝΙΑΣ ΚΑΙ ΜΑΤΡΟΖΟΥ</t>
  </si>
  <si>
    <t>1ο Νηπιαγωγείο Χαλανδρίου</t>
  </si>
  <si>
    <t>mail@1nip-chalandr.att.sch.gr</t>
  </si>
  <si>
    <t>ΚΑΡΑΟΛΗ ΚΑΙ ΔΗΜΗΤΡΙΟΥ 32</t>
  </si>
  <si>
    <t>2ο ΝΗΠΙΑΓΩΓΕΙΟ ΧΑΛΑΝΔΡΙΟΥ</t>
  </si>
  <si>
    <t>mail@2nip-chalandr.att.sch.gr</t>
  </si>
  <si>
    <t>ΦΙΛΙΠΠΟΥ ΛΙΤΣΑ ΚΑΙ ΚΑΛΛΙΣΠΕΡΗ</t>
  </si>
  <si>
    <t>1ο ΝΗΠΙΑΓΩΓΕΙΟ ΠΕΝΤΕΛΗΣ</t>
  </si>
  <si>
    <t>mail@1nip-pentel.att.sch.gr</t>
  </si>
  <si>
    <t>ΤΣΑΚΩΝΑ 6</t>
  </si>
  <si>
    <t>1ο ΝΗΠΙΑΓΩΓΕΙΟ ΝΕΟΥ ΨΥΧΙΚΟΥ</t>
  </si>
  <si>
    <t>mail@1nip-n-psych.att.sch.gr</t>
  </si>
  <si>
    <t>ΟΜΗΡΟΥ ΚΑΙ ΣΕΦΕΡΗ 21</t>
  </si>
  <si>
    <t>1ο  ΝΗΠΙΑΓΩΓΕΙΟ ΠΑΠΑΓΟΥ</t>
  </si>
  <si>
    <t>mail@1nip-papag.att.sch.gr</t>
  </si>
  <si>
    <t>ΠΑΠΑΓΟΣ</t>
  </si>
  <si>
    <t>ΙΩΝΙΑΣ ΚΑΙ ΣΩΡΑΝΟΥ ΕΦΕΣΙΟΥ</t>
  </si>
  <si>
    <t>2ο ΝΗΠΙΑΓΩΓΕΙΟ ΒΡΙΛΗΣΣΙΩΝ</t>
  </si>
  <si>
    <t>2o.nipvrilission@gmail.com</t>
  </si>
  <si>
    <t>ΑΘ. ΔΙΑΚΟΥ 18</t>
  </si>
  <si>
    <t>2ο ΝΗΠΙΑΓΩΓΕΙΟ ΝΕΟΥ ΨΥΧΙΚΟΥ</t>
  </si>
  <si>
    <t>mail@2nip-n-psych.att.sch.gr</t>
  </si>
  <si>
    <t>ΣΟΥΛΙΟΥ ΚΑΙ ΠΑΡΙΤΣΗ</t>
  </si>
  <si>
    <t>2ο ΝΗΠΙΑΓΩΓΕΙΟ ΠΑΠΑΓΟΥ</t>
  </si>
  <si>
    <t>mail@2nip-papag.att.sch.gr</t>
  </si>
  <si>
    <t>3ο ΝΗΠΙΑΓΩΓΕΙΟ ΝΕΟΥ ΨΥΧΙΚΟΥ</t>
  </si>
  <si>
    <t>mail@3nip-n-psych.att.sch.gr</t>
  </si>
  <si>
    <t>3ο ΝΗΠΙΑΓΩΓΕΙΟ ΒΡΙΛΗΣΣΙΩΝ</t>
  </si>
  <si>
    <t>mail@3nip-vriliss.att.sch.gr</t>
  </si>
  <si>
    <t>ΤΕΙΡΕΣΙΟΥ 4</t>
  </si>
  <si>
    <t>3ο ΝΗΠΙΑΓΩΓΕΙΟ ΧΑΛΑΝΔΡΙΟΥ</t>
  </si>
  <si>
    <t>mail@3nip-chalandr.att.sch.gr</t>
  </si>
  <si>
    <t>ΔΕΡΒΕΝΑΚΙΩΝ 1</t>
  </si>
  <si>
    <t>4ο ΝΗΠΙΑΓΩΓΕΙΟ ΧΑΛΑΝΔΡΙΟΥ</t>
  </si>
  <si>
    <t>mail@4nip-chalandr.att.sch.gr</t>
  </si>
  <si>
    <t>ΑΡΙΣΤΟΦΑΝΟΥΣ-ΣΑΛΑΜΙΝΟΣ</t>
  </si>
  <si>
    <t>4ο ΝΗΠΙΑΓΩΓΕΙΟ ΒΡΙΛΗΣΣΙΩΝ</t>
  </si>
  <si>
    <t>mail@4nip-vriliss.att.sch.gr</t>
  </si>
  <si>
    <t>ΑΛΦΕΙΟΥ ΚΑΙ ΧΕΛΜΟΥ</t>
  </si>
  <si>
    <t>5ο  ΝΗΠΙΑΓΩΓΕΙΟ ΧΑΛΑΝΔΡΙΟΥ</t>
  </si>
  <si>
    <t>mail@5nip-chalandr.att.sch.gr</t>
  </si>
  <si>
    <t>ΑΡΓΥΡΟΚΑΣΤΡΟΥ 1 ΚΑΙ ΑΡΚΑΔΙΑΣ</t>
  </si>
  <si>
    <t>6ο ΝΗΠΙΑΓΩΓΕΙΟ ΒΡΙΛΗΣΣΙΩΝ</t>
  </si>
  <si>
    <t>mail@6nip-vriliss.att.sch.gr</t>
  </si>
  <si>
    <t>ΠΙΕΡΙΩΝ ΚΑΙ ΤΑΥΓΕΤΟΥ 16</t>
  </si>
  <si>
    <t>6ο ΝΗΠΙΑΓΩΓΕΙΟ ΧΑΛΑΝΔΡΙ</t>
  </si>
  <si>
    <t>mail@6nip-chalandr.att.sch.gr</t>
  </si>
  <si>
    <t>11ο ΝΗΠΙΑΓΩΓΕΙΟ ΧΑΛΑΝΔΡΙΟΥ</t>
  </si>
  <si>
    <t>mail@11nip-chalandr.att.sch.gr</t>
  </si>
  <si>
    <t>ΘΗΣΕΩΣ ΚΑΙ ΕΥΡΙΠΙΔΟΥ</t>
  </si>
  <si>
    <t>13ο  ΝΗΠΙΑΓΩΓΕΙΟ ΧΑΛΑΝΔΡΙΟΥ</t>
  </si>
  <si>
    <t>mail@13nip-chalandr.att.sch.gr</t>
  </si>
  <si>
    <t>ΟΛΥΜΠΟΥ  13</t>
  </si>
  <si>
    <t>14ο ΝΗΠΙΑΓΩΓΕΙΟ ΧΑΛΑΝΔΡΙΟΥ</t>
  </si>
  <si>
    <t>mail@14nip-chalandr.att.sch.gr</t>
  </si>
  <si>
    <t>15ο ΝΗΠΙΑΓΩΓΕΙΟ ΧΑΛΑΝΔΡΙΟΥ</t>
  </si>
  <si>
    <t>mail@15nip-chalandr.att.sch.gr</t>
  </si>
  <si>
    <t>ΙΩΑΝΝΙΝΩΝ ΚΑΙ ΤΑΥΓΕΤΟΥ</t>
  </si>
  <si>
    <t>8ο ΝΗΠΙΑΓΩΓΕΙΟ ΧΑΛΑΝΔΡΙΟΥ</t>
  </si>
  <si>
    <t>mail@8nip-chalandr.att.sch.gr</t>
  </si>
  <si>
    <t>12ο ΝΗΠΙΑΓΩΓΕΙΟ ΝΕΟΥ ΗΡΑΚΛΕΙΟΥ</t>
  </si>
  <si>
    <t>mail@12nip-irakl.att.sch.gr</t>
  </si>
  <si>
    <t>ΚΙΘΑΙΡΩΝΟΣ 7-9</t>
  </si>
  <si>
    <t>mail@2dim-pefkis.att.sch.gr</t>
  </si>
  <si>
    <t>ΡΗΓΑ ΦΕΡΑΙΟΥ 17</t>
  </si>
  <si>
    <t>12ο ΝΗΠΙΑΓΩΓΕΙΟ ΧΑΛΑΝΔΡΙΟΥ</t>
  </si>
  <si>
    <t>mail@12nip-chalandr.att.sch.gr</t>
  </si>
  <si>
    <t>ΑΝΔΡΟΥΤΣΟΥ ΚΑΙ ΖΑΛΟΓΓΟΥ 13</t>
  </si>
  <si>
    <t>mail@14dim-chalandr.att.sch.gr</t>
  </si>
  <si>
    <t>ΝΗΠΙΑΓΩΓΕΙΟ ΝΕΑΣ ΠΕΝΤΕΛΗΣ</t>
  </si>
  <si>
    <t>nipnpent@sch.gr</t>
  </si>
  <si>
    <t>14ο ΔΗΜΟΤΙΚΟ ΣΧΟΛΕΙΟ ΝΕΑΣ ΙΩΝΙΑΣ</t>
  </si>
  <si>
    <t>mail@14dim-n-ionias.att.sch.gr</t>
  </si>
  <si>
    <t>ΝΕΑ   ΙΩΝΙΑ</t>
  </si>
  <si>
    <t>ΑΦΡΟΔΙΤΗΣ 50 &amp; ΚΥΜΗΣ</t>
  </si>
  <si>
    <t>18ο ΝΗΠΙΑΓΩΓΕΙΟ ΑΜΑΡΟΥΣΙΟΥ</t>
  </si>
  <si>
    <t>mail@18nip-amarous.att.sch.gr</t>
  </si>
  <si>
    <t>ΙΩΝΟΣ 14 και ΣΥΓΓΡΟΥ</t>
  </si>
  <si>
    <t>2ο ΝΗΠΙΑΓΩΓΕΙΟ ΝΕΑΣ ΕΡΥΘΡΑΙΑΣ</t>
  </si>
  <si>
    <t>mail@2nip-n-erythr.att.sch.gr</t>
  </si>
  <si>
    <t>Ν.ΕΡΥΘΡΑΙΑ</t>
  </si>
  <si>
    <t>ΠΕΡΓΑΜΟΥ ΚΑΙ ΣΚΟΥΦΑ</t>
  </si>
  <si>
    <t>1ο ΝΗΠΙΑΓΩΓΕΙΟ ΜΕΛΙΣΣΙΩΝ</t>
  </si>
  <si>
    <t>mail@1nip-meliss.att.sch.gr</t>
  </si>
  <si>
    <t>Δ.ΠΛΑΚΕΝΤΙΑΣ 9</t>
  </si>
  <si>
    <t>7ο ΝΗΠΙΑΓΩΓΕΙΟ ΜΕΤΑΜΟΡΦΩΣΗΣ</t>
  </si>
  <si>
    <t>mail@7nip-metam.att.sch.gr</t>
  </si>
  <si>
    <t>ΙΕΡΟΥ ΛΟΧΟΥ 11</t>
  </si>
  <si>
    <t>10ο ΝΗΠΙΑΓΩΓΕΙΟ ΗΡΑΚΛΕΙΟΥ</t>
  </si>
  <si>
    <t>mail@10nip-irakl.att.sch.gr</t>
  </si>
  <si>
    <t>ΖΩΟΔΟΧΟΥ ΠΗΓΗΣ 11</t>
  </si>
  <si>
    <t>14ο ΝΗΠΙΑΓΩΓΕΙΟ ΝΕΟΥ ΗΡΑΚΛΕΙΟΥ</t>
  </si>
  <si>
    <t>mail@14nip-n-irakl.att.sch.gr</t>
  </si>
  <si>
    <t>ΠΛΑΠΟΥΤΑ ΚΑΙ ΑΓΝΩΣΤΩΝ  ΗΡΩΩΝ 1</t>
  </si>
  <si>
    <t>9ο ΝΗΠΙΑΓΩΓΕΙΟ ΝΕΑΣ ΙΩΝΙΑΣ</t>
  </si>
  <si>
    <t>mail@9nip-n-ionias.att.sch.gr</t>
  </si>
  <si>
    <t>ΒΥΖΑΝΤΙΝΩΝ ΑΥΤΟΚΡΑΤΟΡΩΝ ΚΑΙ ΚΙΡΚΙΝΗΣ</t>
  </si>
  <si>
    <t>13ο ΝΗΠΙΑΓΩΓΕΙΟ ΝΕΑΣ ΙΩΝΙΑΣ</t>
  </si>
  <si>
    <t>mail@13nip-n-ionias.att.sch.gr</t>
  </si>
  <si>
    <t>ΑΓΙΑΣ ΛΑΥΡΑΣ 43 &amp; ΛΕΥΚΩΣΙΑΣ 5</t>
  </si>
  <si>
    <t>14ο ΝΗΠΙΑΓΩΓΕΙΟ ΝΕΑΣ ΙΩΝΙΑΣ</t>
  </si>
  <si>
    <t>mail@14nip-n-ionias.att.sch.gr</t>
  </si>
  <si>
    <t>ΟΜΟΡΦΟΚΚΛΗΣΙΑΣ ΚΑΙ ΤΥΡΟΛΟΗΣ 2</t>
  </si>
  <si>
    <t>7ο ΔΗΜΟΤΙΚΟ ΣΧΟΛΕΙΟ ΜΕΤΑΜΟΡΦΩΣΗΣ</t>
  </si>
  <si>
    <t>mail@7dim-metam.att.sch.gr</t>
  </si>
  <si>
    <t>ΙΕΡΟΥ ΛΟΧΟΥ 9</t>
  </si>
  <si>
    <t>1ο ΔΗΜΟΤΙΚΟ ΣΧΟΛΕΙΟ ΧΑΛΑΝΔΡΙΟΥ</t>
  </si>
  <si>
    <t>mail@1dim-chalandr.att.sch.gr</t>
  </si>
  <si>
    <t>ΑΡΙΣΤΟΦΑΝΟΥΣ  42</t>
  </si>
  <si>
    <t>ΕΙΔΙΚΟ ΔΗΜΟΤΙΚΟ ΣΧΟΛΕΙΟ ΗΡΑΚΛΕΙΟΥ ΑΤΤΙΚΗΣ</t>
  </si>
  <si>
    <t>mail@dim-eid-n-irakl.att.sch.gr</t>
  </si>
  <si>
    <t>7ο ΔΗΜΟΤΙΚΟ ΣΧΟΛΕΙΟ ΚΗΦΙΣΙΑΣ</t>
  </si>
  <si>
    <t>mail@7dim-kifis.att.sch.gr</t>
  </si>
  <si>
    <t>ΠΛΑΤΕΙΑ ΠΟΛΙΤΕΙΑΣ</t>
  </si>
  <si>
    <t>12 ΝΗΠΙΑΓΩΓΕΙΟ ΑΜΑΡΟΥΣΙΟΥ</t>
  </si>
  <si>
    <t>mail@12nip-amarous.att.sch.gr</t>
  </si>
  <si>
    <t>12ο ΔΗΜΟΤΙΚΟ ΣΧΟΛΕΙΟ ΗΡΑΚΛΕΙΟΥ ΑΤΤΙΚΗΣ</t>
  </si>
  <si>
    <t>mail@12dim-n-irakl.att.sch.gr</t>
  </si>
  <si>
    <t>1ο ΝΗΠΙΑΓΩΓΕΙΟ ΛΥΚΟΒΡΥΣΗΣ</t>
  </si>
  <si>
    <t>mail@1nip-lykovr.att.sch.gr</t>
  </si>
  <si>
    <t>ΛΕΛΑΣ ΚΑΡΑΓΙΑΝΝΗ 21</t>
  </si>
  <si>
    <t>4ο ΝΗΠΙΑΓΩΓΕΙΟ ΝΕΑΣ ΙΩΝΙΑΣ</t>
  </si>
  <si>
    <t>mail@4nip-n-ionias.att.sch.gr</t>
  </si>
  <si>
    <t>ΙΚΟΝΙΟΥ 12</t>
  </si>
  <si>
    <t>8ο ΝΗΠΙΑΓΩΓΕΙΟ ΜΕΤΑΜΟΡΦΩΣΗΣ</t>
  </si>
  <si>
    <t>mail@8nip-metam.att.sch.gr</t>
  </si>
  <si>
    <t>ΔΗΜΗΤΣΑΝΗΣ 1</t>
  </si>
  <si>
    <t>4ο ΔΗΜΟΤΙΚΟ ΣΧΟΛΕΙΟ ΠΕΥΚΗΣ</t>
  </si>
  <si>
    <t>mail@4dim-pefkis.att.sch.gr</t>
  </si>
  <si>
    <t>ΒΡΥΟΥΛΩΝ 27</t>
  </si>
  <si>
    <t>2dimnirakl@sch.gr</t>
  </si>
  <si>
    <t>ΕΥΤΥΧΙΑΣ 2 &amp; ΧΡΥΣΑΝΘΕΜΩΝ</t>
  </si>
  <si>
    <t>mail@3dim-n-irakl.att.sch.gr</t>
  </si>
  <si>
    <t>Ευριπίδου 9</t>
  </si>
  <si>
    <t>ΔΗΜΟΤΙΚΟ ΣΧΟΛΕΙΟ ΕΚΑΛΗΣ</t>
  </si>
  <si>
    <t>mail@dim-ekalis.att.sch.gr</t>
  </si>
  <si>
    <t>ΔΕΚΕΛΕΙΑΣ ΚΑΙ ΦΑΣΙΔΕΡΗ</t>
  </si>
  <si>
    <t>7ο ΔΗΜΟΤΙΚΟ ΣΧΟΛΕΙΟ ΗΡΑΚΛΕΙΟΥ ΑΤΤΙΚΗΣ</t>
  </si>
  <si>
    <t>mail@7dim-irakl.att.sch.gr</t>
  </si>
  <si>
    <t xml:space="preserve">ΗΡΑΚΛΕΙΟ </t>
  </si>
  <si>
    <t>ΚΑΖΑΝΤΖΑΚΗ 21</t>
  </si>
  <si>
    <t>mail@4dim-n-irakl.att.sch.gr</t>
  </si>
  <si>
    <t>ΝΕΟ ΗΡΑΚΛΕΙΟ</t>
  </si>
  <si>
    <t>ΑΛΩΝΙΩΝ ΚΑΙ ΙΑΚΩΒΙΔΟΥ</t>
  </si>
  <si>
    <t>1ο  ΔΗΜΟΤΙΚΟ ΣΧΟΛΕΙΟ  ΗΡΑΚΛΕΙΟΥ ΑΤΤΙΚΗΣ</t>
  </si>
  <si>
    <t>mail@1dim-n-irakl.att.sch.gr</t>
  </si>
  <si>
    <t>ΣΟΦΙΑΣ ΚΑΙ ΝΕΟΤΗΤΟΣ</t>
  </si>
  <si>
    <t>mail@2dim-lykovr.att.sch.gr</t>
  </si>
  <si>
    <t>ΑΓΙΑΣ ΛΑΥΡΑΣ ΚΑΙ ΡΙΜΙΝΙ</t>
  </si>
  <si>
    <t>mail@2dim-metam.att.sch.gr</t>
  </si>
  <si>
    <t>Δ.ΣΟΛΩΜΟΥ -ΑΓ. ΒΑΡΒΑΡΑΣ 1</t>
  </si>
  <si>
    <t>mail@3dim-metam.att.sch.gr</t>
  </si>
  <si>
    <t>ΚΟΖΑΝΗΣ 16</t>
  </si>
  <si>
    <t>5ο  ΔΗΜΟΤΙΚΟ ΣΧΟΛΕΙΟ ΜΕΤΑΜΟΡΦΩΣΗΣ</t>
  </si>
  <si>
    <t>mail@5dim-metam.att.sch.gr</t>
  </si>
  <si>
    <t>ΑΔΡΙΑΝΕΙΟΥ 11</t>
  </si>
  <si>
    <t>mail@3dim-n-ionias.att.sch.gr</t>
  </si>
  <si>
    <t>ΡΗΓΑ ΦΕΡΑΙΟΥ 5</t>
  </si>
  <si>
    <t>4ο ΔΗΜΟΤΙΚΟ ΣΧΟΛΕΙΟ ΜΕΛΙΣΣΙΩΝ</t>
  </si>
  <si>
    <t>mail@4dim-meliss.att.sch.gr</t>
  </si>
  <si>
    <t>15ο ΔΗΜΟΤΙΚΟ ΣΧΟΛΕΙΟ ΝΕΑΣ ΙΩΝΙΑΣ</t>
  </si>
  <si>
    <t>mail@15dim-n-ionias.att.sch.gr</t>
  </si>
  <si>
    <t>ΦΕΡΤΕΚΙΟΥ  1</t>
  </si>
  <si>
    <t>16ο ΔΗΜΟΤΙΚΟ ΣΧΟΛΕΙΟ ΝΕΑΣ ΙΩΝΙΑΣ.</t>
  </si>
  <si>
    <t>mail@16dim-n-ionias.att.sch.gr</t>
  </si>
  <si>
    <t>mail@2dim-kifis.att.sch.gr</t>
  </si>
  <si>
    <t>Λ. ΚΗΦΙΣΙΑΣ 282</t>
  </si>
  <si>
    <t>ΔΗΜΟΤΙΚΟ ΣΧΟΛΕΙΟ ΔΙΑΠΟΛΙΤΙΣΜΙΚΗΣ ΕΚΠΑΙΔΕΥΣΗΣ ΑΛΣΟΥΠΟΛΗΣ</t>
  </si>
  <si>
    <t>mail@dim-diap-n-ionias.att.sch.gr</t>
  </si>
  <si>
    <t>ΕΛΕΥΘΕΡΙΑΣ 18</t>
  </si>
  <si>
    <t>mail@11dim-ag-parask.att.sch.gr</t>
  </si>
  <si>
    <t>6ο ΔΗΜΟΤΙΚΟ ΣΧΟΛΕΙΟ ΧΟΛΑΡΓΟΥ</t>
  </si>
  <si>
    <t>mail@6dim-cholarg.att.sch.gr</t>
  </si>
  <si>
    <t>ΠΕΡΙΚΛΕΟΥΣ 53</t>
  </si>
  <si>
    <t>4ο ΔΗΜΟΤΙΚΟ ΣΧΟΛΕΙΟ ΧΟΛΑΡΓΟΥ</t>
  </si>
  <si>
    <t>mail@4dim-cholarg.att.sch.gr</t>
  </si>
  <si>
    <t>Χολαργός</t>
  </si>
  <si>
    <t>Τήνου 4</t>
  </si>
  <si>
    <t>mail@1dim-cholarg.att.sch.gr</t>
  </si>
  <si>
    <t>mail@3dim-ag-parask.att.sch.gr</t>
  </si>
  <si>
    <t>ΜΠΟΥΜΠΟΥΛΙΝΑΣ 4</t>
  </si>
  <si>
    <t>4ο  ΔΗΜΟΤΙΚΟ ΣΧΟΛΕΙΟ ΑΓΙΑΣ ΠΑΡΑΣΚΕΥΗΣ</t>
  </si>
  <si>
    <t>mail@4dim-ag-parask.att.sch.gr</t>
  </si>
  <si>
    <t>ΧΙΟΥ ΚΑΙ ΤΣΙΜΙΣΚΗ</t>
  </si>
  <si>
    <t>mail@6dim-ag-parask.att.sch.gr</t>
  </si>
  <si>
    <t>ΧΕΙΜΑΡΡΑΣ 9</t>
  </si>
  <si>
    <t>mail@3dim-kifis.att.sch.gr</t>
  </si>
  <si>
    <t>ΠΗΓΩΝ 4</t>
  </si>
  <si>
    <t>5ο ΝΗΠΙΑΓΩΓΕΙΟ ΜΕΤΑΜΟΡΦΩΣΗΣ</t>
  </si>
  <si>
    <t>mail@5nip-metam.att.sch.gr</t>
  </si>
  <si>
    <t>ΦΙΛΙΠΠΟΥ 7</t>
  </si>
  <si>
    <t>6ο ΝΗΠΙΑΓΩΓΕΙΟ ΗΡΑΚΛΕΙΟΥ ΑΤΤΙΚΗΣ</t>
  </si>
  <si>
    <t>6nipirakl@sch.gr</t>
  </si>
  <si>
    <t xml:space="preserve"> ΗΡΑΚΛΕΙΟΥ ΑΤΤΙΚΗΣ</t>
  </si>
  <si>
    <t>ΙΩΑΝΝΙΝΩΝ 34</t>
  </si>
  <si>
    <t>mail@1dim-metam.att.sch.gr</t>
  </si>
  <si>
    <t>ΙΩΑΝΝΟΥ ΚΟΤΤΟΥ 34</t>
  </si>
  <si>
    <t>mail@1dim-lykovr.att.sch.gr</t>
  </si>
  <si>
    <t>ΑΓΙΑΣ ΒΑΡΒΑΡΑΣ 28</t>
  </si>
  <si>
    <t>mail@4dim-n-ionias.att.sch.gr</t>
  </si>
  <si>
    <t>ΠΑΤΡΙΑΡΧΟΥ  ΙΩΑΚΕΙΜ 2</t>
  </si>
  <si>
    <t>mail@5dim-n-irakl.att.sch.gr</t>
  </si>
  <si>
    <t>ΑΝΑΓΕΝΝΗΣΕΩΣ  22</t>
  </si>
  <si>
    <t>mail@6dim-metam.att.sch.gr</t>
  </si>
  <si>
    <t>ΠΑΡΝΗΘΟΣ 20</t>
  </si>
  <si>
    <t>6ο ΔΗΜΟΤΙΚΟ ΣΧΟΛΕΙΟ ΗΡΑΚΛΕΙΟΥ ΑΤΤΙΚΗΣ</t>
  </si>
  <si>
    <t>mail@6dim-irakl.att.sch.gr</t>
  </si>
  <si>
    <t>ΠΕΝΤΕΛΗΣ 10</t>
  </si>
  <si>
    <t>mail@6dim-n-ionias.att.sch.gr</t>
  </si>
  <si>
    <t>ΠΛΑΤΕΙΑ ΤΥΑΝΩΝ 1</t>
  </si>
  <si>
    <t>9ο ΝΗΠΙΑΓΩΓΕΙΟ ΜΕΤΑΜΟΡΦΩΣΗΣ</t>
  </si>
  <si>
    <t>mail@9nip-metam.att.sch.gr</t>
  </si>
  <si>
    <t>ΒΑΛΑΩΡΙΤΟΥ 4</t>
  </si>
  <si>
    <t>3ο ΔΗΜΟΤΙΚΟ ΣΧΟΛΕΙΟ ΛΥΚΟΒΡΥΣΗ ΑΤΤΙΚΗΣ</t>
  </si>
  <si>
    <t>4ο ΝΗΠΙΑΓΩΓΕΙΟ ΛΥΚΟΒΡΥΣΗΣ</t>
  </si>
  <si>
    <t>mail@4nip-lykovr.att.sch.gr</t>
  </si>
  <si>
    <t>ΞΑΝΘΗΣ ΚΑΙ ΜΠΕΝΙΣΗ 17</t>
  </si>
  <si>
    <t>10ο ΝΗΠΙΑΓΩΓΕΙΟ ΜΕΤΑΜΟΡΦΩΣΗΣ</t>
  </si>
  <si>
    <t>12ο  ΝΗΠΙΑΓΩΓΕΙΟ ΝΕΑΣ ΙΩΝΙΑΣ</t>
  </si>
  <si>
    <t>mail@12nip-n-ionias.att.sch.gr</t>
  </si>
  <si>
    <t>ΜΕΤΡΩΝ ΚΑΙ ΚΙΛΚΙΣ 1</t>
  </si>
  <si>
    <t>15ο ΝΗΠΙΑΓΩΓΕΙΟ ΝΕΑΣ ΙΩΝΙΑΣ</t>
  </si>
  <si>
    <t>mail@15nip-n-ionias.att.sch.gr</t>
  </si>
  <si>
    <t>ΦΕΡΤΕΚΙΟΥ 1 - ΠΛ. ΤΣΑΛΔΑΡΗ</t>
  </si>
  <si>
    <t>16ο ΝΗΠΙΑΓΩΓΕΙΟ ΝΕΑΣ ΙΩΝΙΑΣ</t>
  </si>
  <si>
    <t>mail@16nip-n-ionias.att.sch.gr</t>
  </si>
  <si>
    <t>ΑΛΣΟΥΠΟΛΕΩΣ 42</t>
  </si>
  <si>
    <t>23ο ΝΗΠΙΑΓΩΓΕΙΟ ΝΕΑΣ ΙΩΝΙΑΣ</t>
  </si>
  <si>
    <t>mail@23nip-n-ionias.att.sch.gr</t>
  </si>
  <si>
    <t>ΑΝΤΙΓΟΝΗΣ 1 ΚΑΙ ΙΣΜΗΝΗΣ</t>
  </si>
  <si>
    <t>mail@8dim-n-ionias.att.sch.gr</t>
  </si>
  <si>
    <t>ΜΙΛΗΤΟΥ 2</t>
  </si>
  <si>
    <t>9ο ΔΗΜΟΤΙΚΟ ΣΧΟΛΕΙΟ ΝΕΑΣ ΙΩΝΙΑΣ</t>
  </si>
  <si>
    <t>mail@9dim-n-ionias.att.sch.gr</t>
  </si>
  <si>
    <t>ΜΟΥΤΑΛΑΣΚΗ 64</t>
  </si>
  <si>
    <t>mail@10dim-n-ionias.att.sch.gr</t>
  </si>
  <si>
    <t>ΤΗΝΟΥ  21- ΑΛΣΟΥΠΟΛΗ</t>
  </si>
  <si>
    <t>mail@11dim-n-ionias.att.sch.gr</t>
  </si>
  <si>
    <t>ΚΑΠΟΔΙΣΤΡΙΟΥ 1</t>
  </si>
  <si>
    <t>mail@16dim-chalandr.att.sch.gr</t>
  </si>
  <si>
    <t>Γ. ΠΑΠΑΝΙΚΟΛΑΟΥ 2</t>
  </si>
  <si>
    <t>ΝΗΠΙΑΓΩΓΕΙΟ ΦΙΛΟΘΕΗΣ</t>
  </si>
  <si>
    <t>mail@nip-filoth.att.sch.gr</t>
  </si>
  <si>
    <t>ΖΩΣΙΜΑ 3</t>
  </si>
  <si>
    <t>2ο ΝΗΠΙΑΓΩΓΕΙΟ ΠΕΝΤΕΛΗΣ</t>
  </si>
  <si>
    <t>mail@2nip-pentel.att.sch.gr</t>
  </si>
  <si>
    <t>Αθηνάς 2 και Ιάσονος</t>
  </si>
  <si>
    <t>2ο ΔΗΜΟΤΙΚΟ ΣΧΟΛΕΙΟ ΠΕΝΤΕΛΗΣ</t>
  </si>
  <si>
    <t>mail@2dim-pentel.att.sch.gr</t>
  </si>
  <si>
    <t>ΚΑΛΛΙΘΕΑ ΠΕΝΤΕΛΗΣ</t>
  </si>
  <si>
    <t>ΗΡΑΣ 4 ΚΑΙ ΙΑΣΟΝΟΣ</t>
  </si>
  <si>
    <t>16ο ΝΗΠΙΑΓΩΓΕΙΟ ΧΑΛΑΝΔΡΙΟΥ</t>
  </si>
  <si>
    <t>mail@16nip-chalandr.att.sch.gr</t>
  </si>
  <si>
    <t>ΠΑΠΑΝΙΚΟΛΑΟΥ 2</t>
  </si>
  <si>
    <t>7ο ΝΗΠΙΑΓΩΓΕΙΟ ΒΡΙΛΗΣΣΙΩΝ</t>
  </si>
  <si>
    <t>mail@7nip-vriliss.att.sch.gr</t>
  </si>
  <si>
    <t>ΠΑΣΧΑΛΙΔΗ 1</t>
  </si>
  <si>
    <t>12ο ΔΗΜΟΤΙΚΟ ΣΧΟΛΕΙΟ ΑΓΙΑΣ ΠΑΡΑΣΚΕΥΗΣ</t>
  </si>
  <si>
    <t>mail@12dim-ag-parask.att.sch.gr</t>
  </si>
  <si>
    <t>14ο ΝΗΠΙΑΓΩΓΕΙΟ ΑΓΙΑΣ ΠΑΡΑΣΚΕΥΗΣ</t>
  </si>
  <si>
    <t>3ο ΝΗΠΙΑΓΩΓΕΙΟ ΠΑΠΑΓΟΥ</t>
  </si>
  <si>
    <t>mail@3nip-papag.att.sch.gr</t>
  </si>
  <si>
    <t>ΡΟΔΟΠΗΣ  3</t>
  </si>
  <si>
    <t>2ο ΝΗΠΙΑΓΩΓΕΙΟ ΨΥΧΙΚΟ - ΝΗΠΙΑΓΩΓΕΙΟ ΨΥΧΙΚΟΥ</t>
  </si>
  <si>
    <t xml:space="preserve"> ΨΥΧΙΚΟ</t>
  </si>
  <si>
    <t>2ο ΝΗΠΙΑΓΩΓΕΙΟ ΦΙΛΟΘΕΗ</t>
  </si>
  <si>
    <t>10ο ΝΗΠΙΑΓΩΓΕΙΟ ΚΗΦΙΣΙΑΣ</t>
  </si>
  <si>
    <t>mail@10nip-kifis.att.sch.gr</t>
  </si>
  <si>
    <t>ΑΦΡΟΔΙΤΗΣ &amp; ΜΑΝΤΕΛΟΥ</t>
  </si>
  <si>
    <t>6ο ΝΗΠΙΑΓΩΓΕΙΟ ΜΕΛΙΣΣΙΩΝ</t>
  </si>
  <si>
    <t>mail@6nip-meliss.att.sch.gr</t>
  </si>
  <si>
    <t>ΔΟΥΚΙΣΣΗΣ ΠΛΑΚΕΝΤΙΑΣ 9</t>
  </si>
  <si>
    <t>3ο ΝΗΠΙΑΓΩΓΕΙΟ ΝΕΑΣ ΕΡΥΘΡΑΙΑΣ</t>
  </si>
  <si>
    <t>mail@3nip-n-erythr.att.sch.gr</t>
  </si>
  <si>
    <t>ΠΑΝΟΡΜΟΥ 3</t>
  </si>
  <si>
    <t>ΠΙΤΤΑΚΟΥ 5</t>
  </si>
  <si>
    <t>ΕΙΔΙΚΟ ΔΗΜΟΤΙΚΟ ΣΧΟΛΕΙΟ ΜΕΤΑΜΟΡΦΩΣΗΣ</t>
  </si>
  <si>
    <t>mail@dim-eid-metam.att.sch.gr</t>
  </si>
  <si>
    <t>ΗΡΟΔΟΤΟΥ  ΚΑΙ ΠΛΟΥΤΩΝΟΣ 1</t>
  </si>
  <si>
    <t>ΕΙΔΙΚΟ ΝΗΠΙΑΓΩΓΕΙΟ ΜΕΤΑΜΟΡΦΩΣΗ</t>
  </si>
  <si>
    <t>ΦΙΛΑΔΕΛΦΕΙΑ</t>
  </si>
  <si>
    <t>17ο ΔΗΜΟΤΙΚΟ ΣΧΟΛΕΙΟ ΧΑΛΑΝΔΡΙ</t>
  </si>
  <si>
    <t>Α 2</t>
  </si>
  <si>
    <t>9ο ΔΗΜΟΤΙΚΟ ΣΧΟΛΕΙΟ ΚΗΦΙΣΙΑΣ</t>
  </si>
  <si>
    <t>17ο ΝΗΠΙΑΓΩΓΕΙΟ ΧΑΛΑΝΔΡΙ</t>
  </si>
  <si>
    <t>6ο ΝΗΠΙΑΓΩΓΕΙΟ ΠΕΥΚΗ</t>
  </si>
  <si>
    <t>10ο ΔΗΜΟΤΙΚΟ ΣΧΟΛΕΙΟ ΚΗΦΙΣΙΑ</t>
  </si>
  <si>
    <t>6ο  ΝΗΠΙΑΓΩΓΕΙΟ ΧΟΛΑΡΓΟΥ</t>
  </si>
  <si>
    <t>mail@6nip-cholarg.att.sch.gr</t>
  </si>
  <si>
    <t>Περικλέους 53</t>
  </si>
  <si>
    <t>24ο 2/Θ ΝΗΠΙΑΓΩΓΕΙΟ ΝΕΑΣ ΙΩΝΙΑΣ</t>
  </si>
  <si>
    <t>4ο ΔΗΜΟΤΙΚΟ ΣΧΟΛΕΙΟ ΠΑΠΑΓΟΥ</t>
  </si>
  <si>
    <t>15ο ΝΗΠΙΑΓΩΓΕΙΟ ΑΓΙΑΣ ΠΑΡΑΣΚΕΥΗΣ</t>
  </si>
  <si>
    <t>7ο ΝΗΠΙΑΓΩΓΕΙΟ ΧΟΛΑΡΓΟΥ</t>
  </si>
  <si>
    <t>4ο ΝΗΠΙΑΓΩΓΕΙΟ ΠΑΠΑΓΟΥ</t>
  </si>
  <si>
    <t>ΔΙΕΥΘΥΝΣΗ Π.Ε. Γ΄ ΑΘΗΝΑΣ</t>
  </si>
  <si>
    <t>3ο ΝΗΠΙΑΓΩΓΕΙΟ ΠΕΡΙΣΤΕΡΙΟΥ</t>
  </si>
  <si>
    <t>mail@3nip-perist.att.sch.gr</t>
  </si>
  <si>
    <t>ΘΑΛΗ 73</t>
  </si>
  <si>
    <t>49ο ΝΗΠΙΑΓΩΓΕΙΟ ΠΕΡΙΣΤΕΡΙΟΥ</t>
  </si>
  <si>
    <t>mail@49nip-perist.att.sch.gr</t>
  </si>
  <si>
    <t>ΠΕΛΟΠΙΔΑ 177</t>
  </si>
  <si>
    <t>mail@5dim-petroup.att.sch.gr</t>
  </si>
  <si>
    <t>ΚΕΡΑΣΟΒΟΥ ΚΑΙ ΑΓΙΟΥ ΠΟΛΥΚΑΡΠΟΥ</t>
  </si>
  <si>
    <t>34ο ΝΗΠΙΑΓΩΓΕΙΟ ΠΕΡΙΣΤΕΡΙΟΥ</t>
  </si>
  <si>
    <t>mail@34nip-perist.att.sch.gr</t>
  </si>
  <si>
    <t>ΤΕΛΑΜΩΝΟΣ 26</t>
  </si>
  <si>
    <t>47ο ΝΗΠΙΑΓΩΓΕΙΟ ΠΕΡΙΣΤΕΡΙΟΥ</t>
  </si>
  <si>
    <t>mail@47nip-perist.att.sch.gr</t>
  </si>
  <si>
    <t>35ο ΝΗΠΙΑΓΩΓΕΙΟ ΠΕΡΙΣΤΕΡΙΟΥ</t>
  </si>
  <si>
    <t>mail@35nip-perist.att.sch.gr</t>
  </si>
  <si>
    <t>ΕΘΝΙΚΗΣ ΑΝΤΙΣΤΑΣΕΩΣ &amp; ΚΑΣΤΟΡΙΑΣ 1</t>
  </si>
  <si>
    <t>32ο ΝΗΠΙΑΓΩΓΕΙΟ ΠΕΡΙΣΤΕΡΙΟΥ</t>
  </si>
  <si>
    <t>mail@32nip-perist.att.sch.gr</t>
  </si>
  <si>
    <t>ΠΕΥΚΩΝ ΚΑΙ ΚΑΚΤΟΥ</t>
  </si>
  <si>
    <t>40ο ΝΗΠΙΑΓΩΓΕΙΟ ΠΕΡΙΣΤΕΡΙΟΥ</t>
  </si>
  <si>
    <t>mail@40nip-perist.att.sch.gr</t>
  </si>
  <si>
    <t>29ο ΝΗΠΙΑΓΩΓΕΙΟ ΠΕΡΙΣΤΕΡΙΟΥ</t>
  </si>
  <si>
    <t>mail@29nip-perist.att.sch.gr</t>
  </si>
  <si>
    <t>ΤΑΤΑΚΗ 1</t>
  </si>
  <si>
    <t>31ο ΝΗΠΙΑΓΩΓΕΙΟ ΠΕΡΙΣΤΕΡΙΟΥ</t>
  </si>
  <si>
    <t>mail@31nip-perist.att.sch.gr</t>
  </si>
  <si>
    <t>ΦΙΛΙΚΩΝ 8</t>
  </si>
  <si>
    <t>2ο ΝΗΠΙΑΓΩΓΕΙΟ ΠΕΡΙΣΤΕΡΙΟΥ</t>
  </si>
  <si>
    <t>mail@2nip-perist.att.sch.gr</t>
  </si>
  <si>
    <t>ΑΓΙΟΥ ΒΑΣΙΛΕΙΟΥ 43</t>
  </si>
  <si>
    <t>22ο ΝΗΠΙΑΓΩΓΕΙΟ ΠΕΡΙΣΤΕΡΙΟΥ</t>
  </si>
  <si>
    <t>mail@22nip-perist.att.sch.gr</t>
  </si>
  <si>
    <t>ΠΕΛΑΣΓΙΑΣ ΚΑΙ ΠΡΕΣΠΑΣ</t>
  </si>
  <si>
    <t>43ο ΝΗΠΙΑΓΩΓΕΙΟ ΠΕΡΙΣΤΕΡΙΟΥ</t>
  </si>
  <si>
    <t>mail@43nip-perist.att.sch.gr</t>
  </si>
  <si>
    <t>ΚΟΡΙΝΗΣ 46</t>
  </si>
  <si>
    <t>39ο ΝΗΠΙΑΓΩΓΕΙΟ ΠΕΡΙΣΤΕΡΙΟΥ</t>
  </si>
  <si>
    <t>mail@39nip-perist.att.sch.gr</t>
  </si>
  <si>
    <t>ΛΥΣΙΜΑΧΟΥ ΚΑΙ ΔΡΑΓΟΥΜΗ 56</t>
  </si>
  <si>
    <t>mail@5dim-ag-anarg.att.sch.gr</t>
  </si>
  <si>
    <t>ΠΑΡΝΗΘΟΣ 1</t>
  </si>
  <si>
    <t>11ο ΝΗΠΙΑΓΩΓΕΙΟ ΑΓΙΑΣ ΒΑΡΒΑΡΑΣ</t>
  </si>
  <si>
    <t>mail@11nip-ag-varvar.att.sch.gr</t>
  </si>
  <si>
    <t>ΚΑΡΑΟΛΗ ΚΑΙ ΛΥΚΟΥΡΓΟΥ 9</t>
  </si>
  <si>
    <t>5ο ΝΗΠΙΑΓΩΓΕΙΟ ΑΓΙΑΣ ΒΑΡΒΑΡΑΣ</t>
  </si>
  <si>
    <t>mail@5nip-ag-varvar.att.sch.gr</t>
  </si>
  <si>
    <t>ΠΕΛΟΠΟΝΝΗΣΟΥ 13</t>
  </si>
  <si>
    <t>4ο ΝΗΠΙΑΓΩΓΕΙΟ ΠΕΡΙΣΤΕΡΙΟΥ</t>
  </si>
  <si>
    <t>mail@4nip-perist.att.sch.gr</t>
  </si>
  <si>
    <t>ΜΕΣΣΗΝΙΑΣ ΚΑΙ ΕΛΕΥΘΕΡΙΑΣ 6</t>
  </si>
  <si>
    <t>26ο ΝΗΠΙΑΓΩΓΕΙΟ ΠΕΡΙΣΤΕΡΙΟΥ</t>
  </si>
  <si>
    <t>mail@26nip-perist.att.sch.gr</t>
  </si>
  <si>
    <t>41ο ΝΗΠΙΑΓΩΓΕΙΟ ΠΕΡΙΣΤΕΡΙΟΥ</t>
  </si>
  <si>
    <t>mail@41nip-perist.att.sch.gr</t>
  </si>
  <si>
    <t>ΠΥΡΓΙΩΤΙΣΣΗΣ ΚΑΙ ΛΥΚΟΣΟΥΡΑΣ</t>
  </si>
  <si>
    <t>16ο ΝΗΠΙΑΓΩΓΕΙΟ ΠΕΡΙΣΤΕΡΙΟΥ</t>
  </si>
  <si>
    <t>mail@16nip-perist.att.sch.gr</t>
  </si>
  <si>
    <t>mail@5dim-chaid.att.sch.gr</t>
  </si>
  <si>
    <t>Χαϊδάρι</t>
  </si>
  <si>
    <t>ΠΑΡΝΗΘΟΣ &amp; ΔΟΞΗΣ</t>
  </si>
  <si>
    <t>2ο ΔΗΜΟΤΙΚΟ ΣΧΟΛΕΙΟ ΑΓΙΩΝ ΑΝΑΡΓΥΡΩΝ</t>
  </si>
  <si>
    <t>mail@2dim-ag-anarg.att.sch.gr</t>
  </si>
  <si>
    <t>ΑΛΕΞΙΟΥ ΔΙΑΚΟΥ 58</t>
  </si>
  <si>
    <t>10ο ΝΗΠΙΑΓΩΓΕΙΟ ΑΓΙΑΣ ΒΑΡΒΑΡΑΣ</t>
  </si>
  <si>
    <t>mail@10nip-ag-varvar.att.sch.gr</t>
  </si>
  <si>
    <t>ΠΑΠΑΔΙΑΜΑΝΤΗ ΚΑΙ ΔΕΛΗΓΙΑΝΝΗ</t>
  </si>
  <si>
    <t>8ο ΔΗΜΟΤΙΚΟ ΣΧΟΛΕΙΟ ΧΑΪΔΑΡΙΟΥ</t>
  </si>
  <si>
    <t>mail@8dim-chaid.att.sch.gr</t>
  </si>
  <si>
    <t>ΗΡΩΩΝ ΠΟΛΥΤΕΧΝΕΙΟΥ ΚΑΙ ΑΘΑΝΑΣΙΟΥ ΔΙΑΚΟΥ</t>
  </si>
  <si>
    <t>1ο ΝΗΠΙΑΓΩΓΕΙΟ ΑΙΓΑΛΕΩ</t>
  </si>
  <si>
    <t>mail@1nip-aigal.att.sch.gr</t>
  </si>
  <si>
    <t>ΣΜΥΡΝΗΣ 58 ΚΑΙ ΜΑΓΝΗΣΙΑΣ</t>
  </si>
  <si>
    <t>3ο ΝΗΠΙΑΓΩΓΕΙΟ ΑΓΙΑΣ ΒΑΡΒΑΡΑΣ</t>
  </si>
  <si>
    <t>mail@3nip-ag-varvar.att.sch.gr</t>
  </si>
  <si>
    <t>ΠΡΟΒΕΛΕΓΓΙΟΥ 14</t>
  </si>
  <si>
    <t>2ο ΝΗΠΙΑΓΩΓΕΙΟ ΙΛΙΟΥ</t>
  </si>
  <si>
    <t>mail@2nip-iliou.att.sch.gr</t>
  </si>
  <si>
    <t>ΕΥΑΓΓΕΛΙΣΤΡΙΑΣ 36</t>
  </si>
  <si>
    <t>28ο ΝΗΠΙΑΓΩΓΕΙΟ ΑΙΓΑΛΕΩ</t>
  </si>
  <si>
    <t>mail@28nip-aigal.att.sch.gr</t>
  </si>
  <si>
    <t>ΟΛΥΜΠΙΑΣ ΚΑΙ ΚΟΡΙΝΘΟΥ 1</t>
  </si>
  <si>
    <t>mail@8dim-aigal.att.sch.gr</t>
  </si>
  <si>
    <t>ΘΗΒΩΝ ΚΑΙ ΚΟΥΝΤΟΥΡΙΩΤΟΥ 14</t>
  </si>
  <si>
    <t>4ο ΝΗΠΙΑΓΩΓΕΙΟ ΑΙΓΑΛΕΩ</t>
  </si>
  <si>
    <t>mail@4nip-aigal.att.sch.gr</t>
  </si>
  <si>
    <t>ΒΕΛΕΣΤΙΝΟΥ 28</t>
  </si>
  <si>
    <t>11ο ΝΗΠΙΑΓΩΓΕΙΟ ΑΙΓΑΛΕΩ</t>
  </si>
  <si>
    <t>mail@11nip-aigal.att.sch.gr</t>
  </si>
  <si>
    <t>ΖΗΝΩΝΟΣ ΚΑΙ ΠΡΟΜΗΘΕΩΣ 1</t>
  </si>
  <si>
    <t>12ο ΝΗΠΙΑΓΩΓΕΙΟ ΑΓΙΑΣ ΒΑΡΒΑΡΑΣ</t>
  </si>
  <si>
    <t>mail@12nip-ag-varvar.att.sch.gr</t>
  </si>
  <si>
    <t>ΛΗΜΝΟΥ ΚΑΙ ΜΑΚΑΡΙΟΥ</t>
  </si>
  <si>
    <t>3ο ΝΗΠΙΑΓΩΓΕΙΟ ΙΛΙΟΥ</t>
  </si>
  <si>
    <t>mail@3nip-iliou.att.sch.gr</t>
  </si>
  <si>
    <t>ΠΑΛΑΤΙΑΝΗΣ 24</t>
  </si>
  <si>
    <t>mail@12dim-aigal.att.sch.gr</t>
  </si>
  <si>
    <t>ΟΡΥΖΟΜΥΛΩΝ 15</t>
  </si>
  <si>
    <t>mail@14dim-iliou.att.sch.gr</t>
  </si>
  <si>
    <t>ΗΡΟΔΟΤΟΥ ΚΑΙ ΑΓΡΑΦΩΝ 47</t>
  </si>
  <si>
    <t>4ο ΝΗΠΙΑΓΩΓΕΙΟ ΙΛΙΟΥ</t>
  </si>
  <si>
    <t>mail@4nip-iliou.att.sch.gr</t>
  </si>
  <si>
    <t>ΠΟΛΥΤΕΚΝΩΝ 20</t>
  </si>
  <si>
    <t>mail@17dim-perist.att.sch.gr</t>
  </si>
  <si>
    <t>ΠΕΥΚΩΝ  ΚΑΙ  ΚΑΚΤΟΥ</t>
  </si>
  <si>
    <t>1ο ΝΗΠΙΑΓΩΓΕΙΟ ΑΓΙΑΣ ΒΑΡΒΑΡΑΣ</t>
  </si>
  <si>
    <t>mail@1nip-ag-varvar.att.sch.gr</t>
  </si>
  <si>
    <t>ΚΑΛΑΒΡΥΤΩΝ  52</t>
  </si>
  <si>
    <t>29ο ΝΗΠΙΑΓΩΓΕΙΟ ΑΙΓΑΛΕΩ</t>
  </si>
  <si>
    <t>mail@29nip-aigal.att.sch.gr</t>
  </si>
  <si>
    <t>ΠΕΛΟΠΟΝΝΗΣΟΥ ΚΑΙ ΚΟΖΑΝΗΣ 1</t>
  </si>
  <si>
    <t>5ο ΝΗΠΙΑΓΩΓΕΙΟ ΙΛΙΟΥ</t>
  </si>
  <si>
    <t>mail@5nip-iliou.att.sch.gr</t>
  </si>
  <si>
    <t>ΗΡΟΔΟΤΟΥ - ΑΓΡΑΦΩΝ</t>
  </si>
  <si>
    <t>mail@1dim-chaid.att.sch.gr</t>
  </si>
  <si>
    <t>ΗΡΩΩΝ ΠΟΛΥΤΕΧΝΕΙΟΥ 81</t>
  </si>
  <si>
    <t>mail@14dim-chaid.att.sch.gr</t>
  </si>
  <si>
    <t>ΚΕΡΚΥΡΑΣ 8</t>
  </si>
  <si>
    <t>6ο ΝΗΠΙΑΓΩΓΕΙΟ ΙΛΙΟΥ</t>
  </si>
  <si>
    <t>mail@6nip-iliou.att.sch.gr</t>
  </si>
  <si>
    <t>ΑΛΒΑΝΙΚΟΥ ΕΠΟΥΣ  54</t>
  </si>
  <si>
    <t>10ο ΔΗΜΟΤΙΚΟ ΣΧΟΛΕΙΟ ΑΙΓΑΛΕΩ - Κ. ΒΑΡΝΑΛΗΣ</t>
  </si>
  <si>
    <t>mail@10dim-aigal.att.sch.gr</t>
  </si>
  <si>
    <t>ΘΗΒΩΝ 341</t>
  </si>
  <si>
    <t>4dimiliou@sch.gr</t>
  </si>
  <si>
    <t>mail@7dim-ag-varvar.att.sch.gr</t>
  </si>
  <si>
    <t>ΜΕΣΟΛΟΓΓΙΟΥ 32</t>
  </si>
  <si>
    <t>6ο ΝΗΠΙΑΓΩΓΕΙΟ ΠΕΤΡΟΥΠΟΛΗΣ</t>
  </si>
  <si>
    <t>mail@6nip-petroup.att.sch.gr</t>
  </si>
  <si>
    <t>ΑΓΙΑΣ ΤΡΙΑΔΟΣ 13-15  ΚΑΙ ΚΟΝΔΥΛΗ</t>
  </si>
  <si>
    <t>7ο ΝΗΠΙΑΓΩΓΕΙΟ ΙΛΙΟΥ</t>
  </si>
  <si>
    <t>mail@7nip-iliou.att.sch.gr</t>
  </si>
  <si>
    <t>ΜΠΟΥΜΠΟΥΛΙΝΑΣ 2</t>
  </si>
  <si>
    <t>7ο ΝΗΠΙΑΓΩΓΕΙΟ ΠΕΤΡΟΥΠΟΛΗΣ</t>
  </si>
  <si>
    <t>mail@7nip-petroup.att.sch.gr</t>
  </si>
  <si>
    <t>ΠΕΤΡΟΥΠΟΛΗ ΑΤΤΙΚΗΣ</t>
  </si>
  <si>
    <t>ΚΕΡΚΗΣ ΚΑΙ ΑΓΙΑΣ ΤΡΙΑΔΟΣ</t>
  </si>
  <si>
    <t>9ο ΔΗΜΟΤΙΚΟ ΣΧΟΛΕΙΟ ΠΕΤΡΟΥΠΟΛΗΣ - ΔΙΟΜΗΔΗΣ ΚΟΜΝΗΝΟΣ</t>
  </si>
  <si>
    <t>mail@9dim-petroup.att.sch.gr</t>
  </si>
  <si>
    <t>ΣΟΥΛΙΟΥ 141</t>
  </si>
  <si>
    <t>8ο ΝΗΠΙΑΓΩΓΕΙΟ ΙΛΙΟΥ</t>
  </si>
  <si>
    <t>mail@8nip-iliou.att.sch.gr</t>
  </si>
  <si>
    <t>ΠΡΕΒΕΖΗΣ ΚΑΙ ΤΡΙΚΑΛΩΝ 37</t>
  </si>
  <si>
    <t>8ο ΝΗΠΙΑΓΩΓΕΙΟ ΠΕΤΡΟΥΠΟΛΗΣ</t>
  </si>
  <si>
    <t>mail@8nip-petroup.att.sch.gr</t>
  </si>
  <si>
    <t>ΘΕΣΣΑΛΙΑΣ ΚΑΙ ΣΚΟΥΦΑ 99</t>
  </si>
  <si>
    <t>9ο ΝΗΠΙΑΓΩΓΕΙΟ ΙΛΙΟΥ</t>
  </si>
  <si>
    <t>mail@9nip-iliou.att.sch.gr</t>
  </si>
  <si>
    <t>ΑΙΑΚΟΥ 80</t>
  </si>
  <si>
    <t>9ο ΝΗΠΙΑΓΩΓΕΙΟ ΠΕΤΡΟΥΠΟΛΗΣ</t>
  </si>
  <si>
    <t>mail@9nip-petroup.att.sch.gr</t>
  </si>
  <si>
    <t>ΑΓΙΟΥ ΙΩΑΝΝΟΥ 43</t>
  </si>
  <si>
    <t>10ο ΝΗΠΙΑΓΩΓΕΙΟ ΙΛΙΟΥ</t>
  </si>
  <si>
    <t>mail@10nip-iliou.att.sch.gr</t>
  </si>
  <si>
    <t>ΗΡΑΚΛΕΙΟΥ ΚΑΙ ΜΕΛΕΤΗ 8</t>
  </si>
  <si>
    <t>11ο ΝΗΠΙΑΓΩΓΕΙΟ ΙΛΙΟΥ</t>
  </si>
  <si>
    <t>mail@11nip-iliou.att.sch.gr</t>
  </si>
  <si>
    <t>ΠΟΛΥΓΥΡΟΥ ΚΑΙ ΚΗΦΙΣΣΟΥ 2</t>
  </si>
  <si>
    <t>12ο ΝΗΠΙΑΓΩΓΕΙΟ ΙΛΙΟΥ</t>
  </si>
  <si>
    <t>mail@12nip-iliou.att.sch.gr</t>
  </si>
  <si>
    <t>ΞΥΛΟΚΑΣΤΡΟΥ 2 &amp; ΦΛΕΒΑΣ</t>
  </si>
  <si>
    <t>1ο ΝΗΠΙΑΓΩΓΕΙΟ ΑΓΙΩΝ ΑΝΑΡΓΥΡΩΝ</t>
  </si>
  <si>
    <t>matina9pag@yahoo.gr</t>
  </si>
  <si>
    <t>ΜΑΥΡΟΜΙΧΑΛΗ  12Α</t>
  </si>
  <si>
    <t>2ο ΝΗΠΙΑΓΩΓΕΙΟ ΑΓΙΩΝ ΑΝΑΡΓΥΡΩΝ</t>
  </si>
  <si>
    <t>mail@2nip-ag-anarg.att.sch.gr</t>
  </si>
  <si>
    <t>ΜΕΓΑΛΟΥ ΑΛΕΞΑΝΔΡΟΥ 128</t>
  </si>
  <si>
    <t>11ο ΔΗΜΟΤΙΚΟ ΣΧΟΛΕΙΟ ΧΑΪΔΑΡΙΟΥ</t>
  </si>
  <si>
    <t>mail@11dim-chaid.att.sch.gr</t>
  </si>
  <si>
    <t>ΚΥΠΡΙΩΝ ΑΓΩΝΙΣΤΩΝ 33</t>
  </si>
  <si>
    <t>mail@31dim-perist.att.sch.gr</t>
  </si>
  <si>
    <t>ΒΥΤΙΝΗΣ 23</t>
  </si>
  <si>
    <t>8ο ΔΗΜΟΤΙΚΟ ΣΧΟΛΕΙΟ ΠΕΤΡΟΥΠΟΛΗΣ</t>
  </si>
  <si>
    <t>mail@8dim-petroup.att.sch.gr</t>
  </si>
  <si>
    <t>ΑΚΡΟΠΟΛΕΩΣ 24</t>
  </si>
  <si>
    <t>mail@6dim-petroup.att.sch.gr</t>
  </si>
  <si>
    <t>ΘΕΣΣΑΛΙΑΣ ΚΑΙ ΡΗΓΑ ΦΕΡΑΙΟΥ 135</t>
  </si>
  <si>
    <t>9ο ΔΗΜΟΤΙΚΟ ΣΧΟΛΕΙΟ ΧΑΪΔΑΡΙΟΥ</t>
  </si>
  <si>
    <t>mail@9dim-chaid.att.sch.gr</t>
  </si>
  <si>
    <t>ΚΟΛΟΚΟΤΡΩΝΗ 38 ΚΑΙ ΙΕΡΑ ΟΔΟΣ</t>
  </si>
  <si>
    <t>11ο ΔΗΜΟΤΙΚΟ ΣΧΟΛΕΙΟ ΑΓΙΩΝ ΑΝΑΡΓΥΡΩΝ</t>
  </si>
  <si>
    <t>mail@11dim-ag-anarg.att.sch.gr</t>
  </si>
  <si>
    <t>ΜΑΥΡΟΜΙΧΑΛΗ 12</t>
  </si>
  <si>
    <t>7ο ΔΗΜΟΤΙΚΟ ΣΧΟΛΕΙΟ ΠΕΡΙΣΤΕΡΙΟΥ</t>
  </si>
  <si>
    <t>mail@7dim-perist.att.sch.gr</t>
  </si>
  <si>
    <t>ΔΑΜΑΣΚΗΝΟΥ 78</t>
  </si>
  <si>
    <t>8dimaganarg@sch.gr</t>
  </si>
  <si>
    <t>ΛΕΩΦΟΡΟΣ ΔΗΜΟΚΡΑΤΙΑΣ 306</t>
  </si>
  <si>
    <t>6ο ΔΗΜΟΤΙΚΟ ΣΧΟΛΕΙΟ ΑΓΙΑΣ ΒΑΡΒΑΡΑΣ</t>
  </si>
  <si>
    <t>mail@6dim-ag-varvar.att.sch.gr</t>
  </si>
  <si>
    <t>ΚΟΛΟΚΥΘΑ 31</t>
  </si>
  <si>
    <t>mail@12dim-iliou.att.sch.gr</t>
  </si>
  <si>
    <t>ΑΡΓΥΡΟΚΑΣΤΡΟΥ 51</t>
  </si>
  <si>
    <t>9ο ΝΗΠΙΑΓΩΓΕΙΟ ΧΑΪΔΑΡΙΟΥ</t>
  </si>
  <si>
    <t>mail@9nip-chaid.att.sch.gr</t>
  </si>
  <si>
    <t>ΧΑΙΔΑΡΙ</t>
  </si>
  <si>
    <t>ΚΟΛΟΚΟΤΡΩΝΗ ΚΑΙ ΙΕΡΑ ΟΔΟΣ 36</t>
  </si>
  <si>
    <t>mail@14dim-perist.att.sch.gr</t>
  </si>
  <si>
    <t>ΠΤΟΛΕΜΑΪΔΟΣ 51</t>
  </si>
  <si>
    <t>mail@1dim-petroup.att.sch.gr</t>
  </si>
  <si>
    <t>ΣΟΥΛΙΟΥ 50</t>
  </si>
  <si>
    <t>30ο ΝΗΠΙΑΓΩΓΕΙΟ ΑΙΓΑΛΕΩ</t>
  </si>
  <si>
    <t>mail@30nip-aigal.att.sch.gr</t>
  </si>
  <si>
    <t>ΚΡΑΝΑΟΥ ΚΑΙ ΜΝΗΣΙΚΛΕΟΥΣ</t>
  </si>
  <si>
    <t>9ο ΝΗΠΙΑΓΩΓΕΙΟ ΑΙΓΑΛΕΩ</t>
  </si>
  <si>
    <t>mail@9nip-aigal.att.sch.gr</t>
  </si>
  <si>
    <t>ΑΓΙΟΥ ΒΑΣΙΛΕΙΟΥ ΚΑΙ ΙΑΣΙΟΥ 23</t>
  </si>
  <si>
    <t>3ο ΝΗΠΙΑΓΩΓΕΙΟ ΑΓΙΩΝ ΑΝΑΡΓΥΡΩΝ</t>
  </si>
  <si>
    <t>mail@3nip-ag-anarg.att.sch.gr</t>
  </si>
  <si>
    <t>ΛΥΚΟΣΟΥΡΑΣ ΚΑΙ ΥΨΗΛΑΝΤΟΥ 16</t>
  </si>
  <si>
    <t>8ο ΝΗΠΙΑΓΩΓΕΙΟ ΑΙΓΑΛΕΩ</t>
  </si>
  <si>
    <t>mail@8nip-aigal.att.sch.gr</t>
  </si>
  <si>
    <t>24ο ΝΗΠΙΑΓΩΓΕΙΟ ΑΙΓΑΛΕΩ</t>
  </si>
  <si>
    <t>mail@24nip-aigal.att.sch.gr</t>
  </si>
  <si>
    <t>ΧΑΛΕΠΑ  ΚΑΙ ΓΚΥΖΗ</t>
  </si>
  <si>
    <t>12ο ΝΗΠΙΑΓΩΓΕΙΟ ΑΙΓΑΛΕΩ</t>
  </si>
  <si>
    <t>mail@12nip-aigal.att.sch.gr</t>
  </si>
  <si>
    <t>ΑΓΙΑΣ ΜΑΡΙΝΗΣ 15</t>
  </si>
  <si>
    <t>13ο ΝΗΠΙΑΓΩΓΕΙΟ ΠΕΤΡΟΥΠΟΛΗΣ</t>
  </si>
  <si>
    <t>mail@13nip-petroup.att.sch.gr</t>
  </si>
  <si>
    <t>ΚΩΣΤΑ ΒΑΡΝΑΛΗ 39</t>
  </si>
  <si>
    <t>27ο ΝΗΠΙΑΓΩΓΕΙΟ ΑΙΓΑΛΕΩ</t>
  </si>
  <si>
    <t>mail@27nip-aigal.att.sch.gr</t>
  </si>
  <si>
    <t>5ο ΝΗΠΙΑΓΩΓΕΙΟ ΑΓΙΩΝ ΑΝΑΡΓΥΡΩΝ</t>
  </si>
  <si>
    <t>mail@5nip-ag-anarg.att.sch.gr</t>
  </si>
  <si>
    <t>Χάλκης 2</t>
  </si>
  <si>
    <t>mail@20dim-perist.att.sch.gr</t>
  </si>
  <si>
    <t>ΚΩΝΣΤΑΝΤΙΝΟΥΠΟΛΕΩΣ 194</t>
  </si>
  <si>
    <t>mail@13dim-iliou.att.sch.gr</t>
  </si>
  <si>
    <t>ΚΑΠΠΑΔΟΚΙΑΣ 21</t>
  </si>
  <si>
    <t>mail@8dim-ag-varvar.att.sch.gr</t>
  </si>
  <si>
    <t>6ο ΝΗΠΙΑΓΩΓΕΙΟ ΑΙΓΑΛΕΩ</t>
  </si>
  <si>
    <t>mail@6nip-aigal.att.sch.gr</t>
  </si>
  <si>
    <t>ΗΡΑΚΛΕΙΤΟΥ 54</t>
  </si>
  <si>
    <t>45ο ΔΗΜΟΤΙΚΟ ΣΧΟΛΕΙΟ ΠΕΡΙΣΤΕΡΙΟΥ</t>
  </si>
  <si>
    <t>mail@45dim-perist.att.sch.gr</t>
  </si>
  <si>
    <t>ΝΑΟΥΣΗΣ ΚΑΙ ΑΛΦΕΙΟΥ</t>
  </si>
  <si>
    <t>6ο ΝΗΠΙΑΓΩΓΕΙΟ ΑΓΙΩΝ ΑΝΑΡΓΥΡΩΝ</t>
  </si>
  <si>
    <t>mail@6nip-ag-anarg.att.sch.gr</t>
  </si>
  <si>
    <t>Ν.ΚΟΡΩΝΑΙΟΥ 4</t>
  </si>
  <si>
    <t>15ο ΝΗΠΙΑΓΩΓΕΙΟ ΠΕΤΡΟΥΠΟΛΗΣ - ΕΛΛΗ ΑΛΕΞΙΟΥ</t>
  </si>
  <si>
    <t>mail@15nip-petroup.att.sch.gr</t>
  </si>
  <si>
    <t>ΚΝΩΣΟΥ &amp; ΗΦΑΙΣΤΟΥ</t>
  </si>
  <si>
    <t>mail@7dim-iliou.att.sch.gr</t>
  </si>
  <si>
    <t>ΑΝΔΡΕΑ ΠΑΠΑΝΔΡΕΟΥ 55-57</t>
  </si>
  <si>
    <t>20ο ΝΗΠΙΑΓΩΓΕΙΟ ΑΙΓΑΛΕΩ</t>
  </si>
  <si>
    <t>mail@20nip-aigal.att.sch.gr</t>
  </si>
  <si>
    <t>ΡΗΓΑ ΦΕΡΑΙΟΥ ΚΑΙ ΚΑΠΟΔΙΣΤΡΙΟΥ</t>
  </si>
  <si>
    <t>mail@9dim-perist.att.sch.gr</t>
  </si>
  <si>
    <t>ΚΑΖΑΝΤΖΑΚΗ 6</t>
  </si>
  <si>
    <t>26ο ΔΗΜΟΤΙΚΟ ΣΧΟΛΕΙΟ ΠΕΡΙΣΤΕΡΙΟΥ</t>
  </si>
  <si>
    <t>mail@26dim-perist.att.sch.gr</t>
  </si>
  <si>
    <t>ΦΙΛΙΚΩΝ 63</t>
  </si>
  <si>
    <t>17ο ΝΗΠΙΑΓΩΓΕΙΟ ΑΙΓΑΛΕΩ</t>
  </si>
  <si>
    <t>mail@17nip-aigal.att.sch.gr</t>
  </si>
  <si>
    <t>ΑΓΙΟΥ ΓΕΩΡΓΙΟΥ 22α ΚΑΙ ΕΥΡΥΤΑΝΙΑΣ</t>
  </si>
  <si>
    <t>7ο ΝΗΠΙΑΓΩΓΕΙΟ ΑΓΙΩΝ ΑΝΑΡΓΥΡΩΝ</t>
  </si>
  <si>
    <t>mail@7nip-ag-anarg.att.sch.gr</t>
  </si>
  <si>
    <t>Ν. ΠΛΑΣΤΗΡΑ 204</t>
  </si>
  <si>
    <t>3ο ΝΗΠΙΑΓΩΓΕΙΟ ΑΙΓΑΛΕΩ</t>
  </si>
  <si>
    <t>mail@3nip-aigal.att.sch.gr</t>
  </si>
  <si>
    <t>ΠΕΛΟΠΟΝΝΗΣΟΥ  ΚΑΙ ΣΟΥΛΙΟΥ 1</t>
  </si>
  <si>
    <t>5ο ΔΗΜΟΤΙΚΟ ΣΧΟΛΕΙΟ ΑΓΙΑΣ ΒΑΡΒΑΡΑΣ</t>
  </si>
  <si>
    <t>mail@5dim-ag-varvar.att.sch.gr</t>
  </si>
  <si>
    <t>ΠΑΛΑΙΩΝ ΠΑΤΡΩΝ ΓΕΡΜΑΝΟΥ ΤΕΡΜΑ</t>
  </si>
  <si>
    <t>1ο ΝΗΠΙΑΓΩΓΕΙΟ ΧΑΪΔΑΡΙΟΥ</t>
  </si>
  <si>
    <t>mail@1nip-chaid.att.sch.gr</t>
  </si>
  <si>
    <t>ΧΡΙΣΤΟΦΟΡΟΥ ΠΕΡΡΑΙΒΟΥ 8</t>
  </si>
  <si>
    <t>ΕΙΔΙΚΟ ΔΗΜΟΤΙΚΟ ΣΧΟΛΕΙΟ ΑΙΓΑΛΕΩ</t>
  </si>
  <si>
    <t>mail@dim-eid-aigal.att.sch.gr</t>
  </si>
  <si>
    <t>13ο ΝΗΠΙΑΓΩΓΕΙΟ ΑΙΓΑΛΕΩ</t>
  </si>
  <si>
    <t>mail@13nip-aigal.att.sch.gr</t>
  </si>
  <si>
    <t>ΠΕΡΓΑΜΟΥ ΚΑΙ ΚΟΛΟΚΟΤΡΩΝΗ 1</t>
  </si>
  <si>
    <t>8ο ΝΗΠΙΑΓΩΓΕΙΟ ΑΓΙΩΝ ΑΝΑΡΓΥΡΩΝ</t>
  </si>
  <si>
    <t>mail@8nip-ag-anarg.att.sch.gr</t>
  </si>
  <si>
    <t>ΑΡΤΗΣ ΚΑΙ ΚΩΝΣΤΑΝΤΙΝΟΥΠΟΛΕΩΣ</t>
  </si>
  <si>
    <t>4ο ΝΗΠΙΑΓΩΓΕΙΟ ΑΓΙΑΣ ΒΑΡΒΑΡΑΣ</t>
  </si>
  <si>
    <t>mail@4nip-ag-varvar.att.sch.gr</t>
  </si>
  <si>
    <t>ΚΑΡΑΙΣΚΑΚΗ 44</t>
  </si>
  <si>
    <t>10ο ΔΗΜΟΤΙΚΟ ΣΧΟΛΕΙΟ ΑΓΙΩΝ ΑΝΑΡΓΥΡΩΝ - ΑΝΑΚΑΣΑ</t>
  </si>
  <si>
    <t>mail@10dim-ag-anarg.att.sch.gr</t>
  </si>
  <si>
    <t>ʼγιοι Ανάργυροι,</t>
  </si>
  <si>
    <t>ΠΑΡΝΗΘΑΣ 1</t>
  </si>
  <si>
    <t>13ο ΔΗΜΟΤΙΚΟ ΣΧΟΛΕΙΟ ΑΙΓΑΛΕΩ - ΑΓΓΕΛΟΣ ΣΙΚΕΛΙΑΝΟΣ</t>
  </si>
  <si>
    <t>mail@13dim-aigal.att.sch.gr</t>
  </si>
  <si>
    <t>ΑΓΙΟΥ ΓΕΩΡΓΙΟΥ 21</t>
  </si>
  <si>
    <t>15ο ΝΗΠΙΑΓΩΓΕΙΟ ΑΙΓΑΛΕΩ</t>
  </si>
  <si>
    <t>mail@15nip-aigal.att.sch.gr</t>
  </si>
  <si>
    <t>15ο ΝΗΠΙΑΓΩΓΕΙΟ ΙΛΙΟΥ</t>
  </si>
  <si>
    <t>mail@15nip-iliou.att.sch.gr</t>
  </si>
  <si>
    <t>ΒΕΛΕΣΤΙΝΟΥ 40</t>
  </si>
  <si>
    <t>16ο ΝΗΠΙΑΓΩΓΕΙΟ ΑΙΓΑΛΕΩ</t>
  </si>
  <si>
    <t>mail@16nip-aigal.att.sch.gr</t>
  </si>
  <si>
    <t>ΠΑΠΟΥΛΑ 76</t>
  </si>
  <si>
    <t>6ο ΝΗΠΙΑΓΩΓΕΙΟ ΑΓΙΑΣ ΒΑΡΒΑΡΑΣ</t>
  </si>
  <si>
    <t>mail@6nip-ag-varvar.att.sch.gr</t>
  </si>
  <si>
    <t>ΔΟΞΗΣ 2</t>
  </si>
  <si>
    <t>16ο ΝΗΠΙΑΓΩΓΕΙΟ ΙΛΙΟΥ</t>
  </si>
  <si>
    <t>mail@16nip-iliou.att.sch.gr</t>
  </si>
  <si>
    <t>ΚΑΡΠΕΝΗΣΙΟΥ 30</t>
  </si>
  <si>
    <t>17ο ΝΗΠΙΑΓΩΓΕΙΟ ΙΛΙΟΥ</t>
  </si>
  <si>
    <t>mail@17nip-iliou.att.sch.gr</t>
  </si>
  <si>
    <t>ΠΕΤΡΟΥΠΟΛΕΩΣ 76</t>
  </si>
  <si>
    <t>5ο ΝΗΠΙΑΓΩΓΕΙΟ ΧΑΪΔΑΡΙΟΥ</t>
  </si>
  <si>
    <t>mail@5nip-chaid.att.sch.gr</t>
  </si>
  <si>
    <t>ΠΕΛΟΠΟΝΝΗΣΟΥ 2</t>
  </si>
  <si>
    <t>6ο ΔΗΜΟΤΙΚΟ ΣΧΟΛΕΙΟ ΚΑΜΑΤΕΡΟΥ</t>
  </si>
  <si>
    <t>mail@6dim-kamat.att.sch.gr</t>
  </si>
  <si>
    <t>ΓΟΥΝΑΡΗ ΚΑΙ ΜΙΑΟΥΛΗ</t>
  </si>
  <si>
    <t>10ο ΝΗΠΙΑΓΩΓΕΙΟ ΑΓΙΩΝ ΑΝΑΡΓΥΡΩΝ</t>
  </si>
  <si>
    <t>mail@10nip-ag-anarg.att.sch.gr</t>
  </si>
  <si>
    <t>ΝΑΥΑΡΙΝΟΥ 4</t>
  </si>
  <si>
    <t>18ο ΝΗΠΙΑΓΩΓΕΙΟ ΙΛΙΟΥ</t>
  </si>
  <si>
    <t>mail@18nip-iliou.att.sch.gr</t>
  </si>
  <si>
    <t>ΑΡΓΥΡΟΚΑΣΤΡΟΥ 49</t>
  </si>
  <si>
    <t>mail@7dim-aigal.att.sch.gr</t>
  </si>
  <si>
    <t>4ο ΝΗΠΙΑΓΩΓΕΙΟ ΧΑΪΔΑΡΙΟΥ</t>
  </si>
  <si>
    <t>mail@4nip-chaid.att.sch.gr</t>
  </si>
  <si>
    <t>ΚΟΡΥΤΣΑΣ 6</t>
  </si>
  <si>
    <t>11ο ΝΗΠΙΑΓΩΓΕΙΟ ΑΓΙΩΝ ΑΝΑΡΓΥΡΩΝ</t>
  </si>
  <si>
    <t>mail@11nip-ag-anarg.att.sch.gr</t>
  </si>
  <si>
    <t>ΧΑΛΚΗΣ 2</t>
  </si>
  <si>
    <t>mail@3dim-chaid.att.sch.gr</t>
  </si>
  <si>
    <t>1ο ΔΗΜΟΤΙΚΟ ΣΧΟΛΕΙΟ ΑΙΓΑΛΕΩ - " ΝΙΚΟΣ ΚΑΒΒΑΔΙΑΣ - ΜΑΡΑΜΠΟΥ"</t>
  </si>
  <si>
    <t>mail@1dim-aigal.att.sch.gr</t>
  </si>
  <si>
    <t>ΠΕΡΓΑΜΟΥ ΚΑΙ ΜΙΑΟΥΛΗ</t>
  </si>
  <si>
    <t>12ο ΝΗΠΙΑΓΩΓΕΙΟ ΧΑΪΔΑΡΙΟΥ</t>
  </si>
  <si>
    <t>mail@12nip-chaid.att.sch.gr</t>
  </si>
  <si>
    <t>ΛΑΚΩΝΙΑΣ 19</t>
  </si>
  <si>
    <t>7ο ΝΗΠΙΑΓΩΓΕΙΟ ΑΙΓΑΛΕΩ</t>
  </si>
  <si>
    <t>mail@7nip-aigal.att.sch.gr</t>
  </si>
  <si>
    <t>20ο ΔΗΜΟΤΙΚΟ ΣΧΟΛΕΙΟ ΑΙΓΑΛΕΩ - Γ. ΣΕΦΕΡΗΣ</t>
  </si>
  <si>
    <t>mail@20dim-aigal.att.sch.gr</t>
  </si>
  <si>
    <t>ΒΟΡΕΙΟΥ ΗΠΕΙΡΟΥ ΚΑΙ ΜΑΚΡΗΣ</t>
  </si>
  <si>
    <t>12ο ΝΗΠΙΑΓΩΓΕΙΟ ΑΓΙΩΝ ΑΝΑΡΓΥΡΩΝ</t>
  </si>
  <si>
    <t>mail@12nip-ag-anarg.att.sch.gr</t>
  </si>
  <si>
    <t>ΚΩΝΣΤΑΝΤΙΝΟΥΠΟΛΕΩΣ ΚΑΙ ΑΡΤΑΣ  2</t>
  </si>
  <si>
    <t>mail@4dim-chaid.att.sch.gr</t>
  </si>
  <si>
    <t>ΑΓΙΑΣ ΓΡΗΓΟΡΟΥΣΑΣ 3</t>
  </si>
  <si>
    <t>8ο ΝΗΠΙΑΓΩΓΕΙΟ ΧΑΪΔΑΡΙΟΥ</t>
  </si>
  <si>
    <t>mail@8nip-chaid.att.sch.gr</t>
  </si>
  <si>
    <t>ΗΡΩΩΝ ΠΟΛΥΤΕΧΝΕΙΟΥ 64</t>
  </si>
  <si>
    <t>6ο ΝΗΠΙΑΓΩΓΕΙΟ ΧΑΪΔΑΡΙΟΥ</t>
  </si>
  <si>
    <t>mail@6nip-chaid.att.sch.gr</t>
  </si>
  <si>
    <t>ΚΥΠΡΙΩΝ ΑΓΩΝΙΣΤΩΝ 72</t>
  </si>
  <si>
    <t>4ο ΔΗΜΟΤΙΚΟ ΣΧΟΛΕΙΟ ΑΙΓΑΛΕΩ "ΜΙΚΗΣ ΘΕΟΔΩΡΑΚΗΣ"</t>
  </si>
  <si>
    <t>mail@4dim-aigal.att.sch.gr</t>
  </si>
  <si>
    <t>ΠΕΡΓΑΜΟΥ ΚΑΙ ΚΟΛΟΚΟΤΡΩΝΗ</t>
  </si>
  <si>
    <t>19ο ΝΗΠΙΑΓΩΓΕΙΟ ΙΛΙΟΥ</t>
  </si>
  <si>
    <t>mail@19nip-iliou.att.sch.gr</t>
  </si>
  <si>
    <t>ΒΡΥΣΗΙΔΟΣ 53  και  ΠΟΛΥΦΗΜΟΥ</t>
  </si>
  <si>
    <t>21ο ΝΗΠΙΑΓΩΓΕΙΟ ΙΛΙΟΥ</t>
  </si>
  <si>
    <t>mail@21nip-iliou.att.sch.gr</t>
  </si>
  <si>
    <t>ΑΝΔΡΟΥ ΚΑΙ ΣΠΕΤΣΩΝ</t>
  </si>
  <si>
    <t>22ο ΝΗΠΙΑΓΩΓΕΙΟ ΙΛΙΟΥ</t>
  </si>
  <si>
    <t>mail@22nip-iliou.att.sch.gr</t>
  </si>
  <si>
    <t>ΒΙΤΥΒΙΛΙΑ 34</t>
  </si>
  <si>
    <t>23ο ΝΗΠΙΑΓΩΓΕΙΟ ΙΛΙΟΥ</t>
  </si>
  <si>
    <t>mail@23nip-iliou.att.sch.gr</t>
  </si>
  <si>
    <t>ΠΑΤΡΙΑΡΧΟΥ ΦΩΤΙΟΥ ΚΑΙ ΚΥΡΙΛΛΟΥ</t>
  </si>
  <si>
    <t>24ο ΝΗΠΙΑΓΩΓΕΙΟ ΙΛΙΟΥ</t>
  </si>
  <si>
    <t>mail@24nip-iliou.att.sch.gr</t>
  </si>
  <si>
    <t>ΚΑΛΠΑΚΙΟΥ ΚΑΙ ΡΟΔΟΥ</t>
  </si>
  <si>
    <t>25ο ΝΗΠΙΑΓΩΓΕΙΟ ΙΛΙΟΥ</t>
  </si>
  <si>
    <t>mail@25nip-iliou.att.sch.gr</t>
  </si>
  <si>
    <t>26ο ΝΗΠΙΑΓΩΓΕΙΟ ΙΛΙΟΥ</t>
  </si>
  <si>
    <t>mail@26nip-iliou.att.sch.gr</t>
  </si>
  <si>
    <t>ΦΑΝΑΡΙΟΥ 4</t>
  </si>
  <si>
    <t>7ο ΔΗΜΟΤΙΚΟ ΣΧΟΛΕΙΟ ΧΑΪΔΑΡΙΟΥ - ΝΙΚΟΛΑΟΣ ΓΥΖΗΣ</t>
  </si>
  <si>
    <t>mail@7dim-chaid.att.sch.gr</t>
  </si>
  <si>
    <t>ΓΡΑΜΜΟΥ ΚΑΙ ΡΟΔΟΥ</t>
  </si>
  <si>
    <t>mail@3dim-petroup.att.sch.gr</t>
  </si>
  <si>
    <t>ΘΕΣΣΑΛΙΑΣ ΚΑΙ ΡΗΓΑ ΦΕΡΑΙΟΥ</t>
  </si>
  <si>
    <t>5ο ΔΗΜΟΤΙΚΟ ΣΧΟΛΕΙΟ ΙΛΙΟΥ</t>
  </si>
  <si>
    <t>mail@5dim-iliou.att.sch.gr</t>
  </si>
  <si>
    <t>3ο ΔΗΜΟΤΙΚΟ ΣΧΟΛΕΙΟ ΑΙΓΑΛΕΩ "ΝΙΚΟΛΑΟΣ ΠΟΛΙΤΗΣ"</t>
  </si>
  <si>
    <t>mail@3dim-aigal.att.sch.gr</t>
  </si>
  <si>
    <t>ΙΕΡΟΛΟΧΙΤΩΝ 1</t>
  </si>
  <si>
    <t>17dimaigaleo@gmail.com</t>
  </si>
  <si>
    <t>ΟΛΥΜΠΙΑΣ ΚΑΙ ΚΟΡΙΝΘΟΥ</t>
  </si>
  <si>
    <t>15ο ΝΗΠΙΑΓΩΓΕΙΟ ΠΕΡΙΣΤΕΡΙΟΥ</t>
  </si>
  <si>
    <t>mail@15nip-perist.att.sch.gr</t>
  </si>
  <si>
    <t>ΕΛΕΥΘΕΡΙΟΥ ΒΕΝΙΖΕΛΟΥ ΚΑΙ ΠΛΑΤΩΝΟΣ 40</t>
  </si>
  <si>
    <t>11ο ΝΗΠΙΑΓΩΓΕΙΟ ΠΕΡΙΣΤΕΡΙΟΥ</t>
  </si>
  <si>
    <t>mail@11nip-perist.att.sch.gr</t>
  </si>
  <si>
    <t>ΘΕΤΙΔΟΣ 4 ΚΑΙ ΠΗΛΕΩΣ</t>
  </si>
  <si>
    <t>13ο ΝΗΠΙΑΓΩΓΕΙΟ ΠΕΡΙΣΤΕΡΙΟΥ</t>
  </si>
  <si>
    <t>mail@13nip-perist.att.sch.gr</t>
  </si>
  <si>
    <t>ΟΛΥΜΠΙΟΝΙΚΩΝ ΚΑΙ ΚΟΤΖΙΑ</t>
  </si>
  <si>
    <t>6ο ΔΗΜΟΤΙΚΟ ΣΧΟΛΕΙΟ ΠΕΡΙΣΤΕΡΙΟΥ</t>
  </si>
  <si>
    <t>mail@6dim-perist.att.sch.gr</t>
  </si>
  <si>
    <t>16ο ΔΗΜΟΤΙΚΟ ΣΧΟΛΕΙΟ ΙΛΙΟΥ</t>
  </si>
  <si>
    <t>mail@16dim-iliou.att.sch.gr</t>
  </si>
  <si>
    <t>ΠΛΟΥΤΑΡΧΟΥ 3</t>
  </si>
  <si>
    <t>25ο ΔΗΜΟΤΙΚΟ ΣΧΟΛΕΙΟ ΠΕΡΙΣΤΕΡΙΟΥ</t>
  </si>
  <si>
    <t>mail@25dim-perist.att.sch.gr</t>
  </si>
  <si>
    <t>ΑΛΚΙΜΟΥ 47 ΚΑΙ ΚΑΡΥΑΤΙΔΟΣ</t>
  </si>
  <si>
    <t>mail@2dim-ag-varvar.att.sch.gr</t>
  </si>
  <si>
    <t>ΣΤΕΦΑΝΟΥ ΣΑΡΑΦΗ ΚΑΙ ΑΝΔΡΕΟΥ ΔΗΜΗΤΡΙΟΥ</t>
  </si>
  <si>
    <t>3ο ΔΗΜΟΤΙΚΟ ΣΧΟΛΕΙΟ ΚΑΜΑΤΕΡΟΥ</t>
  </si>
  <si>
    <t>mail@3dim-kamat.att.sch.gr</t>
  </si>
  <si>
    <t>ΑΓΙΟΥ ΝΙΚΟΛΑΟΥ  27 &amp; ΑΡΑΧΩΒΗΣ 15</t>
  </si>
  <si>
    <t>mail@6dim-aigal.att.sch.gr</t>
  </si>
  <si>
    <t>22ο ΝΗΠΙΑΓΩΓΕΙΟ ΑΙΓΑΛΕΩ</t>
  </si>
  <si>
    <t>mail@22nip-aigal.att.sch.gr</t>
  </si>
  <si>
    <t>ΣΕΡΙΦΟΥ ΚΑΙ ΞΑΝΘΗΣ 1</t>
  </si>
  <si>
    <t>5ο ΔΗΜΟΤΙΚΟ ΣΧΟΛΕΙΟ ΑΙΓΑΛΕΩ - ΓΙΑΝΝΗΣ ΡΙΤΣΟΣ</t>
  </si>
  <si>
    <t>mail@5dim-aigal.att.sch.gr</t>
  </si>
  <si>
    <t>Αιγάλεω</t>
  </si>
  <si>
    <t>6ο ΔΗΜΟΤΙΚΟ ΣΧΟΛΕΙΟ ΧΑΪΔΑΡΙΟΥ</t>
  </si>
  <si>
    <t>mail@6dim-chaid.att.sch.gr</t>
  </si>
  <si>
    <t>ΚΟΜΝΗΝΩΝ 39</t>
  </si>
  <si>
    <t>14ο ΝΗΠΙΑΓΩΓΕΙΟ ΠΕΡΙΣΤΕΡΙΟΥ</t>
  </si>
  <si>
    <t>mail@14nip-perist.att.sch.gr</t>
  </si>
  <si>
    <t>Ακαρνανίας 65</t>
  </si>
  <si>
    <t>mail@10dim-chaid.att.sch.gr</t>
  </si>
  <si>
    <t>ΤΕΡΜΑ ΜΕΛΙΤΑΣ</t>
  </si>
  <si>
    <t>23ο ΝΗΠΙΑΓΩΓΕΙΟ ΠΕΡΙΣΤΕΡΙΟΥ</t>
  </si>
  <si>
    <t>mail@23nip-perist.att.sch.gr</t>
  </si>
  <si>
    <t>ΠΡΟΣΚΟΠΩΝ ΚΑΙ ΝΑΪΑΔΩΝ</t>
  </si>
  <si>
    <t>20ο ΝΗΠΙΑΓΩΓΕΙΟ ΙΛΙΟΥ</t>
  </si>
  <si>
    <t>mail@20nip-iliou.att.sch.gr</t>
  </si>
  <si>
    <t>ΠΟΛΥΤΕΚΝΩΝ 12</t>
  </si>
  <si>
    <t>14ο ΝΗΠΙΑΓΩΓΕΙΟ ΧΑΪΔΑΡΙΟΥ</t>
  </si>
  <si>
    <t>mail@14nip-chaid.att.sch.gr</t>
  </si>
  <si>
    <t>ΚΕΡΚΥΡΑΣ 10</t>
  </si>
  <si>
    <t>28ο ΝΗΠΙΑΓΩΓΕΙΟ ΙΛΙΟΥ</t>
  </si>
  <si>
    <t>mail@28nip-iliou.att.sch.gr</t>
  </si>
  <si>
    <t>ΔΙΟΜΗΔΟΥΣ 2Α ΚΑΙ ΕΡΜΙΟΝΗΣ</t>
  </si>
  <si>
    <t>27ο ΝΗΠΙΑΓΩΓΕΙΟ ΠΕΡΙΣΤΕΡΙΟΥ</t>
  </si>
  <si>
    <t>mail@27nip-perist.att.sch.gr</t>
  </si>
  <si>
    <t>5ο ΔΗΜΟΤΙΚΟ ΣΧΟΛΕΙΟ ΚΑΜΑΤΕΡΟΥ</t>
  </si>
  <si>
    <t>mail@5dim-kamat.att.sch.gr</t>
  </si>
  <si>
    <t>Καματερό</t>
  </si>
  <si>
    <t>Μακεδονίας 32</t>
  </si>
  <si>
    <t>mail@28dim-perist.att.sch.gr</t>
  </si>
  <si>
    <t>ΧΑΛΚΙΔΟΣ 10</t>
  </si>
  <si>
    <t>30ο ΝΗΠΙΑΓΩΓΕΙΟ ΙΛΙΟΥ</t>
  </si>
  <si>
    <t>mail@30nip-iliou.att.sch.gr</t>
  </si>
  <si>
    <t>30ο ΝΗΠΙΑΓΩΓΕΙΟ ΠΕΡΙΣΤΕΡΙΟΥ</t>
  </si>
  <si>
    <t>mail@30nip-perist.att.sch.gr</t>
  </si>
  <si>
    <t>ΠΑΝΑΓΗ ΤΣΑΛΔΑΡΗ 2</t>
  </si>
  <si>
    <t>36ο ΝΗΠΙΑΓΩΓΕΙΟ ΠΕΡΙΣΤΕΡΙΟΥ</t>
  </si>
  <si>
    <t>mail@36nip-perist.att.sch.gr</t>
  </si>
  <si>
    <t>ΑΚΑΡΝΑΝΙΑΣ 65</t>
  </si>
  <si>
    <t>7ο ΝΗΠΙΑΓΩΓΕΙΟ ΧΑΪΔΑΡΙΟΥ</t>
  </si>
  <si>
    <t>mail@7nip-chaid.att.sch.gr</t>
  </si>
  <si>
    <t>1ο ΝΗΠΙΑΓΩΓΕΙΟ ΙΛΙΟΥ</t>
  </si>
  <si>
    <t>mail@1nip-iliou.att.sch.gr</t>
  </si>
  <si>
    <t>ΝΑΥΣΙΚΑΣ ΚΑΙ ΕΚΤΟΡΟΣ</t>
  </si>
  <si>
    <t>45ο ΝΗΠΙΑΓΩΓΕΙΟ ΠΕΡΙΣΤΕΡΙΟΥ</t>
  </si>
  <si>
    <t>mail@45nip-perist.att.sch.gr</t>
  </si>
  <si>
    <t>ΗΣΙΟΔΟΥ 67</t>
  </si>
  <si>
    <t>21ο ΝΗΠΙΑΓΩΓΕΙΟ ΠΕΡΙΣΤΕΡΙΟΥ</t>
  </si>
  <si>
    <t>mail@21nip-perist.att.sch.gr</t>
  </si>
  <si>
    <t>ΦΙΛΙΚΩΝ ΚΑΙ ΑΠΠΙΑΝΟΥ 2</t>
  </si>
  <si>
    <t>11ο ΝΗΠΙΑΓΩΓΕΙΟ ΧΑΪΔΑΡΙΟΥ</t>
  </si>
  <si>
    <t>mail@11nip-chaid.att.sch.gr</t>
  </si>
  <si>
    <t>1ο ΝΗΠΙΑΓΩΓΕΙΟ ΚΑΜΑΤΕΡΟΥ</t>
  </si>
  <si>
    <t>mail@1nip-kamat.att.sch.gr</t>
  </si>
  <si>
    <t>ΘΕΣΣΑΛΟΝΙΚΗΣ 37</t>
  </si>
  <si>
    <t>2ο ΝΗΠΙΑΓΩΓΕΙΟ ΚΑΜΑΤΕΡΟΥ</t>
  </si>
  <si>
    <t>mail@2nip-kamat.att.sch.gr</t>
  </si>
  <si>
    <t>ΤΕΡΜΑ ΓΡΗΓΟΡΙΟΥ ΛΑΜΠΡΑΚΗ</t>
  </si>
  <si>
    <t>10ο ΝΗΠΙΑΓΩΓΕΙΟ ΠΕΡΙΣΤΕΡΙΟΥ</t>
  </si>
  <si>
    <t>mail@10nip-perist.att.sch.gr</t>
  </si>
  <si>
    <t>37ο ΝΗΠΙΑΓΩΓΕΙΟ ΠΕΡΙΣΤΕΡΙΟΥ</t>
  </si>
  <si>
    <t>mail@37nip-perist.att.sch.gr</t>
  </si>
  <si>
    <t>3ο ΝΗΠΙΑΓΩΓΕΙΟ ΚΑΜΑΤΕΡΟΥ</t>
  </si>
  <si>
    <t>mail@3nip-kamat.att.sch.gr</t>
  </si>
  <si>
    <t>ΑΓΙΟΥ ΝΙΚΟΛΑΟΥ ΚΑΙ ΑΛΑΜΑΝΑΣ 27</t>
  </si>
  <si>
    <t>4ο ΝΗΠΙΑΓΩΓΕΙΟ ΠΕΤΡΟΥΠΟΛΗΣ</t>
  </si>
  <si>
    <t>mail@4nip-petroup.att.sch.gr</t>
  </si>
  <si>
    <t>ΕΛΕΥΘΕΡΙΟΥ ΒΕΝΙΖΕΛΟΥ 1</t>
  </si>
  <si>
    <t>16ο ΝΗΠΙΑΓΩΓΕΙΟ ΧΑΪΔΑΡΙΟΥ</t>
  </si>
  <si>
    <t>mail@16nip-chaid.att.sch.gr</t>
  </si>
  <si>
    <t>ΡΙΜΙΝΙ 2</t>
  </si>
  <si>
    <t>13ο ΝΗΠΙΑΓΩΓΕΙΟ ΑΓΙΑΣ ΒΑΡΒΑΡΑΣ</t>
  </si>
  <si>
    <t>mail@13nip-ag-varvar.att.sch.gr</t>
  </si>
  <si>
    <t>14ο ΔΗΜΟΤΙΚΟ ΣΧΟΛΕΙΟ ΑΙΓΑΛΕΩ</t>
  </si>
  <si>
    <t>mail@14dim-aigal.att.sch.gr</t>
  </si>
  <si>
    <t>ΑΙΓΙΝΗΣ 8</t>
  </si>
  <si>
    <t>2ο ΝΗΠΙΑΓΩΓΕΙΟ ΧΑΪΔΑΡΙΟΥ</t>
  </si>
  <si>
    <t>mail@2nip-chaid.att.sch.gr</t>
  </si>
  <si>
    <t>ΗΡ. ΠΟΛΥΤΕΧΝΕΙΟΥ 102</t>
  </si>
  <si>
    <t>mail@39dim-perist.att.sch.gr</t>
  </si>
  <si>
    <t>ΚΑΡΥΑΤΙΔΟΣ 95</t>
  </si>
  <si>
    <t>4ο ΝΗΠΙΑΓΩΓΕΙΟ ΚΑΜΑΤΕΡΟΥ</t>
  </si>
  <si>
    <t>mail@4nip-kamat.att.sch.gr</t>
  </si>
  <si>
    <t>ΣΚΟΠΕΛΟΥ  7</t>
  </si>
  <si>
    <t>38ο ΝΗΠΙΑΓΩΓΕΙΟ ΠΕΡΙΣΤΕΡΙΟΥ</t>
  </si>
  <si>
    <t>mail@38nip-perist.att.sch.gr</t>
  </si>
  <si>
    <t>ΘΕΤΙΔΟΣ ΚΑΙ ΠΗΛΕΩΣ</t>
  </si>
  <si>
    <t>5ο ΝΗΠΙΑΓΩΓΕΙΟ ΚΑΜΑΤΕΡΟΥ</t>
  </si>
  <si>
    <t>mail@5nip-kamat.att.sch.gr</t>
  </si>
  <si>
    <t>ΜΑΚΕΔΟΝΙΑΣ 32  ΚΑΙ ΑΛΙΕΝΤΕ</t>
  </si>
  <si>
    <t>6ο ΝΗΠΙΑΓΩΓΕΙΟ ΚΑΜΑΤΕΡΟΥ</t>
  </si>
  <si>
    <t>mail@6nip-kamat.att.sch.gr</t>
  </si>
  <si>
    <t>ΚΩΣΤΗ ΠΑΛΑΜΑ ΚΑΙ ΜΙΑΟΥΛΗ</t>
  </si>
  <si>
    <t>mail@11dim-aigal.att.sch.gr</t>
  </si>
  <si>
    <t>12ο ΔΗΜΟΤΙΚΟ ΣΧΟΛΕΙΟ ΠΕΤΡΟΥΠΟΛΗΣ - ΑΝΤΩΝΗΣ ΣΑΜΑΡΑΚΗΣ</t>
  </si>
  <si>
    <t>mail@12dim-petroup.att.sch.gr</t>
  </si>
  <si>
    <t>ΘΡΑΚΗΣ 107-109</t>
  </si>
  <si>
    <t>mail@35dim-perist.att.sch.gr</t>
  </si>
  <si>
    <t>ΑΝΤΙΦΑΝΟΥΣ 17  ΚΑΙ ΦΙΛΙΚΩΝ</t>
  </si>
  <si>
    <t>4ο ΔΗΜΟΤΙΚΟ ΣΧΟΛΕΙΟ ΠΕΤΡΟΥΠΟΛΗΣ - "ΙΩΑΝΝΗΣ ΚΑΠΟΔΙΣΤΡΙΑΣ"</t>
  </si>
  <si>
    <t>mail@4dim-petroup.att.sch.gr</t>
  </si>
  <si>
    <t>ΧΡΥΣΟΣΤΟΜΟΥ ΣΜΥΡΝΗΣ 7</t>
  </si>
  <si>
    <t>mail@5dim-perist.att.sch.gr</t>
  </si>
  <si>
    <t>ΚΕΡΚΥΡΑΣ 15</t>
  </si>
  <si>
    <t>1ο ΝΗΠΙΑΓΩΓΕΙΟ ΠΕΡΙΣΤΕΡΙΟΥ</t>
  </si>
  <si>
    <t>mail@1nip-perist.att.sch.gr</t>
  </si>
  <si>
    <t>ΔΗΜΟΣΘΕΝΟΥΣ 44</t>
  </si>
  <si>
    <t>7ο ΝΗΠΙΑΓΩΓΕΙΟ ΠΕΡΙΣΤΕΡΙΟΥ</t>
  </si>
  <si>
    <t>mail@7nip-perist.att.sch.gr</t>
  </si>
  <si>
    <t>ΙΘΑΚΗΣ ΚΑΙ ΡΟΔΟΥ 1</t>
  </si>
  <si>
    <t>mail@2dim-chaid.att.sch.gr</t>
  </si>
  <si>
    <t>15ο ΝΗΠΙΑΓΩΓΕΙΟ ΧΑΙΔΑΡΙΟΥ</t>
  </si>
  <si>
    <t>mail@15nip-chaid.att.sch.gr</t>
  </si>
  <si>
    <t>ΜΠΟΥΜΠΟΥΛΙΝΑΣ ΚΑΙ ΝΑΞΟΥ</t>
  </si>
  <si>
    <t>4ο ΝΗΠΙΑΓΩΓΕΙΟ ΑΓΙΩΝ ΑΝΑΡΓΥΡΩΝ</t>
  </si>
  <si>
    <t>mail@4nip-ag-anarg.att.sch.gr</t>
  </si>
  <si>
    <t>ΛΥΚΟΥΡΓΟΥ ΚΑΙ ΨΑΡΡΩΝ 33</t>
  </si>
  <si>
    <t>1ο ΝΗΠΙΑΓΩΓΕΙΟ ΠΕΤΡΟΥΠΟΛΗΣ</t>
  </si>
  <si>
    <t>mail@1nip-petroup.att.sch.gr</t>
  </si>
  <si>
    <t>ΣΟΥΛΙΟΥ 52</t>
  </si>
  <si>
    <t>18ο ΝΗΠΙΑΓΩΓΕΙΟ ΠΕΡΙΣΤΕΡΙΟΥ</t>
  </si>
  <si>
    <t>mail@18nip-perist.att.sch.gr</t>
  </si>
  <si>
    <t>ΙΘΑΚΗΣ ΚΑΙ ΡΟΔΟΥ</t>
  </si>
  <si>
    <t>1ο ΔΗΜΟΤΙΚΟ ΣΧΟΛΕΙΟ ΑΓΙΑΣ ΒΑΡΒΑΡΑΣ</t>
  </si>
  <si>
    <t>mail@1dim-ag-varvar.att.sch.gr</t>
  </si>
  <si>
    <t>ΠΑΠΑΦΛΕΣΣΑ 21</t>
  </si>
  <si>
    <t>7ο ΝΗΠΙΑΓΩΓΕΙΟ ΚΑΜΑΤΕΡΟΥ</t>
  </si>
  <si>
    <t>mail@7nip-kamat.att.sch.gr</t>
  </si>
  <si>
    <t>3ο ΝΗΠΙΑΓΩΓΕΙΟ ΠΕΤΡΟΥΠΟΛΗΣ</t>
  </si>
  <si>
    <t>mail@3nip-petroup.att.sch.gr</t>
  </si>
  <si>
    <t>ΝΑΥΑΡΙΝΟΥ 47 ΚΑΙ ΣΚΟΥΦΑ</t>
  </si>
  <si>
    <t>20ο ΝΗΠΙΑΓΩΓΕΙΟ ΠΕΡΙΣΤΕΡΙΟΥ</t>
  </si>
  <si>
    <t>mail@20nip-perist.att.sch.gr</t>
  </si>
  <si>
    <t>8ο ΝΗΠΙΑΓΩΓΕΙΟ ΚΑΜΑΤΕΡΟΥ</t>
  </si>
  <si>
    <t>mail@8nip-kamat.att.sch.gr</t>
  </si>
  <si>
    <t>ΑΙΟΛΟΥ 117</t>
  </si>
  <si>
    <t>5ο ΝΗΠΙΑΓΩΓΕΙΟ ΠΕΤΡΟΥΠΟΛΗΣ</t>
  </si>
  <si>
    <t>mail@5nip-petroup.att.sch.gr</t>
  </si>
  <si>
    <t>ΑΝΑΤΟΛΙΚΗΣ ΡΩΜΥΛΙΑΣ ΚΑΙ ΣΤΕΡΕΑΣ ΕΛΛΑΔΑΣ</t>
  </si>
  <si>
    <t>mail@19dim-perist.att.sch.gr</t>
  </si>
  <si>
    <t>ΛΑΣΙΘΙΟΥ &amp; ΛΕΒΙΔΙΟΥ</t>
  </si>
  <si>
    <t>9ο ΝΗΠΙΑΓΩΓΕΙΟ ΚΑΜΑΤΕΡΟΥ</t>
  </si>
  <si>
    <t>mail@9nip-kamat.att.sch.gr</t>
  </si>
  <si>
    <t>ΠΑΡΑΜΥΘΙΑΣ ΚΑΙ ΛΑΜΙΑΣ 2</t>
  </si>
  <si>
    <t>mail@2dim-aigal.att.sch.gr</t>
  </si>
  <si>
    <t>ΓΡΗΓΟΡΙΟΥ ΚΥΔΩΝΙΩΝ 30</t>
  </si>
  <si>
    <t>10ο ΝΗΠΙΑΓΩΓΕΙΟ ΚΑΜΑΤΕΡΟΥ</t>
  </si>
  <si>
    <t>mail@10nip-kamat.att.sch.gr</t>
  </si>
  <si>
    <t>ΜΑΚΕΔΟΝΙΑΣ 32 &amp; ΑΛΙΕΝΤΕ</t>
  </si>
  <si>
    <t>48ο ΝΗΠΙΑΓΩΓΕΙΟ ΠΕΡΙΣΤΕΡΙΟΥ</t>
  </si>
  <si>
    <t>mail@48nip-perist.att.sch.gr</t>
  </si>
  <si>
    <t>ΦΙΛΙΠΠΙΑΔΟΣ ΚΑΙ ΦΑΡΣΑΛΩΝ 58</t>
  </si>
  <si>
    <t>10ο ΝΗΠΙΑΓΩΓΕΙΟ ΠΕΤΡΟΥΠΟΛΗΣ</t>
  </si>
  <si>
    <t>mail@10nip-petroup.att.sch.gr</t>
  </si>
  <si>
    <t>ΣΠΑΡΤΗΣ 56</t>
  </si>
  <si>
    <t>4ο ΔΗΜΟΤΙΚΟ ΣΧΟΛΕΙΟ ΑΓΙΩΝ ΑΝΑΡΓΥΡΩΝ - ΑΔΑΜΑΝΤΙΟΣ ΚΟΡΑΗΣ</t>
  </si>
  <si>
    <t>mail@4dim-ag-anarg.att.sch.gr</t>
  </si>
  <si>
    <t>Ν. ΚΟΡΩΝΑΙΟΥ 4</t>
  </si>
  <si>
    <t>11ο ΝΗΠΙΑΓΩΓΕΙΟ ΠΕΤΡΟΥΠΟΛΗΣ</t>
  </si>
  <si>
    <t>mail@11nip-petroup.att.sch.gr</t>
  </si>
  <si>
    <t>5ο ΝΗΠΙΑΓΩΓΕΙΟ ΠΕΡΙΣΤΕΡΙΟΥ</t>
  </si>
  <si>
    <t>mail@5nip-perist.att.sch.gr</t>
  </si>
  <si>
    <t>mail@8dim-kamat.att.sch.gr</t>
  </si>
  <si>
    <t>ΠΑΡΟΥ ΚΑΙ ΚΑΡΥΣΤΟΥ</t>
  </si>
  <si>
    <t>2ο ΝΗΠΙΑΓΩΓΕΙΟ ΠΕΤΡΟΥΠΟΛΗΣ</t>
  </si>
  <si>
    <t>mail@2nip-petroup.att.sch.gr</t>
  </si>
  <si>
    <t>ΒΑΛΤΕΤΣΙΟΥ 25</t>
  </si>
  <si>
    <t>mail@6dim-iliou.att.sch.gr</t>
  </si>
  <si>
    <t>ΔΑΒΑΚΗ 50</t>
  </si>
  <si>
    <t>12ο ΝΗΠΙΑΓΩΓΕΙΟ ΠΕΤΡΟΥΠΟΛΗΣ</t>
  </si>
  <si>
    <t>mail@12nip-petroup.att.sch.gr</t>
  </si>
  <si>
    <t>9ο ΝΗΠΙΑΓΩΓΕΙΟ ΑΓΙΩΝ ΑΝΑΡΓΥΡΩΝ</t>
  </si>
  <si>
    <t>mail@9nip-ag-anarg.att.sch.gr</t>
  </si>
  <si>
    <t>44ο ΝΗΠΙΑΓΩΓΕΙΟ ΠΕΡΙΣΤΕΡΙΟΥ</t>
  </si>
  <si>
    <t>mail@44nip-perist.att.sch.gr</t>
  </si>
  <si>
    <t>ΜΕΣΟΛΟΓΓΙΟΥ 79</t>
  </si>
  <si>
    <t>24ο ΝΗΠΙΑΓΩΓΕΙΟ ΠΕΡΙΣΤΕΡΙΟΥ</t>
  </si>
  <si>
    <t>mail@24nip-perist.att.sch.gr</t>
  </si>
  <si>
    <t>ΚΑΠΕΤΑΝ ΧΡΟΝΑ 38</t>
  </si>
  <si>
    <t>mail@18dim-perist.att.sch.gr</t>
  </si>
  <si>
    <t>14ο ΝΗΠΙΑΓΩΓΕΙΟ ΙΛΙΟΥ</t>
  </si>
  <si>
    <t>mail@14nip-iliou.att.sch.gr</t>
  </si>
  <si>
    <t>14ο ΝΗΠΙΑΓΩΓΕΙΟ ΠΕΤΡΟΥΠΟΛΗΣ</t>
  </si>
  <si>
    <t>mail@14nip-petroup.att.sch.gr</t>
  </si>
  <si>
    <t>ΠΕΛΟΠΟΝΝΗΣΟΥ ΚΑΙ ΒΟΡΕΙΟΥ ΗΠΕΙΡΟΥ</t>
  </si>
  <si>
    <t>13ο ΝΗΠΙΑΓΩΓΕΙΟ ΙΛΙΟΥ</t>
  </si>
  <si>
    <t>mail@13nip-iliou.att.sch.gr</t>
  </si>
  <si>
    <t>mail@26dim-iliou.att.sch.gr</t>
  </si>
  <si>
    <t>ΕΥΑΓΓΕΛΙΣΤΡΙΑΣ ΚΑΙ ΦΛΕΒΑΣ</t>
  </si>
  <si>
    <t>mail@7dim-kamat.att.sch.gr</t>
  </si>
  <si>
    <t>ΤΕΡΜΑ ΑΘΑΝΑΣΙΟΥ ΔΙΑΚΟΥ</t>
  </si>
  <si>
    <t>36ο ΔΗΜΟΤΙΚΟ ΣΧΟΛΕΙΟ ΠΕΡΙΣΤΕΡΙΟΥ</t>
  </si>
  <si>
    <t>mail@36dim-perist.att.sch.gr</t>
  </si>
  <si>
    <t>ΤΡΩΩΝ ΚΑΙ ΣΟΛΩΜΟΥ</t>
  </si>
  <si>
    <t>11ο ΔΗΜΟΤΙΚΟ ΣΧΟΛΕΙΟ ΠΕΡΙΣΤΕΡΙΟΥ - ΟΔΥΣΣΕΑΣ ΕΛΥΤΗΣ</t>
  </si>
  <si>
    <t>mail@11dim-perist.att.sch.gr</t>
  </si>
  <si>
    <t>51ο ΝΗΠΙΑΓΩΓΕΙΟ ΠΕΡΙΣΤΕΡΙΟΥ</t>
  </si>
  <si>
    <t>mail@51nip-perist.att.sch.gr</t>
  </si>
  <si>
    <t>ΠΕΛΑΣΓΙΑΣ ΚΑΙ ΚΥΔΩΝΙΩΝ</t>
  </si>
  <si>
    <t>50ο ΝΗΠΙΑΓΩΓΕΙΟ ΠΕΡΙΣΤΕΡΙΟΥ</t>
  </si>
  <si>
    <t>mail@50nip-perist.att.sch.gr</t>
  </si>
  <si>
    <t>42ο ΝΗΠΙΑΓΩΓΕΙΟ ΠΕΡΙΣΤΕΡΙΟΥ</t>
  </si>
  <si>
    <t>mail@42nip-perist.att.sch.gr</t>
  </si>
  <si>
    <t>6ο ΝΗΠΙΑΓΩΓΕΙΟ ΠΕΡΙΣΤΕΡΙΟΥ</t>
  </si>
  <si>
    <t>mail@6nip-perist.att.sch.gr</t>
  </si>
  <si>
    <t>21ο ΔΗΜΟΤΙΚΟ ΣΧΟΛΕΙΟ ΠΕΡΙΣΤΕΡΙΟΥ</t>
  </si>
  <si>
    <t>mail@21dim-perist.att.sch.gr</t>
  </si>
  <si>
    <t>ΑΘΗΝΑΣ ΚΑΙ ΠΡΟΣΚΟΠΩΝ</t>
  </si>
  <si>
    <t>mail@15dim-perist.att.sch.gr</t>
  </si>
  <si>
    <t>2ο ΔΗΜΟΤΙΚΟ ΣΧΟΛΕΙΟ ΠΕΡΙΣΤΕΡΙΟΥ</t>
  </si>
  <si>
    <t>mail@2dim-perist.att.sch.gr</t>
  </si>
  <si>
    <t>ΑΡΚΑΔΙΟΥ 25</t>
  </si>
  <si>
    <t>3ο ΔΗΜΟΤΙΚΟ ΣΧΟΛΕΙΟ ΠΕΡΙΣΤΕΡΙΟΥ</t>
  </si>
  <si>
    <t>mail@3dim-perist.att.sch.gr</t>
  </si>
  <si>
    <t>ΝΕΟΚΛΕΟΥΣ 12</t>
  </si>
  <si>
    <t>9ο ΝΗΠΙΑΓΩΓΕΙΟ ΠΕΡΙΣΤΕΡΙΟΥ</t>
  </si>
  <si>
    <t>mail@9nip-perist.att.sch.gr</t>
  </si>
  <si>
    <t>mail@15dim-iliou.att.sch.gr</t>
  </si>
  <si>
    <t>ΠΡΙΑΜΟΥ 187</t>
  </si>
  <si>
    <t>mail@1dim-ag-anarg.att.sch.gr</t>
  </si>
  <si>
    <t>ΑΓΙΩΝ ΑΝΑΡΓΥΡΩΝ 45</t>
  </si>
  <si>
    <t>mail@9dim-aigal.att.sch.gr</t>
  </si>
  <si>
    <t>ΣΑΛΑΜΙΝΟΣ 10</t>
  </si>
  <si>
    <t>1ο ΟΛΟΗΜΕΡΟ ΕΙΔΙΚΟ ΔΗΜΟΤΙΚΟ ΣΧΟΛΕΙΟ ΙΛΙΟΥ</t>
  </si>
  <si>
    <t>mail@1dim-eid-iliou.att.sch.gr</t>
  </si>
  <si>
    <t>ΚΑΠΠΑΔΟΚΙΑΣ 9</t>
  </si>
  <si>
    <t>33ο ΝΗΠΙΑΓΩΓΕΙΟ ΠΕΡΙΣΤΕΡΙΟΥ</t>
  </si>
  <si>
    <t>mail@33nip-perist.att.sch.gr</t>
  </si>
  <si>
    <t>mail@12dim-perist.att.sch.gr</t>
  </si>
  <si>
    <t>ΚΩΣΤΗ ΠΑΛΑΜΑ 2Β</t>
  </si>
  <si>
    <t>3ο ΔΗΜΟΤΙΚΟ ΣΧΟΛΕΙΟ ΙΛΙΟΥ</t>
  </si>
  <si>
    <t>mail@3dim-iliou.att.sch.gr</t>
  </si>
  <si>
    <t>ΓΡΗΓΟΡΙΟΥ Ε΄ 38</t>
  </si>
  <si>
    <t>mail@25dim-iliou.att.sch.gr</t>
  </si>
  <si>
    <t>ΠΡΕΒΕΖΗΣ 43</t>
  </si>
  <si>
    <t>28ο ΝΗΠΙΑΓΩΓΕΙΟ ΠΕΡΙΣΤΕΡΙΟΥ</t>
  </si>
  <si>
    <t>mail@28nip-perist.att.sch.gr</t>
  </si>
  <si>
    <t>ΤΖΩΝ ΚΕΝΝΕΝΤΥ 188 ΚΑΙ ΛΕΩΝΙΔΑ</t>
  </si>
  <si>
    <t>mail@6dim-ag-anarg.att.sch.gr</t>
  </si>
  <si>
    <t>ΛΥΚΟΥΡΓΟΥ ΚΑΙ ΣΠΑΡΤΗΣ 2</t>
  </si>
  <si>
    <t>11ο ΔΗΜΟΤΙΚΟ ΣΧΟΛΕΙΟ ΙΛΙΟΥ</t>
  </si>
  <si>
    <t>mail@11dim-iliou.att.sch.gr</t>
  </si>
  <si>
    <t>ΠΑΛΑΤΙΑΝΗΣ 2-6</t>
  </si>
  <si>
    <t>mail@3dim-ag-anarg.att.sch.gr</t>
  </si>
  <si>
    <t>ʼγιοι Ανάργυροι</t>
  </si>
  <si>
    <t>Γεωργίου Παπανδρέου 98</t>
  </si>
  <si>
    <t>mail@47dim-perist.att.sch.gr</t>
  </si>
  <si>
    <t>ΑΝΑΤΟΛΗΣ 25</t>
  </si>
  <si>
    <t>mail@2dim-iliou.att.sch.gr</t>
  </si>
  <si>
    <t>ΧΡΥΣΗΙΔΟΣ 71</t>
  </si>
  <si>
    <t>25ο ΝΗΠΙΑΓΩΓΕΙΟ ΠΕΡΙΣΤΕΡΙΟΥ</t>
  </si>
  <si>
    <t>mail@25nip-perist.att.sch.gr</t>
  </si>
  <si>
    <t>ΠΑΛΑΙΑΣ ΚΑΒΑΛΑΣ ΚΑΙ ΘΕΟΚΛΗΤΟΥ 11</t>
  </si>
  <si>
    <t>4ο ΔΗΜΟΤΙΚΟ ΣΧΟΛΕΙΟ ΑΓΙΑΣ ΒΑΡΒΑΡΑΣ</t>
  </si>
  <si>
    <t>mail@4dim-ag-varvar.att.sch.gr</t>
  </si>
  <si>
    <t>ΣΙΦΝΟΥ 18</t>
  </si>
  <si>
    <t>13ο ΝΗΠΙΑΓΩΓΕΙΟ ΧΑΪΔΑΡΙΟΥ</t>
  </si>
  <si>
    <t>mail@13nip-chaid.att.sch.gr</t>
  </si>
  <si>
    <t>ΑΝΟΙΞΕΩΣ ΚΑΙ ΠΑΠΑΝΙΚΟΛΗ 9</t>
  </si>
  <si>
    <t>mail@13dim-perist.att.sch.gr</t>
  </si>
  <si>
    <t>ΠΡΕΣΠΑΣ ΚΑΙ ΠΕΛΟΠΙΔΑ</t>
  </si>
  <si>
    <t>mail@20dim-iliou.att.sch.gr</t>
  </si>
  <si>
    <t>ΕΠΤΑΝΗΣΟΥ 23</t>
  </si>
  <si>
    <t>3ο ΝΗΠΙΑΓΩΓΕΙΟ ΧΑΪΔΑΡΙΟΥ</t>
  </si>
  <si>
    <t>mail@3nip-chaid.att.sch.gr</t>
  </si>
  <si>
    <t>10ο ΝΗΠΙΑΓΩΓΕΙΟ ΧΑΪΔΑΡΙΟΥ</t>
  </si>
  <si>
    <t>mail@10nip-chaid.att.sch.gr</t>
  </si>
  <si>
    <t>ΟΔΥΣΣΕΩΣ 6</t>
  </si>
  <si>
    <t>10ο ΔΗΜΟΤΙΚΟ ΣΧΟΛΕΙΟ ΙΛΙΟΥ</t>
  </si>
  <si>
    <t>mail@10dim-iliou.att.sch.gr</t>
  </si>
  <si>
    <t>17ο ΝΗΠΙΑΓΩΓΕΙΟ ΠΕΡΙΣΤΕΡΙΟΥ</t>
  </si>
  <si>
    <t>mail@17nip-perist.att.sch.gr</t>
  </si>
  <si>
    <t>ΛΥΣΙΑ ΚΑΙ ΛΑΔΑ</t>
  </si>
  <si>
    <t>19ο ΝΗΠΙΑΓΩΓΕΙΟ ΠΕΡΙΣΤΕΡΙΟΥ</t>
  </si>
  <si>
    <t>mail@19nip-perist.att.sch.gr</t>
  </si>
  <si>
    <t>30ο ΔΗΜΟΤΙΚΟ ΣΧΟΛΕΙΟ ΠΕΡΙΣΤΕΡΙΟΥ</t>
  </si>
  <si>
    <t>mail@30dim-perist.att.sch.gr</t>
  </si>
  <si>
    <t>mail@7dim-petroup.att.sch.gr</t>
  </si>
  <si>
    <t>ΚΩΣΤΗ ΠΑΛΑΜΑ 189</t>
  </si>
  <si>
    <t>19ο ΔΗΜΟΤΙΚΟ ΣΧΟΛΕΙΟ ΑΙΓΑΛΕΩ "ΑΡΙΣΤΟΤΕΛΗΣ ΒΑΛΑΩΡΙΤΗΣ"</t>
  </si>
  <si>
    <t>mail@19dim-aigal.att.sch.gr</t>
  </si>
  <si>
    <t>ΑΓΙΟΥ ΣΠΥΡΙΔΩΝΟΣ ΚΑΙ ΜΗΛΙΩΝΗ 3</t>
  </si>
  <si>
    <t>10ο ΔΗΜΟΤΙΚΟ ΣΧΟΛΕΙΟ ΠΕΤΡΟΥΠΟΛΗΣ</t>
  </si>
  <si>
    <t>mail@10dim-petroup.att.sch.gr</t>
  </si>
  <si>
    <t>ΑΘΑΝΑΣΙΟΥ ΔΙΑΚΟΥ 120</t>
  </si>
  <si>
    <t>5ο ΝΗΠΙΑΓΩΓΕΙΟ ΑΙΓΑΛΕΩ</t>
  </si>
  <si>
    <t>mail@5nip-aigal.att.sch.gr</t>
  </si>
  <si>
    <t>ΔΑΦΝΗΣ ΚΑΙ ΠΑΛΑΙΑΣ ΚΑΒΑΛΑΣ 1</t>
  </si>
  <si>
    <t>7ο ΔΗΜΟΤΙΚΟ ΣΧΟΛΕΙΟ ΑΓΙΩΝ ΑΝΑΡΓΥΡΩΝ "ΑΛΕΞΑΝΔΡΟΣ ΠΑΠΑΔΙΑΜΑΝΤΗΣ"</t>
  </si>
  <si>
    <t>mail@7dim-ag-anarg.att.sch.gr</t>
  </si>
  <si>
    <t>ΝΙΚΟΛΑΟΥ ΠΛΑΣΤΗΡΑ 206</t>
  </si>
  <si>
    <t>2ο ΔΗΜΟΤΙΚΟ ΣΧΟΛΕΙΟ ΠΕΤΡΟΥΠΟΛΗΣ</t>
  </si>
  <si>
    <t>mail@2dim-petroup.att.sch.gr</t>
  </si>
  <si>
    <t>ΚΩΣΤΑ ΒΑΡΝΑΛΗ 33</t>
  </si>
  <si>
    <t>mail@9dim-iliou.att.sch.gr</t>
  </si>
  <si>
    <t>16ο ΔΗΜΟΤΙΚΟ ΣΧΟΛΕΙΟ ΠΕΡΙΣΤΕΡΙΟΥ</t>
  </si>
  <si>
    <t>mail@16dim-perist.att.sch.gr</t>
  </si>
  <si>
    <t>ΧΡΥΣΑΝΘΟΥ 3</t>
  </si>
  <si>
    <t>mail@27dim-perist.att.sch.gr</t>
  </si>
  <si>
    <t>ΠΤΟΛΕΜΑΪΔΟΣ 11</t>
  </si>
  <si>
    <t>mail@24dim-iliou.att.sch.gr</t>
  </si>
  <si>
    <t>Ίλιον,</t>
  </si>
  <si>
    <t>ΚΑΡΠΑΘΟΥ ΤΕΡΜΑ</t>
  </si>
  <si>
    <t>mail@4dim-kamat.att.sch.gr</t>
  </si>
  <si>
    <t>mail@8dim-iliou.att.sch.gr</t>
  </si>
  <si>
    <t>ΜΕΣΗΣ ΑΝΑΤΟΛΗΣ ΚΑΙ ΤΕΝΕΔΟΥ 1</t>
  </si>
  <si>
    <t>mail@41dim-perist.att.sch.gr</t>
  </si>
  <si>
    <t>ΚΑΚΤΟΥ ΚΑΙ ΑΓΙΟΥ ΙΕΡΟΘΕΟΥ</t>
  </si>
  <si>
    <t>8ο ΝΗΠΙΑΓΩΓΕΙΟ ΠΕΡΙΣΤΕΡΙΟΥ</t>
  </si>
  <si>
    <t>mail@8nip-perist.att.sch.gr</t>
  </si>
  <si>
    <t>2ο ΝΗΠΙΑΓΩΓΕΙΟ ΑΙΓΑΛΕΩ</t>
  </si>
  <si>
    <t>mail@2nip-aigal.att.sch.gr</t>
  </si>
  <si>
    <t>4ο ΔΗΜΟΤΙΚΟ ΣΧΟΛΕΙΟ ΠΕΡΙΣΤΕΡΙΟΥ</t>
  </si>
  <si>
    <t>mail@4dim-perist.att.sch.gr</t>
  </si>
  <si>
    <t>ΜΕΣΟΛΟΓΓΙΟΥ 75</t>
  </si>
  <si>
    <t>38ο ΔΗΜΟΤΙΚΟ ΣΧΟΛΕΙΟ ΠΕΡΙΣΤΕΡΙΟΥ</t>
  </si>
  <si>
    <t>mail@38dim-perist.att.sch.gr</t>
  </si>
  <si>
    <t>ΑΓΙΟΥ ΜΥΡΩΝΟΣ  9</t>
  </si>
  <si>
    <t>mail@1dim-kamat.att.sch.gr</t>
  </si>
  <si>
    <t>2ο ΔΗΜΟΤΙΚΟ ΣΧΟΛΕΙΟ ΚΑΜΑΤΕΡΟΥ</t>
  </si>
  <si>
    <t>mail@2dim-kamat.att.sch.gr</t>
  </si>
  <si>
    <t>ΓΡΗΓΟΡΙΟΥ ΛΑΜΠΡΑΚΗ ΚΑΙ ΘΕΣΣΑΛΟΝΙΚΗΣ</t>
  </si>
  <si>
    <t>32ο ΔΗΜΟΤΙΚΟ ΣΧΟΛΕΙΟ ΠΕΡΙΣΤΕΡΙΟΥ</t>
  </si>
  <si>
    <t>mail@32dim-perist.att.sch.gr</t>
  </si>
  <si>
    <t>ΓΡΑΝΙΚΟΥ 49</t>
  </si>
  <si>
    <t>27ο ΝΗΠΙΑΓΩΓΕΙΟ ΙΛΙΟΥ</t>
  </si>
  <si>
    <t>mail@27nip-iliou.att.sch.gr</t>
  </si>
  <si>
    <t>ΓΡΗΓΟΡΙΟΥ  Ε 38</t>
  </si>
  <si>
    <t>12ο ΝΗΠΙΑΓΩΓΕΙΟ ΠΕΡΙΣΤΕΡΙΟΥ</t>
  </si>
  <si>
    <t>mail@12nip-perist.att.sch.gr</t>
  </si>
  <si>
    <t>ΠΑΡΝΗΘΟΣ 106</t>
  </si>
  <si>
    <t>46ο ΝΗΠΙΑΓΩΓΕΙΟ ΠΕΡΙΣΤΕΡΙΟΥ</t>
  </si>
  <si>
    <t>mail@46nip-perist.att.sch.gr</t>
  </si>
  <si>
    <t>ΚΑΖΑΝΤΖΑΚΗ 8</t>
  </si>
  <si>
    <t>29ο ΔΗΜΟΤΙΚΟ ΣΧΟΛΕΙΟ ΠΕΡΙΣΤΕΡΙΟΥ</t>
  </si>
  <si>
    <t>mail@29dim-perist.att.sch.gr</t>
  </si>
  <si>
    <t>40ο ΔΗΜΟΤΙΚΟ ΣΧΟΛΕΙΟ ΠΕΡΙΣΤΕΡΙΟΥ</t>
  </si>
  <si>
    <t>mail@40dim-perist.att.sch.gr</t>
  </si>
  <si>
    <t>ΡΟΔΟΠΗΣ 60</t>
  </si>
  <si>
    <t>10ο ΔΗΜΟΤΙΚΟ ΣΧΟΛΕΙΟ ΠΕΡΙΣΤΕΡΙΟΥ</t>
  </si>
  <si>
    <t>mail@10dim-perist.att.sch.gr</t>
  </si>
  <si>
    <t>ΠΟΛΥΔΩΤΟΥ 61</t>
  </si>
  <si>
    <t>22ο ΔΗΜΟΤΙΚΟ ΣΧΟΛΕΙΟ ΠΕΡΙΣΤΕΡΙΟΥ</t>
  </si>
  <si>
    <t>mail@22dim-perist.att.sch.gr</t>
  </si>
  <si>
    <t>ΕΘΝΙΚΗΣ ΑΝΤΙΣΤΑΣΕΩΣ 101</t>
  </si>
  <si>
    <t>ΝΕΣΤΟΡΕΙΟ ΔΗΜΟΤΙΚΟ ΣΧΟΛΕΙΟ ΙΛΙΟΥ</t>
  </si>
  <si>
    <t>mail@21dim-iliou.att.sch.gr</t>
  </si>
  <si>
    <t>ΘΗΒΩΝ 422</t>
  </si>
  <si>
    <t>24ο ΔΗΜΟΤΙΚΟ ΣΧΟΛΕΙΟ ΠΕΡΙΣΤΕΡΙΟΥ</t>
  </si>
  <si>
    <t>mail@24dim-perist.att.sch.gr</t>
  </si>
  <si>
    <t>ΤΕΛΑΜΩΝΟΣ 80</t>
  </si>
  <si>
    <t>33ο ΔΗΜΟΤΙΚΟ ΣΧΟΛΕΙΟ ΠΕΡΙΣΤΕΡΙΟΥ</t>
  </si>
  <si>
    <t>mail@33dim-perist.att.sch.gr</t>
  </si>
  <si>
    <t>8ο ΔΗΜΟΤΙΚΟ ΣΧΟΛΕΙΟ ΠΕΡΙΣΤΕΡΙΟΥ</t>
  </si>
  <si>
    <t>mail@8dim-perist.att.sch.gr</t>
  </si>
  <si>
    <t>ΦΑΡΣΑΛΩΝ 58</t>
  </si>
  <si>
    <t>mail@1dim-perist.att.sch.gr</t>
  </si>
  <si>
    <t>ΠΑΝΑΓΗ ΤΣΑΛΔΑΡΗ 2 ΚΑΙ ΚΟΥΝΤΟΥΡΙΩΤΟΥ 1Α</t>
  </si>
  <si>
    <t>1ο ΕΙΔΙΚΟ ΔΗΜΟΤΙΚΟ ΣΧΟΛΕΙΟ ΠΕΡΙΣΤΕΡΙΟΥ</t>
  </si>
  <si>
    <t>mail@1dim-eid-perist.att.sch.gr</t>
  </si>
  <si>
    <t>ΦΙΛΙΚΩΝ 65</t>
  </si>
  <si>
    <t>14ο ΝΗΠΙΑΓΩΓΕΙΟ ΑΙΓΑΛΕΩ</t>
  </si>
  <si>
    <t>mail@14nip-aigal.att.sch.gr</t>
  </si>
  <si>
    <t>16ο ΝΗΠΙΑΓΩΓΕΙΟ ΠΕΤΡΟΥΠΟΛΗΣ</t>
  </si>
  <si>
    <t>mail@16nip-petroup.att.sch.gr</t>
  </si>
  <si>
    <t>ΣΟΥΛΙΟΥ  52</t>
  </si>
  <si>
    <t>17ο ΝΗΠΙΑΓΩΓΕΙΟ ΠΕΤΡΟΥΠΟΛΗΣ</t>
  </si>
  <si>
    <t>mail@17nip-petroup.att.sch.gr</t>
  </si>
  <si>
    <t>ΒΑΛΤΕΤΣΙΟΥ  25</t>
  </si>
  <si>
    <t>17ο ΝΗΠΙΑΓΩΓΕΙΟ ΧΑΪΔΑΡΙΟΥ</t>
  </si>
  <si>
    <t>mail@17nip-chaid.att.sch.gr</t>
  </si>
  <si>
    <t>ΗΛΙΑ ΒΕΝΕΖΗ ΚΑΙ ΔΩΔΕΚΑΝΗΣΟΥ 41</t>
  </si>
  <si>
    <t>ΕΙΔΙΚΟ ΔΗΜΟΤΙΚΟ ΣΧΟΛΕΙΟ ΑΙΓΑΛΕΩ - ΓΙΑ ΠΑΙΔΙΑ ΜΕ ΚΙΝΗΤΙΚΑ ΠΡΟΒΛΗΜΑΤΑ</t>
  </si>
  <si>
    <t>mail@dim-eid-pkp.att.sch.gr</t>
  </si>
  <si>
    <t>ΟΡΥΖΟΜΥΛΩΝ ΚΑΙ ΙΑΣΙΟΥ</t>
  </si>
  <si>
    <t>ΕΙΔΙΚΟ ΔΗΜΟΤΙΚΟ ΣΧΟΛΕΙΟ ΑΙΓΑΛΕΩ - ΕΚΠΑΙΔΕΥΣΗΣ ΠΑΙΔΙΩΝ ΣΤΟ ΦΑΣΜΑ ΤΟΥ ΑΥΤΙΣΜΟΥ</t>
  </si>
  <si>
    <t>mail@dim-eid-ekpf-aft.att.sch.gr</t>
  </si>
  <si>
    <t>3/Θ ΕΙΔΙΚΟ ΝΗΠΙΑΓΩΓΕΙΟ "ΕΚΠΑΙΔΕΥΣΗΣ ΠΑΙΔΙΩΝ ΣΤΟ ΦΑΣΜΑ ΤΟΥ ΑΥΤΙΣΜΟΥ"</t>
  </si>
  <si>
    <t>mail@nip-eid-ekpf-aft.att.sch.gr</t>
  </si>
  <si>
    <t>ΟΡΥΖΟΜΥΛΩΝ ΚΑΙ ΙΑΣΙΟΥ (αδιέξοδο)</t>
  </si>
  <si>
    <t>52ο ΝΗΠΙΑΓΩΓΕΙΟ ΠΕΡΙΣΤΕΡΙΟΥ</t>
  </si>
  <si>
    <t>mail@52nip-perist.att.sch.gr</t>
  </si>
  <si>
    <t>ΑΓ.ΕΛΕΥΘΕΡΙΟΥ  54</t>
  </si>
  <si>
    <t>1ο ΕΙΔΙΚΟ ΝΗΠΙΑΓΩΓΕΙΟ ΠΕΡΙΣΤΕΡΙΟΥ</t>
  </si>
  <si>
    <t>mail@nip-eid-perist.att.sch.gr</t>
  </si>
  <si>
    <t>1ο ΔΗΜΟΤΙΚΟ ΣΧΟΛΕΙΟ ΙΛΙΟΥ</t>
  </si>
  <si>
    <t>mail@1dim-iliou.att.sch.gr</t>
  </si>
  <si>
    <t>ΠΡΙΑΜΟΥ 114</t>
  </si>
  <si>
    <t>11ο ΝΗΠΙΑΓΩΓΕΙΟ ΚΑΜΑΤΕΡΟΥ</t>
  </si>
  <si>
    <t>mail@11nip-kamat.att.sch.gr</t>
  </si>
  <si>
    <t>ΑΓ ΝΙΚΟΛΑΟΥ  27 &amp; ΑΡΑΧΩΒΗΣ 15</t>
  </si>
  <si>
    <t>1ο ΕΙΔΙΚΟ ΝΗΠΙΑΓΩΓΕΙΟ ΙΛΙΟΥ</t>
  </si>
  <si>
    <t>mail@1nip-eid-iliou.att.sch.gr</t>
  </si>
  <si>
    <t>12ο ΝΗΠΙΑΓΩΓΕΙΟ ΚΑΜΑΤΕΡΟΥ</t>
  </si>
  <si>
    <t>mail@12nip-kamat.att.sch.gr</t>
  </si>
  <si>
    <t>ΤΕΡΜΑ ΑΘ. ΔΙΑΚΟΥ</t>
  </si>
  <si>
    <t>ΝΗΠΙΑΓΩΓΕΙΟ ΑΝΩ ΔΑΣΟΥΣ ΧΑΪΔΑΡΙΟΥ</t>
  </si>
  <si>
    <t>mail@19nip-ad-chaid.att.sch.gr</t>
  </si>
  <si>
    <t>ΑΝΩ ΔΑΣΟΥΣ ΧΑΪΔΑΡΙΟΥ</t>
  </si>
  <si>
    <t>29ο ΝΗΠΙΑΓΩΓΕΙΟ ΙΛΙΟΥ</t>
  </si>
  <si>
    <t>mail@29nip-iliou.att.sch.gr</t>
  </si>
  <si>
    <t>ΖΙΤΣΗΣ ΚΑΙ ΝΙΟΒΗΣ</t>
  </si>
  <si>
    <t>18ο ΝΗΠΙΑΓΩΓΕΙΟ ΠΕΤΡΟΥΠΟΛΗΣ</t>
  </si>
  <si>
    <t>mail@18nip-petroup.att.sch.gr</t>
  </si>
  <si>
    <t>18ο ΝΗΠΙΑΓΩΓΕΙΟ ΧΑΪΔΑΡΙΟΥ</t>
  </si>
  <si>
    <t>mail@18nip-chaid.att.sch.gr</t>
  </si>
  <si>
    <t>2/Θ ΕΙΔΙΚΟ ΝΗΠΙΑΓΩΓΕΙΟ ΑΙΓΑΛΕΩ</t>
  </si>
  <si>
    <t>mail@nip-eid-aigal.att.sch.gr</t>
  </si>
  <si>
    <t>ΑΝΘΙΜΟΥ ΓΑΖΗ 25</t>
  </si>
  <si>
    <t>13ο ΝΗΠΙΑΓΩΓΕΙΟ ΚΑΜΑΤΕΡΟΥ</t>
  </si>
  <si>
    <t>19ο ΝΗΠΙΑΓΩΓΕΙΟ ΠΕΤΡΟΥΠΟΛΗΣ</t>
  </si>
  <si>
    <t>20ο ΝΗΠΙΑΓΩΓΕΙΟ ΠΕΤΡΟΥΠΟΛΗΣ</t>
  </si>
  <si>
    <t>21ο ΝΗΠΙΑΓΩΓΕΙΟ ΠΕΤΡΟΥΠΟΛΗΣ</t>
  </si>
  <si>
    <t>ΔΙΕΥΘΥΝΣΗ Π.Ε. Δ΄ ΑΘΗΝΑΣ</t>
  </si>
  <si>
    <t>ΕΙΔΙΚΟ ΔΗΜΟΤΙΚΟ ΣΧΟΛΕΙΟ ΓΙΑ ΠΑΙΔΙΑ ΜΕ ΕΓΚΕΦΑΛΙΚΗ ΠΑΡΑΛΥΣΗ ΣΤΙΣ ΕΓΚΑΤΑΣΤΑΣΕΙΣ ΤΗΣ ΕΠΣ ΣΤΗΝ ΑΡΓΥΡΟΥΠΟΛΗ</t>
  </si>
  <si>
    <t>mail@dim-eid-eg-paral.att.sch.gr</t>
  </si>
  <si>
    <t>ΓΕΡΟΥΛΑΝΟΥ  117</t>
  </si>
  <si>
    <t>11ο ΝΗΠΙΑΓΩΓΕΙΟ ΓΛΥΦΑΔΑΣ</t>
  </si>
  <si>
    <t>mail@11nip-glyfad.att.sch.gr</t>
  </si>
  <si>
    <t>ΒΕΡΕΛΗ 59</t>
  </si>
  <si>
    <t>18ο ΝΗΠΙΑΓΩΓΕΙΟ ΓΛΥΦΑΔΑΣ</t>
  </si>
  <si>
    <t>mail@18nip-glyfad.att.sch.gr</t>
  </si>
  <si>
    <t>ΝΙΚΗΦΟΡΟΥ 32</t>
  </si>
  <si>
    <t>13ο ΝΗΠΙΑΓΩΓΕΙΟ ΑΡΓΥΡΟΥΠΟΛΗΣ</t>
  </si>
  <si>
    <t>mail@13nip-argyr.att.sch.gr</t>
  </si>
  <si>
    <t>ΜΙΛΗΤΟΥ 38</t>
  </si>
  <si>
    <t>22ο ΝΗΠΙΑΓΩΓΕΙΟ ΚΑΛΛΙΘΕΑΣ</t>
  </si>
  <si>
    <t>mail@22nip-kallith.att.sch.gr</t>
  </si>
  <si>
    <t>ΔΗΜΟΣΘΕΝΟΥΣ 157</t>
  </si>
  <si>
    <t>26ο ΝΗΠΙΑΓΩΓΕΙΟ ΚΑΛΛΙΘΕΑΣ</t>
  </si>
  <si>
    <t>mail@26nip-kallith.att.sch.gr</t>
  </si>
  <si>
    <t>14ο ΝΗΠΙΑΓΩΓΕΙΟ ΚΑΛΛΙΘΕΑΣ</t>
  </si>
  <si>
    <t>mail@14nip-kallith.att.sch.gr</t>
  </si>
  <si>
    <t>ΗΡΑΚΛΕΟΥΣ 19</t>
  </si>
  <si>
    <t>2ο ΝΗΠΙΑΓΩΓΕΙΟ ΕΛΛΗΝΙΚΟΥ</t>
  </si>
  <si>
    <t>mail@2nip-ellin.att.sch.gr</t>
  </si>
  <si>
    <t>ΑΛΙΚΑΡΝΑΣΣΟΥ 3</t>
  </si>
  <si>
    <t>13ο ΝΗΠΙΑΓΩΓΕΙΟ ΓΛΥΦΑΔΑΣ</t>
  </si>
  <si>
    <t>mail@13nip-glyfad.att.sch.gr</t>
  </si>
  <si>
    <t>ΠΥΡΓΟΥ 32</t>
  </si>
  <si>
    <t>8ο ΝΗΠΙΑΓΩΓΕΙΟ ΓΛΥΦΑΔΑΣ</t>
  </si>
  <si>
    <t>mail@8nip-glyfad.att.sch.gr</t>
  </si>
  <si>
    <t>Ρ.ΦΕΡΑΙΟΥ ΚΑΙ ΒΟΥΛΙΑΓΜΕΝΗΣ 3</t>
  </si>
  <si>
    <t>15ο ΝΗΠΙΑΓΩΓΕΙΟ ΚΑΛΛΙΘΕΑΣ</t>
  </si>
  <si>
    <t>mail@15nip-kallith.att.sch.gr</t>
  </si>
  <si>
    <t>ΣΑΠΦΟΥΣ  1</t>
  </si>
  <si>
    <t>16ο ΝΗΠΙΑΓΩΓΕΙΟ ΚΑΛΛΙΘΕΑΣ</t>
  </si>
  <si>
    <t>mail@16nip-kallith.att.sch.gr</t>
  </si>
  <si>
    <t>1ο ΝΗΠΙΑΓΩΓΕΙΟ ΜΟΣΧΑΤΟΥ</t>
  </si>
  <si>
    <t>mail@1nip-mosch.att.sch.gr</t>
  </si>
  <si>
    <t>ΧΡΥΣΟΣΤΟΜΟΥ ΣΜΥΡΝΗΣ 5</t>
  </si>
  <si>
    <t>5ο  ΝΗΠΙΑΓΩΓΕΙΟ ΕΛΛΗΝΙΚΟΥ</t>
  </si>
  <si>
    <t>mail@5nip-ellin.att.sch.gr</t>
  </si>
  <si>
    <t>Εθνάρχου Μακαρίου 30</t>
  </si>
  <si>
    <t>8ο ΝΗΠΙΑΓΩΓΕΙΟ ΚΑΛΛΙΘΕΑΣ</t>
  </si>
  <si>
    <t>mail@8nip-kallith.att.sch.gr</t>
  </si>
  <si>
    <t>ΝΑΥΣΙΚΑΣ 6</t>
  </si>
  <si>
    <t>4ο ΝΗΠΙΑΓΩΓΕΙΟ ΚΑΛΛΙΘΕΑΣ</t>
  </si>
  <si>
    <t>mail@4nip-kallith.att.sch.gr</t>
  </si>
  <si>
    <t>ΤΑΥΓΕΤΟΥ 12</t>
  </si>
  <si>
    <t>9ο ΝΗΠΙΑΓΩΓΕΙΟ ΚΑΛΛΙΘΕΑΣ</t>
  </si>
  <si>
    <t>mail@9nip-kallith.att.sch.gr</t>
  </si>
  <si>
    <t>ΛΥΚΟΥΡΓΟΥ 260</t>
  </si>
  <si>
    <t>17ο ΝΗΠΙΑΓΩΓΕΙΟ ΚΑΛΛΙΘΕΑΣ</t>
  </si>
  <si>
    <t>mail@17nip-kallith.att.sch.gr</t>
  </si>
  <si>
    <t>ΣΑΠΦΟΥΣ 1</t>
  </si>
  <si>
    <t>3ο ΝΗΠΙΑΓΩΓΕΙΟ ΚΑΛΛΙΘΕΑΣ</t>
  </si>
  <si>
    <t>mail@3nip-kallith.att.sch.gr</t>
  </si>
  <si>
    <t>ΠΟΣΕΙΔΩΝΟΣ ΚΑΙ ΕΠΑΜΕΙΝΩΝΔΑ</t>
  </si>
  <si>
    <t>1ο ΝΗΠΙΑΓΩΓΕΙΟ ΕΛΛΗΝΙΚΟΥ</t>
  </si>
  <si>
    <t>mail@1nip-ellin.att.sch.gr</t>
  </si>
  <si>
    <t>ΡΟΔΟΠΟΛΕΩΣ 71</t>
  </si>
  <si>
    <t>4ο  ΝΗΠΙΑΓΩΓΕΙΟ ΜΟΣΧΑΤΟΥ</t>
  </si>
  <si>
    <t>mail@4nip-mosch.att.sch.gr</t>
  </si>
  <si>
    <t>ΧΕΙΜΑΡΑΣ 25</t>
  </si>
  <si>
    <t>2ο ΝΗΠΙΑΓΩΓΕΙΟ ΚΑΛΛΙΘΕΑΣ</t>
  </si>
  <si>
    <t>mail@2nip-kallith.att.sch.gr</t>
  </si>
  <si>
    <t>ΜΕΤΑΜΟΡΦΩΣΕΩΣ 54</t>
  </si>
  <si>
    <t>19ο  ΝΗΠΙΑΓΩΓΕΙΟ ΚΑΛΛΙΘΕΑΣ</t>
  </si>
  <si>
    <t>mail@19nip-kallith.att.sch.gr</t>
  </si>
  <si>
    <t>ΜΕΤΑΜΟΡΦΩΣΕΩΣ 25</t>
  </si>
  <si>
    <t>2ο ΝΗΠΙΑΓΩΓΕΙΟ ΓΛΥΦΑΔΑΣ</t>
  </si>
  <si>
    <t>mail@2nip-glyfad.att.sch.gr</t>
  </si>
  <si>
    <t>ΙΡΙΔΟΣ 10</t>
  </si>
  <si>
    <t>11ο ΝΗΠΙΑΓΩΓΕΙΟ ΚΑΛΛΙΘΕΑ</t>
  </si>
  <si>
    <t>ΜΕΝΕΛΑΟΥ 40</t>
  </si>
  <si>
    <t>7ο  ΝΗΠΙΑΓΩΓΕΙΟ ΓΛΥΦΑΔΑΣ</t>
  </si>
  <si>
    <t>mail@7nip-glyfad.att.sch.gr</t>
  </si>
  <si>
    <t>Μ. ΑΣΙΑΣ 93</t>
  </si>
  <si>
    <t>9ο ΝΗΠΙΑΓΩΓΕΙΟ ΓΛΥΦΑΔΑΣ</t>
  </si>
  <si>
    <t>mail@9nip-glyfad.att.sch.gr</t>
  </si>
  <si>
    <t>ΠΡΟΦΗΤΗ ΗΛΙΑ 35</t>
  </si>
  <si>
    <t>10ο  ΝΗΠΙΑΓΩΓΕΙΟ ΓΛΥΦΑΔΑΣ</t>
  </si>
  <si>
    <t>mail@10nip-glyfad.att.sch.gr</t>
  </si>
  <si>
    <t>ΕΛΕΥΘΕΡΟΥ ΑΝΘΡΩΠΟΥ 58</t>
  </si>
  <si>
    <t>23ο ΝΗΠΙΑΓΩΓΕΙΟ ΚΑΛΛΙΘΕΑΣ</t>
  </si>
  <si>
    <t>mail@23nip-kallith.att.sch.gr</t>
  </si>
  <si>
    <t>ΛΑΣΚΑΡΙΔΟΥ 68</t>
  </si>
  <si>
    <t>15ο ΝΗΠΙΑΓΩΓΕΙΟ ΑΡΓΥΡΟΥΠΟΛΗΣ</t>
  </si>
  <si>
    <t>mail@15nip-argyr.att.sch.gr</t>
  </si>
  <si>
    <t>ΑΡΓΥΡΟΥΠΟΛΕΩΣ ΚΑΙ ΦΙΛ. ΕΤΑΙΡΕΙΑΣ</t>
  </si>
  <si>
    <t>27ο ΝΗΠΙΑΓΩΓΕΙΟ ΚΑΛΛΙΘΕΑΣ</t>
  </si>
  <si>
    <t>mail@27nip-kallith.att.sch.gr</t>
  </si>
  <si>
    <t>ΛΥΚΟΥΡΓΟΥ ΚΑΙ ΑΡΓΥΡΟΚΑΣΤΡΟΥ 12</t>
  </si>
  <si>
    <t>25ο ΝΗΠΙΑΓΩΓΕΙΟ ΚΑΛΛΙΘΕΑΣ</t>
  </si>
  <si>
    <t>mail@25nip-kallith.att.sch.gr</t>
  </si>
  <si>
    <t>16ο ΝΗΠΙΑΓΩΓΕΙΟ ΓΛΥΦΑΔΑΣ</t>
  </si>
  <si>
    <t>mail@16nip-glyfad.att.sch.gr</t>
  </si>
  <si>
    <t>ΔΑΡΔΑΝΕΛΙΩΝ 65</t>
  </si>
  <si>
    <t>4ο ΝΗΠΙΑΓΩΓΕΙΟ ΑΡΓΥΡΟΥΠΟΛΗΣ</t>
  </si>
  <si>
    <t>mail@4nip-argyr.att.sch.gr</t>
  </si>
  <si>
    <t>ΠΕΛΟΠΟΝΝΗΣΟΥ 14</t>
  </si>
  <si>
    <t>10ο  ΝΗΠΙΑΓΩΓΕΙΟ ΚΑΛΛΙΘΕΑΣ</t>
  </si>
  <si>
    <t>mail@10nip-kallith.att.sch.gr</t>
  </si>
  <si>
    <t>ΔΗΜΗΤΡΑΚΟΠΟΥΛΟΥ ΚΑΙ ΛΑΣΚΑΡΙΔΟΥ</t>
  </si>
  <si>
    <t>28ο ΝΗΠΙΑΓΩΓΕΙΟ ΚΑΛΛΙΘΕΑΣ</t>
  </si>
  <si>
    <t>mail@28nip-kallith.att.sch.gr</t>
  </si>
  <si>
    <t>ΑΓ.ΕΛΕΟΥΣΗΣ 28</t>
  </si>
  <si>
    <t>5ο ΝΗΠΙΑΓΩΓΕΙΟ ΜΟΣΧΑΤΟΥ</t>
  </si>
  <si>
    <t>mail@5nip-mosch.att.sch.gr</t>
  </si>
  <si>
    <t>ΑΓ. ΚΩΝΣΤΑΝΤΙΝΟΥ 9 &amp; ΑΡΑΧΩΒΗΣ</t>
  </si>
  <si>
    <t>29ο ΝΗΠΙΑΓΩΓΕΙΟ ΚΑΛΛΙΘΕΑΣ</t>
  </si>
  <si>
    <t>mail@29nip-kallith.att.sch.gr</t>
  </si>
  <si>
    <t>ΚΡΕΜΟΥ 135</t>
  </si>
  <si>
    <t>12ο ΝΗΠΙΑΓΩΓΕΙΟ ΚΑΛΛΙΘΕΑΣ</t>
  </si>
  <si>
    <t>mail@12nip-kallith.att.sch.gr</t>
  </si>
  <si>
    <t>3ο ΝΗΠΙΑΓΩΓΕΙΟ ΜΟΣΧΑΤΟΥ</t>
  </si>
  <si>
    <t>mail@3nip-mosch.att.sch.gr</t>
  </si>
  <si>
    <t>ΣΟΛΩΜΟΥ 9</t>
  </si>
  <si>
    <t>5ο ΔΗΜΟΤΙΚΟ ΣΧΟΛΕΙΟ ΑΡΓΥΡΟΥΠΟΛΗΣ</t>
  </si>
  <si>
    <t>mail@5dim-argyr.att.sch.gr</t>
  </si>
  <si>
    <t>ΟΛΥΜΠΙΑΣ 5</t>
  </si>
  <si>
    <t>4ο  ΔΗΜΟΤΙΚΟ  ΣΧΟΛΕΙΟ  ΑΓΙΟΥ  ΔΗΜΗΤΡΙΟΥ</t>
  </si>
  <si>
    <t>mail@4dim-ag-dimitr.att.sch.gr</t>
  </si>
  <si>
    <t>ΧΑΤΖΗΒΑΣΙΛΕΙΟΥ 1</t>
  </si>
  <si>
    <t>11ο  ΝΗΠΙΑΓΩΓΕΙΟ ΝΕΑΣ   ΣΜΥΡΝΗΣ</t>
  </si>
  <si>
    <t>mail@11nip-n-smyrn.att.sch.gr</t>
  </si>
  <si>
    <t>ΚΙΟΥΠΕΤΖΟΓΛΟΥ 14</t>
  </si>
  <si>
    <t>6ο ΔΗΜΟΤΙΚΟ ΣΧΟΛΕΙΟ ΚΑΛΛΙΘΕΑΣ</t>
  </si>
  <si>
    <t>mail@6dim-kallith.att.sch.gr</t>
  </si>
  <si>
    <t>mail@6dim-n-smyrn.att.sch.gr</t>
  </si>
  <si>
    <t>ΠΛΑΤΕΙΑ ΒΑΣ.ΣΟΦΙΑΣ 1</t>
  </si>
  <si>
    <t>1ο ΕΙΔΙΚΟ ΔΗΜΟΤΙΚΟ ΣΧΟΛΕΙΟ ΑΓΙΟΥ ΔΗΜΗΤΡΙΟΥ</t>
  </si>
  <si>
    <t>mail@1dim-eid-ag-dimitr.att.sch.gr</t>
  </si>
  <si>
    <t>ΑΝΔΡΟΥ &amp; ΡΕΘΥΜΝΗΣ 56</t>
  </si>
  <si>
    <t>mail@2dim-mosch.att.sch.gr</t>
  </si>
  <si>
    <t>ΦΛΕΜΙΝΓΚ 84</t>
  </si>
  <si>
    <t>11ο  ΔΗΜΟΤΙΚΟ ΣΧΟΛΕΙΟ ΠΑΛΑΙΟΥ ΦΑΛΗΡΟΥ  "ΕΛΕΝΗ ΓΛΥΚΑΤΖΗ ΑΡΒΕΛΕΡ"</t>
  </si>
  <si>
    <t>mail@11dim-p-falir.att.sch.gr</t>
  </si>
  <si>
    <t>Παλαιό Φάληρο</t>
  </si>
  <si>
    <t>Ερατούς 20</t>
  </si>
  <si>
    <t>1ο ΝΗΠΙΑΓΩΓΕΙΟ ΠΑΛΑΙΟΥ ΦΑΛΗΡΟΥ</t>
  </si>
  <si>
    <t>mail@1nip-p-falir.att.sch.gr</t>
  </si>
  <si>
    <t>ΕΣΠΕΡΟΥ 36</t>
  </si>
  <si>
    <t>mail@7dim-argyr.att.sch.gr</t>
  </si>
  <si>
    <t>ΚΩΝΣΤΑΝΤΙΝΟΥΠΟΛΕΩΣ 82</t>
  </si>
  <si>
    <t>2dimkal@sch.gr</t>
  </si>
  <si>
    <t>ΣΑΠΦΟΥΣ 46</t>
  </si>
  <si>
    <t>7ο  ΔΗΜΟΤΙΚΟ ΣΧΟΛΕΙΟ ΠΑΛΑΙΟΥ ΦΑΛΗΡΟΥ</t>
  </si>
  <si>
    <t>7dimpfal@sch.gr</t>
  </si>
  <si>
    <t>Π.ΦΑΛΗΡΟ</t>
  </si>
  <si>
    <t>ΜΟΥΣΑΙΟΥ 12-14</t>
  </si>
  <si>
    <t>mail@8dim-glyfad.att.sch.gr</t>
  </si>
  <si>
    <t>ΑΓ.ΝΕΚΤΑΡΙΟΥ ΚΑΙ Γ.ΓΕΝΝΗΜΑΤΑ</t>
  </si>
  <si>
    <t>mail@21dim-kallith.att.sch.gr</t>
  </si>
  <si>
    <t>ΗΡΑΚΛΕΟΥΣ 91</t>
  </si>
  <si>
    <t>1ο ΝΗΠΙΑΓΩΓΕΙΟ ΚΑΛΛΙΘΕΑΣ</t>
  </si>
  <si>
    <t>mail@1nip-kallith.att.sch.gr</t>
  </si>
  <si>
    <t>ΗΡΑΚΛΕΟΥΣ 248</t>
  </si>
  <si>
    <t>mail@4dim-p-falir.att.sch.gr</t>
  </si>
  <si>
    <t>ΑΝΔΡΟΜΑΧΗΣ 17</t>
  </si>
  <si>
    <t>mail@17dim-kallith.att.sch.gr</t>
  </si>
  <si>
    <t>ΛΑΣΚΑΡΙΔΟΥ 37</t>
  </si>
  <si>
    <t>ΔΗΜΟΤΙΚΟ ΣΧΟΛΕΙΟ ΔΙΑΠΟΛΙΤΙΣΜΙΚΗΣ ΕΚΠΑΙΔΕΥΣΗΣ ΠΑΛΑΙΟΥ ΦΑΛΗΡΟΥ</t>
  </si>
  <si>
    <t>mail@dim-diapol-falir.att.sch.gr</t>
  </si>
  <si>
    <t>Π. ΦΑΛΗΡΟ</t>
  </si>
  <si>
    <t>ΤΙΡΥΝΘΟΣ 3</t>
  </si>
  <si>
    <t>11ο ΔΗΜΟΤΙΚΟ ΣΧΟΛΕΙΟ ΑΓΙΟΥ ΔΗΜΗΤΡΙΟΥ</t>
  </si>
  <si>
    <t>mail@11dim-ag-dimitr.att.sch.gr</t>
  </si>
  <si>
    <t>ʼγιος Δημήτριος</t>
  </si>
  <si>
    <t>ΕΛ.ΒΕΝΙΖΕΛΟΥ 14</t>
  </si>
  <si>
    <t>mail@11dim-kallith.att.sch.gr</t>
  </si>
  <si>
    <t>26ο ΔΗΜΟΤΙΚΟ ΣΧΟΛΕΙΟ ΚΑΛΛΙΘΕΑΣ</t>
  </si>
  <si>
    <t>mail@26dim-kallith.att.sch.gr</t>
  </si>
  <si>
    <t>Αγίας Ελεούσας 28</t>
  </si>
  <si>
    <t>11ο ΝΗΠΙΑΓΩΓΕΙΟΥ ΠΑΛΑΙΟΥ ΦΑΛΗΡΟΥ</t>
  </si>
  <si>
    <t>mail@11nip-p-falir.att.sch.gr</t>
  </si>
  <si>
    <t>ΠΑΝΔΡΟΣΟΥ 27</t>
  </si>
  <si>
    <t>13ο ΔΗΜΟΤΙΚΟ ΣΧΟΛΕΙΟ ΚΑΛΛΙΘΕΑΣ</t>
  </si>
  <si>
    <t>mail@13dim-kallith.att.sch.gr</t>
  </si>
  <si>
    <t>ΦΟΡΝΕΖΗ 31</t>
  </si>
  <si>
    <t>mail@7dim-ag-dimitr.att.sch.gr</t>
  </si>
  <si>
    <t>ΣΟΥΛΙΟΥ 49</t>
  </si>
  <si>
    <t>5ο  ΔΗΜΟΤΙΚΟ ΣΧΟΛΕΙΟ ΜΟΣΧΑΤΟΥ</t>
  </si>
  <si>
    <t>mail@5dim-mosch.att.sch.gr</t>
  </si>
  <si>
    <t>ΠΛΑΤΩΝΟΣ  174 ΚΑΙ ΧΕΙΜΑΡΑΣ</t>
  </si>
  <si>
    <t>4ο ΔΗΜΟΤΙΚΟ ΣΧΟΛΕΙΟ ΑΛΙΜΟΥ "ΚΥΒΕΛΗ"</t>
  </si>
  <si>
    <t>mail@4dim-alimou.att.sch.gr</t>
  </si>
  <si>
    <t>ΜΥΡΟΓΙΑΝΝΗ ΚΑΙ ΚΥΒΕΛΗΣ</t>
  </si>
  <si>
    <t>5ο  ΝΗΠΙΑΓΩΓΕΙΟ ΚΑΛΛΙΘΕΑΣ</t>
  </si>
  <si>
    <t>mail@5nip-kallith.att.sch.gr</t>
  </si>
  <si>
    <t>ΦΕΙΔΙΟΥ 9</t>
  </si>
  <si>
    <t>5ο ΔΗΜΟΤΙΚΟ ΣΧΟΛΕΙΟ ΠΑΛΑΙΟΥ ΦΑΛΗΡΟΥ</t>
  </si>
  <si>
    <t>mail@5dim-p-falir.att.sch.gr</t>
  </si>
  <si>
    <t>Λ. ΑΜΦΙΘΕΑΣ 29</t>
  </si>
  <si>
    <t>Λ.ΑΜΦΙΘΕΑΣ 29</t>
  </si>
  <si>
    <t>5ο ΝΗΠΙΑΓΩΓΕΙΟ ΑΛΙΜΟΥ</t>
  </si>
  <si>
    <t>mail@5nip-alimou.att.sch.gr</t>
  </si>
  <si>
    <t>ΑΘΗΝΑΣ 31</t>
  </si>
  <si>
    <t>12ο ΔΗΜΟΤΙΚΟ ΣΧΟΛΕΙΟ ΑΓΙΟΥ ΔΗΜΗΤΡΙΟΥ</t>
  </si>
  <si>
    <t>mail@12dim-ag-dimitr.att.sch.gr</t>
  </si>
  <si>
    <t>ΕΥΡΩΤΑ 28</t>
  </si>
  <si>
    <t>ΕΙΔΙΚΟ ΔΗΜΟΤΙΚΟ ΣΧΟΛΕΙΟ ΤΥΦΛΟΚΩΦΩΝ ΚΑΛΛΙΘΕΑΣ</t>
  </si>
  <si>
    <t>mail@dim-ekt-kallith.att.sch.gr</t>
  </si>
  <si>
    <t>ΕΛ. ΒΕΝΙΖΕΛΟΥ 210</t>
  </si>
  <si>
    <t>1ο ΕΙΔΙΚΟ ΔΗΜΟΤΙΚΟ ΣΧΟΛΕΙΟ ΚΑΛΛΙΘΕΑΣ</t>
  </si>
  <si>
    <t>mail@1dim-eid-kallith.att.sch.gr</t>
  </si>
  <si>
    <t>Δημοσθένους 252-258</t>
  </si>
  <si>
    <t>ΕΙΔΙΚΟ ΔΗΜΟΤΙΚΟ ΣΧΟΛΕΙΟ ΤΥΦΛΩΝ ΚΑΛΛΙΘΕΑΣ</t>
  </si>
  <si>
    <t>mail@dim-eid-keat.att.sch.gr</t>
  </si>
  <si>
    <t>ΕΛΕΥΘΕΡΙΟΥ ΒΕΝΙΖΕΛΟΥ 210 &amp; ΣΠΑΡΤΗΣ 103</t>
  </si>
  <si>
    <t>mail@2dim-tavrou.att.sch.gr</t>
  </si>
  <si>
    <t>Λ. ΕΙΡΗΝΗΣ ΚΑΙ ΜΑΚΕΔΟΝΙΑΣ</t>
  </si>
  <si>
    <t>2ο ΝΗΠΙΑΓΩΓΕΙΟ ΑΡΓΥΡΟΥΠΟΛΗΣ</t>
  </si>
  <si>
    <t>mail@2nip-argyr.att.sch.gr</t>
  </si>
  <si>
    <t>ΓΡΑΜΜΟΥ ΚΑΙ ΠΙΝΔΟΥ 55</t>
  </si>
  <si>
    <t>5ο ΔΗΜΟΤΙΚΟ ΣΧΟΛΕΙΟ ΚΑΛΛΙΘΕΑΣ</t>
  </si>
  <si>
    <t>mail@5dim-kallith.att.sch.gr</t>
  </si>
  <si>
    <t>ΣΑΠΦΟΥΣ ΚΑΙ ΚΑΛΥΨΟΥΣ</t>
  </si>
  <si>
    <t>10ο ΝΗΠΙΑΓΩΓΕΙΟ ΑΡΓΥΡΟΥΠΟΛΗΣ</t>
  </si>
  <si>
    <t>mail@10nip-argyr.att.sch.gr</t>
  </si>
  <si>
    <t>ΡΟΥΜΕΛΗΣ 104</t>
  </si>
  <si>
    <t>mail@6dim-argyr.att.sch.gr</t>
  </si>
  <si>
    <t>ΚΥΚΛΑΔΩΝ 7</t>
  </si>
  <si>
    <t>10ο ΔΗΜΟΤΙΚΟ ΣΧΟΛΕΙΟ ΠΑΛΑΙΟΥ ΦΑΛΗΡΟΥ</t>
  </si>
  <si>
    <t>mail@10dim-p-falir.att.sch.gr</t>
  </si>
  <si>
    <t>ΠΑΡΘΕΝΩΝΟΣ 47</t>
  </si>
  <si>
    <t>21ο   ΝΗΠΙΑΓΩΓΕΙΟ ΚΑΛΛΙΘΕΑΣ</t>
  </si>
  <si>
    <t>mail@21nip-kallith.att.sch.gr</t>
  </si>
  <si>
    <t>mail@17dim-ag-dimitr.att.sch.gr</t>
  </si>
  <si>
    <t>ΦΛΕΜΙΝΓΚ 5</t>
  </si>
  <si>
    <t>4ο ΔΗΜΟΤΙΚΟ ΣΧΟΛΕΙΟ ΝΕΑΣ ΣΜΥΡΝΗΣ</t>
  </si>
  <si>
    <t>4dimnsmyrn@sch.gr</t>
  </si>
  <si>
    <t>Νέα Σμύρνη</t>
  </si>
  <si>
    <t>Αποστολάκη 2</t>
  </si>
  <si>
    <t>23ο ΔΗΜΟΤΙΚΟ ΣΧΟΛΕΙΟ ΚΑΛΛΙΘΕΑΣ</t>
  </si>
  <si>
    <t>mail@23dim-kallith.att.sch.gr</t>
  </si>
  <si>
    <t>ΔΗΜΟΣΘΕΝΟΥΣ 211-217</t>
  </si>
  <si>
    <t>mail@10dim-kallith.att.sch.gr</t>
  </si>
  <si>
    <t>ΑΧΙΛΛΕΩΣ 23</t>
  </si>
  <si>
    <t>4ο ΝΗΠΙΑΓΩΓΕΙΟ ΑΛΙΜΟΥ</t>
  </si>
  <si>
    <t>mail@4nip-alimou.att.sch.gr</t>
  </si>
  <si>
    <t>ΚΥΒΕΛΗΣ ΚΑΙ ΜΥΡΟΓΙΑΝΝΗ</t>
  </si>
  <si>
    <t>mail@5dim-ag-dimitr.att.sch.gr</t>
  </si>
  <si>
    <t>ΞΑΝΘΗΣ 48</t>
  </si>
  <si>
    <t>3ο  ΝΗΠΙΑΓΩΓΕΙΟ ΑΛΙΜΟΥ</t>
  </si>
  <si>
    <t>mail@3nip-alimou.att.sch.gr</t>
  </si>
  <si>
    <t>ΚΝΩΣΣΟΥ ΚΑΙ ΛΕΥΚΩΣΙΑΣ  78</t>
  </si>
  <si>
    <t>7ο  ΝΗΠΙΑΓΩΓΕΙΟ ΑΡΓΥΡΟΥΠΟΛΗΣ</t>
  </si>
  <si>
    <t>mail@7nip-argyr.att.sch.gr</t>
  </si>
  <si>
    <t>ΑΛΕΞΙΟΥΠΟΛΕΩΣ ΚΑΙ ΗΠΕΙΡΟΥ 8</t>
  </si>
  <si>
    <t>2ο ΔΗΜΟΤΙΚΟ ΣΧΟΛΕΙΟ ΠΑΛΑΙΟΥ ΦΑΛΗΡΟΥ</t>
  </si>
  <si>
    <t>mail@2dim-p-falir.att.sch.gr</t>
  </si>
  <si>
    <t>ΑΧΙΛΛΕΩΣ 34</t>
  </si>
  <si>
    <t>6ο ΝΗΠΙΑΓΩΓΕΙΟ ΝΕΑΣ ΣΜΥΡΝΗΣ</t>
  </si>
  <si>
    <t>mail@6nip-n-smyrn.att.sch.gr</t>
  </si>
  <si>
    <t>ΠΑΡΑΣΚΕΥΟΠΟΥΛΟΥ 54</t>
  </si>
  <si>
    <t>2ο ΝΗΠΙΑΓΩΓΕΙΟ ΜΟΣΧΑΤΟΥ</t>
  </si>
  <si>
    <t>mail@2nip-mosch.att.sch.gr</t>
  </si>
  <si>
    <t>ΟΜΗΡΟΥ ΚΑΙ ΣΩΚΡΑΤΟΥΣ 34</t>
  </si>
  <si>
    <t>8ο ΝΗΠΙΑΓΩΓΕΙΟ ΑΓΙΟΥ ΔΗΜΗΤΡΙΟΥ</t>
  </si>
  <si>
    <t>mail@8nip-ag-dimitr.att.sch.gr</t>
  </si>
  <si>
    <t>ΦΛΕΜΙΝΓΚ 3</t>
  </si>
  <si>
    <t>ΔΗΜΟΤΙΚΟ ΣΧΟΛΕΙΟ  ΝΕΑΣ ΣΜΥΡΝΗΣ - ΑΓΙΟΣ ΑΝΔΡΕΑΣ</t>
  </si>
  <si>
    <t>mail@dim-n-smyrn.att.sch.gr</t>
  </si>
  <si>
    <t>ΑΠΟΣΤΟΛΑΚΗ 2</t>
  </si>
  <si>
    <t>mail@7dim-n-smyrn.att.sch.gr</t>
  </si>
  <si>
    <t>ΕΥΞΕΙΝΟΥ ΠΟΝΤΟΥ 73 ΚΑΙ ΑΓ.ΣΑΡΑΝΤΑ</t>
  </si>
  <si>
    <t>1ο  ΔΗΜΟΤΙΚΟ ΣΧΟΛΕΙΟ ΑΓΙΟΥ ΔΗΜΗΤΡΙΟΥ</t>
  </si>
  <si>
    <t>mail@1dim-ag-dimitr.att.sch.gr</t>
  </si>
  <si>
    <t>ΤΑΤΑΚΗ 24</t>
  </si>
  <si>
    <t>4ο  ΔΗΜΟΤΙΚΟ ΣΧΟΛΕΙΟ ΚΑΛΛΙΘΕΑΣ</t>
  </si>
  <si>
    <t>mail@4dim-kallith.att.sch.gr</t>
  </si>
  <si>
    <t>6ο  ΝΗΠΙΑΓΩΓΕΙΟ ΑΓΙΟΥ ΔΗΜΗΤΡΙΟΥ</t>
  </si>
  <si>
    <t>mail@6nip-ag-dimitr.att.sch.gr</t>
  </si>
  <si>
    <t>ΜΕΝΕΛΑΟΥ 74</t>
  </si>
  <si>
    <t>4ο ΝΗΠΙΑΓΩΓΕΙΟ ΓΛΥΦΑΔΑΣ</t>
  </si>
  <si>
    <t>mail@4nip-glyfad.att.sch.gr</t>
  </si>
  <si>
    <t>ΒΕΡΕΛΗ 63</t>
  </si>
  <si>
    <t>14ο ΔΗΜΟΤΙΚΟ ΣΧΟΛΕΙΟ ΚΑΛΛΙΘΕΑΣ</t>
  </si>
  <si>
    <t>mail@14dim-kallith.att.sch.gr</t>
  </si>
  <si>
    <t>ΙΑΤΡΙΔΟΥ 141</t>
  </si>
  <si>
    <t>mail@12dim-p-falir.att.sch.gr</t>
  </si>
  <si>
    <t>ΑΕΡΟΠΟΡΩΝ 21</t>
  </si>
  <si>
    <t>mail@18dim-ag-dimitr.att.sch.gr</t>
  </si>
  <si>
    <t>ΓΕΝΝΑΔΙΟΥ ΚΑΙ ΑΓ.ΣΑΡΑΝΤΑ</t>
  </si>
  <si>
    <t>mail@5dim-tavrou.att.sch.gr</t>
  </si>
  <si>
    <t>ΠΕΙΡΑΙΩΣ ΚΑΙ ΛΑΜΠΡΑΚΗ 1</t>
  </si>
  <si>
    <t>2ο ΝΗΠΙΑΓΩΓΕΙΟ ΠΑΛΑΙΟΥ ΦΑΛΗΡΟΥ</t>
  </si>
  <si>
    <t>mail@2nip-p-falir.att.sch.gr</t>
  </si>
  <si>
    <t>ΘΗΣΕΩΣ 37</t>
  </si>
  <si>
    <t>2ο ΝΗΠΙΑΓΩΓΕΙΟ ΑΓΙΟΥ ΔΗΜΗΤΡΙΟΥ</t>
  </si>
  <si>
    <t>mail@2nip-ag-dimitr.att.sch.gr</t>
  </si>
  <si>
    <t>ΚΛΕΑΡΧΟΥ 53 &amp; ΣΟΦΟΚΛΗ ΒΕΝΙΖΕΛΟΥ 51</t>
  </si>
  <si>
    <t>11ο ΝΗΠΙΑΓΩΓΕΙΟ ΑΛΙΜΟΥ</t>
  </si>
  <si>
    <t>mail@11nip-alimou.att.sch.gr</t>
  </si>
  <si>
    <t>ΜΑΝΔΗΛΑΡΑ ΚΑΙ ΙΚΑΡΙΑΣ</t>
  </si>
  <si>
    <t>4ο ΔΗΜΟΤΙΚΟ ΣΧΟΛΕΙΟ ΓΛΥΦΑΔΑΣ</t>
  </si>
  <si>
    <t>mail@4dim-glyfad.att.sch.gr</t>
  </si>
  <si>
    <t>ΒΕΝΕΖΟΥΕΛΑΣ 36</t>
  </si>
  <si>
    <t>mail@1dim-n-smyrn.att.sch.gr</t>
  </si>
  <si>
    <t>1ο ΝΗΠΙΑΓΩΓΕΙΟ ΑΡΓΥΡΟΥΠΟΛΗΣ</t>
  </si>
  <si>
    <t>mail@1nip-argyr.att.sch.gr</t>
  </si>
  <si>
    <t>ΠΟΝΤΟΥ 34</t>
  </si>
  <si>
    <t>14ο  ΔΗΜΟΤΙΚΟ ΣΧΟΛΕΙΟ ΑΓΙΟΥ ΔΗΜΗΤΡΙΟΥ</t>
  </si>
  <si>
    <t>mail@14dim-ag-dimitr.att.sch.gr</t>
  </si>
  <si>
    <t>ΑΡΧΙΜΗΔΟΥΣ 21</t>
  </si>
  <si>
    <t>mail@5dim-alimou.att.sch.gr</t>
  </si>
  <si>
    <t>ΕΠΤΑΝΗΣΟΥ 2</t>
  </si>
  <si>
    <t>4ο ΔΗΜΟΤΙΚΟ ΣΧΟΛΕΙΟ ΜΟΣΧΑΤΟΥ</t>
  </si>
  <si>
    <t>mail@4dim-mosch.att.sch.gr</t>
  </si>
  <si>
    <t>ΧΕΙΜΑΡΑΣ ΚΑΙ ΠΛΑΤΩΝΟΣ</t>
  </si>
  <si>
    <t>10ο ΝΗΠΙΑΓΩΓΕΙΟ ΑΛΙΜΟΥ</t>
  </si>
  <si>
    <t>mail@10nip-alimou.att.sch.gr</t>
  </si>
  <si>
    <t>ΝΙΚ. ΒΡΕΤΑΚΟΥ 21</t>
  </si>
  <si>
    <t>7ο  ΝΗΠΙΑΓΩΓΕΊΟ  ΠΑΛΑΙΟΥ  ΦΑΛΗΡΟΥ</t>
  </si>
  <si>
    <t>mail@7nip-p-falir.att.sch.gr</t>
  </si>
  <si>
    <t>13ο ΔΗΜΟΤΙΚΟ ΣΧΟΛΕΙΟ ΠΑΛΑΙΟΥ ΦΑΛΗΡΟΥ</t>
  </si>
  <si>
    <t>mail@13dim-p-falir.att.sch.gr</t>
  </si>
  <si>
    <t>ΣΩΚΡΑΤΟΥΣ  ΚΑΙ  ΚΟΥΝΤΟΥΡΙΩΤΟΥ</t>
  </si>
  <si>
    <t>6ο ΔΗΜΟΤΙΚΟ ΣΧΟΛΕΙΟ ΠΑΛΑΙΟΥ ΦΑΛΗΡΟΥ</t>
  </si>
  <si>
    <t>mail@6dim-p-falir.att.sch.gr</t>
  </si>
  <si>
    <t>ΑΡΜΑΤΟΛΩΝ 9</t>
  </si>
  <si>
    <t>mail@12dim-kallith.att.sch.gr</t>
  </si>
  <si>
    <t>ΛΥΚΟΥΡΓΟΥ 268</t>
  </si>
  <si>
    <t>10ο  ΝΗΠΙΑΓΩΓΕΙΟ ΠΑΛΑΙΟΥ ΦΑΛΗΡΟΥ</t>
  </si>
  <si>
    <t>mail@10nip-p-falir.att.sch.gr</t>
  </si>
  <si>
    <t>ΕΘΕΛΟΝΤΩΝ 33</t>
  </si>
  <si>
    <t>1ο ΝΗΠΙΑΓΩΓΕΙΟ ΑΓΙΟΥ ΔΗΜΗΤΡΙΟΥ</t>
  </si>
  <si>
    <t>mail@1nip-ag-dimitr.att.sch.gr</t>
  </si>
  <si>
    <t>ΑΡΣΙΝΟΗΣ 20</t>
  </si>
  <si>
    <t>mail@13dim-ag-dimitr.att.sch.gr</t>
  </si>
  <si>
    <t>ΑΡΓΟΣΤΟΛΙΟΥ 118</t>
  </si>
  <si>
    <t>mail@21dim-ag-dimitr.att.sch.gr</t>
  </si>
  <si>
    <t>8ο ΔΗΜΟΤΙΚΟ ΣΧΟΛΕΙΟ ΑΓΙΟΥ ΔΗΜΗΤΡΙΟΥ</t>
  </si>
  <si>
    <t>mail@8dim-ag-dimitr.att.sch.gr</t>
  </si>
  <si>
    <t>ΡΟΜΠΕΡΤ ΚΕΝΕΝΤΥ 30</t>
  </si>
  <si>
    <t>3ο ΝΗΠΙΑΓΩΓΕΙΟ ΠΑΛΑΙΟΥ ΦΑΛΗΡΟΥ</t>
  </si>
  <si>
    <t>mail@3nip-p-falir.att.sch.gr</t>
  </si>
  <si>
    <t>ΚΑΝΑΡΗ 25</t>
  </si>
  <si>
    <t>5ο ΝΗΠΙΑΓΩΓΕΙΟ ΠΑΛΑΙΟΥ ΦΑΛΗΡΟΥ</t>
  </si>
  <si>
    <t>mail@5nip-p-falir.att.sch.gr</t>
  </si>
  <si>
    <t>10ο ΝΗΠΙΑΓΩΓΕΙΟ ΝΕΑΣ ΣΜΥΡΝΗΣ</t>
  </si>
  <si>
    <t>mail@10nip-n-smyrnis.att.sch.gr</t>
  </si>
  <si>
    <t>ΠΡ.ΑΙΔΙΝΙΟΥ ΚΑΙ ΑΓ.ΣΟΦΙΑΣ 19</t>
  </si>
  <si>
    <t>4ο ΝΗΠΙΑΓΩΓΕΙΟ ΝΕΑΣ ΣΜΥΡΝΗΣ</t>
  </si>
  <si>
    <t>mail@4nip-n-smyrn.att.sch.gr</t>
  </si>
  <si>
    <t>ΕΥΞΕΙΝΟΥ ΠΟΝΤΟΥ 171</t>
  </si>
  <si>
    <t>2ο ΔΗΜΟΤΙΚΟ ΣΧΟΛΕΙΟ ΝΕΑΣ ΣΜΥΡΝΗΣ</t>
  </si>
  <si>
    <t>mail@2dim-n-smyrn.att.sch.gr</t>
  </si>
  <si>
    <t>ΒΟΣΠΟΡΟΥ 78</t>
  </si>
  <si>
    <t>10ο  ΔΗΜΟΤΙΚΟ ΣΧΟΛΕΙΟ ΓΛΥΦΑΔΑΣ</t>
  </si>
  <si>
    <t>mail@10dim-glyfad.att.sch.gr</t>
  </si>
  <si>
    <t>ΚΕΦΑΛΛΗΝΙΑΣ ΚΑΙ ΦΟΛΕΓΑΝΔΡΟΥ</t>
  </si>
  <si>
    <t>10ο ΔΗΜΟΤΙΚΟ ΣΧΟΛΕΙΟ ΑΓΙΟΥ ΔΗΜΗΤΡΙΟΥ</t>
  </si>
  <si>
    <t>mail@10dim-ag-dimitr.att.sch.gr</t>
  </si>
  <si>
    <t>ΕΘΝΟΜΑΡΤΥΡΩΝ ΚΑΙ ΤΡΑΚΑΔΑ 1</t>
  </si>
  <si>
    <t>2ο  ΝΗΠΙΑΓΩΓΕΙΟ ΑΛΙΜΟΥ</t>
  </si>
  <si>
    <t>mail@2nip-alimou.att.sch.gr</t>
  </si>
  <si>
    <t>ΘΕΣΣΑΛΙΑΣ 25</t>
  </si>
  <si>
    <t>mail@1dim-argyr.att.sch.gr</t>
  </si>
  <si>
    <t>ΕΛ.ΒΕΝΙΖΕΛΟΥ 13</t>
  </si>
  <si>
    <t>mail@8dim-argyr.att.sch.gr</t>
  </si>
  <si>
    <t>ΑΡΓΥΡΟΥΠΟΛΕΩΣ 53</t>
  </si>
  <si>
    <t>9ο ΝΗΠΙΑΓΩΓΕΙΟ ΑΛΙΜΟΥ</t>
  </si>
  <si>
    <t>mail@9nip-alimou.att.sch.gr</t>
  </si>
  <si>
    <t>ΣΠΑΡΤΗΣ 19</t>
  </si>
  <si>
    <t>15ο  ΔΗΜΟΤΙΚΟ ΣΧΟΛΕΙΟ ΑΓΙΟΥ ΔΗΜΗΤΡΙΟΥ</t>
  </si>
  <si>
    <t>mail@15dim-ag-dimitr.att.sch.gr</t>
  </si>
  <si>
    <t>ΑΣΥΡΜΑΤΟΥ 146</t>
  </si>
  <si>
    <t>1ο ΔΗΜΟΤΙΚΟ ΣΧΟΛΕΙΟ ΤΑΥΡΟΥ</t>
  </si>
  <si>
    <t>mail@1dim-tavrou.att.sch.gr</t>
  </si>
  <si>
    <t>ΝΑΖΛΗ ΚΑΙ ΣΜΥΡΝΗΣ</t>
  </si>
  <si>
    <t>ΕΙΔΙΚΟ ΔΗΜΟΤΙΚΟ ΣΧΟΛΕΙΟ ΚΩΦΩΝ ΚΑΙ ΒΑΡΗΚΟΩΝ ΑΡΓΥΡΟΥΠΟΛΗΣ</t>
  </si>
  <si>
    <t>mail@dim-ekv-argyr.att.sch.gr</t>
  </si>
  <si>
    <t>ΠΑΤΡΙΑΡΧΟΥ  ΓΡΗΓΟΡΙΟΥ Ε'   1-3</t>
  </si>
  <si>
    <t>3ο ΔΗΜΟΤΙΚΟ ΣΧΟΛΕΙΟ ΜΟΣΧΑΤΟΥ</t>
  </si>
  <si>
    <t>mail@3dim-mosch.att.sch.gr</t>
  </si>
  <si>
    <t>ΠΙΝΔΟΥ ΚΑΙ ΘΕΡΜΟΠΥΛΩΝ 8</t>
  </si>
  <si>
    <t>mail@20dim-kallith.att.sch.gr</t>
  </si>
  <si>
    <t>ΜΕΓΑΛΟΥΠΟΛΕΩΣ 19</t>
  </si>
  <si>
    <t>9ο  ΝΗΠΙΑΓΩΓΕΙΟ ΠΑΛΑΙΟΥ ΦΑΛΗΡΟΥ</t>
  </si>
  <si>
    <t>mail@9nip-p-falir.att.sch.gr</t>
  </si>
  <si>
    <t>ΟΡΦΕΩΣ 72</t>
  </si>
  <si>
    <t>1ο ΝΗΠΙΑΓΩΓΕΙΟ ΓΛΥΦΑΔΑΣ</t>
  </si>
  <si>
    <t>mail@1nip-glyfad.att.sch.gr</t>
  </si>
  <si>
    <t>ΑΝ.ΡΩΜΥΛΙΑΣ 33</t>
  </si>
  <si>
    <t>5ο  ΝΗΠΙΑΓΩΓΕΙΟ ΤΑΥΡΟΥ</t>
  </si>
  <si>
    <t>mail@5nip-tavrou.att.sch.gr</t>
  </si>
  <si>
    <t>ΠΑΤΡΙΑΡΧΟΥ ΙΩΑΚΕΙΜ ΚΑΙ ΠΕΙΡΑΙΩΣ</t>
  </si>
  <si>
    <t>6ο ΔΗΜΟΤΙΚΟ ΣΧΟΛΕΙΟ ΓΛΥΦΑΔΑΣ</t>
  </si>
  <si>
    <t>mail@6dim-glyfad.att.sch.gr</t>
  </si>
  <si>
    <t>ΜΙΚΡΑΣ ΑΣΙΑΣ 93</t>
  </si>
  <si>
    <t>15ο ΝΗΠΙΑΓΩΓΕΙΟ ΑΓΙΟΥ ΔΗΜΗΤΡΊΟΥ</t>
  </si>
  <si>
    <t>mail@15nip-ag-dimitr.att.sch.gr</t>
  </si>
  <si>
    <t>ΠΟΛΥΝΕΙΚΟΥΣ ΚΑΙ ΑΡΚΑΔΙΑΣ</t>
  </si>
  <si>
    <t>7ο ΝΗΠΙΑΓΩΓΕΙΟ ΑΛΙΜΟΥ</t>
  </si>
  <si>
    <t>mail@7nip-alimou.att.sch.gr</t>
  </si>
  <si>
    <t>ΝΙΚΗΣ ΚΑΙ ΣΟΛΩΝΟΣ 13</t>
  </si>
  <si>
    <t>11ο ΝΗΠΙΑΓΩΓΕΙΟ ΑΓΙΟΥ ΔΗΜΗΤΡΙΟΥ</t>
  </si>
  <si>
    <t>mail@11nip-ag-dimitr.att.sch.gr</t>
  </si>
  <si>
    <t>ΘΑΛΕΙΑΣ 14</t>
  </si>
  <si>
    <t>4ο ΝΗΠΙΑΓΩΓΕΙΟ ΠΑΛΑΙΟΥ ΦΑΛΗΡΟΥ</t>
  </si>
  <si>
    <t>mail@4nip-p-falir.att.sch.gr</t>
  </si>
  <si>
    <t>ΑΡΜΑΤΩΛΩΝ 9</t>
  </si>
  <si>
    <t>3ο ΔΗΜΟΤΙΚΟ ΣΧΟΛΕΙΟ ΠΑΛΑΙΟΥ ΦΑΛΗΡΟΥ</t>
  </si>
  <si>
    <t>mail@3dim-p-falir.att.sch.gr</t>
  </si>
  <si>
    <t>ΠΑΡΘΕΝΩΝΟΣ 36</t>
  </si>
  <si>
    <t>6ο ΝΗΠΙΑΓΩΓΕΙΟ ΑΡΓΥΡΟΥΠΟΛΗΣ</t>
  </si>
  <si>
    <t>mail@6nip-argyr.att.sch.gr</t>
  </si>
  <si>
    <t>ΑΡΓΟΝΑΥΤΩΝ 14 ΚΑΙ ΚΥΘΗΡΩΝ</t>
  </si>
  <si>
    <t>10ο ΝΗΠΙΑΓΩΓΕΙΟ ΑΓΙΟΥ  ΔΗΜΗΤΡΙΟΥ</t>
  </si>
  <si>
    <t>mail@10nip-ag-dimitr.att.sch.gr</t>
  </si>
  <si>
    <t>ΑΓΙΟΥ ΔΗΜΗΤΡΙΟΥ 186</t>
  </si>
  <si>
    <t>mail@15dim-kallith.att.sch.gr</t>
  </si>
  <si>
    <t>ΣΠΑΡΤΗΣ 19 ΚΑΙ ΣΩΚΡΑΤΟΥΣ</t>
  </si>
  <si>
    <t>mail@1dim-p-falir.att.sch.gr</t>
  </si>
  <si>
    <t>ΝΑΪΑΔΩΝ 37</t>
  </si>
  <si>
    <t>mail@9dim-kallith.att.sch.gr</t>
  </si>
  <si>
    <t>ΣΑΠΦΟΥΣ 138</t>
  </si>
  <si>
    <t>mail@2dim-ag-dimitr.att.sch.gr</t>
  </si>
  <si>
    <t>ΤΕΡΨΙΧΟΡΗΣ 6 ΚΑΙ ΑΝ.ΠΑΠΑΝΔΡΕΟΥ</t>
  </si>
  <si>
    <t>mail@8dim-p-falir.att.sch.gr</t>
  </si>
  <si>
    <t>mail@5dim-n-smyrn.att.sch.gr</t>
  </si>
  <si>
    <t>ΕΥΞ.ΠΟΝΤΟΥ 171</t>
  </si>
  <si>
    <t>9ο  ΝΗΠΙΑΓΩΓΕΙΟ ΝΕΑΣ ΣΜΥΡΝΗΣ</t>
  </si>
  <si>
    <t>mail@9nip-n-smyrn.att.sch.gr</t>
  </si>
  <si>
    <t>3ο ΔΗΜΟΤΙΚΟ ΣΧΟΛΕΙΟ ΓΛΥΦΑΔΑΣ</t>
  </si>
  <si>
    <t>mail@3dim-glyfad.att.sch.gr</t>
  </si>
  <si>
    <t>ΠΑΛΜΥΡΑΣ 42</t>
  </si>
  <si>
    <t>12ο ΝΗΠΙΑΓΩΓΕΙΟ ΠΑΛΑΙΟΥ ΦΑΛΗΡΟΥ</t>
  </si>
  <si>
    <t>mail@12nip-p-falir.att.sch.gr</t>
  </si>
  <si>
    <t>mail@4dim-ellin.att.sch.gr</t>
  </si>
  <si>
    <t>ΑΦΡΟΔΙΤΗΣ 47</t>
  </si>
  <si>
    <t>mail@4dim-tavrou.att.sch.gr</t>
  </si>
  <si>
    <t>ΤΣΑΚΑΛΩΦ 9</t>
  </si>
  <si>
    <t>3ο ΔΗΜΟΤΙΚΟ ΣΧΟΛΕΙΟ ΝΕΑΣ ΣΜΥΡΝΗΣ</t>
  </si>
  <si>
    <t>mail@3dim-n-smyrn.att.sch.gr</t>
  </si>
  <si>
    <t>ΑΙΓΑΙΟΥ ΚΑΙ ΑΡΤΑΚΗΣ</t>
  </si>
  <si>
    <t>14ο  ΝΗΠΙΑΓΩΓΕΙΟ ΑΓΙΟΥ ΔΗΜΗΤΡΙΟΥ</t>
  </si>
  <si>
    <t>mail@14nip-ag-dimitr.att.sch.gr</t>
  </si>
  <si>
    <t>ΣΟΛΩΝΟΣ ΚΑΙ ΤΡΑΚΑΔΑ</t>
  </si>
  <si>
    <t>4ο ΝΗΠΙΑΓΩΓΕΙΟ ΕΛΛΗΝΙΚΟΥ</t>
  </si>
  <si>
    <t>mail@4nip-ellin.att.sch.gr</t>
  </si>
  <si>
    <t>ΤΡΙΠΟΛΕΩΣ  55</t>
  </si>
  <si>
    <t>3ο ΝΗΠΙΑΓΩΓΕΙΟ ΝΕΑΣ ΣΜΥΡΝΗΣ</t>
  </si>
  <si>
    <t>mail@3nip-n-smyrn.att.sch.gr</t>
  </si>
  <si>
    <t>ΠΕΡΓΑΜΟΥ 4</t>
  </si>
  <si>
    <t>5ο ΝΗΠΙΑΓΩΓΕΙΟ ΑΡΓΥΡΟΥΠΟΛΗΣ</t>
  </si>
  <si>
    <t>mail@5nip-argyr.att.sch.gr</t>
  </si>
  <si>
    <t>ΠΛΑΣΤΗΡΑ 4</t>
  </si>
  <si>
    <t>8ο  ΝΗΠΙΑΓΩΓΕΙΟ ΝΕΑΣ ΣΜΥΡΝΗΣ</t>
  </si>
  <si>
    <t>mail@8nip-n-smyrn.att.sch.gr</t>
  </si>
  <si>
    <t>ΚΥΠΡΟΥ ΚΑΙ ΔΩΔΕΚΑΝΗΣΟΥ 2</t>
  </si>
  <si>
    <t>mail@6dim-ag-dimitr.att.sch.gr</t>
  </si>
  <si>
    <t>Αγίου Δημητρίου 186</t>
  </si>
  <si>
    <t>7ο ΝΗΠΙΑΓΩΓΕΙΟ ΑΓΙΟΥ ΔΗΜΗΤΡΙΟΥ</t>
  </si>
  <si>
    <t>mail@7nip-ag-dimitr.att.sch.gr</t>
  </si>
  <si>
    <t>ΜΑΥΡΟΓΕΝΟΥΣ Μ. 1</t>
  </si>
  <si>
    <t>3ο  ΔΗΜΟΤΙΚΟ ΣΧΟΛΕΙΟ ΚΑΛΛΙΘΕΑΣ</t>
  </si>
  <si>
    <t>mail@3dim-kallith.att.sch.gr</t>
  </si>
  <si>
    <t xml:space="preserve">ΚΑΛΛΙΘΕΑ </t>
  </si>
  <si>
    <t>9ο ΝΗΠΙΑΓΩΓΕΙΟ ΑΡΓΥΡΟΥΠΟΛΗΣ</t>
  </si>
  <si>
    <t>mail@9nip-argyr.att.sch.gr</t>
  </si>
  <si>
    <t>ΣΤΕΦΑΝΟΥ ΣΑΡΑΦΗ 30</t>
  </si>
  <si>
    <t>ΕΙΔΙΚΟ ΝΗΠΙΑΓΩΓΕΙΟ ΚΩΦΩΝ ΚΑΙ ΒΑΡΗΚΟΩΝ ΑΡΓΥΡΟΥΠΟΛΗΣ</t>
  </si>
  <si>
    <t>mail@nip-ekv-argyr.att.sch.gr</t>
  </si>
  <si>
    <t>ΠΑΤΡΙΑΡΧΟΥ ΓΡΗΓΟΡΙΟΥ Ε΄1-3</t>
  </si>
  <si>
    <t>mail@3dim-tavrou.att.sch.gr</t>
  </si>
  <si>
    <t>ΚΛΕΙΟΥΣ ΚΑΙ ΧΡ.ΣΜΥΡΝΗΣ</t>
  </si>
  <si>
    <t>3ο ΝΗΠΙΑΓΩΓΕΙΟ ΕΛΛΗΝΙΚΟΥ</t>
  </si>
  <si>
    <t>mail@3nip-ellin.att.sch.gr</t>
  </si>
  <si>
    <t>ΑΛΕΞ.ΠΑΝΑΓΟΥΛΗ 15</t>
  </si>
  <si>
    <t>ΕΙΔΙΚΟ ΝΗΠΙΑΓΩΓΕΙΟ ΚΑΛΛΙΘΕΑ - ΤΥΦΛΩΝ-ΚΩΦΩΝ</t>
  </si>
  <si>
    <t>7ο  ΝΗΠΙΑΓΩΓΕΙΟ ΝΕΑΣ  ΣΜΥΡΝΗΣ</t>
  </si>
  <si>
    <t>mail@7nip-n-smyrn.att.sch.gr</t>
  </si>
  <si>
    <t>Mail@2dim-alimou.att.sch.gr</t>
  </si>
  <si>
    <t>ΕΛ.ΒΕΝΙΖΕΛΟΥ 4</t>
  </si>
  <si>
    <t>ΒΕΝΙΖΕΛΟΥ 4</t>
  </si>
  <si>
    <t>1ο  ΔΗΜΟΤΙΚΟ ΣΧΟΛΕΙΟ ΓΛΥΦΑΔΑΣ</t>
  </si>
  <si>
    <t>mail@1dim-glyfad.att.sch.gr</t>
  </si>
  <si>
    <t>ΓΙΑΝΝΙΤΣΟΠΟΥΛΟΥ 12</t>
  </si>
  <si>
    <t>6ο ΝΗΠΙΑΓΩΓΕΙΟ ΠΑΛΑΙΟΥ ΦΑΛΗΡΟΥ</t>
  </si>
  <si>
    <t>mail@6nip-p-falir.att.sch.gr</t>
  </si>
  <si>
    <t>ΤΕΡΨΙΘΕΑΣ 41</t>
  </si>
  <si>
    <t>8ο ΝΗΠΙΑΓΩΓΕΙΟ ΠΑΛΑΙΟΥ ΦΑΛΗΡΟΥ</t>
  </si>
  <si>
    <t>mail@8nip-p-falir.att.sch.gr</t>
  </si>
  <si>
    <t>3ο  ΝΗΠΙΑΓΩΓΕΙΟ ΓΛΥΦΑΔΑΣ</t>
  </si>
  <si>
    <t>mail@3nip-glyfad.att.sch.gr</t>
  </si>
  <si>
    <t>ΛΑΟΔΙΚΗΣ ΚΑΙ Φ.ΕΤΑΙΡΕΙΑΣ</t>
  </si>
  <si>
    <t>12ο  ΝΗΠΙΑΓΩΓΕΙΟ ΓΛΥΦΑΔΑΣ</t>
  </si>
  <si>
    <t>mail@12nip-glyfad.att.sch.gr</t>
  </si>
  <si>
    <t>ΘΡΑΚΗΣ 1</t>
  </si>
  <si>
    <t>13ο ΝΗΠΙΑΓΩΓΕΙΟ ΑΓΙΟΥ ΔΗΜΗΤΡΙΟΥ</t>
  </si>
  <si>
    <t>mail@13nip-ag-dimitr.att.sch.gr</t>
  </si>
  <si>
    <t>ΤΣΙΤΣΑΝΗ ΚΑΙ ΛΗΜΝΟΥ 24</t>
  </si>
  <si>
    <t>3ο ΝΗΠΙΑΓΩΓΕΙΟ ΑΡΓΥΡΟΥΠΟΛΗΣ</t>
  </si>
  <si>
    <t>mail@3nip-argyr.att.sch.gr</t>
  </si>
  <si>
    <t>ΚΥΚΛΑΔΩΝ 3</t>
  </si>
  <si>
    <t>9ο ΝΗΠΙΑΓΩΓΕΙΟ ΑΓΙΟΥ ΔΗΜΗΤΡΙΟΥ</t>
  </si>
  <si>
    <t>mail@9nip-ag-dimitr.att.sch.gr</t>
  </si>
  <si>
    <t>ΔΩΡΙΕΩΝ &amp; ΜΑΚΡΥΓΙΑΝΝΗ</t>
  </si>
  <si>
    <t>16ο ΝΗΠΙΑΓΩΓΕΙΟ ΑΓΙΟΥ ΔΗΜΗΤΡΙΟΥ</t>
  </si>
  <si>
    <t>mail@16nip-ag-dimitr.att.sch.gr</t>
  </si>
  <si>
    <t>ΜΟΝΕΜΒΑΣΙΑΣ ΚΑΙ ΤΣΙΤΣΑΝΗ 5</t>
  </si>
  <si>
    <t>1ο ΔΗΜΟΤΙΚΟ ΣΧΟΛΕΙΟ ΑΛΙΜΟΥ</t>
  </si>
  <si>
    <t>mail@1dim-alimou.att.sch.gr</t>
  </si>
  <si>
    <t>ΦΑΝ ΒΑΪΚ 2</t>
  </si>
  <si>
    <t>2ο ΝΗΠΙΑΓΩΓΕΙΟ ΝΕΑΣ ΣΜΥΡΝΗΣ</t>
  </si>
  <si>
    <t>mail@2nip-n-smyrn.att.sch.gr</t>
  </si>
  <si>
    <t>ΑΓ. ΣΑΡΑΝΤΑ ΚΑΙ  ΕΥΞ. ΠΟΝΤΟΥ</t>
  </si>
  <si>
    <t>mail@13dim-n-smyrn.att.sch.gr</t>
  </si>
  <si>
    <t>ΑΡΤΑΚΗΣ ΚΑΙ ΑΙΓΑΙΟΥ</t>
  </si>
  <si>
    <t>5ο ΝΗΠΙΑΓΩΓΕΙΟ ΑΓΙΟΥ ΔΗΜΗΤΡΙΟΥ</t>
  </si>
  <si>
    <t>mail@5nip-ag-dimitr.att.sch.gr</t>
  </si>
  <si>
    <t>mail@2dim-glyfad.att.sch.gr</t>
  </si>
  <si>
    <t>ΕΛ.ΒΕΝΙΖΕΛΟΥ ΚΑΙ ΑΪΔΙΝΙΟΥ</t>
  </si>
  <si>
    <t>3ο ΝΗΠΙΑΓΩΓΕΙΟ ΑΓΙΟΥ ΔΗΜΗΤΡΙΟΥ</t>
  </si>
  <si>
    <t>mail@3nip-ag-dimitr.att.sch.gr</t>
  </si>
  <si>
    <t>ΚΑΛΛΙΦΡΟΝΑ 71</t>
  </si>
  <si>
    <t>4ο ΝΗΠΙΑΓΩΓΕΙΟ ΑΓΙΟΥ ΔΗΜΗΤΡΙΟΥ</t>
  </si>
  <si>
    <t>mail@4nip-ag-dimitr.att.sch.gr</t>
  </si>
  <si>
    <t>ΚΟΛΟΚΟΤΡΩΝΗ ΚΑΙ ΑΓΙΟΥ ΒΑΣΙΛΕΙΟΥ</t>
  </si>
  <si>
    <t>5ο ΝΗΠΙΑΓΩΓΕΙΟ ΓΛΥΦΑΔΑΣ</t>
  </si>
  <si>
    <t>mail@5nip-glyfad.att.sch.gr</t>
  </si>
  <si>
    <t>ΑΡΕΤΗΣ ΚΑΙ ΦΟΛΕΓΑΝΔΡΟΥ</t>
  </si>
  <si>
    <t>mail@5dim-glyfad.att.sch.gr</t>
  </si>
  <si>
    <t>ΠΕΛΛΗΣ 67</t>
  </si>
  <si>
    <t>mail@1dim-mosch.att.sch.gr</t>
  </si>
  <si>
    <t>ΟΜΗΡΟΥ 79</t>
  </si>
  <si>
    <t>6ο   ΝΗΠΙΑΓΩΓΕΙΟ  ΚΑΛΛΙΘΕΑΣ</t>
  </si>
  <si>
    <t>mail@6nip-kallith.att.sch.gr</t>
  </si>
  <si>
    <t>ΓΡΗΓΟΡΙΟΥ Ε Κ ΣΠΕΤΣΩΝ 6</t>
  </si>
  <si>
    <t>mail@12dim-n-smyrn.att.sch.gr</t>
  </si>
  <si>
    <t>ΣΤΡΑΤΗΓΟΥ ΠΑΡΑΣΚΕΥΟΠΟΥΛΟΥ 37</t>
  </si>
  <si>
    <t>mail@6dim-mosch.att.sch.gr</t>
  </si>
  <si>
    <t>ΑΓ.ΚΩΝΣΤΑΝΤΙΝΟΥ 9 ΚΑΙ ΑΡΑΧΩΒΗΣ</t>
  </si>
  <si>
    <t>5ο ΝΗΠΙΑΓΩΓΕΙΟ ΝΕΑΣ ΣΜΥΡΝΗΣ</t>
  </si>
  <si>
    <t>mail@5nip-n-smyrn.att.sch.gr</t>
  </si>
  <si>
    <t>ΣΤΡΑΤΗΓΟΥ ΒΕΛΙΣΣΑΡΙΟΥ 22</t>
  </si>
  <si>
    <t>3ο ΔΗΜΟΤΙΚΟ ΣΧΟΛΕΙΟ ΑΓΙΟΥ ΔΗΜΗΤΡΙΟΥ</t>
  </si>
  <si>
    <t>mail@3dim-ag-dimitr.att.sch.gr</t>
  </si>
  <si>
    <t>ΜΗΤΡΟΠΕΤΡΟΒΑ 3</t>
  </si>
  <si>
    <t>mail@20dim-ag-dimitr.att.sch.gr</t>
  </si>
  <si>
    <t>ΜΟΥΣΩΝ ΚΑΙ ΓΙΑΝΝΗ ΡΙΤΣΟΥ</t>
  </si>
  <si>
    <t>4ο ΝΗΠΙΑΓΩΓΕΙΟ ΤΑΥΡΟΥ</t>
  </si>
  <si>
    <t>mail@4nip-tavrou.att.sch.gr</t>
  </si>
  <si>
    <t>1ο ΝΗΠΙΑΓΩΓΕΙΟ ΤΑΥΡΟΥ</t>
  </si>
  <si>
    <t>mail@1nip-tavrou.att.sch.gr</t>
  </si>
  <si>
    <t>ΝΑΖΛΗ ΚΑΙ  ΣΜΥΡΝΗΣ  1</t>
  </si>
  <si>
    <t>2ο ΝΗΠΙΑΓΩΓΕΙΟ ΤΑΥΡΟΥ</t>
  </si>
  <si>
    <t>mail@2nip-tavrou.att.sch.gr</t>
  </si>
  <si>
    <t>Λ.ΕΙΡΗΝΗΣ ΚΑΙ ΜΑΚΕΔΟΝΙΑΣ</t>
  </si>
  <si>
    <t>3ο ΝΗΠΙΑΓΩΓΕΙΟ ΤΑΥΡΟΥ</t>
  </si>
  <si>
    <t>mail@3nip-tavrou.att.sch.gr</t>
  </si>
  <si>
    <t>ΚΛΕΙΟΥΣ ΚΑΙ ΧΡΥΣΟΣΤΟΜΟΥ ΣΜΥΡΝΗΣ</t>
  </si>
  <si>
    <t>8ο ΔΗΜΟΤΙΚΟ ΣΧΟΛΕΙΟ ΚΑΛΛΙΘΕΑΣ</t>
  </si>
  <si>
    <t>mail@8dim-kallith.att.sch.gr</t>
  </si>
  <si>
    <t>7ο  ΔΗΜΟΤΙΚΟ ΣΧΟΛΕΙΟ ΑΛΙΜΟΥ - ΜΕΓΑΣ ΑΛΕΞΑΝΔΡΟΣ</t>
  </si>
  <si>
    <t>mail@7dim-alimou.att.sch.gr</t>
  </si>
  <si>
    <t>1ο  ΝΗΠΙΑΓΩΓΕΙΟ ΝΕΑΣ  ΣΜΥΡΝΗΣ</t>
  </si>
  <si>
    <t>mail@1nip-n-smyrn.att.sch.gr</t>
  </si>
  <si>
    <t>ΠΡΙΗΝΗΣ 25</t>
  </si>
  <si>
    <t>6ο ΝΗΠΙΑΓΩΓΕΙΟ ΓΛΥΦΑΔΑΣ</t>
  </si>
  <si>
    <t>mail@6nip-glyfad.att.sch.gr</t>
  </si>
  <si>
    <t>ΠΑΜΒΩΤΙΔΟΣ 40-42</t>
  </si>
  <si>
    <t>12ο  ΝΗΠΙΑΓΩΓΕΙΟ ΑΓΙΟΥ ΔΗΜΗΤΡΙΟΥ</t>
  </si>
  <si>
    <t>mail@12nip-ag-dimitr.att.sch.gr</t>
  </si>
  <si>
    <t>ΝΑΞΟΥ 17</t>
  </si>
  <si>
    <t>9ο ΔΗΜΟΤΙΚΟ ΣΧΟΛΕΙΟ ΑΓΙΟΥ ΔΗΜΗΤΡΙΟΥ</t>
  </si>
  <si>
    <t>mail@9dim-ag-dimitr.att.sch.gr</t>
  </si>
  <si>
    <t>ΔΩΡΙΕΩΝ ΚΑΙ ΚΑΤΣΙΜΠΑ 35</t>
  </si>
  <si>
    <t>7ο ΔΗΜΟΤΙΚΟ ΣΧΟΛΕΙΟ ΓΛΥΦΑΔΑΣ</t>
  </si>
  <si>
    <t>mail@7dim-glyfad.att.sch.gr</t>
  </si>
  <si>
    <t>ΤΕΜΠΩΝ 37</t>
  </si>
  <si>
    <t>11ο ΔΗΜΟΤΙΚΟ ΣΧΟΛΕΙΟ ΓΛΥΦΑΔΑΣ</t>
  </si>
  <si>
    <t>mail@11dim-glyfad.att.sch.gr</t>
  </si>
  <si>
    <t>ΑΤΤΙΚΗΣ 102 - 104</t>
  </si>
  <si>
    <t>mail@12dim-glyfad.att.sch.gr</t>
  </si>
  <si>
    <t>ΑΝ.ΡΩΜΥΛΙΑΣ 103</t>
  </si>
  <si>
    <t>mail@13dim-glyfad.att.sch.gr</t>
  </si>
  <si>
    <t>ΣΟΛΩΝΟΣ 5-7</t>
  </si>
  <si>
    <t>mail@14dim-glyfad.att.sch.gr</t>
  </si>
  <si>
    <t>ΓΟΥΝΑΡΗ 216 &amp; ΗΦΑΙΣΤΟΥ</t>
  </si>
  <si>
    <t>16ο ΔΗΜΟΤΙΚΟ ΣΧΟΛΕΙΟ ΓΛΥΦΑΔΑΣ</t>
  </si>
  <si>
    <t>mail@16dim-glyfad.att.sch.gr</t>
  </si>
  <si>
    <t>ΔΗΜΗΤΡΙΟΥ ΒΕΡΕΛΛΗ 59</t>
  </si>
  <si>
    <t>11ο ΝΗΠΙΑΓΩΓΕΙΟ ΑΡΓΥΡΟΥΠΟΛΗΣ</t>
  </si>
  <si>
    <t>mail@11nip-argyr.att.sch.gr</t>
  </si>
  <si>
    <t>ΗΛΕΚΤΡΟΥΠΟΛΕΩΣ 4</t>
  </si>
  <si>
    <t>1ο ΔΗΜΟΤΙΚΟ ΣΧΟΛΕΙΟ ΕΛΛΗΝΙΚΟΥ</t>
  </si>
  <si>
    <t>mail@1dim-ellin.att.sch.gr</t>
  </si>
  <si>
    <t>ΙΑΣΩΝΙΔΟΥ 52</t>
  </si>
  <si>
    <t>mail@2dim-ellin.att.sch.gr</t>
  </si>
  <si>
    <t>ΤΡΙΑΚΟΣΤΗ ΠΕΜΠΤΗ ΟΔΟΣ</t>
  </si>
  <si>
    <t>3ο ΔΗΜΟΤΙΚΟ ΣΧΟΛΕΙΟ ΕΛΛΗΝΙΚΟΥ</t>
  </si>
  <si>
    <t>mail@3dim-ellin.att.sch.gr</t>
  </si>
  <si>
    <t>ΒΟΣΠΟΡΟΥ 17</t>
  </si>
  <si>
    <t>mail@4dim-argyr.att.sch.gr</t>
  </si>
  <si>
    <t>ΑΡΙΣΤΑΡΧΟΥ 45  37ο  54΄26΄΄Βόρεια ,23ο 45΄29΄΄Ανατολικά</t>
  </si>
  <si>
    <t>mail@6dim-alimou.att.sch.gr</t>
  </si>
  <si>
    <t>Αλαμάνας &amp; Μανδηλαρά</t>
  </si>
  <si>
    <t>9ο ΔΗΜΟΤΙΚΟ ΣΧΟΛΕΙΟ ΑΛΙΜΟΥ</t>
  </si>
  <si>
    <t>mail@9dim-alimou.att.sch.gr</t>
  </si>
  <si>
    <t>ΤΣΟΥΔΕΡΟΥ 29</t>
  </si>
  <si>
    <t>mail@2dim-argyr.att.sch.gr</t>
  </si>
  <si>
    <t>ΟΛΥΜΠΙΑΣ 1</t>
  </si>
  <si>
    <t>ΕΙΔΙΚΟ ΝΗΠΙΑΓΩΓΕΙΟ ΤΥΦΛΩΝ ΚΑΛΛΙΘΕΑΣ</t>
  </si>
  <si>
    <t>mail@nip-eid-keat-athin.att.sch.gr</t>
  </si>
  <si>
    <t>mail@3dim-argyr.att.sch.gr</t>
  </si>
  <si>
    <t>Γ.ΛΑΜΠΡΑΚΗ 2</t>
  </si>
  <si>
    <t>mail@9dim-glyfad.att.sch.gr</t>
  </si>
  <si>
    <t>ΡΗΓΑ ΦΕΡΑΙΟΥ 1</t>
  </si>
  <si>
    <t>3ο ΔΗΜΟΤΙΚΟ ΣΧΟΛΕΙΟ ΑΛΙΜΟΥ - ΛΕΩΝΙΔΑΣ ΚΩΝΣΤΑΝΤΑΡΑΣ</t>
  </si>
  <si>
    <t>mail@3dim-alimou.att.sch.gr</t>
  </si>
  <si>
    <t>ΙΩΝΙΑΣ 172</t>
  </si>
  <si>
    <t>mail@11dim-argyr.att.sch.gr</t>
  </si>
  <si>
    <t>ΗΛΕΚΤΡΟΥΠΟΛΕΩΣ 1</t>
  </si>
  <si>
    <t>15ο ΝΗΠΙΑΓΩΓΕΙΟ ΓΛΥΦΑΔΑΣ</t>
  </si>
  <si>
    <t>mail@15nip-glyfad.att.sch.gr</t>
  </si>
  <si>
    <t>ΣΜΥΡΝΗΣ 119</t>
  </si>
  <si>
    <t>8ο ΝΗΠΙΑΓΩΓΕΙΟ ΑΛΙΜΟΥ</t>
  </si>
  <si>
    <t>mail@8nip-alimou.att.sch.gr</t>
  </si>
  <si>
    <t>ΔΗΜΗΤΡΟΣ 17</t>
  </si>
  <si>
    <t>ΠΑΠΑΔΑΚΕΙΟ ΝΗΠΙΑΓΩΓΕΙΟ ΓΛΥΦΑΔΑΣ</t>
  </si>
  <si>
    <t>mail@nip-glyfad.att.sch.gr</t>
  </si>
  <si>
    <t>ΣΤΡΑΤΗ ΠΑΠΑΔΑΚΗ 33</t>
  </si>
  <si>
    <t>1ο ΝΗΠΙΑΓΩΓΕΙΟ ΑΛΙΜΟΥ</t>
  </si>
  <si>
    <t>mail@1nip-alimou.att.sch.gr</t>
  </si>
  <si>
    <t>ΚΑΝΑΡΗ  ΚΑΙ ΑΡΤΕΜΙΔΟΣ 52</t>
  </si>
  <si>
    <t>17ο ΝΗΠΙΑΓΩΓΕΙΟ ΓΛΥΦΑΔΑΣ</t>
  </si>
  <si>
    <t>mail@17nip-glyfad.att.sch.gr</t>
  </si>
  <si>
    <t>ΑΓΑΜΕΜΝΩΝΟΣ  10</t>
  </si>
  <si>
    <t>19ο ΝΗΠΙΑΓΩΓΕΙΟ ΓΛΥΦΑΔΑΣ</t>
  </si>
  <si>
    <t>mail@19nip-glyfad.att.sch.gr</t>
  </si>
  <si>
    <t>ΒΕΝΕΖΟΥΕΛΑΣ 18</t>
  </si>
  <si>
    <t>6ο ΝΗΠΙΑΓΩΓΕΙΟ ΕΛΛΗΝΙΚΟΥ</t>
  </si>
  <si>
    <t>mail@6nip-ellin.att.sch.gr</t>
  </si>
  <si>
    <t>ΑΡΓΟΝΑΥΤΩΝ 8</t>
  </si>
  <si>
    <t>1ο ΔΗΜΟΤΙΚΟ ΣΧΟΛΕΙΟ ΚΑΛΛΙΘΕΑΣ</t>
  </si>
  <si>
    <t>mail@1dim-kallith.att.sch.gr</t>
  </si>
  <si>
    <t>ΣΚΡΑ 35</t>
  </si>
  <si>
    <t>17ο ΝΗΠΙΑΓΩΓΕΙΟ ΑΓΙΟΥ ΔΗΜΗΤΡΙΟΥ</t>
  </si>
  <si>
    <t>mail@17nip-ag-dimitr.att.sch.gr</t>
  </si>
  <si>
    <t>ΓΕΝΝΑΔΙΟΥ ΚΑΙ ΑΓΙΩΝ ΣΑΡΑΝΤΑ</t>
  </si>
  <si>
    <t>ΓΡΗΓΟΡΙΟΥ ΛΑΜΠΡΑΚΗ 3</t>
  </si>
  <si>
    <t>ΔΗΜΟΤΙΚΟ ΕΙΔΙΚΗΣ ΑΓΩΓΗΣ &lt;Η ΑΜΥΜΩΝΗ&gt;</t>
  </si>
  <si>
    <t>ΕΙΔΙΚΟ ΝΗΠΙΑΓΩΓΕΙΟ ΑΘΗΝΑ - ΑΜΥΜΩΝΗ</t>
  </si>
  <si>
    <t>1ο ΕΙΔΙΚΟ ΝΗΠΙΑΓΩΓΕΙΟ ΚΑΛΛΙΘΕΑΣ</t>
  </si>
  <si>
    <t>mail@nip-eid-kallith.att.sch.gr</t>
  </si>
  <si>
    <t>ΔΗΜΟΣΘΕΝΟΥΣ  252-258</t>
  </si>
  <si>
    <t>8ο ΔΗΜΟΤΙΚΟ ΣΧΟΛΕΙΟ ΑΛΙΜΟΥ</t>
  </si>
  <si>
    <t>1ο  ΕΙΔΙΚΟ ΝΗΠΙΑΓΩΓΕΙΟ ΑΓΙΟΥ ΔΗΜΗΤΡΙΟΥ</t>
  </si>
  <si>
    <t>mail@nip-eid-ag-dimitr.att.sch.gr</t>
  </si>
  <si>
    <t>ΑΝΔΡΟΥ ΚΑΙ ΡΕΘΥΜΝΗΣ 56</t>
  </si>
  <si>
    <t>13ο ΝΗΠΙΑΓΩΓΕΙΟ ΠΑΛΑΙΟΥ ΦΑΛΗΡΟΥ</t>
  </si>
  <si>
    <t>18ο ΝΗΠΙΑΓΩΓΕΙΟ ΑΓΙΟΥ ΔΗΜΗΤΡΙΟΥ</t>
  </si>
  <si>
    <t>mail@18nip-ag-dimitr.att.sch.gr</t>
  </si>
  <si>
    <t>ΛΗΜΝΟΥ  24</t>
  </si>
  <si>
    <t>6ο ΝΗΠΙΑΓΩΓΕΙΟ ΑΛΙΜΟΣ</t>
  </si>
  <si>
    <t>ΚΑΛΑΜΑΚΙΟΥ 97</t>
  </si>
  <si>
    <t>ΕΙΔΙΚΟ ΝΗΠΙΑΓΩΓΕΙΟ ΓΛΥΦΑΔΑΣ</t>
  </si>
  <si>
    <t>ΕΙΔΙΚΟ ΔΗΜΟΤΙΚΟ ΣΧΟΛΕΙΟ ΓΛΥΦΑΔΑΣ</t>
  </si>
  <si>
    <t>6ο ΝΗΠΙΑΓΩΓΕΙΟ ΜΟΣΧΑΤΟΥ</t>
  </si>
  <si>
    <t>ΔΙΕΥΘΥΝΣΗ Π.Ε. ΔΥΤΙΚΗΣ ΑΤΤΙΚΗΣ</t>
  </si>
  <si>
    <t>mail@3dim-magoul.att.sch.gr</t>
  </si>
  <si>
    <t>ΗΡΩΩΝ ΠΟΛΥΤΕΧΝΕΙΟΥ  8</t>
  </si>
  <si>
    <t>9ο ΝΗΠΙΑΓΩΓΕΙΟ ΕΛΕΥΣΙΝΑΣ</t>
  </si>
  <si>
    <t>mail@9nip-elefs.att.sch.gr</t>
  </si>
  <si>
    <t>ΑΓΓ.ΣΙΚΕΛΙΑΝΟΥ 2</t>
  </si>
  <si>
    <t>6ο ΔΗΜΟΤΙΚΟ ΣΧΟΛΕΙΟ ΜΕΓΑΡΩΝ</t>
  </si>
  <si>
    <t>mail@6dim-megar.att.sch.gr</t>
  </si>
  <si>
    <t>ΑΓΙΟΣ ΙΩΑΝΝΗΣ ΧΟΡΕΥΤΑΡΑΣ (ΓΑΛΙΛΑΙΟΣ)</t>
  </si>
  <si>
    <t>8ο ΔΗΜΟΤΙΚΟ ΣΧΟΛΕΙΟ ΜΕΓΑΡΩΝ</t>
  </si>
  <si>
    <t>mail@8dim-megar.att.sch.gr</t>
  </si>
  <si>
    <t>Μέγαρα</t>
  </si>
  <si>
    <t>ΑΝΤΙΤΟΡΠΙΛΙΚΟΥ ΨΑΡΑ</t>
  </si>
  <si>
    <t>4ο ΔΗΜΟΤΙΚΟ  ΣΧΟΛΕΙΟ ΜΑΝΔΡΑΣ</t>
  </si>
  <si>
    <t>mail@4dim-mandr.att.sch.gr</t>
  </si>
  <si>
    <t>ΣΥΝΟΙΚΙΑ ΠΑΠΑΚΩΣΤΑ 62</t>
  </si>
  <si>
    <t>mail@9dim-asprop.att.sch.gr</t>
  </si>
  <si>
    <t>ΣΥΝΟΙΚΙΣΜΟΣ ΓΚΟΡΥΤΣΑΣ</t>
  </si>
  <si>
    <t>3ο ΔΗΜΟΤΙΚΟ ΣΧΟΛΕΙΟ ΜΕΓΑΡΩΝ</t>
  </si>
  <si>
    <t>mail@3dim-megar.att.sch.gr</t>
  </si>
  <si>
    <t>ΜΑΡΑΘΩΝΟΣ 1</t>
  </si>
  <si>
    <t>6ο ΝΗΠΙΑΓΩΓΕΙΟ ΑΝΩ ΛΙΟΣΙΩΝ</t>
  </si>
  <si>
    <t>mail@6nip-an-liosion.att.sch.gr</t>
  </si>
  <si>
    <t>ΑΜΒΡΑΚΙΚΟΥ 25</t>
  </si>
  <si>
    <t>2ο ΔΗΜΟΤΙΚΟ ΣΧΟΛΕΙΟ ΑΣΠΡΟΠΥΡΓΟΥ</t>
  </si>
  <si>
    <t>mail@2dim-asprop.att.sch.gr</t>
  </si>
  <si>
    <t>ΤΕΡΜΑ ΘΕΜΙΣΤΟΚΛΕΟΥΣ</t>
  </si>
  <si>
    <t>5ο ΝΗΠΙΑΓΩΓΕΙΟ ΑΝΩ ΛΙΟΣΙΩΝ</t>
  </si>
  <si>
    <t>mail@5nip-an-liosion.att.sch.gr</t>
  </si>
  <si>
    <t>ΚΡΙΝΩΝ 2</t>
  </si>
  <si>
    <t>9ο ΝΗΠΙΑΓΩΓΕΙΟ ΑΝΩ ΛΙΟΣΙΩΝ</t>
  </si>
  <si>
    <t>mail@9nip-an-liosion.att.sch.gr</t>
  </si>
  <si>
    <t>ΗΡΑΚΛΕΙΟΥ 41</t>
  </si>
  <si>
    <t>3ο ΔΗΜΟΤΙΚΟ ΣΧΟΛΕΙΟ ΝΕΑΣ ΠΕΡΑΜΟΥ</t>
  </si>
  <si>
    <t>mail@3dim-n-peram.att.sch.gr</t>
  </si>
  <si>
    <t xml:space="preserve">Νέα Πέραμος </t>
  </si>
  <si>
    <t>Ι.  ΚΑΡΑΓΙΩΡΓΗ 1</t>
  </si>
  <si>
    <t>1ο ΝΗΠΙΑΓΩΓΕΙΟ ΑΝΩ ΛΙΟΣΙΩΝ</t>
  </si>
  <si>
    <t>mail@1nip-an-liosion.att.sch.gr</t>
  </si>
  <si>
    <t>mail@4dim-asprop.att.sch.gr</t>
  </si>
  <si>
    <t>ΤΕΡΜΑ ΚΡΙΕΖΗ</t>
  </si>
  <si>
    <t>9ο ΔΗΜΟΤΙΚΟ ΣΧΟΛΕΙΟ ΜΕΓΑΡΩΝ</t>
  </si>
  <si>
    <t>mail@9dim-megar.att.sch.gr</t>
  </si>
  <si>
    <t>ΕΞΩ  ΒΡΥΣΗ</t>
  </si>
  <si>
    <t>2ο ΝΗΠΙΑΓΩΓΕΙΟ ΑΝΩ ΛΙΟΣΙΩΝ</t>
  </si>
  <si>
    <t>mail@2nip-an-liosion.att.sch.gr</t>
  </si>
  <si>
    <t>βολανάκη 14 και Θεοφίλου 5</t>
  </si>
  <si>
    <t>5ο ΔΗΜΟΤΙΚΟ ΣΧΟΛΕΙΟ ΜΑΝΔΡΑΣ</t>
  </si>
  <si>
    <t>mail@5dim-mandr.att.sch.gr</t>
  </si>
  <si>
    <t>Δήλου &amp; Κοροπούλη</t>
  </si>
  <si>
    <t>mail@11dim-elefs.att.sch.gr</t>
  </si>
  <si>
    <t>ΕΘΝΙΚΗΣ ΑΝΤΙΣΤΑΣΕΩΣ ΚΑΙ ΤΣΟΚΑΝΗ</t>
  </si>
  <si>
    <t>3ο ΝΗΠΙΑΓΩΓΕΙΟ ΑΝΩ ΛΙΟΣΙΩΝ</t>
  </si>
  <si>
    <t>mail@3nip-an-liosion.att.sch.gr</t>
  </si>
  <si>
    <t>ΑΜΒΡΑΚΙΚΟΥ 27</t>
  </si>
  <si>
    <t>7ο ΝΗΠΙΑΓΩΓΕΙΟ ʼΝΩ ΛΙΟΣΙΩΝ</t>
  </si>
  <si>
    <t>mail@7nip-an-liosion.att.sch.gr</t>
  </si>
  <si>
    <t>ΕΙΚΟΣΤΗΣ ΟΓΔΟΗΣ ΟΚΤΩΒΡΙΟΥ 51</t>
  </si>
  <si>
    <t>6ο ΝΗΠΙΑΓΩΓΕΙΟ ΕΛΕΥΣΙΝΑΣ</t>
  </si>
  <si>
    <t>mail@6nip-elefs.att.sch.gr</t>
  </si>
  <si>
    <t>ΣΟΥΛΙΟΥ 29</t>
  </si>
  <si>
    <t>mail@3dim-asprop.att.sch.gr</t>
  </si>
  <si>
    <t>ΘΕΣΗ ΓΕΡΜΑΝΙΚΑ</t>
  </si>
  <si>
    <t>3ο ΝΗΠΙΑΓΩΓΕΙΟ ΖΕΦΥΡΙΟΥ</t>
  </si>
  <si>
    <t>mail@3nip-zefyr.att.sch.gr</t>
  </si>
  <si>
    <t>ΟΛΥΜΠΙΑΔΟΣ 28</t>
  </si>
  <si>
    <t>mail@1dim-megar.att.sch.gr</t>
  </si>
  <si>
    <t>mail@5dim-asprop.att.sch.gr</t>
  </si>
  <si>
    <t>ΣΟΛΩΝΟΣ &amp; ΥΔΡΑΣ-ΠΑΡΑΛΙΑ ΑΣΠΡΟΠΥΡΓΟΥ</t>
  </si>
  <si>
    <t>mail@1dim-mandr.att.sch.gr</t>
  </si>
  <si>
    <t>ΑΧΙΛΛΕΩΣ 2</t>
  </si>
  <si>
    <t>mail@1dim-erythr.att.sch.gr</t>
  </si>
  <si>
    <t>ΑΝΕΞΑΡΤΗΣΙΑΣ 2-4</t>
  </si>
  <si>
    <t>mail@7dim-megar.att.sch.gr</t>
  </si>
  <si>
    <t>ΑΓΙΟΥ ΙΩΑΝΝΗ ΘΕΟΛΟΓΟΥ 80</t>
  </si>
  <si>
    <t>mail@1dim-asprop.att.sch.gr</t>
  </si>
  <si>
    <t>ΛΕΩΦΟΡΟΣ ΔΗΜΟΚΡΑΤΙΑΣ 33</t>
  </si>
  <si>
    <t>6ο ΔΗΜΟΤΙΚΟ ΣΧΟΛΕΙΟ ΑΣΠΡΟΠΥΡΓΟΥ</t>
  </si>
  <si>
    <t>mail@6dim-asprop.att.sch.gr</t>
  </si>
  <si>
    <t>ΗΡΩΩΝ ΠΟΛΥΤΕΧΝΕΙΟΥ-ΝΕΟΚΤΙΣΤΑ ΑΣΠΡΟΠΥΡΓΟΣ</t>
  </si>
  <si>
    <t>3ο ΔΗΜΟΤΙΚΟ ΣΧΟΛΕΙΟ ΜΑΝΔΡΑΣ</t>
  </si>
  <si>
    <t>mail@3dim-mandr.att.sch.gr</t>
  </si>
  <si>
    <t>ΕΡΓΑΤΙΚΕΣ ΚΑΤΟΙΚΙΕΣ  ΔΗΜΟΚΡΑΤΙΑΣ</t>
  </si>
  <si>
    <t>ΕΡΓΑΤΙΚΕΣ ΚΑΤΟΙΚΙΕΣ</t>
  </si>
  <si>
    <t>11ο  ΝΗΠΙΑΓΩΓΕΙΟ ΕΛΕΥΣΙΝΑΣ</t>
  </si>
  <si>
    <t>mail@11nip-elefs.att.sch.gr</t>
  </si>
  <si>
    <t>ΠΕΙΣΙΣΤΡΑΤΟΥΣ  ΚΑΙ ΚΑΡΑΪΣΚΑΚΗ</t>
  </si>
  <si>
    <t>mail@7dim-an-liosion.att.sch.gr</t>
  </si>
  <si>
    <t>ΚΑΡΑΪΣΚΑΚΗ ΚΑΙ ΚΟΥΜΑ</t>
  </si>
  <si>
    <t>mail@1dim-zefyr.att.sch.gr</t>
  </si>
  <si>
    <t>ΦΙΛΙΚΗΣ ΕΤΑΙΡΕΙΑΣ ΚΑΙ ΠΑΠΑΦΛΕΣΣΑ 1</t>
  </si>
  <si>
    <t>10ο ΝΗΠΙΑΓΩΓΕΙΟ ΕΛΕΥΣΙΝΑΣ</t>
  </si>
  <si>
    <t>mail@10nip-elefs.att.sch.gr</t>
  </si>
  <si>
    <t>ΡΗΓΑ ΦΕΡΑΙΟΥ ΚΑΙ ΔΙΓΕΝΗ ΑΚΡΙΤΑ</t>
  </si>
  <si>
    <t>6ο ΝΗΠΙΑΓΩΓΕΙΟ ΑΣΠΡΟΠΥΡΓΟΥ</t>
  </si>
  <si>
    <t>mail@6nipasprop.att.sch.gr</t>
  </si>
  <si>
    <t>ΝΕΟΚΤΙΣΤΑ ΑΣΠΡΟΠΥΡΓΟΥ</t>
  </si>
  <si>
    <t>2ο ΔΗΜΟΤΙΚΟ ΣΧΟΛΕΙΟ ΜΑΝΔΡΑΣ</t>
  </si>
  <si>
    <t>mail@2dim-mandr.att.sch.gr</t>
  </si>
  <si>
    <t>ΑΡΙΣΤΟΤΕΛΟΥΣ 2</t>
  </si>
  <si>
    <t>7ο ΔΗΜΟΤΙΚΟ ΣΧΟΛΕΙΟ ΕΛΕΥΣΙΝΑΣ&lt;&lt;ΑΝΤΩΝΙΟΣ ΜΙΧΑΗΛΟΣ&gt;&gt;</t>
  </si>
  <si>
    <t>mail@7dim-elefs.att.sch.gr</t>
  </si>
  <si>
    <t>ΝΙΚ.ΝΕΖΗ 56</t>
  </si>
  <si>
    <t>4ο ΝΗΠΙΑΓΩΓΕΙΟ ΑΝΩ ΛΙΟΣΙΩΝ</t>
  </si>
  <si>
    <t>mail@4nip-an-liosion.att.sch.gr</t>
  </si>
  <si>
    <t>ΑΙΓΑΙΟΥ ΠΕΛΑΓΟΥΣ ΚΑΙ ΚΟΡΙΝΘΟΥ</t>
  </si>
  <si>
    <t>7ο ΝΗΠΙΑΓΩΓΕΙΟ ΑΣΠΡΟΠΥΡΓΟΥ</t>
  </si>
  <si>
    <t>mail@7nip-asprop.att.sch.gr</t>
  </si>
  <si>
    <t>ΝΕΑ ΖΩΗ</t>
  </si>
  <si>
    <t>5ο ΔΗΜΟΤΙΚΟ ΣΧΟΛΕΙΟ ΕΛΕΥΣΙΝΑΣ</t>
  </si>
  <si>
    <t>mail@5dim-elefs.att.sch.gr</t>
  </si>
  <si>
    <t>ΕΘΝΙΚΗΣ ΑΝΤΙΣΤΑΣΕΩΣ ΚΑΙ ΤΡΙΠΤΟΛΕΜΟΥ</t>
  </si>
  <si>
    <t>8ο ΝΗΠΙΑΓΩΓΕΙΟ ΑΝΩ ΛΙΟΣΙΩΝ</t>
  </si>
  <si>
    <t>mail@8nip-an-liosion.att.sch.gr</t>
  </si>
  <si>
    <t>ΘΕΟΦΡΑΣΤΟΥ 1</t>
  </si>
  <si>
    <t>10ο ΝΗΠΙΑΓΩΓΕΙΟ ΑΝΩ ΛΙΟΣΙΩΝ</t>
  </si>
  <si>
    <t>mail@10nip-an-liosion.att.sch.gr</t>
  </si>
  <si>
    <t>9ο ΝΗΠΙΑΓΩΓΕΙΟ ΑΣΠΡΟΠΥΡΓΟΥ</t>
  </si>
  <si>
    <t>mail@9nip-asprop.att.sch.gr</t>
  </si>
  <si>
    <t>ΓΚΟΡΥΤΣΑ ΑΣΠΡΟΠΥΡΓΟΥ</t>
  </si>
  <si>
    <t>5ο ΝΗΠΙΑΓΩΓΕΙΟ ΕΛΕΥΣΙΝΑΣ</t>
  </si>
  <si>
    <t>mail@5nip-elefs.att.sch.gr</t>
  </si>
  <si>
    <t>ΑΛΚΙΒΙΑΔΟΥ ΚΑΙ ΑΡΚΑΔΙΟΥ</t>
  </si>
  <si>
    <t>mail@2dim-n-peram.att.sch.gr</t>
  </si>
  <si>
    <t>ΠΕΡΙΟΧΗ ΒΛΥΧΑΔΑΣ</t>
  </si>
  <si>
    <t>10ο ΝΗΠΙΑΓΩΓΕΙΟ ΑΣΠΡΟΠΥΡΓΟΥ</t>
  </si>
  <si>
    <t>mail@10nip-asprop.att.sch.gr</t>
  </si>
  <si>
    <t>ΓΚΟΡΥΤΣΑ</t>
  </si>
  <si>
    <t>12ο ΝΗΠΙΑΓΩΓΕΙΟ ΑΣΠΡΟΠΥΡΓΟΥ</t>
  </si>
  <si>
    <t>mail@12nip-asprop.att.sch.gr</t>
  </si>
  <si>
    <t>ΑΘΑΝΑΣΙΟΥ ΤΣΙΓΚΟΥ (τέρμα) -ΓΕΡΜΑΝΙΚΑ</t>
  </si>
  <si>
    <t>3ο ΔΗΜΟΤΙΚΟ ΣΧΟΛΕΙΟ ΖΕΦΥΡΙΟΥ</t>
  </si>
  <si>
    <t>mail@3dim-zefyr.att.sch.gr</t>
  </si>
  <si>
    <t>ΟΛΥΜΠΙΑΔΟΣ 28 ΚΑΙ ΣΟΛΩΜΟΥ</t>
  </si>
  <si>
    <t>3ο ΝΗΠΙΑΓΩΓΕΙΟ ΕΛΕΥΣΙΝΑΣ</t>
  </si>
  <si>
    <t>mail@3nip-elefs.att.sch.gr</t>
  </si>
  <si>
    <t>ΜΙΑΟΥΛΗ 68</t>
  </si>
  <si>
    <t>1ο ΝΗΠΙΑΓΩΓΕΙΟ ΖΕΦΥΡΙΟΥ</t>
  </si>
  <si>
    <t>mail@1nip-zefyr.att.sch.gr</t>
  </si>
  <si>
    <t>ΦΙΛΙΚΗΣ ΕΤΑΙΡΕΙΑΣ &amp; ΠΑΠΑΦΛΕΣΣΑ</t>
  </si>
  <si>
    <t>mail@dim-villias.att.sch.gr</t>
  </si>
  <si>
    <t>ΠΛΑΤΑΙΩΝ 2</t>
  </si>
  <si>
    <t>4ο ΔΗΜΟΤΙΚΟ ΣΧΟΛΕΙΟ ΖΕΦΥΡΙΟΥ</t>
  </si>
  <si>
    <t>mail@4dim-zefyr.att.sch.gr</t>
  </si>
  <si>
    <t>ΠΑΝΑΓΙΑΣ ΓΡΗΓΟΡΟΥΣΗΣ 61 ΚΑΙ ΔΕΚΑΤΗΣ ΕΒΔΟΜΗΣ ΝΟΕΜΒΡΗ</t>
  </si>
  <si>
    <t>7ο ΝΗΠΙΑΓΩΓΕΙΟ ΕΛΕΥΣΙΝΑΣ</t>
  </si>
  <si>
    <t>mail@7nip-elefs.att.sch.gr</t>
  </si>
  <si>
    <t>ΔΑΡΔΑΝΕΛΙΩΝ 85</t>
  </si>
  <si>
    <t>mail@dim-fylis.att.sch.gr</t>
  </si>
  <si>
    <t>ΕΜΜ.ΡΟΪΔΗ &amp; ΑΔ.ΚΟΡΑΗ</t>
  </si>
  <si>
    <t>1ο ΝΗΠΙΑΓΩΓΕΙΟ ΕΛΕΥΣΙΝΑΣ</t>
  </si>
  <si>
    <t>mail@1nip-elefs.att.sch.gr</t>
  </si>
  <si>
    <t>ΚΟΥΓΙΟΥΜΤΖΟΓΛΟΥ ΚΑΙ ΑΝ. ΤΣΟΚΑΝΗ</t>
  </si>
  <si>
    <t>8ο ΝΗΠΙΑΓΩΓΕΙΟ ΕΛΕΥΣΙΝΑΣ</t>
  </si>
  <si>
    <t>mail@8nip-elefs.att.sch.gr</t>
  </si>
  <si>
    <t>ΑΙΣΧΥΛΟΥ ΚΑΙ ΜΟΥΡΙΚΗ</t>
  </si>
  <si>
    <t>ΝΗΠΙΑΓΩΓΕΙΟ ΒΙΛΙΩΝ</t>
  </si>
  <si>
    <t>mail@nip-villion.att.sch.gr</t>
  </si>
  <si>
    <t>ΒΙΛΙΑ</t>
  </si>
  <si>
    <t>Μεγάλου Αλεξάνδρου &amp; Κιθαιρώνος</t>
  </si>
  <si>
    <t>ΝΗΠΙΑΓΩΓΕΙΟ ΕΡΥΘΡΩΝ</t>
  </si>
  <si>
    <t>mail@nip-erythr.att.sch.gr</t>
  </si>
  <si>
    <t>ΑΝΕΞΑΡΤΗΣΙΑΣ 2</t>
  </si>
  <si>
    <t>8ο ΔΗΜΟΤΙΚΟ ΣΧΟΛΕΙΟ ΕΛΕΥΣΙΝΑΣ</t>
  </si>
  <si>
    <t>mail@8dim-elefs.att.sch.gr</t>
  </si>
  <si>
    <t>Ελευσίνα</t>
  </si>
  <si>
    <t>Ιάκχου &amp; Παναγιωτίδη 9</t>
  </si>
  <si>
    <t>1ο ΝΗΠΙΑΓΩΓΕΙΟ ΜΑΝΔΡΑΣ</t>
  </si>
  <si>
    <t>mail@1nip-mandr.att.sch.gr</t>
  </si>
  <si>
    <t>ΠΑΛΙΓΓΙΝΗ  08</t>
  </si>
  <si>
    <t>4ο ΔΗΜΟΤΙΚΟ ΣΧΟΛΕΙΟ ΕΛΕΥΣΙΝΑΣ</t>
  </si>
  <si>
    <t>mail@4dim-elefs.att.sch.gr</t>
  </si>
  <si>
    <t>1ο ΔΗΜΟΤΙΚΟ ΣΧΟΛΕΙΟ ΝΕΑΣ ΠΕΡΑΜΟΥ</t>
  </si>
  <si>
    <t>mail@1dim-n-peram.att.sch.gr</t>
  </si>
  <si>
    <t>ΙΩΑΚΕΙΜ ΚΑΡΑΓΙΩΡΓΗ 1</t>
  </si>
  <si>
    <t>3ο ΝΗΠΙΑΓΩΓΕΙΟ ΜΑΝΔΡΑΣ</t>
  </si>
  <si>
    <t>mail@3nip-mandr.att.sch.gr</t>
  </si>
  <si>
    <t>ΕΡΓΑΤΙΚΕΣ ΚΑΤΟΙΚΙΕΣ ΜΑΝΔΡΑΣ</t>
  </si>
  <si>
    <t>4ο ΝΗΠΙΑΓΩΓΕΙΟ ΜΑΝΔΡΑΣ</t>
  </si>
  <si>
    <t>mail@4nip-mandr.att.sch.gr</t>
  </si>
  <si>
    <t>6ο ΝΗΠΙΑΓΩΓΕΙΟ ΜΑΝΔΡΑΣ</t>
  </si>
  <si>
    <t>mail@6nip-mandr.att.sch.gr</t>
  </si>
  <si>
    <t>Ν.ΡΟΚΑ ΚΑΙ ΘΕΜΙΔΟΣ</t>
  </si>
  <si>
    <t>8ο ΔΗΜΟΤΙΚΟ ΣΧΟΛΕΙΟ ΑΣΠΡΟΠΥΡΓΟΥ</t>
  </si>
  <si>
    <t>mail@8dim-asprop.att.sch.gr</t>
  </si>
  <si>
    <t>ΑΝΩ ΦΟΥΣΑ-ΤΕΡΜΑ ΓΙΑΝΝΗ ΠΑΠΑΪΩΑΝΝΟΥ</t>
  </si>
  <si>
    <t>2ο ΝΗΠΙΑΓΩΓΕΙΟ ΜΑΝΔΡΑΣ</t>
  </si>
  <si>
    <t>mail@2nip-mandr.att.sch.gr</t>
  </si>
  <si>
    <t>ΤΕΡΜΑ ΑΡΙΣΤΟΤΕΛΟΥΣ</t>
  </si>
  <si>
    <t>1ο ΝΗΠΙΑΓΩΓΕΙΟ ΜΕΓΑΡΩΝ</t>
  </si>
  <si>
    <t>mail@1nip-megar.att.sch.gr</t>
  </si>
  <si>
    <t>ΜΟΥΣΕΙΟΥ 17</t>
  </si>
  <si>
    <t>2ο ΝΗΠΙΑΓΩΓΕΙΟ ΜΕΓΑΡΩΝ</t>
  </si>
  <si>
    <t>mail@2nip-megar.att.sch.gr</t>
  </si>
  <si>
    <t>ΑΓ. ΙΩΑΝΝΗΣ ΓΑΛΛΙΛΑΙΟΣ</t>
  </si>
  <si>
    <t>2ο ΝΗΠΙΑΓΩΓΕΙΟ ΖΕΦΥΡΙΟΥ</t>
  </si>
  <si>
    <t>mail@2nip-zefyr.att.sch.gr</t>
  </si>
  <si>
    <t>ΚΟΥΤΣΟΝΙΚΑ ΚΑΙ ΣΟΥΛΙΟΥ</t>
  </si>
  <si>
    <t>ΝΗΠΙΑΓΩΓΕΙΟ ΦΥΛΗΣ</t>
  </si>
  <si>
    <t>mail@nip-fylis.att.sch.gr</t>
  </si>
  <si>
    <t>ΑΣΠΡΟΠΥΡΓΟΥ 6</t>
  </si>
  <si>
    <t>8ο ΝΗΠΙΑΓΩΓΕΙΟ ΜΕΓΑΡΩΝ</t>
  </si>
  <si>
    <t>mail@8nip-megar.att.sch.gr</t>
  </si>
  <si>
    <t>ΕΡΥΘΡΑΙΑΣ</t>
  </si>
  <si>
    <t>1ο ΔΗΜΟΤΙΚΟ ΣΧΟΛΕΙΟ ΑΝΩ ΛΙΟΣΙΩΝ</t>
  </si>
  <si>
    <t>mail@1dim-an-liosion.att.sch.gr</t>
  </si>
  <si>
    <t>ΚΟΡΙΝΘΙΑΚΟΥ ΚΑΙ ΠΙΝΔΟΥ</t>
  </si>
  <si>
    <t>5ο ΝΗΠΙΑΓΩΓΕΙΟ ΜΕΓΑΡΩΝ</t>
  </si>
  <si>
    <t>mail@5nip-megar.att.sch.gr</t>
  </si>
  <si>
    <t>ΤΕΡΜΑ ΡΑΓΚΑΒΗ</t>
  </si>
  <si>
    <t>mail@1dim-elefs.att.sch.gr</t>
  </si>
  <si>
    <t>ΠΑΓΚΑΛΟΥ  ΚΑΙ  ΙΑΚΧΟΥ</t>
  </si>
  <si>
    <t>3ο ΝΗΠΙΑΓΩΓΕΙΟ ΜΕΓΑΡΩΝ</t>
  </si>
  <si>
    <t>mail@3nip-megar.att.sch.gr</t>
  </si>
  <si>
    <t>6ο ΝΗΠΙΑΓΩΓΕΙΟ ΜΕΓΑΡΩΝ</t>
  </si>
  <si>
    <t>mail@6nip-megar.att.sch.gr</t>
  </si>
  <si>
    <t>mail@2dim-an-liosion.att.sch.gr</t>
  </si>
  <si>
    <t>AΝΩ ΛΙΟΣΙΑ</t>
  </si>
  <si>
    <t>ΑΓΙΟΥ ΙΩΑΝΝΟΥ ΘΕΟΛΟΓΟΥ ΚΑΙ ΟΡΘΟΔΟΞΙΑΣ</t>
  </si>
  <si>
    <t>4ο ΝΗΠΙΑΓΩΓΕΙΟ ΜΕΓΑΡΩΝ</t>
  </si>
  <si>
    <t>mail@4nip-megar.att.sch.gr</t>
  </si>
  <si>
    <t>ΤΕΡΜΑ ΑΓΙΟΥ ΙΩΑΝΝΟΥ ΘΕΟΛΟΓΟΥ</t>
  </si>
  <si>
    <t>7ο ΝΗΠΙΑΓΩΓΕΙΟ ΜΕΓΑΡΩΝ</t>
  </si>
  <si>
    <t>mail@7nip-megar.att.sch.gr</t>
  </si>
  <si>
    <t>ΑΓΙΟΥ ΙΩΑΝΝΟΥ ΘΕΟΛΟΓΟΥ</t>
  </si>
  <si>
    <t>1ο ΝΗΠΙΑΓΩΓΕΙΟ ΝΕΑ ΠΕΡΑΜΟΣ</t>
  </si>
  <si>
    <t>mail@1nip-n-peram.att.sch.gr</t>
  </si>
  <si>
    <t>ΑΝΑΠΑΥΣΕΩΣ</t>
  </si>
  <si>
    <t>3ο ΔΗΜΟΤΙΚΟ ΣΧΟΛΕΙΟ ΑΝΩ ΛΙΟΣΙΩΝ</t>
  </si>
  <si>
    <t>mail@3dim-an-liosion.att.sch.gr</t>
  </si>
  <si>
    <t>ΤΕΡΜΑ ΣΩΚΡΑΤΟΥΣ ΖΩΦΡΙΑ</t>
  </si>
  <si>
    <t>2ο ΝΗΠΙΑΓΩΓΕΙΟ ΝΕΑΣ ΠΕΡΑΜΟΥ</t>
  </si>
  <si>
    <t>mail@2nip-n-peram.att.sch.gr</t>
  </si>
  <si>
    <t>ΒΛΥΧΑΔΑ</t>
  </si>
  <si>
    <t>1ο ΝΗΠΙΑΓΩΓΕΙΟ ΜΑΓΟΥΛΑΣ</t>
  </si>
  <si>
    <t>mail@1nip-magoul.att.sch.gr</t>
  </si>
  <si>
    <t>ΗΡΩΩΝ ΠΟΛΥΤΕΧΝΕΙΟΥ 8</t>
  </si>
  <si>
    <t>3ο ΝΗΠΙΑΓΩΓΕΙΟ ΝΕΑ ΠΕΡΑΜΟΣ</t>
  </si>
  <si>
    <t>mail@3nip-n-peram.att.sch.gr</t>
  </si>
  <si>
    <t>ΕΙΔΙΚΟ ΔΗΜΟΤΙΚΟ ΣΧΟΛΕΙΟ ΕΛΕΥΣΙΝΑΣ</t>
  </si>
  <si>
    <t>mail@dim-eid-elefs.att.sch.gr</t>
  </si>
  <si>
    <t>ΕΛΕΥΣΙΝΑ,</t>
  </si>
  <si>
    <t>ΟΔ. ΕΛΥΤΗ 2</t>
  </si>
  <si>
    <t>2ο ΔΗΜΟΤΙΚΟ ΣΧΟΛΕΙΟ ΕΛΕΥΣΙΝΑΣ</t>
  </si>
  <si>
    <t>mail@2dim-elefs.att.sch.gr</t>
  </si>
  <si>
    <t>ΘΑΝΑΣΟΥΛΟΠΟΥΛΟΥ 7</t>
  </si>
  <si>
    <t>4ο ΝΗΠΙΑΓΩΓΕΙΟ ΕΛΕΥΣΙΝΑΣ</t>
  </si>
  <si>
    <t>mail@4nip-elefs.att.sch.gr</t>
  </si>
  <si>
    <t>ΡΗΓΑ ΦΕΡΑΙΟΥ ΚΑΙ ΠΕΤΡΑΚΗ</t>
  </si>
  <si>
    <t>7ο ΔΗΜΟΤΙΚΟ ΣΧΟΛΕΙΟ ΑΣΠΡΟΠΥΡΓΟΥ</t>
  </si>
  <si>
    <t>mail@7dim-asprop.att.sch.gr</t>
  </si>
  <si>
    <t>Τ.Θ. 50063</t>
  </si>
  <si>
    <t>mail@4dim-an-liosion.att.sch.gr</t>
  </si>
  <si>
    <t>ΕΓΓΟΝΟΠΟΥΛΟΥ ΚΑΙ ΠΑΡΘΕΝΗ</t>
  </si>
  <si>
    <t>mail@2dim-zefyr.att.sch.gr</t>
  </si>
  <si>
    <t>ΣΟΥΛΙΟΥ ΚΑΙ ΚΟΥΤΣΟΝΙΚΑ</t>
  </si>
  <si>
    <t>4ο ΝΗΠΙΑΓΩΓΕΙΟ ΑΣΠΡΟΠΥΡΓΟΥ</t>
  </si>
  <si>
    <t>mail@4nip-asprop.att.sch.gr</t>
  </si>
  <si>
    <t>ΚΡΙΕΖΗ 49</t>
  </si>
  <si>
    <t>mail@10dim-elefs.att.sch.gr</t>
  </si>
  <si>
    <t>ΡΗΓΑ ΦΕΡΑΙΟΥ ΚΑΙ ΦΡΑΓΚΟΥΛΗ ΦΟΥΤΡΗ</t>
  </si>
  <si>
    <t>5ο ΝΗΠΙΑΓΩΓΕΙΟ ΑΣΠΡΟΠΥΡΓΟΥ</t>
  </si>
  <si>
    <t>mail@5nip-asprop.att.sch.gr</t>
  </si>
  <si>
    <t>ΠΑΡΑΛΙΑ ΑΣΠΡΟΠΥΡΓΟΥ</t>
  </si>
  <si>
    <t>8ο ΝΗΠΙΑΓΩΓΕΙΟ ΑΣΠΡΟΠΥΡΓΟΥ</t>
  </si>
  <si>
    <t>mail@8nip-asprop.att.sch.gr</t>
  </si>
  <si>
    <t>ΤΕΡΜΑ ΜΑΡΚΟΥ ΒΑΜΒΑΚΑΡ%C</t>
  </si>
  <si>
    <t>5ο ΔΗΜΟΤΙΚΟ ΣΧΟΛΕΙΟ ΑΝΩ ΛΙΟΣΙΩΝ</t>
  </si>
  <si>
    <t>mail@5dim-an-liosion.att.sch.gr</t>
  </si>
  <si>
    <t>ΖΟΥΜΠΟΥΛΙΩΝ 1</t>
  </si>
  <si>
    <t>2ο ΔΗΜΟΤΙΚΟ ΣΧΟΛΕΙΟ ΜΑΓΟΥΛΑΣ</t>
  </si>
  <si>
    <t>mail@2dim-magoul.att.sch.gr</t>
  </si>
  <si>
    <t>ΛΕΩΝΙΔΑ ΣΤΑΜΟΥ 54</t>
  </si>
  <si>
    <t>11ο ΔΗΜΟΤΙΚΟ ΣΧΟΛΕΙΟ ΑΣΠΡΟΠΥΡΓΟΥ</t>
  </si>
  <si>
    <t>mail@11dim-asprop.att.sch.gr</t>
  </si>
  <si>
    <t>ΤΕΡΜΑ ΒΙΝΤΣΕΝΤΖΟΥ ΚΟΡΝΑΡΟΥ -ΡΟΥΠΑΚΙ</t>
  </si>
  <si>
    <t>6ο ΔΗΜΟΤΙΚΟ ΣΧΟΛΕΙΟ ΑΝΩ ΛΙΟΣΙΩΝ</t>
  </si>
  <si>
    <t>mail@6dim-an-liosion.att.sch.gr</t>
  </si>
  <si>
    <t>ΑΝΩ  ΛΙΟΣΙA</t>
  </si>
  <si>
    <t>ΚΥΚΛΑΔΩΝ 33</t>
  </si>
  <si>
    <t>mail@9dim-an-liosion.att.sch.gr</t>
  </si>
  <si>
    <t>ΔΥΝΑΣΤΕΙΑΣ  ΚΟΜΝΗΝΩΝ</t>
  </si>
  <si>
    <t>5ο ΝΗΠΙΑΓΩΓΕΙΟ ΜΑΝΔΡΑΣ</t>
  </si>
  <si>
    <t>mail@5nip-mandr.att.sch.gr</t>
  </si>
  <si>
    <t>ΦΙΛΙΠΠΟΥ ΚΑΙ ΚΟΡΟΠΟΥΛΗ</t>
  </si>
  <si>
    <t>mail@3dim-elefs.att.sch.gr</t>
  </si>
  <si>
    <t>ΔΑΡΔΑΝΕΛΛΙΩΝ 85</t>
  </si>
  <si>
    <t>ΕΙΔΙΚΟ ΔΗΜΟΤΙΚΟ ΣΧΟΛΕΙΟ ΖΕΦΥΡΙΟΥ</t>
  </si>
  <si>
    <t>mail@dim-eid-zefyr.att.sch.gr</t>
  </si>
  <si>
    <t>ΣΟΥΛΙΟΥ 9</t>
  </si>
  <si>
    <t>10ο Δ.Σ ΑΣΠΡΟΠΥΡΓΟΥ</t>
  </si>
  <si>
    <t>mail@10dim-asprop.att.sch.gr</t>
  </si>
  <si>
    <t>ΜΙΛΗΤΟΥ-ΓΚΟΡΥΤΣΑ</t>
  </si>
  <si>
    <t>1ο ΔΗΜΟΤΙΚΟ ΣΧΟΛΕΙΟ ΜΑΓΟΥΛΑΣ</t>
  </si>
  <si>
    <t>mail@1dim-magoul.att.sch.gr</t>
  </si>
  <si>
    <t>1ο ΝΗΠΙΑΓΩΓΕΙΟ ΑΣΠΡΟΠΥΡΓΟΥ</t>
  </si>
  <si>
    <t>mail@1nip-asprop.att.sch.gr</t>
  </si>
  <si>
    <t>ΠΛΑΤΩΝΟΣ 11</t>
  </si>
  <si>
    <t>mail@9dim-elefs.att.sch.gr</t>
  </si>
  <si>
    <t>ΚΥΠΡΑΙΟΥ 45</t>
  </si>
  <si>
    <t>2ο ΝΗΠΙΑΓΩΓΕΙΟ ΕΛΕΥΣΙΝΑΣ</t>
  </si>
  <si>
    <t>mail@2nip-elefs.att.sch.gr</t>
  </si>
  <si>
    <t>2ο ΝΗΠΙΑΓΩΓΕΙΟ ΑΣΠΡΟΠΥΡΓΟΥ</t>
  </si>
  <si>
    <t>mail@2nip-asprop.att.sch.gr</t>
  </si>
  <si>
    <t>3ο ΝΗΠΙΑΓΩΓΕΙΟ ΑΣΠΡΟΠΥΡΓΟΥ</t>
  </si>
  <si>
    <t>mail@3nip-asprop.att.sch.gr</t>
  </si>
  <si>
    <t>ΤΣΙΓΚΟΥ ΑΘΑΝΑΣΙΟΥ</t>
  </si>
  <si>
    <t>mail@4dim-megar.att.sch.gr</t>
  </si>
  <si>
    <t>ΡΑΓΚΑΒΗ_ΣΤΡΑΤΗΓΗ</t>
  </si>
  <si>
    <t>2ο ΔΗΜΟΤΙΚΟ ΣΧΟΛΕΙΟ ΜΕΓΑΡΩΝ</t>
  </si>
  <si>
    <t>mail@2dim-megar.att.sch.gr</t>
  </si>
  <si>
    <t>ΣΩΚΡΑΤΟΥΣ 34</t>
  </si>
  <si>
    <t>2ο ΝΗΠΙΑΓΩΓΕΙΟ ΜΑΓΟΥΛΑΣ</t>
  </si>
  <si>
    <t>mail@2nip-magoul.att.sch.gr</t>
  </si>
  <si>
    <t>ΛΕΩΝΙΔΑ ΣΤΑΜΟΥ ΚΑΙ ΓΕΩΡΓΙΟΥ ΠΑΠΑΝΔΡΕΟΥ 54</t>
  </si>
  <si>
    <t>5ο ΔΗΜΟΤΙΚΟ ΣΧΟΛΕΙΟ ΜΕΓΑΡΩΝ</t>
  </si>
  <si>
    <t>mail@5dim-megar.att.sch.gr</t>
  </si>
  <si>
    <t>ΣΤΡΑΤΗΓΗ 37</t>
  </si>
  <si>
    <t>9ο ΝΗΠΙΑΓΩΓΕΙΟ ΜΕΓΑΡΑ</t>
  </si>
  <si>
    <t>ΕΙΔΙΚΟ ΝΗΠΙΑΓΩΓΕΙΟ ΕΛΕΥΣΙΝΑΣ</t>
  </si>
  <si>
    <t>mail@nip-eid-elefs.att.sch.gr</t>
  </si>
  <si>
    <t>ΕΙΔΙΚΟ ΝΗΠΙΑΓΩΓΕΙΟ ΖΕΦΥΡΙΟΥ</t>
  </si>
  <si>
    <t>mail@nip-eid-zefyr.att.sch.gr</t>
  </si>
  <si>
    <t>4ο ΝΗΠΙΑΓΩΓΕΙΟ ΖΕΦΥΡΙΟΥ</t>
  </si>
  <si>
    <t>mail@4nip-zefyr.att.sch.gr</t>
  </si>
  <si>
    <t>ΑΛΑΜΑΝΑΣ ΚΑΙ ΜΠΟΥΜΠΟΥΛΙΝΑΣ 3</t>
  </si>
  <si>
    <t>11ο ΝΗΠΙΑΓΩΓΕΙΟ ΑΣΠΡΟΠΥΡΓΟΥ</t>
  </si>
  <si>
    <t>mail@11nip-asprop.att.sch.gr</t>
  </si>
  <si>
    <t>ΒΙΤΖΕΝΤΖΟΥ ΚΟΡΝΑΡΟΥ ΤΕΡΜΑ</t>
  </si>
  <si>
    <t>13ο ΝΗΠΙΑΓΩΓΕΙΟ ΑΣΠΡΟΠΥΡΓΟΥ</t>
  </si>
  <si>
    <t>11ο ΝΗΠΙΑΓΩΓΕΙΟ ΑΝΩ ΛΙΟΣΙΩΝ</t>
  </si>
  <si>
    <t>12ο ΝΗΠΙΑΓΩΓΕΙΟ ΕΛΕΥΣΙΝΑΣ</t>
  </si>
  <si>
    <t>3ο ΝΗΠΙΑΓΩΓΕΙΟ ΜΑΓΟΥΛΑΣ</t>
  </si>
  <si>
    <t>ΝΗΠΙΑΓΩΓΕΙΟ ΒΛΥΧΟΥ ΜΕΓΑΡΩΝ</t>
  </si>
  <si>
    <t>ΒΛΥΧΟΥ ΜΕΓΑΡΩΝ</t>
  </si>
  <si>
    <t>mail@10dim-an-liosion.att.sch.gr</t>
  </si>
  <si>
    <t>ΛΟΥΡΟΥ 8 &amp; ΠΑΜΒΩΤΙΔΟΣ 9</t>
  </si>
  <si>
    <t>8ο ΔΗΜΟΤΙΚΟ ΣΧΟΛΕΙΟ ΑΝΩ ΛΙΟΣΙΩΝ</t>
  </si>
  <si>
    <t>11ο ΔΗΜΟΤΙΚΟ ΣΧΟΛΕΙΟ ΑΝΩ ΛΙΟΣΙΩΝ</t>
  </si>
  <si>
    <t>ΔΙΕΥΘΥΝΣΗ Π.Ε. ΠΕΙΡΑΙΑ</t>
  </si>
  <si>
    <t>ΕΙΔΙΚΟ ΔΗΜΟΤΙΚΟ ΣΧΟΛΕΙΟ ΝΙΚΑΙΑΣ- ΑΓ.Ι.ΡΕΝΤΗ</t>
  </si>
  <si>
    <t>mail@dim-michan.att.sch.gr</t>
  </si>
  <si>
    <t>ΑΓ.Ι.ΡΕΝΤΗΣ</t>
  </si>
  <si>
    <t>ΔΙΣΤΟΜΟΥ  21 Κ  ΟΔ ΕΛΥΤΗ</t>
  </si>
  <si>
    <t>7ο ΝΗΠΙΑΓΩΓΕΙΟ ΚΕΡΑΤΣΙΝΙΟΥ</t>
  </si>
  <si>
    <t>mail@7nip-kerats.att.sch.gr</t>
  </si>
  <si>
    <t>ΚΑΡΑΟΛΗ Κ ΔΗΜΗΤΡΙΟΥ 97</t>
  </si>
  <si>
    <t>5ο ΝΗΠΙΑΓΩΓΕΙΟ ΚΕΡΑΤΣΙΝΙΟΥ</t>
  </si>
  <si>
    <t>mail@5nip-kerats.att.sch.gr</t>
  </si>
  <si>
    <t>45ο ΝΗΠΙΑΓΩΓΕΙΟ ΠΕΙΡΑΙΑ</t>
  </si>
  <si>
    <t>mail@45nip-peiraia.att.sch.gr</t>
  </si>
  <si>
    <t>ΘΕΑΤΡΟΥ 47-49</t>
  </si>
  <si>
    <t>5ο ΝΗΠΙΑΓΩΓΕΙΟ ΣΑΛΑΜΙΝΑΣ</t>
  </si>
  <si>
    <t>mail@5nip-salam.att.sch.gr</t>
  </si>
  <si>
    <t>Γ. ΠΑΠΑΣΙΔΕΡΗ 3</t>
  </si>
  <si>
    <t>18ο ΟΛΟΗΜΕΡΟ ΝΗΠΙΑΓΩΓΕΙΟ ΚΕΡΑΤΣΙΝΙΟΥ</t>
  </si>
  <si>
    <t>mail@18nip-kerats.att.sch.gr</t>
  </si>
  <si>
    <t>ΒΑΛΤΕΤΣΙΟΥ 15</t>
  </si>
  <si>
    <t>4ο ΝΗΠΙΑΓΩΓΕΙΟ ΚΕΡΑΤΣΙΝΙΟΥ</t>
  </si>
  <si>
    <t>mail@4nip-kerats.att.sch.gr</t>
  </si>
  <si>
    <t>ΠΑΝΟΡΜΟΥ 66</t>
  </si>
  <si>
    <t>1ο  ΝΗΠΙΑΓΩΓΕΙΟ ΣΑΛΑΜΙΝΑΣ</t>
  </si>
  <si>
    <t>mail@1nip-salam.att.sch.gr</t>
  </si>
  <si>
    <t>ΟΛΥΜΠΟΥ 20</t>
  </si>
  <si>
    <t>9ο ΝΗΠΙΑΓΩΓΕΙΟ ΚΕΡΑΤΣΙΝΙΟΥ</t>
  </si>
  <si>
    <t>mail@9nip-kerats.att.sch.gr</t>
  </si>
  <si>
    <t>ΔΑΒΑΚΗ 6</t>
  </si>
  <si>
    <t>15ο ΝΗΠΙΑΓΩΓΕΙΟ ΚΕΡΑΤΣΙΝΙΟΥ</t>
  </si>
  <si>
    <t>mail@15nip-kerats.att.sch.gr</t>
  </si>
  <si>
    <t>ΑΝΑΓΝΩΣΤΟΠΟΥΛΟΥ 18</t>
  </si>
  <si>
    <t>2ο ΝΗΠΙΑΓΩΓΕΙΟ ΚΕΡΑΤΣΙΝΙΟΥ</t>
  </si>
  <si>
    <t>mail@2nip-kerats.att.sch.gr</t>
  </si>
  <si>
    <t>ΕΛΛΗΣΠΟΝΤΟΥ 23</t>
  </si>
  <si>
    <t>10ο ΟΛΟΗΜΕΡΟ ΝΗΠΙΑΓΩΓΕΙΟ ΚΕΡΑΤΣΙΝΙΟΥ</t>
  </si>
  <si>
    <t>mail@10nip-kerats.att.sch.gr</t>
  </si>
  <si>
    <t>ΞΕΝΟΦΩΝΤΟΣ Κ ΦΛΕΜΙΓΚ</t>
  </si>
  <si>
    <t>4ο ΝΗΠΙΑΓΩΓΕΙΟ ΣΑΛΑΜΙΝΑΣ</t>
  </si>
  <si>
    <t>mail@4nip-salam.att.sch.gr</t>
  </si>
  <si>
    <t>ΜΟΥΣΩΝ 14</t>
  </si>
  <si>
    <t>2ο ΝΗΠΙΑΓΩΓΕΙΟ ΠΕΡΑΜΑΤΟΣ</t>
  </si>
  <si>
    <t>mail@2nip-peram.att.sch.gr</t>
  </si>
  <si>
    <t>25 ΜΑΡΤΙΟΥ 31</t>
  </si>
  <si>
    <t>20ο ΝΗΠΙΑΓΩΓΕΙΟ ΚΕΡΑΤΣΙΝΙΟΥ</t>
  </si>
  <si>
    <t>mail@20nip-kerats.att.sch.gr</t>
  </si>
  <si>
    <t>ΤΑΥΓΕΤΟΥ 8</t>
  </si>
  <si>
    <t>3ο Νηπιαγωγείο Περάματος</t>
  </si>
  <si>
    <t>mail@3nip-peram.att.sch.gr</t>
  </si>
  <si>
    <t>ΑΓΙΟΥ ΝΙΚΟΛΑΟΥ 2</t>
  </si>
  <si>
    <t>20ο  ΝΗΠΙΑΓΩΓΕΙΟ ΠΕΙΡΑΙΑ</t>
  </si>
  <si>
    <t>mail@20nip-peiraia.att.sch.gr</t>
  </si>
  <si>
    <t>ΦΡΑΓΚΙΑΔΩΝ 109</t>
  </si>
  <si>
    <t>8ο ΝΗΠΙΑΓΩΓΕΙΟ ΚΕΡΑΤΣΙΝΙΟΥ</t>
  </si>
  <si>
    <t>mail@8nip-kerats.att.sch.gr</t>
  </si>
  <si>
    <t>ΕΛΛΗΣΠΟΝΤΟΥ 23 ΚΑΙ ΣΜΥΡΝΗΣ</t>
  </si>
  <si>
    <t>11ο ΝΗΠΙΑΓΩΓΕΙΟ ΚΕΡΑΤΣΙΝΙΟΥ</t>
  </si>
  <si>
    <t>mail@11nip-kerats.att.sch.gr</t>
  </si>
  <si>
    <t>ΠΡΟΥΣΣΗΣ Κ ΤΡΑΠΕΖΟΥΝΤΟΣ</t>
  </si>
  <si>
    <t>12ο ΝΗΠΙΑΓΩΓΕΙΟ ΚΕΡΑΤΣΙΝΙΟΥ</t>
  </si>
  <si>
    <t>mail@12nip-kerats.att.sch.gr</t>
  </si>
  <si>
    <t>13ο ΝΗΠΙΑΓΩΓΕΙΟ ΚΕΡΑΤΣΙΝΙΟΥ</t>
  </si>
  <si>
    <t>mail@13nip-kerats.att.sch.gr</t>
  </si>
  <si>
    <t>ΓΛΗΝΟΥ 1</t>
  </si>
  <si>
    <t>16ο ΝΗΠΙΑΓΩΓΕΙΟ ΚΕΡΑΤΣΙΝΙΟΥ</t>
  </si>
  <si>
    <t>mail@16nip-kerats.att.sch.gr</t>
  </si>
  <si>
    <t>ΑΔΡΙΑΝΟΥ 45</t>
  </si>
  <si>
    <t>24ο ΝΗΠΙΑΓΩΓΕΙΟ ΚΕΡΑΤΣΙΝΙΟΥ</t>
  </si>
  <si>
    <t>mail@24nip-kerats.att.sch.gr</t>
  </si>
  <si>
    <t>ΔΙΟΓΕΝΟΥΣ ΚΑΙ ΧΗΛΗΣ</t>
  </si>
  <si>
    <t>53ο ΝΗΠΙΑΓΩΓΕΙΟ ΠΕΙΡΑΙΑ</t>
  </si>
  <si>
    <t>mail@53nip-peiraia.att.sch.gr</t>
  </si>
  <si>
    <t>6ο ΝΗΠΙΑΓΩΓΕΙΟ ΠΕΡΑΜΑΤΟΣ</t>
  </si>
  <si>
    <t>mail@6nip-peram.att.sch.gr</t>
  </si>
  <si>
    <t>ΠΑΝΑΓΙΑΣ ΓΙΑΤΡΙΣΣΗΣ 72 ΚΑΙ ΛΟΓΟΘΕΤΗ</t>
  </si>
  <si>
    <t>14ο ΝΗΠΙΑΓΩΓΕΙΟ ΚΕΡΑΤΣΙΝΙΟΥ</t>
  </si>
  <si>
    <t>mail@14nip-kerats.att.sch.gr</t>
  </si>
  <si>
    <t>ΣΥΡΟΥ Κ ΥΨΗΛΑΝΤΟΥ</t>
  </si>
  <si>
    <t>51ο ΟΛΟΗΜΕΡΟ ΝΗΠΙΑΓΩΓΕΙΟ ΠΕΙΡΑΙΑ</t>
  </si>
  <si>
    <t>mail@51nip-peiraia.att.sch.gr</t>
  </si>
  <si>
    <t>ΑΓ.ΔΗΜΗΤΡΙΟΥ 69</t>
  </si>
  <si>
    <t>46ο  ΝΗΠΙΑΓΩΓΕΙΟ ΠΕΙΡΑΙΑ</t>
  </si>
  <si>
    <t>mail@46nip-peiraia.att.sch.gr</t>
  </si>
  <si>
    <t>ΚΑΛΑΜΩΝ 41</t>
  </si>
  <si>
    <t>48ο ΝΗΠΙΑΓΩΓΕΙΟ ΠΕΙΡΑΙΑ</t>
  </si>
  <si>
    <t>mail@48nip-peiraia.att.sch.gr</t>
  </si>
  <si>
    <t>ΗΡΑΚΛΕΙΔΩΝ 27</t>
  </si>
  <si>
    <t>52ο ΝΗΠΙΑΓΩΓΕΙΟ ΠΕΙΡΑΙΑ</t>
  </si>
  <si>
    <t>mail@52nip-peiraia.att.sch.gr</t>
  </si>
  <si>
    <t>ΧΑΪΔΑΡΙΟΥ 33</t>
  </si>
  <si>
    <t>mail@12dim-nikaias.att.sch.gr</t>
  </si>
  <si>
    <t>Π. ΡΑΛΛΗ 184</t>
  </si>
  <si>
    <t>1ο  ΝΗΠΙΑΓΩΓΕΙΟ ΔΡΑΠΕΤΣΩΝΑΣ</t>
  </si>
  <si>
    <t>mail@1nip-drapets.att.sch.gr</t>
  </si>
  <si>
    <t>Γ. ΑΦΑΡΑ ΚΑΙ ΕΛ. ΒΕΝΙΖΕΛΟΥ</t>
  </si>
  <si>
    <t>4ο ΝΗΠΙΑΓΩΓΕΙΟ ΔΡΑΠΕΤΣΩΝΑΣ</t>
  </si>
  <si>
    <t>mail@4nip-drapets.att.sch.gr</t>
  </si>
  <si>
    <t>ΑΝΑΠΑΥΣΕΩΣ 1</t>
  </si>
  <si>
    <t>23ο ΟΛΟΗΜΕΡΟ ΝΗΠΙΑΓΩΓΕΙΟ ΠΕΙΡΑΙΑ</t>
  </si>
  <si>
    <t>mail@23nip-peiraia.att.sch.gr</t>
  </si>
  <si>
    <t>ΞΑΝΘΟΠΟΥΛΙΔΟΥ ΜΙΑΟΥΛΗ 23</t>
  </si>
  <si>
    <t>17ο  ΝΗΠΙΑΓΩΓΕΙΟ ΠΕΙΡΑΙΑ</t>
  </si>
  <si>
    <t>mail@17nip-peiraia.att.sch.gr</t>
  </si>
  <si>
    <t>ΤΕΓΕΑΣ 1</t>
  </si>
  <si>
    <t>29ο ΟΛΟΗΜΕΡΟ ΝΗΠΙΑΓΩΓΕΙΟ ΠΕΙΡΑΙΑ</t>
  </si>
  <si>
    <t>mail@29nip-peiraia.att.sch.gr</t>
  </si>
  <si>
    <t>ΠΡΑΞΙΤΕΛΟΥΣ 181</t>
  </si>
  <si>
    <t>3ο ΟΛΟΗΜΕΡΟ ΝΗΠΙΑΓΩΓΕΙΟ ΔΡΑΠΕΤΣΩΝΑΣ</t>
  </si>
  <si>
    <t>mail@3nip-drapets.att.sch.gr</t>
  </si>
  <si>
    <t>ΑΝΑΠΑΥΣΕΩΣ ΚΑΙ ΚΑΛΟΚΑΙΡΙΝΟΥ</t>
  </si>
  <si>
    <t>ΟΛΟΗΜΕΡΟ ΝΗΠΙΑΓΩΓΕΙΟ ΝΕΟΥ ΙΚΟΝΙΟΥ ΠΕΡΑΜΑΤΟΣ</t>
  </si>
  <si>
    <t>mail@nip-n-ikon.att.sch.gr</t>
  </si>
  <si>
    <t>Ν. ΙΚΟΝΙΟ</t>
  </si>
  <si>
    <t>ΝΙΚΗΣ 61</t>
  </si>
  <si>
    <t>26ο  ΝΗΠΙΑΓΩΓΕΙΟ ΠΕΙΡΑΙΑ</t>
  </si>
  <si>
    <t>mail@26nip-peiraia.att.sch.gr</t>
  </si>
  <si>
    <t>ΚΑΛΥΨΟΥΣ 20</t>
  </si>
  <si>
    <t>7ο ΝΗΠΙΑΓΩΓΕΙΟ ΝΙΚΑΙΑΣ</t>
  </si>
  <si>
    <t>mail@7nip-nikaias.att.sch.gr</t>
  </si>
  <si>
    <t>ΠΡΟΠΟΝΤΙΔΟΣ 1</t>
  </si>
  <si>
    <t>6ο ΟΛΟΗΜΕΡΟ ΝΗΠΙΑΓΩΓΕΙΟ ΠΕΙΡΑΙΑ</t>
  </si>
  <si>
    <t>mail@6nip-peiraia.att.sch.gr</t>
  </si>
  <si>
    <t>ΠΑΠΑΦΛΕΣΣΑ-ΔΟΓΑΝΗΣ</t>
  </si>
  <si>
    <t>5ο ΟΛΟΗΜΕΡΟ ΝΗΠΙΑΓΩΓΕΙΟ ΠΕΙΡΑΙΑ</t>
  </si>
  <si>
    <t>mail@5nip-peiraia.att.sch.gr</t>
  </si>
  <si>
    <t>ΡΑΙΔΕΣΤΟΥ 84</t>
  </si>
  <si>
    <t>5ο  ΝΗΠΙΑΓΩΓΕΙΟ ΠΕΡΑΜΑΤΟΣ</t>
  </si>
  <si>
    <t>mail@5nip-peram.att.sch.gr</t>
  </si>
  <si>
    <t>ΕΙΚΟΣΤΗΣ ΠΕΜΠΤΗΣ ΜΑΡΤΙΟΥ ΚΑΙ ΕΜΜΑΝΟΥΗΛ ΠΑΠΠΑ 3</t>
  </si>
  <si>
    <t>10ο ΝΗΠΙΑΓΩΓΕΙΟ ΠΕΙΡΑΙΑ</t>
  </si>
  <si>
    <t>mail@10nip-peiraia.att.sch.gr</t>
  </si>
  <si>
    <t>11ο ΟΛΟΗΜΕΡΟ ΝΗΠΙΑΓΩΓΕΙΟ ΠΕΙΡΑΙΑ</t>
  </si>
  <si>
    <t>mail@11nip-peiraia.att.sch.gr</t>
  </si>
  <si>
    <t>ΣΑΛΑΜΙΝΟΣ ΚΑΙ ΨΑΡΡΩΝ 84</t>
  </si>
  <si>
    <t>1ο ΝΗΠΙΑΓΩΓΕΙΟ ΠΕΡΑΜΑΤΟΣ</t>
  </si>
  <si>
    <t>mail@1nip-peram.att.sch.gr</t>
  </si>
  <si>
    <t>ΜΑΚΕΔΟΝΙΑΣ 61</t>
  </si>
  <si>
    <t>22ο ΟΛΟΗΜΕΡΟ ΝΗΠΙΑΓΩΓΕΙΟ ΠΕΙΡΑΙΑ</t>
  </si>
  <si>
    <t>mail@22nip-peiraia.att.sch.gr</t>
  </si>
  <si>
    <t>Μ. ΧΑΤΖΗΚΥΡΙΑΚΟΥ 27</t>
  </si>
  <si>
    <t>25ο ΟΛΟΗΜΕΡΟ ΝΗΠΙΑΓΩΓΕΙΟ ΠΕΙΡΑΙΑ</t>
  </si>
  <si>
    <t>mail@25nip-peiraia.att.sch.gr</t>
  </si>
  <si>
    <t>ΣΠΥΡΟΠΟΥΛΟΥ 27</t>
  </si>
  <si>
    <t>27ο ΝΗΠΙΑΓΩΓΕΙΟ ΠΕΙΡΑΙΑ</t>
  </si>
  <si>
    <t>mail@27nip-peiraia.att.sch.gr</t>
  </si>
  <si>
    <t>ΣΑΛΑΜΙΝΟΣ 84 ΚΑΙ ΨΑΡΩΝ</t>
  </si>
  <si>
    <t>1ο ΟΛΟΗΜΕΡΟ ΝΗΠΙΑΓΩΓΕΙΟ ΑΓΙΟΥ ΙΩΑΝΝΗ ΡΕΝΤΗ</t>
  </si>
  <si>
    <t>mail@1nip-ag-ioann.att.sch.gr</t>
  </si>
  <si>
    <t>ΑΓΙΟΥ ΙΩΑΝΝΗ ΡΕΝΤΗ 18</t>
  </si>
  <si>
    <t>28ο ΟΛΟΗΜΕΡΟ ΝΗΠΙΑΓΩΓΕΙΟ ΠΕΙΡΑΙΑ</t>
  </si>
  <si>
    <t>mail@28nip-peiraia.att.sch.gr</t>
  </si>
  <si>
    <t>ΑΓΙΟΥ ΟΡΟΥΣ 82</t>
  </si>
  <si>
    <t>33ο ΝΗΠΙΑΓΩΓΕΙΟ ΠΕΙΡΑΙΑ</t>
  </si>
  <si>
    <t>mail@33nip-peiraia.att.sch.gr</t>
  </si>
  <si>
    <t>ΠΛΑΤΕΙΑ ΚΑΛΑΒΡΥΤΩΝ</t>
  </si>
  <si>
    <t>35ο ΟΛΟΗΜΕΡΟ ΝΗΠΙΑΓΩΓΕΙΟ ΠΕΙΡΑΙΑ</t>
  </si>
  <si>
    <t>mail@35nip-peiraia.att.sch.gr</t>
  </si>
  <si>
    <t>ΑΛΕΞΑΝΔΡΟΥ 3</t>
  </si>
  <si>
    <t>50ο ΝΗΠΙΑΓΩΓΕΙΟ ΠΕΙΡΑΙΑ</t>
  </si>
  <si>
    <t>mail@50nip-peiraia.att.sch.gr</t>
  </si>
  <si>
    <t>Γ.ΘΕΟΤΟΚΗ 1</t>
  </si>
  <si>
    <t>5ο ΟΛΟΗΜΕΡΟ ΝΗΠΙΑΓΩΓΕΙΟ ΑΓΙΟΥ ΙΩΑΝΝΗ ΡΕΝΤΗ</t>
  </si>
  <si>
    <t>mail@5nip-ag-ioann.att.sch.gr</t>
  </si>
  <si>
    <t>Π.ΝΙΚΟΛΑΙΔΗ 21</t>
  </si>
  <si>
    <t>ΝΕΑΠΟΛΗΣ</t>
  </si>
  <si>
    <t>13ο ΝΗΠΙΑΓΩΓΕΙΟ ΠΕΙΡΑΙΑ</t>
  </si>
  <si>
    <t>mail@13nip-peiraia.att.sch.gr</t>
  </si>
  <si>
    <t>2ο ΝΗΠΙΑΓΩΓΕΙΟ ΝΕΟΥ ΦΑΛΗΡΟΥ</t>
  </si>
  <si>
    <t>mail@2nip-n-falir.att.sch.gr</t>
  </si>
  <si>
    <t>ΝΕΟΥ  ΦΑΛΗΡΟΥ</t>
  </si>
  <si>
    <t>ΚΑΝΕΛΛΟΠΟΥΛΟΥ 58</t>
  </si>
  <si>
    <t>6ο ΝΗΠΙΑΓΩΓΕΙΟ ΑΓΙΟΥ ΙΩΑΝΝΗ ΡΕΝΤΗ</t>
  </si>
  <si>
    <t>mail@6nip-ag-ioann.att.sch.gr</t>
  </si>
  <si>
    <t>ΙΩΑΝΝΟΥ ΡΑΛΛΗ 9</t>
  </si>
  <si>
    <t>2ο ΝΗΠΙΑΓΩΓΕΙΟ ΔΡΑΠΕΤΣΩΝΑΣ</t>
  </si>
  <si>
    <t>mail@2nip-drapets.att.sch.gr</t>
  </si>
  <si>
    <t>ΑΓΓΕΛΟΥ ΣΙΚΕΛΙΑΝΟΥ 161</t>
  </si>
  <si>
    <t>4ο ΝΗΠΙΑΓΩΓΕΙΟ ΠΕΡΑΜΑΤΟΣ</t>
  </si>
  <si>
    <t>mail@4nip-peram.att.sch.gr</t>
  </si>
  <si>
    <t>ΛΟΥΚΙΑΝΟΥ ΚΑΙ ΜΟΝΙΠΠΟΥ 3</t>
  </si>
  <si>
    <t>36ο ΝΗΠΙΑΓΩΓΕΙΟ ΠΕΙΡΑΙΑ</t>
  </si>
  <si>
    <t>mail@36nip-peiraia.att.sch.gr</t>
  </si>
  <si>
    <t>ΑΛΕΞΑΝΔΡΟΥ 1</t>
  </si>
  <si>
    <t>mail@1dim-n-falir.att.sch.gr</t>
  </si>
  <si>
    <t>ΣΜΟΛΕΝΣΚΥ 30</t>
  </si>
  <si>
    <t>9ο ΟΛΟΗΜΕΡΟ ΔΗΜΟΤΙΚΟ ΣΧΟΛΕΙΟ ΚΕΡΑΤΣΙΝΙΟΥ</t>
  </si>
  <si>
    <t>mail@9dim-kerats.att.sch.gr</t>
  </si>
  <si>
    <t xml:space="preserve">ΚΕΡΑΤΣΙΝΙ </t>
  </si>
  <si>
    <t>mail@dim-ampel.att.sch.gr</t>
  </si>
  <si>
    <t>Αμπελάκια</t>
  </si>
  <si>
    <t>ΕΙΣΟΔΙΩΝ ΘΕΟΤΟΚΟΥ 52</t>
  </si>
  <si>
    <t>mail@28dim-peiraia.att.sch.gr</t>
  </si>
  <si>
    <t>ΣΑΝΤΑΡΟΖΑ 4</t>
  </si>
  <si>
    <t>54ο ΔΗΜΟΤΙΚΟ ΣΧΟΛΕΙΟ ΠΕΙΡΑΙΑ</t>
  </si>
  <si>
    <t>mail@54dim-peiraia.att.sch.gr</t>
  </si>
  <si>
    <t>ΑΚΤΗ ΘΕΜΙΣΤΟΚΛΕΟΥΣ 330</t>
  </si>
  <si>
    <t>11ο ΔΗΜΟΤΙΚΟ ΣΧΟΛΕΙΟ ΠΕΙΡΑΙΑ</t>
  </si>
  <si>
    <t>mail@11dim-peiraia.att.sch.gr</t>
  </si>
  <si>
    <t>ΘΕΣΣΑΛΟΝΙΚΗΣ 71</t>
  </si>
  <si>
    <t>1ο ΕΙΔΙΚΟ ΔΗΜΟΤΙΚΟ ΣΧΟΛΕΙΟ ΚΟΡΥΔΑΛΛΟΥ</t>
  </si>
  <si>
    <t>mail@1dim-eid-koryd.att.sch.gr</t>
  </si>
  <si>
    <t>ΣΤΑΜΑΤΟΠΟΥΛΟΥ &amp; ΔΙΟΓΕΝΟΥΣ</t>
  </si>
  <si>
    <t>2ο ΝΗΠΙΑΓΩΓΕΙΟ ΣΑΛΑΜΙΝΑΣ</t>
  </si>
  <si>
    <t>mail@2nip-salam.att.sch.gr</t>
  </si>
  <si>
    <t>Λ. ΣΑΛΑΜΙΝΑΣ 254</t>
  </si>
  <si>
    <t>mail@16dim-koryd.att.sch.gr</t>
  </si>
  <si>
    <t>ΑΓΙΟΥ ΓΕΩΡΓΙΟΥ 62</t>
  </si>
  <si>
    <t>mail@3dim-drapets.att.sch.gr</t>
  </si>
  <si>
    <t>ΜΠΟΤΣΑΡΗ 6</t>
  </si>
  <si>
    <t>1ο ΟΛΟΗΜΕΡΟ ΕΙΔΙΚΟ ΔΗΜΟΤΙΚΟ ΣΧΟΛΕΙΟ ΔΡΑΠΕΤΣΩΝΑΣ</t>
  </si>
  <si>
    <t>mail@1dim-eid-drapets.att.sch.gr</t>
  </si>
  <si>
    <t>ΑΝΑΠΑΥΣΕΩΣ  1</t>
  </si>
  <si>
    <t>29ο ΔΗΜΟΤΙΚΟ ΣΧΟΛΕΙΟ ΠΕΙΡΑΙΑ</t>
  </si>
  <si>
    <t>mail@29dim-peiraia.att.sch.gr</t>
  </si>
  <si>
    <t>ΖΕΑΣ 81</t>
  </si>
  <si>
    <t>3ο  ΝΗΠΙΑΓΩΓΕΙΟ ΣΑΛΑΜΙΝΑΣ</t>
  </si>
  <si>
    <t>mail@3nip-salam.att.sch.gr</t>
  </si>
  <si>
    <t>ΙΠΠΟΚΡΑΤΟΥΣ 120</t>
  </si>
  <si>
    <t>mail@21dim-kerats.att.sch.gr</t>
  </si>
  <si>
    <t xml:space="preserve">Κερατσίνι </t>
  </si>
  <si>
    <t>ΒΟΣΠΟΡΟΥ ΚΑΙ ΠΑΛΑΙΟΛΟΓΟΥ</t>
  </si>
  <si>
    <t>1ο ΝΗΠΙΑΓΩΓΕΙΟ ΠΕΙΡΑΙΑ</t>
  </si>
  <si>
    <t>mail@1nip-peiraia.att.sch.gr</t>
  </si>
  <si>
    <t>ΔΕΡΒΕΝΑΚΙΩΝ 106</t>
  </si>
  <si>
    <t>mail@32dim-peiraia.att.sch.gr</t>
  </si>
  <si>
    <t>8ο ΝΗΠΙΑΓΩΓΕΙΟ ΠΕΡΑΜΑΤΟΣ</t>
  </si>
  <si>
    <t>mail@8nip-peram.att.sch.gr</t>
  </si>
  <si>
    <t>ΜΕΓΑΛΟΥ ΑΛΕΞΑΝΔΡΟΥ 165-167</t>
  </si>
  <si>
    <t>mail@3dim-peiraia.att.sch.gr</t>
  </si>
  <si>
    <t>ΕΥΡΙΠΙΔΟΥ 5</t>
  </si>
  <si>
    <t>2ο ΝΗΠΙΑΓΩΓΕΙΟ ΠΕΙΡΑΙΑ</t>
  </si>
  <si>
    <t>mail@2nip-peiraia.att.sch.gr</t>
  </si>
  <si>
    <t>ΒΑΛΕΡΙΟΥ ΣΤΑΗ 11</t>
  </si>
  <si>
    <t>4ο ΝΗΠΙΑΓΩΓΕΙΟ ΠΕΙΡΑΙΑ</t>
  </si>
  <si>
    <t>mail@4nip-peiraia.att.sch.gr</t>
  </si>
  <si>
    <t>ΑΜΟΡΓΟΥ 16</t>
  </si>
  <si>
    <t>8ο ΟΛΟΗΜΕΡΟ ΝΗΠΙΑΓΩΓΕΙΟ ΠΕΙΡΑΙΑ</t>
  </si>
  <si>
    <t>mail@8nip-peiraia.att.sch.gr</t>
  </si>
  <si>
    <t>ΑΝΔΡΙΤΣΑΙΝΗΣ ΚΑΙ ΑΠΟΛΛΩΝΙΑΣ</t>
  </si>
  <si>
    <t>12ο  ΝΗΠΙΑΓΩΓΕΙΟ ΠΕΙΡΑΙΑ</t>
  </si>
  <si>
    <t>mail@12nip-peiraia.att.sch.gr</t>
  </si>
  <si>
    <t>ΠΕΙΡΑΙΑ -ΠΑΛΙΑ ΚΟΚΚΙΝΙΑ</t>
  </si>
  <si>
    <t>ΚΟΖΑΝΗΣ 23 ΚΑΙ ΛΕΡΟΥ</t>
  </si>
  <si>
    <t>14ο ΝΗΠΙΑΓΩΓΕΙΟ ΠΕΙΡΑΙΑ</t>
  </si>
  <si>
    <t>mail@14nip-peiraia.att.sch.gr</t>
  </si>
  <si>
    <t>ΣΚΑΠΕΤΟΥ 10 ΚΑΙ ΦΡΑΓΚΟΥΛΗ</t>
  </si>
  <si>
    <t>16ο ΝΗΠΙΑΓΩΓΕΙΟ ΠΕΙΡΑΙΑ</t>
  </si>
  <si>
    <t>mail@16nip-peiraia.att.sch.gr</t>
  </si>
  <si>
    <t>ΧΡΥΣΟΣΤΟΜΟΥ ΣΜΥΡΝΗΣ 54</t>
  </si>
  <si>
    <t>31ο ΟΛΟΗΜΕΡΟ ΝΗΠΙΑΓΩΓΕΙΟ ΠΕΙΡΑΙΑ</t>
  </si>
  <si>
    <t>mail@31nip-peiraia.att.sch.gr</t>
  </si>
  <si>
    <t>ΑΡΓΥΡΟΚΑΣΤΡΟΥ 37</t>
  </si>
  <si>
    <t>54ο ΝΗΠΙΑΓΩΓΕΙΟ ΠΕΙΡΑΙΑ</t>
  </si>
  <si>
    <t>mail@54nip-peiraia.att.sch.gr</t>
  </si>
  <si>
    <t>ΝΑΞΟΥ ΚΑΙ ΠΡΟΠΟΝΤΙΔΟΣ</t>
  </si>
  <si>
    <t>1ο ΕΙΔΙΚΟ ΝΗΠΙΑΓΩΓΕΙΟ ΠΕΙΡΑΙΑ</t>
  </si>
  <si>
    <t>mail@1nip-eid-peiraia.att.sch.gr</t>
  </si>
  <si>
    <t>ΛΕΒΑΔΕΙΑΣ  95</t>
  </si>
  <si>
    <t>1ο  ΝΗΠΙΑΓΩΓΕΙΟ ΝΙΚΑΙΑΣ</t>
  </si>
  <si>
    <t>mail@1nip-nikaias.att.sch.gr</t>
  </si>
  <si>
    <t>ΙΩΝΙΑΣ ΚΑΙ ΓΡΕΒΕΝΩΝ</t>
  </si>
  <si>
    <t>2ο ΝΗΠΙΑΓΩΓΕΙΟ ΝΙΚΑΙΑΣ</t>
  </si>
  <si>
    <t>mail@2nip-nikaias.att.sch.gr</t>
  </si>
  <si>
    <t>ΙΩΝΙΑΣ-ΑΜΥΡΑΔΑΚΗ</t>
  </si>
  <si>
    <t>3ο ΝΗΠΙΑΓΩΓΕΙΟ ΝΙΚΑΙΑΣ</t>
  </si>
  <si>
    <t>mail@3nip-nikaias.att.sch.gr</t>
  </si>
  <si>
    <t>ΡΑΙΔΕΣΤΟΥ 17</t>
  </si>
  <si>
    <t>4ο ΝΗΠΙΑΓΩΓΕΙΟ ΝΙΚΑΙΑΣ</t>
  </si>
  <si>
    <t>mail@4nip-nikaias.att.sch.gr</t>
  </si>
  <si>
    <t>ΚΑΙΣΑΡΕΙΑΣ ΚΑΙ ΒΟΣΠΟΡΟΥ</t>
  </si>
  <si>
    <t>5ο ΝΗΠΙΑΓΩΓΕΙΟ ΝΙΚΑΙΑΣ</t>
  </si>
  <si>
    <t>mail@5nip-nikaias.att.sch.gr</t>
  </si>
  <si>
    <t>ΜΟΥΣΩΝ ΚΑΙ ΛΥΚΟΥΡΓΟΥ</t>
  </si>
  <si>
    <t>8ο ΝΗΠΙΑΓΩΓΕΙΟ ΝΙΚΑΙΑΣ</t>
  </si>
  <si>
    <t>mail@8nip-nikaias.att.sch.gr</t>
  </si>
  <si>
    <t>ΥΨΗΛΑΝΤΟΥ 3</t>
  </si>
  <si>
    <t>13ο ΝΗΠΙΑΓΩΓΕΙΟ ΝΙΚΑΙΑΣ</t>
  </si>
  <si>
    <t>mail@13nip-nikaias.att.sch.gr</t>
  </si>
  <si>
    <t>ΠΡΑΞΙΤΕΛΟΥΣ 59</t>
  </si>
  <si>
    <t>16ο ΝΗΠΙΑΓΩΓΕΙΟ ΝΙΚΑΙΑΣ</t>
  </si>
  <si>
    <t>mail@16nip-nikaias.att.sch.gr</t>
  </si>
  <si>
    <t>17ο  ΝΗΠΙΑΓΩΓΕΙΟ ΝΙΚΑΙΑΣ</t>
  </si>
  <si>
    <t>mail@17nip-nikaias.att.sch.gr</t>
  </si>
  <si>
    <t>Π.ΡΑΛΛΗ 432</t>
  </si>
  <si>
    <t>18ο ΝΗΠΙΑΓΩΓΕΙΟ ΝΙΚΑΙΑΣ</t>
  </si>
  <si>
    <t>mail@18nip-nikaias.att.sch.gr</t>
  </si>
  <si>
    <t>ΑΧΙΛΛΕΩΣ ΚΑΙ ΠΟΣΕΙΔΩΝΟΣ</t>
  </si>
  <si>
    <t>22ο ΝΗΠΙΑΓΩΓΕΙΟ ΝΙΚΑΙΑΣ</t>
  </si>
  <si>
    <t>mail@22nip-nikaias.att.sch.gr</t>
  </si>
  <si>
    <t>14ο ΝΗΠΙΑΓΩΓΕΙΟ ΝΙΚΑΙΑΣ</t>
  </si>
  <si>
    <t>mail@14nip-nikaias.att.sch.gr</t>
  </si>
  <si>
    <t>ΗΛΙΟΥΠΟΛΕΩΣ ΚΑΙ ΚΙΛΙΚΙΑΣ</t>
  </si>
  <si>
    <t>19ο ΝΗΠΙΑΓΩΓΕΙΟ ΝΙΚΑΙΑΣ</t>
  </si>
  <si>
    <t>mail@19nip-nikaias.att.sch.gr</t>
  </si>
  <si>
    <t>6ο ΝΗΠΙΑΓΩΓΕΙΟ ΝΙΚΑΙΑΣ</t>
  </si>
  <si>
    <t>mail@6nip-nikaias.att.sch.gr</t>
  </si>
  <si>
    <t>20ο ΝΗΠΙΑΓΩΓΕΙΟ ΝΙΚΑΙΑΣ</t>
  </si>
  <si>
    <t>mail@20nip-nikaias.att.sch.gr</t>
  </si>
  <si>
    <t>25ο  ΝΗΠΙΑΓΩΓΕΙΟ ΝΙΚΑΙΑΣ</t>
  </si>
  <si>
    <t>mail@25nip-nikaias.att.sch.gr</t>
  </si>
  <si>
    <t>Π. ΡΑΛΛΗ ΚΑΙ ΚΥΠΡΟΥ 61</t>
  </si>
  <si>
    <t>15ο ΝΗΠΙΑΓΩΓΕΙΟ ΝΙΚΑΙΑΣ</t>
  </si>
  <si>
    <t>mail@15nip-nikaias.att.sch.gr</t>
  </si>
  <si>
    <t>ΑΚΡΟΠΟΛΕΩΣ ΠΑΝΤΕΙΧΙΟΥ  77</t>
  </si>
  <si>
    <t>24ο ΝΗΠΙΑΓΩΓΕΙΟ ΝΙΚΑΙΑΣ</t>
  </si>
  <si>
    <t>mail@24nip-nikaias.att.sch.gr</t>
  </si>
  <si>
    <t>ΚΑΡΑΙΣΚΑΚΗ 66</t>
  </si>
  <si>
    <t>23ο ΝΗΠΙΑΓΩΓΕΙΟ ΝΙΚΑΙΑΣ</t>
  </si>
  <si>
    <t>mail@23nip-nikaias.att.sch.gr</t>
  </si>
  <si>
    <t>ΣΗΣΤΟΥ ΚΑΙ ΠΑΡΑΣΚΕΥΟΠΟΥΛΟΥ</t>
  </si>
  <si>
    <t>10ο ΝΗΠΙΑΓΩΓΕΙΟ ΝΙΚΑΙΑΣ</t>
  </si>
  <si>
    <t>mail@10nip-nikaias.att.sch.gr</t>
  </si>
  <si>
    <t>mail@2dim-salam.att.sch.gr</t>
  </si>
  <si>
    <t>ΛΕΩΦ. ΣΑΛΑΜΙΝΑΣ 252</t>
  </si>
  <si>
    <t>mail@1dim-drapets.att.sch.gr</t>
  </si>
  <si>
    <t>Δραπετσώνα</t>
  </si>
  <si>
    <t>Αγγ. Σικελιανού 161</t>
  </si>
  <si>
    <t>2ο ΟΛΟΗΜΕΡΟ ΔΗΜΟΤΙΚΟ ΣΧΟΛΕΙΟ ΔΡΑΠΕΤΣΩΝΑΣ</t>
  </si>
  <si>
    <t>mail@2dim-drapets.att.sch.gr</t>
  </si>
  <si>
    <t>ΑΡΙΣΤΟΤΕΛΟΥΣ 59</t>
  </si>
  <si>
    <t>mail@6dim-koryd.att.sch.gr</t>
  </si>
  <si>
    <t>ΣΥΓΚΡΟΤΗΜΑ ΣΧΟΛΙΚΩΝ ΚΤΗΡΙΩΝ</t>
  </si>
  <si>
    <t>18ο ΝΗΠΙΑΓΩΓΕΙΟ ΚΟΡΥΔΑΛΛΟΥ</t>
  </si>
  <si>
    <t>mail@18nip-koryd.att.sch.gr</t>
  </si>
  <si>
    <t>ΕΥΡΥΤΑΝΙΑΣ 2</t>
  </si>
  <si>
    <t>mail@34dim-peiraia.att.sch.gr</t>
  </si>
  <si>
    <t>ΑΝΔΡΙΑΝΟΠΟΥΛΟΥ 10</t>
  </si>
  <si>
    <t>3ο ΔΗΜΟΤΙΚΟ ΣΧΟΛΕΙΟ ΚΟΡΥΔΑΛΛΟΥ</t>
  </si>
  <si>
    <t>mail@3dim-koryd.att.sch.gr</t>
  </si>
  <si>
    <t>ΖΩΟΔΟΧΟΥ ΠΗΓΗΣ 14</t>
  </si>
  <si>
    <t>mail@2dim-peiraia.att.sch.gr</t>
  </si>
  <si>
    <t>ΚΑΡΑΪΣΚΟΥ 50</t>
  </si>
  <si>
    <t>40ο ΟΛΟΗΜΕΡΟ ΔΗΜΟΤΙΚΟ ΣΧΟΛΕΙΟ ΠΕΙΡΑΙΑ</t>
  </si>
  <si>
    <t>mail@40dim-peiraia.att.sch.gr</t>
  </si>
  <si>
    <t>ΠΟΡΟΥ 5</t>
  </si>
  <si>
    <t>3ο ΟΛΟΗΜΕΡΟ ΔΗΜΟΤΙΚΟ ΣΧΟΛΕΙΟ ΑΓΙΟΥ ΙΩΑΝΝΗ ΡΕΝΤΗ</t>
  </si>
  <si>
    <t>mail@3dim-ag-ioann.att.sch.gr</t>
  </si>
  <si>
    <t>ΔΙΣΤΟΜΟΥ 21</t>
  </si>
  <si>
    <t>mail@2dim-koryd.att.sch.gr</t>
  </si>
  <si>
    <t>ΣΠΕΤΣΩΝ 30</t>
  </si>
  <si>
    <t>16ο ΝΗΠΙΑΓΩΓΕΙΟ ΚΟΡΥΔΑΛΛΟΥ</t>
  </si>
  <si>
    <t>mail@16nip-koryd.att.sch.gr</t>
  </si>
  <si>
    <t>ΛΑΡΙΣΗΣ-ΘΡΑΚΗΣ- ΛΕΣΒΟΥ</t>
  </si>
  <si>
    <t>mail@3dim-salam.att.sch.gr</t>
  </si>
  <si>
    <t>ΠΙΝΔΟΥ 2</t>
  </si>
  <si>
    <t>11ο ΝΗΠΙΑΓΩΓΕΙΟ ΝΙΚΑΙΑΣ</t>
  </si>
  <si>
    <t>mail@11nip-nikaias.att.sch.gr</t>
  </si>
  <si>
    <t>ΠΑΝΤΕΙΧΙΟΥ ΚΑΙ ΑΚΡΟΠΟΛΕΩΣ</t>
  </si>
  <si>
    <t>3ο ΝΗΠΙΑΓΩΓΕΙΟ ΚΕΡΑΤΣΙΝΙΟΥ</t>
  </si>
  <si>
    <t>mail@3nip-kerats.att.sch.gr</t>
  </si>
  <si>
    <t>ΠΙΤΤΑΚΟΥ ΠΟΛΥΔΕΥΚΟΥΣ 1</t>
  </si>
  <si>
    <t>24ο ΟΛΟΗΜΕΡΟ ΝΗΠΙΑΓΩΓΕΙΟ ΠΕΙΡΑΙΑΣ</t>
  </si>
  <si>
    <t>mail@24nip-peiraia.att.sch.gr</t>
  </si>
  <si>
    <t>ΧΑΤΖΗΚΥΡΙΑΚΟΥ 2</t>
  </si>
  <si>
    <t>12ο ΝΗΠΙΑΓΩΓΕΙΟ ΝΙΚΑΙΑΣ - ΟΛΟΗΜΕΡΟ  ΚΩΔΙΚΟΣ ΣΧΟΛΙΚΗΣ ΜΟΝΑΔΑΣ 9520287</t>
  </si>
  <si>
    <t>mail@12nip-nikaias.att.sch.gr</t>
  </si>
  <si>
    <t>ΣΙΚΕΛΙΑΝΟΥ 26</t>
  </si>
  <si>
    <t>21ο ΝΗΠΙΑΓΩΓΕΙΟ ΝΙΚΑΙΑΣ  κωδικός σχολείου 9520321</t>
  </si>
  <si>
    <t>mail@21nip-nikaias.att.sch.gr</t>
  </si>
  <si>
    <t>4ο ΟΛΟΗΜΕΡΟ ΔΗΜΟΤΙΚΟ ΣΧΟΛΕΙΟ ΑΓΙΟΥ ΙΩΑΝΝΗ ΡΕΝΤΗ</t>
  </si>
  <si>
    <t>mail@4dim-ag-ioann.att.sch.gr</t>
  </si>
  <si>
    <t>ΑΓ. ΙΩΑΝΝΗΣ ΡΕΝΤΗ</t>
  </si>
  <si>
    <t>ΝΑΞΟΥ 60-64  &amp; ΜΕΓ. ΑΛΕΞΑΝΔΡΟΥ</t>
  </si>
  <si>
    <t>6ο ΝΗΠΙΑΓΩΓΕΙΟ ΚΟΡΥΔΑΛΛΟΥ</t>
  </si>
  <si>
    <t>mail@6nip-koryd.att.sch.gr</t>
  </si>
  <si>
    <t>ΛΑΡΙΣΗΣ-ΘΡΑΚΗΣ-ΛΕΣΒΟΥ</t>
  </si>
  <si>
    <t>1ο  ΔΗΜΟΤΙΚΟ ΣΧΟΛΕΙΟ ΑΓΙΟΥ ΙΩΑΝΝΟΥ ΡΕΝΤΗ</t>
  </si>
  <si>
    <t>mail@1dim-ag-ioann.att.sch.gr</t>
  </si>
  <si>
    <t>17ο ΝΗΠΙΑΓΩΓΕΙΟ ΚΕΡΑΤΣΙΝΙΟΥ</t>
  </si>
  <si>
    <t>mail@17nip-kerats.att.sch.gr</t>
  </si>
  <si>
    <t>ΔΕΜΕΡΤΖΗ Κ ΠΑΛΑΜΗΔΙΟΥ</t>
  </si>
  <si>
    <t>9ο  ΝΗΠΙΑΓΩΓΕΙΟ ΝΙΚΑΙΑΣ</t>
  </si>
  <si>
    <t>mail@9nip-nikaias.att.sch.gr</t>
  </si>
  <si>
    <t>ΕΠΟΝΙΤΩΝ  2</t>
  </si>
  <si>
    <t>22ο  ΝΗΠΙΑΓΩΓΕΙΟ ΚΟΡΥΔΑΛΛΟΥ</t>
  </si>
  <si>
    <t>mail@22nip-koryd.att.sch.gr</t>
  </si>
  <si>
    <t>ΣΕΡΡΩΝ 9</t>
  </si>
  <si>
    <t>mail@56dim-peiraia.att.sch.gr</t>
  </si>
  <si>
    <t>ΚΛΕΙΣΟΒΗΣ 18</t>
  </si>
  <si>
    <t>19ο ΝΗΠΙΑΓΩΓΕΙΟ ΚΕΡΑΤΣΙΝΙΟΥ</t>
  </si>
  <si>
    <t>mail@19nip-kerats.att.sch.gr</t>
  </si>
  <si>
    <t>ΜΠΕΡΤΟΥ Κ ΜΠΑΛΗ</t>
  </si>
  <si>
    <t>6ο ΝΗΠΙΑΓΩΓΕΙΟ ΣΑΛΑΜΙΝΑΣ</t>
  </si>
  <si>
    <t>mail@6nip-salam.att.sch.gr</t>
  </si>
  <si>
    <t>ΣΙΚΕΛΙΑΝΟΥ 16</t>
  </si>
  <si>
    <t>8ο ΔΗΜΟΤΙΚΟ ΣΧΟΛΕΙΟ ΚΟΡΥΔΑΛΛΟΥ</t>
  </si>
  <si>
    <t>mail@8dim-koryd.att.sch.gr</t>
  </si>
  <si>
    <t>ΣΥΓΚΡΟΤΗΜΑ ΣΧΟΛΙΚΩΝ ΚΤΙΡΙΩΝ ΚΟΡΥΔΑΛΛΟΥ</t>
  </si>
  <si>
    <t>7ο ΝΗΠΙΑΓΩΓΕΙΟ ΣΑΛΑΜΙΝΑΣ</t>
  </si>
  <si>
    <t>mail@7nip-salam.att.sch.gr</t>
  </si>
  <si>
    <t>ΕΥΡΙΠΙΔΟΥ-ΠΑΠΑΝΔΡΕΟΥ</t>
  </si>
  <si>
    <t>mail@5dim-peram.att.sch.gr</t>
  </si>
  <si>
    <t>ΠΑΠΑΔΙΑΜΑΝΤΗ 2</t>
  </si>
  <si>
    <t>mail@6dim-peram.att.sch.gr</t>
  </si>
  <si>
    <t>ΠΕΡΑΜΑ ΑΤΤΙΚΗΣ</t>
  </si>
  <si>
    <t>Ευρυβιάδου 7</t>
  </si>
  <si>
    <t>mail@13dim-nikaias.att.sch.gr</t>
  </si>
  <si>
    <t>ΣΟΦΟΚΛΕΟΥΣ 41</t>
  </si>
  <si>
    <t>8ο ΝΗΠΙΑΓΩΓΕΙΟ ΣΑΛΑΜΙΝΑΣ</t>
  </si>
  <si>
    <t>mail@8nip-salam.att.sch.gr</t>
  </si>
  <si>
    <t>23ο ΔΗΜΟΤΙΚΟ ΣΧΟΛΕΙΟ ΠΕΙΡΑΙΑ</t>
  </si>
  <si>
    <t>mail@23dim-peiraia.att.sch.gr</t>
  </si>
  <si>
    <t>ΞΑΝΘΟΠΟΥΛΙΔΟΥ 23</t>
  </si>
  <si>
    <t>10ο ΝΗΠΙΑΓΩΓΕΙΟ ΚΟΡΥΔΑΛΛΟΥ</t>
  </si>
  <si>
    <t>mail@10nip-koryd.att.sch.gr</t>
  </si>
  <si>
    <t>ΚΟΥΝΤΟΥΡΙΩΤΟΥ 25</t>
  </si>
  <si>
    <t>mail@38dim-peiraia.att.sch.gr</t>
  </si>
  <si>
    <t>ΒΑΣΙΛΕΩΣ ΓΕΩΡΓΙΟΥ Β 12</t>
  </si>
  <si>
    <t>9ο ΝΗΠΙΑΓΩΓΕΙΟ ΚΟΡΥΔΑΛΛΟΥ</t>
  </si>
  <si>
    <t>mail@9nip-koryd.att.sch.gr</t>
  </si>
  <si>
    <t>ΚΥΠΡΟΥ 16</t>
  </si>
  <si>
    <t>6ο ΝΗΠΙΑΓΩΓΕΙΟ ΚΕΡΑΤΣΙΝΙΟΥ</t>
  </si>
  <si>
    <t>mail@6nip-kerats.att.sch.gr</t>
  </si>
  <si>
    <t>ΕΙΡΗΝΗΣ49 ΚΑΙ ΟΙΤΗΣ</t>
  </si>
  <si>
    <t>ΕΙΔΙΚΟ ΔΗΜΟΤΙΚΟ ΣΧΟΛΕΙΟ ΠΕΙΡΑΙΑΣ - ΑΥΤΙΣΤΙΚΩΝ</t>
  </si>
  <si>
    <t>mail@dim-eid-peiraia.att.sch.gr</t>
  </si>
  <si>
    <t>ΠΥΘΑΓΟΡΑ ΚΑΙ ΤΖΑΒΕΛΛΑ 24</t>
  </si>
  <si>
    <t>2ο ΟΛΟΗΜΕΡΟ ΝΗΠΙΑΓΩΓΕΙΟ ΚΟΡΥΔΑΛΛΟΥ</t>
  </si>
  <si>
    <t>mail@2nip-koryd.att.sch.gr</t>
  </si>
  <si>
    <t>ΧΑΡ,ΤΡΙΚΟΥΠΗ ΚΑΙ ΚΟΡΑΗ 16Β</t>
  </si>
  <si>
    <t>12ο ΔΗΜΟΤΙΚΟ ΣΧΟΛΕΙΟ ΚΟΡΥΔΑΛΛΟΥ</t>
  </si>
  <si>
    <t>mail@12dim-koryd.att.sch.gr</t>
  </si>
  <si>
    <t>15ο  ΝΗΠΙΑΓΩΓΕΙΟ ΚΟΡΥΔΑΛΛΟΣ</t>
  </si>
  <si>
    <t>mail@15nip-koryd.att.sch.gr</t>
  </si>
  <si>
    <t>ΜΕΣΟΓΕΙΩΝ ΚΑΙ ΑΓΙΟΥ ΝΙΚΟΛΑΟΥ 15</t>
  </si>
  <si>
    <t>mail@19dim-nikaias.att.sch.gr</t>
  </si>
  <si>
    <t>ΠΛΑΤΕΙΑ ΑΝΑΛΗΨΕΩΣ 1-ΝΕΑΠΟΛΗ ΝΙΚΑΙΑΣ</t>
  </si>
  <si>
    <t>mail@14dim-kerats.att.sch.gr</t>
  </si>
  <si>
    <t>ΔΕΜΕΡΤΖΗ ΚΑΙ ΠΑΛΑΜΗΔΙΟΥ</t>
  </si>
  <si>
    <t>mail@5dim-koryd.att.sch.gr</t>
  </si>
  <si>
    <t>ΣΤΑΜΑΤΟΠΟΥΛΟΥ 1 ΚΑΙ ΔΙΟΓΕΝΟΥΣ</t>
  </si>
  <si>
    <t>10ο ΔΗΜΟΤΙΚΟ ΣΧΟΛΕΙΟ ΚΟΡΥΔΑΛΛΟΥ</t>
  </si>
  <si>
    <t>mail@10dim-koryd.att.sch.gr</t>
  </si>
  <si>
    <t>ΚΑΡΑΟΛΗ-ΔΗΜΗΤΡΙΟΥ ΚΑΙ ΚΑΡΑΒΑ 62</t>
  </si>
  <si>
    <t>55ο ΟΛΟΗΜΕΡΟ ΔΗΜΟΤΙΚΟ ΣΧΟΛΕΙΟ ΠΕΙΡΑΙΑ</t>
  </si>
  <si>
    <t>mail@55dim-peiraia.att.sch.gr</t>
  </si>
  <si>
    <t>ΦΡΑΓΚΙΑΔΩΝ 57</t>
  </si>
  <si>
    <t>mail@4dim-drapets.att.sch.gr</t>
  </si>
  <si>
    <t>Μ. ΜΠΟΤΣΑΡΗ 48</t>
  </si>
  <si>
    <t>27ο ΔΗΜΟΤΙΚΟ ΣΧΟΛΕΙΟ ΝΙΚΑΙΑΣ</t>
  </si>
  <si>
    <t>mail@27dim-nikaias.att.sch.gr</t>
  </si>
  <si>
    <t>ΚΑΡΑΪΣΚΑΚΗ 66 &amp; ΘΗΒΩΝ</t>
  </si>
  <si>
    <t>mail@5dim-renti.att.sch.gr</t>
  </si>
  <si>
    <t>ΠΑΝΤΕΛΗ ΝΙΚΟΛΑΪΔΗ 21</t>
  </si>
  <si>
    <t>7ο  ΝΗΠΙΑΓΩΓΕΙΟ ΚΟΡΥΔΑΛΛΟΥ</t>
  </si>
  <si>
    <t>mail@7nip-koryd.att.sch.gr</t>
  </si>
  <si>
    <t>ΑΙΣΧΥΛΟΥ ΚΑΙ ΗΣΙΟΔΟΥ 25</t>
  </si>
  <si>
    <t>18ο ΔΗΜΟΤΙΚΟ ΣΧΟΛΕΙΟ ΚΟΡΥΔΑΛΛΟΥ</t>
  </si>
  <si>
    <t>mail@18dim-koryd.att.sch.gr</t>
  </si>
  <si>
    <t>11ο ΟΛΟΗΜΕΡΟ ΝΗΠΙΑΓΩΓΕΙΟ ΚΟΡΥΔΑΛΛΟΥ</t>
  </si>
  <si>
    <t>mail@11nip-koryd.att.sch.gr</t>
  </si>
  <si>
    <t>mail@22dim-peiraia.att.sch.gr</t>
  </si>
  <si>
    <t>Λ.ΧΑΤΖΗΚΥΡΙΑΚΟΥ 2</t>
  </si>
  <si>
    <t>9ο ΔΗΜΟΤΙΚΟ ΣΧΟΛΕΙΟ ΝΙΚΑΙΑΣ</t>
  </si>
  <si>
    <t>mail@9dim-nikaias.att.sch.gr</t>
  </si>
  <si>
    <t>mail@1dim-salam.att.sch.gr</t>
  </si>
  <si>
    <t>ΜΑΡΑΘΩΝΟΣ 78</t>
  </si>
  <si>
    <t>ΟΛΟΗΜΕΡΟ ΜΟΝΟΘΕΣΙΟ ΠΕΙΡΑΜΑΤΙΚΟ ΔΗΜΟΤΙΚΟ ΣΧΟΛΕΙΟ (ΕΝΤΑΓΜΕΝΟ ΣΤΟ ΠΑΝΕΠΙΣΤΗΜΙΟ) ΠΕΙΡΑΙΑ - ΡΑΛΛΕΙΟ</t>
  </si>
  <si>
    <t>mail@dim-peir-1th-peiraia.att.sch.gr</t>
  </si>
  <si>
    <t>50ο ΟΛΟΗΜΕΡΟ ΔΗΜΟΤΙΚΟ ΣΧΟΛΕΙΟ ΠΕΙΡΑΙΑ</t>
  </si>
  <si>
    <t>mail@50dim-peiraia.att.sch.gr</t>
  </si>
  <si>
    <t>ΠΛ. ΚΑΛΑΒΡΥΤΩΝ</t>
  </si>
  <si>
    <t>mail@44dim-peiraia.att.sch.gr</t>
  </si>
  <si>
    <t>8ο ΝΗΠΙΑΓΩΓΕΙΟ ΚΟΡΥΔΑΛΛΟΥ</t>
  </si>
  <si>
    <t>mail@8nip-koryd.att.sch.gr</t>
  </si>
  <si>
    <t>ΚΟΖΑΝΗΣ 30</t>
  </si>
  <si>
    <t>1ο ΝΗΠΙΑΓΩΓΕΙΟ ΚΕΡΑΤΣΙΝΙΟΥ</t>
  </si>
  <si>
    <t>mail@1nip-kerats.att.sch.gr</t>
  </si>
  <si>
    <t>ΣΗΣΤΟΥ 4</t>
  </si>
  <si>
    <t>ΝΗΠΙΑΓΩΓΕΙΟ ΤΡΟΙΖΗΝΑΣ</t>
  </si>
  <si>
    <t>mail@nip-troiz.att.sch.gr</t>
  </si>
  <si>
    <t>ΤΡΟΙΖΗΝΑΣ</t>
  </si>
  <si>
    <t>ΤΡΟΙΖΗΝΑ</t>
  </si>
  <si>
    <t>mail@dim-agistr.att.sch.gr</t>
  </si>
  <si>
    <t>3ο ΟΛΟΗΜΕΡΟ ΝΗΠΙΑΓΩΓΕΙΟ ΑΓΙΟΣ ΙΩΑΝΝΗ ΡΕΝΤΗ</t>
  </si>
  <si>
    <t>mail@3nip-ag-ioann.att.sch.gr</t>
  </si>
  <si>
    <t>ΑΓΙΟΣ ΙΩΑΝΝΗ ΡΕΝΤΗ</t>
  </si>
  <si>
    <t>ΑΓΙΑΣ ΑΝΝΗΣ 89</t>
  </si>
  <si>
    <t>ΔΡΥΟΠΗΣ</t>
  </si>
  <si>
    <t>ΝΗΠΙΑΓΩΓΕΙΟ ΚΑΛΛΟΝΗΣ</t>
  </si>
  <si>
    <t>mail@nip-kallon.att.sch.gr</t>
  </si>
  <si>
    <t>ΚΑΛΛΟΝΗΣ</t>
  </si>
  <si>
    <t>ΚΑΛΛΟΝΗ</t>
  </si>
  <si>
    <t>ΝΗΠΙΑΓΩΓΕΙΟ ΑΓΚΙΣΤΡΙΟΥ</t>
  </si>
  <si>
    <t>mail@nip-agkistr.att.sch.gr</t>
  </si>
  <si>
    <t>ΜΕΓΑΛΟΧΩΡΙ ΑΓΚΙΣΤΡΙΟΥ</t>
  </si>
  <si>
    <t>4ο ΝΗΠΙΑΓΩΓΕΙΟ ΚΟΡΥΔΑΛΛΟΥ</t>
  </si>
  <si>
    <t>mail@4nip-koryd.att.sch.gr</t>
  </si>
  <si>
    <t>ΥΔΡΑΣ ΚΑΙ ΚΟΛΟΚΟΤΡΩΝΗ 138</t>
  </si>
  <si>
    <t>1ο ΝΗΠΙΑΓΩΓΕΙΟ ΚΟΡΥΔΑΛΛΟΥ</t>
  </si>
  <si>
    <t>mail@1nip-koryd.att.sch.gr</t>
  </si>
  <si>
    <t>ΜΙΚΡΑΣ ΑΣΙΑΣ ΚΑΙ ΧΕΙΜΑΡΡΑΣ</t>
  </si>
  <si>
    <t>mail@dim-methan.att.sch.gr</t>
  </si>
  <si>
    <t>1ο ΕΙΔΙΚΟ ΔΗΜΟΤΙΚΟ ΣΧΟΛΕΙΟ ΚΕΡΑΤΣΙΝΙΟΥ</t>
  </si>
  <si>
    <t>mail@dim-eid-kerats.att.sch.gr</t>
  </si>
  <si>
    <t>ΑΝΔΡΕΑ ΜΙΑΟΥΛΗ 147 &amp; ΡΟΔΟΠΟΛΕΩΣ</t>
  </si>
  <si>
    <t>5ο ΝΗΠΙΑΓΩΓΕΙΟ ΚΟΡΥΔΑΛΛΟΥ</t>
  </si>
  <si>
    <t>mail@5nip-koryd.att.sch.gr</t>
  </si>
  <si>
    <t>ΘΗΣΕΙΟΥ 12</t>
  </si>
  <si>
    <t>mail@4dim-koryd.att.sch.gr</t>
  </si>
  <si>
    <t>ΜΕΣΟΓΕΙΩΝ ΚΑΙ ΑΓΙΟΥ ΝΙΚΟΛΑΟΥ</t>
  </si>
  <si>
    <t>2ο ΟΛΟΗΜΕΡΟ ΔΗΜΟΤΙΚΟ ΣΧΟΛΕΙΟ ΑΙΓΙΝΑΣ</t>
  </si>
  <si>
    <t>mail@2dim-aigin.att.sch.gr</t>
  </si>
  <si>
    <t>ΚΥΒΕΡΝΕΙΟΥ 14</t>
  </si>
  <si>
    <t>mail@dim-ag-asomat.att.sch.gr</t>
  </si>
  <si>
    <t>ΑΓΙΟΙ ΑΣΩΜΑΤΟΙ,  ΑΙΓΙΝΑΣ</t>
  </si>
  <si>
    <t>ΑΦΑΙΑΣ 200</t>
  </si>
  <si>
    <t>2ο  ΝΗΠΙΑΓΩΓΕΙΟ ΑΓ.Ι.ΡΕΝΤΗ</t>
  </si>
  <si>
    <t>mail@2nip-ag-ioann.att.sch.gr</t>
  </si>
  <si>
    <t>ΑΓ.Ι.ΡΕΝΤΗ</t>
  </si>
  <si>
    <t>ΕΛΕΥΘΕΡΙΑΣ</t>
  </si>
  <si>
    <t>ΝΗΠΙΑΓΩΓΕΙΟ ΑΓΙΟΙ ΑΣΩΜΑΤΟΙ</t>
  </si>
  <si>
    <t>mail@nip-ag-asomat.att.sch.gr</t>
  </si>
  <si>
    <t>ΑΓΙΟΙ ΑΣΩΜΑΤΟΙ</t>
  </si>
  <si>
    <t>mail@1dim-galat.att.sch.gr</t>
  </si>
  <si>
    <t>1ο ΝΗΠΙΑΓΩΓΕΙΟ ΠΟΡΟΥ</t>
  </si>
  <si>
    <t>mail@1nip-porou.att.sch.gr</t>
  </si>
  <si>
    <t>1ο  ΝΗΠΙΑΓΩΓΕΙΟ ΓΑΛΑΤΑ</t>
  </si>
  <si>
    <t>mail@1nip-galat.att.sch.gr</t>
  </si>
  <si>
    <t>28ης ΟΚΤΩΒΡΙΟΥ 16</t>
  </si>
  <si>
    <t>mail@2dim-porou.att.sch.gr</t>
  </si>
  <si>
    <t>ΠΟΡΟΣ ΑΤΤΙΚΗΣ</t>
  </si>
  <si>
    <t>ΠΕΡΔΙΚΑΣ</t>
  </si>
  <si>
    <t>ΔΗΜΟΤΙΚΟ ΣΧΟΛΕΙΟ ΠΕΡΔΙΚΑΣ ΑΙΓΙΝΑΣ</t>
  </si>
  <si>
    <t>mail@dim-perdik.att.sch.gr</t>
  </si>
  <si>
    <t>ΠΕΡΔΙΚΑ ΑΙΓΙΝΑΣ</t>
  </si>
  <si>
    <t>ΠΕΡΔΙΚΑ</t>
  </si>
  <si>
    <t>2ο Νηπιαγωγείο Πόρου</t>
  </si>
  <si>
    <t>mail@2nip-porou.att.sch.gr</t>
  </si>
  <si>
    <t>mail@1dim-ydras.att.sch.gr</t>
  </si>
  <si>
    <t>mail@43dim-peiraia.att.sch.gr</t>
  </si>
  <si>
    <t>ΚΑΛΑΜΩΝ 38</t>
  </si>
  <si>
    <t>mail@21dim-peiraia.att.sch.gr</t>
  </si>
  <si>
    <t>Λ.ΡΑΛΛΗ 99</t>
  </si>
  <si>
    <t>ΝΗΠΙΑΓΩΓΕΙΟ ΜΕΣΑΓΡΟΥ</t>
  </si>
  <si>
    <t>mail@nip-mesagr.att.sch.gr</t>
  </si>
  <si>
    <t>ΜΕΣΑΓΡΟΣ ΑΙΓΙΝΑΣ 1</t>
  </si>
  <si>
    <t>1ο ΟΛΟΗΜΕΡΟ ΝΗΠΙΑΓΩΓΕΙΟ ΑΙΓΙΝΑΣ</t>
  </si>
  <si>
    <t>mail@1nip-aigin.att.sch.gr</t>
  </si>
  <si>
    <t>ΒΑΘΕΟΣ</t>
  </si>
  <si>
    <t>ΟΛΟΗΜΕΡΟ ΔΗΜΟΤΙΚΟ ΣΧΟΛΕΙΟ ΒΑΘΕΟΣ</t>
  </si>
  <si>
    <t>mail@dim-vatheos.att.sch.gr</t>
  </si>
  <si>
    <t>ΒΑΘΥ ΑΙΓΙΝΑΣ</t>
  </si>
  <si>
    <t>ΑλΕΞΑΝΔΡΟΥ ΠΑΛΛΗ</t>
  </si>
  <si>
    <t>mail@dim-mesagr.att.sch.gr</t>
  </si>
  <si>
    <t>ΚΥΨΕΛΗΣ</t>
  </si>
  <si>
    <t>mail@dim-kypsel.att.sch.gr</t>
  </si>
  <si>
    <t>ΕΥΑΓΓΕΛΙΣΤΡΙΑΣ 1</t>
  </si>
  <si>
    <t>mail@1dim-aigin.att.sch.gr</t>
  </si>
  <si>
    <t>8ο ΔΗΜΟΤΙΚΟ ΣΧΟΛΕΙΟ ΠΕΡΑΜΑΤΟΣ "ΣΤΑΥΡΟΣ ΚΑΛΛΩΝΗΣ"</t>
  </si>
  <si>
    <t>mail@8dim-peram.att.sch.gr</t>
  </si>
  <si>
    <t>ΑΡΙΣΤΟΦΑΝΟΥΣ 34</t>
  </si>
  <si>
    <t>mail@2dim-ag-ioann.att.sch.gr</t>
  </si>
  <si>
    <t>ΣΟΛΩΝΟΣ ΚΑΙ ΕΛΕΥΘΕΡΙΑΣ</t>
  </si>
  <si>
    <t>7ο ΝΗΠΙΑΓΩΓΕΙΟ ΑΓΙΟΥ ΙΩΑΝΝΗ ΡΕΝΤΗ</t>
  </si>
  <si>
    <t>mail@7nip-ag-ioann.att.sch.gr</t>
  </si>
  <si>
    <t>13ο ΝΗΠΙΑΓΩΓΕΙΟ ΚΟΡΥΔΑΛΛΟΥ</t>
  </si>
  <si>
    <t>mail@13nip-koryd.att.sch.gr</t>
  </si>
  <si>
    <t>ΑΓ.ΓΕΩΡΓΙΟΥ 64</t>
  </si>
  <si>
    <t>ΚΑΡΑΤΖΑ</t>
  </si>
  <si>
    <t>ΝΗΠΙΑΓΩΓΕΙΟ ΚΑΡΑΤΖΑ</t>
  </si>
  <si>
    <t>mail@nip-karatz.att.sch.gr</t>
  </si>
  <si>
    <t>ΚΑΡΑΤΖΑΣ</t>
  </si>
  <si>
    <t>ΔΗΜΟΤΙΚΟ ΣΧΟΛΕΙΟ ΚΑΡΑΤΖΑ</t>
  </si>
  <si>
    <t>mail@dim-karatz.att.sch.gr</t>
  </si>
  <si>
    <t>25ο ΝΗΠΙΑΓΩΓΕΙΟ ΚΟΡΥΔΑΛΛΟΥ</t>
  </si>
  <si>
    <t>mail@25nip-koryd.att.sch.gr</t>
  </si>
  <si>
    <t>Κορυδαλλός</t>
  </si>
  <si>
    <t>Μ.ΑΣΙΑΣ ΚΑΙ ΧΕΙΜΑΡΡΑΣ</t>
  </si>
  <si>
    <t>24ο ΔΗΜΟΤΙΚΟ ΣΧΟΛΕΙΟ ΚΕΡΑΤΣΙΝΙΟΥ</t>
  </si>
  <si>
    <t>mail@24dim-kerats.att.sch.gr</t>
  </si>
  <si>
    <t>ΚΑΪΡΗ ΚΑΙ ΣΗΣΤΟΥ</t>
  </si>
  <si>
    <t>1ο ΕΙΔΙΚΟ ΔΗΜΟΤΙΚΟ ΣΧΟΛΕΙΟ ΠΕΙΡΑΙΑ</t>
  </si>
  <si>
    <t>mail@1dim-eid-peiraia.att.sch.gr</t>
  </si>
  <si>
    <t>ΛΕΒΑΔΕΙΑΣ ΚΑΙ ΚΕΧΑΓΙΑ 95 ΚΑΜΙΝΙΑ ΠΕΙΡΑΙΑΣ</t>
  </si>
  <si>
    <t>23ο ΝΗΠΙΑΓΩΓΕΙΟ ΚΟΡΥΔΑΛΛΟΥ</t>
  </si>
  <si>
    <t>mail@23nip-koryd.att.sch.gr</t>
  </si>
  <si>
    <t>ΑΤΤΑΛΕΙΑΣ 152</t>
  </si>
  <si>
    <t>1ο ΔΗΜΟΤΙΚΟ ΣΧΟΛΕΙΟ ΝΙΚΑΙΑΣ</t>
  </si>
  <si>
    <t>mail@1dim-nikaias.att.sch.gr</t>
  </si>
  <si>
    <t>ΓΡΕΒΕΝΩΝ Κ ΙΩΝΙΑΣ</t>
  </si>
  <si>
    <t>1ο ΕΙΔΙΚΟ ΝΗΠΙΑΓΩΓΕΙΟ ΚΟΡΥΔΑΛΛΟΣ</t>
  </si>
  <si>
    <t>mail@1nip-eid-koryd.att.sch.gr</t>
  </si>
  <si>
    <t>4ο ΟΛΟΗΜΕΡΟ ΔΗΜΟΤΙΚΟ ΣΧΟΛΕΙΟ ΠΕΡΑΜΑΤΟΣ</t>
  </si>
  <si>
    <t>mail@4dim-peram.att.sch.gr</t>
  </si>
  <si>
    <t>ΓΡ. ΛΑΜΠΡΑΚΗ 2</t>
  </si>
  <si>
    <t>1ο ΔΩΔΕΚΑΘΕΣΙΟ ΡΑΛΛΕΙΩΝ ΠΕΙΡΑΜΑΤΙΚΩΝ ΔΗΜΟΤΙΚΩΝ ΣΧΟΛΕΙΩΝ ΤΟΥ ΠΑΝΕΠΙΣΤΗΜΙΟΥ ΑΘΗΝΩΝ</t>
  </si>
  <si>
    <t>mail@1dim-peir-peiraia.att.sch.gr</t>
  </si>
  <si>
    <t>17ο  ΝΗΠΙΑΓΩΓΕΙΟ ΚΟΡΥΔΑΛΛΟΥ</t>
  </si>
  <si>
    <t>mail@17nip-koryd.att.sch.gr</t>
  </si>
  <si>
    <t>ΤΑΞΙΑΡΧΩΝ 25</t>
  </si>
  <si>
    <t>18ο ΝΗΠΙΑΓΩΓΕΙΟ ΠΕΙΡΑΙΑ</t>
  </si>
  <si>
    <t>mail@18nip-peiraia.att.sch.gr</t>
  </si>
  <si>
    <t>ΚΑΡΑΪΣΚΟΥ 50 ΚΑΙ ΕΥΑΓΓΕΛΙΣΤΡΙΑΣ</t>
  </si>
  <si>
    <t>6ο ΔΗΜΟΤΙΚΟ ΣΧΟΛΕΙΟ ΑΓ. Ι. ΡΕΝΤΗ</t>
  </si>
  <si>
    <t>mail@6dim-ag-ioann.att.sch.gr</t>
  </si>
  <si>
    <t>ʼγ. Ι. Ρέντης</t>
  </si>
  <si>
    <t>21ο ΝΗΠΙΑΓΩΓΕΙΟ ΚΟΡΥΔΑΛΛΟΥ</t>
  </si>
  <si>
    <t>mail@21nip-koryd.att.sch.gr</t>
  </si>
  <si>
    <t>ΑΙΣΧΥΛΟΥ 2</t>
  </si>
  <si>
    <t>mail@23dim-nikaias.att.sch.gr</t>
  </si>
  <si>
    <t>ΑΚΡΟΠΟΛΕΩΣ ΚΑΙ ΠΑΝΤΕΙΧΙΟΥ</t>
  </si>
  <si>
    <t>mail@35dim-peiraia.att.sch.gr</t>
  </si>
  <si>
    <t>42ο ΝΗΠΙΑΓΩΓΕΙΟ ΠΕΙΡΑΙΑ</t>
  </si>
  <si>
    <t>mail@42nip-peiraia.att.sch.gr</t>
  </si>
  <si>
    <t>9ο ΔΗΜΟΤΙΚΟ ΣΧΟΛΕΙΟ ΚΟΡΥΔΑΛΛΟΥ</t>
  </si>
  <si>
    <t>mail@9dim-koryd.att.sch.gr</t>
  </si>
  <si>
    <t>ΗΣΙΟΔΟΥ 25</t>
  </si>
  <si>
    <t>mail@5dim-nikaias.att.sch.gr</t>
  </si>
  <si>
    <t>ΑΜΥΡΑΔΑΚΗ ΚΑΙ ΙΩΝΙΑΣ</t>
  </si>
  <si>
    <t>9ο ΝΗΠΙΑΓΩΓΕΙΟ ΠΕΙΡΑΙΑ</t>
  </si>
  <si>
    <t>mail@9nip-peiraia.att.sch.gr</t>
  </si>
  <si>
    <t>ΔΗΜΟΤΙΚΟ ΣΧΟΛΕΙΟ ΠΑΛΟΥΚΙΩΝ ΣΑΛΑΜΙΝΑΣ</t>
  </si>
  <si>
    <t>mail@dim-palouk.att.sch.gr</t>
  </si>
  <si>
    <t>ΠΑΛΟΥΚΙΑ ΣΑΛΑΜΙΝΑΣ</t>
  </si>
  <si>
    <t>ΕΥΑΓΓΕΛΙΣΤΡΙΑΣ 29</t>
  </si>
  <si>
    <t>19ο ΝΗΠΙΑΓΩΓΕΙΟ ΚΟΡΥΔΑΛΛΟΥ</t>
  </si>
  <si>
    <t>mail@19nip-koryd.att.sch.gr</t>
  </si>
  <si>
    <t xml:space="preserve"> ΚΟΡΥΔΑΛΛΟΥ</t>
  </si>
  <si>
    <t>EΥΡΥΤΑΝΙΑΣ 2 ΚΑΙ ΗΛΕΚΤΡΑΣ  ΑΠΟΣΤΟΛΟΥ</t>
  </si>
  <si>
    <t>3ο ΟΛΟΗΜΕΡΟ ΔΗΜΟΤΙΚΟ ΣΧΟΛΕΙΟ ΠΕΡΑΜΑΤΟΣ</t>
  </si>
  <si>
    <t>mail@3dim-peram.att.sch.gr</t>
  </si>
  <si>
    <t>ΑΓ. ΝΙΚΟΛΑΟΥ 2</t>
  </si>
  <si>
    <t>mail@1dim-peiraia.att.sch.gr</t>
  </si>
  <si>
    <t>ΠΑΛΑΜΗΔΙΟΥ 28-34 - ΧΑΪΔΑΡΙΟΥ</t>
  </si>
  <si>
    <t>43ο  ΝΗΠΙΑΓΩΓΕΙΟ ΠΕΙΡΑΙΑ</t>
  </si>
  <si>
    <t>mail@43nip-peiraia.att.sch.gr</t>
  </si>
  <si>
    <t>ΣΑΝΤΑΡΟΖΑ ΚΑΙ ΜΠΛΕΣΣΑ 4</t>
  </si>
  <si>
    <t>20ό ΔΗΜΟΤΙΚΟ ΣΧΟΛΕΙΟ ΠΕΙΡΑΙΑ</t>
  </si>
  <si>
    <t>mail@20dim-peiraia.att.sch.gr</t>
  </si>
  <si>
    <t>ΖΑΝΝΗ 97</t>
  </si>
  <si>
    <t>47ο ΝΗΠΙΑΓΩΓΕΙΟ ΠΕΙΡΑΙΑ</t>
  </si>
  <si>
    <t>mail@47nip-peiraia.att.sch.gr</t>
  </si>
  <si>
    <t>13ο ΟΛΟΗΜΕΡΟ ΔΗΜΟΤΙΚΟ ΣΧΟΛΕΙΟ ΚΕΡΑΤΣΙΝΙΟΥ</t>
  </si>
  <si>
    <t>mail@13dim-kerats.att.sch.gr</t>
  </si>
  <si>
    <t>ΠΑΛΑΙΟΛΟΓΟΥ ΚΑΙ ΒΟΣΠΟΡΟΥ</t>
  </si>
  <si>
    <t>mail@36dim-peiraia.att.sch.gr</t>
  </si>
  <si>
    <t>2ο ΔΗΜΟΤΙΚΟ ΣΧΟΛΕΙΟ ΝΙΚΑΙΑΣ</t>
  </si>
  <si>
    <t>mail@2dim-nikaias.att.sch.gr</t>
  </si>
  <si>
    <t>Π. ΡΑΛΛΗ ΚΑΙ ΚΥΠΡΟΥ</t>
  </si>
  <si>
    <t>3ο ΟΛΟΗΜΕΡΟ ΔΗΜΟΤΙΚΟ ΣΧΟΛΕΙΟ ΝΙΚΑΙΑΣ</t>
  </si>
  <si>
    <t>mail@3dim-nikaias.att.sch.gr</t>
  </si>
  <si>
    <t>ΠΛΑΤΕΙΑ ΑΓΙΟΥ ΓΕΩΡΓΙΟΥ (ΡΑΙΔΕΣΤΟΥ ΚΑΙ ΓΡΕΒΕΝΩΝ)</t>
  </si>
  <si>
    <t>4ο ΔΗΜΟΤΙΚΟ ΣΧΟΛΕΙΟ ΝΙΚΑΙΑΣ</t>
  </si>
  <si>
    <t>mail@4dim-nikaias.att.sch.gr</t>
  </si>
  <si>
    <t>ΚΑΙΣΑΡΕΙΑΣ 52 ΚΑΙ ΒΟΣΠΟΡΟΥ</t>
  </si>
  <si>
    <t>mail@6dim-nikaias.att.sch.gr</t>
  </si>
  <si>
    <t>ΡΑΙΔΕΣΤΟΥ-ΒΟΣΠΟΡΟΥ</t>
  </si>
  <si>
    <t>mail@8dim-nikaias.att.sch.gr</t>
  </si>
  <si>
    <t>ΑΡΜΕΝΙΩΝ  ΠΡΟΣΚΟΠΩΝ 11</t>
  </si>
  <si>
    <t>10ο ΟΛΟΗΜΕΡΟ ΔΗΜΟΤΙΚΟ ΣΧΟΛΕΙΟ ΝΙΚΑΙΑΣ</t>
  </si>
  <si>
    <t>mail@10dim-nikaias.att.sch.gr</t>
  </si>
  <si>
    <t>ΣΗΣΤΟΥ 7-9</t>
  </si>
  <si>
    <t>11ο ΔΗΜΟΤΙΚΟ ΣΧΟΛΕΙΟ ΝΙΚΑΙΑΣ</t>
  </si>
  <si>
    <t>mail@11dim-nikaias.att.sch.gr</t>
  </si>
  <si>
    <t>Π. ΡΑΛΛΗ 432</t>
  </si>
  <si>
    <t>mail@14dim-nikaias.att.sch.gr</t>
  </si>
  <si>
    <t>ΝΕΟ ΦΑΛΗΡΟ-ΠΕΙΡΑΙΑΣ</t>
  </si>
  <si>
    <t>8ο ΟΛΟΗΜΕΡΟ ΔΗΜΟΤΙΚΟ ΣΧΟΛΕΙΟ ΠΕΙΡΑΙΑ</t>
  </si>
  <si>
    <t>mail@8dim-peiraia.att.sch.gr</t>
  </si>
  <si>
    <t>ΡΟΥΜΕΛΗΣ 70</t>
  </si>
  <si>
    <t>13ο  ΔΗΜΟΤΙΚΟ ΣΧΟΛΕΙΟ ΠΕΙΡΑΙΑ</t>
  </si>
  <si>
    <t>mail@13dim-peiraia.att.sch.gr</t>
  </si>
  <si>
    <t>ΚΩΠΑΪΔΟΣ 32</t>
  </si>
  <si>
    <t>mail@14dim-peiraia.att.sch.gr</t>
  </si>
  <si>
    <t>4ο ΝΗΠΙΑΓΩΓΕΙΟ ΑΓ Ι. ΡΕΝΤΗ</t>
  </si>
  <si>
    <t>mail@4nip-ag-ioann.att.sch.gr</t>
  </si>
  <si>
    <t>ΑΓ Ι. ΡΕΝΤΗ</t>
  </si>
  <si>
    <t>ΝΑΞΟΥ - Μ.ΑΛΕΞΑΝΔΡΟΥ</t>
  </si>
  <si>
    <t>ΝΗΠΙΑΓΩΓΕΙΟ ΑΙΑΝΤΕΙΟΥ</t>
  </si>
  <si>
    <t>mail@nip-aiant.att.sch.gr</t>
  </si>
  <si>
    <t>Λ.ΑΙΑΝΤΕΙΟΥ 60</t>
  </si>
  <si>
    <t>mail@15dim-nikaias.att.sch.gr</t>
  </si>
  <si>
    <t>ΑΚΡΟΠΟΛΕΩΣ 77</t>
  </si>
  <si>
    <t>13ο ΔΗΜΟΤΙΚΟ ΣΧΟΛΕΙΟ ΚΟΡΥΔΑΛΛΟΥ</t>
  </si>
  <si>
    <t>mail@13dim-koryd.att.sch.gr</t>
  </si>
  <si>
    <t>ΚΑΥΚΑΣΟΥ ΚΑΙ ΛΗΜΝΟΥ</t>
  </si>
  <si>
    <t>ΝΗΠΙΑΓΩΓΕΙΟ ΚΑΚΗ ΒΙΓΛΑ</t>
  </si>
  <si>
    <t>mail@nip-k-viglas.att.sch.gr</t>
  </si>
  <si>
    <t>ΚΑΚΗ ΒΙΓΛΑ</t>
  </si>
  <si>
    <t>Λ. ΚΑΚΗ ΒΙΓΛΑΣ 197</t>
  </si>
  <si>
    <t>ΝΗΠΙΑΓΩΓΕΙΟ ΚΑΜΑΤΕΡΟ ΣΑΛΑΜΙΝΑΣ</t>
  </si>
  <si>
    <t>mail@nip-kamat.att.sch.gr</t>
  </si>
  <si>
    <t>ΚΑΜΑΤΕΡΟ ΣΑΛΑΜΙΝΑΣ</t>
  </si>
  <si>
    <t>ΠΑΡΟΔΟΣ Λ. ΔΗΜΟΚΡΑΤΙΑΣ 64</t>
  </si>
  <si>
    <t>mail@15dim-peiraia.att.sch.gr</t>
  </si>
  <si>
    <t>ΔΗΜΗΤΡΙΟΥ ΜΟΥΤΣΟΠΟΥΛΟΥ - ΧΡΥΣΟΣΤΟΜΟΥ ΣΜΥΡΝΗΣ 26</t>
  </si>
  <si>
    <t>ΝΗΠΙΑΓΩΓΕΙΟ ΒΑΣΙΛΙΚΩΝ ΣΑΛΑΜΙΝΑΣ</t>
  </si>
  <si>
    <t>mail@nip-vasil.att.sch.gr</t>
  </si>
  <si>
    <t>ΒΑΣΙΛΙΚΑ ΣΑΛΑΜΙΝΑΣ</t>
  </si>
  <si>
    <t>ΠΑΡΑΛΙΑ ΒΑΣΙΛΙΚΩΝ &amp; ΔΡΑΜΑΣ</t>
  </si>
  <si>
    <t>6ο ΟΛΟΗΜΕΡΟ ΔΗΜΟΤΙΚΟ ΣΧΟΛΕΙΟ ΚΕΡΑΤΣΙΝΙΟΥ</t>
  </si>
  <si>
    <t>mail@6dim-kerats.att.sch.gr</t>
  </si>
  <si>
    <t>ΜΠΕΡΤΟΥ ΚΑΙ ΜΠΑΛΗ</t>
  </si>
  <si>
    <t>ΝΗΠΙΑΓΩΓΕΙΟ ΠΑΛΟΥΚΙΩΝ</t>
  </si>
  <si>
    <t>mail@nip-palouk.att.sch.gr</t>
  </si>
  <si>
    <t>ΠΑΛΟΥΚΙΑ</t>
  </si>
  <si>
    <t>ΛΕΩΝΙΔΙΟΥ 5</t>
  </si>
  <si>
    <t>ΝΗΠΙΑΓΩΓΕΙΟ ΑΜΠΕΛΑΚΙΩΝ ΣΑΛΑΜΙΝΑΣ</t>
  </si>
  <si>
    <t>mail@nip-ampel.att.sch.gr</t>
  </si>
  <si>
    <t>ΤΖΑΒΕΛΛΑ 2</t>
  </si>
  <si>
    <t>ΔΗΜΟΤΙΚΟ ΣΧΟΛΕΙΟ ΤΡΟΙΖΗΝΑΣ</t>
  </si>
  <si>
    <t>mail@dim-troiz.att.sch.gr</t>
  </si>
  <si>
    <t>mail@1dim-porou.att.sch.gr</t>
  </si>
  <si>
    <t>ΝΙΚΗΦΟΡΟΥ ΠΑΜΠΟΥΚΗ 3</t>
  </si>
  <si>
    <t>17ο ΔΗΜΟΤΙΚΟ ΣΧΟΛΕΙΟ ΝΙΚΑΙΑΣ</t>
  </si>
  <si>
    <t>mail@17dim-nikaias.att.sch.gr</t>
  </si>
  <si>
    <t>mail@17dim-peiraia.att.sch.gr</t>
  </si>
  <si>
    <t>ΘΗΡΑΣ ΚΑΙ ΖΑΒΟΓΙΑΝΝΗ</t>
  </si>
  <si>
    <t>18ο ΔΗΜΟΤΙΚΟ ΣΧΟΛΕΙΟ ΝΙΚΑΙΑΣ</t>
  </si>
  <si>
    <t>mail@18dim-nikaias.att.sch.gr</t>
  </si>
  <si>
    <t>ΑΙΟΛΟΥ 15</t>
  </si>
  <si>
    <t>mail@18dim-peiraia.att.sch.gr</t>
  </si>
  <si>
    <t>ΒΟΥΡΒΟΥΛΗ 1 &amp; ΘΗΒΩΝ</t>
  </si>
  <si>
    <t>20ο ΔΗΜΟΤΙΚΟ ΣΧΟΛΕΙΟ ΝΙΚΑΙΑΣ</t>
  </si>
  <si>
    <t>mail@20dim-nikaias.att.sch.gr</t>
  </si>
  <si>
    <t>Nίκαια</t>
  </si>
  <si>
    <t>ΒΟΥΛΓΑΡΟΚΤΟΝΟΥ ΤΕΡΜΑ</t>
  </si>
  <si>
    <t>mail@25dim-nikaias.att.sch.gr</t>
  </si>
  <si>
    <t>Νίκαια</t>
  </si>
  <si>
    <t>ΤΕΡΜΑ ΒΟΥΛΓΑΡΟΚΤΟΝΟΥ</t>
  </si>
  <si>
    <t>47ο ΟΛΟΗΜΕΡΟ ΔΗΜΟΤΙΚΟ ΣΧΟΛΕΙΟ ΠΕΙΡΑΙΑ</t>
  </si>
  <si>
    <t>mail@47dim-peiraia.att.sch.gr</t>
  </si>
  <si>
    <t>ΧΙΟΥ 69 ΚΑΙ ΝΑΞΟΥ</t>
  </si>
  <si>
    <t>ΔΗΜΟΤΙΚΟ ΣΧΟΛΕΙΟ ΦΟΙΝΙΚΑ ΣΑΛΑΜΙΝΑΣ</t>
  </si>
  <si>
    <t>mail@dim-foinik.att.sch.gr</t>
  </si>
  <si>
    <t xml:space="preserve"> ΣΑΛΑΜΙΝΑ</t>
  </si>
  <si>
    <t>ΧΡΥΣΟΣΤΟΜΟΥ ΣΜΥΡΝΗΣ 9</t>
  </si>
  <si>
    <t>53ο ΔΗΜΟΤΙΚΟ ΣΧΟΛΕΙΟ ΠΕΙΡΑΙΑ</t>
  </si>
  <si>
    <t>mail@53dim-peiraia.att.sch.gr</t>
  </si>
  <si>
    <t>ΝΑΞΟΥ 64</t>
  </si>
  <si>
    <t>ΣΕΛΗΝΙΩΝ</t>
  </si>
  <si>
    <t>ΟΛΟΗΜΕΡΟ ΔΗΜΟΤΙΚΟ ΣΧΟΛΕΙΟ ΣΕΛΗΝΙΩΝ ΣΑΛΑΜΙΝΑΣ</t>
  </si>
  <si>
    <t>mail@dim-selin.att.sch.gr</t>
  </si>
  <si>
    <t>ΣΕΛΗΝΙΑ ΣΑΛΑΜΙΝΑΣ</t>
  </si>
  <si>
    <t>ΝΙΚΗΣ 2</t>
  </si>
  <si>
    <t>8ο  ΔΗΜΟΤΙΚΟ ΣΧΟΛΕΙΟ ΚΕΡΑΤΣΙΝΙΟΥ</t>
  </si>
  <si>
    <t>mail@8dim-kerats.att.sch.gr</t>
  </si>
  <si>
    <t>ΚΟΜΝΗΝΩΝ 42</t>
  </si>
  <si>
    <t>ΟΛΟΗΜΕΡΟ ΔΗΜΟΤΙΚΟ ΣΧΟΛΕΙΟ ΒΑΣΙΛΙΚΩΝ ΣΑΛΑΜΙΝΑΣ</t>
  </si>
  <si>
    <t>mail@dim-vasil.att.sch.gr</t>
  </si>
  <si>
    <t>Βασιλικά</t>
  </si>
  <si>
    <t>ΠΑΡΑΛΙΑ ΒΑΣΙΛΙΚΩΝ ΚΑΙ ΔΡΑΜΑΣ</t>
  </si>
  <si>
    <t>5ο ΔΗΜΟΤΙΚΟ ΣΧΟΛΕΙΟ ΚΕΡΑΤΣΙΝΙΟΥ</t>
  </si>
  <si>
    <t>mail@5dim-kerats.att.sch.gr</t>
  </si>
  <si>
    <t>2ο ΝΗΠΙΑΓΩΓΕΙΟ ΣΠΕΤΣΩΝ</t>
  </si>
  <si>
    <t>mail@2nip-spets.att.sch.gr</t>
  </si>
  <si>
    <t>mail@4dim-kerats.att.sch.gr</t>
  </si>
  <si>
    <t>mail@27dim-peiraia.att.sch.gr</t>
  </si>
  <si>
    <t>ΑΓΧΙΑΛΟΥ 175</t>
  </si>
  <si>
    <t>3ο ΔΗΜΟΤΙΚΟ ΣΧΟΛΕΙΟ ΚΕΡΑΤΣΙΝΙΟΥ</t>
  </si>
  <si>
    <t>mail@3dim-kerats.att.sch.gr</t>
  </si>
  <si>
    <t>ΠΕΡΙΑΝΔΡΟΥ 2</t>
  </si>
  <si>
    <t>ΔΗΜΟΤΙΚΟ ΣΧΟΛΕΙΟ ΚΑΛΛΟΝΗΣ</t>
  </si>
  <si>
    <t>mail@dim-kallon.att.sch.gr</t>
  </si>
  <si>
    <t>10ο ΔΗΜΟΤΙΚΟ ΣΧΟΛΕΙΟ ΚΕΡΑΤΣΙΝΙΟΥ</t>
  </si>
  <si>
    <t>mail@10dim-kerats.att.sch.gr</t>
  </si>
  <si>
    <t>11ο ΔΗΜΟΤΙΚΟ ΣΧΟΛΕΙΟ ΚΕΡΑΤΣΙΝΙΟΥ</t>
  </si>
  <si>
    <t>mail@11dim-kerats.att.sch.gr</t>
  </si>
  <si>
    <t>ΧΗΛΗΣ ΚΑΙ  ΔΙΟΓΕΝΟΥΣ</t>
  </si>
  <si>
    <t>20ο ΔΗΜΟΤΙΚΟ ΣΧΟΛΕΙΟ ΚΕΡΑΤΣΙΝΙΟΥ</t>
  </si>
  <si>
    <t>mail@20dim-kerats.att.sch.gr</t>
  </si>
  <si>
    <t>25ΗΣ ΜΑΡΤΙΟΥ 206-208</t>
  </si>
  <si>
    <t>18ο ΟΛΟΗΜΕΡΟ ΔΗΜΟΤΙΚΟ ΣΧΟΛΕΙΟ ΚΕΡΑΤΣΙΝΙΟΥ</t>
  </si>
  <si>
    <t>mail@18dim-kerats.att.sch.gr</t>
  </si>
  <si>
    <t>ΣΗΣΤΟΥ-ΚΑΪΡΗ 11-13</t>
  </si>
  <si>
    <t>3/θ ΕΙΔΙΚΟ ΔΗΜΟΤΙΚΟ ΣΧΟΛΕΙΟ ΠΕΡΑΜΑΤΟΣ</t>
  </si>
  <si>
    <t>mail@dim-eid-peram.att.sch.gr</t>
  </si>
  <si>
    <t>mail@12dim-kerats.att.sch.gr</t>
  </si>
  <si>
    <t>Δ. ΓΛΗΝΟΥ</t>
  </si>
  <si>
    <t>23ο ΔΗΜΟΤΙΚΟ ΣΧΟΛΕΙΟ ΚΕΡΑΤΣΙΝΙΟΥ</t>
  </si>
  <si>
    <t>mail@23dim-kerats.att.sch.gr</t>
  </si>
  <si>
    <t>Μ.ΚΑΤΡΑΚΗ 66</t>
  </si>
  <si>
    <t>3ο  ΝΗΠΙΑΓΩΓΕΙΟ ΚΟΡΥΔΑΛΛΟΥ</t>
  </si>
  <si>
    <t>mail@3nip-koryd.att.sch.gr</t>
  </si>
  <si>
    <t>mail@1dim-kerats.att.sch.gr</t>
  </si>
  <si>
    <t>ΣΜΥΡΝΗΣ   &amp;   ΖΑΠΠΑ 22</t>
  </si>
  <si>
    <t>2ο ΝΗΠΙΑΓΩΓΕΙΟ ΑΙΓΙΝΑΣ</t>
  </si>
  <si>
    <t>mail@2nip-aigin.att.sch.gr</t>
  </si>
  <si>
    <t>ΠΑΝΑΓΙΩΤΗ ΚΑΙ ΑΡΤΕΜΙΔΟΣ ΚΑΠΠΟΥ</t>
  </si>
  <si>
    <t>33ο ΔΗΜΟΤΙΚΟ ΣΧΟΛΕΙΟ ΠΕΙΡΑΙΑ</t>
  </si>
  <si>
    <t>mail@33dim-peiraia.att.sch.gr</t>
  </si>
  <si>
    <t>Α.ΘΕΟΧΑΡΗ &amp; ΙΑΣΩΝΟΣ</t>
  </si>
  <si>
    <t>4ο ΔΗΜΟΤΙΚΟ ΣΧΟΛΕΙΟ ΣΑΛΑΜΙΝΑΣ</t>
  </si>
  <si>
    <t>mail@4dim-salam.att.sch.gr</t>
  </si>
  <si>
    <t>ΘΕΜΙΔΟΣ 119</t>
  </si>
  <si>
    <t>1ο ΟΛΟΗΜΕΡΟ ΔΗΜΟΤΙΚΟ ΣΧΟΛΕΙΟ ΠΕΡΑΜΑΤΟΣ - ΕΥΡΙΠΙΔΗΣ</t>
  </si>
  <si>
    <t>mail@1dim-peram.att.sch.gr</t>
  </si>
  <si>
    <t>Πέραμα</t>
  </si>
  <si>
    <t>ΚΑΡΑΟΛΗ - ΔΗΜΗΤΡΙΟΥ 25</t>
  </si>
  <si>
    <t>mail@5dim-salam.att.sch.gr</t>
  </si>
  <si>
    <t>ΕΥΡΙΠΙΔΟΥ  60</t>
  </si>
  <si>
    <t>ΕΙΔΙΚΟ ΔΗΜΟΤΙΚΟ ΣΧΟΛΕΙΟ ΣΑΛΑΜΙΝΑ - ΕΙΔΙΚΟ ΔΗΜΟΤΙΚΟ ΣΧΟΛΕΙΟ ΣΑΛΑΜΙΝΑΣ</t>
  </si>
  <si>
    <t>mail@dim-eid-salam.att.sch.gr</t>
  </si>
  <si>
    <t>ΠΑΛΟΥΚΙΑ ΣΑΛΑΜΙΝΑ</t>
  </si>
  <si>
    <t>ΚΙΛΚΙΣ 1 &amp; Λ. ΣΑΛΑΜΙΝΑΣ 19</t>
  </si>
  <si>
    <t>7ο ΔΗΜΟΤΙΚΟ ΣΧΟΛΕΙΟ ΚΕΡΑΤΣΙΝΙΟΥ</t>
  </si>
  <si>
    <t>mail@7dim-kerats.att.sch.gr</t>
  </si>
  <si>
    <t>ΚΑΙΣΑΡΕΙΑΣ ΚΑΙ ΚΟΥΝΤΟΥΡΙΩΤΟΥ</t>
  </si>
  <si>
    <t>mail@dim-spets.att.sch.gr</t>
  </si>
  <si>
    <t>1ο ΝΗΠΙΑΓΩΓΕΙΟ ΣΠΕΤΣΩΝ</t>
  </si>
  <si>
    <t>mail@1nip-spets.att.sch.gr</t>
  </si>
  <si>
    <t>ΝΗΠΙΑΓΩΓΕΙΟ ΜΕΘΑΝΩΝ</t>
  </si>
  <si>
    <t>mail@nip-methan.att.sch.gr</t>
  </si>
  <si>
    <t>15ο  ΔΗΜΟΤΙΚΟ ΣΧΟΛΕΙΟ ΚΕΡΑΤΣΙΝΙΟΥ</t>
  </si>
  <si>
    <t>mail@15dim-kerats.att.sch.gr</t>
  </si>
  <si>
    <t xml:space="preserve">  ΚΕΡΑΤΣΙΝΙ</t>
  </si>
  <si>
    <t>ΡΗΓΑ ΦΕΡΑΙΟΥ ΚΑΙ ΣΑΛΑΜΙΝΑΣ</t>
  </si>
  <si>
    <t>2ο ΔΗΜΟΤΙΚΟ ΣΧΟΛΕΙΟ ΥΔΡΑΣ</t>
  </si>
  <si>
    <t>mail@2dim-ydras.att.sch.gr</t>
  </si>
  <si>
    <t>1ο ΝΗΠΙΑΓΩΓΕΙΟ ΥΔΡΑΣ</t>
  </si>
  <si>
    <t>mail@1nip-ydras.att.sch.gr</t>
  </si>
  <si>
    <t>2ο ΝΗΠΙΑΓΩΓΕΙΟ ΥΔΡΑΣ</t>
  </si>
  <si>
    <t>mail@2nip-ydras.att.sch.gr</t>
  </si>
  <si>
    <t>mail@5dim-peiraia.att.sch.gr</t>
  </si>
  <si>
    <t>ΑΝΤ Π. ΒΛΑΧΑΚΟΥ 99</t>
  </si>
  <si>
    <t>1ο ΝΗΠΙΑΓΩΓΕΙΟ ΝΕΟΥ ΦΑΛΗΡΟΥ</t>
  </si>
  <si>
    <t>mail@1nip-n-falir.att.sch.gr</t>
  </si>
  <si>
    <t>ΕΛΕΥΘΕΡΙΟΥ ΒΕΝΙΖΕΛΟΥ 3</t>
  </si>
  <si>
    <t>mail@dim-n-ikon.att.sch.gr</t>
  </si>
  <si>
    <t>ΝΕΟ  ΙΚΟΝΙΟ ΠΕΡΑΜΑΤΟΣ</t>
  </si>
  <si>
    <t>ΝΙΚΗΣ 61α</t>
  </si>
  <si>
    <t>46ο ΔΗΜΟΤΙΚΟ ΣΧΟΛΕΙΟ ΠΕΙΡΑΙΑ</t>
  </si>
  <si>
    <t>mail@46dim-peiraia.att.sch.gr</t>
  </si>
  <si>
    <t>ΚΑΠΕΤΑΝ ΓΕΡΜΑ 51</t>
  </si>
  <si>
    <t>2ο ΔΗΜΟΤΙΚΟ ΣΧΟΛΕΙΟ ΝΕΟΥ ΦΑΛΗΡΟΥ</t>
  </si>
  <si>
    <t>mail@2dim-n-falir.att.sch.gr</t>
  </si>
  <si>
    <t>mail@30dim-peiraia.att.sch.gr</t>
  </si>
  <si>
    <t>ΚΑΠ.ΓΕΡΜΑ. 123</t>
  </si>
  <si>
    <t>26ο ΔΗΜΟΤΙΚΟ ΣΧΟΛΕΙΟ ΠΕΙΡΑΙΑ</t>
  </si>
  <si>
    <t>mail@26dim-peiraia.att.sch.gr</t>
  </si>
  <si>
    <t>mail@41dim-peiraia.att.sch.gr</t>
  </si>
  <si>
    <t>ΧΑΛΚΙΔΟΣ 2 &amp; ΤΕΓΕΑΣ</t>
  </si>
  <si>
    <t>ΔΗΜΟΤΙΚΟ ΣΧΟΛΕΙΟ ΑΙΑΝΤΕΙΟΥ ΣΑΛΑΜΙΝΑΣ</t>
  </si>
  <si>
    <t>mail@dim-aiant.att.sch.gr</t>
  </si>
  <si>
    <t>ΑΙΑΝΤΕΙΟ ΣΑΛΑΜΙΝΑΣ</t>
  </si>
  <si>
    <t>ΒΑΣ. ΓΕΩΡΓΙΟΥ ΚΑΙ ΜΥΤΙΛΗΝΗΣ 1</t>
  </si>
  <si>
    <t>15ο ΝΗΠΙΑΓΩΓΕΙΟ ΠΕΙΡΑΙΑ</t>
  </si>
  <si>
    <t>mail@15nip-peiraia.att.sch.gr</t>
  </si>
  <si>
    <t>ΛΟΥΚΑ ΡΑΛΛΗ 99</t>
  </si>
  <si>
    <t>11ο ΕΝΙΑΙΟΥ ΤΥΠΟΥ ΟΛΟΗΜΕΡΟ ΔΗΜΟΤΙΚΟ ΣΧΟΛΕΙΟ ΚΟΡΥΔΑΛΛΟΥ</t>
  </si>
  <si>
    <t>mail@11dim-koryd.att.sch.gr</t>
  </si>
  <si>
    <t>9ο ΟΛΟΗΜΕΡΟ ΔΗΜΟΤΙΚΟ ΣΧΟΛΕΙΟ ΠΕΙΡΑΙΑ</t>
  </si>
  <si>
    <t>mail@9dim-peiraia.att.sch.gr</t>
  </si>
  <si>
    <t>mail@6dim-peiraia.att.sch.gr</t>
  </si>
  <si>
    <t>ΠΟΤΑΜΟΥ</t>
  </si>
  <si>
    <t>6/Θ ΟΛΟΗΜΕΡΟ ΔΗΜΟΤΙΚΟ ΣΧΟΛΕΙΟ ΠΟΤΑΜΟΥ ΚΥΘΗΡΩΝ</t>
  </si>
  <si>
    <t>mail@dim-potam.att.sch.gr</t>
  </si>
  <si>
    <t>ΠΟΤΑΜΟΣ</t>
  </si>
  <si>
    <t>ΠΟΤΑΜΟΣ ΚΥΘΗΡΩΝ</t>
  </si>
  <si>
    <t>mail@dim-kythir.att.sch.gr</t>
  </si>
  <si>
    <t>Κύθηρα,</t>
  </si>
  <si>
    <t>ΟΛΟΗΜΕΡΟ ΝΗΠΙΑΓΩΓΕΙΟ ΠΟΤΑΜΟΥ ΚΥΘΗΡΩΝ</t>
  </si>
  <si>
    <t>mail@nip-potam.att.sch.gr</t>
  </si>
  <si>
    <t>ΠΟΤΑΜΟΥ ΚΥΘΗΡΩΝ</t>
  </si>
  <si>
    <t>ΑΓΙΑ ΠΕΛΑΓΙΑ ΚΥΘΗΡΩΝ</t>
  </si>
  <si>
    <t>ΛΙΒΑΔΙΟΥ</t>
  </si>
  <si>
    <t>ΟΛΟΗΜΕΡΟ ΝΗΠΙΑΓΩΓΕΙΟ ΧΩΡΑΣ ΚΥΘΗΡΩΝ</t>
  </si>
  <si>
    <t>mail@nip-kythir.att.sch.gr</t>
  </si>
  <si>
    <t>ΧΩΡΑΣ ΚΥΘΗΡΩΝ</t>
  </si>
  <si>
    <t>ΚΑΤΩ ΛΙΒΑΔΙ</t>
  </si>
  <si>
    <t>ΟΛΟΗΜΕΡΟ ΤΡΙΘΕΣΙΟ ΠΕΙΡΑΜΑΤΙΚΟ ΔΗΜΟΤΙΚΟ ΣΧΟΛΕΙΟ (ΕΝΤΑΓΜΕΝΟ ΣΤΟ ΠΑΝΕΠΙΣΤΗΜΙΟ) ΠΕΙΡΑΙΑ - ΡΑΛΛΕΙΟΣ</t>
  </si>
  <si>
    <t>mail@dim-peir-3th-peiraia.att.sch.gr</t>
  </si>
  <si>
    <t>ΝΗΠΙΑΓΩΓΕΙΟ ΦΟΙΝΙΚΑ</t>
  </si>
  <si>
    <t>mail@nip-foinik.att.sch.gr</t>
  </si>
  <si>
    <t>ΦΟΙΝΙΚΑΣ</t>
  </si>
  <si>
    <t>ΕΛΕΥΘΕΡΙΟΥ ΒΕΝΙΖΕΛΟΥ 18</t>
  </si>
  <si>
    <t>ΝΗΠΙΑΓΩΓΕΙΟ ΣΕΛΗΝΙΩΝ</t>
  </si>
  <si>
    <t>mail@nip-selin.att.sch.gr</t>
  </si>
  <si>
    <t>mail@26dim-nikaias.att.sch.gr</t>
  </si>
  <si>
    <t>ΓΡ.ΛΑΜΠΡΑΚΗ 377</t>
  </si>
  <si>
    <t>7ο ΔΗΜΟΤΙΚΟ ΣΧΟΛΕΙΟ ΝΙΚΑΙΑΣ</t>
  </si>
  <si>
    <t>MAIL@7DIM-NIKAIAS.ATT.SCH.GR</t>
  </si>
  <si>
    <t>ΘΕΣΣΑΛΙΑΣ ΚΑΙ 28ΗΣ ΟΚΤΩΒΡΙΟΥ</t>
  </si>
  <si>
    <t>2ο ΕΙΔΙΚΟ ΔΗΜΟΤΙΚΟ ΣΧΟΛΕΙΟ ΠΕΙΡΑΙΑ</t>
  </si>
  <si>
    <t>mail@2dim-eid-peiraia.att.sch.gr</t>
  </si>
  <si>
    <t>ΠΑΛΑΜΗΔΙΟΥ 28-34 &amp; ΧΑΪΔΑΡΙΟΥ</t>
  </si>
  <si>
    <t>21ο ΝΗΠΙΑΓΩΓΕΙΟ ΚΕΡΑΤΣΙΝΙΟΥ</t>
  </si>
  <si>
    <t>mail@21nip-kerats.att.sch.gr</t>
  </si>
  <si>
    <t>Α.ΜΙΑΟΥΛΗ  147</t>
  </si>
  <si>
    <t>56ο ΝΗΠΙΑΓΩΓΕΙΟ ΠΕΙΡΑΙΑ</t>
  </si>
  <si>
    <t>mail@56nip-peiraia.att.sch.gr</t>
  </si>
  <si>
    <t>ΒΟΥΡΒΟΥΛΗ 1 ΚΑΙ ΘΗΒΩΝ</t>
  </si>
  <si>
    <t>57ο ΝΗΠΙΑΓΩΓΕΙΟ ΠΕΙΡΑΙΑ</t>
  </si>
  <si>
    <t>mail@57nip-peiraia.att.sch.gr</t>
  </si>
  <si>
    <t>ΝΑΞΟΥ 77 κ΄ΠΡΟΠΟΝΤΙΔΟΣ</t>
  </si>
  <si>
    <t>22ο ΝΗΠΙΑΓΩΓΕΙΟ ΚΕΡΑΤΣΙΝΙΟΥ</t>
  </si>
  <si>
    <t>mail@22nip-kerats.att.sch.gr</t>
  </si>
  <si>
    <t>ΜΑΝΟΥ ΚΑΤΡΑΚΗ 66</t>
  </si>
  <si>
    <t>9ο ΝΗΠΙΑΓΩΓΕΙΟ ΠΕΡΑΜΑΤΟΣ</t>
  </si>
  <si>
    <t>mail@9nip-peram.att.sch.gr</t>
  </si>
  <si>
    <t>ΚΑΡΑΟΛΗ - ΔΗΜΗΤΡΙΟΥ  25</t>
  </si>
  <si>
    <t>10ο ΝΗΠΙΑΓΩΓΕΙΟ ΠΕΡΑΜΑΤΟΣ</t>
  </si>
  <si>
    <t>mail@10nip-peram.att.sch.gr</t>
  </si>
  <si>
    <t>ΠΑΠΑΔΙΑΜΑΝΤΗ  2</t>
  </si>
  <si>
    <t>ΝΗΠΙΑΓΩΓΕΙΟ ΑΛΩΝΩΝ ΑΙΓΙΝΑΣ</t>
  </si>
  <si>
    <t>mail@nip-alonon.att.sch.gr</t>
  </si>
  <si>
    <t>ΑΛΩΝΕΣ ΑΙΓΙΝΑ</t>
  </si>
  <si>
    <t>ΝΗΠΙΑΓΩΓΕΙΟ ΒΑΘΕΟΣ ΑΙΓΙΝΑΣ</t>
  </si>
  <si>
    <t>mail@nip-vath.att.sch.gr</t>
  </si>
  <si>
    <t>ΝΗΠΙΑΓΩΓΕΙΟ ΚΥΨΕΛΗΣ ΑΙΓΙΝΑΣ</t>
  </si>
  <si>
    <t>mail@nip-kypsel.att.sch.gr</t>
  </si>
  <si>
    <t>ΚΥΨΕΛΗ ΑΙΓΙΝΑΣ</t>
  </si>
  <si>
    <t>ΝΗΠΙΑΓΩΓΕΙΟ ΠΕΡΔΙΚΑΣ</t>
  </si>
  <si>
    <t>mail@nip-perdik.att.sch.gr</t>
  </si>
  <si>
    <t>ΟΛΟΗΜΕΡΟ ΔΗΜΟΤΙΚΟ ΑΓΙΟΥ ΓΕΩΡΓΙΟΥ ΤΡΟΙΖΗΝΑΣ</t>
  </si>
  <si>
    <t>mail@dim-ag-georg.att.sch.gr</t>
  </si>
  <si>
    <t>ΑΓΙΟΣ ΓΕΩΡΓΙΟΣ</t>
  </si>
  <si>
    <t>ΑΓΙΟΣ ΓΕΩΡΓΙΟΣ ΤΡΟΙΖΗΝΙΑΣ</t>
  </si>
  <si>
    <t>2ο ΔΗΜΟΤΙΚΟ ΣΧΟΛΕΙΟ ΠΕΡΑΜΑΤΟΣ</t>
  </si>
  <si>
    <t>mail@2dim-peram.att.sch.gr</t>
  </si>
  <si>
    <t>ΦΛΕΜΙΝΓΚ 127</t>
  </si>
  <si>
    <t>1ο  ΔΗΜΟΤΙΚΟ ΣΧΟΛΕΙΟ ΚΟΡΥΔΑΛΛΟΥ</t>
  </si>
  <si>
    <t>mail@1dim-koryd.att.sch.gr</t>
  </si>
  <si>
    <t>Χ.ΤΡΙΚΟΥΠΗ ΚΑΙ ΚΟΡΑΗ 16Β</t>
  </si>
  <si>
    <t>ΔΗΜΟΤΙΚΟ ΣΧΟΛΕΙΟ ΚΑΚΗΣ ΒΙΓΛΑΣ ΣΑΛΑΜΙΝΑΣ</t>
  </si>
  <si>
    <t>ΚΑΚΗΣ ΒΙΓΛΑΣ ΣΑΛΑΜΙΝΑΣ</t>
  </si>
  <si>
    <t>ΕΙΔΙΚΟ ΝΗΠΙΑΓΩΓΕΙΟ ΚΕΡΑΤΣΙΝΙΟΥ</t>
  </si>
  <si>
    <t>mail@1nip-eid-kerats.att.sch.gr</t>
  </si>
  <si>
    <t>Α.ΜΙΑΟΥΛΗ 147</t>
  </si>
  <si>
    <t>1ο ΕΙΔΙΚΟ ΝΗΠΙΑΓΩΓΕΙΟ ΔΡΑΠΕΤΣΩΝΑΣ</t>
  </si>
  <si>
    <t>mail@nip-eid-drapets.att.sch.gr</t>
  </si>
  <si>
    <t>25ο ΝΗΠΙΑΓΩΓΕΙΟ ΚΕΡΑΤΣΙΝΙΟΥ</t>
  </si>
  <si>
    <t>mail@25nip-kerats.att.sch.gr</t>
  </si>
  <si>
    <t>25ΗΣ ΜΑΡΤΙΟΥ 206</t>
  </si>
  <si>
    <t>ΑΝΤΙΚΥΘΗΡΩΝ</t>
  </si>
  <si>
    <t>ΔΗΜΟΤΙΚΟ ΣΧΟΛΕΙΟ ΑΝΤΙΚΥΘΗΡΩΝ</t>
  </si>
  <si>
    <t>mail@dim-antik.att.sch.gr</t>
  </si>
  <si>
    <t>Αντικύθηρα Αττικής</t>
  </si>
  <si>
    <t>Αντικύθηρα</t>
  </si>
  <si>
    <t>26ο ΝΗΠΙΑΓΩΓΕΙΟ ΚΕΡΑΤΣΙΝΙΟΥ</t>
  </si>
  <si>
    <t>mail@26nip-Kerats.att.sch.gr</t>
  </si>
  <si>
    <t>ΤΕΡΜΑ ΚΩΝΣΤΑΝΤΙΝΟΥΠΟΛΕΩΣ</t>
  </si>
  <si>
    <t>ΠΕΡΙΦΕΡΕΙΑΚΗ Δ/ΝΣΗ Α/ΘΜΙΑΣ ΚΑΙ Β/ΘΜΙΑΣ ΕΚΠ/ΣΗΣ ΒΟΡΕΙΟΥ ΑΙΓΑΙΟΥ</t>
  </si>
  <si>
    <t>ΛΕΣΒΟΥ</t>
  </si>
  <si>
    <t>ΜΥΤΙΛΗΝΗΣ</t>
  </si>
  <si>
    <t>Κ.Ε.Σ.Υ. ΛΕΣΒΟΥ</t>
  </si>
  <si>
    <t>kesyles@sch.gr</t>
  </si>
  <si>
    <t>ΜΥΤΙΛΗΝΗ</t>
  </si>
  <si>
    <t>ΚΑΡΑΝΤΩΝΗ 17</t>
  </si>
  <si>
    <t>ΣΑΜΟΥ</t>
  </si>
  <si>
    <t>ΑΝΑΤΟΛΙΚΗΣ ΣΑΜΟΥ</t>
  </si>
  <si>
    <t>Κ.Ε.Σ.Υ. ΣΑΜΟΥ</t>
  </si>
  <si>
    <t>kesysam@sch.gr</t>
  </si>
  <si>
    <t>ΣΑΜΟΣ</t>
  </si>
  <si>
    <t>Διοικητήριο</t>
  </si>
  <si>
    <t>ΧΙΟΥ</t>
  </si>
  <si>
    <t>ΚΕΣΥ ΧΙΟΥ</t>
  </si>
  <si>
    <t>kesychi@sch.gr</t>
  </si>
  <si>
    <t>ΧΙΟΣ</t>
  </si>
  <si>
    <t>ΡΙΖΑΡΙΟΥ &amp; ΠΑΣΠΑΤΗ</t>
  </si>
  <si>
    <t>ΛΗΜΝΟΥ</t>
  </si>
  <si>
    <t>ΜΥΡΙΝΑΣ</t>
  </si>
  <si>
    <t>ΜΥΡΙΝΑΙΩΝ</t>
  </si>
  <si>
    <t>ΚΕΣΥ ΛΗΜΝΟΥ</t>
  </si>
  <si>
    <t>mail@kesy-limnou.les.sch.gr</t>
  </si>
  <si>
    <t>Μύριμνα</t>
  </si>
  <si>
    <t>ΛΕΩΦΟΡΟΣ ΔΗΜΟΚΡΑΤΙΑΣ 34</t>
  </si>
  <si>
    <t>ΔΙΕΥΘΥΝΣΗ Δ.Ε. ΛΕΣΒΟΥ</t>
  </si>
  <si>
    <t>2ο ΗΜΕΡΗΣΙΟ ΓΥΜΝΑΣΙΟ ΜΥΤΙΛΗΝΗΣ</t>
  </si>
  <si>
    <t>mail@2gym-mytil.les.sch.gr</t>
  </si>
  <si>
    <t>ΠΙΤΤΑΚΟΥ 44</t>
  </si>
  <si>
    <t>4ο ΔΗΜΟΤΙΚΟ ΣΧΟΛΕΙΟ ΜΥΤΙΛΗΝΗΣ</t>
  </si>
  <si>
    <t>ΔΥΤΙΚΗΣ ΛΕΣΒΟΥ</t>
  </si>
  <si>
    <t>ΠΕΤΡΑΣ</t>
  </si>
  <si>
    <t>ΗΜΕΡΗΣΙΟ ΓΕΝΙΚΟ ΛΥΚΕΙΟ ΠΕΤΡΑΣ ΛΕΣΒΟΥ</t>
  </si>
  <si>
    <t>mail@lyk-petras.les.sch.gr</t>
  </si>
  <si>
    <t>ΠΕΤΡΑ</t>
  </si>
  <si>
    <t>ΠΕΤΡΑ ΛΕΣΒΟΥ 3360010</t>
  </si>
  <si>
    <t>ΠΕΤΡΑ ΛΕΣΒΟΥ</t>
  </si>
  <si>
    <t>ΔΗΜΟΤΙΚΟ ΣΧΟΛΕΙΟ ΠΕΤΡΑΣ ΛΕΣΒΟΥ</t>
  </si>
  <si>
    <t>ΑΓΙΑΣΟΥ</t>
  </si>
  <si>
    <t>ΗΜΕΡΗΣΙΟ ΓΕΝΙΚΟ ΛΥΚΕΙΟ ΑΓΙΑΣΟΥ ΛΕΣΒΟΥ</t>
  </si>
  <si>
    <t>mail@lyk-agias.les.sch.gr</t>
  </si>
  <si>
    <t>ΑΓΙΑΣΟΥ ΛΕΣΒΟΥ</t>
  </si>
  <si>
    <t>ΠΑΡΟΔΟΣ ΧΑΤΖΗΣΠΥΡΟΥ ΔΗΜΗΤΡΙΟΥ</t>
  </si>
  <si>
    <t>ΑΓΙΑΣΟΣ ΛΕΣΒΟΥ</t>
  </si>
  <si>
    <t>ΔΗΜΟΤΙΚΟ ΣΧΟΛΕΙΟ ΑΓΙΑΣΟΥ ΛΕΣΒΟΥ</t>
  </si>
  <si>
    <t>ΕΣΠΕΡΙΝΟ ΓΥΜΝΑΣΙΟ με ΛΥΚΕΙΑΚΕΣ ΤΑΞΕΙΣ ΜΥΡΙΝΑΣ</t>
  </si>
  <si>
    <t>mail@gym-esp-myrin.les.sch.gr</t>
  </si>
  <si>
    <t>ΜΥΡΙΝΑ</t>
  </si>
  <si>
    <t>ΛΕΩΦΟΡΟΣ ΔΗΜΟΚΡΑΤΙΑΣ 16</t>
  </si>
  <si>
    <t>Ε.Ε.Ε.ΕΚ. ΛΕΣΒΟΥ</t>
  </si>
  <si>
    <t>mail@eeeek.les.sch.gr</t>
  </si>
  <si>
    <t>ΛΕΣΒΟΣ</t>
  </si>
  <si>
    <t>ΣΤΡΑΤΗ ΜΥΡΙΒΗΛΗ 106</t>
  </si>
  <si>
    <t>15ο ΔΗΜΟΤΙΚΟ ΣΧΟΛΕΙΟ ΜΥΤΙΛΗΝΗΣ</t>
  </si>
  <si>
    <t>ΗΜΕΡΗΣΙΟ ΓΕΝΙΚΟ ΛΥΚΕΙΟ ΠΑΜΦΙΛΩΝ ΛΕΣΒΟΥ</t>
  </si>
  <si>
    <t>mail@lyk-pamfil.les.sch.gr</t>
  </si>
  <si>
    <t>ΠΑΜΦΙΛΑ</t>
  </si>
  <si>
    <t>ΠΑΜΦΙΛΑ ΛΕΣΒΟΥ</t>
  </si>
  <si>
    <t>ΔΗΜΟΤΙΚΟ ΣΧΟΛΕΙΟ ΠΑΜΦΙΛΩΝ ΛΕΣΒΟΥ " ΒΟΣΤΑΝΕΙΟ"</t>
  </si>
  <si>
    <t>ΑΓΙΟΥ ΕΥΣΤΡΑΤΙΟΥ</t>
  </si>
  <si>
    <t>ΗΜΕΡΗΣΙΟ ΓΥΜΝΑΣΙΟ ΑΓΙΟΥ ΕΥΣΤΡΑΤΙΟΥ ΛΕΣΒΟΥ - ΓΥΜΝΑΣΙΟ - ΛΤ ΑΓΙΟΥ ΕΥΣΤΡΑΤΙΟΥ</t>
  </si>
  <si>
    <t>mail@gym-ag-efstr.les.sch.gr</t>
  </si>
  <si>
    <t>ΑΓΙΟΥ ΕΥΣΤΡΑΤΙΟΥ ΛΕΣΒΟΥ</t>
  </si>
  <si>
    <t>ΑΓΙΟΣ ΕΥΣΤΡΑΤΙΟΣ</t>
  </si>
  <si>
    <t>ΔΗΜΟΤΙΚΟ ΣΧΟΛΕΙΟ ΑΓΙΟΥ ΕΥΣΤΡΑΤΙΟΥ</t>
  </si>
  <si>
    <t>ΓΕΡΑΣ</t>
  </si>
  <si>
    <t>ΠΑΠΠΑΔΟΥ</t>
  </si>
  <si>
    <t>1ο ΗΜΕΡΗΣΙΟ ΕΠΑΛ ΓΕΡΑΣ</t>
  </si>
  <si>
    <t>mail@1epal-geras.les.sch.gr</t>
  </si>
  <si>
    <t>ΠΑΠΑΔΟΣ ΛΕΣΒΟΥ</t>
  </si>
  <si>
    <t>ΔΗΜΟΤΙΚΟ ΣΧΟΛΕΙΟ ΠΑΠΑΔΟΥ ΛΕΣΒΟΥ</t>
  </si>
  <si>
    <t>3ο ΗΜΕΡΗΣΙΟ ΓΕΝΙΚΟ ΛΥΚΕΙΟ ΜΥΤΙΛΗΝΗΣ</t>
  </si>
  <si>
    <t>mail@3lyk-mytil.les.sch.gr</t>
  </si>
  <si>
    <t>ΕΡΕΣΟΥ - ΑΝΤΙΣΣΗΣ</t>
  </si>
  <si>
    <t>ΑΝΤΙΣΣΗΣ</t>
  </si>
  <si>
    <t>ΗΜΕΡΗΣΙΟ ΓΕΝΙΚΟ ΛΥΚΕΙΟ ΑΝΤΙΣΣΑΣ ΛΕΣΒΟΥ</t>
  </si>
  <si>
    <t>mail@lyk-antiss.les.sch.gr</t>
  </si>
  <si>
    <t>ΑΝΤΙΣΣΑ ΛΕΣΒΟΥ</t>
  </si>
  <si>
    <t>ΑΝΤΙΣΣΑ</t>
  </si>
  <si>
    <t>ΔΗΜΟΤΙΚΟ ΣΧΟΛΕΙΟ ΑΝΤΙΣΣΑΣ ΛΕΣΒΟΥ - ΤΕΡΠΑΝΔΡΕΙΟ</t>
  </si>
  <si>
    <t>ΠΛΩΜΑΡΙΟΥ</t>
  </si>
  <si>
    <t>1ο ΗΜΕΡΗΣΙΟ ΕΠΑΛ ΠΛΩΜΑΡΙΟΥ ΛΕΣΒΟΥ</t>
  </si>
  <si>
    <t>mail@1epal-plomar.les.sch.gr</t>
  </si>
  <si>
    <t>ΠΛΩΜΑΡΙ ΛΕΣΒΟΥ</t>
  </si>
  <si>
    <t>1ο ΔΗΜΟΤΙΚΟ ΣΧΟΛΕΙΟ ΠΛΩΜΑΡΙΟΥ ΛΕΣΒΟΥ</t>
  </si>
  <si>
    <t>1ο ΕΣΠΕΡΙΝΟ ΕΠΑΛ ΜΥΤΙΛΗΝΗΣ</t>
  </si>
  <si>
    <t>mail@1epal-esp-mytil.les.sch.gr</t>
  </si>
  <si>
    <t>ΣΤΡΑΤΗ ΜΥΡΙΒΗΛΗ 108</t>
  </si>
  <si>
    <t>ΜΟΥΔΡΟΥ</t>
  </si>
  <si>
    <t>ΗΜΕΡΗΣΙΟ ΓΕΝΙΚΟ ΛΥΚΕΙΟ ΜΟΥΔΡΟΥ ΛΕΣΒΟΥ - ΓΕΝΙΚΟ ΛΥΚΕΙΟ ΜΟΥΔΡΟΥ</t>
  </si>
  <si>
    <t>mail@lyk-moudr.les.sch.gr</t>
  </si>
  <si>
    <t>ΜΟΥΔΡΟΥ ΛΕΣΒΟΥ</t>
  </si>
  <si>
    <t>ΜΟΥΔΡΟΣ ΛΗΜΝΟΥ</t>
  </si>
  <si>
    <t>ΔΗΜΟΤΙΚΟ ΣΧΟΛΕΙΟ ΜΟΥΔΡΟΥ ΛΗΜΝΟΥ</t>
  </si>
  <si>
    <t>ΗΜΕΡΗΣΙΟ ΓΕΝΙΚΟ ΛΥΚΕΙΟ ΠΛΩΜΑΡΙΟΥ ΛΕΣΒΟΥ</t>
  </si>
  <si>
    <t>mail@lyk-plomar.les.sch.gr</t>
  </si>
  <si>
    <t>ΓΥΜΝΑΣΙΑΡΧΟΥ ΣΤΡΑΤΗ ΜΑΥΡΑΓΑΝΗ 20</t>
  </si>
  <si>
    <t>3ο ΔΗΜΟΤΙΚΟ ΣΧΟΛΕΙΟ ΠΛΩΜΑΡΙΟΥ ΛΕΣΒΟΥ</t>
  </si>
  <si>
    <t>1ο ΕΠΑΓΓΕΛΜΑΤΙΚΟ ΛΥΚΕΙΟ ΚΑΛΛΟΝΗΣ</t>
  </si>
  <si>
    <t>mail@epal-kallon.les.sch.gr</t>
  </si>
  <si>
    <t>Καλλονή</t>
  </si>
  <si>
    <t>Λέσβος</t>
  </si>
  <si>
    <t>ΔΗΜΟΤΙΚΟ ΣΧΟΛΕΙΟ ΚΑΛΛΟΝΗΣ ΛΕΣΒΟΥ</t>
  </si>
  <si>
    <t>4ο ΗΜΕΡΗΣΙΟ ΓΕΝΙΚΟ ΛΥΚΕΙΟ ΜΥΤΙΛΗΝΗΣ</t>
  </si>
  <si>
    <t>mail@4lyk-mytil.les.sch.gr</t>
  </si>
  <si>
    <t>5ο ΗΜΕΡΗΣΙΟ ΓΕΝΙΚΟ ΛΥΚΕΙΟ ΜΥΤΙΛΗΝΗΣ - ΒΕΝΙΑΜΙΝ Ο ΛΕΣΒΙΟΣ</t>
  </si>
  <si>
    <t>mail@5lyk-mytil.les.sch.gr</t>
  </si>
  <si>
    <t>ΣΟΥΡΑΔΑ - ΜΥΤΙΛΗΝΗ</t>
  </si>
  <si>
    <t>Γ. ΜΟΥΡΑ 10</t>
  </si>
  <si>
    <t>3ο ΔΗΜΟΤΙΚΟ ΣΧΟΛΕΙΟ ΜΥΤΙΛΗΝΗΣ</t>
  </si>
  <si>
    <t>ΓΕΝΙΚΟ ΛΥΚΕΙΟ ΜΥΡΙΝΑΣ</t>
  </si>
  <si>
    <t>mail@lyk-myrin.les.sch.gr</t>
  </si>
  <si>
    <t>1ο ΔΗΜΟΤΙΚΟ ΣΧΟΛΕΙΟ ΜΥΡΙΝΑΣ</t>
  </si>
  <si>
    <t>ΗΜΕΡΗΣΙΟ ΓΕΝΙΚΟ ΛΥΚΕΙΟ ΓΕΡΑΣ ΛΕΣΒΟΥ</t>
  </si>
  <si>
    <t>mail@lyk-geras.les.sch.gr</t>
  </si>
  <si>
    <t>ΓΕΡΑ ΛΕΣΒΟΥ</t>
  </si>
  <si>
    <t>ΠΟΛΙΧΝΙΤΟΥ</t>
  </si>
  <si>
    <t>ΗΜΕΡΗΣΙΟ ΓΕΝΙΚΟ ΛΥΚΕΙΟ ΠΟΛΙΧΝΙΤΟΥ ΛΕΣΒΟΥ</t>
  </si>
  <si>
    <t>mail@lyk-polichn.les.sch.gr</t>
  </si>
  <si>
    <t>ΠΟΛΙΧΝΙΤΟΣ ΛΕΣΒΟΥ</t>
  </si>
  <si>
    <t>ΠΟΛΙΧΝΙΤΟΣ</t>
  </si>
  <si>
    <t>ΔΗΜΟΤΙΚΟ ΣΧΟΛΕΙΟ ΠΟΛΙΧΝΙΤΟΥ ΛΕΣΒΟΥ</t>
  </si>
  <si>
    <t>1ο ΗΜΕΡΗΣΙΟ ΕΠΑΛ ΜΟΥΔΡΟΥ ΛΗΜΝΟΥ</t>
  </si>
  <si>
    <t>mail@1epal-moudr.les.sch.gr</t>
  </si>
  <si>
    <t>ΜΟΥΔΡΟΥ ΛΗΜΝΟΥ</t>
  </si>
  <si>
    <t>ΔΔ  ΜΟΥΔΡΟΥ   ΛΗΜΝΟΥ</t>
  </si>
  <si>
    <t>1ο ΗΜΕΡΗΣΙΟ ΕΠΑΛ ΜΥΡΙΝΑΣ ΛΗΜΝΟΥ</t>
  </si>
  <si>
    <t>mail@1epal-myrin.les.sch.gr</t>
  </si>
  <si>
    <t>ΜΥΡΙΝΑ ΛΗΜΝΟΥ</t>
  </si>
  <si>
    <t>ΠΡΟΤΥΠΟ ΓΕΝΙΚΟ ΛΥΚΕΙΟ ΜΥΤΙΛΗΝΗΣ ΤΟΥ ΠΑΝΕΠΙΣΤΗΜΙΟΥ ΑΙΓΑΙΟΥ</t>
  </si>
  <si>
    <t>mail@lyk-peir-mytil.les.sch.gr</t>
  </si>
  <si>
    <t>1ο ΗΜΕΡΗΣΙΟ ΓΕΝΙΚΟ ΛΥΚΕΙΟ ΚΑΛΛΟΝΗΣ ΛΕΣΒΟΥ - ΙΓΝΑΤΙΟΣ ΑΓΑΛΛΙΑΝΟΣ</t>
  </si>
  <si>
    <t>mail@lyk-kalon.les.sch.gr</t>
  </si>
  <si>
    <t>ΚΑΛΛΟΝΗ ΛΕΣΒΟΥ</t>
  </si>
  <si>
    <t>2ο ΗΜΕΡΗΣΙΟ ΓΕΝΙΚΟ ΛΥΚΕΙΟ ΜΥΤΙΛΗΝΗΣ</t>
  </si>
  <si>
    <t>mail@2lyk-mytil.les.sch.gr</t>
  </si>
  <si>
    <t>1ο ΔΗΜΟΤΙΚΟ ΣΧΟΛΕΙΟ ΜΥΤΙΛΗΝΗΣ</t>
  </si>
  <si>
    <t>ΜΑΝΤΑΜΑΔΟΥ</t>
  </si>
  <si>
    <t>ΗΜΕΡΗΣΙΟ ΓΕΝΙΚΟ ΛΥΚΕΙΟ ΜΑΝΤΑΜΑΔΟΥ ΛΕΣΒΟΥ</t>
  </si>
  <si>
    <t>mail@lyk-mantam.les.sch.gr</t>
  </si>
  <si>
    <t>ΜΑΝΤΑΜΑΔΟΥ ΛΕΣΒΟΥ</t>
  </si>
  <si>
    <t>ΜΑΝΤΑΜΑΔΟΣ-ΛΕΣΒΟΥ</t>
  </si>
  <si>
    <t>ΜΑΝΤΑΜΑΔΟΣ ΛΕΣΒΟΥ</t>
  </si>
  <si>
    <t>ΔΗΜΟΤΙΚΟ ΣΧΟΛΕΙΟ ΣΥΚΑΜΙΝΕΑΣ ΛΕΣΒΟΥ - ΣΤΡΑΤΗΣ ΜΥΡΙΒΗΛΗΣ</t>
  </si>
  <si>
    <t>ΕΥΕΡΓΕΤΟΥΛΑ</t>
  </si>
  <si>
    <t>ΙΠΠΕΙΟΥ</t>
  </si>
  <si>
    <t>ΗΜΕΡΗΣΙΟ ΓΥΜΝΑΣΙΟ ΙΠΠΕΙΟΥ ΛΕΣΒΟΥ</t>
  </si>
  <si>
    <t>mail@gym-ippeiou.les.sch.gr</t>
  </si>
  <si>
    <t>ΙΠΠΕΙΟΥ ΛΕΣΒΟΥ</t>
  </si>
  <si>
    <t>ΙΠΠΕΙΟΣ ΛΕΣΒΟΥ</t>
  </si>
  <si>
    <t>ΔΗΜΟΤΙΚΟ ΣΧΟΛΕΙΟ ΙΠΠΕΙΟΥ ΛΕΣΒΟΥ</t>
  </si>
  <si>
    <t>ΜΟΡΙΑΣ</t>
  </si>
  <si>
    <t>ΗΜΕΡΗΣΙΟ ΓΥΜΝΑΣΙΟ ΜΟΡΙΑΣ ΛΕΣΒΟΥ</t>
  </si>
  <si>
    <t>mail@gym-morias.les.sch.gr</t>
  </si>
  <si>
    <t>ΜΟΡΙΑ</t>
  </si>
  <si>
    <t>ΜΟΡΙΑ ΛΕΣΒΟΥ</t>
  </si>
  <si>
    <t>ΔΗΜΟΤΙΚΟ ΣΧΟΛΕΙΟ ΜΟΡΙΑΣ ΛΕΣΒΟΥ</t>
  </si>
  <si>
    <t>ΠΑΜΦΙΛΩΝ (ΠΑΜΦΥΛΛΩΝ)</t>
  </si>
  <si>
    <t>ΗΜΕΡΗΣΙΟ ΓΥΜΝΑΣΙΟ ΠΑΜΦΙΛΩΝ ΛΕΣΒΟΥ "ΔΗΜΗΤΡΙΟΣ Γ. ΝΙΑΝΙΑΣ"</t>
  </si>
  <si>
    <t>mail@gym-pamfil.les.sch.gr</t>
  </si>
  <si>
    <t xml:space="preserve"> ΠΑΜΦΙΛΑ ΛΕΣΒΟΥ</t>
  </si>
  <si>
    <t>1ο ΕΚ ΜΥΤΙΛΗΝΗΣ</t>
  </si>
  <si>
    <t>mail@1sek-mytil.les.sch.gr</t>
  </si>
  <si>
    <t>ΗΜΕΡΗΣΙΟ ΓΥΜΝΑΣΙΟ ΜΥΡΙΝΑΣ ΛΗΜΝΟΥ</t>
  </si>
  <si>
    <t>mail@gym-myrin.les.sch.gr</t>
  </si>
  <si>
    <t>ΜΗΤΡΟΠΟΛΕΩΣ 5 ΜΥΡΙΝΑ</t>
  </si>
  <si>
    <t>1ο ΗΜΕΡΗΣΙΟ ΓΥΜΝΑΣΙΟ ΚΑΛΛΟΝΗΣ ΛΕΣΒΟΥ - ΠΑΝΑΡΕΤΕΙΟ</t>
  </si>
  <si>
    <t>mail@gym-kallon.les.sch.gr</t>
  </si>
  <si>
    <t>ΗΜΕΡΗΣΙΟ ΓΥΜΝΑΣΙΟ ΠΟΛΙΧΝΙΤΟΥ ΛΕΣΒΟΥ</t>
  </si>
  <si>
    <t>mail@gym-polichn.les.sch.gr</t>
  </si>
  <si>
    <t>ΠΟΛΙΧΝΙΤΟΥ ΛΕΣΒΟΥ</t>
  </si>
  <si>
    <t>ΗΜΕΡΗΣΙΟ ΓΥΜΝΑΣΙΟ ΑΝΤΙΣΣΑΣ - ΔΟΥΚΑΣ ΧΑΤΖΗΓΕΩΡΓΙΟΥ</t>
  </si>
  <si>
    <t>mail@gym-antiss.les.sch.gr</t>
  </si>
  <si>
    <t>ΗΜΕΡΗΣΙΟ ΓΥΜΝΑΣΙΟ ΑΓΡΑΣ ΛΕΣΒΟΥ - ΓΥΜΝΑΣΙΟ ΜΕ ΛΥΚΕΙΑΚΕΣ ΤΑΞΕΙΣ ΑΓΡΑΣ</t>
  </si>
  <si>
    <t>mail@gym-agras.les.sch.gr</t>
  </si>
  <si>
    <t>ΑΓΡΑ ΛΕΣΒΟΥ</t>
  </si>
  <si>
    <t>ΔΗΜΟΤΙΚΟ ΣΧΟΛΕΙΟ ΑΓΡΑΣ ΛΕΣΒΟΥ</t>
  </si>
  <si>
    <t>ΕΣΠΕΡΙΝΟ ΓΥΜΝΑΣΙΟ ΜΥΤΙΛΗΝΗΣ ΜΕ ΛΥΚΕΙΑΚΕΣ ΤΑΞΕΙΣ</t>
  </si>
  <si>
    <t>mail@gym-esp-mytil.les.sch.gr</t>
  </si>
  <si>
    <t>ΕΡΜΟΥ  1</t>
  </si>
  <si>
    <t>4ο ΗΜΕΡΗΣΙΟ ΓΥΜΝΑΣΙΟ ΜΥΤΙΛΗΝΗΣ</t>
  </si>
  <si>
    <t>mail@4gym-mytil.les.sch.gr</t>
  </si>
  <si>
    <t>ΣΙΜΟΥ ΧΟΥΤΖΑΙΟΥ 18</t>
  </si>
  <si>
    <t>10ο ΔΗΜΟΤΙΚΟ ΣΧΟΛΕΙΟ ΜΥΤΙΛΗΝΗΣ</t>
  </si>
  <si>
    <t>ΦΙΛΙΑΣ</t>
  </si>
  <si>
    <t>ΗΜΕΡΗΣΙΟ ΓΥΜΝΑΣΙΟ ΦΙΛΙΑΣ ΛΕΣΒΟΥ - ΚΑΛΦΑΓΙΑΝΝΕΙΟ</t>
  </si>
  <si>
    <t>mail@gym-filias.les.sch.gr</t>
  </si>
  <si>
    <t>ΦΙΛΙΑΣ ΛΕΣΒΟΥ</t>
  </si>
  <si>
    <t>ΦΙΛΙΑ ΛΕΣΒΟΥ</t>
  </si>
  <si>
    <t>Δημοτικό Σχολείο Φίλιας Λέσβου</t>
  </si>
  <si>
    <t>ΗΜΕΡΗΣΙΟ ΓΥΜΝΑΣΙΟ ΑΓΙΑΣ ΠΑΡΑΣΚΕΥΗΣ ΛΕΣΒΟΥ</t>
  </si>
  <si>
    <t>mail@gym-ag-parask.les.sch.gr</t>
  </si>
  <si>
    <t>ΑΓΙΑ ΠΑΡΑΣΚΕΥΗ ΛΕΣΒΟΥ</t>
  </si>
  <si>
    <t>ΔΗΜΟΤΙΚΟ ΣΧΟΛΕΙΟ ΑΓΙΑΣ ΠΑΡΑΣΚΕΥΗΣ ΛΕΣΒΟΥ</t>
  </si>
  <si>
    <t>ΜΟΥΣΙΚΟ ΣΧΟΛΕΙΟ ΜΥΤΙΛΗΝΗΣ</t>
  </si>
  <si>
    <t>mail@lyk-mous-mytil.les.sch.gr</t>
  </si>
  <si>
    <t>Σ. ΠΑΡΑΣΚΕΥΑΪΔΗ-ΧΡΥΣΟΜΑΛΛΟΥΣΑ</t>
  </si>
  <si>
    <t>ΔΗΜΟΤΙΚΟ ΣΧΟΛΕΙΟ ΧΑΛΙΚΩΝ ΜΥΤΙΛΗΝΗΣ</t>
  </si>
  <si>
    <t>3ο ΗΜΕΡΗΣΙΟ ΓΥΜΝΑΣΙΟ ΜΥΤΙΛΗΝΗΣ</t>
  </si>
  <si>
    <t>mail@3gym-mytil.les.sch.gr</t>
  </si>
  <si>
    <t>ΗΜΕΡΗΣΙΟ ΓΥΜΝΑΣΙΟ ΜΑΝΤΑΜΑΔΟΥ ΛΕΣΒΟΥ - ΓΥΜΝΑΣΙΟ ΜΑΝΤΑΜΑΔΟΥ</t>
  </si>
  <si>
    <t>mail@gym-mantam.les.sch.gr</t>
  </si>
  <si>
    <t>ΜΑΝΤΑΜΑΔΟΣ</t>
  </si>
  <si>
    <t>ΔΗΜΟΤΙΚΟ ΣΧΟΛΕΙΟ ΜΑΝΤΑΜΑΔΟΥ ΛΕΣΒΟΥ- ΓΕΡΟΝΤΕΛΛΕΙΟΝ</t>
  </si>
  <si>
    <t>ΗΜΕΡΗΣΙΟ ΓΥΜΝΑΣΙΟ ΜΟΥΔΡΟΥ - ΑΡΓΥΡΙΟΣ ΜΟΣΧΙΔΗΣ</t>
  </si>
  <si>
    <t>mail@gym-moudr.les.sch.gr</t>
  </si>
  <si>
    <t>Μούδρος</t>
  </si>
  <si>
    <t>ΗΜΕΡΗΣΙΟ ΓΥΜΝΑΣΙΟ ΓΕΡΑΣ</t>
  </si>
  <si>
    <t>mail@gym-geras.les.sch.gr</t>
  </si>
  <si>
    <t>ΓΕΡΑ</t>
  </si>
  <si>
    <t>ΠΑΠΑΔΟΣ - ΛΕΣΒΟΥ</t>
  </si>
  <si>
    <t>5ο ΗΜΕΡΗΣΙΟ ΓΥΜΝΑΣΙΟ ΜΥΤΙΛΗΝΗΣ</t>
  </si>
  <si>
    <t>mail@5gym-mytil.les.sch.gr</t>
  </si>
  <si>
    <t>Σ. ΠΑΡΑΣΚΕΥΑΪΔΗ</t>
  </si>
  <si>
    <t>ΔΗΜΟΤΙΚΟ ΣΧΟΛΕΙΟ ΛΟΥΤΡΟΠΟΛΗΣ ΘΕΡΜΗΣ ΛΕΣΒΟΥ</t>
  </si>
  <si>
    <t>1ο ΠΡΟΤΥΠΟ ΓΥΜΝΑΣΙΟ ΜΥΤΙΛΗΝΗΣ</t>
  </si>
  <si>
    <t>mail@1gym-mytil.les.sch.gr</t>
  </si>
  <si>
    <t>ΝΕΑΣ ΚΟΥΤΑΛΗΣ</t>
  </si>
  <si>
    <t>ΛΙΒΑΔΟΧΩΡΙΟΥ</t>
  </si>
  <si>
    <t>1ο ΗΜΕΡΗΣΙΟ ΓΥΜΝΑΣΙΟ ΛΙΒΑΔΟΧΩΡΙΟΥ ΛΗΜΝΟΥ</t>
  </si>
  <si>
    <t>mail@gym-livad.les.sch.gr</t>
  </si>
  <si>
    <t>ΛΙΒΑΔΟΧΩΡΙ ΛΗΜΝΟΥ</t>
  </si>
  <si>
    <t>ΛΙΒΑΔΟΧΩΡΙ</t>
  </si>
  <si>
    <t>ΔΗΜΟΤΙΚΟ ΣΧΟΛΕΙΟ ΝΕΑΣ ΚΟΥΤΑΛΗΣ ΛΗΜΝΟΥ</t>
  </si>
  <si>
    <t>ΗΜΕΡΗΣΙΟ ΓΥΜΝΑΣΙΟ ΠΛΩΜΑΡΙΟΥ ΛΕΣΒΟΥ</t>
  </si>
  <si>
    <t>mail@gym-plomar.les.sch.gr</t>
  </si>
  <si>
    <t>ΣΤ.ΜΑΥΡΑΓΑΝΗ ΠΛΩΜΑΡΙ ΛΕΣΒΟΥ 20</t>
  </si>
  <si>
    <t>6ο ΗΜΕΡΗΣΙΟ ΓΥΜΝΑΣΙΟ ΜΥΤΙΛΗΝΗΣ - ΓΙΑΝΝΗΣ Κ. ΑΡΙΣΤ.ΔΕΛΗΣ</t>
  </si>
  <si>
    <t>mail@gym-peir-mytil.les.sch.gr</t>
  </si>
  <si>
    <t>ΔΙΚΕΛΗ 6</t>
  </si>
  <si>
    <t>5ο ΔΗΜΟΤΙΚΟ ΣΧΟΛΕΙΟ ΜΥΤΙΛΗΝΗΣ</t>
  </si>
  <si>
    <t>ΗΜΕΡΗΣΙΟ ΓΥΜΝΑΣΙΟ ΠΕΤΡΑΣ ΛΕΣΒΟΥ</t>
  </si>
  <si>
    <t>mail@gym-petras.les.sch.gr</t>
  </si>
  <si>
    <t>ΠΕΤΡΑΣ ΛΕΣΒΟΥ</t>
  </si>
  <si>
    <t>ΗΜΕΡΗΣΙΟ ΓΥΜΝΑΣΙΟ ΑΓΙΑΣΟΥ ΛΕΣΒΟΥ</t>
  </si>
  <si>
    <t>mail@gym-agias.les.sch.gr</t>
  </si>
  <si>
    <t>2ο ΗΜΕΡΗΣΙΟ ΕΠΑΛ ΜΥΤΙΛΗΝΗΣ</t>
  </si>
  <si>
    <t>mail@2epal-mytil.les.sch.gr</t>
  </si>
  <si>
    <t>ΕΡΕΣΟΥ</t>
  </si>
  <si>
    <t>ΗΜΕΡΗΣΙΟ ΓΥΜΝΑΣΙΟ ΕΡΕΣΟΥ - ΘΕΟΦΡΑΣΤΕΙΟ</t>
  </si>
  <si>
    <t>mail@gym-eresou.les.sch.gr</t>
  </si>
  <si>
    <t>ΕΡΕΣΟΣ</t>
  </si>
  <si>
    <t>ΔΗΜΟΤΙΚΟ ΣΧΟΛΕΙΟ ΕΡΕΣΟΥ ΛΕΣΒΟΥ - ΘΕΟΦΡΑΣΤΕΙΟ</t>
  </si>
  <si>
    <t>ΗΜΕΡΗΣΙΟ ΓΕΝΙΚΟ ΛΥΚΕΙΟ ΙΠΠΕΙΟΥ</t>
  </si>
  <si>
    <t>mail@lyk-ippeiou.les.sch.gr</t>
  </si>
  <si>
    <t>ΡΕΠΑΝΙΔΙΟΥ</t>
  </si>
  <si>
    <t>ΕΕΕΕΚ ΡΕΠΑΝΙΔΙ ΛΗΜΝΟΥ - ΕΕΕΕΚ ΛΗΜΝΟΥ</t>
  </si>
  <si>
    <t>mail@eeeek-repan.les.sch.gr</t>
  </si>
  <si>
    <t>ΡΕΠΑΝΙΔΙ ΛΗΜΝΟΥ</t>
  </si>
  <si>
    <t>ΡΕΠΑΝΙΔΙ</t>
  </si>
  <si>
    <t>ΔΗΜΟΤΙΚΟ ΣΧΟΛΕΙΟ ΚΟΝΤΟΠΟΥΛΙΟΥ ΛΗΜΝΟΥ</t>
  </si>
  <si>
    <t>1ο ΗΜΕΡΗΣΙΟ ΕΠΑΛ ΜΥΤΙΛΗΝΗΣ</t>
  </si>
  <si>
    <t>mail@1epal-mytil.les.sch.gr</t>
  </si>
  <si>
    <t>ΛΟΥΤΡΟΠΟΛΕΩΣ ΘΕΡΜΗΣ</t>
  </si>
  <si>
    <t>ΠΥΡΓΩΝ ΘΕΡΜΗΣ</t>
  </si>
  <si>
    <t>ΗΜΕΡΗΣΙΟ ΓΥΜΝΑΣΙΟ ΠΥΡΓΟΙ ΘΕΡΜΗΣ - ΓΥΜΝΑΣΙΟ ΘΕΡΜΗΣ ΛΕΣΒΟΥ</t>
  </si>
  <si>
    <t>mail@gym-loutrop.les.sch.gr</t>
  </si>
  <si>
    <t>ΠΥΡΓΟΙ ΘΕΡΜΗΣ</t>
  </si>
  <si>
    <t>ΕΝΙΑΙΟ ΕΙΔΙΚΟ ΕΠΑΓΓΕΛΜΑΤΙΚΟ ΓΥΜΝΑΣΙΟ - ΛΥΚΕΙΟ Ν. ΛΕΣΒΟΥ</t>
  </si>
  <si>
    <t>eneegylles@sch.gr</t>
  </si>
  <si>
    <t>Μυτιλήνη</t>
  </si>
  <si>
    <t>Εσπερινό ΕΠΑ.Λ. Καλλονής</t>
  </si>
  <si>
    <t>mail@epal-esp-kallon.les.sch.gr</t>
  </si>
  <si>
    <t>ΔΙΕΥΘΥΝΣΗ Δ.Ε. ΣΑΜΟΥ</t>
  </si>
  <si>
    <t>ΙΚΑΡΙΑΣ</t>
  </si>
  <si>
    <t>ΦΟΥΡΝΩΝ ΚΟΡΣΕΩΝ</t>
  </si>
  <si>
    <t>ΦΟΥΡΝΩΝ</t>
  </si>
  <si>
    <t>ΗΜΕΡΗΣΙΟ ΓΥΜΝΑΣΙΟ ΜΕ ΛΥΚΕΙΑΚΕΣ ΤΑΞΕΙΣ ΦΟΥΡΝΩΝ</t>
  </si>
  <si>
    <t>mail@gym-fourn.sam.sch.gr</t>
  </si>
  <si>
    <t xml:space="preserve">ΦΟΥΡΝΟΙ </t>
  </si>
  <si>
    <t>ΦΟΥΡΝΟΙ ΚΟΡΣΕΩΝ</t>
  </si>
  <si>
    <t>ΦΟΥΡΝΟΙ</t>
  </si>
  <si>
    <t>ΑΓΙΟΥ ΚΗΡΥΚΟΥ ΙΚΑΡΙΑΣ</t>
  </si>
  <si>
    <t>ΔΗΜΟΤΙΚΟ ΣΧΟΛΕΙΟ ΦΟΥΡΝΩΝ ΚΟΡΣΕΩΝ</t>
  </si>
  <si>
    <t>ΡΑΧΩΝ</t>
  </si>
  <si>
    <t>ΗΜΕΡΗΣΙΟ ΓΥΜΝΑΣΙΟ ΚΑΙ ΛΥΚΕΙΑΚΕΣ ΤΑΞΕΙΣ ΡΑΧΩΝ ΙΚΑΡΙΑΣ</t>
  </si>
  <si>
    <t>mail@gym-rachon.sam.sch.gr</t>
  </si>
  <si>
    <t>ΡΑΧΕΣ ΙΚΑΡΙΑΣ</t>
  </si>
  <si>
    <t>ΧΡΙΣΤΟΣ ΡΑΧΩΝ ΙΚΑΡΙΑΣ</t>
  </si>
  <si>
    <t>1ο ΔΗΜΟΤΙΚΟ ΣΧΟΛΕΙΟ ΡΑΧΕΣ ΙΚΑΡΙΑΣ</t>
  </si>
  <si>
    <t>ΑΓΙΟΥ ΚΗΡΥΚΟΥ</t>
  </si>
  <si>
    <t>1ο ΗΜΕΡΗΣΙΟ ΓΕΝΙΚΟ ΛΥΚΕΙΟ ΑΓΙΟΥ ΚΗΡΥΚΟΥ ΙΚΑΡΙΑΣ</t>
  </si>
  <si>
    <t>mail@lyk-ag-kiryk.sam.sch.gr</t>
  </si>
  <si>
    <t>ΑΓΙΟΣ ΚΗΡΥΚΟΣ- ΙΚΑΡΙΑ</t>
  </si>
  <si>
    <t>1ο ΔΗΜΟΤΙΚΟ ΣΧΟΛΕΙΟ ΑΓΙΟΥ ΚΗΡΥΚΟΥ</t>
  </si>
  <si>
    <t>ΔΥΤΙΚΗΣ ΣΑΜΟΥ</t>
  </si>
  <si>
    <t>ΜΑΡΑΘΟΚΑΜΠΟΥ</t>
  </si>
  <si>
    <t>ΗΜΕΡΗΣΙΟ ΓΕΝΙΚΟ ΛΥΚΕΙΟ ΜΑΡΑΘΟΚΑΜΠΟΥ ΣΑΜΟΥ</t>
  </si>
  <si>
    <t>mail@lyk-marath.sam.sch.gr</t>
  </si>
  <si>
    <t>ΜΑΡΑΘΟΚΑΜΠΟΣ ΣΑΜΟΥ</t>
  </si>
  <si>
    <t>ΜΑΡΑΘΟΚΑΜΠΟΣ</t>
  </si>
  <si>
    <t>ΔΗΜΟΤΙΚΟ ΣΧΟΛΕΙΟ ΜΑΡΑΘΟΚΑΜΠΟΥ</t>
  </si>
  <si>
    <t>ΣΑΜΙΩΝ</t>
  </si>
  <si>
    <t>ΕΕΕΕΚ ΣΑΜΟΣ - ΕΕΕΕΚ ΣΑΜΟΥ</t>
  </si>
  <si>
    <t>mail@eeeek.sam.sch.gr</t>
  </si>
  <si>
    <t>ΚΟΥΜΑΡΙΩΝΑΣ ΠΕΡΙΟΧΗ ΑΓΙΑΣ ΕΙΡΗΝΗΣ</t>
  </si>
  <si>
    <t>3ο ΔΗΜΟΤΙΚΟ ΣΧΟΛΕΙΟ ΣΑΜΟΥ</t>
  </si>
  <si>
    <t>2ο ΗΜΕΡΗΣΙΟ ΓΥΜΝΑΣΙΟ ΣΑΜΟΥ</t>
  </si>
  <si>
    <t>mail@2gym-samou.sam.sch.gr</t>
  </si>
  <si>
    <t>ΚΑΝΑΡΗ 13</t>
  </si>
  <si>
    <t>1ο ΔΗΜΟΤΙΚΟ ΣΧΟΛΕΙΟ ΣΑΜΟΥ</t>
  </si>
  <si>
    <t>ΚΑΡΛΟΒΑΣΙΩΝ</t>
  </si>
  <si>
    <t>1ο ΗΜΕΡΗΣΙΟ ΕΠΑΛ ΚΑΡΛΟΒΑΣΙΟΥ ΣΑΜΟΥ</t>
  </si>
  <si>
    <t>mail@1epal-karlov.sam.sch.gr</t>
  </si>
  <si>
    <t>ΚΑΡΛΟΒΑΣΙΟΥ ΣΑΜΟΥ</t>
  </si>
  <si>
    <t>ΚΑΡΛΟΒΑΣΙ</t>
  </si>
  <si>
    <t>1ο ΔΗΜΟΤΙΚΟ ΣΧΟΛΕΙΟ Ν. ΚΑΡΛΟΒΑΣΙΟΥ - ΠΟΡΦΥΡΙΑΔΑ</t>
  </si>
  <si>
    <t>ΗΜΕΡΗΣΙΟ ΓΕΝΙΚΟ ΛΥΚΕΙΟ ΚΑΡΛΟΒΑΣΙΩΝ ΣΑΜΟΥ</t>
  </si>
  <si>
    <t>mail@lyk-karlov.sam.sch.gr</t>
  </si>
  <si>
    <t>ΚΑΡΛΟΒΑΣΙΩΝ ΣΑΜΟΥ</t>
  </si>
  <si>
    <t>Μητροπολίτη Ειρηναίου, Νέο Καρλόβασι</t>
  </si>
  <si>
    <t>ΚΑΡΛΟΒΑΣΙΟΥ</t>
  </si>
  <si>
    <t>ΕΥΔΗΛΟΥ</t>
  </si>
  <si>
    <t>ΚΑΡΑΒΟΣΤΑΜΟΥ</t>
  </si>
  <si>
    <t>ΓΕΝΙΚΟ ΛΥΚΕΙΟ ΕΥΔΗΛΟΥ ΙΚΑΡΙΑΣ-Αριστείδης Φουτρίδης</t>
  </si>
  <si>
    <t>mail@lyk-efdil.sam.sch.gr</t>
  </si>
  <si>
    <t xml:space="preserve">ΕΥΔΗΛΟΣ </t>
  </si>
  <si>
    <t>ΕΥΔΗΛΟΣ</t>
  </si>
  <si>
    <t>ΔΗΜΟΤΙΚΟ ΣΧΟΛΕΙΟ ΕΥΔΗΛΟΥ</t>
  </si>
  <si>
    <t>ΗΜΕΡΗΣΙΟ ΓΕΝΙΚΟ ΛΥΚΕΙΟ ΣΑΜΟΥ - ΠΥΘΑΓΟΡΕΙΟ</t>
  </si>
  <si>
    <t>mail@lyk-samou.sam.sch.gr</t>
  </si>
  <si>
    <t>ΠΥΘΑΓΟΡΑ 11</t>
  </si>
  <si>
    <t>ΔΗΜΟΤΙΚΟ ΣΧΟΛΕΙΟ ΒΑΘΕΟΣ ΣΑΜΟΥ</t>
  </si>
  <si>
    <t>ΗΜΕΡΗΣΙΟ ΓΥΜΝΑΣΙΟ ΑΓΙΟΥ ΚΗΡΥΚΟΥ ΙΚΑΡΙΑΣ ΣΑΜΟΥ</t>
  </si>
  <si>
    <t>mail@gym-ag-kiryk.sam.sch.gr</t>
  </si>
  <si>
    <t>ΑΓΙΟΥ ΚΗΡΥΚΟΥ ΙΚΑΡΙΑΣ ΣΑΜΟΥ</t>
  </si>
  <si>
    <t>ΑΓΙΟΣ ΚΗΡΥΚΟΣ ΙΚΑΡΙΑΣ</t>
  </si>
  <si>
    <t>ΗΜΕΡΗΣΙΟ ΓΥΜΝΑΣΙΟ ΚΑΡΛΟΒΑΣΙΟΥ - 4303010</t>
  </si>
  <si>
    <t>mail@gym-karlov.sam.sch.gr</t>
  </si>
  <si>
    <t>Πανεπιστημίου 3</t>
  </si>
  <si>
    <t>1ο ΗΜΕΡΗΣΙΟ ΓΥΜΝΑΣΙΟ ΣΑΜΟΥ</t>
  </si>
  <si>
    <t>mail@1gym-samou.sam.sch.gr</t>
  </si>
  <si>
    <t>ΠΥΘΑΓΟΡΕΙΟΥ</t>
  </si>
  <si>
    <t>ΗΜΕΡΗΣΙΟ ΓΥΜΝΑΣΙΟ ΠΥΘΑΓΟΡΕΙΟΥ ΣΑΜΟΥ</t>
  </si>
  <si>
    <t>mail@gym-pythag.sam.sch.gr</t>
  </si>
  <si>
    <t>ΠΥΘΑΓΟΡΕΙΟΥ ΣΑΜΟΥ</t>
  </si>
  <si>
    <t>ΠΥΘΑΓΟΡΕΙΟ ΣΑΜΟΥ</t>
  </si>
  <si>
    <t>ΔΗΜΟΤΙΚΟ ΣΧΟΛΕΙΟ ΠΥΘΑΓΟΡΕΙΟΥ</t>
  </si>
  <si>
    <t>ΗΜΕΡΗΣΙΟ ΓΥΜΝΑΣΙΟ ΜΑΡΑΘΟΚΑΜΠΟΥ ΣΑΜΟΥ</t>
  </si>
  <si>
    <t>mail@gym-marath.sam.sch.gr</t>
  </si>
  <si>
    <t>1ο ΗΜΕΡΗΣΙΟ ΕΠΑΛ ΕΥΔΗΛΟΥ ΙΚΑΡΙΑΣ</t>
  </si>
  <si>
    <t>mail@1epal-efdil.sam.sch.gr</t>
  </si>
  <si>
    <t>ΕΥΔΗΛΟΣ ΙΚΑΡΙΑΣ</t>
  </si>
  <si>
    <t>ΗΜΕΡΗΣΙΟ ΓΥΜΝΑΣΙΟ ΕΥΔΗΛΟΥ ΙΚΑΡΙΑΣ</t>
  </si>
  <si>
    <t>mail@gym-efdil.sam.sch.gr</t>
  </si>
  <si>
    <t>ΕΥΔΗΛΟΥ ΣΑΜΟΥ</t>
  </si>
  <si>
    <t>ΕΥΔΗΛΟΣ - ΙΚΑΡΙΑΣ</t>
  </si>
  <si>
    <t>ΗΜΕΡΗΣΙΟ ΕΠΑΛ ΣΑΜΟΥ - ΜΑΥΡΟΓΕΝΕΙΟ ΕΠΑΛ ΣΑΜΟΥ</t>
  </si>
  <si>
    <t>epal-samou@sch.gr</t>
  </si>
  <si>
    <t>ΠΥΘΑΓΟΡΑ   11</t>
  </si>
  <si>
    <t>ΗΜΕΡΗΣΙΟ ΓΥΜΝΑΣΙΟ ΠΥΡΓΟΥ ΣΑΜΟΥ</t>
  </si>
  <si>
    <t>mail@gym-pyrgou.sam.sch.gr</t>
  </si>
  <si>
    <t>ΠΥΡΓΟΥ ΣΑΜΟΥ</t>
  </si>
  <si>
    <t>ΠΥΡΓΟΣ ΣΑΜΟΥ</t>
  </si>
  <si>
    <t>ΔΗΜΟΤΙΚΟ ΠΥΡΓΟΥ ΣΑΜΟΥ</t>
  </si>
  <si>
    <t>ΕΣΠΕΡΙΝΟ ΕΠΑΛ ΒΑΘΥ ΣΑΜΟΥ</t>
  </si>
  <si>
    <t>mail@epal-esp-vatheos.sam.sch.gr</t>
  </si>
  <si>
    <t>ΒΑΘΥ ΣΑΜΟΥ</t>
  </si>
  <si>
    <t>ΕΡΓΑΣΤΗΡΙΑΚΟ ΚΕΝΤΡΟ ΣΑΜΟΥ</t>
  </si>
  <si>
    <t>mail@ek-samou.sam.sch.gr</t>
  </si>
  <si>
    <t>Σάμος</t>
  </si>
  <si>
    <t>Πυθαγόρα 11</t>
  </si>
  <si>
    <t>Ε.Ε.Ε.Ε.Κ. ΙΚΑΡΙΑΣ</t>
  </si>
  <si>
    <t>mail@eeeek-ikarias.sam.sch.gr</t>
  </si>
  <si>
    <t>ΜΟΥΣΙΚΟ ΓΥΜΝΑΣΙΟ ΣΑΜΟΥ</t>
  </si>
  <si>
    <t>mail@gym-mous-samou.sam.sch.gr</t>
  </si>
  <si>
    <t>ΔΙΕΥΘΥΝΣΗ Δ.Ε. ΧΙΟΥ</t>
  </si>
  <si>
    <t>ΑΜΑΝΗΣ</t>
  </si>
  <si>
    <t>ΒΟΛΙΣΣΟΥ</t>
  </si>
  <si>
    <t>1ο ΗΜΕΡΗΣΙΟ ΓΥΜΝΑΣΙΟ ΒΟΛΙΣΣΟΥ ΧΙΟΥ - ΜΙΧ. ΠΑΠΑΜΑΥΡΟΣ</t>
  </si>
  <si>
    <t>mail@gym-voliss.chi.sch.gr</t>
  </si>
  <si>
    <t>ΒΟΛΙΣΣΟΣ</t>
  </si>
  <si>
    <t>ΒΟΛΙΣΣΟΣ ΧΙΟΥ</t>
  </si>
  <si>
    <t>ΔΗΜΟΤΙΚΟ ΣΧΟΛΕΙΟ ΒΟΛΙΣΣΟΥ</t>
  </si>
  <si>
    <t>ΙΩΝΙΑΣ</t>
  </si>
  <si>
    <t>ΚΑΛΛΙΜΑΣΙΑΣ</t>
  </si>
  <si>
    <t>ΗΜΕΡΗΣΙΟ ΓΥΜΝΑΣΙΟ ΚΑΛΛΙΜΑΣΙΑΣ, ΧΙΟΥ</t>
  </si>
  <si>
    <t>mail@gym-kallim.chi.sch.gr</t>
  </si>
  <si>
    <t>ΚΑΛΛΙΜΑΣΙΑ ΧΙΟΣ</t>
  </si>
  <si>
    <t>ΚΑΛΛΙΜΑΣΙΑ, ΧΙΟΣ</t>
  </si>
  <si>
    <t>ΔΗΜΟΤΙΚΟ ΣΧΟΛΕΙΟ ΚΑΛΛΙΜΑΣΙΑΣ</t>
  </si>
  <si>
    <t>ΟΙΝΟΥΣΣΩΝ</t>
  </si>
  <si>
    <t>1ο ΗΜΕΡΗΣΙΟ ΕΠΑΛ ΟΙΝΟΥΣΣΩΝ</t>
  </si>
  <si>
    <t>mail@1epal-oinouss.chi.sch.gr</t>
  </si>
  <si>
    <t>ΟΙΝΟΥΣΣEΣ</t>
  </si>
  <si>
    <t>ΟΙΝΟΥΣΣΕΣ</t>
  </si>
  <si>
    <t>ΔΗΜΟΤΙΚΟ ΣΧΟΛΕΙΟ ΟΙΝΟΥΣΣΩΝ - ΑΠΟΣΤΟΛΟΣ ΠΑΥΛΟΣ</t>
  </si>
  <si>
    <t>ΚΑΡΔΑΜΥΛΩΝ</t>
  </si>
  <si>
    <t>1ο ΗΜΕΡΗΣΙΟ ΕΠΑΛ ΚΑΡΔΑΜΥΛΩΝ - ΛΙΒΑΝΕΙΟ</t>
  </si>
  <si>
    <t>1epal-kardam@sch.gr</t>
  </si>
  <si>
    <t>ΚΑΡΔΑΜΥΛΑ</t>
  </si>
  <si>
    <t>ΣΧΟΛΙΚΟ ΚΕΝΤΡΟ ΚΑΡΔΑΜΥΛΩΝ</t>
  </si>
  <si>
    <t>ΟΜΗΡΟΥΠΟΛΗΣ</t>
  </si>
  <si>
    <t>ΒΡΟΝΤΑΔΟΥ</t>
  </si>
  <si>
    <t>1ο ΗΜΕΡΗΣΙΟ ΕΠΑ.Λ. ΒΡΟΝΤΑΔΟΥ</t>
  </si>
  <si>
    <t>mail@1epal-vront.chi.sch.gr</t>
  </si>
  <si>
    <t>ΒΡΟΝΤΑΔΟΣ</t>
  </si>
  <si>
    <t>ΓΕΩΡΓΙΟΥ Χ''ΦΡΑΓΚΟΥΛΗ ΑΝΔΡΕΑΔΗ 107</t>
  </si>
  <si>
    <t>ΜΙΧΑΛΩΝ 5</t>
  </si>
  <si>
    <t>2ο  ΔΗΜΟΤΙΚΟ ΣΧΟΛΕΙΟ ΒΡΟΝΤΑΔΟΥ - ΠΑΝΑΓΙΑΣ ΕΡΕΙΘΙΑΝΗΣ</t>
  </si>
  <si>
    <t>1ο ΗΜΕΡΗΣΙΟ ΕΠΑΛ ΧΙΟΥ - ΕΜΠΟΡΙΚΗ ΣΧΟΛΗ</t>
  </si>
  <si>
    <t>1epal-chiou@sch.gr</t>
  </si>
  <si>
    <t>2ο  ΔΗΜΟΤΙΚΟ ΣΧΟΛΕΙΟ ΧΙΟΥ</t>
  </si>
  <si>
    <t>ΗΜΕΡΗΣΙΟ ΓΕΝΙΚΟ ΛΥΚΕΙΟ ΒΡΟΝΤΑΔΟΥ ΧΙΟΥ</t>
  </si>
  <si>
    <t>mail@lyk-vront.chi.sch.gr</t>
  </si>
  <si>
    <t>ΒΡΟΝΤΑΔΟΣ ΧΙΟΥ</t>
  </si>
  <si>
    <t>ΧΑΤΖΗΦΡΑΓΚΟΥΛΗ ΑΝΔΡΕΑΔΗ  107</t>
  </si>
  <si>
    <t>ΜΑΣΤΙΧΟΧΩΡΙΩΝ</t>
  </si>
  <si>
    <t>ΚΑΛΑΜΩΤΗΣ</t>
  </si>
  <si>
    <t>ΗΜΕΡΗΣΙΟ ΓΕΝΙΚΟ ΛΥΚΕΙΟ ΚΑΛΑΜΩΤΗΣ ΧΙΟΥ</t>
  </si>
  <si>
    <t>mail@lyk-kalam.chi.sch.gr</t>
  </si>
  <si>
    <t>ΚΑΛΑΜΩΤΉ</t>
  </si>
  <si>
    <t>ΚΑΛΑΜΩΤΗ</t>
  </si>
  <si>
    <t>ΔΗΜΟΤΙΚΟ ΣΧΟΛΕΙΟ ΚΑΛΑΜΩΤΗΣ</t>
  </si>
  <si>
    <t>ΗΜΕΡΗΣΙΟ ΓΕΝΙΚΟ ΛΥΚΕΙΟ ΚΑΛΛΙΜΑΣΙΑΣ ΧΙΟΥ</t>
  </si>
  <si>
    <t>mail@lyk-kallim.chi.sch.gr</t>
  </si>
  <si>
    <t>ΚΑΛΛΙΜΑΣΙΑ</t>
  </si>
  <si>
    <t>3ο ΗΜΕΡΗΣΙΟ ΓΕΝΙΚΟ ΛΥΚΕΙΟ ΧΙΟΥ</t>
  </si>
  <si>
    <t>mail@3lyk-chiou.chi.sch.gr</t>
  </si>
  <si>
    <t>ΧΡΙΣΤΟΣ ΒΑΡΒΑΣΙΟΥ</t>
  </si>
  <si>
    <t>5ο ΔΗΜΟΤΙΚΟ ΣΧΟΛΕΙΟ ΧΙΟΥ</t>
  </si>
  <si>
    <t>1ο ΕΚ ΧΙΟΥ</t>
  </si>
  <si>
    <t>mail@1sek-chiou.chi.sch.gr</t>
  </si>
  <si>
    <t>ΕΕΕΕΚ ΧΙΟΣ - ΕΕΕΕΚ ΧΙΟΥ</t>
  </si>
  <si>
    <t>mail@eeeek.chi.sch.gr</t>
  </si>
  <si>
    <t>ΣΤΑΜΑΤΙΟΥ ΤΣΙΜΠΗ 8</t>
  </si>
  <si>
    <t>ΔΗΜΟΤΙΚΟ ΣΧΟΛΕΙΟ ΛΙΒΑΔΙΑ - ΒΟΥΡΕΙΟ</t>
  </si>
  <si>
    <t>1ο ΗΜΕΡΗΣΙΟ ΓΥΜΝΑΣΙΟ ΧΙΟΥ - "ΣΧΟΛΗ ΧΙΟΥ"</t>
  </si>
  <si>
    <t>mail@1gym-chiou.chi.sch.gr</t>
  </si>
  <si>
    <t>ΦΙΛΙΠΠΟΥ ΑΡΓΕΝΤΗ 13</t>
  </si>
  <si>
    <t>ΑΣΤΙΚΗ ΣΧΟΛΗ ΧΙΟΥ-11ο ΔΗΜΟΤΙΚΟ</t>
  </si>
  <si>
    <t>ΗΜΕΡΗΣΙΟ ΓΥΜΝΑΣΙΟ ΜΕ Λ.Τ. ΟΙΝΟΥΣΣΩΝ</t>
  </si>
  <si>
    <t>mail@gym-oinouss.chi.sch.gr</t>
  </si>
  <si>
    <t>ΗΜΕΡΗΣΙΟ ΓΥΜΝΑΣΙΟ ΚΑΜΠΟΥ ΧΙΟΥ</t>
  </si>
  <si>
    <t>mail@gym-kampou.chi.sch.gr</t>
  </si>
  <si>
    <t>ΚΑΜΠΟΣ ΧΙΟΥ</t>
  </si>
  <si>
    <t>ΔΗΜ.ΡΑΛΛΗ 55</t>
  </si>
  <si>
    <t>ΔΗΜΟΤΙΚΟ ΣΧΟΛΕΙΟ ΚΑΜΠΟΥ</t>
  </si>
  <si>
    <t>ΕΣΠΕΡΙΝΟ ΓΥΜΝΑΣΙΟ ΧΙΟΥ ΜΕ Λ.Τ</t>
  </si>
  <si>
    <t>mail@gym-esp-chiou.chi.sch.gr</t>
  </si>
  <si>
    <t>Δ. ΡΑΛΛΗ 18</t>
  </si>
  <si>
    <t>4ο ΗΜΕΡΗΣΙΟ ΓΥΜΝΑΣΙΟ ΧΙΟΥ</t>
  </si>
  <si>
    <t>mail@4gym-chiou.chi.sch.gr</t>
  </si>
  <si>
    <t>Ν.ΖΑΦΕΙΡΑΚΗ 29</t>
  </si>
  <si>
    <t>9ο ΔΗΜΟΤΙΚΟ ΣΧΟΛΕΙΟ ΧΙΟΥ - ΚΑΡΡΑΔΕΙΟ</t>
  </si>
  <si>
    <t>3ο ΗΜΕΡΗΣΙΟ ΓΥΜΝΑΣΙΟ ΧΙΟΥ - Ο ΑΔΑΜΑΝΤΙΟΣ ΚΟΡΑΗΣ</t>
  </si>
  <si>
    <t>mail@3gym-chiou.chi.sch.gr</t>
  </si>
  <si>
    <t>ΒΕΝΙΖΕΛΟΥ  68</t>
  </si>
  <si>
    <t>2ο ΗΜΕΡΗΣΙΟ ΓΥΜΝΑΣΙΟ ΧΙΟΥ - ΛΙΒΑΝΕΙΟ</t>
  </si>
  <si>
    <t>mail@2gym-chiou.chi.sch.gr</t>
  </si>
  <si>
    <t>ΡΙΤΣΟΥ 13</t>
  </si>
  <si>
    <t>6ο  ΔΗΜΟΤΙΚΟ ΣΧΟΛΕΙΟ ΧΙΟΥ</t>
  </si>
  <si>
    <t>ΗΜΕΡΗΣΙΟ ΓΥΜΝΑΣΙΟ ΚΑΛΑΜΩΤΗΣ</t>
  </si>
  <si>
    <t>mail@gym-kalam.chi.sch.gr</t>
  </si>
  <si>
    <t>ΗΜΕΡΗΣΙΟ ΓΥΜΝΑΣΙΟ ΒΡΟΝΤΑΔΟΥ ΧΙΟΥ</t>
  </si>
  <si>
    <t>mail@gym-vront.chi.sch.gr</t>
  </si>
  <si>
    <t>ΠΡΟΦΗΤΗ ΗΛΙΑ 8</t>
  </si>
  <si>
    <t>ΨΑΡΩΝ</t>
  </si>
  <si>
    <t>ΗΜΕΡΗΣΙΟ ΓΥΜΝΑΣΙΟ ΨΑΡΩΝ ΧΙΟΥ - ΓΥΜΝΑΣΙΟ ΨΑΡΩΝ ΙΩΑΝΝΗΣ ΒΑΡΒΑΚΗΣ</t>
  </si>
  <si>
    <t>mail@gym-psaron.chi.sch.gr</t>
  </si>
  <si>
    <t>ΨΑΡΑ ΧΙΟΥ</t>
  </si>
  <si>
    <t>ΔΗΜΟΤΙΚΟ ΣΧΟΛΕΙΟ ΨΑΡΩΝ</t>
  </si>
  <si>
    <t>ΗΜΕΡΗΣΙΟ ΓΥΜΝΑΣΙΟ ΚΑΡΔΑΜΥΛΩΝ - ΛΙΒΑΝΕΙΟ</t>
  </si>
  <si>
    <t>gymkardn@sch.gr</t>
  </si>
  <si>
    <t>ΚΑΡΔΑΜΥΛΑ  ΧΙΟΥ</t>
  </si>
  <si>
    <t>ΗΜΕΡΗΣΙΟ ΓΕΝΙΚΟ ΛΥΚΕΙΟ ΚΑΡΔΑΜΥΛΩΝ - ΛΙΒΑΝΕΙΟ</t>
  </si>
  <si>
    <t>mail@lyk-kardam.chi.sch.gr</t>
  </si>
  <si>
    <t>2ο ΗΜΕΡΗΣΙΟ ΓΕΝΙΚΟ ΛΥΚΕΙΟ ΧΙΟΥ - ΛΙΒΑΝΕΙΟ</t>
  </si>
  <si>
    <t>mail@2lyk-chiou.chi.sch.gr</t>
  </si>
  <si>
    <t>ΡΙΤΣΟΥ 13 , ΑΡΙΣΤΩΝΟΣ 12-13</t>
  </si>
  <si>
    <t>1ο ΗΜΕΡΗΣΙΟ ΓΕΝΙΚΟ ΛΥΚΕΙΟ ΧΙΟΥ</t>
  </si>
  <si>
    <t>mail@1lyk-chiou.chi.sch.gr</t>
  </si>
  <si>
    <t>Χίος</t>
  </si>
  <si>
    <t>28ης Οκτωβρίου 2, Χριστός Βαρβάσι</t>
  </si>
  <si>
    <t>ΑΓΙΟΥ ΜΗΝΑ</t>
  </si>
  <si>
    <t>ΘΥΜΙΑΝΩΝ</t>
  </si>
  <si>
    <t>ΜΟΥΣΙΚΟ ΣΧΟΛΕΙΟ ΧΙΟΥ</t>
  </si>
  <si>
    <t>mail@gym-mous-chiou.chi.sch.gr</t>
  </si>
  <si>
    <t>ΑΓΙΟΙ ΑΝΑΡΓΥΡΟΙ - ΘΥΜΙΑΝΑ</t>
  </si>
  <si>
    <t>ΔΗΜΟΤΙΚΟ ΣΧΟΛΕΙΟ ΑΓΙΟΥ ΜΗΝΑ- ΘΥΜΙΑΝΩΝ - ΙΩΝ Ο ΧΙΟΣ</t>
  </si>
  <si>
    <t>ΕΣΠΕΡΙΝΟ ΕΠΑΛ ΧΙΟΥ</t>
  </si>
  <si>
    <t>epalespchi@sch.gr</t>
  </si>
  <si>
    <t>ΕΝΙΑΙΟ ΕΙΔΙΚΟ ΕΠΑΓΓΕΛΜΑΤΙΚΟ ΓΥΜΝΑΣΙΟ-ΛΥΚΕΙΟ ΧΙΟΥ</t>
  </si>
  <si>
    <t>mail@gym-ee-chiou.chi.sch.gr</t>
  </si>
  <si>
    <t xml:space="preserve">ΚΑΜΠΟΣ </t>
  </si>
  <si>
    <t>ΡΑΛΛΗ 18</t>
  </si>
  <si>
    <t>ΔΙΕΥΘΥΝΣΗ Π.Ε. ΛΕΣΒΟΥ</t>
  </si>
  <si>
    <t>ΕΙΔΙΚΟ ΝΗΠΙΑΓΩΓΕΙΟ ΚΑΛΛΙΘΕΑ ΛΗΜΝΟΥ</t>
  </si>
  <si>
    <t>mail@nip-eid-agogis-kallith.les.sch.gr</t>
  </si>
  <si>
    <t>ΚΑΛΛΙΘΕΑ ΛΗΜΝΟΥ</t>
  </si>
  <si>
    <t>mail@dim-moudr.les.sch.gr</t>
  </si>
  <si>
    <t>ΚΕΡΑΜΕΙΩΝ</t>
  </si>
  <si>
    <t>ΔΗΜΟΤΙΚΟ ΣΧΟΛΕΙΟ ΚΕΡΑΜΕΙΩΝ ΛΕΣΒΟΥ</t>
  </si>
  <si>
    <t>mail@dim-keram.les.sch.gr</t>
  </si>
  <si>
    <t>ΚΕΡΑΜΕΙΑ ΛΕΣΒΟΣ</t>
  </si>
  <si>
    <t>ΚΕΡΑΜΕΙΑ ΛΕΣΒΟΥ</t>
  </si>
  <si>
    <t>ΔΗΜΟΤΙΚΟ ΣΧΟΛΕΙΟ ΚΕΡΑΜΕΙΩΝ</t>
  </si>
  <si>
    <t>ΤΑΞΙΑΡΧΩΝ</t>
  </si>
  <si>
    <t>ΝΗΠΙΑΓΩΓΕΙΟ ΤΑΞΙΑΡΧΩΝ ΛΕΣΒΟΥ</t>
  </si>
  <si>
    <t>mail@nip-taxiarch.les.sch.gr</t>
  </si>
  <si>
    <t>ΤΑΞΙΑΡΧΕΣ ΛΕΣΒΟΣ</t>
  </si>
  <si>
    <t>ΤΑΞΙΑΡΧΕΣ ΛΕΣΒΟΥ</t>
  </si>
  <si>
    <t>kostas.kal62@hotmail.com</t>
  </si>
  <si>
    <t>Απ.ΠΑΥΛΟΥ 2</t>
  </si>
  <si>
    <t>mail@dim-filias.les.sch.gr</t>
  </si>
  <si>
    <t xml:space="preserve">Φίλια </t>
  </si>
  <si>
    <t>Φίλια Λέσβου</t>
  </si>
  <si>
    <t>ΑΤΣΙΚΗΣ</t>
  </si>
  <si>
    <t>ΔΗΜΟΤΙΚΟ ΣΧΟΛΕΙΟ ΑΤΣΙΚΗΣ ΛΗΜΝΟΥ</t>
  </si>
  <si>
    <t>mail@dim-atsik.les.sch.gr</t>
  </si>
  <si>
    <t>ΑΤΣΙΚΗ ΛΗΜΝΟΥ</t>
  </si>
  <si>
    <t>ΜΗΘΥΜΝΑΣ</t>
  </si>
  <si>
    <t>ΣΥΚΑΜΙΝΕΑΣ</t>
  </si>
  <si>
    <t>mail@dim-sykam.les.sch.gr</t>
  </si>
  <si>
    <t>ΣΥΚΑΜΙΝΕΑ ΛΕΣΒΟΥ</t>
  </si>
  <si>
    <t>ΘΑΝΟΥΣ</t>
  </si>
  <si>
    <t>ΔΗΜΟΤΙΚΟ ΣΧΟΛΕΙΟ ΘΑΝΟΣ ΛΗΜΝΟΥ</t>
  </si>
  <si>
    <t>mail@dim-thanous.les.sch.gr</t>
  </si>
  <si>
    <t>ΘΑΝΟΣ ΛΗΜΝΟΥ</t>
  </si>
  <si>
    <t>ΝΗΠΙΑΓΩΓΕΙΟ ΑΤΣΙΚΗΣ ΛΗΜΝΟΥ</t>
  </si>
  <si>
    <t>mail@nip-atsik.les.sch.gr</t>
  </si>
  <si>
    <t>ΑΤΣΙΚΗ ΛΗΜΝΟΣ</t>
  </si>
  <si>
    <t>mail@dim-n-koutal.les.sch.gr</t>
  </si>
  <si>
    <t>ΝΕΑ ΚΟΥΤΑΛΗ ΛΗΜΝΟΣ</t>
  </si>
  <si>
    <t>ΝΗΠΙΑΓΩΓΕΙΟ ΜΟΥΔΡΟΥ ΛΗΜΝΟΥ</t>
  </si>
  <si>
    <t>mail@nip-moudr.les.sch.gr</t>
  </si>
  <si>
    <t>ΜΟΥΔΡΟΣ ΛΗΜΝΟΣ</t>
  </si>
  <si>
    <t>ΠΑΝΑΓΙΟΥΔΑΣ</t>
  </si>
  <si>
    <t>ΔΗΜΟΤΙΚΟ ΣΧΟΛΕΙΟ ΠΑΝΑΓΙΟΥΔΑΣ -ΟΔΥΣΣΕΑΣ ΕΛΥΤΗΣ (ΑΛΕΠΟΥΔΕΛΛΗΣ)</t>
  </si>
  <si>
    <t>mail@dim-panagioud.les.sch.gr</t>
  </si>
  <si>
    <t xml:space="preserve"> ΛΕΣΒΟΥ</t>
  </si>
  <si>
    <t>ΠΑΝΑΓΙΟΥΔΑ</t>
  </si>
  <si>
    <t>mail@dim-agias.les.sch.gr</t>
  </si>
  <si>
    <t>ΚΟΝΤΙΑ</t>
  </si>
  <si>
    <t>ΔΗΜΟΤΙΚΟ ΣΧΟΛΕΙΟ ΚΟΝΤΙΑΣ ΛΗΜΝΟΥ</t>
  </si>
  <si>
    <t>mail@dim-kontias.les.sch.gr</t>
  </si>
  <si>
    <t>ΚΟΝΤΙΑΣ ΛΗΜΝΟΥ</t>
  </si>
  <si>
    <t>11ο ΔΗΜΟΤΙΚΟ ΣΧΟΛΕΙΟ ΜΥΤΙΛΗΝΗΣ</t>
  </si>
  <si>
    <t>mail@11dim-mytil.les.sch.gr</t>
  </si>
  <si>
    <t>ΜΥΤΙΛΗΝΗ ΛΕΣΒΟΥ</t>
  </si>
  <si>
    <t>ΤΕΡΜΑ ΥΑΚΙΝΘΟΥ ΜΥΤΙΛΗΝΗ</t>
  </si>
  <si>
    <t>mail@10dim-mytil.les.sch.gr</t>
  </si>
  <si>
    <t>mail@1dim-mytil.les.sch.gr</t>
  </si>
  <si>
    <t>ΑΓΙΟΥ ΘΕΡΑΠΟΝΤΟΣ 5</t>
  </si>
  <si>
    <t>ΣΚΑΛΟΧΩΡΙΟΥ</t>
  </si>
  <si>
    <t>ΔΗΜΟΤΙΚΟ ΣΧΟΛΕΙΟ ΣΚΑΛΟΧΩΡΙΟΥ ΛΕΣΒΟΥ</t>
  </si>
  <si>
    <t>mail@dim-skaloch.les.sch.gr</t>
  </si>
  <si>
    <t>ΣΚΑΛΟΧΩΡΙ ΛΕΣΒΟΥ</t>
  </si>
  <si>
    <t>ΚΑΠΗΣ</t>
  </si>
  <si>
    <t>ΔΗΜΟΤΙΚΟ ΣΧΟΛΕΙΟ ΚΑΠΗΣ ΚΛΕΙΟΥΣ ΠΕΛΟΠΗΣ ΛΕΣΒΟΥ</t>
  </si>
  <si>
    <t>mail@dim-kapis.les.sch.gr</t>
  </si>
  <si>
    <t>ΚΑΠΗ ΛΕΣΒΟΥ</t>
  </si>
  <si>
    <t>ΝΗΠΙΑΓΩΓΕΙΟ ΚΕΡΑΜΕΙΩΝ ΛΕΣΒΟΥ</t>
  </si>
  <si>
    <t>mail@nip-keram.les.sch.gr</t>
  </si>
  <si>
    <t>8ο ΝΗΠΙΑΓΩΓΕΙΟ ΜΥΤΙΛΗΝΗΣ</t>
  </si>
  <si>
    <t>mail@8nip-mytil.les.sch.gr</t>
  </si>
  <si>
    <t>ΜΥΤΙΛΗΝΗ ΛΕΣΒΟΣ</t>
  </si>
  <si>
    <t>ΣΙΜΟΥ ΧΟΥΤΖΑΙΟΥ ΜΥΤΙΛΗΝΗ 18</t>
  </si>
  <si>
    <t>ΔΗΜΟΤΙΚΟ ΣΧΟΛΕΙΟ ΑΓΙΟΥ ΔΗΜΗΤΡΙΟΥ ΛΗΜΝΟΥ</t>
  </si>
  <si>
    <t>mail@dim-ag-dimitr.les.sch.gr</t>
  </si>
  <si>
    <t>mail@3dim-plomar.les.sch.gr</t>
  </si>
  <si>
    <t>ΠΛΩΜΑΡΙ</t>
  </si>
  <si>
    <t>ΝΗΠΙΑΓΩΓΕΙΟ ΑΓ. ΔΗΜΗΤΡΙΟΥ ΛΗΜΝΟΥ</t>
  </si>
  <si>
    <t>mail@nip-ag-dimitr.les.sch.gr</t>
  </si>
  <si>
    <t>ΑΓ. ΔΗΜΗΤΡΙΟΣ ΛΗΜΝΟΣ</t>
  </si>
  <si>
    <t>ΑΓΙΟΣ ΔΗΜΗΤΡΙΟΣ ΛΗΜΝΟΣ</t>
  </si>
  <si>
    <t>mail@dim-petras.les.sch.gr</t>
  </si>
  <si>
    <t>9ο ΝΗΠΙΑΓΩΓΕΙΟ ΜΥΤΙΛΗΝΗΣ</t>
  </si>
  <si>
    <t>mail@9nip-mytil.les.sch.gr</t>
  </si>
  <si>
    <t>ΒΑΤΟΥΣΣΗΣ</t>
  </si>
  <si>
    <t>ΔΗΜΟΤΙΚΟ ΣΧΟΛΕΙΟ ΒΑΤΟΥΣΑΣ ΛΕΣΒΟΥ</t>
  </si>
  <si>
    <t>mail@dim-vatous.les.sch.gr</t>
  </si>
  <si>
    <t>ΒΑΤΟΥΣΑ ΛΕΣΒΟΥ</t>
  </si>
  <si>
    <t>ΚΕΡΑΜΙΟΥ</t>
  </si>
  <si>
    <t>ΔΗΜΟΤΙΚΟ ΣΧΟΛΕΙΟ ΚΕΡΑΜΙΟΥ - ΛΕΣΒΟΥ</t>
  </si>
  <si>
    <t>mail@dim-skalas.les.sch.gr</t>
  </si>
  <si>
    <t>ΚΕΡΑΜΙ</t>
  </si>
  <si>
    <t>ΚΕΡΑΜΙ ΛΕΣΒΟΥ</t>
  </si>
  <si>
    <t>2ο ΔΗΜΟΤΙΚΟ ΣΧΟΛΕΙΟ ΜΥΡΙΝΑΣ ΛΗΜΝΟΥ</t>
  </si>
  <si>
    <t>mail@2dim-myrin.les.sch.gr</t>
  </si>
  <si>
    <t>ΛΕΩΦΟΡΟΣ ΔΗΜΟΚΡΑΤΙΑΣ ΜΥΡΙΝΑ ΛΗΜΝΟΣ</t>
  </si>
  <si>
    <t>mail@dim-agras.les.sch.gr</t>
  </si>
  <si>
    <t>ΣΙΓΡΙΟΥ</t>
  </si>
  <si>
    <t>ΔΗΜΟΤΙΚΟ ΣΧΟΛΕΙΟ ΣΙΓΡΙΟΥ ΛΕΣΒΟΥ</t>
  </si>
  <si>
    <t>mail@dim-sigriou.les.sch.gr</t>
  </si>
  <si>
    <t xml:space="preserve">ΣΙΓΡΙ, </t>
  </si>
  <si>
    <t>ΣΙΓΡΙ ΛΕΣΒΟΥ</t>
  </si>
  <si>
    <t>ΣΚΟΥΤΑΡΟΥ</t>
  </si>
  <si>
    <t>ΔΗΜΟΤΙΚΟ ΣΧΟΛΕΙΟ ΣΚΟΥΤΑΡΟΥ ΛΕΣΒΟΥ</t>
  </si>
  <si>
    <t>mail@dim-skout.les.sch.gr</t>
  </si>
  <si>
    <t>Σκουτάρος Λέσβου</t>
  </si>
  <si>
    <t>ΚΑΣΠΑΚΑ</t>
  </si>
  <si>
    <t>ΔΗΜΟΤΙΚΟ ΣΧΟΛΕΙΟ ΚΑΣΠΑΚΑ ΛΗΜΝΟΥ</t>
  </si>
  <si>
    <t>mail@dim-kaspak.les.sch.gr</t>
  </si>
  <si>
    <t>ΚΑΣΠΑΚΑΣ ΛΗΜΝΟΥ</t>
  </si>
  <si>
    <t>mail@dim-ag-parask.les.sch.gr</t>
  </si>
  <si>
    <t>ΜΕΓΑΛΟΧΩΡΙΟΥ</t>
  </si>
  <si>
    <t>ΔΗΜΟΤΙΚΟ ΣΧΟΛΕΙΟ ΜΕΓΑΛΟΧΩΡΙΟΥ ΛΕΣΒΟΥ</t>
  </si>
  <si>
    <t>mail@dim-megal.les.sch.gr</t>
  </si>
  <si>
    <t>ΜΕΓΑΛΟΧΩΡΙ ΛΕΣΒΟΣ</t>
  </si>
  <si>
    <t>mail@1dim-plomar.les.sch.gr</t>
  </si>
  <si>
    <t>ΠΛΑΓΙΑΣ</t>
  </si>
  <si>
    <t>ΔΗΜΟΤΙΚΟ ΣΧΟΛΕΙΟ ΠΛΑΓΙΑΣ ΛΕΣΒΟΥ</t>
  </si>
  <si>
    <t>mail@dim-plagias.les.sch.gr</t>
  </si>
  <si>
    <t>ΠΛΑΓΙΑ ΛΕΣΒΟΣ</t>
  </si>
  <si>
    <t>ΔΗΜΟΤΙΚΟ ΣΧΟΛΕΙΟ ΒΑΡΕΙΑΣ ΛΕΣΒΟΥ</t>
  </si>
  <si>
    <t>mail@dim-vareias.les.sch.gr</t>
  </si>
  <si>
    <t>ΒΑΡΕΙΑ ΛΕΣΒΟΥ</t>
  </si>
  <si>
    <t>ΣΤΡΑΤΗ ΕΛΕΥΘΕΡΙΑΔΗ</t>
  </si>
  <si>
    <t>1ο ΝΗΠΙΑΓΩΓΕΙΟ ΜΥΡΙΝΑΣ ΛΗΜΝΟΥ- ΠΑΡΙΣΙΔΕΙΟ</t>
  </si>
  <si>
    <t>mail@1nip-myrin.les.sch.gr</t>
  </si>
  <si>
    <t>ΜΥΡΙΝΑΣ  ΛΗΜΝΟΥ</t>
  </si>
  <si>
    <t>ΜΗΤΡΟΠΟΛΕΩΣ 6</t>
  </si>
  <si>
    <t>5ο ΝΗΠΙΑΓΩΓΕΙΟ ΜΥΤΙΛΗΝΗΣ</t>
  </si>
  <si>
    <t>mail@5nip-mytil.les.sch.gr</t>
  </si>
  <si>
    <t>ΜΕΓΚΟΥΛΑ  9   ΜΥΤΙΛΗΝΗ</t>
  </si>
  <si>
    <t>3ο ΝΗΠΙΑΓΩΓΕΙΟ ΜΥΡΙΝΑΣ ΛΗΜΝΟΥ - ΜΠΟΒΟΛΕΤΕΙΟ</t>
  </si>
  <si>
    <t>mail@3nip-myrin.les.sch.gr</t>
  </si>
  <si>
    <t>ΜΥΡΙΝΑ ΛΗΜΝΟΣ</t>
  </si>
  <si>
    <t>ΜΠΟΒΟΛΕΤΗ</t>
  </si>
  <si>
    <t>ΠΛΑΤΕΟΣ</t>
  </si>
  <si>
    <t>ΝΗΠΙΑΓΩΓΕΙΟ ΠΛΑΤΕΟΣ ΛΗΜΝΟΥ</t>
  </si>
  <si>
    <t>mail@nip-plateos.les.sch.gr</t>
  </si>
  <si>
    <t xml:space="preserve">ΠΛΑΤΥ </t>
  </si>
  <si>
    <t>ΠΛΑΤΥ-ΛΗΜΝΟΥ</t>
  </si>
  <si>
    <t>3ο ΝΗΠΙΑΓΩΓΕΙΟ ΜΥΤΙΛΗΝΗΣ</t>
  </si>
  <si>
    <t>mail@3nip-mytil.les.sch.gr</t>
  </si>
  <si>
    <t>ΚΡΗΝΗΣ 8</t>
  </si>
  <si>
    <t>4ο ΝΗΠΙΑΓΩΓΕΙΟ ΜΥΡΙΝΑΣ ΛΗΜΝΟΥ</t>
  </si>
  <si>
    <t>mail@4nip-myrin.les.sch.gr</t>
  </si>
  <si>
    <t>ΛΕΩΦΟΡΟΣ ΔΗΜΟΚΡΑΤΙΑΣ (ΧΡΙΣΤΟΔΟΥΛΙΔΕΙΟ ΠΑΡΚΟ)</t>
  </si>
  <si>
    <t>mail@4dim-mytil.les.sch.gr</t>
  </si>
  <si>
    <t>ΠΙΤΤΑΚΟΥ 40</t>
  </si>
  <si>
    <t>ΝΗΠΙΑΓΩΓΕΙΟ ΚΟΝΤΙΑ ΛΗΜΝΟΥ</t>
  </si>
  <si>
    <t>mail@nip-kontia.les.sch.gr</t>
  </si>
  <si>
    <t>ΚΟΝΤΙΑΣ ΛΗΜΝΟΣ</t>
  </si>
  <si>
    <t>ΣΤΥΨΗΣ</t>
  </si>
  <si>
    <t>ΔΗΜΟΤΙΚΟ ΣΧΟΛΕΙΟ ΣΤΥΨΗΣ ΛΕΣΒΟΥ</t>
  </si>
  <si>
    <t>mail@dim-styps.les.sch.gr</t>
  </si>
  <si>
    <t>ΣΤΥΨΗ ΛΕΣΒΟΥ</t>
  </si>
  <si>
    <t>ΧΙΔΗΡΩΝ</t>
  </si>
  <si>
    <t>ΔΗΜΟΤΙΚΟ ΣΧΟΛΕΙΟ ΧΥΔΗΡΩΝ ΛΕΣΒΟΥ</t>
  </si>
  <si>
    <t>mail@dim-chidir.les.sch.gr</t>
  </si>
  <si>
    <t>ΧΙΔΗΡΩΝ ΛΕΣΒΟΥ</t>
  </si>
  <si>
    <t>ΧΙΔΗΡΑ ΛΕΣΒΟΥ</t>
  </si>
  <si>
    <t>mail@1dim-myrin.les.sch.gr</t>
  </si>
  <si>
    <t>ΜΗΤΡΟΠΟΛΕΩΣ 1</t>
  </si>
  <si>
    <t>ΛΟΥΤΡΩΝ</t>
  </si>
  <si>
    <t>ΔΗΜΟΤΙΚΟ ΣΧΟΛΕΙΟ ΛΟΥΤΡΩΝ ΛΕΣΒΟΥ - Π. ΣΑΜΑΡΑΣ</t>
  </si>
  <si>
    <t>mail@dim-loutr.les.sch.gr</t>
  </si>
  <si>
    <t>ΛΟΥΤΡΑ ΛΕΣΒΟΣ</t>
  </si>
  <si>
    <t>ΛΟΥΤΡΑ ΛΕΣΒΟΥ</t>
  </si>
  <si>
    <t>ΠΑΡΑΚΟΙΛΩΝ</t>
  </si>
  <si>
    <t>ΔΗΜΟΤΙΚΟ ΣΧΟΛΕΙΟ ΠΑΡΑΚΟΙΛΩΝ ΛΕΣΒΟΥ</t>
  </si>
  <si>
    <t>mail@dim-parak.les.sch.gr</t>
  </si>
  <si>
    <t>ΠΑΡΑΚΟΙΛΑ ΛΕΣΒΟΥ</t>
  </si>
  <si>
    <t>ΝΗΠΙΑΓΩΓΕΙΟ ΣΤΥΨΗΣ ΛΕΣΒΟΥ</t>
  </si>
  <si>
    <t>mail@nip-styps.les.sch.gr</t>
  </si>
  <si>
    <t>4ο ΝΗΠΙΑΓΩΓΕΙΟ ΜΥΤΙΛΗΝΗΣ</t>
  </si>
  <si>
    <t>mail@4nip-mytil.les.sch.gr</t>
  </si>
  <si>
    <t>ΕΛ ΒΕΝΙΖΕΛΟΥ 22</t>
  </si>
  <si>
    <t>13ο ΝΗΠΙΑΓΩΓΕΙΟ ΜΥΤΙΛΗΝΗΣ</t>
  </si>
  <si>
    <t>mail@13nip-mytil.les.sch.gr</t>
  </si>
  <si>
    <t>ΓΥΜΝΑΣΙΑΡΧΟΥ ΔΑΥΙΔ  15</t>
  </si>
  <si>
    <t>ΝΗΠΙΑΓΩΓΕΙΟ ΣΙΓΡΙ ΛΕΣΒΟΥ</t>
  </si>
  <si>
    <t>mail@nip-sigriou.les.sch.gr</t>
  </si>
  <si>
    <t>ΜΗΘΥΜΝΗΣ</t>
  </si>
  <si>
    <t>ΔΗΜΟΤΙΚΟ ΣΧΟΛΕΙΟ ΜΗΘΥΜΝΑΣ- ΛΕΣΒΟΥ</t>
  </si>
  <si>
    <t>mail@dim-mithymn.les.sch.gr</t>
  </si>
  <si>
    <t>ΜΗΘΥΜΝΑ- ΛΕΣΒΟΥ</t>
  </si>
  <si>
    <t>ΜΗΘΥΜΝΑ ΛΕΣΒΟΥ</t>
  </si>
  <si>
    <t>ΚΟΝΤΟΠΟΥΛΙΟΥ</t>
  </si>
  <si>
    <t>mail@dim-kontop.les.sch.gr</t>
  </si>
  <si>
    <t>ΚΟΝΤΟΠΟΥΛΙ</t>
  </si>
  <si>
    <t>ΚΟΝΤΟΠΟΥΛΙ ΛΗΜΝΟΥ</t>
  </si>
  <si>
    <t>ΝΗΠΙΑΓΩΓΕΙΟ ΛΟΥΤΡΟΠΟΛΕΩΣ ΘΕΡΜΗΣ ΛΕΣΒΟΥ</t>
  </si>
  <si>
    <t>mail@nip-loutrop.les.sch.gr</t>
  </si>
  <si>
    <t>ΛΟΥΤΡΟΠΟΛΗ ΘΕΡΜΗΣ ΛΕΣΒΟΥ</t>
  </si>
  <si>
    <t>ΛΟΥΤΡΟΠΟΛΗ ΘΕΡΜΗΣ</t>
  </si>
  <si>
    <t>11ο ΝΗΠΙΑΓΩΓΕΙΟ ΜΥΤΙΛΗΝΗΣ</t>
  </si>
  <si>
    <t>mail@11nip-mytil.les.sch.gr</t>
  </si>
  <si>
    <t>ΑΣΚΛΗΠΙΟΥ 90</t>
  </si>
  <si>
    <t>ΝΗΠΙΑΓΩΓΕΙΟ ΠΕΡΑΜΑΤΟΣ ΛΕΣΒΟΥ</t>
  </si>
  <si>
    <t>mail@nip-peram.les.sch.gr</t>
  </si>
  <si>
    <t>ΠΕΡΑΜΑ ΛΕΣΒΟΣ</t>
  </si>
  <si>
    <t>ΝΗΠΙΑΓΩΓΕΙΟ ΠΑΡΑΚΟΙΛΩΝ ΛΕΣΒΟΥ</t>
  </si>
  <si>
    <t>mail@nip-parak.les.sch.gr</t>
  </si>
  <si>
    <t>ΠΑΡΑΚΟΙΛΩΝ ΛΕΣΒΟΥ</t>
  </si>
  <si>
    <t>mail@dim-mantam.les.sch.gr</t>
  </si>
  <si>
    <t>ΜΑΝΤΑΜΑΔΟΣ ΛΕΣΒΟΣ</t>
  </si>
  <si>
    <t>ΝΗΠΙΑΓΩΓΕΙΟ ΜΑΝΤΑΜΑΔΟΥ ΛΕΣΒΟΥ</t>
  </si>
  <si>
    <t>mail@nip-mantam.les.sch.gr</t>
  </si>
  <si>
    <t>ΝΗΠΙΑΓΩΓΕΙΟ ΚΟΝΤΟΠΟΥΛΙΟΥ ΛΗΜΝΟΥ</t>
  </si>
  <si>
    <t>mail@nip-kontop.les.sch.gr</t>
  </si>
  <si>
    <t>ΚΟΝΤΟΠΟΥΛΙ ΛΗΜΝΟΣ</t>
  </si>
  <si>
    <t>ΚΑΤΩ ΤΡΙΤΟΥΣ</t>
  </si>
  <si>
    <t>ΝΗΠΙΑΓΩΓΕΙΟ ΚΑΤΩ ΤΡΙΤΟΥΣ ΛΕΣΒΟΥ</t>
  </si>
  <si>
    <t>mail@nip-kat-tritous.les.sch.gr</t>
  </si>
  <si>
    <t>ΚΑΤΩ ΤΡΙΤΟΣ ΛΕΣΒΟΣ</t>
  </si>
  <si>
    <t>ΝΗΠΙΑΓΩΓΕΙΟ ΘΑΝΟΥΣ ΛΗΜΝΟΥ</t>
  </si>
  <si>
    <t>mail@nip-thanous.les.sch.gr</t>
  </si>
  <si>
    <t>ΘΑΝΟΣ ΛΗΜΝΟΣ</t>
  </si>
  <si>
    <t>ΝΗΠΙΑΓΩΓΕΙΟ ΛΟΥΤΡΩΝ ΛΕΣΒΟΥ</t>
  </si>
  <si>
    <t>mail@nip-loutr.les.sch.gr</t>
  </si>
  <si>
    <t>ΣΚΟΠΕΛΟΥ</t>
  </si>
  <si>
    <t>ΔΗΜΟΤΙΚΟ ΣΧΟΛΕΙΟ ΣΚΟΠΕΛΟΥ ΛΕΣΒΟΥ</t>
  </si>
  <si>
    <t>mail@dim-skopel.les.sch.gr</t>
  </si>
  <si>
    <t>ΣΚΟΠΕΛΟΣ ΛΕΣΒΟΣ</t>
  </si>
  <si>
    <t>ΝΗΠΙΑΓΩΓΕΙΟ ΜΕΓΑΛΟΧΩΡΙΟΥ ΛΕΣΒΟΥ</t>
  </si>
  <si>
    <t>mail@nip-megal.les.sch.gr</t>
  </si>
  <si>
    <t>ΜΕΓΑΛΟΧΩΡΙ ΠΛΩΜΑΡΙΟΥ</t>
  </si>
  <si>
    <t>ΜΕΓΑΛΟΧΩΡΙ  ΛΕΣΒΟΥ</t>
  </si>
  <si>
    <t>ΜΕΓΑΛΟΧΩΡΙ</t>
  </si>
  <si>
    <t>2ο ΔΗΜΟΤΙΚΟ ΣΧΟΛΕΙΟ ΜΥΤΙΛΗΝΗΣ</t>
  </si>
  <si>
    <t>mail@2dim-mytil.les.sch.gr</t>
  </si>
  <si>
    <t>ΚΑΜΑΡΕΣ</t>
  </si>
  <si>
    <t>mail@dim-loutrop.les.sch.gr</t>
  </si>
  <si>
    <t>ΛΟΥΤΡΟΠΟΛΗ ΘΕΡΜΗΣ ΛΕΣΒΟΣ</t>
  </si>
  <si>
    <t>ΛΟΥΤΡ.ΘΕΡΜΗΣ ΛΕΣΒΟΥ</t>
  </si>
  <si>
    <t>ΝΗΠΙΑΓΩΓΕΙΟ ΑΝΤΙΣΣΑΣ ΛΕΣΒΟΥ</t>
  </si>
  <si>
    <t>mail@nip-antiss.les.sch.gr</t>
  </si>
  <si>
    <t>mail@dim-antiss.les.sch.gr</t>
  </si>
  <si>
    <t>ΠΗΓΗΣ</t>
  </si>
  <si>
    <t>ΔΗΜΟΤΙΚΟ ΣΧΟΛΕΙΟ ΠΗΓΗΣ ΛΕΣΒΟΥ</t>
  </si>
  <si>
    <t>mail@dim-pigis.les.sch.gr</t>
  </si>
  <si>
    <t>ΠΗΓΗ ΛΕΣΒΟΣ</t>
  </si>
  <si>
    <t>ΝΗΠΙΑΓΩΓΕΙΟ ΣΚΑΛΟΧΩΡΙ ΛΕΣΒΟΥ</t>
  </si>
  <si>
    <t>mail@nip-skaloch.les.sch.gr</t>
  </si>
  <si>
    <t>2ο ΝΗΠΙΑΓΩΓΕΙΟ ΜΥΡΙΝΑΣ ΛΗΜΝΟΥ</t>
  </si>
  <si>
    <t>mail@2nip-myrin.les.sch.gr</t>
  </si>
  <si>
    <t>ΚΟΙΜΗΣΕΩΣ ΘΕΟΤΟΚΟΥ  26</t>
  </si>
  <si>
    <t>ΝΗΠΙΑΓΩΓΕΙΟ ΣΚΑΛΑΣ ΚΑΛΛΟΝΗΣ ΛΕΣΒΟΥ</t>
  </si>
  <si>
    <t>mail@nip-skalas.les.sch.gr</t>
  </si>
  <si>
    <t>ΣΚΑΛΑ ΚΑΛΛΟΝΗΣ ΛΕΣΒΟΥ</t>
  </si>
  <si>
    <t>ΝΗΠΙΑΓΩΓΕΙΟ ΑΓΡΑΣ ΛΕΣΒΟΥ</t>
  </si>
  <si>
    <t>mail@nip-agras.les.sch.gr</t>
  </si>
  <si>
    <t>ΝΗΠΙΑΓΩΓΕΙΟ ΚΑΣΠΑΚΑ ΛΗΜΝΟΥ</t>
  </si>
  <si>
    <t>mail@nip-kaspak.les.sch.gr</t>
  </si>
  <si>
    <t>ΚΑΣΠΑΚΑΣ ΛΗΜΝΟΣ</t>
  </si>
  <si>
    <t>ΝΗΠΙΑΓΩΓΕΙΟ ΠΑΝΑΓΙΟΥΔΑΣ ΛΕΣΒΟΥ</t>
  </si>
  <si>
    <t>mail@nip-panag.les.sch.gr</t>
  </si>
  <si>
    <t>ΠΑΝΑΓΙΟΥΔΑ ΛΕΣΒΟΣ</t>
  </si>
  <si>
    <t>ΠΑΝΑΓΙΟΥΔΑ ΛΕΣΒΟΣΣυγκεντρωτικά Στοιχεία μαθητών/μαθητριών με ΕΕΑ</t>
  </si>
  <si>
    <t>14ο ΝΗΠΙΑΓΩΓΕΙΟ ΜΥΤΙΛΗΝΗΣ</t>
  </si>
  <si>
    <t>mail@14nip-mytil.les.sch.gr</t>
  </si>
  <si>
    <t>ΜΙΚΡΑΣ ΑΣΙΑΣ 2</t>
  </si>
  <si>
    <t>ΝΗΠΙΑΓΩΓΕΙΟ ΧΙΔΗΡΩΝ ΛΕΣΒΟΥ</t>
  </si>
  <si>
    <t>mail@nip-chidir.les.sch.gr</t>
  </si>
  <si>
    <t>ΜΙΣΤΕΓΝΩΝ</t>
  </si>
  <si>
    <t>ΔΗΜΟΤΙΚΟ ΣΧΟΛΕΙΟ ΜΙΣΤΕΓΝΩΝ ΛΕΣΒΟΥ</t>
  </si>
  <si>
    <t>mail@dim-mistegn.les.sch.gr</t>
  </si>
  <si>
    <t>ΜΙΣΤΕΓΝΑ ΛΕΣΒΟΣ</t>
  </si>
  <si>
    <t>mail@dim-ag-efstr.les.sch.gr</t>
  </si>
  <si>
    <t>ΑΓΙΟΣ ΕΥΣΤΡΑΤΙΟΣ ΛΗΜΝΟΥ</t>
  </si>
  <si>
    <t>mail@5dim-mytil.les.sch.gr</t>
  </si>
  <si>
    <t>Αδραμυττίου 19</t>
  </si>
  <si>
    <t>ΠΑΛΑΙΟΚΗΠΟΥ</t>
  </si>
  <si>
    <t>ΝΗΠΙΑΓΩΓΕΙΟ ΠΑΛΑΙΟΚΗΠΟΥ ΛΕΣΒΟΥ</t>
  </si>
  <si>
    <t>mail@nip-palaiok.les.sch.gr</t>
  </si>
  <si>
    <t>ΠΑΛΑΙΟΚΗΠΟΣ ΛΕΣΒΟΣ</t>
  </si>
  <si>
    <t>mail@dim-pamfil.les.sch.gr</t>
  </si>
  <si>
    <t>Πάμφιλα Λέσβου</t>
  </si>
  <si>
    <t>3ο ΔΗΜΟΤΙΚΟ ΣΧΟΛΕΙΟ ΜΥΡΙΝΑΣ ΛΗΜΝΟΥ</t>
  </si>
  <si>
    <t>mail@3dim-myrin.les.sch.gr</t>
  </si>
  <si>
    <t>ΚΟΤΣΙΡΑ ΑΝΔΡΩΝΙ</t>
  </si>
  <si>
    <t>2ο ΝΗΠΙΑΓΩΓΕΙΟ ΜΥΤΙΛΗΝΗΣ</t>
  </si>
  <si>
    <t>mail@2nip-mytil.les.sch.gr</t>
  </si>
  <si>
    <t>ΚΑΜΑΡΕΣ ΜΥΤΙΛΗΝΗ</t>
  </si>
  <si>
    <t>ΝΗΠΙΑΓΩΓΕΙΟ Ν. ΚΟΥΤΑΛΗΣ ΛΗΜΝΟΥ</t>
  </si>
  <si>
    <t>mail@nip-n-koutal.les.sch.gr</t>
  </si>
  <si>
    <t>Ν. ΚΟΥΤΑΛΗ ΛΗΜΝΟΣ</t>
  </si>
  <si>
    <t>ΝΗΠΙΑΓΩΓΕΙΟ ΑΓΙΟΥ ΕΥΣΤΡΑΤΙΟΥ</t>
  </si>
  <si>
    <t>mail@nip-ag-efstr.les.sch.gr</t>
  </si>
  <si>
    <t>ΜΕΣΟΤΟΠΟΥ</t>
  </si>
  <si>
    <t>ΔΗΜΟΤΙΚΟ ΣΧΟΛΕΙΟ ΜΕΣΟΤΟΠΟΥ ΛΕΣΒΟΥ</t>
  </si>
  <si>
    <t>mail@dim-mesot.les.sch.gr</t>
  </si>
  <si>
    <t>ΜΕΣΟΤΟΠΟΣ ΛΕΣΒΟΥ</t>
  </si>
  <si>
    <t>mail@dim-eresou.les.sch.gr</t>
  </si>
  <si>
    <t>ΕΡΕΣΟΣ ΛΕΣΒΟΥ</t>
  </si>
  <si>
    <t>ΝΕΩΝ ΚΥΔΩΝΙΩΝ</t>
  </si>
  <si>
    <t>ΝΗΠΙΑΓΩΓΕΙΟ ΝΕΩΝ ΚΥΔΩΝΙΩΝ ΛΕΣΒΟΥ</t>
  </si>
  <si>
    <t>mail@nip-n-kydon.les.sch.gr</t>
  </si>
  <si>
    <t>ΝΕΕΣ ΚΥΔΩΝΙΕΣ ΛΕΣΒΟΣ</t>
  </si>
  <si>
    <t>1ο ΝΗΠΙΑΓΩΓΕΙΟ ΚΑΛΛΟΝΗΣ ΛΕΣΒΟΥ</t>
  </si>
  <si>
    <t>mail@1nip-kallon.les.sch.gr</t>
  </si>
  <si>
    <t>ΑΡΙΣΒΗ ΚΑΛΛΟΝΗΣ ΛΕΣΒΟΥ</t>
  </si>
  <si>
    <t>ΤΡΥΓΟΝΑ</t>
  </si>
  <si>
    <t>ΝΗΠΙΑΓΩΓΕΙΟ ΤΡΥΓΟΝΑ ΛΕΣΒΟΥ</t>
  </si>
  <si>
    <t>mail@nip-trygon.les.sch.gr</t>
  </si>
  <si>
    <t>ΤΡΥΓΟΝΑΣ ΛΕΣΒΟΣ</t>
  </si>
  <si>
    <t>ΝΗΠΙΑΓΩΓΕΙΟ ΠΗΓΗΣ ΛΕΣΒΟΥ</t>
  </si>
  <si>
    <t>mail@nip-pigis.les.sch.gr</t>
  </si>
  <si>
    <t>2ο ΝΗΠΙΑΓΩΓΕΙΟ ΠΛΩΜΑΡΙΟΥ ΛΕΣΒΟΥ</t>
  </si>
  <si>
    <t>mail@2nip-plomar.les.sch.gr</t>
  </si>
  <si>
    <t xml:space="preserve">ΠΛΩΜΑΡΙ ΛΕΣΒΟΣ  </t>
  </si>
  <si>
    <t>ΝΗΠΙΑΓΩΓΕΙΟ ΠΑΜΦΙΛΩΝ ΛΕΣΒΟΥ</t>
  </si>
  <si>
    <t>mail@nip-pamfil.les.sch.gr</t>
  </si>
  <si>
    <t>ΠΑΜΦΙΛΑ ΛΕΣΒΟΣ</t>
  </si>
  <si>
    <t>2ο ΝΗΠΙΑΓΩΓΕΙΟ ΚΑΛΛΟΝΗΣ ΛΕΣΒΟΥ</t>
  </si>
  <si>
    <t>mail@2nip-kallon.les.sch.gr</t>
  </si>
  <si>
    <t>ΑΡΙΣΒΗ ΚΑΛΛΟΝΗΣ</t>
  </si>
  <si>
    <t>ΕΙΔΙΚΟ ΝΗΠΙΑΓΩΓΕΙΟ ΜΥΤΙΛΗΝΗΣ</t>
  </si>
  <si>
    <t>mail@nip-eid-mytil.les.sch.gr</t>
  </si>
  <si>
    <t>6ο ΝΗΠΙΑΓΩΓΕΙΟ ΜΥΤΙΛΗΝΗΣ</t>
  </si>
  <si>
    <t>mail@6nip-mytil.les.sch.gr</t>
  </si>
  <si>
    <t>ΑΣΚΛΗΠΙΟΥ ΚΑΙ ΟΙΚΟΝΟΜΟΥ ΤΑΞΗ ΓΩΝΙΑ ΜΥΤΙΛΗΝΗ</t>
  </si>
  <si>
    <t>ΕΙΔΙΚΟ ΔΗΜΟΤΙΚΟ ΣΧΟΛΕΙΟ ΜΥΤΙΛΗΝΗΣ</t>
  </si>
  <si>
    <t>mail@dim-eid-mytil.les.sch.gr</t>
  </si>
  <si>
    <t>Γ.Μούρα 10</t>
  </si>
  <si>
    <t>1ο ΝΗΠΙΑΓΩΓΕΙΟ ΠΛΩΜΑΡΙΟΥ ΛΕΣΒΟΥ</t>
  </si>
  <si>
    <t>mail@1nip-plomar.les.sch.gr</t>
  </si>
  <si>
    <t>ΠΛΩΜΑΡΙ ΛΕΣΒΟΣ</t>
  </si>
  <si>
    <t>ΝΗΠΙΑΓΩΓΕΙΟ ΧΑΛΙΚΩΝ ΜΥΤΙΛΗΝΗΣ</t>
  </si>
  <si>
    <t>mail@nip-chalik.les.sch.gr</t>
  </si>
  <si>
    <t>ΧΑΛΙΚΑΣ ΜΥΤΙΛΗΝΗ</t>
  </si>
  <si>
    <t>ΧΑΛΙΚΑΣ ΛΕΣΒΟΣ</t>
  </si>
  <si>
    <t>10ο ΝΗΠΙΑΓΩΓΕΙΟ ΜΥΤΙΛΗΝΗΣ</t>
  </si>
  <si>
    <t>mail@10nip-mytil.les.sch.gr</t>
  </si>
  <si>
    <t>Γ. ΜΟΥΡΑ 10  ΜΥΤΙΛΗΝΗ</t>
  </si>
  <si>
    <t>6ο ΔΗΜΟΤΙΚΟ ΣΧΟΛΕΙΟ ΜΥΤΙΛΗΝΗΣ</t>
  </si>
  <si>
    <t>mail@6dim-mytil.les.sch.gr</t>
  </si>
  <si>
    <t>ΕΛΕΥΘΕΡΙΟΥ ΒΕΝΙΖΕΛΟΥ 22</t>
  </si>
  <si>
    <t>ΝΗΠΙΑΓΩΓΕΙΟ ΣΚΟΠΕΛΟΥ ΛΕΣΒΟΥ</t>
  </si>
  <si>
    <t>mail@nip-skopel.les.sch.gr</t>
  </si>
  <si>
    <t>ΣΚΟΠΕΛΟΣ ΛΕΣΒΟΥ</t>
  </si>
  <si>
    <t>ΝΗΠΙΑΓΩΓΕΙΟ ΚΑΠΗΣ ΛΕΣΒΟΥ</t>
  </si>
  <si>
    <t>mail@nip-kapis.les.sch.gr</t>
  </si>
  <si>
    <t>ΚΑΠΗ ΛΕΣΒΟΣ</t>
  </si>
  <si>
    <t>ΝΗΠΙΑΓΩΓΕΙΟ ΒΑΡΕΙΑΣ ΛΕΣΒΟΥ</t>
  </si>
  <si>
    <t>mail@nip-vareias.les.sch.gr</t>
  </si>
  <si>
    <t>ΒΑΡΕΙΑ ΛΕΣΒΟΣ</t>
  </si>
  <si>
    <t>ΑΚΡΩΤΗΡΙ</t>
  </si>
  <si>
    <t>ΔΗΜΟΤΙΚΟ ΣΧΟΛΕΙΟ ΚΑΤΩ ΤΡΙΤΟΣ ΛΕΣΒΟΥ</t>
  </si>
  <si>
    <t>mail@dim-kat-tritou.les.sch.gr</t>
  </si>
  <si>
    <t>mail@dim-chalik.les.sch.gr</t>
  </si>
  <si>
    <t>ΧΑΛΙΚΑΣ ΜΥΤΙΛΗΝΗΣ ΛΕΣΒΟΣ</t>
  </si>
  <si>
    <t>ΜΕΣΑΙΟΣ ΧΑΛΙΚΑΣ ΜΥΤΙΛΗΝΗΣ  ΛΕΣΒΟΥ</t>
  </si>
  <si>
    <t>1ο ΝΗΠΙΑΓΩΓΕΙΟ ΜΥΤΙΛΗΝΗΣ</t>
  </si>
  <si>
    <t>mail@1nip-mytil.les.sch.gr</t>
  </si>
  <si>
    <t>ΑΕΡΟΠΟΡΟΥ ΓΙΑΝΝΑΡΕΛΛΗ ΜΥΤΙΛΗΝΗ 49</t>
  </si>
  <si>
    <t>7ο ΝΗΠΙΑΓΩΓΕΙΟ ΜΥΤΙΛΗΝΗΣ</t>
  </si>
  <si>
    <t>mail@7nip-mytil.les.sch.gr</t>
  </si>
  <si>
    <t>ΜΥΤΙΛΗΝΗΣ ΛΕΣΒΟΥ</t>
  </si>
  <si>
    <t>ΓΡΗΓΟΡΙΟΥ ΠΑΠΑΜΙΧΑΗΛ 11</t>
  </si>
  <si>
    <t>ΑΓΙΑΣ ΜΑΡΙΝΗΣ</t>
  </si>
  <si>
    <t>ΝΗΠΙΑΓΩΓΕΙΟ ΑΓΙΑΣ ΜΑΡΙΝΑΣ ΛΕΣΒΟΥ</t>
  </si>
  <si>
    <t>mail@nip-ag-marin.les.sch.gr</t>
  </si>
  <si>
    <t>ΑΓΙΑ ΜΑΡΙΝΑ ΛΕΣΒΟΥ</t>
  </si>
  <si>
    <t>ΑΦΑΛΩΝΟΣ</t>
  </si>
  <si>
    <t>ΝΗΠΙΑΓΩΓΕΙΟ ΑΦΑΛΩΝΑ ΛΕΣΒΟΥ</t>
  </si>
  <si>
    <t>mail@nip-afalon.les.sch.gr</t>
  </si>
  <si>
    <t>ΑΦΑΛΩΝΑΣ ΛΕΣΒΟΣ</t>
  </si>
  <si>
    <t>ΝΗΠΙΑΓΩΓΕΙΟ ΑΓΙΑΣΟΥ ΛΕΣΒΟΥ</t>
  </si>
  <si>
    <t>mail@nip-agias.les.sch.gr</t>
  </si>
  <si>
    <t>ΑΓΙΑΣΟΣ ΛΕΣΒΟΣ</t>
  </si>
  <si>
    <t>ΝΗΠΙΑΓΩΓΕΙΟ ΜΟΡΙΑΣ ΛΕΣΒΟΥ</t>
  </si>
  <si>
    <t>mail@nip-morias.les.sch.gr</t>
  </si>
  <si>
    <t>ΜΟΡΙΑ ΛΕΣΒΟΣ</t>
  </si>
  <si>
    <t>mail@15dim-mytil.les.sch.gr</t>
  </si>
  <si>
    <t>ΘΕΟΦΙΛΟΥ ΧΑΤΖΗΜΙΧΑΗΛ 2</t>
  </si>
  <si>
    <t>ΝΗΠΙΑΓΩΓΕΙΟ ΠΑΠΑΔΟΥ ΛΕΣΒΟΥ</t>
  </si>
  <si>
    <t>mail@nip-papad.les.sch.gr</t>
  </si>
  <si>
    <t>ΠΑΠΑΔΟΣ ΛΕΣΒΟΣ</t>
  </si>
  <si>
    <t>ΠΑΠΑΔΟΣ ΓΕΡΑΣ</t>
  </si>
  <si>
    <t>ΔΗΜΟΤΙΚΟ ΣΧΟΛΕΙΟ ΝΕΩΝ ΚΥΔΩΝΙΩΝ ΛΕΣΒΟΥ</t>
  </si>
  <si>
    <t>mail@dim-n-kydon.les.sch.gr</t>
  </si>
  <si>
    <t>Νέες Κυδωνίες</t>
  </si>
  <si>
    <t>mail@dim-ippeiou.les.sch.gr</t>
  </si>
  <si>
    <t>mail@3dim-mytil.les.sch.gr</t>
  </si>
  <si>
    <t>7ο ΔΗΜΟΤΙΚΟ ΣΧΟΛΕΙΟ ΜΥΤΙΛΗΝΗΣ</t>
  </si>
  <si>
    <t>mail@7dim-mytil.les.sch.gr</t>
  </si>
  <si>
    <t>ΝΗΠΙΑΓΩΓΕΙΟ ΜΕΣΑΓΡΟΥ ΛΕΣΒΟΥ</t>
  </si>
  <si>
    <t>mail@nip-mesagr.les.sch.gr</t>
  </si>
  <si>
    <t>ΜΕΣΑΓΡΟΥ ΛΕΣΒΟΥ</t>
  </si>
  <si>
    <t>ΜΕΣΑΓΡΟΣ ΛΕΣΒΟΣ</t>
  </si>
  <si>
    <t>ΝΗΠΙΑΓΩΓΕΙΟ ΠΟΛΙΧΝΙΤΟΥ ΛΕΣΒΟΥ</t>
  </si>
  <si>
    <t>mail@nip-polichn.les.sch.gr</t>
  </si>
  <si>
    <t>ΠΟΛΙΧΝΙΤΟΣ ΛΕΣΒΟΣ</t>
  </si>
  <si>
    <t>mail@dim-papad.les.sch.gr</t>
  </si>
  <si>
    <t>mail@dim-morias.les.sch.gr</t>
  </si>
  <si>
    <t>ΒΡΙΣΑΣ</t>
  </si>
  <si>
    <t>ΔΗΜΟΤΙΚΟ ΣΧΟΛΕΙΟ ΒΡΙΣΑΣ ΛΕΣΒΟΥ</t>
  </si>
  <si>
    <t>mail@dim-vrisas.les.sch.gr</t>
  </si>
  <si>
    <t>ΒΡΙΣΑ ΛΕΣΒΟΣ</t>
  </si>
  <si>
    <t>ΔΗΜΟΤΙΚΟ ΣΧΟΛΕΙΟ ΠΑΛΑΙΟΚΗΠΟΥ ΛΕΣΒΟΥ</t>
  </si>
  <si>
    <t>mail@dim-palaiok.les.sch.gr</t>
  </si>
  <si>
    <t>ΔΗΜΟΤΙΚΟ ΣΧΟΛΕΙΟ ΠΕΡΑΜΑΤΟΣ ΛΕΣΒΟΥ</t>
  </si>
  <si>
    <t>mail@dim-peram.les.sch.gr</t>
  </si>
  <si>
    <t>ΠΕΡΑΜΑ ΛΕΣΒΟΥ</t>
  </si>
  <si>
    <t>8ο ΔΗΜΟΤΙΚΟ ΣΧΟΛΕΙΟ ΜΥΤΙΛΗΝΗΣ</t>
  </si>
  <si>
    <t>mail@8dim-mytil.les.sch.gr</t>
  </si>
  <si>
    <t>ΓΕΡΜΑΝΟΥ ΚΑΡΑΒΑΓΓΕΛΗ 54</t>
  </si>
  <si>
    <t>9ο ΔΗΜΟΤΙΚΟ ΣΧΟΛΕΙΟ ΜΥΤΙΛΗΝΗΣ</t>
  </si>
  <si>
    <t>mail@9dim-mytil.les.sch.gr</t>
  </si>
  <si>
    <t>ΜΥΤΙΛΗΝΗ,</t>
  </si>
  <si>
    <t>ΝΗΠΙΑΓΩΓΕΙΟ ΒΡΙΣΑΣ ΛΕΣΒΟΥ</t>
  </si>
  <si>
    <t>mail@nip-vrisas.les.sch.gr</t>
  </si>
  <si>
    <t>mail@dim-kalon.les.sch.gr</t>
  </si>
  <si>
    <t>ΝΗΠΙΑΓΩΓΕΙΟ ΜΕΣΟΤΟΠΟΥ ΛΕΣΒΟΥ</t>
  </si>
  <si>
    <t>mail@nip-mesot.les.sch.gr</t>
  </si>
  <si>
    <t>ΝΗΠΙΑΓΩΓΕΙΟ ΠΕΤΡΑΣ ΛΕΣΒΟΥ</t>
  </si>
  <si>
    <t>mail@nip-petras.les.sch.gr</t>
  </si>
  <si>
    <t>ΝΗΠΙΑΓΩΓΕΙΟ ΙΠΠΕΙΟΥ ΛΕΣΒΟΥ</t>
  </si>
  <si>
    <t>mail@nip-ippeiou.les.sch.gr</t>
  </si>
  <si>
    <t>ΙΠΠΕΙΟΣ ΛΕΣΒΟΣ</t>
  </si>
  <si>
    <t>ΔΑΦΙΩΝ</t>
  </si>
  <si>
    <t>ΔΗΜΟΤΙΚΟ ΣΧΟΛΕΙΟ ΔΑΦΙΩΝ ΛΕΣΒΟΥ</t>
  </si>
  <si>
    <t>mail@dim-dafion.les.sch.gr</t>
  </si>
  <si>
    <t>ΔΑΦΙΑ</t>
  </si>
  <si>
    <t>ΔΑΦΙΑ ΛΕΣΒΟΥ</t>
  </si>
  <si>
    <t>ΝΗΠΙΑΓΩΓΕΙΟ ΔΑΦΙΩΝ ΛΕΣΒΟΥ</t>
  </si>
  <si>
    <t>mail@nip-dafion.les.sch.gr</t>
  </si>
  <si>
    <t>ΝΗΠΙΑΓΩΓΕΙΟ ΜΗΘΥΜΝΑΣ ΛΕΣΒΟΥ</t>
  </si>
  <si>
    <t>mail@nip-mithymn.les.sch.gr</t>
  </si>
  <si>
    <t>ΝΗΠΙΑΓΩΓΕΙΟ ΜΙΣΤΕΓΝΩΝ ΛΕΣΒΟΥ</t>
  </si>
  <si>
    <t>mail@nip-mistegn.les.sch.gr</t>
  </si>
  <si>
    <t>ΝΗΠΙΑΓΩΓΕΙΟ ΕΡΕΣΟΥ ΛΕΣΒΟΥ</t>
  </si>
  <si>
    <t>mail@nip-eresou.les.sch.gr</t>
  </si>
  <si>
    <t>ΝΗΠΙΑΓΩΓΕΙΟ ΑΓΙΑΣ ΠΑΡΑΣΚΕΥΗΣ ΛΕΣΒΟΥ</t>
  </si>
  <si>
    <t>mail@nip-ag-parask.les.sch.gr</t>
  </si>
  <si>
    <t>ΝΗΠΙΑΓΩΓΕΙΟ ΦΙΛΙΑΣ ΛΕΣΒΟΥ</t>
  </si>
  <si>
    <t>mail@nip-filias.les.sch.gr</t>
  </si>
  <si>
    <t>12ο ΝΗΠΙΑΓΩΓΕΙΟ ΜΥΤΙΛΗΝΗΣ</t>
  </si>
  <si>
    <t>mail@12nip-mytil.les.sch.gr</t>
  </si>
  <si>
    <t>ΑΛΥΦΑΝΤΑ</t>
  </si>
  <si>
    <t>ΝΗΠΙΑΓΩΓΕΙΟ ΒΑΤΟΥΣΑΣ ΛΕΣΒΟΥ</t>
  </si>
  <si>
    <t>mail@nip-vatous.les.sch.gr</t>
  </si>
  <si>
    <t>ΝΗΠΙΑΓΩΓΕΙΟ ΣΚΟΥΤΑΡΟΥ ΛΕΣΒΟΥ</t>
  </si>
  <si>
    <t>mail@nip-skout.les.sch.gr</t>
  </si>
  <si>
    <t>ΣΚΟΥΤΑΡΟΣ ΛΕΣΒΟΥ</t>
  </si>
  <si>
    <t>ΝΗΠΙΑΓΩΓΕΙΟ ΣΥΚΑΜΙΝΕΑΣ ΛΕΣΒΟΥ</t>
  </si>
  <si>
    <t>mail@nip-sykam.les.sch.gr</t>
  </si>
  <si>
    <t>ΛΕΠΕΤΥΜΝΟΣ ΛΕΣΒΟΥ</t>
  </si>
  <si>
    <t>ΛΙΣΒΟΡΙΟΥ</t>
  </si>
  <si>
    <t>ΝΗΠΙΑΓΩΓΕΙΟ ΛΙΣΒΟΡΙΟΥ ΛΕΣΒΟΥ</t>
  </si>
  <si>
    <t>mail@nip-lisvor.les.sch.gr</t>
  </si>
  <si>
    <t>ΛΙΣΒΟΡΙ ΛΕΣΒΟΣ</t>
  </si>
  <si>
    <t>ΕΙΔΙΚΟ ΔΗΜΟΤΙΚΟ ΣΧΟΛΕΙΟ ΚΑΛΛΟΝΗΣ ΛΕΣΒΟΥ</t>
  </si>
  <si>
    <t>mail@dim-eid-kallon.les.sch.gr</t>
  </si>
  <si>
    <t>ΔΗΜΟΤΙΚΟ ΣΧΟΛΕΙΟ ΤΑΞΙΑΡΧΩΝ ΜΥΤΙΛΗΝΗΣ ΛΕΣΒΟΥ</t>
  </si>
  <si>
    <t>mail@dim-taxiarch.les.sch.gr</t>
  </si>
  <si>
    <t>ΤΑΞΙΑΡΧΕΣ</t>
  </si>
  <si>
    <t>ΔΗΜΟΤΙΚΟ ΣΧΟΛΕΙΟ ΕΙΔΙΚΗΣ ΑΓΩΓΗΣ ΚΑΛΛΙΘΕΑΣ ΛΗΜΝΟΥ</t>
  </si>
  <si>
    <t>mail@dim-eid-kallith.les.sch.gr</t>
  </si>
  <si>
    <t>ΚΑΛΛΙΘΕΑΣ ΛΗΜΝΟΥ</t>
  </si>
  <si>
    <t>ΕΙΔΙΚΟ ΝΗΠΙΑΓΩΓΕΙΟ ΚΑΛΛΟΝΗΣ</t>
  </si>
  <si>
    <t>mail@nip-eid-kallon.les.sch.gr</t>
  </si>
  <si>
    <t>ΔΙΕΥΘΥΝΣΗ Π.Ε. ΣΑΜΟΥ</t>
  </si>
  <si>
    <t>ΝΗΠΙΑΓΩΓΕΙΟ ΚΑΡΑΒΟΣΤΑΜΟΥ</t>
  </si>
  <si>
    <t>mail@nip-karav.sam.sch.gr</t>
  </si>
  <si>
    <t>ΚΑΡΑΒΟΣΤΑΜΟ ΙΚΑΡΙΑΣ</t>
  </si>
  <si>
    <t>ΠΛΑΤΑΝΟΥ</t>
  </si>
  <si>
    <t>ΝΗΠΙΑΓΩΓΕΙΟ ΠΛΑΤΑΝΟΥ ΚΑΡΛΟΒΑΣΙΟΥ</t>
  </si>
  <si>
    <t>mail@nip-platan.sam.sch.gr</t>
  </si>
  <si>
    <t>ΠΛΑΤΑΝΟΣ</t>
  </si>
  <si>
    <t>ΝΗΠΙΑΓΩΓΕΙΟ ΠΥΘΑΓΟΡΕΙΟΥ</t>
  </si>
  <si>
    <t>mail@nip-pythag.sam.sch.gr</t>
  </si>
  <si>
    <t>ΩΡΟΛΟΓΑ &amp; ΑΙΓΑΙΟΥ ΠΕΛΑΓΟΥΣ</t>
  </si>
  <si>
    <t>ΑΓΙΟΥ ΚΩΝΣΤΑΝΤΙΝΟΥ</t>
  </si>
  <si>
    <t>ΝΗΠΙΑΓΩΓΕΙΟ ΑΓΙΟΥ ΚΩΝΣΤΑΝΤΙΝΟΥ ΣΑΜΟΥ</t>
  </si>
  <si>
    <t>mail@nip-ag-konst.sam.sch.gr</t>
  </si>
  <si>
    <t>ΑΓΙΟΣ ΚΩΝΣΤΑΝΤΙΝΟΣ</t>
  </si>
  <si>
    <t>ΔΗΜΟΤΙΚΟ ΣΧΟΛΕΙΟ ΑΓΙΟΥ ΚΩΝΣΤΑΝΤΙΝΟΥ ΣΑΜΟΥ</t>
  </si>
  <si>
    <t>mail@dim-ag-konst.sam.sch.gr</t>
  </si>
  <si>
    <t>ΝΗΠΙΑΓΩΓΕΙΟ ΜΕΣΑΙΟΥ ΚΑΡΛΟΒΑΣΟΥ</t>
  </si>
  <si>
    <t>mail@nip-messaiou.sam.sch.gr</t>
  </si>
  <si>
    <t>ΜΕΣΑΙΟΥ ΚΑΡΛΟΒΑΣΟΥ</t>
  </si>
  <si>
    <t>ΜΕΣΑΙΟ ΚΑΡΛΟΒΑΣΙ</t>
  </si>
  <si>
    <t>ΝΗΠΙΑΓΩΓΕΙΟ ΒΑΘΕΟΣ</t>
  </si>
  <si>
    <t>mail@nip-sam.sam.sch.gr</t>
  </si>
  <si>
    <t>ΒΑΘΥ</t>
  </si>
  <si>
    <t>ΝΗΠΙΑΓΩΓΕΙΟ ΧΩΡΑΣ ΣΑΜΟΥ</t>
  </si>
  <si>
    <t>mail@nip-choras.sam.sch.gr</t>
  </si>
  <si>
    <t>ΧΩΡΑ</t>
  </si>
  <si>
    <t>3ο ΝΗΠΙΑΓΩΓΕΙΟ ΝΕΟΥ ΚΑΡΛΟΒΑΣΙΟΥ ΣΑΜΟΥ</t>
  </si>
  <si>
    <t>mail@nip-n-karlov.sam.sch.gr</t>
  </si>
  <si>
    <t>ΚΑΡΛΟΒΑΣΙ ΛΙΜΑΝΙ</t>
  </si>
  <si>
    <t>mail@dim-pythag.sam.sch.gr</t>
  </si>
  <si>
    <t>ΠΥΘΑΓΟΡΕΙΟ</t>
  </si>
  <si>
    <t>ΛΥΚΟΥΡΓΟΥ ΛΟΓΟΘΕΤΗ</t>
  </si>
  <si>
    <t>ΜΥΤΙΛΗΝΙΩΝ</t>
  </si>
  <si>
    <t>ΝΗΠΙΑΓΩΓΕΙΟ ΜΥΤΙΛΗΝΙΩΝ ΣΑΜΟΥ</t>
  </si>
  <si>
    <t>mail@nip-mytil.sam.sch.gr</t>
  </si>
  <si>
    <t>ΜΥΤΙΛΗΝΙΟΙ</t>
  </si>
  <si>
    <t>ΥΔΡΟΥΣΣΗΣ</t>
  </si>
  <si>
    <t>ΝΗΠΙΑΓΩΓΕΙΟ ΥΔΡΟΥΣΣΑΣ</t>
  </si>
  <si>
    <t>mail@nip-ydrou.sam.sch.gr</t>
  </si>
  <si>
    <t>ΥΔΡΟΥΣΣΑΣ</t>
  </si>
  <si>
    <t>ΥΔΡΟΥΣΣΑ</t>
  </si>
  <si>
    <t>2ο ΝΗΠΙΑΓΩΓΕΙΟ ΣΑΜΟΥ</t>
  </si>
  <si>
    <t>mail@2nip-samou.sam.sch.gr</t>
  </si>
  <si>
    <t>ΜΕΛΙΣΣΟΥ 2</t>
  </si>
  <si>
    <t>ΠΑΓΩΝΔΟΥ</t>
  </si>
  <si>
    <t>ΝΗΠΙΑΓΩΓΕΙΟ ΗΡΑΙΟΥ</t>
  </si>
  <si>
    <t>mail@nip-iraiou.sam.sch.gr</t>
  </si>
  <si>
    <t>ΗΡΑΙΟΥ</t>
  </si>
  <si>
    <t>ΗΡΑΙΟ</t>
  </si>
  <si>
    <t>1ο ΝΗΠΙΑΓΩΓΕΙΟ ΝΕΟΥ ΚΑΡΛΟΒΑΣΟΥ</t>
  </si>
  <si>
    <t>mail@1nip-karlo.sam.sch.gr</t>
  </si>
  <si>
    <t>ΝΕΟΥ ΚΑΡΛΟΒΑΣΟΥ</t>
  </si>
  <si>
    <t>ΕΚΤΗΣ ΑΥΓΟΥΣΤΟΥ ΚΑΙ ΙΩΑΝΝΗ ΧΡΥΣΟΣΤΟΜΟΥ</t>
  </si>
  <si>
    <t>ΒΟΥΡΛΙΩΤΩΝ</t>
  </si>
  <si>
    <t>ΝΗΠΙΑΓΩΓΕΙΟ ΒΟΥΡΛΙΩΤΩΝ</t>
  </si>
  <si>
    <t>mail@nip-vourl.sam.sch.gr</t>
  </si>
  <si>
    <t>ΒΟΥΡΛΙΩΤΕΣ</t>
  </si>
  <si>
    <t>ΛΕΚΑΣ</t>
  </si>
  <si>
    <t>ΔΗΜΟΤΙΚΟ ΣΧΟΛΕΙΟ ΛΕΚΑΣ</t>
  </si>
  <si>
    <t>mail@dim-lekas.sam.sch.gr</t>
  </si>
  <si>
    <t>ΛΕΚΑ</t>
  </si>
  <si>
    <t>ΝΗΠΙΑΓΩΓΕΊΟ ΛΕΚΑΣ</t>
  </si>
  <si>
    <t>mail@nip-lekas.sam.sch.gr</t>
  </si>
  <si>
    <t>ΔΗΜΟΤΙΚΟ ΣΧΟΛΕΙΟ ΥΔΡΟΥΣΣΑΣ</t>
  </si>
  <si>
    <t>mail@dim-ydrous.sam.sch.gr</t>
  </si>
  <si>
    <t>ΚΟΚΚΑΡΙΟΥ</t>
  </si>
  <si>
    <t>ΝΗΠΙΑΓΩΓΕΙΟ ΚΟΚΚΑΡΙΟΥ</t>
  </si>
  <si>
    <t>mail@nip-kokkar.sam.sch.gr</t>
  </si>
  <si>
    <t>ΚΟΚΚΑΡΙ</t>
  </si>
  <si>
    <t>ΔΗΜΟΤΙΚΟ ΣΧΟΛΕΙΟ ΟΡΜΟΥ ΚΑΡΛΟΒΑΣΟΥ</t>
  </si>
  <si>
    <t>mail@dim-ormou.sam.sch.gr</t>
  </si>
  <si>
    <t>ΟΡΜΟΥ ΚΑΡΛΟΒΑΣΟΥ</t>
  </si>
  <si>
    <t>ΟΡΜΟΣ ΚΑΡΛΟΒΑΣΟΥ</t>
  </si>
  <si>
    <t>ΔΗΜΟΤΙΚΟ ΣΧΟΛΕΙΟ ΒΟΥΡΛΙΩΤΩΝ</t>
  </si>
  <si>
    <t>mail@dim-vourl.sam.sch.gr</t>
  </si>
  <si>
    <t>2ο ΝΗΠΙΑΓΩΓΕΙΟ ΝΕΟΥ ΚΑΡΛΟΒΑΣΟΥ</t>
  </si>
  <si>
    <t>mail@2nip-karlov.sam.sch.gr</t>
  </si>
  <si>
    <t>ΔΗΜΟΤΙΚΟ ΣΧΟΛΕΙΟ ΜΕΣΑΙΟΥ ΚΑΡΛΟΒΑΣΙΟΥ</t>
  </si>
  <si>
    <t>mail@dim-messaiou.sam.sch.gr</t>
  </si>
  <si>
    <t>mail@3dim-samou.sam.sch.gr</t>
  </si>
  <si>
    <t>Ταμπάκικα - Σάμος</t>
  </si>
  <si>
    <t>Δ. Νικολαρεΐζη</t>
  </si>
  <si>
    <t>ΔΗΜΟΤΙΚΟ ΣΧΟΛΕΙΟ ΚΟΚΚΑΡΙΟΥ ΣΑΜΟΥ</t>
  </si>
  <si>
    <t>mail@dim-kokkar.sam.sch.gr</t>
  </si>
  <si>
    <t>ΔΗΜΟΤΙΚΟ ΣΧΟΛΕΙΟ ΠΑΓΩΝΔΑ</t>
  </si>
  <si>
    <t>mail@dim-pagond.sam.sch.gr</t>
  </si>
  <si>
    <t>ΠΑΓΩΝΔΑ</t>
  </si>
  <si>
    <t>ΠΑΓΩΝΔΑΣ-ΣΑΜΟΥ</t>
  </si>
  <si>
    <t>ΔΗΜΟΤΙΚΟ ΣΧΟΛΕΙΟ ΜΥΤΙΛΗΝΙΟΙ ΣΑΜΟΥ - ΕΥΘΥΜΙΑΔΑ</t>
  </si>
  <si>
    <t>mail@dim-mytil.sam.sch.gr</t>
  </si>
  <si>
    <t>ΜΥΤΙΛΗΝΙΟΙ ΣΑΜΟΥ</t>
  </si>
  <si>
    <t>ΙΕΡΟΔΙΑΚΟΝΟΥ ΕΥΘΥΜΙΟΥ 96</t>
  </si>
  <si>
    <t>ΚΟΝΤΑΚΑΙΙΚΩΝ</t>
  </si>
  <si>
    <t>ΔΗΜΟΤΙΚΟ ΣΧΟΛΕΙΟ ΚΟΝΤΑΚΑΙΙΚΩΝ</t>
  </si>
  <si>
    <t>mail@dim-kontak.sam.sch.gr</t>
  </si>
  <si>
    <t>ΚΟΝΤΑΚΑΙΙΚΑ</t>
  </si>
  <si>
    <t>ΝΗΠΙΑΓΩΓΕΙΟ ΚΟΝΤΑΚΕΪΚΩΝ</t>
  </si>
  <si>
    <t>mail@nip-kontak.sam.sch.gr</t>
  </si>
  <si>
    <t>ΚΟΝΤΑΚΕΪΚΩΝ</t>
  </si>
  <si>
    <t>ΚΟΝΤΑΚΕΪΚΑ</t>
  </si>
  <si>
    <t>ΝΗΠΙΑΓΩΓΕΙΟ ΜΑΡΑΘΟΚΑΜΠΟΥ</t>
  </si>
  <si>
    <t>mail@nip-marath.sam.sch.gr</t>
  </si>
  <si>
    <t>mail@1dim-samou.sam.sch.gr</t>
  </si>
  <si>
    <t xml:space="preserve">        Σάμος</t>
  </si>
  <si>
    <t>ΓΥΜΝΑΣΙΑΡΧΟΥ ΚΑΤΕΒΑΙΝΗ 31</t>
  </si>
  <si>
    <t>mail@dim-vatheos.sam.sch.gr</t>
  </si>
  <si>
    <t>ΑΝΩ ΒΑΘΥ ΣΑΜΟΥ</t>
  </si>
  <si>
    <t>ΕΙΔΙΚΟ ΔΗΜΟΤΙΚΟ ΣΑΜΟΥ</t>
  </si>
  <si>
    <t>mail@dim-eid-samou.sam.sch.gr</t>
  </si>
  <si>
    <t>ΣΑΜΟΣ-ΣΑΜΟΥ</t>
  </si>
  <si>
    <t>ΚΟΥΜΑΡΙΩΝΑΣ</t>
  </si>
  <si>
    <t>2ο ΔΗΜΟΤΙΚΟ ΣΧΟΛΕΙΟ ΣΑΜΟΥ</t>
  </si>
  <si>
    <t>2dimsamo@sch.gr</t>
  </si>
  <si>
    <t>11ης  ΝΟΕΜΒΡΙΟΥ , 1</t>
  </si>
  <si>
    <t>mail@dim-karlov.sam.sch.gr</t>
  </si>
  <si>
    <t>ΓΟΡΓΥΡΑ</t>
  </si>
  <si>
    <t>mail@dim-marath.sam.sch.gr</t>
  </si>
  <si>
    <t>mail@dim-fourn.sam.sch.gr</t>
  </si>
  <si>
    <t>Φούρνοι Κορσεών</t>
  </si>
  <si>
    <t>mail@dim-christ.sam.sch.gr</t>
  </si>
  <si>
    <t>ΧΡΙΣΤΟΣ ΡΑΧΩΝ</t>
  </si>
  <si>
    <t>ΔΗΜΟΤΙΚΟ ΣΧΟΛΕΙΟ ΚΑΡΑΒΟΣΤΑΜΟΥ</t>
  </si>
  <si>
    <t>mail@dim-karav.sam.sch.gr</t>
  </si>
  <si>
    <t>Καραβόσταμο</t>
  </si>
  <si>
    <t>ΔΗΜΟΤΙΚΟ ΣΧΟΛΕΙΟ ΧΡΥΣΟΜΗΛΙΑΣ</t>
  </si>
  <si>
    <t>mail@dim-chrys.sam.sch.gr</t>
  </si>
  <si>
    <t>ΧΡΥΣΟΜΗΛΙΑ</t>
  </si>
  <si>
    <t>ΔΗΜΟΤΙΚΟ ΣΧΟΛΕΙΟ ΘΥΜΑΙΝΑΣ</t>
  </si>
  <si>
    <t>mail@dim-thymain.sam.sch.gr</t>
  </si>
  <si>
    <t>ΘΥΜΑΙΝΑ</t>
  </si>
  <si>
    <t>ΘΥΜΑΙΝΑ ΦΟΥΡΝΩΝ</t>
  </si>
  <si>
    <t>mail@dim-evdil.sam.sch.gr</t>
  </si>
  <si>
    <t>ΙΚΑΡΙΑ</t>
  </si>
  <si>
    <t>2ο ΔΗΜΟΤΙΚΟ ΣΧΟΛΕΙΟ ΑΓΙΟΥ ΚΗΡΥΚΟΥ</t>
  </si>
  <si>
    <t>mail@2dim-ag-kiryk.sam.sch.gr</t>
  </si>
  <si>
    <t>ΑΓΙΟΣ ΚΗΡΥΚΟΣ</t>
  </si>
  <si>
    <t>ΚΑΡΚΙΝΑΓΡΙΟΥ</t>
  </si>
  <si>
    <t>ΔΗΜΟΤΙΚΟ ΣΧΟΛΕΙΟ ΚΑΡΚΙΝΑΓΡΙΟΥ</t>
  </si>
  <si>
    <t>mail@dim-karkin.sam.sch.gr</t>
  </si>
  <si>
    <t>ΚΑΡΚΙΝΑΓΡΙ</t>
  </si>
  <si>
    <t>ΔΗΜΟΤΙΚΟ ΣΧΟΛΕΙΟ ΞΥΛΟΣΥΡΤΗ</t>
  </si>
  <si>
    <t>mail@dim-xylos.sam.sch.gr</t>
  </si>
  <si>
    <t>Ξυλοσύρτης,</t>
  </si>
  <si>
    <t>ΝΗΠΙΑΓΩΓΕΙΟ ΕΥΔΗΛΟΥ</t>
  </si>
  <si>
    <t>mail@nip-evdil.sam.sch.gr</t>
  </si>
  <si>
    <t>ΝΗΠΙΑΓΩΓΕΙΟ ΦΟΥΡΝΩΝ</t>
  </si>
  <si>
    <t>mail@nip-fourn.sam.sch.gr</t>
  </si>
  <si>
    <t>1ο ΝΗΠΙΑΓΩΓΕΙΟ ΡΑΧΩΝ</t>
  </si>
  <si>
    <t>mail@nip-chris-rah.sam.sch.gr</t>
  </si>
  <si>
    <t>ΚΑΣΤΑΝΙΕΣ ΡΑΧΕΣ ΙΚΑΡΙΑΣ</t>
  </si>
  <si>
    <t>1ο ΝΗΠΙΑΓΩΓΕΙΟ ΑΓΙΟΥ ΚΗΡΥΚΟΥ</t>
  </si>
  <si>
    <t>mail@nip-ag-kiryk.sam.sch.gr</t>
  </si>
  <si>
    <t>2ο ΝΗΠΙΑΓΩΓΕΙΟ ΡΑΧΩΝ</t>
  </si>
  <si>
    <t>mail@2nip-rachon.sam.sch.gr</t>
  </si>
  <si>
    <t xml:space="preserve">ΡΑΧΩΝ </t>
  </si>
  <si>
    <t>ΑΓΙΟΣ ΠΟΛΥΚΑΡΠΟΣ ΙΚΑΡΙΑΣ</t>
  </si>
  <si>
    <t>ΝΗΠΙΑΓΩΓΕΙΟ ΧΡΥΣΟΜΗΛΙΑ</t>
  </si>
  <si>
    <t>mail@nip-chrys.sam.sch.gr</t>
  </si>
  <si>
    <t>mail@dim-kiryk.sam.sch.gr</t>
  </si>
  <si>
    <t>ΝΗΠΙΑΓΩΓΕΙΟ ΠΑΓΩΝΔΑ</t>
  </si>
  <si>
    <t>mail@nip-pagon.sam.sch.gr</t>
  </si>
  <si>
    <t>ΠΑΓΩΝΔΑΣ</t>
  </si>
  <si>
    <t>ΚΟΥΜΑΙΙΚΩΝ</t>
  </si>
  <si>
    <t>ΔΗΜΟΤΙΚΟ ΣΧΟΛΕΙΟ ΚΟΥΜΕΪΚΩΝ</t>
  </si>
  <si>
    <t>mail@dim-koumaiik.sam.sch.gr</t>
  </si>
  <si>
    <t>ΚΟΥΜΕΪΚΑ</t>
  </si>
  <si>
    <t>1ο ΝΗΠΙΑΓΩΓΕΙΟ ΣΑΜΟΥ</t>
  </si>
  <si>
    <t>mail@1nip-samou.sam.sch.gr</t>
  </si>
  <si>
    <t>ΜΕΛΙΣΣΟΥ  2</t>
  </si>
  <si>
    <t>ΝΗΠΙΑΓΩΓΕΙΟ ΘΥΜΑΙΝΑΣ</t>
  </si>
  <si>
    <t>mail@nip-thymain.sam.sch.gr</t>
  </si>
  <si>
    <t>ΠΑΛΑΙΟΚΑΣΤΡΟΥ</t>
  </si>
  <si>
    <t>ΔΗΜΟΤΙΚΟ ΠΑΛΑΙΟΚΑΣΤΡΟΥ ΣΑΜΟΥ</t>
  </si>
  <si>
    <t>mail@dim-palaiok.sam.sch.gr</t>
  </si>
  <si>
    <t>ΠΑΛΑΙΟΚΑΣΤΡΟ, ΣΑΜΟΥ</t>
  </si>
  <si>
    <t>ΠΑΛΑΙΟΚΑΣΤΡΟ</t>
  </si>
  <si>
    <t>ΔΗΜΟΤΙΚΟ ΣΧΟΛΕΙΟ ΧΩΡΑΣ ΣΑΜΟΥ</t>
  </si>
  <si>
    <t>mail@dim-choras.sam.sch.gr</t>
  </si>
  <si>
    <t>mail@dim-pyrgoy.sam.sch.gr</t>
  </si>
  <si>
    <t>ΠΥΡΓΟΣ, ΣΑΜΟΥ</t>
  </si>
  <si>
    <t>ΔΗΜΟΤΙΚΟ ΣΧΟΛΕΙΟ ΠΛΑΤΑΝΟΥ ΣΑΜΟΥ</t>
  </si>
  <si>
    <t>mail@dim-platan.sam.sch.gr</t>
  </si>
  <si>
    <t>ΔΗΜΟΤΙΚΟ ΣΧΟΛΕΙΟ ΚΑΛΛΙΘΕΑΣ ΣΑΜΟΥ</t>
  </si>
  <si>
    <t>mail@dim-kallith.sam.sch.gr</t>
  </si>
  <si>
    <t>ΚΑΛΛΙΘΕΑΣ, ΣΑΜΟΣ</t>
  </si>
  <si>
    <t>ΝΗΠΙΑΓΩΓΕΙΟ ΠΥΡΓΟΥ ΣΑΜΟΥ</t>
  </si>
  <si>
    <t>mail@nip-pyrgou.sam.sch.gr</t>
  </si>
  <si>
    <t>ΠΥΡΓΟΥ, ΣΑΜΟΣ</t>
  </si>
  <si>
    <t>2ο ΝΗΠΙΑΓΩΓΕΙΟ ΑΓΙΟΥ ΚΗΡΥΚΟΥ</t>
  </si>
  <si>
    <t>mail@2nip-ag-kiryk.sam.sch.gr</t>
  </si>
  <si>
    <t>ΕΙΔΙΚΟ ΔΗΜΟΤΙΚΟ ΣΧΟΛΕΙΟ ΙΚΑΡΙΑΣ</t>
  </si>
  <si>
    <t>mail@dim-eid-ikar.sam.sch.gr</t>
  </si>
  <si>
    <t>ΚΑΡΑΒΟΣΤΑΜΟ</t>
  </si>
  <si>
    <t>ΕΙΔΙΚΟ ΝΗΠΙΑΓΩΓΕΙΟ ΙΚΑΡΙΑΣ</t>
  </si>
  <si>
    <t>mail@nip-eid-ikarias.sam.sch.gr</t>
  </si>
  <si>
    <t>ΕΙΔΙΚΟ ΝΗΠΙΑΓΩΓΕΙΟ ΣΑΜΟΥ</t>
  </si>
  <si>
    <t>mail@nip-eid-samou.sam.sch.gr</t>
  </si>
  <si>
    <t>ΚΟΥΜΑΡΙΩΝΑΣ ΣΑΜΟΥ</t>
  </si>
  <si>
    <t>3ο ΝΗΠΙΑΓΩΓΕΙΟ ΣΑΜΟΥ</t>
  </si>
  <si>
    <t>mail@3nip-poleos.sam.sch.gr</t>
  </si>
  <si>
    <t>ΜΑΛΑΓΑΡΙ ΣΑΜΟΥ</t>
  </si>
  <si>
    <t>ΝΗΠΙΑΓΩΓΕΙΟ ΚΟΥΜΕΪΚΩΝ</t>
  </si>
  <si>
    <t>mail@nip-koumeik.sam.sch.gr</t>
  </si>
  <si>
    <t>ΚΟΥΜΑΙΪΚΩΝ</t>
  </si>
  <si>
    <t>ΑΓΙΟΥ ΠΟΛΥΚΑΡΠΟΥ</t>
  </si>
  <si>
    <t>2ο ΔΗΜΟΤΙΚΟ ΣΧΟΛΕΙΟ ΡΑΧΩΝ</t>
  </si>
  <si>
    <t>mail@2dim-rachon.sam.sch.gr</t>
  </si>
  <si>
    <t>ΑΓΙΟΣ ΠΟΛΥΚΑΡΠΟΣ</t>
  </si>
  <si>
    <t>ΝΗΠΙΑΓΩΓΕΙΟ ΠΑΛΑΙΟΚΑΣΤΡΟΥ</t>
  </si>
  <si>
    <t>mail@nip-palaiok.sam.sch.gr</t>
  </si>
  <si>
    <t>ΔΙΕΥΘΥΝΣΗ Π.Ε. ΧΙΟΥ</t>
  </si>
  <si>
    <t>9ο ΝΗΠΙΑΓΩΓΕΙΟ ΧΙΟΥ</t>
  </si>
  <si>
    <t>9nipchiou@sch.gr</t>
  </si>
  <si>
    <t>ΓΛΥΠΤΗ 24</t>
  </si>
  <si>
    <t>mail@dim-oinous.chi.sch.gr</t>
  </si>
  <si>
    <t>ΚΑΜΠΟΧΩΡΩΝ</t>
  </si>
  <si>
    <t>ΧΑΛΚΕΙΟΥ</t>
  </si>
  <si>
    <t>ΔΗΜΟΤΙΚΟ ΣΧΟΛΕΙΟ ΚΑΜΠΟΧΩΡΑ - ΣΧΟΛΙΚΟ ΚΕΝΤΡΟ ΚΑΜΠΟΧΩΡΩΝ</t>
  </si>
  <si>
    <t>mail@dim-kampoch.chi.sch.gr</t>
  </si>
  <si>
    <t>ΚΑΜΠΟΧΩΡΑ ΧΙΟΥ</t>
  </si>
  <si>
    <t>ΒΑΣΙΛΕΩΝΟΙΚΟ  ΧΙΟΥ</t>
  </si>
  <si>
    <t>4ο ΝΗΠΙΑΓΩΓΕΙΟ ΕΥΡΕΤΗ ΒΑΡΒΑΣΙ ΧΙΟΥ - ΒΑΡΒΑΣΙΟΥ</t>
  </si>
  <si>
    <t>mail@4nip-chiou.chi.sch.gr</t>
  </si>
  <si>
    <t>ΕΥΡΕΤΗ ΒΑΡΒΑΣΙ ΧΙΟΥ</t>
  </si>
  <si>
    <t>ΚΥΠΡΟΥ 5</t>
  </si>
  <si>
    <t>11ο ΝΗΠΙΑΓΩΓΕΙΟ ΧΙΟΥ</t>
  </si>
  <si>
    <t>mail@11nip-chiou.chi.sch.gr</t>
  </si>
  <si>
    <t>ΜΙΧΑΛΟΥ 25</t>
  </si>
  <si>
    <t>ΒΑΣΙΛΕΩΝΟΙΚΟΥ</t>
  </si>
  <si>
    <t>1ο ΝΗΠΙΑΓΩΓΕΙΟ ΚΑΜΠΟΧΩΡΩΝ ΧΙΟΥ "ΓΕΩΡΓΙΟΣ ΕΚΑΤΟΜΜΑΤΗΣ"</t>
  </si>
  <si>
    <t>mail@1nip-kampoch.chi.sch.gr</t>
  </si>
  <si>
    <t>ΚΑΜΠΟΧΩΡΑ-ΧΙΟΣ</t>
  </si>
  <si>
    <t>ΒΑΣΙΛΕΩΝΟΙΚΟ</t>
  </si>
  <si>
    <t>ΛΙΘΙΟΥ</t>
  </si>
  <si>
    <t>ΝΗΠΙΑΓΩΓΕΙΟ ΛΙΘΙΟΥ-ΧΙΟΥ - ΣΥΓΓΡΕΙΟ</t>
  </si>
  <si>
    <t>niplithiou@sch.gr</t>
  </si>
  <si>
    <t>ΛΙΘΙ-ΧΙΟΥ</t>
  </si>
  <si>
    <t>ΛΙΘΙ</t>
  </si>
  <si>
    <t>2ο ΝΗΠΙΑΓΩΓΕΙΟ ΚΑΜΠΟΧΩΡΑ-ΧΙΟΣ</t>
  </si>
  <si>
    <t>mail@2nip-kampoch.chi.sch.gr</t>
  </si>
  <si>
    <t>ΠΥΡΓΙΟΥ</t>
  </si>
  <si>
    <t>ΔΗΜΟΤΙΚΟ ΣΧΟΛΕΙΟ ΠΥΡΓΙΟΥ ΧΙΟΥ</t>
  </si>
  <si>
    <t>mail@dim-pyrgiou.chi.sch.gr</t>
  </si>
  <si>
    <t>ΠΥΡΓΙ</t>
  </si>
  <si>
    <t>1ο ΝΗΠΙΑΓΩΓΕΙΟ ΧΙΟΥ</t>
  </si>
  <si>
    <t>mail@1nip-chiou.chi.sch.gr</t>
  </si>
  <si>
    <t>ΚΑΤΑΡΡΑΚΤΟΥ</t>
  </si>
  <si>
    <t>ΝΗΠΙΑΓΩΓΕΙΟ ΚΑΤΑΡΡΑΚΤΗ</t>
  </si>
  <si>
    <t>mail@nip-katarr.chi.sch.gr</t>
  </si>
  <si>
    <t>ΚΑΤΑΡΡΑΚΤΗ</t>
  </si>
  <si>
    <t>ΚΑΤΑΡΡΑΚΤΗΣ</t>
  </si>
  <si>
    <t>12ο ΟΛΟΗΜΕΡΟ ΝΗΠΙΑΓΩΓΕΙΟ ΧΙΟΥ</t>
  </si>
  <si>
    <t>mail@12nip-chiou.chi.sch.gr</t>
  </si>
  <si>
    <t>ΠΑΝΑΓΙΑΣ ΤΟΥΡΛΩΤΗΣ 16</t>
  </si>
  <si>
    <t>ΝΗΠΙΑΓΩΓΕΙΟ ΟΙΝΟΥΣΣΩΝ</t>
  </si>
  <si>
    <t>mail@nip-oinouss.chi.sch.gr</t>
  </si>
  <si>
    <t>7ο ΝΗΠΙΑΓΩΓΕΙΟ ΧΙΟΥ</t>
  </si>
  <si>
    <t>mail@7nip-chiou.chi.sch.gr</t>
  </si>
  <si>
    <t>ΡΙΖΑΡΕΙΟΥ 39</t>
  </si>
  <si>
    <t>5ο  ΝΗΠΙΑΓΩΓΕΙΟ ΧΙΟΥ</t>
  </si>
  <si>
    <t>mail@5nip-chiou.chi.sch.gr</t>
  </si>
  <si>
    <t>ΑΝΘΥΠΟΛΟΧΑΓΟΥ ΛΙΓΝΟΥ 3</t>
  </si>
  <si>
    <t>mail@dim-livad.chi.sch.gr</t>
  </si>
  <si>
    <t>ΛΙΒΑΔΙΑ</t>
  </si>
  <si>
    <t>Γ. ΒΟΥΡΟΥ 91</t>
  </si>
  <si>
    <t>ΕΙΔΙΚΟ ΔΗΜΟΤΙΚΟ ΣΧΟΛΕΙΟ ΧΙΟΣ</t>
  </si>
  <si>
    <t>mail@dim-eid-chiou.chi.sch.gr</t>
  </si>
  <si>
    <t>ΣΤΑΜΑΤΙΟΥ ΤΣΙΜΠΗ-ΛΑΤΟΜΙ 8</t>
  </si>
  <si>
    <t>ΕΙΔΙΚΟ ΝΗΠΙΑΓΩΓΕΙΟ ΧΙΟΣ</t>
  </si>
  <si>
    <t>mail@nip-eid-chiou.chi.sch.gr</t>
  </si>
  <si>
    <t>ΣΤΑΜΑΤΙΟΥ ΤΣΙΜΠΗ  8</t>
  </si>
  <si>
    <t>ΘΟΛΟΠΟΤΑΜΙΟΥ</t>
  </si>
  <si>
    <t>ΔΗΜΟΤΙΚΟ ΣΧΟΛΕΙΟ ΘΟΛΟΠΟΤΑΜΙΟΥ</t>
  </si>
  <si>
    <t>mail@dim-tholop.chi.sch.gr</t>
  </si>
  <si>
    <t>ΘΟΛΟΠΟΤΑΜΙ ,</t>
  </si>
  <si>
    <t>ΝΕΝΗΤΩΝ</t>
  </si>
  <si>
    <t>ΝΗΠΙΑΓΩΓΕΙΟ ΝΕΝΗΤΩΝ - ΓΕΩΡΓΙΤΣΙΟ</t>
  </si>
  <si>
    <t>mail@nip-nenit.chi.sch.gr</t>
  </si>
  <si>
    <t>ΝΕΝΗΤΑ</t>
  </si>
  <si>
    <t>ΔΗΜΟΤΙΚΟ ΣΧΟΛΕΙΟ ΝΕΝΗΤΩΝ</t>
  </si>
  <si>
    <t>mail@dim-nenit.chi.sch.gr</t>
  </si>
  <si>
    <t>ΝΕΝΗΤΑ,</t>
  </si>
  <si>
    <t>ΔΗΜΟΤΙΚΟ ΣΧΟΛΕΙΟ ΚΑΤΑΡΡΑΚΤΗ</t>
  </si>
  <si>
    <t>mail@dim-katar.chi.sch.gr</t>
  </si>
  <si>
    <t>mail@dim-kallim.chi.sch.gr</t>
  </si>
  <si>
    <t>mail@dim-voliss.chi.sch.gr</t>
  </si>
  <si>
    <t>ΝΗΠΙΑΓΩΓΕΙΟ ΒΟΛΙΣΣΟΥ</t>
  </si>
  <si>
    <t>nipvolchi@sch.gr</t>
  </si>
  <si>
    <t>3ο ΔΗΜΟΤΙΚΟ ΣΧΟΛΕΙΟ ΧΙΟΥ</t>
  </si>
  <si>
    <t>mail@3dim-chiou.chi.sch.gr</t>
  </si>
  <si>
    <t>ΑΓΙΩΝ ΑΠΟΣΤΟΛΩΝ 18</t>
  </si>
  <si>
    <t>ΔΗΜΟΤΙΚΟ ΣΧΟΛΕΙΟ ΛΙΘΙΟΥ</t>
  </si>
  <si>
    <t>mail@dim-lithiou.chi.sch.gr</t>
  </si>
  <si>
    <t>ΝΗΠΙΑΓΩΓΕΙΟ ΚΑΛΑΜΩΤΗΣ</t>
  </si>
  <si>
    <t>mail@nip-kalam.chi.sch.gr</t>
  </si>
  <si>
    <t>ΚΑΡΥΩΝ</t>
  </si>
  <si>
    <t>ΝΗΠΙΑΓΩΓΕΙΟ ΚΑΡΥΩΝ ΧΙΟΥ</t>
  </si>
  <si>
    <t>mail@nip-karyon.chi.sch.gr</t>
  </si>
  <si>
    <t>ΚΑΡΥΕΣ</t>
  </si>
  <si>
    <t>ΝΗΠΙΑΓΩΓΕΙΟ ΛΙΒΑΔΙΩΝ</t>
  </si>
  <si>
    <t>mail@nip-livad.chi.sch.gr</t>
  </si>
  <si>
    <t>ΛΙΒΑΔΙΩΝ</t>
  </si>
  <si>
    <t>Π. ΑΝΤΩΝΟΠΟΥΛΟΥ 6</t>
  </si>
  <si>
    <t>ΛΑΓΚΑΔΑΣ</t>
  </si>
  <si>
    <t>ΝΗΠΙΑΓΩΓΕΙΟ ΛΑΓΚΑΔΑΣ</t>
  </si>
  <si>
    <t>mail@nip-lagkad.chi.sch.gr</t>
  </si>
  <si>
    <t>ΛΑΓΚΑΔΑ</t>
  </si>
  <si>
    <t>ΣΥΚΙΑΔΑΣ</t>
  </si>
  <si>
    <t>ΝΗΠΙΑΓΩΓΕΙΟ ΣΥΚΙΑΔΑΣ</t>
  </si>
  <si>
    <t>mail@nip-sikiad.chi.sch.gr</t>
  </si>
  <si>
    <t>ΣΥΚΙΑΔΑ</t>
  </si>
  <si>
    <t>ΝΗΠΙΑΓΩΓΕΙΟ ΨΑΡΩΝ - ΝΙΚΟΛΑΟΣ ΑΠΟΣΤΟΛΗΣ</t>
  </si>
  <si>
    <t>mail@nip-psaron.chi.sch.gr</t>
  </si>
  <si>
    <t>ΨΑΡΑ</t>
  </si>
  <si>
    <t>ΝΗΠΙΑΓΩΓΕΙΟ ΚΑΡΔΑΜΥΛΩΝ</t>
  </si>
  <si>
    <t>mail@1nip-kardam.chi.sch.gr</t>
  </si>
  <si>
    <t>ΝΗΠΙΑΓΩΓΕΙΟ ΚΑΜΠΟΥ</t>
  </si>
  <si>
    <t>mail@nip-kampou.chi.sch.gr</t>
  </si>
  <si>
    <t>ΚΑΜΠΟΥ ΧΙΟΣ</t>
  </si>
  <si>
    <t>ΚΛΟΥΒΑ ΚΑΜΠΟΣ</t>
  </si>
  <si>
    <t>2ο ΝΗΠΙΑΓΩΓΕΙΟ ΧΙΟΥ</t>
  </si>
  <si>
    <t>mail@2nip-chiou.chi.sch.gr</t>
  </si>
  <si>
    <t>ΔΡΟΣΟΥ 8</t>
  </si>
  <si>
    <t>3ο ΝΗΠΙΑΓΩΓΕΙΟ ΒΡΟΝΤΑΔΟΥ</t>
  </si>
  <si>
    <t>mail@3nip-vront.chi.sch.gr</t>
  </si>
  <si>
    <t>ΑΓΙΟΣ ΜΑΡΚΟΣ</t>
  </si>
  <si>
    <t>6ο ΝΗΠΙΑΓΩΓΕΙΟ ΧΙΟΥ</t>
  </si>
  <si>
    <t>6nipchi@sch.gr</t>
  </si>
  <si>
    <t>8ο ΝΗΠΙΑΓΩΓΕΙΟ ΧΙΟΥ</t>
  </si>
  <si>
    <t>mail@8nip-chiou.chi.sch.gr</t>
  </si>
  <si>
    <t>ΑΓ. ΑΠΟΣΤΟΛΩΝ 38</t>
  </si>
  <si>
    <t>10ο ΝΗΠΙΑΓΩΓΕΙΟ ΧΙΟΥ</t>
  </si>
  <si>
    <t>mail@10nip-chiou.chi.sch.gr</t>
  </si>
  <si>
    <t>ΣΑΜΟΥ 16</t>
  </si>
  <si>
    <t>ΝΗΠΙΑΓΩΓΕΙΟ ΘΟΛΟΠΟΤΑΜΙΟΥ</t>
  </si>
  <si>
    <t>mail@nip-tholop.chi.sch.gr</t>
  </si>
  <si>
    <t>ΘΟΛΟΠΟΤΑΜΙ</t>
  </si>
  <si>
    <t>mail@dim-kardam.chi.sch.gr</t>
  </si>
  <si>
    <t>ΚΑΡΔΑΜΥΛΑ-ΜΑΡΜΑΡΟ</t>
  </si>
  <si>
    <t>mail@dim-kampou.chi.sch.gr</t>
  </si>
  <si>
    <t>ΚΑΜΠΟΣ</t>
  </si>
  <si>
    <t>ΚΛΟΥΒΑ-ΚΑΜΠΟΣ</t>
  </si>
  <si>
    <t>mail@dim-psaron.chi.sch.gr</t>
  </si>
  <si>
    <t>ΨΑΡA</t>
  </si>
  <si>
    <t>3ο ΝΗΠΙΑΓΩΓΕΙΟ ΧΙΟΥ</t>
  </si>
  <si>
    <t>mail@3nip-chiou.chi.sch.gr</t>
  </si>
  <si>
    <t>mail@9dim-chiou.chi.sch.gr</t>
  </si>
  <si>
    <t>ΙΩΑΝΝΟΥ ΚΑΡΡΑ 7</t>
  </si>
  <si>
    <t>2ο  ΝΗΠΙΑΓΩΓΕΙΟ ΒΡΟΝΤΑΔΟΥ - ΕΛΕΥΘΕΡΙΟΣ ΒΕΝΙΑΜΗΣ</t>
  </si>
  <si>
    <t>mail@2nip-vront.chi.sch.gr</t>
  </si>
  <si>
    <t>ΑΝ.ΧΑΝΔΡΗ Π.ΕΡΕΙΘΙΑΝΗ</t>
  </si>
  <si>
    <t>6dimchi@sch.gr</t>
  </si>
  <si>
    <t>ΙΩΑΝΝΟΥ ΠΑΤΕΡΑ 3</t>
  </si>
  <si>
    <t>1ο ΔΗΜΟΤΙΚΟ ΣΧΟΛΕΙΟ ΧΙΟΥ "ΙΩΑΝΝΗΣ ΠΑΤΕΡΑΣ"</t>
  </si>
  <si>
    <t>mail@1dim-chiou.chi.sch.gr</t>
  </si>
  <si>
    <t>ΔΙΑΜΑΝΤΗ Ι. ΠΑΤΕΡΑ 8</t>
  </si>
  <si>
    <t>3ο ΔΗΜΟΤΙΚΟ ΣΧΟΛΕΙΟ ΒΡΟΝΤΑΔΟΥ - ΜΑΡΓΑΡΩΝΕΙΟ</t>
  </si>
  <si>
    <t>mail@3dim-vront.chi.sch.gr</t>
  </si>
  <si>
    <t>ΠΑΠΑ ΜΑΡΚΟΥ ΒΑΣΙΛΑΚΗ 28</t>
  </si>
  <si>
    <t>ΝΗΠΙΑΓΩΓΕΙΟ ΠΥΡΓΙΟΥ - ΚΩΝΣΤΑΝΤΙΝΟΣ ΚΑΙ ΓΑΡΟΥΦΑΛΙΑ ΛΑΓΟΥΔΗ</t>
  </si>
  <si>
    <t>mail@nip-pirg.chi.sch.gr</t>
  </si>
  <si>
    <t>ΝΕΟΧΩΡΙΟΥ</t>
  </si>
  <si>
    <t>1ο  ΝΗΠΙΑΓΩΓΕΙΟ ΑΓΙΟΥ ΜΗΝΑ-ΝΕΟΧΩΡΙΟΥ - ΚΟΥΤΣΟΥΡΑΔΕΙΟΣ ΣΧΟΛΗ</t>
  </si>
  <si>
    <t>mail@1nip-ag-mina.chi.sch.gr</t>
  </si>
  <si>
    <t>ΑΓΙΟΥ ΜΗΝΑ-ΝΕΟΧΩΡΙΟΥ</t>
  </si>
  <si>
    <t>ΝΕΟΧΩΡΙ</t>
  </si>
  <si>
    <t>ΝΗΠΙΑΓΩΓΕΙΟ ΚΑΛΛΙΜΑΣΙΑΣ</t>
  </si>
  <si>
    <t>mail@nip-kallim.chi.sch.gr</t>
  </si>
  <si>
    <t>1ο ΝΗΠΙΑΓΩΓΕΙΟ ΒΡΟΝΤΑΔΟΥ</t>
  </si>
  <si>
    <t>mail@1nip-vront.chi.sch.gr</t>
  </si>
  <si>
    <t>ΑΓΙΟΣ ΓΕΩΡΓΙΟΣ 30</t>
  </si>
  <si>
    <t>7ο  ΔΗΜΟΤΙΚΟ ΣΧΟΛΕΙΟ ΧΙΟΥ  -  "ΓΙΩΡΓΗΣ ΚΡΟΚΟΣ"</t>
  </si>
  <si>
    <t>mail@7dim-chiou.chi.sch.gr</t>
  </si>
  <si>
    <t xml:space="preserve"> ΧΙΟΣ</t>
  </si>
  <si>
    <t>5dimchi@sch.gr</t>
  </si>
  <si>
    <t>Βαρβάσι</t>
  </si>
  <si>
    <t>Κύπρου 11</t>
  </si>
  <si>
    <t>mail@2dim-chiou.chi.sch.gr</t>
  </si>
  <si>
    <t>ΜΙΧΑΛΩΝ 9</t>
  </si>
  <si>
    <t>8ο ΔΗΜΟΤΙΚΟ ΣΧΟΛΕΙΟ ΧΙΟΥ - ΠΑΛΑΙΟΚΑΣΤΡΟΥ</t>
  </si>
  <si>
    <t>mail@8dim-chiou.chi.sch.gr</t>
  </si>
  <si>
    <t>ΑΡΧΙΕΠΙΣΚΟΠΟΥ ΜΑΚΑΡΙΟΥ 19</t>
  </si>
  <si>
    <t>mail@11dim-chiou.chi.sch.gr</t>
  </si>
  <si>
    <t>ΖΟΛΩΤΑ 2</t>
  </si>
  <si>
    <t>mail@dim-thimian.chi.sch.gr</t>
  </si>
  <si>
    <t>Θυμιανά</t>
  </si>
  <si>
    <t>ΜΙΧΑΛΩΝ 40</t>
  </si>
  <si>
    <t>4ο ΔΗΜΟΤΙΚΟ ΣΧΟΛΕΙΟ ΧΙΟΥ</t>
  </si>
  <si>
    <t>mail@4dim-chiou.chi.sch.gr</t>
  </si>
  <si>
    <t>mail@dim-kalam.chi.sch.gr</t>
  </si>
  <si>
    <t>mail@2dim-vront.chi.sch.gr</t>
  </si>
  <si>
    <t>Κ. ΦΟΡΟΥ 15</t>
  </si>
  <si>
    <t>1ο  ΔΗΜΟΤΙΚΟ ΣΧΟΛΕΙΟ ΒΡΟΝΤΑΔΟΥ - ΑΓΙΟΥ ΓΕΩΡΓΙΟΥ</t>
  </si>
  <si>
    <t>mail@1dim-vront.chi.sch.gr</t>
  </si>
  <si>
    <t>ΑΓ. ΓΕΩΡΓΙΟΥ 39</t>
  </si>
  <si>
    <t>2ο ΝΗΠΙΑΓΩΓΕΙΟ ΑΓΙΟΣ ΜΗΝΑΣ-ΝΕΟΧΩΡΙ</t>
  </si>
  <si>
    <t>seviepaida@sch.gr</t>
  </si>
  <si>
    <t>ΝΕΧΩΡΙ</t>
  </si>
  <si>
    <t>ΑΓΙΟΥ ΓΕΩΡΓΙΟΥ ΣΥΚΟΥΣΗ</t>
  </si>
  <si>
    <t>ΔΗΜΟΤΙΚΟ ΣΧΟΛΕΙΟ ΑΓΙΟΥ ΓΕΩΡΓΙΟΥ ΧΙΟΥ</t>
  </si>
  <si>
    <t>mail@dim-ag-georg.chi.sch.gr</t>
  </si>
  <si>
    <t>ΑΓ. ΓΕΩΡΓΙΟΣ</t>
  </si>
  <si>
    <t>ΔΗΜΟΤΙΚΟ ΣΧΟΛΕΙΟ ΚΑΡΥΩΝ ΧΙΟΥ</t>
  </si>
  <si>
    <t>mail@dim-karyon.chi.sch.gr</t>
  </si>
  <si>
    <t>ΝΗΠΙΑΓΩΓΕΙΟ ΑΓΙΟΥ ΓΕΩΡΓΙΟΥ ΧΙΟΥ</t>
  </si>
  <si>
    <t>mail@nip-ag-georg.chi.sch.gr</t>
  </si>
  <si>
    <t>ΔΗΜΟΤΙΚΟ ΣΧΟΛΕΙΟ ΣΥΚΙΑΔΑΣ - ΛΑΓΚΑΔΑΣ</t>
  </si>
  <si>
    <t>mail@dim-sikiad.chi.sch.gr</t>
  </si>
  <si>
    <t>ΠΕΡΙΦΕΡΕΙΑΚΗ Δ/ΝΣΗ Α/ΘΜΙΑΣ ΚΑΙ Β/ΘΜΙΑΣ ΕΚΠ/ΣΗΣ ΔΥΤΙΚΗΣ ΕΛΛΑΔΑΣ</t>
  </si>
  <si>
    <t>ΑΙΤΩΛΟΑΚΑΡΝΑΝΙΑΣ</t>
  </si>
  <si>
    <t>ΙΕΡΑΣ ΠΟΛΗΣ ΜΕΣΟΛΟΓΓΙΟΥ</t>
  </si>
  <si>
    <t>Κ.Ε.Σ.Υ. ΑΙΤΩΛΟΑΚΑΡΝΑΝΙΑΣ</t>
  </si>
  <si>
    <t>mail@kesy.ait.sch.gr</t>
  </si>
  <si>
    <t>ΜΕΣΟΛΟΓΓΙ</t>
  </si>
  <si>
    <t>ΝΑΥΠΑΚΤΟΥ 168</t>
  </si>
  <si>
    <t>ΑΧΑΪΑΣ</t>
  </si>
  <si>
    <t>ΠΑΤΡΕΩΝ</t>
  </si>
  <si>
    <t>1ο ΔΗΜ. ΔΙΑΜΕΡΙΣΜΑ ΠΑΤΡΑΣ(συμπεριλαμβάνονται οι οικισμοί Μπάλα, Σκιόεσσα και Χαράδρος</t>
  </si>
  <si>
    <t>1ο Κ.Ε.Σ.Υ. ΑΧΑΪΑΣ</t>
  </si>
  <si>
    <t>mail@kday.ach.sch.gr</t>
  </si>
  <si>
    <t>ΠΑΤΡΑ</t>
  </si>
  <si>
    <t>ΜΑΚΕΔΟΝΙΑΣ 59-61</t>
  </si>
  <si>
    <t>ΗΛΕΙΑΣ</t>
  </si>
  <si>
    <t>Κ.Ε.Σ.Υ. ΗΛΕΙΑΣ</t>
  </si>
  <si>
    <t>mail@kesy.ilei.sch.gr</t>
  </si>
  <si>
    <t>(ΝΕΑ) ΕΘΝΙΚΗ ΟΔΟΣ ΠΑΤΡΩΝ-ΠΥΡΓΟΥ</t>
  </si>
  <si>
    <t>4ο ΔΗΜ. ΔΙΑΜΕΡΙΣΜΑ ΠΑΤΡΑΣ</t>
  </si>
  <si>
    <t>2ο Κ.Ε.Σ.Υ. ΑΧΑΪΑΣ</t>
  </si>
  <si>
    <t>mail@2kesy.ach.sch.gr</t>
  </si>
  <si>
    <t>ΔΙΕΥΘΥΝΣΗ Δ.Ε. ΑΙΤΩΛΟΑΚΑΡΝΑΝΙΑΣ</t>
  </si>
  <si>
    <t>ΙΝΑΧΟΥ</t>
  </si>
  <si>
    <t>ΕΜΠΕΣΟΥ</t>
  </si>
  <si>
    <t>ΗΜΕΡΗΣΙΟ ΓΥΜΝΑΣΙΟ ΕΜΠΕΣΟΥ ΑΙΤΩΛΟΑΚΑΡΝΑΝΙΑΣ - ΔΩΡΑΣ ΣΤΡΑΤΟΥ</t>
  </si>
  <si>
    <t>mail@gym-empes.ait.sch.gr</t>
  </si>
  <si>
    <t>ΕΜΠΕΣΟΣ ΑΙΤΩΛΟΑΚΑΡΝΑΝΙΑΣ</t>
  </si>
  <si>
    <t>ΕΜΠΕΣΟΣ</t>
  </si>
  <si>
    <t>ΔΗΜΟΤΙΚΟ ΣΧΟΛΕΙΟ ΕΜΠΕΣΟΥ</t>
  </si>
  <si>
    <t>ΞΗΡΟΜΕΡΟΥ</t>
  </si>
  <si>
    <t>ΑΛΥΖΙΑΣ</t>
  </si>
  <si>
    <t>ΚΑΝΔΗΛΑΣ</t>
  </si>
  <si>
    <t>ΓΥΜΝΑΣΙΟ ΚΑΝΔΗΛΑΣ ΑΙΤΩΛΟΑΚΑΡΝΑΝΙΑΣ</t>
  </si>
  <si>
    <t>mail@gym-kandil.ait.sch.gr</t>
  </si>
  <si>
    <t>ΚΑΝΔΗΛΑ ΑΙΤΩΛΟΑΚΑΡΝΑΝΙΑΣ</t>
  </si>
  <si>
    <t>ΑΣΤΑΚΟΥ</t>
  </si>
  <si>
    <t>ΔΗΜΟΤΙΚΟ ΣΧΟΛΕΙΟ ΜΥΤΙΚΑ</t>
  </si>
  <si>
    <t>ΟΙΝΙΑΔΩΝ</t>
  </si>
  <si>
    <t>ΝΕΟΧΩΡΙΟΥ ΜΕΣΟΛΟΓΓΙΟΥ</t>
  </si>
  <si>
    <t>ΗΜΕΡΗΣΙΟ ΓΥΜΝΑΣΙΟ ΝΕΟΧΩΡΙΟΥ ΑΙΤΩΛΟΑΚΑΡΝΑΝΙΑΣ</t>
  </si>
  <si>
    <t>mail@gym-neoch.ait.sch.gr</t>
  </si>
  <si>
    <t>ΝΕΟΧΩΡΙΟΥ ΑΙΤΩΛΟΑΚΑΡΝΑΝΙΑΣ</t>
  </si>
  <si>
    <t>1ο ΔΗΜΟΤΙΚΟ ΣΧΟΛΕΙΟ ΝΕΟΧΩΡΙΟΥ</t>
  </si>
  <si>
    <t>ΗΜΕΡΗΣΙΟ ΓΕΝΙΚΟ ΛΥΚΕΙΟ ΕΜΠΕΣΟΥ ΑΙΤΩΛΟΑΚΑΡΝΑΝΙΑΣ</t>
  </si>
  <si>
    <t>mail@lyk-empes.ait.sch.gr</t>
  </si>
  <si>
    <t>ΑΚΤΙΟΥ-ΒΟΝΙΤΣΑΣ</t>
  </si>
  <si>
    <t>ΑΝΑΚΤΟΡΙΟΥ</t>
  </si>
  <si>
    <t>ΒΟΝΙΤΣΗΣ</t>
  </si>
  <si>
    <t>1ο ΗΜΕΡΗΣΙΟ ΕΠΑΛ ΒΟΝΙΤΣΑΣ ΑΙΤΩΛΟΑΚΑΡΝΑΝΙΑΣ</t>
  </si>
  <si>
    <t>mail@1epal-vonits.ait.sch.gr</t>
  </si>
  <si>
    <t>ΒΟΝΙΤΣΑ ΑΙΤΩΛΟΑΚΑΡΝΑΝΙΑΣ</t>
  </si>
  <si>
    <t>ΒΟΝΙΤΣΑ</t>
  </si>
  <si>
    <t>ΒΟΝΙΤΣΑΣ</t>
  </si>
  <si>
    <t>1ο ΔΗΜΟΤΙΚΟ ΣΧΟΛΕΙΟ ΒΟΝΙΤΣΑΣ</t>
  </si>
  <si>
    <t>ΚΑΤΟΧΗΣ</t>
  </si>
  <si>
    <t>1ο ΗΜΕΡΗΣΙΟ ΕΠΑΛ ΚΑΤΟΧΗΣ ΑΙΤΩΛΟΑΚΑΡΝΑΝΙΑΣ</t>
  </si>
  <si>
    <t>mail@1epal-katoch.ait.sch.gr</t>
  </si>
  <si>
    <t>ΚΑΤΟΧΗ, Δ. Ι.Π. ΜΕΣΟΛΟΓΓΙΟΥ</t>
  </si>
  <si>
    <t>ΚΑΤΟΧΗ</t>
  </si>
  <si>
    <t>2ο ΔΗΜΟΤΙΚΟ ΣΧΟΛΕΙΟ ΚΑΤΟΧΗΣ</t>
  </si>
  <si>
    <t>ΑΓΡΙΝΙΟΥ</t>
  </si>
  <si>
    <t>ΘΕΣΤΙΕΩΝ</t>
  </si>
  <si>
    <t>ΚΑΙΝΟΥΡΓΙΟΥ</t>
  </si>
  <si>
    <t>1ο ΗΜΕΡΗΣΙΟ ΕΠΑΛ ΚΑΙΝΟΥΡΓΙΟΥ - ΕΠΑΛ ΚΑΙΝΟΥΡΓΙΟΥ</t>
  </si>
  <si>
    <t>mail@1epal-kainour.ait.sch.gr</t>
  </si>
  <si>
    <t>ΚΑΙΝΟΥΡΓΙΟ</t>
  </si>
  <si>
    <t>ΛΕΩΦ. ΑΓΙΟΥ ΚΟΣΜΑ ΑΙΤΩΛΟΥ 38</t>
  </si>
  <si>
    <t>2ο ΔΗΜΟΤΙΚΟ ΣΧΟΛΕΙΟ ΘΕΣΤΙΕΩΝ</t>
  </si>
  <si>
    <t>ΜΑΚΡΥΝΕΙΑΣ</t>
  </si>
  <si>
    <t>ΓΑΒΑΛΟΥΣ</t>
  </si>
  <si>
    <t>ΗΜΕΡΗΣΙΟ ΓΕΝΙΚΟ ΛΥΚΕΙΟ ΓΑΒΑΛΟΥΣ ΑΙΤΩΛΟΑΚΑΡΝΑΝΙΑΣ</t>
  </si>
  <si>
    <t>mail@lyk-gaval.ait.sch.gr</t>
  </si>
  <si>
    <t>ΓΑΒΑΛΟΥ ΑΙΤΩΛΟΑΚΑΡΝΑΝΙΑΣ</t>
  </si>
  <si>
    <t>ΧΑΡΙΛΑΟΥ ΤΡΙΚΟΥΠΗ 17</t>
  </si>
  <si>
    <t>ΔΗΜΟΤΙΚΟ ΣΧΟΛΕΙΟ ΓΑΒΑΛΟΥΣ</t>
  </si>
  <si>
    <t>1ο ΗΜΕΡΗΣΙΟ ΕΠΑΛ ΑΜΦΙΛΟΧΙΑΣ</t>
  </si>
  <si>
    <t>mail@1epal-amfil.ait.sch.gr</t>
  </si>
  <si>
    <t>ΑΜΦΙΛΟΧΙΑ</t>
  </si>
  <si>
    <t>Ν. ΣΤΡΑΤΟΥ</t>
  </si>
  <si>
    <t>3ο ΔΗΜΟΤΙΚΟ ΣΧΟΛΕΙΟ ΑΜΦΙΛΟΧΙΑΣ</t>
  </si>
  <si>
    <t>ΑΡΑΚΥΝΘΟΥ</t>
  </si>
  <si>
    <t>ΠΑΠΠΑΔΑΤΩΝ</t>
  </si>
  <si>
    <t>1ο ΗΜΕΡΗΣΙΟ ΕΠΑΛ ΜΑΚΡΥΝΕΙΑΣ</t>
  </si>
  <si>
    <t>mail@1epal-makryn.ait.sch.gr</t>
  </si>
  <si>
    <t>Παππαδάτες</t>
  </si>
  <si>
    <t>ΧΑΡ. ΤΡΙΚΟΥΠΗ</t>
  </si>
  <si>
    <t>ΔΗΜΟΤΙΚΟ ΣΧΟΛΕΙΟ ΠΑΠΑΔΑΤΩΝ</t>
  </si>
  <si>
    <t>ΘΕΡΜΟΥ</t>
  </si>
  <si>
    <t>ΓΕΝΙΚΟ ΛΥΚΕΙΟ ΘΕΡΜΟΥ ΑΙΤΩΛΟΑΚΑΡΝΑΝΙΑΣ</t>
  </si>
  <si>
    <t>lyktherm@sch.gr</t>
  </si>
  <si>
    <t>ΘΕΡΜΟ</t>
  </si>
  <si>
    <t>ΔΗΜΟΤΙΚΟ ΣΧΟΛΕΙΟ ΘΕΡΜΟΥ</t>
  </si>
  <si>
    <t>1ο ΗΜΕΡΗΣΙΟ ΕΠΑΛ ΑΓΡΙΝΙΟΥ</t>
  </si>
  <si>
    <t>mail@1epal-agrin.ait.sch.gr</t>
  </si>
  <si>
    <t>ΑΓΡΙΝΙΟ</t>
  </si>
  <si>
    <t>ΑΓ. ΚΩΝΣΤΑΝΤΙΝΟΣ</t>
  </si>
  <si>
    <t>1ο ΔΗΜΟΤΙΚΟ ΣΧΟΛΕΙΟ ΑΓΙΟΥ ΚΩΝΣΤΑΝΤΙΝΟΥ</t>
  </si>
  <si>
    <t>ΝΑΥΠΑΚΤΙΑΣ</t>
  </si>
  <si>
    <t>ΝΑΥΠΑΚΤΟΥ</t>
  </si>
  <si>
    <t>1ο ΗΜΕΡΗΣΙΟ ΓΕΝΙΚΟ ΛΥΚΕΙΟ ΝΑΥΠΑΚΤΟΥ - ΑΓΕΛΑΟΣ Ο ΝΑΥΠΑΚΤΙΟΣ</t>
  </si>
  <si>
    <t>1lyknafp@sch.gr</t>
  </si>
  <si>
    <t>ΝΑΥΠΑΚΤΟΣ</t>
  </si>
  <si>
    <t>ΓΕΩΡΓΙΟΥ ΑΘΑΝΑ 49</t>
  </si>
  <si>
    <t>2ο ΔΗΜΟΤΙΚΟ ΣΧΟΛΕΙΟ ΝΑΥΠΑΚΤΟΥ</t>
  </si>
  <si>
    <t>1ο ΗΜΕΡΗΣΙΟ ΕΠΑΛ ΜΕΣΟΛΟΓΓΙΟΥ</t>
  </si>
  <si>
    <t>mail@1epal-mesol.ait.sch.gr</t>
  </si>
  <si>
    <t>ΤΕΡΜΑ ΣΠΥΡ. ΤΡΙΚΟΥΠΗ</t>
  </si>
  <si>
    <t>3ο ΔΗΜΟΤΙΚΟ ΣΧΟΛΕΙΟ ΜΕΣΟΛΟΓΓΙΟΥ</t>
  </si>
  <si>
    <t>4ο ΗΜΕΡΗΣΙΟ ΓΕΝΙΚΟ ΛΥΚΕΙΟ ΑΓΡΙΝΙΟΥ4ο ΓΕΛ ΑΓΡΙΝΙΟΥ</t>
  </si>
  <si>
    <t>mail@4lyk-agrin.ait.sch.gr</t>
  </si>
  <si>
    <t>ΑΓΙΟΣ ΚΩΝΣΤΑΝΤΙΝΟΣ. ΑΓΡΙΝΙΟ</t>
  </si>
  <si>
    <t>ΠΑΛΑΙΑ Ε.Ο. ΑΓΡΙΝΙΟΥ - ΙΩΑΝΝΙΝΩΝ. ΑΓΙΟΣ ΚΩΝΣΤΑΝΤΙΝΟΣ. ΑΓΡΙΝΙΟ</t>
  </si>
  <si>
    <t>ΜΕΔΕΩΝΟΣ</t>
  </si>
  <si>
    <t>ΚΑΤΟΥΝΑΣ</t>
  </si>
  <si>
    <t>ΓΕΝΙΚΟ ΛΥΚΕΙΟ ΚΑΤΟΥΝΑΣ</t>
  </si>
  <si>
    <t>mail@lyk-katoun.ait.sch.gr</t>
  </si>
  <si>
    <t>ΚΑΤΟΥΝΑ</t>
  </si>
  <si>
    <t>ΚΑΤΟΥΝΑ ΑΙΤΩΛ/ΝΙΑΣ</t>
  </si>
  <si>
    <t>ΔΗΜΟΤΙΚΟ ΣΧΟΛΕΙΟ ΚΑΤΟΥΝΑΣ</t>
  </si>
  <si>
    <t>2ο ΗΜΕΡΗΣΙΟ ΓΕΝΙΚΟ ΛΥΚΕΙΟ ΑΓΡΙΝΙΟΥ</t>
  </si>
  <si>
    <t>mail@2lyk-agrin.ait.sch.gr</t>
  </si>
  <si>
    <t>ΠΑΡΟΔΟΣ ΑΓΙΟΥ ΙΩΑΝΝΗ ΡΗΓΑΝΑ</t>
  </si>
  <si>
    <t>20ο ΔΗΜΟΤΙΚΟ ΣΧΟΛΕΙΟ ΑΓΡΙΝΙΟΥ</t>
  </si>
  <si>
    <t>1ο ΗΜΕΡΗΣΙΟ ΓΕΝΙΚΟ ΛΥΚΕΙΟ ΑΓΡΙΝΙΟΥ</t>
  </si>
  <si>
    <t>mail@1lyk-agrin.ait.sch.gr</t>
  </si>
  <si>
    <t>ΜΑΡΙΝΟΥ ΑΝΤΥΠΑ 41</t>
  </si>
  <si>
    <t>7ο ΔΗΜΟΤΙΚΟ ΣΧΟΛΕΙΟ ΑΓΡΙΝΙΟΥ</t>
  </si>
  <si>
    <t>ΜΥΤΙΚΑ</t>
  </si>
  <si>
    <t>ΗΜΕΡΗΣΙΟ ΓΕΝΙΚΟ ΛΥΚΕΙΟ ΜΥΤΙΚΑΣ ΑΙΤΩΛΟΑΚΑΡΝΑΝΙΑΣ - ΓΕΝΙΚΟ ΛΥΚΕΙΟ ΜΥΤΙΚΑ</t>
  </si>
  <si>
    <t>mail@lyk-mytik.ait.sch.gr</t>
  </si>
  <si>
    <t>ΜΥΤΙΚΑΣ ΑΙΤΩΛΟΑΚΑΡΝΑΝΙΑΣ</t>
  </si>
  <si>
    <t>3ο ΗΜΕΡΗΣΙΟ ΓΕΝΙΚΟ ΛΥΚΕΙΟ ΑΓΡΙΝΙΟΥ</t>
  </si>
  <si>
    <t>mail@3lyk-agrin.ait.sch.gr</t>
  </si>
  <si>
    <t>Λ.ΜΑΒΙΛΗ</t>
  </si>
  <si>
    <t>1ο ΔΗΜΟΤΙΚΟ ΣΧΟΛΕΙΟ ΑΓΡΙΝΙΟΥ</t>
  </si>
  <si>
    <t>ΗΜΕΡΗΣΙΟ ΓΕΝΙΚΟ ΛΥΚΕΙΟ ΑΣΤΑΚΟΥ ΑΙΤΩΛΟΑΚΑΡΝΑΝΙΑΣ</t>
  </si>
  <si>
    <t>mail@lyk-astak.ait.sch.gr</t>
  </si>
  <si>
    <t>ΑΣΤΑΚΟΣ ΑΙΤΩΛΟΑΚΑΡΝΑΝΙΑΣ</t>
  </si>
  <si>
    <t>ΑΣΤΑΚΟΣ</t>
  </si>
  <si>
    <t>1ο ΔΗΜΟΤΙΚΟ ΣΧΟΛΕΙΟ ΑΣΤΑΚΟΥ</t>
  </si>
  <si>
    <t>ΗΜΕΡΗΣΙΟ ΓΕΝΙΚΟ ΛΥΚΕΙΟ ΒΟΝΙΤΣΑΣ ΑΙΤΩΛΟΑΚΑΡΝΑΝΙΑΣ</t>
  </si>
  <si>
    <t>mail@lyk-vonits.ait.sch.gr</t>
  </si>
  <si>
    <t>ΕΛΕΥΘΕΡΙΟΥ ΒΕΝΙΖΕΛΟΥ</t>
  </si>
  <si>
    <t>ΓΕΝΙΚΟ ΛΥΚΕΙΟ ΑΜΦΙΛΟΧΙΑΣ</t>
  </si>
  <si>
    <t>mail@lyk-amfil.ait.sch.gr</t>
  </si>
  <si>
    <t>Ν ΣΤΡΑΤΟΥ 58</t>
  </si>
  <si>
    <t>ΜΑΤΑΡΑΓΚΑΣ</t>
  </si>
  <si>
    <t>ΗΜΕΡΗΣΙΟ ΓΕΝΙΚΟ ΛΥΚΕΙΟ ΜΑΤΑΡΑΓΚΑΣ ΑΙΤΩΛΟΑΚΑΡΝΑΝΙΑΣ</t>
  </si>
  <si>
    <t>mail@lyk-matar.ait.sch.gr</t>
  </si>
  <si>
    <t xml:space="preserve">ΜΑΤΑΡΑΓΚΑ </t>
  </si>
  <si>
    <t>ΜΑΤΑΡΑΓΚΑ ΑΙΤΩΛΟΑΚΑΡΝΑΝΙΑΣ</t>
  </si>
  <si>
    <t>ΠΑΡΑΒΟΛΑΣ</t>
  </si>
  <si>
    <t>ΗΜΕΡΗΣΙΟ ΓΕΝΙΚΟ ΛΥΚΕΙΟ ΠΑΡΑΒΟΛΑΣ ΑΙΤΩΛΟΑΚΑΡΝΑΝΙΑΣ</t>
  </si>
  <si>
    <t>lykparav@sch.gr</t>
  </si>
  <si>
    <t>ΠΑΡΑΒΟΛΑ ΑΙΤΩΛΟΑΚΑΡΝΑΝΙΑΣ,</t>
  </si>
  <si>
    <t>ΠΑΡΑΒΟΛΑ</t>
  </si>
  <si>
    <t>ΔΗΜΟΤΙΚΟ ΣΧΟΛΕΙΟ ΠΑΡΑΒΟΛΑΣ</t>
  </si>
  <si>
    <t>1ο ΗΜΕΡΗΣΙΟ ΓΕΝΙΚΟ ΛΥΚΕΙΟ ΜΕΣΟΛΟΓΓΙΟΥ - ΠΑΛΑΜΑΪΚΗ ΣΧΟΛΗ</t>
  </si>
  <si>
    <t>mail@1lyk-mesol.ait.sch.gr</t>
  </si>
  <si>
    <t>ΚΥΠΡΟΥ 86</t>
  </si>
  <si>
    <t>2ο ΔΗΜΟΤΙΚΟ ΣΧΟΛΕΙΟ ΜΕΣΟΛΟΓΓΙΟΥ</t>
  </si>
  <si>
    <t>ΕΥΗΝΟΧΩΡΙΟΥ</t>
  </si>
  <si>
    <t>ΗΜΕΡΗΣΙΟ ΓΕΝΙΚΟ ΛΥΚΕΙΟ ΕΥΗΝΟΧΩΡΙΟΥ ΑΙΤΩΛΟΑΚΑΡΝΑΝΙΑΣ</t>
  </si>
  <si>
    <t>mail@lyk-evinoch.ait.sch.gr</t>
  </si>
  <si>
    <t>ΕΥΗΝΟΧΩΡΙ ΑΙΤΩΛΟΑΚΑΡΝΑΝΙΑΣ</t>
  </si>
  <si>
    <t>ΕΥΗΝΟΧΩΡΙ- ΜΕΣΟΛΟΓΓΙΟΥ</t>
  </si>
  <si>
    <t>ΔΗΜΟΤΙΚΟ ΣΧΟΛΕΙΟ ΕΥΗΝΟΧΩΡΙΟΥ</t>
  </si>
  <si>
    <t>1ο ΗΜΕΡΗΣΙΟ ΕΠΑΛ ΝΑΥΠΑΚΤΟΥ</t>
  </si>
  <si>
    <t>1epal-nafpakt@sch.gr</t>
  </si>
  <si>
    <t>Ν. ΤΣΑΡΑ 6</t>
  </si>
  <si>
    <t>ΗΜΕΡΗΣΙΟ ΓΕΝΙΚΟ ΛΥΚΕΙΟ ΝΕΟΧΩΡΙΟΥ ΑΙΤΩΛΟΑΚΑΡΝΑΝΙΑΣ</t>
  </si>
  <si>
    <t>mail@lyk-neoch.ait.sch.gr</t>
  </si>
  <si>
    <t>ΝΕΟΧΩΡΙ ΑΙΤΩΛΟΑΚΑΡΝΑΝΙΑΣ</t>
  </si>
  <si>
    <t>ΚΥΠΡΟΥ 10</t>
  </si>
  <si>
    <t>2ο ΔΗΜΟΤΙΚΟ ΣΧΟΛΕΙΟ ΝΕΟΧΩΡΙΟΥ</t>
  </si>
  <si>
    <t>2ο ΗΜΕΡΗΣΙΟ ΓΕΝΙΚΟ ΛΥΚΕΙΟ ΝΑΥΠΑΚΤΟΥ</t>
  </si>
  <si>
    <t>mail@2lyk-nafpakt.ait.sch.gr</t>
  </si>
  <si>
    <t>Ν. ΤΣΑΡΑ 9</t>
  </si>
  <si>
    <t>ΠΑΝΑΙΤΩΛΙΟΥ</t>
  </si>
  <si>
    <t>ΗΜΕΡΗΣΙΟ ΓΕΝΙΚΟ ΛΥΚΕΙΟ ΠΑΝΑΙΤΩΛΙΟΥ ΑΙΤΩΛΟΑΚΑΡΝΑΝΙΑΣ</t>
  </si>
  <si>
    <t>mail@lyk-panait.ait.sch.gr</t>
  </si>
  <si>
    <t xml:space="preserve"> ΠΑΝΑΙΤΩΛΙΟ ΑΓΡΙΝΙΟΥ</t>
  </si>
  <si>
    <t>Κ. ΚΑΝΑΡΗ 12</t>
  </si>
  <si>
    <t>1ο ΔΗΜΟΤΙΚΟ ΣΧΟΛΕΙΟ ΠΑΝΑΙΤΩΛΙΟΥ</t>
  </si>
  <si>
    <t>ΗΜΕΡΗΣΙΟ ΓΥΜΝΑΣΙΟ ΑΣΤΑΚΟΣ - ΚΑΡΑΜΟΥΖΕΙΟ</t>
  </si>
  <si>
    <t>mail@gym-astak.ait.sch.gr</t>
  </si>
  <si>
    <t>ΗΜΕΡΗΣΙΟ ΓΥΜΝΑΣΙΟ ΠΑΝΑΙΤΩΛΙΟΥ ΑΙΤΩΛΟΑΚΑΡΝΑΝΙΑΣ</t>
  </si>
  <si>
    <t>mail@gym-panait.ait.sch.gr</t>
  </si>
  <si>
    <t>ΠΑΝΑΙΤΩΛΙΟ</t>
  </si>
  <si>
    <t>Κ. ΚΑΝΑΡΗ</t>
  </si>
  <si>
    <t>2ο ΔΗΜΟΤΙΚΟ ΣΧΟΛΕΙΟ ΠΑΝΑΙΤΩΛΙΟΥ</t>
  </si>
  <si>
    <t>1ο ΗΜΕΡΗΣΙΟ ΓΥΜΝΑΣΙΟ ΝΑΥΠΑΚΤΟΥ</t>
  </si>
  <si>
    <t>mail@1gym-nafpakt.ait.sch.gr</t>
  </si>
  <si>
    <t>ΓΕΩΡΓΙΟΥ ΑΘΑΝΑΣΙΑΔΗ ΝΟΒΑ 49</t>
  </si>
  <si>
    <t>ΗΜΕΡΗΣΙΟ ΓΥΜΝΑΣΙΟ ΓΑΒΑΛΟΥΣ ΑΙΤΩΛΟΑΚΑΡΝΑΝΙΑΣ</t>
  </si>
  <si>
    <t>mail@gym-gaval.ait.sch.gr</t>
  </si>
  <si>
    <t>ΑΙΤΩΛΙΚΟΥ</t>
  </si>
  <si>
    <t>ΗΜΕΡΗΣΙΟ ΓΥΜΝΑΣΙΟ ΑΙΤΩΛΙΚΟΥ ΑΙΤΩΛΟΑΚΑΡΝΑΝΙΑΣ</t>
  </si>
  <si>
    <t>mail@gym-aitol.ait.sch.gr</t>
  </si>
  <si>
    <t>ΑΙΤΩΛΙΚΟ ΑΙΤΩΛΟΑΚΑΡΝΑΝΙΑΣ</t>
  </si>
  <si>
    <t>ΑΝΔΡΕΑ ΣΥΓΓΡΟΥ 10</t>
  </si>
  <si>
    <t>1ο ΔΗΜΟΤΙΚΟ ΣΧΟΛΕΙΟ ΑΙΤΩΛΙΚΟΥ</t>
  </si>
  <si>
    <t>ΗΜΕΡΗΣΙΟ ΓΥΜΝΑΣΙΟ ΚΑΛΥΒΙΩΝ ΑΙΤΩΛΟΑΚΑΡΝΑΝΙΑΣ</t>
  </si>
  <si>
    <t>mail@gym-kalyv.ait.sch.gr</t>
  </si>
  <si>
    <t>ΚΑΛΥΒΙΑ ΑΙΤΩΛΟΑΚΑΡΝΑΝΙΑΣ</t>
  </si>
  <si>
    <t>ΚΑΛΥΒΙΑ ΑΓΡΙΝΙΟΥ</t>
  </si>
  <si>
    <t>ΔΗΜΟΤΙΚΟ ΣΧΟΛΕΙΟ ΚΑΛΥΒΙΩΝ</t>
  </si>
  <si>
    <t>ΗΜΕΡΗΣΙΟ ΓΥΜΝΑΣΙΟ ΚΑΙΝΟΥΡΓΙΟΥ</t>
  </si>
  <si>
    <t>mail@gym-kainourg.ait.sch.gr</t>
  </si>
  <si>
    <t>ΠΑΡΟΔΟΣ ΚΟΣΜΑ ΑΙΤΩΛΟΥ</t>
  </si>
  <si>
    <t>1ο ΔΗΜΟΤΙΚΟ ΣΧΟΛΕΙΟ ΘΕΣΤΙΕΩΝ</t>
  </si>
  <si>
    <t>1ο ΗΜΕΡΗΣΙΟ ΓΥΜΝΑΣΙΟ ΜΕΣΟΛΟΓΓΙΟΥ - ΠΑΛΑΜΑΪΚΗ ΣΧΟΛΗ</t>
  </si>
  <si>
    <t>mail@1gym-mesol.ait.sch.gr</t>
  </si>
  <si>
    <t>ΧΡ.ΚΑΨΑΛΗ 25</t>
  </si>
  <si>
    <t>ΠΑΛΑΙΡΟΥ</t>
  </si>
  <si>
    <t>ΓΥΜΝΑΣΙΟΥ ΠΑΛΑΙΡΟΥ ΜΕ ΛΥΚΕΙΑΚΕΣ ΤΑΞΕΙΣ</t>
  </si>
  <si>
    <t>mail@gym-palair.ait.sch.gr</t>
  </si>
  <si>
    <t>ΠΑΛΑΙΡΟΣ ΑΙΤΩΛΟΑΚΑΡΝΑΝΙΑΣ</t>
  </si>
  <si>
    <t>ΠΑΛΑΙΡΟΣ</t>
  </si>
  <si>
    <t>1ο ΔΗΜΟΤΙΚΟ ΣΧΟΛΕΙΟ ΠΑΛΑΙΡΟΥ</t>
  </si>
  <si>
    <t>2ο ΗΜΕΡΗΣΙΟ ΕΠΑΛ ΑΓΡΙΝΙΟΥ</t>
  </si>
  <si>
    <t>mail@2epal-agrin.ait.sch.gr</t>
  </si>
  <si>
    <t>ΕΘΝΙΚΟΥ ΣΤΑΔΙΟΥ 3</t>
  </si>
  <si>
    <t>13ο ΔΗΜΟΤΙΚΟ ΣΧΟΛΕΙΟ ΑΓΡΙΝΙΟΥ</t>
  </si>
  <si>
    <t>ΕΚ ΝΑΥΠΑΚΤΟΥ</t>
  </si>
  <si>
    <t>seknafpa@sch.gr</t>
  </si>
  <si>
    <t>1ο ΕΚ ΜΕΣΟΛΟΓΓΙΟΥ</t>
  </si>
  <si>
    <t>mail@sek-mesol.ait.sch.gr</t>
  </si>
  <si>
    <t>ΤΕΡΜΑ ΣΠΥΡΟΥ ΤΡΙΚΟΥΠΗ</t>
  </si>
  <si>
    <t>ΔΗΜΟΤΙΚΟ ΣΧΟΛΕΙΟ  ΑΓΙΟΥ ΘΩΜΑ</t>
  </si>
  <si>
    <t>3ο ΗΜΕΡΗΣΙΟ ΓΥΜΝΑΣΙΟ ΑΓΡΙΝΙΟΥ</t>
  </si>
  <si>
    <t>mail@3gym-agrin.ait.sch.gr</t>
  </si>
  <si>
    <t>ΡΗΓΑ ΦΕΡΑΙΟΥ 36</t>
  </si>
  <si>
    <t>21ο ΔΗΜΟΤΙΚΟ ΣΧΟΛΕΙΟ ΑΓΡΙΝΙΟΥ</t>
  </si>
  <si>
    <t>ΗΜΕΡΗΣΙΟ ΓΥΜΝΑΣΙΟ ΝΕΑΠΟΛΗΣ ΑΙΤΩΛΟΑΚΑΡΝΑΝΙΑΣ</t>
  </si>
  <si>
    <t>mail@gym-neapol.ait.sch.gr</t>
  </si>
  <si>
    <t>ΝΕΑΠΟΛΗ ΑΙΤΩΛΟΑΚΑΡΝΑΝΙΑΣ</t>
  </si>
  <si>
    <t>2ο ΔΗΜΟΤΙΚΟ ΣΧΟΛΕΙΟ ΝΕΑΠΟΛΗΣ</t>
  </si>
  <si>
    <t>3ο ΗΜΕΡΗΣΙΟ ΓΥΜΝΑΣΙΟ ΝΑΥΠΑΚΤΟΥ</t>
  </si>
  <si>
    <t>mail@3gym-nafpakt.ait.sch.gr</t>
  </si>
  <si>
    <t>ΛΥΓΙΑΣ</t>
  </si>
  <si>
    <t>6ο ΔΗΜΟΤΙΚΟ ΣΧΟΛΕΙΟ ΝΑΥΠΑΚΤΟΥ</t>
  </si>
  <si>
    <t>ΕΚ ΑΓΡΙΝΙΟΥ</t>
  </si>
  <si>
    <t>mail@sek-agrin.ait.sch.gr</t>
  </si>
  <si>
    <t>ΑΓΙΟΣ ΚΩΝΣΤΑΝΤΙΝΟΣ ΑΓΡΙΝΙΟΥ</t>
  </si>
  <si>
    <t>ΕΘΝΙΚΗΣ ΣΥΜΦΙΛΙΩΣΗΣ 30027 ΑΓΙΟΣ ΚΩΝΣΤΑΝΤΙΝΟΣ ΑΓΡΙΝΙΟΥ</t>
  </si>
  <si>
    <t>12ο ΔΗΜΟΤΙΚΟ ΣΧΟΛΕΙΟ ΑΓΡΙΝΙΟΥ</t>
  </si>
  <si>
    <t>ΗΜΕΡΗΣΙΟ ΓΥΜΝΑΣΙΟ ΘΕΡΜΟΥ ΑΙΤΩΛΟΑΚΑΡΝΑΝΙΑΣ</t>
  </si>
  <si>
    <t>mail@gym-therm.ait.sch.gr</t>
  </si>
  <si>
    <t>ΘΕΡΜΟ ΑΙΤΩΛΟΑΚΑΡΝΑΝΙΑΣ</t>
  </si>
  <si>
    <t>7ο ΗΜΕΡΗΣΙΟ ΓΥΜΝΑΣΙΟ ΑΓΡΙΝΙΟΥ</t>
  </si>
  <si>
    <t>7gymagri@sch.gr</t>
  </si>
  <si>
    <t>Αγίου Χριστοφόρου 109</t>
  </si>
  <si>
    <t>1ο ΗΜΕΡΗΣΙΟ ΓΥΜΝΑΣΙΟ ΑΓΡΙΝΙΟΥ - ΠΑΠΑΣΤΡΑΤΕΙΟ</t>
  </si>
  <si>
    <t>mail@1gym-agrin.ait.sch.gr</t>
  </si>
  <si>
    <t>ΠΑΠΑΣΤΡΑΤΟΥ ΤΕΡΜΑ</t>
  </si>
  <si>
    <t>5ο ΔΗΜΟΤΙΚΟ ΣΧΟΛΕΙΟ ΑΓΡΙΝΙΟΥ</t>
  </si>
  <si>
    <t>1ο ΗΜΕΡΗΣΙΟ ΓΥΜΝΑΣΙΟ ΑΜΦΙΛΟΧΙΑΣ - ΓΥΜΝΑΣΙΟ ΑΜΦΙΛΟΧΙΑΣ</t>
  </si>
  <si>
    <t>mail@gym-amfil.ait.sch.gr</t>
  </si>
  <si>
    <t>Ν.ΣΤΡΑΤΟΥ 58</t>
  </si>
  <si>
    <t>ΗΜΕΡΗΣΙΟ ΓΥΜΝΑΣΙΟ ΠΑΡΑΒΟΛΑΣ</t>
  </si>
  <si>
    <t>mail@gym-parav.ait.sch.gr</t>
  </si>
  <si>
    <t>ΠΑΡΑΒΟΛΑ ΑΙΤΩΛΟΑΚΑΡΝΑΝΙΑΣ</t>
  </si>
  <si>
    <t>5ο ΗΜΕΡΗΣΙΟ ΓΥΜΝΑΣΙΟ ΑΓΡΙΝΙΟΥ</t>
  </si>
  <si>
    <t>mail@5gym-agrin.ait.sch.gr</t>
  </si>
  <si>
    <t>ΓΟΥΝΑΡΗ 18</t>
  </si>
  <si>
    <t>ΜΑΛΕΣΙΑΔΑΣ</t>
  </si>
  <si>
    <t>ΗΜΕΡΗΣΙΟ ΓΥΜΝΑΣΙΟ ΜΑΛΕΣΙΑΔΑ ΑΙΤΩΛΟΑΚΑΡΝΑΝΙΑΣ - ΗΜΕΡΗΣΙΟ ΓΥΜΝΑΣΙΟ ΜΑΛΕΣΙΑΔΑΣ</t>
  </si>
  <si>
    <t>mail@gym-males.ait.sch.gr</t>
  </si>
  <si>
    <t>ΜΑΛΕΣΙΑΔΑ ΑΙΤΩΛΟΑΚΑΡΝΑΝΙΑΣ</t>
  </si>
  <si>
    <t>ΜΑΛΕΣΙΑΔΑ</t>
  </si>
  <si>
    <t>ΔΗΜΟΤΙΚΟ ΣΧΟΛΕΙΟ ΜΑΛΕΣΙΑΔΑΣ</t>
  </si>
  <si>
    <t>1ο ΗΜΕΡΗΣΙΟ ΓΥΜΝΑΣΙΟ ΒΟΝΙΤΣΑΣ ΑΙΤΩΛΟΑΚΑΡΝΑΝΙΑΣ</t>
  </si>
  <si>
    <t>mail@gym-vonits.ait.sch.gr</t>
  </si>
  <si>
    <t>ΕΛ. ΒΕΝΙΖΕΛΟΥ</t>
  </si>
  <si>
    <t>ΣΤΡΑΤΟΥ</t>
  </si>
  <si>
    <t>ΛΕΠΕΝΟΥΣ</t>
  </si>
  <si>
    <t>ΓΥΜΝΑΣΙΟ ΛΕΠΕΝΟΥΣ ΑΙΤΩΛΟΑΚΑΡΝΑΝΙΑΣ</t>
  </si>
  <si>
    <t>mail@gym-lepen.ait.sch.gr</t>
  </si>
  <si>
    <t>ΛΕΠΕΝΟΥ ΑΙΤΩΛΟΑΚΑΡΝΑΝΙΑΣ</t>
  </si>
  <si>
    <t>ΔΗΜΟΤΙΚΟ ΣΧΟΛΕΙΟ ΛΕΠΕΝΟΥΣ</t>
  </si>
  <si>
    <t>2ο ΗΜΕΡΗΣΙΟ ΓΥΜΝΑΣΙΟ ΑΓΡΙΝΙΟΥ - ΚΟΣΜΑΣ Ο ΑΙΤΩΛΟΣ</t>
  </si>
  <si>
    <t>2gymagri@sch.gr</t>
  </si>
  <si>
    <t>Λ.ΜΑΒΙΛΗ 5</t>
  </si>
  <si>
    <t>ΠΑΡΑΚΑΜΠΥΛΙΩΝ</t>
  </si>
  <si>
    <t>ΑΓΙΟΥ ΒΛΑΣΙΟΥ</t>
  </si>
  <si>
    <t>ΗΜΕΡΗΣΙΟ ΓΥΜΝΑΣΙΟ ΑΓΙΟΥ ΒΛΑΣΙΟΥ ΑΙΤΩΛΟΑΚΑΡΝΑΝΙΑΣ</t>
  </si>
  <si>
    <t>mail@gym-ag-vlasiou.ait.sch.gr</t>
  </si>
  <si>
    <t>ΑΓΙΟΣ ΒΛΑΣΙΟΣ ΑΙΤΩΛΟΑΚΑΡΝΑΝΙΑΣ</t>
  </si>
  <si>
    <t>ΔΗΜΟΤΙΚΟ ΣΧΟΛΕΙΟ ΑΓΙΟΥ ΒΛΑΣΙΟΥ</t>
  </si>
  <si>
    <t>2ο ΗΜΕΡΗΣΙΟ ΓΥΜΝΑΣΙΟ ΝΑΥΠΑΚΤΟΥ</t>
  </si>
  <si>
    <t>mail@2gym-nafpakt.ait.sch.gr</t>
  </si>
  <si>
    <t>ΝΙΚΟΛΑΟΥ ΤΣΑΡΑ 9</t>
  </si>
  <si>
    <t>5ο ΔΗΜΟΤΙΚΟ ΣΧΟΛΕΙΟ ΝΑΥΠΑΚΤΟΥ</t>
  </si>
  <si>
    <t>ΦΥΤΕΙΩΝ</t>
  </si>
  <si>
    <t>ΗΜΕΡΗΣΙΟ ΓΥΜΝΑΣΙΟ ΦΥΤΕΙΩΝ ΑΙΤΩΛΟΑΚΑΡΝΑΝΙΑΣ - Λ.Τ. ΓΥΜΝΑΣΙΟΥ ΦΥΤΕΙΩΝ</t>
  </si>
  <si>
    <t>mail@gym-fyteion.ait.sch.gr</t>
  </si>
  <si>
    <t>ΦΥΤΕΙΕΣ ΑΙΤΩΛΟΑΚΑΡΝΑΝΙΑΣ</t>
  </si>
  <si>
    <t>ΟΔΟΣ ΑΝΑΠΑΥΣΕΩΣ</t>
  </si>
  <si>
    <t>ΔΗΜΟΤΙΚΟ ΣΧΟΛΕΙΟ ΦΥΤΕΙΩΝ</t>
  </si>
  <si>
    <t>ΗΜΕΡΗΣΙΟ ΓΥΜΝΑΣΙΟ ΜΑΤΑΡΑΓΚΑΣ ΑΙΤΩΛΟΑΚΑΡΝΑΝΙΑΣ</t>
  </si>
  <si>
    <t>mail@gym-matar.ait.sch.gr</t>
  </si>
  <si>
    <t>ΜΑΤΑΡΑΓΚΑ</t>
  </si>
  <si>
    <t>ΔΗΜΟΤΙΚΟ ΣΧΟΛΕΙΟ ΜΑΤΑΡΑΓΚΑΣ</t>
  </si>
  <si>
    <t>ΗΜΕΡΗΣΙΟ ΓΥΜΝΑΣΙΟ ΕΥΗΝΟΧΩΡΙΟΥ ΑΙΤΩΛΟΑΚΑΡΝΑΝΙΑΣ</t>
  </si>
  <si>
    <t>mail@gym-evinoch.ait.sch.gr</t>
  </si>
  <si>
    <t>ΕΥΗΝΟΧΩΡΙ ΑΙΤΩΛ/ΝΙΑΣ</t>
  </si>
  <si>
    <t>ΜΟΥΣΙΚΟ ΓΥΜΝΑΣΙΟ ΑΓΡΙΝΙΟΥ - ΛΥΚΕΙΑΚΕΣ ΤΑΞΕΙΣ</t>
  </si>
  <si>
    <t>mail@gym-mous-agrin.ait.sch.gr</t>
  </si>
  <si>
    <t>2ο ΧΛΜ ΕΘΝΙΚΗΣ ΟΔΟΥ ΑΓΡΙΝΙΟΥ ΑΝΤΙΡΡΙΟΥ</t>
  </si>
  <si>
    <t>2ο ΗΜΕΡΗΣΙΟ ΓΥΜΝΑΣΙΟ ΜΕΣΟΛΟΓΓΙΟΥ</t>
  </si>
  <si>
    <t>mail@2gym-mesol.ait.sch.gr</t>
  </si>
  <si>
    <t>ΜΑΝΑΣ - ΑΓ.ΔΗΜΗΤΡΙΟΣ</t>
  </si>
  <si>
    <t>1ο ΔΗΜΟΤΙΚΟ ΣΧΟΛΕΙΟ ΜΕΣΟΛΟΓΓΙΟΥ</t>
  </si>
  <si>
    <t>ΑΝΤΙΡΡΙΟΥ</t>
  </si>
  <si>
    <t>ΗΜΕΡΗΣΙΟ ΓΥΜΝΑΣΙΟ ΑΝΤΙΡΡΙΟΥ</t>
  </si>
  <si>
    <t>mail@gym-antirr.ait.sch.gr</t>
  </si>
  <si>
    <t>ΑΝΤΙΡΡΙΟ</t>
  </si>
  <si>
    <t>ΔΗΜΟΤΙΚΟ ΣΧΟΛΕΙΟ ΑΝΤΙΡΡΙΟΥ</t>
  </si>
  <si>
    <t>ΗΜΕΡΗΣΙΟ ΓΥΜΝΑΣΙΟ ΛΟΥΤΡΟΥ</t>
  </si>
  <si>
    <t>mail@gym-loutr.ait.sch.gr</t>
  </si>
  <si>
    <t>ΛΟΥΤΡΟ ΑΙΤΩΛΟΑΚΑΡΝΑΝΙΑΣ</t>
  </si>
  <si>
    <t>ΛΟΥΤΡΟ ΑΜΦΙΛΟΧΙΑΣ</t>
  </si>
  <si>
    <t>ΔΗΜΟΤΙΚΟ ΣΧΟΛΕΙΟ ΛΟΥΤΡΟΥ ΑΜΦΙΛΟΧΙΑΣ</t>
  </si>
  <si>
    <t>1ο ΗΜΕΡΗΣΙΟ ΓΥΜΝΑΣΙΟ ΜΟΝΑΣΤΗΡΑΚΙΟΥ ΑΙΤΩΛΟΑΚΑΡΝΑΝΙΑΣ</t>
  </si>
  <si>
    <t>mail@gym-monast.ait.sch.gr</t>
  </si>
  <si>
    <t>ΜΟΝΑΣΤΗΡΑΚΙ,</t>
  </si>
  <si>
    <t>ΓΥΜΝΑΣΙΟ ΜΟΝΑΣΤΗΡΑΚΙΟΥ</t>
  </si>
  <si>
    <t>ΔΗΜΟΤΙΚΟ ΣΧΟΛΕΙΟ ΜΟΝΑΣΤΗΡΑΚΙΟΥ</t>
  </si>
  <si>
    <t>2ο ΗΜΕΡΗΣΙΟ ΓΕΝΙΚΟ ΛΥΚΕΙΟ ΜΕΣΟΛΟΓΓΙΟΥ - "ΣΧΟΛΗ ΕΛΛΗΝΙΚΩΝ ΜΑΘΗΜΑΤΩΝ"</t>
  </si>
  <si>
    <t>mail@2lyk-mesol.ait.sch.gr</t>
  </si>
  <si>
    <t>ΠΑΠΑΔΙΑΜΑΝΤΟΠΟΥΛΟΥ 100</t>
  </si>
  <si>
    <t>ΓΟΥΡΙΑΣ</t>
  </si>
  <si>
    <t>ΗΜΕΡΗΣΙΟ ΓΥΜΝΑΣΙΟ ΓΟΥΡΙΑΣ ΑΙΤΩΛΟΑΚΑΡΝΑΝΙΑΣ "Κ.Σ. ΚΩΝΣΤΑΣ"</t>
  </si>
  <si>
    <t>mail@gym-gourias.ait.sch.gr</t>
  </si>
  <si>
    <t>ΓΟΥΡΙΑ</t>
  </si>
  <si>
    <t>ΔΗΜΟΤΙΚΟ ΣΧΟΛΕΙΟ ΓΟΥΡΙΑΣ</t>
  </si>
  <si>
    <t>ΗΜΕΡΗΣΙΟ ΓΥΜΝΑΣΙΟ ΚΑΤΟΧΗΣ ΑΙΤΩΛΟΑΚΑΡΝΑΝΙΑΣ - ΓΥΜΝΑΣΙΟ ΚΑΤΟΧΗΣ</t>
  </si>
  <si>
    <t>mail@gym-katoch.ait.sch.gr</t>
  </si>
  <si>
    <t>ΚΑΤΟΧΗΣ ΑΙΤΩΛΟΑΚΑΡΝΑΝΙΑΣ</t>
  </si>
  <si>
    <t>ΚΑΤΟΧΗ ΜΕΣΟΛΟΓΓΙΟΥ</t>
  </si>
  <si>
    <t>6ο ΗΜΕΡΗΣΙΟ ΓΥΜΝΑΣΙΟ ΑΓΡΙΝΙΟΥ</t>
  </si>
  <si>
    <t>mail@6gym-agrin.ait.sch.gr</t>
  </si>
  <si>
    <t>ΗΜΕΡΗΣΙΟ ΓΥΜΝΑΣΙΟ ΚΑΤΟΥΝΑΣ ΑΙΤΩΛΟΑΚΑΡΝΑΝΙΑΣ</t>
  </si>
  <si>
    <t>mail@gym-katoun.ait.sch.gr</t>
  </si>
  <si>
    <t>Κατούνα</t>
  </si>
  <si>
    <t>ΗΜΕΡΗΣΙΟ ΓΕΝΙΚΟ ΛΥΚΕΙΟ ΑΙΤΩΛΙΚΟΥ ΑΙΤΩΛΟΑΚΑΡΝΑΝΙΑΣ - ΕΥΓΕΝΙΟΣ ΓΙΑΝΝΟΥΛΗΣ</t>
  </si>
  <si>
    <t>mail@lyk-aitol.ait.sch.gr</t>
  </si>
  <si>
    <t>5ο ΗΜΕΡΗΣΙΟ ΓΕΝΙΚΟ ΛΥΚΕΙΟ ΑΓΡΙΝΙΟΥ</t>
  </si>
  <si>
    <t>mail@5lyk-agrin.ait.sch.gr</t>
  </si>
  <si>
    <t>ΕΘΝΙΚΟ ΣΤΑΔΙΟ</t>
  </si>
  <si>
    <t>6ο ΔΗΜΟΤΙΚΟ ΣΧΟΛΕΙΟ ΑΓΡΙΝΙΟΥ</t>
  </si>
  <si>
    <t>4ο ΗΜΕΡΗΣΙΟ ΓΥΜΝΑΣΙΟ ΑΓΡΙΝΙΟΥ</t>
  </si>
  <si>
    <t>mail@4gym-agrin.ait.sch.gr</t>
  </si>
  <si>
    <t>ΑΓΙΟΥ ΙΩΑΝΝΗ ΡΗΓΑΝΑ</t>
  </si>
  <si>
    <t>ΗΜΕΡΗΣΙΟ ΓΥΜΝΑΣΙΟ ΑΓΙΟΥ ΚΩΝΣΤΑΝΤΙΝΟΥ ΑΙΤΩΛΟΑΚΑΡΝΑΝΙΑΣ</t>
  </si>
  <si>
    <t>mail@gym-ag-konst.ait.sch.gr</t>
  </si>
  <si>
    <t>ΑΓΙΟΣ ΚΩΝΣΤΑΝΤΙΝΟΣ ΑΙΤΩΛΟΑΚΑΡΝΑΝΙΑΣ</t>
  </si>
  <si>
    <t>ΜΑΚΡΥΓΙΑΝΝΗ 15</t>
  </si>
  <si>
    <t>2ο ΔΗΜΟΤΙΚΟ ΣΧΟΛΕΙΟ ΑΓΙΟΥ ΚΩΝΣΤΑΝΤΙΝΟΥ</t>
  </si>
  <si>
    <t>ΕΕΕΕΚ ΝΑΥΠΑΚΤΟΣ - ΕΕΕΕΚ</t>
  </si>
  <si>
    <t>mail@eeeek-nafpakt.ait.sch.gr</t>
  </si>
  <si>
    <t>ΕΘΝ. ΣΥΜΦΙΛΙΩΣΗΣ 20</t>
  </si>
  <si>
    <t>ΕΕΕΕΚ ΑΓΡΙΝΙΟ - ΕΡΓΑΣΤΗΡΙΟ ΕΙΔΙΚΗΣ ΕΠΑΓΓΕΛΜΑΤΙΚΗΣ ΕΚΠΑΙΔΕΥΣΗΣ</t>
  </si>
  <si>
    <t>mail@eeeek-agrin.ait.sch.gr</t>
  </si>
  <si>
    <t>ΜΑΚΡΙΑ ΡΑΧΗ</t>
  </si>
  <si>
    <t>1ο ΔΗΜΟΤΙΚΟ ΣΧΟΛΕΙΟ  ΝΕΑΠΟΛΗΣ</t>
  </si>
  <si>
    <t>ΕΣΠΕΡΙΝΟ ΓΥΜΝΑΣΙΟ ΜΕΣΟΛΟΓΓΙΟΥ με ΛΥΚΕΙΑΚΕΣ ΤΑΞΕΙΣ</t>
  </si>
  <si>
    <t>mail@gym-esp-mesol.ait.sch.gr</t>
  </si>
  <si>
    <t>Ι.Π. ΜΕΣΟΛΟΓΓΙΟΥ</t>
  </si>
  <si>
    <t>Κύπρου 86</t>
  </si>
  <si>
    <t>ΕΝΙΑΙΟ ΕΙΔΙΚΟ ΕΠΑΓΓΕΛΜΑΤΙΚΟ ΓΥΜΝΑΣΙΟ - ΛΥΚΕΙΟ ΑΓΡΙΝΙΟΥ</t>
  </si>
  <si>
    <t>mail@gym-ee-agrin.ait.sch.gr</t>
  </si>
  <si>
    <t>ΜΑΚΡΙΑ ΡΑΧΗ ΝΕΑΠΟΛΗΣ</t>
  </si>
  <si>
    <t>ΕΣΠΕΡΙΝΟ ΓΥΜΝΑΣΙΟ ΑΓΡΙΝΙΟΥ ΜΕ ΛΥΚΕΙΑΚΕΣ ΤΑΞΕΙΣ</t>
  </si>
  <si>
    <t>mail@gym-esp-agrin.ait.sch.gr</t>
  </si>
  <si>
    <t>Ρ.ΦΕΡΑΙΟΥ 36</t>
  </si>
  <si>
    <t>6ο ΗΜΕΡΗΣΙΟ ΓΕΝΙΚΟ ΛΥΚΕΙΟ ΑΓΡΙΝΙΟΥ</t>
  </si>
  <si>
    <t>mail@6lyk-agrin.ait.sch.gr</t>
  </si>
  <si>
    <t>Γούναρη 22Β</t>
  </si>
  <si>
    <t>ΕΣΠΕΡΙΝΟ ΕΠΑ.Λ. ΑΓΡΙΝΙΟΥ</t>
  </si>
  <si>
    <t>mail@epal-esp-agrin.ait.sch.gr</t>
  </si>
  <si>
    <t>Παλαιά Εθνική Οδός Αγρινίου-Ιωαννίνων</t>
  </si>
  <si>
    <t>ΕΝΙΑΙΟ ΕΙΔΙΚΟ ΕΠΑΓΓΕΛΜΑΤΙΚΟ ΓΥΜΝΑΣΙΟ - ΛΥΚΕΙΟ ΜΕΣΟΛΟΓΓΙΟΥ</t>
  </si>
  <si>
    <t>mail@gym-ee-mesol.ait.sch.gr</t>
  </si>
  <si>
    <t>Μεσολόγγι</t>
  </si>
  <si>
    <t>ΚΑΛΛΙΤΕΧΝΙΚΟ ΓΥΜΝΑΣΙΟ ΜΕΣΟΛΟΓΓΙΟΥ</t>
  </si>
  <si>
    <t>mail@gym-kall-mesol.ait.sch.gr</t>
  </si>
  <si>
    <t>Παπαδιαμαντοπούλου 100</t>
  </si>
  <si>
    <t>ΔΙΕΥΘΥΝΣΗ Δ.Ε. ΑΧΑΪΑΣ</t>
  </si>
  <si>
    <t>ΑΙΓΙΑΛΕΙΑΣ</t>
  </si>
  <si>
    <t>ΑΙΓΙΟΥ</t>
  </si>
  <si>
    <t>ΕΣΠΕΡΙΝΟ ΓΥΜΝΑΣΙΟ ΑΙΓΙΟΥ</t>
  </si>
  <si>
    <t>mail@gym-esp-aigiou.ach.sch.gr</t>
  </si>
  <si>
    <t>ΑΙΓΙΟ</t>
  </si>
  <si>
    <t>ΤΕΡΜΑ ΜΗΤΡΟΠΟΛΕΩΣ</t>
  </si>
  <si>
    <t>3ο ΔΗΜΟΤΙΚΟ ΣΧΟΛΕΙΟ ΑΙΓΙΟΥ</t>
  </si>
  <si>
    <t>ΕΡΥΜΑΝΘΟΥ</t>
  </si>
  <si>
    <t>ΦΑΡΡΩΝ</t>
  </si>
  <si>
    <t>ΧΑΛΑΝΔΡΙΤΣΗΣ</t>
  </si>
  <si>
    <t>ΗΜΕΡΗΣΙΟ ΓΥΜΝΑΣΙΟ - ΛΥΚΕΙΑΚΕΣ ΤΑΞΕΙΣ ΧΑΛΑΝΔΡΙΤΣΑΣ ΑΧΑΪΑΣ</t>
  </si>
  <si>
    <t>mail@gym-chalandr.ach.sch.gr</t>
  </si>
  <si>
    <t>ΔΗΜΟΣ ΕΡΥΜΑΝΘΟΥ, ΑΧΑΪΑΣ</t>
  </si>
  <si>
    <t>ΧΑΛΑΝΔΡΙΤΣΑ</t>
  </si>
  <si>
    <t>ΔΗΜΟΤΙΚΟ ΣΧΟΛΕΙΟ ΧΑΛΑΝΔΡΙΤΣΑΣ</t>
  </si>
  <si>
    <t>4ο ΗΜΕΡΗΣΙΟ ΓΥΜΝΑΣΙΟ ΑΙΓΙΟΥ</t>
  </si>
  <si>
    <t>mail@4gym-aigiou.ach.sch.gr</t>
  </si>
  <si>
    <t>ΑΓ.ΤΡΙΑΔΟΣ 6</t>
  </si>
  <si>
    <t>ΟΛΟΗΜΕΡΟ ΔΗΜΟΤΙΚΟ ΣΧΟΛΕΙΟ ΚΟΥΛΟΥΡΑΣ ΑΙΓΙΑΛΕΙΑΣ</t>
  </si>
  <si>
    <t>ΔΥΤΙΚΗΣ ΑΧΑΙΑΣ</t>
  </si>
  <si>
    <t>ΜΟΒΡΗΣ</t>
  </si>
  <si>
    <t>ΣΑΓΑΙΙΚΩΝ</t>
  </si>
  <si>
    <t>ΗΜΕΡΗΣΙΟ ΓΥΜΝΑΣΙΟ ΣΑΓΑΙΪΚΩΝ ΑΧΑΪΑΣ</t>
  </si>
  <si>
    <t>mail@gym-sageik.ach.sch.gr</t>
  </si>
  <si>
    <t>ΣΑΓΑΙΪΚΩΝ ΑΧΑΪΑΣ</t>
  </si>
  <si>
    <t>ΣΑΓΑΙΪΚΑ ΑΧΑΪΑΣ</t>
  </si>
  <si>
    <t>ΔΗΜΟΤΙΚΟ ΣΧΟΛΕΙΟ ΣΑΓΕΪΚΩΝ</t>
  </si>
  <si>
    <t>9ο ΗΜΕΡΗΣΙΟ ΓΕΝΙΚΟ ΛΥΚΕΙΟ ΠΑΤΡΩΝ</t>
  </si>
  <si>
    <t>mail@9lyk-patras.ach.sch.gr</t>
  </si>
  <si>
    <t>ΑΥΣΤΡΑΛΙΑΣ 62</t>
  </si>
  <si>
    <t>49ο ΔΗΜΟΤΙΚΟ ΣΧΟΛΕΙΟ ΠΑΤΡΩΝ</t>
  </si>
  <si>
    <t>ΠΑΡΑΛΙΑΣ</t>
  </si>
  <si>
    <t>1ο ΕΠΑΛ ΠΑΡΑΛΙΑΣ ΠΑΤΡΩΝ</t>
  </si>
  <si>
    <t>epal-paral@sch.gr</t>
  </si>
  <si>
    <t>ΠΑΡΑΛΙΑ  ΠΑΤΡΩΝ</t>
  </si>
  <si>
    <t>ΑΘΑΝΑΣΙΟΥ ΑΝΑΓΝΩΣΤΟΠΟΥΛΟΥ 21</t>
  </si>
  <si>
    <t>3ο ΔΗΜΟΤΙΚΟ ΣΧΟΛΕΙΟ ΠΑΡΑΛΙΑΣ ΠΑΤΡΩΝ</t>
  </si>
  <si>
    <t>ΕΡΓΑΣΤΗΡΙΟ ΕΙΔΙΚΗΣ ΕΠΑΓΓΕΛΜΑΤΙΚΗΣ ΕΚΠ/ΣΗΣ (Ε.Ε.Ε.ΕΚ.) ΑΧΑΪΑΣ</t>
  </si>
  <si>
    <t>mail@eeek.ach.sch.gr</t>
  </si>
  <si>
    <t>ΑΧΑΪΑ</t>
  </si>
  <si>
    <t>ΔΙΟΔΩΡΟΥ 11</t>
  </si>
  <si>
    <t>ΔΗΜΟΤΙΚΟ ΣΧΟΛΕΙΟ ΚΑΤΩ ΚΑΣΤΡΙΤΣΙΟΥ</t>
  </si>
  <si>
    <t>ΚΑΛΑΒΡΥΤΩΝ</t>
  </si>
  <si>
    <t>ΗΜΕΡΗΣΙΟ ΓΕΝΙΚΟ ΛΥΚΕΙΟ ΚΑΛΑΒΡΥΤΩΝ - ΕΥΣΕΒΙΟΣ ΚΗΠΟΥΡΓΟΣ</t>
  </si>
  <si>
    <t>mail@lyk-kalavr.ach.sch.gr</t>
  </si>
  <si>
    <t>ΚΑΛΑΒΡΥΤΑ</t>
  </si>
  <si>
    <t>ΕΥΣ.ΚΗΠΟΥΡΓΟΥ 4</t>
  </si>
  <si>
    <t>ΕΥΣΕΒΙΟΥ ΚΗΠΟΥΡΓΟΥ 4</t>
  </si>
  <si>
    <t>ΔΗΜΟΤΙΚΟ ΣΧΟΛΕΙΟ ΚΑΛΑΒΡΥΤΩΝ ΑΓΛΑΪΑ ΚΟΝΤΗ - ΕΛΕΝΗ ΧΑΜΨΑ</t>
  </si>
  <si>
    <t>ΕΡΙΝΕΟΥ</t>
  </si>
  <si>
    <t>ΚΑΜΑΡΩΝ</t>
  </si>
  <si>
    <t>ΗΜΕΡΗΣΙΟ ΓΕΝΙΚΟ ΛΥΚΕΙΟ ΚΑΜΑΡΩΝ</t>
  </si>
  <si>
    <t>mail@lyk-kamar.ach.sch.gr</t>
  </si>
  <si>
    <t>ΚΑΜΑΡΕΣ ΑΙΓΙΑΛΕΙΑΣ</t>
  </si>
  <si>
    <t>ΔΗΜΟΤΙΚΟ ΣΧΟΛΕΙΟ ΚΑΜΑΡΩΝ ΑΙΓΙΑΛΕΙΑΣ</t>
  </si>
  <si>
    <t>2ο ΔΗΜ. ΔΙΑΜΕΡΙΣΜΑ ΠΑΤΡΑΣ</t>
  </si>
  <si>
    <t>3ο ΕΣΠΕΡΙΝΟ ΕΠΑΛ ΠΑΤΡΑΣ</t>
  </si>
  <si>
    <t>mail@3epal-esp-patras.ach.sch.gr</t>
  </si>
  <si>
    <t>ΑΓ. ΙΩΑΝΝΗ  ΠΡΑΤΣΙΚΑ 2</t>
  </si>
  <si>
    <t>13ο ΔΗΜΟΤΙΚΟ ΣΧΟΛΕΙΟ ΠΑΤΡΩΝ</t>
  </si>
  <si>
    <t>3ο ΔΗΜ. ΔΙΑΜΕΡΙΣΜΑ ΠΑΤΡΑΣ</t>
  </si>
  <si>
    <t>1ο ΗΜΕΡΗΣΙΟ ΕΠΑΛ ΠΑΤΡΑΣ</t>
  </si>
  <si>
    <t>mail@1epal-patras.ach.sch.gr</t>
  </si>
  <si>
    <t>ΓΕΩΡΓΙΟΥ ΣΕΦΕΡΗ 131 - ΚΟΥΚΟΥΛΙ</t>
  </si>
  <si>
    <t>45ο ΔΗΜΟΤΙΚΟ ΣΧΟΛΕΙΟ ΠΑΤΡΩΝ</t>
  </si>
  <si>
    <t>7ο ΗΜΕΡΗΣΙΟ ΕΠΑΓΓΕΛΜΑΤΙΚΟ ΛΥΚΕΙΟ ΠΑΤΡΑΣ</t>
  </si>
  <si>
    <t>7epal-patras@sch.gr</t>
  </si>
  <si>
    <t>ΚΩΝ. ΚΑΒΑΦΗ  κ ΝΙΚ. ΕΓΓΟΝΟΠΟΥΛΟΥ,  ΚΟΥΚΟΥΛΙ</t>
  </si>
  <si>
    <t>ΗΜΕΡΗΣΙΟ ΕΠΑΛ ΚΑΛΑΒΡΥΤΩΝ - ΕΥΣΕΒΙΟΣ ΚΗΠΟΥΡΓΟΣ</t>
  </si>
  <si>
    <t>epal-kalavr@sch.gr</t>
  </si>
  <si>
    <t>13ο ΗΜΕΡΗΣΙΟ ΓΕΝΙΚΟ ΛΥΚΕΙΟ ΠΑΤΡΩΝ - ΚΩΣΤΗΣ ΠΑΛΑΜΑΣ</t>
  </si>
  <si>
    <t>mail@13lyk-patras.ach.sch.gr</t>
  </si>
  <si>
    <t>Πάτρα</t>
  </si>
  <si>
    <t>Κανακάρη 58</t>
  </si>
  <si>
    <t>ΚΑΝΑΚΑΡΗ 58</t>
  </si>
  <si>
    <t>2ο ΔΗΜΟΤΙΚΟ ΣΧΟΛΕΙΟ ΠΑΤΡΩΝ - ΣΤΡΟΥΜΠΕΙΟ</t>
  </si>
  <si>
    <t>6ο ΗΜΕΡΗΣΙΟ ΕΠΑΛ ΠΑΤΡΑΣ</t>
  </si>
  <si>
    <t>mail@6epal-patras.ach.sch.gr</t>
  </si>
  <si>
    <t>ΤΕΡΜΑ ΑΓ.ΣΟΦΙΑΣ</t>
  </si>
  <si>
    <t>23ο ΔΗΜΟΤΙΚΟ ΣΧΟΛΕΙΟ ΠΑΤΡΩΝ</t>
  </si>
  <si>
    <t>ΑΚΡΑΤΑΣ</t>
  </si>
  <si>
    <t>ΗΜΕΡΗΣΙΟ ΓΕΝΙΚΟ ΛΥΚΕΙΟ ΑΚΡΑΤΑΣ</t>
  </si>
  <si>
    <t>mail@lyk-akrat.ach.sch.gr</t>
  </si>
  <si>
    <t>ΑΚΡΑΤΑ</t>
  </si>
  <si>
    <t>Ν. ΣΟΛΙΩΤΗ 10</t>
  </si>
  <si>
    <t>1ο ΔΗΜΟΤΙΚΟ ΣΧΟΛΕΙΟ ΑΚΡΑΤΑΣ</t>
  </si>
  <si>
    <t>10ο ΗΜΕΡΗΣΙΟ ΓΕΝΙΚΟ ΛΥΚΕΙΟ ΠΑΤΡΩΝ</t>
  </si>
  <si>
    <t>mail@10lyk-patras.ach.sch.gr</t>
  </si>
  <si>
    <t>ΑΚΤΗ ΔΥΜΑΙΩΝ 135</t>
  </si>
  <si>
    <t>36ο ΔΗΜΟΤΙΚΟ ΣΧΟΛΕΙΟ ΠΑΤΡΑΣ</t>
  </si>
  <si>
    <t>ΗΜΕΡΗΣΙΟ ΓΕΝΙΚΟ ΛΥΚΕΙΟ ΠΑΡΑΛΙΑΣ ΠΑΤΡΩΝ</t>
  </si>
  <si>
    <t>mail@lyk-paral.ach.sch.gr</t>
  </si>
  <si>
    <t>ΠΑΡΑΛΙΑ ΠΑΤΡΩΝ</t>
  </si>
  <si>
    <t>Π.Ε.Ο ΠΑΤΡΩΝ - ΠΥΡΓΟΥ</t>
  </si>
  <si>
    <t>1ο ΔΗΜΟΤΙΚΟ ΣΧΟΛΕΙΟ ΠΑΡΑΛΙΑΣ</t>
  </si>
  <si>
    <t>ΡΙΟΥ</t>
  </si>
  <si>
    <t>ΚΑΤΩ ΚΑΣΤΡΙΤΣΙΟΥ</t>
  </si>
  <si>
    <t>Πειραματικό Λύκειο</t>
  </si>
  <si>
    <t>ΠΕΙΡΑΜΑΤΙΚΟ ΛΥΚΕΙΟ ΠΑΝΕΠΙΣΤΗΜΙΟΥ ΠΑΤΡΩΝ</t>
  </si>
  <si>
    <t>mail@lyk-aei-patras.ach.sch.gr</t>
  </si>
  <si>
    <t>ΕΙΣΟΔΟΣ ΣΟΛΩΜΟΥ - ΠΑΝΕΠΙΣΤΗΜΙΟΥΠΟΛΗ ΠΑΤΡΩΝ</t>
  </si>
  <si>
    <t>6ο ΗΜΕΡΗΣΙΟ ΓΕΝΙΚΟ ΛΥΚΕΙΟ ΠΑΤΡΩΝ - ΑΝΔΡΕΑ Γ. ΠΑΠΑΝΔΡΕΟΥ</t>
  </si>
  <si>
    <t>mail@6lyk-patras.ach.sch.gr</t>
  </si>
  <si>
    <t>ΝΟΡΜΑΝ 57</t>
  </si>
  <si>
    <t>11ο ΔΗΜΟΤΙΚΟ ΣΧΟΛΕΙΟ ΠΑΤΡΩΝ</t>
  </si>
  <si>
    <t>ΛΑΡΙΣΣΟΥ</t>
  </si>
  <si>
    <t>ΜΕΤΟΧΙΟΥ</t>
  </si>
  <si>
    <t>ΗΜΕΡΗΣΙΟ ΓΕΝΙΚΟ ΛΥΚΕΙΟ ΛΑΠΠΑ ΑΧΑΪΑΣ</t>
  </si>
  <si>
    <t>mail@lyk-lappa.ach.sch.gr</t>
  </si>
  <si>
    <t>ΛΑΠΠΑ ΑΧΑΪΑΣ</t>
  </si>
  <si>
    <t>ΚΑΤΩ ΑΧΑΪΑΣ</t>
  </si>
  <si>
    <t>ΔΗΜΟΤΙΚΟ ΣΧΟΛΕΙΟ ΛΑΠΠΑ</t>
  </si>
  <si>
    <t>2ο ΗΜΕΡΗΣΙΟ ΓΕΝΙΚΟ ΛΥΚΕΙΟ ΠΑΤΡΩΝ</t>
  </si>
  <si>
    <t>mail@2lyk-patras.ach.sch.gr</t>
  </si>
  <si>
    <t>ΑΡΟΑΝΙΩΝ ΚΑΙ Θ. ΑΞΑΡΛΙΑΝ 1</t>
  </si>
  <si>
    <t>55ο ΔΗΜΟΤΙΚΟ ΣΧΟΛΕΙΟ ΠΑΤΡΩΝ</t>
  </si>
  <si>
    <t>ΠΑΪΩΝ</t>
  </si>
  <si>
    <t>ΗΜΕΡΗΣΙΟ ΓΕΝΙΚΟ ΛΥΚΕΙΟ ΔΑΦΝΗΣ ΑΧΑΪΑΣ</t>
  </si>
  <si>
    <t>mail@lyk-dafnis.ach.sch.gr</t>
  </si>
  <si>
    <t>ΔΑΦΝΗ ΑΧΑΪΑΣ</t>
  </si>
  <si>
    <t>ΔΑΦΝΗ ΚΑΛΑΒΡΥΤΩΝ</t>
  </si>
  <si>
    <t>ΔΗΜΟΤΙΚΟ ΣΧΟΛΕΙΟ ΔΑΦΝΗΣ ΚΑΛΑΒΡΥΤΩΝ ΑΧΑΪΑΣ</t>
  </si>
  <si>
    <t>5ο ΗΜΕΡΗΣΙΟ ΓΕΝΙΚΟ ΛΥΚΕΙΟ ΠΑΤΡΩΝ</t>
  </si>
  <si>
    <t>mail@5lyk-patras.ach.sch.gr</t>
  </si>
  <si>
    <t>ΜΑΡΑΓΚΟΠΟΥΛΟΥ 2</t>
  </si>
  <si>
    <t>25ο ΔΗΜΟΤΙΚΟ ΣΧΟΛΕΙΟ ΠΑΤΡΩΝ</t>
  </si>
  <si>
    <t>1ο ΗΜΕΡΗΣΙΟ ΓΕΝΙΚΟ ΛΥΚΕΙΟ ΠΑΤΡΩΝ</t>
  </si>
  <si>
    <t>mail@1lyk-patras.ach.sch.gr</t>
  </si>
  <si>
    <t>ΠΑΤΡΩΝ</t>
  </si>
  <si>
    <t>ΑΝΘΟΥΠΟΛΗ</t>
  </si>
  <si>
    <t>ΑΝΘΟΥΠΟΛΗ ΠΑΤΡΩΝ</t>
  </si>
  <si>
    <t>34ο ΔΗΜΟΤΙΚΟ ΣΧΟΛΕΙΟ ΠΑΤΡΩΝ</t>
  </si>
  <si>
    <t>1ο ΗΜΕΡΗΣΙΟ ΕΠΑΛ ΑΙΓΙΟΥ</t>
  </si>
  <si>
    <t>mail@1epal-aigiou.ach.sch.gr</t>
  </si>
  <si>
    <t>ΞΗΡΟΛΙΘΙΩΝ</t>
  </si>
  <si>
    <t>5ο ΔΗΜΟΤΙΚΟ ΣΧΟΛΕΙΟ ΑΙΓΙΟΥ</t>
  </si>
  <si>
    <t>ΔΙΑΚΟΠΤΟΥ</t>
  </si>
  <si>
    <t>ΗΜΕΡΗΣΙΟ ΓΕΝΙΚΟ ΛΥΚΕΙΟ ΔΙΑΚΟΠΤΟΥ ΑΧΑΪΑΣ</t>
  </si>
  <si>
    <t>mail@lyk-diakopt.ach.sch.gr</t>
  </si>
  <si>
    <t>ΔΙΑΚΟΠΤΟ ΑΧΑΪΑΣ</t>
  </si>
  <si>
    <t>ΔΙΑΚΟΠΤΟ</t>
  </si>
  <si>
    <t>ΔΗΜΟΤΙΚΟ ΣΧΟΛΕΙΟ ΔΙΑΚΟΠΤΟΥ</t>
  </si>
  <si>
    <t>ΒΡΑΧΝΑΙΙΚΩΝ</t>
  </si>
  <si>
    <t>ΗΜΕΡΗΣΙΟ ΓΕΝΙΚΟ ΛΥΚΕΙΟ ΒΡΑΧΝΑΙΪΚΑ ΑΧΑΪΑΣ</t>
  </si>
  <si>
    <t>mail@lyk-vrachn.ach.sch.gr</t>
  </si>
  <si>
    <t>ΒΡΑΧΝΑΙΙΚΑ -ΑΧΑΙΑΣ</t>
  </si>
  <si>
    <t>Π.Ε.Ο ΠΑΤΡΩΝ - ΠΥΡΓΟΥ 170</t>
  </si>
  <si>
    <t>ΔΗΜΟΤΙΚΟ ΣΧΟΛΕΙΟ ΒΡΑΧΝΑΙΙΚΩΝ</t>
  </si>
  <si>
    <t>ΩΛΕΝΙΑΣ</t>
  </si>
  <si>
    <t>ΛΟΥΣΙΚΩΝ</t>
  </si>
  <si>
    <t>ΗΜΕΡΗΣΙΟ ΓΕΝΙΚΟ ΛΥΚΕΙΟ ΛΟΥΣΙΚΩΝ ΑΧΑΪΑΣ - ΓΕΝΙΚΟ ΛΥΚΕΙΟ ΛΟΥΣΙΚΩΝ</t>
  </si>
  <si>
    <t>mail@lyk-lousik.ach.sch.gr</t>
  </si>
  <si>
    <t>ΛΟΥΣΙΚΩΝ ΑΧΑΪΑΣ</t>
  </si>
  <si>
    <t>ΛΟΥΣΙΚΑ ΑΧΑΪΑΣ</t>
  </si>
  <si>
    <t>ΔΗΜΟΤΙΚΟ ΣΧΟΛΕΙΟ ΛΟΥΣΙΚΩΝ</t>
  </si>
  <si>
    <t>12ο ΗΜΕΡΗΣΙΟ ΓΕΝΙΚΟ ΛΥΚΕΙΟ ΠΑΤΡΩΝ</t>
  </si>
  <si>
    <t>mail@12lyk-patras.ach.sch.gr</t>
  </si>
  <si>
    <t>ΕΛ. ΒΕΝΙΖΕΛΟΥ  196</t>
  </si>
  <si>
    <t>32ο ΔΗΜΟΤΙΚΟ ΣΧΟΛΕΙΟ ΠΑΤΡΩΝ</t>
  </si>
  <si>
    <t>4ο ΗΜΕΡΗΣΙΟ ΓΕΝΙΚΟ ΛΥΚΕΙΟ ΠΑΤΡΩΝ</t>
  </si>
  <si>
    <t>mail@4lyk-patras.ach.sch.gr</t>
  </si>
  <si>
    <t>ΑΡΟΗΣ 11</t>
  </si>
  <si>
    <t>1ο ΔΗΜΟΤΙΚΟ ΣΧΟΛΕΙΟ ΠΑΤΡΩΝ</t>
  </si>
  <si>
    <t>1ο ΗΜΕΡΗΣΙΟ ΕΠΑΛ ΚΑΤΩ ΑΧΑΪΑΣ</t>
  </si>
  <si>
    <t>mail@1epal-k-achaias.ach.sch.gr</t>
  </si>
  <si>
    <t>ΚΑΤΩ ΑΧΑΪΑ</t>
  </si>
  <si>
    <t>ΤΕΡΜΑ  ΕΘΝΙΚΗΣ  ΑΝΤΙΣΤΑΣΕΩΣ</t>
  </si>
  <si>
    <t>2ο ΔΗΜΟΤΙΚΟ ΣΧΟΛΕΙΟ ΚΑΤΩ ΑΧΑΪΑΣ</t>
  </si>
  <si>
    <t>ΜΕΣΣΑΤΙΔΟΣ</t>
  </si>
  <si>
    <t>ΣΑΡΑΒΑΛΙΟΥ</t>
  </si>
  <si>
    <t>ΗΜΕΡΗΣΙΟ ΓΕΝΙΚΟ ΛΥΚΕΙΟ ΔΕΜΕΝΙΚΩΝ ΑΧΑΪΑΣ</t>
  </si>
  <si>
    <t>lyk-deme@sch.gr</t>
  </si>
  <si>
    <t>ΠΑΤΡΑ ΑΧΑΪΑΣ</t>
  </si>
  <si>
    <t>ΠΛΑΤΩΝΟΣ ΚΑΙ ΑΡΙΣΤΟΤΕΛΟΥΣ 1</t>
  </si>
  <si>
    <t>ΔΗΜΟΤΙΚΟ ΣΧΟΛΕΙΟ ΔΕΜΕΝΙΚΩΝ</t>
  </si>
  <si>
    <t>ΠΡΟΤΥΠΟ ΓΕΝΙΚΟ ΛΥΚΕΙΟ ΠΑΤΡΩΝ</t>
  </si>
  <si>
    <t>mail@lyk-peir-patras.ach.sch.gr</t>
  </si>
  <si>
    <t>ΑΘΩ &amp; ΑΞΑΡΛΙΑΝ 1</t>
  </si>
  <si>
    <t>ΓΕΝΙΚΟ ΛΥΚΕΙΟ ΚΑΣΤΡΙΤΣΙΟΥ</t>
  </si>
  <si>
    <t>mail@lyk-kastr.ach.sch.gr</t>
  </si>
  <si>
    <t>ΚΑΤΩ ΚΑΣΤΡΙΤΣΙ ΑΧΑΪΑΣ</t>
  </si>
  <si>
    <t>3ο ΗΜΕΡΗΣΙΟ ΓΕΝΙΚΟ ΛΥΚΕΙΟ ΠΑΤΡΩΝ</t>
  </si>
  <si>
    <t>3lyk-pat@sch.gr</t>
  </si>
  <si>
    <t>ΑΓΙΟΥ ΙΩΑΝΝΟΥ ΠΡΑΤΣΙΚΑ 2</t>
  </si>
  <si>
    <t>ΚΛΕΙΤΟΡΙΑΣ</t>
  </si>
  <si>
    <t>ΗΜΕΡΗΣΙΟ ΓΕΝΙΚΟ ΛΥΚΕΙΟ ΚΛΕΙΤΟΡΙΑΣ ΑΧΑΪΑΣ</t>
  </si>
  <si>
    <t>mail@lyk-kleit.ach.sch.gr</t>
  </si>
  <si>
    <t>ΚΛΕΙΤΟΡΙΑ ΑΧΑΪΑΣ</t>
  </si>
  <si>
    <t>ΚΛΕΙΤΟΡΙΑ</t>
  </si>
  <si>
    <t>ΔΗΜΟΤΙΚΟ ΣΧΟΛΕΙΟ ΚΛΕΙΤΟΡΙΑΣ</t>
  </si>
  <si>
    <t>7ο ΗΜΕΡΗΣΙΟ ΓΕΝΙΚΟ ΛΥΚΕΙΟ ΠΑΤΡΩΝ</t>
  </si>
  <si>
    <t>mail@7lyk-patras.ach.sch.gr</t>
  </si>
  <si>
    <t>ΣΟΥΝΙΟΥ 111-115</t>
  </si>
  <si>
    <t>14ο ΔΗΜΟΤΙΚΟ ΣΧΟΛΕΙΟ ΠΑΤΡΩΝ</t>
  </si>
  <si>
    <t>11ο ΗΜΕΡΗΣΙΟ ΓΕΝΙΚΟ ΛΥΚΕΙΟ ΠΑΤΡΩΝ</t>
  </si>
  <si>
    <t>mail@11lyk-patras.ach.sch.gr</t>
  </si>
  <si>
    <t>2ο ΗΜΕΡΗΣΙΟ ΓΕΝΙΚΟ ΛΥΚΕΙΟ ΑΙΓΙΟΥ</t>
  </si>
  <si>
    <t>mail@2lyk-aigiou.ach.sch.gr</t>
  </si>
  <si>
    <t>ΑΝΑΠΑΥΣΕΩΣ 48</t>
  </si>
  <si>
    <t>2ο ΔΗΜΟΤΙΚΟ ΣΧΟΛΕΙΟ ΑΙΓΙΟΥ</t>
  </si>
  <si>
    <t>ΑΙΓΕΙΡΑΣ</t>
  </si>
  <si>
    <t>ΗΜΕΡΗΣΙΟ ΓΕΝΙΚΟ ΛΥΚΕΙΟ ΑΙΓΕΙΡΑ ΑΧΑΙΑΣ - ΓΕΝΙΚΟ ΛΥΚΕΙΟ ΑΙΓΕΙΡΑΣ</t>
  </si>
  <si>
    <t>mail@lyk-aigeir.ach.sch.gr</t>
  </si>
  <si>
    <t>ΑΙΓΕΙΡΑ</t>
  </si>
  <si>
    <t>ΞΕΝΑΡΧΟΥ</t>
  </si>
  <si>
    <t>ΔΗΜΟΤΙΚΟ ΣΧΟΛΕΙΟ ΑΙΓΕΙΡΑΣ</t>
  </si>
  <si>
    <t>ΕΣΠΕΡΙΝΟ ΓΕΝΙΚΟ ΛΥΚΕΙΟ ΠΑΤΡΩΝ</t>
  </si>
  <si>
    <t>mail@lyk-esp-patras.ach.sch.gr</t>
  </si>
  <si>
    <t>ΑΣΗΜΑΚΗ ΦΩΤΗΛΑ 34</t>
  </si>
  <si>
    <t>5ο ΔΗΜΟΤΙΚΟ ΣΧΟΛΕΙΟ ΠΑΤΡΩΝ</t>
  </si>
  <si>
    <t>ΤΡΙΤΑΙΑΣ</t>
  </si>
  <si>
    <t>ΕΡΥΜΑΝΘΕΙΑΣ</t>
  </si>
  <si>
    <t>ΗΜΕΡΗΣΙΟ ΓΕΝΙΚΟ ΛΥΚΕΙΟ ΕΡΥΜΑΝΘΕΙΑΣ ΑΧΑΪΑΣ</t>
  </si>
  <si>
    <t>mail@lyk-erymanth.ach.sch.gr</t>
  </si>
  <si>
    <t>ΕΡΥΜΑΝΘΕΙΑ ΑΧΑΪΑΣ</t>
  </si>
  <si>
    <t>ΕΡΥΜΑΝΘΕΙΑ</t>
  </si>
  <si>
    <t>ΔΗΜΟΤΙΚΟ ΣΧΟΛΕΙΟ ΕΡΥΜΑΝΘΕΙΑΣ</t>
  </si>
  <si>
    <t>ΠΕΤΡΩΤΟΥ</t>
  </si>
  <si>
    <t>5ο ΗΜΕΡΗΣΙΟ ΓΕΝΙΚΟ ΛΥΚΕΙΟ ΠΑΤΡΩΝ - Ε.Τ.Α.Δ.</t>
  </si>
  <si>
    <t>mail@lyk-athl-patras.ach.sch.gr</t>
  </si>
  <si>
    <t>ΕΛΕΥΘΕΡΙΟΥ ΒΕΝΙΖΕΛΟΥ - ΛΑΓΓΟΥΡΑ</t>
  </si>
  <si>
    <t>ΗΜΕΡΗΣΙΟ ΓΥΜΝΑΣΙΟ ΚΑΛΑΒΡΥΤΩΝ - ΕΥΣΕΒΙΟΣ ΚΗΠΟΥΡΓΟΣ</t>
  </si>
  <si>
    <t>mail@gym-kalavr.ach.sch.gr</t>
  </si>
  <si>
    <t>ΠΡΟΤΥΠΟ ΓΥΜΝΑΣΙΟ ΠΑΤΡΩΝ</t>
  </si>
  <si>
    <t>gympeirp@sch.gr</t>
  </si>
  <si>
    <t xml:space="preserve">Πάτρα </t>
  </si>
  <si>
    <t>ΑΘΩ ΚΑΙ ΑΞΑΡΛΙΑΝ 1</t>
  </si>
  <si>
    <t>2ο ΗΜΕΡΗΣΙΟ ΓΥΜΝΑΣΙΟ ΠΑΡΑΛΙΑΣ ΠΑΤΡΩΝ</t>
  </si>
  <si>
    <t>mail@2gym-paral.ach.sch.gr</t>
  </si>
  <si>
    <t>ΑΘΑΝ.ΑΝΑΓΝΩΣΤΟΠΟΥΛΟΥ 21</t>
  </si>
  <si>
    <t>ΟΒΡΥΑΣ</t>
  </si>
  <si>
    <t>ΗΜΕΡΗΣΙΟ ΓΥΜΝΑΣΙΟ ΟΒΡΥΑΣ ΠΑΤΡΩΝ ΑΧΑΪΑΣ</t>
  </si>
  <si>
    <t>mail@gym-ovryas.ach.sch.gr</t>
  </si>
  <si>
    <t>ΟΒΡΥΑ ΠΑΤΡΩΝ ΑΧΑΪΑΣ</t>
  </si>
  <si>
    <t>ΠΑΡΟΔΟΣ ΑΜΠΕΛΩΝΩΝ 2</t>
  </si>
  <si>
    <t>1ο ΔΗΜΟΤΙΚΟ ΣΧΟΛΕΙΟ ΟΒΡΥΑΣ</t>
  </si>
  <si>
    <t>14ο ΗΜΕΡΗΣΙΟ ΓΥΜΝΑΣΙΟ ΠΑΤΡΩΝ</t>
  </si>
  <si>
    <t>mail@14gym-patras.ach.sch.gr</t>
  </si>
  <si>
    <t>ΗΜΕΡΗΣΙΟ ΓΥΜΝΑΣΙΟ ΕΡΥΜΑΝΘΕΙΑΣ ΑΧΑΪΑΣ</t>
  </si>
  <si>
    <t>mail@gym-erymanth.ach.sch.gr</t>
  </si>
  <si>
    <t>1ο ΕΚ ΑΙΓΙΟΥ</t>
  </si>
  <si>
    <t>mail@1sek-aigiou.ach.sch.gr</t>
  </si>
  <si>
    <t>12ο ΗΜΕΡΗΣΙΟ ΓΥΜΝΑΣΙΟ ΠΑΤΡΩΝ</t>
  </si>
  <si>
    <t>mail@12gym-patras.ach.sch.gr</t>
  </si>
  <si>
    <t>ΓΟΡΓΟΠΟΤΑΜΟΥ 52  ΚΑΙ ΠΑΠΑΝΑΣΤΑΣΙΟΥ</t>
  </si>
  <si>
    <t>53ο ΔΗΜΟΤΙΚΟ ΣΧΟΛΕΙΟ ΠΑΤΡΩΝ - ΗΛΙΑΣ ΚΑΤΣΑΟΥΝΟΣ</t>
  </si>
  <si>
    <t>19ο ΗΜΕΡΗΣΙΟ ΓΥΜΝΑΣΙΟ ΠΑΤΡΩΝ</t>
  </si>
  <si>
    <t>mail@19gym-patras.ach.sch.gr</t>
  </si>
  <si>
    <t>ΚΟΡΩΝΟΥ ΚΑΙ  ΛΑΟΚΟΩΝΤΟΣ</t>
  </si>
  <si>
    <t>52ο ΔΗΜΟΤΙΚΟ ΣΧΟΛΕΙΟ ΠΑΤΡΩΝ</t>
  </si>
  <si>
    <t>1ο ΗΜΕΡΗΣΙΟ ΓΥΜΝΑΣΙΟ ΒΡΑΧΝΑΙΙΚΩΝ</t>
  </si>
  <si>
    <t>mail@gym-vrachn.ach.sch.gr</t>
  </si>
  <si>
    <t>ΒΡΑΧΝΑΙΙΚΑ ΑΧΑΪΑΣ</t>
  </si>
  <si>
    <t>ΠΑΤΡΩΝ-ΠΥΡΓΟΥ 168</t>
  </si>
  <si>
    <t>1ο ΗΜΕΡΗΣΙΟ ΓΥΜΝΑΣΙΟ ΠΑΡΑΛΙΑΣ ΠΑΤΡΩΝ</t>
  </si>
  <si>
    <t>mail@gym-paral.ach.sch.gr</t>
  </si>
  <si>
    <t>ΠΑΤΡΩΝ - ΠΥΡΓΟΥ</t>
  </si>
  <si>
    <t>1ο ΗΜΕΡΗΣΙΟ ΓΕΝΙΚΟ ΛΥΚΕΙΟ ΑΙΓΙΟΥ - ΠΡΩΤΟ ΓΕΝΙΚΟ ΛΥΚΕΙΟ ΑΙΓΙΟΥ</t>
  </si>
  <si>
    <t>1lyk-aig@sch.gr</t>
  </si>
  <si>
    <t>ΚΛΕΙΣΟΥΡΑΣ- ΠΑΡΟΔΟΣ ΚΟΡΙΝΘΟΥ</t>
  </si>
  <si>
    <t>10ο ΔΗΜΟΤΙΚΟ ΣΧΟΛΕΙΟ ΑΙΓΙΟΥ</t>
  </si>
  <si>
    <t>18ο ΓΥΜΝΑΣΙΟ ΠΑΤΡΩΝ ΚΑΙ ΤΑΞΕΙΣ ΓΥΜΝΑΣΙΟΥ ΚΑΙ ΛΥΚΕΙΟΥ ΚΩΦΩΝ ΚΑΙ ΒΑΡΗΚΟΩΝ</t>
  </si>
  <si>
    <t>mail@18gym-patras.ach.sch.gr</t>
  </si>
  <si>
    <t>ΣΤΡΑΤΗΓΟΥ ΚΩΝΣΤΑΝΤΙΝΟΠΟΥΛΟΥ ΚΑΙ ΚΟΡΩΝΗΣ</t>
  </si>
  <si>
    <t>20ο ΔΗΜΟΤΙΚΟ ΣΧΟΛΕΙΟ ΠΑΤΡΩΝ</t>
  </si>
  <si>
    <t>ΗΜΕΡΗΣΙΟ ΓΥΜΝΑΣΙΟ ΛΑΠΠΑ ΑΧΑΪΑΣ</t>
  </si>
  <si>
    <t>mail@gym-lappa.ach.sch.gr</t>
  </si>
  <si>
    <t>ΛΑΠΠΑ</t>
  </si>
  <si>
    <t>11ο ΗΜΕΡΗΣΙΟ ΓΥΜΝΑΣΙΟ ΠΑΤΡΑΣ</t>
  </si>
  <si>
    <t>mail@11gym-patras.ach.sch.gr</t>
  </si>
  <si>
    <t>Σκιάθου 23</t>
  </si>
  <si>
    <t>ΗΜΕΡΗΣΙΟ ΓΥΜΝΑΣΙΟ ΚΑΤΩ ΑΧΑΪΑΣ - ΓΥΜΝΑΣΙΟ ΚΑΤΩ ΑΧΑΪΑΣ</t>
  </si>
  <si>
    <t>mail@gym-k-achaias.ach.sch.gr</t>
  </si>
  <si>
    <t>Σ.ΠΑΠΑΔΗΜΗΤΡΙΟΥ 13</t>
  </si>
  <si>
    <t>1ο ΔΗΜΟΤΙΚΟ ΣΧΟΛΕΙΟ ΚΑΤΩ ΑΧΑΪΑΣ</t>
  </si>
  <si>
    <t>17ο ΗΜΕΡΗΣΙΟ ΓΥΜΝΑΣΙΟ ΠΑΤΡΩΝ</t>
  </si>
  <si>
    <t>mail@17gym-patras.ach.sch.gr</t>
  </si>
  <si>
    <t>ΓΕΡΒ.ΠΑΡΑΣΚΕΥΟΠΟΥΛΟΥ 3</t>
  </si>
  <si>
    <t>21ο ΔΗΜΟΤΙΚΟ ΣΧΟΛΕΙΟ ΠΑΤΡΩΝ</t>
  </si>
  <si>
    <t>ΛΑΚΚΟΠΕΤΡΑΣ</t>
  </si>
  <si>
    <t>ΗΜΕΡΗΣΙΟ ΓΥΜΝΑΣΙΟ ΛΑΚΚΟΠΕΤΡΑΣ ΑΧΑΪΑΣ</t>
  </si>
  <si>
    <t>mail@gym-lakkop.ach.sch.gr</t>
  </si>
  <si>
    <t>ΛΑΚΚΟΠΕΤΡΑ ΑΧΑΪΑΣ</t>
  </si>
  <si>
    <t>ΠΑΡΟΔΟΣ Ε.Ο. Κ. ΑΧΑΪΑΣ-ΑΡΑΞΟΥ</t>
  </si>
  <si>
    <t>ΔΗΜΟΤΙΚΟ ΣΧΟΛΕΙΟ ΛΑΚΚΟΠΕΤΡΑΣ</t>
  </si>
  <si>
    <t>3ο ΗΜΕΡΗΣΙΟ ΓΥΜΝΑΣΙΟ ΠΑΤΡΩΝ</t>
  </si>
  <si>
    <t>mail@3gym-patras.ach.sch.gr</t>
  </si>
  <si>
    <t>ΑΣΗΜ.ΦΩΤΗΛΑ 32</t>
  </si>
  <si>
    <t>ΓΥΜΝΑΣΙΟ ΑΚΡΑΤΑΣ</t>
  </si>
  <si>
    <t>mail@gym-akrat.ach.sch.gr</t>
  </si>
  <si>
    <t>ΑΚΡΑΤΑ ΑΧΑΪΑΣ</t>
  </si>
  <si>
    <t>7ο ΗΜΕΡΗΣΙΟ ΓΥΜΝΑΣΙΟ ΠΑΤΡΑΣ</t>
  </si>
  <si>
    <t>mail@7gym-patras.ach.sch.gr</t>
  </si>
  <si>
    <t>ΑΣΗΜΑΚΗ ΦΩΤΗΛΑ 32</t>
  </si>
  <si>
    <t>ΗΜΕΡΗΣΙΟ ΓΥΜΝΑΣΙΟ ΔΙΑΚΟΠΤΟΥ ΑΧΑΪΑΣ</t>
  </si>
  <si>
    <t>mail@gym-diakopt.ach.sch.gr</t>
  </si>
  <si>
    <t>ΣΤΑΥΡΟΔΡΟΜΙΟΥ</t>
  </si>
  <si>
    <t>ΗΜΕΡΗΣΙΟ ΓΥΜΝΑΣΙΟ ΣΤΑΥΡΟΔΡΟΜΙΟΥ ΑΧΑΪΑΣ</t>
  </si>
  <si>
    <t>mail@gym-stavr.ach.sch.gr</t>
  </si>
  <si>
    <t>ΣΤΑΥΡΟΔΡΟΜΙΟΥ ΑΧΑΪΑΣ</t>
  </si>
  <si>
    <t>ΣΤΑΥΡΟΔΡΟΜΙ ΤΡΙΤΑΙΑΣ</t>
  </si>
  <si>
    <t>ΔΗΜΟΤΙΚΟ ΣΧΟΛΕΙΟ ΣΤΑΥΡΟΔΡΟΜΙΟΥ</t>
  </si>
  <si>
    <t>ΦΑΡΩΝ</t>
  </si>
  <si>
    <t>ΗΜΕΡΗΣΙΟ ΓΥΜΝΑΣΙΟ - Λ.Τ. ΦΑΡΩΝ ΑΧΑΪΑΣ</t>
  </si>
  <si>
    <t>mail@gym-faron.ach.sch.gr</t>
  </si>
  <si>
    <t>ΦΑΡΕΣ ΑΧΑΪΑΣ</t>
  </si>
  <si>
    <t>ΦΑΡΕΣ</t>
  </si>
  <si>
    <t>ΔΗΜΟΤΙΚΟ ΣΧΟΛΕΙΟ ΦΑΡΡΩΝ</t>
  </si>
  <si>
    <t>2ο ΗΜΕΡΗΣΙΟ ΓΥΜΝΑΣΙΟ ΠΑΤΡΑΣ</t>
  </si>
  <si>
    <t>mail@2gym-patras.ach.sch.gr</t>
  </si>
  <si>
    <t>ΜΑΙΖΩΝΟΣ 156</t>
  </si>
  <si>
    <t>10ο ΔΗΜΟΤΙΚΟ ΣΧΟΛΕΙΟ ΠΑΤΡΩΝ - ΔΙΑΚΙΔΕΙΟ</t>
  </si>
  <si>
    <t>1ο ΗΜΕΡΗΣΙΟ ΓΥΜΝΑΣΙΟ ΑΙΓΙΟΥ</t>
  </si>
  <si>
    <t>mail@1gym-aigiou.ach.sch.gr</t>
  </si>
  <si>
    <t>4ο ΔΗΜΟΤΙΚΟ ΣΧΟΛΕΙΟ ΑΙΓΙΟΥ</t>
  </si>
  <si>
    <t>1ο ΕΣΠΕΡΙΝΟ ΓΥΜΝΑΣΙΟ ΠΑΤΡΩΝ</t>
  </si>
  <si>
    <t>mail@gym-esp-patras.ach.sch.gr</t>
  </si>
  <si>
    <t xml:space="preserve">ΠΑΤΡΑ        </t>
  </si>
  <si>
    <t>15ο ΗΜΕΡΗΣΙΟ ΓΥΜΝΑΣΙΟ ΠΑΤΡΩΝ</t>
  </si>
  <si>
    <t>mail@15gym-patras.ach.sch.gr</t>
  </si>
  <si>
    <t>20ο ΗΜΕΡΗΣΙΟ ΓΥΜΝΑΣΙΟ ΠΑΤΡΩΝ</t>
  </si>
  <si>
    <t>mail@20gym-patras.ach.sch.gr</t>
  </si>
  <si>
    <t>ΗΡΑΚΛΕΙΔΟΥ  4</t>
  </si>
  <si>
    <t>44ο ΔΗΜΟΤΙΚΟ ΣΧΟΛΕΙΟ ΠΑΤΡΩΝ</t>
  </si>
  <si>
    <t>ΚΑΤΩ ΜΑΖΑΡΑΚΙ</t>
  </si>
  <si>
    <t>1ο ΗΜΕΡΗΣΙΟ ΓΥΜΝΑΣΙΟ ΜΑΖΑΡΑΚΙΟΥ ΑΧΑΪΑΣ</t>
  </si>
  <si>
    <t>mail@gym-mazar.ach.sch.gr</t>
  </si>
  <si>
    <t>ΜΑΖΑΡΑΚΙ ΑΧΑΪΑΣ</t>
  </si>
  <si>
    <t>ΔΗΜΟΤΙΚΟ ΣΧΟΛΕΙΟ ΚΑΤΩ ΜΑΖΑΡΑΚΙΟΥ</t>
  </si>
  <si>
    <t>ΗΜΕΡΗΣΙΟ ΓΥΜΝΑΣΙΟ ΣΑΡΑΒΑΛΙΟΥ ΑΧΑΪΑΣ</t>
  </si>
  <si>
    <t>mail@gym-sarav.ach.sch.gr</t>
  </si>
  <si>
    <t>ΣΑΡΑΒΑΛΙ ΑΧΑΪΑΣ</t>
  </si>
  <si>
    <t>Γ. ΓΕΝΝΗΜΑΤΑ ΚΑΙ ΜΥΛΟΥ</t>
  </si>
  <si>
    <t>ΔΗΜΟΤΙΚΟ ΣΧΟΛΕΙΟ ΣΑΡΑΒΑΛΙΟΥ</t>
  </si>
  <si>
    <t>9ο ΗΜΕΡΗΣΙΟ ΓΥΜΝΑΣΙΟ ΠΑΤΡΩΝ</t>
  </si>
  <si>
    <t>mail@9gym-patras.ach.sch.gr</t>
  </si>
  <si>
    <t>3ο ΗΜΕΡΗΣΙΟ ΓΥΜΝΑΣΙΟ ΑΙΓΙΟΥ</t>
  </si>
  <si>
    <t>mail@3gym-aigiou.ach.sch.gr</t>
  </si>
  <si>
    <t>ΚΟΥΤΑΛΗΣ ΚΑΙ ΠΡΟΠΟΝΤΙΔΟΣ 1</t>
  </si>
  <si>
    <t>13ο ΗΜΕΡΗΣΙΟ ΓΥΜΝΑΣΙΟ ΠΑΤΡΑΣ</t>
  </si>
  <si>
    <t>mail@13gym-patras.ach.sch.gr</t>
  </si>
  <si>
    <t>ΡΙΟΛΟΥ</t>
  </si>
  <si>
    <t>ΗΜΕΡΗΣΙΟ ΓΥΜΝΑΣΙΟ ΚΑΙ ΛΥΚΕΙΑΚΕΣ ΤΑΞΕΙΣ ΡΙΟΛΟΥ ΑΧΑΪΑΣ</t>
  </si>
  <si>
    <t>mail@gym-riolou.ach.sch.gr</t>
  </si>
  <si>
    <t>ΡΙΟΛΟΣ ΑΧΑΪΑΣ</t>
  </si>
  <si>
    <t>ΡΙΟΛΟΣ ΑΧΑΙΑΣ</t>
  </si>
  <si>
    <t>ΔΗΜΟΤΙΚΟ ΣΧΟΛΕΙΟ ΡΙΟΛΟΥ</t>
  </si>
  <si>
    <t>ΗΜΕΡΗΣΙΟ ΓΥΜΝΑΣΙΟ ΔΑΦΝΗ-ΚΑΛΑΒΡΥΤΩΝ - ΓΥΜΝΑΣΙΟ ΔΑΦΝΗΣ ΚΑΛΑΒΡΥΤΩΝ</t>
  </si>
  <si>
    <t>mail@gym-dafnis.ach.sch.gr</t>
  </si>
  <si>
    <t>ΔΑΦΝΗ-ΚΑΛΑΒΡΥΤΩΝ</t>
  </si>
  <si>
    <t>21ο ΗΜΕΡΗΣΙΟ ΓΥΜΝΑΣΙΟ ΠΑΤΡΩΝ</t>
  </si>
  <si>
    <t>mail@21gym-patras.ach.sch.gr</t>
  </si>
  <si>
    <t>ΘΕΡΜΟΠΥΛΩΝ-ΑΝΘΕΜΙΟΥ 69</t>
  </si>
  <si>
    <t>35ο ΔΗΜΟΤΙΚΟ ΣΧΟΛΕΙΟ ΠΑΤΡΩΝ</t>
  </si>
  <si>
    <t>ΗΜΕΡΗΣΙΟ ΓΥΜΝΑΣΙΟ ΑΙΓΕΙΡΑΣ - ΓΥΜΝΑΣΙΟ ΑΙΓΕΙΡΑΣ</t>
  </si>
  <si>
    <t>mail@gym-aigeir.ach.sch.gr</t>
  </si>
  <si>
    <t>ΑΙΓΕΙΡΑ ΑΧΑΙΑΣ</t>
  </si>
  <si>
    <t>ΗΜΕΡΗΣΙΟ ΓΥΜΝΑΣΙΟ ΚΛΕΙΤΟΡΙΑΣ</t>
  </si>
  <si>
    <t>gym-k-kl@sch.gr</t>
  </si>
  <si>
    <t>ΔΗΜΟΣ ΚΑΛΑΒΡΥΤΩΝ</t>
  </si>
  <si>
    <t>ΑΓΙΟΥ ΒΑΣΙΛΕΙΟΥ</t>
  </si>
  <si>
    <t>ΓΥΜΝΑΣΙΟ ΑΓΙΟΥ ΒΑΣΙΛΕΙΟΥ ΑΧΑΪΑΣ</t>
  </si>
  <si>
    <t>mail@gym-ag-vasil.ach.sch.gr</t>
  </si>
  <si>
    <t>ΠΛΑΤΑΝΙ</t>
  </si>
  <si>
    <t>ΔΗΜΟΤΙΚΟ ΣΧΟΛΕΙΟ ΑΓΙΟΥ ΒΑΣΙΛΕΙΟΥ</t>
  </si>
  <si>
    <t>ΑΡΟΑΝΙΑΣ</t>
  </si>
  <si>
    <t>ΨΩΦΙΔΟΣ</t>
  </si>
  <si>
    <t>ΗΜΕΡΗΣΙΟ ΓΥΜΝΑΣΙΟ ΨΩΦΙΔΑΣ ΑΧΑΪΑΣ</t>
  </si>
  <si>
    <t>mail@gym-psofid.ach.sch.gr</t>
  </si>
  <si>
    <t>ΨΩΦΙΔΑΣ ΑΧΑΪΑΣ</t>
  </si>
  <si>
    <t>Ψωφίδα</t>
  </si>
  <si>
    <t>ΔΗΜΟΤΙΚΟ ΣΧΟΛΕΙΟ ΨΩΦΙΔΑΣ</t>
  </si>
  <si>
    <t>8ο ΗΜΕΡΗΣΙΟ ΓΥΜΝΑΣΙΟ ΠΑΤΡΩΝ</t>
  </si>
  <si>
    <t>mail@8gym-patras.ach.sch.gr</t>
  </si>
  <si>
    <t>ΠΑΤΡΑ,</t>
  </si>
  <si>
    <t>ΙΩΝΙΑΣ 134</t>
  </si>
  <si>
    <t>16ο ΗΜΕΡΗΣΙΟ ΓΥΜΝΑΣΙΟ ΠΑΤΡΩΝ</t>
  </si>
  <si>
    <t>mail@16gym-patras.ach.sch.gr</t>
  </si>
  <si>
    <t>ΚΟΡΥΔΑΛΛΕΩΣ 13</t>
  </si>
  <si>
    <t>ΜΟΥΣΙΚΟ ΣΧΟΛΕΙΟ ΠΑΤΡΩΝ (ΜΟΥΣΙΚΟ ΓΥΜΝΑΣΙΟ - ΜΟΥΣΙΚΟ ΛΥΚΕΙΟ)</t>
  </si>
  <si>
    <t>lykmpatr@sch.gr</t>
  </si>
  <si>
    <t>ΠΑΡΟΔΟΣ ΕΒ ΕΓΛΥΚΑΔΑ 30</t>
  </si>
  <si>
    <t>41ο ΔΗΜΟΤΙΚΟ ΣΧΟΛΕΙΟ ΠΑΤΡΩΝ</t>
  </si>
  <si>
    <t>2ο ΕΣΠΕΡΙΝΟ ΓΥΜΝΑΣΙΟ ΠΑΤΡΩΝ</t>
  </si>
  <si>
    <t>mail@2gym-esp-patras.ach.sch.gr</t>
  </si>
  <si>
    <t>5ο ΕΣΠΕΡΙΝΟ ΕΠΑΛ ΠΑΤΡΑΣ</t>
  </si>
  <si>
    <t>mail@5epal-esp-patras.ach.sch.gr</t>
  </si>
  <si>
    <t>ΤΕΡΜΑ ΑΓΙΑΣ ΣΟΦΙΑΣ</t>
  </si>
  <si>
    <t>26ο ΔΗΜΟΤΙΚΟ ΣΧΟΛΕΙΟ ΠΑΤΡΑΣ</t>
  </si>
  <si>
    <t>ΗΜΕΡΗΣΙΟ ΓΕΝΙΚΟ ΛΥΚΕΙΟ ΚΑΤΩ ΑΧΑΪΑΣ</t>
  </si>
  <si>
    <t>mail@lyk-k-achaias.ach.sch.gr</t>
  </si>
  <si>
    <t>Πειραματικό Γυμνάσιο</t>
  </si>
  <si>
    <t>ΠΕΙΡΑΜΑΤΙΚΟ ΓΥΜΝΑΣΙΟ ΠΑΝΕΠΙΣΤΗΜΙΟΥ ΠΑΤΡΩΝ</t>
  </si>
  <si>
    <t>ppgpp@sch.gr</t>
  </si>
  <si>
    <t>ΠΑΝΕΠΙΣΤΗΜΙΟΥΠΟΛΗ ΠΑΝΕΠΙΣΤΗΜΙΟΥ ΠΑΤΡΩΝ</t>
  </si>
  <si>
    <t>ΗΛΙΑ ΠΟΛΙΤΗ, ΜΑΓΟΥΛΑ, ΚΑΤΩ ΚΑΣΤΡΙΤΣΙ</t>
  </si>
  <si>
    <t>4ο ΗΜΕΡΗΣΙΟ ΓΥΜΝΑΣΙΟ ΠΑΤΡΑΣ</t>
  </si>
  <si>
    <t>mail@4gym-patras.ach.sch.gr</t>
  </si>
  <si>
    <t>ΗΜΕΡΗΣΙΟ ΓΥΜΝΑΣΙΟ ΚΑΜΑΡΩΝ ΑΧΑΪΑΣ</t>
  </si>
  <si>
    <t>mail@gym-kamar.ach.sch.gr</t>
  </si>
  <si>
    <t>ΚΑΜΑΡΕΣ ΑΧΑΪΑΣ</t>
  </si>
  <si>
    <t>9ο ΕΣΠΕΡΙΝΟ ΕΠΑΛ ΠΑΤΡΑΣ</t>
  </si>
  <si>
    <t>mail@9epal-esp-patras.ach.sch.gr</t>
  </si>
  <si>
    <t>ΓΕΩΡΓΙΟΥ   ΣΕΦΕΡΗ   1</t>
  </si>
  <si>
    <t>8ο ΗΜΕΡΗΣΙΟ ΓΕΝΙΚΟ ΛΥΚΕΙΟ ΠΑΤΡΑΣ</t>
  </si>
  <si>
    <t>mail@8lyk-patras.ach.sch.gr</t>
  </si>
  <si>
    <t>ΑΛΟΝΝΗΣΟΥ 109</t>
  </si>
  <si>
    <t>5ο ΗΜΕΡΗΣΙΟ ΓΥΜΝΑΣΙΟ ΠΑΤΡΑΣ</t>
  </si>
  <si>
    <t>mail@5gym-patras.ach.sch.gr</t>
  </si>
  <si>
    <t>ΗΜΕΡΗΣΙΟ ΓΥΜΝΑΣΙΟ ΚΑΤΩ ΚΑΣΤΡΙΤΣΙΟΥ</t>
  </si>
  <si>
    <t>mail@gym-kastr.ach.sch.gr</t>
  </si>
  <si>
    <t>ΚΑΤΩ ΚΑΣΤΡΙΤΣΙ</t>
  </si>
  <si>
    <t>2ο ΓΥΜΝΑΣΙΟ ΑΙΓΙΟΥ</t>
  </si>
  <si>
    <t>mail@2gym-aigiou.ach.sch.gr</t>
  </si>
  <si>
    <t>Π.ΜΕΛΑ 6</t>
  </si>
  <si>
    <t>2ο ΗΜΕΡΗΣΙΟ ΕΠΑΛ ΠΑΤΡΑΣ</t>
  </si>
  <si>
    <t>mail@2epal-patras.ach.sch.gr</t>
  </si>
  <si>
    <t>ΗΜΕΡΗΣΙΟ ΓΥΜΝΑΣΙΟ ΡΙΟΥ ΠΑΤΡΑΣ ΑΧΑΪΑΣ</t>
  </si>
  <si>
    <t>gymriou@sch.gr</t>
  </si>
  <si>
    <t>ΡΙΟ ΠΑΤΡΑΣ ΑΧΑΪΑΣ</t>
  </si>
  <si>
    <t>ΚΥΠΡΟΥ ΚΑΙ ΑΝΤΩΝΟΠΟΥΛΟΥ</t>
  </si>
  <si>
    <t>ΔΗΜΟΤΙΚΟ ΣΧΟΛΕΙΟ ΡΙΟΥ</t>
  </si>
  <si>
    <t>6ο ΗΜΕΡΗΣΙΟ ΓΥΜΝΑΣΙΟ ΠΑΤΡΩΝ</t>
  </si>
  <si>
    <t>6gym-pat@sch.gr</t>
  </si>
  <si>
    <t>ΕΛΛΗΝΟΣ ΣΤΡΑΤΙΩΤΟΥ ΚΑΙ ΑΓΙΑΣ ΣΟΦΙΑΣ</t>
  </si>
  <si>
    <t>10ο ΗΜΕΡΗΣΙΟ ΓΥΜΝΑΣΙΟ ΠΑΤΡΑΣ</t>
  </si>
  <si>
    <t>mail@10gym-patras.ach.sch.gr</t>
  </si>
  <si>
    <t>ΕΤΕΟΚΛΕΟΥΣ 33</t>
  </si>
  <si>
    <t>61ο ΔΗΜΟΤΙΚΟ ΣΧΟΛΕΙΟ ΠΑΤΡΩΝ</t>
  </si>
  <si>
    <t>ΗΜΕΡΗΣΙΟ ΓΥΜΝΑΣΙΟ ΔΕΜΕΝΙΚΩΝ ΑΧΑΪΑΣ</t>
  </si>
  <si>
    <t>mail@gym-demen.ach.sch.gr</t>
  </si>
  <si>
    <t>ΔΕΜΕΝΙΚΑ</t>
  </si>
  <si>
    <t>ΕΙΡΗΝΗΣ ΚΑΙ ΦΙΛΙΑΣ 31Β ΠΑΤΡΑ</t>
  </si>
  <si>
    <t>ΗΜΕΡΗΣΙΟ ΓΥΜΝΑΣΙΟ ΛΟΥΣΙΚΩΝ ΑΧΑΪΑΣ</t>
  </si>
  <si>
    <t>mail@gym-lousik.ach.sch.gr</t>
  </si>
  <si>
    <t>4ο ΗΜΕΡΗΣΙΟ ΕΠΑΛ ΠΑΤΡΑΣ</t>
  </si>
  <si>
    <t>mail@4epal-patras.ach.sch.gr</t>
  </si>
  <si>
    <t>2ο ΕΣΠΕΡΙΝΟ ΕΠΑΛ ΑΙΓΙΟΥ</t>
  </si>
  <si>
    <t>mail@2epal-esp-aigiou.ach.sch.gr</t>
  </si>
  <si>
    <t>1ο ΕΚ ΠΑΤΡΩΝ</t>
  </si>
  <si>
    <t>mail@1sek-patras.ach.sch.gr</t>
  </si>
  <si>
    <t>Γ. ΣΕΦΕΡΗ - ΚΟΥΚΟΥΛΙ</t>
  </si>
  <si>
    <t>2ο ΕΚ ΠΑΤΡΩΝ</t>
  </si>
  <si>
    <t>mail@2sek-patras.ach.sch.gr</t>
  </si>
  <si>
    <t>ΑΓΙΑΣ ΣΟΦΙΑΣ ΚΑΙ ΚΙΘΑΙΡΩΝΟΣ</t>
  </si>
  <si>
    <t>ΕΝ.Ε.Ε.ΓΥ.- Λ. ΠΑΤΡΩΝ</t>
  </si>
  <si>
    <t>mail@gym-ee-patras.ach.sch.gr</t>
  </si>
  <si>
    <t>ΘΕΟΤΟΚΟΠΟΥΛΟΥ ΚΑΙ ΕΠΙΦΑΝΕΙΟΥ ΜΠΕΓΟΥΛΑΚΙ</t>
  </si>
  <si>
    <t>ΕΣΠΕΡΙΝΟ ΓΕΝΙΚΟ ΛΥΚΕΙΟ ΑΙΓΙΟΥ</t>
  </si>
  <si>
    <t>mail@lyk-esp-aigiou.ach.sch.gr</t>
  </si>
  <si>
    <t>9ο ΔΗΜΟΤΙΚΟ ΣΧΟΛΕΙΟ ΑΙΓΙΟΥ</t>
  </si>
  <si>
    <t>1ο ΗΜΕΡΗΣΙΟ ΓΥΜΝΑΣΙΟ ΠΑΤΡΩΝ</t>
  </si>
  <si>
    <t>mail@1gym-patras.ach.sch.gr</t>
  </si>
  <si>
    <t>ΗΜΕΡΗΣΙΟ ΓΕΝΙΚΟ ΛΥΚΕΙΟ ΡΙΟΥ ΑΧΑΪΑΣ - ΓΕΝΙΚΟ ΛΥΚΕΙΟ ΡΙΟΥ</t>
  </si>
  <si>
    <t>mail@lyk-riou.ach.sch.gr</t>
  </si>
  <si>
    <t>ΡΙΟΥ ΑΧΑΪΑΣ</t>
  </si>
  <si>
    <t>ΖΩΓΡΑΦΟΥ ΚΑΙ ΑΝΤΩΝΟΠΟΥΛΟΥ</t>
  </si>
  <si>
    <t>ΠΠ MY SCHOOL ΠΑΤΡΩΝ</t>
  </si>
  <si>
    <t>&lt;ΑsgbΙΓΑΛΕΩ</t>
  </si>
  <si>
    <t>Ε.Ε.Ε.ΕΚ ΑΙΓΙΟΥ</t>
  </si>
  <si>
    <t>eeeekaigi@sch.gr</t>
  </si>
  <si>
    <t>ΚΑΛΛΙΘΕΑ ΑΙΓΙΟΥ</t>
  </si>
  <si>
    <t>Τέρμα Μητροπόλεως</t>
  </si>
  <si>
    <t>ΔΙΕΥΘΥΝΣΗ Δ.Ε. ΗΛΕΙΑΣ</t>
  </si>
  <si>
    <t>ΩΛΕΝΗΣ</t>
  </si>
  <si>
    <t>ΚΑΡΑΤΟΥΛΑ</t>
  </si>
  <si>
    <t>ΗΜΕΡΗΣΙΟ ΓΥΜΝΑΣΙΟ ΚΑΡΑΤΟΥΛΑ ΗΛΕΙΑΣ</t>
  </si>
  <si>
    <t>mail@gym-karat.ilei.sch.gr</t>
  </si>
  <si>
    <t>ΚΑΡΑΤΟΥΛΑ ΗΛΕΙΑΣ</t>
  </si>
  <si>
    <t>ΔΗΜΟΤΙΚΟ ΣΧΟΛΕΙΟ ΚΑΡΑΤΟΥΛΑ-ΜΑΓΟΥΛΑΣ</t>
  </si>
  <si>
    <t>ΑΝΔΡΑΒΙΔΑΣ-ΚΥΛΛΗΝΗΣ</t>
  </si>
  <si>
    <t>ΚΑΣΤΡΟΥ - ΚΥΛΛΗΝΗΣ</t>
  </si>
  <si>
    <t>ΝΕΟΧΩΡΙΟΥ ΜΥΡΤΟΥΝΤΙΩΝ</t>
  </si>
  <si>
    <t>ΗΜΕΡΗΣΙΟ ΓΥΜΝΑΣΙΟ ΝΕΟΧΩΡΙΟΥ ΗΛΕΙΑΣ "ΝΤΙΝΟΣ ΨΥΧΟΓΙΟΣ"</t>
  </si>
  <si>
    <t>mail@gym-neoch.ilei.sch.gr</t>
  </si>
  <si>
    <t>ΝΕΟΧΩΡΙΟ ΗΛΕΙΑΣ</t>
  </si>
  <si>
    <t>ΝΕΟΧΩΡΙ ΗΛΕΙΑΣ</t>
  </si>
  <si>
    <t>ΑΜΑΛΙΑΔΑΣ</t>
  </si>
  <si>
    <t>2ο ΔΗΜΟΤΙΚΟ ΣΧΟΛΕΙΟ ΛΕΧΑΙΝΩΝ "Πάρης Κατσούφης"</t>
  </si>
  <si>
    <t>ΑΝΔΡΙΤΣΑΙΝΑΣ-ΚΡΕΣΤΕΝΩΝ</t>
  </si>
  <si>
    <t>ΣΚΙΛΛΟΥΝΤΟΣ</t>
  </si>
  <si>
    <t>ΜΑΚΡΙΣΙΩΝ</t>
  </si>
  <si>
    <t>ΗΜΕΡΗΣΙΟ ΓΥΜΝΑΣΙΟ ΜΑΚΡΙΣΙΩΝ ΗΛΕΙΑΣ</t>
  </si>
  <si>
    <t>mail@gym-makris.ilei.sch.gr</t>
  </si>
  <si>
    <t>ΜΑΚΡΙΣΙΩΝ ΗΛΕΙΑΣ</t>
  </si>
  <si>
    <t>ΜΑΚΡΙΣΙΑ</t>
  </si>
  <si>
    <t>ΚΡΕΣΤΕΝΩΝ</t>
  </si>
  <si>
    <t>ΔΗΜΟΤΙΚΟ ΣΧΟΛΕΙΟ ΜΑΚΡΙΣΙΩΝ</t>
  </si>
  <si>
    <t>ΑΡΧΑΙΑΣ ΟΛΥΜΠΙΑΣ</t>
  </si>
  <si>
    <t>ΠΕΛΟΠΙΟΥ</t>
  </si>
  <si>
    <t>ΗΜΕΡΗΣΙΟ ΓΕΝΙΚΟ ΛΥΚΕΙΟ ΠΕΛΟΠΙΟΥ ΗΛΕΙΑΣ</t>
  </si>
  <si>
    <t>lykpelop@sch.gr</t>
  </si>
  <si>
    <t>ΠΕΛΟΠΙΟΥ ΗΛΕΙΑΣ</t>
  </si>
  <si>
    <t>ΠΕΛΟΠΙΟ ΗΛΕΙΑΣ</t>
  </si>
  <si>
    <t>ΠΕΛΟΠΙΟ</t>
  </si>
  <si>
    <t>ΔΗΜΟΤΙΚΟ ΣΧΟΛΕΙΟ ΠΕΛΟΠΙΟΥ</t>
  </si>
  <si>
    <t>ΖΑΧΑΡΩΣ</t>
  </si>
  <si>
    <t>ΦΙΓΑΛΕΙΑΣ</t>
  </si>
  <si>
    <t>ΝΕΑΣ ΦΙΓΑΛΕΙΑΣ</t>
  </si>
  <si>
    <t>ΗΜΕΡΗΣΙΟ ΓΕΝΙΚΟ ΛΥΚΕΙΟ ΝΕΑΣ ΦΙΓΑΛΕΙΑΣ</t>
  </si>
  <si>
    <t>mail@lyk-n-figal.ilei.sch.gr</t>
  </si>
  <si>
    <t>ΝΕΑ ΦΙΓΑΛΕΙΑ ΗΛΕΙΑΣ</t>
  </si>
  <si>
    <t>ΝΕΑ ΦΙΓΑΛΕΙΑ</t>
  </si>
  <si>
    <t>ΔΗΜΟΤΙΚΟ ΣΧΟΛΕΙΟ ΝΕΑΣ ΦΙΓΑΛΕΙΑΣ</t>
  </si>
  <si>
    <t>ΦΟΛΟΗΣ</t>
  </si>
  <si>
    <t>ΛΑΛΑ</t>
  </si>
  <si>
    <t>ΗΜΕΡΗΣΙΟ ΓΕΝΙΚΟ ΛΥΚΕΙΟ ΛΑΛΑΣ ΗΛΕΙΑΣ - ΓΕΝΙΚΟ ΛΥΚΕΙΟ ΛΑΛΑ</t>
  </si>
  <si>
    <t>lyklalas@sch.gr</t>
  </si>
  <si>
    <t>ΛΑΛΑΣ ΗΛΕΙΑΣ</t>
  </si>
  <si>
    <t>ΔΗΜΟΤΙΚΟ ΣΧΟΛΕΙΟ ΛΑΛΑ "ΓΕΩΡΓΑΚΗΣ ΠΛΑΠΟΥΤΑΣ"</t>
  </si>
  <si>
    <t>ΑΝΔΡΑΒΙΔΑΣ</t>
  </si>
  <si>
    <t>ΗΜΕΡΗΣΙΟ ΓΕΝΙΚΟ ΛΥΚΕΙΟ ΑΝΔΡΑΒΙΔΑΣ ΗΛΕΙΑΣ</t>
  </si>
  <si>
    <t>mail@lyk-andrav.ilei.sch.gr</t>
  </si>
  <si>
    <t>ΑΝΔΡΑΒΙΔΑ</t>
  </si>
  <si>
    <t>ΔΗΜΟΤΙΚΟ ΣΧΟΛΕΙΟ ΑΝΔΡΑΒΙΔΑΣ</t>
  </si>
  <si>
    <t>ΒΟΥΠΡΑΣΙΑΣ</t>
  </si>
  <si>
    <t>ΒΑΡΔΑΣ</t>
  </si>
  <si>
    <t>ΗΜΕΡΗΣΙΟ ΓΕΝΙΚΟ ΛΥΚΕΙΟ ΒΑΡΔΑΣ ΗΛΕΙΑΣ</t>
  </si>
  <si>
    <t>lykvarda@sch.gr</t>
  </si>
  <si>
    <t>ΒΑΡΔΑΣ ΗΛΕΙΑΣ</t>
  </si>
  <si>
    <t>ΒΑΡΔΑ ΗΛΕΙΑΣ</t>
  </si>
  <si>
    <t>1ο ΔΗΜΟΤΙΚΟ ΣΧΟΛΕΙΟ ΒΑΡΔΑΣ</t>
  </si>
  <si>
    <t>ΒΑΣΙΛΑΚΙΟΥ</t>
  </si>
  <si>
    <t>ΗΜΕΡΗΣΙΟ ΓΕΝΙΚΟ ΛΥΚΕΙΟ ΒΑΣΙΛΑΚΙΟΥ</t>
  </si>
  <si>
    <t>mail@lyk-vasil.ilei.sch.gr</t>
  </si>
  <si>
    <t>ΒΑΣΙΛΑΚΙ</t>
  </si>
  <si>
    <t>ΒΑΣΙΛΑΚΙ ΗΛΕΙΑΣ</t>
  </si>
  <si>
    <t>ΔΗΜΟΤΙΚΟ ΣΧΟΛΕΙΟ ΒΑΣΙΛΑΚΙΟΥ</t>
  </si>
  <si>
    <t>ΗΛΙΔΑΣ</t>
  </si>
  <si>
    <t>ΑΜΑΛΙΑΔΟΣ</t>
  </si>
  <si>
    <t>2ο ΕΠΑ.Λ. ΑΜΑΛΙΑΔΑΣ</t>
  </si>
  <si>
    <t>mail@2epal-amaliad.ilei.sch.gr</t>
  </si>
  <si>
    <t>ΑΜΑΛΙΑΔΑ</t>
  </si>
  <si>
    <t>ΤΕΡΜΑ ΝΑΥΑΡΙΝΟΥ</t>
  </si>
  <si>
    <t>2ο ΔΗΜΟΤΙΚΟ ΣΧΟΛΕΙΟ ΑΜΑΛΙΑΔΑΣ</t>
  </si>
  <si>
    <t>2ο ΗΜΕΡΗΣΙΟ ΕΠΑΛ ΠΥΡΓΟΥ ΗΛΕΙΑΣ ΚΩΔΙΚΟΣ ΣΧΟΛΕΙΟΥ : 1540052</t>
  </si>
  <si>
    <t>mail@2epal-pyrgou.ilei.sch.gr</t>
  </si>
  <si>
    <t>ΠΥΡΓΟΣ   ΗΛΕΙΑΣ</t>
  </si>
  <si>
    <t>ΠΕΡΙΟΧΗ ΚΟΚΚΙΛΩΝΙ</t>
  </si>
  <si>
    <t>2ο ΔΗΜΟΤΙΚΟ ΣΧΟΛΕΙΟ ΠΥΡΓΟΥ</t>
  </si>
  <si>
    <t>1ο ΗΜΕΡΗΣΙΟ ΕΠΑΛ ΑΜΑΛΙΑΔΑΣ</t>
  </si>
  <si>
    <t>1epal-amaliad@sch.gr</t>
  </si>
  <si>
    <t>2ο ΗΜΕΡΗΣΙΟ ΓΕΝΙΚΟ ΛΥΚΕΙΟ ΑΜΑΛΙΑΔΑΣ ΗΛΕΙΑΣ ΑΘΑΝΑΣΙΟΣ ΠΑΠΑΓΕΩΡΓΙΟΥ</t>
  </si>
  <si>
    <t>2lykamal@sch.gr</t>
  </si>
  <si>
    <t>ΑΜΑΛΙΑΔΑΣ ΗΛΕΙΑΣ</t>
  </si>
  <si>
    <t>ΤΕΡΜΑ ΡΗΓΑ ΦΕΡΑΙΟΥ</t>
  </si>
  <si>
    <t>ΔΗΜΟΤΙΚΟ ΣΧΟΛΕΙΟ ΚΑΡΔΑΜΑ</t>
  </si>
  <si>
    <t>1ο ΗΜΕΡΗΣΙΟ ΕΠΑΛ ΠΥΡΓΟΥ</t>
  </si>
  <si>
    <t>mail@1epal-pyrgou.ilei.sch.gr</t>
  </si>
  <si>
    <t>ΔΕΥΤΕΡΟ ΧΙΛ. Ε.Ο. ΠΥΡΓΟΥ - ΚΥΠΑΡΙΣΣΙΑΣ</t>
  </si>
  <si>
    <t>ΔΗΜΟΤΙΚΟ ΣΧΟΛΕΙΟ ΣΚΟΥΡΟΧΩΡΙΟΥ</t>
  </si>
  <si>
    <t>1ο ΗΜΕΡΗΣΙΟ ΓΕΝΙΚΟ ΛΥΚΕΙΟ ΑΜΑΛΙΑΔΑΣ ΗΛΕΙΑΣ - ΑΛΕΞΑΝΔΡΟΣ ΚΟΣΜΟΠΟΥΛΟΣ</t>
  </si>
  <si>
    <t>1lykamal@sch.gr</t>
  </si>
  <si>
    <t>Γ. ΔΡΟΣΙΝΗ ΤΕΡΜΑ</t>
  </si>
  <si>
    <t>5ο ΔΗΜΟΤΙΚΟ ΣΧΟΛΕΙΟ ΑΜΑΛΙΑΔΑΣ</t>
  </si>
  <si>
    <t>2ο ΗΜΕΡΗΣΙΟ ΓΕΝΙΚΟ ΛΥΚΕΙΟ ΠΥΡΓΟΥ ΗΛΕΙΑΣ</t>
  </si>
  <si>
    <t>mail@2lyk-pyrgou.ilei.sch.gr</t>
  </si>
  <si>
    <t>Πύργος</t>
  </si>
  <si>
    <t>ΠΑΤΡΩΝ 39</t>
  </si>
  <si>
    <t>1ο ΔΗΜΟΤΙΚΟ ΣΧΟΛΕΙΟ ΠΥΡΓΟΥ</t>
  </si>
  <si>
    <t>ΠΗΝΕΙΟΥ</t>
  </si>
  <si>
    <t>ΓΑΣΤΟΥΝΗΣ</t>
  </si>
  <si>
    <t>ΗΜΕΡΗΣΙΟ ΓΕΝΙΚΟ ΛΥΚΕΙΟ ΓΑΣΤΟΥΝΗΣ ΗΛΕΙΑΣ</t>
  </si>
  <si>
    <t>mail@lyk-gastoun.ilei.sch.gr</t>
  </si>
  <si>
    <t>ΓΑΣΤΟΥΝΗ ΗΛΕΙΑΣ</t>
  </si>
  <si>
    <t>ΠΑΡΟΔΟΣ ΖΩΟΔΟΧΟΥ ΠΗΓΗΣ</t>
  </si>
  <si>
    <t>1ο ΔΗΜΟΤΙΚΟ ΣΧΟΛΕΙΟ ΓΑΣΤΟΥΝΗΣ</t>
  </si>
  <si>
    <t>ΛΕΧΑΙΝΩΝ</t>
  </si>
  <si>
    <t>ΗΜΕΡΗΣΙΟ ΓΕΝΙΚΟ ΛΥΚΕΙΟ ΛΕΧΑΙΝΩΝ ΗΛΕΙΑΣ</t>
  </si>
  <si>
    <t>lyklecha@sch.gr</t>
  </si>
  <si>
    <t>ΛΕΧΑΙΝΑ</t>
  </si>
  <si>
    <t>ΛΑΜΠΙΚΗ 8</t>
  </si>
  <si>
    <t>1ο ΔΗΜΟΤΙΚΟ ΣΧΟΛΕΙΟ ΛΕΧΑΙΝΩΝ - ΑΝΔΡΕΑΣ ΚΑΡΚΑΒΙΤΣΑΣ</t>
  </si>
  <si>
    <t>ΙΑΡΔΑΝΟΥ</t>
  </si>
  <si>
    <t>ΒΟΥΝΑΡΓΟΥ</t>
  </si>
  <si>
    <t>ΗΜΕΡΗΣΙΟ ΓΕΝΙΚΟ ΛΥΚΕΙΟ ΒΟΥΝΑΡΓΟΥ ΗΛΕΙΑΣ</t>
  </si>
  <si>
    <t>mail@lyk-vounarg.ilei.sch.gr</t>
  </si>
  <si>
    <t>ΒΟΥΝΑΡΓΟ</t>
  </si>
  <si>
    <t>ΔΗΜΟΤΙΚΟ ΣΧΟΛΕΙΟ ΒΟΥΝΑΡΓΟΥ</t>
  </si>
  <si>
    <t>ΗΜΕΡΗΣΙΟ ΓΕΝΙΚΟ ΛΥΚΕΙΟ ΚΡΕΣΤΕΝΩΝ ΗΛΕΙΑΣ</t>
  </si>
  <si>
    <t>mail@lyk-krest.ilei.sch.gr</t>
  </si>
  <si>
    <t>ΚΡΕΣΤΕΝΑ</t>
  </si>
  <si>
    <t>ΠΑΡΟΔΟΣ ΞΕΝΟΦΩΝΤΟΣ - ΓΥΜΝΑΣΙΟΥ 1</t>
  </si>
  <si>
    <t>ΔΗΜΟΤΙΚΟ ΣΧΟΛΕΙΟ ΚΡΕΣΤΕΝΩΝ</t>
  </si>
  <si>
    <t>1ο ΗΜΕΡΗΣΙΟ ΓΕΝΙΚΟ ΛΥΚΕΙΟ ΠΥΡΓΟΥ ΗΛΕΙΑΣ</t>
  </si>
  <si>
    <t>mail@1lyk-pyrgou.ilei.sch.gr</t>
  </si>
  <si>
    <t>ΠΥΡΓΟΣ ΗΛΕΙΑΣ</t>
  </si>
  <si>
    <t>ΕΛΛΗΝΟΣ ΣΤΡΑΤΙΩΤΟΥ 5</t>
  </si>
  <si>
    <t>1ο ΗΜΕΡΗΣΙΟ ΕΠΑΛ ΚΡΕΣΤΕΝΩΝ - ΕΠΑΛ ΚΡΕΣΤΕΝΩΝ</t>
  </si>
  <si>
    <t>mail@epal-kresten.ilei.sch.gr</t>
  </si>
  <si>
    <t>ΚΡΕΣΤΕΝΑ ΗΛΕΙΑΣ</t>
  </si>
  <si>
    <t>3ο ΗΜΕΡΗΣΙΟ ΓΕΝΙΚΟ ΛΥΚΕΙΟ ΠΥΡΓΟΥ ΗΛΕΙΑΣ - Pierre de Coubertin</t>
  </si>
  <si>
    <t>mail@3lyk-pyrgou.ilei.sch.gr</t>
  </si>
  <si>
    <t>ΟΛΥΜΠΙΩΝ ΚΑΙ ΚΟΛΙΡΙΟΥ</t>
  </si>
  <si>
    <t>7ο ΔΗΜΟΤΙΚΟ ΣΧΟΛΕΙΟ ΠΥΡΓΟΥ</t>
  </si>
  <si>
    <t>ΗΜΕΡΗΣΙΟ ΓΕΝΙΚΟ ΛΥΚΕΙΟ ΖΑΧΑΡΩΣ ΗΛΕΙΑΣ</t>
  </si>
  <si>
    <t>mail@lyk-zachar.ilei.sch.gr</t>
  </si>
  <si>
    <t>ΖΑΧΑΡΩ ΗΛΕΙΑΣ</t>
  </si>
  <si>
    <t>ΣΙΔΗΡΟΔΡΟΜΙΚΟΥ ΣΤΑΘΜΟΥ</t>
  </si>
  <si>
    <t>1ο ΔΗΜΟΤΙΚΟ ΣΧΟΛΕΙΟ ΖΑΧΑΡΩΣ</t>
  </si>
  <si>
    <t>4ο ΗΜΕΡΗΣΙΟ ΓΕΝΙΚΟ ΛΥΚΕΙΟ ΠΥΡΓΟΣ - ΤΕΤΑΡΤΟ ΓΕΝΙΚΟ ΛΥΚΕΙΟ ΠΥΡΓΟΥ</t>
  </si>
  <si>
    <t>mail@4lyk-pyrgou.ilei.sch.gr</t>
  </si>
  <si>
    <t>ΡΗΓΑ ΦΕΡΑΙΟΥ 93</t>
  </si>
  <si>
    <t>ΠΗΝΕΙΑΣ</t>
  </si>
  <si>
    <t>ΣΙΜΟΠΟΥΛΟΥ</t>
  </si>
  <si>
    <t>ΗΜΕΡΗΣΙΟ ΓΕΝΙΚΟ ΛΥΚΕΙΟ ΣΙΜΟΠΟΥΛΟΥ ΗΛΕΙΑΣ</t>
  </si>
  <si>
    <t>mail@lyk-simop.ilei.sch.gr</t>
  </si>
  <si>
    <t>ΣΙΜΟΠΟΥΛΟ ΗΛΕΙΑΣ</t>
  </si>
  <si>
    <t>ΔΗΜΟΤΙΚΟ ΣΧΟΛΕΙΟ ΣΙΜΟΠΟΥΛΟΥ</t>
  </si>
  <si>
    <t>ΗΜΕΡΗΣΙΟ ΓΕΝΙΚΟ ΛΥΚΕΙΟ ΚΑΡΑΤΟΥΛΑ</t>
  </si>
  <si>
    <t>mail@lyk-karat.ilei.sch.gr</t>
  </si>
  <si>
    <t>ΗΜΕΡΗΣΙΟ ΓΥΜΝΑΣΙΟ ΛΑΛΑΣ ΗΛΕΙΑΣ</t>
  </si>
  <si>
    <t>mail@gym-lala.ilei.sch.gr</t>
  </si>
  <si>
    <t>ΛΑΛΑΣ</t>
  </si>
  <si>
    <t>3ο ΗΜΕΡΗΣΙΟ ΓΥΜΝΑΣΙΟ ΑΜΑΛΙΑΔΑΣ ΗΛΕΙΑΣ</t>
  </si>
  <si>
    <t>mail@3gym-amaliad.ilei.sch.gr</t>
  </si>
  <si>
    <t>ΑΜΑΛΙΑΔΑ ΗΛΕΙΑΣ</t>
  </si>
  <si>
    <t>ΤΕΡΜΑ ΣΙΣΙΝΗ</t>
  </si>
  <si>
    <t>4ο ΔΗΜΟΤΙΚΟ ΣΧΟΛΕΙΟ ΑΜΑΛΙΑΔΑΣ</t>
  </si>
  <si>
    <t>ΗΜΕΡΗΣΙΟ ΓΥΜΝΑΣΙΟ ΒΟΥΝΑΡΓΟΥ ΗΛΕΙΑΣ</t>
  </si>
  <si>
    <t>mail@gym-vounarg.ilei.sch.gr</t>
  </si>
  <si>
    <t xml:space="preserve"> ΒΟΥΝΑΡΓΟ ΗΛΕΙΑΣ</t>
  </si>
  <si>
    <t>ΗΜΕΡΗΣΙΟ ΓΥΜΝΑΣΙΟ ΓΑΣΤΟΥΝΗΣ ΗΛΕΙΑΣ</t>
  </si>
  <si>
    <t>mail@gym-gastoun.ilei.sch.gr</t>
  </si>
  <si>
    <t>ΓΑΣΤΟΥΝΗΣ ΗΛΕΙΑΣ</t>
  </si>
  <si>
    <t>ΒΑΡΘΟΛΟΜΙΟΥ</t>
  </si>
  <si>
    <t>ΗΜΕΡΗΣΙΟ ΓΥΜΝΑΣΙΟ ΒΑΡΘΟΛΟΜΙΟΥ ΗΛΕΙΑΣ</t>
  </si>
  <si>
    <t>mail@gym-varth.ilei.sch.gr</t>
  </si>
  <si>
    <t xml:space="preserve">ΒΑΡΘΟΛΟΜΙΟ </t>
  </si>
  <si>
    <t>ΑΡΧΑΙΑΣ ΗΛΙΔΟΣ 7</t>
  </si>
  <si>
    <t>1ο ΔΗΜΟΤΙΚΟ ΣΧΟΛΕΙΟ ΒΑΡΘΟΛΟΜΙΟΥ</t>
  </si>
  <si>
    <t>ΛΑΜΠΕΙΑΣ</t>
  </si>
  <si>
    <t>ΗΜΕΡΗΣΙΟ ΓΥΜΝΑΣΙΟ- ΛΥΚΕΙΑΚΕΣ ΤΑΞΕΙΣ ΛΑΜΠΕΙΑΣ ΗΛΕΙΑΣ</t>
  </si>
  <si>
    <t>mail@gym-lampeias.ilei.sch.gr</t>
  </si>
  <si>
    <t>ΛΑΜΠΕΙΑΣ ΗΛΕΙΑΣ</t>
  </si>
  <si>
    <t>ΛΑΜΠΕΙΑ</t>
  </si>
  <si>
    <t>ΔΗΜΟΤΙΚΟ ΣΧΟΛΕΙΟ ΛΑΜΠΕΙΑ</t>
  </si>
  <si>
    <t>ΧΑΒΑΡΙΟΥ</t>
  </si>
  <si>
    <t>ΗΜΕΡΗΣΙΟ ΓΥΜΝΑΣΙΟ ΧΑΒΑΡΙΟΥ ΗΛΕΙΑΣ</t>
  </si>
  <si>
    <t>gymchava@sch.gr</t>
  </si>
  <si>
    <t>ΧΑΒΑΡΙ  ΗΛΕΙΑΣ</t>
  </si>
  <si>
    <t>ΧΑΒΑΡΙ ΗΛΕΙΑΣ</t>
  </si>
  <si>
    <t>ΔΗΜΟΤΙΚΟ ΣΧΟΛΕΙΟ ΧΑΒΑΡΙΟΥ</t>
  </si>
  <si>
    <t>4ο ΗΜΕΡΗΣΙΟ ΓΥΜΝΑΣΙΟ ΠΥΡΓΟΥ ΗΛΕΙΑΣ</t>
  </si>
  <si>
    <t>mail@4gym-pyrgou.ilei.sch.gr</t>
  </si>
  <si>
    <t>ΤΕΡΜΑ ΡΟΦΙΑ</t>
  </si>
  <si>
    <t>3ο ΔΗΜΟΤΙΚΟ ΣΧΟΛΕΙΟ ΠΥΡΓΟΥ</t>
  </si>
  <si>
    <t>ΣΑΒΑΛΙΩΝ</t>
  </si>
  <si>
    <t>ΗΜΕΡΗΣΙΟ ΓΥΜΝΑΣΙΟ ΣΑΒΑΛΙΩΝ ΗΛΕΙΑΣ</t>
  </si>
  <si>
    <t>mail@gym-saval.ilei.sch.gr</t>
  </si>
  <si>
    <t>ΣΑΒΑΛΙΩΝ ΗΛΕΙΑΣ</t>
  </si>
  <si>
    <t>ΣΑΒΑΛΙΑ</t>
  </si>
  <si>
    <t>ΔΗΜΟΤΙΚΟ ΣΧΟΛΕΙΟ ΣΑΒΑΛΙΩΝ</t>
  </si>
  <si>
    <t>ΗΜΕΡΗΣΙΟ ΓΥΜΝΑΣΙΟ ΑΡΧΑΙΑΣ ΟΛΥΜΠΙΑΣ</t>
  </si>
  <si>
    <t>mail@gym-olymp.ilei.sch.gr</t>
  </si>
  <si>
    <t>ΑΡΧΑΙΑ ΟΛΥΜΠΙΑ ΗΛΕΙΑΣ</t>
  </si>
  <si>
    <t>ΑΡΧΑΙΑ ΟΛΥΜΠΙΑ</t>
  </si>
  <si>
    <t>ΔΗΜΟΤΙΚΟ ΣΧΟΛΕΙΟ ΑΡΧ. ΟΛΥΜΠΙΑΣ</t>
  </si>
  <si>
    <t>ΑΝΔΡΙΤΣΑΙΝΗΣ</t>
  </si>
  <si>
    <t>ΗΜΕΡΗΣΙΟ ΓΥΜΝΑΣΙΟ ΑΝΔΡΙΤΣΑΙΝΑΣ ΗΛΕΙΑΣ</t>
  </si>
  <si>
    <t>mail@gym-andrits.ilei.sch.gr</t>
  </si>
  <si>
    <t>ΑΝΔΡΙΤΣΑΙΝΑ ΗΛΕΙΑΣ</t>
  </si>
  <si>
    <t>ΑΝΔΡΙΤΣΑΙΝΑ</t>
  </si>
  <si>
    <t>ΑΝΔΡΙΤΣΑΙΝΑΣ</t>
  </si>
  <si>
    <t>ΔΗΜΟΤΙΚΟ ΣΧΟΛΕΙΟ ΑΝΔΡΙΤΣΑΙΝΑΣ</t>
  </si>
  <si>
    <t>ΕΣΠΕΡΙΝΟ ΓΥΜΝΑΣΙΟ ΠΥΡΓΟΥ - ΓΙΑΝΝΗΣ ΖΑΠΑΝΤΗΣ</t>
  </si>
  <si>
    <t>mail@gym-esp-pyrgou.ilei.sch.gr</t>
  </si>
  <si>
    <t>ΕΛΛΗΝΟΣ ΣΤΡΑΤΙΩΤΟΥ</t>
  </si>
  <si>
    <t>ΕΠΙΤΑΛΙΟΥ</t>
  </si>
  <si>
    <t>ΗΜΕΡΗΣΙΟ ΓΥΜΝΑΣΙΟ ΕΠΙΤΑΛΙΟΥ  Κωδ. 1501040</t>
  </si>
  <si>
    <t>mail@gym-epital.ilei.sch.gr</t>
  </si>
  <si>
    <t>ΕΠΙΤΑΛΙΟ</t>
  </si>
  <si>
    <t>ΕΠΙΤΑΛΙΟ ΗΛΕΙΑΣ</t>
  </si>
  <si>
    <t>ΔΗΜΟΤΙΚΟ ΣΧΟΛΕΙΟ ΕΠΙΤΑΛΙΟΥ</t>
  </si>
  <si>
    <t>ΗΜΕΡΗΣΙΟ ΓΥΜΝΑΣΙΟ ΛΕΧΑΙΝΩΝ ΗΛΕΙΑΣ</t>
  </si>
  <si>
    <t>mail@gym-lechain.ilei.sch.gr</t>
  </si>
  <si>
    <t>ΗΜΕΡΗΣΙΟ ΓΥΜΝΑΣΙΟ ΒΑΣΙΛΑΚΙΟΥ</t>
  </si>
  <si>
    <t>mail@gym-vasil.ilei.sch.gr</t>
  </si>
  <si>
    <t>1ο ΗΜΕΡΗΣΙΟ ΓΥΜΝΑΣΙΟ ΑΜΑΛΙΑΔΑΣ ΗΛΕΙΑΣ</t>
  </si>
  <si>
    <t>mail@gym-amaliad.ilei.sch.gr</t>
  </si>
  <si>
    <t>ΑΜΑΛΙΑΔΑ  ΗΛΕΙΑΣ</t>
  </si>
  <si>
    <t>ΚΑΛΑΒΡΥΤΩΝ ΚΑΙ ΓΟΡΤΥΝΙΑΣ</t>
  </si>
  <si>
    <t>3ο ΔΗΜΟΤΙΚΟ ΣΧΟΛΕΙΟ ΑΜΑΛΙΑΔΑΣ</t>
  </si>
  <si>
    <t>ΑΛΙΦΕΙΡΑΣ</t>
  </si>
  <si>
    <t>ΗΜΕΡΗΣΙΟ ΓΥΜΝΑΣΙΟ ΚΑΛΛΙΘΕΑΣ ΜΕ ΛΤ</t>
  </si>
  <si>
    <t>mail@gym-kallith.ilei.sch.gr</t>
  </si>
  <si>
    <t>ΚΑΛΛΙΘΕΑ ΗΛΕΙΑΣ</t>
  </si>
  <si>
    <t>ΔΗΜΟΤΙΚΟ ΣΧΟΛΕΙΟ ΚΑΛΛΙΘΕΑΣ ΗΛΕΙΑΣ</t>
  </si>
  <si>
    <t>ΤΡΑΓΑΝΟΥ</t>
  </si>
  <si>
    <t>ΗΜΕΡΗΣΙΟ ΓΥΜΝΑΣΙΟ ΤΡΑΓΑΝΟΥ ΗΛΕΙΑΣ - ΓΥΜΝΑΣΙΟ ΤΡΑΓΑΝΟΥ</t>
  </si>
  <si>
    <t>mail@gym-tragan.ilei.sch.gr</t>
  </si>
  <si>
    <t>Τραγανό Ηλείας</t>
  </si>
  <si>
    <t>ΜΑΚΕΔΟΝΙΑΣ - ΒΑΣΙΛΕΙΟΥ ΠΑΠΑΔΟΠΟΥΛΟΥ 1</t>
  </si>
  <si>
    <t>ΔΗΜΟΤΙΚΟ ΣΧΟΛΕΙΟ ΤΡΑΓΑΝΟΥ</t>
  </si>
  <si>
    <t>2ο ΗΜΕΡΗΣΙΟ ΓΥΜΝΑΣΙΟ ΑΜΑΛΙΑΔΑΣ ΗΛΕΙΑΣ</t>
  </si>
  <si>
    <t>mail@2gym-amaliad.ilei.sch.gr</t>
  </si>
  <si>
    <t>ΟΛΥΜΠΙΑΣ ΚΑΙ ΕΛΛΗΣ ΤΕΡΜΑ</t>
  </si>
  <si>
    <t>6ο ΔΗΜΟΤΙΚΟ ΣΧΟΛΕΙΟ ΑΜΑΛΙΑΔΑΣ</t>
  </si>
  <si>
    <t>ΗΜΕΡΗΣΙΟ ΓΥΜΝΑΣΙΟ ΑΝΔΡΑΒΙΔΑΣ ΗΛΕΙΑΣ</t>
  </si>
  <si>
    <t>mail@gym-andrav.ilei.sch.gr</t>
  </si>
  <si>
    <t>ΑΝΔΡΑΒΙΔΑΣ ΗΛΕΙΑΣ</t>
  </si>
  <si>
    <t>ΕΦΥΡΑΣ</t>
  </si>
  <si>
    <t>ΓΥΜΝΑΣΙΟ ΠΗΝΕΙΑΣ</t>
  </si>
  <si>
    <t>mail@gym-simop.ilei.sch.gr</t>
  </si>
  <si>
    <t>ΕΦΥΡΑ ΗΛΕΙΑΣ</t>
  </si>
  <si>
    <t>ΕΦΥΡΑ</t>
  </si>
  <si>
    <t>ΜΟΥΣΙΚΟ ΓΥΜΝΑΣΙΟ ΒΑΡΘΟΛΟΜΙΟΥ ΜΕ ΛΥΚΕΙΑΚΕΣ ΤΑΞΕΙΣ</t>
  </si>
  <si>
    <t>gymmvar@sch.gr</t>
  </si>
  <si>
    <t>ΒΑΡΘΟΛΟΜΙΟ</t>
  </si>
  <si>
    <t>ΤΕΡΜΑ  ΠΑΛΙΟΠΥΡΓΟΥ</t>
  </si>
  <si>
    <t>2ο ΔΗΜΟΤΙΚΟ ΣΧΟΛΕΙΟ ΒΑΡΘΟΛΟΜΙΟΥ</t>
  </si>
  <si>
    <t>ΛΑΣΙΩΝΟΣ</t>
  </si>
  <si>
    <t>ΑΝΤΡΩΝΙΟΥ</t>
  </si>
  <si>
    <t>ΗΜΕΡΗΣΙΟ ΓΥΜΝΑΣΙΟ ΠΑΝΟΠΟΥΛΟΥ</t>
  </si>
  <si>
    <t>mail@gym-panop.ilei.sch.gr</t>
  </si>
  <si>
    <t>ΠΑΝΟΠΟΥΛΟ</t>
  </si>
  <si>
    <t>ΠΑΝΟΠΟΥΛΟ ΗΛΕΙΑΣ</t>
  </si>
  <si>
    <t>ΔΗΜΟΤΙΚΟ ΣΧΟΛΕΙΟ ΠΑΝΟΠΟΥΛΟΥ</t>
  </si>
  <si>
    <t>ΗΜΕΡΗΣΙΟ ΓΥΜΝΑΣΙΟ ΠΕΛΟΠΙΟΥ ΗΛΕΙΑΣ</t>
  </si>
  <si>
    <t>mail@gym-pelop.ilei.sch.gr</t>
  </si>
  <si>
    <t>ΠΕΛΟΠΙΟ Ν. ΗΛΕΙΑΣ</t>
  </si>
  <si>
    <t>ΓΥΜΝΑΣΙΟ ΝΕΑΣ ΦΙΓΑΛΕΙΑΣ ΗΛΕΙΑΣ</t>
  </si>
  <si>
    <t>mail@gym-n-figal.ilei.sch.gr</t>
  </si>
  <si>
    <t>ΝΕΑ  ΦΙΓΑΛΕΙΑ  ΗΛΕΙΑΣ</t>
  </si>
  <si>
    <t>ΗΜΕΡΗΣΙΟ ΓΥΜΝΑΣΙΟ ΚΡΕΣΤΕΝΩΝ</t>
  </si>
  <si>
    <t>mail@gym-krest.ilei.sch.gr</t>
  </si>
  <si>
    <t>ΓΥΜΝΑΣΙΟΥ 1</t>
  </si>
  <si>
    <t>ΓΟΥΜΕΡΟΥ</t>
  </si>
  <si>
    <t>ΗΜΕΡΗΣΙΟ ΓΥΜΝΑΣΙΟ ΓΟΥΜΕΡΟΥ</t>
  </si>
  <si>
    <t>mail@gym-goumer.ilei.sch.gr</t>
  </si>
  <si>
    <t>ΓΟΥΜΕΡΟ</t>
  </si>
  <si>
    <t>ΔΗΜΟΤΙΚΟ ΣΧΟΛΕΙΟ ΓΟΥΜΕΡΟΥ</t>
  </si>
  <si>
    <t>ΗΜΕΡΗΣΙΟ ΓΕΝΙΚΟ ΛΥΚΕΙΟ ΒΑΡΘΟΛΟΜΙΟΥ ΗΛΕΙΑΣ</t>
  </si>
  <si>
    <t>mail@lyk-varth.ilei.sch.gr</t>
  </si>
  <si>
    <t>ΒΑΡΘΟΛΟΜΙΟ ΗΛΕΙΑΣ</t>
  </si>
  <si>
    <t>ΗΜΕΡΗΣΙΟ ΓΥΜΝΑΣΙΟ ΖΑΧΑΡΩ ΗΛΕΙΑΣ - ΓΥΜΝΑΣΙΟ ΖΑΧΑΡΩΣ</t>
  </si>
  <si>
    <t>mail@gym-zachar.ilei.sch.gr</t>
  </si>
  <si>
    <t>ΖΑΧΑΡΩ-ΗΛΕΙΑΣ</t>
  </si>
  <si>
    <t>ΗΜΕΡΗΣΙΟ ΓΕΝΙΚΟ ΛΥΚΕΙΟ ΑΝΔΡΙΤΣΑΙΝΑΣ ΗΛΕΙΑΣ</t>
  </si>
  <si>
    <t>mail@lyk-andrits.ilei.sch.gr</t>
  </si>
  <si>
    <t>1ο ΗΜΕΡΗΣΙΟ ΓΥΜΝΑΣΙΟ ΠΥΡΓΟΥ ΗΛΕΙΑΣ</t>
  </si>
  <si>
    <t>mail@1gym-pyrgou.ilei.sch.gr</t>
  </si>
  <si>
    <t>ΓΥΜΝΑΣΙΑΡΧΟΥ ΔΟΥΚΑ 20</t>
  </si>
  <si>
    <t>6ο ΔΗΜΟΤΙΚΟ ΣΧΟΛΕΙΟ ΠΥΡΓΟΥ ΗΛΕΙΑΣ</t>
  </si>
  <si>
    <t>2ο ΗΜΕΡΗΣΙΟ ΓΥΜΝΑΣΙΟ ΠΥΡΓΟΥ ΗΛΕΙΑΣ</t>
  </si>
  <si>
    <t>mail@2gym-pyrgou.ilei.sch.gr</t>
  </si>
  <si>
    <t>ΠΑΤΡΩΝ ΚΑΙ ΖΑΪΜΗ 39</t>
  </si>
  <si>
    <t>ΗΜΕΡΗΣΙΟ ΓΥΜΝΑΣΙΟ ΒΑΡΔΑ ΗΛΕΙΑΣ - ΓΥΜΝΑΣΙΟ ΒΑΡΔΑΣ</t>
  </si>
  <si>
    <t>mail@gym-vardas.ilei.sch.gr</t>
  </si>
  <si>
    <t>3ο ΗΜΕΡΗΣΙΟ ΓΥΜΝΑΣΙΟ ΠΥΡΓΟΥ</t>
  </si>
  <si>
    <t>mail@3gym-pyrgou.ilei.sch.gr</t>
  </si>
  <si>
    <t>ΠΑΡΟΔΟΣ ΓΙΑΝΝΙΤΣΩΝ</t>
  </si>
  <si>
    <t>ΕΣΠΕΡΙΝΟ ΓΥΜΝΑΣΙΟ &amp; Λ.Τ. ΑΜΑΛΙΑΔΑΣ ΗΛΕΙΑΣ</t>
  </si>
  <si>
    <t>mail@gym-esp-amaliad.ilei.sch.gr</t>
  </si>
  <si>
    <t>ΚΑΛΑΒΡΥΤΩΝ &amp; ΓΟΡΤΥΝΙΑΣ</t>
  </si>
  <si>
    <t>1ο ΕΠΑΛ ΛΕΧΑΙΝΩΝ</t>
  </si>
  <si>
    <t>mail@1epal-lechain.ilei.sch.gr</t>
  </si>
  <si>
    <t>ΒΥΤΙΝΑΙΙΚΩΝ</t>
  </si>
  <si>
    <t>ΕΕΕΕΚ ΠΥΡΓΟΥ ΗΛΕΙΑ</t>
  </si>
  <si>
    <t>mail@eeeek.ilei.sch.gr</t>
  </si>
  <si>
    <t>ΗΛΕΙΑ</t>
  </si>
  <si>
    <t>ΒΥΤΙΝΕΪΚΑ</t>
  </si>
  <si>
    <t>ΑΓΙΟΥ ΙΩΑΝΝΟΥ</t>
  </si>
  <si>
    <t>ΕΝΙΑΙΟ ΕΙΔΙΚΟ ΕΠΑΓΓΕΛΜΑΤΙΚΟ ΓΥΜΝΑΣΙΟ-ΛΥΚΕΙΟ ΠΥΡΓΟΥ</t>
  </si>
  <si>
    <t>mail@gym-ee-pyrgou.ilei.sch.gr</t>
  </si>
  <si>
    <t>ʼγιος  Ιωάννης Πύργου</t>
  </si>
  <si>
    <t>E.K.  ΠΥΡΓΟY ΗΛΕΙΑΣ</t>
  </si>
  <si>
    <t>mail@sek-pyrgou.ilei.sch.gr</t>
  </si>
  <si>
    <t>ΕΘΝΙΚΗ ΟΔΟΣ ΠΥΡΓΟΥ ΚΥΠΑΡΙΣΣΙΑΣ</t>
  </si>
  <si>
    <t>ΔΙΕΥΘΥΝΣΗ Π.Ε. ΑΙΤΩΛΟΑΚΑΡΝΑΝΙΑΣ</t>
  </si>
  <si>
    <t>1ο ΝΗΠΙΑΓΩΓΕΙΟ ΑΓΡΙΝΙΟΥ</t>
  </si>
  <si>
    <t>mail@1nip-agrin.ait.sch.gr</t>
  </si>
  <si>
    <t>ΠΡΟΟΔΟΥ 6</t>
  </si>
  <si>
    <t>mail@1dim-mesol.ait.sch.gr</t>
  </si>
  <si>
    <t>ΝΩΝΤΑ ΓΕΩΡΓΑΚΗ- ΠΛΩΣΤΑΙΝΑ</t>
  </si>
  <si>
    <t>ΑΓΙΟΥ ΝΙΚΟΛΑΟΥ ΒΟΝΙΤΣΗΣ</t>
  </si>
  <si>
    <t>ΔΗΜΟΤΙΚΟ ΣΧΟΛΕΙΟ ΑΓΙΟΥ ΝΙΚΟΛΑΟΥ</t>
  </si>
  <si>
    <t>mail@dim-ag-nikol.ait.sch.gr</t>
  </si>
  <si>
    <t xml:space="preserve">ʼγιος Νικόλαος, </t>
  </si>
  <si>
    <t>ΑΓΙΟΣ ΝΙΚΟΛΑΟΣ</t>
  </si>
  <si>
    <t>ΝΗΠΙΑΓΩΓΕΙΟ ΠΑΛΑΙΡΟΥ</t>
  </si>
  <si>
    <t>mail@nip-palair.ait.sch.gr</t>
  </si>
  <si>
    <t>ΚΕΚΡΟΠΙΑΣ</t>
  </si>
  <si>
    <t>mail@1dim-ag-konst.ait.sch.gr</t>
  </si>
  <si>
    <t>ʼγιος Κωνσταντίνος</t>
  </si>
  <si>
    <t>13ο ΝΗΠΙΑΓΩΓΕΙΟ ΑΓΡΙΝΙΟΥ</t>
  </si>
  <si>
    <t>mail@13nip-agrin.ait.sch.gr</t>
  </si>
  <si>
    <t>ΙΜΒΡΟΥ</t>
  </si>
  <si>
    <t>ΡΙΓΑΝΗΣ</t>
  </si>
  <si>
    <t>ΝΗΠΙΑΓΩΓΕΙΟ ΡΙΓΑΝΗΣ</t>
  </si>
  <si>
    <t>mail@nip-rigan.ait.sch.gr</t>
  </si>
  <si>
    <t>ΡΙΓΑΝΗ</t>
  </si>
  <si>
    <t>ΡΙΓΑΝΗ ΞΗΡΟΜΕΡΟΥ</t>
  </si>
  <si>
    <t>ΟΧΘΙΩΝ</t>
  </si>
  <si>
    <t>ΝΗΠΙΑΓΩΓΕΙΟ ΟΧΘΙΑ</t>
  </si>
  <si>
    <t>mail@nip-ochth.ait.sch.gr</t>
  </si>
  <si>
    <t>ΟΧΘΙΑ</t>
  </si>
  <si>
    <t>ΧΡΥΣΟΒΙΤΣΗΣ ΒΟΝΙΤΣΗΣ</t>
  </si>
  <si>
    <t>ΝΗΠΙΑΓΩΓΕΙΟ ΧΡΥΣΟΒΙΤΣΑΣ</t>
  </si>
  <si>
    <t>mail@nip-chrysov.ait.sch.gr</t>
  </si>
  <si>
    <t>Χρυσοβίτσα</t>
  </si>
  <si>
    <t>Χρυσοβίτσα Ξηρομέρου Αιτ/νίας</t>
  </si>
  <si>
    <t>ΔΗΜΟΤΙΚΟ ΣΧΟΛΕΙΟ ΧΡΥΣΟΒΙΤΣΑΣ</t>
  </si>
  <si>
    <t>mail@dim-chrisov.ait.sch.gr</t>
  </si>
  <si>
    <t>ΧΡΥΣΟΒΙΤΣΑ</t>
  </si>
  <si>
    <t>6ο ΝΗΠΙΑΓΩΓΕΙΟ ΑΓΡΙΝΙΟΥ</t>
  </si>
  <si>
    <t>mail@6nip-agrin.ait.sch.gr</t>
  </si>
  <si>
    <t>ΑΡΓΥΡΟΚΑΣΤΡΟΥ 4</t>
  </si>
  <si>
    <t>ΝΗΠΙΑΓΩΓΕΙΟ ΣΤΡΑΤΟΥ</t>
  </si>
  <si>
    <t>mail@nip-strat.ait.sch.gr</t>
  </si>
  <si>
    <t>ΣΤΡΑΤΟΣ</t>
  </si>
  <si>
    <t>5ο ΝΗΠΙΑΓΩΓΕΙΟ ΑΓΡΙΝΙΟΥ</t>
  </si>
  <si>
    <t>mail@5nip-agrin.ait.sch.gr</t>
  </si>
  <si>
    <t>ΒΛΑΧΕΡΝΩΝ</t>
  </si>
  <si>
    <t>8ο ΝΗΠΙΑΓΩΓΕΙΟ ΑΓΡΙΝΙΟΥ</t>
  </si>
  <si>
    <t>mail@8nip-agrin.ait.sch.gr</t>
  </si>
  <si>
    <t>ΗΡΩΩΝ ΠΟΛΥΤΕΧΝΕΙΟΥ 95</t>
  </si>
  <si>
    <t>1ο ΝΗΠΙΑΓΩΓΕΙΟ ΑΓΙΟΥ ΚΩΝΣΤΑΝΤΙΝΟΥ</t>
  </si>
  <si>
    <t>mail@1nip-ag-konst.ait.sch.gr</t>
  </si>
  <si>
    <t>Αγιος Κωνσταντίνος Αγρινίου</t>
  </si>
  <si>
    <t>Μαγνησίας 4</t>
  </si>
  <si>
    <t>ΚΑΣΤΡΑΚΙΟΥ</t>
  </si>
  <si>
    <t>ΝΗΠΙΑΓΩΓΕΙΟ ΚΑΣΤΡΑΚΙΟΥ</t>
  </si>
  <si>
    <t>mail@nip-kastr.ait.sch.gr</t>
  </si>
  <si>
    <t>ΚΑΣΤΡΑΚΙ</t>
  </si>
  <si>
    <t>ΠΑΠΠΑΔΑΤΟΥ</t>
  </si>
  <si>
    <t>ΝΗΠΙΑΓΩΓΕΙΟ ΡΙΒΙΟΥ</t>
  </si>
  <si>
    <t>mail@nip-riviou.ait.sch.gr</t>
  </si>
  <si>
    <t>ΡΙΒΙΟΥ</t>
  </si>
  <si>
    <t>ΡΙΒΙΟ ΞΗΡΟΜΕΡΟΥ</t>
  </si>
  <si>
    <t>ΝΗΠΙΑΓΩΓΕΙΟ ΚΑΛΥΒΙΩΝ ΑΓΡΙΝΙΟΥ</t>
  </si>
  <si>
    <t>mail@nip-ag-georg.ait.sch.gr</t>
  </si>
  <si>
    <t>12ο ΝΗΠΙΑΓΩΓΕΙΟ ΑΓΡΙΝΙΟΥ</t>
  </si>
  <si>
    <t>mail@12nip-agrin.ait.sch.gr</t>
  </si>
  <si>
    <t>ΚΑΣΤΕΛΟΥ 3</t>
  </si>
  <si>
    <t>ΝΗΠΙΑΓΩΓΕΙΟ ΠΑΠΑΔΑΤΩΝ</t>
  </si>
  <si>
    <t>mail@nip-papad.ait.sch.gr</t>
  </si>
  <si>
    <t>ΠΑΠΑΔΑΤΕΣ ΑΡΑΚΥΝΘΟΥ</t>
  </si>
  <si>
    <t>ΠΑΠΑΔΑΤΕΣ</t>
  </si>
  <si>
    <t>ΚΑΤΩ ΜΑΚΡΙΝΟΥΣ</t>
  </si>
  <si>
    <t>ΝΗΠΙΑΓΩΓΕΙΟ ΚΑΤΩ ΜΑΚΡΥΝΟΥΣ</t>
  </si>
  <si>
    <t>mail@nip-kat-makryn.ait.sch.gr</t>
  </si>
  <si>
    <t>ΚΑΤΩ ΜΑΚΡΥΝΟΥΣ</t>
  </si>
  <si>
    <t>ΚΑΤΩ ΜΑΚΡΥΝΟΥ</t>
  </si>
  <si>
    <t>ΠΑΝΤΑΝΑΣΣΗΣ</t>
  </si>
  <si>
    <t>ΝΗΠΙΑΓΩΓΕΙΟ ΠΑΝΤΑΝΑΣΣΑΣ</t>
  </si>
  <si>
    <t>mail@nip-pantan.ait.sch.gr</t>
  </si>
  <si>
    <t>ΠΑΝΤΑΝΑΣΣΑΣ</t>
  </si>
  <si>
    <t>ΠΑΝΤΑΝΑΣΣΑ</t>
  </si>
  <si>
    <t>4ο ΝΗΠΙΑΓΩΓΕΙΟ ΑΓΡΙΝΙΟΥ</t>
  </si>
  <si>
    <t>mail@4nip-agrin.ait.sch.gr</t>
  </si>
  <si>
    <t>ΠΟΙΗΤΩΝ</t>
  </si>
  <si>
    <t>ΚΑΜΑΡΟΥΛΑΣ</t>
  </si>
  <si>
    <t>ΝΗΠΙΑΓΩΓΕΙΟ ΚΑΜΑΡΟΥΛΑΣ</t>
  </si>
  <si>
    <t>mail@nip-kamar.ait.sch.gr</t>
  </si>
  <si>
    <t>ΚΑΜΑΡΟΥΛΑ</t>
  </si>
  <si>
    <t>ΝΗΠΙΑΓΩΓΕΙΟ ΠΑΡΑΒΟΛΑΣ</t>
  </si>
  <si>
    <t>mail@nip-parav.ait.sch.gr</t>
  </si>
  <si>
    <t>7ο ΝΗΠΙΑΓΩΓΕΙΟ ΑΓΡΙΝΙΟΥ</t>
  </si>
  <si>
    <t>mail@7nip-agrin.ait.sch.gr</t>
  </si>
  <si>
    <t>Χ.ΝΙΚΟΛΑΟΥ</t>
  </si>
  <si>
    <t>13dimag@sch.gr</t>
  </si>
  <si>
    <t>ΑΙΓΑΙΟΥ ΤΕΡΜΑ</t>
  </si>
  <si>
    <t>2ο ΝΗΠΙΑΓΩΓΕΙΟ ΠΑΝΑΙΤΩΛΙΟΥ</t>
  </si>
  <si>
    <t>mail@2nip-panait.ait.sch.gr</t>
  </si>
  <si>
    <t>ΑΓΓΕΛΟΚΑΣΤΡΟΥ</t>
  </si>
  <si>
    <t>ΝΗΠΙΑΓΩΓΕΙΟ ΑΓΓΕΛΟΚΑΣΤΡΟΥ</t>
  </si>
  <si>
    <t>mail@nip-angel.ait.sch.gr</t>
  </si>
  <si>
    <t>ΑΓΓΕΛΟΚΑΣΤΡΟ</t>
  </si>
  <si>
    <t>ΔΟΚΙΜΙΟΥ</t>
  </si>
  <si>
    <t>ΝΗΠΙΑΓΩΓΕΙΟ ΔΟΚΙΜΙ</t>
  </si>
  <si>
    <t>mail@nip-dokim.ait.sch.gr</t>
  </si>
  <si>
    <t>ΔΟΚΙΜΙ</t>
  </si>
  <si>
    <t>ΑΓΙΟΥ ΙΩΑΝΝΗ 24</t>
  </si>
  <si>
    <t>ΜΠΑΜΠΙΝΗΣ</t>
  </si>
  <si>
    <t>ΔΗΜΟΤΙΚΟ ΣΧΟΛΕΙΟ ΜΠΑΜΠΙΝΗΣ</t>
  </si>
  <si>
    <t>mail@dim-bamp.ait.sch.gr</t>
  </si>
  <si>
    <t>ΜΠΑΜΠΙΝΗ ΞΗΡΟΜΕΡΟΥ</t>
  </si>
  <si>
    <t>15ο ΝΗΠΙΑΓΩΓΕΙΟ ΑΓΡΙΝΙΟΥ</t>
  </si>
  <si>
    <t>mail@15nip-agrin.ait.sch.gr</t>
  </si>
  <si>
    <t xml:space="preserve">Αγρίνιο   </t>
  </si>
  <si>
    <t>Χένδερσον 15</t>
  </si>
  <si>
    <t>1ο ΝΗΠΙΑΓΩΓΕΙΟ ΠΑΝΑΙΤΩΛΙΟ</t>
  </si>
  <si>
    <t>mail@1nip-panait.ait.sch.gr</t>
  </si>
  <si>
    <t>ΚΑΝΑΡΗ 49</t>
  </si>
  <si>
    <t>ΝΗΠΙΑΓΩΓΕΙΟ ΓΙΑΝΝΟΥΖΙΟΥ</t>
  </si>
  <si>
    <t>mail@nip-giann.ait.sch.gr</t>
  </si>
  <si>
    <t>ΓΙΑΝΝΟΥΖΙ ΑΓΡΙΝΙΟΥ</t>
  </si>
  <si>
    <t>Ηρακλείτου 14</t>
  </si>
  <si>
    <t>mail@12dim-agrin.ait.sch.gr</t>
  </si>
  <si>
    <t>ΤΕΡΜΑ ΙΩΝΙΑΣ</t>
  </si>
  <si>
    <t>ΔΗΜΟΤΙΚΟ ΣΧΟΛΕΙΟ ΠΛΑΓΙΑΣ</t>
  </si>
  <si>
    <t>dimplag@sch.gr</t>
  </si>
  <si>
    <t>ΠΛΑΓΙΑ ΑΙΤ/ΝΙΑΣ</t>
  </si>
  <si>
    <t>ΠΑΝΑΙΤΩΛΙΚΟΥ</t>
  </si>
  <si>
    <t>ΣΚΟΥΤΕΡΑΣ</t>
  </si>
  <si>
    <t>ΔΗΜΟΤΙΚΟ ΣΧΟΛΕΙΟ ΣΚΟΥΤΕΡΑΣ</t>
  </si>
  <si>
    <t>mail@dim-skout.ait.sch.gr</t>
  </si>
  <si>
    <t>ΣΚΟΥΤΕΡΑ</t>
  </si>
  <si>
    <t>mail@dim-monast.ait.sch.gr</t>
  </si>
  <si>
    <t>3ο ΝΗΠΙΑΓΩΓΕΙΟ ΑΓΡΙΝΙΟΥ</t>
  </si>
  <si>
    <t>mail@3nip-agrin.ait.sch.gr</t>
  </si>
  <si>
    <t>Θυσίας 39</t>
  </si>
  <si>
    <t>2ο ΝΗΠΙΑΓΩΓΕΙΟ ΑΓΡΙΝΙΟΥ</t>
  </si>
  <si>
    <t>mail@2nip-agrin.ait.sch.gr</t>
  </si>
  <si>
    <t>Φιλίππου Ακαρνάνος 11</t>
  </si>
  <si>
    <t>21ο ΝΗΠΙΑΓΩΓΕΙΟ ΑΓΡΙΝΙΟΥ</t>
  </si>
  <si>
    <t>mail@21nip-agrin.ait.sch.gr</t>
  </si>
  <si>
    <t>ΠΑΝΑΓΟΠΟΥΛΟΥ ΚΑΙ ΧΡΥΣΑΝΘΟΥ ΑΙΤΩΛΟΥ</t>
  </si>
  <si>
    <t>22ο ΝΗΠΙΑΓΩΓΕΙΟ ΑΓΡΙΝΙΟ</t>
  </si>
  <si>
    <t>mail@22nip-agrin.ait.sch.gr</t>
  </si>
  <si>
    <t>ΕΡΓΑΤΙΚΕΣ ΚΑΤΟΙΚΙΕΣ ΑΓΙΑΣ ΒΑΡΒΑΡΑΣ</t>
  </si>
  <si>
    <t>11ο ΝΗΠΙΑΓΩΓΕΙΟ ΑΓΡΙΝΙΟΥ</t>
  </si>
  <si>
    <t>mail@11nip-agrin.ait.sch.gr</t>
  </si>
  <si>
    <t>Χέντερσον 39</t>
  </si>
  <si>
    <t>10ο ΝΗΠΙΑΓΩΓΕΙΟ ΑΓΡΙΝΙΟΥ</t>
  </si>
  <si>
    <t>mail@10nip-agrin.ait.sch.gr</t>
  </si>
  <si>
    <t>ΑΓΡΑΦΩΝ 29</t>
  </si>
  <si>
    <t>17ο ΝΗΠΙΑΓΩΓΕΙΟ ΑΓΡΙΝΙΟΥ</t>
  </si>
  <si>
    <t>mail@17nip-agrin.ait.sch.gr</t>
  </si>
  <si>
    <t>Ναυπάκτου 2</t>
  </si>
  <si>
    <t>ΑΡΧΟΝΤΟΧΩΡΙΟΥ</t>
  </si>
  <si>
    <t>ΔΗΜΟΤΙΚΟ ΣΧΟΛΕΙΟ ΑΡΧΟΝΤΟΧΩΡΙΟΥ</t>
  </si>
  <si>
    <t>mail@dim-archont.ait.sch.gr</t>
  </si>
  <si>
    <t>ΑΡΧΟΝΤΟΧΩΡΙ</t>
  </si>
  <si>
    <t>ΛΕΣΙΝΙΟΥ</t>
  </si>
  <si>
    <t>ΔΗΜΟΤΙΚΟ ΣΧΟΛΕΙΟ ΛΕΣΙΝΙΟΥ</t>
  </si>
  <si>
    <t>mail@dim-lesin.ait.sch.gr</t>
  </si>
  <si>
    <t>ΛΕΣΙΝΙ</t>
  </si>
  <si>
    <t>ΛΕΣΙΝΙ ΟΙΝΙΑΔΩΝ</t>
  </si>
  <si>
    <t>1ο ΝΗΠΙΑΓΩΓΕΙΟ ΘΕΣΤΙΕΩΝ</t>
  </si>
  <si>
    <t>mail@1nip-thest.ait.sch.gr</t>
  </si>
  <si>
    <t>ΠΑΡΟΔΟΣ ΚΟΣΜΑ ΑΙΤΩΛΟΥ 11</t>
  </si>
  <si>
    <t>ΜΕΓΑΛΗΣ ΧΩΡΑΣ</t>
  </si>
  <si>
    <t>3ο ΔΗΜΟΤΙΚΟ ΣΧΟΛΕΙΟ ΝΕΑΠΟΛΗΣ</t>
  </si>
  <si>
    <t>mail@3dim-neapol.ait.sch.gr</t>
  </si>
  <si>
    <t>ΜΕΓΑΛΗ ΧΩΡΑ</t>
  </si>
  <si>
    <t>mail@1dim-thest.ait.sch.gr</t>
  </si>
  <si>
    <t>ΚΑΙΝΟΥΡΙΟ</t>
  </si>
  <si>
    <t>ΚΟΣΜΑ ΑΙΤΩΛΟΥ 135</t>
  </si>
  <si>
    <t>ΕΛΑΙΟΦΥΤΟΥ</t>
  </si>
  <si>
    <t>2ο ΝΗΠΙΑΓΩΓΕΙΟ ΝΕΑΠΟΛΗΣ</t>
  </si>
  <si>
    <t>mail@2nip-neapol.ait.sch.gr</t>
  </si>
  <si>
    <t>ΤΡΙΑΝΤΑΙΪΚΑ</t>
  </si>
  <si>
    <t>ΕΙΔΙΚΟ ΔΗΜΟΤΙΚΟ ΣΧΟΛΕΙΟ ΜΕΣΟΛΟΓΓΙΟΥ-9010629</t>
  </si>
  <si>
    <t>mail@dim-eid-mesol.ait.sch.gr</t>
  </si>
  <si>
    <t>ΚΥΠΡΟΥ 80</t>
  </si>
  <si>
    <t>mail@2dim-ag-konst.ait.sch.gr</t>
  </si>
  <si>
    <t>ΕΘΝΙΚΗΣ ΑΝΤΙΣΤΑΣΕΩΣ 51</t>
  </si>
  <si>
    <t>3ο ΝΗΠΙΑΓΩΓΕΙΟ  ΝΕΑΠΟΛΗΣ</t>
  </si>
  <si>
    <t>mail@3nip-neapol.ait.sch.gr</t>
  </si>
  <si>
    <t>4ο ΔΗΜΟΤΙΚΟ ΣΧΟΛΕΙΟ ΜΕΣΟΛΟΓΓΙΟΥ</t>
  </si>
  <si>
    <t>mail@4dim-mesol.ait.sch.gr</t>
  </si>
  <si>
    <t>Ι. Π. Μεσολογγίου</t>
  </si>
  <si>
    <t>ΜΑΝΑΣ</t>
  </si>
  <si>
    <t>mail@21dim-agrin.ait.sch.gr</t>
  </si>
  <si>
    <t>ΘΥΣΙΑΣ 14</t>
  </si>
  <si>
    <t>10ο ΔΗΜΟΤΙΚΟ ΣΧΟΛΕΙΟ ΑΓΡΙΝΙΟΥ</t>
  </si>
  <si>
    <t>mail@10dim-agrin.ait.sch.gr</t>
  </si>
  <si>
    <t>ΜΙΧΑΛΑΚΕΑ ΤΕΡΜΑ-ΠΕΡΙΜΕΤΡΙΚΗ ΑΓΡΙΝΙΟΥ</t>
  </si>
  <si>
    <t>2ο ΔΗΜΟΤΙΚΟ ΣΧΟΛΕΙΟ ΑΓΡΙΝΙΟΥ</t>
  </si>
  <si>
    <t>mail@2dim-agrin.ait.sch.gr</t>
  </si>
  <si>
    <t>ΔΩΡΙΜΑΧΟΥ 26 ΑΓΡΙΝΙΟ</t>
  </si>
  <si>
    <t>mail@1dim-kekrop.ait.sch.gr</t>
  </si>
  <si>
    <t>ΕΘ.ΟΔΟΣ ΒΟΝΙΤΣΑΣ-ΠΑΛΑΙΡΟΥ</t>
  </si>
  <si>
    <t>ΝΗΠΙΑΓΩΓΕΙΟ ΛΟΥΤΡΟΥ ΑΜΦΙΛΟΧΙΑΣ</t>
  </si>
  <si>
    <t>mail@nip-loutr.ait.sch.gr</t>
  </si>
  <si>
    <t>ΛΟΥΤΡΟ</t>
  </si>
  <si>
    <t>mail@2dim-katoch.ait.sch.gr</t>
  </si>
  <si>
    <t>ΚΑΤΟΧΗ- ΜΕΣΟΛΟΓΓΙΟΥ</t>
  </si>
  <si>
    <t>ΑΡΧΑΙΑΣ ΟΙΝΙΑΔΟΣ 1</t>
  </si>
  <si>
    <t>ΔΗΜΟΤΙΚΟ ΣΧΟΛΕΙΟ ΚΑΤΩ ΜΑΚΡΥΝΟΥΣ</t>
  </si>
  <si>
    <t>mail@dim-kat-makryn.ait.sch.gr</t>
  </si>
  <si>
    <t>ΚΑΤΩ  ΜΑΚΡΥΝΟΥ</t>
  </si>
  <si>
    <t>2ο ΕΙΔΙΚΟ ΔΗΜΟΤΙΚΟ ΣΧΟΛΕΙΟ ΑΓΡΙΝΙΟ</t>
  </si>
  <si>
    <t>mail@2dim-eid-agrin.ait.sch.gr</t>
  </si>
  <si>
    <t>Αχιλλέα Παράσχου 15</t>
  </si>
  <si>
    <t>ΠΑΤΙΟΠΟΥΛΟΥ</t>
  </si>
  <si>
    <t>ΝΗΠΙΑΓΩΓΕΙΟ ΘΥΑΜΟΥ</t>
  </si>
  <si>
    <t>mail@nip-thyam.ait.sch.gr</t>
  </si>
  <si>
    <t>ΘΥΑΜΟΥ</t>
  </si>
  <si>
    <t>ΘΥΑΜΟΣ</t>
  </si>
  <si>
    <t>ΣΤΡΟΓΓΥΛΟΒΟΥΝΙΟΥ</t>
  </si>
  <si>
    <t>ΔΗΜΟΤΙΚΟ ΣΧΟΛΕΙΟ ΣΤΡΟΓΓΥΛΟΒΟΥΝΙΟΥ</t>
  </si>
  <si>
    <t>mail@dim-strong.ait.sch.gr</t>
  </si>
  <si>
    <t>ΣΤΡΟΓΓΥΛΟΒΟΥΝΙ</t>
  </si>
  <si>
    <t>ΣΤΡΟΓΓΥΛΟΒΟΥΝΙ ΞΗΡΟΜΕΡΟΥ</t>
  </si>
  <si>
    <t>ΝΕΑΣ ΑΒΟΡΑΝΗΣ</t>
  </si>
  <si>
    <t>ΔΗΜΟΤΙΚΟ ΣΧΟΛΕΙΟ ΝΕΑΣ ΑΒΟΡΑΝΗΣ</t>
  </si>
  <si>
    <t>mail@dim-n-avoran.ait.sch.gr</t>
  </si>
  <si>
    <t>Ν.ΑΒΟΡΑΝΗ</t>
  </si>
  <si>
    <t>ΝΕΑ ΑΒΟΡΑΝΗ</t>
  </si>
  <si>
    <t>9ο ΔΗΜΟΤΙΚΟ ΣΧΟΛΕΙΟ ΑΓΡΙΝΙΟΥ</t>
  </si>
  <si>
    <t>mail@9dim-agrin.ait.sch.gr</t>
  </si>
  <si>
    <t>ΤΕΡΜΑ ΨΗΛΟΒΡΑΧΟΥ</t>
  </si>
  <si>
    <t>2ο ΔΗΜΟΤΙΚΟ ΣΧΟΛΕΙΟ ΑΙΤΩΛΙΚΟΥ</t>
  </si>
  <si>
    <t>mail@2dim-aitol.ait.sch.gr</t>
  </si>
  <si>
    <t>ΑΙΤΩΛΙΚΟ</t>
  </si>
  <si>
    <t>ΑΝΑΤΟΛΙΚΗ ΠΑΡΑΛΙΑ</t>
  </si>
  <si>
    <t>20ο ΝΗΠΙΑΓΩΓΕΙΟ ΑΓΡΙΝΙΟΥ</t>
  </si>
  <si>
    <t>mail@20nip-agrin.ait.sch.gr</t>
  </si>
  <si>
    <t>ΕΡΓΑΤΙΚΕΣ ΚΑΤ. ΑΓΙΟΥ Ι.ΡΙΓΑΝΑ</t>
  </si>
  <si>
    <t>mail@dim-lepen.ait.sch.gr</t>
  </si>
  <si>
    <t>ΛΕΠΕΝΟΥ</t>
  </si>
  <si>
    <t>ΔΗΜΟΤΙΚΟ ΣΧΟΛΕΙΟ ΚΕΦΑΛΟΒΡΥΣΟΥ ΑΙΤΩΛΙΚΟΥ</t>
  </si>
  <si>
    <t>mail@dim-kefal.ait.sch.gr</t>
  </si>
  <si>
    <t>ΚΕΦΑΛΟΒΡΥΣΟ ΑΙΤΩΛΙΚΟΥ</t>
  </si>
  <si>
    <t>mail@dim-therm.ait.sch.gr</t>
  </si>
  <si>
    <t>mail@dim-fyteion.ait.sch.gr</t>
  </si>
  <si>
    <t>ΦΥΤΕΙΕΣ</t>
  </si>
  <si>
    <t>mail@2dim-thest.ait.sch.gr</t>
  </si>
  <si>
    <t>mail@dim-astak.ait.sch.gr</t>
  </si>
  <si>
    <t>Αστακός</t>
  </si>
  <si>
    <t>Γεωργίου Καραμούζη 2</t>
  </si>
  <si>
    <t>ΜΕΣΑΡΙΣΤΗΣ</t>
  </si>
  <si>
    <t>ΔΗΜΟΤΙΚΟ ΣΧΟΛΕΙΟ ΜΕΣΑΡΙΣΤΑΣ</t>
  </si>
  <si>
    <t>mail@dim-mesar.ait.sch.gr</t>
  </si>
  <si>
    <t>ΜΕΣΑΡΙΣΤΑ</t>
  </si>
  <si>
    <t>ΖΕΥΓΑΡΑΚΙΟΥ</t>
  </si>
  <si>
    <t>ΔΗΜΟΤΙΚΟ ΣΧΟΛΕΙΟ ΚΑΤΩ ΖΕΥΓΑΡΑΚΙΟΥ</t>
  </si>
  <si>
    <t>mail@dim-kat-zevgar.ait.sch.gr</t>
  </si>
  <si>
    <t>ΚΑΤΩ ΖΕΥΓΑΡΑΚΙ</t>
  </si>
  <si>
    <t>Κ. ΖΕΥΓΑΡΑΚΙ</t>
  </si>
  <si>
    <t>ΝΗΠΙΑΓΩΓΕΙΟ ΑΓΙΟΥ ΓΕΩΡΓΙΟY</t>
  </si>
  <si>
    <t>mail@nip-a-georg.ait.sch.gr</t>
  </si>
  <si>
    <t>ΑΓΙΟΣ ΓΕΩΡΓΙΟΣ ΜΕΣΟΛΟΓΓΙΟΥ</t>
  </si>
  <si>
    <t>ΝΗΠΙΑΓΩΓΕΙΟ ΘΕΡΜΟΥ</t>
  </si>
  <si>
    <t>mail@nip-therm.ait.sch.gr</t>
  </si>
  <si>
    <t>mail@dim-gaval.ait.sch.gr</t>
  </si>
  <si>
    <t>ΓΑΒΑΛΟΥ</t>
  </si>
  <si>
    <t>6ο ΔΗΜΟΤΙΚΟ ΣΧΟΛΕΙΟ ΜΕΣΟΛΟΓΓΙΟΥ</t>
  </si>
  <si>
    <t>mail@6dim-mesol.ait.sch.gr</t>
  </si>
  <si>
    <t>ΛΟΥΚΗ ΑΚΡΙΤΑ 126</t>
  </si>
  <si>
    <t>mail@2dim-neoch.ait.sch.gr</t>
  </si>
  <si>
    <t>ΝΕΟΧΩΡΙ ΟΙΝΙΑΔΩΝ</t>
  </si>
  <si>
    <t>ΤΡΥΦΟΥ</t>
  </si>
  <si>
    <t>ΔΗΜΟΤΙΚΟ ΣΧΟΛΕΙΟ ΤΡΥΦΟΥ ΞΗΡΟΜΕΡΟΥ</t>
  </si>
  <si>
    <t>mail@dim-tryfou.ait.sch.gr</t>
  </si>
  <si>
    <t>ΤΡΥΦΟΣ</t>
  </si>
  <si>
    <t>1ο ΝΗΠΙΑΓΩΓΕΙΟ ΚΑΤΟΧΗΣ</t>
  </si>
  <si>
    <t>mail@2nip-katoch.ait.sch.gr</t>
  </si>
  <si>
    <t>1ο ΝΗΠΙΑΓΩΓΕΙΟ ΜΕΣΟΛΟΓΓΙΟΥ</t>
  </si>
  <si>
    <t>mail@1nip-mesol.ait.sch.gr</t>
  </si>
  <si>
    <t>ΙΩΣΗΦ ΡΩΓΩΝ 1</t>
  </si>
  <si>
    <t>2ο ΝΗΠΙΑΓΩΓΕΙΟ ΜΕΣΟΛΟΓΓΙΟΥ</t>
  </si>
  <si>
    <t>mail@2nip-messol.ait.sch.gr</t>
  </si>
  <si>
    <t>ΝΗΠΙΑΓΩΓΕΙΟ ΓΟΥΡΙΑΣ</t>
  </si>
  <si>
    <t>mail@nip-gourias.ait.sch.gr</t>
  </si>
  <si>
    <t>1ο ΝΗΠΙΑΓΩΓΕΙΟ ΝΕΟΧΩΡΙΟΥ</t>
  </si>
  <si>
    <t>mail@1nip-neoch.ait.sch.gr</t>
  </si>
  <si>
    <t>16ο ΔΗΜΟΤΙΚΟ ΣΧΟΛΕΙΟ ΑΓΡΙΝΙΟΥ</t>
  </si>
  <si>
    <t>mail@16dim-agrin.ait.sch.gr</t>
  </si>
  <si>
    <t>ΣΥΝΟΙΚΙΣΜΟΣ ΑΓ. ΒΑΡΒΑΡΑΣ - ΟΛΓΑΣ ΠΑΠΑΣΤΑΜΟΥ 2</t>
  </si>
  <si>
    <t>ΚΑΡΑΪΣΚΑΚΗ</t>
  </si>
  <si>
    <t>ΔΗΜΟΤΙΚΟ ΣΧΟΛΕΙΟ ΚΑΡΑΪΣΚΑΚΗ - ΔΗΜΗΤΡΟΥΚΕΙΟ</t>
  </si>
  <si>
    <t>mail@dim-karaisk.ait.sch.gr</t>
  </si>
  <si>
    <t>4ο ΝΗΠΙΑΓΩΓΕΙΟ ΝΕΟΧΩΡΙΟΥ</t>
  </si>
  <si>
    <t>mail@4nip-neoch.ait.sch.gr</t>
  </si>
  <si>
    <t>1ο ΝΗΠΙΑΓΩΓΕΙΟ ΑΙΤΩΛΙΚΟΥ</t>
  </si>
  <si>
    <t>mail@nip-aitol.ait.sch.gr</t>
  </si>
  <si>
    <t>ΑΝΑΤΟΛΙΚΗ ΠΑΡΑΛΙΑ ΑΙΤΩΛΙΚΟΥ</t>
  </si>
  <si>
    <t>mail@5dim-agrin.ait.sch.gr</t>
  </si>
  <si>
    <t>ΧΑΛΚΕΙΑΣ</t>
  </si>
  <si>
    <t>ΝΗΠΙΑΓΩΓΕΙΟ ΓΑΛΑΤΑ</t>
  </si>
  <si>
    <t>mail@nip-galat.ait.sch.gr</t>
  </si>
  <si>
    <t>ΜΑΣΤΡΟΥ</t>
  </si>
  <si>
    <t>ΝΗΠΙΑΓΩΓΕΙΟ ΜΑΣΤΡΟΥ</t>
  </si>
  <si>
    <t>mail@nip-mastrou.ait.sch.gr</t>
  </si>
  <si>
    <t>ΧΡΥΣΟΒΕΡΓΙΟΥ</t>
  </si>
  <si>
    <t>ΝΗΠΙΑΓΩΓΕΙΟ ΧΡΥΣΟΒΕΡΓΙΟΥ</t>
  </si>
  <si>
    <t>mail@1nip-chrys.ait.sch.gr</t>
  </si>
  <si>
    <t>ΧΡΥΣΟΒΕΡΓΙ</t>
  </si>
  <si>
    <t>3ο ΔΗΜΟΤΙΚΟ ΣΧΟΛΕΙΟ ΑΓΡΙΝΙΟ</t>
  </si>
  <si>
    <t>mail@3dim-agrin.ait.sch.gr</t>
  </si>
  <si>
    <t>mail@1dim-aitol.ait.sch.gr</t>
  </si>
  <si>
    <t>ΑΝΔΡΕΑ ΣΥΓΓΡΟΥ 12</t>
  </si>
  <si>
    <t>ΠΕΝΤΑΛΟΦΟΥ</t>
  </si>
  <si>
    <t>ΝΗΠΙΑΓΩΓΕΙΟ ΠΕΝΤΑΛΟΦΟΥ</t>
  </si>
  <si>
    <t>mail@nip-pental.ait.sch.gr</t>
  </si>
  <si>
    <t>ΠΕΝΤΑΛΟΦΟΣ ΟΙΝΙΑΔΩΝ</t>
  </si>
  <si>
    <t>mail@dim-mytik.ait.sch.gr</t>
  </si>
  <si>
    <t>ΜΥΤΙΚΑΣ</t>
  </si>
  <si>
    <t>ΝΗΠΙΑΓΩΓΕΙΟ ΛΕΣΙΝΙΟΥ</t>
  </si>
  <si>
    <t>mail@nip-lesin.ait.sch.gr</t>
  </si>
  <si>
    <t>mail@dim-gourias.ait.sch.gr</t>
  </si>
  <si>
    <t>2ο ΝΗΠΙΑΓΩΓΕΙΟ ΒΟΝΙΤΣΑΣ</t>
  </si>
  <si>
    <t>mail@2nip-vonits.ait.sch.gr</t>
  </si>
  <si>
    <t>ΔΗΜΟΚΡΑΤΙΑΣ</t>
  </si>
  <si>
    <t>6ο ΝΗΠΙΑΓΩΓΕΙΟ ΜΕΣΟΛΟΓΓΙΟΥ</t>
  </si>
  <si>
    <t>mail@6nip-mesol.ait.sch.gr</t>
  </si>
  <si>
    <t>ΓΟΡΓΟΠΟΤΑΜΟΥ 126</t>
  </si>
  <si>
    <t>3ο ΝΗΠΙΑΓΩΓΕΙΟ ΜΕΣΟΛΟΓΓΙΟΥ</t>
  </si>
  <si>
    <t>mail@3nip-mesol.ait.sch.gr</t>
  </si>
  <si>
    <t>ΕΛ.ΒΕΝΙΖΕΛΟΥ 50</t>
  </si>
  <si>
    <t>ΣΤΑΜΝΑΣ</t>
  </si>
  <si>
    <t>ΝΗΠΙΑΓΩΓΕΙΟ ΣΤΑΜΝΑΣ</t>
  </si>
  <si>
    <t>mail@nip-stamn.ait.sch.gr</t>
  </si>
  <si>
    <t>ΣΤΑΜΝΑ</t>
  </si>
  <si>
    <t>mail@dim-kalyv.ait.sch.gr</t>
  </si>
  <si>
    <t>mail@20dim-agrin.ait.sch.gr</t>
  </si>
  <si>
    <t>ΑΧΙΛΛΕΑ ΠΑΡΑΣΧΟΥ 15</t>
  </si>
  <si>
    <t>ΕΙΔΙΚΟ ΔΗΜΟΤΙΚΟ ΣΧΟΛΕΙΟ ΝΑΥΠΑΚΤΟΥ</t>
  </si>
  <si>
    <t>mail@dim-eid-nafpakt.ait.sch.gr</t>
  </si>
  <si>
    <t>Λυγιάς Ναυπάκτου</t>
  </si>
  <si>
    <t>ΛΥΓΙΑ</t>
  </si>
  <si>
    <t>ΘΥΡΙΟΥ</t>
  </si>
  <si>
    <t>ΔΗΜΟΤΙΚΟ ΣΧΟΛΕΙΟ ΘΥΡΡΕΙΟΥ</t>
  </si>
  <si>
    <t>mail@dim-thyrr.ait.sch.gr</t>
  </si>
  <si>
    <t xml:space="preserve">  Θύρρειο Αιτωλοακαρνανίας</t>
  </si>
  <si>
    <t>Θύρρειο  Αιτωλοακαρνανίας</t>
  </si>
  <si>
    <t>mail@2dim-evinoch.ait.sch.gr</t>
  </si>
  <si>
    <t>ΕΥΗΝΟΧΩΡΙ</t>
  </si>
  <si>
    <t>ΔΗΜΟΤΙΚΟ ΣΧΟΛΕΙΟ ΟΧΘΙΩΝ</t>
  </si>
  <si>
    <t>mail@dim-ochth.ait.sch.gr</t>
  </si>
  <si>
    <t>mail@1dim-agrin.ait.sch.gr</t>
  </si>
  <si>
    <t>ΠΑΠΑΙΩΑΝΝΟΥ 38</t>
  </si>
  <si>
    <t>ΚΥΠΑΡΙΣΣΟΥ</t>
  </si>
  <si>
    <t>ΔΗΜΟΤΙΚΟ ΣΧΟΛΕΙΟ ΚΥΠΑΡΙΣΣΟΥ ΑΙΤΩΛΟΑΚΑΡΝΑΝΙΑΣ</t>
  </si>
  <si>
    <t>mail@dim-kypar.ait.sch.gr</t>
  </si>
  <si>
    <t>ΚΥΠΑΡΙΣΣΟΣ</t>
  </si>
  <si>
    <t>1ο ΝΗΠΙΑΓΩΓΕΙΟ ΑΜΦΙΛΟΧΙΑΣ</t>
  </si>
  <si>
    <t>mail@1nip-amfil.ait.sch.gr</t>
  </si>
  <si>
    <t>ΑΓΙΟΥ ΑΝΔΡΕΟΥ</t>
  </si>
  <si>
    <t>ΝΗΠΙΑΓΩΓΕΙΟ ΑΓΙΟΥ ΑΝΔΡΕΑ</t>
  </si>
  <si>
    <t>mail@nip-ag-andrea.ait.sch.gr</t>
  </si>
  <si>
    <t>ΑΓΙΟΥ ΑΝΔΡΕΑ</t>
  </si>
  <si>
    <t>ΑΓΙΟΣ ΑΝΔΡΕΑΣ</t>
  </si>
  <si>
    <t>2ο ΝΗΠΙΑΓΩΓΕΙΟ ΑΜΦΙΛΟΧΙΑ</t>
  </si>
  <si>
    <t>mail@2nip-amfil.ait.sch.gr</t>
  </si>
  <si>
    <t>ΒΛΑΣ.ΤΣΙΡΟΓΙΑΝΝΗ</t>
  </si>
  <si>
    <t>ΝΗΠΙΑΓΩΓΕΙΟ ΚΑΤΩ ΖΕΥΓΑΡΑΚΙΟΥ</t>
  </si>
  <si>
    <t>mail@nip-kat-zevgar.ait.sch.gr</t>
  </si>
  <si>
    <t>Δ.Δ. ΑΓΡΙΝΙΟΥ</t>
  </si>
  <si>
    <t>3ο ΝΗΠΙΑΓΩΓΕΙΟ ΑΜΦΙΛΟΧΙΑΣ</t>
  </si>
  <si>
    <t>mail@3nip-amfil.ait.sch.gr</t>
  </si>
  <si>
    <t>Ι. ΣΤΑΘΑ</t>
  </si>
  <si>
    <t>ΑΜΟΡΓΙΑΝΩΝ</t>
  </si>
  <si>
    <t>ΝΗΠΙΑΓΩΓΕΙΟ ΑΜΟΡΓΙΑΝΩΝ</t>
  </si>
  <si>
    <t>mail@nip-amorg.ait.sch.gr</t>
  </si>
  <si>
    <t>ΑΜΟΡΓΙΑΝΟΙ</t>
  </si>
  <si>
    <t>ΔΗΜΟΤΙΚΟ ΣΧΟΛΕΙΟ ΣΤΡΑΤΟΥ ΑΙΤΩΛΟΑΚΑΡΝΑΝΙΑΣ</t>
  </si>
  <si>
    <t>mail@dim-strat.ait.sch.gr</t>
  </si>
  <si>
    <t>Στράτος</t>
  </si>
  <si>
    <t>ΝΙΚΟΛΑΟΥ ΣΤΡΑΤΟΥ</t>
  </si>
  <si>
    <t>2ο ΝΗΠΙΑΓΩΓΕΙΟ ΕΥΗΝΟΧΩΡΙΟΥ</t>
  </si>
  <si>
    <t>mail@2nip-evinoch.ait.sch.gr</t>
  </si>
  <si>
    <t>ΠΟΤΑΜΟΥΛΑΣ ΤΡΙΧΩΝΙΔΟΣ</t>
  </si>
  <si>
    <t>ΔΗΜΟΤΙΚΟ ΣΧΟΛΕΙΟ ΠΟΤΑΜΟΥΛΑΣ</t>
  </si>
  <si>
    <t>mail@dim-potam.ait.sch.gr</t>
  </si>
  <si>
    <t>ΠΟΤΑΜΟΥΛΑ</t>
  </si>
  <si>
    <t>ΝΗΠΙΑΓΩΓΕΙΟ ΕΜΠΕΣΟΥ</t>
  </si>
  <si>
    <t>mail@nip-empes.ait.sch.gr</t>
  </si>
  <si>
    <t>5ο ΝΗΠΙΑΓΩΓΕΙΟ ΜΕΣΟΛΟΓΓΙΟΥ</t>
  </si>
  <si>
    <t>mail@5nip-mesol.ait.sch.gr</t>
  </si>
  <si>
    <t>Γ.ΚΑΜΜΕΝΟΥ 12</t>
  </si>
  <si>
    <t>17ο ΔΗΜΟΤΙΚΟ ΣΧΟΛΕΙΟ ΑΓΡΙΝΙΟΥ</t>
  </si>
  <si>
    <t>mail@17dim-agrin.ait.sch.gr</t>
  </si>
  <si>
    <t>ΧΕΝΔΕΡΣΟΝ 39</t>
  </si>
  <si>
    <t>3ο ΝΗΠΙΑΓΩΓΕΙΟ ΑΙΤΩΛΙΚΟΥ</t>
  </si>
  <si>
    <t>mail@3nip-aitol.ait.sch.gr</t>
  </si>
  <si>
    <t>ΣΤΑΘΜΟΣ ΑΙΤΩΛΙΚΟΥ</t>
  </si>
  <si>
    <t>4ο ΝΗΠΙΑΓΩΓΕΙΟ ΜΕΣΟΛΟΓΓΙΟΥ</t>
  </si>
  <si>
    <t>mail@4nip-mesol.ait.sch.gr</t>
  </si>
  <si>
    <t>ΒΙΓΛΑ</t>
  </si>
  <si>
    <t>ΚΕΧΡΙΝΙΑΣ</t>
  </si>
  <si>
    <t>ΝΗΠΙΑΓΩΓΕΙΟ ΚΕΧΡΙΝΙΑΣ</t>
  </si>
  <si>
    <t>mail@nip-kechr.ait.sch.gr</t>
  </si>
  <si>
    <t>ΚΕΧΡΙΝΙΑ ΑΜΦΙΛΟΧΙΑΣ</t>
  </si>
  <si>
    <t>ΓΡΑΜΜΑΤΙΚΟΥΣ</t>
  </si>
  <si>
    <t>ΝΗΠΙΑΓΩΓΕΙΟ ΓΡΑΜΜΑΤΙΚΟΥΣ</t>
  </si>
  <si>
    <t>mail@nip-gramm.ait.sch.gr</t>
  </si>
  <si>
    <t>ΔΗΜΟΤΙΚΟ ΣΧΟΛΕΙΟ ΑΓΙΟΥ ΑΝΔΡΕΑ</t>
  </si>
  <si>
    <t>mail@dim-ag-andrea.ait.sch.gr</t>
  </si>
  <si>
    <t>5ο ΔΗΜΟΤΙΚΟ ΣΧΟΛΕΙΟ ΜΕΣΟΛΟΓΓΙΟΥ-9010291</t>
  </si>
  <si>
    <t>mail@5dim-mesol.ait.sch.gr</t>
  </si>
  <si>
    <t>ΟΙΚ. ΑΠΟΣΤΟΛΟΥ ΠΑΥΛΟΥ</t>
  </si>
  <si>
    <t>mail@dim-ag-vlasiou.ait.sch.gr</t>
  </si>
  <si>
    <t>ΑΓΙΟΣ ΒΛΑΣΙΟΣ</t>
  </si>
  <si>
    <t>16ο ΝΗΠΙΑΓΩΓΕΙΟ ΑΓΡΙΝΙΟΥ</t>
  </si>
  <si>
    <t>mail@16nip-agrin.ait.sch.gr</t>
  </si>
  <si>
    <t>ΑΓΡΙΝΙΟY</t>
  </si>
  <si>
    <t>ΕΝΑΝΤΙ ΑΓΙΑΣ ΒΑΡΒΑΡΑΣ</t>
  </si>
  <si>
    <t>9ο ΝΗΠΙΑΓΩΓΕΙΟ ΑΓΡΙΝΙΟΥ</t>
  </si>
  <si>
    <t>mail@9nip-agrin.ait.sch.gr</t>
  </si>
  <si>
    <t>mail@2dim-neapol.ait.sch.gr</t>
  </si>
  <si>
    <t>ΤΡΙΑΝΤΑΙΙΚΑ</t>
  </si>
  <si>
    <t>4ο ΔΗΜΟΤΙΚΟ ΣΧΟΛΕΙΟ ΝΑΥΠΑΚΤΟΥ</t>
  </si>
  <si>
    <t>mail@4dim-nafpakt.ait.sch.gr</t>
  </si>
  <si>
    <t>Β ΕΡΓΑΤΙΚΕΣ ΚΑΤΟΙΚΙΕΣ</t>
  </si>
  <si>
    <t>ΔΗΜΟΤΙΚΟ ΣΧΟΛΕΙΟ ΧΡΥΣΟΒΕΡΓΙΟΥ</t>
  </si>
  <si>
    <t>mail@dim-chrysov.ait.sch.gr</t>
  </si>
  <si>
    <t>ΔΗΜΟΤΙΚΟ ΣΧΟΛΕΙΟ ΠΕΝΤΑΛΟΦΟΥ</t>
  </si>
  <si>
    <t>mail@dim-pental.ait.sch.gr</t>
  </si>
  <si>
    <t>ΠΕΝΤΑΛΟΦΟΣ</t>
  </si>
  <si>
    <t>ΠΕΝΤΑΛΟΦΟΣ.</t>
  </si>
  <si>
    <t>12ο ΝΗΠΙΑΓΩΓΕΙΟ ΝΑΥΠΑΚΤΟΥ</t>
  </si>
  <si>
    <t>mail@12nip-nafpakt.ait.sch.gr</t>
  </si>
  <si>
    <t>mail@dim-parav.ait.sch.gr</t>
  </si>
  <si>
    <t>1ο ΕΙΔΙΚΟ ΔΗΜΟΤΙΚΟ ΣΧΟΛΕΙΟ ΑΓΡΙΝΙΟΥ</t>
  </si>
  <si>
    <t>mail@1dim-eid-agrin.ait.sch.gr</t>
  </si>
  <si>
    <t>19ο ΝΗΠΙΑΓΩΓΕΙΟ ΑΓΡΙΝΙΟΥ</t>
  </si>
  <si>
    <t>mail@19nip-agrin.ait.sch.gr</t>
  </si>
  <si>
    <t>ΤΕΡΜΑ ΚΟΚΚΑΛΗ</t>
  </si>
  <si>
    <t>ΝΗΠΙΑΓΩΓΕΙΟ ΛΕΠΕΝΟΥΣ</t>
  </si>
  <si>
    <t>mail@nip-lepen.ait.sch.gr</t>
  </si>
  <si>
    <t>2ο ΝΗΠΙΑΓΩΓΕΙΟ ΝΑΥΠΑΚΤΟΥ</t>
  </si>
  <si>
    <t>mail@2nip-nafpakt.ait.sch.gr</t>
  </si>
  <si>
    <t>ΜΑΚΡΥΓΙΑΝΝΗ 11</t>
  </si>
  <si>
    <t>3ο ΝΗΠΙΑΓΩΓΕΙΟ ΝΑΥΠΑΚΤΟΥ</t>
  </si>
  <si>
    <t>mail@3nip-nafpakt.ait.sch.gr</t>
  </si>
  <si>
    <t>ΠΛΑΤΕΙΑ ΟΞΥΛΟΥ</t>
  </si>
  <si>
    <t>ΔΗΜΟΤΙΚΟ ΣΧΟΛΕΙΟ ΡΙΓΑΝΗΣ</t>
  </si>
  <si>
    <t>mail@dim-rigan.ait.sch.gr</t>
  </si>
  <si>
    <t>mail@1dim-neoch.ait.sch.gr</t>
  </si>
  <si>
    <t>1ο ΝΗΠΙΑΓΩΓΕΙΟ ΒΟΝΙΤΣΑΣ</t>
  </si>
  <si>
    <t>mail@1nip-vonits.ait.sch.gr</t>
  </si>
  <si>
    <t>ΠΛΑΤΕΙΑ Γ.ΒΑΡΝΑΚΙΩΤΗ-ΕΡΓΑΤΙΚΕΣ ΚΑΤΟΙΚΙΕΣ-ΒΟΝΙΤΣΑ</t>
  </si>
  <si>
    <t>7ο ΝΗΠΙΑΓΩΓΕΙΟ ΝΑΥΠΑΚΤΟΥ</t>
  </si>
  <si>
    <t>mail@7nip-nafpakt.ait.sch.gr</t>
  </si>
  <si>
    <t>ΦΑΡΜΑΚΗ 8</t>
  </si>
  <si>
    <t>ΔΗΜΟΤΙΚΟ ΣΧΟΛΕΙΟ ΔΟΚΙΜΙΟΥ</t>
  </si>
  <si>
    <t>mail@dim-dokim.ait.sch.gr</t>
  </si>
  <si>
    <t>1ο ΔΗΜΟΤΙΚΟ ΣΧΟΛΕΙΟ ΚΑΤΟΧΗΣ</t>
  </si>
  <si>
    <t>mail@1dim-katoch.ait.sch.gr</t>
  </si>
  <si>
    <t>Κατοχή</t>
  </si>
  <si>
    <t>ΑΦΡΟΞΥΛΙΑΣ</t>
  </si>
  <si>
    <t>ΝΗΠΙΑΓΩΓΕΙΟ ΑΦΡΟΞΥΛΙΑΣ ΝΑΥΠΑΚΤΟΥ</t>
  </si>
  <si>
    <t>mail@nip-afrox.ait.sch.gr</t>
  </si>
  <si>
    <t>ΑΦΡΟΞΥΛΙΑ ΝΑΥΠΑΚΤΟΥ</t>
  </si>
  <si>
    <t>ΑΦΡΟΞΥΛΙΑ</t>
  </si>
  <si>
    <t>ΔΗΜΟΤΙΚΟ ΣΧΟΛΕΙΟ  ΚΑΣΤΡΑΚΙΟΥ</t>
  </si>
  <si>
    <t>mail@dim-kastr.ait.sch.gr</t>
  </si>
  <si>
    <t>ΚΑΣΤΡΑΚΙ ΑΓΡΙΝΙΟΥ</t>
  </si>
  <si>
    <t>ΝΗΠΙΑΓΩΓΕΙΟ ΚΑΤΩ ΔΑΦΝΗΣ</t>
  </si>
  <si>
    <t>mail@nip-kat-dafnis.ait.sch.gr</t>
  </si>
  <si>
    <t>ΚΑΤΩ ΔΑΦΝΗ ΝΑΥΠΑΚΤΟΥ</t>
  </si>
  <si>
    <t>ΚΑΤΩ ΔΑΦΝΗ</t>
  </si>
  <si>
    <t>ΝΗΠΙΑΓΩΓΕΙΟ ΛΥΓΙΑ</t>
  </si>
  <si>
    <t>mail@nip-lygias.ait.sch.gr</t>
  </si>
  <si>
    <t xml:space="preserve"> ΝΑΥΠΑΚΤΟΥ</t>
  </si>
  <si>
    <t>ΞΗΡΟΠΗΓΑΔΟΥ</t>
  </si>
  <si>
    <t>ΝΗΠΙΑΓΩΓΕΙΟ ΞΗΡΟΠΗΓΑΔΟΥ</t>
  </si>
  <si>
    <t>mail@nip-xirop.ait.sch.gr</t>
  </si>
  <si>
    <t>ΞΗΡΟΠΗΓΑΔΟ ΝΑΥΠΑΚΤΟΥ</t>
  </si>
  <si>
    <t>ΤΡΙΚΟΡΦΟΥ</t>
  </si>
  <si>
    <t>ΝΗΠΙΑΓΩΓΕΙΟ ΤΡΙΚΟΡΦΟΥ ΝΑΥΠΑΚΤΙΑΣ</t>
  </si>
  <si>
    <t>mail@nip-trikorf.ait.sch.gr</t>
  </si>
  <si>
    <t>ΤΡΙΚΟΡΦΟ ΧΑΛΚΕΙΑΣ</t>
  </si>
  <si>
    <t>ΤΡΙΚΟΡΦΟ</t>
  </si>
  <si>
    <t>ΝΗΠΙΑΓΩΓΕΙΟ ΑΝΤΙΡΡΙΟΥ</t>
  </si>
  <si>
    <t>mail@nip-antirr.ait.sch.gr</t>
  </si>
  <si>
    <t>1ο ΝΗΠΙΑΓΩΓΕΙΟ ΝΑΥΠΑΚΤΟΥ</t>
  </si>
  <si>
    <t>mail@1nip-nafpakt.ait.sch.gr</t>
  </si>
  <si>
    <t>ΛΟΡΔΟΥ ΒΥΡΩΝΑΣ ΚΑΙ ΦΙΛΙΚΗΣ ΕΤΑΙΡΙΑΣ</t>
  </si>
  <si>
    <t>4ο ΝΗΠΙΑΓΩΓΕΙΟ ΝΑΥΠΑΚΤΟΥ</t>
  </si>
  <si>
    <t>mail@4nip-nafpakt.ait.sch.gr</t>
  </si>
  <si>
    <t>ΟΔΟΣ ΘΕΡΜΟΥ</t>
  </si>
  <si>
    <t>5ο ΝΗΠΙΑΓΩΓΕΙΟ ΝΑΥΠΑΚΤΟΥ</t>
  </si>
  <si>
    <t>mail@5nip-nafpakt.ait.sch.gr</t>
  </si>
  <si>
    <t>ΠΑΛΑΙΟΠΑΝΑΓΙΑ</t>
  </si>
  <si>
    <t>6ο ΝΗΠΙΑΓΩΓΕΙΟ ΝΑΥΠΑΚΤΟΥ</t>
  </si>
  <si>
    <t>mail@6nip-nafpakt.ait.sch.gr</t>
  </si>
  <si>
    <t>8ο ΝΗΠΙΑΓΩΓΕΙΟ ΝΑΥΠΑΚΤΟΥ</t>
  </si>
  <si>
    <t>mail@8nip-nafpakt.ait.sch.gr</t>
  </si>
  <si>
    <t>ΕΘΝΙΚΗΣ ΣΥΜΦΙΛΙΩΣΗΣ 18</t>
  </si>
  <si>
    <t>ΠΑΛΑΙΟΜΑΝΙΝΑΣ</t>
  </si>
  <si>
    <t>ΝΗΠΙΑΓΩΓΕΙΟ ΠΑΛΑΙΟΜΑΝΙΝΑΣ</t>
  </si>
  <si>
    <t>mail@nip-palaiom.ait.sch.gr</t>
  </si>
  <si>
    <t>ΠΑΛΑΙΟΜΑΝΙΝΑ</t>
  </si>
  <si>
    <t>9ο ΝΗΠΙΑΓΩΓΕΙΟ ΝΑΥΠΑΚΤΟΥ</t>
  </si>
  <si>
    <t>mail@9nip-nafpakt.ait.sch.gr</t>
  </si>
  <si>
    <t>ΑΦΡΟΔΙΤΗΣ 35</t>
  </si>
  <si>
    <t>ΝΗΠΙΑΓΩΓΕΙΟ ΦΥΤΕΙΩΝ</t>
  </si>
  <si>
    <t>mail@nip-fyteion.ait.sch.gr</t>
  </si>
  <si>
    <t>ΦΥΤΕΙΕΣ ΞΗΡΟΜΕΡΟΥ</t>
  </si>
  <si>
    <t>2ο ΝΗΠΙΑΓΩΓΕΙΟ ΑΓΙΟΥ ΚΩΝΣΤΑΝΤΙΝΟΥ</t>
  </si>
  <si>
    <t>mail@2nip-ag-konst.ait.sch.gr</t>
  </si>
  <si>
    <t>ΑΡΓΥΡΟΚΑΣΤΡΟΥ 9</t>
  </si>
  <si>
    <t>ΓΟΥΡΙΩΤΙΣΣΗΣ</t>
  </si>
  <si>
    <t>ΔΗΜΟΤΙΚΟ ΣΧΟΛΕΙΟ ΓΟΥΡΙΩΤΙΣΣΑΣ</t>
  </si>
  <si>
    <t>mail@dim-gouriot.ait.sch.gr</t>
  </si>
  <si>
    <t>ΓΟΥΡΙΩΤΙΣΣΑΣ</t>
  </si>
  <si>
    <t>ΓΟΥΡΙΩΤΙΣΣΑ</t>
  </si>
  <si>
    <t>ΚΟΜΠΩΤΗΣ</t>
  </si>
  <si>
    <t>ΔΗΜΟΤΙΚΟ ΣΧΟΛΕΙΟ ΚΟΜΠΩΤΗΣ</t>
  </si>
  <si>
    <t>mail@dim-kompot.ait.sch.gr</t>
  </si>
  <si>
    <t>ΚΟΜΠΩΤΗ</t>
  </si>
  <si>
    <t>19ο ΔΗΜΟΤΙΚΟ ΣΧΟΛΕΙΟ ΑΓΡΙΝΙΟΥ</t>
  </si>
  <si>
    <t>mail@19dim-agrin.ait.sch.gr</t>
  </si>
  <si>
    <t>ΔΗΜΟΤΙΚΟ ΣΧΟΛΕΙΟ ΞΗΡΟΠΗΓΑΔΟΥ</t>
  </si>
  <si>
    <t>mail@dim-xirop.ait.sch.gr</t>
  </si>
  <si>
    <t>Ξηροπήγαδο</t>
  </si>
  <si>
    <t>ΔΗΜΟΤΙΚΟ ΣΧΟΛΕΙΟ ΤΡΙΚΟΡΦΟΥ</t>
  </si>
  <si>
    <t>mail@dim-trikorf.ait.sch.gr</t>
  </si>
  <si>
    <t>Τρίκορφο</t>
  </si>
  <si>
    <t>ΝΗΠΙΑΓΩΓΕΙΟ ΘΥΡΡΕΙΟΥ</t>
  </si>
  <si>
    <t>mail@nip-thyr.ait.sch.gr</t>
  </si>
  <si>
    <t>ΘΥΡΡΕΙΟΥ</t>
  </si>
  <si>
    <t>ΘΥΡΡΕΙΟ</t>
  </si>
  <si>
    <t>ΓΑΒΡΟΛΙΜΝΗΣ</t>
  </si>
  <si>
    <t>1ο ΔΗΜΟΤΙΚΟ ΣΧΟΛΕΙΟ ΓΑΒΡΟΛΙΜΝΗΣ</t>
  </si>
  <si>
    <t>mail@1dim-gavrol.ait.sch.gr</t>
  </si>
  <si>
    <t>ΓΑΥΡΟΛΙΜΝΗ</t>
  </si>
  <si>
    <t>ΝΗΠΙΑΓΩΓΕΙΟ ΚΑΡΑΙΣΚΑΚΗ</t>
  </si>
  <si>
    <t>mail@nip-karaisk.ait.sch.gr</t>
  </si>
  <si>
    <t>ΚΑΡΑΙΣΚΑΚΗ</t>
  </si>
  <si>
    <t>6dimagr@sch.gr</t>
  </si>
  <si>
    <t>Μεγάλης Χώρας Τέρμα</t>
  </si>
  <si>
    <t>2ο ΝΗΠΙΑΓΩΓΕΙΟ ΘΕΣΤΙΕΩΝ</t>
  </si>
  <si>
    <t>mail@2nip-thest.ait.sch.gr</t>
  </si>
  <si>
    <t>ΜΙΑΟΥΛΗ</t>
  </si>
  <si>
    <t>1ο ΔΗΜΟΤΙΚΟ ΣΧΟΛΕΙΟ ΔΑΦΝΗΣ</t>
  </si>
  <si>
    <t>mail@1dim-dafni.ait.sch.gr</t>
  </si>
  <si>
    <t>ΔΑΦΝΗ  ΝΑΥΠΑΚΤΙΑΣ</t>
  </si>
  <si>
    <t>Kάτω Δάφνη</t>
  </si>
  <si>
    <t>1ο ΔΗΜΟΤΙΚΟ ΣΧΟΛΕΙΟ ΝΑΥΠΑΚΤΟΥ</t>
  </si>
  <si>
    <t>mail@1dim-nafpakt.ait.sch.gr</t>
  </si>
  <si>
    <t>ΜΑΝΑΣΣΗ 4</t>
  </si>
  <si>
    <t>mail@2dim-mesol.ait.sch.gr</t>
  </si>
  <si>
    <t xml:space="preserve"> Ι.Π.ΜΕΣΟΛΟΓΓΙΟΥ</t>
  </si>
  <si>
    <t>7ο ΔΗΜΟΤΙΚΟ ΣΧΟΛΕΙΟ ΝΑΥΠΑΚΤΟΥ "ΜΙΧΑΗΛ ΘΕΡΒΑΝΤΕΣ"</t>
  </si>
  <si>
    <t>mail@7dim-nafpakt.ait.sch.gr</t>
  </si>
  <si>
    <t>ΘΕΡΜΟΥ 60</t>
  </si>
  <si>
    <t>7ο ΝΗΠΙΑΓΩΓΕΙΟ ΜΕΣΟΛΟΓΓΙΟΥ</t>
  </si>
  <si>
    <t>mail@7nip-mesol.ait.sch.gr</t>
  </si>
  <si>
    <t>ΑΓΡΙΛΙΑ</t>
  </si>
  <si>
    <t>ΝΗΠΙΑΓΩΓΕΙΟ ΓΑΒΑΛΟΥΣ</t>
  </si>
  <si>
    <t>mail@nip-gaval.ait.sch.gr</t>
  </si>
  <si>
    <t>ΝΗΠΙΑΓΩΓΕΙΟ ΜΑΛΕΣΙΑΔΑΣ</t>
  </si>
  <si>
    <t>mail@nip-males.ait.sch.gr</t>
  </si>
  <si>
    <t>ΜΑΛΕΣΙΑΔΑ ΒΑΛΤΟΥ</t>
  </si>
  <si>
    <t>ΜΕΝΙΔΙΟΥ</t>
  </si>
  <si>
    <t>ΝΗΠΙΑΓΩΓΕΙΟ ΜΕΝΙΔΙΟΥ</t>
  </si>
  <si>
    <t>mail@nip-menid.ait.sch.gr</t>
  </si>
  <si>
    <t>ΜΕΝΙΔΙ ΑΜΦΙΛΟΧΙΑΣ</t>
  </si>
  <si>
    <t>ΝΗΠΙΑΓΩΓΕΙΟ ΜΠΟΥΚΑΣ</t>
  </si>
  <si>
    <t>mail@nip-boukas.ait.sch.gr</t>
  </si>
  <si>
    <t>ΜΠΟΥΚΑΣ</t>
  </si>
  <si>
    <t>ΜΠΟΥΚΑ</t>
  </si>
  <si>
    <t>ΠΕΡΔΙΚΑΚΙΟΥ</t>
  </si>
  <si>
    <t>ΝΗΠΙΑΓΩΓΕΙΟ ΠΕΡΔΙΚΑΚΙΟΥ</t>
  </si>
  <si>
    <t>mail@nip-perdik.ait.sch.gr</t>
  </si>
  <si>
    <t>ΠΕΡΔΙΚΑΚΙ</t>
  </si>
  <si>
    <t>ΣΑΡΔΙΝΙΩΝ</t>
  </si>
  <si>
    <t>ΝΗΠΙΑΓΩΓΕΙΟ ΣΑΡΔΗΝΙΑ</t>
  </si>
  <si>
    <t>mail@nip-sardin.ait.sch.gr</t>
  </si>
  <si>
    <t>ΣΑΡΔΗΝΙΑ</t>
  </si>
  <si>
    <t>ΣΤΑΝΟΥ</t>
  </si>
  <si>
    <t>ΝΗΠΙΑΓΩΓΕΙΟ ΣΤΑΝΟΣ</t>
  </si>
  <si>
    <t>mail@nip-stanou.ait.sch.gr</t>
  </si>
  <si>
    <t>ΣΤΑΝΟΣ</t>
  </si>
  <si>
    <t>ΦΛΩΡΙΑΔΟΣ</t>
  </si>
  <si>
    <t>ΝΗΠΙΑΓΩΓΕΙΟ ΧΡΥΣΟΠΗΓΗΣ</t>
  </si>
  <si>
    <t>mail@nip-chrys.ait.sch.gr</t>
  </si>
  <si>
    <t>ΧΡΥΣΟΠΗΓΗ</t>
  </si>
  <si>
    <t>ΧΡΥΣΟΠΗΓΗ ΑΙΤΩΛΟΑΚΑΡΝΑΝΙΑΣ</t>
  </si>
  <si>
    <t>1ο ΝΗΠΙΑΓΩΓΕΙΟ ΚΑΤΟΥΝΑΣ</t>
  </si>
  <si>
    <t>mail@nip-katoun.ait.sch.gr</t>
  </si>
  <si>
    <t>ΒΡΟΥΒΙΑΝΩΝ</t>
  </si>
  <si>
    <t>ΝΗΠΙΑΓΩΓΕΙΟ ΒΡΟΥΒΙΑΝΑ</t>
  </si>
  <si>
    <t>mail@nip-vrouv.ait.sch.gr</t>
  </si>
  <si>
    <t>ΒΡΟΥΒΙΑΝΑ</t>
  </si>
  <si>
    <t>ΒΑΡΕΤΑΔΑ</t>
  </si>
  <si>
    <t>ΔΗΜΟΤΙΚΟ ΣΧΟΛΕΙΟ ΒΑΡΕΤΑΔΑΣ</t>
  </si>
  <si>
    <t>mail@dim-varet.ait.sch.gr</t>
  </si>
  <si>
    <t>ΒΑΡΕΤΑΔΑ ΑΜΦΙΛΟΧΙΑΣ</t>
  </si>
  <si>
    <t>ΝΗΠΙΑΓΩΓΕΙΟ ΑΡΧΟΝΤΟΧΩΡΙΟΥ</t>
  </si>
  <si>
    <t>mail@nip-archont.ait.sch.gr</t>
  </si>
  <si>
    <t>ΔΗΜΟΤΙΚΟ ΣΧΟΛΕΙΟ ΡΙΒΙΟΥ ΞΗΡΟΜΕΡΟΥ</t>
  </si>
  <si>
    <t>mail@dim-riviou.ait.sch.gr</t>
  </si>
  <si>
    <t>ΔΗΜΟΤΙΚΟ ΣΧΟΛΕΙΟ ΠΑΛΑΙΟΜΑΝΙΝΑΣ</t>
  </si>
  <si>
    <t>mail@dim-palaiom.ait.sch.gr</t>
  </si>
  <si>
    <t>ΔΗΜΟΤΙΚΟ ΣΧΟΛΕΙΟ ΓΡΑΜΜΑΤΙΚΟΥΣ</t>
  </si>
  <si>
    <t>mail@dim-gramm.ait.sch.gr</t>
  </si>
  <si>
    <t>Γραμματικού</t>
  </si>
  <si>
    <t>8ο ΔΗΜΟΤΙΚΟ ΣΧΟΛΕΙΟ ΑΓΡΙΝΙΟΥ</t>
  </si>
  <si>
    <t>mail@8dim-agrin.ait.sch.gr</t>
  </si>
  <si>
    <t>ΙΘΑΚΗΣ 3</t>
  </si>
  <si>
    <t>ΔΗΜΟΤΙΚΟ ΣΧΟΛΕΙΟ ΛΥΓΙΑ</t>
  </si>
  <si>
    <t>mail@dim-lygia.ait.sch.gr</t>
  </si>
  <si>
    <t>Λυγιάς,</t>
  </si>
  <si>
    <t>Λυγιά Ναυπάκτου</t>
  </si>
  <si>
    <t>18ο ΝΗΠΙΑΓΩΓΕΙΟ ΑΓΡΙΝΙΟΥ</t>
  </si>
  <si>
    <t>mail@18nip-agrin.ait.sch.gr</t>
  </si>
  <si>
    <t>ΗΡΩΩΝ ΠΟΛΥΤΕΧΝΕΙΟΥ 80</t>
  </si>
  <si>
    <t>ΒΑΡΝΑΚΑ</t>
  </si>
  <si>
    <t>ΝΗΠΙΑΓΩΓΕΙΟ ΒΑΡΝΑΚΑΣ</t>
  </si>
  <si>
    <t>mail@nip-varnak.ait.sch.gr</t>
  </si>
  <si>
    <t>ΒΑΡΝΑΚΑΣ</t>
  </si>
  <si>
    <t>mail@2dim-nafpakt.ait.sch.gr</t>
  </si>
  <si>
    <t>Ναύπακτος</t>
  </si>
  <si>
    <t>ΝΗΠΙΑΓΩΓΕΙΟ ΑΣΤΑΚΟΥ</t>
  </si>
  <si>
    <t>mail@nip-astak.ait.sch.gr</t>
  </si>
  <si>
    <t>ΔΗΜΟΤΙΚΟ ΣΧΟΛΕΙΟ  ΧΡΥΣΟΠΗΓΗΣ</t>
  </si>
  <si>
    <t>mail@dim-chrysop.ait.sch.gr</t>
  </si>
  <si>
    <t>ΔΗΜΟΤΙΚΟ ΣΧΟΛΕΙΟ ΒΡΟΥΒΙΑΝΩΝ</t>
  </si>
  <si>
    <t>mail@dim-vrouv.ait.sch.gr</t>
  </si>
  <si>
    <t>1ο ΔΗΜΟΤΙΚΟ ΣΧΟΛΕΙΟ ΑΜΦΙΛΟΧΙΑΣ</t>
  </si>
  <si>
    <t>mail@1dim-amfil.ait.sch.gr</t>
  </si>
  <si>
    <t>Γ. ΣΤΡΑΤΟΥ 696</t>
  </si>
  <si>
    <t>mail@6dim-nafpakt.ait.sch.gr</t>
  </si>
  <si>
    <t>ΟΔΟΣ ΓΥΜΝΑΣΙΟΥ-ΛΥΓΙΑΣ</t>
  </si>
  <si>
    <t>ΝΗΠΙΑΓΩΓΕΙΟ ΠΛΑΓΙΑΣ</t>
  </si>
  <si>
    <t>mail@nip-plagias.ait.sch.gr</t>
  </si>
  <si>
    <t>ΝΗΠΙΑΓΩΓΕΙΟ  ΜΟΝΑΣΤΗΡΑΚΙΟΥ</t>
  </si>
  <si>
    <t>mail@nip-monast.ait.sch.gr</t>
  </si>
  <si>
    <t>ΔΗΜΟΤΙΚΟ ΣΧΟΛΕΙΟ ΚΕΧΡΙΝΙΑΣ</t>
  </si>
  <si>
    <t>mail@dim-kechr.ait.sch.gr</t>
  </si>
  <si>
    <t>ΚΕΧΡΙΝΙΑ</t>
  </si>
  <si>
    <t>ΔΗΜΟΤΙΚΟ ΣΧΟΛΕΙΟ ΠΕΡΔΙΚΑΚΙΟΥ</t>
  </si>
  <si>
    <t>mail@dim-perdik.ait.sch.gr</t>
  </si>
  <si>
    <t>mail@dim-empes.ait.sch.gr</t>
  </si>
  <si>
    <t>mail@dim-males.ait.sch.gr</t>
  </si>
  <si>
    <t>ΔΗΜΟΤΙΚΟ ΣΧΟΛΕΙΟ ΜΠΟΥΚΑΣ</t>
  </si>
  <si>
    <t>mail@dim-boukas.ait.sch.gr</t>
  </si>
  <si>
    <t>mail@dim-antirr.ait.sch.gr</t>
  </si>
  <si>
    <t>Αντίρριo</t>
  </si>
  <si>
    <t>Κ. Κιτσοπάνου 12 / Αντίρριο</t>
  </si>
  <si>
    <t>ΣΠΑΡΤΟΥ</t>
  </si>
  <si>
    <t>ΔΗΜΟΤΙΚΟ ΣΧΟΛΕΙΟ ΣΠΑΡΤΟΥ</t>
  </si>
  <si>
    <t>mail@dim-spart.ait.sch.gr</t>
  </si>
  <si>
    <t>ΣΠΑΡΤΟ</t>
  </si>
  <si>
    <t>ΔΗΜΟΤΙΚΟ ΣΧΟΛΕΙΟ ΘΥΑΜΟΥ</t>
  </si>
  <si>
    <t>mail@dim-thyam.ait.sch.gr</t>
  </si>
  <si>
    <t>ΧΑΛΚΙΟΠΟΥΛΩΝ</t>
  </si>
  <si>
    <t>ΔΗΜΟΤΙΚΟ ΣΧΟΛΕΙΟ Ν.ΧΑΛΚΙΟΠΟΥΛΟΥ</t>
  </si>
  <si>
    <t>mail@dim-chalk.ait.sch.gr</t>
  </si>
  <si>
    <t>Ν. ΧΑΛΚΙΟΠΟΥΛΟ ΙΝΑΧΟΥ</t>
  </si>
  <si>
    <t>Ν. ΧΑΛΚΙΟΠΟΥΛΟ</t>
  </si>
  <si>
    <t>3ο ΔΗΜΟΤΙΚΟ ΣΧΟΛΕΙΟ ΝΑΥΠΑΚΤΟΥ</t>
  </si>
  <si>
    <t>mail@3dim-nafpakt.ait.sch.gr</t>
  </si>
  <si>
    <t>ΑΡΤΕΜΙΔΟΣ ΑΙΤΩΛΗΣ 2</t>
  </si>
  <si>
    <t>mail@3dim-amfil.ait.sch.gr</t>
  </si>
  <si>
    <t>ΑΓΙΟΥ ΑΘΑΝΑΣΙΟΥ  1</t>
  </si>
  <si>
    <t>ΔΗΜΟΤΙΚΟ ΣΧΟΛΕΙΟ ΜΕΝΙΔΙΟΥ ΑΙΤΩΛΟΑΚΑΡΝΑΝΙΑΣ</t>
  </si>
  <si>
    <t>mail@dim-menid.ait.sch.gr</t>
  </si>
  <si>
    <t>Δ.Δ ΜΕΝΙΔΙΟΥ - ΑΜΦΙΛΟΧΙΑΣ</t>
  </si>
  <si>
    <t>ΜΕΝΙΔΙ</t>
  </si>
  <si>
    <t>ΑΕΤΟΥ</t>
  </si>
  <si>
    <t>ΝΗΠΙΑΓΩΓΕΙΟ  ΑΕΤΟΥ</t>
  </si>
  <si>
    <t>mail@nip-aetou.ait.sch.gr</t>
  </si>
  <si>
    <t>ΑΕΤΟΣ</t>
  </si>
  <si>
    <t>ΑΕΤΟΣ ΔΗΜΟΥ ΑΚΤΙΟΥ-ΒΟΝΙΤΣΑΣ</t>
  </si>
  <si>
    <t>ΝΗΠΙΑΓΩΓΕΙΟ ΚΑΝΔΗΛΑΣ ΑΙΤΩΛΟΑΚΑΡΝΑΝΙΑΣ</t>
  </si>
  <si>
    <t>mail@nip-kandil.ait.sch.gr</t>
  </si>
  <si>
    <t>ΚΑΝΔΗΛΑ</t>
  </si>
  <si>
    <t>2ο ΔΗΜΟΤΙΚΟ ΣΧΟΛΕΙΟ ΑΜΦΙΛΟΧΙΑΣ</t>
  </si>
  <si>
    <t>mail@2dim-amfil.ait.sch.gr</t>
  </si>
  <si>
    <t>ΓΕΩΡΓΙΟΥ ΚΑΡΑΙΣΚΑΚΗ</t>
  </si>
  <si>
    <t>ΔΗΜΟΤΙΚΟ ΣΧΟΛΕΙΟ ΣΤΑΜΝΑΣ</t>
  </si>
  <si>
    <t>mail@dim-stamn.ait.sch.gr</t>
  </si>
  <si>
    <t>Σταμνά</t>
  </si>
  <si>
    <t>Σταμνά  Αιτωλικού</t>
  </si>
  <si>
    <t>ΠΑΛΙΑΜΠΕΛΩΝ</t>
  </si>
  <si>
    <t>ΝΗΠΙΑΓΩΓΕΙΟ ΠΑΛΙΑΜΠΕΛΩΝ</t>
  </si>
  <si>
    <t>mail@nip-paliamp.ait.sch.gr</t>
  </si>
  <si>
    <t>ΠΑΛΙΑΜΠΕΛΑ</t>
  </si>
  <si>
    <t>11ο ΔΗΜΟΤΙΚΟ ΣΧΟΛΕΙΟ ΑΓΡΙΝΙΟΥ</t>
  </si>
  <si>
    <t>mail@11dim-agrin.ait.sch.gr</t>
  </si>
  <si>
    <t>ΧΕΝΤΕΡΣΟΝ 39</t>
  </si>
  <si>
    <t>mail@dim-loutr.ait.sch.gr</t>
  </si>
  <si>
    <t>3ο ΝΗΠΙΑΓΩΓΕΙΟ ΒΟΝΙΤΣΑΣ</t>
  </si>
  <si>
    <t>mail@3nip-vonits.ait.sch.gr</t>
  </si>
  <si>
    <t>ΟΠΛΑΡΧΗΓΟΥ ΒΑΡΝΑΚΙΩΤΗ</t>
  </si>
  <si>
    <t>ΝΗΠΙΑΓΩΓΕΙΟ ΚΟΜΠΩΤΗΣ</t>
  </si>
  <si>
    <t>mail@nip-kompot.ait.sch.gr</t>
  </si>
  <si>
    <t>mail@dim-papad.ait.sch.gr</t>
  </si>
  <si>
    <t xml:space="preserve">Παπαδάτες , </t>
  </si>
  <si>
    <t>Παπαδάτες ,</t>
  </si>
  <si>
    <t>ΔΗΜΟΤΙΚΟ ΣΧΟΛΕΙΟ ΚΑΜΑΡΟΥΛΑΣ</t>
  </si>
  <si>
    <t>mail@dim-kamar.ait.sch.gr</t>
  </si>
  <si>
    <t>ΔΗΜΟΤΙΚΟ ΣΧΟΛΕΙΟ ΑΓΓΕΛΟΚΑΣΤΡΟΥ</t>
  </si>
  <si>
    <t>dimagelok@sch.gr</t>
  </si>
  <si>
    <t>ΑΓΓΕΛΟΚΑΣΤΡΟ ΑΓΡΙΝΙΟΥ</t>
  </si>
  <si>
    <t>ΔΗΜΟΤΙΚΟ ΣΧΟΛΕΙΟ ΒΑΡΝΑΚΑ</t>
  </si>
  <si>
    <t>mail@dim-varnak.ait.sch.gr</t>
  </si>
  <si>
    <t>ΔΗΜΟΤΙΚΟ ΣΧΟΛΕΙΟ ΑΜΟΡΓΙΑΝΩΝ</t>
  </si>
  <si>
    <t>mail@dim-amorg.ait.sch.gr</t>
  </si>
  <si>
    <t>ΕΛΛΗΝΙΚΩΝ</t>
  </si>
  <si>
    <t>ΔΗΜΟΤΙΚΟ ΣΧΟΛΕΙΟ  ΕΛΛΗΝΙΚΩΝ</t>
  </si>
  <si>
    <t>mail@dim-ellin.ait.sch.gr</t>
  </si>
  <si>
    <t>ΕΛΛΗΝΙΚΑ</t>
  </si>
  <si>
    <t>ΕΛΛΗΝΙΚΑ ΜΕΣΟΛΟΓΓΙΟΥ</t>
  </si>
  <si>
    <t>mail@5dim-nafpakt.ait.sch.gr</t>
  </si>
  <si>
    <t>mail@7dim-agrin.ait.sch.gr</t>
  </si>
  <si>
    <t>ΓΟΥΝΑΡΗ   &amp;  ΜΥΣΤΡΑ 1</t>
  </si>
  <si>
    <t>ΔΗΜΟΤΙΚΟ ΣΧΟΛΕΙΟ ΣΑΡΔΗΝΙΩΝ</t>
  </si>
  <si>
    <t>mail@dim-sardin.ait.sch.gr</t>
  </si>
  <si>
    <t>mail@dim-katoun.ait.sch.gr</t>
  </si>
  <si>
    <t>ΝΗΠΙΑΓΩΓΕΙΟ Ν.ΧΑΛΚΙΟΠΟΥΛΟ</t>
  </si>
  <si>
    <t>mail@nip-chalk.ait.sch.gr</t>
  </si>
  <si>
    <t>Ν.ΧΑΛΚΙΟΠΟΥΛΟ</t>
  </si>
  <si>
    <t>ΝΗΠΙΑΓΩΓΕΙΟ ΜΑΤΑΡΑΓΚΑ</t>
  </si>
  <si>
    <t>mail@nip-matar.ait.sch.gr</t>
  </si>
  <si>
    <t>1dimpan@sch.gr</t>
  </si>
  <si>
    <t>ΧΑΡΙΛΑΟΥ ΤΡΙΚΟΥΠΗ</t>
  </si>
  <si>
    <t>mail@2dim-panait.ait.sch.gr</t>
  </si>
  <si>
    <t>ΔΗΜΟΤΙΚΟ ΣΧΟΛΕΙΟ ΠΑΛΙΑΜΠΕΛΩΝ</t>
  </si>
  <si>
    <t>mail@dim-paliamp.ait.sch.gr</t>
  </si>
  <si>
    <t>3ο ΔΗΜΟΤΙΚΟ ΣΧΟΛΕΙΟ ΑΙΤΩΛΙΚΟΥ</t>
  </si>
  <si>
    <t>mail@3dim-aitol.ait.sch.gr</t>
  </si>
  <si>
    <t>Αιτωλικό</t>
  </si>
  <si>
    <t>ΔΡΥΜΟΥ</t>
  </si>
  <si>
    <t>ΔΗΜΟΤΙΚΟ ΣΧΟΛΕΙΟ ΔΡΥΜΟΥ</t>
  </si>
  <si>
    <t>mail@dim-drymou.ait.sch.gr</t>
  </si>
  <si>
    <t>ΔΡΥΜΟΣ</t>
  </si>
  <si>
    <t>Δρυμός</t>
  </si>
  <si>
    <t>mail@3dim-mesol.ait.sch.gr</t>
  </si>
  <si>
    <t>ΕΛΕΥΘΕΡΙΟΥ  ΒΕΝΙΖΕΛΟΥ 50</t>
  </si>
  <si>
    <t>ΝΗΠΙΑΓΩΓΕΙΟ ΓΑΥΡΟΛΙΜΝΗΣ</t>
  </si>
  <si>
    <t>mail@nip-chan.ait.sch.gr</t>
  </si>
  <si>
    <t xml:space="preserve"> ΓΑΥΡΟΛΙΜΝΗΣ</t>
  </si>
  <si>
    <t>ΔΗΜΟΤΙΚΟ ΣΧΟΛΕΙΟ ΚΑΝΔΗΛΑΣ</t>
  </si>
  <si>
    <t>mail@dim-kandil.ait.sch.gr</t>
  </si>
  <si>
    <t>mail@1dim-vonits.ait.sch.gr</t>
  </si>
  <si>
    <t>Γ. ΚΑΡΑΪΣΚΑΚΗ 1 ΚΑΙ Ν. ΣΤΡΑΤΟΥ</t>
  </si>
  <si>
    <t>4ο ΔΗΜΟΤΙΚΟ ΣΧΟΛΕΙΟ ΑΓΡΙΝΙΟΥ</t>
  </si>
  <si>
    <t>mail@4dim-agrin.ait.sch.gr</t>
  </si>
  <si>
    <t>ΠΑΝΟΥ ΣΟΥΛΟΥ 19</t>
  </si>
  <si>
    <t>ΝΗΠΙΑΓΩΓΕΙΟ ΠΟΤΑΜΟΥΛΑΣ</t>
  </si>
  <si>
    <t>mail@nip-potam.ait.sch.gr</t>
  </si>
  <si>
    <t>ΔΗΜΟΤΙΚΟ ΣΧΟΛΕΙΟ ΠΑΝΤΑΝΑΣΣΑΣ</t>
  </si>
  <si>
    <t>mail@dim-pantan.ait.sch.gr</t>
  </si>
  <si>
    <t>ΕΙΔΙΚΟ ΝΗΠΙΑΓΩΓΕΙΟ ΑΓΡΙΝΙΟΥ "ΜΑΡΙΑ ΔΗΜΑΔΗ"</t>
  </si>
  <si>
    <t>mail@nip-eid-agrin.ait.sch.gr</t>
  </si>
  <si>
    <t>ΠΕΖΟΔΡΟΜΟΣ ΜΑΝΔΗΛΑΡΑ 5</t>
  </si>
  <si>
    <t>14ο ΝΗΠΙΑΓΩΓΕΙΟ ΑΓΡΙΝΙΟΥ</t>
  </si>
  <si>
    <t>mail@14nip-agrin.ait.sch.gr</t>
  </si>
  <si>
    <t>ΒΟΪΔΟΛΙΒΑΔΟ</t>
  </si>
  <si>
    <t>mail@1dim-neapol.ait.sch.gr</t>
  </si>
  <si>
    <t>1ο ΝΗΠΙΑΓΩΓΕΙΟ ΝΕΑΠΟΛΗΣ</t>
  </si>
  <si>
    <t>mail@1nip-neapol.ait.sch.gr</t>
  </si>
  <si>
    <t>4ο ΝΗΠΙΑΓΩΓΕΙΟ ΝΕΑΠΟΛΗΣ ΑΙΤΩΛΟΑΚΑΡΝΑΝΙΑΣ</t>
  </si>
  <si>
    <t>mail@4nip-neapolis.ait.sch.gr</t>
  </si>
  <si>
    <t>ΝΕΑΠΟΛΗ ΑΙΤΩΛ/ΝΙΑΣ</t>
  </si>
  <si>
    <t>ΣΥΝ. ΜΕΓ. ΧΩΡΑΣ ΑΙΤΩΛ/ΝΙΑΣ</t>
  </si>
  <si>
    <t>ΑΓΙΟΥ ΘΩΜΑ</t>
  </si>
  <si>
    <t>mail@dim-ag-thoma.ait.sch.gr</t>
  </si>
  <si>
    <t>ΑΓΙΟΣ ΘΩΜΑΣ</t>
  </si>
  <si>
    <t>ΔΗΜΟΤΙΚΟ ΣΧΟΛΕΙΟ  ΓΑΛΑΤΑ</t>
  </si>
  <si>
    <t>mail@dim-galat.ait.sch.gr</t>
  </si>
  <si>
    <t>ΓΑΛΑΤΑΣ ΧΑΛΚΕΙΑΣ ΝΑΥΠΑΚΤΙΑΣ</t>
  </si>
  <si>
    <t>mail@dim-matar.ait.sch.gr</t>
  </si>
  <si>
    <t>ΜΑΤΑΡΑΓΚΑ ΑΓΡΙΝΙΟΥ</t>
  </si>
  <si>
    <t>ΝΗΠΙΑΓΩΓΕΙΟ ΑΓΙΟΥ ΘΩΜΑ</t>
  </si>
  <si>
    <t>mail@nip-ag-thoma.ait.sch.gr</t>
  </si>
  <si>
    <t>ΝΗΠΙΑΓΩΓΕΙΟ ΚΕΦΑΛΟΒΡΥΣΟΥ ΑΙΤΩΛΙΚΟΥ</t>
  </si>
  <si>
    <t>mail@nip-kefal.ait.sch.gr</t>
  </si>
  <si>
    <t>ΚΕΦΑΛΟΒΡΥΣΟΥ</t>
  </si>
  <si>
    <t>ΔΗΜΟΤΙΚΟ ΣΧΟΛΕΙΟ ΑΕΤΟΥ</t>
  </si>
  <si>
    <t>mail@dim-aetou.ait.sch.gr</t>
  </si>
  <si>
    <t>ΑΕΤΟΣ-ΞΗΡΟΜΕΡΟΥ</t>
  </si>
  <si>
    <t>ΝΗΠΙΑΓΩΓΕΙΟ ΑΓΙΟΥ ΝΙΚΟΛΑΟΥ ΒΟΝΙΤΣΑΣ</t>
  </si>
  <si>
    <t>mail@nip-ag-nikol.ait.sch.gr</t>
  </si>
  <si>
    <t>ΝΗΠΙΑΓΩΓΕΙΟ ΜΥΤΙΚΑ ΑΙΤΩΛΟΑΚΑΡΝΑΝΙΑΣ</t>
  </si>
  <si>
    <t>mail@nip-mytik.ait.sch.gr</t>
  </si>
  <si>
    <t>ΔΗΜΟΤΙΚΟ ΣΧΟΛΕΙΟ  ΣΤΑΝΟΥ</t>
  </si>
  <si>
    <t>mail@dim-stanou.ait.sch.gr</t>
  </si>
  <si>
    <t>ΔΗΜΟΤΙΚΟ ΣΧΟΛΕΙΟ ΑΓΙΟΥ ΓΕΩΡΓΙΟΥ</t>
  </si>
  <si>
    <t>mail@dim-ag-georg-mesol.ait.sch.gr</t>
  </si>
  <si>
    <t>ΝΗΠΙΑΓΩΓΕΙΟ ΚΥΨΕΛΗΣ</t>
  </si>
  <si>
    <t>mail@nip-kypsel.ait.sch.gr</t>
  </si>
  <si>
    <t>ΚΥΨΕΛΗ ΒΑΛΤΟΥ</t>
  </si>
  <si>
    <t>ΕΙΔΙΚΟ ΔΗΜΟΤΙΚΟ ΣΧΟΛΕΙΟ ΑΓΡΙΝΙΟΥ "ΜΑΡΙΑ ΔΗΜΑΔΗ"</t>
  </si>
  <si>
    <t>mail@dim-eid-agrin.ait.sch.gr</t>
  </si>
  <si>
    <t xml:space="preserve"> ΑΓΡΙΝΙΟ</t>
  </si>
  <si>
    <t>ΠΕΖΟΔΡΟΜΟΣ ΜΑΝΔΗΛΑΡΑ</t>
  </si>
  <si>
    <t>1ο ΕΙΔΙΚΟ ΝΗΠΙΑΓΩΓΕΙΟ ΑΓΡΙΝΙΟY</t>
  </si>
  <si>
    <t>mail@1nip-eid-agrin.ait.sch.gr</t>
  </si>
  <si>
    <t>ΕΙΔΙΚΟ ΔΗΜΟΤΙΚΟ ΣΧΟΛΕΙΟ ΒΟΝΙΤΣΑΣ</t>
  </si>
  <si>
    <t>mail@dim-eid-vonits.ait.sch.gr</t>
  </si>
  <si>
    <t>ΚΑΡΑΪΣΚΑΚΗ 1 - ΝΙΚΟΛΑΟΥ ΣΤΡΑΤΟΥ</t>
  </si>
  <si>
    <t>ΕΙΔΙΚΟ ΝΗΠΙΑΓΩΓΕΙΟ ΜΕΣΟΛΟΓΓΙΟΥ</t>
  </si>
  <si>
    <t>mail@nip-eid-mesol.ait.sch.gr</t>
  </si>
  <si>
    <t>ΕΙΔΙΚΟ ΝΗΠΙΑΓΩΓΕΙΟ ΝΑΥΠΑΚΤΟΥ</t>
  </si>
  <si>
    <t>mail@nip-eid-nafpakt.ait.sch.gr</t>
  </si>
  <si>
    <t>ΝΗΠΙΑΓΩΓΕΙΟ ΒΑΡΕΤΑΔΑ</t>
  </si>
  <si>
    <t>mail@nip-varetad.ait.sch.gr</t>
  </si>
  <si>
    <t>23ο ΝΗΠΙΑΓΩΓΕΙΟ ΑΓΡΙΝΙΟΥ</t>
  </si>
  <si>
    <t>mail@23nip-agrin.ait.sch.gr</t>
  </si>
  <si>
    <t>ΣΙΚΕΛΙΑΝΟΥ &amp; ΜΑΛΑΚΑΣΗ ΓΩΝΙΑ, ΘΕΣΗ ΡΟΥΠΑΚΙΑ</t>
  </si>
  <si>
    <t>ΝΗΠΙΑΓΩΓΕΙΟ  ΔΡΥΜΟΥ</t>
  </si>
  <si>
    <t>mail@nip-drymou.ait.sch.gr</t>
  </si>
  <si>
    <t>Νηπιαγωγείο Δρυμού</t>
  </si>
  <si>
    <t>ΝΗΠΙΑΓΩΓΕΙΟ ΚΥΠΑΡΙΣΣΟΥ</t>
  </si>
  <si>
    <t>ΚΥΠΑΡΙΣΣΟΣ ΑΙΤ/ΝΙΑΣ</t>
  </si>
  <si>
    <t>ΝΗΠΙΑΓΩΓΕΙΟ ΣΚΟΥΤΕΡΑΣ</t>
  </si>
  <si>
    <t>mail@nip-skout.ait.sch.gr</t>
  </si>
  <si>
    <t>ΝΗΠΙΑΓΩΓΕΙΟ ΤΡΥΦΟΥ</t>
  </si>
  <si>
    <t>mail@nip-tryfou.ait.sch.gr</t>
  </si>
  <si>
    <t>ΤΡΥΦΟΣ Δ.ΑΚΤΙΟΥ-ΒΟΝΙΤΣΑΣ</t>
  </si>
  <si>
    <t>Ειδικό Νηπιαγωγείο Βόνιτσας</t>
  </si>
  <si>
    <t>mail@nip-eid-vonits.ait.sch.gr</t>
  </si>
  <si>
    <t>Γ. ΚΑΡΑΪΣΚΑΚΗ 1 &amp; Ν. ΣΤΡΑΤΟΥ</t>
  </si>
  <si>
    <t>ΔΙΕΥΘΥΝΣΗ Π.Ε. ΑΧΑΪΑΣ</t>
  </si>
  <si>
    <t>ΝΗΠΙΑΓΩΓΕΙΟ ΨΩΦΙΔΑΣ</t>
  </si>
  <si>
    <t>mail@nip-psofid.ach.sch.gr</t>
  </si>
  <si>
    <t>ΨΩΦΙΔΑΣ</t>
  </si>
  <si>
    <t>ΨΩΦΙΔΑ</t>
  </si>
  <si>
    <t>ΝΗΠΙΑΓΩΓΕΙΟ ΑΓΙΟΥ ΒΑΣΙΛΕΙΟΥ</t>
  </si>
  <si>
    <t>mail@nip-ag-vasil.ach.sch.gr</t>
  </si>
  <si>
    <t>ΑΓ. ΒΑΣΙΛΕΙΟΥ ΠΑΤΡΩΝ</t>
  </si>
  <si>
    <t>ΟΜΗΡΟΥ 21</t>
  </si>
  <si>
    <t>mail@21dim-patras.ach.sch.gr</t>
  </si>
  <si>
    <t>Γ ΠΑΡΑΣΚΕΥΟΠΟΥΛΟΥ 1</t>
  </si>
  <si>
    <t>23ο ΝΗΠΙΑΓΩΓΕΙΟ ΠΑΤΡΩΝ</t>
  </si>
  <si>
    <t>mail@23nip-patras.ach.sch.gr</t>
  </si>
  <si>
    <t>ΘΕΟΤΟΚΟΠΟΥΛΟΥ 135</t>
  </si>
  <si>
    <t>mail@44dim-patras.ach.sch.gr</t>
  </si>
  <si>
    <t>ΠΑΤΡA</t>
  </si>
  <si>
    <t>ΑΡΙΣΤΟΤΕΛΟΥΣ ΚΑΙ ΝΙΚΟΜΑΧΟΥ</t>
  </si>
  <si>
    <t>mail@1dim-ovryas.ach.sch.gr</t>
  </si>
  <si>
    <t>Οβρυά</t>
  </si>
  <si>
    <t>ΝΙΚΟΛΑΟΥ ΝΤΕΒΕ 35</t>
  </si>
  <si>
    <t>1ο ΕΙΔΙΚΟ ΔΗΜΟΤΙΚΟ ΣΧΟΛΕΙΟ ΑΙΓΙΟΥ</t>
  </si>
  <si>
    <t>mail@1dim-eid-aigiou.ach.sch.gr</t>
  </si>
  <si>
    <t>ΠΑΡ.ΣΕΛΙΝΟΥΝΤΟΣ</t>
  </si>
  <si>
    <t>47ο ΔΗΜΟΤΙΚΟ ΣΧΟΛΕΙΟ ΠΑΤΡΩΝ</t>
  </si>
  <si>
    <t>mail@47dim-patras.ach.sch.gr</t>
  </si>
  <si>
    <t>ΜΙΧΑΗΛ ΣΟΥΤΣΟΥ 24</t>
  </si>
  <si>
    <t>ΣΥΜΠΟΛΙΤΕΙΑΣ</t>
  </si>
  <si>
    <t>ΣΕΛΙΑΝΙΤΙΚΩΝ</t>
  </si>
  <si>
    <t>ΔΗΜΟΤΙΚΟ ΣΧΟΛΕΙΟ ΣΕΛΙΑΝΙΤΙΚΩΝ</t>
  </si>
  <si>
    <t>mail@dim-selian.ach.sch.gr</t>
  </si>
  <si>
    <t>ΣΕΛΙΑΝΙΤΙΚΑ</t>
  </si>
  <si>
    <t>mail@53dim-patras.ach.sch.gr</t>
  </si>
  <si>
    <t>Παπαναστασίου &amp; Ευβοίας 30</t>
  </si>
  <si>
    <t>mail@4dim-aigiou.ach.sch.gr</t>
  </si>
  <si>
    <t>ΑΙΓΙΟ,</t>
  </si>
  <si>
    <t>ΠΑΡΟΔΟΣ ΠΑΥΛΟΥ ΜΕΛΑ</t>
  </si>
  <si>
    <t>39ο ΝΗΠΙΑΓΩΓΕΙΟ ΠΑΤΡΩΝ</t>
  </si>
  <si>
    <t>mail@39nip-patras.ach.sch.gr</t>
  </si>
  <si>
    <t>ΑΝΘΟΥΠΟΛΕΩΣ 90-ΠΑΤΡΑ</t>
  </si>
  <si>
    <t>mail@dim-sarav.ach.sch.gr</t>
  </si>
  <si>
    <t>Σαραβάλι</t>
  </si>
  <si>
    <t>Κεφαλοβρύσου 1 -ΣΑΡΑΒΑΛΙ ΠΑΤΡΩΝ</t>
  </si>
  <si>
    <t>mail@36dim-patras.ach.sch.gr</t>
  </si>
  <si>
    <t>Ταντάλου &amp; πάροδος ΒΘ69</t>
  </si>
  <si>
    <t>mail@41dim-patras.ach.sch.gr</t>
  </si>
  <si>
    <t>ΜΑΡΑΘΩΝΟΜΑΧΩΝ 40</t>
  </si>
  <si>
    <t>40ο ΝΗΠΙΑΓΩΓΕΙΟ ΠΑΤΡΩΝ</t>
  </si>
  <si>
    <t>mail@40nip-patras.ach.sch.gr</t>
  </si>
  <si>
    <t>ΙΩΑΝΝΟΥ ΔΑΜΑΣΚΗΝΟΥ 24</t>
  </si>
  <si>
    <t>ΔΡΕΠΑΝΟΥ</t>
  </si>
  <si>
    <t>ΔΗΜΟΤΙΚΟ ΣΧΟΛΕΙΟ ΔΡΕΠΑΝΟΥ</t>
  </si>
  <si>
    <t>mail@dim-drepan.ach.sch.gr</t>
  </si>
  <si>
    <t>ΔΡΕΠΑΝΟ</t>
  </si>
  <si>
    <t>ΚΟΙΜΗΣΕΩΣ ΘΕΟΤΟΚΟΥ 2</t>
  </si>
  <si>
    <t>mail@1dim-k-achaias.ach.sch.gr</t>
  </si>
  <si>
    <t>ΤΕΡΜΑ ΑΣΗΜΑΚΟΠΟΥΛΟΥ</t>
  </si>
  <si>
    <t>ΜΙΝΤΙΛΟΓΛΙΟΥ</t>
  </si>
  <si>
    <t>ΔΗΜΟΤΙΚΟ ΣΧΟΛΕΙΟ ΜΙΝΤΙΛΟΓΛΙΟΥ</t>
  </si>
  <si>
    <t>mail@dim-mintil.ach.sch.gr</t>
  </si>
  <si>
    <t>Μιντιλόγλι</t>
  </si>
  <si>
    <t>ΑΓ ΚΩΝΣΤΑΝΤΙΝΟΥ 86</t>
  </si>
  <si>
    <t>ΛΙΜΝΟΧΩΡΙΟΥ</t>
  </si>
  <si>
    <t>ΝΗΠΙΑΓΩΓΕΙΟ  ΑΡΑΞΟΥ</t>
  </si>
  <si>
    <t>mail@nip-araxou.ach.sch.gr</t>
  </si>
  <si>
    <t>ΑΕΡΟΔΡΟΜΙΟΥ ΑΡΑΞΟΥ</t>
  </si>
  <si>
    <t>116 ΠΜ ΑΡΑΞΟΥ</t>
  </si>
  <si>
    <t>mail@dim-dafnis.ach.sch.gr</t>
  </si>
  <si>
    <t>mail@dim-erymant.ach.sch.gr</t>
  </si>
  <si>
    <t>ΑΝΩ ΚΑΣΤΡΙΤΣΙΟΥ</t>
  </si>
  <si>
    <t>ΝΗΠΙΑΓΩΓΕΙΟ ΑΝΩ ΚΑΣΤΡΙΤΣΙΟΥ</t>
  </si>
  <si>
    <t>mail@nip-an-kastr.ach.sch.gr</t>
  </si>
  <si>
    <t>ΠΑΝΑΧΑΪΚΟΥ</t>
  </si>
  <si>
    <t>46ο ΔΗΜΟΤΙΚΟ ΣΧΟΛΕΙΟ ΠΑΤΡΩΝ</t>
  </si>
  <si>
    <t>mail@46dim-patras.ach.sch.gr</t>
  </si>
  <si>
    <t>ΣΚΕΠΑΣΤΟΥ</t>
  </si>
  <si>
    <t>ΔΗΜΟΤΙΚΟ ΣΧΟΛΕΙΟ ΣΚΕΠΑΣΤΟΥ</t>
  </si>
  <si>
    <t>mail@dim-skepast.ach.sch.gr</t>
  </si>
  <si>
    <t>ΣΚΕΠΑΣΤΟ</t>
  </si>
  <si>
    <t>mail@52dim-patras.ach.sch.gr</t>
  </si>
  <si>
    <t>ΟΥΡΑΝΟΥ 22 - ΚΡΥΑ ΙΤΕΩΝ</t>
  </si>
  <si>
    <t>mail@dim-ag-vasil.ach.sch.gr</t>
  </si>
  <si>
    <t>ʼγιος Βασίλειος</t>
  </si>
  <si>
    <t>16ο ΝΗΠΙΑΓΩΓΕΙΟ ΠΑΤΡΩΝ</t>
  </si>
  <si>
    <t>mail@16nip-patras.ach.sch.gr</t>
  </si>
  <si>
    <t>ΜΙΛΤΙΑΔΟΥ  38</t>
  </si>
  <si>
    <t>18ο ΔΗΜΟΤΙΚΟ ΣΧΟΛΕΙΟ ΠΑΤΡΩΝ</t>
  </si>
  <si>
    <t>mail@18dim-patras.ach.sch.gr</t>
  </si>
  <si>
    <t>ΘΟΥΚΥΔΙΔΟΥ ΚΑΙ ΠΕΡΣΕΦΟΝΗΣ</t>
  </si>
  <si>
    <t>mail@dim-riou.ach.sch.gr</t>
  </si>
  <si>
    <t>Ρίο,</t>
  </si>
  <si>
    <t>ΣΩΜΕΡΣΕΤ 125</t>
  </si>
  <si>
    <t>mail@45dim-patras.ach.sch.gr</t>
  </si>
  <si>
    <t>ʼγγγελου Σικελιανού 181</t>
  </si>
  <si>
    <t>54ο ΝΗΠΙΑΓΩΓΕΙΟ ΠΑΤΡΩΝ</t>
  </si>
  <si>
    <t>mail@54nip-patras.ach.sch.gr</t>
  </si>
  <si>
    <t>ΠΑΝΑΧΑΪΚΟΥ 51</t>
  </si>
  <si>
    <t>2ο ΔΗΜΟΤΙΚΟ ΣΧΟΛΕΙΟ ΠΑΡΑΛΙΑΣ</t>
  </si>
  <si>
    <t>2dimpara@sch.gr</t>
  </si>
  <si>
    <t>ΠΑΡΑΛΙΑ</t>
  </si>
  <si>
    <t>ΕΙΚΟΣΤΗΣ ΠΕΜΠΤΗΣ ΜΑΡΤΙΟΥ 71Α</t>
  </si>
  <si>
    <t>ΡΟΔΟΔΑΦΝΗΣ</t>
  </si>
  <si>
    <t>ΔΗΜΟΤΙΚΟ ΣΧΟΛΕΙΟ ΡΟΔΟΔΑΦΝΗΣ</t>
  </si>
  <si>
    <t>mail@dim-rodod.ach.sch.gr</t>
  </si>
  <si>
    <t>ΡΟΔΟΔΑΦΝΗ</t>
  </si>
  <si>
    <t>ΡΟΔΟΔΑΦΝΗ ΣΥΜΠΟΛΙΤΕΙΑΣ</t>
  </si>
  <si>
    <t>ΚΡΗΝΗΣ</t>
  </si>
  <si>
    <t>ΝΗΠΙΑΓΩΓΕΙΟ ΚΡΗΝΗΣ ΠΑΤΡΩΝ</t>
  </si>
  <si>
    <t>mail@nip-krinis.ach.sch.gr</t>
  </si>
  <si>
    <t>Κρήνη</t>
  </si>
  <si>
    <t>29ο ΔΗΜΟΤΙΚΟ ΣΧΟΛΕΙΟ ΠΑΤΡΑΣ</t>
  </si>
  <si>
    <t>mail@29dim-patras.ach.sch.gr</t>
  </si>
  <si>
    <t>ΑΜΑΖΟΝΩΝ 32</t>
  </si>
  <si>
    <t>ΑΠΙΔΕΩΝΟΣ</t>
  </si>
  <si>
    <t>ΔΗΜΟΤΙΚΟ ΣΧΟΛΕΙΟ ΑΠΙΔΕΩΝΑ</t>
  </si>
  <si>
    <t>mail@dim-apideon.ach.sch.gr</t>
  </si>
  <si>
    <t>Απιδεώνας</t>
  </si>
  <si>
    <t>ΕΙΔΙΚΟ ΔΗΜΟΤΙΚΟ ΣΧΟΛΕΙΟ ΠΑΤΡΑ - ΕΙΔΙΚΟ ΔΗΜΟΤΙΚΟ ΣΧΟΛΕΙΟ ΤΥΦΛΩΝ ΠΑΤΡΑΣ</t>
  </si>
  <si>
    <t>mail@dim-et-patras.ach.sch.gr</t>
  </si>
  <si>
    <t>ΔΗΜΟΤΙΚΟ ΣΧΟΛΕΙΟ ΛΙΜΝΟΧΩΡΙΟΥ</t>
  </si>
  <si>
    <t>mail@dim-limnoch.ach.sch.gr</t>
  </si>
  <si>
    <t>ΛΙΜΝΟΧΩΡΙ</t>
  </si>
  <si>
    <t>ΔΗΜΟΤΙΚΟ ΣΧΟΛΕΙΟ ΜΕΓΑΝΙΤΗ</t>
  </si>
  <si>
    <t>mail@dim-megan.ach.sch.gr</t>
  </si>
  <si>
    <t>ΜΕΓΑΝΙΤΗΣ</t>
  </si>
  <si>
    <t>ΟΙΚΙΣΜΟΣ ΤΣΙΓΓΑΝΩΝ</t>
  </si>
  <si>
    <t>8ο ΝΗΠΙΑΓΩΓΕΙΟ ΠΑΤΡΩΝ - ΠΕΛΕΚΑΝΟΣ</t>
  </si>
  <si>
    <t>mail@8nip-patras.ach.sch.gr</t>
  </si>
  <si>
    <t>ΑΘΗΝΩΝ 77</t>
  </si>
  <si>
    <t>mail@61dim-patras.ach.sch.gr</t>
  </si>
  <si>
    <t>ΝΗΠΙΑΓΩΓΕΙΟ ΔΙΑΚΟΠΤΟΥ</t>
  </si>
  <si>
    <t>mail@nip-diakopt.ach.sch.gr</t>
  </si>
  <si>
    <t>13ο ΝΗΠΙΑΓΩΓΕΙΟ ΠΑΤΡΩΝ - ΗΛΙΑΣ ΚΑΤΣΑΟΥΝΟΣ</t>
  </si>
  <si>
    <t>mail@13nip-patras.ach.sch.gr</t>
  </si>
  <si>
    <t>ΠΑΠΑΝΑΣΤΑΣΙΟΥ ΚΑΙ ΕΥΒΟΙΑΣ 30</t>
  </si>
  <si>
    <t>ΝΗΠΙΑΓΩΓΕΙΟ ΑΙΓΕΙΡΑΣ</t>
  </si>
  <si>
    <t>mail@nip-aigeir.ach.sch.gr</t>
  </si>
  <si>
    <t>ΜΑΡΜΑΡΑ ΑΙΓΕΙΡΑΣ  ΑΧΑΪΑΣ</t>
  </si>
  <si>
    <t>ΦΡΑΓΚΑΣ</t>
  </si>
  <si>
    <t>2/Θ ΔΗΜΟΤΙΚΟ ΣΧΟΛΕΙΟ ΦΡΑΓΚΑ</t>
  </si>
  <si>
    <t>mail@dim-fragk.ach.sch.gr</t>
  </si>
  <si>
    <t>ΦΡΑΓΚΑ</t>
  </si>
  <si>
    <t>ΚΑΤΩ ΑΧΑΙΑ</t>
  </si>
  <si>
    <t>ΣΑΝΤΟΜΕΡΙΟΥ</t>
  </si>
  <si>
    <t>ΔΗΜΟΤΙΚΟ ΣΧΟΛΕΙΟ ΣΑΝΤΟΜΕΡΙΟΥ</t>
  </si>
  <si>
    <t>mail@dim-santam.ach.sch.gr</t>
  </si>
  <si>
    <t>ΣΑΝΤΟΜΕΡΙ</t>
  </si>
  <si>
    <t>ΖΗΡΙΑΣ</t>
  </si>
  <si>
    <t>ΔΗΜΟΤΙΚΟ ΣΧΟΛΕΙΟ ΖΗΡΙΑΣ Γ ΚΟΥΤΣΟΧΕΡΑ</t>
  </si>
  <si>
    <t>mail@dim-zirias.ach.sch.gr</t>
  </si>
  <si>
    <t>31ο ΝΗΠΙΑΓΩΓΕΙΟ ΠΑΤΡΩΝ</t>
  </si>
  <si>
    <t>mail@31nip-patras.ach.sch.gr</t>
  </si>
  <si>
    <t>ΜΑΡΑΘΩΝΟΜΑΧΩΝ 38</t>
  </si>
  <si>
    <t>10ο ΝΗΠΙΑΓΩΓΕΙΟ ΠΑΤΡΩΝ</t>
  </si>
  <si>
    <t>mail@10nip-patras.ach.sch.gr</t>
  </si>
  <si>
    <t>ΓΕΡΜΑΝΟΥ 186</t>
  </si>
  <si>
    <t>ΠΕΤΡΟΧΩΡΙΟΥ</t>
  </si>
  <si>
    <t>ΔΗΜΟΤΙΚΟ ΣΧΟΛΕΙΟ ΚΑΡΥΑΣ</t>
  </si>
  <si>
    <t>mail@dim-karyas.ach.sch.gr</t>
  </si>
  <si>
    <t>ΚΑΡΥΑ</t>
  </si>
  <si>
    <t>ΚΑΡΥΑ ΔΗΜΟΥ ΔΥΤΙΚΗΣ ΑΧΑΙΑΣ</t>
  </si>
  <si>
    <t>mail@49dim-patras.ach.sch.gr</t>
  </si>
  <si>
    <t>ΠΑΡΟΔΟΣ ΑΥΣΤΡΑΛΙΑΣ 41</t>
  </si>
  <si>
    <t>mail@dim-riolou.ach.sch.gr</t>
  </si>
  <si>
    <t>ΡΙΟΛΟΣ</t>
  </si>
  <si>
    <t>ΨΑΘΟΠΥΡΓΟΥ</t>
  </si>
  <si>
    <t>ΔΗΜΟΤΙΚΟ ΣΧΟΛΕΙΟ ΨΑΘΟΠΥΡΓΟΥ</t>
  </si>
  <si>
    <t>mail@dim-psath.ach.sch.gr</t>
  </si>
  <si>
    <t>ΨΑΘΟΠΥΡΓΟΣ</t>
  </si>
  <si>
    <t>ΔΡΟΣΙΝΗ 11</t>
  </si>
  <si>
    <t>ΑΡΑΧΟΒΙΤΙΚΩΝ</t>
  </si>
  <si>
    <t>ΝΗΠΙΑΓΩΓΕΙΟ ΑΡΑΧΩΒΙΤΙΚΩΝ</t>
  </si>
  <si>
    <t>mail@nip-arach.ach.sch.gr</t>
  </si>
  <si>
    <t>ΑΡΑΧΩΒΙΤΙΚΩΝ</t>
  </si>
  <si>
    <t>ΑΡΑΧΩΒΙΤΙΚΑ ΡΙΟΥ</t>
  </si>
  <si>
    <t>mail@dim-farron.ach.sch.gr</t>
  </si>
  <si>
    <t>ΦΑΡΡΕΣ</t>
  </si>
  <si>
    <t>ΔΗΜΟΤΙΚΟ ΣΧΟΛΕΙΟ ΣΚΙΑΔΑ</t>
  </si>
  <si>
    <t>mail@dim-skiad.ach.sch.gr</t>
  </si>
  <si>
    <t>Σκιαδάς Αχαϊας</t>
  </si>
  <si>
    <t>2ο ΝΗΠΙΑΓΩΓΕΙΟ ΚΑΤΩ ΑΧΑΪΑΣ</t>
  </si>
  <si>
    <t>mail@2nip-kat-achaias.ach.sch.gr</t>
  </si>
  <si>
    <t>Κ ΑΧΑΪΑΣ</t>
  </si>
  <si>
    <t>ΑΓΙΑΣ ΤΡΙΑΔΟΣ 21</t>
  </si>
  <si>
    <t>12ο ΝΗΠΙΑΓΩΓΕΙΟ ΠΑΤΡΩΝ</t>
  </si>
  <si>
    <t>mail@12nip-patras.ach.sch.gr</t>
  </si>
  <si>
    <t>ΓΕΡΜΑΝΟΥ 184</t>
  </si>
  <si>
    <t>ΒΕΛΙΤΣΩΝ</t>
  </si>
  <si>
    <t>ΝΗΠΙΑΓΩΓΕΙΟ ΒΕΛΙΤΣΩΝ</t>
  </si>
  <si>
    <t>mail@nip-velits.ach.sch.gr</t>
  </si>
  <si>
    <t>ΒΕΛΙΤΣΕΣ</t>
  </si>
  <si>
    <t>ΔΗΜΟΤΙΚΟ ΣΧΟΛΕΙΟ ΒΕΛΙΤΣΩΝ</t>
  </si>
  <si>
    <t>mail@dim-k-velits.ach.sch.gr</t>
  </si>
  <si>
    <t>ΚΟΥΛΟΥΡΑΣ</t>
  </si>
  <si>
    <t>ΝΗΠΙΑΓΩΓΕΙΟ ΚΟΥΛΟΥΡΑΣ</t>
  </si>
  <si>
    <t>mail@nip-koulour.ach.sch.gr</t>
  </si>
  <si>
    <t>Μ.ΤΑΞΙΑΡΧΩΝ  62 ΚΟΥΛΟΥΡΑ ΑΙΓΙΟΥ</t>
  </si>
  <si>
    <t>ΝΗΠΙΑΓΩΓΕΙΟ ΜΙΝΤΙΛΟΓΛΙΟΥ</t>
  </si>
  <si>
    <t>mail@nip-mintil.ach.sch.gr</t>
  </si>
  <si>
    <t>ΛΟΥΚΟΠΟΥΛΟΥ</t>
  </si>
  <si>
    <t>ΕΛΙΚΙΣΤΡΑΣ</t>
  </si>
  <si>
    <t>72ο ΝΗΠΙΑΓΩΓΕΙΟ ΠΑΤΡΩΝ</t>
  </si>
  <si>
    <t>mail@72nip-patras.ach.sch.gr</t>
  </si>
  <si>
    <t>ΡΩΜΑΝΟΣ</t>
  </si>
  <si>
    <t>dimkalav@sch.gr</t>
  </si>
  <si>
    <t>Καλάβρυτα</t>
  </si>
  <si>
    <t>ΜΕΓΑΛΟΥ ΣΠΗΛΑΙΟΥ 13</t>
  </si>
  <si>
    <t>ΜΙΧΟΪΟΥ</t>
  </si>
  <si>
    <t>ΔΗΜΟΤΙΚΟ ΣΧΟΛΕΙΟ ΜΙΧΟΪΟΥ</t>
  </si>
  <si>
    <t>mail@dim-michoiou.ach.sch.gr</t>
  </si>
  <si>
    <t>ΜΙΧΟΪ</t>
  </si>
  <si>
    <t>ΜΙΧΟΪ ΚΑΤΩ ΑΧΑΪΑΣ</t>
  </si>
  <si>
    <t>22ο ΝΗΠΙΑΓΩΓΕΙΟ ΠΑΤΡΩΝ</t>
  </si>
  <si>
    <t>mail@22nip-patras.ach.sch.gr</t>
  </si>
  <si>
    <t>Γ. ΠΑΡΑΣΚΕΥΟΠΟΥΛΟΥ 1</t>
  </si>
  <si>
    <t>ΝΙΚΟΛΑΙΙΚΩΝ</t>
  </si>
  <si>
    <t>ΝΗΠΙΑΓΩΓΕΙΟ ΝΙΚΟΛΕΪΚΩΝ</t>
  </si>
  <si>
    <t>mail@nip-nikol.ach.sch.gr</t>
  </si>
  <si>
    <t>ΝΙΚΟΛΕΪΚΩΝ</t>
  </si>
  <si>
    <t>ΝΙΚΟΛΕΪΚΑ</t>
  </si>
  <si>
    <t>ΚΑΤΩ ΑΛΙΣΣΟΥ</t>
  </si>
  <si>
    <t>ΝΗΠΙΑΓΩΓΕΙΟ ΚΑΤΩ ΑΛΙΣΣΟΥ</t>
  </si>
  <si>
    <t>mail@nip-kat-aliss.ach.sch.gr</t>
  </si>
  <si>
    <t>ΚΑΤΩ ΑΛΙΣΣΟΣ</t>
  </si>
  <si>
    <t>mail@26dim-patras.ach.sch.gr</t>
  </si>
  <si>
    <t>Αγίας Σοφίας 37</t>
  </si>
  <si>
    <t>48ο ΔΗΜΟΤΙΚΟ ΣΧΟΛΕΙΟ ΠΑΤΡΩΝ</t>
  </si>
  <si>
    <t>mail@48dim-patras.ach.sch.gr</t>
  </si>
  <si>
    <t>ΑΧΕΡΟΝΤΑ 8</t>
  </si>
  <si>
    <t>27ο ΝΗΠΙΑΓΩΓΕΙΟ ΠΑΤΡΩΝ</t>
  </si>
  <si>
    <t>mail@27nip-patras.ach.sch.gr</t>
  </si>
  <si>
    <t>ΣΤΡΟΦΑΔΩΝ ΚΑΙ Ρ ΚΩΧ</t>
  </si>
  <si>
    <t>37ο ΝΗΠΙΑΓΩΓΕΙΟ ΠΑΤΡΩΝ</t>
  </si>
  <si>
    <t>mail@37nip-patras.ach.sch.gr</t>
  </si>
  <si>
    <t>ΚΑΛΑΒΡΥΤΩΝ ΚΑΙ ΝΙΚΑΙΑΣ 2</t>
  </si>
  <si>
    <t>ΝΗΠΙΑΓΩΓΕΙΟ ΚΑΜΑΡΩΝ</t>
  </si>
  <si>
    <t>mail@nip-kamar.ach.sch.gr</t>
  </si>
  <si>
    <t>55ο ΝΗΠΙΑΓΩΓΕΙΟ ΠΑΤΡΩΝ</t>
  </si>
  <si>
    <t>mail@55nip-patras.ach.sch.gr</t>
  </si>
  <si>
    <t>ΔΩΔΩΝΗΣ 33</t>
  </si>
  <si>
    <t>61ο ΝΗΠΙΑΓΩΓΕΙΟ ΠΑΤΡΩΝ</t>
  </si>
  <si>
    <t>mail@61nip-patras.ach.sch.gr</t>
  </si>
  <si>
    <t>ΚΟΜΝΗΝΩΝ ΚΑΙ ΒΕΤΣΟΥ</t>
  </si>
  <si>
    <t>ΝΗΠΙΑΓΩΓΕΙΟ ΡΟΔΟΔΑΦΝΗΣ</t>
  </si>
  <si>
    <t>mail@nip-rodod.ach.sch.gr</t>
  </si>
  <si>
    <t xml:space="preserve">ΡΟΔΟΔΑΦΝΗΣ </t>
  </si>
  <si>
    <t>ΡΟΔΟΔΑΦΝΗ ΣΥΜΠΟΛΙΤΕΙΑΣ ΑΙΓΙΑΛΕΙΑΣ</t>
  </si>
  <si>
    <t>21ο ΝΗΠΙΑΓΩΓΕΙΟ ΠΑΤΡΩΝ</t>
  </si>
  <si>
    <t>mail@21nip-patras.ach.sch.gr</t>
  </si>
  <si>
    <t>ΣΑΜΟΘΡΑΚΗΣ ΚΑΙ ΔΑΦΝΗΣ</t>
  </si>
  <si>
    <t>ΝΗΠΙΑΓΩΓΕΙΟ ΣΕΛΙΑΝΙΤΙΚΩΝ</t>
  </si>
  <si>
    <t>mail@nip-selian.ach.sch.gr</t>
  </si>
  <si>
    <t>mail@dim-lakkop.ach.sch.gr</t>
  </si>
  <si>
    <t>ΛΑΚΚΟΠΕΤΡΑ</t>
  </si>
  <si>
    <t>ΤΕΜΕΝΗΣ</t>
  </si>
  <si>
    <t>ΝΗΠΙΑΓΩΓΕΙΟ ΤΕΜΕΝΗΣ</t>
  </si>
  <si>
    <t>mail@nip-temen.ach.sch.gr</t>
  </si>
  <si>
    <t>ΤΕΜΕΝΗ</t>
  </si>
  <si>
    <t>ΤΕΜΕΝΗ ΑΙΓΙΟΥ</t>
  </si>
  <si>
    <t>ΝΗΠΙΑΓΩΓΕΙΟ ΑΒΥΘΟΥ</t>
  </si>
  <si>
    <t>mail@nip-avyth.ach.sch.gr</t>
  </si>
  <si>
    <t>ΑΒΥΘΟΣ ΑΙΓΙΑΛΕΙΑΣ</t>
  </si>
  <si>
    <t>ΝΗΠΙΑΓΩΓΕΙΟ ΣΤΑΥΡΟΔΡΟΜΙΟΥ</t>
  </si>
  <si>
    <t>mail@nip-stavr.ach.sch.gr</t>
  </si>
  <si>
    <t>ΣΤΑΥΡΟΔΡΟΜΙ</t>
  </si>
  <si>
    <t>1ο ΝΗΠΙΑΓΩΓΕΙΟ ΑΚΡΑΤΑΣ</t>
  </si>
  <si>
    <t>mail@1nip-akrat.ach.sch.gr</t>
  </si>
  <si>
    <t>Ολοήμερο Πειραματικό Νηπιαγωγείο ενταγμένο στο Πανεπιστήμιο</t>
  </si>
  <si>
    <t>ΠΕΙΡΑΜΑΤΙΚΟ ΝΗΠΙΑΓΩΓΕΙΟ ΠΑΝΕΠΙΣΤΗΜΙΟΥ ΠΑΤΡΩΝ (ΜΗ ΕΝΤΑΓΜΕΝΟ ΣΕ ΠΑΙΔΑΓΩΓΙΚΟ ΤΜΗΜΑ)</t>
  </si>
  <si>
    <t>mail@nip-aei-patras.ach.sch.gr</t>
  </si>
  <si>
    <t>ΠΑΝΕΠΙΣΤΗΜΙΟ ΠΑΤΡΩΝ</t>
  </si>
  <si>
    <t>dimsagei@sch.gr</t>
  </si>
  <si>
    <t>Σαγέικα</t>
  </si>
  <si>
    <t>ΣΑΓΕΪΚΑ</t>
  </si>
  <si>
    <t>ΚΡΑΘΙΟΥ</t>
  </si>
  <si>
    <t>2ο ΝΗΠΙΑΓΩΓΕΙΟ ΑΚΡΑΤΑΣ</t>
  </si>
  <si>
    <t>mail@2nip-akrat.ach.sch.gr</t>
  </si>
  <si>
    <t>ΛΕΩΦΟΡΟΣ ΑΙΓΑΙΟΥ 14</t>
  </si>
  <si>
    <t>5ο ΝΗΠΙΑΓΩΓΕΙΟ ΠΑΤΡΩΝ</t>
  </si>
  <si>
    <t>mail@5nip-patras.ach.sch.gr</t>
  </si>
  <si>
    <t>ΠΑΝΤΟΚΡΑΤΟΡΟΣ 3</t>
  </si>
  <si>
    <t>6ο ΝΗΠΙΑΓΩΓΕΙΟ ΠΑΤΡΩΝ</t>
  </si>
  <si>
    <t>mail@6nip-patras.ach.sch.gr</t>
  </si>
  <si>
    <t>Ρ ΦΕΡΑΙΟΥ ΚΑΙ ΣΑΤΩΒΡΙΑΝΔΟΥ 20</t>
  </si>
  <si>
    <t>60ο ΔΗΜΟΤΙΚΟ ΣΧΟΛΕΙΟ ΠΑΤΡΩΝ</t>
  </si>
  <si>
    <t>mail@60dim-patras.ach.sch.gr</t>
  </si>
  <si>
    <t>ΤΕΡΜΑ ΑΝΤΙΓΟΝΗΣ- ΖΑΡΟΥΧΛΕΪΚΑ</t>
  </si>
  <si>
    <t>22ο ΔΗΜΟΤΙΚΟ ΣΧΟΛΕΙΟ ΠΑΤΡΩΝ</t>
  </si>
  <si>
    <t>mail@22dim-patras.ach.sch.gr</t>
  </si>
  <si>
    <t>ΛΕΥΚΑΣ 149</t>
  </si>
  <si>
    <t>1ο ΝΗΠΙΑΓΩΓΕΙΟ ΔΕΜΕΝΙΚΩΝ</t>
  </si>
  <si>
    <t>mail@1nip-demen.ach.sch.gr</t>
  </si>
  <si>
    <t>ΔΕΜΕΝΙΚΩΝ</t>
  </si>
  <si>
    <t>Κ ΒΑΡΝΑΛΗ  ΔΕΜΕΝΙΚΑ 26</t>
  </si>
  <si>
    <t>ΒΑΣΙΛΙΚΟΥ</t>
  </si>
  <si>
    <t>ΔΗΜΟΤΙΚΟ ΣΧΟΛΕΙΟ ΒΑΣΙΛΙΚΟΥ ΑΧΑΪΑΣ</t>
  </si>
  <si>
    <t>mail@dim-vasil.ach.sch.gr</t>
  </si>
  <si>
    <t>ΒΑΣΙΛΙΚΟ</t>
  </si>
  <si>
    <t>ΒΑΣΙΛΙΚΟ ΦΑΡΡΩΝ</t>
  </si>
  <si>
    <t>ΝΗΠΙΑΓΩΓΕΙΟ ΦΑΡΡΩΝ</t>
  </si>
  <si>
    <t>mail@nip-farron.ach.sch.gr</t>
  </si>
  <si>
    <t>mail@55dim-patras.ach.sch.gr</t>
  </si>
  <si>
    <t>ΑΘΩ 18</t>
  </si>
  <si>
    <t>mail@25dim-patras.ach.sch.gr</t>
  </si>
  <si>
    <t>ΜΑΡΑΓΚΟΠΟΥΛΟΥ 30</t>
  </si>
  <si>
    <t>ΣΕΛΛΩΝ</t>
  </si>
  <si>
    <t>ΔΗΜΟΤΙΚΟ ΣΧΟΛΕΙΟ ΣΕΛΛΩΝ</t>
  </si>
  <si>
    <t>mail@dim-sellon.ach.sch.gr</t>
  </si>
  <si>
    <t>ΣΕΛΛΑ</t>
  </si>
  <si>
    <t>ΝΗΠΙΑΓΩΓΕΙΟ ΡΙΟΛΟΥ</t>
  </si>
  <si>
    <t>mail@nip-riolou.ach.sch.gr</t>
  </si>
  <si>
    <t>ΡΙΟΛΟΣ ΚΑΤΩ ΑΧΑΪΑΣ</t>
  </si>
  <si>
    <t>1ο ΝΗΠΙΑΓΩΓΕΙΟ ΑΙΓΙΟΥ</t>
  </si>
  <si>
    <t>mail@1nip-aigiou.ach.sch.gr</t>
  </si>
  <si>
    <t>ΟΘΩΝΟΣ 43</t>
  </si>
  <si>
    <t>2ο ΝΗΠΙΑΓΩΓΕΙΟ ΑΙΓΙΟΥ</t>
  </si>
  <si>
    <t>mail@2nip-aigiou.ach.sch.gr</t>
  </si>
  <si>
    <t>ΚΟΥΤΑΛΗΣ 24, ΑΙΓΙΟ</t>
  </si>
  <si>
    <t>ΑΚΤΑΙΟΥ</t>
  </si>
  <si>
    <t>ΔΗΜΟΤΙΚΟ ΣΧΟΛΕΙΟ ΑΚΤΑΙΟΥ</t>
  </si>
  <si>
    <t>mail@dim-aktaiou.ach.sch.gr</t>
  </si>
  <si>
    <t>ΑΚΤΑΙΟ</t>
  </si>
  <si>
    <t>ΑΓΙΑΣ ΒΑΡΒΑΡΑΣ 10</t>
  </si>
  <si>
    <t>3ο ΝΗΠΙΑΓΩΓΕΙΟ ΑΙΓΙΟΥ</t>
  </si>
  <si>
    <t>mail@3nip-aigiou.ach.sch.gr</t>
  </si>
  <si>
    <t>Π. ΧΑΡΑΛΑΜΠΟΥΣ 3</t>
  </si>
  <si>
    <t>ΝΗΠΙΑΓΩΓΕΙΟ ΚΑΡΥΑΣ</t>
  </si>
  <si>
    <t>mail@nip-karya.ach.sch.gr</t>
  </si>
  <si>
    <t>ΚΑΡΥΑΣ</t>
  </si>
  <si>
    <t>ΚΑΡΥΑ ΑΧΑΪΑΣ</t>
  </si>
  <si>
    <t>mail@5dim-aigiou.ach.sch.gr</t>
  </si>
  <si>
    <t>ΠΡΟΠΟΝΤΙΔΟΣ 2</t>
  </si>
  <si>
    <t>ΕΛΑΙΩΝΟΣ</t>
  </si>
  <si>
    <t>ΔΗΜΟΤΙΚΟ ΣΧΟΛΕΙΟ ΕΛΑΙΩΝΑ ΑΙΓΙΑΛΕΙΑΣ</t>
  </si>
  <si>
    <t>mail@dim-elaion.ach.sch.gr</t>
  </si>
  <si>
    <t>ΕΛΑΙΩΝ</t>
  </si>
  <si>
    <t>ΕΛΑΙΩΝ ΔΗΜΟΥ ΑΙΓΙΑΛΕΙΑΣ</t>
  </si>
  <si>
    <t>6ο ΔΗΜΟΤΙΚΟ ΣΧΟΛΕΙΟ ΠΑΤΡΩΝ</t>
  </si>
  <si>
    <t>mail@6dim-patras.ach.sch.gr</t>
  </si>
  <si>
    <t>ΣΟΛΩΜΟΥ 57</t>
  </si>
  <si>
    <t>54ο ΔΗΜΟΤΙΚΟ ΣΧΟΛΕΙΟ ΠΑΤΡΩΝ</t>
  </si>
  <si>
    <t>mail@54dim-patras.ach.sch.gr</t>
  </si>
  <si>
    <t>4ο ΝΗΠΙΑΓΩΓΕΙΟ ΑΙΓΙΟΥ</t>
  </si>
  <si>
    <t>mail@4nip-aigiou.ach.sch.gr</t>
  </si>
  <si>
    <t>ΔΩΔΩΝΗΣ 3</t>
  </si>
  <si>
    <t>5ο ΝΗΠΙΑΓΩΓΕΙΟ ΑΙΓΙΟΥ</t>
  </si>
  <si>
    <t>mail@5nip-aigiou.ach.sch.gr</t>
  </si>
  <si>
    <t>ΠΑΡΟΔΟΣ ΣΕΛΙΝΟΥΝΤΟΣ</t>
  </si>
  <si>
    <t>8ο ΝΗΠΙΑΓΩΓΕΙΟ ΑΙΓΙΟΥ</t>
  </si>
  <si>
    <t>mail@8nip-aigiou.ach.sch.gr</t>
  </si>
  <si>
    <t>ΡΟΔΩΝ 13</t>
  </si>
  <si>
    <t>10ο ΝΗΠΙΑΓΩΓΕΙΟ ΑΙΓΙΟΥ</t>
  </si>
  <si>
    <t>mail@10nip-aigiou.ach.sch.gr</t>
  </si>
  <si>
    <t>ΣΩΤΗΡΙΟΥ ΛΟΝΤΟΥ 17</t>
  </si>
  <si>
    <t>2ο ΝΗΠΙΑΓΩΓΕΙΟ ΠΑΡΑΛΙΑΣ</t>
  </si>
  <si>
    <t>mail@2nip-paral.ach.sch.gr</t>
  </si>
  <si>
    <t>ΕΙΚΟΣΤΗΣ ΠΕΜΠΤΗΣ ΜΑΡΤΙΟΥ 71A</t>
  </si>
  <si>
    <t>11ο ΝΗΠΙΑΓΩΓΕΙΟ ΑΙΓΙΟΥ</t>
  </si>
  <si>
    <t>mail@11nip-aigiou.ach.sch.gr</t>
  </si>
  <si>
    <t>ΑΓΙΟΣ ΑΘΑΝΑΣΙΟΣ ΑΙΓΙΟΥ</t>
  </si>
  <si>
    <t>52ο ΝΗΠΙΑΓΩΓΕΙΟ ΠΑΤΡΩΝ</t>
  </si>
  <si>
    <t>mail@52nip-patras.ach.sch.gr</t>
  </si>
  <si>
    <t>12ο ΝΗΠΙΑΓΩΓΕΙΟ ΑΙΓΙΟΥ</t>
  </si>
  <si>
    <t>mail@12nip-aigiou.ach.sch.gr</t>
  </si>
  <si>
    <t>ΚΥΚΛΑΔΩΝ ΤΕΡΜΑ - ΜΥΡΤΙΑ</t>
  </si>
  <si>
    <t>ΡΟΓΙΤΙΚΩΝ</t>
  </si>
  <si>
    <t>ΔΗΜΟΤΙΚΟ ΣΧΟΛΕΙΟ ΡΟΪΤΙΚΩΝ</t>
  </si>
  <si>
    <t>mail@dim-roitik.ach.sch.gr</t>
  </si>
  <si>
    <t>Ροΐτικα</t>
  </si>
  <si>
    <t>Κ. Παπαγιάννη 61</t>
  </si>
  <si>
    <t>15ο ΝΗΠΙΑΓΩΓΕΙΟ ΠΑΤΡΩΝ</t>
  </si>
  <si>
    <t>mail@15nip-patras.ach.sch.gr</t>
  </si>
  <si>
    <t>ΜΑΙΖΩΝΟΣ 26</t>
  </si>
  <si>
    <t>ΝΗΠΙΑΓΩΓΕΙΟ ΚΑΛΑΒΡΥΤΩΝ</t>
  </si>
  <si>
    <t>mail@nip-kalavr.ach.sch.gr</t>
  </si>
  <si>
    <t>ΜΕΓ ΣΠΗΛΑΙΟΥ 13</t>
  </si>
  <si>
    <t>ΣΑΛΜΕΝΙΚΟΥ</t>
  </si>
  <si>
    <t>ΔΗΜΟΤΙΚΟ ΣΧΟΛΕΙΟ ΣΑΛΜΕΝΙΚΟΥ</t>
  </si>
  <si>
    <t>mail@dim-salmen.ach.sch.gr</t>
  </si>
  <si>
    <t>ΣΑΛΜΕΝΙΚΟ,</t>
  </si>
  <si>
    <t>ΣΑΛΜΕΝΙΚΟ ΕΡΙΝΕΟΥ</t>
  </si>
  <si>
    <t>17ο ΝΗΠΙΑΓΩΓΕΙΟ ΠΑΤΡΩΝ</t>
  </si>
  <si>
    <t>mail@17nip-patras.ach.sch.gr</t>
  </si>
  <si>
    <t>ΠΛΑΤΕΙΑ ΑΝΔΡΟΥΤΣΟΥ 97</t>
  </si>
  <si>
    <t>mail@10dim-patras.ach.sch.gr</t>
  </si>
  <si>
    <t>ΚΟΡΙΝΘΟΥ 335</t>
  </si>
  <si>
    <t>mail@35dim-patras.ach.sch.gr</t>
  </si>
  <si>
    <t>ΑΝΘΕΜΙΟΥ 2</t>
  </si>
  <si>
    <t>33ο ΝΗΠΙΑΓΩΓΕΙΟ ΠΑΤΡΩΝ</t>
  </si>
  <si>
    <t>mail@33nip-patras.ach.sch.gr</t>
  </si>
  <si>
    <t>ΠΑΠΑΦΛΕΣΣΑ 32</t>
  </si>
  <si>
    <t>8ο ΔΗΜΟΤΙΚΟ ΣΧΟΛΕΙΟ ΑΙΓΙΟΥ</t>
  </si>
  <si>
    <t>mail@8dim-aigiou.ach.sch.gr</t>
  </si>
  <si>
    <t>Αίγιο,</t>
  </si>
  <si>
    <t>ΜΥΡΤΙΑ ΑΙΓΙΟΥ</t>
  </si>
  <si>
    <t>ΚΑΓΚΑΔΙΟΥ</t>
  </si>
  <si>
    <t>ΝΗΠΙΑΓΩΓΕΙΟ ΚΑΓΚΑΔΙΟΥ</t>
  </si>
  <si>
    <t>mail@nip-kagkad.ach.sch.gr</t>
  </si>
  <si>
    <t>ΚΑΓΚΑΔΙ ΚΑΤΩ ΑΧΑΪΑΣ</t>
  </si>
  <si>
    <t>1ο ΝΗΠΙΑΓΩΓΕΙΟ ΠΑΡΑΛΙΑΣ</t>
  </si>
  <si>
    <t>mail@1nip-paral.ach.sch.gr</t>
  </si>
  <si>
    <t>ΑΚΑΔΑΝΤΑ 1</t>
  </si>
  <si>
    <t>ΝΗΠΙΑΓΩΓΕΙΟ ΕΡΥΜΑΝΘΕΙΑΣ</t>
  </si>
  <si>
    <t>mail@nip-erymanth.ach.sch.gr</t>
  </si>
  <si>
    <t>ΝΗΠΙΑΓΩΓΕΙΟ ΑΚΤΑΙΟΥ</t>
  </si>
  <si>
    <t>mail@nip-aktaiou.ach.sch.gr</t>
  </si>
  <si>
    <t>ΑΓΙΑΣ ΒΑΡΒΑΡΑΣ  ΑΚΤΑΙΟ 48</t>
  </si>
  <si>
    <t>ΧΑΪΚΑΛΙΟΥ</t>
  </si>
  <si>
    <t>ΔΗΜΟΤΙΚΟ ΣΧΟΛΕΙΟ ΧΑΪΚΑΛΙΟΥ</t>
  </si>
  <si>
    <t>mail@dim-chaik.ach.sch.gr</t>
  </si>
  <si>
    <t>ΧΑΪΚΑΛΙ</t>
  </si>
  <si>
    <t>6ο ΔΗΜΟΤΙΚΟ ΣΧΟΛΕΙΟ ΑΙΓΙΟΥ</t>
  </si>
  <si>
    <t>mail@6dim-aigiou.ach.sch.gr</t>
  </si>
  <si>
    <t>ΑΙΓΙΟ ΑΧΑΪΑΣ</t>
  </si>
  <si>
    <t>mail@5dim-patras.ach.sch.gr</t>
  </si>
  <si>
    <t>Γ ΟΛΥΜΠΙΟΥ 89</t>
  </si>
  <si>
    <t>18ο ΝΗΠΙΑΓΩΓΕΙΟ ΠΑΤΡΩΝ</t>
  </si>
  <si>
    <t>mail@18nip-patras.ach.sch.gr</t>
  </si>
  <si>
    <t>ΚΥΠΡΟΥ ΚΑΙ ΔΟΪΡΑΝΗΣ 36</t>
  </si>
  <si>
    <t>20ο ΝΗΠΙΑΓΩΓΕΙΟ ΠΑΤΡΩΝ</t>
  </si>
  <si>
    <t>mail@20nip-patras.ach.sch.gr</t>
  </si>
  <si>
    <t>ΑΓΙΟΥ ΚΩΝΣΤΑΝΤΙΝΟΥ 21</t>
  </si>
  <si>
    <t>25ο ΝΗΠΙΑΓΩΓΕΙΟ ΠΑΤΡΩΝ</t>
  </si>
  <si>
    <t>mail@25nip-patras.ach.sch.gr</t>
  </si>
  <si>
    <t>ΠΛΑΤΕΙΑ ΠΑΝΤΟΚΡΑΤΟΡΑ 49</t>
  </si>
  <si>
    <t>26ο ΝΗΠΙΑΓΩΓΕΙΟ ΠΑΤΡΩΝ</t>
  </si>
  <si>
    <t>mail@26nip-patras.ach.sch.gr</t>
  </si>
  <si>
    <t>29ο ΝΗΠΙΑΓΩΓΕΙΟ ΠΑΤΡΩΝ</t>
  </si>
  <si>
    <t>mail@29nip-patras.ach.sch.gr</t>
  </si>
  <si>
    <t>ΑΙΟΛΟΥ 50</t>
  </si>
  <si>
    <t>30ο ΝΗΠΙΑΓΩΓΕΙΟ ΠΑΤΡΩΝ</t>
  </si>
  <si>
    <t>mail@30nip-patras.ach.sch.gr</t>
  </si>
  <si>
    <t>34ο ΝΗΠΙΑΓΩΓΕΙΟ ΠΑΤΡΩΝ</t>
  </si>
  <si>
    <t>mail@34nip-patras.ach.sch.gr</t>
  </si>
  <si>
    <t>ΑΛΦΕΙΟΥ 6- 8</t>
  </si>
  <si>
    <t>35ο ΝΗΠΙΑΓΩΓΕΙΟ ΠΑΤΡΩΝ</t>
  </si>
  <si>
    <t>mail@35nip-patras.ach.sch.gr</t>
  </si>
  <si>
    <t>ΤΕΡΜΑ ΝΟΡΜΑΝ</t>
  </si>
  <si>
    <t>41ο ΝΗΠΙΑΓΩΓΕΙΟ ΠΑΤΡΩΝ</t>
  </si>
  <si>
    <t>mail@41nip-patras.ach.sch.gr</t>
  </si>
  <si>
    <t>ΡΑΓΚΑΒΗ 18</t>
  </si>
  <si>
    <t>38ο ΝΗΠΙΑΓΩΓΕΙΟ ΠΑΤΡΩΝ</t>
  </si>
  <si>
    <t>mail@38nip-patras.ach.sch.gr</t>
  </si>
  <si>
    <t>ΘΕΟΦΡΑΣΤΟΥ ΚΑΙ ΠΛΟΥΤΑΡΧΟΥ</t>
  </si>
  <si>
    <t>ΝΗΠΙΑΓΩΓΕΙΟ ΛΙΜΝΟΧΩΡΙΟΥ</t>
  </si>
  <si>
    <t>mail@nip-limnoch.ach.sch.gr</t>
  </si>
  <si>
    <t>ΛΙΜΝΟΧΩΡΙ ΑΧΑΪΑΣ</t>
  </si>
  <si>
    <t>ΝΗΠΙΑΓΩΓΕΙΟ ΑΠΙΔΕΩΝΑ</t>
  </si>
  <si>
    <t>mail@nip-apideon.ach.sch.gr</t>
  </si>
  <si>
    <t>ΑΠΙΔΕΩΝΑ</t>
  </si>
  <si>
    <t>ΑΠΙΔΕΩΝΑΣ N. ΑΧΑΪΑΣ</t>
  </si>
  <si>
    <t>43ο ΝΗΠΙΑΓΩΓΕΙΟ ΠΑΤΡΩΝ</t>
  </si>
  <si>
    <t>mail@43nip-patras.ach.sch.gr</t>
  </si>
  <si>
    <t>ΑΡΕΘΑ  128</t>
  </si>
  <si>
    <t>49ο ΝΗΠΙΑΓΩΓΕΙΟ ΠΑΤΡΩΝ</t>
  </si>
  <si>
    <t>mail@49nip-patras.ach.sch.gr</t>
  </si>
  <si>
    <t>ΑΡΗΤΗΣ 1</t>
  </si>
  <si>
    <t>53ο ΝΗΠΙΑΓΩΓΕΙΟ ΠΑΤΡΩΝ</t>
  </si>
  <si>
    <t>mail@53nip-patras.ach.sch.gr</t>
  </si>
  <si>
    <t>ΑΜΕΡΙΚΗΣ 8</t>
  </si>
  <si>
    <t>65ο ΝΗΠΙΑΓΩΓΕΙΟ ΠΑΤΡΩΝ</t>
  </si>
  <si>
    <t>mail@65nip-patras.ach.sch.gr</t>
  </si>
  <si>
    <t>ΑΓΙΟΥ ΔΗΜΗΤΡΙΟΥ ΣΚΙΟΕΣΣΑΣ 318</t>
  </si>
  <si>
    <t>mail@14dim-patras.ach.sch.gr</t>
  </si>
  <si>
    <t>ΑΚΤΗ ΔΥΜΑΙΩΝ 51</t>
  </si>
  <si>
    <t>28ο ΝΗΠΙΑΓΩΓΕΙΟ ΠΑΤΡΩΝ</t>
  </si>
  <si>
    <t>mail@28nip-patras.ach.sch.gr</t>
  </si>
  <si>
    <t>ΠΑΡΟΔ.ΑΡΙΣΤΟΤΕΛΟΥΣ</t>
  </si>
  <si>
    <t>ΝΗΠΙΑΓΩΓΕΙΟ ΕΛΑΙΩΝΑ</t>
  </si>
  <si>
    <t>mail@nip-elaion.ach.sch.gr</t>
  </si>
  <si>
    <t>ΕΛΑΙΩΝΑΣ</t>
  </si>
  <si>
    <t>ΕΛΑΙΩΝΑΣ ΔΙΑΚΟΠΤΟΥ</t>
  </si>
  <si>
    <t>3ο ΔΗΜΟΤΙΚΟ ΣΧΟΛΕΙΟ ΠΑΤΡΩΝ</t>
  </si>
  <si>
    <t>mail@3dim-patras.ach.sch.gr</t>
  </si>
  <si>
    <t>ΝΗΠΙΑΓΩΓΕΙΟ ΨΑΘΟΠΥΡΓΟΥ</t>
  </si>
  <si>
    <t>mail@nip-psath.ach.sch.gr</t>
  </si>
  <si>
    <t>2ο ΝΗΠΙΑΓΩΓΕΙΟ ΡΙΟΥ</t>
  </si>
  <si>
    <t>mail@2nip-riou.ach.sch.gr</t>
  </si>
  <si>
    <t>ΛΕΩΝΙΔΑ ΠΕΤΜΕΖΑ ΚΑΙ ΟΜΗΡΟΥ</t>
  </si>
  <si>
    <t>ΝΗΠΙΑΓΩΓΕΙΟ ΣΚΙΑΔΑ</t>
  </si>
  <si>
    <t>mail@nip-skiada.ach.sch.gr</t>
  </si>
  <si>
    <t>ΝΗΠΙΑΓΩΓΕΙΟ ΣΑΓΑΙΙΚΩΝ</t>
  </si>
  <si>
    <t>mail@nip-sageik.ach.sch.gr</t>
  </si>
  <si>
    <t>ΣΑΓΑΙΙΚΑ</t>
  </si>
  <si>
    <t>ΚΑΡΑΙΙΚΩΝ</t>
  </si>
  <si>
    <t>ΝΗΠΙΑΓΩΓΕΙΟ ΚΑΡΑΙΙΚΩΝ</t>
  </si>
  <si>
    <t>mail@nip-kareik.ach.sch.gr</t>
  </si>
  <si>
    <t>ΚΑΡΑΙΙΚΑ ΑΧΑΪΑΣ</t>
  </si>
  <si>
    <t>50ο ΝΗΠΙΑΓΩΓΕΙΟ ΠΑΤΡΩΝ</t>
  </si>
  <si>
    <t>mail@50nip-patras.ach.sch.gr</t>
  </si>
  <si>
    <t>ΣΟΥΛΙΟΥ</t>
  </si>
  <si>
    <t>70ο ΝΗΠΙΑΓΩΓΕΙΟ ΠΑΤΡΩΝ</t>
  </si>
  <si>
    <t>mail@70nip-patras.ach.sch.gr</t>
  </si>
  <si>
    <t>ΠΑΝΑΧΑΪΚΟΥ ΤΕΡΜΑ</t>
  </si>
  <si>
    <t>ΝΗΠΙΑΓΩΓΕΙΟ ΦΡΑΓΚΑ</t>
  </si>
  <si>
    <t>mail@nip-fragk.ach.sch.gr</t>
  </si>
  <si>
    <t>2ο ΝΗΠΙΑΓΩΓΕΙΟ ΟΒΡΥΑΣ</t>
  </si>
  <si>
    <t>mail@2nip-ovryas.ach.sch.gr</t>
  </si>
  <si>
    <t>ΕΛΕΥΘ ΒΕΝΙΖΕΛΟΥ ΟΒΡΥΑ 1-3</t>
  </si>
  <si>
    <t>7ο ΝΗΠΙΑΓΩΓΕΙΟ ΠΑΤΡΩΝ - ΓΕΩΡΓΑΚΗΣ ΟΛΥΜΠΙΟΣ</t>
  </si>
  <si>
    <t>mail@7nip-patras.ach.sch.gr</t>
  </si>
  <si>
    <t>ΠΑΝΑΧΑΪΚΟΥ 39</t>
  </si>
  <si>
    <t>62ο ΝΗΠΙΑΓΩΓΕΙΟ ΠΑΤΡΩΝ</t>
  </si>
  <si>
    <t>mail@62nip-patras.ach.sch.gr</t>
  </si>
  <si>
    <t>ΠΑΡΜΕΝΙΔΟΥ 12</t>
  </si>
  <si>
    <t>2ο ΝΗΠΙΑΓΩΓΕΙΟ ΠΑΤΡΩΝ</t>
  </si>
  <si>
    <t>mail@2nip-patras.ach.sch.gr</t>
  </si>
  <si>
    <t>ΤΕΡΜΑ ΠΟΝΤΟΥ</t>
  </si>
  <si>
    <t>ΝΗΠΙΑΓΩΓΕΙΟ ΡΟΪΤΙΚΩΝ</t>
  </si>
  <si>
    <t>mail@nip-roitik.ach.sch.gr</t>
  </si>
  <si>
    <t>ΡΟΪΤΙΚΩΝ</t>
  </si>
  <si>
    <t>ΡΟΪΤΙΚΑ</t>
  </si>
  <si>
    <t>ΚΑΜΙΝΙΩΝ</t>
  </si>
  <si>
    <t>ΝΗΠΙΑΓΩΓΕΙΟ ΚΑΜΙΝΙΩΝ</t>
  </si>
  <si>
    <t>mail@nip-kamin.ach.sch.gr</t>
  </si>
  <si>
    <t>ΠΑΤΡΩΝ ΠΥΡΓΟΥ 607</t>
  </si>
  <si>
    <t>ΝΗΠΙΑΓΩΓΕΙΟ ΛΑΚΚΟΠΕΤΡΑΣ</t>
  </si>
  <si>
    <t>mail@nip-lakkop.ach.sch.gr</t>
  </si>
  <si>
    <t>1ο ΝΗΠΙΑΓΩΓΕΙΟ ΟΒΡΥΑΣ</t>
  </si>
  <si>
    <t>mail@1nip-ovryas.ach.sch.gr</t>
  </si>
  <si>
    <t>Ν.ΝΤΕΒΕ 35</t>
  </si>
  <si>
    <t>14ο ΝΗΠΙΑΓΩΓΕΙΟ ΠΑΤΡΩΝ</t>
  </si>
  <si>
    <t>mail@14nip-patras.ach.sch.gr</t>
  </si>
  <si>
    <t>Μ. ΣΟΥΤΣΟΥ 24</t>
  </si>
  <si>
    <t>ΝΗΠΙΑΓΩΓΕΙΟ ΜΙΧΟΪΟΥ</t>
  </si>
  <si>
    <t>mail@nip-michoiou.ach.sch.gr</t>
  </si>
  <si>
    <t>ΝΗΠΙΑΓΩΓΕΙΟ ΛΟΥΣΙΚΩΝ</t>
  </si>
  <si>
    <t>mail@nip-lousik.ach.sch.gr</t>
  </si>
  <si>
    <t>ΛΟΥΣΙΚΑ ΚΑΤΩ ΑΧΑΪΑΣ</t>
  </si>
  <si>
    <t>mail@11dim-patras.ach.sch.gr</t>
  </si>
  <si>
    <t>ΝΗΠΙΑΓΩΓΕΙΟ ΜΑΥΡΟΜΑΝΔΗΛΑΣ</t>
  </si>
  <si>
    <t>mail@nip-mavrom.ach.sch.gr</t>
  </si>
  <si>
    <t>ΜΑΥΡΟΜΑΝΔΗΛΑ</t>
  </si>
  <si>
    <t>ΑΓΙΟΥ ΑΘΑΝΑΣΙΟΥ 1</t>
  </si>
  <si>
    <t>ΝΗΠΙΑΓΩΓΕΙΟ ΜΑΤΑΡΑΓΚΑ ΑΧΑΙΑΣ</t>
  </si>
  <si>
    <t>mail@nip-matar.ach.sch.gr</t>
  </si>
  <si>
    <t>3ο ΝΗΠΙΑΓΩΓΕΙΟ ΠΑΡΑΛΙΑΣ</t>
  </si>
  <si>
    <t>mail@3nip-paral.ach.sch.gr</t>
  </si>
  <si>
    <t>Aθανασίου Αναγνωστόπουλου Εργατικές Kατοικίες  ΠΑΡΑΛΙΑ ΠΑΤΡΩΝ</t>
  </si>
  <si>
    <t>58ο ΝΗΠΙΑΓΩΓΕΙΟ ΠΑΤΡΩΝ</t>
  </si>
  <si>
    <t>mail@58nip-patras.ach.sch.gr</t>
  </si>
  <si>
    <t>ΘΟΥΚΥΔΙΔΟΥ Κ ΠΕΡΣΕΦΟΝΗΣ</t>
  </si>
  <si>
    <t>mail@dim-demen.ach.sch.gr</t>
  </si>
  <si>
    <t>ΖΑΛΟΓΓΟΥ 21</t>
  </si>
  <si>
    <t>11ο ΝΗΠΙΑΓΩΓΕΙΟ ΠΑΤΡΩΝ</t>
  </si>
  <si>
    <t>mail@11nip-patras.ach.sch.gr</t>
  </si>
  <si>
    <t>ΙΤΙΕΣ</t>
  </si>
  <si>
    <t>ΠΑΡΟΔΟΣ ΤΑΝΤΑΛΟΥ 69 ΒΘ</t>
  </si>
  <si>
    <t>32ο ΝΗΠΙΑΓΩΓΕΙΟ ΠΑΤΡΩΝ</t>
  </si>
  <si>
    <t>mail@32nip-patras.ach.sch.gr</t>
  </si>
  <si>
    <t>24ο ΝΗΠΙΑΓΩΓΕΙΟ ΠΑΤΡΩΝ</t>
  </si>
  <si>
    <t>mail@24nip-patras.ach.sch.gr</t>
  </si>
  <si>
    <t>ΚΡΕΣΤΕΝΩΝ 14</t>
  </si>
  <si>
    <t>3ο ΝΗΠΙΑΓΩΓΕΙΟ ΟΒΡΥΑΣ</t>
  </si>
  <si>
    <t>mail@3nip-ovryas.ach.sch.gr</t>
  </si>
  <si>
    <t>ΗΛΕΙΑΣ 182</t>
  </si>
  <si>
    <t>ΝΗΠΙΑΓΩΓΕΙΟ ΚΑΤΩ ΚΑΣΤΡΙΤΣΙΟΥ</t>
  </si>
  <si>
    <t>mail@nip-ka-kastr.ach.sch.gr</t>
  </si>
  <si>
    <t>ΚΥΠΡΟΥ</t>
  </si>
  <si>
    <t>ΑΡΛΑΣ</t>
  </si>
  <si>
    <t>ΝΗΠΙΑΓΩΓΕΙΟ ΑΡΛΑΣ</t>
  </si>
  <si>
    <t>mail@nip-arlas.ach.sch.gr</t>
  </si>
  <si>
    <t>ΑΡΛΑ</t>
  </si>
  <si>
    <t>59ο ΝΗΠΙΑΓΩΓΕΙΟ ΠΑΤΡΩΝ</t>
  </si>
  <si>
    <t>mail@59nip-patras.ach.sch.gr</t>
  </si>
  <si>
    <t>ΙΩΑΝΝΗ ΒΙΤΣΑΡΗ 6</t>
  </si>
  <si>
    <t>ΑΓΙΟΥ ΝΙΚΟΛΑΟΥ ΣΠΑΤΩΝ</t>
  </si>
  <si>
    <t>ΔΗΜΟΤΙΚΟ ΣΧΟΛΕΙΟ ΑΓΙΟΥ ΝΙΚΟΛΑΟΥ ΣΠΑΤΩΝ</t>
  </si>
  <si>
    <t>mail@dim-ag-nikol.ach.sch.gr</t>
  </si>
  <si>
    <t>ʼγιος Νικόλαος Σπάτα</t>
  </si>
  <si>
    <t>'Αγιος Νικόλαος Σπάτων</t>
  </si>
  <si>
    <t>56ο ΝΗΠΙΑΓΩΓΕΙΟ ΠΑΤΡΩΝ</t>
  </si>
  <si>
    <t>mail@56nip-patras.ach.sch.gr</t>
  </si>
  <si>
    <t>ΝΑΥΜΑΧΙΑΣ ΕΛΛΗΣ 89</t>
  </si>
  <si>
    <t>ΝΗΠΙΑΓΩΓΕΙΟ ΚΑΤΩ ΜΑΖΑΡΑΚΙΟΥ</t>
  </si>
  <si>
    <t>mail@nip-kat-mazar.ach.sch.gr</t>
  </si>
  <si>
    <t>ΚΑΤΩ ΜΑΖΑΡΑΚΙΟΥ</t>
  </si>
  <si>
    <t>4ο ΝΗΠΙΑΓΩΓΕΙΟ ΠΑΤΡΩΝ</t>
  </si>
  <si>
    <t>mail@4nip-patras.ach.sch.gr</t>
  </si>
  <si>
    <t>19ο ΝΗΠΙΑΓΩΓΕΙΟ ΠΑΤΡΩΝ</t>
  </si>
  <si>
    <t>mail@19nip-patras.ach.sch.gr</t>
  </si>
  <si>
    <t>ΑΧΑΪΚΗΣ ΣΥΜΠΟΛΙΤΕΙΑΣ 42</t>
  </si>
  <si>
    <t>ΤΣΟΥΚΑΛΑΙΙΚΩΝ</t>
  </si>
  <si>
    <t>ΝΗΠΙΑΓΩΓΕΙΟ ΤΣΟΥΚΑΛΑΙΙΚΩΝ</t>
  </si>
  <si>
    <t>mail@nip-tsoukal.ach.sch.gr</t>
  </si>
  <si>
    <t>ΤΣΟΥΚΑΛΑΙΙΚΑ</t>
  </si>
  <si>
    <t>9ο ΝΗΠΙΑΓΩΓΕΙΟ ΠΑΤΡΩΝ</t>
  </si>
  <si>
    <t>mail@9nip-patras.ach.sch.gr</t>
  </si>
  <si>
    <t>ΜΑΤΡΩΖΟΥ 12</t>
  </si>
  <si>
    <t>73ο ΝΗΠΙΑΓΩΓΕΙΟ ΠΑΤΡΩΝ</t>
  </si>
  <si>
    <t>mail@73nip-patras.ach.sch.gr</t>
  </si>
  <si>
    <t>Γ ΘΕΟΧΑΡΗ ΖΑΡΟΥΧΛΕΪΚΑ 2</t>
  </si>
  <si>
    <t>45ο ΝΗΠΙΑΓΩΓΕΙΟ ΠΑΤΡΩΝ</t>
  </si>
  <si>
    <t>mail@45nip-patras.ach.sch.gr</t>
  </si>
  <si>
    <t>ΠΡΕΣΠΑΣ 17</t>
  </si>
  <si>
    <t>1ο ΝΗΠΙΑΓΩΓΕΙΟ ΠΑΤΡΩΝ</t>
  </si>
  <si>
    <t>mail@1nip-patras.ach.sch.gr</t>
  </si>
  <si>
    <t>ΑΓΙΑΣ ΤΡΙΑΔΟΣ 70</t>
  </si>
  <si>
    <t>44ο ΝΗΠΙΑΓΩΓΕΙΟ ΠΑΤΡΩΝ</t>
  </si>
  <si>
    <t>mail@44nip-patras.ach.sch.gr</t>
  </si>
  <si>
    <t>4ο ΝΗΠΙΑΓΩΓΕΙΟ ΠΑΡΑΛΙΑΣ ΠΑΤΡΩΝ</t>
  </si>
  <si>
    <t>mail@4nip-paral.ach.sch.gr</t>
  </si>
  <si>
    <t>ΙΩΑΝΝΙΝΩΝ-ΑΝΑΠΑΥΣΕΩΣ</t>
  </si>
  <si>
    <t>51ο ΝΗΠΙΑΓΩΓΕΙΟ ΠΑΤΡΩΝ</t>
  </si>
  <si>
    <t>mail@51nip-patras.ach.sch.gr</t>
  </si>
  <si>
    <t>ΟΥΡΑΝΟΥ 22</t>
  </si>
  <si>
    <t>42ο ΝΗΠΙΑΓΩΓΕΙΟ ΠΑΤΡΩΝ</t>
  </si>
  <si>
    <t>mail@42nip-patras.ach.sch.gr</t>
  </si>
  <si>
    <t>ΤΕΡΜΑ ΑΝΤΙΓΟΝΗΣ ΖΑΡΟΥΧΛΕΪΚΑ</t>
  </si>
  <si>
    <t>46ο ΝΗΠΙΑΓΩΓΕΙΟ ΠΑΤΡΩΝ</t>
  </si>
  <si>
    <t>mail@46nip-patras.ach.sch.gr</t>
  </si>
  <si>
    <t>ΒΑΣΙΛΕΙΑΔΟΥ 5</t>
  </si>
  <si>
    <t>ΝΗΠΙΑΓΩΓΕΙΟ ΧΑΪΚΑΛΙΟΥ</t>
  </si>
  <si>
    <t>mail@nip-chaik.ach.sch.gr</t>
  </si>
  <si>
    <t>3ο ΝΗΠΙΑΓΩΓΕΙΟ ΠΑΤΡΩΝ</t>
  </si>
  <si>
    <t>mail@3nip-patras.ach.sch.gr</t>
  </si>
  <si>
    <t>ΔΗΜΗΤΡΙΟΥ ΥΨΗΛΑΝΤΟΥ 34Α</t>
  </si>
  <si>
    <t>2ο ΔΗΜΟΤΙΚΟ ΣΧΟΛΕΙΟ ΟΒΡΥΑΣ</t>
  </si>
  <si>
    <t>mail@2dim-ovryas.ach.sch.gr</t>
  </si>
  <si>
    <t>ΟΒΡΥΑ</t>
  </si>
  <si>
    <t>ΕΛ ΒΕΝΙΖΕΛΟΥ 1-3</t>
  </si>
  <si>
    <t>12ο ΔΗΜΟΤΙΚΟ ΣΧΟΛΕΙΟ ΠΑΤΡΑΣ</t>
  </si>
  <si>
    <t>mail@12dim-patras.ach.sch.gr</t>
  </si>
  <si>
    <t>ΠΑΡΜΕΝΙΔΟΥ  12 (Προσωρινή μεταστέγαση από Γεωργίου Ολυμπίου &amp; Σουλίου)</t>
  </si>
  <si>
    <t>15ο ΔΗΜΟΤΙΚΟ ΣΧΟΛΕΙΟ ΠΑΤΡΩΝ</t>
  </si>
  <si>
    <t>mail@15dim-patras.ach.sch.gr</t>
  </si>
  <si>
    <t>ΚΑΛΑΒΡΥΤΩΝ ΚΑΙ ΠΟΝΤΟΥ</t>
  </si>
  <si>
    <t>42ο ΔΗΜΟΤΙΚΟ ΣΧΟΛΕΙΟ ΠΑΤΡΩΝ</t>
  </si>
  <si>
    <t>mail@42dim-patras.ach.sch.gr</t>
  </si>
  <si>
    <t>ΣΤΡΟΦΑΔΩΝ ΚΑΙ ΡΟΒΕΡΤΟΥ ΚΩΧ 3</t>
  </si>
  <si>
    <t>ΝΗΠΙΑΓΩΓΕΙΟ ΛΑΠΠΑ</t>
  </si>
  <si>
    <t>mail@nip-lappa.ach.sch.gr</t>
  </si>
  <si>
    <t>2ο ΝΗΠΙΑΓΩΓΕΙΟ ΒΡΑΧΝΑΙΪΚΩΝ</t>
  </si>
  <si>
    <t>mail@2nip-vrachn.ach.sch.gr</t>
  </si>
  <si>
    <t>ΒΑΣΙΛΕΙΟΥ ΘΑΝΟΠΟΥΛΟΥ 20</t>
  </si>
  <si>
    <t>1ο ΝΗΠΙΑΓΩΓΕΙΟ ΚΑΤΩ ΑΧΑΪΑΣ</t>
  </si>
  <si>
    <t>mail@1nip-k-achaias.ach.sch.gr</t>
  </si>
  <si>
    <t>ΤΕΡΜΑ ΔΕΞΑΜΕΝΟΥ</t>
  </si>
  <si>
    <t>1ο ΝΗΠΙΑΓΩΓΕΙΟ ΒΡΑΧΝΑΙΙΚΩΝ</t>
  </si>
  <si>
    <t>mail@nip-vrachn.ach.sch.gr</t>
  </si>
  <si>
    <t>ΣΤΑΜΑΤΗ ΠΑΠΑΔΟΠΟΥΛΟΥ 9</t>
  </si>
  <si>
    <t>68ο ΝΗΠΙΑΓΩΓΕΙΟ ΠΑΤΡΩΝ</t>
  </si>
  <si>
    <t>mail@68nip-patras.ach.sch.gr</t>
  </si>
  <si>
    <t>ΑΝΘΕΜΙΟΥ 3 , A-ΤΜΗΜΑ   &amp;   ΑΝΘΕΜΙΟΥ11 , B - ΤΜΗΜΑ</t>
  </si>
  <si>
    <t>ΔΗΜΟΤΙΚΟ ΣΧΟΛΕΙΟ ΑΒΥΘΟΥ</t>
  </si>
  <si>
    <t>mail@dim-avyth.ach.sch.gr</t>
  </si>
  <si>
    <t>ΑΒΥΘΟΣ</t>
  </si>
  <si>
    <t>ΤΑΞΙΑΡΧΩΝ   ΑΒΥΘΟΣ  ΣΥΜΠΟΛΙΤΕΙΑΣ 2</t>
  </si>
  <si>
    <t>mail@dim-aigeir.ach.sch.gr</t>
  </si>
  <si>
    <t>ΑΙΓΕΙΡΑ ΑΧΑΪΑΣ</t>
  </si>
  <si>
    <t>47ο ΝΗΠΙΑΓΩΓΕΙΟ ΠΑΤΡΩΝ</t>
  </si>
  <si>
    <t>mail@47nip-patras.ach.sch.gr</t>
  </si>
  <si>
    <t>ΑΝΘΕΜΙΟΥ 4</t>
  </si>
  <si>
    <t>1ο ΝΗΠΙΑΓΩΓΕΙΟ ΡΙΟΥ</t>
  </si>
  <si>
    <t>mail@1nip-riou.ach.sch.gr</t>
  </si>
  <si>
    <t>ΣΩΜΕΡΣΕΤ ΚΑΙ ΖΩΓΡΑΦΟΥ 125</t>
  </si>
  <si>
    <t>1ο ΔΗΜΟΤΙΚΟ ΣΧΟΛΕΙΟ ΑΙΓΙΟΥ</t>
  </si>
  <si>
    <t>mail@1dim-aigiou.ach.sch.gr</t>
  </si>
  <si>
    <t>ΚΟΛΟΚΟΤΡΩΝΗ 23</t>
  </si>
  <si>
    <t>mail@dim-kamar.ach.sch.gr</t>
  </si>
  <si>
    <t>ΔΗΜΟΤΙΚΟ ΣΧΟΛΕΙΟ ΤΕΜΕΝΗΣ</t>
  </si>
  <si>
    <t>mail@dim-temen.ach.sch.gr</t>
  </si>
  <si>
    <t>Τέμενη,</t>
  </si>
  <si>
    <t>mail@dim-koulour.ach.sch.gr</t>
  </si>
  <si>
    <t>ΚΟΥΛΟΥΡΑ ΑΙΓΙΟΥ</t>
  </si>
  <si>
    <t>ΜΟΝΗΣ ΤΑΞΙΑΡΧΩΝ 62</t>
  </si>
  <si>
    <t>ΣΕΛΙΝΟΥΝΤΟΣ</t>
  </si>
  <si>
    <t>ΔΗΜΟΤΙΚΟ ΣΧΟΛΕΙΟ ΣΕΛΙΝΟΥΝΤΑ</t>
  </si>
  <si>
    <t>mail@dim-selin.ach.sch.gr</t>
  </si>
  <si>
    <t>ΣΕΛΙΝΟΥΝΤΑΣ</t>
  </si>
  <si>
    <t>ΣΕΛΙΝΟΥΝΤΑΣ ΑΙΓΙΟΥ</t>
  </si>
  <si>
    <t>2ο ΔΗΜΟΤΙΚΟ ΣΧΟΛΕΙΟ ΑΚΡΑΤΑΣ</t>
  </si>
  <si>
    <t>mail@2dim-akrat.ach.sch.gr</t>
  </si>
  <si>
    <t>ΑΙΓΑΙΟΥ 14</t>
  </si>
  <si>
    <t>ΝΗΠΙΑΓΩΓΕΙΟ ΧΑΛΑΝΔΡΙΤΣΑΣ</t>
  </si>
  <si>
    <t>mail@nip-chalandr.ach.sch.gr</t>
  </si>
  <si>
    <t>ΧΑΛΑΝΔΡΙΤΣΑΣ</t>
  </si>
  <si>
    <t>mail@1dim-akrat.ach.sch.gr</t>
  </si>
  <si>
    <t>mail@3dim-aigiou.ach.sch.gr</t>
  </si>
  <si>
    <t>Αίγιο</t>
  </si>
  <si>
    <t>ΑΓΙΟΥ ΛΕΟΝΤΙΟΥ 28</t>
  </si>
  <si>
    <t>mail@13dim-patras.ach.sch.gr</t>
  </si>
  <si>
    <t>ΑΓ ΤΡΙΑΔΑΣ 70</t>
  </si>
  <si>
    <t>2dimaigi@sch.gr</t>
  </si>
  <si>
    <t>ΡΩΜΑΝΙΩΛΗ 43</t>
  </si>
  <si>
    <t>48ο ΝΗΠΙΑΓΩΓΕΙΟ ΠΑΤΡΩΝ</t>
  </si>
  <si>
    <t>mail@48nip-patras.ach.sch.gr</t>
  </si>
  <si>
    <t>2ο ΝΗΠΙΑΓΩΓΕΙΟ ΔΕΜΕΝΙΚΩΝ</t>
  </si>
  <si>
    <t>mail@2nip-demen.ach.sch.gr</t>
  </si>
  <si>
    <t>ΚΡΕΣΤΑΙΝΩΝ  ΔΕΜΕΝΙΚΩΝ 59</t>
  </si>
  <si>
    <t>ΝΗΠΙΑΓΩΓΕΙΟ ΣΑΡΑΒΑΛΙΟΥ</t>
  </si>
  <si>
    <t>mail@nip-sarav.ach.sch.gr</t>
  </si>
  <si>
    <t>ΣΑΡΑΒΑΛΙ</t>
  </si>
  <si>
    <t>8ο ΔΗΜΟΤΙΚΟ ΣΧΟΛΕΙΟ ΠΑΤΡΑΣ</t>
  </si>
  <si>
    <t>mail@8dim-patras.ach.sch.gr</t>
  </si>
  <si>
    <t>ΝΗΠΙΑΓΩΓΕΙΟ ΔΡΕΠΑΝΟΥ</t>
  </si>
  <si>
    <t>mail@nip-drepan.ach.sch.gr</t>
  </si>
  <si>
    <t>ΔΡΕΠΑΝΟ ΡΙΟΥ</t>
  </si>
  <si>
    <t>mail@23dim-patras.ach.sch.gr</t>
  </si>
  <si>
    <t>ΠΑΝΕΠΙΣΤΗΜΙΟΥ 67</t>
  </si>
  <si>
    <t>ΑΛΙΣΣΟΥ</t>
  </si>
  <si>
    <t>ΔΗΜΟΤΙΚΟ ΣΧΟΛΕΙΟ ΑΝΩ ΑΛΙΣΣΟΥ</t>
  </si>
  <si>
    <t>mail@dim-an-aliss.ach.sch.gr</t>
  </si>
  <si>
    <t>ʼνω Αλισσός</t>
  </si>
  <si>
    <t>mail@9dim-aigiou.ach.sch.gr</t>
  </si>
  <si>
    <t>mail@10dim-aigiou.ach.sch.gr</t>
  </si>
  <si>
    <t>ΛΕΟΝΤΙΟΥ</t>
  </si>
  <si>
    <t>ΔΗΜΟΤΙΚΟ ΣΧΟΛΕΙΟ ΛΕΟΝΤΙΟΥ</t>
  </si>
  <si>
    <t>mail@dim-leont.ach.sch.gr</t>
  </si>
  <si>
    <t>Λεόντιο</t>
  </si>
  <si>
    <t>ΛΕΟΝΤΙΟ ΑΧΑΪΑΣ</t>
  </si>
  <si>
    <t>ΔΗΜΟΤΙΚΟ ΣΧΟΛΕΙΟ ΜΕΤΟΧΙΟΥ</t>
  </si>
  <si>
    <t>mail@dim-metoch.ach.sch.gr</t>
  </si>
  <si>
    <t>ΜΕΤΟΧΙ</t>
  </si>
  <si>
    <t>ΜΕΤΟΧΙ ΚΑΤΩ ΑΧΑΪΑΣ</t>
  </si>
  <si>
    <t>ΔΗΜΟΤΙΚΟ ΣΧΟΛΕΙΟ ΚΡΗΝΗΣ ΠΑΤΡΩΝ</t>
  </si>
  <si>
    <t>mail@dim-krinis.ach.sch.gr</t>
  </si>
  <si>
    <t>ΝΙΦΟΡΑΙΙΚΩΝ</t>
  </si>
  <si>
    <t>ΝΗΠΙΑΓΩΓΕΙΟ ΝΙΦΟΡΑΙΪΚΩΝ</t>
  </si>
  <si>
    <t>mail@nip-nifor.ach.sch.gr</t>
  </si>
  <si>
    <t>ΝΙΦΟΡΑΙΪΚΩΝ</t>
  </si>
  <si>
    <t>mail@dim-kat-mazar.ach.sch.gr</t>
  </si>
  <si>
    <t>ΚΑΤΩ ΜΑΖΑΡΑΚΙ ΔΥΤ.ΑΧΑΙΑΣ</t>
  </si>
  <si>
    <t>75ο ΝΗΠΙΑΓΩΓΕΙΟ ΠΑΤΡΩΝ</t>
  </si>
  <si>
    <t>mail@75nip-patras.ach.sch.gr</t>
  </si>
  <si>
    <t>ΑΘΗΝΩΝ 266</t>
  </si>
  <si>
    <t>ΕΙΔΙΚΟ ΝΗΠΙΑΓΩΓΕΙΟ ΚΩΦΩΝ ΠΑΤΡΩΝ</t>
  </si>
  <si>
    <t>mail@nip-ekv-patras.ach.sch.gr</t>
  </si>
  <si>
    <t>ΚΩΦΩΝ ΠΑΤΡΩΝ</t>
  </si>
  <si>
    <t>ΔΗΜΟΤΙΚΟ ΣΧΟΛΕΙΟ ΑΡΑΧΩΒΙΤΙΚΩΝ</t>
  </si>
  <si>
    <t>mail@dim-arach.ach.sch.gr</t>
  </si>
  <si>
    <t>ΑΡΑΧΩΒΙΤΙΚΑ</t>
  </si>
  <si>
    <t>ΕΘΝΙΚΗΣ ΑΝΤΙΣΤΑΣΗΣ</t>
  </si>
  <si>
    <t>ΕΛΙΚΗΣ</t>
  </si>
  <si>
    <t>ΔΗΜΟΤΙΚΟ ΣΧΟΛΕΙΟ ΕΛΙΚΗΣ</t>
  </si>
  <si>
    <t>mail@dim-elikis.ach.sch.gr</t>
  </si>
  <si>
    <t>ΕΛΙΚΗ</t>
  </si>
  <si>
    <t>ΠΕΟ ΠΑΤΡΩΝ-ΚΟΡΙΝΘΟΥ ΕΛΙΚΗ</t>
  </si>
  <si>
    <t>2ο ΕΙΔΙΚΟ ΔΗΜΟΤΙΚΟ ΣΧΟΛΕΙΟ ΠΑΤΡΩΝ</t>
  </si>
  <si>
    <t>mail@2dim-eid-patras.ach.sch.gr</t>
  </si>
  <si>
    <t>τέρμα Νόρμαν</t>
  </si>
  <si>
    <t>mail@dim-diakopt.ach.sch.gr</t>
  </si>
  <si>
    <t>ΙΣΩΜΑΤΟΣ</t>
  </si>
  <si>
    <t>ΔΗΜΟΤΙΚΟ ΣΧΟΛΕΙΟ ΙΣΩΜΑΤΟΣ</t>
  </si>
  <si>
    <t>mail@dim-isomat.ach.sch.gr</t>
  </si>
  <si>
    <t>ΙΣΩΜΑ</t>
  </si>
  <si>
    <t>ΙΣΩΜΑ ΦΑΡΡΩΝ</t>
  </si>
  <si>
    <t>ΔΗΜΟΤΙΚΟ ΣΧΟΛΕΙΟ ΑΡΛΑΣ</t>
  </si>
  <si>
    <t>mail@dim-arlas.ach.sch.gr</t>
  </si>
  <si>
    <t>ΑΡΛΑ ΑΧΑΪΑΣ</t>
  </si>
  <si>
    <t>mail@dim-lousik.ach.sch.gr</t>
  </si>
  <si>
    <t>ΛΟΥΣΙΚΑ</t>
  </si>
  <si>
    <t>mail@32dim-patras.ach.sch.gr</t>
  </si>
  <si>
    <t>ΣΑΜΟΘΡΑΚΗΣ ΚΑΙ ΣΚΙΑΘΟΥ</t>
  </si>
  <si>
    <t>33ο ΔΗΜΟΤΙΚΟ ΣΧΟΛΕΙΟ ΠΑΤΡΩΝ</t>
  </si>
  <si>
    <t>mail@33dim-patras.ach.sch.gr</t>
  </si>
  <si>
    <t>ΑΚΡΩΤΗΡΙΟΥ 83</t>
  </si>
  <si>
    <t>39ο ΔΗΜΟΤΙΚΟ ΣΧΟΛΕΙΟ ΠΑΤΡΩΝ</t>
  </si>
  <si>
    <t>mail@39dim-patras.ach.sch.gr</t>
  </si>
  <si>
    <t>ΝΕΟ ΣΟΥΛΙ ΠΑΤΡΩΝ</t>
  </si>
  <si>
    <t>65ο ΔΗΜΟΤΙΚΟ ΣΧΟΛΕΙΟ ΠΑΤΡΩΝ</t>
  </si>
  <si>
    <t>mail@65dim-patras.ach.sch.gr</t>
  </si>
  <si>
    <t>19ο ΔΗΜΟΤΙΚΟ ΣΧΟΛΕΙΟ ΠΑΤΡΩΝ</t>
  </si>
  <si>
    <t>mail@19dim-patras.ach.sch.gr</t>
  </si>
  <si>
    <t>3ο ΔΗΜΟΤΙΚΟ ΣΧΟΛΕΙΟ ΚΑΤΩ ΑΧΑΪΑΣ</t>
  </si>
  <si>
    <t>mail@3dim-k-achaias.ach.sch.gr</t>
  </si>
  <si>
    <t>ΤΕΡΜΑ 25ης Μαρτίου</t>
  </si>
  <si>
    <t>mail@1dim-patras.ach.sch.gr</t>
  </si>
  <si>
    <t>ΟΣΣΗΣ 2-4</t>
  </si>
  <si>
    <t>24ο ΔΗΜΟΤΙΚΟ ΣΧΟΛΕΙΟ ΠΑΤΡΩΝ</t>
  </si>
  <si>
    <t>mail@24dim-patras.ach.sch.gr</t>
  </si>
  <si>
    <t>ΑΝΘΕΙΑΣ 195</t>
  </si>
  <si>
    <t>mail@2dim-patron.ach.sch.gr</t>
  </si>
  <si>
    <t>ΔΗΜΟΤΙΚΟ ΣΧΟΛΕΙΟ ΚΑΡΕΪΚΩΝ</t>
  </si>
  <si>
    <t>mail@dim-kareik.ach.sch.gr</t>
  </si>
  <si>
    <t>ΚΑΡΕΪΚΑ</t>
  </si>
  <si>
    <t>7ο ΔΗΜΟΤΙΚΟ ΣΧΟΛΕΙΟ ΑΙΓΙΟΥ</t>
  </si>
  <si>
    <t>mail@7dim-aigiou.ach.sch.gr</t>
  </si>
  <si>
    <t>ΣΤΑΦΙΔΑΛΩΝΑ-ΡΟΔΩΝ 13</t>
  </si>
  <si>
    <t>ΔΗΜΟΤΙΚΟ ΣΧΟΛΕΙΟ ΚΑΓΚΑΔΙΟΥ</t>
  </si>
  <si>
    <t>mail@dim-kagad.ach.sch.gr</t>
  </si>
  <si>
    <t>ΚΑΓΚΑΔΙ</t>
  </si>
  <si>
    <t>ΔΗΜΟΤΙΚΟ ΣΧΟΛΕΙΟ ΚΑΜΙΝΙΩΝ</t>
  </si>
  <si>
    <t>mail@dim-kamin.ach.sch.gr</t>
  </si>
  <si>
    <t>ΚΑΜΙΝΙA</t>
  </si>
  <si>
    <t>ΠΑΤΡΩΝ ΠΥΡΓΟΥ 601</t>
  </si>
  <si>
    <t>ΜΑΝΕΣΙΟΥ</t>
  </si>
  <si>
    <t>ΝΗΠΙΑΓΩΓΕΙΟ ΜΑΝΕΣΙΟΥ</t>
  </si>
  <si>
    <t>mail@nip-manes.ach.sch.gr</t>
  </si>
  <si>
    <t>ΜΑΝΕΣΙ</t>
  </si>
  <si>
    <t>ΚΑΤΩ ΒΛΑΣΙΑΣ</t>
  </si>
  <si>
    <t>ΔΗΜΟΤΙΚΟ ΣΧΟΛΕΙΟ ΒΛΑΣΙΑΣ</t>
  </si>
  <si>
    <t>mail@dim-vlasias.ach.sch.gr</t>
  </si>
  <si>
    <t>Βλασία</t>
  </si>
  <si>
    <t>ΚΑΤΩ ΒΛΑΣΙΑ</t>
  </si>
  <si>
    <t>ΝΗΠΙΑΓΩΓΕΙΟ ΚΛΕΙΤΟΡΙΑΣ</t>
  </si>
  <si>
    <t>mail@nip-kleitor.ach.sch.gr</t>
  </si>
  <si>
    <t>ΝΗΠΙΑΓΩΓΕΙΟ ΣΚΕΠΑΣΤΟΥ</t>
  </si>
  <si>
    <t>mail@nip-skepast.ach.sch.gr</t>
  </si>
  <si>
    <t>ΝΗΠΙΑΓΩΓΕΙΟ ΔΑΦΝΗΣ</t>
  </si>
  <si>
    <t>mail@nip-dafnis.ach.sch.gr</t>
  </si>
  <si>
    <t>mail@dim-k-kastr.ach.sch.gr</t>
  </si>
  <si>
    <t>ΠΑΝΕΠΙΣΤΗΜΙΟΥΠΟΛΗ ΠΑΤΡΩΝ</t>
  </si>
  <si>
    <t>51ο ΔΗΜΟΤΙΚΟ ΣΧΟΛΕΙΟ ΠΑΤΡΩΝ</t>
  </si>
  <si>
    <t>mail@51dim-patras.ach.sch.gr</t>
  </si>
  <si>
    <t>ΚΡΕΣΤΕΝΩΝ 10</t>
  </si>
  <si>
    <t>ΠΑΟΥ</t>
  </si>
  <si>
    <t>ΔΗΜΟΤΙΚΟ ΣΧΟΛΕΙΟ ΠΑΟΣ</t>
  </si>
  <si>
    <t>mail@dim-paous.ach.sch.gr</t>
  </si>
  <si>
    <t>ΠΑΟΣ</t>
  </si>
  <si>
    <t>mail@dim-psofid.ach.sch.gr</t>
  </si>
  <si>
    <t>7ο ΔΗΜΟΤΙΚΟ ΣΧΟΛΕΙΟ ΠΑΤΡΑΣ</t>
  </si>
  <si>
    <t>mail@7dim-patras.ach.sch.gr</t>
  </si>
  <si>
    <t>4ο ΔΗΜΟΤΙΚΟ ΣΧΟΛΕΙΟ ΠΑΤΡΩΝ</t>
  </si>
  <si>
    <t>mail@4dim-patras.ach.sch.gr</t>
  </si>
  <si>
    <t>ΓΕΩΡΓΙΟΥ ΡΟΥΦΟΥ 62</t>
  </si>
  <si>
    <t>16ο ΔΗΜΟΤΙΚΟ ΣΧΟΛΕΙΟ ΠΑΤΡΩΝ - ΚΩΣΤΗΣ ΠΑΛΑΜΑΣ</t>
  </si>
  <si>
    <t>mail@16dim-patras.ach.sch.gr</t>
  </si>
  <si>
    <t>ΚΩΣΤΗ ΠΑΛΑΜΑ 95</t>
  </si>
  <si>
    <t>mail@20dim-patras.ach.sch.gr</t>
  </si>
  <si>
    <t>ΝΑΥΠΑΚΤΟΥ 29</t>
  </si>
  <si>
    <t>mail@dim-vrachn.ach.sch.gr</t>
  </si>
  <si>
    <t>ΒΡΑΧΝΑΙΙΚΑ</t>
  </si>
  <si>
    <t>Π.Ε.Ο. ΠΑΤΡΩΝ ΠΥΡΓΟΥ 164</t>
  </si>
  <si>
    <t>mail@34dim-patron.ach.sch.gr</t>
  </si>
  <si>
    <t>ΠΑΝΕΠΙΣΤΗΜΙΟΥ ΚΑΙ ΑΛΕΞΑΝΔΡΟΥΠΟΛΕΩΣ</t>
  </si>
  <si>
    <t>40ο ΔΗΜΟΤΙΚΟ ΣΧΟΛΕΙΟ ΠΑΤΡΩΝ</t>
  </si>
  <si>
    <t>mail@40dim-patras.ach.sch.gr</t>
  </si>
  <si>
    <t>ΘΕΟΦΡΑΣΤΟΥ 49</t>
  </si>
  <si>
    <t>56ο ΔΗΜΟΤΙΚΟ ΣΧΟΛΕΙΟ ΠΑΤΡΩΝ</t>
  </si>
  <si>
    <t>mail@56dim-patras.ach.sch.gr</t>
  </si>
  <si>
    <t>64ο ΔΗΜΟΤΙΚΟ ΣΧΟΛΕΙΟ ΠΑΤΡΩΝ</t>
  </si>
  <si>
    <t>mail@64dim-patras.ach.sch.gr</t>
  </si>
  <si>
    <t>mail@dim-chalandr.ach.sch.gr</t>
  </si>
  <si>
    <t>Δήμου  Ερυμάνθου</t>
  </si>
  <si>
    <t>Χαλανδρίτσα</t>
  </si>
  <si>
    <t>9ο ΔΗΜΟΤΙΚΟ ΣΧΟΛΕΙΟ ΠΑΤΡΩΝ - ΓΕΩΡΓΙΟΣ ΓΛΑΡΑΚΗΣ (Ίδρυση 1930, Φ. 160 Γ.A.K.)</t>
  </si>
  <si>
    <t>mail@9dim-patras.ach.sch.gr</t>
  </si>
  <si>
    <t>Π.Π. ΓΕΡΜΑΝΟΥ 184</t>
  </si>
  <si>
    <t>43ο ΔΗΜΟΤΙΚΟ ΣΧΟΛΕΙΟ ΠΑΤΡΩΝ</t>
  </si>
  <si>
    <t>mail@43dim-patras.ach.sch.gr</t>
  </si>
  <si>
    <t>ΑΡΕΘΑ 180</t>
  </si>
  <si>
    <t>50ο ΔΗΜΟΤΙΚΟ ΣΧΟΛΕΙΟ ΠΑΤΡΩΝ</t>
  </si>
  <si>
    <t>mail@50dim-patron.ach.sch.gr</t>
  </si>
  <si>
    <t>ΡΑΓΚΑΒΗ ΚΑΙ ΜΩΡΑΪΤΙΝΗ 18</t>
  </si>
  <si>
    <t>mail@dim-lappa.ach.sch.gr</t>
  </si>
  <si>
    <t>ΠΕΟ ΠΑΤΡΩΝ ΠΥΡΓΟΥ</t>
  </si>
  <si>
    <t>ΟΚΤΑΘΕΣΙΟ (8/θ) ΠΕΙΡΑΜΑΤΙΚΟ ΔΗΜΟΤΙΚΟ ΣΧΟΛΕΙΟ ΠΑΝΕΠΙΣΤΗΜΙΟΥ ΠΑΤΡΩΝ (ΜΗ ΕΝΤΑΓΜΕΝΟ ΣΕ Π.Τ.Δ.Ε)</t>
  </si>
  <si>
    <t>mail@dim-aei-patras.ach.sch.gr</t>
  </si>
  <si>
    <t>Πανεπιστημιούπολη Πατρών</t>
  </si>
  <si>
    <t>ΠΑΝΕΠΙΣΤΗΜΙΟ ΠΑΤΡΩΝ ΟΔΟΣ ΔΙΑΓΟΡΑ</t>
  </si>
  <si>
    <t>Ολοήμερο Πειραματικό Δημοτικό Σχολείο μη ενταγμένο στο Πανεπιστήμιο</t>
  </si>
  <si>
    <t>ΔΙΘΕΣΙΟ ΠΕΙΡΑΜΑΤΙΚΟ ΔΗΜΟΤΙΚΟ ΣΧΟΛΕΙΟ ΠΑΝΕΠΙΣΤΗΜΙΟΥ ΠΑΤΡΩΝ</t>
  </si>
  <si>
    <t>mail@dim-peir-patras.ach.sch.gr</t>
  </si>
  <si>
    <t>Παν/μιο Πατρών</t>
  </si>
  <si>
    <t>ΔΙΑΓΟΡΑ</t>
  </si>
  <si>
    <t>2dimkata@sch.gr</t>
  </si>
  <si>
    <t>Κάτω Αχαΐα</t>
  </si>
  <si>
    <t>ΑΓΙΑΣ ΤΡΙΑΔΟΣ 25</t>
  </si>
  <si>
    <t>59ο ΔΗΜΟΤΙΚΟ ΣΧΟΛΕΙΟ ΠΑΤΡΩΝ</t>
  </si>
  <si>
    <t>mail@59dim-patras.ach.sch.gr</t>
  </si>
  <si>
    <t>Σκιόεσσα Πατρών</t>
  </si>
  <si>
    <t>Αγίου Δημητρίου Σκιόεσσας 303</t>
  </si>
  <si>
    <t>mail@1dim-paral.ach.sch.gr</t>
  </si>
  <si>
    <t>62ο ΔΗΜΟΤΙΚΟ ΣΧΟΛΕΙΟ ΠΑΤΡΑΣ</t>
  </si>
  <si>
    <t>mail@62dim-patras.ach.sch.gr</t>
  </si>
  <si>
    <t>ΑΡΗΤΗΣ  ΠΑΡΑΛΙΑ ΠΡΟΑΣΤΙΟΥ 1</t>
  </si>
  <si>
    <t>mail@3dim-paral.ach.sch.gr</t>
  </si>
  <si>
    <t>ΑΘ. ΑΝΑΓΝΩΣΤΟΠΟΥΛΟΥ-ΕΡΓΑΤΙΚΕΣ ΚΑΤΟΙΚΙΕΣ ΠΑΡΑΛΙΑΣ ΠΑΤΡΩΝ</t>
  </si>
  <si>
    <t>ΔΗΜΟΤΙΚΟ ΣΧΟΛΕΙΟ ΑΝΩ ΚΑΣΤΡΙΤΣΙΟΥ</t>
  </si>
  <si>
    <t>mail@dim-an-kastr.ach.sch.gr</t>
  </si>
  <si>
    <t>ΑΝΩ ΚΑΣΤΡΙΤΣΙ,</t>
  </si>
  <si>
    <t>1ο ΕΙΔΙΚΟ ΔΗΜΟΤΙΚΟ ΣΧΟΛΕΙΟ ΠΑΤΡΩΝ</t>
  </si>
  <si>
    <t>mail@1dim-eid-patras.ach.sch.gr</t>
  </si>
  <si>
    <t>ΨΑΡΟΦΑΪ ΠΑΤΡΩΝ</t>
  </si>
  <si>
    <t>ΙΠΠΟΛΥΤΗΣ 8</t>
  </si>
  <si>
    <t>4ο ΕΙΔΙΚΟ ΔΗΜΟΤΙΚΟ ΣΧΟΛΕΙΟ ΠΑΤΡΑ - ΕΙΔΙΚΟ ΦΑΣΜΑΤΟΣ ΑΥΤΙΣΜΟΥ</t>
  </si>
  <si>
    <t>mail@4dim-eid.ach.sch.gr</t>
  </si>
  <si>
    <t>ΛΟΧΑΓΟΥ ΜΕΝΟΥΝΟΥ &amp; ΣΤΡΟΦΑΔΩΝ</t>
  </si>
  <si>
    <t>1ο ΕΙΔΙΚΟ ΝΗΠΙΑΓΩΓΕΙΟ ΠΑΤΡΑΣ</t>
  </si>
  <si>
    <t>mail@nip-eid-patras.ach.sch.gr</t>
  </si>
  <si>
    <t>3ο ΝΗΠΙΑΓΩΓΕΙΟ ΚΑΤΩ ΑΧΑΪΑΣ</t>
  </si>
  <si>
    <t>mail@3nip-k-achaias.ach.sch.gr</t>
  </si>
  <si>
    <t>ΓΕΩΡΓΟΥΛΟΠΟΥΛΟΥ</t>
  </si>
  <si>
    <t>mail@dim-kleit.ach.sch.gr</t>
  </si>
  <si>
    <t>2ο ΕΙΔΙΚΟ ΝΗΠΙΑΓΩΓΕΙΟ ΠΑΤΡΑΣ</t>
  </si>
  <si>
    <t>mail@2nip-eid-patras.ach.sch.gr</t>
  </si>
  <si>
    <t>τέρμα Νόρμαν 162</t>
  </si>
  <si>
    <t>ΔΗΜΟΤΙΚΟ ΣΧΟΛΕΙΟ ΚΑΛΛΙΘΕΑΣ ΠΑΤΡΩΝ</t>
  </si>
  <si>
    <t>mail@dim-kallith.ach.sch.gr</t>
  </si>
  <si>
    <t>ΔΗΜΟΤΙΚΟ ΣΧΟΛΕΙΟ ΜΑΤΑΡΑΓΚΑ</t>
  </si>
  <si>
    <t>mail@dim-matar.ach.sch.gr</t>
  </si>
  <si>
    <t>ΝΗΠΙΑΓΩΓΕΙΟ ΒΑΣΙΛΙΚΟΥ ΑΧΑΙΑΣ</t>
  </si>
  <si>
    <t>mail@nip-vasil.ach.sch.gr</t>
  </si>
  <si>
    <t>ΒΑΣΙΛΙΚΟ ΑΧΑΪΑΣ</t>
  </si>
  <si>
    <t>3ο ΕΙΔΙΚΟ ΔΗΜΟΤΙΚΟ ΣΧΟΛΕΙΟ ΠΑΤΡΩΝ - ΠΙΚΠΑ</t>
  </si>
  <si>
    <t>mail@3dim-eid-patras.ach.sch.gr</t>
  </si>
  <si>
    <t>ΜΙΑΟΥΛΗ 42</t>
  </si>
  <si>
    <t>mail@dim-stavr.ach.sch.gr</t>
  </si>
  <si>
    <t>ΕΙΔΙΚΟ ΝΗΠΙΑΓΩΓΕΙΟ ΠΑΤΡΩΝ - ΕΙΔΙΚΟ ΝΗΠΙΑΓΩΓΕΙΟ ΕΚΠΑΙΔΕΥΣΗΣ ΠΑΙΔΙΩΝ ΣΤΟ ΦΑΣΜΑ ΤΟΥ ΑΥΤΙΣΜΟΥ</t>
  </si>
  <si>
    <t>ΕΙΔΙΚΟ ΔΗΜΟΤΙΚΟ ΣΧΟΛΕΙΟ ΚΩΦΩΝ-ΒΑΡΗΚΟΩΝ ΠΑΤΡΑΣ</t>
  </si>
  <si>
    <t>mail@dim-ekv-patras.ach.sch.gr</t>
  </si>
  <si>
    <t>ΔΙΟΔΩΡΟΥ  11</t>
  </si>
  <si>
    <t>ΕΙΔΙΚΟ ΔΗΜΟΤΙΚΟ ΣΧΟΛΕΙΟ ΚΑΤΩ ΑΧΑΙΑ</t>
  </si>
  <si>
    <t>mail@dim-eid-k-achaias.ach.sch.gr</t>
  </si>
  <si>
    <t>ΑΓ. ΤΡΙΑΔΟΣ 25</t>
  </si>
  <si>
    <t>ΕΙΔΙΚΟ ΝΗΠΙΑΓΩΓΕΙΟ ΚΑΤΩ ΑΧΑΙΑ</t>
  </si>
  <si>
    <t>mail@nip-eid-k-achaias.ach.sch.gr</t>
  </si>
  <si>
    <t>ΓΕΩΡΓΟΥΛΟΠΟΥΛΟΥ, ΚΑΤΩ ΑΧΑΪΑ</t>
  </si>
  <si>
    <t>3ο ΕΙΔΙΚΟ ΝΗΠΙΑΓΩΓΕΙΟ ΠΑΤΡΩΝ</t>
  </si>
  <si>
    <t>mail@3nip-eid-patras.ach.sch.gr</t>
  </si>
  <si>
    <t>Μιαούλη 42</t>
  </si>
  <si>
    <t>ΕΙΔΙΚΟ ΝΗΠΙΑΓΩΓΕΙΟ ΑΧΑΪΑΣ - ΕΙΔΙΚΟ ΝΗΠΙΑΓΩΓΕΙΟ ΤΥΦΛΩΝ</t>
  </si>
  <si>
    <t>mail@nip-et-patras.ach.sch.gr</t>
  </si>
  <si>
    <t>ΝΗΠΙΑΓΩΓΕΙΟ ΚΑΛΛΙΘΕΑΣ ΑΧΑΪΑΣ</t>
  </si>
  <si>
    <t>mail@nip-kallith.ach.sch.gr</t>
  </si>
  <si>
    <t>ΚΑΛΛΙΘΕΑ ΑΧΑΪΑΣ</t>
  </si>
  <si>
    <t>ΙΩΑΝΝΗ ΧΡΥΣΟΣΤΟΜΟΥ</t>
  </si>
  <si>
    <t>76ο ΝΗΠΙΑΓΩΓΕΙΟ ΠΑΤΡΩΝ</t>
  </si>
  <si>
    <t>mail@76nip-patras.ach.sch.gr</t>
  </si>
  <si>
    <t>ΝΗΠΙΑΓΩΓΕΙΟ ΣΕΛΛΩΝ</t>
  </si>
  <si>
    <t>mail@nip-sellon.ach.sch.gr</t>
  </si>
  <si>
    <t>ΝΗΠΙΑΓΩΓΕΙΟ ΙΣΩΜΑΤΟΣ</t>
  </si>
  <si>
    <t>mail@nip-isomat.ach.sch.gr</t>
  </si>
  <si>
    <t>71ο ΝΗΠΙΑΓΩΓΕΙΟ ΠΑΤΡΩΝ</t>
  </si>
  <si>
    <t>mail@71nip-patras.ach.sch.gr</t>
  </si>
  <si>
    <t>ΠΙΤΤΑΚΟΥ 45</t>
  </si>
  <si>
    <t>ΠΣ ΔΗΜΟΤΙΚΟ MYSCHOOL</t>
  </si>
  <si>
    <t>ΕΙΔΙΚΟ ΝΗΠΙΑΓΩΓΕΙΟ ΑΙΓΙΟΥ</t>
  </si>
  <si>
    <t>mail@nip-eid-aigiou.ach.sch.gr</t>
  </si>
  <si>
    <t>ΕΙΔΙΚΟ ΔΗΜΟΤΙΚΟ ΣΧΟΛΕΙΟ ΚΑΛΑΒΡΥΤΩΝ</t>
  </si>
  <si>
    <t>mail@dim-eid-kalavr.ach.sch.gr</t>
  </si>
  <si>
    <t>4ο ΝΗΠΙΑΓΩΓΕΙΟ ΚΑΤΩ ΑΧΑΪΑΣ</t>
  </si>
  <si>
    <t>mail@4nip-k-achaias.ach.sch.gr</t>
  </si>
  <si>
    <t>Ιωάννου Προδρόμου</t>
  </si>
  <si>
    <t>ΔΙΕΥΘΥΝΣΗ Π.Ε. ΗΛΕΙΑΣ</t>
  </si>
  <si>
    <t>ΝΗΠΙΑΓΩΓΕΙΟ ΣΑΒΑΛΙΩΝ</t>
  </si>
  <si>
    <t>mail@nip-saval.ilei.sch.gr</t>
  </si>
  <si>
    <t>4ο ΝΗΠΙΑΓΩΓΕΙΟ ΑΜΑΛΙΑΔΑΣ</t>
  </si>
  <si>
    <t>mail@4nip-amaliad.ilei.sch.gr</t>
  </si>
  <si>
    <t>ΤΕΡΜΑ ΞΥΔΙΑ</t>
  </si>
  <si>
    <t>3ο ΝΗΠΙΑΓΩΓΕΙΟ ΑΜΑΛΙΑΔΑΣ</t>
  </si>
  <si>
    <t>mail@3nip-amaliad.ilei.sch.gr</t>
  </si>
  <si>
    <t>ΤΕΡΜΑ ΠΑΠΑΦΛΕΣΣΑ</t>
  </si>
  <si>
    <t>ΝΗΠΙΑΓΩΓΕΙΟ ΣΙΜΟΠΟΥΛΟΥ</t>
  </si>
  <si>
    <t>mail@nip-simop.ilei.sch.gr</t>
  </si>
  <si>
    <t>ΣΙΜΟΠΟΥΛΟ</t>
  </si>
  <si>
    <t>7ο ΝΗΠΙΑΓΩΓΕΙΟ ΑΜΑΛΙΑΔΑΣ</t>
  </si>
  <si>
    <t>mail@7nip-amaliad.ilei.sch.gr</t>
  </si>
  <si>
    <t>ΕΡΓΑΤΙΚΕΣ ΚΑΤΟΙΚΙΕΣ ΑΓΙΑΣ ΑΝΝΑΣ</t>
  </si>
  <si>
    <t>4ο ΝΗΠΙΑΓΩΓΕΙΟ ΓΑΣΤΟΥΝΗΣ</t>
  </si>
  <si>
    <t>mail@4nip-gastoun.ilei.sch.gr</t>
  </si>
  <si>
    <t>ΚΟΙΜΗΣΕΩΣ ΘΕΟΤΟΚΟΥ</t>
  </si>
  <si>
    <t>ΚΑΡΔΑΜΑ</t>
  </si>
  <si>
    <t>ΝΗΠΙΑΓΩΓΕΙΟ ΚΑΡΔΑΜΑ</t>
  </si>
  <si>
    <t>mail@nip-kardam.ilei.sch.gr</t>
  </si>
  <si>
    <t>ΚΑΡΔΑΜΑΣ</t>
  </si>
  <si>
    <t>ΝΗΠΙΑΓΩΓΕΙΟ ΛΑΜΠΕΙΑΣ</t>
  </si>
  <si>
    <t>mail@nip-lampeias.ilei.sch.gr</t>
  </si>
  <si>
    <t>ΝΗΠΙΑΓΩΓΕΙΟ ΓΟΥΜΕΡΟΥ</t>
  </si>
  <si>
    <t>mail@nip-goumer.ilei.sch.gr</t>
  </si>
  <si>
    <t>ΝΗΠΙΑΓΩΓΕΙΟ ΠΕΛΟΠΙΟΥ</t>
  </si>
  <si>
    <t>mail@nip-pelop.ilei.sch.gr</t>
  </si>
  <si>
    <t>ΜΥΡΤΕΑΣ</t>
  </si>
  <si>
    <t>ΝΗΠΙΑΓΩΓΕΙΟ ΜΥΡΤΙΑ</t>
  </si>
  <si>
    <t>mail@nip-myrteas.ilei.sch.gr</t>
  </si>
  <si>
    <t>ΜΥΡΤΙΑ</t>
  </si>
  <si>
    <t>2ο ΝΗΠΙΑΓΩΓΕΙΟ ΑΜΑΛΙΑΔΑΣ</t>
  </si>
  <si>
    <t>mail@2nip-amaliad.ilei.sch.gr</t>
  </si>
  <si>
    <t>ΤΕΡΜΑ ΒΥΡΩΝΟΣ</t>
  </si>
  <si>
    <t>4ο ΝΗΠΙΑΓΩΓΕΙΟ ΠΥΡΓΟΥ</t>
  </si>
  <si>
    <t>mail@4nip-pyrgou.ilei.sch.gr</t>
  </si>
  <si>
    <t>8ο ΝΗΠΙΑΓΩΓΕΙΟ ΑΜΑΛΙΑΔΑΣ</t>
  </si>
  <si>
    <t>mail@8nip-amaliad.ilei.sch.gr</t>
  </si>
  <si>
    <t>ΤΕΡΜΑ ΕΥΑΓΓΕΛΙΣΤΡΙΑΣ</t>
  </si>
  <si>
    <t>ΚΟΥΜΑΝΗ</t>
  </si>
  <si>
    <t>ΝΗΠΙΑΓΩΓΕΙΟ ΚΟΥΜΑΝΗ</t>
  </si>
  <si>
    <t>mail@nip-kouman.ilei.sch.gr</t>
  </si>
  <si>
    <t>ΝΗΠΙΑΓΩΓΕΙΟ ΕΠΙΤΑΛΙΟ</t>
  </si>
  <si>
    <t>mail@nip-epital.ilei.sch.gr</t>
  </si>
  <si>
    <t>ΒΑΡΒΑΣΑΙΝΗΣ</t>
  </si>
  <si>
    <t>ΝΗΠΙΑΓΩΓΕΙΟ ΒΑΡΒΑΣΑΙΝΑΣ</t>
  </si>
  <si>
    <t>mail@nip-varvas.ilei.sch.gr</t>
  </si>
  <si>
    <t>ΒΑΡΒΑΣΑΙΝΑ</t>
  </si>
  <si>
    <t>ΝΗΠΙΑΓΩΓΕΙΟ ΒΟΥΝΑΡΓΟΥ</t>
  </si>
  <si>
    <t>mail@nip-vounarg.ilei.sch.gr</t>
  </si>
  <si>
    <t>Βούναργο</t>
  </si>
  <si>
    <t>14ο ΝΗΠΙΑΓΩΓΕΙΟ ΠΥΡΓΟΥ</t>
  </si>
  <si>
    <t>mail@14nip-pyrgou.ilei.sch.gr</t>
  </si>
  <si>
    <t>ΕΘΝ. ΑΝΤΙΣΤΑΣΗΣ ΚΑΙ ΥΨΗΛΑΝΤΟΥ 21</t>
  </si>
  <si>
    <t>10ο ΝΗΠΙΑΓΩΓΕΙΟ ΠΥΡΓΟΥ</t>
  </si>
  <si>
    <t>mail@10nip-pyrgou.ilei.sch.gr</t>
  </si>
  <si>
    <t>ΕΡΓΑΤΙΚΕΣ ΚΑΤΟΙΚΙΕΣ ΚΑΤΑΚΟΛΟΥ</t>
  </si>
  <si>
    <t>9ο ΝΗΠΙΑΓΩΓΕΙΟ ΠΥΡΓΟΥ</t>
  </si>
  <si>
    <t>mail@9nip-pyrgou.ilei.sch.gr</t>
  </si>
  <si>
    <t>ΠΑΡΟΔΟΣ ΛΑΜΠΕΤΙΟΥ</t>
  </si>
  <si>
    <t>1ο ΝΗΠΙΑΓΩΓΕΙΟ ΓΑΣΤΟΥΝΗΣ</t>
  </si>
  <si>
    <t>mail@1nip-gastoun.ilei.sch.gr</t>
  </si>
  <si>
    <t>ΣΙΣΙΝΗ 158</t>
  </si>
  <si>
    <t>11ο ΝΗΠΙΑΓΩΓΕΙΟ ΠΥΡΓΟΣ</t>
  </si>
  <si>
    <t>mail@11nip-pyrgou.ilei.sch.gr</t>
  </si>
  <si>
    <t>ΤΕΡΜΑ ΓΟΥΝΑΡΗ</t>
  </si>
  <si>
    <t>6ο ΝΗΠΙΑΓΩΓΕΙΟ ΠΥΡΓΟΣ</t>
  </si>
  <si>
    <t>mail@6nip-pyrgou.ilei.sch.gr</t>
  </si>
  <si>
    <t>ΛΑΜΠΕΤΙ</t>
  </si>
  <si>
    <t>ΝΗΠΙΑΓΩΓΕΙΟ ΠΑΝΟΠΟΥΛΟ</t>
  </si>
  <si>
    <t>mail@nip-panop.ilei.sch.gr</t>
  </si>
  <si>
    <t>ΑΡΧΑΙΑΣ ΠΙΣΑΣ</t>
  </si>
  <si>
    <t>ΝΗΠΙΑΓΩΓΕΙΟ ΑΡΧΑΙΑ ΠΙΣΑ</t>
  </si>
  <si>
    <t>mail@nip-mirak.ilei.sch.gr</t>
  </si>
  <si>
    <t>ΑΡΧΑΙΑ ΠΙΣΑ</t>
  </si>
  <si>
    <t>13ο ΝΗΠΙΑΓΩΓΕΙΟ ΠΥΡΓΟΥ</t>
  </si>
  <si>
    <t>mail@13nip-pyrgou.ilei.sch.gr</t>
  </si>
  <si>
    <t>ΠΑΠΑΦΛΕΣΣΑ  25</t>
  </si>
  <si>
    <t>1ο ΝΗΠΙΑΓΩΓΕΙΟ ΠΥΡΓΟΥ</t>
  </si>
  <si>
    <t>mail@1nip-pyrgou.ilei.sch.gr</t>
  </si>
  <si>
    <t>ΓΥΜΝΑΣΙΑΡΧΟΥ ΔΟΥΚΑ</t>
  </si>
  <si>
    <t>mail@3dim-pyrgou.ilei.sch.gr</t>
  </si>
  <si>
    <t>ΡΟΦΙΑ 27</t>
  </si>
  <si>
    <t>2ο ΝΗΠΙΑΓΩΓΕΙΟ ΠΥΡΓΟΣ</t>
  </si>
  <si>
    <t>mail@2nip-pyrgou.ilei.sch.gr</t>
  </si>
  <si>
    <t>ΠΑΡΟΔΟΣ ΡΗΓΑ ΦΕΡΑΙΟΥ</t>
  </si>
  <si>
    <t>2ο ΝΗΠΙΑΓΩΓΕΙΟ ΓΑΣΤΟΥΝΗΣ</t>
  </si>
  <si>
    <t>mail@2nip-gastoun.ilei.sch.gr</t>
  </si>
  <si>
    <t>ΕΛΕΥΘΕΡΙΟΥ ΒΕΝΙΖΕΛΟΥ  49</t>
  </si>
  <si>
    <t>3ο ΝΗΠΙΑΓΩΓΕΙΟ ΓΑΣΤΟΥΝΗΣ</t>
  </si>
  <si>
    <t>mail@3nip-gastoun.ilei.sch.gr</t>
  </si>
  <si>
    <t>ΑΝΑΛΗΨΕΩΣ ΚΑΙ ΑΝΑΠΑΥΣΕΩΣ</t>
  </si>
  <si>
    <t>8ο ΝΗΠΙΑΓΩΓΕΙΟ ΠΥΡΓΟΣ</t>
  </si>
  <si>
    <t>mail@8nip-pyrgou.ilei.sch.gr</t>
  </si>
  <si>
    <t>ΑΓΙΟΥ ΑΡΤΕΜΙΟΥ ΚΑΙ ΔΕΡΒΕΝΑΚΙΩΝ</t>
  </si>
  <si>
    <t>5ο ΝΗΠΙΑΓΩΓΕΙΟ ΠΥΡΓΟΥ</t>
  </si>
  <si>
    <t>mail@5nip-pyrgou.ilei.sch.gr</t>
  </si>
  <si>
    <t>7ο ΝΗΠΙΑΓΩΓΕΙΟ ΠΥΡΓΟΥ</t>
  </si>
  <si>
    <t>mail@7nip-pyrgou.ilei.sch.gr</t>
  </si>
  <si>
    <t>Γορτυνίας &amp; Κιλκίς</t>
  </si>
  <si>
    <t>3ο ΝΗΠΙΑΓΩΓΕΙΟ ΠΥΡΓΟΥ</t>
  </si>
  <si>
    <t>mail@3nip-pyrgou.ilei.sch.gr</t>
  </si>
  <si>
    <t>ΠΟΣΕΙΔΩΝΟΣ 51 - ΤΕΡΜΑ  ΛΙΘΑΡΑΚΙΑ</t>
  </si>
  <si>
    <t>ΝΗΠΙΑΓΩΓΕΙΟ ΧΑΒΑΡΙΟΥ</t>
  </si>
  <si>
    <t>mail@nip-chavar.ilei.sch.gr</t>
  </si>
  <si>
    <t>ΧΑΒΑΡΙ</t>
  </si>
  <si>
    <t>ΝΗΠΙΑΓΩΓΕΙΟ ΑΡΧΑΙΑΣ ΟΛΥΜΠΙΑΣ</t>
  </si>
  <si>
    <t>mail@nip-a-olymp.ilei.sch.gr</t>
  </si>
  <si>
    <t>ΑΡΧ.ΟΛΥΜΠΙΑ</t>
  </si>
  <si>
    <t>mail@2dim-pyrgou.ilei.sch.gr</t>
  </si>
  <si>
    <t>ΕΙΚΟΣΤΗΣ ΟΓΔΟΗΣ ΟΚΤΩΒΡΙΟΥ 49</t>
  </si>
  <si>
    <t>mail@dim-gianop.ilei.sch.gr</t>
  </si>
  <si>
    <t>ΠΑΝΟΠΟΥΛΟΥ</t>
  </si>
  <si>
    <t>5ο ΝΗΠΙΑΓΩΓΕΙΟ ΑΜΑΛΙΑΔΑΣ</t>
  </si>
  <si>
    <t>mail@5nip-amaliad.ilei.sch.gr</t>
  </si>
  <si>
    <t>ΕΛ.ΒΕΝΙΖΕΛΟΥ 63</t>
  </si>
  <si>
    <t>2ο ΔΗΜΟΤΙΚΟ ΣΧΟΛΕΙΟ ΓΑΣΤΟΥΝΗΣ</t>
  </si>
  <si>
    <t>mail@2dim-gastoun.ilei.sch.gr</t>
  </si>
  <si>
    <t>ΓΑΣΤΟΥΝΗ</t>
  </si>
  <si>
    <t>ΚΑΒΑΣΙΛΑ</t>
  </si>
  <si>
    <t>mail@6dim-pyrgou.ilei.sch.gr</t>
  </si>
  <si>
    <t>ΠΑΡΟΔΟΣ ΑΓΙΟΥ ΓΕΩΡΓΙΟΥ</t>
  </si>
  <si>
    <t>4ο ΔΗΜΟΤΙΚΟ ΣΧΟΛΕΙΟ ΠΥΡΓΟΥ</t>
  </si>
  <si>
    <t>mail@4dim-pyrgou.ilei.sch.gr</t>
  </si>
  <si>
    <t>Πύργος,</t>
  </si>
  <si>
    <t>ΑΓΙΟΥ ΑΡΤΕΜΙΟΥ 1</t>
  </si>
  <si>
    <t>mail@1dim-pyrgou.ilei.sch.gr</t>
  </si>
  <si>
    <t>ΠΑΠΑΦΛΕΣΣΑ ΤΕΡΜΑ</t>
  </si>
  <si>
    <t>ΝΗΠΙΑΓΩΓΕΙΟ ΣΕΡΜΠΑΝΙ ΒΑΡΔΑΣ</t>
  </si>
  <si>
    <t>mail@nip-sermp.ilei.sch.gr</t>
  </si>
  <si>
    <t>ΣΕΡΜΠΑΝΙ ΒΑΡΔΑΣ</t>
  </si>
  <si>
    <t>5ο ΔΗΜΟΤΙΚΟ ΣΧΟΛΕΙΟ ΠΥΡΓΟΥ</t>
  </si>
  <si>
    <t>mail@5dim-pyrgou.ilei.sch.gr</t>
  </si>
  <si>
    <t>ΔΗΜΟΤΙΚΟ ΣΧΟΛΕΙΟ ΚΟΥΜΑΝΗ</t>
  </si>
  <si>
    <t>mail@dim-kouman.ilei.sch.gr</t>
  </si>
  <si>
    <t>ΚΟΥΜΑΝΗ - ΛΑΛΑΣ</t>
  </si>
  <si>
    <t>mail@dim-lampeias.ilei.sch.gr</t>
  </si>
  <si>
    <t>mail@7dim-pyrgou.ilei.sch.gr</t>
  </si>
  <si>
    <t>ΠΥΡΓΟΣ,</t>
  </si>
  <si>
    <t>ΟΛΥΜΠΙΩΝ 2</t>
  </si>
  <si>
    <t>2ο ΝΗΠΙΑΓΩΓΕΙΟ ΑΝΔΡΑΒΙΔΑΣ</t>
  </si>
  <si>
    <t>mail@2nip-andrav.ilei.sch.gr</t>
  </si>
  <si>
    <t>ΝΗΠΙΑΓΩΓΕΙΟ ΠΕΡΙΣΤΕΡΙΟΥ</t>
  </si>
  <si>
    <t>mail@nip-perist.ilei.sch.gr</t>
  </si>
  <si>
    <t>1ο ΝΗΠΙΑΓΩΓΕΙΟ ΑΜΑΛΙΑΔΑΣ</t>
  </si>
  <si>
    <t>mail@1nip-amaliad.ilei.sch.gr</t>
  </si>
  <si>
    <t>ΤΕΡΜΑ ΠΛΑΤΩΝΟΣ Κ ΚΥΝΟΥΡΙΑΣ</t>
  </si>
  <si>
    <t>ΝΗΠΙΑΓΩΓΕΙΟ ΛΥΓΙΑΣ</t>
  </si>
  <si>
    <t>mail@nip-lygias.ilei.sch.gr</t>
  </si>
  <si>
    <t>ΝΗΠΙΑΓΩΓΕΙΟ ΒΑΡΔΑΣ</t>
  </si>
  <si>
    <t>mail@1nip-vardas.ilei.sch.gr</t>
  </si>
  <si>
    <t>ΒΑΡΔΑ</t>
  </si>
  <si>
    <t>2ο ΝΗΠΙΑΓΩΓΕΙΟ ΒΑΡΘΟΛΟΜΙΟ</t>
  </si>
  <si>
    <t>mail@2nip-varth.ilei.sch.gr</t>
  </si>
  <si>
    <t>ΝΗΠΙΑΓΩΓΕΙΟ ΚΑΒΑΣΙΛΑ</t>
  </si>
  <si>
    <t>mail@nip-kavas.ilei.sch.gr</t>
  </si>
  <si>
    <t>ΚΑΡΔΙΑΚΑΥΤΙΟΥ 25</t>
  </si>
  <si>
    <t>ΚΑΣΤΡΟΥ</t>
  </si>
  <si>
    <t>ΝΗΠΙΑΓΩΓΕΙΟ ΚΑΣΤΡΟ</t>
  </si>
  <si>
    <t>mail@nip-kastr.ilei.sch.gr</t>
  </si>
  <si>
    <t>ΚΑΣΤΡΟ</t>
  </si>
  <si>
    <t>ΚΑΣΤΡΟ ΗΛΕΙΑΣ</t>
  </si>
  <si>
    <t>ΑΜΠΕΛΟΚΑΜΠΟΥ</t>
  </si>
  <si>
    <t>ΝΗΠΙΑΓΩΓΕΙΟ ΑΜΠΕΛΟΚΑΜΠΟΥ</t>
  </si>
  <si>
    <t>mail@nip-ampel.ilei.sch.gr</t>
  </si>
  <si>
    <t>ΑΜΠΕΛΟΚΑΜΠΟΣ</t>
  </si>
  <si>
    <t>ΓΕΡΑΚΙΟΥ</t>
  </si>
  <si>
    <t>ΝΗΠΙΑΓΩΓΕΙΟ ΓΕΡΑΚΙΟΥ</t>
  </si>
  <si>
    <t>mail@nip-gerak.ilei.sch.gr</t>
  </si>
  <si>
    <t>ΓΕΡΑΚΙ</t>
  </si>
  <si>
    <t>ΔΟΥΝΑΙΙΚΩΝ</t>
  </si>
  <si>
    <t>ΝΗΠΙΑΓΩΓΕΙΟ ΔΟΥΝΕΙΚΩΝ</t>
  </si>
  <si>
    <t>mail@nip-dounaik.ilei.sch.gr</t>
  </si>
  <si>
    <t>ΔΟΥΝΕΊΚΩΝ</t>
  </si>
  <si>
    <t>ΔΟΥΝΕΙΚΑ</t>
  </si>
  <si>
    <t>ΝΗΠΙΑΓΩΓΕΙΟ ΕΦΥΡΑΣ</t>
  </si>
  <si>
    <t>mail@nip-efyras.ilei.sch.gr</t>
  </si>
  <si>
    <t>ΚΑΛΥΒΙΩΝ ΗΛΙΔΟΣ</t>
  </si>
  <si>
    <t>ΝΗΠΙΑΓΩΓΕΙΟ ΚΑΛΥΒΙΩΝ ΗΛΙΔΑΣ</t>
  </si>
  <si>
    <t>mail@nip-kalyv.ilei.sch.gr</t>
  </si>
  <si>
    <t>ΚΑΛΥΒΙΩΝ ΗΛΙΔΑΣ</t>
  </si>
  <si>
    <t>ΚΑΛΥΒΙΑ ΗΛΙΔΑΣ</t>
  </si>
  <si>
    <t>ΚΕΝΤΡΟΥ</t>
  </si>
  <si>
    <t>ΝΗΠΙΑΓΩΓΕΙΟ ΚΕΝΤΡΟΥ</t>
  </si>
  <si>
    <t>mail@nip-kentr.ilei.sch.gr</t>
  </si>
  <si>
    <t>ΡΟΥΠΑΚΙΟΥ</t>
  </si>
  <si>
    <t>ΝΗΠΙΑΓΩΓΕΙΟ ΡΟΥΠΑΚΙΟΥ</t>
  </si>
  <si>
    <t>mail@nip-roupak.ilei.sch.gr</t>
  </si>
  <si>
    <t>ΡΟΥΠΑΚΙ</t>
  </si>
  <si>
    <t>1ο ΝΗΠΙΑΓΩΓΕΙΟ ΒΑΡΘΟΛΟΜΙΟΥ</t>
  </si>
  <si>
    <t>mail@1nip-varthol.ilei.sch.gr</t>
  </si>
  <si>
    <t>ΗΛΙΑ ΚΟΥΛΙΑΝΤΩΝΗ &amp; ΟΠΛΑΡΧΗΓΟΥ ΒΕΡΡΑ</t>
  </si>
  <si>
    <t>mail@5dim-amaliad.ilei.sch.gr</t>
  </si>
  <si>
    <t>mail@1dim-lechain.ilei.sch.gr</t>
  </si>
  <si>
    <t>ΤΕΡΜΑ Γ. ΔΡΟΣΙΝΗ</t>
  </si>
  <si>
    <t>ΝΕΑΣ ΜΑΝΟΛΑΔΟΣ</t>
  </si>
  <si>
    <t>ΝΗΠΙΑΓΩΓΕΙΟ ΝΕΑΣ ΜΑΝΟΛΑΔΑΣ</t>
  </si>
  <si>
    <t>mail@nip-n-manol.ilei.sch.gr</t>
  </si>
  <si>
    <t>Ν.ΜΑΝΟΛΑΔΑ</t>
  </si>
  <si>
    <t>ΠΑΤΡΩΝ-ΠΥΡΓΟΥ-Π.Ε.Ο</t>
  </si>
  <si>
    <t>3ο ΔΗΜΟΤΙΚΟ ΣΧΟΛΕΙΟ ΓΑΣΤΟΥΝΗΣ</t>
  </si>
  <si>
    <t>mail@3dim-gastoun.ilei.sch.gr</t>
  </si>
  <si>
    <t>ΚΑΡΑΪΣΚΟΥ 9</t>
  </si>
  <si>
    <t>ΔΗΜΟΤΙΚΟ ΣΧΟΛΕΙΟ ΚΕΝΤΡΟΥ</t>
  </si>
  <si>
    <t>mail@dim-kentr.ilei.sch.gr</t>
  </si>
  <si>
    <t>ΕΙΔΙΚΟ ΔΗΜΟΤΙΚΟ ΣΧΟΛΕΙΟ ΛΕΧΑΙΝΩΝ</t>
  </si>
  <si>
    <t>mail@dim-eid-lechain.ilei.sch.gr</t>
  </si>
  <si>
    <t>Γεωργίου Δροσίνη Τέρμα</t>
  </si>
  <si>
    <t>ΔΗΜΟΤΙΚΟ ΣΧΟΛΕΙΟ ΠΕΡΙΣΤΕΡΙΟΥ ΗΛΕΙΑΣ</t>
  </si>
  <si>
    <t>mail@dim-perist.ilei.sch.gr</t>
  </si>
  <si>
    <t>ΚΑΤΩ ΠΑΝΑΓΙΑΣ</t>
  </si>
  <si>
    <t>ΝΗΠΙΑΓΩΓΕΙΟ ΑΕΡΟΠΟΡΙΚΗΣ ΒΑΣΗΣ ΑΝΔΡΑΒΙΔΑΣ - ΙΚΑΡΟΣ</t>
  </si>
  <si>
    <t>mail@nip-av-andrav.ilei.sch.gr</t>
  </si>
  <si>
    <t>ΑΕΡΟΠ.ΒΑΣΗ ΑΝΔΡΑΒΙΔΑΣ</t>
  </si>
  <si>
    <t>ΑΕΡΟΠ.ΒΑΣΗ ΑΝΔΡΑΒΙΔΑΣ ΔΙΑΣΠΟΡΑ</t>
  </si>
  <si>
    <t>ΔΗΜΟΤΙΚΟ ΣΧΟΛΕΙΟ ΕΦΥΡΑΣ</t>
  </si>
  <si>
    <t>mail@dim-efyras.ilei.sch.gr</t>
  </si>
  <si>
    <t>1ο ΝΗΠΙΑΓΩΓΕΙΟ ΑΝΔΡΑΒΙΔΑΣ</t>
  </si>
  <si>
    <t>mail@1nip-andrav.ilei.sch.gr</t>
  </si>
  <si>
    <t>ΕΘΝΙΚΗΣ ΑΝΤΙΣΤΑΣΗΣ 1</t>
  </si>
  <si>
    <t>ΜΑΝΟΛΑΔΟΣ</t>
  </si>
  <si>
    <t>ΝΗΠΙΑΓΩΓΕΙΟ ΜΑΝΟΛΑΔΑ</t>
  </si>
  <si>
    <t>mail@nip-manol.ilei.sch.gr</t>
  </si>
  <si>
    <t>ΜΑΝΟΛΑΔΑ</t>
  </si>
  <si>
    <t>ΣΑΚΗ ΒΑΛΟΓΙΑΝΝΗ</t>
  </si>
  <si>
    <t>mail@6dim-amaliad.ilei.sch.gr</t>
  </si>
  <si>
    <t>ΝΗΠΙΑΓΩΓΕΙΟ ΤΡΑΓΑΝΟΥ</t>
  </si>
  <si>
    <t>mail@nip-tragan.ilei.sch.gr</t>
  </si>
  <si>
    <t>ΤΡΑΓΑΝΟ</t>
  </si>
  <si>
    <t>2ο ΝΗΠΙΑΓΩΓΕΙΟ ΛΕΧΑΙΝΩΝ</t>
  </si>
  <si>
    <t>mail@2nip-lechain.ilei.sch.gr</t>
  </si>
  <si>
    <t>ΑΛΑΜΑΝΑΣ 4</t>
  </si>
  <si>
    <t>1ο ΝΗΠΙΑΓΩΓΕΙΟ ΛΕΧΑΙΝΩΝ</t>
  </si>
  <si>
    <t>mail@1nip-lechain.ilei.sch.gr</t>
  </si>
  <si>
    <t>1ο ΔΗΜΟΤΙΚΟ ΣΧΟΛΕΙΟ ΑΜΑΛΙΑΔΑΣ</t>
  </si>
  <si>
    <t>mail@1dim-amaliad.ilei.sch.gr</t>
  </si>
  <si>
    <t>ΕΥΑΓΓΕΛΙΣΤΡΙΑΣ 140</t>
  </si>
  <si>
    <t>ΜΠΟΡΣΙΟΝ</t>
  </si>
  <si>
    <t>ΝΗΠΙΑΓΩΓΕΙΟ ΜΠΟΡΣΙ</t>
  </si>
  <si>
    <t>mail@nip-borsiou.ilei.sch.gr</t>
  </si>
  <si>
    <t>ΜΠΟΡΣΙ</t>
  </si>
  <si>
    <t>ΜΥΡΣΙΝΗΣ</t>
  </si>
  <si>
    <t>ΔΗΜΟΤΙΚΟ ΣΧΟΛΕΙΟ ΜΥΡΣΙΝΗΣ</t>
  </si>
  <si>
    <t>mail@dim-myrsin.ilei.sch.gr</t>
  </si>
  <si>
    <t>Μυρσίνη,</t>
  </si>
  <si>
    <t>28ης  ΟΚΤΩΒΡΙΟΥ 68</t>
  </si>
  <si>
    <t>ΔΗΜΟΤΙΚΟ ΣΧΟΛΕΙΟ ΚΑΤΩ ΠΑΝΑΓΙΑΣ - ΚΥΛΛΗΝΗΣ</t>
  </si>
  <si>
    <t>mail@dim-kat-panag.ilei.sch.gr</t>
  </si>
  <si>
    <t>ΚΑΤΩ ΠΑΝΑΓΙΑ</t>
  </si>
  <si>
    <t>mail@2dim-amaliad.ilei.sch.gr</t>
  </si>
  <si>
    <t>Αμαλιάδα,</t>
  </si>
  <si>
    <t>Τέρμα Βύρωνος</t>
  </si>
  <si>
    <t>mail@dim-chavar.ilei.sch.gr</t>
  </si>
  <si>
    <t>mail@dim-vasil.ilei.sch.gr</t>
  </si>
  <si>
    <t>ΒΑΣΙΛΑΚΙ - ΑΡΧΑΙΑ ΟΛΥΜΠΙΑ</t>
  </si>
  <si>
    <t>mail@dim-simop.ilei.sch.gr</t>
  </si>
  <si>
    <t>ΣΙΜΟΠΟΥΛΟ-ΗΛΕΙΑΣ</t>
  </si>
  <si>
    <t>ΕΙΔΙΚΟ ΔΗΜΟΤΙΚΟ ΣΧΟΛΕΙΟ ΠΥΡΓΟΥ</t>
  </si>
  <si>
    <t>mail@dim-eid-pyrgou.ilei.sch.gr</t>
  </si>
  <si>
    <t>Λαστέικα</t>
  </si>
  <si>
    <t>mail@1dim-gastoun.ilei.sch.gr</t>
  </si>
  <si>
    <t>ΔΗΜΟΤΙΚΟ ΣΧΟΛΕΙΟ ΑΜΠΕΛΟΚΑΜΠΟΥ</t>
  </si>
  <si>
    <t>mail@dim-ampel.ilei.sch.gr</t>
  </si>
  <si>
    <t>ΔΗΜΟΤΙΚΟ ΣΧΟΛΕΙΟ ΜΠΟΡΣΙΟΥ "ΒΑΣΙΛΕΙΟΣ ΤΣΑΟΥΣΗΣ"</t>
  </si>
  <si>
    <t>mail@dim-borsiou.ilei.sch.gr</t>
  </si>
  <si>
    <t>ΔΗΜΟΤΙΚΟ ΣΧΟΛΕΙΟ ΡΟΥΠΑΚΙΟΥ</t>
  </si>
  <si>
    <t>mail@dim-roupak.ilei.sch.gr</t>
  </si>
  <si>
    <t>mail@2dim-varth.ilei.sch.gr</t>
  </si>
  <si>
    <t>Βαρθολομιό,</t>
  </si>
  <si>
    <t>ΑΓΙΑΣ ΕΛΕΟΥΣΗΣ 7</t>
  </si>
  <si>
    <t>mail@dim-kardam.ilei.sch.gr</t>
  </si>
  <si>
    <t>mail@dim-goumer.ilei.sch.gr</t>
  </si>
  <si>
    <t xml:space="preserve">Γούμερο </t>
  </si>
  <si>
    <t>4/Θ ΦΟΥΦΕΙΟ ΕΙΔΙΚΟ ΔΗΜΟΤΙΚΟ ΣΧΟΛΕΙΟ ΑΜΑΛΙΑΔΑΣ</t>
  </si>
  <si>
    <t>mail@dim-eid-amaliad.ilei.sch.gr</t>
  </si>
  <si>
    <t>ΤΕΡΜΑ ΑΘΗΝΩΝ</t>
  </si>
  <si>
    <t>mail@3dim-amaliad.ilei.sch.gr</t>
  </si>
  <si>
    <t>ΠΥΡΡΩΝΟΣ 75</t>
  </si>
  <si>
    <t>mail@dim-saval.ilei.sch.gr</t>
  </si>
  <si>
    <t>ΔΗΜΟΤΙΚΟ ΣΧΟΛΕΙΟ ΕΛΑΙΩΝΑ</t>
  </si>
  <si>
    <t>mail@dim-elaion.ilei.sch.gr</t>
  </si>
  <si>
    <t>mail@dim-krest.ilei.sch.gr</t>
  </si>
  <si>
    <t>ΚΟΥΡΤΕΣΙΟΥ (ΚΟΥΡΤΕΣΗ)</t>
  </si>
  <si>
    <t>ΔΗΜΟΤΙΚΟ ΣΧΟΛΕΙΟ ΚΟΥΡΤΕΣΙΟΥ</t>
  </si>
  <si>
    <t>mail@dim-kourt.ilei.sch.gr</t>
  </si>
  <si>
    <t>ΚΟΥΡΤΕΣΙ</t>
  </si>
  <si>
    <t>ΧΕΛΙΔΟΝΙΟΥ</t>
  </si>
  <si>
    <t>ΔΗΜΟΤΙΚΟ ΣΧΟΛΕΙΟ ΧΕΛΙΔΟΝΙΟΥ</t>
  </si>
  <si>
    <t>mail@dim-chelid.ilei.sch.gr</t>
  </si>
  <si>
    <t>ΧΕΛΙΔΟΝΙ</t>
  </si>
  <si>
    <t>ΜΟΥΖΑΚΙΟΥ</t>
  </si>
  <si>
    <t>ΔΗΜΟΤΙΚΟ ΣΧΟΛΕΙΟ ΜΟΥΖΑΚΙΟΥ ΗΛΕΙΑΣ</t>
  </si>
  <si>
    <t>mail@dim-mouzak.ilei.sch.gr</t>
  </si>
  <si>
    <t>Μουζάκι</t>
  </si>
  <si>
    <t>ΑΛΠΟΧΩΡΙΟΥ</t>
  </si>
  <si>
    <t>ΔΗΜΟΤΙΚΟ ΣΧΟΛΕΙΟ ΑΛΠΟΧΩΡΙΟΥ</t>
  </si>
  <si>
    <t>dimalpoch@sch.gr</t>
  </si>
  <si>
    <t>ΑΛΠΟΧΩΡΙ</t>
  </si>
  <si>
    <t>ΑΛΠΟΧΩΡΙ ΗΛΕΙΑΣ</t>
  </si>
  <si>
    <t>ΔΗΜΟΤΙΚΟ ΣΧΟΛΕΙΟ ΩΛΕΝΑΣ</t>
  </si>
  <si>
    <t>mail@dim-olenis.ilei.sch.gr</t>
  </si>
  <si>
    <t>ΩΛΕΝΑ</t>
  </si>
  <si>
    <t>ΩΛΕΝΗ</t>
  </si>
  <si>
    <t>ΧΕΙΜΑΔΙΟΥ</t>
  </si>
  <si>
    <t>ΔΗΜΟΤΙΚΟ ΣΧΟΛΕΙΟ ΧΕΙΜΑΔΙΟ</t>
  </si>
  <si>
    <t>dimcheim@sch.gr</t>
  </si>
  <si>
    <t>ΧΕΙΜΑΔΙΟ</t>
  </si>
  <si>
    <t>ΑΥΓΕΙΟΥ</t>
  </si>
  <si>
    <t>ΔΗΜΟΤΙΚΟ ΣΧΟΛΕΙΟ ΑΥΓΕΙΟΥ</t>
  </si>
  <si>
    <t>mail@dim-avgeiou.ilei.sch.gr</t>
  </si>
  <si>
    <t>ΑΥΓΕΙΟ</t>
  </si>
  <si>
    <t>ΣΑΛΜΩΝΗΣ</t>
  </si>
  <si>
    <t>ΔΗΜΟΤΙΚΟ ΣΧΟΛΕΙΟ ΣΑΛΜΩΝΗΣ</t>
  </si>
  <si>
    <t>mail@dim-salmon.ilei.sch.gr</t>
  </si>
  <si>
    <t>ΣΚΟΥΡΟΧΩΡΙΟΥ</t>
  </si>
  <si>
    <t>mail@dim-skour.ilei.sch.gr</t>
  </si>
  <si>
    <t>ΣΚΟΥΡΟΧΩΡΙ</t>
  </si>
  <si>
    <t>ΠΥΡΓΟΥ-ΣΚΑΦΙΔΙΑΣ</t>
  </si>
  <si>
    <t>dimkarat@sch.gr</t>
  </si>
  <si>
    <t>ΚΑΡΑΤΟΥΛΑ,</t>
  </si>
  <si>
    <t>ΔΗΜΟΤΙΚΟ ΣΧΟΛΕΙΟ ΔΟΥΝΕΪΚΩΝ ΗΛΕΙΑΣ</t>
  </si>
  <si>
    <t>mail@dim-dounaik.ilei.sch.gr</t>
  </si>
  <si>
    <t>ΔΟΥΝΕΪΚΑ</t>
  </si>
  <si>
    <t>8ο ΔΗΜΟΤΙΚΟ ΣΧΟΛΕΙΟ ΠΥΡΓΟΥ</t>
  </si>
  <si>
    <t>mail@8dim-pyrgou.ilei.sch.gr</t>
  </si>
  <si>
    <t>ΚΑΛΛΙΚΩΜΟΥ</t>
  </si>
  <si>
    <t>ΔΗΜΟΤΙΚΟ ΣΧΟΛΕΙΟ ΚΑΛΛΙΚΩΜΟΥ</t>
  </si>
  <si>
    <t>mail@dim-kallik.ilei.sch.gr</t>
  </si>
  <si>
    <t>Καλλίκωμο</t>
  </si>
  <si>
    <t>ΚΑΛΛΙΚΩΜΟ</t>
  </si>
  <si>
    <t>ΑΛΦΕΙΟΥΣΗΣ</t>
  </si>
  <si>
    <t>ΔΗΜΟΤΙΚΟ ΣΧΟΛΕΙΟ ΑΛΦΕΙΟΥΣΑΣ</t>
  </si>
  <si>
    <t>dimalf@sch.gr</t>
  </si>
  <si>
    <t>ΑΛΦΕΙΟΥΣΑ</t>
  </si>
  <si>
    <t>ΔΗΜΟΤΙΚΟ ΣΧΟΛΕΙΟ ΒΑΡΒΑΣΑΙΝΑΣ</t>
  </si>
  <si>
    <t>dimvar@sch.gr</t>
  </si>
  <si>
    <t>Βαρβάσαινα</t>
  </si>
  <si>
    <t>ΒΑΡΒΑΣΑΙΝΑ ΠΥΡΓΟΥ, 0</t>
  </si>
  <si>
    <t>mail@dim-pelop.ilei.sch.gr</t>
  </si>
  <si>
    <t>mail@4dim-amaliad.ilei.sch.gr</t>
  </si>
  <si>
    <t>ΚΟΥΡΟΓΙΑΝΝΟΠΟΥΛΟΥ 41</t>
  </si>
  <si>
    <t>mail@dim-vounarg.ilei.sch.gr</t>
  </si>
  <si>
    <t>mail@dim-andrav.ilei.sch.gr</t>
  </si>
  <si>
    <t>ΔΗΜΟΤΙΚΟ ΣΧΟΛΕΙΟ ΑΓΙΟΣ ΓΕΩΡΓΙΟΣ</t>
  </si>
  <si>
    <t>mail@dim-ag-georg.ilei.sch.gr</t>
  </si>
  <si>
    <t>ΑΜΠΕΛΩΝΟΣ</t>
  </si>
  <si>
    <t>ΔΗΜΟΤΙΚΟ ΣΧΟΛΕΙΟ ΑΜΠΕΛΩΝΑ</t>
  </si>
  <si>
    <t>mail@dim-ampelon.ilei.sch.gr</t>
  </si>
  <si>
    <t>ΑΜΠΕΛΩΝΑΣ</t>
  </si>
  <si>
    <t>mail@dim-lala.ilei.sch.gr</t>
  </si>
  <si>
    <t>Κ.ΚΟΛΛΙΑ</t>
  </si>
  <si>
    <t>ΔΙΑΣΕΛΛΩΝ</t>
  </si>
  <si>
    <t>ΔΗΜΟΤΙΚΟ ΣΧΟΛΕΙΟ ΔΙΑΣΕΛΛΩΝ</t>
  </si>
  <si>
    <t>mail@dim-diasell.ilei.sch.gr</t>
  </si>
  <si>
    <t>Διάσελλα</t>
  </si>
  <si>
    <t>dimepit@sch.gr</t>
  </si>
  <si>
    <t>Β. ΠΑΥΛΟΥ</t>
  </si>
  <si>
    <t>ΑΜΥΓΔΑΛΕΩΝ</t>
  </si>
  <si>
    <t>ΔΗΜΟΤΙΚΟ ΣΧΟΛΕΙΟ ΛΕΥΚΗΣ</t>
  </si>
  <si>
    <t>mail@dim-lefkis.ilei.sch.gr</t>
  </si>
  <si>
    <t>ΛΕΥΚΗΣ</t>
  </si>
  <si>
    <t>ΛΕΥΚΗ</t>
  </si>
  <si>
    <t>ΓΙΑΝΝΙΤΣΟΧΩΡΙΟΥ</t>
  </si>
  <si>
    <t>ΔΗΜΟΤΙΚΟ ΣΧΟΛΕΙΟ ΓΙΑΝΝΙΤΣΟΧΩΡΙΟΥ</t>
  </si>
  <si>
    <t>mail@dim-giann.ilei.sch.gr</t>
  </si>
  <si>
    <t>ΓΙΑΝΝΙΤΣΟΧΩΡΙ</t>
  </si>
  <si>
    <t>ΔΗΜΟΤΙΚΟ ΣΧΟΛΕΙΟ ΚΑΣΤΡΟΥ</t>
  </si>
  <si>
    <t>mail@dim-kastr.ilei.sch.gr</t>
  </si>
  <si>
    <t>Κάστρο</t>
  </si>
  <si>
    <t>ΔΗΜΟΤΙΚΟ ΣΧΟΛΕΙΟ ΚΑΒΑΣΙΛΑ</t>
  </si>
  <si>
    <t>mail@dim-kavas.ilei.sch.gr</t>
  </si>
  <si>
    <t>mail@dim-n-fygal.ilei.sch.gr</t>
  </si>
  <si>
    <t>mail@dim-olymp.ilei.sch.gr</t>
  </si>
  <si>
    <t>Αρχαία Ολυμπία</t>
  </si>
  <si>
    <t>Αρχ. Ολυμπία</t>
  </si>
  <si>
    <t>ΠΛΑΤΙΑΝΑΣ</t>
  </si>
  <si>
    <t>ΔΗΜΟΤΙΚΟ ΣΧΟΛΕΙΟ ΠΛΑΤΙΑΝΑΣ</t>
  </si>
  <si>
    <t>mail@dim-platian.ilei.sch.gr</t>
  </si>
  <si>
    <t>ΠΛΑΤΙΑΝΑ</t>
  </si>
  <si>
    <t>mail@dim-andrits.ilei.sch.gr</t>
  </si>
  <si>
    <t>10ο ΔΗΜΟΤΙΚΟ ΣΧΟΛΕΙΟ ΠΥΡΓΟΥ</t>
  </si>
  <si>
    <t>mail@10dim-pyrgou.ilei.sch.gr</t>
  </si>
  <si>
    <t>ΤΕΡΜΑ ΑΡΧΙΜΗΔΟΥΣ</t>
  </si>
  <si>
    <t>ΦΡΙΞΗΣ</t>
  </si>
  <si>
    <t>ΔΗΜΟΤΙΚΟ ΣΧΟΛΕΙΟ ΦΡΙΞΑΣ</t>
  </si>
  <si>
    <t>mail@dim-frixas.ilei.sch.gr</t>
  </si>
  <si>
    <t>ΦΡΙΞΑ</t>
  </si>
  <si>
    <t>mail@dim-makris.ilei.sch.gr</t>
  </si>
  <si>
    <t>ΔΗΜΟΤΙΚΟ ΣΧΟΛΕΙΟ ΜΥΡΤΙΑΣ ΗΛΕΙΑΣ</t>
  </si>
  <si>
    <t>mail@dim-myrteas.ilei.sch.gr</t>
  </si>
  <si>
    <t>ΜΥΡΤΙΑ ΗΛΕΙΑΣ</t>
  </si>
  <si>
    <t>ΔΗΜΟΤΙΚΟ ΣΧΟΛΕΙΟ ΜΥΡΤΙΑΣ</t>
  </si>
  <si>
    <t>ΔΗΜΟΤΙΚΟ ΣΧΟΛΕΙΟ ΜΑΝΟΛΑΔΑΣ</t>
  </si>
  <si>
    <t>mail@dim-manol.ilei.sch.gr</t>
  </si>
  <si>
    <t>ΔΗΜΟΤΙΚΟ ΣΧΟΛΕΙΟ ΝΕΑΣ ΜΑΝΟΛΑΔΑΣ</t>
  </si>
  <si>
    <t>mail@dim-n-manol.ilei.sch.gr</t>
  </si>
  <si>
    <t>ΝΕΑ ΜΑΝΟΛΑΔΑ</t>
  </si>
  <si>
    <t>ΝΕΑ ΜΑΝΩΛΑΔΑ</t>
  </si>
  <si>
    <t>ΛΑΤΖΟΪΟΥ</t>
  </si>
  <si>
    <t>ΝΗΠΙΑΓΩΓΕΙΟ ΛΑΤΖΟΪΟΥ</t>
  </si>
  <si>
    <t>mail@nip-lantz.ilei.sch.gr</t>
  </si>
  <si>
    <t>ΛΑΤΖΟΪ</t>
  </si>
  <si>
    <t>ΝΗΠΙΑΓΩΓΕΙΟ ΒΑΣΙΛΑΚΙΟY</t>
  </si>
  <si>
    <t>mail@nip-vasil.ilei.sch.gr</t>
  </si>
  <si>
    <t>ΒΑΣΙΛΑΚΙ ΑΡΧ.ΟΛΥΜΠΙΑΣ</t>
  </si>
  <si>
    <t>ΝΗΠΙΑΓΩΓΕΙΟ ΧΑΝΑΚΙΩΝ</t>
  </si>
  <si>
    <t>mail@nip-chan.ilei.sch.gr</t>
  </si>
  <si>
    <t>ΧΑΝΑΚΙΑ</t>
  </si>
  <si>
    <t>ΝΗΠΙΑΓΩΓΕΙΟ ΧΕΛΙΔΟΝΙ</t>
  </si>
  <si>
    <t>mail@nip-chelid.ilei.sch.gr</t>
  </si>
  <si>
    <t>ΝΗΠΙΑΓΩΓΕΙΟ ΚΑΡΑΤΟΥΛΑ</t>
  </si>
  <si>
    <t>mail@nip-karat.ilei.sch.gr</t>
  </si>
  <si>
    <t>ΝΗΠΙΑΓΩΓΕΙΟ ΣΚΟΥΡΟΧΩΡΙ</t>
  </si>
  <si>
    <t>mail@nip-skour.ilei.sch.gr</t>
  </si>
  <si>
    <t>ΝΗΠΙΑΓΩΓΕΙΟ ΩΛΕΝΑ</t>
  </si>
  <si>
    <t>mail@nip-olenis.ilei.sch.gr</t>
  </si>
  <si>
    <t>ΝΗΠΙΑΓΩΓΕΙΟ ΜΟΥΖΑΚΙ</t>
  </si>
  <si>
    <t>mail@nip-mouzak.ilei.sch.gr</t>
  </si>
  <si>
    <t>ΜΟΥΖΑΚΙ</t>
  </si>
  <si>
    <t>ΝΗΠΙΑΓΩΓΕΙΟ  ΑΓΙΟΣ ΓΕΩΡΓΙΟΣ</t>
  </si>
  <si>
    <t>mail@nip-ag-georg.ilei.sch.gr</t>
  </si>
  <si>
    <t>ΑΓ.ΓΕΩΡΓΙΟΣ ΠΥΡΓΟΥ</t>
  </si>
  <si>
    <t>ΑΓΙΟΣ ΓΕΩΡΓΙΟΣ ΠΥΡΓΟΥ</t>
  </si>
  <si>
    <t>mail@dim-zachar.ilei.sch.gr</t>
  </si>
  <si>
    <t>ΖΑΧΑΡΩ</t>
  </si>
  <si>
    <t>ΝΗΠΙΑΓΩΓΕΙΟ ΚΡΕΣΤΕΝΩΝ</t>
  </si>
  <si>
    <t>mail@nip-krest.ilei.sch.gr</t>
  </si>
  <si>
    <t>ΝΗΠΙΑΓΩΓΕΙΟ ΑΝΔΡΙΤΣΑΙΝΑΣ</t>
  </si>
  <si>
    <t>mail@nip-andrits.ilei.sch.gr</t>
  </si>
  <si>
    <t>1ο ΝΗΠΙΑΓΩΓΕΙΟ ΖΑΧΑΡΩΣ</t>
  </si>
  <si>
    <t>mail@1nip-zachar.ilei.sch.gr</t>
  </si>
  <si>
    <t>2ο ΝΗΠΙΑΓΩΓΕΙΟ ΖΑΧΑΡΩΣ</t>
  </si>
  <si>
    <t>mail@2nip-zachar.ilei.sch.gr</t>
  </si>
  <si>
    <t>ΝΗΠΙΑΓΩΓΕΙΟ ΜΑΚΡΙΣΙΩΝ</t>
  </si>
  <si>
    <t>mail@nip-makris.ilei.sch.gr</t>
  </si>
  <si>
    <t>ΝΗΠΙΑΓΩΓΕΙΟ ΓΙΑΝΝΙΤΣΟΧΩΡΙΟΥ</t>
  </si>
  <si>
    <t>mail@nip-giann.ilei.sch.gr</t>
  </si>
  <si>
    <t>ΝΗΠΙΑΓΩΓΕΙΟ ΚΑΛΛΙΚΩΜΟΥ</t>
  </si>
  <si>
    <t>mail@nip-kallik.ilei.sch.gr</t>
  </si>
  <si>
    <t>ΝΗΠΙΑΓΩΓΕΙΟ ΛΕΥΚΗΣ ΗΛΕΙΑΣ</t>
  </si>
  <si>
    <t>mail@nip-lefkis.ilei.sch.gr</t>
  </si>
  <si>
    <t xml:space="preserve">   ΛΕΥΚΗΣ</t>
  </si>
  <si>
    <t>ΝΗΠΙΑΓΩΓΕΙΟ ΝΕΑΣ ΦΙΓΑΛΕΙΑΣ</t>
  </si>
  <si>
    <t>ioanna7krits@gmail.com</t>
  </si>
  <si>
    <t>ΚΑΚΟΒΑΤΟΥ</t>
  </si>
  <si>
    <t>ΔΗΜΟΤΙΚΟ ΣΧΟΛΕΙΟ ΚΑΚΟΒΑΤΟΥ</t>
  </si>
  <si>
    <t>mail@dim-kakov.ilei.sch.gr</t>
  </si>
  <si>
    <t>ΚΑΚΟΒΑΤΟΣ</t>
  </si>
  <si>
    <t>ΝΗΠΙΑΓΩΓΕΙΟ ΑΜΠΕΛΩΝΑ</t>
  </si>
  <si>
    <t>mail@nip-ampelon.ilei.sch.gr</t>
  </si>
  <si>
    <t>ΑΜΠΕΛΩΝΑ</t>
  </si>
  <si>
    <t>ΝΗΠΙΑΓΩΓΕΙΟ ΣΑΛΜΩΝΗΣ</t>
  </si>
  <si>
    <t>mail@nip-salmon.ilei.sch.gr</t>
  </si>
  <si>
    <t>ΚΑΤΑΚΟΛΟΥ</t>
  </si>
  <si>
    <t>ΝΗΠΙΑΓΩΓΕΙΟ ΚΑΤΑΚΟΛΟΥ</t>
  </si>
  <si>
    <t>mail@nip-katak.ilei.sch.gr</t>
  </si>
  <si>
    <t>ΚΑΤΑΚΟΛΟ</t>
  </si>
  <si>
    <t>ΠΡΑΣΙΝΟΥ</t>
  </si>
  <si>
    <t>ΝΗΠΙΑΓΩΓΕΙΟ ΠΡΑΣΙΝΟΥ Ν ΗΛΕΙΑΣ</t>
  </si>
  <si>
    <t>mail@nip-prasin.ilei.sch.gr</t>
  </si>
  <si>
    <t>ΠΡΑΣΙΝΟ</t>
  </si>
  <si>
    <t>ΝΗΠΙΑΓΩΓΕΙΟ ΛΑΛΑ</t>
  </si>
  <si>
    <t>mail@nip-lala.ilei.sch.gr</t>
  </si>
  <si>
    <t>ΝΗΠΙΑΓΩΓΕΙΟ ΑΛΦΕΙΟΥΣΑ</t>
  </si>
  <si>
    <t>mail@nip-alfeious.ilei.sch.gr</t>
  </si>
  <si>
    <t>ΛΑΝΘΙΟΥ</t>
  </si>
  <si>
    <t>ΔΗΜΟΤΙΚΟ ΣΧΟΛΕΙΟ ΛΑΝΘΙΟΥ</t>
  </si>
  <si>
    <t>mail@dim-lanth.ilei.sch.gr</t>
  </si>
  <si>
    <t>ΛΑΝΘΙ</t>
  </si>
  <si>
    <t>ΚΟΥΤΣΟΧΕΡΑΣ</t>
  </si>
  <si>
    <t>ΔΗΜΟΤΙΚΟ ΣΧΟΛΕΙΟ ΚΟΥΤΣΟΧΕΡΑΣ</t>
  </si>
  <si>
    <t>mail@dim-kouts.ilei.sch.gr</t>
  </si>
  <si>
    <t>ΚΟΥΤΣΟΧΕΡΑ</t>
  </si>
  <si>
    <t>ΔΗΜΟΤΙΚΟ ΣΧΟΛΕΙΟ ΚΑΤΑΚΟΛΟΥ</t>
  </si>
  <si>
    <t>mail@dim-katak.ilei.sch.gr</t>
  </si>
  <si>
    <t>mail@2dim-lechain.ilei.sch.gr</t>
  </si>
  <si>
    <t>ΕΙΔΙΚΟ ΔΗΜΟΤΙΚΟ ΣΧΟΛΕΙΟ ΚΡΕΣΤΕΝΩΝ</t>
  </si>
  <si>
    <t>mail@dim-eid-krest.ilei.sch.gr</t>
  </si>
  <si>
    <t>mail@dim-tragan.ilei.sch.gr</t>
  </si>
  <si>
    <t>Π. ΠΑΤΡΩΝ ΓΕΡΜΑΝΟΥ</t>
  </si>
  <si>
    <t>mail@dim-vardas.ilei.sch.gr</t>
  </si>
  <si>
    <t>mail@1dim-varth.ilei.sch.gr</t>
  </si>
  <si>
    <t>Αγ. Παντελεήμονος 33</t>
  </si>
  <si>
    <t>ΝΗΠΙΑΓΩΓΕΙΟ ΜΥΡΣΙΝΗΣ</t>
  </si>
  <si>
    <t>mail@nip-myrsin.ilei.sch.gr</t>
  </si>
  <si>
    <t>ΜΥΡΣΙΝΗ</t>
  </si>
  <si>
    <t>ΕΙΚΟΣΙ ΟΧΤΩ ΟΚΤΩΒΡΙΟΥ 66</t>
  </si>
  <si>
    <t>ΝΗΠΙΑΓΩΓΕΙΟ ΚΟΥΡΤΕΣΙ ΗΛΕΙΑΣ</t>
  </si>
  <si>
    <t>mail@nip-kourt.ilei.sch.gr</t>
  </si>
  <si>
    <t>ΚΟΥΡΤΕΣΙ ΗΛΕΙΑΣ</t>
  </si>
  <si>
    <t>ΚΟΥΡΤΕΣΙ ΝΟΜΟΥ ΗΛΕΙΑΣ</t>
  </si>
  <si>
    <t>ΕΙΔΙΚΟ ΝΗΠΙΑΓΩΓΕΙΟ ΚΡΕΣΤΕΝΩΝ</t>
  </si>
  <si>
    <t>mail@nip-eid-krest.ilei.sch.gr</t>
  </si>
  <si>
    <t>ΚΥΛΛΗΝΗΣ</t>
  </si>
  <si>
    <t>ΝΗΠΙΑΓΩΓΕΙΟ ΚΥΛΛΗΝΗΣ</t>
  </si>
  <si>
    <t>mail@nip-kyllin.ilei.sch.gr</t>
  </si>
  <si>
    <t>ΚΥΛΛΗΝΗ</t>
  </si>
  <si>
    <t>ΝΗΠΙΑΓΩΓΕΙΟ ΚΑΤΑΡΑΧΙΟΥ</t>
  </si>
  <si>
    <t>mail@nip-katar.ilei.sch.gr</t>
  </si>
  <si>
    <t>ΚΑΤΑΡΑΧΙ ΠΥΡΓΟΥ</t>
  </si>
  <si>
    <t>ΚΑΤΑΡΑΧΙΟΥ</t>
  </si>
  <si>
    <t>ΔΗΜΟΤΙΚΟ ΣΧΟΛΕΙΟ ΓΕΡΑΚΙΟΥ</t>
  </si>
  <si>
    <t>mail@dim-gerak.ilei.sch.gr</t>
  </si>
  <si>
    <t>ΝΗΠΙΑΓΩΓΕΙΟ ΝΕΟΧΩΡΙ</t>
  </si>
  <si>
    <t>mail@nip-neoch.ilei.sch.gr</t>
  </si>
  <si>
    <t>ΜΕΛΙΣΣΑ</t>
  </si>
  <si>
    <t>ΝΗΠΙΑΓΩΓΕΙΟ ΜΕΛΙΣΣΑΣ</t>
  </si>
  <si>
    <t>mail@nip-meliss.ilei.sch.gr</t>
  </si>
  <si>
    <t>ΜΕΛΙΣΣΑΣ</t>
  </si>
  <si>
    <t>ΜΕΛΙΣΣΑ ΗΛΕΙΑΣ</t>
  </si>
  <si>
    <t>mail@dim-kallith.ilei.sch.gr</t>
  </si>
  <si>
    <t>ΒΡΙΝΑΣ</t>
  </si>
  <si>
    <t>ΝΗΠΙΑΓΩΓΕΙΟ ΒΡΙΝΑΣ</t>
  </si>
  <si>
    <t>mail@nip-vrinas.ilei.sch.gr</t>
  </si>
  <si>
    <t>ΒΡΙΝΑ</t>
  </si>
  <si>
    <t>ΝΗΠΙΑΓΩΓΕΙΟ ΑΓΙΟΥ ΙΩΑΝΝΗ ΑΜΑΛΙΑΔΑΣ</t>
  </si>
  <si>
    <t>ΑΓ. ΙΩΑΝΝΗΣ ΑΜΑΛΙΑΔΑΣ ΗΛΕΙΑΣ</t>
  </si>
  <si>
    <t>ΑΓΙΟΣ ΙΩΑΝΝΗΣ ΑΜΑΛΙΑΔΑΣ</t>
  </si>
  <si>
    <t>ΝΗΠΙΑΓΩΓΕΙΟ ΚΑΛΛΙΘΕΑΣ ΗΛΕΙΑΣ</t>
  </si>
  <si>
    <t>mail@nip-kallith.ilei.sch.gr</t>
  </si>
  <si>
    <t>ΔΗΜΟΤΙΚΟ ΣΧΟΛΕΙΟ ΠΛΑΤΑΝΟΥ ΗΛΕΙΑΣ</t>
  </si>
  <si>
    <t>mail@dim-platan.ilei.sch.gr</t>
  </si>
  <si>
    <t>ΠΛΑΤΑΝΟΣ ΑΡΧΑΙΑΣ ΟΛΥΜΠΙΑΣ</t>
  </si>
  <si>
    <t>ΝΗΠΙΑΓΩΓΕΙΟ ΕΛΑΙΩΝΑΣ</t>
  </si>
  <si>
    <t>mail@nip-elaion.ilei.sch.gr</t>
  </si>
  <si>
    <t>ΔΗΜΟΤΙΚΟ ΣΧΟΛΕΙΟ ΝΕΟΧΩΡΙΟΥ</t>
  </si>
  <si>
    <t>mail@dim-neoch.ilei.sch.gr</t>
  </si>
  <si>
    <t>Νεοχώρι</t>
  </si>
  <si>
    <t>ΕΙΔΙΚΟ ΝΗΠΙΑΓΩΓΕΙΟ ΠΥΡΓΟΥ</t>
  </si>
  <si>
    <t>mail@nip-eid-pyrgou.ilei.sch.gr</t>
  </si>
  <si>
    <t>ΝΗΠΙΑΓΩΓΕΙΟ ΠΛΑΤΑΝΟΣ</t>
  </si>
  <si>
    <t>mail@nip-platan.ilei.sch.gr</t>
  </si>
  <si>
    <t>ΝΗΠΙΑΓΩΓΕΙΟ ΧΕΙΜΑΔΙΟΥ ΗΛΕΙΑΣ</t>
  </si>
  <si>
    <t>mail@nip-cheim.ilei.sch.gr</t>
  </si>
  <si>
    <t>ΠΕΡΙΦΕΡΕΙΑΚΗ Δ/ΝΣΗ Α/ΘΜΙΑΣ ΚΑΙ Β/ΘΜΙΑΣ ΕΚΠ/ΣΗΣ ΔΥΤΙΚΗΣ ΜΑΚΕΔΟΝΙΑΣ</t>
  </si>
  <si>
    <t>ΓΡΕΒΕΝΩΝ</t>
  </si>
  <si>
    <t>Κ.Ε.Σ.Υ. ΓΡΕΒΕΝΩΝ</t>
  </si>
  <si>
    <t>mail@kesy.gre.sch.gr</t>
  </si>
  <si>
    <t>ΓΡΕΒΕΝΑ</t>
  </si>
  <si>
    <t>ΜΠΟΥΣΙΟΥ 50</t>
  </si>
  <si>
    <t>ΚΑΣΤΟΡΙΑΣ</t>
  </si>
  <si>
    <t>Κ.Ε.Σ.Υ Καστοριάς</t>
  </si>
  <si>
    <t>mail@kesy.kas.sch.gr</t>
  </si>
  <si>
    <t>ΚΑΣΤΟΡΙΑ</t>
  </si>
  <si>
    <t>ΑΓΙΟΥ ΑΘΑΝΑΣΙΟΥ 36</t>
  </si>
  <si>
    <t>ΚΟΖΑΝΗΣ</t>
  </si>
  <si>
    <t>ΚΕΣΥ ΚΟΖΑΝΗΣ</t>
  </si>
  <si>
    <t>mail@kesy.koz.sch.gr</t>
  </si>
  <si>
    <t>ΚΟΖΑΝΗ</t>
  </si>
  <si>
    <t>ΜΑΚΡΥΓΙΑΝΝΗ 22</t>
  </si>
  <si>
    <t>ΦΛΩΡΙΝΑΣ</t>
  </si>
  <si>
    <t>ΦΛΩΡΙΝΗΣ</t>
  </si>
  <si>
    <t>ΚΕΝΤΡΟ ΕΚΠΑΙΔΕΥΤΙΚΗΣ &amp; ΣΥΜΒΟΥΛΕΥΤΙΚΗΣ ΥΠΟΣΤΗΡΙΞΗΣ (Κ.Ε.Σ.Υ.) ΦΛΩΡΙΝΑΣ</t>
  </si>
  <si>
    <t>mail@kesy.flo.sch.gr</t>
  </si>
  <si>
    <t>ΦΛΩΡΙΝΑ</t>
  </si>
  <si>
    <t>ΜΕΓΑΛΟΥ ΑΛΕΞΑΝΔΡΟΥ 111</t>
  </si>
  <si>
    <t>ΔΙΕΥΘΥΝΣΗ Δ.Ε. ΓΡΕΒΕΝΩΝ</t>
  </si>
  <si>
    <t>ΔΕΣΚΑΤΗΣ</t>
  </si>
  <si>
    <t>ΗΜΕΡΗΣΙΟ ΓΕΝΙΚΟ ΛΥΚΕΙΟ ΔΕΣΚΑΤΗΣ ΓΡΕΒΕΝΩΝ</t>
  </si>
  <si>
    <t>mail@lyk-deskat.gre.sch.gr</t>
  </si>
  <si>
    <t>ΔΕΣΚΑΤΗ ΓΡΕΒΕΝΩΝ</t>
  </si>
  <si>
    <t>ΔΕΣΚΑΤΗ</t>
  </si>
  <si>
    <t>1ο  ΔΗΜΟΤΙΚΟ ΣΧΟΛΕΙΟ ΔΕΣΚΑΤΗΣ</t>
  </si>
  <si>
    <t>1ο ΗΜΕΡΗΣΙΟ ΕΠΑ.Λ. ΓΡΕΒΕΝΩΝ</t>
  </si>
  <si>
    <t>mail@1epal-greven.gre.sch.gr</t>
  </si>
  <si>
    <t>ΠΡΩΤΟ ΧΙΛΙΟΜΕΤΡΟ ΕΘΝΙΚΗΣ ΟΔΟΥ ΓΡΕΒΕΝΩΝ ΚΟΖΑΝΗΣ</t>
  </si>
  <si>
    <t>7ο ΔΗΜΟΤΙΚΟ ΣΧΟΛΕΙΟ ΓΡΕΒΕΝΩΝ</t>
  </si>
  <si>
    <t>ΧΑΣΙΩΝ</t>
  </si>
  <si>
    <t>ΚΑΡΠΕΡΟΥ</t>
  </si>
  <si>
    <t>ΗΜΕΡΗΣΙΟ ΓΕΝΙΚΟ ΛΥΚΕΙΟ ΚΑΡΠΕΡΟΥ ΓΡΕΒΕΝΩΝ</t>
  </si>
  <si>
    <t>mail@lyk-karper.gre.sch.gr</t>
  </si>
  <si>
    <t>ΚΑΡΠΕΡΟ ΧΑΣΙΩΝ ΔΕΣΚΑΤΗΣ</t>
  </si>
  <si>
    <t>ΚΑΡΠΕΡΟ</t>
  </si>
  <si>
    <t>ΚΑΡΠΕΡΟ ΓΡΕΒΕΝΩΝ</t>
  </si>
  <si>
    <t>ΔΗΜΟΤΙΚΟ ΣΧΟΛΕΙΟ ΚΑΡΠΕΡΟΥ</t>
  </si>
  <si>
    <t>1ο ΗΜΕΡΗΣΙΟ "ΜΑΝΟΥΣΑΚΕΙΟ" ΕΠΑΓΓΕΛΜΑΤΙΚΟ ΛΥΚΕΙΟ ΔΕΣΚΑΤΗΣ</t>
  </si>
  <si>
    <t>mail@1epal-deskat.gre.sch.gr</t>
  </si>
  <si>
    <t>1ο ΗΜΕΡΗΣΙΟ ΓΕΝΙΚΟ ΛΥΚΕΙΟ ΓΡΕΒΕΝΩΝ</t>
  </si>
  <si>
    <t>mail@1lyk-greven.gre.sch.gr</t>
  </si>
  <si>
    <t>13ΗΣ ΟΚΤΩΒΡΙΟΥ 27</t>
  </si>
  <si>
    <t>3ο ΔΗΜΟΤΙΚΟ ΣΧΟΛΕΙΟ ΓΡΕΒΕΝΩΝ</t>
  </si>
  <si>
    <t>2ο ΗΜΕΡΗΣΙΟ ΓΕΝΙΚΟ ΛΥΚΕΙΟ ΓΡΕΒΕΝΩΝ</t>
  </si>
  <si>
    <t>mail@2lyk-greven.gre.sch.gr</t>
  </si>
  <si>
    <t>ΝΙΚΗΣ 3</t>
  </si>
  <si>
    <t>5ο ΔΗΜΟΤΙΚΟ ΣΧΟΛΕΙΟ ΓΡΕΒΕΝΩΝ</t>
  </si>
  <si>
    <t>ΗΜΕΡΗΣΙΟ ΓΥΜΝΑΣΙΟ ΚΑΡΠΕΡΟΥ ΓΡΕΒΕΝΩΝ</t>
  </si>
  <si>
    <t>mail@gym-karper.gre.sch.gr</t>
  </si>
  <si>
    <t>1ο ΗΜΕΡΗΣΙΟ ΓΥΜΝΑΣΙΟ ΓΡΕΒΕΝΩΝ</t>
  </si>
  <si>
    <t>1gymgrev@sch.gr</t>
  </si>
  <si>
    <t>ΔΕΚΑΤΗΣ ΤΡΙΤΗΣ ΟΚΤΩΒΡΙΟΥ 27</t>
  </si>
  <si>
    <t>1ο ΕΚ ΓΡΕΒΕΝΩΝ</t>
  </si>
  <si>
    <t>mail@1sek-greven.gre.sch.gr</t>
  </si>
  <si>
    <t>2ο ΗΜΕΡΗΣΙΟ ΓΥΜΝΑΣΙΟ ΓΡΕΒΕΝΩΝ</t>
  </si>
  <si>
    <t>mail@2gym-greven.gre.sch.gr</t>
  </si>
  <si>
    <t>ΓΥΜΝΑΣΙΟ ΔΕΣΚΑΤΗΣ</t>
  </si>
  <si>
    <t>mail@gym-deskat.gre.sch.gr</t>
  </si>
  <si>
    <t>ΕΕΕΕΚ ΓΡΕΒΕΝΑ - ΕΕΕΕΚ ΓΡΕΒΕΝΩΝ</t>
  </si>
  <si>
    <t>mail@eeeek.gre.sch.gr</t>
  </si>
  <si>
    <t>ΤΕΡΜΑ Μ. ΑΛΕΞΑΝΔΡΟΥ</t>
  </si>
  <si>
    <t>ΕΣΠΕΡΙΝΟ ΓΕΝΙΚΟ ΛΥΚΕΙΟ ΓΡΕΒΕΝΩΝ</t>
  </si>
  <si>
    <t>mail@lyk-esp-greven.gre.sch.gr</t>
  </si>
  <si>
    <t>ΕΣΠΕΡΙΝΟ ΓΥΜΝΑΣΙΟ ΓΡΕΒΕΝΩΝ</t>
  </si>
  <si>
    <t>mail@gym-esp-greven.gre.sch.gr</t>
  </si>
  <si>
    <t>Εσπερινό ΕΠΑ.Λ. Γρεβενών</t>
  </si>
  <si>
    <t>mail@epal-esp-greven.gre.sch.gr</t>
  </si>
  <si>
    <t>Γρεβενά</t>
  </si>
  <si>
    <t>1o χλμ Γρεβενών - Κοζάνης</t>
  </si>
  <si>
    <t>ΔΙΕΥΘΥΝΣΗ Δ.Ε. ΚΑΣΤΟΡΙΑΣ</t>
  </si>
  <si>
    <t>3ο ΗΜΕΡΗΣΙΟ ΓΥΜΝΑΣΙΟ ΚΑΣΤΟΡΙΑΣ - ΓΕΡΜΑΝΟΣ ΚΑΡΑΒΑΓΓΕΛΗΣ</t>
  </si>
  <si>
    <t>mail@3gym-kastor.kas.sch.gr</t>
  </si>
  <si>
    <t>ΑΓ. ΒΑΡΒΑΡΑΣ 13</t>
  </si>
  <si>
    <t>2ο ΔΗΜΟΤΙΚΟ ΣΧΟΛΕΙΟ ΚΑΣΤΟΡΙΑΣ - ΙΦΙΓΕΝΕΙΑ ΔΙΔΑΣΚΑΛΟΥ</t>
  </si>
  <si>
    <t>ΝΕΣΤΟΡΙΟΥ</t>
  </si>
  <si>
    <t>ΓΕΝΙΚΟ ΛΥΚΕΙΟ ΝΕΣΤΟΡΙΟΥ</t>
  </si>
  <si>
    <t>mail@lyk-nestor.kas.sch.gr</t>
  </si>
  <si>
    <t>ΝΕΣΤΟΡΙΟ ΚΑΣΤΟΡΙΑΣ</t>
  </si>
  <si>
    <t>ΝΕΣΤΟΡΙΟ</t>
  </si>
  <si>
    <t>ΔΗΜΟΤΙΚΟ ΣΧΟΛΕΙΟ ΝΕΣΤΟΡΙΟΥ</t>
  </si>
  <si>
    <t>ΑΡΓΟΥΣ ΟΡΕΣΤΙΚΟΥ</t>
  </si>
  <si>
    <t>ΗΜΕΡΗΣΙΟ ΓΕΝΙΚΟ ΛΥΚΕΙΟ ΑΡΓΟΥΣ ΟΡΕΣΤΙΚΟΥ - ΓΕΝΙΚΟ ΛΥΚΕΙΟ ΑΡΓΟΥΣ ΟΡΕΣΤΙΚΟΥ</t>
  </si>
  <si>
    <t>mail@lyk-argous.kas.sch.gr</t>
  </si>
  <si>
    <t>ΑΡΓΟΣ ΟΡΕΣΤΙΚΟ</t>
  </si>
  <si>
    <t>ΠΑΥΛΟΥ ΜΕΛΑ 2</t>
  </si>
  <si>
    <t>4ο ΔΗΜΟΤΙΚΟ ΣΧΟΛΕΙΟ ΑΡΓΟΥΣ ΟΡΕΣΤΙΚΟΥ</t>
  </si>
  <si>
    <t>ΑΓΙΑΣ ΤΡΙΑΔΟΣ</t>
  </si>
  <si>
    <t>ΜΑΝΙΑΚΩΝ</t>
  </si>
  <si>
    <t>ΗΜΕΡΗΣΙΟ ΓΥΜΝΑΣΙΟ ΜΑΝΙΑΚΩΝ ΚΑΣΤΟΡΙΑΣ</t>
  </si>
  <si>
    <t>mail@gym-maniak.kas.sch.gr</t>
  </si>
  <si>
    <t>ΜΑΝΙΑΚΟΙ  ΚΑΣΤΟΡΙΑΣ</t>
  </si>
  <si>
    <t>ΦΙΛΙΠΠΟΥ 23</t>
  </si>
  <si>
    <t>2ο ΔΗΜΟΤΙΚΟ ΣΧΟΛΕΙΟ ΜΑΝΙΑΚΩΝ</t>
  </si>
  <si>
    <t>ΗΜΕΡΗΣΙΟ ΓΥΜΝΑΣΙΟ ΝΕΣΤΟΡΙΟΥ ΚΑΣΤΟΡΙΑΣ</t>
  </si>
  <si>
    <t>mail@gym-nestor.kas.sch.gr</t>
  </si>
  <si>
    <t>ΗΜΕΡΗΣΙΟ ΕΠΑΛ ΚΑΣΤΟΡΙΑ - ΕΠΑ.Λ ΚΑΣΤΟΡΙΑΣ</t>
  </si>
  <si>
    <t>mail@1epal-kastor.kas.sch.gr</t>
  </si>
  <si>
    <t>9ο ΔΗΜΟΤΙΚΟ ΣΧΟΛΕΙΟ ΚΑΣΤΟΡΙΑΣ</t>
  </si>
  <si>
    <t>ΜΕΣΟΠΟΤΑΜΙΑΣ</t>
  </si>
  <si>
    <t>ΗΜΕΡΗΣΙΟ ΓΕΝΙΚΟ ΛΥΚΕΙΟ ΜΕΣΟΠΟΤΑΜΙΑΣ ΚΑΣΤΟΡΙΑΣ</t>
  </si>
  <si>
    <t>mail@lyk-mesop.kas.sch.gr</t>
  </si>
  <si>
    <t>ΜΕΣΟΠΟΤΑΜΙΑ ΚΑΣΤΟΡΙΑΣ</t>
  </si>
  <si>
    <t>ΔΗΜΟΤΙΚΟ ΣΧΟΛΕΙΟ ΜΕΣΟΠΟΤΑΜΙΑΣ</t>
  </si>
  <si>
    <t>1ο ΗΜΕΡΗΣΙΟ ΓΕΝΙΚΟ ΛΥΚΕΙΟ ΚΑΣΤΟΡΙΑΣ</t>
  </si>
  <si>
    <t>mail@1lyk-kastor.kas.sch.gr</t>
  </si>
  <si>
    <t>ΠΕΡΙΟΧΗ ΧΛΟΗ</t>
  </si>
  <si>
    <t>ΕΣΠΕΡΙΝΟ ΓΕΝΙΚΟ ΛΥΚΕΙΟ ΚΑΣΤΟΡΙΑΣ</t>
  </si>
  <si>
    <t>mail@lyk-esp-kastor.kas.sch.gr</t>
  </si>
  <si>
    <t>ΧΛΟΗ-ΚΑΣΤΟΡΙΑΣ</t>
  </si>
  <si>
    <t>2ο ΗΜΕΡΗΣΙΟ ΓΕΝΙΚΟ ΛΥΚΕΙΟ ΚΑΣΤΟΡΙΑΣ</t>
  </si>
  <si>
    <t>mail@2lyk-kastor.kas.sch.gr</t>
  </si>
  <si>
    <t>Λεωφ. Γουναράδων &amp; Οδυσσέα Ελύτη - Χλόη</t>
  </si>
  <si>
    <t>ΗΜΕΡΗΣΙΟ ΕΠΑ.Λ. ΑΡΓΟΥΣ ΟΡΕΣΤΙΚΟΥ</t>
  </si>
  <si>
    <t>mail@1epal-argous.kas.sch.gr</t>
  </si>
  <si>
    <t>ΚΩΝΣΤΑΝΤΙΝΟΥ ΚΑΡΑΜΑΝΛΗ 11</t>
  </si>
  <si>
    <t>1ο ΗΜΕΡΗΣΙΟ ΓΥΜΝΑΣΙΟ ΑΡΓΟΥΣ ΟΡΕΣΤΙΚΟΥ ΚΑΣΤΟΡΙΑ</t>
  </si>
  <si>
    <t>mail@1gym-argous.kas.sch.gr</t>
  </si>
  <si>
    <t xml:space="preserve">ΑΡΓΟΣ ΟΡΕΣΤΙΚΟ  </t>
  </si>
  <si>
    <t>ΜΑΚΕΔΝΩΝ</t>
  </si>
  <si>
    <t>ΜΑΥΡΟΧΩΡΙΟΥ</t>
  </si>
  <si>
    <t>ΗΜΕΡΗΣΙΟ ΓΥΜΝΑΣΙΟ ΜΑΥΡΟΧΩΡΙΟΥ ΚΑΣΤΟΡΙΑΣ</t>
  </si>
  <si>
    <t>mail@gym-mavroch.kas.sch.gr</t>
  </si>
  <si>
    <t>ΜΑΥΡΟΧΩΡΙ</t>
  </si>
  <si>
    <t>ΔΗΜΟΤΙΚΟ ΣΧΟΛΕΙΟ ΠΟΛΥΚΑΡΠΗΣ</t>
  </si>
  <si>
    <t>1ο ΗΜΕΡΗΣΙΟ ΓΥΜΝΑΣΙΟ ΚΑΣΤΟΡΙΑΣ</t>
  </si>
  <si>
    <t>mail@1gym-kastor.kas.sch.gr</t>
  </si>
  <si>
    <t>Λ. ΚΩΠΗΛΑΤΩΝ ΧΛΟΗ Τ.Θ. 1342</t>
  </si>
  <si>
    <t>ΟΙΝΟΗΣ</t>
  </si>
  <si>
    <t>ΗΜΕΡΗΣΙΟ ΓΥΜΝΑΣΙΟ ΟΙΝΟΗΣ ΚΑΣΤΟΡΙΑΣ</t>
  </si>
  <si>
    <t>mail@gym-oinois.kas.sch.gr</t>
  </si>
  <si>
    <t>ΟΙΝΟΗ ΚΑΣΤΟΡΙΑΣ Τ.Θ. 16</t>
  </si>
  <si>
    <t>ΔΗΜΟΤΙΚΟ ΣΧΟΛΕΙΟ ΟΙΝΟΗΣ ΚΑΣΤΟΡΙΑΣ</t>
  </si>
  <si>
    <t>ΗΜΕΡΗΣΙΟ ΓΥΜΝΑΣΙΟ ΜΕΣΟΠΟΤΑΜΙΑΣ ΚΑΣΤΟΡΙΑΣ</t>
  </si>
  <si>
    <t>mail@gym-mesop.kas.sch.gr</t>
  </si>
  <si>
    <t>2ο ΗΜΕΡΗΣΙΟ ΓΥΜΝΑΣΙΟ ΑΡΓΟΥΣ ΟΡΕΣΤΙΚΟΥ ΚΑΣΤΟΡΙΑΣ</t>
  </si>
  <si>
    <t>mail@2gym-argous.kas.sch.gr</t>
  </si>
  <si>
    <t>ΑΡΓΟΣ ΟΡΕΣΤΙΚΟ ΚΑΣΤΟΡΙΑΣ</t>
  </si>
  <si>
    <t>Ι. ΠΑΜΠΟΥΚΙΔΗ 3</t>
  </si>
  <si>
    <t>3ο ΔΗΜΟΤΙΚΟ ΣΧΟΛΕΙΟ ΑΡΓΟΥΣ ΟΡΕΣΤΙΚΟΥ</t>
  </si>
  <si>
    <t>ΙΩΝΟΣ ΔΡΑΓΟΥΜΗ</t>
  </si>
  <si>
    <t>ΒΟΓΑΤΣΙΚΟΥ</t>
  </si>
  <si>
    <t>ΗΜΕΡΗΣΙΟ ΓΥΜΝΑΣΙΟ ΒΟΓΑΤΣΙΚΟΥ ΚΑΣΤΟΡΙΑΣ</t>
  </si>
  <si>
    <t>mail@gym-vogats.kas.sch.gr</t>
  </si>
  <si>
    <t>ΒΟΓΑΤΣΙΚΟ  ΚΑΣΤΟΡΙΑΣ</t>
  </si>
  <si>
    <t>Β.ΓΕΩΡΓΙΟΥ 1</t>
  </si>
  <si>
    <t>ΔΗΜΟΤΙΚΟ ΣΧΟΛΕΙΟ ΚΩΣΤΑΡΑΖΙΟΥ</t>
  </si>
  <si>
    <t>ΕΣΠΕΡΙΝΟ ΓΥΜΝΑΣΙΟ ΚΑΣΤΟΡΙΑΣ</t>
  </si>
  <si>
    <t>mail@gym-esp-kastor.kas.sch.gr</t>
  </si>
  <si>
    <t>ΧΛΟΗ ΚΑΣΤΟΡΙΑΣ</t>
  </si>
  <si>
    <t>ΚΟΡΗΣΟΥ</t>
  </si>
  <si>
    <t>ΗΜΕΡΗΣΙΟ ΓΥΜΝΑΣΙΟ ΚΟΡΗΣΟΥ ΚΑΣΤΟΡΙΑΣ</t>
  </si>
  <si>
    <t>mail@gym-koris.kas.sch.gr</t>
  </si>
  <si>
    <t>ΚΟΡΗΣΟΥ ΚΑΣΤΟΡΙΑΣ</t>
  </si>
  <si>
    <t>ΚΟΡΗΣΟΣ</t>
  </si>
  <si>
    <t>ΔΗΜΟΤΙΚΟ ΣΧΟΛΕΙΟ ΚΟΡΗΣΟΥ</t>
  </si>
  <si>
    <t>ΕΕΕΕΚ ΑΡΓΟΣ ΟΡΕΣΤΙΚΟ - ΕΕΕΕΚ ΑΡΓΟΥΣ ΟΡΕΣΤΙΚΟΥ</t>
  </si>
  <si>
    <t>mail@eeeek.kas.sch.gr</t>
  </si>
  <si>
    <t>Κ.Ε.Φ.Ι.ΑΠ. ΠΕΡΙΟΧΗ ΑΕΡΟΔΡΟΜΙΟΥ 1</t>
  </si>
  <si>
    <t>4ο ΗΜΕΡΗΣΙΟ ΓΥΜΝΑΣΙΟ ΚΑΣΤΟΡΙΑΣ</t>
  </si>
  <si>
    <t>mail@4gym-kastor.kas.sch.gr</t>
  </si>
  <si>
    <t>Καστοριά</t>
  </si>
  <si>
    <t>ΛΕΩΦΟΡΟΣ ΤΩΝ ΚΥΚΝΩΝ ΚΑΙ ΝΕΥΤΩΝΟΣ</t>
  </si>
  <si>
    <t>5ο ΔΗΜΟΤΙΚΟ ΣΧΟΛΕΙΟ ΚΑΣΤΟΡΙΑΣ</t>
  </si>
  <si>
    <t>ΠΕΝΤΑΒΡΥΣΟΥ</t>
  </si>
  <si>
    <t>ΗΜΕΡΗΣΙΟ ΓΥΜΝΑΣΙΟ ΠΕΝΤΑΒΡΥΣΟΥ ΚΑΣΤΟΡΙΑΣ</t>
  </si>
  <si>
    <t>mail@gym-pentavr.kas.sch.gr</t>
  </si>
  <si>
    <t>ΠΕΝΤΑΒΡΥΣΟΣ</t>
  </si>
  <si>
    <t>ΠΕΝΤΑΒΡΥΣΟΣ  ΚΑΣΤΟΡΙΑΣ</t>
  </si>
  <si>
    <t>ΔΗΜΟΤΙΚΟ ΣΧΟΛΕΙΟ ΧΙΛΙΟΔΕΝΔΡΟΥ</t>
  </si>
  <si>
    <t>ΕΡΓΑΣΤΗΡΙΑΚΟ ΚΕΝΤΡΟ ΚΑΣΤΟΡΙΑΣ</t>
  </si>
  <si>
    <t>mail@1sek-kastor.kas.sch.gr</t>
  </si>
  <si>
    <t>2ο ΗΜΕΡΗΣΙΟ ΓΥΜΝΑΣΙΟ ΚΑΣΤΟΡΙΑΣ</t>
  </si>
  <si>
    <t>2gymkast@sch.gr</t>
  </si>
  <si>
    <t>ΔΙΟΚΛΗΤΙΑΝΟΥ 41</t>
  </si>
  <si>
    <t>6ο ΔΗΜΟΤΙΚΟ ΣΧΟΛΕΙΟ ΚΑΣΤΟΡΙΑΣ</t>
  </si>
  <si>
    <t>3ο ΗΜΕΡΗΣΙΟ ΓΕΝΙΚΟ ΛΥΚΕΙΟ ΚΑΣΤΟΡΙΑΣ</t>
  </si>
  <si>
    <t>mail@3lyk-kastor.kas.sch.gr</t>
  </si>
  <si>
    <t>ΛΕΩΦΟΡΟΣ ΓΟΥΝΑΡΑΔΩΝ</t>
  </si>
  <si>
    <t>ΕΝΙΑΙΟ ΕΙΔΙΚΟ ΕΠΑΓΓΕΛΜΑΤΙΚΟ ΓΥΜΝΑΣΙΟ - ΛΥΚΕΙΟ ΚΑΣΤΟΡΙΑΣ</t>
  </si>
  <si>
    <t>mail@gym-ee-kastor.kas.sch.gr</t>
  </si>
  <si>
    <t>Διοκλητιανού Καλλιθέα Καστοριά</t>
  </si>
  <si>
    <t>ΜΟΥΣΙΚΟ ΓΥΜΝΑΣΙΟ ΚΑΣΤΟΡΙΑΣ</t>
  </si>
  <si>
    <t>mail@gym-mous-kastor.kas.sch.gr</t>
  </si>
  <si>
    <t>ΕΣΠΕΡΙΝΟ ΕΠΑ.Λ. ΚΑΣΤΟΡΙΑΣ</t>
  </si>
  <si>
    <t>mail@epal-esp-kastor.kas.sch.gr</t>
  </si>
  <si>
    <t>ΔΙΕΥΘΥΝΣΗ Δ.Ε. ΚΟΖΑΝΗΣ</t>
  </si>
  <si>
    <t>ΒΟΪΟΥ</t>
  </si>
  <si>
    <t>ΑΣΚΙΟΥ</t>
  </si>
  <si>
    <t>ΓΑΛΑΤΙΝΗΣ</t>
  </si>
  <si>
    <t>ΗΜΕΡΗΣΙΟ ΓΥΜΝΑΣΙΟ ΓΑΛΑΤΙΝΗΣ ΚΟΖΑΝΗΣ</t>
  </si>
  <si>
    <t>mail@gym-galatin.koz.sch.gr</t>
  </si>
  <si>
    <t>ΓΑΛΑΤΙΝΗΣ ΚΟΖΑΝΗΣ</t>
  </si>
  <si>
    <t>ΓΑΛΑΤΙΝΗ</t>
  </si>
  <si>
    <t>ΔΗΜΟΤΙΚΟ ΣΧΟΛΕΙΟ ΓΑΛΑΤΙΝΗΣ</t>
  </si>
  <si>
    <t>2ο ΗΜΕΡΗΣΙΟ ΓΥΜΝΑΣΙΟ ΚΟΖΑΝΗΣ</t>
  </si>
  <si>
    <t>mail@2gym-kozan.koz.sch.gr</t>
  </si>
  <si>
    <t>ΦΙΛΙΠΠΟΥ Β 29, ΚΟΖΑΝΗ</t>
  </si>
  <si>
    <t>6ο ΔΗΜΟΤΙΚΟ ΣΧΟΛΕΙΟ ΚΟΖΑΝΗΣ</t>
  </si>
  <si>
    <t>ΞΗΡΟΛΙΜΝΗΣ</t>
  </si>
  <si>
    <t>ΗΜΕΡΗΣΙΟ ΓΥΜΝΑΣΙΟ ΞΗΡΟΛΙΜΝΗΣ ΚΟΖΑΝΗΣ</t>
  </si>
  <si>
    <t>mail@gym-xirol.koz.sch.gr</t>
  </si>
  <si>
    <t>ΞΗΡΟΛΙΜΝΗ  ΚΟΖΑΝΗΣ</t>
  </si>
  <si>
    <t>ΞΗΡΟΛΙΜΝΗ N. KOZANHΣ</t>
  </si>
  <si>
    <t>ΔΗΜΟΤΙΚΟ ΣΧΟΛΕΙΟ ΞΗΡΟΛΙΜΝΗΣ ΚΟΖΑΝΗΣ</t>
  </si>
  <si>
    <t>ΗΜΕΡΗΣΙΟ ΓΕΝΙΚΟ ΛΥΚΕΙΟ ΝΕΑΠΟΛΗΣ ΚΟΖΑΝΗΣ</t>
  </si>
  <si>
    <t>mail@lyk-neapol.koz.sch.gr</t>
  </si>
  <si>
    <t>ΝΕΑΠΟΛΗ ΚΟΖΑΝΗΣ</t>
  </si>
  <si>
    <t>ΔΗΜΟΤΙΚΟ ΣΧΟΛΕΙΟ ΝΕΑΠΟΛΗΣ ΚΟΖΑΝΗΣ</t>
  </si>
  <si>
    <t>3ο ΗΜΕΡΗΣΙΟ ΓΕΝΙΚΟ ΛΥΚΕΙΟ ΚΟΖΑΝΗΣ</t>
  </si>
  <si>
    <t>mail@3lyk-kozan.koz.sch.gr</t>
  </si>
  <si>
    <t>ΜΑΚΡΥΓΙΑΝΝΗ 24</t>
  </si>
  <si>
    <t>13ο ΔΗΜΟΤΙΚΟ ΣΧΟΛΕΙΟ ΚΟΖΑΝΗΣ</t>
  </si>
  <si>
    <t>ΣΕΡΒΙΩΝ</t>
  </si>
  <si>
    <t>ΗΜΕΡΗΣΙΟ ΓΥΜΝΑΣΙΟ ΣΕΡΒΙΩΝ ΚΟΖΑΝΗΣ</t>
  </si>
  <si>
    <t>mail@gym-servion.koz.sch.gr</t>
  </si>
  <si>
    <t>ΣΕΡΒΙΑ ΚΟΖΑΝΗΣ</t>
  </si>
  <si>
    <t>28ης ΟΚΤΩΒΡΙΟΥ 24Β</t>
  </si>
  <si>
    <t>4ο ΔΗΜΟΤΙΚΟ ΣΧΟΛΕΙΟ ΣΕΡΒΙΩΝ ΚΟΖΑΝΗΣ</t>
  </si>
  <si>
    <t>ΣΙΑΤΙΣΤΑΣ</t>
  </si>
  <si>
    <t>ΣΙΑΤΙΣΤΗΣ</t>
  </si>
  <si>
    <t>1ο ΗΜΕΡΗΣΙΟ ΕΠΑΛ ΣΙΑΤΙΣΤΑ ΚΟΖΑΝΗΣ - ΑΝΑΣΤΑΣΙΟΣ ΤΣΙΠΟΣ</t>
  </si>
  <si>
    <t>mail@1epal-siatist.koz.sch.gr</t>
  </si>
  <si>
    <t>ΣΙΑΤΙΣΤΑ ΚΟΖΑΝΗΣ</t>
  </si>
  <si>
    <t>ΣΤΡΑΚΑΛΗ 03</t>
  </si>
  <si>
    <t>1ο  ΔΗΜΟΤΙΚΟ ΣΧΟΛΕΙΟ ΣΙΑΤΙΣΤΑΣ</t>
  </si>
  <si>
    <t>1ο ΗΜΕΡΗΣΙΟ ΕΠΑΛ ΣΕΡΒΙΩΝ ΚΟΖΑΝΗΣ</t>
  </si>
  <si>
    <t>mail@1epal-servion.koz.sch.gr</t>
  </si>
  <si>
    <t>ΣΕΡΒΙΩΝ ΚΟΖΑΝΗΣ</t>
  </si>
  <si>
    <t>ΣΕΡΒΙΑ</t>
  </si>
  <si>
    <t>2ο ΗΜΕΡΗΣΙΟ ΓΕΝΙΚΟ ΛΥΚΕΙΟ ΚΟΖΑΝΗΣ</t>
  </si>
  <si>
    <t>mail@2lyk-kozan.koz.sch.gr</t>
  </si>
  <si>
    <t>ΑΝΔΡΕΑ ΚΑΛΒΟΥ 1</t>
  </si>
  <si>
    <t>10ο ΔΗΜΟΤΙΚΟ ΣΧΟΛΕΙΟ ΚΟΖΑΝΗΣ</t>
  </si>
  <si>
    <t>4ο ΕΣΠΕΡΙΝΟ ΕΠΑΛ ΚΟΖΑΝΗΣ</t>
  </si>
  <si>
    <t>mail@4epal-esp-kozan.koz.sch.gr</t>
  </si>
  <si>
    <t>Κ.ΚΑΡΑΜΑΝΛΗ 26</t>
  </si>
  <si>
    <t>17ο ΔΗΜΟΤΙΚΟ ΣΧΟΛΕΙΟ ΚΟΖΑΝΗΣ</t>
  </si>
  <si>
    <t>1ο ΗΜΕΡΗΣΙΟ ΕΠΑΛ ΚΟΖΑΝΗΣ</t>
  </si>
  <si>
    <t>mail@1epal-kozan.koz.sch.gr</t>
  </si>
  <si>
    <t>Κ.ΚΑΡΑΜΑΝΛΗ  26</t>
  </si>
  <si>
    <t>ΕΟΡΔΑΙΑΣ</t>
  </si>
  <si>
    <t>ΠΤΟΛΕΜΑΪΔΑΣ</t>
  </si>
  <si>
    <t>ΠΤΟΛΕΜΑΪΔΟΣ</t>
  </si>
  <si>
    <t>2ο ΗΜΕΡΗΣΙΟ ΕΠΑΛ ΠΤΟΛΕΜΑΪΔΑΣ</t>
  </si>
  <si>
    <t>mail@2epal-ptolem.koz.sch.gr</t>
  </si>
  <si>
    <t>ΠΤΟΛΕΜΑΪΔΑ</t>
  </si>
  <si>
    <t>25ης ΜΑΡΤΙΟΥ 6</t>
  </si>
  <si>
    <t>ΠΤΟΛΕΜΑΙΔΑΣ</t>
  </si>
  <si>
    <t>6ο ΔΗΜΟΤΙΚΟ ΣΧΟΛΕΙΟ ΠΤΟΛΕΜΑΪΔΑΣ</t>
  </si>
  <si>
    <t>1ο ΗΜΕΡΗΣΙΟ ΓΕΝΙΚΟ ΛΥΚΕΙΟ ΠΤΟΛΕΜΑΪΔΑΣ</t>
  </si>
  <si>
    <t>mail@1lyk-ptolem.koz.sch.gr</t>
  </si>
  <si>
    <t>ΗΜΕΡΗΣΙΟ ΓΕΝΙΚΟ ΛΥΚΕΙΟ ΣΙΑΤΙΣΤΑΣ ΚΟΖΑΝΗΣ - ΓΕΩΡΓΙΟΣ ΠΑΠΑΓΕΩΡΓΙΟΥ</t>
  </si>
  <si>
    <t>mail@lyk-siatist.koz.sch.gr</t>
  </si>
  <si>
    <t>ΣΙΑΤΙΣΤΑ  ΚΟΖΑΝΗΣ</t>
  </si>
  <si>
    <t>ΜΗΤΡΟΠΟΛΙΤΟΥ ΙΑΚΩΒΟΥ 1</t>
  </si>
  <si>
    <t>ΒΕΛΒΕΝΤΟΥ</t>
  </si>
  <si>
    <t>ΗΜΕΡΗΣΙΟ ΓΕΝΙΚΟ ΛΥΚΕΙΟ ΒΕΛΒΕΝΤΟΥ ΚΟΖΑΝΗΣ - ΖΗΝΩΝ ΠΑΠΑΝΑΣΤΑΣΙΟΥ</t>
  </si>
  <si>
    <t>mail@lyk-velvend.koz.sch.gr</t>
  </si>
  <si>
    <t>ΒΕΛΒΕΝΤΟ ΚΟΖΑΝΗΣ</t>
  </si>
  <si>
    <t>Χ.ΠΑΠΑΜΑΡΚΟΥ 68</t>
  </si>
  <si>
    <t>12/Θ ΔΗΜΟΤΙΚΟ ΣΧΟΛΕΙΟ ΒΕΛΒΕΝΤΟΥ - "ΧΑΡΙΣΙΟΣ ΠΑΠΑΜΑΡΚΟΥ"</t>
  </si>
  <si>
    <t>3ο ΗΜΕΡΗΣΙΟ ΓΕΝΙΚΟ ΛΥΚΕΙΟ ΠΤΟΛΕΜΑΪΔΑΣ</t>
  </si>
  <si>
    <t>3lykptol@sch.gr</t>
  </si>
  <si>
    <t>Πτολεμαΐδα</t>
  </si>
  <si>
    <t>Καραζάνου 7</t>
  </si>
  <si>
    <t>9ο ΔΗΜΟΤΙΚΟ ΣΧΟΛΕΙΟ ΠΤΟΛΕΜΑΪΔΑΣ</t>
  </si>
  <si>
    <t>ΗΜΕΡΗΣΙΟ ΓΕΝΙΚΟ ΛΥΚΕΙΟ ΣΕΡΒΙΩΝ ΚΟΖΑΝΗΣ</t>
  </si>
  <si>
    <t>mail@lyk-servion.koz.sch.gr</t>
  </si>
  <si>
    <t>ΕΙΚΟΣΤΗΣ ΟΓΔΟΗΣ ΟΚΤΩΒΡΙΟΥ 24Β</t>
  </si>
  <si>
    <t>2ο ΔΗΜΟΤΙΚΟ ΣΧΟΛΕΙΟ ΣΕΡΒΙΩΝ</t>
  </si>
  <si>
    <t>2ο ΗΜΕΡΗΣΙΟ ΕΠΑΛ ΚΟΖΑΝΗΣ</t>
  </si>
  <si>
    <t>mail@2epal-kozan.koz.sch.gr</t>
  </si>
  <si>
    <t>ΑΝΔΡΕΑ ΚΑΛΒΟΥ 1  ΣΥΝΟΙΚΙΣΜΟΣ ΠΑΝΟΡΑΜΑ</t>
  </si>
  <si>
    <t>2ο ΗΜΕΡΗΣΙΟ ΓΕΝΙΚΟ ΛΥΚΕΙΟ ΠΤΟΛΕΜΑΪΔΑΣ</t>
  </si>
  <si>
    <t>mail@2lyk-ptolem.koz.sch.gr</t>
  </si>
  <si>
    <t>ΠΤΟΛΕΜΑΙΔΑ</t>
  </si>
  <si>
    <t>3ο ΕΣΠΕΡΙΝΟ ΕΠΑΛ ΠΤΟΛΕΜΑΪΔΑΣ - ΕΠΑΓΓΕΛΜΑΤΙΚΟ ΛΥΚΕΙΟ</t>
  </si>
  <si>
    <t>mail@3epal-esp-ptolem.koz.sch.gr</t>
  </si>
  <si>
    <t xml:space="preserve">ΠΤΟΛΕΜΑΪΔΑ </t>
  </si>
  <si>
    <t>Μ. ΑΣΙΑΣ ΤΕΡΜΑ</t>
  </si>
  <si>
    <t>8ο ΔΗΜΟΤΙΚΟ ΣΧΟΛΕΙΟ ΠΤΟΛΕΜΑΪΔΑΣ</t>
  </si>
  <si>
    <t>1ο Ε.Κ. ΚΟΖΑΝΗΣ - 1ο ΕΡΓΑΣΤΗΡΙΑΚΟ ΚΕΝΤΡΟ ΚΟΖΑΝΗΣ</t>
  </si>
  <si>
    <t>mail@1sek-kozan.koz.sch.gr</t>
  </si>
  <si>
    <t>ΚΩΝΣΤΑΝΤΙΝΟΥ ΚΑΡΑΜΑΝΛΗ 26</t>
  </si>
  <si>
    <t>ΕΣΠΕΡΙΝΟ ΓΕΝΙΚΟ ΛΥΚΕΙΟ ΚΟΖΑΝΗΣ</t>
  </si>
  <si>
    <t>mail@lyk-esp-kozan.koz.sch.gr</t>
  </si>
  <si>
    <t>1ο ΗΜΕΡΗΣΙΟ ΕΠΑΛ ΠΤΟΛΕΜΑΪΔΑΣ ΚΟΖΑΝΗΣ</t>
  </si>
  <si>
    <t>mail@1epal-ptolem.koz.sch.gr</t>
  </si>
  <si>
    <t>ΜΙΚΡΑΣ ΑΣΙΑΣ ΤΕΡΜΑ</t>
  </si>
  <si>
    <t>ΗΜΕΡΗΣΙΟ ΓΥΜΝΑΣΙΟ ΒΕΛΒΕΝΤΟΥ ΚΟΖΑΝΗΣ - ΖΗΝΩΝ ΠΑΠΑΝΑΣΤΑΣΙΟΥ</t>
  </si>
  <si>
    <t>mail@gym-velvend.koz.sch.gr</t>
  </si>
  <si>
    <t>Χ. ΠΑΠΑΜΑΡΚΟΥ 68</t>
  </si>
  <si>
    <t>1ο ΗΜΕΡΗΣΙΟ ΓΥΜΝΑΣΙΟ ΠΤΟΛΕΜΑΪΔΑΣ - ΙΩΝ ΔΡΑΓΟΥΜΗΣ</t>
  </si>
  <si>
    <t>1gymptol@sch.gr</t>
  </si>
  <si>
    <t>ΗΜΕΡΗΣΙΟ ΓΥΜΝΑΣΙΟ ΣΙΑΤΙΣΤΑΣ ΚΟΖΑΝΗΣ - ΤΡΑΜΠΑΝΤΖΕΙΟ</t>
  </si>
  <si>
    <t>mail@gym-siatist.koz.sch.gr</t>
  </si>
  <si>
    <t>ΜΗΤΡΟΠΟΛΙΤΗ ΙΑΚΩΒΟΥ 2</t>
  </si>
  <si>
    <t>ΗΜΕΡΗΣΙΟ ΓΥΜΝΑΣΙΟ ΝΕΑΠΟΛΗΣ ΚΟΖΑΝΗΣ</t>
  </si>
  <si>
    <t>mail@gym-neapol.koz.sch.gr</t>
  </si>
  <si>
    <t>ΝΕΑΠΟΛΗΣ ΚΟΖΑΝΗΣ</t>
  </si>
  <si>
    <t>4ο ΗΜΕΡΗΣΙΟ ΓΥΜΝΑΣΙΟ ΠΤΟΛΕΜΑΪΔΑΣ</t>
  </si>
  <si>
    <t>mail@4gym-ptolem.koz.sch.gr</t>
  </si>
  <si>
    <t>ΚΑΡΑΖΑΝΟΥ 5</t>
  </si>
  <si>
    <t>ΕΛΛΗΣΠΟΝΤΟΥ</t>
  </si>
  <si>
    <t>ΚΑΠΝΟΧΩΡΙΟΥ</t>
  </si>
  <si>
    <t>ΗΜΕΡΗΣΙΟ ΓΥΜΝΑΣΙΟ ΚΑΠΝΟΧΩΡΙΟΥ ΚΟΖΑΝΗΣ</t>
  </si>
  <si>
    <t>mail@gym-kapnoch.koz.sch.gr</t>
  </si>
  <si>
    <t>ΚΑΠΝΟΧΩΡΙΟΥ ΚΟΖΑΝΗΣ</t>
  </si>
  <si>
    <t>ΚΑΠΝΟΧΩΡΙ</t>
  </si>
  <si>
    <t>ΔΗΜΟΤΙΚΟ ΣΧΟΛΕΙΟ ΑΓΙΟΥ ΔΗΜΗΤΡΙΟΥ ΚΟΖΑΝΗΣ</t>
  </si>
  <si>
    <t>2ο Ε.Κ. ΚΟΖΑΝΗΣ (ΠΤΟΛΕΜΑΪΔΑ)</t>
  </si>
  <si>
    <t>mail@2sek-kozan.koz.sch.gr</t>
  </si>
  <si>
    <t>2ο ΗΜΕΡΗΣΙΟ ΓΥΜΝΑΣΙΟ ΠΤΟΛΕΜΑΪΔΑΣ</t>
  </si>
  <si>
    <t>mail@2gym-ptolem.koz.sch.gr</t>
  </si>
  <si>
    <t>ΓΟΥΜΕΡΑΣ 4</t>
  </si>
  <si>
    <t>ΛΕΥΚΟΠΗΓΗΣ</t>
  </si>
  <si>
    <t>ΗΜΕΡΗΣΙΟ ΓΥΜΝΑΣΙΟ ΛΕΥΚΟΠΗΓΗΣ ΚΟΖΑΝΗΣ</t>
  </si>
  <si>
    <t>mail@gym-lefkop.koz.sch.gr</t>
  </si>
  <si>
    <t>ΛΕΥΚΟΠΗΓΗ</t>
  </si>
  <si>
    <t>6/Θ ΔΗΜΟΤΙΚΟ ΣΧΟΛΕΙΟ ΛΕΥΚΟΠΗΓΗΣ</t>
  </si>
  <si>
    <t>Γυμνάσιο Διαπολιτισμικής Εκπαίδευσης με Λυκειακές Τάξεις</t>
  </si>
  <si>
    <t>ΚΑΡΟΥΤΕΙΟ ΔΙΑΠ/ΚΟ Γ/ΣΙΟ ΠΕΝΤΑΛΟΦΟΥ ΜΕ ΛΥΚΕΙΑΚΕΣ ΤΑΞΕΙΣ</t>
  </si>
  <si>
    <t>mail@gym-pental.koz.sch.gr</t>
  </si>
  <si>
    <t>ΠΕΝΤΑΛΟΦΟΣ ΚΟΖΑΝΗΣ</t>
  </si>
  <si>
    <t>ΔΗΜΟΤΙΚΟ ΣΧΟΛΕΙΟ  ΠΕΝΤΑΛΟΦΟΥ</t>
  </si>
  <si>
    <t>ΜΟΥΣΙΚΟ ΓΥΜΝΑΣΙΟ ΠΤΟΛΕΜΑΪΔΑΣ</t>
  </si>
  <si>
    <t>mousptol@sch.gr</t>
  </si>
  <si>
    <t>ΜΑΡΤΙΟΥ - ΚΟΡΑΗ</t>
  </si>
  <si>
    <t>ΜΟΥΡΙΚΙΟΥ</t>
  </si>
  <si>
    <t>ΕΜΠΟΡΙΟΥ</t>
  </si>
  <si>
    <t>ΗΜΕΡΗΣΙΟ ΓΥΜΝΑΣΙΟ ΑΝΑΡΡΑΧΗΣ - ΕΜΠΟΡΙΟΥ</t>
  </si>
  <si>
    <t>gymanara@sch.gr</t>
  </si>
  <si>
    <t>Οδ. Κόμβος Αναρράχης Εμπορίου</t>
  </si>
  <si>
    <t>1ο ΔΗΜΟΤΙΚΟ ΣΧΟΛΕΙΟ ΜΟΥΡΙΚΙΟΥ</t>
  </si>
  <si>
    <t>5ο ΗΜΕΡΗΣΙΟ ΓΥΜΝΑΣΙΟ ΠΤΟΛΕΜΑΪΔΑΣ "ΕΥΑΓΟΡΑΣ ΠΑΛΛΗΚΑΡΙΔΗΣ"</t>
  </si>
  <si>
    <t>mail@5gym-ptolem.koz.sch.gr</t>
  </si>
  <si>
    <t>ΠΡΟΣ ΑΣΒΕΣΤΟΠΕΤΡΑ</t>
  </si>
  <si>
    <t>2ο ΔΗΜΟΤΙΚΟ ΣΧΟΛΕΙΟ ΠΤΟΛΕΜΑΪΔΑΣ</t>
  </si>
  <si>
    <t>ΤΣΟΤΥΛΙΟΥ</t>
  </si>
  <si>
    <t>ΤΣΟΤΙΛΙΟΥ</t>
  </si>
  <si>
    <t>ΗΜΕΡΗΣΙΟ ΓΥΜΝΑΣΙΟ ΤΣΟΤΥΛΙΟΥ-Α' Β' Γ' ΛΥΚΕΙΑΚΕΣ ΤΑΞΕΙΣ</t>
  </si>
  <si>
    <t>mail@gym-tsotyl.koz.sch.gr</t>
  </si>
  <si>
    <t>ΤΣΟΤΥΛΙ</t>
  </si>
  <si>
    <t>ΟΙΚΟΥΜΕΝΙΚΟΥ ΠΑΤΡΙΑΡΧΟΥ ΒΑΡΘΟΛΟΜΑΙΟΥ Α 10</t>
  </si>
  <si>
    <t>ΔΗΜΟΤΙΚΟ ΣΧΟΛΕΙΟ ΤΣΟΤΥΛΙΟΥ</t>
  </si>
  <si>
    <t>Μουσικό Γυμνάσιο με Λυκειακές Τάξεις Σιάτιστας - "Κωνσταντίνος και Ελένη Παπανικολάου"</t>
  </si>
  <si>
    <t>mail@gym-mous-siatist.koz.sch.gr</t>
  </si>
  <si>
    <t>ΠΛΑΤΕΙΑ ΠΑΥΛΟΥ ΜΕΛΑ</t>
  </si>
  <si>
    <t>2ο ΔΗΜΟΤΙΚΟ ΣΧΟΛΕΙΟ ΣΙΑΤΙΣΤΑΣ</t>
  </si>
  <si>
    <t>ΠΕΡΔΙΚΚΑ</t>
  </si>
  <si>
    <t>1ο ΗΜΕΡΗΣΙΟ ΓΥΜΝΑΣΙΟ ΠΕΡΔΙΚΚΑ</t>
  </si>
  <si>
    <t>gymperdi@sch.gr</t>
  </si>
  <si>
    <t>ΠΕΡΔΙΚΚΑΣ</t>
  </si>
  <si>
    <t>ΔΗΜΟΤΙΚΟ ΣΧΟΛΕΙΟ ΠΕΡΔΙΚΚΑ</t>
  </si>
  <si>
    <t>3ο ΗΜΕΡΗΣΙΟ ΓΥΜΝΑΣΙΟ ΚΟΖΑΝΗΣ</t>
  </si>
  <si>
    <t>mail@3gym-kozan.koz.sch.gr</t>
  </si>
  <si>
    <t>ΛΙΒΑΔΕΡΟΥ</t>
  </si>
  <si>
    <t>ΗΜΕΡΗΣΙΟ ΓΥΜΝΑΣΙΟ ΛΙΒΑΔΕΡΟΥ ΚΟΖΑΝΗΣ</t>
  </si>
  <si>
    <t>mail@gym-livad.koz.sch.gr</t>
  </si>
  <si>
    <t>ΛΙΒΑΔΕΡΟΥ ΚΟΖΑΝΗΣ</t>
  </si>
  <si>
    <t>ΛΙΒΑΔΕΡΟ</t>
  </si>
  <si>
    <t>ΔΗΜΟΤΙΚΟ ΣΧΟΛΕΙΟ ΛΙΒΑΔΕΡΟΥ</t>
  </si>
  <si>
    <t>1ο ΗΜΕΡΗΣΙΟ ΓΥΜΝΑΣΙΟ ΚΟΖΑΝΗΣ - ΒΑΛΤΑΔΩΡΕΙΟ</t>
  </si>
  <si>
    <t>mail@1gym-kozan.koz.sch.gr</t>
  </si>
  <si>
    <t>ΚΩΝΣΤΑΝΤΙΝΟΥ ΔΡΙΖΗ 10-12</t>
  </si>
  <si>
    <t>ΔΗΜΟΤΙΚΟ ΣΧΟΛΕΙΟ ΚΟΖΑΝΗΣ "ΧΑΡΙΣΙΟΣ ΜΟΥΚΑΣ"</t>
  </si>
  <si>
    <t>ΕΛΙΜΕΙΑΣ</t>
  </si>
  <si>
    <t>ΚΡΟΚΟΥ</t>
  </si>
  <si>
    <t>ΗΜΕΡΗΣΙΟ ΓΥΜΝΑΣΙΟ ΚΡΟΚΟΣ ΚΟΖΑΝΗΣ - ΓΥΜΝΑΣΙΟ ΚΡΟΚΟΥ</t>
  </si>
  <si>
    <t>mail@gym-krokou.koz.sch.gr</t>
  </si>
  <si>
    <t>ΚΡΟΚΟΣ ΚΟΖΑΝΗΣ</t>
  </si>
  <si>
    <t>ΠΑΛΑΙΟΥ ΣΤΑΔΙΟΥ  1</t>
  </si>
  <si>
    <t>2ο ΔΗΜΟΤΙΚΟ ΣΧΟΛΕΙΟ ΚΡΟΚΟΥ</t>
  </si>
  <si>
    <t>6ο ΗΜΕΡΗΣΙΟ ΓΥΜΝΑΣΙΟ ΚΟΖΑΝΗΣ</t>
  </si>
  <si>
    <t>mail@6gym-kozan.koz.sch.gr</t>
  </si>
  <si>
    <t>ΑΗΛΙΟΣΤΡΑΤΑΣ 21</t>
  </si>
  <si>
    <t>ΒΕΡΜΙΟΥ</t>
  </si>
  <si>
    <t>ΑΝΑΤΟΛΙΚΟΥ</t>
  </si>
  <si>
    <t>ΗΜΕΡΗΣΙΟ ΓΥΜΝΑΣΙΟ ΑΝΑΤΟΛΙΚΟΥ - ΓΥΜΝΑΣΙΟ ΑΝΑΤΟΛΙΚΟΥ</t>
  </si>
  <si>
    <t>mail@gym-anatol.koz.sch.gr</t>
  </si>
  <si>
    <t>Ανατολικό</t>
  </si>
  <si>
    <t>ΔΗΜΟΤΙΚΟ ΣΧΟΛΕΙΟ ΑΝΑΤΟΛΙΚΟΥ</t>
  </si>
  <si>
    <t>5ο ΗΜΕΡΗΣΙΟ ΓΥΜΝΑΣΙΟ ΚΟΖΑΝΗΣ</t>
  </si>
  <si>
    <t>mail@5gym-kozan.koz.sch.gr</t>
  </si>
  <si>
    <t>ΦΙΛΙΠΠΟΥ Β 29</t>
  </si>
  <si>
    <t>ΕΣΠΕΡΙΝΟ ΓΥΜΝΑΣΙΟ ΚΟΖΑΝΗΣ</t>
  </si>
  <si>
    <t>mail@gym-esp-kozan.koz.sch.gr</t>
  </si>
  <si>
    <t>ΑΝΔΡΕΑ ΚΑΛΒΟΥ  1</t>
  </si>
  <si>
    <t>ΚΑΜΒΟΥΝΙΩΝ</t>
  </si>
  <si>
    <t>ΤΡΑΝΟΒΑΛΤΟΥ</t>
  </si>
  <si>
    <t>ΗΜΕΡΗΣΙΟ ΓΥΜΝΑΣΙΟ ΤΡΑΝΟΒΑΛΤΟΥ ΚΟΖΑΝΗΣ</t>
  </si>
  <si>
    <t>mail@gym-tranov.koz.sch.gr</t>
  </si>
  <si>
    <t>ΤΡΑΝΟΒΑΛΤΟΥ ΚΟΖΑΝΗΣ</t>
  </si>
  <si>
    <t>ΤΡΑΝΟΒΑΛΤΟ</t>
  </si>
  <si>
    <t>ΑΙΑΝΗΣ</t>
  </si>
  <si>
    <t>ΗΜΕΡΗΣΙΟ ΓΥΜΝΑΣΙΟ ΑΙΑΝΗΣ ΚΟΖΑΝΗΣ - ΧΡΗΣΤΟΥ ΜΑΝΩΛΗ</t>
  </si>
  <si>
    <t>mail@gym-aianis.koz.sch.gr</t>
  </si>
  <si>
    <t>ΑΙΑΝΗ ΚΟΖΑΝΗΣ</t>
  </si>
  <si>
    <t>ΣΤΑΔΙΟΥ  1</t>
  </si>
  <si>
    <t>ΔΗΜΟΤΙΚΟ ΣΧΟΛΕΙΟ ΑΙΑΝΗΣ</t>
  </si>
  <si>
    <t>3ο ΗΜΕΡΗΣΙΟ ΓΥΜΝΑΣΙΟ ΠΤΟΛΕΜΑΪΔΑΣ</t>
  </si>
  <si>
    <t>mail@3gym-ptolem.koz.sch.gr</t>
  </si>
  <si>
    <t>ΤΕΡΜΑ Μ. ΑΣΙΑΣ</t>
  </si>
  <si>
    <t>1ο ΗΜΕΡΗΣΙΟ ΓΕΝΙΚΟ ΛΥΚΕΙΟ ΚΟΖΑΝΗΣ</t>
  </si>
  <si>
    <t>mail@1lyk-kozan.koz.sch.gr</t>
  </si>
  <si>
    <t>ΠΑΝΤΕΛΗ  ΧΟΡΝ 2</t>
  </si>
  <si>
    <t>11ο ΔΗΜΟΤΙΚΟ ΣΧΟΛΕΙΟ ΚΟΖΑΝΗΣ</t>
  </si>
  <si>
    <t>8ο ΗΜΕΡΗΣΙΟ ΓΥΜΝΑΣΙΟ ΚΟΖΑΝΗΣ</t>
  </si>
  <si>
    <t>mail@gym-peir-kozan.koz.sch.gr</t>
  </si>
  <si>
    <t xml:space="preserve">   ΚΟΖΑΝΗ</t>
  </si>
  <si>
    <t>ΜΑΚΡΥΓΙΑΝΝΗ 26</t>
  </si>
  <si>
    <t>4ο ΗΜΕΡΗΣΙΟ ΓΥΜΝΑΣΙΟ ΚΟΖΑΝΗΣ</t>
  </si>
  <si>
    <t>mail@4gym-kozan.koz.sch.gr</t>
  </si>
  <si>
    <t>4ο ΗΜΕΡΗΣΙΟ ΓΕΝΙΚΟ ΛΥΚΕΙΟ ΚΟΖΑΝΗΣ</t>
  </si>
  <si>
    <t>mail@4lyk-kozan.koz.sch.gr</t>
  </si>
  <si>
    <t>ΕΥΤΕΡΠΗΣ ΚΑΙ ΜΟΥΣΩΝ ΓΩΝΙΑ</t>
  </si>
  <si>
    <t>1ο ΕΕΕΕΚ ΚΟΖΑΝΗΣ - ΕΡΓΑΣΤΗΡΙΟ ΕΙΔΙΚΗΣ ΕΠΑΓΓΕΛΜΑΤΙΚΗΣ ΕΚΠΑΙΔΕΥΣΗΣ ΚΑΙ ΚΑΤΑΡΤΙΣΗΣ ΚΟΖΑΝΗΣ</t>
  </si>
  <si>
    <t>mail@eeeek-kozan.koz.sch.gr</t>
  </si>
  <si>
    <t>ΝΕΑ ΝΙΚΟΠΟΛΗ</t>
  </si>
  <si>
    <t>ΔΗΜΟΤΙΚΟ ΣΧΟΛΕΙΟ ΒΑΤΕΡΟΥ</t>
  </si>
  <si>
    <t>ΕΕΕΕΚ ΠΕΝΤΑΒΡΥΣΟΣ - ΕΕΕΕΚ ΠΤΟΛΕΜΑΙΔΑΣ</t>
  </si>
  <si>
    <t>mail@eeeek-pentavr.koz.sch.gr</t>
  </si>
  <si>
    <t>Δ.Δ. ΠΕΝΤΑΒΡΥΣΟΥ</t>
  </si>
  <si>
    <t>ΕΝΙΑΙΟ ΕΙΔΙΚΟ ΕΠΑΓΓΕΛΜΑΤΙΚΟ ΓΥΜΝΑΣΙΟ  ΛΥΚΕΙΟ ΑΝΩ ΚΩΜΗΣ ΚΟΖΑΝΗΣ</t>
  </si>
  <si>
    <t>mail@gym-ee-kozan.koz.sch.gr</t>
  </si>
  <si>
    <t>ΑΝΩ ΚΩΜΗ</t>
  </si>
  <si>
    <t>ΔΗΜΟΤΙΚΟ ΣΧΟΛΕΙΟ ΑΝΩ ΚΩΜΗΣ - ΖΗΣΕΙΟ</t>
  </si>
  <si>
    <t>ΕΝΙΑΙΟ ΕΙΔΙΚΟ ΕΠΑΓΓΕΛΜΑΤΙΚΟ ΓΥΜΝΑΣΙΟ-ΛΥΚΕΙΟ ΠΤΟΛΕΜΑΪΔΑΣ</t>
  </si>
  <si>
    <t>mail@gym-ee-ptolem.koz.sch.gr</t>
  </si>
  <si>
    <t>1ο χιλ. Πτολεμαϊδας- Γαλάτειας</t>
  </si>
  <si>
    <t>ΚΑΛΛΙΤΕΧΝΙΚΟ ΓΥΜΝΑΣΙΟ ΚΟΖΑΝΗΣ</t>
  </si>
  <si>
    <t>mail@gym-kall-kozan.koz.sch.gr</t>
  </si>
  <si>
    <t>ΝΕΟΣ ΚΛΕΙΤΟΣ ΚΟΖΑΝΗΣ</t>
  </si>
  <si>
    <t>ΔΙΕΥΘΥΝΣΗ Δ.Ε. ΦΛΩΡΙΝΑΣ</t>
  </si>
  <si>
    <t>3ο ΗΜΕΡΗΣΙΟ ΓΥΜΝΑΣΙΟ ΦΛΩΡΙΝΑΣ</t>
  </si>
  <si>
    <t>mail@3gym-florin.flo.sch.gr</t>
  </si>
  <si>
    <t>ΜΗΤΡ. ΑΥΓΟΥΣΤΙΝΟΥ ΚΑΝΤΙΩΤΗ 84</t>
  </si>
  <si>
    <t>1ο ΔΗΜΟΤΙΚΟ ΣΧΟΛΕΙΟ ΦΛΩΡΙΝΑΣ</t>
  </si>
  <si>
    <t>ΜΕΛΙΤΗΣ</t>
  </si>
  <si>
    <t>ΠΑΠΑΓΙΑΝΝΗ</t>
  </si>
  <si>
    <t>ΓΥΜΝΑΣΙΟ ΠΑΠΑΓΙΑΝΝΗ ΦΛΩΡΙΝΑΣ</t>
  </si>
  <si>
    <t>mail@gym-papag.flo.sch.gr</t>
  </si>
  <si>
    <t>ΠΑΠΑΓΙΑΝΝΗΣ</t>
  </si>
  <si>
    <t>ΠΑΠΑΓΙΑΝΝΗΣ ΦΛΩΡΙΝΑΣ</t>
  </si>
  <si>
    <t>ΔΗΜΟΤΙΚΟ ΣΧΟΛΕΙΟ ΙΤΕΑΣ ΦΛΩΡΙΝΑΣ</t>
  </si>
  <si>
    <t>1ο ΕΠΑΛ ΦΛΩΡΙΝΑΣ</t>
  </si>
  <si>
    <t>mail@1epal-florin.flo.sch.gr</t>
  </si>
  <si>
    <t>3ο ΧΛΜ ΦΛΩΡΙΝΑΣ-ΝΙΚΗΣ</t>
  </si>
  <si>
    <t>3ο ΔΗΜΟΤΙΚΟ ΣΧΟΛΕΙΟ ΦΛΩΡΙΝΑΣ</t>
  </si>
  <si>
    <t>1ο ΓΕΝΙΚΟ ΛΥΚΕΙΟ ΦΛΩΡΙΝΑΣ</t>
  </si>
  <si>
    <t>mail@1lyk-florin.flo.sch.gr</t>
  </si>
  <si>
    <t>Κ. ΚΑΡΑΜΑΝΛΗ 56</t>
  </si>
  <si>
    <t>6ο  ΔΗΜΟΤΙΚΟ ΣΧΟΛΕΙΟ ΦΛΩΡΙΝΑΣ "ΙΩΝ ΔΡΑΓΟΥΜΗΣ"</t>
  </si>
  <si>
    <t>ΑΜΥΝΤΑΙΟΥ</t>
  </si>
  <si>
    <t>1ο ΕΠΑΛ ΑΜΥΝΤΑΙΟΥ</t>
  </si>
  <si>
    <t>mail@1epal-amynt.flo.sch.gr</t>
  </si>
  <si>
    <t>ΑΜΥΝΤΑΙΟ</t>
  </si>
  <si>
    <t>3ο ΔΗΜΟΤΙΚΟ ΣΧΟΛΕΙΟ ΑΜΥΝΤΑΙΟΥ</t>
  </si>
  <si>
    <t>1ο ΕΡΓΑΣΤΗΡΙΑΚΟ ΚΕΝΤΡΟ ΦΛΩΡΙΝΑΣ</t>
  </si>
  <si>
    <t>mail@1sek-florin.flo.sch.gr</t>
  </si>
  <si>
    <t>3ο ΧΛΜ ΦΛΩΡΙΝΑΣ- ΝΙΚΗΣ</t>
  </si>
  <si>
    <t>2ο ΓΕΝΙΚΟ ΛΥΚΕΙΟ ΦΛΩΡΙΝΑΣ</t>
  </si>
  <si>
    <t>mail@2lyk-florin.flo.sch.gr</t>
  </si>
  <si>
    <t>ΓΙΑΣΗΜΑΚΟΠΟΥΛΟΥ 14</t>
  </si>
  <si>
    <t>ΓΕΝΙΚΟ ΛΥΚΕΙΟ ΑΜΥΝΤΑΙΟΥ</t>
  </si>
  <si>
    <t>mail@lyk-amynt.flo.sch.gr</t>
  </si>
  <si>
    <t>ΑΓΙΟΥ ΝΙΚΟΛΑΟΥ 4</t>
  </si>
  <si>
    <t>3ο ΓΕΝΙΚΟ ΛΥΚΕΙΟ ΦΛΩΡΙΝΑΣ</t>
  </si>
  <si>
    <t>mail@3lyk-florin.flo.sch.gr</t>
  </si>
  <si>
    <t>ΦΙΛΩΤΑ</t>
  </si>
  <si>
    <t>ΓΥΜΝΑΣΙΟ ΦΙΛΩΤΑ ΦΛΩΡΙΝΑΣ</t>
  </si>
  <si>
    <t>mail@gym-filot.flo.sch.gr</t>
  </si>
  <si>
    <t>ΦΙΛΩΤΑΣ</t>
  </si>
  <si>
    <t>ΓΥΜΝΑΣΤΗΡΙΟΥ 1</t>
  </si>
  <si>
    <t>ΔΗΜΟΤΙΚΟ ΣΧΟΛΕΙΟ ΦΙΛΩΤΑ</t>
  </si>
  <si>
    <t>2ο ΓΥΜΝΑΣΙΟ ΦΛΩΡΙΝΑΣ</t>
  </si>
  <si>
    <t>mail@2gym-florin.flo.sch.gr</t>
  </si>
  <si>
    <t>ΠΕΡΙΟΧΗ ΑΓΙΑΣ ΠΑΡΑΣΚΕΥΗΣ</t>
  </si>
  <si>
    <t>1ο ΗΜΕΡΗΣΙΟ ΓΥΜΝΑΣΙΟ ΦΛΩΡΙΝΑΣ</t>
  </si>
  <si>
    <t>mail@1gym-florin.flo.sch.gr</t>
  </si>
  <si>
    <t>Λ. ΚΩΝΣΤΑΝΤΙΝΟΥ ΚΑΡΑΜΑΝΛΗ 54</t>
  </si>
  <si>
    <t>ΠΕΡΑΣΜΑΤΟΣ</t>
  </si>
  <si>
    <t>ΑΜΜΟΧΩΡΙΟΥ</t>
  </si>
  <si>
    <t>ΓΥΜΝΑΣΙΟ ΑΜΜΟΧΩΡΙΟΥ ΦΛΩΡΙΝΑΣ</t>
  </si>
  <si>
    <t>mail@gym-ammoch.flo.sch.gr</t>
  </si>
  <si>
    <t>ΑΜΜΟΧΩΡΙ</t>
  </si>
  <si>
    <t>ΑΜΜΟΧΩΡΙ ΦΛΩΡΙΝΑΣ</t>
  </si>
  <si>
    <t>ΔΗΜΟΤΙΚΟ ΣΧΟΛΕΙΟ ΑΜΜΟΧΩΡΙΟΥ</t>
  </si>
  <si>
    <t>ΠΡΕΣΠΩΝ</t>
  </si>
  <si>
    <t>ΛΑΙΜΟΥ</t>
  </si>
  <si>
    <t>ΓΥΜΝΑΣΙΟ ΛΤ ΛΑΙΜΟΥ ΠΡΕΣΠΩΝ ΦΛΩΡΙΝΑΣ</t>
  </si>
  <si>
    <t>mail@gym-laimou.flo.sch.gr</t>
  </si>
  <si>
    <t>ΛΑΙΜΟΣ ΠΡΕΣΠΩΝ</t>
  </si>
  <si>
    <t>ΛΑΙΜΟΣ ΠΡΕΣΠΩΝ ΦΛΩΡΙΝΑΣ</t>
  </si>
  <si>
    <t>ΔΗΜΟΤΙΚΟ ΣΧΟΛΕΙΟ ΑΓΙΟΥ ΓΕΡΜΑΝΟΥ</t>
  </si>
  <si>
    <t>ΓΥΜΝΑΣΙΟ ΑΕΤΟΥ ΦΛΩΡΙΝΑΣ</t>
  </si>
  <si>
    <t>mail@gym-aetou.flo.sch.gr</t>
  </si>
  <si>
    <t>ΔΗΜΟΤΙΚΟ ΣΧΟΛΕΙΟ ΑΕΤΟΥ ΦΛΩΡΙΝΑΣ</t>
  </si>
  <si>
    <t>ΓΥΜΝΑΣΙΟ ΑΜΥΝΤΑΙΟΥ ΦΛΩΡΙΝΑΣ</t>
  </si>
  <si>
    <t>mail@gym-amynt.flo.sch.gr</t>
  </si>
  <si>
    <t>28ου ΣΥΝΤΑΓΜΑΤΟΣ ΠΕΖΙΚΟΥ 15</t>
  </si>
  <si>
    <t>ΒΕΥΗΣ</t>
  </si>
  <si>
    <t>ΓΥΜΝΑΣΙΟ ΒΕΥΗΣ ΦΛΩΡΙΝΑΣ</t>
  </si>
  <si>
    <t>mail@gym-vevis.flo.sch.gr</t>
  </si>
  <si>
    <t>ΒΕΥΗ</t>
  </si>
  <si>
    <t>ΒΕΥΗ ΦΛΩΡΙΝΑΣ</t>
  </si>
  <si>
    <t>ΔΗΜΟΤΙΚΟ ΣΧΟΛΕΙΟ ΒΕΥΗΣ</t>
  </si>
  <si>
    <t>ΚΑΤΩ ΚΛΕΙΝΩΝ</t>
  </si>
  <si>
    <t>ΓΥΜΝΑΣΙΟ ΚΛΕΙΝΩΝ ΦΛΩΡΙΝΑΣ</t>
  </si>
  <si>
    <t>mail@gym-klein.flo.sch.gr</t>
  </si>
  <si>
    <t>ΚΑΤΩ ΚΛΕΙΝΕΣ</t>
  </si>
  <si>
    <t>Κ. ΚΛΕΙΝΕΣ ΦΛΩΡΙΝΑΣ</t>
  </si>
  <si>
    <t>ΔΗΜΟΤΙΚΟ ΣΧΟΛΕΙΟ ΚΑΤΩ ΚΛΕΙΝΩΝ  ΦΛΩΡΙΝΑΣ</t>
  </si>
  <si>
    <t>ΓΥΜΝΑΣΙΟ ΜΕΛΙΤΗΣ ΦΛΩΡΙΝΑΣ</t>
  </si>
  <si>
    <t>mail@gym-melit.flo.sch.gr</t>
  </si>
  <si>
    <t>ΜΕΛΙΤΗ</t>
  </si>
  <si>
    <t>ΜΕΛΙΤΗ ΦΛΩΡΙΝΑΣ</t>
  </si>
  <si>
    <t>ΔΗΜΟΤΙΚΟ ΣΧΟΛΕΙΟ ΜΕΛΙΤΗΣ ΦΛΩΡΙΝΑΣ</t>
  </si>
  <si>
    <t>ΜΟΥΣΙΚΟ ΓΥΜΝΑΣΙΟ Λ.Τ. ΑΜΥΝΤΑΙΟΥ</t>
  </si>
  <si>
    <t>mail@gym-mous-amynt.flo.sch.gr</t>
  </si>
  <si>
    <t>ΕΣΠΕΡΙΝΟ ΓΥΜΝΑΣΙΟ - ΛΥΚΕΙΑΚΕΣ ΤΑΞΕΙΣ ΦΛΩΡΙΝΑΣ</t>
  </si>
  <si>
    <t>mail@gym-esp-florin.flo.sch.gr</t>
  </si>
  <si>
    <t>ΜΗΤΡΟΠΟΛΙΤΟΥ ΑΥΓΟΥΣΤΙΝΟΥ ΚΑΝΤΙΩΤΗ 84</t>
  </si>
  <si>
    <t>ΓΕΝΙΚΟ ΛΥΚΕΙΟ ΦΙΛΩΤΑ</t>
  </si>
  <si>
    <t>mail@lyk-filot.flo.sch.gr</t>
  </si>
  <si>
    <t>ΛΕΧΟΒΟΥ</t>
  </si>
  <si>
    <t>ΓΥΜΝΑΣΙΟ ΛΕΧΟΒΟΥ ΦΛΩΡΙΝΑΣ</t>
  </si>
  <si>
    <t>mail@gym-lechov.flo.sch.gr</t>
  </si>
  <si>
    <t>ΛΕΧΟΒΟ</t>
  </si>
  <si>
    <t>ΛΕΧΟΒΟ ΦΛΩΡΙΝΑΣ</t>
  </si>
  <si>
    <t>ΔΗΜΟΤΙΚΟ ΣΧΟΛΕΙΟ ΛΕΧΟΒΟΥ</t>
  </si>
  <si>
    <t>ΕΕΕΕΚ ΦΛΩΡΙΝΑΣ</t>
  </si>
  <si>
    <t>mail@eeeek-florin.flo.sch.gr</t>
  </si>
  <si>
    <t>ΕΣΠΕΡΙΝΟ ΕΠΑΛ ΦΛΩΡΙΝΑΣ</t>
  </si>
  <si>
    <t>mail@epal-esp-florin.flo.sch.gr</t>
  </si>
  <si>
    <t>3ο χλμ. Εθν. Οδού Φλώρινας - Νίκης</t>
  </si>
  <si>
    <t>ΕΝΕΕΓΥ-Λ ΦΛΩΡΙΝΑΣ</t>
  </si>
  <si>
    <t>mail@gym-ee-florin.flo.sch.gr</t>
  </si>
  <si>
    <t>Ε.Κ. ΑΜΥΝΤΑΙΟΥ ΦΛΩΡΙΝΑΣ</t>
  </si>
  <si>
    <t>sek127.amynt@gmail.com</t>
  </si>
  <si>
    <t xml:space="preserve">ΑΜΥΝΤΑΙΟ </t>
  </si>
  <si>
    <t>ΔΙΕΥΘΥΝΣΗ Π.Ε. ΓΡΕΒΕΝΩΝ</t>
  </si>
  <si>
    <t>ΗΡΑΚΛΕΩΤΩΝ</t>
  </si>
  <si>
    <t>ΚΙΒΩΤΟΥ</t>
  </si>
  <si>
    <t>ΝΗΠΙΑΓΩΓΕΙΟ ΚΙΒΩΤΟΥ</t>
  </si>
  <si>
    <t>mail@nip-kivot.gre.sch.gr</t>
  </si>
  <si>
    <t>ΚΙΒΩΤΟΣ</t>
  </si>
  <si>
    <t>7ο ΝΗΠΙΑΓΩΓΕΙΟ ΓΡΕΒΕΝΩΝ</t>
  </si>
  <si>
    <t>mail@7nip-greven.gre.sch.gr</t>
  </si>
  <si>
    <t>4ο ΝΗΠΙΑΓΩΓΕΙΟ ΓΡΕΒΕΝΩΝ</t>
  </si>
  <si>
    <t>mail@4nip-greven.gre.sch.gr</t>
  </si>
  <si>
    <t>ΤΕΡΜΑ ΜΕΓΑΛΟΥ ΑΛΕΞΑΝΔΡΟΥ</t>
  </si>
  <si>
    <t>4ο  ΔΗΜΟΤΙΚΟ ΣΧΟΛΕΙΟ ΓΡΕΒΕΝΩΝ</t>
  </si>
  <si>
    <t>mail@4dim-greven.gre.sch.gr</t>
  </si>
  <si>
    <t>ΓΡΕΒΕΝA</t>
  </si>
  <si>
    <t>ΝΙΚΗΣ 1</t>
  </si>
  <si>
    <t>2ο ΔΗΜΟΤΙΚΟ ΣΧΟΛΕΙΟ ΓΡΕΒΕΝΩΝ</t>
  </si>
  <si>
    <t>mail@2dim-greven.gre.sch.gr</t>
  </si>
  <si>
    <t>ΓΕΩΡΓΙΟΥ ΜΠΟΥΣΙΟΥ 38</t>
  </si>
  <si>
    <t>1ο ΔΗΜΟΤΙΚΟ ΣΧΟΛΕΙΟ ΓΡΕΒΕΝΩΝ</t>
  </si>
  <si>
    <t>mail@1dim-greven.gre.sch.gr</t>
  </si>
  <si>
    <t>Λ. ΣΟΦΟΥ 10</t>
  </si>
  <si>
    <t>ΦΕΛΛΙΟΥ</t>
  </si>
  <si>
    <t>ΔΗΜΟΤΙΚΟ ΣΧΟΛΕΙΟ ΦΕΛΛΙΟΥ</t>
  </si>
  <si>
    <t>mail@dim-felliou.gre.sch.gr</t>
  </si>
  <si>
    <t>Φελλί</t>
  </si>
  <si>
    <t>2ο  ΔΗΜΟΤΙΚΟ ΣΧΟΛΕΙΟ ΔΕΣΚΑΤΗΣ</t>
  </si>
  <si>
    <t>avellis@sch.gr</t>
  </si>
  <si>
    <t>2ο ΝΗΠΙΑΓΩΓΕΙΟ ΓΡΕΒΕΝΩΝ</t>
  </si>
  <si>
    <t>mail@2nip-greven.gre.sch.gr</t>
  </si>
  <si>
    <t>ΠΑΡ. ΕΥΑΓΓΕΛΙΣΤΡΙΑΣ 33</t>
  </si>
  <si>
    <t>ΝΗΠΙΑΓΩΓΕΙΟ ΔΗΜΗΤΡΑΣ ΓΡΕΒΕΝΩΝ</t>
  </si>
  <si>
    <t>mail@nip-dimitr.gre.sch.gr</t>
  </si>
  <si>
    <t>ΔΗΜΗΤΡΑΣ</t>
  </si>
  <si>
    <t>ΔΗΜΗΤΡΑ</t>
  </si>
  <si>
    <t>1ο ΝΗΠΙΑΓΩΓΕΙΟ ΔΕΣΚΑΤΗΣ</t>
  </si>
  <si>
    <t>mail@1nip-deskat.gre.sch.gr</t>
  </si>
  <si>
    <t>2ο ΝΗΠΙΑΓΩΓΕΙΟ ΔΕΣΚΑΤΗΣ</t>
  </si>
  <si>
    <t>mail@2nip-deskat.gre.sch.gr</t>
  </si>
  <si>
    <t>ΓΟΡΓΙΑΝΗΣ</t>
  </si>
  <si>
    <t>ΚΡΑΝΕΑΣ</t>
  </si>
  <si>
    <t>ΔΗΜΟΤΙΚΟ ΣΧΟΛΕΙΟ ΚΡΑΝΙΑΣ</t>
  </si>
  <si>
    <t>mail@dim-kranias.gre.sch.gr</t>
  </si>
  <si>
    <t>ΚΡΑΝΙΑ</t>
  </si>
  <si>
    <t>6ο ΔΗΜΟΤΙΚΟ ΣΧΟΛΕΙΟ ΓΡΕΒΕΝΩΝ</t>
  </si>
  <si>
    <t>mail@6dim-greven.gre.sch.gr</t>
  </si>
  <si>
    <t>3ο ΝΗΠΙΑΓΩΓΕΙΟ ΓΡΕΒΕΝΩΝ</t>
  </si>
  <si>
    <t>mail@3nip-greven.gre.sch.gr</t>
  </si>
  <si>
    <t>ΑΓΙΟΥ ΓΕΩΡΓΙΟΥ 108</t>
  </si>
  <si>
    <t>1ο  ΝΗΠΙΑΓΩΓΕΙΟ ΓΡΕΒΕΝΩΝ</t>
  </si>
  <si>
    <t>mail@1nip-greven.gre.sch.gr</t>
  </si>
  <si>
    <t>ΘΕΟΔΩΡΟΥ ΖΙΑΚΑ 18</t>
  </si>
  <si>
    <t>mail@1dim-deskat.gre.sch.gr</t>
  </si>
  <si>
    <t>Κ. ΚΑΒΑΦΗ 1</t>
  </si>
  <si>
    <t>ΑΓΙΟΥ ΚΟΣΜΑ</t>
  </si>
  <si>
    <t>ΜΕΓΑΡΟΥ</t>
  </si>
  <si>
    <t>ΔΗΜΟΤΙΚΟ ΣΧΟΛΕΙΟ ΜΕΓΑΡΟΥ</t>
  </si>
  <si>
    <t>mail@dim-megar.gre.sch.gr</t>
  </si>
  <si>
    <t>ΜΕΓΑΡΟ</t>
  </si>
  <si>
    <t>ΒΕΝΤΖΙΟΥ</t>
  </si>
  <si>
    <t>ΣΑΡΑΚΗΝΑΣ</t>
  </si>
  <si>
    <t>ΔΗΜΟΤΙΚΟ ΣΧΟΛΕΙΟ ΣΑΡΑΚΗΝΑΣ</t>
  </si>
  <si>
    <t>mail@dim-sarak.gre.sch.gr</t>
  </si>
  <si>
    <t>Κνίδη</t>
  </si>
  <si>
    <t>ΔΗΜΟΤΙΚΟ ΣΧΟΛΕΙΟ ΚΙΒΩΤΟΥ</t>
  </si>
  <si>
    <t>xarizoulisvasileios@gmail.com</t>
  </si>
  <si>
    <t>mail@dim-karper.gre.sch.gr</t>
  </si>
  <si>
    <t>mail@3dim-greven.gre.sch.gr</t>
  </si>
  <si>
    <t>13ης ΟΚΤΩΒΡΙΟΥ 90</t>
  </si>
  <si>
    <t>ΕΙΔΙΚΟ ΔΗΜΟΤΙΚΟ ΣΧΟΛΕΙΟ ΓΡΕΒΕΝΑ - ΕΙΔΙΚΟ ΣΧΟΛΕΙΟ</t>
  </si>
  <si>
    <t>mail@1dim-eid-greven.gre.sch.gr</t>
  </si>
  <si>
    <t>ΤΕΡΜΑ ΜΕΓ. ΑΛΕΞΑΝΔΡΟΥ</t>
  </si>
  <si>
    <t>mail@7dim-greven.gre.sch.gr</t>
  </si>
  <si>
    <t>Μ. ΑΛΕΞΑΝΔΡΟΥ ΤΕΡΜΑ</t>
  </si>
  <si>
    <t>ΝΗΠΙΑΓΩΓΕΙΟ ΚΡΑΝΙΑΣ</t>
  </si>
  <si>
    <t>mail@nip-kranias.gre.sch.gr</t>
  </si>
  <si>
    <t>ΚΡΑΝΙΑΣ</t>
  </si>
  <si>
    <t>ΚΡΑΝΙΑ ΓΡΕΒΕΝΩΝ</t>
  </si>
  <si>
    <t>9ο  ΝΗΠΙΑΓΩΓΕΙΟ ΓΡΕΒΕΝΩΝ</t>
  </si>
  <si>
    <t>mail@9nip-greven.gre.sch.gr</t>
  </si>
  <si>
    <t>mail@5dim-greven.gre.sch.gr</t>
  </si>
  <si>
    <t>ΕΙΔΙΚΟ ΝΗΠΙΑΓΩΓΕΙΟ ΓΡΕΒΕΝΑ</t>
  </si>
  <si>
    <t>mail@nip-eid-greven.gre.sch.gr</t>
  </si>
  <si>
    <t>ΤΕΡΜΑ Μ.ΑΛΕΞΑΝΔΡΟΥ</t>
  </si>
  <si>
    <t>ΚΝΙΔΗΣ</t>
  </si>
  <si>
    <t>ΝΗΠΙΑΓΩΓΕΙΟ ΚΝΙΔΗΣ</t>
  </si>
  <si>
    <t>mail@nip-knidis.gre.sch.gr</t>
  </si>
  <si>
    <t>ΚΝΙΔΗ</t>
  </si>
  <si>
    <t>ΘΕΟΔΩΡΟΥ ΖΙΑΚΑ</t>
  </si>
  <si>
    <t>ΜΑΥΡΑΝΑΙΩΝ</t>
  </si>
  <si>
    <t>ΝΗΠΙΑΓΩΓΕΙΟ ΜΑΥΡΑΝΑΙΩΝ ΓΡΕΒΕΝΩΝ</t>
  </si>
  <si>
    <t>mail@nip-mavran.gre.sch.gr</t>
  </si>
  <si>
    <t>ΜΑΥΡΑΝΑΙΩΝ ΓΡΕΒΕΝΩΝ</t>
  </si>
  <si>
    <t>ΜΑΥΡΑΝΑΙΟΙ</t>
  </si>
  <si>
    <t>ΔΙΕΥΘΥΝΣΗ Π.Ε. ΚΑΣΤΟΡΙΑΣ</t>
  </si>
  <si>
    <t>mail@9dim-kastor.kas.sch.gr</t>
  </si>
  <si>
    <t>ΦΟΥΝΤΟΥΚΛΗ - ΧΛΟΗ</t>
  </si>
  <si>
    <t>ΝΗΠΙΑΓΩΓΕΙΟ ΚΕΦΑΛΑΡΙΟΥ</t>
  </si>
  <si>
    <t>mail@nip-kefal.kas.sch.gr</t>
  </si>
  <si>
    <t>11ο ΝΗΠΙΑΓΩΓΕΙΟ ΚΑΣΤΟΡΙΑΣ</t>
  </si>
  <si>
    <t>mail@11nip-kastor.kas.sch.gr</t>
  </si>
  <si>
    <t>3ο ΝΗΠΙΑΓΩΓΕΙΟ ΚΑΣΤΟΡΙΑΣ</t>
  </si>
  <si>
    <t>mail@3nip-kastor.kas.sch.gr</t>
  </si>
  <si>
    <t>ΧΡΙΣΤΟΠΟΥΛΟΥ 47</t>
  </si>
  <si>
    <t>ΒΙΤΣΙΟΥ</t>
  </si>
  <si>
    <t>ΤΟΙΧΙΟΥ</t>
  </si>
  <si>
    <t>ΝΗΠΙΑΓΩΓΕΙΟ ΤΟΙΧΙΟΥ ΚΑΣΤΟΡΙΑΣ</t>
  </si>
  <si>
    <t>mail@nip-toich.kas.sch.gr</t>
  </si>
  <si>
    <t>ΤΟΙΧΙΟ</t>
  </si>
  <si>
    <t>4ο ΝΗΠΙΑΓΩΓΕΙΟ ΚΑΣΤΟΡΙΑΣ</t>
  </si>
  <si>
    <t>mail@4nip-kastor.kas.sch.gr</t>
  </si>
  <si>
    <t>ΜΕΓΑΛΟΥ  ΑΛΕΞΑΝΔΡΟΥ 13</t>
  </si>
  <si>
    <t>ΚΩΣΤΑΡΑΖΙΟΥ</t>
  </si>
  <si>
    <t>ΝΗΠΙΑΓΩΓΕΙΟ ΚΩΣΤΑΡΑΖΙΟΥ</t>
  </si>
  <si>
    <t>mail@nip-kostar.kas.sch.gr</t>
  </si>
  <si>
    <t>ΚΩΣΤΑΡΑΖΙ</t>
  </si>
  <si>
    <t>ΝΗΠΙΑΓΩΓΕΙΟ ΜΑΥΡΟΧΩΡΙΟΥ ΚΑΣΤΟΡΙΑΣ</t>
  </si>
  <si>
    <t>mail@nip-mavroch.kas.sch.gr</t>
  </si>
  <si>
    <t>ΑΜΠΕΛΟΚΗΠΩΝ</t>
  </si>
  <si>
    <t>ΝΗΠΙΑΓΩΓΕΙΟ ΑΜΠΕΛΟΚΗΠΩΝ ΚΑΣΤΟΡΙΑΣ</t>
  </si>
  <si>
    <t>mail@nip-ampel.kas.sch.gr</t>
  </si>
  <si>
    <t>3ο ΝΗΠΙΑΓΩΓΕΙΟ ΑΡΓΟΥΣ ΟΡΕΣΤΙΚΟΥ</t>
  </si>
  <si>
    <t>mail@3nip-argous.kas.sch.gr</t>
  </si>
  <si>
    <t>ΑΡΓΟΣ  ΟΡΕΣΤΙΚΟ</t>
  </si>
  <si>
    <t>ΑΡΜΕΝΟΧΩΡΙΟΥ  58</t>
  </si>
  <si>
    <t>ΠΟΛΥΚΑΡΠΗΣ</t>
  </si>
  <si>
    <t>ΝΗΠΙΑΓΩΓΕΙΟ ΠΟΛΥΚΑΡΠΗΣ</t>
  </si>
  <si>
    <t>mail@nip-polyk.kas.sch.gr</t>
  </si>
  <si>
    <t>ΠΟΛΥΚΑΡΠΗ</t>
  </si>
  <si>
    <t>1ο ΝΗΠΙΑΓΩΓΕΙΟ ΑΡΓΟΥΣ ΟΡΕΣΤΙΚΟΥ</t>
  </si>
  <si>
    <t>mail@1nip-argous.kas.sch.gr</t>
  </si>
  <si>
    <t>ΣΜΥΡΝΗΣ 5</t>
  </si>
  <si>
    <t>4ο ΝΗΠΙΑΓΩΓΕΙΟ ΑΡΓΟΥΣ ΟΡΕΣΤΙΚΟΥ</t>
  </si>
  <si>
    <t>mail@4nip-argous.kas.sch.gr</t>
  </si>
  <si>
    <t>25ΗΣ ΜΑΡΤΙΟΥ</t>
  </si>
  <si>
    <t>ΔΙΣΠΗΛΙΟΥ</t>
  </si>
  <si>
    <t>ΝΗΠΙΑΓΩΓΕΙΟ ΔΙΣΠΗΛΙΟΥ</t>
  </si>
  <si>
    <t>mail@nip-dispil.kas.sch.gr</t>
  </si>
  <si>
    <t xml:space="preserve"> ΚΑΣΤΟΡΙΑΣ</t>
  </si>
  <si>
    <t>ΕΘΝΙΚΗΣ ΑΝΤΙΣΤΑΣΕΩΣ 3 ,ΔΙΣΠΗΛΙΟ</t>
  </si>
  <si>
    <t>1ο ΝΗΠΙΑΓΩΓΕΙΟ ΚΑΣΤΟΡΙΑΣ</t>
  </si>
  <si>
    <t>mail@1nip-kastor.kas.sch.gr</t>
  </si>
  <si>
    <t>ΜΑΚΕΔΟΝΟΜΑΧΩΝ 23</t>
  </si>
  <si>
    <t>5ο ΝΗΠΙΑΓΩΓΕΙΟ ΚΑΣΤΟΡΙΑΣ</t>
  </si>
  <si>
    <t>mail@5nip-kastor.kas.sch.gr</t>
  </si>
  <si>
    <t>ΓΡΑΜΜΟΥ 102</t>
  </si>
  <si>
    <t>2ο ΝΗΠΙΑΓΩΓΕΙΟ ΑΡΓΟΥΣ ΟΡΕΣΤΙΚΟΥ</t>
  </si>
  <si>
    <t>mail@2nip-argous.kas.sch.gr</t>
  </si>
  <si>
    <t>ΑΡΓΟΣ   ΟΡΕΣΤΙΚΟ</t>
  </si>
  <si>
    <t>ΚΑΝΟΠΟΥΛΟΥ 25</t>
  </si>
  <si>
    <t>6ο ΝΗΠΙΑΓΩΓΕΙΟ ΚΑΣΤΟΡΙΑΣ</t>
  </si>
  <si>
    <t>mail@6nip-kastor.kas.sch.gr</t>
  </si>
  <si>
    <t>ΔΕΛΦΩΝ 1</t>
  </si>
  <si>
    <t>2ο ΝΗΠΙΑΓΩΓΕΙΟ ΚΑΣΤΟΡΙΑΣ</t>
  </si>
  <si>
    <t>mail@2nip-kastor.kas.sch.gr</t>
  </si>
  <si>
    <t>ΑΓΙΑΣ   ΒΑΡΒΑΡΑΣ 13</t>
  </si>
  <si>
    <t>9ο ΝΗΠΙΑΓΩΓΕΙΟ ΚΑΣΤΟΡΙΑΣ</t>
  </si>
  <si>
    <t>mail@9nip-kastor.kas.sch.gr</t>
  </si>
  <si>
    <t>ΓΡΑΜΜΟΥ-ΑΡΙΣΤΑΡΧΟΥ</t>
  </si>
  <si>
    <t>7ο ΝΗΠΙΑΓΩΓΕΙΟ ΚΑΣΤΟΡΙΑΣ</t>
  </si>
  <si>
    <t>mail@7nip-kastor.kas.sch.gr</t>
  </si>
  <si>
    <t>ΠΛΑΤΕΙΑ ΑΔΕΛΦΩΝ ΕΜΜΑΝΟΥΗΛ</t>
  </si>
  <si>
    <t>ΝΗΠΙΑΓΩΓΕΙΟ ΚΟΡΗΣΟΥ</t>
  </si>
  <si>
    <t>mail@nip-koris.kas.sch.gr</t>
  </si>
  <si>
    <t>mail@dim-kostar.kas.sch.gr</t>
  </si>
  <si>
    <t>7ο ΔΗΜΟΤΙΚΟ ΣΧΟΛΕΙΟ ΚΑΣΤΟΡΙΑΣ</t>
  </si>
  <si>
    <t>mail@7dim-kastor.kas.sch.gr</t>
  </si>
  <si>
    <t>ΠΛΑΤΕΙΑ   ΝΤΟΛΤΣΟΥ</t>
  </si>
  <si>
    <t>3ο ΝΗΠΙΑΓΩΓΕΙΟ ΜΑΝΙΑΚΩΝ</t>
  </si>
  <si>
    <t>mail@3nip-maniak.kas.sch.gr</t>
  </si>
  <si>
    <t>ΑΡΜΕΝΟΧΩΡΙΟΥ 10</t>
  </si>
  <si>
    <t>ΝΗΠΙΑΓΩΓΕΙΟ ΟΙΝΟΗΣ ΚΑΣΤΟΡΙΑΣ</t>
  </si>
  <si>
    <t>mail@nip-oinois.kas.sch.gr</t>
  </si>
  <si>
    <t>ΟΙΝΟΗ</t>
  </si>
  <si>
    <t>1ο ΝΗΠΙΑΓΩΓΕΙΟ ΜΑΝΙΑΚΩΝ</t>
  </si>
  <si>
    <t>mail@1nip-maniak.kas.sch.gr</t>
  </si>
  <si>
    <t>ΜΕΓ.ΑΛΕΞΑΝΔΡΟΥ 2</t>
  </si>
  <si>
    <t>ΑΚΡΙΤΩΝ</t>
  </si>
  <si>
    <t>ΔΙΠΟΤΑΜΙΑΣ</t>
  </si>
  <si>
    <t>ΝΗΠΙΑΓΩΓΕΙΟ ΔΙΠΟΤΑΜΙΑΣ ΚΑΣΤΟΡΙΑΣ</t>
  </si>
  <si>
    <t>mail@nip-dipot.kas.sch.gr</t>
  </si>
  <si>
    <t>ΔΙΠΟΤΑΜΙΑ</t>
  </si>
  <si>
    <t>ΑΡΡΕΝΩΝ</t>
  </si>
  <si>
    <t>ΕΠΤΑΧΩΡΙΟΥ</t>
  </si>
  <si>
    <t>ΟΛΟΗΜΕΡΟ ΔΗΜΟΤΙΚΟ ΣΧΟΛΕΙΟ ΕΠΤΑΧΩΡΙΟΥ</t>
  </si>
  <si>
    <t>ΕΠΤΑΧΩΡΙ</t>
  </si>
  <si>
    <t>ΝΗΠΙΑΓΩΓΕΙΟ ΚΟΛΟΚΥΝΘΟΥΣ</t>
  </si>
  <si>
    <t>mail@nip-kolokynth.kas.sch.gr</t>
  </si>
  <si>
    <t>ΚΟΛΟΚΥΝΘΟΥ</t>
  </si>
  <si>
    <t>ΝΗΠΙΑΓΩΓΕΙΟ ΛΕΥΚΗΣ</t>
  </si>
  <si>
    <t>mail@nip-lefkis.kas.sch.gr</t>
  </si>
  <si>
    <t>ΧΙΛΙΟΔΕΝΔΡΟΥ</t>
  </si>
  <si>
    <t>ΝΗΠΙΑΓΩΓΕΙΟ ΧΙΛΙΟΔΕΝΔΡΟΥ</t>
  </si>
  <si>
    <t>mail@nip-chiliod.kas.sch.gr</t>
  </si>
  <si>
    <t>ΠΟΡΙΑ</t>
  </si>
  <si>
    <t>ΚΑΛΟΧΩΡΙΟΥ</t>
  </si>
  <si>
    <t>ΝΗΠΙΑΓΩΓΕΙΟ ΚΑΛΟΧΩΡΙ</t>
  </si>
  <si>
    <t>ΚΑΛΟΧΩΡΙ</t>
  </si>
  <si>
    <t>2ο ΝΗΠΙΑΓΩΓΕΙΟ ΜΑΝΙΑΚΩΝ</t>
  </si>
  <si>
    <t>mail@2nip-maniak.kas.sch.gr</t>
  </si>
  <si>
    <t>ΜΕΓΑΛΟΥ  ΑΛΕΞΑΝΔΡΟΥ 2</t>
  </si>
  <si>
    <t>2ο ΝΗΠΙΑΓΩΓΕΙΟ ΜΕΣΟΠΟΤΑΜΙΑΣ</t>
  </si>
  <si>
    <t>mail@2nip-mesop.kas.sch.gr</t>
  </si>
  <si>
    <t>ΜΕΣΟΠΟΤΑΜΙΑ</t>
  </si>
  <si>
    <t>ΝΗΠΙΑΓΩΓΕΙΟ ΠΕΝΤΑΒΡΥΣΟΥ ΚΑΣΤΟΡΙΑΣ</t>
  </si>
  <si>
    <t>mail@nip-pentavr.kas.sch.gr</t>
  </si>
  <si>
    <t>1ο ΝΗΠΙΑΓΩΓΕΙΟ ΜΕΣΟΠΟΤΑΜΙΑΣ</t>
  </si>
  <si>
    <t>mail@1nip-mesop.kas.sch.gr</t>
  </si>
  <si>
    <t>ΑΣΠΡΟΚΚΛΗΣΙΑΣ</t>
  </si>
  <si>
    <t>ΝΗΠΙΑΓΩΓΕΙΟ ΑΣΠΡΟΚΚΛΗΣΙΑΣ ΚΑΣΤΟΡΙΑΣ</t>
  </si>
  <si>
    <t>mail@nip-asprokl.kas.sch.gr</t>
  </si>
  <si>
    <t>ΑΣΠΡΟΚΚΛΗΣΙΑ</t>
  </si>
  <si>
    <t>mail@2dim-maniak.kas.sch.gr</t>
  </si>
  <si>
    <t>ΜΑΝΙΑΚΟΙ</t>
  </si>
  <si>
    <t>ΔΗΜΟΤΙΚΟ ΣΧΟΛΕΙΟ ΔΙΠΟΤΑΜΙΑΣ</t>
  </si>
  <si>
    <t>mail@dim-dipot.kas.sch.gr</t>
  </si>
  <si>
    <t>dimnest@sch.gr</t>
  </si>
  <si>
    <t>ΚΟΡΕΣΤΙΩΝ</t>
  </si>
  <si>
    <t>ΓΑΒΡΟΥ</t>
  </si>
  <si>
    <t>ΝΗΠΙΑΓΩΓΕΙΟ ΝΕΟΥ ΟΙΚΙΣΜΟΥ</t>
  </si>
  <si>
    <t>mail@nip-oikism.kas.sch.gr</t>
  </si>
  <si>
    <t>ΝΕΟΣ  ΟΙΚΙΣΜΟΣ</t>
  </si>
  <si>
    <t>1ο ΔΗΜΟΤΙΚΟ ΣΧΟΛΕΙΟ ΜΑΝΙΑΚΩΝ</t>
  </si>
  <si>
    <t>mail@1dim-maniak.kas.sch.gr</t>
  </si>
  <si>
    <t>Μ. ΑΛΕΞΑΝΔΡΟΥ 2</t>
  </si>
  <si>
    <t>mail@dim-oinois.kas.sch.gr</t>
  </si>
  <si>
    <t>mail@dim-mesop.kas.sch.gr</t>
  </si>
  <si>
    <t>ΔΗΜΟΤΙΚΟ ΣΧΟΛΕΙΟ ΑΣΠΡΟΚΚΛΗΣΙΑΣ</t>
  </si>
  <si>
    <t>mail@dim-asprokl.kas.sch.gr</t>
  </si>
  <si>
    <t>ΔΗΜΟΤΙΚΟ ΣΧΟΛΕΙΟ ΚΟΛΟΚΥΝΘΟΥΣ</t>
  </si>
  <si>
    <t>mail@dim-kolokynth.kas.sch.gr</t>
  </si>
  <si>
    <t>ΔΗΜΟΤΙΚΟ ΣΧΟΛΕΙΟ ΔΙΣΠΗΛΙΟΥ</t>
  </si>
  <si>
    <t>mail@dim-dispil.kas.sch.gr</t>
  </si>
  <si>
    <t>ΔΙΣΠΗΛΙΟ</t>
  </si>
  <si>
    <t>ΑΓΙΟΥ ΑΘΑΝΑΣΙΟΥ 2</t>
  </si>
  <si>
    <t>mail@dim-porias.kas.sch.gr</t>
  </si>
  <si>
    <t>ΧΙΛΙΟΔΕΝΔΡΟ</t>
  </si>
  <si>
    <t>1ο ΔΗΜΟΤΙΚΟ ΣΧΟΛΕΙΟ ΚΑΣΤΟΡΙΑΣ</t>
  </si>
  <si>
    <t>mail@1dim-kastor.kas.sch.gr</t>
  </si>
  <si>
    <t>ΜΑΝΩΛΑΚΗ 26</t>
  </si>
  <si>
    <t>mail@2dim-kastor.kas.sch.gr</t>
  </si>
  <si>
    <t>ΑΓΙΟΥ  ΜΗΝΑ 27</t>
  </si>
  <si>
    <t>3ο ΔΗΜΟΤΙΚΟ ΣΧΟΛΕΙΟ ΚΑΣΤΟΡΙΑΣ - ΑΘΑΝΑΣΙΟΣ ΧΡΙΣΤΟΠΟΥΛΟΣ</t>
  </si>
  <si>
    <t>mail@3dim-kastor.kas.sch.gr</t>
  </si>
  <si>
    <t>4ο ΔΗΜΟΤΙΚΟ ΣΧΟΛΕΙΟ ΚΑΣΤΟΡΙΑΣ</t>
  </si>
  <si>
    <t>mail@4dim-kastor.kas.sch.gr</t>
  </si>
  <si>
    <t>mail@5dim-kastor.kas.sch.gr</t>
  </si>
  <si>
    <t>ΖΑΛΟΓΓΟΥ 9Α</t>
  </si>
  <si>
    <t>mail@6dim-kastor.kas.sch.gr</t>
  </si>
  <si>
    <t>ΑΛΕΞΑΝΔΡΟΥ  ΠΑΠΑΓΟΥ 18</t>
  </si>
  <si>
    <t>mail@dim-koris.kas.sch.gr</t>
  </si>
  <si>
    <t>ΔΗΜΟΤΙΚΟ ΣΧΟΛΕΙΟ ΜΑΥΡΟΧΩΡΙΟΥ - ΓΕΡΜΑΝΟΣ ΧΡΗΣΤΙΔΗΣ</t>
  </si>
  <si>
    <t>mail@dim-mavroch.kas.sch.gr</t>
  </si>
  <si>
    <t>ΔΑΣΚΑΛΟΥ ΔΙΑΜΑΝΤΗ ΜΑΝΤΟΠΟΥΛΟΥ</t>
  </si>
  <si>
    <t>1ο ΔΗΜΟΤΙΚΟ ΣΧΟΛΕΙΟ ΑΡΓΟΥΣ ΟΡΕΣΤΙΚΟΥ</t>
  </si>
  <si>
    <t>mail@1dim-argous.kas.sch.gr</t>
  </si>
  <si>
    <t>ΣΠΥΡΟΥ  ΛΟΥΗ 12</t>
  </si>
  <si>
    <t>2ο ΔΗΜΟΤΙΚΟ ΣΧΟΛΕΙΟ ΑΡΓΟΥΣ ΟΡΕΣΤΙΚΟΥ</t>
  </si>
  <si>
    <t>mail@2dim-argous.kas.sch.gr</t>
  </si>
  <si>
    <t>ΜΙΧΑΗΛ   ΖΑΧΟΥ 9</t>
  </si>
  <si>
    <t>mail@4dim-argous.kas.sch.gr</t>
  </si>
  <si>
    <t>ΠΑΠΑΣΤΕΡΓΙΟΥ 40</t>
  </si>
  <si>
    <t>mail@3dim-argous.kas.sch.gr</t>
  </si>
  <si>
    <t>ΑΡΜΕΝΟΧΩΡΙΟΥ 60</t>
  </si>
  <si>
    <t>ΔΗΜΟΤΙΚΟ ΣΧΟΛΕΙΟ ΤΟΙΧΙΟΥ</t>
  </si>
  <si>
    <t>mail@dim-toich.kas.sch.gr</t>
  </si>
  <si>
    <t>ΔΗΜΟΤΙΚΟ ΣΧΟΛΕΙΟ Ν.ΟΙΚΙΣΜΟΥ</t>
  </si>
  <si>
    <t>mail@dim-oikism.kas.sch.gr</t>
  </si>
  <si>
    <t>Ν.ΟΙΚΙΣΜΟΥ</t>
  </si>
  <si>
    <t>ΜΑΚΡΟΧΩΡΙΟΥ</t>
  </si>
  <si>
    <t>ΕΙΔΙΚΟ ΔΗΜΟΤΙΚΟ ΣΧΟΛΕΙΟ ΚΑΣΤΟΡΙΑΣ</t>
  </si>
  <si>
    <t>mail@dim-eid-kastor.kas.sch.gr</t>
  </si>
  <si>
    <t>ΧΛΟΗ 466</t>
  </si>
  <si>
    <t>10ο ΝΗΠΙΑΓΩΓΕΙΟ ΚΑΣΤΟΡΙΑΣ</t>
  </si>
  <si>
    <t>mail@10nip-kastor.kas.sch.gr</t>
  </si>
  <si>
    <t>mail@dim-polyk.kas.sch.gr</t>
  </si>
  <si>
    <t>10ο ΔΗΜΟΤΙΚΟ ΣΧΟΛΕΙΟ ΚΑΣΤΟΡΙΑΣ</t>
  </si>
  <si>
    <t>mail@10dim-kastor.kas.sch.gr</t>
  </si>
  <si>
    <t>ΕΥ. ΠΑΠΑΝΟΥΤΣΟΥ, ΧΛΟΗ</t>
  </si>
  <si>
    <t>12ο ΝΗΠΙΑΓΩΓΕΙΟ ΚΑΣΤΟΡΙΑ</t>
  </si>
  <si>
    <t>ΕΙΔΙΚΟ ΝΗΠΙΑΓΩΓΕΙΟ ΚΑΣΤΟΡΙΑΣ</t>
  </si>
  <si>
    <t>mail@nip-eid-kastor.kas.sch.gr</t>
  </si>
  <si>
    <t>ΝΗΠΙΑΓΩΓΕΙΟ ΝΕΣΤΟΡΙΟΥ ΚΑΣΤΟΡΙΑΣ</t>
  </si>
  <si>
    <t>mail@nip-nestor.kas.sch.gr</t>
  </si>
  <si>
    <t>ΔΙΕΥΘΥΝΣΗ Π.Ε. ΚΟΖΑΝΗΣ</t>
  </si>
  <si>
    <t>ΠΟΛΥΜΥΛΟΥ</t>
  </si>
  <si>
    <t>ΝΗΠΙΑΓΩΓΕΙΟ ΠΟΛΥΜΥΛΟΣ</t>
  </si>
  <si>
    <t>mail@nip-polym.koz.sch.gr</t>
  </si>
  <si>
    <t>ΠΟΛΥΜΥΛΟΣ</t>
  </si>
  <si>
    <t>mail@6dim-kozan.koz.sch.gr</t>
  </si>
  <si>
    <t>Κοζάνη</t>
  </si>
  <si>
    <t>Κύπρου 2</t>
  </si>
  <si>
    <t>ΚΥΠΡΟΥ 2</t>
  </si>
  <si>
    <t>17ο ΝΗΠΙΑΓΩΓΕΙΟ ΚΟΖΑΝΗΣ</t>
  </si>
  <si>
    <t>mail@17nip-kozan.koz.sch.gr</t>
  </si>
  <si>
    <t>ΣΥΝΟΙΚΙΑ ΠΛΑΤΑΝΙΑ</t>
  </si>
  <si>
    <t>6ο ΝΗΠΙΑΓΩΓΕΙΟ ΠΤΟΛΕΜΑΪΔΑΣ</t>
  </si>
  <si>
    <t>mail@6nip-ptolem.koz.sch.gr</t>
  </si>
  <si>
    <t>ΓΕΡΜΑΝΟΥ ΚΑΡΑΒΑΓΓΕΛΗ  4</t>
  </si>
  <si>
    <t>ΑΡΔΑΣΣΗΣ</t>
  </si>
  <si>
    <t>ΟΛΟΗΜΕΡΟ ΝΗΠΙΑΓΩΓΕΙΟ ΑΡΔΑΣΣΑΣ</t>
  </si>
  <si>
    <t>mail@nip-ardass.koz.sch.gr</t>
  </si>
  <si>
    <t>ΑΡΔΑΣΣΑΣ</t>
  </si>
  <si>
    <t>ΑΡΔΑΣΣΑ</t>
  </si>
  <si>
    <t>ΑΓΙΟΥ ΧΡΙΣΤΟΦΟΡΟΥ</t>
  </si>
  <si>
    <t>ΝΗΠΙΑΓΩΓΕΙΟ ΑΓΙΟΥ ΧΡΙΣΤΟΦΟΡΟΥ</t>
  </si>
  <si>
    <t>mail@nip-ag-christ.koz.sch.gr</t>
  </si>
  <si>
    <t>ΦΟΥΦΑ</t>
  </si>
  <si>
    <t>ΝΗΠΙΑΓΩΓΕΙΟ ΦΟΥΦΑ</t>
  </si>
  <si>
    <t>mail@nip-foufa.koz.sch.gr</t>
  </si>
  <si>
    <t>ΦΟΥΦΑΣ</t>
  </si>
  <si>
    <t>ΓΑΛΑΤΕΙΑΣ</t>
  </si>
  <si>
    <t>ΝΗΠΙΑΓΩΓΕΙΟ ΓΑΛΑΤΕΙΑΣ</t>
  </si>
  <si>
    <t>mail@nip-galat.koz.sch.gr</t>
  </si>
  <si>
    <t>ΓΑΛΑΤΕΙΑ</t>
  </si>
  <si>
    <t>8ο ΝΗΠΙΑΓΩΓΕΙΟ ΠΤΟΛΕΜΑΪΔΑΣ</t>
  </si>
  <si>
    <t>mail@8nip-ptolem.koz.sch.gr</t>
  </si>
  <si>
    <t>Β.ΟΛΓΑΣ 17</t>
  </si>
  <si>
    <t>7ο ΝΗΠΙΑΓΩΓΕΙΟ ΠΤΟΛΕΜΑΪΔΑΣ</t>
  </si>
  <si>
    <t>mail@7nip-ptolem.koz.sch.gr</t>
  </si>
  <si>
    <t>ΒΑΣ. ΟΛΓΑΣ 17</t>
  </si>
  <si>
    <t>9ο ΝΗΠΙΑΓΩΓΕΙΟ ΠΤΟΛΕΜΑΪΔΑΣ</t>
  </si>
  <si>
    <t>mail@9nip-ptolem.koz.sch.gr</t>
  </si>
  <si>
    <t>ΣΟΥΛΙΟΥ 7</t>
  </si>
  <si>
    <t>ΝΗΠΙΑΓΩΓΕΙΟ ΠΕΡΔΙΚΚΑ</t>
  </si>
  <si>
    <t>mail@nip-perdik.koz.sch.gr</t>
  </si>
  <si>
    <t>3ο ΝΗΠΙΑΓΩΓΕΙΟ ΠΤΟΛΕΜΑΪΔΑΣ</t>
  </si>
  <si>
    <t>mail@3nip-ptolem.koz.sch.gr</t>
  </si>
  <si>
    <t>ΝΟΣΟΚΟΜΕΙΟΥ 28</t>
  </si>
  <si>
    <t>15ο ΝΗΠΙΑΓΩΓΕΙΟ ΠΤΟΛΕΜΑΪΔΑΣ</t>
  </si>
  <si>
    <t>mail@15nip-ptolem.koz.sch.gr</t>
  </si>
  <si>
    <t>ΚΑΥΚΑΣΟΥ ΚΑΙ ΑΓΙΟΥ ΤΡΥΦΩΝΟΣ</t>
  </si>
  <si>
    <t>1ο ΝΗΠΙΑΓΩΓΕΙΟ ΠΤΟΛΕΜΑΪΔΑΣ</t>
  </si>
  <si>
    <t>mail@1nip-ptolem.koz.sch.gr</t>
  </si>
  <si>
    <t>ΕΙΚΟΣΤΟΥ ΟΓΔΟΟΥ ΣΥΝΤΑΓΜΑΤΟΣ 14</t>
  </si>
  <si>
    <t>19ο ΝΗΠΙΑΓΩΓΕΙΟ ΠΤΟΛΕΜΑΪΔΑΣ</t>
  </si>
  <si>
    <t>mail@19nip-ptolem.koz.sch.gr</t>
  </si>
  <si>
    <t>17ο ΝΗΠΙΑΓΩΓΕΙΟ ΠΤΟΛΕΜΑΪΔΑΣ</t>
  </si>
  <si>
    <t>mail@17nip-ptolem.koz.sch.gr</t>
  </si>
  <si>
    <t>ΔΙΟΙΚΗΤΗΡΙΟΥ 64</t>
  </si>
  <si>
    <t>ΝΗΠΙΑΓΩΓΕΙΟ ΑΝΑΤΟΛΙΚΟΥ</t>
  </si>
  <si>
    <t>mail@nip-anatol.koz.sch.gr</t>
  </si>
  <si>
    <t>ΑΝΑΤΟΛΙΚΟ</t>
  </si>
  <si>
    <t>mail@dim-velvent.koz.sch.gr</t>
  </si>
  <si>
    <t>ΒΕΛΒΕΝΤΟ</t>
  </si>
  <si>
    <t>ΚΛΕΙΤΟΥ</t>
  </si>
  <si>
    <t>ΔΗΜΟΤΙΚΟ ΣΧΟΛΕΙΟ ΝΕΟΥ ΚΛΕΙΤΟΥ</t>
  </si>
  <si>
    <t>mail@dim-kleit.koz.sch.gr</t>
  </si>
  <si>
    <t>ΝΕΟ ΚΛΕΙΤΟΣ</t>
  </si>
  <si>
    <t>mail@1dim-siatist.koz.sch.gr</t>
  </si>
  <si>
    <t>ΣΙΑΤΙΣΤΑ</t>
  </si>
  <si>
    <t>5ο ΔΗΜΟΤΙΚΟ ΣΧΟΛΕΙΟ ΚΟΖΑΝΗΣ</t>
  </si>
  <si>
    <t>mail@5dim-kozan.koz.sch.gr</t>
  </si>
  <si>
    <t>ΠΟΠΟΒΙΤΣ 6</t>
  </si>
  <si>
    <t>mail@17dim-kozan.koz.sch.gr</t>
  </si>
  <si>
    <t>ΚΑΛΒΟΥ ΑΝΔΡΕΑ</t>
  </si>
  <si>
    <t>ΧΑΡΑΥΓΗΣ</t>
  </si>
  <si>
    <t>ΔΗΜΟΤΙΚΟ ΣΧΟΛΕΙΟ ΝΕΑΣ ΧΑΡΑΥΓΗΣ</t>
  </si>
  <si>
    <t>mail@dim-n-charavg.koz.sch.gr</t>
  </si>
  <si>
    <t>ΝΕΑ ΧΑΡΑΥΓΗ</t>
  </si>
  <si>
    <t>ΝΕΑ ΧΑΡΑΥΓΗ ΚΟΖΑΝΗΣ</t>
  </si>
  <si>
    <t>ΚΑΡΥΔΙΤΣΑΣ</t>
  </si>
  <si>
    <t>ΔΗΜΟΤΙΚΟ ΣΧΟΛΕΙΟ ΚΑΡΥΔΙΤΣΑΣ</t>
  </si>
  <si>
    <t>mail@dim-karyd.koz.sch.gr</t>
  </si>
  <si>
    <t>ΚΑΡΥΔΙΤΣΑ</t>
  </si>
  <si>
    <t>ΚΑΡΥΔΙΤΣΑ ΚΟΖΑΝΗΣ</t>
  </si>
  <si>
    <t>mail@dim-xirol.koz.sch.gr</t>
  </si>
  <si>
    <t>ΞΗΡΟΛΙΜΝΗ ΚΟΖΑΝΗΣ</t>
  </si>
  <si>
    <t>mail@dim-lefkop.koz.sch.gr</t>
  </si>
  <si>
    <t>ΔΗΜΟΤΙΚΟ ΣΧΟΛΕΙΟ ΔΡΕΠΑΝΟΥ ΚΟΖΑΝΗΣ</t>
  </si>
  <si>
    <t>mail@dim-drepan.koz.sch.gr</t>
  </si>
  <si>
    <t>ΔΡΕΠΑΝΟ ΚΟΖΑΝΗΣ</t>
  </si>
  <si>
    <t>8ο ΔΗΜΟΤΙΚΟ ΣΧΟΛΕΙΟ ΚΟΖΑΝΗΣ</t>
  </si>
  <si>
    <t>mail@8dim-kozan.koz.sch.gr</t>
  </si>
  <si>
    <t>ΜΙΝΩΤΑΥΡΟΥ 4</t>
  </si>
  <si>
    <t>1ο ΔΗΜΟΤΙΚΟ ΣΧΟΛΕΙΟ ΚΟΖΑΝΗΣ "ΓΕΩΡΓΙΟΣ ΚΟΝΤΑΡΗΣ"</t>
  </si>
  <si>
    <t>mail@1dim-kozan.koz.sch.gr</t>
  </si>
  <si>
    <t>ΚΟΝΤΑΡΗ 2</t>
  </si>
  <si>
    <t>ΠΛΑΤΑΝΟΡΡΕΥΜΑΤΟΣ</t>
  </si>
  <si>
    <t>ΔΗΜΟΤΙΚΟ ΣΧΟΛΕΙΟ ΠΛΑΤΑΝΟΡΡΕΥΜΑΤΟΣ</t>
  </si>
  <si>
    <t>mail@dim-platan.koz.sch.gr</t>
  </si>
  <si>
    <t>ΠΛΑΤΑΝΟΡΡΕΥΜΑ</t>
  </si>
  <si>
    <t>1ο ΔΗΜΟΤΙΚΟ ΣΧΟΛΕΙΟ ΣΕΡΒΙΩΝ ΚΟΖΑΝΗΣ</t>
  </si>
  <si>
    <t>mail@1dim-servion.koz.sch.gr</t>
  </si>
  <si>
    <t>Σέρβια,</t>
  </si>
  <si>
    <t>Ανδρέα Γ. Παπανδρέου 11</t>
  </si>
  <si>
    <t>ΕΡΑΤΥΡΑΣ</t>
  </si>
  <si>
    <t>ΔΗΜΟΤΙΚΟ ΣΧΟΛΕΙΟ ΕΡΑΤΥΡΑΣ</t>
  </si>
  <si>
    <t>mail@dim-eratyr.koz.sch.gr</t>
  </si>
  <si>
    <t>Εράτυρα</t>
  </si>
  <si>
    <t>mail@dim-galat.koz.sch.gr</t>
  </si>
  <si>
    <t>ΠΑΠΑΕΥΘΥΜΙΟΥ 3</t>
  </si>
  <si>
    <t>2ο ΔΗΜΟΤΙΚΟ ΣΧΟΛΕΙΟ ΜΟΥΡΙΚΙΟΥ</t>
  </si>
  <si>
    <t>mail@dim-foufa.koz.sch.gr</t>
  </si>
  <si>
    <t>ΦΟΥΦΑΣ- ΜΗΛΟΧΩΡΙ</t>
  </si>
  <si>
    <t>1ο χμ.ΦΟΥΦΑ-ΜΗΛΟΧΩΡΙΟΥ</t>
  </si>
  <si>
    <t>2ο  ΔΗΜΟΤΙΚΟ ΣΧΟΛΕΙΟ ΚΟΖΑΝΗΣ</t>
  </si>
  <si>
    <t>mail@2dim-kozan.koz.sch.gr</t>
  </si>
  <si>
    <t>ΔΗΜΟΤΙΚΟ ΣΧΟΛΕΙΟ ΤΡΑΝΟΒΑΛΤΟ ΚΟΖΑΝΗΣ - ΚΥΡΙΑΚΟΥΛΗΣ ΜΑΥΡΟΜΙΧΑΛΗΣ</t>
  </si>
  <si>
    <t>mail@dim-tranov.koz.sch.gr</t>
  </si>
  <si>
    <t>ΤΡΑΝΟΒΑΛΤΟ ΚΟΖΑΝΗΣ</t>
  </si>
  <si>
    <t>1ο ΔΗΜΟΤΙΚΟ ΣΧΟΛΕΙΟ ΚΡΟΚΟΥ</t>
  </si>
  <si>
    <t>mail@1dim-krokou.koz.sch.gr</t>
  </si>
  <si>
    <t>ΚΡΟΚΟΣ</t>
  </si>
  <si>
    <t>ΔΗΜΗΤΡΙΟΥ ΥΨΗΛΑΝΤΗ</t>
  </si>
  <si>
    <t>ΠΟΝΤΟΚΩΜΗΣ</t>
  </si>
  <si>
    <t>ΔΗΜΟΤΙΚΟ ΣΧΟΛΕΙΟ ΠΟΝΤΟΚΩΜΗΣ</t>
  </si>
  <si>
    <t>mail@dim-pontok.koz.sch.gr</t>
  </si>
  <si>
    <t>ΠΟΝΤΟΚΩΜΗ</t>
  </si>
  <si>
    <t>ΜΕΣΟΒΟΥΝΟΥ</t>
  </si>
  <si>
    <t>ΝΗΠΙΑΓΩΓΕΙΟ ΜΕΣΟΒΟΥΝΟΥ</t>
  </si>
  <si>
    <t>ΜΕΣΟΒΟΥΝΟ</t>
  </si>
  <si>
    <t>mail@dim-tsotyl.koz.sch.gr</t>
  </si>
  <si>
    <t>ΒΑΤΕΡΟΥ</t>
  </si>
  <si>
    <t>mail@dim-vater.koz.sch.gr</t>
  </si>
  <si>
    <t>ΒΑΤΕΡΟ</t>
  </si>
  <si>
    <t>ΝΗΠΙΑΓΩΓΕΙΟ ΚΟΜΝΗΝΩΝ</t>
  </si>
  <si>
    <t>mail@nip-komnin.koz.sch.gr</t>
  </si>
  <si>
    <t>ΚΟΜΝΗΝΑ</t>
  </si>
  <si>
    <t>mail@2dim-servion.koz.sch.gr</t>
  </si>
  <si>
    <t>ΚΩΝΣΤΑΝΤΙΝΟΥ ΚΑΡΠΟΥ 27,</t>
  </si>
  <si>
    <t>ΝΗΠΙΑΓΩΓΕΙΟ ΤΣΟΤΥΛΙΟΥ</t>
  </si>
  <si>
    <t>mail@nip-tsotyl.koz.sch.gr</t>
  </si>
  <si>
    <t>ΣΦΑΓΕΙΩΝ ΚΑΙ ΠΟΝΤΟΥ</t>
  </si>
  <si>
    <t>2ο ΝΗΠΙΑΓΩΓΕΙΟ ΠΤΟΛΕΜΑΪΔΑΣ</t>
  </si>
  <si>
    <t>mail@2nip-ptolem.koz.sch.gr</t>
  </si>
  <si>
    <t>ΚΥΠΡΟΥ 26</t>
  </si>
  <si>
    <t>ΠΥΡΓΩΝ</t>
  </si>
  <si>
    <t>ΝΗΠΙΑΓΩΓΕΙΟ ΠΥΡΓΩΝ</t>
  </si>
  <si>
    <t>mail@nip-pyrgon.koz.sch.gr</t>
  </si>
  <si>
    <t>ΠΥΡΓΟΙ</t>
  </si>
  <si>
    <t>5ο  ΝΗΠΙΑΓΩΓΕΙΟ ΠΤΟΛΕΜΑΪΔΑΣ</t>
  </si>
  <si>
    <t>mail@5nip-ptolem.koz.sch.gr</t>
  </si>
  <si>
    <t>ΓΟΥΜΕΡΑ 2</t>
  </si>
  <si>
    <t>7ο ΔΗΜΟΤΙΚΟ ΣΧΟΛΕΙΟ ΚΟΖΑΝΗΣ</t>
  </si>
  <si>
    <t>mail@7dim-kozan.koz.sch.gr</t>
  </si>
  <si>
    <t>ΑΥΛΩΝΑΣ 7</t>
  </si>
  <si>
    <t>ΜΗΛΟΧΩΡΙΟΥ</t>
  </si>
  <si>
    <t>ΝΗΠΙΑΓΩΓΕΙΟ ΜΗΛΟΧΩΡΙΟΥ - ΝΗΠΙΑΓΩΓΕΙΟ ΜΗΛΟΧΩΡΙΟΥ</t>
  </si>
  <si>
    <t>mail@nip-miloch.koz.sch.gr</t>
  </si>
  <si>
    <t>ΜΗΛΟΧΩΡΙ</t>
  </si>
  <si>
    <t>dimlivad@sch.gr</t>
  </si>
  <si>
    <t>ΛΙΒΑΔΕΡΟ ΚΟΖΑΝΗΣ</t>
  </si>
  <si>
    <t>11ο ΝΗΠΙΑΓΩΓΕΙΟ ΠΤΟΛΕΜΑΪΔΑΣ</t>
  </si>
  <si>
    <t>mail@11nip-ptolem.koz.sch.gr</t>
  </si>
  <si>
    <t>ΘΡΑΚΗΣ 35</t>
  </si>
  <si>
    <t>mail@13dim-kozan.koz.sch.gr</t>
  </si>
  <si>
    <t>ΕΡΓ ΚΑΤΟΙΚΙΕΣ ΑΓ ΑΘΑΝΑΣΙΟΥ</t>
  </si>
  <si>
    <t>4ο ΝΗΠΙΑΓΩΓΕΙΟ ΠΤΟΛΕΜΑΪΔΑΣ</t>
  </si>
  <si>
    <t>mail@4nip-ptolem.koz.sch.gr</t>
  </si>
  <si>
    <t>ΠΑΡΟΔΟΣ ΔΗΜΗΤΡΑΣ  -ΒΑΡΒΟΥΤΗ</t>
  </si>
  <si>
    <t>9ο ΔΗΜΟΤΙΚΟ ΣΧΟΛΕΙΟ ΚΟΖΑΝΗΣ</t>
  </si>
  <si>
    <t>mail@9dim-kozan.koz.sch.gr</t>
  </si>
  <si>
    <t>ΑΙΜΙΛΙΑΝΟΥ ΓΡΕΒΕΝΩΝ 5</t>
  </si>
  <si>
    <t>12ο ΔΗΜΟΤΙΚΟ ΣΧΟΛΕΙΟ ΚΟΖΑΝΗΣ</t>
  </si>
  <si>
    <t>mail@12dim-kozan.koz.sch.gr</t>
  </si>
  <si>
    <t>12ο ΝΗΠΙΑΓΩΓΕΙΟ ΚΟΖΑΝΗΣ - ΜΑΝΩΛΗ ΔΗΜΟΥΔΙΑ</t>
  </si>
  <si>
    <t>mail@12nip-kozan.koz.sch.gr</t>
  </si>
  <si>
    <t>ΜΑΝΤΩ ΜΑΥΡΟΓΕΝΟΥΣ</t>
  </si>
  <si>
    <t>ΝΗΠΙΑΓΩΓΕΙΟ ΕΡΑΤΥΡΑΣ</t>
  </si>
  <si>
    <t>mail@nip-eratyr.koz.sch.gr</t>
  </si>
  <si>
    <t>ΕΡΑΤΥΡΑ</t>
  </si>
  <si>
    <t>ΝΗΠΙΑΓΩΓΕΙΟ ΠΕΝΤΑΛΟΦΟΣ</t>
  </si>
  <si>
    <t>mail@nip-pental.koz.sch.gr</t>
  </si>
  <si>
    <t>mail@dim-pental.koz.sch.gr</t>
  </si>
  <si>
    <t>mail@11dim-kozan.koz.sch.gr</t>
  </si>
  <si>
    <t>ΑΧΡΙΔΟΣ 10</t>
  </si>
  <si>
    <t>mail@10dim-kozan.koz.sch.gr</t>
  </si>
  <si>
    <t>ΘΕΣΑΛΟΝΙΚΗΣ 33</t>
  </si>
  <si>
    <t>mail@dim-aianis.koz.sch.gr</t>
  </si>
  <si>
    <t>ΑΙΑΝΗ</t>
  </si>
  <si>
    <t>ΡΟΔΙΤΟΥ</t>
  </si>
  <si>
    <t>ΔΗΜΟΤΙΚΟ ΣΧΟΛΕΙΟ ΠΕΡΙΟΧΗΣ ΒΑΘΥΛΑΚΚΟΥ</t>
  </si>
  <si>
    <t>mail@dim-vathyl.koz.sch.gr</t>
  </si>
  <si>
    <t>ΚΟΥΒΟΥΚΛΙΑ</t>
  </si>
  <si>
    <t>3ο ΝΗΠΙΑΓΩΓΕΙΟ ΣΕΡΒΙΩΝ</t>
  </si>
  <si>
    <t>mail@3nip-servion.koz.sch.gr</t>
  </si>
  <si>
    <t>ΜΗΝΑ ΜΑΛΟΥΤΑ 1</t>
  </si>
  <si>
    <t>ΕΙΔΙΚΟ ΔΗΜΟΤΙΚΟ ΣΧΟΛΕΙΟ ΠΤΟΛΕΜΑΪΔΑΣ</t>
  </si>
  <si>
    <t>mail@dim-eid-ptolem.koz.sch.gr</t>
  </si>
  <si>
    <t>ΣΧΟΛΙΚΟ ΣΥΓΚΡΟΤΗΜΑ ΒΟΥΛΓΑΡΗ ΠΡΩΤΟ ΧΙΛΙΟΜΕΤΡΟ  ΠΤΟΛ</t>
  </si>
  <si>
    <t>ΕΙΔΙΚΟ ΔΗΜΟΤΙΚΟ ΣΧΟΛΕΙΟ ΚΟΖΑΝΗΣ</t>
  </si>
  <si>
    <t>mail@dim-eid-kozan.koz.sch.gr</t>
  </si>
  <si>
    <t>ΤΕΤΡΑΛΟΦΟ ΚΟΖΑΝΗΣ</t>
  </si>
  <si>
    <t>ΝΗΠΙΑΓΩΓΕΙΟ ΤΡΑΝΟΒΑΛΤΟΥ</t>
  </si>
  <si>
    <t>mail@nip-tranov.koz.sch.gr</t>
  </si>
  <si>
    <t>ΝΗΠΙΑΓΩΓΕΙΟ ΔΡΕΠΑΝΟΥ ΚΟΖΑΝΗΣ</t>
  </si>
  <si>
    <t>mail@nip-drepan.koz.sch.gr</t>
  </si>
  <si>
    <t>mail@dim-ag-dimitr.koz.sch.gr</t>
  </si>
  <si>
    <t>ΑΓΙΟΣ ΔΗΜΗΤΡΙΟΣ ΚΟΖΑΝΗΣ</t>
  </si>
  <si>
    <t>ΝΗΠΙΑΓΩΓΕΙΟ ΑΙΑΝΗΣ</t>
  </si>
  <si>
    <t>mail@1nip-aianis.koz.sch.gr</t>
  </si>
  <si>
    <t>ΚΟΙΛΩΝ</t>
  </si>
  <si>
    <t>ΝΗΠΙΑΓΩΓΕΙΟ ΚΟΙΛΩΝ ΚΟΖΑΝΗΣ</t>
  </si>
  <si>
    <t>mail@nip-koilon.koz.sch.gr</t>
  </si>
  <si>
    <t>ΚΟΙΛΑ</t>
  </si>
  <si>
    <t>3ο ΔΗΜΟΤΙΚΟ ΣΧΟΛΕΙΟ ΣΙΑΤΙΣΤΑΣ</t>
  </si>
  <si>
    <t>mail@3dim-siatist.koz.sch.gr</t>
  </si>
  <si>
    <t>ΔΗΜΟΤΙΚΟ ΣΧΟΛΕΙΟ ΚΟΙΛΩΝ ΚΟΖΑΝΗΣ</t>
  </si>
  <si>
    <t>mail@dim-koilon.koz.sch.gr</t>
  </si>
  <si>
    <t>ΚΟΙΛΑ ΚΟΖΑΝΗΣ</t>
  </si>
  <si>
    <t>mail@2dim-siatist.koz.sch.gr</t>
  </si>
  <si>
    <t>ΠΛΑΤΕΙΑ ΚΟΥΚΟΥΛΙΔΟΥ</t>
  </si>
  <si>
    <t>ΔΗΜΟΤΙΚΟ ΣΧΟΛΕΙΟ ΑΡΔΑΣΣΑΣ</t>
  </si>
  <si>
    <t>mail@dim-ardass.koz.sch.gr</t>
  </si>
  <si>
    <t>ΑΝΩ ΚΩΜΗΣ</t>
  </si>
  <si>
    <t>mail@dim-an-komis.koz.sch.gr</t>
  </si>
  <si>
    <t>4ο ΝΗΠΙΑΓΩΓΕΙΟ ΣΕΡΒΙΩΝ</t>
  </si>
  <si>
    <t>mail@4nip-servion.koz.sch.gr</t>
  </si>
  <si>
    <t>ΝΗΠΙΑΓΩΓΕΙΟ ΑΓΙΟΣ ΔΗΜΗΤΡΙΟΣ</t>
  </si>
  <si>
    <t>mail@nip-ag-dimitr.koz.sch.gr</t>
  </si>
  <si>
    <t>1ο ΝΗΠΙΑΓΩΓΕΙΟ ΒΕΛΒΕΝΤΟΥ - ΜΕΛΑ</t>
  </si>
  <si>
    <t>mail@1nip-velvent.koz.sch.gr</t>
  </si>
  <si>
    <t>ΝΗΠΙΑΓΩΓΕΙΟ ΠΛΑΤΑΝΟΡΡΕΥΜΑΤΟΣ</t>
  </si>
  <si>
    <t>mail@nip-platan.koz.sch.gr</t>
  </si>
  <si>
    <t>mail@2dim-ptolem.koz.sch.gr</t>
  </si>
  <si>
    <t>ΝΗΠΙΑΓΩΓΕΙΟ ΞΗΡΟΛΙΜΝΗΣ</t>
  </si>
  <si>
    <t>mail@nip-xirol.koz.sch.gr</t>
  </si>
  <si>
    <t>ΞΗΡΟΛΙΜΝΗ</t>
  </si>
  <si>
    <t>ΝΗΠΙΑΓΩΓΕΙΟ ΛΙΒΑΔΕΡΟΥ</t>
  </si>
  <si>
    <t>mail@nip-livad.koz.sch.gr</t>
  </si>
  <si>
    <t>ΝΗΠΙΑΓΩΓΕΙΟ ΒΑΤΕΡΟ</t>
  </si>
  <si>
    <t>mail@nip-vater.koz.sch.gr</t>
  </si>
  <si>
    <t>ΛΕΥΚΟΒΡΥΣΗΣ</t>
  </si>
  <si>
    <t>ΝΗΠΙΑΓΩΓΕΙΟ ΛΕΥΚΟΒΡΥΣΗΣ</t>
  </si>
  <si>
    <t>mail@nip-lefkovr.koz.sch.gr</t>
  </si>
  <si>
    <t>ΛΕΥΚΟΒΡΥΣΗ</t>
  </si>
  <si>
    <t>11ο  ΝΗΠΙΑΓΩΓΕΙΟ ΚΟΖΑΝΗΣ (ΛΙΑΠΕΙΟ)</t>
  </si>
  <si>
    <t>mail@11nip-kozan.koz.sch.gr</t>
  </si>
  <si>
    <t>ΠΟΝΤΟΥ 8</t>
  </si>
  <si>
    <t>1ο ΝΗΠΙΑΓΩΓΕΙΟ ΚΡΟΚΟΣ</t>
  </si>
  <si>
    <t>mail@1nip-krokou.koz.sch.gr</t>
  </si>
  <si>
    <t>ΚΡΟΚΟΣ 1</t>
  </si>
  <si>
    <t>8ο ΝΗΠΙΑΓΩΓΕΙΟ ΚΟΖΑΝΗΣ</t>
  </si>
  <si>
    <t>mail@8nip-kozan.koz.sch.gr</t>
  </si>
  <si>
    <t>ΠΑΡΑΚΕΙΜΕΝΟΥ 2</t>
  </si>
  <si>
    <t>20ο ΝΗΠΙΑΓΩΓΕΙΟ ΚΟΖΑΝΗΣ</t>
  </si>
  <si>
    <t>mail@20nip-kozan.koz.sch.gr</t>
  </si>
  <si>
    <t>3ης ΣΕΠΤΕΜΒΡΙΟΥ 31</t>
  </si>
  <si>
    <t>3ο ΝΗΠΙΑΓΩΓΕΙΟ ΚΟΖΑΝΗΣ</t>
  </si>
  <si>
    <t>mail@3nip-kozan.koz.sch.gr</t>
  </si>
  <si>
    <t>ΠΥΘΑΓΟΡΑ-ΠΛΑΤΩΝΟΣ-Α.ΜΙΑΟΥΛΗ 10</t>
  </si>
  <si>
    <t>ΚΑΛΟΝΕΡΙΟΥ</t>
  </si>
  <si>
    <t>ΔΗΜΟΤΙΚΟ ΣΧΟΛΕΙΟ ΚΑΛΟΝΕΡΙΟΥ-ΜΙΚΡΟΚΑΣΤΡΟΥ</t>
  </si>
  <si>
    <t>mail@dim-kalon.koz.sch.gr</t>
  </si>
  <si>
    <t>ΚΑΛΟΝΕΡΙ-ΜΙΚΡΟΚΑΣΤΡΟ</t>
  </si>
  <si>
    <t>ΑΛΩΝΑΚΙΩΝ</t>
  </si>
  <si>
    <t>ΝΗΠΙΑΓΩΓΕΙΟ ΑΛΩΝΑΚΙΩΝ</t>
  </si>
  <si>
    <t>mail@nip-alonak.koz.sch.gr</t>
  </si>
  <si>
    <t>ΑΛΩΝΑΚΙΑ</t>
  </si>
  <si>
    <t>7ο ΝΗΠΙΑΓΩΓΕΙΟ ΚΟΖΑΝΗΣ</t>
  </si>
  <si>
    <t>mail@7nip-kozan.koz.sch.gr</t>
  </si>
  <si>
    <t>ΠΙΝΔΟΥ 16</t>
  </si>
  <si>
    <t>ΠΕΤΡΑΝΩΝ</t>
  </si>
  <si>
    <t>ΝΗΠΙΑΓΩΓΕΙΟ ΠΕΤΡΑΝΩΝ ΚΟΖΑΝΗΣ</t>
  </si>
  <si>
    <t>mail@nip-petran.koz.sch.gr</t>
  </si>
  <si>
    <t>ΠΕΤΡΑΝΑ</t>
  </si>
  <si>
    <t>14ο ΝΗΠΙΑΓΩΓΕΙΟ ΚΟΖΑΝΗΣ</t>
  </si>
  <si>
    <t>mail@14nip-kozan.koz.sch.gr</t>
  </si>
  <si>
    <t>ΓΕΩΡΓΙΟΥ ΤΙΑΛΙΟΥ 4</t>
  </si>
  <si>
    <t>18ο ΝΗΠΙΑΓΩΓΕΙΟ ΚΟΖΑΝΗ</t>
  </si>
  <si>
    <t>mail@18nip-kozan.koz.sch.gr</t>
  </si>
  <si>
    <t>Γ. ΤΙΑΛΙΟΥ 4</t>
  </si>
  <si>
    <t>ΝΗΠΙΑΓΩΓΕΙΟ ΝΕΑΠΟΛΗ ΚΟΖΑΝΗΣ</t>
  </si>
  <si>
    <t>mail@1nip-neapol.koz.sch.gr</t>
  </si>
  <si>
    <t>ΣΧΟΛΕΙΟ 1</t>
  </si>
  <si>
    <t>2ο ΝΗΠΙΑΓΩΓΕΙΟ ΣΕΡΒΙΩΝ</t>
  </si>
  <si>
    <t>mail@2nip-servion.koz.sch.gr</t>
  </si>
  <si>
    <t>ΠΟΛΥΤΕΧΝΕΙΟΥ 20</t>
  </si>
  <si>
    <t>ΟΛΥΜΠΙΑΔΟΣ</t>
  </si>
  <si>
    <t>ΝΗΠΙΑΓΩΓΕΙΟ ΟΛΥΜΠΙΑΔΑΣ - ΚΟΖΑΝΗΣ</t>
  </si>
  <si>
    <t>mail@nip-olymp.koz.sch.gr</t>
  </si>
  <si>
    <t>ΟΛΥΜΠΙΑΔΑΣ</t>
  </si>
  <si>
    <t>ΟΛΥΜΠΙΑΔΑ</t>
  </si>
  <si>
    <t>10ο ΝΗΠΙΑΓΩΓΕΙΟ ΚΟΖΑΝΗΣ</t>
  </si>
  <si>
    <t>mail@10nip-kozan.koz.sch.gr</t>
  </si>
  <si>
    <t>ΜΑΝΟΥ ΚΑΤΡΑΚΗ 10</t>
  </si>
  <si>
    <t>ΚΑΡΥΟΧΩΡΙΟΥ</t>
  </si>
  <si>
    <t>ΝΗΠΙΑΓΩΓΕΙΟ ΚΑΡΥΟΧΩΡΙΟΥ</t>
  </si>
  <si>
    <t>mail@nip-karyoch.koz.sch.gr</t>
  </si>
  <si>
    <t>ΚΑΡΥΟΧΩΡΙ</t>
  </si>
  <si>
    <t>14ο ΝΗΠΙΑΓΩΓΕΙΟ ΠΤΟΛΕΜΑΪΔΑΣ</t>
  </si>
  <si>
    <t>mail@14nip-ptolem.koz.sch.gr</t>
  </si>
  <si>
    <t>ΝΟΣΟΚΟΜΕΙΟΥ 23</t>
  </si>
  <si>
    <t>ΝΗΠΙΑΓΩΓΕΙΟ ΑΝΩ ΚΩΜΗΣ</t>
  </si>
  <si>
    <t>mail@nip-an-komis.koz.sch.gr</t>
  </si>
  <si>
    <t>ΜΕΣΙΑΝΗΣ</t>
  </si>
  <si>
    <t>ΝΗΠΙΑΓΩΓΕΙΟ ΜΕΣΙΑΝΗΣ</t>
  </si>
  <si>
    <t>mail@nip-mesian.koz.sch.gr</t>
  </si>
  <si>
    <t>ΜΕΣΙΑΝΗ</t>
  </si>
  <si>
    <t>ΝΗΠΙΑΓΩΓΕΙΟ ΚΑΡΥΔΙΤΣΑΣ</t>
  </si>
  <si>
    <t>mail@nip-karyd.koz.sch.gr</t>
  </si>
  <si>
    <t>ΚΑΙΣΑΡΕΙΑΣ</t>
  </si>
  <si>
    <t>ΝΗΠΙΑΓΩΓΕΙΟ ΚΑΙΣΑΡΕΙΑΣ</t>
  </si>
  <si>
    <t>mail@nip-kaisar.koz.sch.gr</t>
  </si>
  <si>
    <t>ΚΑΙΣΑΡΕΙΑ</t>
  </si>
  <si>
    <t>ΔΗΜΟΤΙΚΟ ΣΧΟΛΕΙΟ ΠΕΤΡΑΝΩΝ</t>
  </si>
  <si>
    <t>mail@dim-petran.koz.sch.gr</t>
  </si>
  <si>
    <t>13ο  ΝΗΠΙΑΓΩΓΕΙΟ ΚΟΖΑΝΗΣ</t>
  </si>
  <si>
    <t>mail@13nip-kozan.koz.sch.gr</t>
  </si>
  <si>
    <t>ΑΓΙΑΣ ΠΑΡΑΣΚΕΥΗΣ 10</t>
  </si>
  <si>
    <t>ΝΗΠΙΑΓΩΓΕΙΟ ΓΑΛΑΤΙΝΗΣ</t>
  </si>
  <si>
    <t>mail@nip-galatin.koz.sch.gr</t>
  </si>
  <si>
    <t>ΔΗΜΟΤΙΚΟ ΣΧΟΛΕΙΟ ΛΕΥΚΟΒΡΥΣΗΣ</t>
  </si>
  <si>
    <t>mail@dim-lefkovr.koz.sch.gr</t>
  </si>
  <si>
    <t>KOΖΑΝΗ</t>
  </si>
  <si>
    <t>mail@2dim-krokou.koz.sch.gr</t>
  </si>
  <si>
    <t>ΠΑΛΑΙΟΥ ΣΤΑΔΙΟΥ 1</t>
  </si>
  <si>
    <t>ΝΗΠΙΑΓΩΓΕΙΟ ΚΑΛΟΝΕΡΙΟΥ ΒΟΪΟΥ ΚΟΖΑΝΗΣ</t>
  </si>
  <si>
    <t>mail@nip-kalon.koz.sch.gr</t>
  </si>
  <si>
    <t>ΚΑΛΟΝΕΡΙ</t>
  </si>
  <si>
    <t>ΝΗΠΙΑΓΩΓΕΙΟ ΝΕΑΣ ΧΑΡΑΥΓΗΣ</t>
  </si>
  <si>
    <t>mail@nip-n-charavg.koz.sch.gr</t>
  </si>
  <si>
    <t>ΜΙΚΡΟΚΑΣΤΡΟΥ</t>
  </si>
  <si>
    <t>ΝΗΠΙΑΓΩΓΕΙΟ ΜΙΚΡΟΚΑΣΤΡΟΥ</t>
  </si>
  <si>
    <t>mail@nip-mikrok.koz.sch.gr</t>
  </si>
  <si>
    <t>ΜΙΚΡΟΚΑΣΤΡΟ</t>
  </si>
  <si>
    <t>6ο  ΝΗΠΙΑΓΩΓΕΙΟ ΚΟΖΑΝΗΣ</t>
  </si>
  <si>
    <t>mail@6nip-kozan.koz.sch.gr</t>
  </si>
  <si>
    <t>ΣΑΚΑΛΗ ΧΑΡΙΣΙΟΥ 10</t>
  </si>
  <si>
    <t>2ο ΝΗΠΙΑΓΩΓΕΙΟ ΣΙΑΤΙΣΤΑΣ -ΠΑΠΑΝΙΚΟΛΑΟΥ</t>
  </si>
  <si>
    <t>mail@2nip-siatist.koz.sch.gr</t>
  </si>
  <si>
    <t>ΜΑΚΕΔΟΝΙΑΣ</t>
  </si>
  <si>
    <t>ΠΡΩΤΟΧΩΡΙΟΥ</t>
  </si>
  <si>
    <t>ΝΗΠΙΑΓΩΓΕΙΟ ΠΡΩΤΟΧΩΡΙΟΥ</t>
  </si>
  <si>
    <t>mail@nip-protoch.koz.sch.gr</t>
  </si>
  <si>
    <t>ΠΡΩΤΟΧΩΡΙ</t>
  </si>
  <si>
    <t>ΜΑΥΡΟΔΕΝΔΡΙΟΥ</t>
  </si>
  <si>
    <t>ΔΗΜΟΤΙΚΟ ΣΧΟΛΕΙΟ ΜΑΥΡΟΔΕΝΔΡΙΟΥ</t>
  </si>
  <si>
    <t>mail@dim-mavrod.koz.sch.gr</t>
  </si>
  <si>
    <t>ΜΑΥΡΟΔΕΝΔΡΙ</t>
  </si>
  <si>
    <t>4ο  ΝΗΠΙΑΓΩΓΕΙΟ ΣΙΑΤΙΣΤΑΣ</t>
  </si>
  <si>
    <t>mail@4nip-siatist.koz.sch.gr</t>
  </si>
  <si>
    <t>ΑΗ ΓΙΑΝΝΗΣ</t>
  </si>
  <si>
    <t>9ο ΝΗΠΙΑΓΩΓΕΙΟ ΚΟΖΑΝΗΣ</t>
  </si>
  <si>
    <t>mail@9nip-kozan.koz.sch.gr</t>
  </si>
  <si>
    <t>Αιμ. Γρεβενών 5</t>
  </si>
  <si>
    <t>3ο ΝΗΠΙΑΓΩΓΕΙΟ ΣΙΑΤΙΣΤΑΣ</t>
  </si>
  <si>
    <t>mail@3nip-siatist.koz.sch.gr</t>
  </si>
  <si>
    <t>Β ΜΗΚΑ 3</t>
  </si>
  <si>
    <t>21ο ΝΗΠΙΑΓΩΓΕΙΟ ΚΟΖΑΝΗΣ - ΧΑΤΖΗΚΩΣΤΑ</t>
  </si>
  <si>
    <t>mail@21nip-kozan.koz.sch.gr</t>
  </si>
  <si>
    <t>ΜΑΝΟΥ ΚΑΤΡΑΚΗ  10</t>
  </si>
  <si>
    <t>1ο ΝΗΠΙΑΓΩΓΕΙΟ ΣΙΑΤΙΣΤΑ - ΙΩΑΝΝΙΔΕΙΟ</t>
  </si>
  <si>
    <t>mail@1nip-siatist.koz.sch.gr</t>
  </si>
  <si>
    <t>Θ. ΜΑΝΟΥΣΗ 10</t>
  </si>
  <si>
    <t>ΝΗΠΙΑΓΩΓΕΙΟ ΜΑΥΡΟΔΕΝΔΡΙΟΥ</t>
  </si>
  <si>
    <t>mail@nip-mavrod.koz.sch.gr</t>
  </si>
  <si>
    <t>2ο ΝΗΠΙΑΓΩΓΕΙΟ ΚΟΖΑΝΗΣ</t>
  </si>
  <si>
    <t>mail@2nip-kozan.koz.sch.gr</t>
  </si>
  <si>
    <t>ΘΕΣΣΑΛΟΝΙΚΗΣ 31</t>
  </si>
  <si>
    <t>19ο ΝΗΠΙΑΓΩΓΕΙΟ ΚΟΖΑΝΗ</t>
  </si>
  <si>
    <t>mail@19nip-kozan.koz.sch.gr</t>
  </si>
  <si>
    <t>ΑΓ. ΣΑΡΑΝΤΑ 20</t>
  </si>
  <si>
    <t>5ο ΝΗΠΙΑΓΩΓΕΙΟ ΚΟΖΑΝΗ</t>
  </si>
  <si>
    <t>mail@5nip-kozan.koz.sch.gr</t>
  </si>
  <si>
    <t>2ο ΝΗΠΙΑΓΩΓΕΙΟ ΒΕΛΒΕΝΤΟΥ</t>
  </si>
  <si>
    <t>mail@2nip-velvent.koz.sch.gr</t>
  </si>
  <si>
    <t>15ο ΝΗΠΙΑΓΩΓΕΙΟ ΚΟΖΑΝΗ</t>
  </si>
  <si>
    <t>mail@15nip-kozan.koz.sch.gr</t>
  </si>
  <si>
    <t>ΧΡΙΣΤΟΠΟΥΛΟΥ 5</t>
  </si>
  <si>
    <t>1ο ΝΗΠΙΑΓΩΓΕΙΟ ΣΕΡΒΙΩΝ</t>
  </si>
  <si>
    <t>mail@1nip-servion.koz.sch.gr</t>
  </si>
  <si>
    <t>3ης ΣΕΠΤΕΜΒΡΙΟΥ-Μ. ΜΑΛΟΥΤΑ</t>
  </si>
  <si>
    <t>ΝΗΠΙΑΓΩΓΕΙΟ ΛΕΥΚΟΠΗΓΗΣ</t>
  </si>
  <si>
    <t>mail@nip-lefkop.koz.sch.gr</t>
  </si>
  <si>
    <t>mail@4dim-servion.koz.sch.gr</t>
  </si>
  <si>
    <t>ΣΟΛΩΝΟΣ ΚΑΙ 6ΗΣ ΜΑΡΤΙΟΥ</t>
  </si>
  <si>
    <t>ΕΙΔΙΚΟ ΝΗΠΙΑΓΩΓΕΙΟ ΚΟΖΑΝΗΣ</t>
  </si>
  <si>
    <t>mail@nip-eid-kozan.koz.sch.gr</t>
  </si>
  <si>
    <t>ΑΓΙΩΝ ΣΑΡΑΝΤΑ 20</t>
  </si>
  <si>
    <t>2ο  ΝΗΠΙΑΓΩΓΕΙΟ ΚΡΟΚΟΥ</t>
  </si>
  <si>
    <t>mail@2nip-krokou.koz.sch.gr</t>
  </si>
  <si>
    <t>ΔΗΜΟΤΙΚΟ ΣΧΟΛΕΙΟ ΚΑΙΣΑΡΕΙΑΣ  ΚΟΖΑΝΗΣ</t>
  </si>
  <si>
    <t>mail@dim-kaisar.koz.sch.gr</t>
  </si>
  <si>
    <t>ΝΗΠΙΑΓΩΓΕΙΟ ΠΟΝΤΟΚΩΜΗ</t>
  </si>
  <si>
    <t>mail@nip-pontok.koz.sch.gr</t>
  </si>
  <si>
    <t>ΝΗΠΙΑΓΩΓΕΙΟ Ν ΚΛΕΙΤΟΥ</t>
  </si>
  <si>
    <t>mail@nip-kleit.koz.sch.gr</t>
  </si>
  <si>
    <t>ΚΛΕΙΤΟΣ</t>
  </si>
  <si>
    <t>ΑΚΡΙΝΗΣ</t>
  </si>
  <si>
    <t>ΝΗΠΙΑΓΩΓΕΙΟ ΑΚΡΙΝΗΣ</t>
  </si>
  <si>
    <t>mail@nip-akrin.koz.sch.gr</t>
  </si>
  <si>
    <t>ΑΚΡΙΝΗ</t>
  </si>
  <si>
    <t>4ο ΝΗΠΙΑΓΩΓΕΙΟ ΚΟΖΑΝΗΣ</t>
  </si>
  <si>
    <t>mail@4nip-kozan.koz.sch.gr</t>
  </si>
  <si>
    <t>16ο ΝΗΠΙΑΓΩΓΕΙΟ ΚΟΖΑΝΗ</t>
  </si>
  <si>
    <t>mail@16nip-kozan.koz.sch.gr</t>
  </si>
  <si>
    <t>ΑΙΟΛΟΥ 13</t>
  </si>
  <si>
    <t>1ο ΝΗΠΙΑΓΩΓΕΙΟ ΜΟΥΡΙΚΙΟΥ</t>
  </si>
  <si>
    <t>mail@1nip-mourik.koz.sch.gr</t>
  </si>
  <si>
    <t>ΔΗΜΟΥ ΕΟΡΔΑΙΑΣ</t>
  </si>
  <si>
    <t>ΕΜΠΟΡΙΟ - ΑΝΑΡΡΑΧΗ</t>
  </si>
  <si>
    <t>18ο ΝΗΠΙΑΓΩΓΕΙΟ ΠΤΟΛΕΜΑΪΔΑΣ</t>
  </si>
  <si>
    <t>mail@18nip-ptolem.koz.sch.gr</t>
  </si>
  <si>
    <t>ΜΑΤΣΟΥΚΑΣ  32</t>
  </si>
  <si>
    <t>13ο ΝΗΠΙΑΓΩΓΕΙΟ ΠΤΟΛΕΜΑΪΔΑΣ</t>
  </si>
  <si>
    <t>mail@13nip-ptolem.koz.sch.gr</t>
  </si>
  <si>
    <t>ΥΨΗΛΗΣ 5</t>
  </si>
  <si>
    <t>mail@dim-perdik.koz.sch.gr</t>
  </si>
  <si>
    <t>Περδίκκας</t>
  </si>
  <si>
    <t>ΑΣΒΕΣΤΟΠΕΤΡΑΣ</t>
  </si>
  <si>
    <t>ΝΗΠΙΑΓΩΓΕΙΟ ΑΣΒΕΣΤΟΠΕΤΡΑΣ</t>
  </si>
  <si>
    <t>mail@nip-asvest.koz.sch.gr</t>
  </si>
  <si>
    <t>ΑΣΒΕΣΤΡΟΠΕΤΡΑ</t>
  </si>
  <si>
    <t>10ο ΝΗΠΙΑΓΩΓΕΙΟ ΠΤΟΛΕΜΑΪΔΑΣ</t>
  </si>
  <si>
    <t>mail@10nip-ptolem.koz.sch.gr</t>
  </si>
  <si>
    <t>Δ ΤΟΜΕΑΣ 11</t>
  </si>
  <si>
    <t>mail@dim-anarr.koz.sch.gr</t>
  </si>
  <si>
    <t>Αναρράχη - Εμπόριο</t>
  </si>
  <si>
    <t>ΑΝΑΡΡΑΧΗ-ΕΜΠΟΡΙΟ</t>
  </si>
  <si>
    <t>mail@dim-anatol.koz.sch.gr</t>
  </si>
  <si>
    <t>ΥΨΩΣΕΩΣ ΤΙΜΙΟΥ ΣΤΑΥΡΟΥ</t>
  </si>
  <si>
    <t>ΔΗΜΟΤΙΚΟ ΣΧΟΛΕΙΟ ΟΛΥΜΠΙΑΔΑΣ ΚΟΖΑΝΗΣ</t>
  </si>
  <si>
    <t>mail@dim-olymp.koz.sch.gr</t>
  </si>
  <si>
    <t>ΟΛΥΜΠΙΑΔΑ - ΕΟΡΔΑΙΑΣ</t>
  </si>
  <si>
    <t>1ο ΔΗΜΟΤΙΚΟ ΣΧΟΛΕΙΟ ΒΕΡΜΙΟΥ</t>
  </si>
  <si>
    <t>mail@dim-komnin.koz.sch.gr</t>
  </si>
  <si>
    <t>ΕΟΡΔΑΙΑ</t>
  </si>
  <si>
    <t>ΔΗΜΟΤΙΚΟ ΣΧΟΛΕΙΟ ΑΣΒΕΣΤΟΠΕΤΡΑΣ</t>
  </si>
  <si>
    <t>mail@dim-asvest.koz.sch.gr</t>
  </si>
  <si>
    <t>ΑΣΒΕΣΤΟΠΕΤΡΑ</t>
  </si>
  <si>
    <t>ΔΗΜΟΤΙΚΟ ΣΧΟΛΕΙΟ ΑΚΡΙΝΗΣ</t>
  </si>
  <si>
    <t>mail@dim-akrin.koz.sch.gr</t>
  </si>
  <si>
    <t>ΑΚΡΙΝΗ ΚΟΖΑΝΗΣ</t>
  </si>
  <si>
    <t>ΔΗΜΟΤΙΚΟ ΣΧΟΛΕΙΟ ΠΥΡΓΩΝ ΕΟΡΔΑΙΑΣ</t>
  </si>
  <si>
    <t>mail@dim-pyrgon.koz.sch.gr</t>
  </si>
  <si>
    <t>ΠΥΡΓΟΙ  ΕΟΡΔΑΙΑΣ</t>
  </si>
  <si>
    <t>3ο ΔΗΜΟΤΙΚΟ ΣΧΟΛΕΙΟ ΠΤΟΛΕΜΑΪΔΑΣ</t>
  </si>
  <si>
    <t>mail@3dim-ptolem.koz.sch.gr</t>
  </si>
  <si>
    <t>ΣΜΥΡΝΗΣ 63</t>
  </si>
  <si>
    <t>4ο ΔΗΜΟΤΙΚΟ ΣΧΟΛΕΙΟ ΠΤΟΛΕΜΑΪΔΑΣ</t>
  </si>
  <si>
    <t>mail@4dim-ptolem.koz.sch.gr</t>
  </si>
  <si>
    <t>ΝΟΣΟΚΟΜΕΙΟΥ 33</t>
  </si>
  <si>
    <t>5ο  ΔΗΜΟΤΙΚΟ ΣΧΟΛΕΙΟ ΠΤΟΛΕΜΑΪΔΑΣ</t>
  </si>
  <si>
    <t>mail@5dim-ptolem.koz.sch.gr</t>
  </si>
  <si>
    <t>ΔΗΜΟΚΡΑΤΙΑΣ 1</t>
  </si>
  <si>
    <t>12ο ΝΗΠΙΑΓΩΓΕΙΟ ΠΤΟΛΕΜΑΪΔΑΣ</t>
  </si>
  <si>
    <t>mail@12nip-ptolem.koz.sch.gr</t>
  </si>
  <si>
    <t>ΟΙΚΙΣΜΟΣ ΚΑΡΔΙΑΣ</t>
  </si>
  <si>
    <t>7ο ΔΗΜΟΤΙΚΟ ΣΧΟΛΕΙΟ ΠΤΟΛΕΜΑΪΔΑΣ</t>
  </si>
  <si>
    <t>mail@7dim-ptolem.koz.sch.gr</t>
  </si>
  <si>
    <t>ΡΗΓΑ ΦΕΡΑΙΟΥ 12</t>
  </si>
  <si>
    <t>mail@8dim-ptolem.koz.sch.gr</t>
  </si>
  <si>
    <t>mail@9dim-ptolem.koz.sch.gr</t>
  </si>
  <si>
    <t>ΚΑΡΑΖΑΝΟΥ 3</t>
  </si>
  <si>
    <t>10ο ΔΗΜΟΤΙΚΟ ΣΧΟΛΕΙΟ ΠΤΟΛΕΜΑΪΔΑΣ</t>
  </si>
  <si>
    <t>10dimpto@sch.gr</t>
  </si>
  <si>
    <t>mail@6dim-ptolem.koz.sch.gr</t>
  </si>
  <si>
    <t>ΔΗΜΟΚΡΑΤΙΑΣ 2</t>
  </si>
  <si>
    <t>11ο ΔΗΜΟΤΙΚΟ ΣΧΟΛΕΙΟ ΠΤΟΛΕΜΑΪΔΑΣ</t>
  </si>
  <si>
    <t>mail@11dim-ptolem.koz.sch.gr</t>
  </si>
  <si>
    <t>ΜΕΣΟΥΠΟΛΕΩΣ 72</t>
  </si>
  <si>
    <t>12ο ΔΗΜΟΤΙΚΟ ΣΧΟΛΕΙΟ ΠΤΟΛΕΜΑΪΔΑΣ</t>
  </si>
  <si>
    <t>mail@12dim-ptolem.koz.sch.gr</t>
  </si>
  <si>
    <t>1ο ΔΗΜΟΤΙΚΟ ΣΧΟΛΕΙΟ ΠΤΟΛΕΜΑΪΔΑΣ</t>
  </si>
  <si>
    <t>mail@1dim-ptolem.koz.sch.gr</t>
  </si>
  <si>
    <t>ΠΑΥΛΙΔΗ - ΑΔΑΜΟΠΟΥΛΟΥ 1</t>
  </si>
  <si>
    <t>ΔΗΜΟΤΙΚΟ ΣΧΟΛΕΙΟ ΧΑΡΙΣΙΟΣ ΜΕΓΔΑΝΗΣ ΚΟΖΑΝΗΣ</t>
  </si>
  <si>
    <t>mail@14dim-kozan.koz.sch.gr</t>
  </si>
  <si>
    <t>mail@dim-neapol.koz.sch.gr</t>
  </si>
  <si>
    <t>ΣΧΟΛΕΙΟΥ  1</t>
  </si>
  <si>
    <t>mail@dim-kozan.koz.sch.gr</t>
  </si>
  <si>
    <t>Κοζάνη,</t>
  </si>
  <si>
    <t>ΚΟΒΕΝΤΑΡΩΝ 14</t>
  </si>
  <si>
    <t>ΠΡΟΑΣΤΙΟΥ</t>
  </si>
  <si>
    <t>ΝΗΠΙΑΓΩΓΕΙΟ ΠΡΟΑΣΤΙΟ</t>
  </si>
  <si>
    <t>mail@nip-proast.koz.sch.gr</t>
  </si>
  <si>
    <t>ΠΡΟΑΣΤΙΟ</t>
  </si>
  <si>
    <t>Δ.Υ.</t>
  </si>
  <si>
    <t>18ο ΔΗΜΟΤΙΚΟ ΣΧΟΛΕΙΟ ΚΟΖΑΝΗΣ</t>
  </si>
  <si>
    <t>mail@18dim-kozan.koz.sch.gr</t>
  </si>
  <si>
    <t>ΙΩΝΙΑΣ ΚΑΙ ΑΝΤΙΓΟΝΟΥ</t>
  </si>
  <si>
    <t>ΝΗΠΙΑΓΩΓΕΙΟ ΑΓΙΑ ΠΑΡΑΣΚΕΥΗ</t>
  </si>
  <si>
    <t>mail@nip-ag-parask.koz.sch.gr</t>
  </si>
  <si>
    <t>ΔΗΜΟΤΙΚΟ ΣΧΟΛΕΙΟ ΑΓΙΑΣ ΠΑΡΑΣΚΕΥΗΣ ΚΟΖΑΝΗΣ</t>
  </si>
  <si>
    <t>mail@dim-ag-parask.koz.sch.gr</t>
  </si>
  <si>
    <t>ΕΙΔΙΚΟ ΝΗΠΙΑΓΩΓΕΙΟ ΠΤΟΛΕΜΑΪΔΑΣ</t>
  </si>
  <si>
    <t>mail@nip-eid-ptolem.koz.sch.gr</t>
  </si>
  <si>
    <t>ΣΧΟΛ. ΣΥΓΚΡ. ΒΟΥΛΓΑΡΗ-1ο χλμ.ΠΤΟΛΕΜΑΪΔΑΣ-ΓΑΛΑΤΕΙΑΣ</t>
  </si>
  <si>
    <t>19ο ΔΗΜΟΤΙΚΟ ΣΧΟΛΕΙΟ ΚΟΖΑΝΗΣ</t>
  </si>
  <si>
    <t>mail@19dim-kozan.koz.sch.gr</t>
  </si>
  <si>
    <t>ΖΕΠ ΚΟΖΑΝΗΣ</t>
  </si>
  <si>
    <t>22ο ΝΗΠΙΑΓΩΓΕΙΟ ΚΟΖΑΝΗ</t>
  </si>
  <si>
    <t>mail@22nip-kozan.koz.sch.gr</t>
  </si>
  <si>
    <t>ΖΕΠ</t>
  </si>
  <si>
    <t>1ο ΔΗΜΟΤΙΚΟ ΣΧΟΛΕΙΟ ΑΓΙΑΣ ΠΑΡΑΣΚΕΥΗΣ ΚΟΖΑΝΗΣ</t>
  </si>
  <si>
    <t>mail@1dim-ag-parask.koz.sch.gr</t>
  </si>
  <si>
    <t>ΔΙΕΥΘΥΝΣΗ Π.Ε. ΦΛΩΡΙΝΑΣ</t>
  </si>
  <si>
    <t>5ο ΝΗΠΙΑΓΩΓΕΙΟ ΦΛΩΡΙΝΑΣ</t>
  </si>
  <si>
    <t>mail@5nip-florin.flo.sch.gr</t>
  </si>
  <si>
    <t>ΚΟΝΤΟΠΟΥΛΟΥ 16</t>
  </si>
  <si>
    <t>3dimflorin@sch.gr</t>
  </si>
  <si>
    <t>ΜΟΡΙΧΟΒΟΥ 2</t>
  </si>
  <si>
    <t>ΝΗΠΙΑΓΩΓΕΙΟ ΠΕΡΑΣΜΑΤΟΣ</t>
  </si>
  <si>
    <t>mail@nip-perasm.flo.sch.gr</t>
  </si>
  <si>
    <t>ΠΕΡΑΣΜΑ</t>
  </si>
  <si>
    <t>ΣΙΤΑΡΙΑΣ</t>
  </si>
  <si>
    <t>ΝΗΠΙΑΓΩΓΕΙΟ ΣΙΤΑΡΙΑΣ</t>
  </si>
  <si>
    <t>mail@nip-sitar.flo.sch.gr</t>
  </si>
  <si>
    <t>ΣΙΤΑΡΙΑ</t>
  </si>
  <si>
    <t>2ο  ΔΗΜΟΤΙΚΟ ΣΧΟΛΕΙΟ ΑΜΥΝΤΑΙΟΥ</t>
  </si>
  <si>
    <t>mail@2dim-amynt.flo.sch.gr</t>
  </si>
  <si>
    <t>ΑΝΑΛΗΨΕΩΣ 2</t>
  </si>
  <si>
    <t>ΝΗΠΙΑΓΩΓΕΙΟ ΤΡΟΠΑΙΟΥΧΟΥ</t>
  </si>
  <si>
    <t>mail@nip-tropaiouch.flo.sch.gr</t>
  </si>
  <si>
    <t>ΥΔΡΟΥΣΑΣ</t>
  </si>
  <si>
    <t>ΝΕΟΧΩΡΑΚΙΟΥ</t>
  </si>
  <si>
    <t>ΝΗΠΙΑΓΩΓΕΙΟ ΝΕΟΧΩΡΑΚΙΟΥ ΦΛΩΡΙΝΑΣ</t>
  </si>
  <si>
    <t>mail@nip-neoch.flo.sch.gr</t>
  </si>
  <si>
    <t>ΝΕΟΧΩΡΑΚΙ</t>
  </si>
  <si>
    <t>ΚΕΛΛΗΣ</t>
  </si>
  <si>
    <t>ΝΗΠΙΑΓΩΓΕΙΟ ΚΕΛΛΗΣ</t>
  </si>
  <si>
    <t>mail@1nip-kellis.flo.sch.gr</t>
  </si>
  <si>
    <t>ΚΕΛΛΗ</t>
  </si>
  <si>
    <t>ΦΛΑΜΠΟΥΡΟΥ</t>
  </si>
  <si>
    <t>ΝΗΠΙΑΓΩΓΕΙΟ ΦΛΑΜΠΟΥΡΟΥ ΦΛΩΡΙΝΑΣ</t>
  </si>
  <si>
    <t>mail@nip-flamp.flo.sch.gr</t>
  </si>
  <si>
    <t>ΦΛΑΜΠΟΥΡΟ</t>
  </si>
  <si>
    <t>ΑΧΛΑΔΑΣ</t>
  </si>
  <si>
    <t>ΝΗΠΙΑΓΩΓΕΙΟ ΑΧΛΑΔΑΣ</t>
  </si>
  <si>
    <t>mail@nip-achlad.flo.sch.gr</t>
  </si>
  <si>
    <t>ΑΧΛΑΔΑ</t>
  </si>
  <si>
    <t>3ο  ΝΗΠΙΑΓΩΓΕΙΟ ΦΛΩΡΙΝΑΣ</t>
  </si>
  <si>
    <t>mail@3nip-florin.flo.sch.gr</t>
  </si>
  <si>
    <t>ΑΝΩ ΚΑΛΛΙΝΙΚΗΣ</t>
  </si>
  <si>
    <t>ΝΗΠΙΑΓΩΓΕΙΟ ΑΝΩ ΚΑΛΛΙΝΙΚΗΣ</t>
  </si>
  <si>
    <t>mail@nip-an-kallin.flo.sch.gr</t>
  </si>
  <si>
    <t>ΑΝΩ ΚΑΛΛΙΝΙΚΗ</t>
  </si>
  <si>
    <t>ΣΚΟΠΙΑΣ</t>
  </si>
  <si>
    <t>ΝΗΠΙΑΓΩΓΕΙΟ ΣΚΟΠΙΑΣ</t>
  </si>
  <si>
    <t>mail@nip-skopias.flo.sch.gr</t>
  </si>
  <si>
    <t>ΣΚΟΠΙΑ</t>
  </si>
  <si>
    <t>2ο ΝΗΠΙΑΓΩΓΕΙΟ ΜΕΛΙΤΗΣ</t>
  </si>
  <si>
    <t>mail@2nip-melit.flo.sch.gr</t>
  </si>
  <si>
    <t>5ο ΔΗΜΟΤΙΚΟ ΣΧΟΛΕΙΟ ΦΛΩΡΙΝΑΣ "ΘΕΟΔΩΡΟΣ ΚΑΣΤΑΝΟΣ"</t>
  </si>
  <si>
    <t>mail@5dim-florin.flo.sch.gr</t>
  </si>
  <si>
    <t>ΚΟΝΤΟΠΟΥΛΟΥ 18</t>
  </si>
  <si>
    <t>6ο  ΝΗΠΙΑΓΩΓΕΙΟ ΦΛΩΡΙΝΑΣ</t>
  </si>
  <si>
    <t>mail@6nip-florin.flo.sch.gr</t>
  </si>
  <si>
    <t>Ι. ΚΑΡΑΒΙΤΗ 38</t>
  </si>
  <si>
    <t>mail@dim-aetou.flo.sch.gr</t>
  </si>
  <si>
    <t>ΔΗΜΟΤΙΚΟ ΣΧΟΛΕΙΟ ΦΛΑΜΠΟΥΡΟΥ ΦΛΩΡΙΝΑΣ</t>
  </si>
  <si>
    <t>mail@dim-flamp.flo.sch.gr</t>
  </si>
  <si>
    <t>ΝΗΠΙΑΓΩΓΕΙΟ ΦΙΛΩΤΑ</t>
  </si>
  <si>
    <t>mail@nip-filot.flo.sch.gr</t>
  </si>
  <si>
    <t>ΞΙΝΟΥ ΝΕΡΟΥ</t>
  </si>
  <si>
    <t>ΝΗΠΙΑΓΩΓΕΙΟ ΞΙΝΟΥ ΝΕΡΟΥ</t>
  </si>
  <si>
    <t>mail@nip-xinou.flo.sch.gr</t>
  </si>
  <si>
    <t>ΞΙΝΟ ΝΕΡΟ</t>
  </si>
  <si>
    <t>mail@1dim-florin.flo.sch.gr</t>
  </si>
  <si>
    <t>ΕΛΕΥΘΕΡΙΑΣ 09</t>
  </si>
  <si>
    <t>ΝΗΠΙΑΓΩΓΕΙΟ ΠΑΠΑΓΙΑΝΝΗ</t>
  </si>
  <si>
    <t>mail@2nip-papag.flo.sch.gr</t>
  </si>
  <si>
    <t>1ο  ΝΗΠΙΑΓΩΓΕΙΟ ΜΕΛΙΤΗΣ</t>
  </si>
  <si>
    <t>mail@1nip-melit.flo.sch.gr</t>
  </si>
  <si>
    <t>1ο ΔΗΜΟΤΙΚΟ ΣΧΟΛΕΙΟ ΑΜΥΝΤΑΙΟΥ</t>
  </si>
  <si>
    <t>mail@1dim-amynt.flo.sch.gr</t>
  </si>
  <si>
    <t>ΠΑΡΟΔΟΣ ΓΥΜΝΑΣΤΗΡΙΟΥ</t>
  </si>
  <si>
    <t>ΠΑΛΑΙΣΤΡΑΣ</t>
  </si>
  <si>
    <t>ΝΗΠΙΑΓΩΓΕΙΟ ΠΑΛΑΙΣΤΡΑΣ</t>
  </si>
  <si>
    <t>mail@nip-palaistr.flo.sch.gr</t>
  </si>
  <si>
    <t>ΠΑΛΑΙΣΤΡΑ</t>
  </si>
  <si>
    <t>ΝΗΠΙΑΓΩΓΕΙΟ ΚΑΤΩ ΚΛΕΙΝΩΝ</t>
  </si>
  <si>
    <t>mail@nip-kat-klein.flo.sch.gr</t>
  </si>
  <si>
    <t>Κάτω Κλεινές</t>
  </si>
  <si>
    <t>ΒΕΓΟΡΩΝ</t>
  </si>
  <si>
    <t>ΔΗΜΟΤΙΚΟ ΣΧΟΛΕΙΟ ΒΕΓΟΡΑΣ</t>
  </si>
  <si>
    <t>mail@dim-vegor.flo.sch.gr</t>
  </si>
  <si>
    <t>ΒΕΓΟΡΑ</t>
  </si>
  <si>
    <t>ΑΝΤΙΓΟΝΕΙΑΣ</t>
  </si>
  <si>
    <t>ΝΗΠΙΑΓΩΓΕΙΟ ΑΝΤΙΓΟΝΟΥ</t>
  </si>
  <si>
    <t>mail@nip-antig.flo.sch.gr</t>
  </si>
  <si>
    <t>ΑΝΤΙΓΟΝΟΥ</t>
  </si>
  <si>
    <t>ΑΝΤΙΓΟΝΟ</t>
  </si>
  <si>
    <t>ΛΕΒΑΙΑΣ(ΛΑΚΚΙΑΣ)</t>
  </si>
  <si>
    <t>ΝΗΠΙΑΓΩΓΕΙΟ ΛΕΒΑΙΑΣ</t>
  </si>
  <si>
    <t>mail@nip-levaias.flo.sch.gr</t>
  </si>
  <si>
    <t>ΛΕΒΑΙΑΣ</t>
  </si>
  <si>
    <t>ΛΕΒΑΙΑ</t>
  </si>
  <si>
    <t>2ο  ΝΗΠΙΑΓΩΓΕΙΟ ΑΜΜΟΧΩΡΙΟΥ</t>
  </si>
  <si>
    <t>mail@2nip-ammoch.flo.sch.gr</t>
  </si>
  <si>
    <t>1ο ΝΗΠΙΑΓΩΓΕΙΟ ΑΜΜΟΧΩΡΙΟΥ</t>
  </si>
  <si>
    <t>mail@1nip-ammoch.flo.sch.gr</t>
  </si>
  <si>
    <t>mail@dim-ammoch.flo.sch.gr</t>
  </si>
  <si>
    <t>Αμμοχώρι</t>
  </si>
  <si>
    <t>8ο ΝΗΠΙΑΓΩΓΕΙΟ ΦΛΩΡΙΝΑΣ</t>
  </si>
  <si>
    <t>mail@8nip-florin.flo.sch.gr</t>
  </si>
  <si>
    <t>ΜΟΝΑΣΤΗΡΙΟΥ 80</t>
  </si>
  <si>
    <t>ΣΚΛΗΘΡΟΥ</t>
  </si>
  <si>
    <t>ΝΗΠΙΑΓΩΓΕΙΟ ΣΚΛΗΘΡΟΥ</t>
  </si>
  <si>
    <t>mail@nip-sklithr.flo.sch.gr</t>
  </si>
  <si>
    <t>ΣΚΛΗΘΡΟ</t>
  </si>
  <si>
    <t>ΑΓΙΟΥ ΠΑΝΤΕΛΕΗΜΟΝΟΣ</t>
  </si>
  <si>
    <t>ΝΗΠΙΑΓΩΓΕΙΟ ΑΓΙΟΥ ΠΑΝΤΕΛΕΗΜΟΝΑ</t>
  </si>
  <si>
    <t>mail@nip-ag-pantel.flo.sch.gr</t>
  </si>
  <si>
    <t>ΑΓΙΟΥ ΠΑΝΤΕΛΕΗΜΟΝΑ</t>
  </si>
  <si>
    <t>ΑΓΙΟΣ ΠΑΝΤΕΛΕΗΜΩΝ</t>
  </si>
  <si>
    <t>mail@dim-vevis.flo.sch.gr</t>
  </si>
  <si>
    <t>1ο ΝΗΠΙΑΓΩΓΕΙΟ ΑΜΥΝΤΑΙΟΥ</t>
  </si>
  <si>
    <t>mail@1nip-amynt.flo.sch.gr</t>
  </si>
  <si>
    <t>ΠΑΡΟΔΟΣ ΓΥΜΝΑΣΤΗΡΙΟΥ 1</t>
  </si>
  <si>
    <t>4ο  ΝΗΠΙΑΓΩΓΕΙΟ ΑΜΥΝΤΑΙΟΥ</t>
  </si>
  <si>
    <t>mail@4nip-amynt.flo.sch.gr</t>
  </si>
  <si>
    <t>2ο  ΝΗΠΙΑΓΩΓΕΙΟ ΑΜΥΝΤΑΙΟΥ</t>
  </si>
  <si>
    <t>mail@2nip-amynt.flo.sch.gr</t>
  </si>
  <si>
    <t>ΚΩΝ/ΝΟΥ ΙΩΑΝΝΟΥ-ΤΣΑΣΗ</t>
  </si>
  <si>
    <t>ΛΟΦΩΝ</t>
  </si>
  <si>
    <t>ΝΗΠΙΑΓΩΓΕΙΟ ΛΟΦΩΝ</t>
  </si>
  <si>
    <t>mail@nip-lofon.flo.sch.gr</t>
  </si>
  <si>
    <t>ΛΟΦΟΙ</t>
  </si>
  <si>
    <t>ΑΓΙΟΥ ΓΕΡΜΑΝΟΥ</t>
  </si>
  <si>
    <t>ΝΗΠΙΑΓΩΓΕΙΟ ΑΓΙΟΥ ΓΕΡΜΑΝΟΥ</t>
  </si>
  <si>
    <t>mail@nip-ag-german.flo.sch.gr</t>
  </si>
  <si>
    <t>ΑΓΙΟΣ ΓΕΡΜΑΝΟΣ</t>
  </si>
  <si>
    <t>ΑΡΜΕΝΟΧΩΡΙΟΥ</t>
  </si>
  <si>
    <t>ΝΗΠΙΑΓΩΓΕΙΟ ΑΡΜΕΝΟΧΩΡΙΟΥ</t>
  </si>
  <si>
    <t>mail@nip-armen.flo.sch.gr</t>
  </si>
  <si>
    <t>ΑΡΜΕΝΟΧΩΡΙ</t>
  </si>
  <si>
    <t>9ο ΝΗΠΙΑΓΩΓΕΙΟ ΦΛΩΡΙΝΑΣ</t>
  </si>
  <si>
    <t>mail@9nip-florin.flo.sch.gr</t>
  </si>
  <si>
    <t>ΕΛΕΥΘΕΡΙΑΣ 15</t>
  </si>
  <si>
    <t>ΝΗΠΙΑΓΩΓΕΙΟ ΒΕΥΗΣ</t>
  </si>
  <si>
    <t>mail@1nip-vevis.flo.sch.gr</t>
  </si>
  <si>
    <t>ΒΕΥΗ-ΦΛΩΡΙΝΑ</t>
  </si>
  <si>
    <t>ΠΟΛΥΠΟΤΑΜΟΥ</t>
  </si>
  <si>
    <t>ΔΗΜΟΤΙΚΟ ΣΧΟΛΕΙΟ ΠΟΛΥΠΟΤΑΜΟΥ ΦΛΩΡΙΝΑΣ</t>
  </si>
  <si>
    <t>mail@dim-polyp.flo.sch.gr</t>
  </si>
  <si>
    <t>ΠΟΛΥΠΟΤΑΜΟΣ</t>
  </si>
  <si>
    <t>ΒΑΡΙΚΟΥ</t>
  </si>
  <si>
    <t>ΔΗΜΟΤΙΚΟ ΣΧΟΛΕΙΟ ΒΑΡΙΚΟΥ</t>
  </si>
  <si>
    <t>mail@dim-varik.flo.sch.gr</t>
  </si>
  <si>
    <t>ΒΑΡΙΚΟ</t>
  </si>
  <si>
    <t>1ο ΝΗΠΙΑΓΩΓΕΙΟ ΦΛΩΡΙΝΑΣ</t>
  </si>
  <si>
    <t>mail@1nip-florin.flo.sch.gr</t>
  </si>
  <si>
    <t>mail@dim-lechov.flo.sch.gr</t>
  </si>
  <si>
    <t>7ο ΝΗΠΙΑΓΩΓΕΙΟ ΦΛΩΡΙΝΑΣ</t>
  </si>
  <si>
    <t>mail@7nip-florin.flo.sch.gr</t>
  </si>
  <si>
    <t>ΣΑΛΑΜΙΝΟΣ  ΤΕΡΜΑ</t>
  </si>
  <si>
    <t>2ο ΝΗΠΙΑΓΩΓΕΙΟ ΦΛΩΡΙΝΑΣ</t>
  </si>
  <si>
    <t>mail@2nip-florin.flo.sch.gr</t>
  </si>
  <si>
    <t>ΔΗΜΟΤΙΚΟ ΣΧΟΛΕΙΟ ΑΧΛΑΔΑΣ</t>
  </si>
  <si>
    <t>mail@dim-achlad.flo.sch.gr</t>
  </si>
  <si>
    <t>ΔΗΜΟΤΙΚΟ ΣΧΟΛΕΙΟ ΠΕΡΑΣΜΑΤΟΣ</t>
  </si>
  <si>
    <t>mail@dim-perasm.flo.sch.gr</t>
  </si>
  <si>
    <t>ΠΕΡΑΣΜΑ -  ΦΛΩΡΙΝΑ</t>
  </si>
  <si>
    <t>ΝΗΠΙΑΓΩΓΕΙΟ ΑΕΤΟΥ</t>
  </si>
  <si>
    <t>mail@nip-aetou.flo.sch.gr</t>
  </si>
  <si>
    <t>ΜΑΝΙΑΚΙΟΥ</t>
  </si>
  <si>
    <t>ΝΗΠΙΑΓΩΓΕΙΟ ΜΑΝΙΑΚΙΟΥ</t>
  </si>
  <si>
    <t>mail@nip-maniak.flo.sch.gr</t>
  </si>
  <si>
    <t>ΜΑΝΙΑΚΙ</t>
  </si>
  <si>
    <t>ΙΤΕΑΣ</t>
  </si>
  <si>
    <t>mail@dim-iteas.flo.sch.gr</t>
  </si>
  <si>
    <t>ΙΤΕΑ</t>
  </si>
  <si>
    <t>ΔΗΜΟΤΙΚΟ ΣΧΟΛΕΙΟ ΞΙΝΟΥ ΝΕΡΟΥ</t>
  </si>
  <si>
    <t>mail@dim-xinou.flo.sch.gr</t>
  </si>
  <si>
    <t>ΜΕΓΑΛΟΥ ΑΛΕΞΑΝΔΡΟΥ 484</t>
  </si>
  <si>
    <t>ΔΗΜΟΤΙΚΟ ΣΧΟΛΕΙΟ ΣΚΟΠΙΑΣ</t>
  </si>
  <si>
    <t>mail@dim-skopias.flo.sch.gr</t>
  </si>
  <si>
    <t>ΔΗΜΟΤΙΚΟ ΣΧΟΛΕΙΟ ΣΚΛΗΘΡΟΥ</t>
  </si>
  <si>
    <t>mail@dim-sklithr.flo.sch.gr</t>
  </si>
  <si>
    <t>ΠΕΙΡΑΜΑΤΙΚΟ ΔΗΜΟΤΙΚΟ ΣΧΟΛΕΙΟ ΦΛΩΡΙΝΑΣ</t>
  </si>
  <si>
    <t>mail@2dim-peir-florin.flo.sch.gr</t>
  </si>
  <si>
    <t>ΣΑΛΑΜΙΝΟΣ ΤΕΡΜΑ</t>
  </si>
  <si>
    <t>filotas@sch.gr</t>
  </si>
  <si>
    <t>ΤΡΙΩΝ ΙΕΡΑΡΧΩΝ 3</t>
  </si>
  <si>
    <t>ΕΙΔΙΚΟ ΔΗΜΟΤΙΚΟ ΣΧΟΛΕΙΟ ΦΛΩΡΙΝΑΣ</t>
  </si>
  <si>
    <t>mail@dim-eid-florin.flo.sch.gr</t>
  </si>
  <si>
    <t>ΔΗΜΟΤΙΚΟ ΣΧΟΛΕΙΟ ΜΑΝΙΑΚΙΟΥ</t>
  </si>
  <si>
    <t>mail@dim-maniak.flo.sch.gr</t>
  </si>
  <si>
    <t>ΔΗΜΟΤΙΚΟ ΣΧΟΛΕΙΟ ΥΔΡΟΥΣΑΣ</t>
  </si>
  <si>
    <t>mail@dim-kat-ydrous.flo.sch.gr</t>
  </si>
  <si>
    <t>ΥΔΡΟΥΣΑ</t>
  </si>
  <si>
    <t>mail@dim-melit.flo.sch.gr</t>
  </si>
  <si>
    <t>Μελίτη</t>
  </si>
  <si>
    <t>ΔΗΜΟΤΙΚΟ ΣΧΟΛΕΙΟ ΑΓΙΟΥ ΠΑΝΤΕΛΕΗΜΟΝΑ</t>
  </si>
  <si>
    <t>mail@dim-ag-pantel.flo.sch.gr</t>
  </si>
  <si>
    <t>ΑΓΙΟΣ ΠΑΝΤΕΛΕΗΜΟΝΑΣ</t>
  </si>
  <si>
    <t>ΔΗΜΟΤΙΚΟ ΣΧΟΛΕΙΟ ΛΕΒΑΙΑΣ</t>
  </si>
  <si>
    <t>mail@dim-levaias.flo.sch.gr</t>
  </si>
  <si>
    <t>ΔΗΜΟΤΙΚΟ ΣΧΟΛΕΙΟ ΑΡΜΕΝΟΧΩΡΙΟΥ</t>
  </si>
  <si>
    <t>mail@dim-armen.flo.sch.gr</t>
  </si>
  <si>
    <t>mail@3dim-amynt.flo.sch.gr</t>
  </si>
  <si>
    <t>ΝΟΤΙΟΣ  ΠΕΡΙΦΕΡΕΙΑΚΟΣ</t>
  </si>
  <si>
    <t>mail@dim-kat-klein.flo.sch.gr</t>
  </si>
  <si>
    <t>ΔΗΜΟΤΙΚΟ ΣΧΟΛΕΙΟ ΝΕΟΧΩΡΑΚΙΟΥ ΦΛΩΡΙΝΑΣ</t>
  </si>
  <si>
    <t>mail@dim-neoch.flo.sch.gr</t>
  </si>
  <si>
    <t>ΝΕΟΧΩΡΑΚΙ ΦΛΩΡΙΝΑΣ</t>
  </si>
  <si>
    <t>mail@dim-ag-german.flo.sch.gr</t>
  </si>
  <si>
    <t>ΕΙΔΙΚΟ ΝΗΠΙΑΓΩΓΕΙΟ ΦΛΩΡΙΝΑ</t>
  </si>
  <si>
    <t>mail@nip-eid-florin.flo.sch.gr</t>
  </si>
  <si>
    <t>4ο ΝΗΠΙΑΓΩΓΕΙΟ ΦΛΩΡΙΝΑΣ</t>
  </si>
  <si>
    <t>mail@4nip-florin.flo.sch.gr</t>
  </si>
  <si>
    <t>ΔΗΜΟΤΙΚΟ ΣΧΟΛΕΙΟ ΣΙΤΑΡΙΑΣ ΦΛΩΡΙΝΑΣ</t>
  </si>
  <si>
    <t>mail@dim-sitar.flo.sch.gr</t>
  </si>
  <si>
    <t>ΝΗΠΙΑΓΩΓΕΙΟ ΛΕΧΟΒΟΥ</t>
  </si>
  <si>
    <t>mail@nip-lechov.flo.sch.gr</t>
  </si>
  <si>
    <t>ΝΗΠΙΑΓΩΓΕΙΟ ΒΑΡΙΚΟΥ</t>
  </si>
  <si>
    <t>mail@nip-varik.flo.sch.gr</t>
  </si>
  <si>
    <t>ΔΗΜΟΤΙΚΟ ΣΧΟΛΕΙΟ ΚΕΛΛΗΣ</t>
  </si>
  <si>
    <t>mail@dim-kellis.flo.sch.gr</t>
  </si>
  <si>
    <t>ΔΗΜΟΤΙΚΟ ΣΧΟΛΕΙΟ ΑΝΩ ΚΑΛΛΙΝΙΚΗΣ</t>
  </si>
  <si>
    <t>mail@dim-an-kallin.flo.sch.gr</t>
  </si>
  <si>
    <t>ʼνω Καλλινίκη</t>
  </si>
  <si>
    <t>mail@1dim-peir-florin.flo.sch.gr</t>
  </si>
  <si>
    <t>ΑΡΙΣΤΟΤΕΛΟΥΣ 1</t>
  </si>
  <si>
    <t>ΕΙΔΙΚΟ ΔΗΜΟΤΙΚΟ ΣΧΟΛΕΙΟ ΑΜΥΝΤΑΙΟΥ</t>
  </si>
  <si>
    <t>mail@dim-eid-amynt.flo.sch.gr</t>
  </si>
  <si>
    <t>ΝΕΟΣ ΠΕΡΙΦΕΡΕΙΑΚΟΣ</t>
  </si>
  <si>
    <t>ΕΙΔΙΚΟ ΝΗΠΙΑΓΩΓΕΙΟ ΑΜΥΝΤΑΙΟΥ - ΕΙΔΙΚΟ</t>
  </si>
  <si>
    <t>mail@nip-eid-amynt.flo.sch.gr</t>
  </si>
  <si>
    <t>ΠΑΡΟΔΟΣ ΓΥΜΝΑΣΤΗΡΙΟΥ  1</t>
  </si>
  <si>
    <t>2ο ΔΗΜΟΤΙΚΟ ΣΧΟΛΕΙΟ ΦΛΩΡΙΝΑΣ</t>
  </si>
  <si>
    <t>mail@2dim-florin.flo.sch.gr</t>
  </si>
  <si>
    <t>Λ. ΕΛΕΥΘΕΡΙΑΣ 9</t>
  </si>
  <si>
    <t>ΠΕΡΙΦΕΡΕΙΑΚΗ Δ/ΝΣΗ Α/ΘΜΙΑΣ ΚΑΙ Β/ΘΜΙΑΣ ΕΚΠ/ΣΗΣ ΗΠΕΙΡΟΥ</t>
  </si>
  <si>
    <t>ΑΡΤΑΣ</t>
  </si>
  <si>
    <t>ΑΡΤΑΙΩΝ</t>
  </si>
  <si>
    <t>ΚΕΣΥ ΑΡΤΑΣ (Κέντρο Εκπαιδευτικής και Συμβουλευτικής Υποστήριξης)</t>
  </si>
  <si>
    <t>kesyart@sch.gr</t>
  </si>
  <si>
    <t>ΑΡΤΑ</t>
  </si>
  <si>
    <t>ΚΑΤΣΙΜΙΤΡΟΥ &amp; ΤΣΟΥΤΣΙΝΟΥ</t>
  </si>
  <si>
    <t>ΘΕΣΠΡΩΤΙΑΣ</t>
  </si>
  <si>
    <t>ΗΓΟΥΜΕΝΙΤΣΑΣ</t>
  </si>
  <si>
    <t>ΗΓΟΥΜΕΝΙΤΣΗΣ</t>
  </si>
  <si>
    <t>ΚΕΣΥ ΘΕΣΠΡΩΤΙΑΣ</t>
  </si>
  <si>
    <t>mail@kesy.thesp.sch.gr</t>
  </si>
  <si>
    <t>ΗΓΟΥΜΕΝΙΤΣΑ</t>
  </si>
  <si>
    <t>ΚΥΠΡΟΥ 60</t>
  </si>
  <si>
    <t>ΙΩΑΝΝΙΝΩΝ</t>
  </si>
  <si>
    <t>ΙΩΑΝΝΙΤΩΝ</t>
  </si>
  <si>
    <t>ΚΕΣΥ ΙΩΑΝΝΙΝΩΝ</t>
  </si>
  <si>
    <t>mail@kesy.ioa.sch.gr</t>
  </si>
  <si>
    <t>ΙΩΑΝΝΙΝΑ</t>
  </si>
  <si>
    <t>ΑΜΑΛΘΕΙΑΣ 12</t>
  </si>
  <si>
    <t>ΠΡΕΒΕΖΑΣ</t>
  </si>
  <si>
    <t>ΠΡΕΒΕΖΗΣ</t>
  </si>
  <si>
    <t>Κ.Ε.Σ.Υ. Ν. ΠΡΕΒΕΖΑΣ</t>
  </si>
  <si>
    <t>mail@kesy.pre.sch.gr</t>
  </si>
  <si>
    <t>ΠΡΕΒΕΖΑ</t>
  </si>
  <si>
    <t>ΠΕΡΔΙΚΑΡΗ 1</t>
  </si>
  <si>
    <t>ΔΙΕΥΘΥΝΣΗ Δ.Ε. ΑΡΤΑΣ</t>
  </si>
  <si>
    <t>ΓΕΩΡΓΙΟΥ ΚΑΡΑΪΣΚΑΚΗ</t>
  </si>
  <si>
    <t>ΗΡΑΚΛΕΙΑΣ</t>
  </si>
  <si>
    <t>ΑΝΩ ΚΑΛΕΝΤΙΝΗΣ</t>
  </si>
  <si>
    <t>ΗΜΕΡΗΣΙΟ ΓΕΝΙΚΟ ΛΥΚΕΙΟ ΑΝΩ ΚΑΛΕΝΤΙΝΗΣ ΑΡΤΑΣ</t>
  </si>
  <si>
    <t>mail@lyk-an-kalent.art.sch.gr</t>
  </si>
  <si>
    <t>ΑΝΩ ΚΑΛΕΝΤΙΝΗ</t>
  </si>
  <si>
    <t>ΔΗΜΟΤΙΚΟ ΣΧΟΛΕΙΟ ΑΝΩ ΚΑΛΕΝΤΙΝΗΣ</t>
  </si>
  <si>
    <t>ΕΕΕΕΚ ΑΡΤΑ - ΕΕΕΕΚ ΑΡΤΑΣ</t>
  </si>
  <si>
    <t>mail@eeeek.art.sch.gr</t>
  </si>
  <si>
    <t>ΓΛΥΚΟΡΙΖΟ</t>
  </si>
  <si>
    <t>ΔΗΜΟΤΙΚΟ ΣΧΟΛΕΙΟ ΚΕΡΑΜΑΤΩΝ</t>
  </si>
  <si>
    <t>1ο ΕΣΠΕΡΙΝΟ ΕΠΑΛ ΑΡΤΑ - ΕΣΠΕΡΙΝΟ ΕΠΑ.Λ ΑΡΤΑΣ</t>
  </si>
  <si>
    <t>mail@epal-esp-artas.art.sch.gr</t>
  </si>
  <si>
    <t>ΠΑΡΟΔΟΣ Π. ΑΘΗΝΑΓΟΡΑ 1</t>
  </si>
  <si>
    <t>6ο ΔΗΜΟΤΙΚΟ ΣΧΟΛΕΙΟ ΑΡΤΑΣ</t>
  </si>
  <si>
    <t>ΕΣΠΕΡΙΝΟ ΓΕΝΙΚΟ ΛΥΚΕΙΟ ΑΡΤΑΣ</t>
  </si>
  <si>
    <t>mail@lyk-esp-artas.art.sch.gr</t>
  </si>
  <si>
    <t>ΠΑΡ. ΠΑΤΡ. ΑΘΗΝΑΓΟΡΑ 1</t>
  </si>
  <si>
    <t>1ο ΗΜΕΡΗΣΙΟ ΓΥΜΝΑΣΙΟ ΑΡΤΑΣ</t>
  </si>
  <si>
    <t>mail@1gym-artas.art.sch.gr</t>
  </si>
  <si>
    <t>ΣΚΟΥΦΑ 154</t>
  </si>
  <si>
    <t>1ο ΔΗΜΟΤΙΚΟ ΣΧΟΛΕΙΟ ΑΡΤΑΣ</t>
  </si>
  <si>
    <t>1ο ΗΜΕΡΗΣΙΟ ΕΠΑΛ ΑΡΤΑΣ - ΕΠΑΛ ΑΡΤΑΣ</t>
  </si>
  <si>
    <t>mail@1epal-artas.art.sch.gr</t>
  </si>
  <si>
    <t>ΠΑΡΟΔΟΣ ΠΑΤΡΙΑΡΧΗ ΑΘΗΝΑΓΟΡΑ 1</t>
  </si>
  <si>
    <t>3ο ΗΜΕΡΗΣΙΟ ΓΕΝΙΚΟ ΛΥΚΕΙΟ ΑΡΤΑΣ</t>
  </si>
  <si>
    <t>mail@3lyk-artas.art.sch.gr</t>
  </si>
  <si>
    <t>Ν.ΠΛΑΣΤΗΡΑ 16</t>
  </si>
  <si>
    <t>2ο ΔΗΜΟΤΙΚΟ ΣΧΟΛΕΙΟ ΑΡΤΑΣ</t>
  </si>
  <si>
    <t>ΔΙΑΣΕΛΛΟΥ</t>
  </si>
  <si>
    <t>ΓΕΝΙΚΟ ΛΥΚΕΙΟ ΠΑΝΑΓΙΑΣ ΔΙΑΣΕΛΛΟΥ</t>
  </si>
  <si>
    <t>mail@lyk-panag.art.sch.gr</t>
  </si>
  <si>
    <t>ΠΑΝΑΓΙΑ ΔΙΑΣΕΛΛΟΥ</t>
  </si>
  <si>
    <t>Παναγιά Διασέλλου</t>
  </si>
  <si>
    <t>ΔΗΜΟΤΙΚΟ ΣΧΟΛΕΙΟ ΠΕΤΡΑΣ</t>
  </si>
  <si>
    <t>2ο ΗΜΕΡΗΣΙΟ ΓΥΜΝΑΣΙΟ ΑΡΤΑΣ</t>
  </si>
  <si>
    <t>mail@2gym-artas.art.sch.gr</t>
  </si>
  <si>
    <t>ΣΩΦΡΟΝΟΣ ΟΛΥΜΠΙΟΝΙΚΟΥ</t>
  </si>
  <si>
    <t>7ο ΔΗΜΟΤΙΚΟ ΣΧΟΛΕΙΟ ΑΡΤΑΣ</t>
  </si>
  <si>
    <t>4ο ΗΜΕΡΗΣΙΟ ΓΥΜΝΑΣΙΟ ΑΡΤΑΣ</t>
  </si>
  <si>
    <t>mail@4gym-artas.art.sch.gr</t>
  </si>
  <si>
    <t>3/40 ΣΥΝΤΑΓΜΑ ΕΥΖΩΝΩΝ</t>
  </si>
  <si>
    <t>3ο ΔΗΜΟΤΙΚΟ ΣΧΟΛΕΙΟ ΑΡΤΑΣ</t>
  </si>
  <si>
    <t>5ο ΗΜΕΡΗΣΙΟ ΓΥΜΝΑΣΙΟ ΑΡΤΑΣ</t>
  </si>
  <si>
    <t>mail@5gym-artas.art.sch.gr</t>
  </si>
  <si>
    <t>ΚΕΝΤΡΟ ΝΕΟΤΗΤΑΣ ΑΡΤΑΣ</t>
  </si>
  <si>
    <t>ΔΗΜΟΤΙΚΟ ΣΧΟΛΕΙΟ ΑΓΙΑΣ ΠΑΡΑΣΚΕΥΗΣ ΑΡΤΑΣ</t>
  </si>
  <si>
    <t>ΚΕΝΤΡΙΚΩΝ ΤΖΟΥΜΕΡΚΩΝ</t>
  </si>
  <si>
    <t>ΑΘΑΜΑΝΙΑΣ</t>
  </si>
  <si>
    <t>ΒΟΥΡΓΑΡΕΛΙΟΥ</t>
  </si>
  <si>
    <t>ΓΥΜΝΑΣΙΟ ΒΟΥΡΓΑΡΕΛΙΟΥ</t>
  </si>
  <si>
    <t>mail@gym-vourg.art.sch.gr</t>
  </si>
  <si>
    <t>ΒΟΥΡΓΑΡΕΛΙ ΑΡΤΑΣ</t>
  </si>
  <si>
    <t>ΔΗΜΟΤΙΚΟ ΣΧΟΛΕΙΟ ΒΟΥΡΓΑΡΕΛΙΟΥ</t>
  </si>
  <si>
    <t>ΝΙΚΟΛΑΟΥ ΣΚΟΥΦΑ</t>
  </si>
  <si>
    <t>ΑΡΑΧΘΟΥ</t>
  </si>
  <si>
    <t>ΗΜΕΡΗΣΙΟ ΓΥΜΝΑΣΙΟ ΝΕΟΧΩΡΙΟΥ ΑΡΤΑΣ</t>
  </si>
  <si>
    <t>mail@gym-neoch.art.sch.gr</t>
  </si>
  <si>
    <t>ΝΕΟΧΩΡΙ ΑΡΤΑΣ</t>
  </si>
  <si>
    <t>ΔΗΜΟΤΙΚΟ ΣΧΟΛΕΙΟ ΝΕΟΧΩΡΙΟΥ ΑΡΤΑΣ</t>
  </si>
  <si>
    <t>ΓΡΑΜΜΕΝΙΤΣΗΣ</t>
  </si>
  <si>
    <t>ΗΜΕΡΗΣΙΟ ΓΥΜΝΑΣΙΟ ΓΡΑΜΜΕΝΙΤΣΑΣ ΑΡΤΑΣ</t>
  </si>
  <si>
    <t>mail@gym-gramm.art.sch.gr</t>
  </si>
  <si>
    <t>ΓΡΑΜΜΕΝΙΤΣΑ</t>
  </si>
  <si>
    <t>ΓΡΑΜΜΕΝΙΤΣΑ ΑΡΤΑΣ</t>
  </si>
  <si>
    <t>ΔΗΜΟΤΙΚΟ ΣΧΟΛΕΙΟ ΓΡΑΜΜΕΝΙΤΣΑΣ</t>
  </si>
  <si>
    <t>ΑΜΒΡΑΚΙΚΟΥ</t>
  </si>
  <si>
    <t>ΑΝΕΖΗΣ</t>
  </si>
  <si>
    <t>ΗΜΕΡΗΣΙΟ ΓΥΜΝΑΣΙΟ ΑΝΕΖΑΣ ΑΡΤΑΣ</t>
  </si>
  <si>
    <t>mail@gym-anezas.art.sch.gr</t>
  </si>
  <si>
    <t>ΑΝΕΖΑ ΑΡΤΑΣ</t>
  </si>
  <si>
    <t>ΔΗΜΟΤΙΚΟ ΣΧΟΛΕΙΟ ΑΝΕΖΑΣ</t>
  </si>
  <si>
    <t>ΠΕΤΑ</t>
  </si>
  <si>
    <t>ΗΜΕΡΗΣΙΟ ΓΥΜΝΑΣΙΟ ΠΕΤΑ</t>
  </si>
  <si>
    <t>mail@gym-peta.art.sch.gr</t>
  </si>
  <si>
    <t>ΔΗΜΟΤΙΚΟ ΣΧΟΛΕΙΟ ΠΕΤΑ</t>
  </si>
  <si>
    <t>1ο ΗΜΕΡΗΣΙΟ ΓΕΝΙΚΟ ΛΥΚΕΙΟ ΑΡΤΑΣ - ΠΡΩΤΟ ΗΜΕΡΗΣΙΟ ΓΕΝΙΚΟ ΛΥΚΕΙΟ ΑΡΤΑΣ</t>
  </si>
  <si>
    <t>mail@1lyk-artas.art.sch.gr</t>
  </si>
  <si>
    <t>2ο ΗΜΕΡΗΣΙΟ ΓΕΝΙΚΟ ΛΥΚΕΙΟ ΑΡΤΑΣ</t>
  </si>
  <si>
    <t>mail@2lyk-artas.art.sch.gr</t>
  </si>
  <si>
    <t>ΚΟΜΜΕΝΟΥ ΚΑΙ ΣΩΦΡΟΝΟΣ ΟΛΥΜΠΙΟΝΙΚΟΥ</t>
  </si>
  <si>
    <t>4ο ΗΜΕΡΗΣΙΟ ΓΕΝΙΚΟ ΛΥΚΕΙΟ ΑΡΤΑΣ - ΤΕΤΑΡΤΟ ΗΜΕΡΗΣΙΟ ΓΕΝΙΚΟ ΛΥΚΕΙΟ ΑΡΤΑΣ</t>
  </si>
  <si>
    <t>mail@4lyk-artas.art.sch.gr</t>
  </si>
  <si>
    <t>ΣΥΝΤΑΓΜΑ ΕΥΖΩΝΩΝ</t>
  </si>
  <si>
    <t>5ο ΔΗΜΟΤΙΚΟ ΣΧΟΛΕΙΟ ΑΡΤΑΣ</t>
  </si>
  <si>
    <t>ΗΜΕΡΗΣΙΟ ΓΕΝΙΚΟ ΛΥΚΕΙΟ ΔΗΜΟΥ ΝΙΚΟΛΑΟΥ ΣΚΟΥΦΑ ΑΡΤΑΣ - ΓΕΝΙΚΟ ΛΥΚΕΙΟ ΝΕΟΧΩΡΙΟΥ</t>
  </si>
  <si>
    <t>mail@lyk-neoch.art.sch.gr</t>
  </si>
  <si>
    <t>ΓΕΝΙΚΟ ΛΥΚΕΙΟ ΒΟΥΡΓΑΡΕΛΙΟΥ</t>
  </si>
  <si>
    <t>mail@lyk-vourg.art.sch.gr</t>
  </si>
  <si>
    <t>ΒΟΥΡΓΑΡΕΛΙ</t>
  </si>
  <si>
    <t>ΚΟΜΠΟΤΙΟΥ</t>
  </si>
  <si>
    <t>ΗΜΕΡΗΣΙΟ ΓΕΝΙΚΟ ΛΥΚΕΙΟ ΚΟΜΠΟΤΙΟΥ "ΝΙΚΟΛΑΟΣ ΣΚΟΥΦΑΣ"</t>
  </si>
  <si>
    <t>mail@lyk-kompot.art.sch.gr</t>
  </si>
  <si>
    <t>ΚΟΜΠΟΤΙ</t>
  </si>
  <si>
    <t>ΚΟΜΠΟΤΙ ΑΡΤΑΣ</t>
  </si>
  <si>
    <t>ΔΗΜΟΤΙΚΟ ΣΧΟΛΕΙΟ ΚΟΜΠΟΤΙΟΥ</t>
  </si>
  <si>
    <t>ΗΜΕΡΗΣΙΟ ΓΕΝΙΚΟ ΛΥΚΕΙΟ ΑΝΕΖΑΣ ΑΡΤΑΣ</t>
  </si>
  <si>
    <t>mail@lyk-anezas.art.sch.gr</t>
  </si>
  <si>
    <t>ΑΝΕΖΑ</t>
  </si>
  <si>
    <t>1ο ΕΚ ΑΡΤΑΣ</t>
  </si>
  <si>
    <t>1sekarta@sch.gr</t>
  </si>
  <si>
    <t>ΕΣΠΕΡΙΝΟ ΓΥΜΝΑΣΙΟ ΑΡΤΑΣ - ΕΣΠΕΡΙΝΟ ΓΥΜΝΑΣΙΟ ΑΡΤΑΣ</t>
  </si>
  <si>
    <t>mail@gym-esp-artas.art.sch.gr</t>
  </si>
  <si>
    <t>ΚΩΣΤΑΚΙΩΝ</t>
  </si>
  <si>
    <t>ΗΜΕΡΗΣΙΟ ΓΥΜΝΑΣΙΟ ΚΩΣΤΑΚΙΩΝ ΑΡΤΑΣ - ΓΥΜΝΑΣΙΟ ΚΩΣΤΑΚΙΩΝ</t>
  </si>
  <si>
    <t>mail@gym-kostak.art.sch.gr</t>
  </si>
  <si>
    <t>ΚΩΣΤΑΚΙΟΙ ΑΡΤΑΣ</t>
  </si>
  <si>
    <t>ΔΗΜΟΤΙΚΟ ΣΧΟΛΕΙΟ ΚΩΣΤΑΚΙΩΝ</t>
  </si>
  <si>
    <t>ΧΑΛΚΙΑΔΩΝ</t>
  </si>
  <si>
    <t>ΗΜΕΡΗΣΙΟ ΓΥΜΝΑΣΙΟ ΦΙΛΟΘΕΗΣ ΑΡΤΑΣ</t>
  </si>
  <si>
    <t>mail@gym-filoth.art.sch.gr</t>
  </si>
  <si>
    <t>ΦΙΛΟΘΕΗ ΑΡΤΑΣ</t>
  </si>
  <si>
    <t>ΔΗΜΟΤΙΚΟ ΣΧΟΛΕΙΟ ΚΑΛΑΜΙΑΣ</t>
  </si>
  <si>
    <t>ΗΜΕΡΗΣΙΟ ΓΥΜΝΑΣΙΟ ΠΑΝΑΓΙΑΣ ΔΙΑΣΕΛΛΟΥ ΑΡΤΑΣ</t>
  </si>
  <si>
    <t>mail@gym-panag.art.sch.gr</t>
  </si>
  <si>
    <t>ΠΑΝΑΓΙΑ ΔΙΑΣΕΛΛΟΥ ΑΡΤΑΣ</t>
  </si>
  <si>
    <t>ΔΙΑΣΕΛΛΟ ΑΡΤΑΣ</t>
  </si>
  <si>
    <t>3ο ΓΥΜΝΑΣΙΟ ΑΡΤΑΣ</t>
  </si>
  <si>
    <t>mail@3gym-artas.art.sch.gr</t>
  </si>
  <si>
    <t>Ν. ΠΛΑΣΤΗΡΑ 16</t>
  </si>
  <si>
    <t>ΗΜΕΡΗΣΙΟ ΓΥΜΝΑΣΙΟ ΚΟΜΠΟΤΙΟΥ</t>
  </si>
  <si>
    <t>mail@gym-kompot.art.sch.gr</t>
  </si>
  <si>
    <t>ΓΥΜΝΑΣΙΟ ΑΝΩ ΚΑΛΕΝΤΙΝΗΣ</t>
  </si>
  <si>
    <t>mail@gym-an-kalent.art.sch.gr</t>
  </si>
  <si>
    <t>ʼνω Καλεντίνη</t>
  </si>
  <si>
    <t>ΑΓΝΑΝΤΩΝ</t>
  </si>
  <si>
    <t>ΓΥΜΝΑΣΙΟ - ΛΥΚΕΙΑΚΕΣ ΤΑΞΕΙΣ ΑΓΝΑΝΤΩΝ</t>
  </si>
  <si>
    <t>mail@gym-agnant.art.sch.gr</t>
  </si>
  <si>
    <t>ΑΓΝΑΝΤΑ ΑΡΤΑΣ</t>
  </si>
  <si>
    <t>ΑΓΝΑΝΤΑ</t>
  </si>
  <si>
    <t>ΔΗΜΟΤΙΚΟ ΣΧΟΛΕΙΟ ΡΑΜΙΑΣ ΑΡΤΑΣ</t>
  </si>
  <si>
    <t>ΜΟΥΣΙΚΟ ΣΧΟΛΕΙΟ ΑΡΤΑΣ</t>
  </si>
  <si>
    <t>mail@gym-mous-artas.art.sch.gr</t>
  </si>
  <si>
    <t>ΔΙΕΥΘΥΝΣΗ Δ.Ε. ΘΕΣΠΡΩΤΙΑΣ</t>
  </si>
  <si>
    <t>ΝΕΑΣ ΣΕΛΕΥΚΕΙΑΣ</t>
  </si>
  <si>
    <t>ΗΜΕΡΗΣΙΟ ΓΥΜΝΑΣΙΟ ΝΕΑΣ ΣΕΛΕΥΚΕΙΑΣ ΘΕΣΠΡΩΤΙΑΣ</t>
  </si>
  <si>
    <t>gymnsele@sch.gr</t>
  </si>
  <si>
    <t>ΝΕΑ ΣΕΛΕΥΚΕΙΑ</t>
  </si>
  <si>
    <t>ΔΗΜΟΤΙΚΟ ΣΧΟΛΕΙΟ ΝΕΑΣ ΣΕΛΕΥΚΕΙΑΣ</t>
  </si>
  <si>
    <t>ΕΣΠΕΡΙΝΟ ΓΕΝΙΚΟ ΛΥΚΕΙΟ ΗΓΟΥΜΕΝΙΤΣΑΣ</t>
  </si>
  <si>
    <t>mail@lyk-esp-igoum.thesp.sch.gr</t>
  </si>
  <si>
    <t>ΑΙΣΧΥΛΟΥ 16</t>
  </si>
  <si>
    <t>5ο ΔΗΜΟΤΙΚΟ ΣΧΟΛΕΙΟ ΗΓΟΥΜΕΝΙΤΣΑΣ</t>
  </si>
  <si>
    <t>ΕΣΠΕΡΙΝΟ ΓΥΜΝΑΣΙΟ ΗΓΟΥΜΕΝΙΤΣΑΣ</t>
  </si>
  <si>
    <t>mail@gym-esp-igoum.thesp.sch.gr</t>
  </si>
  <si>
    <t>ΠΑΡΑΜΥΘΙΑΣ</t>
  </si>
  <si>
    <t>1ο ΕΠΑΛ ΠΑΡΑΜΥΘΙΑΣ</t>
  </si>
  <si>
    <t>mail@1epal-param.thesp.sch.gr</t>
  </si>
  <si>
    <t>ΠΑΡΑΜΥΘΙΑ</t>
  </si>
  <si>
    <t>1ο ΔΗΜΟΤΙΚΟ ΣΧΟΛΕΙΟ ΠΑΡΑΜΥΘΙΑΣ</t>
  </si>
  <si>
    <t>ΦΙΛΙΑΤΩΝ</t>
  </si>
  <si>
    <t>ΗΜΕΡΗΣΙΟ ΓΕΝΙΚΟ ΛΥΚΕΙΟ ΦΙΛΙΑΤΩΝ ΘΕΣΠΡΩΤΙΑΣ</t>
  </si>
  <si>
    <t>mail@lyk-filiat.thesp.sch.gr</t>
  </si>
  <si>
    <t>ΦΙΛΙΑΤΕΣ ΘΕΣΠΡΩΤΙΑΣ</t>
  </si>
  <si>
    <t>ΦΙΛΙΑΤΕΣ</t>
  </si>
  <si>
    <t>1ο ΔΗΜΟΤΙΚΟ ΣΧΟΛΕΙΟ ΦΙΛΙΑΤΩΝ - ΚΩΝΣΤΑΝΤΙΝΟΣ ΖΑΠΠΑΣ</t>
  </si>
  <si>
    <t>3ο ΗΜΕΡΗΣΙΟ ΓΥΜΝΑΣΙΟ ΗΓΟΥΜΕΝΙΤΣΑΣ</t>
  </si>
  <si>
    <t>mail@3gym-igoum.thesp.sch.gr</t>
  </si>
  <si>
    <t>ΛΑΔΟΧΩΡΙ, ΛΕΩΦ 49 ΜΑΡΤΥΡΩΝ &amp; ΑΠΟΣΤΟΛΩΝ ΠΕΤΡΟΥ-ΠΑΥΛΟΥ</t>
  </si>
  <si>
    <t>2ο ΔΗΜΟΤΙΚΟ ΣΧΟΛΕΙΟ ΗΓΟΥΜΕΝΙΤΣΑΣ</t>
  </si>
  <si>
    <t>2ο ΗΜΕΡΗΣΙΟ ΓΥΜΝΑΣΙΟ ΗΓΟΥΜΕΝΙΤΣΑΣ</t>
  </si>
  <si>
    <t>mail@2gym-igoum.thesp.sch.gr</t>
  </si>
  <si>
    <t>ΚΥΠΡΟΥ 138</t>
  </si>
  <si>
    <t>3ο  ΔΗΜΟΤΙΚΟ ΣΧΟΛΕΙΟ ΗΓΟΥΜΕΝΙΤΣΑΣ</t>
  </si>
  <si>
    <t>1ο ΗΜΕΡΗΣΙΟ ΓΥΜΝΑΣΙΟ ΗΓΟΥΜΕΝΙΤΣΑΣ</t>
  </si>
  <si>
    <t>1gymigou@sch.gr</t>
  </si>
  <si>
    <t>Ηγουμενίτσα</t>
  </si>
  <si>
    <t>ΗΓΟΥΜΕΝΙΤΣΑ Δ. ΣΚΥΛΟΣΟΦΟΥ 14</t>
  </si>
  <si>
    <t>ΜΑΡΓΑΡΙΤΙΟΥ</t>
  </si>
  <si>
    <t>ΗΜΕΡΗΣΙΟ ΓΥΜΝΑΣΙΟ ΜΑΡΓΑΡΙΤΙΟΥ ΘΕΣΠΡΩΤΙΑΣ</t>
  </si>
  <si>
    <t>gymmarga@sch.gr</t>
  </si>
  <si>
    <t>ΜΑΡΓΑΡΙΤΙ  ΘΕΣΠΡΩΤΙΑΣ</t>
  </si>
  <si>
    <t>ΜΑΡΓΑΡΙΤΙ ΘΕΣΠΡΩΤΙΑΣ</t>
  </si>
  <si>
    <t>ΔΗΜΟΤΙΚΟ ΣΧΟΛΕΙΟ ΜΑΡΓΑΡΙΤΙΟΥ</t>
  </si>
  <si>
    <t>1ο ΗΜΕΡΗΣΙΟ ΕΠΑΛ ΗΓΟΥΜΕΝΙΤΣΑΣ</t>
  </si>
  <si>
    <t>mail@1epal-igoum.thesp.sch.gr</t>
  </si>
  <si>
    <t>ΕΙΚΟΣΤΗΣ ΟΓΔΟΗΣ ΟΚΤΩΒΡΙΟΥ 7</t>
  </si>
  <si>
    <t>1ο ΕΚ ΗΓΟΥΜΕΝΙΤΣΑΣ</t>
  </si>
  <si>
    <t>mail@1sek-igoum.thesp.sch.gr</t>
  </si>
  <si>
    <t>28ης  Οκτωβρίου  7</t>
  </si>
  <si>
    <t>ΗΜΕΡΗΣΙΟ ΓΥΜΝΑΣΙΟ ΠΑΡΑΜΥΘΙΑΣ ΘΕΣΠΡΩΤΙΑΣ</t>
  </si>
  <si>
    <t>mail@gym-param.thesp.sch.gr</t>
  </si>
  <si>
    <t>ΠΑΡΑΜΥΘΙΑΣ ΘΕΣΠΡΩΤΙΑΣ</t>
  </si>
  <si>
    <t>ΣΥΒΟΤΩΝ</t>
  </si>
  <si>
    <t>ΠΛΑΤΑΡΙΑΣ</t>
  </si>
  <si>
    <t>ΓΥΜΝΑΣΙΟ ΠΛΑΤΑΡΙΑΣ ΘΕΣΠΡΩΤΙΑΣ</t>
  </si>
  <si>
    <t>mail@gym-platar.thesp.sch.gr</t>
  </si>
  <si>
    <t>ΠΛΑΤΑΡΙΑ</t>
  </si>
  <si>
    <t>ΕΠΑΡΧΙΑΚΗ ΟΔΟΣ ΠΛΑΤΑΡΙΑΣ - ΦΑΣΚΟΜΗΛΙΑΣ</t>
  </si>
  <si>
    <t>ΠΛΑΤΑΡΙΑ ΘΕΣΠΡΩΤΙΑΣ</t>
  </si>
  <si>
    <t>ΔΗΜΟΤΙΚΟ ΣΧΟΛΕΙΟ ΠΛΑΤΑΡΙΑΣ - Δ.Σ.ΠΛΑΤΑΡΙΑΣ</t>
  </si>
  <si>
    <t>1ο ΗΜΕΡΗΣΙΟ ΓΥΜΝΑΣΙΟ ΦΙΛΙΑΤΩΝ ΘΕΣΠΡΩΤΙΑΣ</t>
  </si>
  <si>
    <t>mail@gym-filiat.thesp.sch.gr</t>
  </si>
  <si>
    <t>ΕΘΝΙΚΗΣ ΑΝΤΙΣΤΑΣΗΣ ΚΑΙ ΚΥΡΑ ΒΑΣΙΛΙΚΗΣ 1</t>
  </si>
  <si>
    <t>ΑΧΕΡΟΝΤΑ</t>
  </si>
  <si>
    <t>ΓΑΡΔΙΚΙΟΥ ΣΟΥΛΙΟΥ</t>
  </si>
  <si>
    <t>ΗΜΕΡΗΣΙΟ ΓΥΜΝΑΣΙΟ ΓΑΡΔΙΚΙΟΥ ΘΕΣΠΡΩΤΙΑΣ</t>
  </si>
  <si>
    <t>mail@gym-gardik.thesp.sch.gr</t>
  </si>
  <si>
    <t>ΓΑΡΔΙΚΙ ΘΕΣΠΡΩΤΙΑΣ</t>
  </si>
  <si>
    <t>ΓΑΡΔΙΚΙ ---</t>
  </si>
  <si>
    <t>ΔΗΜΟΤΙΚΟ ΣΧΟΛΕΙΟ ΣΚΑΝΔΑΛΟΥ - ΓΑΡΔΙΚΙΟΥ</t>
  </si>
  <si>
    <t>ΗΜΕΡΗΣΙΟ ΓΥΜΝΑΣΙΟ ΝΕΡΑΪΔΑΣ ΘΕΣΠΡΩΤΙΑΣ</t>
  </si>
  <si>
    <t>mail@gym-neraid.thesp.sch.gr</t>
  </si>
  <si>
    <t>ΝΕΡΑΪΔΑ ΘΕΣΠΡΩΤΙΑΣ</t>
  </si>
  <si>
    <t>3/Θ ΔΗΜΟΤΙΚΟ ΣΧΟΛΕΙΟ ΝΕΡΑΪΔΑΣ</t>
  </si>
  <si>
    <t>2ο ΗΜΕΡΗΣΙΟ ΓΕΝΙΚΟ ΛΥΚΕΙΟ ΗΓΟΥΜΕΝΙΤΣΑΣ</t>
  </si>
  <si>
    <t>mail@2lyk-igoum.thesp.sch.gr</t>
  </si>
  <si>
    <t>ΑΡΙΣΤΟΤΕΛΟΥΣ</t>
  </si>
  <si>
    <t>ΗΜΕΡΗΣΙΟ ΓΕΝΙΚΟ ΛΥΚΕΙΟ ΜΑΡΓΑΡΙΤΙΟΥ ΘΕΣΠΡΩΤΙΑΣ</t>
  </si>
  <si>
    <t>mail@lyk-margar.thesp.sch.gr</t>
  </si>
  <si>
    <t>ΜΑΡΓΑΡΙΤΙ</t>
  </si>
  <si>
    <t>1ο ΗΜΕΡΗΣΙΟ ΓΕΝΙΚΟ ΛΥΚΕΙΟ ΠΑΡΑΜΥΘΙΑΣ ΘΕΣΠΡΩΤΙΑΣ</t>
  </si>
  <si>
    <t>mail@1lyk-param.thesp.sch.gr</t>
  </si>
  <si>
    <t>ΠΑΡΑΜΥΘΙΑ ΘΕΣΠΡΩΤΙΑΣ</t>
  </si>
  <si>
    <t>1ο ΗΜΕΡΗΣΙΟ ΓΕΝΙΚΟ ΛΥΚΕΙΟ ΗΓΟΥΜΕΝΙΤΣΑΣ</t>
  </si>
  <si>
    <t>mail@1lyk-igoum.thesp.sch.gr</t>
  </si>
  <si>
    <t>1ο ΗΜΕΡΗΣΙΟ ΕΠΑΓΓΕΛΜΑΤΙΚΟ ΛΥΚΕΙΟ ΦΙΛΙΑΤΩΝ</t>
  </si>
  <si>
    <t>mail@1epal-filiat.thesp.sch.gr</t>
  </si>
  <si>
    <t>ΜΑΡΚΟΥ ΜΠΟΤΣΑΡΗ 6</t>
  </si>
  <si>
    <t>ΗΜΕΡΗΣΙΟ ΓΥΜΝΑΣΙΟ ΠΕΡΔΙΚΑΣ ΘΕΣΠΡΩΤΙΑΣ</t>
  </si>
  <si>
    <t>mail@gym-perdik.thesp.sch.gr</t>
  </si>
  <si>
    <t>ΠΕΡΔΙΚΑ ΘΕΣΠΡΩΤΙΑΣ</t>
  </si>
  <si>
    <t>6/ΘΕΣΙΟ ΔΗΜΟΤΙΚΟ ΣΧΟΛΕΙΟ ΠΕΡΔΙΚΑΣ</t>
  </si>
  <si>
    <t>Ε.Ε.Ε.ΕΚ. ΠΑΡΑΜΥΘΙΑΣ</t>
  </si>
  <si>
    <t>mail@eeeek.thesp.sch.gr</t>
  </si>
  <si>
    <t>ΘΕΣΠΡΩΤΙΑ</t>
  </si>
  <si>
    <t>ΕΝΙΑΙΟ ΕΙΔΙΚΟ ΕΠΑΓΓΕΛΜΑΤΙΚΟ ΓΥΜΝΑΣΙΟ-ΛΥΚΕΙΟ ΗΓΟΥΜΕΝΙΤΣΑΣ</t>
  </si>
  <si>
    <t>mail@gym-ee-igoum.thesp.sch.gr</t>
  </si>
  <si>
    <t>Μικράς Ασίας - Ελευθερίου Βενιζέλου.</t>
  </si>
  <si>
    <t>ΔΙΕΥΘΥΝΣΗ Δ.Ε. ΙΩΑΝΝΙΝΩΝ</t>
  </si>
  <si>
    <t>ΠΩΓΩΝΙΟΥ</t>
  </si>
  <si>
    <t>ΚΑΛΠΑΚΙΟΥ</t>
  </si>
  <si>
    <t>ΑΝΩ ΡΑΒΕΝΙΩΝ</t>
  </si>
  <si>
    <t>ΓΥΜΝΑΣΙΟ ΔΟΛΙΑΝΩΝ ΙΩΑΝΝΙΝΩΝ</t>
  </si>
  <si>
    <t>mail@gym-dolian.ioa.sch.gr</t>
  </si>
  <si>
    <t>ΔΟΛΙΑΝΑ</t>
  </si>
  <si>
    <t>ΓΕΝΝΑΔΙΟΥ 4</t>
  </si>
  <si>
    <t>ΔΗΜΟΤΙΚΟ ΣΧΟΛΕΙΟ ΚΑΛΠΑΚΙΟΥ</t>
  </si>
  <si>
    <t>ΗΜΕΡΗΣΙΟ ΓΥΜΝΑΣΙΟ ΣΤΑΥΡΑΚΙ ΙΩΑΝΝΙΝΩΝ - ΓΥΜΝΑΣΙΟ ΣΤΑΥΡΑΚΙΟΥ</t>
  </si>
  <si>
    <t>mail@gym-stavr.ioa.sch.gr</t>
  </si>
  <si>
    <t>ΣΤΑΥΡΑΚΙ ΙΩΑΝΝΙΝΩΝ</t>
  </si>
  <si>
    <t>ΔΗΜΟΤΙΚΟ ΣΧΟΛΕΙΟ ΣΤΑΥΡΑΚΙΟΥ</t>
  </si>
  <si>
    <t>ΜΕΤΣΟΒΟΥ</t>
  </si>
  <si>
    <t>1ο ΓΕΝΙΚΟ ΛΥΚΕΙΟ ΜΕΤΣΟΒΟΥ</t>
  </si>
  <si>
    <t>mail@lyk-metsov.ioa.sch.gr</t>
  </si>
  <si>
    <t>ΜΕΤΣΟΒΟ</t>
  </si>
  <si>
    <t>ΔΗΜΟΤΙΚΟ ΣΧΟΛΕΙΟ ΜΕΤΣΟΒΟΥ - ΤΟΣΙΤΣΕΙΟ</t>
  </si>
  <si>
    <t>ΗΜΕΡΗΣΙΟ ΓΥΜΝΑΣΙΟ ΜΕΤΣΟΒΟΥ ΙΩΑΝΝΙΝΩΝ</t>
  </si>
  <si>
    <t>mail@gym-metsov.ioa.sch.gr</t>
  </si>
  <si>
    <t>ΜΕΤΣΟΒΟ ΙΩΑΝΝΙΝΩΝ</t>
  </si>
  <si>
    <t>ΓΕΩΡΓΙΟΥ ΑΒΕΡΩΦ 51</t>
  </si>
  <si>
    <t>ΑΝΩ ΚΑΛΑΜΑ</t>
  </si>
  <si>
    <t>ΠΑΡΑΚΑΛΑΜΟΥ</t>
  </si>
  <si>
    <t>1ο ΗΜΕΡΗΣΙΟ ΓΥΜΝΑΣΙΟ ΠΑΡΑΚΑΛΑΜΟΥ ΙΩΑΝΝΙΝΩΝ - ΓΥΜΝΑΣΙΟ ΠΑΡΑΚΑΛΑΜΟΥ</t>
  </si>
  <si>
    <t>mail@gym-parak.ioa.sch.gr</t>
  </si>
  <si>
    <t>ΠΑΡΑΚΑΛΑΜΟΥ ΙΩΑΝΝΙΝΩΝ</t>
  </si>
  <si>
    <t>ΠΑΡΑΚΑΛΑΜΟΣ ΙΩΑΝΝΙΝΩΝ</t>
  </si>
  <si>
    <t>ΔΗΜΟΤΙΚΟ ΣΧΟΛΕΙΟ ΠΑΡΑΚΑΛΑΜΟΥ</t>
  </si>
  <si>
    <t>2ο ΕΣΠΕΡΙΝΟ ΕΠΑ.Λ. ΙΩΑΝΝΙΝΩΝ</t>
  </si>
  <si>
    <t>mail@2epal-esp-ioann.ioa.sch.gr</t>
  </si>
  <si>
    <t>ΣΕΙΣΜΟΠΛΗΚΤΑ, ΙΩΑΝΝΙΝΑ</t>
  </si>
  <si>
    <t>Σ. ΝΙΚΟΛΑΤΟΥ &amp; ΚΕΡΚΥΡΑΣ 1</t>
  </si>
  <si>
    <t>21ο ΔΗΜΟΤΙΚΟ ΣΧΟΛΕΙΟ ΙΩΑΝΝΙΝΩΝ</t>
  </si>
  <si>
    <t>3ο ΗΜΕΡΗΣΙΟ ΕΠΑΛ ΙΩΑΝΝΙΝΩΝ</t>
  </si>
  <si>
    <t>mail@3epal-ioann.ioa.sch.gr</t>
  </si>
  <si>
    <t>ΣΑΒΒΑ ΝΙΚΟΛΑΤΟΥ Κ ΚΕΡΚΥΡΑΣ 1</t>
  </si>
  <si>
    <t>Ε.Ε.Ε.ΕΚ. ΙΩΑΝΝΙΝΑ - Ε.Ε.Ε.ΕΚ. ΙΩΑΝΝΙΝΩΝ</t>
  </si>
  <si>
    <t>mail@eeeek.ioa.sch.gr</t>
  </si>
  <si>
    <t>ΑΜΑΛΘΕΙΑΣ 12 (ΠΡΩΗΝ ΠΑΛΛΑΔΙΟ) ΚΑΡΔΑΜΙΤΣΙΑ</t>
  </si>
  <si>
    <t>ΔΗΜΟΤΙΚΟ ΣΧΟΛΕΙΟ ΠΕΡΑΜΑΤΟΣ ΙΩΑΝΝΙΝΩΝ</t>
  </si>
  <si>
    <t>10ο ΗΜΕΡΗΣΙΟ ΓΥΜΝΑΣΙΟ ΙΩΑΝΝΙΝΩΝ  &lt;&lt; ΘΕΟΔΩΡΟΣ ΠΑΠΑΓΙΑΝΝΗΣ &gt;&gt;</t>
  </si>
  <si>
    <t>mail@10gym-ioann.ioa.sch.gr</t>
  </si>
  <si>
    <t>ΔΗΜΟΥΛΙΤΣΑ ΠΑΤΑΤΟΥΚΟΥ 2</t>
  </si>
  <si>
    <t>18ο ΔΗΜΟΤΙΚΟ ΣΧΟΛΕΙΟ ΙΩΑΝΝΙΝΩΝ - Γ ΕΛΙΣΑΒΕΤΕΙΟ</t>
  </si>
  <si>
    <t>ΚΟΝΙΤΣΑΣ</t>
  </si>
  <si>
    <t>ΚΟΝΙΤΣΗΣ</t>
  </si>
  <si>
    <t>1ο ΗΜΕΡΗΣΙΟ ΕΠΑΛ ΚΟΝΙΤΣΑΣ</t>
  </si>
  <si>
    <t>mail@1epal-konits.ioa.sch.gr</t>
  </si>
  <si>
    <t>ΚΟΝΙΤΣΑ</t>
  </si>
  <si>
    <t>3ο ΔΗΜΟΤΙΚΟ ΣΧΟΛΕΙΟ ΚΟΝΙΤΣΑΣ</t>
  </si>
  <si>
    <t>ΖΙΤΣΑΣ</t>
  </si>
  <si>
    <t>ΖΙΤΣΗΣ</t>
  </si>
  <si>
    <t>ΗΜΕΡΗΣΙΟ ΓΥΜΝΑΣΙΟ ΖΙΤΣΑΣ ΜΕ ΛΥΚΕΙΑΚΕΣ ΤΑΞΕΙΣ</t>
  </si>
  <si>
    <t>mail@gym-zitsas.ioa.sch.gr</t>
  </si>
  <si>
    <t xml:space="preserve">ΖΙΤΣΑ </t>
  </si>
  <si>
    <t>ΖΙΤΣΑ ΙΩΑΝΝΙΝΩΝ</t>
  </si>
  <si>
    <t>ΔΗΜΟΤΙΚΟ ΣΧΟΛΕΙΟ ΖΙΤΣΑΣ</t>
  </si>
  <si>
    <t>6ο ΗΜΕΡΗΣΙΟ ΕΠΑΛ ΙΩΑΝΝΙΝΩΝ</t>
  </si>
  <si>
    <t>mail@6epal-ioann.ioa.sch.gr</t>
  </si>
  <si>
    <t>ΑΡΣΕΝΗ ΓΕΡΟΝΤΙΚΟΥ 3</t>
  </si>
  <si>
    <t>26ο ΔΗΜΟΤΙΚΟ ΣΧΟΛΕΙΟ ΙΩΑΝΝΙΝΩΝ</t>
  </si>
  <si>
    <t>1ο Ε.Κ ΙΩΑΝΝΙΝΩΝ</t>
  </si>
  <si>
    <t>mail@1sek-ioann.ioa.sch.gr</t>
  </si>
  <si>
    <t>ΛΕΩΦ ΔΩΔΩΝΗΣ ΤΕΡΜΑ</t>
  </si>
  <si>
    <t>1ο ΗΜΕΡΗΣΙΟ ΕΠΑΛ ΙΩΑΝΝΙΝΩΝ</t>
  </si>
  <si>
    <t>mail@1epal-ioann.ioa.sch.gr</t>
  </si>
  <si>
    <t>ΤΕΡΜΑ ΔΩΔΩΝΗΣ</t>
  </si>
  <si>
    <t>27ο ΔΗΜΟΤΙΚΟ ΣΧΟΛΕΙΟ ΙΩΑΝΝΙΝΩΝ</t>
  </si>
  <si>
    <t>1ο ΕΠΑΛ ΜΕΤΣΟΒΟΥ</t>
  </si>
  <si>
    <t>mail@1epal-metsov.ioa.sch.gr</t>
  </si>
  <si>
    <t>ΠΑΜΒΩΤΙΔΟΣ</t>
  </si>
  <si>
    <t>ΚΑΤΣΙΚΑ</t>
  </si>
  <si>
    <t>ΗΜΕΡΗΣΙΟ ΓΕΝΙΚΟ ΛΥΚΕΙΟ ΚΑΤΣΙΚΑ - " ΜΑΡΟΥΛΕΙΟ "</t>
  </si>
  <si>
    <t>mail@lyk-katsik.ioa.sch.gr</t>
  </si>
  <si>
    <t>ΚΑΤΣΙΚΑΣ</t>
  </si>
  <si>
    <t>ΘΕΣΗ 'ΦΑΚΙΟΛΙΑ'</t>
  </si>
  <si>
    <t>ΔΗΜΟΤΙΚΟ ΣΧΟΛΕΙΟ ΚΑΤΣΙΚΑ</t>
  </si>
  <si>
    <t>ΠΑΣΣΑΡΩΝΟΣ</t>
  </si>
  <si>
    <t>ΕΛΕΟΥΣΗΣ</t>
  </si>
  <si>
    <t>ΓΕ.Λ. ΕΛΕΟΥΣΑΣ - «Κωνσταντίνος Ασώπιος»</t>
  </si>
  <si>
    <t>mail@lyk-eleous.ioa.sch.gr</t>
  </si>
  <si>
    <t>ΕΛΕΟΥΣΑ</t>
  </si>
  <si>
    <t>ΕΛΕΟΥΣΑ ΙΩΑΝΝΙΝΩΝ</t>
  </si>
  <si>
    <t>2ο ΔΗΜΟΤΙΚΟ ΣΧΟΛΕΙΟ ΕΛΕΟΥΣΑΣ - ΓΡΗΓΟΡΙΟΣ ΠΑΛΙΟΥΡΙΤΗΣ</t>
  </si>
  <si>
    <t>3ο ΗΜΕΡΗΣΙΟ ΓΕΝΙΚΟ ΛΥΚΕΙΟ ΙΩΑΝΝΙΝΩΝ - "ΕΠΙΦΑΝΕΙΟΣ ΣΧΟΛΗ"</t>
  </si>
  <si>
    <t>mail@3lyk-ioann.ioa.sch.gr</t>
  </si>
  <si>
    <t>ΕΠΙΚΤΗΤΟΥ 26</t>
  </si>
  <si>
    <t>ΑΝΩ ΛΑΨΙΣΤΗΣ</t>
  </si>
  <si>
    <t>ΕΠΑ.Λ. ΒΡΟΣΙΝΑΣ</t>
  </si>
  <si>
    <t>mail@epal-vrosin.ioa.sch.gr</t>
  </si>
  <si>
    <t>ΑΝΩ ΛΑΨΙΣΤΑ</t>
  </si>
  <si>
    <t>ΑΝΩ ΛΑΨΙΣΤΑ ΙΩΑΝΝΙΝΩΝ</t>
  </si>
  <si>
    <t>ΔΗΜΟΤΙΚΟ ΣΧΟΛΕΙΟ ΒΟΥΤΣΑΡΑ - ΔΟΜΠΟΛΕΙΟ</t>
  </si>
  <si>
    <t>4ο ΗΜΕΡΗΣΙΟ ΓΕΝΙΚΟ ΛΥΚΕΙΟ ΙΩΑΝΝΙΝΩΝ - "ΑΚΑΔΗΜΙΑ"</t>
  </si>
  <si>
    <t>mail@4lyk-ioann.ioa.sch.gr</t>
  </si>
  <si>
    <t>Ιωάννινα</t>
  </si>
  <si>
    <t>Δωδώνης 6</t>
  </si>
  <si>
    <t>4ο ΔΗΜΟΤΙΚΟ ΣΧΟΛΕΙΟ ΙΩΑΝΝΙΝΩΝ</t>
  </si>
  <si>
    <t>7ο ΗΜΕΡΗΣΙΟ ΓΕΝΙΚΟ ΛΥΚΕΙΟ ΙΩΑΝΝΙΝΩΝ</t>
  </si>
  <si>
    <t>7lykioan@sch.gr</t>
  </si>
  <si>
    <t>ΕΣΠΕΡΙΝΟ ΓΕΝΙΚΟ ΛΥΚΕΙΟ ΙΩΑΝΝΙΝΩΝ</t>
  </si>
  <si>
    <t>mail@lyk-esp-ioann.ioa.sch.gr</t>
  </si>
  <si>
    <t>ΙΩΑΝΝΙΝA</t>
  </si>
  <si>
    <t>ΔΩΔΩΝΗΣ 6</t>
  </si>
  <si>
    <t>1ο ΗΜΕΡΗΣΙΟ ΓΕΝΙΚΟ ΛΥΚΕΙΟ ΙΩΑΝΝΙΝΩΝ</t>
  </si>
  <si>
    <t>mail@1lyk-ioann.ioa.sch.gr</t>
  </si>
  <si>
    <t>Π. ΜΕΚΑΛΗ 5</t>
  </si>
  <si>
    <t>8ο ΗΜΕΡΗΣΙΟ ΓΕΝΙΚΟ ΛΥΚΕΙΟ ΙΩΑΝΝΙΝΩΝ</t>
  </si>
  <si>
    <t>mail@8lyk-ioann.ioa.sch.gr</t>
  </si>
  <si>
    <t>ΤΕΡΜΑ ΛΕΩΦΟΡΟΥ ΔΩΔΩΝΗΣ</t>
  </si>
  <si>
    <t>ΗΜΕΡΗΣΙΟ ΓΕΝΙΚΟ ΛΥΚΕΙΟ ΔΟΛΙΑΝΩΝ ΙΩΑΝΝΙΝΩΝ</t>
  </si>
  <si>
    <t>mail@lyk-dolian.ioa.sch.gr</t>
  </si>
  <si>
    <t>ΔΟΛΙΑΝΑ ΙΩΑΝΝΙΝΩΝ</t>
  </si>
  <si>
    <t>ΓΕΝΝΑΔΙΟΥ 4, ΔΗΜΟΣ ΠΩΓΩΝΙΟΥ</t>
  </si>
  <si>
    <t>ΗΜΕΡΗΣΙΟ ΓΕΝΙΚΟ ΛΥΚΕΙΟ ΚΟΝΙΤΣΑΣ - ΓΕΝΙΚΟ ΛΥΚΕΙΟ ΚΟΝΙΤΣΑΣ</t>
  </si>
  <si>
    <t>mail@lyk-konits.ioa.sch.gr</t>
  </si>
  <si>
    <t>Κ. ΡΟΥΣΗ 8</t>
  </si>
  <si>
    <t>2ο ΔΗΜΟΤΙΚΟ ΣΧΟΛΕΙΟ ΚΟΝΙΤΣΑΣ</t>
  </si>
  <si>
    <t>ΑΝΑΤΟΛΗΣ</t>
  </si>
  <si>
    <t>ΗΜΕΡΗΣΙΟ ΓΕΝΙΚΟ ΛΥΚΕΙΟ ΑΝΑΤΟΛΗΣ ΙΩΑΝΝΙΝΩΝ</t>
  </si>
  <si>
    <t>mail@lyk-anatol.ioa.sch.gr</t>
  </si>
  <si>
    <t xml:space="preserve">ΑΝΑΤΟΛΗ </t>
  </si>
  <si>
    <t>ΠΛΑΤΩΝΟΣ ΚΑΙ ΑΝΤΥΠΑ 1</t>
  </si>
  <si>
    <t>8ο ΔΗΜΟΤΙΚΟ ΣΧΟΛΕΙΟ ΙΩΑΝΝΙΝΩΝ</t>
  </si>
  <si>
    <t>ΠΡΟΤΥΠΟ ΓΕΝΙΚΟ ΛΥΚΕΙΟ ΖΩΣΙΜΑΙΑΣ ΣΧΟΛΗΣ ΙΩΑΝΝΙΝΩΝ</t>
  </si>
  <si>
    <t>mail@lyk-zosim.ioa.sch.gr</t>
  </si>
  <si>
    <t>ΠΛΑΤ.ΑΡΧΙΕΠΙΣΚΟΠΟΥ ΣΠΥΡΙΔΩΝΟΣ</t>
  </si>
  <si>
    <t>11ο ΔΗΜΟΤΙΚΟ ΣΧΟΛΕΙΟ ΙΩΑΝΝΙΝΩΝ - Β ΕΛΙΣΑΒΕΤΕΙΟ</t>
  </si>
  <si>
    <t>2ο ΗΜΕΡΗΣΙΟ ΓΕΝΙΚΟ ΛΥΚΕΙΟ ΙΩΑΝΝΙΝΩΝ - ΓΕΩΡΓΙΟΣ ΣΤΑΥΡΟΥ</t>
  </si>
  <si>
    <t>mail@2lyk-ioann.ioa.sch.gr</t>
  </si>
  <si>
    <t>Γ.ΠΑΠΑΝΔΡΕΟΥ 4-6</t>
  </si>
  <si>
    <t>5ο ΗΜΕΡΗΣΙΟ ΓΕΝΙΚΟ ΛΥΚΕΙΟ ΙΩΑΝΝΙΝΩΝ</t>
  </si>
  <si>
    <t>mail@5lyk-ioann.ioa.sch.gr</t>
  </si>
  <si>
    <t>ΟΓΔΟΗΣ ΜΕΡΑΡΧΙΑΣ 3</t>
  </si>
  <si>
    <t>2ο ΕΚ ΙΩΑΝΝΙΝΩΝ</t>
  </si>
  <si>
    <t>mail@2sek-ioann.ioa.sch.gr</t>
  </si>
  <si>
    <t>ΗΜΕΡΗΣΙΟ ΓΥΜΝΑΣΙΟ ΕΛΕΟΥΣΑΣ ΙΩΑΝΝΙΝΩΝ</t>
  </si>
  <si>
    <t>mail@gym-eleous.ioa.sch.gr</t>
  </si>
  <si>
    <t>ΕΛΕΟΥΣΑ  ΙΩΑΝΝΙΝΩΝ</t>
  </si>
  <si>
    <t>ΗΜΕΡΗΣΙΟ ΓΥΜΝΑΣΙΟ ΜΕΤΑΜΟΡΦΩΣΗΣ</t>
  </si>
  <si>
    <t>mail@gym-karyon.ioa.sch.gr</t>
  </si>
  <si>
    <t>ΜΕΤΑΜΟΡΦΩΣΗ ΙΩΑΝΝΙΝΩΝ</t>
  </si>
  <si>
    <t>ΔΗΜΟΤΙΚΟ ΣΧΟΛΕΙΟ ΜΕΤΑΜΟΡΦΩΣΗΣ ΙΩΑΝΝΙΝΩΝ</t>
  </si>
  <si>
    <t>ΗΜΕΡΗΣΙΟ ΓΥΜΝΑΣΙΟ ΑΝΑΤΟΛΗΣ ΙΩΑΝΝΙΝΩΝ</t>
  </si>
  <si>
    <t>mail@gym-anatol.ioa.sch.gr</t>
  </si>
  <si>
    <t>ΑΝΑΤΟΛΗ ΙΩΑΝΝΙΝΩΝ</t>
  </si>
  <si>
    <t>ΑΓΙΑΣ ΣΟΦΙΑΣ 13</t>
  </si>
  <si>
    <t>1ο ΔΗΜΟΤΙΚΟ ΣΧΟΛΕΙΟ ΑΝΑΤΟΛΗΣ</t>
  </si>
  <si>
    <t>ΠΩΓΩΝΙΑΝΗΣ</t>
  </si>
  <si>
    <t>ΗΜΕΡΗΣΙΟ ΓΥΜΝΑΣΙΟ ΠΩΓΩΝΙΑΝΗΣ ΙΩΑΝΝΙΝΩΝ</t>
  </si>
  <si>
    <t>mail@gym-pogon.ioa.sch.gr</t>
  </si>
  <si>
    <t>Ν. ΙΩΑΝΝΙΝΩΝ</t>
  </si>
  <si>
    <t>ΠΩΓΩΝΙΑΝΗ</t>
  </si>
  <si>
    <t>ΔΗΜΟΤΙΚΟ ΣΧΟΛΕΙΟ ΔΕΛΒΙΝΑΚΙΟΥ</t>
  </si>
  <si>
    <t>ΔΕΛΒΙΝΑΚΙΟΥ</t>
  </si>
  <si>
    <t>ΗΜΕΡΗΣΙΟ ΓΥΜΝΑΣΙΟ ΔΕΛΒΙΝΑΚΙΟΥ ΙΩΑΝΝΙΝΩΝ</t>
  </si>
  <si>
    <t>mail@gym-delvin.ioa.sch.gr</t>
  </si>
  <si>
    <t>ΔΕΛΒΙΝΑΚΙ</t>
  </si>
  <si>
    <t>8ο ΗΜΕΡΗΣΙΟ ΓΥΜΝΑΣΙΟ ΙΩΑΝΝΙΝΩΝ</t>
  </si>
  <si>
    <t>mail@8gym-ioann.ioa.sch.gr</t>
  </si>
  <si>
    <t>ΣΥΝΟΙΚΙΣΜΟΣ ΚΙΑΦΑΣ</t>
  </si>
  <si>
    <t>3ο ΗΜΕΡΗΣΙΟ ΓΥΜΝΑΣΙΟ ΙΩΑΝΝΙΝΩΝ</t>
  </si>
  <si>
    <t>mail@3gym-ioann.ioa.sch.gr</t>
  </si>
  <si>
    <t>ΔΗΜΟΥΛΙΤΣΑ  ΠΑΤΑΤΟΥΚΟΥ 2</t>
  </si>
  <si>
    <t>ΓΥΜΝΑΣΙΟ ΠΕΡΑΜΑΤΟΣ ΙΩΑΝΝΙΝΩΝ</t>
  </si>
  <si>
    <t>mail@gym-peram.ioa.sch.gr</t>
  </si>
  <si>
    <t>ΠΕΡΑΜΑ ΙΩΑΝΝΙΝΩΝ</t>
  </si>
  <si>
    <t>ΕΙΚΟΣΤΗΣ ΠΕΜΠΤΗΣ ΜΑΡΤΙΟΥ 4</t>
  </si>
  <si>
    <t>10ο ΔΗΜΟΤΙΚΟ ΣΧΟΛΕΙΟ ΙΩΑΝΝΙΝΩΝ</t>
  </si>
  <si>
    <t>ΕΓΝΑΤΙΑΣ</t>
  </si>
  <si>
    <t>ΧΡΥΣΟΒΙΤΣΗΣ</t>
  </si>
  <si>
    <t>ΗΜΕΡΗΣΙΟ ΓΥΜΝΑΣΙΟ - ΓΕ.Λ. ΧΡΥΣΟΒΙΤΣΑΣ</t>
  </si>
  <si>
    <t>mail@gym-chrys.ioa.sch.gr</t>
  </si>
  <si>
    <t>ΧΡΥΣΟΒΙΤΣΑ ΙΩΑΝΝΙΝΩΝ</t>
  </si>
  <si>
    <t>ΔΗΜΟΤΙΚΟ ΣΧΟΛΕΙΟ ΜΙΚΡΟΥ ΠΕΡΙΣΤΕΡΙΟΥ</t>
  </si>
  <si>
    <t>ΠΡΟΤΥΠΟ ΓΥΜΝΑΣΙΟ ΖΩΣΙΜΑΙΑΣ ΣΧΟΛΗΣ</t>
  </si>
  <si>
    <t>mail@gym-zosim.ioa.sch.gr</t>
  </si>
  <si>
    <t>ΔΟΜΠΟΛΗ 30</t>
  </si>
  <si>
    <t>7ο ΔΗΜΟΤΙΚΟ ΣΧΟΛΕΙΟ ΙΩΑΝΝΙΝΩΝ - ΠΑΥΛΙΔΕΙΟΣ ΣΧΟΛΗ</t>
  </si>
  <si>
    <t>ΕΣΠΕΡΙΝΟ ΓΥΜΝΑΣΙΟ ΙΩΑΝΝΙΝΩΝ</t>
  </si>
  <si>
    <t>mail@gym-esp-ioann.ioa.sch.gr</t>
  </si>
  <si>
    <t>ΜΙΧΑΗΛ ΑΓΓΕΛΟΥ 55</t>
  </si>
  <si>
    <t>1ο ΔΗΜΟΤΙΚΟ ΣΧΟΛΕΙΟ ΙΩΑΝΝΙΝΩΝ</t>
  </si>
  <si>
    <t>5ο ΗΜΕΡΗΣΙΟ ΓΥΜΝΑΣΙΟ ΙΩΑΝΝΙΝΩΝ</t>
  </si>
  <si>
    <t>mail@5gym-ioann.ioa.sch.gr</t>
  </si>
  <si>
    <t>ΚΟΣΜΑ ΔΗΜΗΤΡΙΟΥ 20</t>
  </si>
  <si>
    <t>ΗΜΕΡΗΣΙΟ ΓΥΜΝΑΣΙΟ ΚΟΝΙΤΣΑΣ ΙΩΑΝΝΙΝΩΝ</t>
  </si>
  <si>
    <t>mail@gym-konits.ioa.sch.gr</t>
  </si>
  <si>
    <t>ΚΟΝΙΤΣΑ ΙΩΑΝΝΙΝΩΝ</t>
  </si>
  <si>
    <t>9ο ΗΜΕΡΗΣΙΟ ΓΥΜΝΑΣΙΟ ΙΩΑΝΝΙΝΩΝ</t>
  </si>
  <si>
    <t>mail@9gym-ioann.ioa.sch.gr</t>
  </si>
  <si>
    <t>ΚΩΝΣΤΑΝΤΙΝΟΥΠΟΛΕΩΣ 1</t>
  </si>
  <si>
    <t>7ο ΗΜΕΡΗΣΙΟ ΓΥΜΝΑΣΙΟ ΙΩΑΝΝΙΝΩΝ</t>
  </si>
  <si>
    <t>mail@7gym-ioann.ioa.sch.gr</t>
  </si>
  <si>
    <t>1ο ΗΜΕΡΗΣΙΟ ΓΥΜΝΑΣΙΟ ΙΩΑΝΝΙΝΩΝ</t>
  </si>
  <si>
    <t>mail@1gym-ioann.ioa.sch.gr</t>
  </si>
  <si>
    <t>ΖΩΣΙΜΑΔΩΝ 1</t>
  </si>
  <si>
    <t>11ο ΗΜΕΡΗΣΙΟ ΓΥΜΝΑΣΙΟ ΙΩΑΝΝΙΝΩΝ</t>
  </si>
  <si>
    <t>mail@11gym-ioann.ioa.sch.gr</t>
  </si>
  <si>
    <t>ΕΘΝΙΚΗΣ ΑΝΤΙΣΤΑΣΕΩΣ - ΚΑΡΔΑΜΙΤΣΙΑ</t>
  </si>
  <si>
    <t>3ο ΔΗΜΟΤΙΚΟ ΣΧΟΛΕΙΟ ΜΑΡΜΑΡΩΝ</t>
  </si>
  <si>
    <t>ΗΜΕΡΗΣΙΟ ΓΥΜΝΑΣΙΟ ΚΑΤΣΙΚΑ ΙΩΑΝΝΙΝΩΝ</t>
  </si>
  <si>
    <t>mail@gym-katsik.ioa.sch.gr</t>
  </si>
  <si>
    <t>ΚΑΤΣΙΚΑ ΙΩΑΝΝΙΝΩΝ</t>
  </si>
  <si>
    <t>Ν.ΖΕΡΒΑ 15</t>
  </si>
  <si>
    <t>4ο ΗΜΕΡΗΣΙΟ ΓΥΜΝΑΣΙΟ ΙΩΑΝΝΙΝΩΝ</t>
  </si>
  <si>
    <t>mail@4gym-ioann.ioa.sch.gr</t>
  </si>
  <si>
    <t>ΒΟΡΕΙΩΝ ΤΖΟΥΜΕΡΚΩΝ</t>
  </si>
  <si>
    <t>ΠΡΑΜΑΝΤΩΝ</t>
  </si>
  <si>
    <t>1ο ΗΜΕΡΗΣΙΟ ΓΥΜΝΑΣΙΟ ΠΡΑΜΑΝΤΩΝ ΙΩΑΝΝΙΝΩΝ - ΓΥΜΝΑΣΙΟ-ΛΥΚΕΙΑΚΕΣ ΤΑΞΕΙΣ ΠΡΑΜΑΝΤΩΝ</t>
  </si>
  <si>
    <t>mail@gym-pramant.ioa.sch.gr</t>
  </si>
  <si>
    <t>ΠΡΑΜΑΝΤΩΝ ΙΩΑΝΝΙΝΩΝ</t>
  </si>
  <si>
    <t>ΠΡΑΜΑΝΤΑ</t>
  </si>
  <si>
    <t>ΔΗΜΟΤΙΚΟ ΣΧΟΛΕΙΟ ΠΡΑΜΑΝΤΩΝ</t>
  </si>
  <si>
    <t>ΜΠΙΖΑΝΙΟΥ</t>
  </si>
  <si>
    <t>ΠΕΔΙΝΗΣ</t>
  </si>
  <si>
    <t>ΗΜΕΡΗΣΙΟ ΓΥΜΝΑΣΙΟ ΠΕΔΙΝΗ ΙΩΑΝΝΙΝΩΝ</t>
  </si>
  <si>
    <t>mail@gym-pedin.ioa.sch.gr</t>
  </si>
  <si>
    <t>Πεδινή Ιωαννίνων</t>
  </si>
  <si>
    <t>ΔΗΜΟΤΙΚΟ ΣΧΟΛΕΙΟ ΠΕΔΙΝΗΣ</t>
  </si>
  <si>
    <t>ΚΟΥΤΣΕΛΙΟΥ</t>
  </si>
  <si>
    <t>ΗΜΕΡΗΣΙΟ ΓΥΜΝΑΣΙΟ ΚΟΥΤΣΕΛΙΟΥ ΙΩΑΝΝΙΝΩΝ</t>
  </si>
  <si>
    <t>mail@gym-koutsel.ioa.sch.gr</t>
  </si>
  <si>
    <t>ΚΟΥΤΣΕΛΙΟ ΙΩΑΝΝΙΝΩΝ</t>
  </si>
  <si>
    <t>ΔΗΜΟΤΙΚΟ ΣΧΟΛΕΙΟ ΚΟΥΤΣΕΛΙΟΥ</t>
  </si>
  <si>
    <t>2ο ΓΥΜΝΑΣΙΟ ΙΩΑΝΝΙΝΩΝ ΔΙΑΠΟΛΙΤΙΣΜΙΚΗΣ ΕΚΠΑΙΔΕΥΣΗΣ</t>
  </si>
  <si>
    <t>mail@2gym-ioann.ioa.sch.gr</t>
  </si>
  <si>
    <t>Γ. ΠΑΠΑΝΔΡΕΟΥ 4 - 6</t>
  </si>
  <si>
    <t>ΗΜΕΡΗΣΙΟ ΓΥΜΝΑΣΙΟ ΒΕΛΙΣΣΑΡΙΟΥ ΙΩΑΝΝΙΝΩΝ</t>
  </si>
  <si>
    <t>mail@gym-veliss.ioa.sch.gr</t>
  </si>
  <si>
    <t>ΣΕΙΣΜΟΠΛΗΚΤΑ  ΙΩΑΝΝΙΝΩΝ</t>
  </si>
  <si>
    <t>ΚΕΡΚΥΡΑΣ 3</t>
  </si>
  <si>
    <t>ΜΟΛΟΣΣΩΝ</t>
  </si>
  <si>
    <t>ΒΡΟΣΙΝΑΣ</t>
  </si>
  <si>
    <t>ΗΜΕΡΗΣΙΟ ΓΥΜΝΑΣΙΟ ΒΡΟΣΙΝΑΣ ΙΩΑΝΝΙΝΩΝ</t>
  </si>
  <si>
    <t>mail@gym-vrosin.ioa.sch.gr</t>
  </si>
  <si>
    <t>ΒΡΟΣΙΝΑ ΙΩΑΝΝΙΝΩΝ</t>
  </si>
  <si>
    <t>ΒΡΟΣΙΝΑ</t>
  </si>
  <si>
    <t>ΗΜΕΡΗΣΙΟ ΓΥΜΝΑΣΙΟ ΜΠΙΖΑΝΙΟΥ ΙΩΑΝΝΙΝΩΝ</t>
  </si>
  <si>
    <t>mail@gym-bizan.ioa.sch.gr</t>
  </si>
  <si>
    <t>ΜΠΙΖΑΝΙ</t>
  </si>
  <si>
    <t>ΔΗΜΟΤΙΚΟ ΣΧΟΛΕΙΟ ΕΠΙΣΚΟΠΙΚΟΥ</t>
  </si>
  <si>
    <t>ΛΟΓΓΑΔΩΝ</t>
  </si>
  <si>
    <t>ΗΜΕΡΗΣΙΟ ΓΥΜΝΑΣΙΟ ΛΟΓΓΑΔΩΝ ΙΩΑΝΝΙΝΩΝ</t>
  </si>
  <si>
    <t>mail@gym-longad.ioa.sch.gr</t>
  </si>
  <si>
    <t>ΛΟΓΓΑΔΕΣ  ΙΩΑΝΝΙΝΩΝ</t>
  </si>
  <si>
    <t>ΛΟΓΓΑΔΕΣ ΙΩΑΝΝΙΝΩΝ</t>
  </si>
  <si>
    <t>ΔΗΜΟΤΙΚΟ ΣΧΟΛΕΙΟ ΛΟΓΓΑΔΩΝ</t>
  </si>
  <si>
    <t>ΜΟΥΣΙΚΟ ΣΧΟΛΕΙΟ ΙΩΑΝΝΙΝΩΝ</t>
  </si>
  <si>
    <t>mail@gym-mous-ioann.ioa.sch.gr</t>
  </si>
  <si>
    <t>6ο ΗΜΕΡΗΣΙΟ ΓΥΜΝΑΣΙΟ ΙΩΑΝΝΙΝΩΝ</t>
  </si>
  <si>
    <t>mail@6gym-ioann.ioa.sch.gr</t>
  </si>
  <si>
    <t>2ο ΗΜΕΡΗΣΙΟ ΓΥΜΝΑΣΙΟ ΑΝΑΤΟΛΗΣ ΙΩΑΝΝΙΝΩΝ</t>
  </si>
  <si>
    <t>mail@2gym-anatol.ioa.sch.gr</t>
  </si>
  <si>
    <t>ΠΑΜΒΩΤΙΔΟΣ 32   &lt;   ΜΕΓΑΛΗ ΒΑΘΕΙΑ&gt;</t>
  </si>
  <si>
    <t>3o ΔΗΜΟΤΙΚΟ ΣΧΟΛΕΙΟ ΑΝΑΤΟΛΗΣ</t>
  </si>
  <si>
    <t>ΗΜΕΡΗΣΙΟ ΓΕΝΙΚΟ ΛΥΚΕΙΟ ΠΕΔΙΝΗΣ</t>
  </si>
  <si>
    <t>mail@lyk-pedin.ioa.sch.gr</t>
  </si>
  <si>
    <t>ΠΕΔΙΝΗ</t>
  </si>
  <si>
    <t>ΠΕΔΙΝΗ ΙΩΑΝΝΙΝΩΝ 922</t>
  </si>
  <si>
    <t>ΕΝΙΑΙΟ ΕΙΔΙΚΟ ΕΠΑΓΓΕΛΜΑΤΙΚΟ ΓΥΜΝΑΣΙΟ ΛΥΚΕΙΟ ΙΩΑΝΝΙΝΩΝ</t>
  </si>
  <si>
    <t>mail@1gym-eid-epag-ioann.ioa.sch.gr</t>
  </si>
  <si>
    <t>9ο ΓΕΝΙΚΟ ΛΥΚΕΙΟ ΚΑΡΔΑΜΙΤΣΙΩΝ</t>
  </si>
  <si>
    <t>mail@9lyk-kardam.ioa.sch.gr</t>
  </si>
  <si>
    <t>ΔΙΕΥΘΥΝΣΗ Δ.Ε. ΠΡΕΒΕΖΑΣ</t>
  </si>
  <si>
    <t>ΕΣΠΕΡΙΝΟ ΓΥΜΝΑΣΙΟ ΠΡΕΒΕΖΑΣ</t>
  </si>
  <si>
    <t>espgypre@sch.gr</t>
  </si>
  <si>
    <t>Πρέβεζα</t>
  </si>
  <si>
    <t>Στησιχόρου 6</t>
  </si>
  <si>
    <t>5ο ΔΗΜΟΤΙΚΟ ΣΧΟΛΕΙΟ ΠΡΕΒΕΖΑΣ</t>
  </si>
  <si>
    <t>ΠΑΡΓΑΣ</t>
  </si>
  <si>
    <t>ΔΕΣΚΕΙΟ ΓΕΝΙΚΟ ΛΥΚΕΙΟ ΠΑΡΓΑΣ</t>
  </si>
  <si>
    <t>mail@lyk-pargas.pre.sch.gr</t>
  </si>
  <si>
    <t>ΠΑΡΓΑ</t>
  </si>
  <si>
    <t>ΑΘ.ΔΕΣΚΑ 1</t>
  </si>
  <si>
    <t>2ο  ΔΗΜΟΤΙΚΟ ΣΧΟΛΕΙΟ ΠΑΡΓΑΣ</t>
  </si>
  <si>
    <t>ΚΑΝΑΛΛΑΚΙΟΥ</t>
  </si>
  <si>
    <t>ΗΜΕΡΗΣΙΟ ΓΕΝΙΚΟ ΛΥΚΕΙΟ ΚΑΝΑΛΑΚΙΟΥ</t>
  </si>
  <si>
    <t>mail@lyk-kanal.pre.sch.gr</t>
  </si>
  <si>
    <t>ΚΑΝΑΛΑΚΙ ΠΡΕΒΕΖΑΣ</t>
  </si>
  <si>
    <t>ΑΧΕΡΟΝΤΟΣ 54</t>
  </si>
  <si>
    <t>2ο ΔΗΜΟΤΙΚΟ ΣΧΟΛΕΙΟ ΚΑΝΑΛΛΑΚΙΟΥ</t>
  </si>
  <si>
    <t>ΛΟΥΡΟΥ</t>
  </si>
  <si>
    <t>ΓΕΛ ΛΟΥΡΟΥ</t>
  </si>
  <si>
    <t>mail@lyk-lourou.pre.sch.gr</t>
  </si>
  <si>
    <t>ΛΟΥΡΟΣ ΠΡΕΒΕΖΑΣ</t>
  </si>
  <si>
    <t>ΔΗΜΟΤΙΚΟ ΣΧΟΛΕΙΟ ΛΟΥΡΟΥ ΠΡΕΒΕΖΑΣ</t>
  </si>
  <si>
    <t>1ο Ε.Κ. ΠΡΕΒΕΖΑΣ</t>
  </si>
  <si>
    <t>mail@1sek-prevez.pre.sch.gr</t>
  </si>
  <si>
    <t>ΣΚΑΜΝΟΥΛΑ</t>
  </si>
  <si>
    <t>8ο ΔΗΜΟΤΙΚΟ ΣΧΟΛΕΙΟ ΠΡΕΒΕΖΑΣ</t>
  </si>
  <si>
    <t>ΕΠΑΛ ΚΑΝΑΛΑΚΙΟΥ</t>
  </si>
  <si>
    <t>mail@1epal-kanal.pre.sch.gr</t>
  </si>
  <si>
    <t>ΚΑΝΑΛΑΚΙΟΥ</t>
  </si>
  <si>
    <t>ΑΓ ΤΡΙΑΔΑΣ 75</t>
  </si>
  <si>
    <t>1ο  ΔΗΜΟΤΙΚΟ ΣΧΟΛΕΙΟ ΚΑΝΑΛΛΑΚΙΟΥ</t>
  </si>
  <si>
    <t>ΖΗΡΟΥ</t>
  </si>
  <si>
    <t>ΘΕΣΠΡΩΤΙΚΟΥ</t>
  </si>
  <si>
    <t>ΓΕΛ ΘΕΣΠΡΩΤΙΚΟΥ "ΒΑΣΙΛΕΙΟΣ ΖΟΡΜΠΑΣ"</t>
  </si>
  <si>
    <t>mail@lyk-thespr.pre.sch.gr</t>
  </si>
  <si>
    <t>ΘΕΣΠΡΩΤΙΚΟ</t>
  </si>
  <si>
    <t>1ο ΔΗΜΟΤΙΚΟ ΣΧΟΛΕΙΟ ΘΕΣΠΡΩΤΙΚΟΥ</t>
  </si>
  <si>
    <t>1ο ΗΜΕΡΗΣΙΟ ΓΕΝΙΚΟ ΛΥΚΕΙΟ ΠΡΕΒΕΖΑΣ</t>
  </si>
  <si>
    <t>mail@1lyk-prevez.pre.sch.gr</t>
  </si>
  <si>
    <t>ΣΤΗΣΙΧΟΡΟΥ 6</t>
  </si>
  <si>
    <t>ΦΙΛΙΠΠΙΑΔΟΣ</t>
  </si>
  <si>
    <t>1ο ΗΜΕΡΗΣΙΟ ΓΕΝΙΚΟ ΛΥΚΕΙΟ ΦΙΛΙΠΠΙΑΔΑΣ</t>
  </si>
  <si>
    <t>1lykfili@sch.gr</t>
  </si>
  <si>
    <t>Φιλιππιάδα</t>
  </si>
  <si>
    <t>Εθνική οδός Φιλιππιάδας - ʼρτας</t>
  </si>
  <si>
    <t>3ο  ΔΗΜΟΤΙΚΟ ΣΧΟΛΕΙΟ ΦΙΛΙΠΠΙΑΔΑΣ</t>
  </si>
  <si>
    <t>2ο ΓΕΝΙΚΟ ΛΥΚΕΙΟ ΠΡΕΒΕΖΑΣ</t>
  </si>
  <si>
    <t>mail@2lyk-prevez.pre.sch.gr</t>
  </si>
  <si>
    <t>ΑΜΥΝΤΑ 9</t>
  </si>
  <si>
    <t>4ο ΔΗΜΟΤΙΚΟ ΣΧΟΛΕΙΟ ΠΡΕΒΕΖΑΣ</t>
  </si>
  <si>
    <t>1ο ΕΠΑΛ ΦΙΛΙΠΠΙΑΔΑΣ</t>
  </si>
  <si>
    <t>mail@1epal-filipp.pre.sch.gr</t>
  </si>
  <si>
    <t>ΦΙΛΙΠΠΙΑΔΑ</t>
  </si>
  <si>
    <t>Κ.ΖΑΡΑΒΕΛΑ</t>
  </si>
  <si>
    <t>1ο ΔΗΜΟΤΙΚΟ ΣΧΟΛΕΙΟ ΦΙΛΙΠΠΙΑΔΑΣ</t>
  </si>
  <si>
    <t>1ο ΕΠΑΛ ΠΡΕΒΕΖΑΣ</t>
  </si>
  <si>
    <t>mail@1epal-prevez.pre.sch.gr</t>
  </si>
  <si>
    <t>ΕΣΠΕΡΙΝΟ ΓΕΛ ΠΡΕΒΕΖΑΣ</t>
  </si>
  <si>
    <t>mail@lyk-esp-prevez.pre.sch.gr</t>
  </si>
  <si>
    <t>1ο ΓΥΜΝΑΣΙΟ ΦΙΛΙΠΠΙΑΔΑΣ</t>
  </si>
  <si>
    <t>1gymfili@sch.gr</t>
  </si>
  <si>
    <t>ΜΠΙΖΑΝΙΟΥ 236</t>
  </si>
  <si>
    <t>ΓΥΜΝΑΣΙΟ ΘΕΣΠΡΩΤΙΚΟΥ "ΕΥΣΤΡΑΤΙΑ ΖΟΡΜΠΑ-ΤΣΟΓΚΑ"</t>
  </si>
  <si>
    <t>mail@gym-thespr.pre.sch.gr</t>
  </si>
  <si>
    <t>3ο ΗΜΕΡΗΣΙΟ ΓΥΜΝΑΣΙΟ ΠΡΕΒΕΖΑΣ</t>
  </si>
  <si>
    <t>3gymprev@sch.gr</t>
  </si>
  <si>
    <t>ΠΕΡΙΟΧΗ ΥΔΡΑΓΩΓΕΙΟΥ</t>
  </si>
  <si>
    <t>6ο ΔΗΜΟΤΙΚΟ ΣΧΟΛΕΙΟ ΠΡΕΒΕΖΑΣ</t>
  </si>
  <si>
    <t>ΓΥΜΝΑΣΙΟ ΛΟΥΡΟΥ</t>
  </si>
  <si>
    <t>mail@gym-lourou.pre.sch.gr</t>
  </si>
  <si>
    <t>ΛΟΥΡΟΥ ΠΡΕΒΕΖΑΣ</t>
  </si>
  <si>
    <t>2ο ΓΥΜΝΑΣΙΟ ΦΙΛΙΠΠΙΑΔΑΣ</t>
  </si>
  <si>
    <t>mail@2gym-filipp.pre.sch.gr</t>
  </si>
  <si>
    <t>ΦΙΛΙΠΠΙΑΔΟΣ ΠΡΕΒΕΖΑΣ</t>
  </si>
  <si>
    <t>ΓΥΜΝΑΣΙΟ ΠΑΡΓΑΣ</t>
  </si>
  <si>
    <t>mail@gym-pargas.pre.sch.gr</t>
  </si>
  <si>
    <t>ΑΘΑΝΑΣΙΟΥ ΔΕΣΚΑ 1</t>
  </si>
  <si>
    <t>ΓΥΜΝΑΣΙΟ ΚΑΝΑΛΑΚΙΟΥ</t>
  </si>
  <si>
    <t>mail@gym-kanal.pre.sch.gr</t>
  </si>
  <si>
    <t>ΑΧΕΡΟΝΤΟΣ</t>
  </si>
  <si>
    <t>2ο ΓΥΜΝΑΣΙΟ ΠΡΕΒΕΖΑΣ</t>
  </si>
  <si>
    <t>mail@2gym-prevez.pre.sch.gr</t>
  </si>
  <si>
    <t>4ο ΓΥΜΝΑΣΙΟ ΠΡΕΒΕΖΑΣ</t>
  </si>
  <si>
    <t>mail@4gym-prevez.pre.sch.gr</t>
  </si>
  <si>
    <t>ΕΠΤΑΝΗΣΩΝ</t>
  </si>
  <si>
    <t>1ο ΓΥΜΝΑΣΙΟ ΠΡΕΒΕΖΑΣ</t>
  </si>
  <si>
    <t>mail@1gym-prevez.pre.sch.gr</t>
  </si>
  <si>
    <t>Αρκαδίου 2</t>
  </si>
  <si>
    <t>3ο ΔΗΜΟΤΙΚΟ ΣΧΟΛΕΙΟ ΠΡΕΒΕΖΑΣ</t>
  </si>
  <si>
    <t>ΖΑΛΟΓΓΟΥ</t>
  </si>
  <si>
    <t>ΝΕΑΣ ΣΑΜΨΟΥΝΤΟΣ</t>
  </si>
  <si>
    <t>ΕΕΕΕΚ ΠΡΕΒΕΖΑΣ (Ν. ΣΑΜΨΟΥΝΤΑ)</t>
  </si>
  <si>
    <t>mail@eeeek.pre.sch.gr</t>
  </si>
  <si>
    <t>ΝΕΑ ΣΑΜΨΟΥΝΤΑ</t>
  </si>
  <si>
    <t>ΔΗΜΟΤΙΚΟ ΣΧΟΛΕΙΟ ΝΕΑΣ ΣΙΝΩΠΗΣ</t>
  </si>
  <si>
    <t>ΝΕΑΣ ΣΙΝΩΠΗΣ</t>
  </si>
  <si>
    <t>ΓΥΜΝΑΣΙΟ ΖΑΛΟΓΓΟΥ</t>
  </si>
  <si>
    <t>mail@gym-zalog.pre.sch.gr</t>
  </si>
  <si>
    <t>ΑΡΧΑΓΓΕΛΟΣ</t>
  </si>
  <si>
    <t>ΜΟΥΣΙΚΟ ΣΧΟΛΕΙΟ ΠΡΕΒΕΖΑΣ</t>
  </si>
  <si>
    <t>mail@gym-mous-prevez.pre.sch.gr</t>
  </si>
  <si>
    <t>ΛΕΩΦΟΡΟΣ ΙΩΑΝΝΙΝΩΝ  210</t>
  </si>
  <si>
    <t>ΕΣΠΕΡΙΝΟ ΕΠΑΛ ΠΡΕΒΕΖΑΣ</t>
  </si>
  <si>
    <t>espepalpre@sch.gr</t>
  </si>
  <si>
    <t>ΔΙΕΥΘΥΝΣΗ Π.Ε. ΑΡΤΑΣ</t>
  </si>
  <si>
    <t>ΝΗΠΙΑΓΩΓΕΙΟ ΕΛΕΟΥΣΑΣ ΑΡΤΑΣ</t>
  </si>
  <si>
    <t>mail@2nip-eleous.art.sch.gr</t>
  </si>
  <si>
    <t>ΕΛΕΟΥΣΑ  ΑΡΤΑΣ</t>
  </si>
  <si>
    <t>ΜΟΣΧΟΠΟΛΕΩΣ 1</t>
  </si>
  <si>
    <t>ΝΗΠΙΑΓΩΓΕΙΟ ΑΓΙΑΣ ΠΑΡΑΣΚΕΥΗΣ ΑΡΤΑΣ</t>
  </si>
  <si>
    <t>mail@nip-ag-parask.art.sch.gr</t>
  </si>
  <si>
    <t>ΑΓΙΑ  ΠΑΡΑΣΚΕΥΗ-ΑΡΤΑ</t>
  </si>
  <si>
    <t>ΚΕΡΑΜΑΤΩΝ</t>
  </si>
  <si>
    <t>ΝΗΠΙΑΓΩΓΕΙΟ ΚΕΡΑΜΑΤΩΝ</t>
  </si>
  <si>
    <t>mail@nip-keram.art.sch.gr</t>
  </si>
  <si>
    <t>ΚΕΡΑΜΑΤΕΣ</t>
  </si>
  <si>
    <t>1ο ΝΗΠΙΑΓΩΓΕΙΟ ΑΡΤΑΣ</t>
  </si>
  <si>
    <t>mail@1nip-artas.art.sch.gr</t>
  </si>
  <si>
    <t>ΔΑΒΑΚΗ 7</t>
  </si>
  <si>
    <t>7ο ΝΗΠΙΑΓΩΓΕΙΟ ΑΡΤΑΣ</t>
  </si>
  <si>
    <t>mail@7nip-artas.art.sch.gr</t>
  </si>
  <si>
    <t>ΣΥΝΤΑΓΜΑ ΕΥΖΩΝΩΝ 3</t>
  </si>
  <si>
    <t>10ο  ΝΗΠΙΑΓΩΓΕΙΟ ΑΡΤΑ</t>
  </si>
  <si>
    <t>mail@10nip-artas.art.sch.gr</t>
  </si>
  <si>
    <t>Φιλλελήνων 16</t>
  </si>
  <si>
    <t>11ο ΝΗΠΙΑΓΩΓΕΙΟ ΑΡΤΑΣ</t>
  </si>
  <si>
    <t>mail@11nip-artas.art.sch.gr</t>
  </si>
  <si>
    <t>ΙΠΠΟΚΡΑΤΟΥΣ</t>
  </si>
  <si>
    <t>ΝΗΠΙΑΓΩΓΕΙΟ ΚΟΜΠΟΤΙΟΥ</t>
  </si>
  <si>
    <t>mail@nip-kompot.art.sch.gr</t>
  </si>
  <si>
    <t>ΝΗΠΙΑΓΩΓΕΙΟ ΓΡΑΜΜΕΝΙΤΣΑΣ ΑΡΤΑΣ</t>
  </si>
  <si>
    <t>mail@nip-gramen.art.sch.gr</t>
  </si>
  <si>
    <t>ΚΑΛΑΜΙΑΣ</t>
  </si>
  <si>
    <t>ΝΗΠΙΑΓΩΓΕΙΟ ΚΑΛΑΜΙΑ</t>
  </si>
  <si>
    <t>mail@nip-kalam.art.sch.gr</t>
  </si>
  <si>
    <t>ΚΑΛΑΜΙΑ</t>
  </si>
  <si>
    <t>ΑΓΙΟΥ ΣΠΥΡΙΔΩΝΟΣ</t>
  </si>
  <si>
    <t>ΝΗΠΙΑΓΩΓΕΙΟ ΑΓΙΟΥ ΣΠΥΡΙΔΩΝΑ</t>
  </si>
  <si>
    <t>mail@nip-ag-spyrid.art.sch.gr</t>
  </si>
  <si>
    <t>ΑΓΙΟΣ ΣΠΥΡΙΔΩΝΑΣ</t>
  </si>
  <si>
    <t>ΝΗΠΙΑΓΩΓΕΙΟ ΠΕΤΑ</t>
  </si>
  <si>
    <t>mail@nip-peta.art.sch.gr</t>
  </si>
  <si>
    <t>ΝΗΠΙΑΓΩΓΕΙΟ ΝΕΟΧΩΡΙΟΥ ΑΡΤΑΣ</t>
  </si>
  <si>
    <t>mail@nip-neoch.art.sch.gr</t>
  </si>
  <si>
    <t>ΞΗΡΟΒΟΥΝΙΟΥ</t>
  </si>
  <si>
    <t>ΑΜΜΟΤΟΠΟΥ</t>
  </si>
  <si>
    <t>ΝΗΠΙΑΓΩΓΕΙΟ ΑΜΜΟΤΟΠΟΥ</t>
  </si>
  <si>
    <t>mail@nip-ammot.art.sch.gr</t>
  </si>
  <si>
    <t>ΑΜΜΟΤΟΠΟΣ</t>
  </si>
  <si>
    <t>9ο ΝΗΠΙΑΓΩΓΕΙΟ ΑΡΤΑΣ</t>
  </si>
  <si>
    <t>mail@9nip-artas.art.sch.gr</t>
  </si>
  <si>
    <t>ΠΑΡΟΔΟΣ  ΑΡΑΧΘΟΥ  4</t>
  </si>
  <si>
    <t>ΚΑΜΠΗΣ</t>
  </si>
  <si>
    <t>ΝΗΠΙΑΓΩΓΕΙΟ ΚΑΜΠΗΣ</t>
  </si>
  <si>
    <t>mail@nip-kampis.art.sch.gr</t>
  </si>
  <si>
    <t>ΚΑΜΠΗ</t>
  </si>
  <si>
    <t>2/Θ ΝΗΠΙΑΓΩΓΕΙΟ ΑΓΙΟΣ ΔΗΜΗΤΡΙΟΣ ΠΕΤΑ</t>
  </si>
  <si>
    <t>mail@nip-ag-dimitr.art.sch.gr</t>
  </si>
  <si>
    <t>ΑΓΙΟΣ ΔΗΜΗΤΡΙΟΣ ΠΕΤΑ</t>
  </si>
  <si>
    <t>mail@dim-keram.art.sch.gr</t>
  </si>
  <si>
    <t>ΚΟΡΦΟΒΟΥΝΙΟΥ</t>
  </si>
  <si>
    <t>ΝΗΠΙΑΓΩΓΕΙΟ ΚΟΡΦΟΒΟΥΝΙΟΥ</t>
  </si>
  <si>
    <t>mail@nip-korfov.art.sch.gr</t>
  </si>
  <si>
    <t>ΚΟΡΦΟΒΟΥΝΙ</t>
  </si>
  <si>
    <t>ΝΗΠΙΑΓΩΓΕΙΟ ΠΑΛΑΙΟΚΑΤΟΥΝΟΥ</t>
  </si>
  <si>
    <t>mail@nip-palaiok.art.sch.gr</t>
  </si>
  <si>
    <t>ΠΟΛΥΔΡΟΣΟΥ</t>
  </si>
  <si>
    <t>ΝΗΠΙΑΓΩΓΕΙΟ ΠΟΛΥΔΡΟΣΟ</t>
  </si>
  <si>
    <t>mail@nip-polydr.art.sch.gr</t>
  </si>
  <si>
    <t>ΠΟΛΥΔΡΟΣΟ</t>
  </si>
  <si>
    <t>ΡΑΧΗΣ</t>
  </si>
  <si>
    <t>ΝΗΠΙΑΓΩΓΕΙΟ ΡΑΧΗ</t>
  </si>
  <si>
    <t>mail@nip-rachis.art.sch.gr</t>
  </si>
  <si>
    <t>ΡΑΧΗ</t>
  </si>
  <si>
    <t>ΓΡΙΜΠΟΒΟΥ</t>
  </si>
  <si>
    <t>ΝΗΠΙΑΓΩΓΕΙΟ ΧΑΝΟΠΟΥΛΟΥ</t>
  </si>
  <si>
    <t>mail@nip-chanop.art.sch.gr</t>
  </si>
  <si>
    <t>ΧΑΝΟΠΟΥΛΟ</t>
  </si>
  <si>
    <t>ΝΗΠΙΑΓΩΓΕΙΟ ΧΑΛΚΙΑΔΩΝ</t>
  </si>
  <si>
    <t>mail@nip-chalk.art.sch.gr</t>
  </si>
  <si>
    <t>ΧΑΛΚΙΑΔΕΣ ΦΙΛΟΘΕΗΣ</t>
  </si>
  <si>
    <t>ΧΑΛΚΙΑΔΕΣ  ΦΙΛΟΘΕΗΣ</t>
  </si>
  <si>
    <t>ΔΗΜΟΤΙΚΟ ΣΧΟΛΕΙΟ ΑΜΜΟΤΟΠΟΥ</t>
  </si>
  <si>
    <t>mail@dim-ammot.art.sch.gr</t>
  </si>
  <si>
    <t>9ο ΔΗΜΟΤΙΚΟ ΣΧΟΛΕΙΟ ΑΡΤΑΣ</t>
  </si>
  <si>
    <t>mail@9dim-artas.art.sch.gr</t>
  </si>
  <si>
    <t>ΑΝΕΜΟΜΥΛΩΝ ΤΕΡΜΑ</t>
  </si>
  <si>
    <t>ΡΑΜΙΑΣ</t>
  </si>
  <si>
    <t>mail@dim-ramias.art.sch.gr</t>
  </si>
  <si>
    <t>ΡΑΜΙΑ ΑΡΤΑΣ</t>
  </si>
  <si>
    <t>ΡΑΜΙΑ  ΑΡΤΑΣ</t>
  </si>
  <si>
    <t>ΔΗΜΟΤΙΚΟ ΣΧΟΛΕΙΟ  ΑΓΙΟΥ ΣΠΥΡΙΔΩΝΑ</t>
  </si>
  <si>
    <t>mail@dim-ag-spyrid.art.sch.gr</t>
  </si>
  <si>
    <t>ΔΗΜΟΤΙΚΟ ΣΧΟΛΕΙΟ ΑΜΠΕΛΙΩΝ ΑΜΜΟΤΟΠΟΥ</t>
  </si>
  <si>
    <t>mail@dim-ampel.art.sch.gr</t>
  </si>
  <si>
    <t>ΑΜΠΕΛΙΑ ΑΜΜΟΤΟΠΟΥ</t>
  </si>
  <si>
    <t>mail@3dim-artas.art.sch.gr</t>
  </si>
  <si>
    <t>3/40 ΣΥΝΤΑΓΜΑ ΕΥΖΩΝΩΝ 32</t>
  </si>
  <si>
    <t>ΔΗΜΟΤΙΚΟ ΣΧΟΛΕΙΟ ΡΑΧΗΣ</t>
  </si>
  <si>
    <t>mail@dim-rachis.art.sch.gr</t>
  </si>
  <si>
    <t>ΤΕΤΡΑΦΥΛΙΑΣ</t>
  </si>
  <si>
    <t>ΑΣΤΡΟΧΩΡΙΟΥ</t>
  </si>
  <si>
    <t>ΔΗΜΟΤΙΚΟ ΣΧΟΛΕΙΟ ΠΛΑΤΑΝΟΥ ΑΣΤΡΟΧΩΡΙΟΥ</t>
  </si>
  <si>
    <t>mail@dim-platan.art.sch.gr</t>
  </si>
  <si>
    <t>ΠΛΑΤΑΝΟΣ ΑΣΤΡΟΧΩΡΙΟΥ</t>
  </si>
  <si>
    <t>ΒΙΓΛΑΣ</t>
  </si>
  <si>
    <t>ΔΗΜΟΤΙΚΟ ΣΧΟΛΕΙΟ ΒΙΓΛΑΣ</t>
  </si>
  <si>
    <t>mail@dim-viglas.art.sch.gr</t>
  </si>
  <si>
    <t>ΛΟΥΤΡΟΤΟΠΟΥ</t>
  </si>
  <si>
    <t>ΔΗΜΟΤΙΚΟ ΣΧΟΛΕΙΟ ΛΟΥΤΡΟΤΟΠΟΥ</t>
  </si>
  <si>
    <t>mail@dim-loutr.art.sch.gr</t>
  </si>
  <si>
    <t>ΛΟΥΤΡΟΤΟΠΟΣ</t>
  </si>
  <si>
    <t>3ο ΝΗΠΙΑΓΩΓΕΙΟ ΑΡΤΑΣ</t>
  </si>
  <si>
    <t>mail@3nip-artas.art.sch.gr</t>
  </si>
  <si>
    <t>Αντ. Γαρουφαλιά 6</t>
  </si>
  <si>
    <t>2/Θ ΝΗΠΙΑΓΩΓΕΙΟ ΑΓΙΩΝ ΑΝΑΡΓΥΡΩΝ</t>
  </si>
  <si>
    <t>mail@nip-ag-anarg.art.sch.gr</t>
  </si>
  <si>
    <t>ΑΓΙΟΙ ΑΝΑΡΓΥΡΟΙ  ΑΡΤΑΣ</t>
  </si>
  <si>
    <t>ΑΘΑΜΑΝΙΟΥ</t>
  </si>
  <si>
    <t>ΔΗΜΟΤΙΚΟ ΣΧΟΛΕΙΟ ΑΘΑΜΑΝΙΟΥ</t>
  </si>
  <si>
    <t>mail@dim-atham.art.sch.gr</t>
  </si>
  <si>
    <t>ΑΘΑΜΑΝΙΟ</t>
  </si>
  <si>
    <t>2ο ΝΗΠΙΑΓΩΓΕΙΟ ΑΡΤΑΣ</t>
  </si>
  <si>
    <t>mail@2nip-artas.art.sch.gr</t>
  </si>
  <si>
    <t>ΚΑΝΑΡΗ 52</t>
  </si>
  <si>
    <t>ΝΗΠΙΑΓΩΓΕΙΟ ΠΛΑΤΑΝΟΣ ΑΣΤΡΟΧΩΡΙΟΥ</t>
  </si>
  <si>
    <t>mail@nip-platan.art.sch.gr</t>
  </si>
  <si>
    <t>ΑΣΤΡΟΧΩΡΙ</t>
  </si>
  <si>
    <t>ΝΗΠΙΑΓΩΓΕΙΟ ΛΟΥΤΡΟΤΟΠΟΣ</t>
  </si>
  <si>
    <t>mail@nip-loutr.art.sch.gr</t>
  </si>
  <si>
    <t>8ο ΝΗΠΙΑΓΩΓΕΙΟ ΑΡΤΑΣ</t>
  </si>
  <si>
    <t>mail@8nip-artas.art.sch.gr</t>
  </si>
  <si>
    <t>Γ.ΓΕΝΝΗΜΑΤΑ</t>
  </si>
  <si>
    <t>ΝΗΠΙΑΓΩΓΕΙΟ ΑΝΩ ΚΑΛΕΝΤΙΝΗΣ</t>
  </si>
  <si>
    <t>mail@nip-an-kalent.art.sch.gr</t>
  </si>
  <si>
    <t>ΔΗΜΟΤΙΚΟ ΣΧΟΛΕΙΟ ΚΑΜΠΗΣ</t>
  </si>
  <si>
    <t>mail@dim-kampis.art.sch.gr</t>
  </si>
  <si>
    <t>12ο ΝΗΠΙΑΓΩΓΕΙΟ ΑΡΤΑΣ</t>
  </si>
  <si>
    <t>mail@12nip-artas.art.sch.gr</t>
  </si>
  <si>
    <t>ΣΤΡΑΤΩΝΟΣ</t>
  </si>
  <si>
    <t>ΠΑΛΑΙΟΚΑΤΟΥΝΟΥ</t>
  </si>
  <si>
    <t>ΔΗΜΟΤΙΚΟ ΣΧΟΛΕΙΟ ΠΑΛΑΙΟΚΑΤΟΥΝΟΥ</t>
  </si>
  <si>
    <t>mail@dim-palaiok.art.sch.gr</t>
  </si>
  <si>
    <t>ΠΑΛΑΙΟΚΑΤΟΥΝΟ</t>
  </si>
  <si>
    <t>ΚΛΕΙΔΙΟΥ</t>
  </si>
  <si>
    <t>ΝΗΠΙΑΓΩΓΕΙΟ ΚΛΕΙΔΙΟΥ</t>
  </si>
  <si>
    <t>mail@nip-kleid.art.sch.gr</t>
  </si>
  <si>
    <t>ΚΛΕΙΔΙ</t>
  </si>
  <si>
    <t>ΠΕΡΔΙΚΟΡΡΑΧΗ ΚΛΕΙΔΙΟΥ</t>
  </si>
  <si>
    <t>ΝΗΠΙΑΓΩΓΕΙΟ ΠΕΤΡΑΣ</t>
  </si>
  <si>
    <t>mail@nip-petras.art.sch.gr</t>
  </si>
  <si>
    <t>ΚΙΡΚΙΖΑΤΩΝ</t>
  </si>
  <si>
    <t>ΔΗΜΟΤΙΚΟ ΣΧΟΛΕΙΟ ΚΙΡΚΙΖΑΤΩΝ</t>
  </si>
  <si>
    <t>mail@dim-kirkiz.art.sch.gr</t>
  </si>
  <si>
    <t>ΚΙΡΚΙΖΑΤΕΣ</t>
  </si>
  <si>
    <t>mail@6dim-artas.art.sch.gr</t>
  </si>
  <si>
    <t>mail@dim-petras.art.sch.gr</t>
  </si>
  <si>
    <t>ΝΗΠΙΑΓΩΓΕΙΟ ΑΜΦΙΘΕΑΣ - ΠΕΤΑ</t>
  </si>
  <si>
    <t>mail@nip-amfith.art.sch.gr</t>
  </si>
  <si>
    <t>ΑΜΦΙΘΕΑ  ΑΡΤΑΣ</t>
  </si>
  <si>
    <t>ΑΜΦΙΘΕΑ   ΑΡΤΑΣ</t>
  </si>
  <si>
    <t>ΜΕΣΟΠΥΡΓΟΥ</t>
  </si>
  <si>
    <t>ΝΗΠΙΑΓΩΓΕΙΟ ΜΕΣΟΠΥΡΓΟΣ</t>
  </si>
  <si>
    <t>mail@nip-mesop.art.sch.gr</t>
  </si>
  <si>
    <t>ΜΕΣΟΠΥΡΓΟΣ</t>
  </si>
  <si>
    <t>ΔΗΜΟΤΙΚΟ ΣΧΟΛΕΙΟ ΠΕΡΔΙΚΟΡΡΑΧΗΣ ΚΛΕΙΔΙΟΥ</t>
  </si>
  <si>
    <t>mail@dim-perdik.art.sch.gr</t>
  </si>
  <si>
    <t>dimgramn@sch.gr</t>
  </si>
  <si>
    <t>ΓΡΑΜΜΕΝΙΤΣΑ  ΑΡΤΑΣ</t>
  </si>
  <si>
    <t>ΔΗΜΟΤΙΚΟ ΣΧΟΛΕΙΟ ΜΗΛΕΩΝ ΠΗΓΩΝ</t>
  </si>
  <si>
    <t>mail@dim-mileon.art.sch.gr</t>
  </si>
  <si>
    <t>ΜΗΛΕΕΣ ΠΗΓΩΝ</t>
  </si>
  <si>
    <t>ΔΗΜΟΤΙΚΟ ΣΧΟΛΕΙΟ ΜΕΣΟΠΥΡΓΟΥ</t>
  </si>
  <si>
    <t>mail@dim-mesop.art.sch.gr</t>
  </si>
  <si>
    <t>ΝΗΠΙΑΓΩΓΕΙΟ ΠΑΝΑΓΙΑΣ ΔΙΑΣΕΛΛΟΥ</t>
  </si>
  <si>
    <t>mail@nip-panag.art.sch.gr</t>
  </si>
  <si>
    <t>ΔΙΑΣΕΛΛΟ</t>
  </si>
  <si>
    <t>ΔΗΜΟΤΙΚΟ ΣΧΟΛΕΙΟ ΚΟΡΦΟΒΟΥΝΙΟΥ</t>
  </si>
  <si>
    <t>mail@dim-korfov.art.sch.gr</t>
  </si>
  <si>
    <t>ΜΕΣΟΥΝΤΑΣ</t>
  </si>
  <si>
    <t>ΔΗΜΟΤΙΚΟ ΣΧΟΛΕΙΟ ΜΕΣΟΥΝΤΑΣ</t>
  </si>
  <si>
    <t>mail@dim-mesount.art.sch.gr</t>
  </si>
  <si>
    <t>ΜΕΣΟΥΝΤΑ</t>
  </si>
  <si>
    <t>ΤΕΤΡΑΚΩΜΟΥ</t>
  </si>
  <si>
    <t>ΔΗΜΟΤΙΚΟ ΣΧΟΛΕΙΟ ΤΕΤΡΑΚΩΜΟΥ</t>
  </si>
  <si>
    <t>mail@dim-tetrak.art.sch.gr</t>
  </si>
  <si>
    <t>ΤΕΤΡΑΚΩΜΟ</t>
  </si>
  <si>
    <t>mail@dim-anezas.art.sch.gr</t>
  </si>
  <si>
    <t>ΔΗΜΟΤΙΚΟ ΣΧΟΛΕΙΟ ΕΛΕΟΥΣΑΣ ΑΡΤΑΣ</t>
  </si>
  <si>
    <t>mail@dim-eleous.art.sch.gr</t>
  </si>
  <si>
    <t>ΝΗΠΙΑΓΩΓΕΙΟ ΡΑΜΙΑΣ</t>
  </si>
  <si>
    <t>mail@nip-ramias.art.sch.gr</t>
  </si>
  <si>
    <t>ΡΑΜΙΑ</t>
  </si>
  <si>
    <t>mail@5dim-artas.art.sch.gr</t>
  </si>
  <si>
    <t>4ο ΝΗΠΙΑΓΩΓΕΙΟ ΑΡΤΑΣ</t>
  </si>
  <si>
    <t>mail@4nip-artas.art.sch.gr</t>
  </si>
  <si>
    <t>ΠΛΑΤΕΙΑ ΚΑΡΑΙΣΚΑΚΗ</t>
  </si>
  <si>
    <t>mail@1dim-artas.art.sch.gr</t>
  </si>
  <si>
    <t>ΣΚΟΥΦΑ 156</t>
  </si>
  <si>
    <t>ΣΚΟΥΛΗΚΑΡΙΑΣ</t>
  </si>
  <si>
    <t>ΔΗΜΟΤΙΚΟ ΣΧΟΛΕΙΟ ΣΚΟΥΛΗΚΑΡΙΑΣ</t>
  </si>
  <si>
    <t>mail@dim-skoul.art.sch.gr</t>
  </si>
  <si>
    <t>Σκουληκαριά</t>
  </si>
  <si>
    <t>ΣΚΟΥΛΗΚΑΡΙΑ ΑΡΤΑΣ</t>
  </si>
  <si>
    <t>ΔΗΜΟΤΙΚΟ ΣΧΟΛΕΙΟ ΠΟΛΥΔΡΟΣΟΥ</t>
  </si>
  <si>
    <t>mail@dim-polydr.art.sch.gr</t>
  </si>
  <si>
    <t>ΝΗΠΙΑΓΩΓΕΙΟ ΣΚΟΥΛΗΚΑΡΙΑΣ</t>
  </si>
  <si>
    <t>mail@nip-skoul.art.sch.gr</t>
  </si>
  <si>
    <t>ΣΚΟΥΛΗΚΑΡΙΑ</t>
  </si>
  <si>
    <t>ΔΗΜΟΤΙΚΟ ΣΧΟΛΕΙΟ ΑΓΙΩΝ ΑΝΑΡΓΥΡΩΝ ΑΡΤΑΣ</t>
  </si>
  <si>
    <t>mail@dim-ag-anarg.art.sch.gr</t>
  </si>
  <si>
    <t xml:space="preserve">ΑΓΙΟΙ ΑΝΑΡΓΥΡΟΙ </t>
  </si>
  <si>
    <t>ΑΓΙΟΙ ΑΝΑΡΓΥΡΟΙ ΑΡΤΑΣ</t>
  </si>
  <si>
    <t>mail@dim-vourg.art.sch.gr</t>
  </si>
  <si>
    <t>ΔΗΜΟΤΙΚΟ ΣΧΟΛΕΙΟ ΑΜΦΙΘΕΑΣ ΠΕΤΑ</t>
  </si>
  <si>
    <t>mail@dim-amfith.art.sch.gr</t>
  </si>
  <si>
    <t>ΑΜΦΙΘΕΑ ΠΕΤΑ</t>
  </si>
  <si>
    <t>ΑΜΦΙΘΕΑ  ΠΕΤΑ</t>
  </si>
  <si>
    <t>8ο ΔΗΜΟΤΙΚΟ ΣΧΟΛΕΙΟ ΑΡΤΑΣ</t>
  </si>
  <si>
    <t>mail@8dim-artas.art.sch.gr</t>
  </si>
  <si>
    <t>ΠΕΡΙΦΕΡΕΙΑΚΗ  ΟΔΟΣ-έναντι Δημαρχείου ʼρτας</t>
  </si>
  <si>
    <t>mail@dim-kompot.art.sch.gr</t>
  </si>
  <si>
    <t>ΝΗΠΙΑΓΩΓΕΙΟ ΑΝΕΖΑΣ</t>
  </si>
  <si>
    <t>mail@nip-anezas.art.sch.gr</t>
  </si>
  <si>
    <t>mail@7dim-artas.art.sch.gr</t>
  </si>
  <si>
    <t>ΜΙΧΑΗΛ ΠΑΤΣΑΛΙΑ  5</t>
  </si>
  <si>
    <t>ΔΗΜΟΤΙΚΟ ΣΧΟΛΕΙΟ ΧΑΛΚΙΑΔΩΝ</t>
  </si>
  <si>
    <t>mail@dim-chalk.art.sch.gr</t>
  </si>
  <si>
    <t>ΧΑΛΚΙΑΔΕΣ</t>
  </si>
  <si>
    <t>5ο ΝΗΠΙΑΓΩΓΕΙΟ ΑΡΤΑΣ</t>
  </si>
  <si>
    <t>mail@5nip-artas.art.sch.gr</t>
  </si>
  <si>
    <t>ΑΡΤΙΝΩΝ  ΠΕΣΟΝΤΩΝ</t>
  </si>
  <si>
    <t>ΜΕΓΑΡΧΗΣ</t>
  </si>
  <si>
    <t>ΔΗΜΟΤΙΚΟ ΣΧΟΛΕΙΟ ΜΕΓΑΡΧΗΣ ΑΡΤΑΣ</t>
  </si>
  <si>
    <t>mail@dim-megarch.art.sch.gr</t>
  </si>
  <si>
    <t>ΜΕΓΑΡΧΗ ΑΡΤΑΣ</t>
  </si>
  <si>
    <t>ΔΗΜΟΤΙΚΟ ΣΧΟΛΕΙΟ ΠΑΝΑΓΙΑΣ ΔΙΑΣΕΛΛΟΥ</t>
  </si>
  <si>
    <t>mail@dim-panag.art.sch.gr</t>
  </si>
  <si>
    <t>Διάσελλο</t>
  </si>
  <si>
    <t>mail@dim-kostak.art.sch.gr</t>
  </si>
  <si>
    <t>ΚΩΣΤΑΚΙΟΙ</t>
  </si>
  <si>
    <t>ΚΩΣΤΑΚΙΟΙ-ΑΡΤΑΣ</t>
  </si>
  <si>
    <t>mail@dim-kalam.art.sch.gr</t>
  </si>
  <si>
    <t>mail@dim-peta.art.sch.gr</t>
  </si>
  <si>
    <t>ΡΟΔΑΥΓΗΣ</t>
  </si>
  <si>
    <t>ΔΗΜΟΤΙΚΟ ΣΧΟΛΕΙΟ ΡΟΔΑΥΓΗΣ</t>
  </si>
  <si>
    <t>mail@dim-rodavg.art.sch.gr</t>
  </si>
  <si>
    <t>ΡΟΔΑΥΓΗ</t>
  </si>
  <si>
    <t>ΔΗΜΟΤΙΚΟ ΣΧΟΛΕΙΟ ΚΥΨΕΛΗΣ ΑΡΤΑΣ</t>
  </si>
  <si>
    <t>mail@dim-kypsel.art.sch.gr</t>
  </si>
  <si>
    <t>ΝΗΠΙΑΓΩΓΕΙΟ ΚΥΨΕΛΗ</t>
  </si>
  <si>
    <t>mail@nip-kypsel.art.sch.gr</t>
  </si>
  <si>
    <t>ΚΟΜΜΕΝΟΥ</t>
  </si>
  <si>
    <t>ΔΗΜΟΤΙΚΟ ΣΧΟΛΕΙΟ ΚΟΜΜΕΝΟΥ</t>
  </si>
  <si>
    <t>mail@dim-kommen.art.sch.gr</t>
  </si>
  <si>
    <t>ΚΟΜΜΕΝΟ</t>
  </si>
  <si>
    <t>mail@dim-ag-parask.art.sch.gr</t>
  </si>
  <si>
    <t>ΑΓΙΑ ΠΑΡΑΣΚΕΥΗ ΑΡΤΑΣ</t>
  </si>
  <si>
    <t>ΑΓΙΑ  ΠΑΡΑΣΚΕΥΗ  ΑΡΤΑΣ</t>
  </si>
  <si>
    <t>mail@dim-an-kalent.art.sch.gr</t>
  </si>
  <si>
    <t>ΓΑΒΡΙΑΣ</t>
  </si>
  <si>
    <t>ΔΗΜΟΤΙΚΟ ΣΧΟΛΕΙΟ ΓΑΒΡΙΑΣ</t>
  </si>
  <si>
    <t>mail@dim-gavrias.art.sch.gr</t>
  </si>
  <si>
    <t>ΓΑΒΡΙΑ</t>
  </si>
  <si>
    <t>ΝΗΠΙΑΓΩΓΕΙΟ ΚΩΣΤΑΚΙΟΙ ΑΡΤΑΣ</t>
  </si>
  <si>
    <t>mail@nip-kostak.art.sch.gr</t>
  </si>
  <si>
    <t>mail@2dim-artas.art.sch.gr</t>
  </si>
  <si>
    <t>ΠΛΑΤΕΙΑ ΩΡΟΛΟΓΙΟΥ</t>
  </si>
  <si>
    <t>ΚΑΛΟΒΑΤΟΥ</t>
  </si>
  <si>
    <t>ΝΗΠΙΑΓΩΓΕΙΟ ΚΑΛΟΒΑΤΟΥ</t>
  </si>
  <si>
    <t>mail@nip-kalov.art.sch.gr</t>
  </si>
  <si>
    <t>ΚΑΛΟΒΑΤΟΣ</t>
  </si>
  <si>
    <t>4ο ΔΗΜΟΤΙΚΟ ΣΧΟΛΕΙΟ ΑΡΤΑΣ</t>
  </si>
  <si>
    <t>mail@4dim-artas.art.sch.gr</t>
  </si>
  <si>
    <t>ΠΛΑΤΕΙΑ ΚΑΡΑΪΣΚΑΚΗ</t>
  </si>
  <si>
    <t>ΔΗΜΟΤΙΚΟ ΣΧΟΛΕΙΟ ΚΑΛΟΒΑΤΟΥ</t>
  </si>
  <si>
    <t>mail@dim-kalov.art.sch.gr</t>
  </si>
  <si>
    <t>ΚΑΛΟΒΑΤΟΣ ΑΡΤΑΣ</t>
  </si>
  <si>
    <t>ΝΗΠΙΑΓΩΓΕΙΟ ΓΑΒΡΙΑΣ</t>
  </si>
  <si>
    <t>mail@nip-gavrias.art.sch.gr</t>
  </si>
  <si>
    <t>6ο ΝΗΠΙΑΓΩΓΕΙΟ ΑΡΤΑΣ</t>
  </si>
  <si>
    <t>mail@6nip-artas.art.sch.gr</t>
  </si>
  <si>
    <t>ΠΑΠΑΒΑΣΙΛΕΙΟΥ  16</t>
  </si>
  <si>
    <t>ΕΙΔΙΚΟ ΝΗΠΙΑΓΩΓΕΙΟ ΑΡΤΑΣ</t>
  </si>
  <si>
    <t>mail@1nip-eid-artas.art.sch.gr</t>
  </si>
  <si>
    <t>ΠΕΡΙΦΕΡΕΙΑΚΗ ΟΔΟΣ</t>
  </si>
  <si>
    <t>1ο ΕΙΔΙΚΟ ΔΗΜΟΤΙΚΟ ΣΧΟΛΕΙΟ ΑΡΤΑΣ</t>
  </si>
  <si>
    <t>mail@1dim-eid-artas.art.sch.gr</t>
  </si>
  <si>
    <t>ʼρτα</t>
  </si>
  <si>
    <t>Μοσχοπόλεως 1, Ελεούσα ʼρτας</t>
  </si>
  <si>
    <t>ΝΗΠΙΑΓΩΓΕΙΟ ΑΘΑΜΑΝΙΟΥ</t>
  </si>
  <si>
    <t>mail@nip-athan.art.sch.gr</t>
  </si>
  <si>
    <t>ΝΗΠΙΑΓΩΓΕΙΟ ΡΟΔΑΥΓΗ</t>
  </si>
  <si>
    <t>mail@nip-rodavg.art.sch.gr</t>
  </si>
  <si>
    <t>ΔΗΜΟΤΙΚΟ ΣΧΟΛΕΙΟ ΑΓΙΟΥ ΔΗΜΗΤΡΙΟΥ - ΠΕΤΑ</t>
  </si>
  <si>
    <t>mail@dim-ag-dimitr.art.sch.gr</t>
  </si>
  <si>
    <t>ΑΓΙΟΣ ΔΗΜΗΤΡΙΟΣ - ΠΕΤΑ</t>
  </si>
  <si>
    <t>mail@dim-neoch.art.sch.gr</t>
  </si>
  <si>
    <t xml:space="preserve">Νεοχώρι </t>
  </si>
  <si>
    <t>Νεοχώρι ʼρτας</t>
  </si>
  <si>
    <t>ΚΑΤΩ ΑΘΑΜΑΝΙΟΥ</t>
  </si>
  <si>
    <t>ΔΗΜΟΤΙΚΟ ΣΧΟΛΕΙΟ ΑΓΙΟΥ ΧΑΡΑΛΑΜΠΟΥΣ ΚΑΤΩ ΑΘΑΜΑΝΙΟΥ</t>
  </si>
  <si>
    <t>mail@dim-ag-charal.art.sch.gr</t>
  </si>
  <si>
    <t>ΑΓΙΟΣ ΧΑΡΑΛΑΜΠΟΣ ΚΑΤΩ ΑΘΑΜΑΝΙΟΥ</t>
  </si>
  <si>
    <t>ΔΙΕΥΘΥΝΣΗ Π.Ε. ΘΕΣΠΡΩΤΙΑΣ</t>
  </si>
  <si>
    <t>8ο ΝΗΠΙΑΓΩΓΕΙΟ ΗΓΟΥΜΕΝΙΤΣΑΣ</t>
  </si>
  <si>
    <t>mail@8nip-igoum.thesp.sch.gr</t>
  </si>
  <si>
    <t>ΤΣΑΚΑΛΩΦ 3</t>
  </si>
  <si>
    <t>2ο ΝΗΠΙΑΓΩΓΕΙΟ ΗΓΟΥΜΕΝΙΤΣΑΣ</t>
  </si>
  <si>
    <t>mail@2nip-igoum.thesp.sch.gr</t>
  </si>
  <si>
    <t>ΚΥΠΡΟΥ 107</t>
  </si>
  <si>
    <t>4ο ΝΗΠΙΑΓΩΓΕΙΟ ΗΓΟΥΜΕΝΙΤΣΑΣ</t>
  </si>
  <si>
    <t>mail@4nip-igoum.thesp.sch.gr</t>
  </si>
  <si>
    <t>ΓΡΑΜΜΟΥ 81</t>
  </si>
  <si>
    <t>5ο ΝΗΠΙΑΓΩΓΕΙΟ ΗΓΟΥΜΕΝΙΤΣΑΣ</t>
  </si>
  <si>
    <t>mail@5nip-igoum.thesp.sch.gr</t>
  </si>
  <si>
    <t>ΤΣΑΚΑΛΩΦ 12</t>
  </si>
  <si>
    <t>3ο ΝΗΠΙΑΓΩΓΕΙΟ ΗΓΟΥΜΕΝΙΤΣΑΣ</t>
  </si>
  <si>
    <t>mail@3nip-igoum.thesp.sch.gr</t>
  </si>
  <si>
    <t>Οικ. Εθν. Αντ/σεως - οδός Αγ. Σοφίας</t>
  </si>
  <si>
    <t>ΣΑΓΙΑΔΑΣ</t>
  </si>
  <si>
    <t>ΑΣΠΡΟΚΚΛΗΣΙΟΥ</t>
  </si>
  <si>
    <t>1/Θ ΝΗΠΙΑΓΩΓΕΙΟ ΑΣΠΡΟΚΚΛΗΣΙΟΥ</t>
  </si>
  <si>
    <t>mail@nip-asprokk.thesp.sch.gr</t>
  </si>
  <si>
    <t>ΑΣΠΡΟΚΚΛΗΣΙ</t>
  </si>
  <si>
    <t>ΑΣΠΡΟΚΚΛΗΣΙ ΘΕΣΠΡΩΤΙΑΣ</t>
  </si>
  <si>
    <t>2/Θ ΝΗΠΙΑΓΩΓΕΙΟ ΠΛΑΤΑΡΙΑΣ</t>
  </si>
  <si>
    <t>mail@nip-platar.thesp.sch.gr</t>
  </si>
  <si>
    <t>ΓΡΑΙΚΟΧΩΡΙΟΥ</t>
  </si>
  <si>
    <t>2ο 1/θ ΝΗΠΙΑΓΩΓΕΙΟ ΓΡΑΙΚΟΧΩΡΙΟΥ</t>
  </si>
  <si>
    <t>mail@2nip-graik.thesp.sch.gr</t>
  </si>
  <si>
    <t>ΓΡΑΙΚΟΧΩΡΙ</t>
  </si>
  <si>
    <t>ΓΡΑΙΚΟΧΩΡΙ ΘΕΣΠΡΩΤΙΑΣ</t>
  </si>
  <si>
    <t>1ο ΝΗΠΙΑΓΩΓΕΙΟ ΝΕΑΣ ΣΕΛΕΥΚΕΙΑΣ</t>
  </si>
  <si>
    <t>mail@1nip-n-selefk.thesp.sch.gr</t>
  </si>
  <si>
    <t>ΟΛΟΗΜΕΡΟ ΝΗΠΙΑΓΩΓΕΙΟ ΠΕΡΔΙΚΑΣ</t>
  </si>
  <si>
    <t>mail@nip-perdik.thesp.sch.gr</t>
  </si>
  <si>
    <t>ΚΑΡΒΟΥΝΑΡΙΟΥ</t>
  </si>
  <si>
    <t>ΝΗΠΙΑΓΩΓΕΙΟ ΚΑΡΒΟΥΝΑΡΙΟΥ</t>
  </si>
  <si>
    <t>mail@nip-karvoun.thesp.sch.gr</t>
  </si>
  <si>
    <t>ΚΑΡΒΟΥΝΑΡΙ ΠΑΡΑΜΥΘΙΑΣ</t>
  </si>
  <si>
    <t>2/Θ ΝΗΠΙΑΓΩΓΕΙΟ ΓΑΡΔΙΚΙΟΥ</t>
  </si>
  <si>
    <t>mail@nip-gardik.thesp.sch.gr</t>
  </si>
  <si>
    <t>ΓΑΡΔΙΚΙΟΥ</t>
  </si>
  <si>
    <t>ΓΑΡΔΙΚΙ ΠΑΡΑΜΥΘΙΑΣ</t>
  </si>
  <si>
    <t>1ο ΝΗΠΙΑΓΩΓΕΙΟ ΓΡΑΙΚΟΧΩΡΙΟΥ</t>
  </si>
  <si>
    <t>mail@1nip-graik.thesp.sch.gr</t>
  </si>
  <si>
    <t>ΑΓ.ΤΡΙΑΔΑΣ 2 ΓΡΑΙΚΟΧΩΡΙ ΘΕΣΠΡΩΤΙΑΣ</t>
  </si>
  <si>
    <t>ΖΕΡΒΟΧΩΡΙΟΥ</t>
  </si>
  <si>
    <t>ΝΗΠΙΑΓΩΓΕΙΟ ΚΑΜΙΝΙΟΥ - ΝΗΠΙΑΓΩΓΕΙΟ ΠΡΟΔΡΟΜΙΟΥ</t>
  </si>
  <si>
    <t>mail@nip-kamin.thesp.sch.gr</t>
  </si>
  <si>
    <t>ΖΕΡΒΟΧΩΡΙ</t>
  </si>
  <si>
    <t>ΖΕΡΒΟΧΩΡΙ ΠΑΡΑΜΥΘΙΑΣ ΔΗΜΟΣ ΣΟΥΛΙΟΥ</t>
  </si>
  <si>
    <t>ΓΚΡΙΚΑΣ</t>
  </si>
  <si>
    <t>ΝΗΠΙΑΓΩΓΕΙΟ ΓΚΡΙΚΑΣ ΠΑΡΑΜΥΘΙΑΣ</t>
  </si>
  <si>
    <t>mail@nip-gkrik.thesp.sch.gr</t>
  </si>
  <si>
    <t>ΓΚΡΙΚΑ ΠΑΡΑΜΥΘΙΑΣ</t>
  </si>
  <si>
    <t>mail@1dim-filiat.thesp.sch.gr</t>
  </si>
  <si>
    <t>ΖΑΠΠΑ 9</t>
  </si>
  <si>
    <t>1ο  ΔΗΜΟΤΙΚΟ ΣΧΟΛΕΙΟ ΗΓΟΥΜΕΝΙΤΣΑΣ</t>
  </si>
  <si>
    <t>mail@1dim-igoum.thesp.sch.gr</t>
  </si>
  <si>
    <t>ΠΑΡΟΔΟΣ ΛΟΡΔΟΥ ΒΥΡΩΝΑ 2</t>
  </si>
  <si>
    <t>mail@3dim-igoum.thesp.sch.gr</t>
  </si>
  <si>
    <t>ΚΟΥΓΚΙΟΥ-ΚΙΑΦΑΣ 55</t>
  </si>
  <si>
    <t>ΓΛΥΚΗΣ</t>
  </si>
  <si>
    <t>ΝΗΠΙΑΓΩΓΕΙΟ ΓΛΥΚΗΣ</t>
  </si>
  <si>
    <t>mail@nip-glykis.thesp.sch.gr</t>
  </si>
  <si>
    <t>Γλυκή</t>
  </si>
  <si>
    <t>1ο 2/Θ ΝΗΠΙΑΓΩΓΕΙΟ ΗΓΟΥΜΕΝΙΤΣΑΣ</t>
  </si>
  <si>
    <t>mail@1nip-igoum.thesp.sch.gr</t>
  </si>
  <si>
    <t>ΕΛΒΕΤΙΚΑ</t>
  </si>
  <si>
    <t>3ο ΝΗΠΙΑΓΩΓΕΙΟ ΠΑΡΑΜΥΘΙΑΣ</t>
  </si>
  <si>
    <t>mail@3nip-param.thesp.sch.gr</t>
  </si>
  <si>
    <t>ΑΓΊΟΥ ΔΟΝʼΤΟΥ</t>
  </si>
  <si>
    <t>2ο ΝΗΠΙΑΓΩΓΕΙΟ ΠΑΡΑΜΥΘΙΑΣ</t>
  </si>
  <si>
    <t>mail@2nip-param.thesp.sch.gr</t>
  </si>
  <si>
    <t>ΑΓΙΟΥ ΔΟΝΑΤΟΥ</t>
  </si>
  <si>
    <t>mail@dim-platar.thesp.sch.gr</t>
  </si>
  <si>
    <t>ΕΠΤΑΝΗΣΟΥ 15 ΠΛΑΤΑΡΙΑ - ΘΕΣΠΡΩΤΙΑΣ</t>
  </si>
  <si>
    <t>1ο ΟΛΟΗΜΕΡΟ ΝΗΠΙΑΓΩΓΕΙΟ ΠΑΡΑΜΥΘΙΑΣ</t>
  </si>
  <si>
    <t>mail@1nip-param.thesp.sch.gr</t>
  </si>
  <si>
    <t>ΜΗΤΡΟΠΟΛΕΩΣ 7</t>
  </si>
  <si>
    <t>ΔΗΜΟΤΙΚΟ ΣΧΟΛΕΙΟ ΓΡΑΙΚΟΧΩΡΙΟΥ</t>
  </si>
  <si>
    <t>mail@dim-graik.thesp.sch.gr</t>
  </si>
  <si>
    <t>ΓΡΑΙΚΟΧΩΡΙ ΗΓΟΥΜΕΝΙΤΣΑΣ</t>
  </si>
  <si>
    <t>ΑΓΙΟΥ ΔΗΜΗΤΡΙΟΥ 24</t>
  </si>
  <si>
    <t>ΝΗΠΙΑΓΩΓΕΙΟ ΣΥΒΟΤΩΝ</t>
  </si>
  <si>
    <t>mail@nip-syvot.thesp.sch.gr</t>
  </si>
  <si>
    <t>ΣΥΒΟΤΑ ΘΕΣΠΡΩΤΙΑΣ</t>
  </si>
  <si>
    <t>1ο 2/ΘΕΣΙΟ ΝΗΠΙΑΓΩΓΕΙΟ ΦΙΛΙΑΤΩΝ</t>
  </si>
  <si>
    <t>mail@1nip-filiat.thesp.sch.gr</t>
  </si>
  <si>
    <t>ΕΘΝΙΚΗΣ ΑΝΤΙΣΤΑΣΗΣ 147</t>
  </si>
  <si>
    <t>2ο ΝΗΠΙΑΓΩΓΕΙΟ ΦΙΛΙΑΤΩΝ</t>
  </si>
  <si>
    <t>mail@2nip-filiat.thesp.sch.gr</t>
  </si>
  <si>
    <t>ΕΘΝΙΚΗΣ ΑΝΤΙΣΤΑΣΕΩΣ 24 - ΦΙΛΙΑΤΕΣ</t>
  </si>
  <si>
    <t>ΜΑΖΑΡΑΚΙΑΣ</t>
  </si>
  <si>
    <t>ΝΗΠΙΑΓΩΓΕΙΟ ΜΑΖΑΡΑΚΙΑΣ</t>
  </si>
  <si>
    <t>mail@nip-mazar.thesp.sch.gr</t>
  </si>
  <si>
    <t>ΜΑΖΑΡΑΚΙΑ</t>
  </si>
  <si>
    <t>6ο ΝΗΠΙΑΓΩΓΕΙΟ ΗΓΟΥΜΕΝΙΤΣΑΣ</t>
  </si>
  <si>
    <t>mail@6nip-igoum.thesp.sch.gr</t>
  </si>
  <si>
    <t>ΒΟΡΕΙΟΥ ΗΠΕΙΡΟΥ 42</t>
  </si>
  <si>
    <t>7ο ΝΗΠΙΑΓΩΓΕΙΟ ΗΓΟΥΜΕΝΙΤΣΑΣ</t>
  </si>
  <si>
    <t>mail@7nip-igoum.thesp.sch.gr</t>
  </si>
  <si>
    <t>ΚΥΠΡΟΥ  107</t>
  </si>
  <si>
    <t>ΝΗΠΙΑΓΩΓΕΙΟ ΣΑΓΙΑΔΑΣ</t>
  </si>
  <si>
    <t>mail@nip-sagiad.thesp.sch.gr</t>
  </si>
  <si>
    <t>ΣΑΓΙΑΔΑ ΘΕΣΠΡΩΤΙΑΣ</t>
  </si>
  <si>
    <t>ΠΑΡΑΠΟΤΑΜΟΥ</t>
  </si>
  <si>
    <t>ΝΗΠΙΑΓΩΓΕΙΟ ΠΑΡΑΠΟΤΑΜΟΥ</t>
  </si>
  <si>
    <t>mail@nip-parap.thesp.sch.gr</t>
  </si>
  <si>
    <t>ΠΑΡΑΠΟΤΑΜΟΣ ΘΕΣΠΡΩΤΙΑΣ</t>
  </si>
  <si>
    <t>ΠΑΡΑΠΟΤΑΜΟΣ</t>
  </si>
  <si>
    <t>ΚΕΣΤΡΙΝΗΣ</t>
  </si>
  <si>
    <t>ΝΗΠΙΑΓΩΓΕΙΟ ΚΕΣΤΡΙΝΗΣ</t>
  </si>
  <si>
    <t>mail@nip-kestr.thesp.sch.gr</t>
  </si>
  <si>
    <t>ΚΕΣΤΡΙΝΗ ΘΕΣΠΡΩΤΙΑΣ</t>
  </si>
  <si>
    <t>mail@dim-n-selefk.thesp.sch.gr</t>
  </si>
  <si>
    <t>ΝΕΑ ΣΕΛΕΥΚΕΙΑ ΘΕΣΠΡΩΤΙΑΣ</t>
  </si>
  <si>
    <t>ΛΑΔΟΧΩΡΙΟΥ</t>
  </si>
  <si>
    <t>ΝΗΠΙΑΓΩΓΕΙΟ ΛΑΔΟΧΩΡΙΟΥ</t>
  </si>
  <si>
    <t>mail@nip-ladoch.thesp.sch.gr</t>
  </si>
  <si>
    <t>ΛΑΔΟΧΩΡΙ ΘΕΣΠΡΩΤΙΑΣ</t>
  </si>
  <si>
    <t>ΝΗΠΙΑΓΩΓΕΙΟ ΑΓΙΟΣ ΒΛΑΣΙΟΣ - ΝΗΠΙΑΓΩΓΕΙΟ ΑΓΙΟΥ ΒΛΑΣΙΟΥ</t>
  </si>
  <si>
    <t>mail@nip-kastriou.thesp.sch.gr</t>
  </si>
  <si>
    <t>ΑΓΙΟΣ ΒΛΑΣΙΟΣ ΘΕΣΠΡΩΤΙΑΣ</t>
  </si>
  <si>
    <t>ΕΙΔΙΚΟ ΔΗΜΟΤΙΚΟ ΣΧΟΛΕΙΟ ΗΓΟΥΜΕΝΙΤΣΑ</t>
  </si>
  <si>
    <t>mail@dim-eid-igoum.thesp.sch.gr</t>
  </si>
  <si>
    <t>ΑΓΙΩΝ ΑΠΟΣΤΟΛΩΝ 25</t>
  </si>
  <si>
    <t>ΒΥΡΩΝΟΣ 2</t>
  </si>
  <si>
    <t>ΜΑΥΡΟΥΔΙΟΥ</t>
  </si>
  <si>
    <t>ΝΗΠΙΑΓΩΓΕΙΟ ΜΑΥΡΟΥΔΙΟΥ</t>
  </si>
  <si>
    <t>mail@nip-mavroud.thesp.sch.gr</t>
  </si>
  <si>
    <t>ΜΑΥΡΟΥΔΙ ΘΕΣΠΡΩΤΙΑΣ</t>
  </si>
  <si>
    <t>4ο 12/ΘΕΣΙΟ ΔΗΜΟΤΙΚΟ ΣΧΟΛΕΙΟ ΗΓΟΥΜΕΝΙΤΣΑΣ</t>
  </si>
  <si>
    <t>mail@4dim-igoum.thesp.sch.gr</t>
  </si>
  <si>
    <t>ΕΙΔΙΚΟ ΝΗΠΙΑΓΩΓΕΙΟ ΗΓΟΥΜΕΝΙΤΣΑ</t>
  </si>
  <si>
    <t>mail@nip-eid-igoum.thesp.sch.gr</t>
  </si>
  <si>
    <t>Εθν.Αντιστάσεως οδός Αγ.Όλγας</t>
  </si>
  <si>
    <t>ΔΗΜΟΤΙΚΟ ΣΧΟΛΕΙΟ ΣΥΒΟΤΩΝ</t>
  </si>
  <si>
    <t>mail@dim-syvot.thesp.sch.gr</t>
  </si>
  <si>
    <t>ΣΥΒΟΤΑ</t>
  </si>
  <si>
    <t>6/ΘΕΣΙΟ ΔΗΜΟΤΙΚΟ ΣΧΟΛΕΙΟ ΑΣΠΡΟΚΚΛΗΣΙΟΥ-ΣΑΓΙΑΔΑΣ</t>
  </si>
  <si>
    <t>mail@dim-asprokk.thesp.sch.gr</t>
  </si>
  <si>
    <t>ΣΑΓΙΑΔΑ</t>
  </si>
  <si>
    <t>ΟΛΟΗΜΕΡΟ ΔΗΜΟΤΙΚΟ ΣΧΟΛΕΙΟ ΚΕΣΤΡΙΝΗΣ</t>
  </si>
  <si>
    <t>mail@dim-kestr.thesp.sch.gr</t>
  </si>
  <si>
    <t>ΟΛΟΗΜΕΡΟ ΔΗΜΟΤΙΚΟ ΣΧΟΛΕΙΟ ΓΚΡΙΚΑ</t>
  </si>
  <si>
    <t>mail@dim-gkrik.thesp.sch.gr</t>
  </si>
  <si>
    <t>ΓΚΡΙΚΑ</t>
  </si>
  <si>
    <t>ΚΑΣΤΡΙΟΥ</t>
  </si>
  <si>
    <t>ΔΗΜΟΤΙΚΟ ΣΧΟΛΕΙΟ ΚΑΣΤΡΙΟΥ ΘΕΣΠΡΩΤΙΑΣ</t>
  </si>
  <si>
    <t>mail@dim-vlasiou.thesp.sch.gr</t>
  </si>
  <si>
    <t>ΚΑΣΤΡΙ</t>
  </si>
  <si>
    <t>ΚΑΣΤΡΙ ΘΕΣΠΡΩΤΙΑΣ</t>
  </si>
  <si>
    <t>mail@2dim-igoum.thesp.sch.gr</t>
  </si>
  <si>
    <t>mail@dim-perdik.thesp.sch.gr</t>
  </si>
  <si>
    <t>mail@dim-skand.thesp.sch.gr</t>
  </si>
  <si>
    <t>ΓΑΡΔΙΚΙ</t>
  </si>
  <si>
    <t>2/θ ΝΗΠΙΑΓΩΓΕΙΟ ΜΑΡΓΑΡΙΤΙΟΥ</t>
  </si>
  <si>
    <t>mail@nip-margar.thesp.sch.gr</t>
  </si>
  <si>
    <t>mail@dim-margar.thesp.sch.gr</t>
  </si>
  <si>
    <t>ΤΣΑΓΓΑΡΙΟΥ</t>
  </si>
  <si>
    <t>ΟΛΟΗΜΕΡΟ ΔΗΜΟΤΙΚΟ ΣΧΟΛΕΙΟ ΣΟΥΛΙΟΥ</t>
  </si>
  <si>
    <t>mail@dim-souliou.thesp.sch.gr</t>
  </si>
  <si>
    <t>ΤΣΑΓΓΑΡΙ</t>
  </si>
  <si>
    <t>ΤΣΑΓΓΑΡΙ ΣΟΥΛΙΟΥ</t>
  </si>
  <si>
    <t>ΔΗΜΟΤΙΚΟ ΣΧΟΛΕΙΟ ΜΑΖΑΡΑΚΙΑΣ</t>
  </si>
  <si>
    <t>mail@dim-mazar.thesp.sch.gr</t>
  </si>
  <si>
    <t>ΜΑΖΑΡΑΚΙΑ ΘΕΣΠΡΩΤΙΑΣ</t>
  </si>
  <si>
    <t>ΔΗΜΟΤΙΚΟ ΣΧΟΛΕΙΟ ΓΛΥΚΗΣ</t>
  </si>
  <si>
    <t>mail@dim-glykis.thesp.sch.gr</t>
  </si>
  <si>
    <t>ΓΛΥΚΗ</t>
  </si>
  <si>
    <t>ΓΛΥΚΗ ΠΑΡΑΜΥΘΙΑΣ</t>
  </si>
  <si>
    <t>mail@dim-neraid.thesp.sch.gr</t>
  </si>
  <si>
    <t>ΝΕΡΑΪΔΑ</t>
  </si>
  <si>
    <t>ΝΕΡΑΪΔΑ ΠΑΡΑΜΥΘΙΑΣ</t>
  </si>
  <si>
    <t>2ο ΔΗΜΟΤΙΚΟ ΣΧΟΛΕΙΟ ΦΙΛΙΑΤΩΝ</t>
  </si>
  <si>
    <t>mail@2dim-filiat.thesp.sch.gr</t>
  </si>
  <si>
    <t>ΞΗΡΟΛΟΦΟΥ</t>
  </si>
  <si>
    <t>ΔΗΜΟΤΙΚΟ ΣΧΟΛΕΙΟ ΞΗΡΟΛΟΦΟΥ &lt;&lt;ΑΡΧΑΙΑ ΕΛΕΑ&gt;&gt;</t>
  </si>
  <si>
    <t>mail@dim-prodr.thesp.sch.gr</t>
  </si>
  <si>
    <t>ΞΗΡΟΛΟΦΟΣ</t>
  </si>
  <si>
    <t>ΞΗΡΟΛΟΦΟΣ ΠΑΡΑΜΥΘΙΑΣ</t>
  </si>
  <si>
    <t>ΔΗΜΟΤΙΚΟ ΣΧΟΛΕΙΟ ΠΑΡΑΠΟΤΑΜΟΥ</t>
  </si>
  <si>
    <t>mail@dim-parap.thesp.sch.gr</t>
  </si>
  <si>
    <t>mail@1dim-param.thesp.sch.gr</t>
  </si>
  <si>
    <t>ΤΑΜΠΟΥΡΙ-ΠΑΡΑΜΥΘΙΑΣ</t>
  </si>
  <si>
    <t>ΝΗΠΙΑΓΩΓΕΙΟ ΝΕΡΑΪΔΑΣ</t>
  </si>
  <si>
    <t>mail@nip-neraid.thesp.sch.gr</t>
  </si>
  <si>
    <t>ΝΕΡΑΪΔΑΣ</t>
  </si>
  <si>
    <t>ΝΕΡΑΊΔΑ ΠΑΡΑΜΥΘΙΑΣ</t>
  </si>
  <si>
    <t>ΝΗΠΙΑΓΩΓΕΙΟ ΤΣΑΓΓΑΡΙΟΥ</t>
  </si>
  <si>
    <t>9520972@sch.gr</t>
  </si>
  <si>
    <t>ΛΕΠΤΟΚΑΡΥΑΣ</t>
  </si>
  <si>
    <t>ΔΗΜΟΤΙΚΟ ΣΧΟΛΕΙΟ ΛΕΠΤΟΚΑΡΥΑ</t>
  </si>
  <si>
    <t>mail@dim-leptok.thesp.sch.gr</t>
  </si>
  <si>
    <t>ΛΕΠΤΟΚΑΡΥΑ</t>
  </si>
  <si>
    <t>ΛΕΠΤΟΚΑΡΥΑ ΦΙΛΙΑΤΩΝ</t>
  </si>
  <si>
    <t>ΝΗΠΙΑΓΩΓΕΙΟ ΛΕΠΤΟΚΑΡΥΑΣ ΦΙΛΙΑΤΩΝ ΘΕΣΠΡΩΤΙΑΣ</t>
  </si>
  <si>
    <t>mail@nip-leptok.thesp.sch.gr</t>
  </si>
  <si>
    <t>mail@5dim-igoum.thesp.sch.gr</t>
  </si>
  <si>
    <t>ΟΙΚΙΣΜΟΣ ΕΘΝΙΚΗΣ ΑΝΤΙΣΤΑΣΗΣ</t>
  </si>
  <si>
    <t>ΔΙΕΥΘΥΝΣΗ Π.Ε. ΙΩΑΝΝΙΝΩΝ</t>
  </si>
  <si>
    <t>22ο ΝΗΠΙΑΓΩΓΕΙΟ ΙΩΑΝΝΙΝΩΝ</t>
  </si>
  <si>
    <t>mail@22nip-ioann.ioa.sch.gr</t>
  </si>
  <si>
    <t>ΜΑΡΙΑ ΚΑΛΛΑΣ 2</t>
  </si>
  <si>
    <t>14ο ΝΗΠΙΑΓΩΓΕΙΟ ΙΩΑΝΝΙΝΩΝ</t>
  </si>
  <si>
    <t>mail@14nip-ioann.ioa.sch.gr</t>
  </si>
  <si>
    <t>ΓΥΝΑΙΚΩΝ ΠΙΝΔΟΥ 17</t>
  </si>
  <si>
    <t>ΖΑΓΟΡΙΟΥ</t>
  </si>
  <si>
    <t>ΑΝΑΤΟΛΙΚΟΥ ΖΑΓΟΡΙΟΥ</t>
  </si>
  <si>
    <t>ΔΕΜΑΤΙΟΥ</t>
  </si>
  <si>
    <t>ΔΗΜΟΤΙΚΟ ΣΧΟΛΕΙΟ ΜΗΛΙΩΤΑΔΩΝ</t>
  </si>
  <si>
    <t>mail@dim-miliot.ioa.sch.gr</t>
  </si>
  <si>
    <t>ΜΗΛΙΩΤΑΔΕΣ</t>
  </si>
  <si>
    <t>19ο ΝΗΠΙΑΓΩΓΕΙΟ ΙΩΑΝΝΙΝΩΝ</t>
  </si>
  <si>
    <t>mail@19nip-ioann.ioa.sch.gr</t>
  </si>
  <si>
    <t>ΒΟΡΕΙΟΥ ΗΠΕΙΡΟΥ 22</t>
  </si>
  <si>
    <t>ΒΟΒΟΥΣΗΣ</t>
  </si>
  <si>
    <t>ΔΗΜΟΤΙΚΟ ΣΧΟΛΕΙΟ ΒΟΒΟΥΣΑΣ</t>
  </si>
  <si>
    <t>mail@dim-vovous.ioa.sch.gr</t>
  </si>
  <si>
    <t>ΒΟΒΟΥΣΑ</t>
  </si>
  <si>
    <t>2ο ΝΗΠΙΑΓΩΓΕΙΟ ΚΟΝΙΤΣΑΣ</t>
  </si>
  <si>
    <t>mail@2nip-konits.ioa.sch.gr</t>
  </si>
  <si>
    <t>ΒΟΥΤΣΑΡΑ</t>
  </si>
  <si>
    <t>ΝΗΠΙΑΓΩΓΕΙΟ ΒΟΥΤΣΑΡΑ</t>
  </si>
  <si>
    <t>mail@nip-voutsar.ioa.sch.gr</t>
  </si>
  <si>
    <t>ΒΟΥΤΣΑΡΑΣ</t>
  </si>
  <si>
    <t>ΜΗΛΕΑΣ</t>
  </si>
  <si>
    <t>ΔΗΜΟΤΙΚΟ ΣΧΟΛΕΙΟ ΜΗΛΕΑΣ</t>
  </si>
  <si>
    <t>mail@dim-mileas.ioa.sch.gr</t>
  </si>
  <si>
    <t>ΜΗΛΙΑ</t>
  </si>
  <si>
    <t>1ο ΝΗΠΙΑΓΩΓΕΙΟ ΑΝΑΤΟΛΗΣ</t>
  </si>
  <si>
    <t>mail@1nip-anatol.ioa.sch.gr</t>
  </si>
  <si>
    <t>ΕΘΝΙΚΗΣ ΑΝΤΙΣΤΑΣΕΩΣ 22</t>
  </si>
  <si>
    <t>mail@7dim-ioann.ioa.sch.gr</t>
  </si>
  <si>
    <t>ΑΓΙΩΝ ΣΑΡΑΝΤΑ 3</t>
  </si>
  <si>
    <t>ΔΩΔΩΝΗΣ</t>
  </si>
  <si>
    <t>ΛΑΚΚΑΣ ΣΟΥΛΙΟΥ</t>
  </si>
  <si>
    <t>ΡΩΜΑΝΟΥ</t>
  </si>
  <si>
    <t>ΝΗΠΙΑΓΩΓΕΙΟ Ι.Μ. ΡΩΜΑΝΟΥ</t>
  </si>
  <si>
    <t>mail@nip-im-roman.ioa.sch.gr</t>
  </si>
  <si>
    <t>Ι.Μ. ΡΩΜΑΝΟΥ</t>
  </si>
  <si>
    <t>ΝΗΠΙΑΓΩΓΕΙΟ ΑΓΙΟΥ ΙΩΑΝΝΗ ΙΩΑΝΝΙΝΩΝ</t>
  </si>
  <si>
    <t>mail@nip-ag-ioann.ioa.sch.gr</t>
  </si>
  <si>
    <t>ΑΓΙΟΥ ΙΩΑΝΝΗ</t>
  </si>
  <si>
    <t>ΑΓΙΟΣ ΙΩΑΝΝΗΣ</t>
  </si>
  <si>
    <t>ΚΡΥΑΣ</t>
  </si>
  <si>
    <t>ΔΗΜΟΤΙΚΟ ΣΧΟΛΕΙΟ ΑΓΙΑΣ ΜΑΡΙΝΑΣ ΚΡΥΑΣ</t>
  </si>
  <si>
    <t>mail@dim-ag-marin.ioa.sch.gr</t>
  </si>
  <si>
    <t>ΑΓΙΑ ΜΑΡΙΝΑ ΚΡΥΑΣ</t>
  </si>
  <si>
    <t>ΑΣΒΕΣΤΟΧΩΡΙΟΥ</t>
  </si>
  <si>
    <t>ΝΗΠΙΑΓΩΓΕΙΟ ΑΣΒΕΣΤΟΧΩΡΙΟΥ</t>
  </si>
  <si>
    <t>mail@nip-asvest.ioa.sch.gr</t>
  </si>
  <si>
    <t>ΑΣΒΕΣΤΟΧΩΡΙ</t>
  </si>
  <si>
    <t>ΝΗΠΙΑΓΩΓΕΙΟ ΖΙΤΣΑΣ</t>
  </si>
  <si>
    <t>mail@nip-zitsis.ioa.sch.gr</t>
  </si>
  <si>
    <t>ΖΙΤΣΑ</t>
  </si>
  <si>
    <t>ΖΩΟΔΟΧΟΥ</t>
  </si>
  <si>
    <t>ΝΗΠΙΑΓΩΓΕΙΟ ΖΩΟΔΟΧΟΥ</t>
  </si>
  <si>
    <t>mail@nip-zoodoch.ioa.sch.gr</t>
  </si>
  <si>
    <t>ΖΩΟΔΟΧΟΣ</t>
  </si>
  <si>
    <t>ΝΗΠΙΑΓΩΓΕΙΟ ΔΕΛΒΙΝΑΚΙΟΥ</t>
  </si>
  <si>
    <t>mail@nip-delvin.ioa.sch.gr</t>
  </si>
  <si>
    <t>5ο ΝΗΠΙΑΓΩΓΕΙΟ ΙΩΑΝΝΙΝΩΝ</t>
  </si>
  <si>
    <t>mail@5nip-ioann.ioa.sch.gr</t>
  </si>
  <si>
    <t>ΚΑΛΙΑΦΑ 2</t>
  </si>
  <si>
    <t>4ο ΝΗΠΙΑΓΩΓΕΙΟ ΙΩΑΝΝΙΝΩΝ</t>
  </si>
  <si>
    <t>mail@4nip-ioann.ioa.sch.gr</t>
  </si>
  <si>
    <t>ΑΓ. ΣΑΡΑΝΤΑ 3</t>
  </si>
  <si>
    <t>ΡΟΔΟΤΟΠΙΟΥ</t>
  </si>
  <si>
    <t>ΝΗΠΙΑΓΩΓΕΙΟ ΡΟΔΟΤΟΠΙΟΥ</t>
  </si>
  <si>
    <t>mail@nip-rodot.ioa.sch.gr</t>
  </si>
  <si>
    <t>ΡΟΔΟΤΟΠΙ</t>
  </si>
  <si>
    <t>13ο ΔΗΜΟΤΙΚΟ ΣΧΟΛΕΙΟ ΙΩΑΝΝΙΝΩΝ</t>
  </si>
  <si>
    <t>mail@13dim-ioann.ioa.sch.gr</t>
  </si>
  <si>
    <t>ΚΑΤΙΝΑΣ ΠΑΞΙΝΟΥ 28</t>
  </si>
  <si>
    <t>7ο ΝΗΠΙΑΓΩΓΕΙΟ ΙΩΑΝΝΙΝΩΝ</t>
  </si>
  <si>
    <t>mail@7nip-ioann.ioa.sch.gr</t>
  </si>
  <si>
    <t>ΚΕΡΚΥΡΑΣ</t>
  </si>
  <si>
    <t>ΝΗΠΙΑΓΩΓΕΙΟ ΠΡΑΜΑΝΤΩΝ</t>
  </si>
  <si>
    <t>mail@nip-pramant.ioa.sch.gr</t>
  </si>
  <si>
    <t>1ο ΕΙΔΙΚΟ ΔΗΜΟΤΙΚΟ ΣΧΟΛΕΙΟ ΙΩΑΝΝΙΝΩΝ</t>
  </si>
  <si>
    <t>mail@1dim-eid-ioann.ioa.sch.gr</t>
  </si>
  <si>
    <t>23ο ΝΗΠΙΑΓΩΓΕΙΟ ΙΩΑΝΝΙΝΩΝ</t>
  </si>
  <si>
    <t>vasiliouel@gmail.com</t>
  </si>
  <si>
    <t>ΟΙΚΙΣΜΟΣ ΠΕΝΤΕΛΗΣ</t>
  </si>
  <si>
    <t>ΚΡΥΦΟΒΟΥ</t>
  </si>
  <si>
    <t>ΝΗΠΙΑΓΩΓΕΙΟ ΚΑΤΩ ΚΡΥΦΟΒΟΥ</t>
  </si>
  <si>
    <t>mail@nip-kryfov.ioa.sch.gr</t>
  </si>
  <si>
    <t>ΚΑΤΩ ΚΡΥΦΟΒΟΥ</t>
  </si>
  <si>
    <t>ΚΑΤΩ ΚΡΥΦΟΒΟ</t>
  </si>
  <si>
    <t>29ο ΝΗΠΙΑΓΩΓΕΙΟ ΙΩΑΝΝΙΝΩΝ</t>
  </si>
  <si>
    <t>mail@29nip-ioann.ioa.sch.gr</t>
  </si>
  <si>
    <t>ΤΣΙΦΛΙΚΟΠΟΥΛΟΥ 21</t>
  </si>
  <si>
    <t>5ο ΔΗΜΟΤΙΚΟ ΣΧΟΛΕΙΟ ΙΩΑΝΝΙΝΩΝ - ΒΑΛΑΝΕΙΟΣ ΣΧΟΛΗ</t>
  </si>
  <si>
    <t>mail@5dim-valan.ioa.sch.gr</t>
  </si>
  <si>
    <t>ΜΑΡΜΑΡΩΝ</t>
  </si>
  <si>
    <t>1ο ΝΗΠΙΑΓΩΓΕΙΟ ΜΑΡΜΑΡΩΝ</t>
  </si>
  <si>
    <t>mail@1nip-marmar.ioa.sch.gr</t>
  </si>
  <si>
    <t>ΜΑΡΜΑΡΑ ΙΩΑΝΝΙΝΩΝ</t>
  </si>
  <si>
    <t>3ο ΝΗΠΙΑΓΩΓΕΙΟ ΑΝΑΤΟΛΗΣ</t>
  </si>
  <si>
    <t>mail@3nip-anatol.ioa.sch.gr</t>
  </si>
  <si>
    <t>Γ.ΜΥΛΩΝΑ  9</t>
  </si>
  <si>
    <t>ΝΗΠΙΑΓΩΓΕΙΟ ΜΠΙΖΑΝΙΟΥ</t>
  </si>
  <si>
    <t>mail@nip-bizan.ioa.sch.gr</t>
  </si>
  <si>
    <t>ΝΗΠΙΑΓΩΓΕΙΟ ΠΕΔΙΝΗΣ</t>
  </si>
  <si>
    <t>mail@1nip-pedin.ioa.sch.gr</t>
  </si>
  <si>
    <t>ΠΕΔΙΝΗΣ ΙΩΑΝΝΙΝΩΝ</t>
  </si>
  <si>
    <t>ΑΝΔΡΕΑ ΠΑΠΑΝΔΡΕΟΥ 2</t>
  </si>
  <si>
    <t>ΣΤΑΥΡΑΚΙΟΥ</t>
  </si>
  <si>
    <t>ΝΗΠΙΑΓΩΓΕΙΟ ΣΤΑΥΡΑΚΙΟΥ</t>
  </si>
  <si>
    <t>mail@1nip-stavr.ioa.sch.gr</t>
  </si>
  <si>
    <t>ΣΤΑΥΡΑΚΙ</t>
  </si>
  <si>
    <t>ΕΥΡΥΜΕΝΩΝ</t>
  </si>
  <si>
    <t>ΚΛΗΜΑΤΙΑΣ</t>
  </si>
  <si>
    <t>ΝΗΠΙΑΓΩΓΕΙΟ ΚΛΗΜΑΤΙΑΣ</t>
  </si>
  <si>
    <t>mail@nip-klimat.ioa.sch.gr</t>
  </si>
  <si>
    <t>ΚΛΗΜΑΤΙΑ</t>
  </si>
  <si>
    <t>ΝΕΟΧΩΡΟΠΟΥΛΟΥ</t>
  </si>
  <si>
    <t>ΝΗΠΙΑΓΩΓΕΙΟ ΝΕΟΧΩΡΟΠΟΥΛΟΥ</t>
  </si>
  <si>
    <t>mail@nip-neochor.ioa.sch.gr</t>
  </si>
  <si>
    <t>ΝΕΟΧΩΡΟΠΟΥΛΟ</t>
  </si>
  <si>
    <t>ΝΗΠΙΑΓΩΓΕΙΟ ΧΡΥΣΟΒΙΤΣΑΣ ΙΩΑΝΝΙΝΩΝ</t>
  </si>
  <si>
    <t>mail@1nip-chrys.ioa.sch.gr</t>
  </si>
  <si>
    <t>ΧΡΥΣΟΒΙΤΣΑΣ</t>
  </si>
  <si>
    <t>ΜΟΥΣΙΩΤΙΤΣΗΣ</t>
  </si>
  <si>
    <t>ΝΗΠΙΑΓΩΓΕΙΟ ΝΕΑΣ ΜΟΥΣΙΩΤΙΤΣΑΣ</t>
  </si>
  <si>
    <t>mail@nip-n-mousiot.ioa.sch.gr</t>
  </si>
  <si>
    <t>ΝΕΑΣ ΜΟΥΣΙΩΤΙΤΣΑΣ</t>
  </si>
  <si>
    <t>ΝΕΑ ΜΟΥΣΙΩΤΙΤΣΑ</t>
  </si>
  <si>
    <t>ΒΟΥΝΟΠΛΑΓΙΑΣ</t>
  </si>
  <si>
    <t>ΝΗΠΙΑΓΩΓΕΙΟ ΒΟΥΝΟΠΛΑΓΙΑΣ</t>
  </si>
  <si>
    <t>mail@nip-vounopl.ioa.sch.gr</t>
  </si>
  <si>
    <t>ΒΟΥΝΟΠΛΑΓΙΑ</t>
  </si>
  <si>
    <t>25ο ΝΗΠΙΑΓΩΓΕΙΟ ΙΩΑΝΝΙΝΩΝ</t>
  </si>
  <si>
    <t>mail@25nip-ioann.ioa.sch.gr</t>
  </si>
  <si>
    <t>ΜΑΝΩΛΗ ΤΡΑΝΤΑΦΥΛΛΙΔΗ 29</t>
  </si>
  <si>
    <t>ΕΠΙΣΚΟΠΙΚΟΥ</t>
  </si>
  <si>
    <t>mail@dim-episk.ioa.sch.gr</t>
  </si>
  <si>
    <t>ΕΠΙΣΚΟΠΙΚΟ</t>
  </si>
  <si>
    <t>16ο ΔΗΜΟΤΙΚΟ ΣΧΟΛΕΙΟ ΙΩΑΝΝΙΝΩΝ</t>
  </si>
  <si>
    <t>mail@16dim-ioann.ioa.sch.gr</t>
  </si>
  <si>
    <t>Β. ΗΠΕΙΡΟΥ 22</t>
  </si>
  <si>
    <t>mail@1dim-ioann.ioa.sch.gr</t>
  </si>
  <si>
    <t>ΠΑΠΑΖΟΓΛΟΥ 14</t>
  </si>
  <si>
    <t>dimperioa@sch.gr</t>
  </si>
  <si>
    <t>ΑΓΙΟΥ ΧΑΡΑΛΑΜΠΟΥΣ 3</t>
  </si>
  <si>
    <t>ΑΒΓΟΥ</t>
  </si>
  <si>
    <t>ΔΗΜΟΤΙΚΟ ΣΧΟΛΕΙΟ ΑΒΓΟΥ</t>
  </si>
  <si>
    <t>mail@dim-avgou.ioa.sch.gr</t>
  </si>
  <si>
    <t>ΑΒΓΟ</t>
  </si>
  <si>
    <t>ΔΗΜΟΤΙΚΟ ΣΧΟΛΕΙΟ Ι.Μ. ΡΩΜΑΝΟΥ</t>
  </si>
  <si>
    <t>mail@dim-im-roman.ioa.sch.gr</t>
  </si>
  <si>
    <t>25ο ΔΗΜΟΤΙΚΟ ΣΧΟΛΕΙΟ ΙΩΑΝΝΙΝΩΝ</t>
  </si>
  <si>
    <t>mail@25dim-ioann.ioa.sch.gr</t>
  </si>
  <si>
    <t>ΑΧΙΛΛΕΩΣ 22</t>
  </si>
  <si>
    <t>ΔΗΜΟΤΙΚΟ ΣΧΟΛΕΙΟ ΑΝΩ ΛΑΨΙΣΤΑΣ</t>
  </si>
  <si>
    <t>mail@dim-an-lapsist.ioa.sch.gr</t>
  </si>
  <si>
    <t>ΑΝΩ ΛΑΨΙΣΤΑΣ</t>
  </si>
  <si>
    <t>ΜΙΚΡΟΥ ΠΕΡΙΣΤΕΡΙΟΥ</t>
  </si>
  <si>
    <t>ΝΗΠΙΑΓΩΓΕΙΟ ΜΙΚΡΟΥ ΠΕΡΙΣΤΕΡΙΟΥ</t>
  </si>
  <si>
    <t>mail@nip-mikr-perist.ioa.sch.gr</t>
  </si>
  <si>
    <t>ΜΙΚΡΟ ΠΕΡΙΣΤΕΡΙ</t>
  </si>
  <si>
    <t>ΠΑΠΙΓΚΟΥ</t>
  </si>
  <si>
    <t>ΔΗΜΟΤΙΚΟ ΣΧΟΛΕΙΟ ΜΕΓΑΛΟΥ ΠΑΠΙΓΚΟΥ</t>
  </si>
  <si>
    <t>mail@dim-meg-papig.ioa.sch.gr</t>
  </si>
  <si>
    <t>ΠΑΠΙΓΚΟ</t>
  </si>
  <si>
    <t>ΜΕΓΑΛΟ ΠΑΠΙΓΚΟ</t>
  </si>
  <si>
    <t>ΤΥΜΦΗΣ</t>
  </si>
  <si>
    <t>ΤΣΕΠΕΛΟΒΟΥ</t>
  </si>
  <si>
    <t>ΔΗΜΟΤΙΚΟ ΣΧΟΛΕΙΟ ΤΣΕΠΕΛΟΒΟΥ</t>
  </si>
  <si>
    <t>mail@dim-tseped.ioa.sch.gr</t>
  </si>
  <si>
    <t>ΤΣΕΠΕΛΟΒΟ</t>
  </si>
  <si>
    <t>ΝΗΠΙΑΓΩΓΕΙΟ ΛΟΓΓΑΔΩΝ</t>
  </si>
  <si>
    <t>mail@nip-loggad.ioa.sch.gr</t>
  </si>
  <si>
    <t>ΛΟΓΓΑΔΕΣ</t>
  </si>
  <si>
    <t>ΑΜΦΙΘΕΑΣ</t>
  </si>
  <si>
    <t>ΝΗΠΙΑΓΩΓΕΙΟ ΑΜΦΙΘΕΑΣ ΙΩΑΝΝΙΝΩΝ</t>
  </si>
  <si>
    <t>mail@nip-amfith.ioa.sch.gr</t>
  </si>
  <si>
    <t>ΑΜΦΙΘΕΑ</t>
  </si>
  <si>
    <t>1ο ΝΗΠΙΑΓΩΓΕΙΟ ΙΩΑΝΝΙΝΩΝ - ΚΑΠΛΑΝΕΙΟΣ ΣΧΟΛΗ</t>
  </si>
  <si>
    <t>mail@1nip-ioann.ioa.sch.gr</t>
  </si>
  <si>
    <t>ΜΠΑΦΡΑΣ</t>
  </si>
  <si>
    <t>ΝΗΠΙΑΓΩΓΕΙΟ ΜΠΑΦΡΑΣ</t>
  </si>
  <si>
    <t>mail@nip-bafras.ioa.sch.gr</t>
  </si>
  <si>
    <t>ΜΠΑΦΡΑ</t>
  </si>
  <si>
    <t>ΔΗΜΟΤΙΚΟ ΣΧΟΛΕΙΟ ΖΩΟΔΟΧΟΥ</t>
  </si>
  <si>
    <t>mail@dim-zoodoch.ioa.sch.gr</t>
  </si>
  <si>
    <t>6ο ΝΗΠΙΑΓΩΓΕΙΟ ΙΩΑΝΝΙΝΩΝ</t>
  </si>
  <si>
    <t>mail@6nip-ioann.ioa.sch.gr</t>
  </si>
  <si>
    <t>Ε. ΚΑΣΤΡΙΣΟΪΑ 18</t>
  </si>
  <si>
    <t>ΗΛΙΟΚΑΛΗΣ</t>
  </si>
  <si>
    <t>ΝΗΠΙΑΓΩΓΕΙΟ ΗΛΙΟΚΑΛΗΣ</t>
  </si>
  <si>
    <t>mail@nip-iliok.ioa.sch.gr</t>
  </si>
  <si>
    <t>ΗΛΙΟΚΑΛΗ</t>
  </si>
  <si>
    <t>11ο ΝΗΠΙΑΓΩΓΕΙΟ ΙΩΑΝΝΙΝΩΝ</t>
  </si>
  <si>
    <t>mail@11nip-ioann.ioa.sch.gr</t>
  </si>
  <si>
    <t>ΚΟΥΡΕΝΤΩΝ ΚΑΙ ΙΕΡΟΛΟΧΙΤΩΝ ΙΩΑΝΝΙΝΩΝ 45445</t>
  </si>
  <si>
    <t>ΝΗΠΙΑΓΩΓΕΙΟ ΑΒΓΟΥ</t>
  </si>
  <si>
    <t>mail@nip-avgou.ioa.sch.gr</t>
  </si>
  <si>
    <t>8ο ΝΗΠΙΑΓΩΓΕΙΟ ΙΩΑΝΝΙΝΩΝ</t>
  </si>
  <si>
    <t>mail@8nip-ioann.ioa.sch.gr</t>
  </si>
  <si>
    <t>ΠΑΤΡΙΑΡΧΟΥ ΙΩΑΣΑΦ 13</t>
  </si>
  <si>
    <t>ΔΗΜΟΤΙΚΟ ΣΧΟΛΕΙΟ ΚΛΗΜΑΤΙΑΣ</t>
  </si>
  <si>
    <t>mail@dim-klimat.ioa.sch.gr</t>
  </si>
  <si>
    <t>15ο ΝΗΠΙΑΓΩΓΕΙΟ ΙΩΑΝΝΙΝΩΝ</t>
  </si>
  <si>
    <t>mail@15nip-ioann.ioa.sch.gr</t>
  </si>
  <si>
    <t>ΕΥΕΡΓΕΤΩΝ 45</t>
  </si>
  <si>
    <t>ΝΗΠΙΑΓΩΓΕΙΟ ΓΟΡΙΤΣΑΣ</t>
  </si>
  <si>
    <t>mail@nip-gorits.ioa.sch.gr</t>
  </si>
  <si>
    <t>ΓΟΡΙΤΣΑΣ</t>
  </si>
  <si>
    <t>ΓΟΡΙΤΣΑ</t>
  </si>
  <si>
    <t>ΝΗΠΙΑΓΩΓΕΙΟ ΚΑΛΠΑΚΙΟΥ</t>
  </si>
  <si>
    <t>mail@nip-kalpak.ioa.sch.gr</t>
  </si>
  <si>
    <t>ΚΑΛΠΑΚΙ</t>
  </si>
  <si>
    <t>10ο ΝΗΠΙΑΓΩΓΕΙΟ ΙΩΑΝΝΙΝΩΝ - ΜΑΡΟΥΤΣΕΙΟ</t>
  </si>
  <si>
    <t>mail@10nip-ioann.ioa.sch.gr</t>
  </si>
  <si>
    <t>ΧΡ. ΚΑΤΣΑΡΗ 11</t>
  </si>
  <si>
    <t>ΜΑΣΤΟΡΟΧΩΡΙΩΝ</t>
  </si>
  <si>
    <t>ΚΕΦΑΛΟΧΩΡΙΟΥ</t>
  </si>
  <si>
    <t>ΝΗΠΙΑΓΩΓΕΙΟ ΚΕΦΑΛΟΧΩΡΙΟΥ ΚΟΝΙΤΣΑΣ</t>
  </si>
  <si>
    <t>mail@nip-kefal.ioa.sch.gr</t>
  </si>
  <si>
    <t>ΚΕΦΑΛΟΧΩΡΙ</t>
  </si>
  <si>
    <t>3ο ΝΗΠΙΑΓΩΓΕΙΟ ΚΟΝΙΤΣΑΣ</t>
  </si>
  <si>
    <t>mail@3nip-konits.ioa.sch.gr</t>
  </si>
  <si>
    <t>ΜΗΤΡΟΠΟΛ.ΣΕΒΑΣΤΙΑΝΟΥ 16</t>
  </si>
  <si>
    <t>ΔΗΜΟΤΙΚΟ ΣΧΟΛΕΙΟ ΑΓΙΟΥ ΙΩΑΝΝΗ ΖΙΤΣΑΣ</t>
  </si>
  <si>
    <t>mail@dim-ag-ioann.ioa.sch.gr</t>
  </si>
  <si>
    <t>ΚΡΑΝΟΥΛΑΣ</t>
  </si>
  <si>
    <t>ΝΗΠΙΑΓΩΓΕΙΟ ΚΡΑΝΟΥΛΑΣ</t>
  </si>
  <si>
    <t>mail@nip-kranoul.ioa.sch.gr</t>
  </si>
  <si>
    <t>ΚΡΑΝΟΥΛΑ</t>
  </si>
  <si>
    <t>ΝΗΠΙΑΓΩΓΕΙΟ ΚΡΥΑΣ</t>
  </si>
  <si>
    <t>mail@nip-kryas.ioa.sch.gr</t>
  </si>
  <si>
    <t>ΚΡΥΑ</t>
  </si>
  <si>
    <t>ΑΝΗΛΙΟΥ</t>
  </si>
  <si>
    <t>ΝΗΠΙΑΓΩΓΕΙΟ ΑΝΗΛΙΟΥ</t>
  </si>
  <si>
    <t>mail@nip-aniliou.ioa.sch.gr</t>
  </si>
  <si>
    <t>ΑΝΗΛΙΟ</t>
  </si>
  <si>
    <t>1o ΝΗΠΙΑΓΩΓΕΙΟ ΕΛΕΟΥΣΑΣ</t>
  </si>
  <si>
    <t>mail@nip-eleous.ioa.sch.gr</t>
  </si>
  <si>
    <t>ΕΛΕΟΥΣΑΣ</t>
  </si>
  <si>
    <t>ΠΟΛΥΤΕΧΝΕΙΟΥ 37 &amp; ΠΡΟΦΗΤΗ ΗΛΙΑ 2</t>
  </si>
  <si>
    <t>2ο ΕΙΔΙΚΟ ΔΗΜΟΤΙΚΟ ΣΧΟΛΕΙΟ ΙΩΑΝΝΙΝΩΝ - ΕΙΔΙΚΟ ΔΗΜΟΤΙΚΟ</t>
  </si>
  <si>
    <t>mail@2dim-eid-ioann.ioa.sch.gr</t>
  </si>
  <si>
    <t>ΓΛΥΚΙΔΩΝ 1 - ΚΑΣΤΡΟ ΙΩΑΝΝΙΝΑ</t>
  </si>
  <si>
    <t>ΝΗΣΟΥ ΙΩΑΝΝΙΝΩΝ</t>
  </si>
  <si>
    <t>ΝΗΠΙΑΓΩΓΕΙΟ ΝΗΣΟΥ</t>
  </si>
  <si>
    <t>mail@nip-nisou.ioa.sch.gr</t>
  </si>
  <si>
    <t>ΝΗΣΟΥ</t>
  </si>
  <si>
    <t>ΝΗΣΙ ΙΩΑΝΝΙΝΩΝ</t>
  </si>
  <si>
    <t>ΝΗΠΙΑΓΩΓΕΙΟ ΠΑΠΙΓΚΟΥ</t>
  </si>
  <si>
    <t>mail@nip-papig.Ioa.sch.gr</t>
  </si>
  <si>
    <t>4ο ΕΙΔΙΚΟ ΔΗΜΟΤΙΚΟ ΣΧΟΛΕΙΟ ΙΩΑΝΝΙΝΩΝ</t>
  </si>
  <si>
    <t>mail@dim-eid-aei-ioann.ioa.sch.gr</t>
  </si>
  <si>
    <t>ΜΑΤΣΟΥΚΙΟΥ</t>
  </si>
  <si>
    <t>ΔΗΜΟΤΙΚΟ ΣΧΟΛΕΙΟ ΜΑΤΣΟΥΚΙΟΥ</t>
  </si>
  <si>
    <t>mail@dim-matsouk.ioa.sch.gr</t>
  </si>
  <si>
    <t>ΜΑΤΣΟΥΚΙ</t>
  </si>
  <si>
    <t>1ο ΔΗΜΟΤΙΚΟ ΣΧΟΛΕΙΟ ΕΛΕΟΥΣΑΣ</t>
  </si>
  <si>
    <t>mail@dim-eleous.ioa.sch.gr</t>
  </si>
  <si>
    <t xml:space="preserve">Ελεούσα </t>
  </si>
  <si>
    <t>21ΗΣ ΦΕΒΡΟΥΑΡΙΟΥ ΕΛΕΟΥΣΑ ΙΩΑΝΝΙΝΩΝ</t>
  </si>
  <si>
    <t>ΠΕΡΙΒΛΕΠΤΟΥ</t>
  </si>
  <si>
    <t>ΝΗΠΙΑΓΩΓΕΙΟ ΠΕΡΙΒΛΕΠΤΟΥ</t>
  </si>
  <si>
    <t>mail@nip-perivl.ioa.sch.gr</t>
  </si>
  <si>
    <t>ΠΕΡΙΒΛΕΠΤΟΣ</t>
  </si>
  <si>
    <t>6ο ΔΗΜΟΤΙΚΟ ΣΧΟΛΕΙΟ ΙΩΑΝΝΙΝΩΝ - ΙΩΑΝΝΗΣ ΚΩΛΕΤΤΗΣ</t>
  </si>
  <si>
    <t>mail@6dim-ioann.ioa.sch.gr</t>
  </si>
  <si>
    <t>ΜΑΝΩΛΗ ΤΡΙΑΝΤΑΦΥΛΛΙΔΗ 29</t>
  </si>
  <si>
    <t>ΝΗΠΙΑΓΩΓΕΙΟ ΤΣΕΠΕΛΟΒΟΥ</t>
  </si>
  <si>
    <t>mail@nip-tsepel.ioa.sch.gr</t>
  </si>
  <si>
    <t>ΔΡΟΣΟΧΩΡΙΟΥ</t>
  </si>
  <si>
    <t>ΝΗΠΙΑΓΩΓΕΙΟ ΔΡΟΣΟΧΩΡΙΟΥ</t>
  </si>
  <si>
    <t>mail@nip-drosoch.ioa.sch.gr</t>
  </si>
  <si>
    <t>ΔΡΟΣΟΧΩΡΙ</t>
  </si>
  <si>
    <t>2ο ΝΗΠΙΑΓΩΓΕΙΟ ΙΩΑΝΝΙΝΩΝ</t>
  </si>
  <si>
    <t>mail@2nip-ioann.ioa.sch.gr</t>
  </si>
  <si>
    <t>ΠΛΑΤΕΙΑ ΖΑΛΟΓΓΟΥ</t>
  </si>
  <si>
    <t>ΕΙΔΙΚΟ ΝΗΠΙΑΓΩΓΕΙΟ ΙΩΑΝΝΙΝΩΝ</t>
  </si>
  <si>
    <t>mail@nip-eid-ioann.ioa.sch.gr</t>
  </si>
  <si>
    <t>mail@dim-zitsis.ioa.sch.gr</t>
  </si>
  <si>
    <t>Ζίτσα</t>
  </si>
  <si>
    <t>ΝΕΟΚΑΙΣΑΡΕΙΑΣ</t>
  </si>
  <si>
    <t>ΕΙΔΙΚΟ ΝΗΠΙΑΓΩΓΕΙΟ ΣΩΜΑΤΙΚΑ ΑΝΑΠΗΡΩΝ ΠΑΙΔΙΩΝ ΙΩΑΝΝΙΝΩΝ</t>
  </si>
  <si>
    <t>mail@nip-eid-sa-paidon.ioa.sch.gr</t>
  </si>
  <si>
    <t>ΝΕΟΚΑΙΣΑΡΕΙΑ ΙΩΑΝΝΙΝΩΝ</t>
  </si>
  <si>
    <t>ΝΕΟΚΑΙΣΑΡΕΙΑ</t>
  </si>
  <si>
    <t>20ο ΔΗΜΟΤΙΚΟ ΣΧΟΛΕΙΟ ΙΩΑΝΝΙΝΩΝ</t>
  </si>
  <si>
    <t>mail@20dim-ioann.ioa.sch.gr</t>
  </si>
  <si>
    <t>ΔΙΣΤΡΑΤΟΥ</t>
  </si>
  <si>
    <t>ΝΗΠΙΑΓΩΓΕΙΟ ΔΙΣΤΡΑΤΟΥ</t>
  </si>
  <si>
    <t>mail@nip-distrat.ioa.sch.gr</t>
  </si>
  <si>
    <t>ΔΙΣΤΡΑΤΟ</t>
  </si>
  <si>
    <t>mail@dim-pedin.ioa.sch.gr</t>
  </si>
  <si>
    <t>6Η ΕΠΑΡΧΙΑΚΗ ΟΔΟΣ</t>
  </si>
  <si>
    <t>ΔΗΜΟΤΙΚΟ ΣΧΟΛΕΙΟ ΡΟΔΟΤΟΠΙΟΥ</t>
  </si>
  <si>
    <t>mail@dim-rodot.ioa.sch.gr</t>
  </si>
  <si>
    <t>Ροδοτόπι</t>
  </si>
  <si>
    <t>Ροδοτόπι Ιωαννίνων</t>
  </si>
  <si>
    <t>mail@1dim-stavr.ioa.sch.gr</t>
  </si>
  <si>
    <t>ΚΕ ΜΑΡΤΙΟΥ 34</t>
  </si>
  <si>
    <t>33ο ΝΗΠΙΑΓΩΓΕΙΟ ΙΩΑΝΝΙΝΩΝ</t>
  </si>
  <si>
    <t>mail@33nip-ioann.ioa.sch.gr</t>
  </si>
  <si>
    <t>ΠΑΝΕΠΙΣΤΗΜΙΟΥΠΟΛΗ- ΔΟΥΡΟΥΤΗ</t>
  </si>
  <si>
    <t>ΝΗΠΙΑΓΩΓΕΙΟ ΜΗΛΕΑΣ</t>
  </si>
  <si>
    <t>mail@nip-mileas.ioa.sch.gr</t>
  </si>
  <si>
    <t>ΜΗΛΕΑ</t>
  </si>
  <si>
    <t>1ο ΝΗΠΙΑΓΩΓΕΙΟ ΚΑΤΣΙΚΑ</t>
  </si>
  <si>
    <t>mail@1nip-katsik.ioa.sch.gr</t>
  </si>
  <si>
    <t>Β. ΜΕΛΑ 3</t>
  </si>
  <si>
    <t>3ο ΝΗΠΙΑΓΩΓΕΙΟ ΚΑΤΣΙΚΑ</t>
  </si>
  <si>
    <t>mail@3nip-katsik.ioa.sch.gr</t>
  </si>
  <si>
    <t>2ο ΝΗΠΙΑΓΩΓΕΙΟ ΑΝΑΤΟΛΗΣ</t>
  </si>
  <si>
    <t>mail@2nip-anatol.ioa.sch.gr</t>
  </si>
  <si>
    <t>ΠΑΝΑΓΙΑΣ ΣΟΥΜΕΛΑ  33</t>
  </si>
  <si>
    <t>ΝΗΠΙΑΓΩΓΕΙΟ ΠΑΡΑΚΑΛΑΜΟΥ</t>
  </si>
  <si>
    <t>mail@nip-parak.ioa.sch.gr</t>
  </si>
  <si>
    <t>ΠΑΡΑΚΑΛΑΜΟΣ</t>
  </si>
  <si>
    <t>ΔΗΜΟΤΙΚΟ ΣΧΟΛΕΙΟ ΚΡΑΝΟΥΛΑΣ</t>
  </si>
  <si>
    <t>mail@dim-kranoul.ioa.sch.gr</t>
  </si>
  <si>
    <t>18ο ΝΗΠΙΑΓΩΓΕΙΟ ΙΩΑΝΝΙΝΩΝ</t>
  </si>
  <si>
    <t>mail@18nip-ioann.ioa.sch.gr</t>
  </si>
  <si>
    <t>ΠΑΤΑΤΟΥΚΟΥ 11</t>
  </si>
  <si>
    <t>mail@10dim-ioann.ioa.sch.gr</t>
  </si>
  <si>
    <t>Δ. ΙΩΑΝΝΟΥ 25</t>
  </si>
  <si>
    <t>28ο ΝΗΠΙΑΓΩΓΕΙΟ ΙΩΑΝΝΙΝΩΝ</t>
  </si>
  <si>
    <t>mail@28nip-ioann.ioa.sch.gr</t>
  </si>
  <si>
    <t>mail@11dim-eliss.ioa.sch.gr</t>
  </si>
  <si>
    <t>ΕΛΙΣΑΒΕΤ  ΚΑΣΤΡΙΣΟΪΑ 18</t>
  </si>
  <si>
    <t>mail@4dim-ioann.ioa.sch.gr</t>
  </si>
  <si>
    <t>Ιωάννινα,</t>
  </si>
  <si>
    <t>ΜΟΛΟΣΣΩΝ 4</t>
  </si>
  <si>
    <t>ΔΗΜΟΤΙΚΟ ΣΧΟΛΕΙΟ ΔΡΟΣΟΧΩΡΙΟΥ</t>
  </si>
  <si>
    <t>mail@dim-drosoch.ioa.sch.gr</t>
  </si>
  <si>
    <t>mail@18dim-ioann.ioa.sch.gr</t>
  </si>
  <si>
    <t>ΔΗΜΟΥΛΙΤΣΑ ΠΑΤΑΤΟΥΚΟΥ 11</t>
  </si>
  <si>
    <t>3ο ΝΗΠΙΑΓΩΓΕΙΟ ΜΑΡΜΑΡΩΝ</t>
  </si>
  <si>
    <t>mail@3nip-marmar.ioa.sch.gr</t>
  </si>
  <si>
    <t>ΚΑΡΔΑΜΙΤΣΙΑ</t>
  </si>
  <si>
    <t>mail@dim-kalpak.ioa.sch.gr</t>
  </si>
  <si>
    <t>ΚΟΥΚΛΕΣΙΟΥ</t>
  </si>
  <si>
    <t>ΔΗΜΟΤΙΚΟ ΣΧΟΛΕΙΟ ΠΟΤΑΜΙΑΣ ΚΟΥΚΛΕΣΙΟΥ</t>
  </si>
  <si>
    <t>mail@dim-potam.ioa.sch.gr</t>
  </si>
  <si>
    <t>ΠΟΤΑΜΙΑ  ΚΟΥΚΛΕΣΙΟΥ</t>
  </si>
  <si>
    <t>ΠΟΤΑΜΙΑ ΚΟΥΚΛΕΣΙΟΥ</t>
  </si>
  <si>
    <t>2ο ΔΗΜΟΤΙΚΟ ΣΧΟΛΕΙΟ ΑΝΑΤΟΛΗΣ</t>
  </si>
  <si>
    <t>mail@2dim-anatol.ioa.sch.gr</t>
  </si>
  <si>
    <t>ΑΝΑΤΟΛΗ</t>
  </si>
  <si>
    <t>ΣΑΜΨΟΥΝΤΟΣ 1</t>
  </si>
  <si>
    <t>ΔΗΜΟΤΙΚΟ ΣΧΟΛΕΙΟ ΑΜΦΙΘΕΑΣ ΙΩΑΝΝΙΝΩΝ</t>
  </si>
  <si>
    <t>mail@dim-amfith.ioa.sch.gr</t>
  </si>
  <si>
    <t>ΔΗΜΟΤΙΚΟ ΣΧΟΛΕΙΟ ΔΙΣΤΡΑΤΟΥ</t>
  </si>
  <si>
    <t>mail@dim-distrat.ioa.sch.gr</t>
  </si>
  <si>
    <t>ΔΗΜΟΤΙΚΟ ΣΧΟΛΕΙΟ ΚΕΦΑΛΟΧΩΡΙΟΥ</t>
  </si>
  <si>
    <t>mail@dim-kefaloch.ioa.sch.gr</t>
  </si>
  <si>
    <t>ΠΛΑΤΑΝΙΑΣ</t>
  </si>
  <si>
    <t>ΔΗΜΟΤΙΚΟ ΣΧΟΛΕΙΟ ΚΟΝΤΙΝΩΝ - Δ. ΣΧ. ΚΟΝΤΙΝΩΝ</t>
  </si>
  <si>
    <t>mail@dim-kontin.ioa.sch.gr</t>
  </si>
  <si>
    <t>ΚΑΡΑΔΗΜΑ</t>
  </si>
  <si>
    <t>ΚΑΡΑΔΗΜΑ ΠΛΑΤΑΝΙΑΣ</t>
  </si>
  <si>
    <t>ΕΙΔΙΚΟ ΔΗΜΟΤΙΚΟ ΣΧΟΛΕΙΟ ΣΩΜΑΤΙΚΑ ΑΝΑΠΗΡΩΝ ΠΑΙΔΙΩΝ ΙΩΑΝΝΙΝΩΝ</t>
  </si>
  <si>
    <t>mail@dim-sap-ioann.ioa.sch.gr</t>
  </si>
  <si>
    <t>ΔΗΜΟΤΙΚΟ ΣΧΟΛΕΙΟ ΝΕΑΣ ΜΟΥΣΙΩΤΙΤΣΑΣ</t>
  </si>
  <si>
    <t>mail@dim-n-mousiot.ioa.sch.gr</t>
  </si>
  <si>
    <t>ΔΗΜΟΤΙΚΟ ΣΧΟΛΕΙΟ ΜΠΑΦΡΑΣ - ΝΕΟΚΑΙΣΑΡΕΙΑΣ</t>
  </si>
  <si>
    <t>mail@dim-bafras.ioa.sch.gr</t>
  </si>
  <si>
    <t>1ο ΝΗΠΙΑΓΩΓΕΙΟ ΚΟΝΙΤΣΑΣ</t>
  </si>
  <si>
    <t>mail@1nip-konits.ioa.sch.gr</t>
  </si>
  <si>
    <t>ΣΕΒΑΣΤΙΑΝΟΥ 30</t>
  </si>
  <si>
    <t>ΔΗΜΟΤΙΚΟ ΣΧΟΛΕΙΟ ΑΣΒΕΣΤΟΧΩΡΙΟΥ ΙΩΑΝΝΙΝΩΝ</t>
  </si>
  <si>
    <t>mail@dim-asvest.ioa.sch.gr</t>
  </si>
  <si>
    <t>Ασβεστοχώρι</t>
  </si>
  <si>
    <t>ΑΣΒΕΣΤΟΧΩΡΙ ΙΩΑΝΝΙΝΩΝ</t>
  </si>
  <si>
    <t>mail@dim-delvin.ioa.sch.gr</t>
  </si>
  <si>
    <t>Δελβινάκι</t>
  </si>
  <si>
    <t>1ο ΔΗΜΟΤΙΚΟ ΣΧΟΛΕΙΟ ΚΟΝΙΤΣΑΣ</t>
  </si>
  <si>
    <t>mail@1dim-konits.ioa.sch.gr</t>
  </si>
  <si>
    <t>Κόνιτσα</t>
  </si>
  <si>
    <t>ΜΗΤΡΟΠΟΛΙΤΗ ΣΕΒΑΣΤΙΑΝΟΥ 30</t>
  </si>
  <si>
    <t>mail@dim-vouts.ioa.sch.gr</t>
  </si>
  <si>
    <t>ΚΑΤΣΑΝΟΧΩΡΙΩΝ</t>
  </si>
  <si>
    <t>ΠΛΑΤΑΝΟΥΣΣΗΣ</t>
  </si>
  <si>
    <t>ΔΗΜΟΤΙΚΟ ΣΧΟΛΕΙΟ ΠΛΑΤΑΝΟΥΣΑΣ</t>
  </si>
  <si>
    <t>mail@dim-platanous.ioa.sch.gr</t>
  </si>
  <si>
    <t>ΠΛΑΤΑΝΟΥΣΑ</t>
  </si>
  <si>
    <t>ΔΑΦΝΗ ΠΛΑΤΑΝΟΥΣΑΣ</t>
  </si>
  <si>
    <t>ΝΗΠΙΑΓΩΓΕΙΟ ΠΛΑΤΑΝΟΥΣΑΣ</t>
  </si>
  <si>
    <t>mail@nip-platanous.ioa.sch.gr</t>
  </si>
  <si>
    <t>ΠΛΑΤΑΝΟΥΣΑΣ</t>
  </si>
  <si>
    <t>mail@dim-kouts.ioa.sch.gr</t>
  </si>
  <si>
    <t>ΚΟΥΤΣΕΛΙΟ</t>
  </si>
  <si>
    <t>ΔΗΜΟΤΙΚΟ ΣΧΟΛΕΙΟ ΒΟΥΝΟΠΛΑΓΙΑΣ</t>
  </si>
  <si>
    <t>mail@dim-vounopl.ioa.sch.gr</t>
  </si>
  <si>
    <t>Βουνοπλαγιά</t>
  </si>
  <si>
    <t>mail@1dim-anatol.ioa.sch.gr</t>
  </si>
  <si>
    <t>ΙΩΑΝΝΙΝΩΝ 73</t>
  </si>
  <si>
    <t>mail@1dim-metsov.ioa.sch.gr</t>
  </si>
  <si>
    <t>3ο ΔΗΜΟΤΙΚΟ ΣΧΟΛΕΙΟ ΙΩΑΝΝΙΝΩΝ - ΜΑΡΟΥΤΣΕΙΟ</t>
  </si>
  <si>
    <t>mail@3dim-ioann.ioa.sch.gr</t>
  </si>
  <si>
    <t>ΧΡΗΣΤΟΥ ΚΑΤΣΑΡΗ 11</t>
  </si>
  <si>
    <t>9ο  ΠΕΙΡΑΜΑΤΙΚΟ ΔΗΜΟΤΙΚΟ ΣΧΟΛΕΙΟ ΙΩΑΝΝΙΝΩΝ - ΔΙΑΠΟΛΙΤΙΣΜΙΚΗΣ ΕΚΠΑΙΔΕΥΣΗΣ</t>
  </si>
  <si>
    <t>mail@9dim-ioann.ioa.sch.gr</t>
  </si>
  <si>
    <t xml:space="preserve">Ιωάννινα, </t>
  </si>
  <si>
    <t>ΓΛΥΚΗΔΩΝ 1</t>
  </si>
  <si>
    <t>mail@3dim-anatol.ioa.sch.gr</t>
  </si>
  <si>
    <t>ΝΥΜΦΩΝ-ΦΙΛΥΡΑΣ</t>
  </si>
  <si>
    <t>3ο ΝΗΠΙΑΓΩΓΕΙΟ ΙΩΑΝΝΙΝΩΝ</t>
  </si>
  <si>
    <t>mail@3nip-ioann.ioa.sch.gr</t>
  </si>
  <si>
    <t>ΤΑΣΟΥ ΙΣΑΑΚ ΚΑΙ ΤΕΡΜΑ ΜΑΝΩΛΙΑΣΣΗΣ ΚΙΑΦΑ</t>
  </si>
  <si>
    <t>1ο ΔΗΜΟΤΙΚΟ ΣΧΟΛΕΙΟ ΜΑΡΜΑΡΩΝ</t>
  </si>
  <si>
    <t>mail@1dim-marmar.ioa.sch.gr</t>
  </si>
  <si>
    <t>ΜΑΡΜΑΡΑ</t>
  </si>
  <si>
    <t>ΑΝΩ ΠΩΓΩΝΙΟΥ</t>
  </si>
  <si>
    <t>ΔΗΜΟΤΙΚΟ ΣΧΟΛΕΙΟ ΚΕΦΑΛΟΒΡΥΣΟΥ</t>
  </si>
  <si>
    <t>mail@dim-kefal.ioa.sch.gr</t>
  </si>
  <si>
    <t>ΚΕΦΑΛΟΒΡΥΣΟ</t>
  </si>
  <si>
    <t>mail@3dim-marmar.ioa.sch.gr</t>
  </si>
  <si>
    <t>ΚΟΣΜΑ ΑΙΤΩΛΟΥ και ΚΟΥΚΟΥΖΕΛΗ</t>
  </si>
  <si>
    <t>ΝΗΠΙΑΓΩΓΕΙΟ ΜΕΤΣΟΒΟΥ</t>
  </si>
  <si>
    <t>mail@1nip-metsov.ioa.sch.gr</t>
  </si>
  <si>
    <t>ΚΩΝΣΤΑΝΤΙΝΟΥ ΦΟΡΝΙΓΚΑ 2</t>
  </si>
  <si>
    <t>mail@dim-parak.ioa.sch.gr</t>
  </si>
  <si>
    <t>ΔΗΜΟΤΙΚΟ ΣΧΟΛΕΙΟ ΕΛΛΗΝΙΚΟΥ ΙΩΑΝΝΙΝΩΝ</t>
  </si>
  <si>
    <t>mail@dim-ellin.ioa.sch.gr</t>
  </si>
  <si>
    <t>ΕΛΛΗΝΙΚΟ ΙΩΑΝΝΙΝΩΝ</t>
  </si>
  <si>
    <t>ΝΗΠΙΑΓΩΓΕΙΟ ΠΛΑΤΑΝΙΑΣ</t>
  </si>
  <si>
    <t>mail@nip-platan.ioa.sch.gr</t>
  </si>
  <si>
    <t>ΠΛΑΤΑΝΙΑ</t>
  </si>
  <si>
    <t>mail@21dim-ioann.ioa.sch.gr</t>
  </si>
  <si>
    <t>ΔΙΓΕΝΗ ΑΚΡΙΤΑ 1</t>
  </si>
  <si>
    <t>ΒΟΤΟΝΟΣΙΟΥ</t>
  </si>
  <si>
    <t>ΝΗΠΙΑΓΩΓΕΙΟ ΒΟΤΟΝΟΣΙΟΥ</t>
  </si>
  <si>
    <t>mail@nip-voton.ioa.sch.gr</t>
  </si>
  <si>
    <t>ΒΟΤΟΝΟΣΙ</t>
  </si>
  <si>
    <t>24ο ΔΗΜΟΤΙΚΟ ΣΧΟΛΕΙΟ ΙΩΑΝΝΙΝΩΝ</t>
  </si>
  <si>
    <t>mail@24dim-ioann.ioa.sch.gr</t>
  </si>
  <si>
    <t>ΑΝΘΟΥΠΟΛΗ ΙΩΑΝΝΙΝΩΝ</t>
  </si>
  <si>
    <t>mail@3dim-konits.ioa.sch.gr</t>
  </si>
  <si>
    <t>mail@2dim-konits.ioa.sch.gr</t>
  </si>
  <si>
    <t>mail@26dim-ioann.ioa.sch.gr</t>
  </si>
  <si>
    <t>ΝΗΠΙΑΓΩΓΕΙΟ ΜΗΛΙΩΤΑΔΩΝ</t>
  </si>
  <si>
    <t>mail@nip-miliot.ioa.sch.gr</t>
  </si>
  <si>
    <t>ΜΗΛΙΩΤΑΔΩΝ</t>
  </si>
  <si>
    <t>19ο ΔΗΜΟΤΙΚΟ ΣΧΟΛΕΙΟ ΙΩΑΝΝΙΝΩΝ</t>
  </si>
  <si>
    <t>mail@19dim-ioann.ioa.sch.gr</t>
  </si>
  <si>
    <t>ΠΕΝΤΕΛΗΣ 1</t>
  </si>
  <si>
    <t>12ο ΔΗΜΟΤΙΚΟ ΣΧΟΛΕΙΟ ΙΩΑΝΝΙΝΩΝ</t>
  </si>
  <si>
    <t>mail@12dim-ioann.ioa.sch.gr</t>
  </si>
  <si>
    <t>mail@dim-pramant.ioa.sch.gr</t>
  </si>
  <si>
    <t>Πράμαντα</t>
  </si>
  <si>
    <t>Πράμαντα Ιωαννίνων</t>
  </si>
  <si>
    <t>mail@dim-loggad.ioa.sch.gr</t>
  </si>
  <si>
    <t>Λογγάδες</t>
  </si>
  <si>
    <t>mail@dim-katsik.ioa.sch.gr</t>
  </si>
  <si>
    <t>Βασιλείου Μελά 1</t>
  </si>
  <si>
    <t>mail@8dim-ioann.ioa.sch.gr</t>
  </si>
  <si>
    <t>ΝΗΠΙΑΓΩΓΕΙΟ ΚΟΥΤΣΕΛΙΟΥ</t>
  </si>
  <si>
    <t>mail@nip-koutsel.ioa.sch.gr</t>
  </si>
  <si>
    <t>2ο ΠΕΙΡΑΜΑΤΙΚΟ ΔΗΜΟΤΙΚΟ ΣΧΟΛΕΙΟ Ζ.Π.Α. ΙΩΑΝΝΙΝΩΝ (ΕΝΤΑΓΜΕΝΟ ΣΤΟ ΠΑΝΕΠΙΣΤΗΜΙΟ)</t>
  </si>
  <si>
    <t>mail@2dim-peir-zosim.ioa.sch.gr</t>
  </si>
  <si>
    <t>ΔΗΜΟΤΙΚΟ ΣΧΟΛΕΙΟ ΒΟΤΟΝΟΣΙΟΥ</t>
  </si>
  <si>
    <t>mail@dim-voton.ioa.sch.gr</t>
  </si>
  <si>
    <t>1ο ΔΗΜΟΤΙΚΟ ΣΧΟΛΕΙΟ ΧΡΥΣΟΒΙΤΣΑΣ</t>
  </si>
  <si>
    <t>mail@1dim-chris.ioa.sch.gr</t>
  </si>
  <si>
    <t>ΧΡΥΣΟΒΙΤΣΑ ΔΗΜΟΥ ΜΕΤΣΟΒΟΥ</t>
  </si>
  <si>
    <t>ΔΗΜΟΤΙΚΟ ΣΧΟΛΕΙΟ ΑΝΗΛΙΟΥ</t>
  </si>
  <si>
    <t>mail@dim-aniliou.ioa.sch.gr</t>
  </si>
  <si>
    <t>ΑΝΗΛΙΟ-ΜΕΤΣΟΒΟΥ</t>
  </si>
  <si>
    <t>mail@dim-mikr-perist.ioa.sch.gr</t>
  </si>
  <si>
    <t>ΠΕΡΙΣΤΕΡΙ  ΜΙΚΡΟ</t>
  </si>
  <si>
    <t>ΔΗΜΟΤΙΚΟ ΣΧΟΛΕΙΟ ΚΑΤΩ ΚΡΥΦΟΒΟΥ</t>
  </si>
  <si>
    <t>mail@dim-kryfov.ioa.sch.gr</t>
  </si>
  <si>
    <t>Κρυφοβό,</t>
  </si>
  <si>
    <t>ΚΡΥΦΟΒΟ</t>
  </si>
  <si>
    <t>ΝΗΠΙΑΓΩΓΕΙΟ ΕΠΙΣΚΟΠΙΚΟΥ</t>
  </si>
  <si>
    <t>mail@nip-episk.ioa.sch.gr</t>
  </si>
  <si>
    <t>1ο ΠΕΙΡΑΜΑΤΙΚΟ ΔΗΜΟΤΙΚΟ ΣΧΟΛΕΙΟ Ζ.Π.Α. ΙΩΑΝΝΙΝΩΝ (ΕΝΤΑΓΜΕΝΟ ΣΤΟ ΠΑΝΕΠΙΣΤΗΜΙΟ)</t>
  </si>
  <si>
    <t>mail@1dim-peir-ioann.ioa.sch.gr</t>
  </si>
  <si>
    <t>mail@27dim-ioann.ioa.sch.gr</t>
  </si>
  <si>
    <t>ΤΑΣΟΥ ΙΣΑΑΚ ΚΑΙ ΤΕΡΜΑ ΜΑΝΩΛΙΑΣΑΣ 22</t>
  </si>
  <si>
    <t>30ο ΝΗΠΙΑΓΩΓΕΙΟ ΙΩΑΝΝΙΝΩΝ</t>
  </si>
  <si>
    <t>mail@30nip-ioann.ioa.sch.gr</t>
  </si>
  <si>
    <t>5ο ΝΗΠΙΑΓΩΓΕΙΟ ΑΝΑΤΟΛΗΣ</t>
  </si>
  <si>
    <t>mail@5nip-anatol.ioa.sch.gr</t>
  </si>
  <si>
    <t>ΚΩΣΤΗ ΠΑΛΑΜΑ</t>
  </si>
  <si>
    <t>mail@dim-metam.ioa.sch.gr</t>
  </si>
  <si>
    <t>ΝΗΠΙΑΓΩΓΕΙΟ ΜΕΤΑΜΟΡΦΩΣΗΣ ΙΩΑΝΝΙΝΩΝ</t>
  </si>
  <si>
    <t>mail@nip-metam.ioa.sch.gr</t>
  </si>
  <si>
    <t>ΝΗΠΙΑΓΩΓΕΙΟ ΝΕΟΚΑΙΣΑΡΕΙΑΣ</t>
  </si>
  <si>
    <t>mail@nip-neokais.ioa.sch.gr</t>
  </si>
  <si>
    <t>ΝΗΠΙΑΓΩΓΕΙΟ ΚΕΦΑΛΟΒΡΥΣΟΥ</t>
  </si>
  <si>
    <t>mail@nip-kefalovr.ioa.sch.gr</t>
  </si>
  <si>
    <t>6ο ΝΗΠΙΑΓΩΓΕΙΟ ΑΝΑΤΟΛΗΣ</t>
  </si>
  <si>
    <t>mail@6nip-anatol.ioa.sch.gr</t>
  </si>
  <si>
    <t>ΑΓΩΝΙΣΤΩΝ ΑΝΑΤΟΛΗΣ 23</t>
  </si>
  <si>
    <t>31ο ΝΗΠΙΑΓΩΓΕΙΟ ΙΩΑΝΝΙΝΩΝ</t>
  </si>
  <si>
    <t>mail@31nip-ioann.ioa.sch.gr</t>
  </si>
  <si>
    <t>Π.Γ.Ν. ΔΟΥΡΟΥΤΗ ΙΩΑΝΝΙΝΩΝ</t>
  </si>
  <si>
    <t>ΝΗΠΙΑΓΩΓΕΙΟ ΠΕΡΑΜΑΤΟΣ ΙΩΑΝΝΙΝΩΝ</t>
  </si>
  <si>
    <t>mail@1nip-peram.ioa.sch.gr</t>
  </si>
  <si>
    <t>25ης ΜΑΡΤΙΟΥ 4</t>
  </si>
  <si>
    <t>2ο ΝΗΠΙΑΓΩΓΕΙΟ ΕΛΕΟΥΣΑΣ</t>
  </si>
  <si>
    <t>mail@2nip-eleous.ioa.sch.gr</t>
  </si>
  <si>
    <t>21η Φεβρουαρίου</t>
  </si>
  <si>
    <t>mail@2dim-eleous.ioa.sch.gr</t>
  </si>
  <si>
    <t xml:space="preserve">Ελεούσα  </t>
  </si>
  <si>
    <t>ΠΟΛΥΤΕΧΝΕΙΟΥ 37 &amp; ΒΕΛΙΣΣΑΡΙΟΥ &amp; ΠΡΟΦΗΤΗ ΗΛΙΑ 2</t>
  </si>
  <si>
    <t>ΝΗΠΙΑΓΩΓΕΙΟ ΒΟΒΟΥΣΑΣ</t>
  </si>
  <si>
    <t>mail@nip-vovous.ioa.sch.gr</t>
  </si>
  <si>
    <t>ΒΟΒΟΥΣΑΣ</t>
  </si>
  <si>
    <t>ΔΗΜΟΤΙΚΟ ΣΧΟΛΕΙΟ ΝΕΟΧΩΡΟΠΟΥΛΟΥ</t>
  </si>
  <si>
    <t>4ο ΔΗΜΟΤΙΚΟ ΣΧΟΛΕΙΟ ΑΝΑΤΟΛΗΣ</t>
  </si>
  <si>
    <t>mail@4dim-anatol.ioa.sch.gr</t>
  </si>
  <si>
    <t>ΠΛΑΤΩΝΟΣ</t>
  </si>
  <si>
    <t>ΔΙΕΥΘΥΝΣΗ Π.Ε. ΠΡΕΒΕΖΑΣ</t>
  </si>
  <si>
    <t>10ο ΝΗΠΙΑΓΩΓΕΙΟ ΠΡΕΒΕΖΑ</t>
  </si>
  <si>
    <t>mail@10nip-prevez.pre.sch.gr</t>
  </si>
  <si>
    <t>ΜΑΥΡΟΚΟΡΔΑΤΟΥ 10</t>
  </si>
  <si>
    <t>1ο ΝΗΠΙΑΓΩΓΕΙΟ ΠΡΕΒΕΖΑΣ</t>
  </si>
  <si>
    <t>mail@1nip-prevez.pre.sch.gr</t>
  </si>
  <si>
    <t>ΛΕΩΦΟΡΟΣ ΕΙΡΗΝΗΣ 74</t>
  </si>
  <si>
    <t>1ο ΝΗΠΙΑΓΩΓΕΙΟ ΦΙΛΙΠΠΙΑΔΑΣ</t>
  </si>
  <si>
    <t>mail@1nip-filipp.pre.sch.gr</t>
  </si>
  <si>
    <t>ΓΡΗΓΟΡΗ ΛΑΜΠΡΑΚΗ</t>
  </si>
  <si>
    <t>11ο ΝΗΠΙΑΓΩΓΕΙΟ ΠΡΕΒΕΖΑΣ</t>
  </si>
  <si>
    <t>mail@11nip-prevez.pre.sch.gr</t>
  </si>
  <si>
    <t>ΠΑΝΤΟΚΡΑΤΟΡΑΣ ΠΡΕΒΕΖΑΣ</t>
  </si>
  <si>
    <t>8ο ΝΗΠΙΑΓΩΓΕΙΟ ΠΡΕΒΕΖΑ</t>
  </si>
  <si>
    <t>mail@8nip-prevez.pre.sch.gr</t>
  </si>
  <si>
    <t>ΦΙΛΙΠΠΟΥ 31</t>
  </si>
  <si>
    <t>2ο ΔΗΜΟΤΙΚΟ ΣΧΟΛΕΙΟ ΠΡΕΒΕΖΑΣ</t>
  </si>
  <si>
    <t>mail@2dim-prevez.pre.sch.gr</t>
  </si>
  <si>
    <t>mail@1dim-thesp.pre.sch.gr</t>
  </si>
  <si>
    <t>1ο ΔΗΜΟΤΙΚΟ ΣΧΟΛΕΙΟ ΠΡΕΒΕΖΑΣ</t>
  </si>
  <si>
    <t>mail@1dim-prevez.pre.sch.gr</t>
  </si>
  <si>
    <t>Π.ΤΣΑΛΔΑΡΗ 64</t>
  </si>
  <si>
    <t>13ο ΝΗΠΙΑΓΩΓΕΙΟ ΠΡΕΒΕΖΑΣ</t>
  </si>
  <si>
    <t>mail@13nip-prevez.pre.sch.gr</t>
  </si>
  <si>
    <t>ΨΑΘΑΚΙ</t>
  </si>
  <si>
    <t>ΚΑΝΑΛΙΟΥ</t>
  </si>
  <si>
    <t>ΔΗΜΟΤΙΚΟ ΣΧΟΛΕΙΟ ΚΑΝΑΛΙΟΥ</t>
  </si>
  <si>
    <t>mail@dim-kanali.pre.sch.gr</t>
  </si>
  <si>
    <t>ΚΑΝΑΛΙ</t>
  </si>
  <si>
    <t>mail@3dim-filipp.pre.sch.gr</t>
  </si>
  <si>
    <t>ΜΠΙΖΑΝΙΟΥ ΠΑΡΟΔΟΣ 2</t>
  </si>
  <si>
    <t>2ο Νηπιαγωγειο Πρέβεζας</t>
  </si>
  <si>
    <t>mail@2nip-prevez.pre.sch.gr</t>
  </si>
  <si>
    <t>ΠΡΟΜΗΘΕΩΣ 8</t>
  </si>
  <si>
    <t>ΑΝΩΓΕΙΟΥ</t>
  </si>
  <si>
    <t>ΓΟΡΓΟΜΥΛΟΥ</t>
  </si>
  <si>
    <t>ΔΗΜΟΤΙΚΟ ΣΧΟΛΕΙΟ ΝΕΟΣ ΓΟΡΓΟΜΥΛΟΣ</t>
  </si>
  <si>
    <t>mail@dim-n-gorgom.pre.sch.gr</t>
  </si>
  <si>
    <t>ΝΕΟΣ ΓΟΡΓΟΜΥΛΟΣ</t>
  </si>
  <si>
    <t>ΝΗΠΙΑΓΩΓΕΙΟ   ΤΥΡΙΑΣ</t>
  </si>
  <si>
    <t>mail@nip-tyrias.pre.sch.gr</t>
  </si>
  <si>
    <t>ΤΥΡΙΑ</t>
  </si>
  <si>
    <t>ΤΥΡΙΑ ΠΡΕΒΕΖΑΣ</t>
  </si>
  <si>
    <t>ΝΗΠΙΑΓΩΓΕΙΟ ΚΑΣΤΡΟΣΥΚΙΑΣ</t>
  </si>
  <si>
    <t>mail@nip-kastr.pre.sch.gr</t>
  </si>
  <si>
    <t>ΚΑΣΤΡΟΣΥΚΙΑ</t>
  </si>
  <si>
    <t>ΚΑΣΤΡΟΣΥΚΙΑ ΠΡΕΒΕΖΑΣ</t>
  </si>
  <si>
    <t>mail@dim-n-sinop.pre.sch.gr</t>
  </si>
  <si>
    <t>5ο ΝΗΠΙΑΓΩΓΕΙΟ ΠΡΕΒΕΖΑΣ</t>
  </si>
  <si>
    <t>mail@5nip-prevez.pre.sch.gr</t>
  </si>
  <si>
    <t>ΔΟΥΛΗ 5</t>
  </si>
  <si>
    <t>ΝΗΠΙΑΓΩΓΕΙΟ ΜΥΤΙΚΑ ΠΡΕΒΕΖΑΣ</t>
  </si>
  <si>
    <t>mail@nip-mytik.pre.sch.gr</t>
  </si>
  <si>
    <t>ΜΥΤΙΚΑΣ ΠΡΕΒΕΖΑΣ</t>
  </si>
  <si>
    <t>ΝΗΠΙΑΓΩΓΕΙΟ ΑΓΙΑ ΠΑΡΓΑΣ</t>
  </si>
  <si>
    <t>mail@nip-agias.pre.sch.gr</t>
  </si>
  <si>
    <t>ΑΓΙΑ  ΠΑΡΓΑΣ</t>
  </si>
  <si>
    <t>ΒΑΛΑΝΙΔΟΡΑΧΗΣ</t>
  </si>
  <si>
    <t>1/θέσιο Νηπιαγωγείο Βαλανιδοράχης</t>
  </si>
  <si>
    <t>mail@nip-valan.pre.sch.gr</t>
  </si>
  <si>
    <t>ΒΑΛΑΝΙΔΟΡΡΑΧΗ</t>
  </si>
  <si>
    <t>1ο ΝΗΠΙΑΓΩΓΕΙΟ ΘΕΣΠΡΩΤΙΚΟΥ</t>
  </si>
  <si>
    <t>mail@1nip-thespr.pre.sch.gr</t>
  </si>
  <si>
    <t>ΔΗΜΟΤΙΚΟ ΣΧΟΛΕΙΟ Ν. ΩΡΩΠΟΥ</t>
  </si>
  <si>
    <t>mail@dim-oropou.pre.sch.gr</t>
  </si>
  <si>
    <t>Ν. ΩΡΩΠΟΣ ΠΡΕΒΕΖΗΣ</t>
  </si>
  <si>
    <t>Ν. ΩΡΩΠΟΣ</t>
  </si>
  <si>
    <t>4ο  ΝΗΠΙΑΓΩΓΕΙΟ ΠΡΕΒΕΖΑΣ</t>
  </si>
  <si>
    <t>mail@4nip-prevez.pre.sch.gr</t>
  </si>
  <si>
    <t>ΜΑΝΟΠΟΥΛΟΥ  12</t>
  </si>
  <si>
    <t>ΝΗΠΙΑΓΩΓΕΙΟ     ΑΡΧΑΓΓΕΛΟΥ  ΠΡΕΒΕΖΑΣ</t>
  </si>
  <si>
    <t>mail@nip-archagg.pre.sch.gr</t>
  </si>
  <si>
    <t>ΑΡΧΑΓΓΕΛΟΥ ΠΡΕΒΕΖΑΣ</t>
  </si>
  <si>
    <t>1ο ΝΗΠΙΑΓΩΓΕΙΟ ΠΑΡΓΑΣ</t>
  </si>
  <si>
    <t>mail@1nip-pargas.pre.sch.gr</t>
  </si>
  <si>
    <t>ΣΠΥΡΟΥ ΛΕΙΒΑΔΑ 12</t>
  </si>
  <si>
    <t>2ο ΝΗΠΙΑΓΩΓΕΙΟ ΠΑΡΓΑΣ</t>
  </si>
  <si>
    <t>mail@2nip-pargas.pre.sch.gr</t>
  </si>
  <si>
    <t>ΠΑΡΟΔΟΣ ΑΘ.ΓΚΟΥΝΑ</t>
  </si>
  <si>
    <t>ΒΟΥΒΟΠΟΤΑΜΟΥ</t>
  </si>
  <si>
    <t>ΝΗΠΙΑΓΩΓΕΙΟ ΒΟΥΒΟΠΟΤΑΜΟΥ</t>
  </si>
  <si>
    <t>mail@nip-vouvop.pre.sch.gr</t>
  </si>
  <si>
    <t>ΒΟΥΒΟΠΟΤΑΜΟΣ ΠΡΕΒΕΖΑΣ</t>
  </si>
  <si>
    <t>ΝΗΠΙΑΓΩΓΕΙΟ ΚΑΝΑΛΙΟΥ ΠΡΕΒΕΖΑΣ</t>
  </si>
  <si>
    <t>mail@nip-kanal.pre.sch.gr</t>
  </si>
  <si>
    <t>ΚΑΝΑΛΙ ΠΡΕΒΕΖΑΣ</t>
  </si>
  <si>
    <t>ΝΙΚΟΠΟΛΕΩΣ</t>
  </si>
  <si>
    <t>ΝΗΠΙΑΓΩΓΕΙΟ ΝΙΚΟΠΟΛΗΣ</t>
  </si>
  <si>
    <t>mail@nip-nikop.pre.sch.gr</t>
  </si>
  <si>
    <t>ΝΙΚΟΠΟΛΗ</t>
  </si>
  <si>
    <t>ΝΗΠΙΑΓΩΓΕΙΟ ΝΕΑΣ ΣΑΜΨΟΥΝΤΑΣ</t>
  </si>
  <si>
    <t>mail@nip-n-samps.pre.sch.gr</t>
  </si>
  <si>
    <t>Ν.ΣΑΜΨΟΥΝΤΑ</t>
  </si>
  <si>
    <t>6ο ΝΗΠΙΑΓΩΓΕΙΟ ΠΡΕΒΕΖΑΣ</t>
  </si>
  <si>
    <t>mail@6nip-prevez.pre.sch.gr</t>
  </si>
  <si>
    <t>ΑΡΚΑΔΙΟΥ  23</t>
  </si>
  <si>
    <t>12ο ΝΗΠΙΑΓΩΓΕΙΟ ΠΡΕΒΕΖΑΣ</t>
  </si>
  <si>
    <t>mail@12nip-prevez.pre.sch.gr</t>
  </si>
  <si>
    <t>ΠΑΡ ΖΑΛΟΚΩΣΤΑ ΕΝΑΝΤΙ Ν ΑΓ ΕΙΡΗΝΗΣ</t>
  </si>
  <si>
    <t>4ο ΝΗΠΙΑΓΩΓΕΙΟ ΦΙΛΙΠΠΙΑΔΑΣ</t>
  </si>
  <si>
    <t>mail@4nip-filipp.pre.sch.gr</t>
  </si>
  <si>
    <t>ΜΠΙΖΑΝΙΟΥ ΚΑΙ ΣΤΑΔΙΟΥ (ΓΩΝΙΑ)</t>
  </si>
  <si>
    <t>ΜΕΣΟΠΟΤΑΜΟΥ</t>
  </si>
  <si>
    <t>ΝΗΠΙΑΓΩΓΕΙΟ ΜΕΣΟΠΟΤΑΜΟΥ</t>
  </si>
  <si>
    <t>mail@nip-mesop.pre.sch.gr</t>
  </si>
  <si>
    <t>ΜΕΣΟΠΟΤΑΜΟΣ</t>
  </si>
  <si>
    <t>ΜΕΣΟΠΟΤΑΜΟY</t>
  </si>
  <si>
    <t>ΝΗΠΙΑΓΩΓΕΙΟ ΧΕΙΜΑΔΙΟ</t>
  </si>
  <si>
    <t>mail@nip-cheim.pre.sch.gr</t>
  </si>
  <si>
    <t>ΝΗΠΙΑΓΩΓΕΙΟ Ν.ΩΡΩΠΟΣ</t>
  </si>
  <si>
    <t>mail@nip-n-oropou.pre.sch.gr</t>
  </si>
  <si>
    <t>Ν.ΩΡΩΠΟΣ</t>
  </si>
  <si>
    <t>Ν.ΩΡΩΠΟΣ ΠΡΕΒΕΖΑΣ</t>
  </si>
  <si>
    <t>2ο ΝΗΠΙΑΓΩΓΕΙΟ ΘΕΣΠΡΩΤΙΚΟΥ</t>
  </si>
  <si>
    <t>mail@2nip-thespr.pre.sch.gr</t>
  </si>
  <si>
    <t>ΘΕΣΠΡΩΤΙΚΟ ΠΡΕΒΕΖΑΣ</t>
  </si>
  <si>
    <t>ΝΗΠΙΑΓΩΓΕΙΟ ΛΟΥΡΟΥ</t>
  </si>
  <si>
    <t>mail@nip-lourou.pre.sch.gr</t>
  </si>
  <si>
    <t>ΛΟΥΡΟΣ</t>
  </si>
  <si>
    <t>2ο ΝΗΠΙΑΓΩΓΕΙΟ ΚΑΝΑΛΛΑΚΙΟΥ</t>
  </si>
  <si>
    <t>mail@2nip-kanal.pre.sch.gr</t>
  </si>
  <si>
    <t>ΚΑΝΑΛΛΑΚΙ</t>
  </si>
  <si>
    <t>ΚΑΝΑΛΛΑΚΙ ΠΡΕΒΕΖΑΣ</t>
  </si>
  <si>
    <t>ΝΗΠΙΑΓΩΓΕΙΟ ΝΕΑΣ ΣΙΝΩΠΗΣ-ΠΡΕΒΕΖΑΣ</t>
  </si>
  <si>
    <t>mail@nip-n-sinop.pre.sch.gr</t>
  </si>
  <si>
    <t>ΝΕΑ ΣΙΝΩΠΗ-ΠΡΕΒΕΖΑΣ</t>
  </si>
  <si>
    <t>ΝΕΑ ΣΙΝΩΠΗ ΠΡΕΒΕΖΑΣ</t>
  </si>
  <si>
    <t>1ο ΝΗΠΙΑΓΩΓΕΙΟ ΚΑΝΑΛΛΑΚΙΟΥ</t>
  </si>
  <si>
    <t>mail@1nip-kanal.pre.sch.gr</t>
  </si>
  <si>
    <t>ΣΟΥΛΙΟΥ 60</t>
  </si>
  <si>
    <t>ΔΗΜΟΤΙΚΟ ΣΧΟΛΕΙΟ ΜΥΤΙΚΑ ΠΡΕΒΕΖΑΣ</t>
  </si>
  <si>
    <t>mail@dim-mytik.pre.sch.gr</t>
  </si>
  <si>
    <t>ΝΕΑΣ ΚΕΡΑΣΟΥΝΤΟΣ</t>
  </si>
  <si>
    <t>ΔΗΜΟΤΙΚΟ ΣΧΟΛΕΙΟ ΝΕΑΣ ΚΕΡΑΣΟΥΝΤΑΣ</t>
  </si>
  <si>
    <t>mail@dim-n-keras.pre.sch.gr</t>
  </si>
  <si>
    <t>ΝΕΑ ΚΕΡΑΣΟΥΝΤΑ</t>
  </si>
  <si>
    <t>mail@dim-filipp.pre.sch.gr</t>
  </si>
  <si>
    <t>Γ. ΠΑΠΑΝΔΡΕΟΥ</t>
  </si>
  <si>
    <t>ΔΗΜΟΤΙΚΟ ΣΧΟΛΕΙΟ ΜΕΣΟΠΟΤΑΜΟΥ</t>
  </si>
  <si>
    <t>mail@dim-mesop.pre.sch.gr</t>
  </si>
  <si>
    <t>ΜΕΣΟΠΟΤΑΜΟΣ ΠΡΕΒΕΖΑΣ</t>
  </si>
  <si>
    <t>mail@5dim-prevez.pre.sch.gr</t>
  </si>
  <si>
    <t>ΚΕΡΚΥΡΑΣ 20</t>
  </si>
  <si>
    <t>ΔΗΜΟΤΙΚΟ ΣΧΟΛΕΙΟ ΒΟΥΒΟΠΟΤΑΜΟΥ</t>
  </si>
  <si>
    <t>mail@dim-vouvop.pre.sch.gr</t>
  </si>
  <si>
    <t>ΒΟΥΒΟΠΟΤΑΜΟΣ</t>
  </si>
  <si>
    <t>2ο ΔΗΜΟΤΙΚΟ ΣΧΟΛΕΙΟ ΦΙΛΙΠΠΙΑΔΑΣ</t>
  </si>
  <si>
    <t>mail@2dim-filipp.pre.sch.gr</t>
  </si>
  <si>
    <t>ΜΠΙΖΑΝΙΟΥ 400</t>
  </si>
  <si>
    <t>mail@3dim-prevez.pre.sch.gr</t>
  </si>
  <si>
    <t>ΑΡΚΑΔΙΟΥ 6</t>
  </si>
  <si>
    <t>mail@2dim-kanall.pre.sch.gr</t>
  </si>
  <si>
    <t>mail@4dim-prevez.pre.sch.gr</t>
  </si>
  <si>
    <t>ΣΟΛΩΜΟΥ &amp;  ΜΙΑΟΥΛΗ</t>
  </si>
  <si>
    <t>mail@1dim-kanal.pre.sch.gr</t>
  </si>
  <si>
    <t>7ο ΔΗΜΟΤΙΚΟ ΣΧΟΛΕΙΟ ΠΡΕΒΕΖΑΣ</t>
  </si>
  <si>
    <t>mail@7dim-prevez.pre.sch.gr</t>
  </si>
  <si>
    <t>ΨΑΘΑΚΙ ΠΡΕΒΕΖΑΣ</t>
  </si>
  <si>
    <t>1ο ΕΙΔΙΚΟ ΔΗΜΟΤΙΚΟ ΣΧΟΛΕΙΟ ΠΡΕΒΕΖΑΣ</t>
  </si>
  <si>
    <t>mail@1dim-eid-prevez.pre.sch.gr</t>
  </si>
  <si>
    <t>ΔΗΜΟΤΙΚΟ ΣΧΟΛΕΙΟ ΑΓΙΑΣ ΠΡΕΒΕΖΑΣ</t>
  </si>
  <si>
    <t>mail@dim-kiryk.pre.sch.gr</t>
  </si>
  <si>
    <t>ΑΓΙΑ ΠΡΕΒΕΖΑΣ</t>
  </si>
  <si>
    <t>ΑΓΙΑ</t>
  </si>
  <si>
    <t>mail@6dim-prevez.pre.sch.gr</t>
  </si>
  <si>
    <t>ΜΑΝΟΠΟΥΛΟΥ 12</t>
  </si>
  <si>
    <t>1ο  ΔΗΜΟΤΙΚΟ ΣΧΟΛΕΙΟ ΠΑΡΓΑΣ</t>
  </si>
  <si>
    <t>mail@1dim-pargas.pre.sch.gr</t>
  </si>
  <si>
    <t>ΣΠ.ΛΙΒΑΔΑ ΠΑΡΓΑ 12</t>
  </si>
  <si>
    <t>ΝΗΠΙΑΓΩΓΕΙΟ ΝΕΟΣ ΓΟΡΓΟΜΥΛΟΣ</t>
  </si>
  <si>
    <t>mail@nip-n-gorgom.pre.sch.gr</t>
  </si>
  <si>
    <t>ΔΗΜΟΤΙΚΟ ΣΧΟΛΕΙΟ ΧΕΙΜΑΔΙΟΥ ΠΡΕΒΕΖΑΣ</t>
  </si>
  <si>
    <t>mail@dim-cheim.pre.sch.gr</t>
  </si>
  <si>
    <t>ΧΕΙΜΑΔΙΟ ΠΡΕΒΕΖΑΣ</t>
  </si>
  <si>
    <t>mail@dim-lourou.pre.sch.gr</t>
  </si>
  <si>
    <t>Λούρος,</t>
  </si>
  <si>
    <t>ΠΡΟΦΗΤΗ ΗΛΙΑ</t>
  </si>
  <si>
    <t>mail@2dim-pargas.pre.sch.gr</t>
  </si>
  <si>
    <t>1 ΠΑΡΟΔΟΣ ΑΘΑΝΑΣΙΟΥ ΓΚΟΥΝΑ</t>
  </si>
  <si>
    <t>mail@8dim-prevez.pre.sch.gr</t>
  </si>
  <si>
    <t>ΣΥΡΡΑΚΟΥ 2, ΕΛΑΙΩΝΑΣ</t>
  </si>
  <si>
    <t>3ο ΝΗΠΙΑΓΩΓΕΙΟ ΦΙΛΙΠΠΙΑΔΑΣ- "Κώστας Κρυστάλλης"</t>
  </si>
  <si>
    <t>mail@3nip-filipp.pre.sch.gr</t>
  </si>
  <si>
    <t>ΤΣΑΚΑΛΩΦ</t>
  </si>
  <si>
    <t>2ο ΝΗΠΙΑΓΩΓΕΙΟ ΦΙΛΙΠΠΙΑΔΑ</t>
  </si>
  <si>
    <t>mail@2nip-filipp.pre.sch.gr</t>
  </si>
  <si>
    <t>ΚΩΣΤΗ ΠΑΛΑΜΑ 2</t>
  </si>
  <si>
    <t>ΝΗΠΙΑΓΩΓΕΙΟ ΝΕΑ ΚΕΡΑΣΟΥΝΤΑΣ</t>
  </si>
  <si>
    <t>mail@nip-n-keras.pre.sch.gr</t>
  </si>
  <si>
    <t>7ο ΝΗΠΙΑΓΩΓΕΙΟ ΠΡΕΒΕΖΑΣ</t>
  </si>
  <si>
    <t>mail@7nip-prevez.pre.sch.gr</t>
  </si>
  <si>
    <t>ΠΑΡΓΙΝΟΣΚΑΛΑΣ 29</t>
  </si>
  <si>
    <t>9ο ΝΗΠΙΑΓΩΓΕΙΟ ΠΡΕΒΕΖΑΣ</t>
  </si>
  <si>
    <t>mail@9nip-prevez.pre.sch.gr</t>
  </si>
  <si>
    <t>ΔΗΜΗΤΡΙΟΥ ΚΡΟΚΟΥ 76</t>
  </si>
  <si>
    <t>ΔΗΜΟΤΙΚΟ ΣΧΟΛΕΙΟ ΠΑΝΤΟΚΡΑΤΟΡΑ ΠΡΕΒΕΖΑΣ</t>
  </si>
  <si>
    <t>mail@dim-pantokr.pre.sch.gr</t>
  </si>
  <si>
    <t xml:space="preserve">ΠΑΝΤΟΚΡΑΤΟΡΑΣ ΠΡΕΒΕΖΑΣ </t>
  </si>
  <si>
    <t>ΔΗΜΟΤΙΚΟ ΣΧΟΛΕΙΟ ΑΓΙΟΥ ΓΕΩΡΓΙΟΥ ΠΡΕΒΕΖΗΣ</t>
  </si>
  <si>
    <t>mail@dim-ag-georg.pre.sch.gr</t>
  </si>
  <si>
    <t>ΔΗΜΟΤΙΚΟ ΣΧΟΛΕΙΟ ΑΝΘΟΥΣΑΣ</t>
  </si>
  <si>
    <t>mail@dim-anthous.pre.sch.gr</t>
  </si>
  <si>
    <t>ΑΝΘΟΥΣΑ ΠΑΡΓΑΣ</t>
  </si>
  <si>
    <t>ΝΗΠΙΑΓΩΓΕΙΟ ΑΓΙΟΣ ΓΕΩΡΓΙΟΣ</t>
  </si>
  <si>
    <t>mail@nip-ag-georg.pre.sch.gr</t>
  </si>
  <si>
    <t>ΝΗΠΙΑΓΩΓΕΙΟ ΑΝΘΟΥΣΑ</t>
  </si>
  <si>
    <t>mail@nip-anthous.pre.sch.gr</t>
  </si>
  <si>
    <t>ΝΗΠΙΑΓΩΓΕΙΟ ΠΕΤΡΑΣ ΠΡΕΒΕΖΑΣ</t>
  </si>
  <si>
    <t>mail@nip-petras.pre.sch.gr</t>
  </si>
  <si>
    <t>ΠΕΤΡΑ ΠΡΕΒΕΖΑ</t>
  </si>
  <si>
    <t>ΡΙΖΟΒΟΥΝΙΟΥ</t>
  </si>
  <si>
    <t>ΝΗΠΙΑΓΩΓΕΙΟ ΡΙΖΟΒΟΥΝΙΟΥ ΖΗΡΟΥ</t>
  </si>
  <si>
    <t>mail@nip-rizov.pre.sch.gr</t>
  </si>
  <si>
    <t>ΡΙΖΟΒΟΥΝΙ</t>
  </si>
  <si>
    <t>1ο ΕΙΔΙΚΟ ΝΗΠΙΑΓΩΓΕΙΟ ΠΡΕΒΕΖΑΣ</t>
  </si>
  <si>
    <t>mail@1nip-eid-prevez.pre.sch.gr</t>
  </si>
  <si>
    <t>Λ. ΕΙΡΗΝΗΣ 74 ΠΡΕΒΕΖΑ,</t>
  </si>
  <si>
    <t>ΠΕΡΙΦΕΡΕΙΑΚΗ Δ/ΝΣΗ Α/ΘΜΙΑΣ ΚΑΙ Β/ΘΜΙΑΣ ΕΚΠ/ΣΗΣ ΘΕΣΣΑΛΙΑΣ</t>
  </si>
  <si>
    <t>ΚΑΡΔΙΤΣΑΣ</t>
  </si>
  <si>
    <t>ΚΑΡΔΙΤΣΗΣ</t>
  </si>
  <si>
    <t>Κ.Ε.Σ.Υ. ΚΑΡΔΙΤΣΑΣ</t>
  </si>
  <si>
    <t>mail@kesy.kar.sch.gr</t>
  </si>
  <si>
    <t>ΚΑΡΔΙΤΣΑ</t>
  </si>
  <si>
    <t>ΠΛΑΣΤΗΡΑ 21</t>
  </si>
  <si>
    <t>ΛΑΡΙΣΑΣ</t>
  </si>
  <si>
    <t>ΛΑΡΙΣΑΙΩΝ</t>
  </si>
  <si>
    <t>1ο ΔΙΑΜΕΡΙΣΜΑ ΛΑΡΙΣΗΣ</t>
  </si>
  <si>
    <t>ΚΕΣΥ ΛΑΡΙΣΑΣ</t>
  </si>
  <si>
    <t>mail@kesy.lar.sch.gr</t>
  </si>
  <si>
    <t>ΛΑΡΙΣΑ</t>
  </si>
  <si>
    <t>ΚΑΣΤΟΡΙΑΣ 2Α</t>
  </si>
  <si>
    <t>ΜΑΓΝΗΣΙΑΣ</t>
  </si>
  <si>
    <t>ΒΟΛΟΥ</t>
  </si>
  <si>
    <t>ΚΕΣΥ ΜΑΓΝΗΣΙΑΣ</t>
  </si>
  <si>
    <t>mail@kesy.mag.sch.gr</t>
  </si>
  <si>
    <t>ΒΟΛΟΣ</t>
  </si>
  <si>
    <t>Λεωφ. Ειρήνης  131</t>
  </si>
  <si>
    <t>ΤΡΙΚΑΛΩΝ</t>
  </si>
  <si>
    <t>ΤΡΙΚΚΑΙΩΝ</t>
  </si>
  <si>
    <t>Κ.Ε.Σ.Υ. ΤΡΙΚΑΛΩΝ</t>
  </si>
  <si>
    <t>mail@kesy.tri.sch.gr</t>
  </si>
  <si>
    <t>ΤΡΙΚΑΛΑ</t>
  </si>
  <si>
    <t>ΜΠΟΤΣΑΡΗ 2</t>
  </si>
  <si>
    <t>ΔΙΕΥΘΥΝΣΗ Δ.Ε. ΚΑΡΔΙΤΣΑΣ</t>
  </si>
  <si>
    <t>ΣΟΦΑΔΩΝ</t>
  </si>
  <si>
    <t>ΗΜΕΡΗΣΙΟ ΓΕΝΙΚΟ ΛΥΚΕΙΟ ΣΟΦΑΔΩΝ ΚΑΡΔΙΤΣΑΣ</t>
  </si>
  <si>
    <t>mail@lyk-sofad.kar.sch.gr</t>
  </si>
  <si>
    <t>ΣΟΦΑΔΕΣ ΚΑΡΔΙΤΣΑΣ</t>
  </si>
  <si>
    <t>ΚΙΕΡΙΟΥ 119</t>
  </si>
  <si>
    <t>1ο ΔΗΜΟΤΙΚΟ ΣΧΟΛΕΙΟ ΣΟΦΑΔΩΝ</t>
  </si>
  <si>
    <t>ΜΕΝΕΛΑΪΔΑΣ</t>
  </si>
  <si>
    <t>ΚΕΔΡΟΥ</t>
  </si>
  <si>
    <t>ΗΜΕΡΗΣΙΟ ΓΥΜΝΑΣΙΟ ΚΕΔΡΟΥ ΚΑΡΔΙΤΣΑΣ</t>
  </si>
  <si>
    <t>mail@gym-kedrou.kar.sch.gr</t>
  </si>
  <si>
    <t>ΚΕΔΡΟΣ</t>
  </si>
  <si>
    <t>ΚΕΔΡΟΣ ΚΑΡΔΙΤΣΑΣ</t>
  </si>
  <si>
    <t>ΔΗΜΟΤΙΚΟ ΣΧΟΛΕΙΟ ΚΕΔΡΟΥ</t>
  </si>
  <si>
    <t>ΠΑΛΑΜΑ</t>
  </si>
  <si>
    <t>1ο ΗΜΕΡΗΣΙΟ ΕΠΑ.Λ. ΠΑΛΑΜΑ ΚΑΡΔΙΤΣΑΣ</t>
  </si>
  <si>
    <t>mail@1epal-palam.kar.sch.gr</t>
  </si>
  <si>
    <t xml:space="preserve">ΠΑΛΑΜΑΣ </t>
  </si>
  <si>
    <t>ΟΔΥΣΣΕΑ ΑΝΔΡΟΥΤΣΟΥ 59</t>
  </si>
  <si>
    <t>1ο ΔΗΜΟΤΙΚΟ ΣΧΟΛΕΙΟ ΠΑΛΑΜΑ</t>
  </si>
  <si>
    <t>1ο ΗΜΕΡΗΣΙΟ ΕΠΑΛ ΣΟΦΑΔΩΝ</t>
  </si>
  <si>
    <t>mail@1epal-sofad.kar.sch.gr</t>
  </si>
  <si>
    <t>ΤΕΡΜΑ ΑΘΗΝΩΝ-ΣΟΦΑΔΕΣ</t>
  </si>
  <si>
    <t>2ο ΔΗΜΟΤΙΚΟ ΣΧΟΛΕΙΟ ΣΟΦΑΔΩΝ</t>
  </si>
  <si>
    <t>4ο ΗΜΕΡΗΣΙΟ ΓΕΝΙΚΟ ΛΥΚΕΙΟ ΚΑΡΔΙΤΣΑΣ</t>
  </si>
  <si>
    <t>mail@4lyk-kardits.kar.sch.gr</t>
  </si>
  <si>
    <t>ΟΠΙΣΘΕΝ ΕΘΝΙΚΟΥ ΣΤΑΔΙΟΥ</t>
  </si>
  <si>
    <t>9ο ΔΗΜΟΤΙΚΟ ΣΧΟΛΕΙΟ ΚΑΡΔΙΤΣΑΣ</t>
  </si>
  <si>
    <t>2ο ΗΜΕΡΗΣΙΟ ΓΕΝΙΚΟ ΛΥΚΕΙΟ ΚΑΡΔΙΤΣΑΣ</t>
  </si>
  <si>
    <t>mail@2lyk-kardits.kar.sch.gr</t>
  </si>
  <si>
    <t>Ν.ΤΕΜΠΟΝΕΡΑ 5</t>
  </si>
  <si>
    <t>4ο ΔΗΜΟΤΙΚΟ ΣΧΟΛΕΙΟ ΚΑΡΔΙΤΣΑΣ</t>
  </si>
  <si>
    <t>ΤΑΜΑΣΙΟΥ</t>
  </si>
  <si>
    <t>ΛΕΟΝΤΑΡΙΟΥ</t>
  </si>
  <si>
    <t>ΗΜΕΡΗΣΙΟ ΓΕΝΙΚΟ ΛΥΚΕΙΟ ΛΕΟΝΤΑΡΙΟΥ ΚΑΡΔΙΤΣΑΣ</t>
  </si>
  <si>
    <t>mail@lyk-leont.kar.sch.gr</t>
  </si>
  <si>
    <t>ΛΕΟΝΤΑΡΙ ΚΑΡΔΙΤΣΑΣ</t>
  </si>
  <si>
    <t>ΔΗΜΟΤΙΚΟ ΣΧΟΛΕΙΟ ΛΕΟΝΤΑΡΙΟΥ ΚΑΡΔΙΤΣΑΣ</t>
  </si>
  <si>
    <t>ΣΕΛΛΑΝΩΝ</t>
  </si>
  <si>
    <t>ΗΜΕΡΗΣΙΟ ΓΕΝΙΚΟ ΛΥΚΕΙΟ ΠΡΟΑΣΤΙΟΥ ΚΑΡΔΙΤΣΑΣ</t>
  </si>
  <si>
    <t>mail@lyk-proast.kar.sch.gr</t>
  </si>
  <si>
    <t>ΠΡΟΑΣΤΙΟ ΚΑΡΔΙΤΣΑΣ</t>
  </si>
  <si>
    <t>ΔΗΜΟΤΙΚΟ ΣΧΟΛΕΙΟ ΠΡΟΑΣΤΙΟΥ ΚΑΡΔΙΤΣΑΣ</t>
  </si>
  <si>
    <t>ΗΜΕΡΗΣΙΟ ΓΕΝΙΚΟ ΛΥΚΕΙΟ ΠΑΛΑΜΑ ΚΑΡΔΙΤΣΑΣ</t>
  </si>
  <si>
    <t>mail@lyk-palam.kar.sch.gr</t>
  </si>
  <si>
    <t>ΠΑΛΑΜΑ ΚΑΡΔΙΤΣΑΣ</t>
  </si>
  <si>
    <t>ΠΕΡΙΦΕΡΕΙΑΚΗ ΟΔΟΣ ΠΑΛΑΜΑ</t>
  </si>
  <si>
    <t>2ο ΔΗΜΟΤΙΚΟ ΣΧΟΛΕΙΟ ΠΑΛΑΜΑ</t>
  </si>
  <si>
    <t>1ο ΗΜΕΡΗΣΙΟ ΕΠΑΛ ΜΟΥΖΑΚΙΟΥ</t>
  </si>
  <si>
    <t>mail@1epal-mouzak.kar.sch.gr</t>
  </si>
  <si>
    <t>1ο ΔΗΜΟΤΙΚΟ ΣΧΟΛΕΙΟ ΜΟΥΖΑΚΙΟΥ</t>
  </si>
  <si>
    <t>5ο ΗΜΕΡΗΣΙΟ ΓΕΝΙΚΟ ΛΥΚΕΙΟ ΚΑΡΔΙΤΣΑΣ</t>
  </si>
  <si>
    <t>5lykkard@sch.gr</t>
  </si>
  <si>
    <t>Καρδίτσα</t>
  </si>
  <si>
    <t>Β. Γρίβα (Απέναντι από την Πυροσβεστική)</t>
  </si>
  <si>
    <t>1ο ΗΜΕΡΗΣΙΟ ΓΕΝΙΚΟ ΛΥΚΕΙΟ ΚΑΡΔΙΤΣΑΣ</t>
  </si>
  <si>
    <t>1lykkard@sch.gr</t>
  </si>
  <si>
    <t>ΑΙΟΛΟΥ 28</t>
  </si>
  <si>
    <t>8ο ΔΗΜΟΤΙΚΟ ΣΧΟΛΕΙΟ ΚΑΡΔΙΤΣΑΣ</t>
  </si>
  <si>
    <t>2ο ΗΜΕΡΗΣΙΟ ΕΠΑΛ ΚΑΡΔΙΤΣΑΣ</t>
  </si>
  <si>
    <t>mail@2epal-kardits.kar.sch.gr</t>
  </si>
  <si>
    <t>Ν. ΤΕΜΠΟΝΕΡΑ ΤΕΡΜΑ</t>
  </si>
  <si>
    <t>1ο ΗΜΕΡΗΣΙΟ ΓΥΜΝΑΣΙΟ ΣΟΦΑΔΩΝ ΚΑΡΔΙΤΣΑΣ</t>
  </si>
  <si>
    <t>mail@1gym-sofad.kar.sch.gr</t>
  </si>
  <si>
    <t>4ο ΗΜΕΡΗΣΙΟ ΓΥΜΝΑΣΙΟ ΚΑΡΔΙΤΣΑΣ</t>
  </si>
  <si>
    <t>mail@4gym-kardits.kar.sch.gr</t>
  </si>
  <si>
    <t>ΠΙΣΩ ΑΠΟ ΕΘΝΙΚΟ ΣΤΑΔΙΟ</t>
  </si>
  <si>
    <t>ΜΗΤΡΟΠΟΛΗΣ</t>
  </si>
  <si>
    <t>ΗΜΕΡΗΣΙΟ ΓΥΜΝΑΣΙΟ - ΛΥΚΕΙΑΚΕΣ ΤΑΞΕΙΣ ΜΗΤΡΟΠΟΛΗΣ ΚΑΡΔΙΤΣΑΣ</t>
  </si>
  <si>
    <t>mail@gym-mitrop.kar.sch.gr</t>
  </si>
  <si>
    <t>ΜΗΤΡΟΠΟΛΗ ΚΑΡΔΙΤΣΑΣ</t>
  </si>
  <si>
    <t>ΜΗΤΡΟΠΟΛΗ</t>
  </si>
  <si>
    <t>ΔΗΜΟΤΙΚΟ ΣΧΟΛΕΙΟ ΜΗΤΡΟΠΟΛΗΣ ΚΑΡΔΙΤΣΑΣ</t>
  </si>
  <si>
    <t>ΕΣΠΕΡΙΝΟ ΓΥΜΝΑΣΙΟ-ΛΥΚΕΙΑΚΕΣ ΤΑΞΕΙΣ ΚΑΡΔΙΤΣΑΣ</t>
  </si>
  <si>
    <t>mail@gym-esp-kardits.kar.sch.gr</t>
  </si>
  <si>
    <t>ΙΕΖΕΚΙΗΛ &amp; 18ης ΑΥΓΟΥΣΤΟΥ</t>
  </si>
  <si>
    <t>2ο ΔΗΜΟΤΙΚΟ ΣΧΟΛΕΙΟ ΚΑΡΔΙΤΣΑΣ</t>
  </si>
  <si>
    <t>ΦΥΛΛΟΥ</t>
  </si>
  <si>
    <t>ΗΜΕΡΗΣΙΟ ΓΥΜΝΑΣΙΟ - ΛΥΚΕΙΑΚΕΣ ΤΑΞΕΙΣ ΙΤΕΑΣ ΚΑΡΔΙΤΣΑΣ</t>
  </si>
  <si>
    <t>mail@gym-iteas.kar.sch.gr</t>
  </si>
  <si>
    <t>ITEA ΚΑΡΔIΤΣΑΣ</t>
  </si>
  <si>
    <t>ΔΗΜΟΤΙΚΟ ΣΧΟΛΕΙΟ ΙΤΕΑΣ ΚΑΡΔΙΤΣΑΣ</t>
  </si>
  <si>
    <t>ΗΜΕΡΗΣΙΟ ΓΥΜΝΑΣΙΟ ΠΡΟΑΣΤΙΟΥ ΚΑΡΔΙΤΣΑΣ</t>
  </si>
  <si>
    <t>mail@gym-proast.kar.sch.gr</t>
  </si>
  <si>
    <t>1ο ΗΜΕΡΗΣΙΟ ΓΥΜΝΑΣΙΟ ΠΑΛΑΜΑ ΚΑΡΔΙΤΣΑΣ</t>
  </si>
  <si>
    <t>mail@1gym-meg-palam.kar.sch.gr</t>
  </si>
  <si>
    <t>ΟΔΥΣΣΕΩΣ ΑΝΔΡΟΥΤΣΟΥ 24</t>
  </si>
  <si>
    <t>6ο ΗΜΕΡΗΣΙΟ ΓΥΜΝΑΣΙΟ ΚΑΡΔΙΤΣΑΣ</t>
  </si>
  <si>
    <t>mail@6gym-kardits.kar.sch.gr</t>
  </si>
  <si>
    <t>2ο ΗΜΕΡΗΣΙΟ ΓΥΜΝΑΣΙΟ ΚΑΡΔΙΤΣΑΣ</t>
  </si>
  <si>
    <t>mail@2gym-kardits.kar.sch.gr</t>
  </si>
  <si>
    <t>ΤΕΜΠΟΝΕΡΑ 5</t>
  </si>
  <si>
    <t>5ο ΗΜΕΡΗΣΙΟ ΓΥΜΝΑΣΙΟ ΚΑΡΔΙΤΣΑΣ</t>
  </si>
  <si>
    <t>mail@5gym-kardits.kar.sch.gr</t>
  </si>
  <si>
    <t>Ν.ΤΕΜΠΟΝΕΡΑ  5</t>
  </si>
  <si>
    <t>1ο ΗΜΕΡΗΣΙΟ ΓΥΜΝΑΣΙΟ ΚΑΡΔΙΤΣΑΣ</t>
  </si>
  <si>
    <t>mail@1gym-kardits.kar.sch.gr</t>
  </si>
  <si>
    <t>3ο ΗΜΕΡΗΣΙΟ ΓΥΜΝΑΣΙΟ ΚΑΡΔΙΤΣΑΣ</t>
  </si>
  <si>
    <t>mail@3gym-kardits.kar.sch.gr</t>
  </si>
  <si>
    <t>ΔΡΑΓΑΤΣΑΝΙΟΥ ΤΕΡΜΑ</t>
  </si>
  <si>
    <t>6ο ΔΗΜΟΤΙΚΟ ΣΧΟΛΕΙΟ ΚΑΡΔΙΤΣΑΣ</t>
  </si>
  <si>
    <t>ΑΡΝΗΣ</t>
  </si>
  <si>
    <t>ΗΜΕΡΗΣΙΟ ΓΥΜΝΑΣΙΟ ΜΑΤΑΡΑΓΚΑΣ</t>
  </si>
  <si>
    <t>mail@gym-matar.kar.sch.gr</t>
  </si>
  <si>
    <t>ΔΗΜΟΤΙΚΟ ΣΧΟΛΕΙΟ ΜΑΤΑΡΑΓΚΑ ΚΑΡΔΙΤΣΑΣ</t>
  </si>
  <si>
    <t>Μουσικό Γυμνάσιο Καρδίτσας - Λυκειακές Τάξεις</t>
  </si>
  <si>
    <t>gymmkard@sch.gr</t>
  </si>
  <si>
    <t>ΑΓΙΟΥ ΒΗΣΣΑΡΙΟΥ 37</t>
  </si>
  <si>
    <t>1ο ΗΜΕΡΗΣΙΟ ΓΥΜΝΑΣΙΟ ΜΟΥΖΑΚΙΟΥ ΚΑΡΔΙΤΣΑΣ</t>
  </si>
  <si>
    <t>mail@1gym-mouzak.kar.sch.gr</t>
  </si>
  <si>
    <t>ΜΟΥΖΑΚΙ ΚΑΡΔΙΤΣΑΣ</t>
  </si>
  <si>
    <t>ΗΜΕΡΗΣΙΟ ΓΥΜΝΑΣΙΟ ΛΕΟΝΤΑΡΙΟΥ ΚΑΡΔΙΤΣΑΣ</t>
  </si>
  <si>
    <t>mail@gym-leont.kar.sch.gr</t>
  </si>
  <si>
    <t>ΗΜΕΡΗΣΙΟ ΓΕΝΙΚΟ ΛΥΚΕΙΟ ΜΟΥΖΑΚΙΟΥ ΚΑΡΔΙΤΣΑΣ</t>
  </si>
  <si>
    <t>mail@lyk-mouzak.kar.sch.gr</t>
  </si>
  <si>
    <t>ΚΟΡΑΗ 10</t>
  </si>
  <si>
    <t>ΠΑΜΙΣΟΥ</t>
  </si>
  <si>
    <t>ΗΜΕΡΗΣΙΟ ΓΥΜΝΑΣΙΟ ΜΕ ΛΥΚΕΙΑΚΕΣ ΤΑΞΕΙΣ ΜΑΓΟΥΛΑΣ ΚΑΡΔΙΤΣΑΣ</t>
  </si>
  <si>
    <t>mail@gym-magoul.kar.sch.gr</t>
  </si>
  <si>
    <t>ΜΑΓΟΥΛΑ ΚΑΡΔΙΤΣΑΣ</t>
  </si>
  <si>
    <t>ΔΗΜΟΤΙΚΟ ΣΧΟΛΕΙΟ ΜΑΓΟΥΛΑΣ</t>
  </si>
  <si>
    <t>3ο ΗΜΕΡΗΣΙΟ ΓΕΝΙΚΟ ΛΥΚΕΙΟ ΚΑΡΔΙΤΣΑΣ</t>
  </si>
  <si>
    <t>mail@3lyk-kardits.kar.sch.gr</t>
  </si>
  <si>
    <t>ΑΦΩΝ ΖΑΦΕΙΡΟΠΟΥΛΟΥ</t>
  </si>
  <si>
    <t>1ο ΕΚ ΚΑΡΔΙΤΣΑΣ</t>
  </si>
  <si>
    <t>mail@1sek-kardits.kar.sch.gr</t>
  </si>
  <si>
    <t>ΤΕΡΜΑ ΤΡΙΚΑΛΩΝ</t>
  </si>
  <si>
    <t>7ο ΗΜΕΡΗΣΙΟ ΓΥΜΝΑΣΙΟ ΚΑΡΔΙΤΣΑΣ</t>
  </si>
  <si>
    <t>mail@7gym-kardits.kar.sch.gr</t>
  </si>
  <si>
    <t>ΤΕΡΜΑ ΜΥΡΙΝΗΣ</t>
  </si>
  <si>
    <t>19ο ΔΗΜΟΤΙΚΟ ΣΧΟΛΕΙΟ ΚΑΡΔΙΤΣΑΣ</t>
  </si>
  <si>
    <t>1ο ΗΜΕΡΗΣΙΟ ΕΠΑΛ ΚΑΡΔΙΤΣΑΣ</t>
  </si>
  <si>
    <t>mail@1epal-kardits.kar.sch.gr</t>
  </si>
  <si>
    <t>ΒΑΣ. ΓΡΙΒΑ (ΕΝΑΝΤΙ ΠΥΡΟΣΒΕΣΤΙΚΗΣ)</t>
  </si>
  <si>
    <t>Ε.Ε.Ε.ΕΚ. ΣΟΦΑΔΩΝ</t>
  </si>
  <si>
    <t>mail@eeeek.kar.sch.gr</t>
  </si>
  <si>
    <t>ΣΟΦΑΔΕΣ</t>
  </si>
  <si>
    <t>ΑΘΗΝΩΝ 58</t>
  </si>
  <si>
    <t>4ο ΔΗΜΟΤΙΚΟ ΣΧΟΛΕΙΟ ΣΟΦΑΔΩΝ</t>
  </si>
  <si>
    <t>1ο ΕΣΠΕΡΙΝΟ ΕΠΑ.Λ. ΚΑΡΔΙΤΣΑΣ</t>
  </si>
  <si>
    <t>mail@1epal-esp-kardits.kar.sch.gr</t>
  </si>
  <si>
    <t>Β.ΓΡΙΒΑ - ΕΝΑΝΤΙ ΠΥΡΟΣΒΕΣΤΙΚΗΣ</t>
  </si>
  <si>
    <t>ΕΝΙΑΙΟ ΕΙΔΙΚΟ ΕΠΑΓΓΕΛΜΑΤΙΚΟ ΓΥΜΝΑΣΙΟ - ΛΥΚΕΙΟ ΣΟΦΑΔΩΝ</t>
  </si>
  <si>
    <t>eneegylsof@sch.gr</t>
  </si>
  <si>
    <t>ΔΙΕΥΘΥΝΣΗ Δ.Ε. ΛΑΡΙΣΑΣ</t>
  </si>
  <si>
    <t>ΤΕΜΠΩΝ</t>
  </si>
  <si>
    <t>ΚΑΤΩ ΟΛΥΜΠΟΥ</t>
  </si>
  <si>
    <t>ΠΥΡΓΕΤΟΥ</t>
  </si>
  <si>
    <t>ΗΜΕΡΗΣΙΟ ΓΥΜΝΑΣΙΟ ΠΥΡΓΕΤΟΥ - ΓΥΜΝΑΣΙΟ ΠΥΡΓΕΤΟΥ</t>
  </si>
  <si>
    <t>mail@gym-pyrget.lar.sch.gr</t>
  </si>
  <si>
    <t>ΠΥΡΓΕΤΟΣ</t>
  </si>
  <si>
    <t>ΔΗΜΟΤΙΚΟ ΣΧΟΛΕΙΟ ΠΥΡΓΕΤΟΥ</t>
  </si>
  <si>
    <t>ΗΜΕΡΗΣΙΟ ΓΕΝΙΚΟ ΛΥΚΕΙΟ ΠΥΡΓΕΤΟΥ - ΓΕΛ ΠΥΡΓΕΤΟΥ</t>
  </si>
  <si>
    <t>mail@1lyk-pyrget.lar.sch.gr</t>
  </si>
  <si>
    <t>ΠΥΡΓΕΤΟΣ  ΛΑΡΙΣΑΣ</t>
  </si>
  <si>
    <t>2ο ΔΙΑΜΕΡΙΣΜΑ ΛΑΡΙΣΗΣ</t>
  </si>
  <si>
    <t>8ο ΗΜΕΡΗΣΙΟ ΓΕΝΙΚΟ ΛΥΚΕΙΟ ΛΑΡΙΣΑΣ</t>
  </si>
  <si>
    <t>mail@8lyk-laris.lar.sch.gr</t>
  </si>
  <si>
    <t>ΤΕΡΜΑ ΡΟΔΟΥ</t>
  </si>
  <si>
    <t>38ο ΔΗΜΟΤΙΚΟ ΣΧΟΛΕΙΟ ΛΑΡΙΣΑΣ</t>
  </si>
  <si>
    <t>ΜΑΚΡΥΧΩΡΙΟΥ</t>
  </si>
  <si>
    <t>ΗΜΕΡΗΣΙΟ ΓΥΜΝΑΣΙΟ ΛΥΚ. ΤΑΞΕΙΣ ΜΑΚΡΥΧΩΡΙΟΥ</t>
  </si>
  <si>
    <t>mail@gym-makrych.lar.sch.gr</t>
  </si>
  <si>
    <t>ΜΑΚΡΥΧΩΡΙ</t>
  </si>
  <si>
    <t>ΜΑΚΡΥΧΩΡΙ ΛΑΡΙΣΑΣ</t>
  </si>
  <si>
    <t>ΔΗΜΟΤΙΚΟ ΣΧΟΛΕΙΟ ΜΑΚΡΥΧΩΡΙΟΥ ΛΑΡΙΣΑΣ</t>
  </si>
  <si>
    <t>ΝΕΣΣΩΝΟΣ</t>
  </si>
  <si>
    <t>ΣΥΚΟΥΡΙΟΥ</t>
  </si>
  <si>
    <t>ΗΜΕΡΗΣΙΟ ΓΕΝΙΚΟ ΛΥΚΕΙΟ ΣΥΚΟΥΡΙΟΥ ΛΑΡΙΣΑΣ</t>
  </si>
  <si>
    <t>mail@lyk-sykour.lar.sch.gr</t>
  </si>
  <si>
    <t>ΣΥΚΟΥΡΙΟ ΛΑΡΙΣΑΣ</t>
  </si>
  <si>
    <t>ΗΡΩΩΝ ΠΟΛΥΤΕΧΝΕΙΟΥ 34</t>
  </si>
  <si>
    <t>ΔΗΜΟΤΙΚΟ ΣΧΟΛΕΙΟ ΣΥΚΟΥΡΙΟΥ</t>
  </si>
  <si>
    <t>ΕΛΑΣΣΟΝΑΣ</t>
  </si>
  <si>
    <t>ΑΝΤΙΧΑΣΙΩΝ</t>
  </si>
  <si>
    <t>ΚΡΑΝΕΑΣ ΕΛΑΣΣΟΝΟΣ</t>
  </si>
  <si>
    <t>ΓΥΜΝΑΣΙΟ - ΛΥΚΕΙΑΚΕΣ ΤΑΞΕΙΣ ΚΡΑΝΕΑΣ</t>
  </si>
  <si>
    <t>mail@gym-kraneas.lar.sch.gr</t>
  </si>
  <si>
    <t>ΚΡΑΝΕΑ</t>
  </si>
  <si>
    <t>1ο ΔΗΜΟΤΙΚΟ ΣΧΟΛΕΙΟ ΚΡΑΝΕΑΣ ΕΛΑΣΣΟΝΑΣ</t>
  </si>
  <si>
    <t>6ο ΕΣΠΕΡΙΝΟ ΕΠΑΛ ΛΑΡΙΣΑΣ</t>
  </si>
  <si>
    <t>mail@6epal-esp-laris.lar.sch.gr</t>
  </si>
  <si>
    <t>ΤΕΡΜΑ ΚΑΡΔΙΤΣΗΣ</t>
  </si>
  <si>
    <t>18ο ΔΗΜΟΤΙΚΟ ΣΧΟΛΕΙΟ ΛΑΡΙΣΑΣ</t>
  </si>
  <si>
    <t>ΓΟΝΝΩΝ</t>
  </si>
  <si>
    <t>ΗΜΕΡΗΣΙΟ ΓΕΝΙΚΟ ΛΥΚΕΙΟ ΓΟΝΝΩΝ</t>
  </si>
  <si>
    <t>mail@lyk-gonnon.lar.sch.gr</t>
  </si>
  <si>
    <t>ΓΟΝΝΟΙ</t>
  </si>
  <si>
    <t>ΔΗΜΟΤΙΚΟ ΣΧΟΛΕΙΟ ΓΟΝΝΩΝ</t>
  </si>
  <si>
    <t>ΦΑΡΣΑΛΩΝ</t>
  </si>
  <si>
    <t>1ο ΗΜΕΡΗΣΙΟ ΕΠΑΛ ΦΑΡΣΑΛΩΝ</t>
  </si>
  <si>
    <t>mail@1epal-farsal.lar.sch.gr</t>
  </si>
  <si>
    <t>ΦΑΡΣΑΛΑ</t>
  </si>
  <si>
    <t>ΠΕΡΙΦΕΡΕΙΑΚΗ ΦΑΡΣΑΛΩΝ-ΑΘΗΝΩΝ</t>
  </si>
  <si>
    <t>4ο ΔΗΜΟΤΙΚΟ ΣΧΟΛΕΙΟ ΦΑΡΣΑΛΩΝ</t>
  </si>
  <si>
    <t>4ο ΔΙΑΜΕΡΙΣΜΑ ΛΑΡΙΣΗΣ</t>
  </si>
  <si>
    <t>1ο ΗΜΕΡΗΣΙΟ ΕΠΑΛ ΛΑΡΙΣΑΣ</t>
  </si>
  <si>
    <t>mail@1epal-laris.lar.sch.gr</t>
  </si>
  <si>
    <t>ΤΕΡΜΑ ΟΔΟΥ ΚΑΡΔΙΤΣΗΣ</t>
  </si>
  <si>
    <t>6ο ΗΜΕΡΗΣΙΟ ΓΕΝΙΚΟ ΛΥΚΕΙΟ ΛΑΡΙΣΑΣ</t>
  </si>
  <si>
    <t>mail@6lyk-laris.lar.sch.gr</t>
  </si>
  <si>
    <t>ΜΕΡΑΡΧΙΑΣ 1 ΚΑΙ ΚΑΡΑΟΛΗ -ΔΗΜΗΤΡΙΟΥ</t>
  </si>
  <si>
    <t>25ο  ΔΗΜΟΤΙΚΟ ΣΧΟΛΕΙΟ ΛΑΡΙΣΑΣ</t>
  </si>
  <si>
    <t>1ο ΗΜΕΡΗΣΙΟ ΓΕΝΙΚΟ ΛΥΚΕΙΟ ΛΑΡΙΣΑΣ</t>
  </si>
  <si>
    <t>mail@1lyk-laris.lar.sch.gr</t>
  </si>
  <si>
    <t>ΗΠΕΙΡΟΥ-ΑΝΘ. ΓΑΖΗ</t>
  </si>
  <si>
    <t>2ο ΔΗΜΟΤΙΚΟ ΣΧΟΛΕΙΟ ΛΑΡΙΣΑΣ</t>
  </si>
  <si>
    <t>3ο ΗΜΕΡΗΣΙΟ ΓΕΝΙΚΟ ΛΥΚΕΙΟ ΛΑΡΙΣΑΣ</t>
  </si>
  <si>
    <t>mail@3lyk-laris.lar.sch.gr</t>
  </si>
  <si>
    <t>7ο ΗΜΕΡΗΣΙΟ ΓΕΝΙΚΟ ΛΥΚΕΙΟ ΛΑΡΙΣΑΣ</t>
  </si>
  <si>
    <t>mail@7lyk-laris.lar.sch.gr</t>
  </si>
  <si>
    <t>ΛΑΚΩΝΙΑΣ  ΑΚΑΡΝΑΝΙΑΣ</t>
  </si>
  <si>
    <t>19ο ΔΗΜΟΤΙΚΟ ΣΧΟΛΕΙΟ ΛΑΡΙΣΑΣ</t>
  </si>
  <si>
    <t>ΚΙΛΕΛΕΡ</t>
  </si>
  <si>
    <t>ΠΛΑΤΥΚΑΜΠΟΥ</t>
  </si>
  <si>
    <t>ΗΜΕΡΗΣΙΟ ΓΕΝΙΚΟ ΛΥΚΕΙΟ ΠΛΑΤΥΚΑΜΠΟΥ</t>
  </si>
  <si>
    <t>mail@lyk-platyk.lar.sch.gr</t>
  </si>
  <si>
    <t>ΠΛΑΤΥΚΑΜΠΟΣ</t>
  </si>
  <si>
    <t>ΠΛΑΤΥΚΑΜΠΟΣ ΛΑΡΙΣΑΣ</t>
  </si>
  <si>
    <t>1ο  ΔΗΜΟΤΙΚΟ ΣΧΟΛΕΙΟ ΠΛΑΤΥΚΑΜΠΟΣ</t>
  </si>
  <si>
    <t>4ο ΗΜΕΡΗΣΙΟ ΓΕΝΙΚΟ ΛΥΚΕΙΟ ΛΑΡΙΣΑΣ</t>
  </si>
  <si>
    <t>mail@4lyk-laris.lar.sch.gr</t>
  </si>
  <si>
    <t>ΗΠΕΙΡΟΥ &amp; ΑΝΘ. ΓΑΖΗ</t>
  </si>
  <si>
    <t>ΤΥΡΝΑΒΟΥ</t>
  </si>
  <si>
    <t>ΗΜΕΡΗΣΙΟ ΓΕΝΙΚΟ ΛΥΚΕΙΟ ΤΥΡΝΑΒΟΥ</t>
  </si>
  <si>
    <t>mail@1lyk-tyrnav.lar.sch.gr</t>
  </si>
  <si>
    <t>ΤΕΡΜΑ ΑΓ. ΤΡΙΑΔΟΣ</t>
  </si>
  <si>
    <t>5ο ΔΗΜΟΤΙΚΟ ΣΧΟΛΕΙΟ ΤΥΡΝΑΒΟΥ</t>
  </si>
  <si>
    <t>10ο ΗΜΕΡΗΣΙΟ ΓΕΝΙΚΟ ΛΥΚΕΙΟ ΛΑΡΙΣΑΣ</t>
  </si>
  <si>
    <t>mail@10lyk-laris.lar.sch.gr</t>
  </si>
  <si>
    <t>ΤΕΡΜΑ ΗΡΑΚΛΕΙΑΝΟΥ</t>
  </si>
  <si>
    <t>27ο ΔΗΜΟΤΙΚΟ ΣΧΟΛΕΙΟ ΛΑΡΙΣΑΣ</t>
  </si>
  <si>
    <t>1ο ΗΜΕΡΗΣΙΟ ΓΕΝΙΚΟ ΛΥΚΕΙΟ ΦΑΡΣΑΛΩΝ</t>
  </si>
  <si>
    <t>mail@1lyk-farsal.lar.sch.gr</t>
  </si>
  <si>
    <t>ΚΑΠΟΔΙΣΤΡΙΟΥ 13</t>
  </si>
  <si>
    <t>3ο ΔΗΜΟΤΙΚΟ ΣΧΟΛΕΙΟ ΦΑΡΣΑΛΩΝ</t>
  </si>
  <si>
    <t>ΗΜΕΡΗΣΙΟ ΓΕΝΙΚΟ ΛΥΚΕΙΟ ΑΜΠΕΛΩΝΑ</t>
  </si>
  <si>
    <t>mail@lyk-ampel.lar.sch.gr</t>
  </si>
  <si>
    <t>ΣΟΛΩΜΟΥ ΚΑΙ ΝΑΥΑΡΙΝΟΥ</t>
  </si>
  <si>
    <t>1ο ΔΗΜΟΤΙΚΟ ΣΧΟΛΕΙΟ ΑΜΠΕΛΩΝΑ</t>
  </si>
  <si>
    <t>2ο ΗΜΕΡΗΣΙΟ ΓΕΝΙΚΟ ΛΥΚΕΙΟ ΦΑΡΣΑΛΩΝ</t>
  </si>
  <si>
    <t>mail@2lyk-farsal.lar.sch.gr</t>
  </si>
  <si>
    <t>ΦΑΡΣΑΛA</t>
  </si>
  <si>
    <t>ΑΘΗΝΩΝ 2</t>
  </si>
  <si>
    <t>7ο ΗΜΕΡΗΣΙΟ ΕΠΑΛ ΛΑΡΙΣΑΣ</t>
  </si>
  <si>
    <t>mail@7epal-laris.lar.sch.gr</t>
  </si>
  <si>
    <t>ΔΡΟΣΗ - ΠΑΙΩΝΙΟΥ</t>
  </si>
  <si>
    <t>42ο ΔΗΜΟΤΙΚΟ ΣΧΟΛΕΙΟ ΛΑΡΙΣΑΣ</t>
  </si>
  <si>
    <t>ΗΜΕΡΗΣΙΟ ΓΕΝΙΚΟ ΛΥΚΕΙΟ ΝΙΚΑΙΑΣ</t>
  </si>
  <si>
    <t>mail@lyk-nikaias.lar.sch.gr</t>
  </si>
  <si>
    <t>ΝΙΚΑΙΑ ΛΑΡΙΣΑΣ</t>
  </si>
  <si>
    <t>ΔΗΜΟΤΙΚΟ ΣΧΟΛΕΙΟ ΝΙΚΑΙΑΣ</t>
  </si>
  <si>
    <t>12ο ΗΜΕΡΗΣΙΟ ΓΕΝΙΚΟ ΛΥΚΕΙΟ ΛΑΡΙΣΑΣ</t>
  </si>
  <si>
    <t>mail@12lyk-laris.lar.sch.gr</t>
  </si>
  <si>
    <t>ΚΑΛΛΙΣΘΕΝΟΥΣ 25 - ΘΕΟΦΡΑΣΤΟΥ ΣΕΚΦΟ ΛΑΡΙΣΑ</t>
  </si>
  <si>
    <t>22ο ΔΗΜΟΤΙΚΟ ΣΧΟΛΕΙΟ ΛΑΡΙΣΑΣ</t>
  </si>
  <si>
    <t>3ο ΔΙΑΜΕΡΙΣΜΑ ΛΑΡΙΣΗΣ(συμπεριλαμβάνονται οι οικισμοί Κουλουρίου και Αμφιθέας</t>
  </si>
  <si>
    <t>5ο ΗΜΕΡΗΣΙΟ ΓΕΝΙΚΟ ΛΥΚΕΙΟ ΛΑΡΙΣΑΣ - ΚΩΝΣΤΑΝΤΙΝΟΣ ΚΟΥΜΑΣ</t>
  </si>
  <si>
    <t>mail@5lyk-laris.lar.sch.gr</t>
  </si>
  <si>
    <t>ΙΟΥΣΤΙΝΙΑΝΟΥ-ΚΟΜΝΗΝΩΝ</t>
  </si>
  <si>
    <t>1ο ΔΗΜΟΤΙΚΟ ΣΧΟΛΕΙΟ ΛΑΡΙΣΑΣ</t>
  </si>
  <si>
    <t>ΗΜΕΡΗΣΙΟ ΓΕΝΙΚΟ ΛΥΚΕΙΟ ΑΓΙΑΣ - ΓΕΝΙΚΟ ΛΥΚΕΙΟ ΑΓΙΑΣ</t>
  </si>
  <si>
    <t>mail@1lyk-agias.lar.sch.gr</t>
  </si>
  <si>
    <t>ΑΓΙΑΣ ΠΑΡΑΣΚΕΥΗΣ 1</t>
  </si>
  <si>
    <t>1ο  ΔΗΜΟΤΙΚΟ ΣΧΟΛΕΙΟ ΑΓΙΑΣ</t>
  </si>
  <si>
    <t>11ο ΗΜΕΡΗΣΙΟ ΓΕΝΙΚΟ ΛΥΚΕΙΟ ΛΑΡΙΣΑΣ</t>
  </si>
  <si>
    <t>mail@11lyk-laris.lar.sch.gr</t>
  </si>
  <si>
    <t>ΔΗΜΟΣΘΕΝΟΥΣ 20</t>
  </si>
  <si>
    <t>11ο ΔΗΜΟΤΙΚΟ ΣΧΟΛΕΙΟ ΛΑΡΙΣΑΣ</t>
  </si>
  <si>
    <t>ΓΙΑΝΝΟΥΛΗΣ</t>
  </si>
  <si>
    <t>ΗΜΕΡΗΣΙΟ ΓΕΝΙΚΟ ΛΥΚΕΙΟ ΓΙΑΝΝΟΥΛΗΣ</t>
  </si>
  <si>
    <t>mail@lyk-giann.lar.sch.gr</t>
  </si>
  <si>
    <t>ΓΙΑΝΝΟΥΛΗ</t>
  </si>
  <si>
    <t>ΣΤΑΔΙΟΥ 14-16</t>
  </si>
  <si>
    <t>2ο ΔΗΜΟΤΙΚΟ ΣΧΟΛΕΙΟ ΓΙΑΝΝΟΥΛΗΣ</t>
  </si>
  <si>
    <t>ΕΛΑΣΣΟΝΟΣ</t>
  </si>
  <si>
    <t>1ο ΓΕΝΙΚΟ ΛΥΚΕΙΟ ΕΛΑΣΣΟΝΑΣ</t>
  </si>
  <si>
    <t>mail@1lyk-elass.lar.sch.gr</t>
  </si>
  <si>
    <t>ΕΛΑΣΣΟΝΑ</t>
  </si>
  <si>
    <t>1ης  ΜΕΡΑΡΧΙΑΣ  ΤΕΡΜΑ</t>
  </si>
  <si>
    <t>2ο  ΔΗΜΟΤΙΚΟ ΣΧΟΛΕΙΟ ΕΛΑΣΣΟΝΑΣ</t>
  </si>
  <si>
    <t>9ο ΗΜΕΡΗΣΙΟ ΓΕΝΙΚΟ ΛΥΚΕΙΟ ΛΑΡΙΣΑΣ</t>
  </si>
  <si>
    <t>mail@9lyk-laris.lar.sch.gr</t>
  </si>
  <si>
    <t>ΤΕΡΜΑ ΚΑΡΚΑΒΙΤΣΑ</t>
  </si>
  <si>
    <t>15ο  ΔΗΜΟΤΙΚΟ ΣΧΟΛΕΙΟ ΛΑΡΙΣΑΣ</t>
  </si>
  <si>
    <t>ΕΝΙΑΙΟ ΕΙΔΙΚΟ ΕΠΑΓΓΕΛΜΑΤΙΚΟ ΓΥΜΝΑΣΙΟ - ΛΥΚΕΙΟ  ΛΑΡΙΣΑΣ</t>
  </si>
  <si>
    <t>mail@1tee-eid-laris.lar.sch.gr</t>
  </si>
  <si>
    <t>ΓΙΑΝΝΟΥΛΗ - ΛΑΡΙΣΑΣ</t>
  </si>
  <si>
    <t>ΕΘΝΑΡΧΟΥ ΜΑΚΑΡΙΟΥ 4</t>
  </si>
  <si>
    <t>2ο ΗΜΕΡΗΣΙΟ ΓΥΜΝΑΣΙΟ ΤΥΡΝΑΒΟΥ</t>
  </si>
  <si>
    <t>2gymtyrn@sch.gr</t>
  </si>
  <si>
    <t>ΤΥΡΝΑΒΟΣ</t>
  </si>
  <si>
    <t>ΟΔΟΣ  ΕΙΚΟΣΙ ΔΥΟ  ΑΡΙΘΜΟΣ 1</t>
  </si>
  <si>
    <t>3ο ΔΗΜΟΤΙΚΟ ΣΧΟΛΕΙΟ ΤΥΡΝΑΒΟΥ</t>
  </si>
  <si>
    <t>14ο ΗΜΕΡΗΣΙΟ ΓΥΜΝΑΣΙΟ ΛΑΡΙΣΑΣ</t>
  </si>
  <si>
    <t>mail@14gym-laris.lar.sch.gr</t>
  </si>
  <si>
    <t>ΧΑΤΖΟΠΟΥΛΟΥ-ΚΑΡΚΑΒΙΤΣΑ</t>
  </si>
  <si>
    <t>2ο ΗΜΕΡΗΣΙΟ ΓΥΜΝΑΣΙΟ ΛΑΡΙΣΑΣ</t>
  </si>
  <si>
    <t>mail@2gym-laris.lar.sch.gr</t>
  </si>
  <si>
    <t>ΗΡΩΩΝ ΠΟΛΥΤΕΧΝΕΙΟΥ 189</t>
  </si>
  <si>
    <t>10ο ΔΗΜΟΤΙΚΟ ΣΧΟΛΕΙΟ ΛΑΡΙΣΑΣ</t>
  </si>
  <si>
    <t>ΦΑΛΑΝΝΗΣ</t>
  </si>
  <si>
    <t>ΗΜΕΡΗΣΙΟ ΓΥΜΝΑΣΙΟ ΦΑΛΑΝΗΣ</t>
  </si>
  <si>
    <t>mail@gym-falan.lar.sch.gr</t>
  </si>
  <si>
    <t>ΦΑΛΑΝΗ ΛΑΡΙΣΑΣ</t>
  </si>
  <si>
    <t>ΣΚΟΥΦΑ 8</t>
  </si>
  <si>
    <t>ΔΗΜΟΤΙΚΟ ΣΧΟΛΕΙΟ ΦΑΛΑΝΗΣ</t>
  </si>
  <si>
    <t>6ο ΗΜΕΡΗΣΙΟ ΓΥΜΝΑΣΙΟ ΛΑΡΙΣΑΣ</t>
  </si>
  <si>
    <t>6gymlari@sch.gr</t>
  </si>
  <si>
    <t>1ης ΜΕΡΑΡΧΙΑΣ  &amp;  ΚΑΡΑΟΛΗ-ΔΗΜΗΤΡΙΟΥ 1</t>
  </si>
  <si>
    <t>1ο ΗΜΕΡΗΣΙΟ ΓΥΜΝΑΣΙΟ ΦΑΡΣΑΛΩΝ</t>
  </si>
  <si>
    <t>mail@1gym-farsal.lar.sch.gr</t>
  </si>
  <si>
    <t>ΔΟΜΕΝΙΚΟΥ</t>
  </si>
  <si>
    <t>ΗΜΕΡΗΣΙΟ ΓΥΜΝΑΣΙΟ ΔΟΜΕΝΙΚΟΥ - ΝΙΚΟΛΑΟΣ ΜΠΑΜΠΑΛΗΣ</t>
  </si>
  <si>
    <t>mail@gym-domen.lar.sch.gr</t>
  </si>
  <si>
    <t>ΔΟΜΕΝΙΚΟ- ΕΛΑΣΣΟΝΑΣ</t>
  </si>
  <si>
    <t>ΔΟΜΕΝΙΚΟ</t>
  </si>
  <si>
    <t>ΔΗΜΟΤΙΚΟ ΣΧΟΛΕΙΟ ΒΛΑΧΟΓΙΑΝΝΙΟΥ</t>
  </si>
  <si>
    <t>2ο ΗΜΕΡΗΣΙΟ ΓΥΜΝΑΣΙΟ ΦΑΡΣΑΛΩΝ</t>
  </si>
  <si>
    <t>mail@2gym-farsal.lar.sch.gr</t>
  </si>
  <si>
    <t>ΠΕΡΙΦΕΡΕΙΑΚΗ ΟΔΟΣ ΑΘΗΝΩΝ-ΦΑΡΣΑΛΩΝ</t>
  </si>
  <si>
    <t>8ο ΗΜΕΡΗΣΙΟ ΓΥΜΝΑΣΙΟ ΛΑΡΙΣΑΣ</t>
  </si>
  <si>
    <t>mail@8gym-laris.lar.sch.gr</t>
  </si>
  <si>
    <t>ΛΑΓΟΥ ΤΕΡΜΑ</t>
  </si>
  <si>
    <t>4ο ΗΜΕΡΗΣΙΟ ΓΥΜΝΑΣΙΟ ΛΑΡΙΣΑΣ</t>
  </si>
  <si>
    <t>mail@4gym-laris.lar.sch.gr</t>
  </si>
  <si>
    <t>ΗΠΕΙΡΟΥ-ΑΝΘ. ΓΑΖΗ 38</t>
  </si>
  <si>
    <t>ΗΜΕΡΗΣΙΟ ΓΥΜΝΑΣΙΟ ΓΙΑΝΝΟΥΛΗΣ</t>
  </si>
  <si>
    <t>mail@gym-giann.lar.sch.gr</t>
  </si>
  <si>
    <t>9ο ΗΜΕΡΗΣΙΟ ΓΥΜΝΑΣΙΟ ΛΑΡΙΣΑΣ</t>
  </si>
  <si>
    <t>mail@9gym-laris.lar.sch.gr</t>
  </si>
  <si>
    <t>ΑΚΑΡΝΑΝΙΑΣ - ΛΑΚΩΝΙΑΣ</t>
  </si>
  <si>
    <t>ΗΜΕΡΗΣΙΟ ΓΥΜΝΑΣΙΟ ΣΥΚΟΥΡΙΟΥ</t>
  </si>
  <si>
    <t>mail@gym-sykour.lar.sch.gr</t>
  </si>
  <si>
    <t>ΣΥΚΟΥΡΙΟ</t>
  </si>
  <si>
    <t>ΑΡΓΥΡΟΠΟΥΛΕΙΟΥ</t>
  </si>
  <si>
    <t>ΗΜΕΡΗΣΙΟ ΓΥΜΝΑΣΙΟ ΑΡΓΥΡΟΠΟΥΛΙΟΥ-&lt;&lt;ΗΛΩΝΗ&gt;&gt;</t>
  </si>
  <si>
    <t>mail@gym-argyr.lar.sch.gr</t>
  </si>
  <si>
    <t>ΑΡΓΥΡΟΠΟΥΛΙΟΥ</t>
  </si>
  <si>
    <t>ΑΡΓΥΡΟΠΟΥΛΙ ΛΑΡΙΣΑΣ</t>
  </si>
  <si>
    <t>ΔΗΜΟΤΙΚΟ   ΣΧΟΛΕΙΟ   ΑΡΓΥΡΟΠΟΥΛΙΟΥ</t>
  </si>
  <si>
    <t>ΗΜΕΡΗΣΙΟ ΓΥΜΝΑΣΙΟ ΑΜΠΕΛΩΝΑ</t>
  </si>
  <si>
    <t>mail@gym-ampel.lar.sch.gr</t>
  </si>
  <si>
    <t>Γ. ΚΑΡΑΪΣΚΑΚΗ - Δ. ΣΟΛΩΜΟΥ</t>
  </si>
  <si>
    <t>3ο ΔΗΜΟΤΙΚΟ ΣΧΟΛΕΙΟ ΑΜΠΕΛΩΝΑ</t>
  </si>
  <si>
    <t>ΗΜΕΡΗΣΙΟ ΓΥΜΝΑΣΙΟ ΓΟΝΝΩΝ</t>
  </si>
  <si>
    <t>mail@gym-gonnon.lar.sch.gr</t>
  </si>
  <si>
    <t>ΒΕΡΔΙΚΟΥΣΗΣ</t>
  </si>
  <si>
    <t>ΒΕΡΔΙΚΟΥΣΣΗΣ</t>
  </si>
  <si>
    <t>ΗΜΕΡΗΣΙΟ ΓΥΜΝΑΣΙΟ - Λ.Τ. ΒΕΡΔΙΚΟΥΣΑΣ</t>
  </si>
  <si>
    <t>mail@gym-verdik.lar.sch.gr</t>
  </si>
  <si>
    <t>ΒΕΡΔΙΚΟΥΣΑ</t>
  </si>
  <si>
    <t>ΔΗΜΟΤΙΚΟ ΣΧΟΛΕΙΟ ΒΕΡΔΙΚΟΥΣΙΑΣ</t>
  </si>
  <si>
    <t>ΕΝΙΠΠΕΑ</t>
  </si>
  <si>
    <t>ΜΕΓΑΛΟΥ ΕΥΥΔΡΙΟΥ</t>
  </si>
  <si>
    <t>ΗΜΕΡΗΣΙΟ ΓΥΜΝΑΣΙΟ ΜΕΓΑΛΟΥ ΕΥΥΔΡΙΟΥ</t>
  </si>
  <si>
    <t>mail@gym-m-evydr.lar.sch.gr</t>
  </si>
  <si>
    <t>ΜΕΓ. ΕΥΥΔΡΙΟ ΦΑΡΣΑΛΩΝ</t>
  </si>
  <si>
    <t>ΛΟΦΟΣ ΦΑΡΣΑΛΩΝ</t>
  </si>
  <si>
    <t>ΔΗΜΟΤΙΚΟ ΣΧΟΛΕΙΟ ΕΥΥΔΡΙΟΥ ΛΟΦΟΥ</t>
  </si>
  <si>
    <t>ΤΣΑΡΙΤΣΑΝΗΣ</t>
  </si>
  <si>
    <t>ΗΜΕΡΗΣΙΟ ΓΥΜΝΑΣΙΟ &amp; Λ. - Τ. ΤΣΑΡΙΤΣΑΝΗΣ - ΚΩΝΣΤΑΝΤΙΝΟΣ ΟΙΚΟΝΟΜΟΣ</t>
  </si>
  <si>
    <t>mail@gym-tsarits.lar.sch.gr</t>
  </si>
  <si>
    <t>ΤΣΑΡΙΤΣΑΝΗ</t>
  </si>
  <si>
    <t>1ο ΔΗΜΟΤΙΚΟ ΣΧΟΛΕΙΟ ΤΣΑΡΙΤΣΑΝΗΣ</t>
  </si>
  <si>
    <t>1ο ΗΜΕΡΗΣΙΟ ΓΥΜΝΑΣΙΟ ΤΥΡΝΑΒΟΥ - ΑΧΙΛΛΕΑΣ ΤΖΑΡΤΖΑΝΟΣ</t>
  </si>
  <si>
    <t>mail@1gym-tyrnav.lar.sch.gr</t>
  </si>
  <si>
    <t>ΛΑΡΙΣΗΣ 2</t>
  </si>
  <si>
    <t>1ο ΔΗΜΟΤΙΚΟ ΣΧΟΛΕΙΟ ΤΥΡΝΑΒΟΥ</t>
  </si>
  <si>
    <t>ΗΜΕΡΗΣΙΟ ΓΥΜΝΑΣΙΟ ΝΙΚΑΙΑΣ ΛΑΡΙΣΑΣ</t>
  </si>
  <si>
    <t>mail@gym-nikaias.lar.sch.gr</t>
  </si>
  <si>
    <t>ΚΑΡΑΜΑΝΛΗ 34</t>
  </si>
  <si>
    <t>11ο ΗΜΕΡΗΣΙΟ ΓΥΜΝΑΣΙΟ ΛΑΡΙΣΑΣ</t>
  </si>
  <si>
    <t>mail@11gym-laris.lar.sch.gr</t>
  </si>
  <si>
    <t>12ο ΗΜΕΡΗΣΙΟ ΓΥΜΝΑΣΙΟ ΛΑΡΙΣΑΣ - 3101047</t>
  </si>
  <si>
    <t>mail@12gym-laris.lar.sch.gr</t>
  </si>
  <si>
    <t>ΤΕΡΜΑ ΡΟΔΟΥ ΑΜΠΕΛΟΚΗΠΟΙ</t>
  </si>
  <si>
    <t>20ο ΔΗΜΟΤΙΚΟ ΣΧΟΛΕΙΟ ΛΑΡΙΣΑΣ</t>
  </si>
  <si>
    <t>ΗΜΕΡΗΣΙΟ ΓΥΜΝΑΣΙΟ ΠΛΑΤΥΚΑΜΠΟΥ</t>
  </si>
  <si>
    <t>mail@gym-platyk.lar.sch.gr</t>
  </si>
  <si>
    <t>ΕΣΠΕΡΙΝΟ ΓΥΜΝΑΣΙΟ ΛΑΡΙΣΑΣ</t>
  </si>
  <si>
    <t>mail@gym-esp-laris.lar.sch.gr</t>
  </si>
  <si>
    <t>ΙΟΥΣΤΙΝΙΑΝΟΥ &amp; ΒΟΥΤΣΙΛΑ</t>
  </si>
  <si>
    <t>3ο ΔΗΜΟΤΙΚΟ ΣΧΟΛΕΙΟ ΛΑΡΙΣΑΣ</t>
  </si>
  <si>
    <t>ΠΟΛΥΔΑΜΑΝΤΑ</t>
  </si>
  <si>
    <t>ΒΑΜΒΑΚΟΥΣ</t>
  </si>
  <si>
    <t>ΗΜΕΡΗΣΙΟ ΓΥΜΝΑΣΙΟ ΒΑΜΒΑΚΟΥΣ</t>
  </si>
  <si>
    <t>mail@gym-vamvak.lar.sch.gr</t>
  </si>
  <si>
    <t>ΒΑΜΒΑΚΟΥ</t>
  </si>
  <si>
    <t>ΑΝΩΝΥΜΗ ΟΔΟΣ</t>
  </si>
  <si>
    <t>ΔΗΜΟΤΙΚΟ ΣΧΟΛΕΙΟ ΒΑΜΒΑΚΟΥΣ</t>
  </si>
  <si>
    <t>ΑΡΜΕΝΙΟΥ</t>
  </si>
  <si>
    <t>ΗΜΕΡΗΣΙΟ ΓΥΜΝΑΣΙΟ ΑΡΜΕΝΙΟΥ &amp; ΛΥΚΕΙΑΚΕΣ ΤΑΞΕΙΣ</t>
  </si>
  <si>
    <t>gymarmen@sch.gr</t>
  </si>
  <si>
    <t>ΑΡΜΕΝΙΟ</t>
  </si>
  <si>
    <t>ΑΡΜΕΝΙΟ ΛΑΡΙΣΑΣ</t>
  </si>
  <si>
    <t>ΔΗΜΟΤΙΚΟ ΣΧΟΛΕΙΟ ΑΡΜΕΝΙΟΥ</t>
  </si>
  <si>
    <t>ΚΟΙΛΑΔΑΣ</t>
  </si>
  <si>
    <t>ΚΟΙΛΑΔΟΣ</t>
  </si>
  <si>
    <t>ΗΜΕΡΗΣΙΟ ΓΥΜΝΑΣΙΟ - ΛΥΚΕΙΑΚΕΣ ΤΑΞΕΙΣ ΚΟΙΛΑΔΑΣ</t>
  </si>
  <si>
    <t>mail@gym-koilad.lar.sch.gr</t>
  </si>
  <si>
    <t>ΚΟΙΛΑΔΑ</t>
  </si>
  <si>
    <t>ΚΟΙΛΑΔΑ ΛΑΡΙΣΑΣ</t>
  </si>
  <si>
    <t>ΔΗΜΟΤΙΚΟ ΣΧΟΛΕΙΟ ΚΟΙΛΑΔΑΣ ΛΑΡΙΣΑΣ</t>
  </si>
  <si>
    <t>3ο ΗΜΕΡΗΣΙΟ ΓΥΜΝΑΣΙΟ ΛΑΡΙΣΑΣ</t>
  </si>
  <si>
    <t>mail@3gym-laris.lar.sch.gr</t>
  </si>
  <si>
    <t>13ο ΗΜΕΡΗΣΙΟ ΓΥΜΝΑΣΙΟ ΛΑΡΙΣΑΣ</t>
  </si>
  <si>
    <t>mail@13gym-laris.lar.sch.gr</t>
  </si>
  <si>
    <t>ΛΑΚΩΝΩΝ &amp; ΛΕΥΚΙΠΠΟΥ</t>
  </si>
  <si>
    <t>13ο ΔΗΜΟΤΙΚΟ ΣΧΟΛΕΙΟ ΛΑΡΙΣΑΣ</t>
  </si>
  <si>
    <t>1ο ΕΚ ΕΛΑΣΣΟΝΑΣ</t>
  </si>
  <si>
    <t>mail@1sek-elass.lar.sch.gr</t>
  </si>
  <si>
    <t>ΠΑΡΟΔΟΣ ΜΑΥΡΟΔΗΜΟΥ ΕΛΑΣΣΟΝΑ</t>
  </si>
  <si>
    <t>1ο ΔΗΜΟΤΙΚΟ ΣΧΟΛΕΙΟ ΕΛΑΣΣΟΝΑΣ</t>
  </si>
  <si>
    <t>10ο ΗΜΕΡΗΣΙΟ ΓΥΜΝΑΣΙΟ ΛΑΡΙΣΑΣ</t>
  </si>
  <si>
    <t>10gymlar@sch.gr</t>
  </si>
  <si>
    <t>ΗΡΑΚΛΕΙΑΝΟΥ ΤΕΡΜΑ</t>
  </si>
  <si>
    <t>1ο ΗΜΕΡΗΣΙΟ ΓΥΜΝΑΣΙΟ ΕΛΑΣΣΟΝΑΣ</t>
  </si>
  <si>
    <t>mail@1gym-elass.lar.sch.gr</t>
  </si>
  <si>
    <t>ΤΕΡΜΑ 1ης ΜΕΡΑΡΧΙΑΣ</t>
  </si>
  <si>
    <t>15ο ΗΜΕΡΗΣΙΟ ΓΥΜΝΑΣΙΟ ΛΑΡΙΣΑΣ</t>
  </si>
  <si>
    <t>mail@15gym-laris.lar.sch.gr</t>
  </si>
  <si>
    <t>ΧΑΤΖΗΚΥΡΙΑΚΟΥ-ΓΚΙΚΑ &amp; ΧΑΤΖΗΔΑΚΗ</t>
  </si>
  <si>
    <t>7ο ΗΜΕΡΗΣΙΟ ΓΥΜΝΑΣΙΟ ΛΑΡΙΣΑΣ</t>
  </si>
  <si>
    <t>mail@7gym-laris.lar.sch.gr</t>
  </si>
  <si>
    <t>ΑΡΗ ΑΛΕΞΑΝΔΡΟΥ ΚΑΙ ΜΕΘΟΔΙΟΥ</t>
  </si>
  <si>
    <t>23ο ΔΗΜΟΤΙΚΟ ΣΧΟΛΕΙΟ ΛΑΡΙΣΑΣ</t>
  </si>
  <si>
    <t>ΗΜΕΡΗΣΙΟ ΓΥΜΝΑΣΙΟ ΑΓΙΑΣ</t>
  </si>
  <si>
    <t>mail@gym-agias.lar.sch.gr</t>
  </si>
  <si>
    <t>ΜΕΤΑΞΟΧΩΡΙΟΥ 8</t>
  </si>
  <si>
    <t>2ο ΔΗΜΟΤΙΚΟ ΣΧΟΛΕΙΟ ΑΓΙΑΣ</t>
  </si>
  <si>
    <t>5ο ΗΜΕΡΗΣΙΟ ΓΥΜΝΑΣΙΟ ΛΑΡΙΣΑΣ - ΝΙΚΗΦΟΡΟΣ ΘΕΟΤΟΚΗΣ</t>
  </si>
  <si>
    <t>mail@5gym-laris.lar.sch.gr</t>
  </si>
  <si>
    <t>ΙΟΥΣΤΙΝΙΑΝΟΥ ΚΑΙ  ΒΟΥΤΣΙΛΑ</t>
  </si>
  <si>
    <t>ΙΟΥΣΤΙΝΙΑΝΟΥ ΚΑΙ ΒΟΥΤΣΙΛΑ</t>
  </si>
  <si>
    <t>1ο ΗΜΕΡΗΣΙΟ ΕΠΑΛ ΕΛΑΣΣΟΝΑΣ</t>
  </si>
  <si>
    <t>mail@1epal-elass.lar.sch.gr</t>
  </si>
  <si>
    <t>ΠΑΡΟΔΟΣ ΜΑΥΡΟΔΗΜΟΥ</t>
  </si>
  <si>
    <t>Ε.Ε.Ε.ΕΚ. ΛΑΡΙΣΑΣ</t>
  </si>
  <si>
    <t>mail@eeeek.lar.sch.gr</t>
  </si>
  <si>
    <t>ΤΣΙΡΟΠΟΥΛΟΥ ΕΥΑΓΓ.3</t>
  </si>
  <si>
    <t>ΔΗΜΟΤΙΚΟ ΣΧΟΛΕΙΟ ΑΓΙΩΝ ΑΝΑΡΓΥΡΩΝ</t>
  </si>
  <si>
    <t>ΟΛΥΜΠΟΥ</t>
  </si>
  <si>
    <t>ΚΑΛΛΙΘΕΑΣ ΕΛΛΑΣΟΝΟΣ</t>
  </si>
  <si>
    <t>ΓΥΜΝΑΣΙΟ ΚΑΙ ΛΥΚΕΙΑΚΕΣ ΤΑΞΕΙΣ ΚΑΛΛΙΘΕΑΣ "ΘΕΟΦΙΛΟΣ ΣΑΚΑΛΙΔΗΣ"</t>
  </si>
  <si>
    <t>mail@gym-kallith.lar.sch.gr</t>
  </si>
  <si>
    <t>ΚΑΛΛΙΘΕΑ    ΕΛΑΣΣΟΝΑΣ</t>
  </si>
  <si>
    <t>ΔΗΜΟΤΙΚΟ ΣΧΟΛΕΙΟ ΚΑΛΛΙΘΕΑΣ ΕΛΑΣΣΟΝΑΣ</t>
  </si>
  <si>
    <t>ΜΟΥΣΙΚΟ ΣΧΟΛΕΙΟ ΛΑΡΙΣΑΣ(ΓΥΜΝΑΣΙΟ-ΛΥΚΕΙΟ)</t>
  </si>
  <si>
    <t>mail@gym-mous-laris.lar.sch.gr</t>
  </si>
  <si>
    <t>ΤΑΣΟΥ ΛΕΙΒΑΔΙΤΗ 18</t>
  </si>
  <si>
    <t>2ο ΓΕΝΙΚΟ ΛΥΚΕΙΟ ΛΑΡΙΣΑΣ</t>
  </si>
  <si>
    <t>mail@2lyk-laris.lar.sch.gr</t>
  </si>
  <si>
    <t>ΑΙΟΛΟΥ 4</t>
  </si>
  <si>
    <t>3ο ΕΣΠΕΡΙΝΟ ΕΠΑΛ ΛΑΡΙΣΑΣ</t>
  </si>
  <si>
    <t>mail@3epal-esp-laris.lar.sch.gr</t>
  </si>
  <si>
    <t>ΙΟΥΣΤΙΝΙΑΝΟΥ ΚΑΙ ΚΟΜΝΗΝΩΝ 6</t>
  </si>
  <si>
    <t>1ο Ημερήσιο ΕΠΑΛ Αγιάς</t>
  </si>
  <si>
    <t>1epal-agias@sch.gr</t>
  </si>
  <si>
    <t>Αγιά</t>
  </si>
  <si>
    <t>Αγίας Παρασκευής 1</t>
  </si>
  <si>
    <t>2ο ΕΚ ΛΑΡΙΣΑΣ - ΔΕΥΤΕΡΟ ΕΚ ΛΑΡΙΣΑΣ</t>
  </si>
  <si>
    <t>mail@2sek-laris.lar.sch.gr</t>
  </si>
  <si>
    <t>ΠΛΟΥΤΩΝΟΣ 24</t>
  </si>
  <si>
    <t>1ο ΗΜΕΡΗΣΙΟ ΓΥΜΝΑΣΙΟ ΛΑΡΙΣΑΣ</t>
  </si>
  <si>
    <t>mail@1gym-laris.lar.sch.gr</t>
  </si>
  <si>
    <t>37ο ΔΗΜΟΤΙΚΟ ΣΧΟΛΕΙΟ ΛΑΡΙΣΑΣ</t>
  </si>
  <si>
    <t>3ο ΕΚ ΛΑΡΙΣΑΣ - ΤΡΙΤΟ ΣΧΟΛΙΚΟ ΕΡΓΑΣΤΗΡΙΑΚΟ ΚΕΝΤΡΟ ΛΑΡΙΣΑΣ</t>
  </si>
  <si>
    <t>mail@3sek-laris.lar.sch.gr</t>
  </si>
  <si>
    <t>ΔΡΟΣΗ ΚΑΙ ΖΑΚΥΝΘΟΥ</t>
  </si>
  <si>
    <t>1ο ΕΠΑΛ ΤΥΡΝΑΒΟΥ</t>
  </si>
  <si>
    <t>mail@1epal-tyrnav.lar.sch.gr</t>
  </si>
  <si>
    <t>ΧΑΙΡΩΝΕΙΑΣ 2</t>
  </si>
  <si>
    <t>4ο ΔΗΜΟΤΙΚΟ ΣΧΟΛΕΙΟ ΤΥΡΝΑΒΟΥ</t>
  </si>
  <si>
    <t>2ο ΗΜΕΡΗΣΙΟ ΕΠΑΛ ΛΑΡΙΣΑΣ</t>
  </si>
  <si>
    <t>mail@2epal-laris.lar.sch.gr</t>
  </si>
  <si>
    <t>1ο ΕΡΓΑΣΤΗΡΙΑΚΟ ΚΕΝΤΡΟ ΛΑΡΙΣΑΣ</t>
  </si>
  <si>
    <t>mail@1sek-laris.lar.sch.gr</t>
  </si>
  <si>
    <t>ΤΕΡΜΑ  ΚΑΡΔΙΤΣΗΣ</t>
  </si>
  <si>
    <t>4ο ΗΜΕΡΗΣΙΟ ΕΠΑΛ ΛΑΡΙΣΑΣ</t>
  </si>
  <si>
    <t>mail@4epal-laris.lar.sch.gr</t>
  </si>
  <si>
    <t>ΗΜΕΡΗΣΙΟ ΓΕΝΙΚΟ ΛΥΚΕΙΟ ΔΟΜΕΝΙΚΟΥ</t>
  </si>
  <si>
    <t>mail@lyk-domen.lar.sch.gr</t>
  </si>
  <si>
    <t>ΗΜΕΡΗΣΙΟ ΓΕΝΙΚΟ ΛΥΚΕΙΟ ΦΑΛΑΝΗΣ</t>
  </si>
  <si>
    <t>mail@lyk-falan.lar.sch.gr</t>
  </si>
  <si>
    <t>ΦΑΛΑΝΗ</t>
  </si>
  <si>
    <t>ΦΑΛΑΝΗ, Ν. ΣΚΟΥΦΑ 8</t>
  </si>
  <si>
    <t>ΤΕΡΨΙΘΕΑΣ</t>
  </si>
  <si>
    <t>ΤΕΡΨΙΘΕΑ</t>
  </si>
  <si>
    <t>ΕΣΠΕΡΙΝΟ ΓΕΝΙΚΟ ΛΥΚΕΙΟ ΛΑΡΙΣΑΣ</t>
  </si>
  <si>
    <t>mail@lyk-esp-laris.lar.sch.gr</t>
  </si>
  <si>
    <t>ΗΜΕΡΗΣΙΟ ΓΥΜΝΑΣΙΟ &amp; Λ.Τ. ΛΙΒΑΔΙΟΥ</t>
  </si>
  <si>
    <t>mail@gym-livad.lar.sch.gr</t>
  </si>
  <si>
    <t>ΛΙΒΑΔΙ ΕΛΑΣΣΟΝΑΣ</t>
  </si>
  <si>
    <t>ΔΗΜΟΤΙΚΟ  ΣΧΟΛΕΙΟ ΛΙΒΑΔΙΟΥ</t>
  </si>
  <si>
    <t>ΕΝΙΑΙΟ ΕΙΔΙΚΟ ΕΠΑΓΓΕΛΜΑΤΙΚΟ ΓΥΜΝΑΣΙΟ-ΛΥΚΕΙΟ ΕΛΑΣΣΟΝΑΣ</t>
  </si>
  <si>
    <t>mail@gym-ee-elass.lar.sch.gr</t>
  </si>
  <si>
    <t>13ο ΗΜΕΡΗΣΙΟ ΓΕΝΙΚΟ ΛΥΚΕΙΟ ΛΑΡΙΣΑΣ</t>
  </si>
  <si>
    <t>mail@13lyk-laris.lar.sch.gr</t>
  </si>
  <si>
    <t>Σικελιανού &amp; Κάρλας</t>
  </si>
  <si>
    <t>14ο ΗΜΕΡΗΣΙΟ ΓΕΝΙΚΟ ΛΥΚΕΙΟ ΛΑΡΙΣΑΣ</t>
  </si>
  <si>
    <t>mail@14lyk-laris.lar.sch.gr</t>
  </si>
  <si>
    <t>ΧΑΤΖΗΚΥΡΙΑΚΟΥ ΓΚΙΚΑ &amp; Μ. ΧΑΤΖΗΔΑΚΗ</t>
  </si>
  <si>
    <t>ΗΜΕΡΗΣΙΟ ΓΥΜΝΑΣΙΟ ΚΑΡΥΑΣ</t>
  </si>
  <si>
    <t>mail@gym-karyas.lar.sch.gr</t>
  </si>
  <si>
    <t>ΚΑΡΥΑ ΕΛΑΣΣΟΝΑΣ</t>
  </si>
  <si>
    <t>ΔΙΕΥΘΥΝΣΗ Δ.Ε. ΜΑΓΝΗΣΙΑΣ</t>
  </si>
  <si>
    <t>ΑΛΜΥΡΟΥ</t>
  </si>
  <si>
    <t>ΠΤΕΛΕΟΥ</t>
  </si>
  <si>
    <t>ΗΜΕΡΗΣΙΟ ΓΥΜΝΑΣΙΟ ΠΤΕΛΕΟΣ - ΓΡΑΜΜΑΤΙΚΕΙΟΝ</t>
  </si>
  <si>
    <t>mail@gym-pteleou.mag.sch.gr</t>
  </si>
  <si>
    <t>ΠΤΕΛΕΟΣ</t>
  </si>
  <si>
    <t>ΔΗΜΟΤΙΚΟ ΣΧΟΛΕΙΟ ΠΤΕΛΕΟΥ</t>
  </si>
  <si>
    <t>ΝΟΤΙΟΥ ΠΗΛΙΟΥ</t>
  </si>
  <si>
    <t>ΤΡΙΚΕΡΙΟΥ</t>
  </si>
  <si>
    <t>ΗΜΕΡΗΣΙΟ ΓΥΜΝΑΣΙΟ  ΤΡΙΚΕΡΙΟΥ ΜΑΓΝΗΣΙΑΣ</t>
  </si>
  <si>
    <t>mail@gym-triker.mag.sch.gr</t>
  </si>
  <si>
    <t>ΤΡΙΚΕΡΙ</t>
  </si>
  <si>
    <t>ΔΗΜΟΤΙΚΟ ΣΧΟΛΕΙΟ ΤΡΙΚΕΡΙΟΥ</t>
  </si>
  <si>
    <t>ΣΟΥΡΠΗΣ</t>
  </si>
  <si>
    <t>ΗΜΕΡΗΣΙΟ ΓΥΜΝΑΣΙΟ ΚΑΙ ΛΥΚΕΙΑΚΕΣ ΤΑΞΕΙΣ ΣΟΥΡΠΗΣ ΜΑΓΝΗΣΙΑΣ</t>
  </si>
  <si>
    <t>mail@gym-sourp.mag.sch.gr</t>
  </si>
  <si>
    <t>ΣΟΥΡΠΗ ΜΑΓΝΗΣΙΑΣ</t>
  </si>
  <si>
    <t>ΔΗΜΟΤΙΚΟ ΣΧΟΛΕΙΟ ΣΟΥΡΠΗΣ</t>
  </si>
  <si>
    <t>ΣΠΟΡΑΔΩΝ</t>
  </si>
  <si>
    <t>ΣΚΙΑΘΟΥ</t>
  </si>
  <si>
    <t>ΗΜΕΡΗΣΙΟ ΓΥΜΝΑΣΙΟ ΣΚΙΑΘΟΥ ΜΑΓΝΗΣΙΑΣ</t>
  </si>
  <si>
    <t>mail@gym-skiath.mag.sch.gr</t>
  </si>
  <si>
    <t xml:space="preserve">ΣΚΙΑΘΟΣ </t>
  </si>
  <si>
    <t>ΠΑΠΑΔΙΑΜΑΝΤΗ 40</t>
  </si>
  <si>
    <t>2ο ΔΗΜΟΤΙΚΟ ΣΧΟΛΕΙΟ ΣΚΙΑΘΟΥ</t>
  </si>
  <si>
    <t>ΑΓΡΙΑΣ</t>
  </si>
  <si>
    <t>ΗΜΕΡΗΣΙΟ ΓΕΝΙΚΟ ΛΥΚΕΙΟ ΑΓΡΙΑΣ ΜΑΓΝΗΣΙΑΣ</t>
  </si>
  <si>
    <t>mail@lyk-agrias.mag.sch.gr</t>
  </si>
  <si>
    <t>ΑΓΡΙΑ  ΜΑΓΝΗΣΙΑΣ</t>
  </si>
  <si>
    <t>ΤΡΙΑΝΤΑΦΥΛΛΟΥ 42</t>
  </si>
  <si>
    <t>2ο ΔΗΜΟΤΙΚΟ ΣΧΟΛΕΙΟ ΑΓΡΙΑΣ - ΓΕΩΡΓΙΑΔΕΙΟ</t>
  </si>
  <si>
    <t>ΝΕΑΣ ΑΓΧΙΑΛΟΥ</t>
  </si>
  <si>
    <t>1ο ΗΜΕΡΗΣΙΟ ΓΕΝΙΚΟ ΛΥΚΕΙΟ Ν.ΑΓΧΙΑΛΟΥ ΜΑΓΝΗΣΙΑΣ</t>
  </si>
  <si>
    <t>mail@lyk-n-anchial.mag.sch.gr</t>
  </si>
  <si>
    <t>Ν.ΑΓΧΙΑΛΟΣ ΜΑΓΝΗΣΙΑΣ</t>
  </si>
  <si>
    <t>ΑΜΥΡΑ 7 -ΝΕΑ ΑΓΧΙΑΛΟΣ</t>
  </si>
  <si>
    <t>2ο ΔΗΜΟΤΙΚΟ ΣΧΟΛΕΙΟ ΝΕΑΣ ΑΓΧΙΑΛΟΥ - ΒΑΡΝΑΛΕΙΟ</t>
  </si>
  <si>
    <t>ΖΑΓΟΡΑΣ-ΜΟΥΡΕΣΙΟΥ</t>
  </si>
  <si>
    <t>ΜΟΥΡΕΣΙΟΥ</t>
  </si>
  <si>
    <t>ΤΣΑΓΚΑΡΑΔΑΣ</t>
  </si>
  <si>
    <t>ΗΜΕΡΗΣΙΟ ΓΕΝΙΚΟ ΛΥΚΕΙΟ ΤΣΑΓΚΑΡΑΔΑΣ ΜΑΓΝΗΣΙΑΣ - ΑΧΙΛΛΟΠΟΥΛΕΙΟ</t>
  </si>
  <si>
    <t>mail@lyk-tsagk.mag.sch.gr</t>
  </si>
  <si>
    <t>ΤΣΑΓΚΑΡΑΔΑ ΜΑΓΝΗΣΙΑΣ</t>
  </si>
  <si>
    <t>ΤΣΑΓΚΑΡΑΔΑ</t>
  </si>
  <si>
    <t>ΔΗΜΟΤΙΚΟ ΣΧΟΛΕΙΟ ΜΟΥΡΕΣΙΟΥ-ΞΟΡΙΧΤΙΟΥ-ΤΣΑΓΚΑΡΑΔΑΣ "ΝΑΝΟΠΟΥΛΕΙΟ"</t>
  </si>
  <si>
    <t>ΖΑΓΟΡΑΣ</t>
  </si>
  <si>
    <t>ΗΜΕΡΗΣΙΟ ΓΕΝΙΚΟ ΛΥΚΕΙΟ ΖΑΓΟΡΑΣ ΜΑΓΝΗΣΙΑΣ - Δ. ΠΟΛΥΜΕΡΗΣ</t>
  </si>
  <si>
    <t>mail@lyk-zagor.mag.sch.gr</t>
  </si>
  <si>
    <t>ΖΑΓΟΡΑ ΜΑΓΝΗΣΙΑΣ</t>
  </si>
  <si>
    <t>ΑΓ. ΚΥΡΙΑΚΗ - ΖΑΓΟΡΑ ΜΑΓΝΗΣΙΑΣ</t>
  </si>
  <si>
    <t>1ο ΔΗΜΟΤΙΚΟ ΣΧΟΛΕΙΟ ΖΑΓΟΡΑΣ - ΡΗΓΑΣ ΦΕΡΑΙΟΣ</t>
  </si>
  <si>
    <t>ΗΜΕΡΗΣΙΟ ΓΥΜΝΑΣΙΟ ΤΣΑΓΚΑΡΑΔΑΣ ΜΑΓΝΗΣΙΑΣ - ΑΧΙΛΛΟΠΟΥΛΕΙΟ</t>
  </si>
  <si>
    <t>mail@gym-tsagk.mag.sch.gr</t>
  </si>
  <si>
    <t>1ο ΗΜΕΡΗΣΙΟ ΓΥΜΝΑΣΙΟ ΑΛΜΥΡΟΥ ΜΑΓΝΗΣΙΑΣ</t>
  </si>
  <si>
    <t>mail@1gym-almyr.mag.sch.gr</t>
  </si>
  <si>
    <t>ΑΛΜΥΡΟΣ ΜΑΓΝΗΣΙΑΣ</t>
  </si>
  <si>
    <t>ΑΕΡΟΠ. ΠΑΠΠΑ  1</t>
  </si>
  <si>
    <t>5ο ΔΗΜΟΤΙΚΟ ΣΧΟΛΕΙΟ ΑΛΜΥΡΟΥ</t>
  </si>
  <si>
    <t>ΡΗΓΑ ΦΕΡΑΙΟΥ</t>
  </si>
  <si>
    <t>ΒΕΛΕΣΤΙΝΟΥ</t>
  </si>
  <si>
    <t>ΗΜΕΡΗΣΙΟ ΕΠΑΓΓΕΛΜΑΤΙΚΟ ΛΥΚΕΙΟ ΒΕΛΕΣΤΙΝΟΥ</t>
  </si>
  <si>
    <t>mail@epal-velest.mag.sch.gr</t>
  </si>
  <si>
    <t>ΒΕΛΕΣΤΙΝΟ</t>
  </si>
  <si>
    <t>ΣΥΝΤΡΟΦΩΝ ΡΗΓΑ ΦΕΡΑΙΟΥ ΤΕΡΜΑ</t>
  </si>
  <si>
    <t>1ο ΔΗΜΟΤΙΚΟ ΣΧΟΛΕΙΟ ΦΕΡΩΝ-ΒΕΛΕΣΤΙΝΟΥ</t>
  </si>
  <si>
    <t>4ο ΕΣΠΕΡΙΝΟ ΕΠΑΛ ΝΕΑΣ ΙΩΝΙΑΣ</t>
  </si>
  <si>
    <t>mail@4epal-esp-n-ionias.mag.sch.gr</t>
  </si>
  <si>
    <t>Τέρμα Παναγούλη Φυτόκο</t>
  </si>
  <si>
    <t>31ο  ΔΗΜΟΤΙΚΟ ΣΧΟΛΕΙΟ ΒΟΛΟΥ</t>
  </si>
  <si>
    <t>ΕΝΙΑΙΟ ΕΙΔΙΚΟ ΕΠΑΓΓΕΛΜΑΤΙΚΟ ΓΥΜΝΑΣΙΟ - ΛΥΚΕΙΟ Ν. ΙΩΝΙΑΣ ΜΑΓΝΗΣΙΑΣ</t>
  </si>
  <si>
    <t>1eidteemag@sch.gr</t>
  </si>
  <si>
    <t>ΦΑΝΑΡΙΟΥ - ΑΓΙΟΥ ΝΕΚΤΑΡΙΟΥ</t>
  </si>
  <si>
    <t>6ο ΔΗΜΟΤΙΚΟ ΣΧΟΛΕΙΟ   ΝΕΑΣ ΙΩΝΙΑΣ</t>
  </si>
  <si>
    <t>ΕΡΓΑΣΤΗΡΙΟ ΕΙΔΙΚΗΣ ΕΠΑΓΓΕΛΜΑΤΙΚΗΣ ΕΚΠΑΙΔΕΥΣΗΣ ΒΟΛΟΥ - Ε.Ε.Ε.ΕΚ ΒΟΛΟΥ</t>
  </si>
  <si>
    <t>mail@eeeek-volou.mag.sch.gr</t>
  </si>
  <si>
    <t>Ν.ΙΩΝΙΑ ΒΟΛΟΥ</t>
  </si>
  <si>
    <t>ΣΤΡΑΤΗ ΜΥΡΙΒΗΛΗ 1</t>
  </si>
  <si>
    <t>4ο ΗΜΕΡΗΣΙΟ ΓΥΜΝΑΣΙΟ ΝΕΑΣ ΙΩΝΙΑΣ ΒΟΛΟΥ</t>
  </si>
  <si>
    <t>mail@4gym-n-ionias.mag.sch.gr</t>
  </si>
  <si>
    <t>ΝΕΑΣ ΙΩΝΙΑΣ ΒΟΛΟΥ</t>
  </si>
  <si>
    <t>ΜΥΡΙΒΗΛΗ 1</t>
  </si>
  <si>
    <t>1ο ΗΜΕΡΗΣΙΟ ΕΠΑΛ ΒΟΛΟΥ</t>
  </si>
  <si>
    <t>mail@1epal-volou.mag.sch.gr</t>
  </si>
  <si>
    <t>ΚΑΣΣΑΒΕΤΗ 3</t>
  </si>
  <si>
    <t>5ο ΔΗΜΟΤΙΚΟ ΣΧΟΛΕΙΟ ΒΟΛΟΥ</t>
  </si>
  <si>
    <t>2ο ΕΠΑΛ ΒΟΛΟΥ ΕΣΠΕΡΙΝΟ</t>
  </si>
  <si>
    <t>2epal-esp-volou@sch.gr</t>
  </si>
  <si>
    <t>ΚΑΣΣΑΒΕΤΗ 3 - ΠΟΛΥΜΕΡΗ</t>
  </si>
  <si>
    <t>1ο ΗΜΕΡΗΣΙΟ ΕΠΑΛ ΑΛΜΥΡΟΥ ΒΟΛΟΥ</t>
  </si>
  <si>
    <t>mail@1epal-almyr.mag.sch.gr</t>
  </si>
  <si>
    <t>Ν. ΜΗΤΑΚΟΥ ΚΑΙ ΟΠΛ.ΒΕΛΕΝΤΖΑ</t>
  </si>
  <si>
    <t>1ο ΕΚ ΑΛΜΥΡΟΥ</t>
  </si>
  <si>
    <t>mail@1sek-almyr.mag.sch.gr</t>
  </si>
  <si>
    <t>Ν. ΜΗΤΑΚΟΥ ΚΑΙ ΟΠΛ. ΒΕΛΕΝΤΖΑ</t>
  </si>
  <si>
    <t>1ο ΗΜΕΡΗΣΙΟ ΕΠΑΛ ΝΕΑΣ ΙΩΝΙΑΣ ΜΑΓΝΗΣΙΑΣ</t>
  </si>
  <si>
    <t>mail@1epal-n-ionias.mag.sch.gr</t>
  </si>
  <si>
    <t>ΝΕΑΣ ΙΩΝΙΑΣ ΜΑΓΝΗΣΙΑΣ</t>
  </si>
  <si>
    <t>ΤΕΡΜΑ ΠΑΝΑΓΟΥΛΗ - ΦΥΤΟΚΟ</t>
  </si>
  <si>
    <t>ΗΜΕΡΗΣΙΟ ΕΠΑΛ ΣΚΟΠΕΛΟΥ</t>
  </si>
  <si>
    <t>mail@epal-skopel.mag.sch.gr</t>
  </si>
  <si>
    <t>ΣΚΟΠΕΛΟΣ</t>
  </si>
  <si>
    <t>1ο ΔΗΜΟΤΙΚΟ ΣΧΟΛΕΙΟ ΣΚΟΠΕΛΟΥ  " ΠΕΠΑΡΗΘΕΙΟ"</t>
  </si>
  <si>
    <t>3ο ΗΜΕΡΗΣΙΟ ΕΠΑΛ ΒΟΛΟΥ</t>
  </si>
  <si>
    <t>mail@3epal-volou.mag.sch.gr</t>
  </si>
  <si>
    <t>ΑΡΣΙΝΟΗΣ 4</t>
  </si>
  <si>
    <t>33ο ΔΗΜΟΤΙΚΟ ΣΧΟΛΕΙΟ ΒΟΛΟΣ</t>
  </si>
  <si>
    <t>ΗΜΕΡΗΣΙΟ ΕΠΑΛ ΑΓΡΙΑΣ ΜΑΓΝΗΣΙΑΣ</t>
  </si>
  <si>
    <t>mail@epal-agrias.mag.sch.gr</t>
  </si>
  <si>
    <t>ΑΓΡΙΑΣ ΜΑΓΝΗΣΙΑΣ</t>
  </si>
  <si>
    <t>ΑΡΙΣΤΟΤΕΛΗ ΚΑΙ ΑΠ. ΛΑΜΠΗ</t>
  </si>
  <si>
    <t>1ο ΔΗΜΟΤΙΚΟ ΣΧΟΛΕΙΟ ΑΓΡΙΑΣ</t>
  </si>
  <si>
    <t>2ο ΗΜΕΡΗΣΙΟ ΓΕΝΙΚΟ ΛΥΚΕΙΟ ΝΕΑΣ ΙΩΝΙΑΣ ΜΑΓΝΗΣΙΑΣ</t>
  </si>
  <si>
    <t>2lyknion@sch.gr</t>
  </si>
  <si>
    <t>ΝΕΑ ΙΩΝΙΑ  ΜΑΓΝΗΣΙΑΣ</t>
  </si>
  <si>
    <t>Μ. ΜΕΡΚΟΥΡΗ  &amp; ΔΟΞΟΠΟΥΛΟΥ 80</t>
  </si>
  <si>
    <t>ΗΜΕΡΗΣΙΟ ΓΕΝΙΚΟ ΛΥΚΕΙΟ ΒΕΛΕΣΤΙΝΟΥ ΜΑΓΝΗΣΙΑΣ - ΕΝΙΑΙΟ ΛΥΚΕΙΟ ΒΕΛΕΣΤΙΝΟΥ</t>
  </si>
  <si>
    <t>mail@lyk-velest.mag.sch.gr</t>
  </si>
  <si>
    <t>ΒΕΛΕΣΤΙΝΟ ΜΑΓΝΗΣΙΑΣ</t>
  </si>
  <si>
    <t>8ο ΗΜΕΡΗΣΙΟ ΓΕΝΙΚΟ ΛΥΚΕΙΟ ΒΟΛΟΥ</t>
  </si>
  <si>
    <t>mail@8lyk-volou.mag.sch.gr</t>
  </si>
  <si>
    <t>ΟΡΜΙΝΙΟΥ &amp; ΑΠΟΛΛΩΝΟΣ</t>
  </si>
  <si>
    <t>22ο ΔΗΜΟΤΙΚΟ ΣΧΟΛΕΙΟ ΒΟΛΟΥ</t>
  </si>
  <si>
    <t>ΕΣΠΕΡΙΝΟ ΓΕΝΙΚΟ ΛΥΚΕΙΟ ΒΟΛΟΥ</t>
  </si>
  <si>
    <t>mail@lyk-esp-volou.mag.sch.gr</t>
  </si>
  <si>
    <t>ΣΤΑΔΙΟΥ 1</t>
  </si>
  <si>
    <t>7ο ΔΗΜΟΤΙΚΟ ΣΧΟΛΕΙΟ ΒΟΛΟΥ</t>
  </si>
  <si>
    <t>ΗΜΕΡΗΣΙΟ ΓΕΝΙΚΟ ΛΥΚΕΙΟ ΣΚΟΠΕΛΟΥ</t>
  </si>
  <si>
    <t>mail@lyk-skopel.mag.sch.gr</t>
  </si>
  <si>
    <t>Χώρα Σκοπέλου</t>
  </si>
  <si>
    <t>4ο ΗΜΕΡΗΣΙΟ ΓΕΝΙΚΟ ΛΥΚΕΙΟ ΒΟΛΟΥ</t>
  </si>
  <si>
    <t>mail@4lyk-volou.mag.sch.gr</t>
  </si>
  <si>
    <t>ΚΟΔΡΙΓΚΤΩΝΟΣ ΚΑΙ ΝΕΑΠΟΛΕΩΣ</t>
  </si>
  <si>
    <t>23ο ΔΗΜΟΤΙΚΟ ΣΧΟΛΕΙΟ ΒΟΛΟΥ</t>
  </si>
  <si>
    <t>ΗΜΕΡΗΣΙΟ ΓΕΝΙΚΟ ΛΥΚΕΙΟ ΣΚΙΑΘΟΥ</t>
  </si>
  <si>
    <t>mail@lyk-skiath.mag.sch.gr</t>
  </si>
  <si>
    <t xml:space="preserve">Σκιάθος </t>
  </si>
  <si>
    <t>Παπαδιαμάντη 40 -</t>
  </si>
  <si>
    <t>7ο ΗΜΕΡΗΣΙΟ ΓΕΝΙΚΟ ΛΥΚΕΙΟ ΒΟΛΟΥ</t>
  </si>
  <si>
    <t>mail@7lyk-volou.mag.sch.gr</t>
  </si>
  <si>
    <t>ΛΑΣΚΑΡΑΤΟΥ - ΤΕΡΤΣΕΤΗ</t>
  </si>
  <si>
    <t>ΑΡΓΑΛΑΣΤΗΣ</t>
  </si>
  <si>
    <t>ΗΜΕΡΗΣΙΟ ΓΕΝΙΚΟ ΛΥΚΕΙΟ ΑΡΓΑΛΑΣΤΗΣ ΜΑΓΝΗΣΙΑΣ</t>
  </si>
  <si>
    <t>mail@lyk-argal.mag.sch.gr</t>
  </si>
  <si>
    <t>ΑΡΓΑΛΑΣΤΗ ΜΑΓΝΗΣΙΑΣ</t>
  </si>
  <si>
    <t>ΑΡΓΑΛΑΣΤΗ</t>
  </si>
  <si>
    <t>ΔΗΜΟΤΙΚΟ ΣΧΟΛΕΙΟ ΑΡΓΑΛΑΣΤΗΣ</t>
  </si>
  <si>
    <t>1ο ΗΜΕΡΗΣΙΟ ΓΕΝΙΚΟ ΛΥΚΕΙΟ ΒΟΛΟΥ - ΠΑΓΚΥΠΡΙΟ</t>
  </si>
  <si>
    <t>mail@1lyk-volou.mag.sch.gr</t>
  </si>
  <si>
    <t>ΚΥΠΡΟΥ 48</t>
  </si>
  <si>
    <t>10ο ΔΗΜΟΤΙΚΟ ΣΧΟΛΕΙΟ ΒΟΛΟΥ</t>
  </si>
  <si>
    <t>1ο ΗΜΕΡΗΣΙΟ ΓΥΜΝΑΣΙΟ ΖΑΓΟΡΑΣ ΜΑΓΝΗΣΙΑΣ - ΠΟΛΥΜΕΡΕΙΟ</t>
  </si>
  <si>
    <t>gymzagor@sch.gr</t>
  </si>
  <si>
    <t>ΚΑΡΛΑΣ</t>
  </si>
  <si>
    <t>ΣΤΕΦΑΝΟΒΙΚΕΙΟΥ</t>
  </si>
  <si>
    <t>ΗΜΕΡΗΣΙΟ ΓΥΜΝΑΣΙΟ ΣΤΕΦΑΝΟΒΙΚΕΙΟΥ ΜΑΓΝΗΣΙΑΣ - ΓΥΜΝΑΣΙΟ ΣΤΕΦΑΝΟΒΙΚΕΙΟΥ</t>
  </si>
  <si>
    <t>mail@gym-stefan.mag.sch.gr</t>
  </si>
  <si>
    <t>ΣΤΕΦΑΝΟΒΙΚΕΙΟ ΜΑΓΝΗΣΙΑΣ</t>
  </si>
  <si>
    <t>ΗΜΕΡΗΣΙΟ ΓΥΜΝΑΣΙΟ ΣΤΕΦΑΝΟΒΙΚΕΙΟΥ</t>
  </si>
  <si>
    <t>1ο ΔΗΜΟΤΙΚΟ ΣΧΟΛΕΙΟ ΚΑΡΛΑΣ-ΣΤΕΦΑΝΟΒΙΚΕΙΟΥ</t>
  </si>
  <si>
    <t>ΗΜΕΡΗΣΙΟ ΓΥΜΝΑΣΙΟ ΑΓΡΙΑΣ ΜΑΓΝΗΣΙΑΣ</t>
  </si>
  <si>
    <t>gymagria@sch.gr</t>
  </si>
  <si>
    <t>ΑΓΡΙΑ ΒΟΛΟΥ</t>
  </si>
  <si>
    <t>ΑΡΙΣΤΟΤΕΛΟΥΣ ΚΑΙ ΠΛΑΤΩΝΟΣ</t>
  </si>
  <si>
    <t>9ο ΗΜΕΡΗΣΙΟ ΓΥΜΝΑΣΙΟ ΒΟΛΟΥ</t>
  </si>
  <si>
    <t>mail@9gym-volou.mag.sch.gr</t>
  </si>
  <si>
    <t>ΧΕΙΡΩΝΟΣ 53</t>
  </si>
  <si>
    <t>13ο ΔΗΜΟΤΙΚΟ ΣΧΟΛΕΙΟ ΒΟΛΟΥ</t>
  </si>
  <si>
    <t>ΗΜΕΡΗΣΙΟ ΓΥΜΝΑΣΙΟ ΝΕΑΣ ΑΓΧΙΑΛΟΥ ΜΑΓΝΗΣΙΑΣ</t>
  </si>
  <si>
    <t>mail@gym-n-anchial.mag.sch.gr</t>
  </si>
  <si>
    <t>ΝΕΑ ΑΓΧΙΑΛΟΣ  ΜΑΓΝΗΣΙΑΣ</t>
  </si>
  <si>
    <t>ΑΜΥΡΑ 7</t>
  </si>
  <si>
    <t>ΜΟΥΣΙΚΟ ΓΥΜΝΑΣΙΟ ΒΟΛΟΥ ΜΕ ΜΟΥΣΙΚΕΣ ΛΥΚΕΙΑΚΕΣ ΤΑΞΕΙΣ</t>
  </si>
  <si>
    <t>gymmousv@sch.gr</t>
  </si>
  <si>
    <t>ΠΕΝΤΗΚΟΣΤΟΥ ΤΕΤΑΡΤΟΥ ΣΥΝΤ. ΕΛΑΣ ΤΕΡΜΑ</t>
  </si>
  <si>
    <t>ΜΗΛΕΩΝ</t>
  </si>
  <si>
    <t>ΗΜΕΡΗΣΙΟ ΓΥΜΝΑΣΙΟ ΜΗΛΕΩΝ ΜΑΓΝΗΣΙΑΣ</t>
  </si>
  <si>
    <t>mail@gym-mileon.mag.sch.gr</t>
  </si>
  <si>
    <t>ΜΗΛΙΕΣ</t>
  </si>
  <si>
    <t>ΜΗΛΙΕΣ ΜΑΓΝΗΣΙΑΣ</t>
  </si>
  <si>
    <t>1ο  ΔΗΜΟΤΙΚΟ ΣΧΟΛΕΙΟ ΜΗΛΕΩΝ</t>
  </si>
  <si>
    <t>1ο ΗΜΕΡΗΣΙΟ ΓΥΜΝΑΣΙΟ ΝΕΑΣ ΙΩΝΙΑΣ ΜΑΓΝΗΣΙΑΣ</t>
  </si>
  <si>
    <t>mail@1gym-n-ionias.mag.sch.gr</t>
  </si>
  <si>
    <t>ΝΕΑ ΙΩΝΙΑ ΒΟΛΟΥ</t>
  </si>
  <si>
    <t>ΦΥΤΟΚΟΥ- ΚΑΘΗΓΗΤΗ ΠΑΝΑΓΙΩΤΗ ΒΟΥΤΣΑ 1</t>
  </si>
  <si>
    <t>9ο ΔΗΜΟΤΙΚΟ ΣΧΟΛΕΙΟ  ΝΕΑΣ ΙΩΝΙΑΣ</t>
  </si>
  <si>
    <t>2ο ΗΜΕΡΗΣΙΟ ΕΠΑΛ ΝΕΑΣ ΙΩΝΙΑΣ ΒΟΛΟΥ</t>
  </si>
  <si>
    <t>mail@2epal-n-ionias.mag.sch.gr</t>
  </si>
  <si>
    <t>Μ. ΜΕΡΚΟΥΡΗ - ΑΓΙΟΥ ΝΕΚΤΑΡΙΟΥ</t>
  </si>
  <si>
    <t>ΚΑΝΑΛΙΩΝ</t>
  </si>
  <si>
    <t>ΗΜΕΡΗΣΙΟ ΓΥΜΝΑΣΙΟ ΚΑΝΑΛΙΩΝ ΜΑΓΝΗΣΙΑΣ</t>
  </si>
  <si>
    <t>mail@gym-kanal.mag.sch.gr</t>
  </si>
  <si>
    <t>ΚΑΝΑΛΙΑ</t>
  </si>
  <si>
    <t>ΚΑΝΑΛΙΑ ΜΑΓΝΗΣΙΑΣ</t>
  </si>
  <si>
    <t>3ο ΔΗΜΟΤΙΚΟ ΣΧΟΛΕΙΟ ΚΑΡΛΑΣ-ΚΑΝΑΛΙΩΝ</t>
  </si>
  <si>
    <t>2ο Ε.Κ. ΝΕΑΣ ΙΩΝΙΑΣ ΜΑΓΝΗΣΙΑΣ</t>
  </si>
  <si>
    <t>mail@2sek-volou.mag.sch.gr</t>
  </si>
  <si>
    <t>ΤΕΡΜΑ ΠΑΝΑΓΟΥΛΗ</t>
  </si>
  <si>
    <t>ΗΜΕΡΗΣΙΟ ΓΥΜΝΑΣΙΟ ΑΡΓΑΛΑΣΤΗΣ ΜΑΓΝΗΣΙΑΣ</t>
  </si>
  <si>
    <t>mail@gym-argal.mag.sch.gr</t>
  </si>
  <si>
    <t>ΑΡΓΑΛΑΣΤΗΣ ΜΑΓΝΗΣΙΑΣ</t>
  </si>
  <si>
    <t>1ο ΕΚ ΒΟΛΟΥ</t>
  </si>
  <si>
    <t>mail@1sek-volou.mag.sch.gr</t>
  </si>
  <si>
    <t>ΑΓΙΟΥ ΝΕΚΤΑΡΙΟΥ 1</t>
  </si>
  <si>
    <t>2ο ΗΜΕΡΗΣΙΟ ΓΥΜΝΑΣΙΟ ΑΛΜΥΡΟΥ ΜΑΓΝΗΣΙΑΣ</t>
  </si>
  <si>
    <t>mail@2gym-almyr.mag.sch.gr</t>
  </si>
  <si>
    <t>ΠΑΡΟΔΟΣ ΑΓΙΟΥ ΤΡΥΦΩΝΟΣ</t>
  </si>
  <si>
    <t>3ο ΔΗΜΟΤΙΚΟ ΣΧΟΛΕΙΟ ΑΛΜΥΡΟΥ</t>
  </si>
  <si>
    <t>ΕΣΠΕΡΙΝΟ ΓΥΜΝΑΣΙΟ ΒΟΛΟΥ</t>
  </si>
  <si>
    <t>mail@gym-esp-volou.mag.sch.gr</t>
  </si>
  <si>
    <t>ΚΥΠΡΟΥ 9</t>
  </si>
  <si>
    <t>ΗΜΕΡΗΣΙΟ ΓΥΜΝΑΣΙΟ ΒΕΛΕΣΤΙΝΟΥ</t>
  </si>
  <si>
    <t>gymveles@sch.gr</t>
  </si>
  <si>
    <t>ΒΕΛΕΣΤΙΝΟ -ΜΑΓΝΗΣΙΑΣ</t>
  </si>
  <si>
    <t>6ο ΗΜΕΡΗΣΙΟ ΓΥΜΝΑΣΙΟ ΒΟΛΟΥ</t>
  </si>
  <si>
    <t>mail@6gym-volou.mag.sch.gr</t>
  </si>
  <si>
    <t>ΧΑΪΔΑΡΙΟΥ 12</t>
  </si>
  <si>
    <t>17ο ΔΗΜΟΤΙΚΟ ΣΧΟΛΕΙΟ ΒΟΛΟΥ</t>
  </si>
  <si>
    <t>ΚΑΤΩ ΛΕΧΩΝΙΩΝ</t>
  </si>
  <si>
    <t>ΗΜΕΡΗΣΙΟ ΓΥΜΝΑΣΙΟ ΚΑΤΩ ΛΕΧΩΝΙΩΝ ΜΑΓΝΗΣΙΑΣ</t>
  </si>
  <si>
    <t>mail@gym-k-lechon.mag.sch.gr</t>
  </si>
  <si>
    <t>ΚΑΤΩ ΛΕΧΩΝΙΑ</t>
  </si>
  <si>
    <t>2ο ΔΗΜΟΤΙΚΟ ΣΧΟΛΕΙΟ ΑΡΤΕΜΙΔΟΣ-ΚΑΤΩ ΛΕΧΩΝΙΩΝ "ΤΟΠΑΛΕΙΟ"</t>
  </si>
  <si>
    <t>3ο ΗΜΕΡΗΣΙΟ ΓΥΜΝΑΣΙΟ ΝΕΑΣ ΙΩΝΙΑΣ ΒΟΛΟΥ</t>
  </si>
  <si>
    <t>mail@3gym-n-ionias.mag.sch.gr</t>
  </si>
  <si>
    <t>ΝΕΑ ΙΩΝΙΑ ΜΑΓΝΗΣΙΑΣ</t>
  </si>
  <si>
    <t>Μ.ΑΓΓΕΛΕΤΟΥ 3</t>
  </si>
  <si>
    <t>8ο ΔΗΜΟΤΙΚΟ ΣΧΟΛΕΙΟ   ΝΕΑΣ ΙΩΝΙΑΣ</t>
  </si>
  <si>
    <t>7ο ΗΜΕΡΗΣΙΟ ΓΥΜΝΑΣΙΟ ΒΟΛΟΥ</t>
  </si>
  <si>
    <t>mail@7gym-volou.mag.sch.gr</t>
  </si>
  <si>
    <t>ΧΕΙΡΩΝΟΣ-ΑΝΑΠΑΥΣΕΩΣ 53</t>
  </si>
  <si>
    <t>ΕΥΞΕΙΝΟΥΠΟΛΕΩΣ</t>
  </si>
  <si>
    <t>1ο ΗΜΕΡΗΣΙΟ ΓΥΜΝΑΣΙΟ ΕΥΞΕΙΝΟΥΠΟΛΗΣ ΜΑΓΝΗΣΙΑΣ</t>
  </si>
  <si>
    <t>mail@1gym-efxin.mag.sch.gr</t>
  </si>
  <si>
    <t>ΕΥΞΕΙΝΟΥΠΟΛΗ ΜΑΓΝΗΣΙΑΣ</t>
  </si>
  <si>
    <t>Μ. ΑΣΙΑΣ  61</t>
  </si>
  <si>
    <t>ΔΗΜΟΤΙΚΟ ΣΧΟΛΕΙΟ ΕΥΞΕΙΝΟΥΠΟΛΗΣ</t>
  </si>
  <si>
    <t>1ο ΗΜΕΡΗΣΙΟ ΓΥΜΝΑΣΙΟ ΒΟΛΟΥ - ΠΑΓΚΥΠΡΙΟ</t>
  </si>
  <si>
    <t>mail@1gym-volou.mag.sch.gr</t>
  </si>
  <si>
    <t>10ο ΗΜΕΡΗΣΙΟ ΓΥΜΝΑΣΙΟ ΒΟΛΟΥ</t>
  </si>
  <si>
    <t>mail@10gym-volou.mag.sch.gr</t>
  </si>
  <si>
    <t>ΔΙΜΗΝΙΟΥ ΚΑΙ ΕΚΤΟΡΟΣ</t>
  </si>
  <si>
    <t>2ο ΗΜΕΡΗΣΙΟ ΓΥΜΝΑΣΙΟ ΝΕΑΣ ΙΩΝΙΑΣ ΜΑΓΝΗΣΙΑΣ</t>
  </si>
  <si>
    <t>mail@2gym-n-ionias.mag.sch.gr</t>
  </si>
  <si>
    <t>ΝΕΑ  ΙΩΝΙΑ  ΜΑΓΝΗΣΙΑΣ</t>
  </si>
  <si>
    <t>ΞΗΡΙΑ 38</t>
  </si>
  <si>
    <t>10ο  ΔΗΜΟΤΙΚΟ ΣΧΟΛΕΙΟ  ΝΕΑΣ ΙΩΝΙΑΣ</t>
  </si>
  <si>
    <t>5ο ΗΜΕΡΗΣΙΟ ΓΥΜΝΑΣΙΟ ΒΟΛΟΥ</t>
  </si>
  <si>
    <t>mail@5gym-volou.mag.sch.gr</t>
  </si>
  <si>
    <t>8ο  ΔΗΜΟΤΙΚΟ ΣΧΟΛΕΙΟ ΒΟΛΟΥ</t>
  </si>
  <si>
    <t>ΑΛΟΝΝΗΣΟΥ</t>
  </si>
  <si>
    <t>ΗΜΕΡΗΣΙΟ ΓΥΜΝΑΣΙΟ - ΛΤ ΑΛΟΝΝΗΣΟΥ ΜΑΓΝΗΣΙΑΣ</t>
  </si>
  <si>
    <t>mail@gym-alonn.mag.sch.gr</t>
  </si>
  <si>
    <t>ΑΛΟΝΝΗΣΟΣ ΜΑΓΝΗΣΙΑΣ</t>
  </si>
  <si>
    <t>ΑΛΟΝΝΗΣΟΣ ΠΑΤΗΤΗΡΙ</t>
  </si>
  <si>
    <t>ΔΗΜΟΤΙΚΟ ΣΧΟΛΕΙΟ ΑΛΟΝΝΗΣΟΥ</t>
  </si>
  <si>
    <t>ΗΜΕΡΗΣΙΟ ΓΥΜΝΑΣΙΟ ΣΚΟΠΕΛΟΥ ΜΑΓΝΗΣΙΑΣ - ΚΑΙΣΑΡΙΟΣ ΔΑΠΟΝΤΕΣ</t>
  </si>
  <si>
    <t>mail@gym-skopel.mag.sch.gr</t>
  </si>
  <si>
    <t>ΣΚΟΠΕΛΟΥ ΜΑΓΝΗΣΙΑΣ</t>
  </si>
  <si>
    <t>8ο ΗΜΕΡΗΣΙΟ ΓΥΜΝΑΣΙΟ ΒΟΛΟΥ</t>
  </si>
  <si>
    <t>8gymvolo@sch.gr</t>
  </si>
  <si>
    <t>ΟΡΜΙΝΙΟΥ ΚΑΙ ΑΠΟΛΛΩΝΟΣ</t>
  </si>
  <si>
    <t>3ο ΗΜΕΡΗΣΙΟ ΓΕΝΙΚΟ ΛΥΚΕΙΟ ΒΟΛΟΥ</t>
  </si>
  <si>
    <t>mail@3lyk-volou.mag.sch.gr</t>
  </si>
  <si>
    <t>3ο ΗΜΕΡΗΣΙΟ ΓΥΜΝΑΣΙΟ ΒΟΛΟΥ</t>
  </si>
  <si>
    <t>mail@3gym-volou.mag.sch.gr</t>
  </si>
  <si>
    <t>5ο ΗΜΕΡΗΣΙΟ ΓΕΝΙΚΟ ΛΥΚΕΙΟ ΒΟΛΟΥ</t>
  </si>
  <si>
    <t>mail@5lyk-volou.mag.sch.gr</t>
  </si>
  <si>
    <t>ΚΥΠΡΟΥ 59</t>
  </si>
  <si>
    <t>12ο ΔΗΜΟΤΙΚΟ ΣΧΟΛΕΙΟ ΒΟΛΟΥ</t>
  </si>
  <si>
    <t>ΙΩΛΚΟΥ</t>
  </si>
  <si>
    <t>ΑΓΙΟΥ ΟΝΟΥΦΡΙΟΥ</t>
  </si>
  <si>
    <t>ΗΜΕΡΗΣΙΟ ΓΥΜΝΑΣΙΟ ΙΩΛΚΟΥ ΜΑΓΝΗΣΙΑΣ</t>
  </si>
  <si>
    <t>mail@gym-iolkou.mag.sch.gr</t>
  </si>
  <si>
    <t>ΙΩΛΚΟΣ  ΜΑΓΝΗΣΙΑΣ</t>
  </si>
  <si>
    <t>ΡΗΓΑ ΦΕΡΡΑΙΟΥ - ΠΗΛΕΩΣ 1</t>
  </si>
  <si>
    <t>ΔΗΜΟΤΙΚΟ ΣΧΟΛΕΙΟ ΙΩΛΚΟΥ</t>
  </si>
  <si>
    <t>ΗΜΕΡΗΣΙΟ ΓΕΝΙΚΟ ΛΥΚΕΙΟ ΚΑΝΑΛΙΩΝ ΜΑΓΝΗΣΙΑΣ</t>
  </si>
  <si>
    <t>mail@lyk-kanal.mag.sch.gr</t>
  </si>
  <si>
    <t>4ο ΗΜΕΡΗΣΙΟ ΓΥΜΝΑΣΙΟ ΒΟΛΟΥ</t>
  </si>
  <si>
    <t>mail@4gym-volou.mag.sch.gr</t>
  </si>
  <si>
    <t>2ο ΗΜΕΡΗΣΙΟ ΓΕΝΙΚΟ ΛΥΚΕΙΟ ΒΟΛΟΥ</t>
  </si>
  <si>
    <t>mail@2lyk-volou.mag.sch.gr</t>
  </si>
  <si>
    <t>1ο ΗΜΕΡΗΣΙΟ ΓΕΝΙΚΟ ΛΥΚΕΙΟ ΝΕΑΣ ΙΩΝΙΑΣ ΜΑΓΝΗΣΙΑΣ</t>
  </si>
  <si>
    <t>1lykniom@sch.gr</t>
  </si>
  <si>
    <t>ΦΥΤΟΚΟΥ-ΚΑΘΗΓ. ΒΟΥΤΣΑ</t>
  </si>
  <si>
    <t>6ο ΗΜΕΡΗΣΙΟ ΓΕΝΙΚΟ ΛΥΚΕΙΟ ΒΟΛΟΥ</t>
  </si>
  <si>
    <t>mail@6lyk-volou.mag.sch.gr</t>
  </si>
  <si>
    <t>ΖΑΧΟΥ 64</t>
  </si>
  <si>
    <t>ΓΛΩΣΣΗΣ</t>
  </si>
  <si>
    <t>ΗΜΕΡΗΣΙΟ ΓΥΜΝΑΣΙΟ ΓΛΩΣΣΑΣ ΜΑΓΝΗΣΙΑΣ</t>
  </si>
  <si>
    <t>mail@gym-gloss.mag.sch.gr</t>
  </si>
  <si>
    <t>ΓΛΩΣΣΑ ΣΚΟΠΕΛΟΥ ΜΑΓΝΗΣΙΑΣ</t>
  </si>
  <si>
    <t>ΓΛΩΣΣΑ ΣΚΟΠΕΛΟΥ</t>
  </si>
  <si>
    <t>2ο ΔΗΜΟΤΙΚΟ ΣΧΟΛΕΙΟ ΓΛΩΣΣΑΣ-ΣΚΟΠΕΛΟΥ</t>
  </si>
  <si>
    <t>ΗΜΕΡΗΣΙΟ ΓΕΝΙΚΟ ΛΥΚΕΙΟ ΑΛΜΥΡΟΥ ΜΑΓΝΗΣΙΑΣ</t>
  </si>
  <si>
    <t>mail@lyk-almyr.mag.sch.gr</t>
  </si>
  <si>
    <t>ΑΘΗΝΑΣ 1</t>
  </si>
  <si>
    <t>2ο ΗΜΕΡΗΣΙΟ ΓΥΜΝΑΣΙΟ ΒΟΛΟΥ</t>
  </si>
  <si>
    <t>mail@2gym-volou.mag.sch.gr</t>
  </si>
  <si>
    <t>ΕΕΕΕΚ ΑΛΜΥΡΟΣ - Ε.Ε.Ε.Ε.Κ. ΑΛΜΥΡΟΥ</t>
  </si>
  <si>
    <t>mail@eeeek-almyr.mag.sch.gr</t>
  </si>
  <si>
    <t>ΑΛΜΥΡΟΣ</t>
  </si>
  <si>
    <t>ΦΙΛΛΕΛΗΝΩΝ</t>
  </si>
  <si>
    <t>Ημερήσιο ΕΠΑ.Λ. Αργαλαστής</t>
  </si>
  <si>
    <t>mail@epal-argal.mag.sch.gr</t>
  </si>
  <si>
    <t>ΜΑΓΝΗΣΙΑ</t>
  </si>
  <si>
    <t>ΕΠΑ.Λ. Σκιάθου (Παράρτημα του 1ου Ημερήσιου ΕΠΑ.Λ. Βόλου)</t>
  </si>
  <si>
    <t>epal-skiath@sch.gr</t>
  </si>
  <si>
    <t>ΧΩΡΑ ΣΚΙΑΘΟΥ</t>
  </si>
  <si>
    <t>ΔΙΕΥΘΥΝΣΗ Δ.Ε. ΤΡΙΚΑΛΩΝ</t>
  </si>
  <si>
    <t>ΦΑΡΚΑΔΟΝΑΣ</t>
  </si>
  <si>
    <t>ΟΙΧΑΛΙΑΣ</t>
  </si>
  <si>
    <t>ΓΥΜΝΑΣΙΟ ΟΙΧΑΛΙΑΣ</t>
  </si>
  <si>
    <t>mail@gym-oichal.tri.sch.gr</t>
  </si>
  <si>
    <t>ΟΙΧΑΛΙΑ</t>
  </si>
  <si>
    <t>1ο ΔΗΜΟΤΙΚΟ ΣΧΟΛΕΙΟ ΟΙΧΑΛΙΑΣ</t>
  </si>
  <si>
    <t>ΜΕΤΕΩΡΩΝ</t>
  </si>
  <si>
    <t>ΟΞΥΝΕΙΑΣ</t>
  </si>
  <si>
    <t>ΓΥΜΝΑΣΙΟ ΟΞΥΝΕΙΑΣ</t>
  </si>
  <si>
    <t>mail@gym-oxineias.tri.sch.gr</t>
  </si>
  <si>
    <t>ΟΞΥΝΕΙΑ - ΜΕΤΕΩΡΩΝ</t>
  </si>
  <si>
    <t>ΔΗΜΟΤΙΚΟ ΣΧΟΛΕΙΟ ΟΞΥΝΕΙΑΣ</t>
  </si>
  <si>
    <t>ΦΑΡΚΑΔΟΝΟΣ</t>
  </si>
  <si>
    <t>ΓΕΝΙΚΟ ΛΥΚΕΙΟ ΦΑΡΚΑΔΟΝΑΣ</t>
  </si>
  <si>
    <t>mail@lyk-farkad.tri.sch.gr</t>
  </si>
  <si>
    <t>ΦΑΡΚΑΔΟΝΑΣ ΤΡΙΚΑΛΩΝ</t>
  </si>
  <si>
    <t>ΦΑΡΚΑΔΟΝΑ ΕΡΓΑΤΙΚΕΣ ΚΑΤΟΙΚΙΕΣ</t>
  </si>
  <si>
    <t>2ο ΔΗΜΟΤΙΚΟ ΣΧΟΛΕΙΟ ΦΑΡΚΑΔΟΝΑΣ</t>
  </si>
  <si>
    <t>1ο ΕΚ ΤΡΙΚΑΛΩΝ</t>
  </si>
  <si>
    <t>mail@1sek-trikal.tri.sch.gr</t>
  </si>
  <si>
    <t>ΒΑΘΥΚΛΕΟΥΣ 1</t>
  </si>
  <si>
    <t>3ο ΔΗΜΟΤΙΚΟ ΣΧΟΛΕΙΟ ΤΡΙΚΑΛΩΝ "ΚΩΣΤΑΣ ΒΙΡΒΟΣ"</t>
  </si>
  <si>
    <t>8ο ΓΕΝΙΚΟ ΛΥΚΕΙΟ ΤΡΙΚΑΛΩΝ</t>
  </si>
  <si>
    <t>mail@8lyk-trikal.tri.sch.gr</t>
  </si>
  <si>
    <t>ΙΘΑΚΗΣ 58</t>
  </si>
  <si>
    <t>35ο ΔΗΜΟΤΙΚΟ ΣΧΟΛΕΙΟ ΤΡΙΚΑΛΩΝ</t>
  </si>
  <si>
    <t>1ο ΕΣΠΕΡΙΝΟ ΕΠΑΛ ΤΡΙΚΑΛΩΝ</t>
  </si>
  <si>
    <t>mail@1epal-esp-trikal.tri.sch.gr</t>
  </si>
  <si>
    <t>10ο ΔΗΜΟΤΙΚΟ ΣΧΟΛΕΙΟ ΤΡΙΚΑΛΩΝ</t>
  </si>
  <si>
    <t>ΠΥΛΗΣ</t>
  </si>
  <si>
    <t>1ο ΕΠΑΛ ΠΥΛΗΣ</t>
  </si>
  <si>
    <t>mail@1epal-pylis.tri.sch.gr</t>
  </si>
  <si>
    <t>ΠΥΛΗ</t>
  </si>
  <si>
    <t>ΔΗΜΟΤΙΚΟ ΣΧΟΛΕΙΟ ΠΥΛΗΣ ΤΡΙΚΑΛΩΝ</t>
  </si>
  <si>
    <t>1ο ΕΠΑΛ ΦΑΡΚΑΔΟΝΑΣ</t>
  </si>
  <si>
    <t>1epal-farkad@sch.gr</t>
  </si>
  <si>
    <t>ΦΑΡΚΑΔΟΝΑ</t>
  </si>
  <si>
    <t>ΡΗΓΑ ΦΕΡΑΙΟΥ &amp; ΚΩΛΕΤΤΗ</t>
  </si>
  <si>
    <t>ΕΣΤΙΑΙΩΤΙΔΑΣ</t>
  </si>
  <si>
    <t>ΓΥΜΝΑΣΙΟ ΜΕΓΑΛΟΧΩΡΙΟΥ</t>
  </si>
  <si>
    <t>mail@gym-megal.tri.sch.gr</t>
  </si>
  <si>
    <t>ΜΕΓΑΛΟΧΩΡΙΟΥ  ΤΡΙΚΑΛΩΝ</t>
  </si>
  <si>
    <t>ΜΕΓΑΛΟΧΩΡΙ ΤΡΙΚΑΛΩΝ</t>
  </si>
  <si>
    <t>ΔΗΜΟΤΙΚΟ ΣΧΟΛΕΙΟ ΜΕΓΑΛΟΧΩΡΙΟΥ</t>
  </si>
  <si>
    <t>2ο ΕΠΑΓΓΕΛΜΑΤΙΚΟ ΛΥΚΕΙΟ ΤΡΙΚΑΛΩΝ</t>
  </si>
  <si>
    <t>2epal-trikal@sch.gr</t>
  </si>
  <si>
    <t>ΟΙΚΙΣΜΟΣ ΠΥΡΓΕΤΟΣ - ΤΡΙΚΑΛΑ</t>
  </si>
  <si>
    <t>12ο ΔΗΜΟΤΙΚΟ ΣΧΟΛΕΙΟ ΤΡΙΚΑΛΩΝ</t>
  </si>
  <si>
    <t>7ο ΓΕΝΙΚΟ ΛΥΚΕΙΟ ΤΡΙΚΑΛΩΝ</t>
  </si>
  <si>
    <t>mail@7lyk-trikal.tri.sch.gr</t>
  </si>
  <si>
    <t>ΑΡΓΟΝΑΥΤΩΝ 1Α</t>
  </si>
  <si>
    <t>2ο ΗΜΕΡΗΣΙΟ ΓΕΝΙΚΟ ΛΥΚΕΙΟ ΤΡΙΚΑΛΩΝ</t>
  </si>
  <si>
    <t>mail@2lyk-trikal.tri.sch.gr</t>
  </si>
  <si>
    <t>ΚΑΤΣΙΜΗΔΟΥ 7</t>
  </si>
  <si>
    <t>2ο ΔΗΜΟΤΙΚΟ ΣΧΟΛΕΙΟ ΤΡΙΚΑΛΩΝ</t>
  </si>
  <si>
    <t>1ο  ΗΜΕΡΗΣΙΟ ΓΕΝΙΚΟ ΛΥΚΕΙΟ ΤΡΙΚΑΛΩΝ</t>
  </si>
  <si>
    <t>mail@1lyk-trikal.tri.sch.gr</t>
  </si>
  <si>
    <t>ΤΕΡΜΑ ΚΟΝΔΥΛΗ</t>
  </si>
  <si>
    <t>4ο ΓΕΝΙΚΟ ΛΥΚΕΙΟ ΤΡΙΚΑΛΩΝ - ΑΛΕΞΑΝΔΡΟΣ ΠΑΠΑΔΙΑΜΑΝΤΗΣ</t>
  </si>
  <si>
    <t>mail@4lyk-trikal.tri.sch.gr</t>
  </si>
  <si>
    <t>Τρίκαλα</t>
  </si>
  <si>
    <t>Ζηνοδότου 4</t>
  </si>
  <si>
    <t>27ο ΔΗΜΟΤΙΚΟ ΣΧΟΛΕΙΟ ΤΡΙΚΑΛΩΝ - ΑΡΙΣΤΕΙΔΗΣ ΠΑΠΠΑΣ</t>
  </si>
  <si>
    <t>ΓΕΝΙΚΟ ΛΥΚΕΙΟ ΠΥΛΗΣ</t>
  </si>
  <si>
    <t>mail@lyk-pylis.tri.sch.gr</t>
  </si>
  <si>
    <t>ΠΥΛΗ ΤΡΙΚΑΛΩΝ</t>
  </si>
  <si>
    <t>ΠΙΝΔΟΥ  4</t>
  </si>
  <si>
    <t>6ο ΗΜΕΡΗΣΙΟ ΓΕΝΙΚΟ ΛΥΚΕΙΟ ΤΡΙΚΑΛΩΝ</t>
  </si>
  <si>
    <t>mail@6lyk-trikal.tri.sch.gr</t>
  </si>
  <si>
    <t>Λ. ΚΑΤΣΩΝΗ ΤΕΡΜΑ ΑΓ. ΜΟΝΗ</t>
  </si>
  <si>
    <t>9ο ΔΗΜΟΤΙΚΟ ΣΧΟΛΕΙΟ ΤΡΙΚΑΛΩΝ</t>
  </si>
  <si>
    <t>ΚΑΛΛΙΔΕΝΔΡΟΥ</t>
  </si>
  <si>
    <t>ΒΑΛΤΙΝΟΥ</t>
  </si>
  <si>
    <t>ΓΕΝΙΚΟ ΛΥΚΕΙΟ ΒΑΛΤΙΝΟΥ</t>
  </si>
  <si>
    <t>mail@lyk-valtin.tri.sch.gr</t>
  </si>
  <si>
    <t>ΒΑΛΤΙΝΟ</t>
  </si>
  <si>
    <t>ΒΑΛΤΙΝΟ ΤΡΙΚΑΛΩΝ</t>
  </si>
  <si>
    <t>ΔΗΜΟΤΙΚΟ ΣΧΟΛΕΙΟ ΒΑΛΤΙΝΟΥ</t>
  </si>
  <si>
    <t>ΚΑΛΑΜΠΑΚΑΣ</t>
  </si>
  <si>
    <t>ΓΕΝΙΚΟ ΛΥΚΕΙΟ ΚΑΛΑΜΠΑΚΑΣ</t>
  </si>
  <si>
    <t>mail@1lyk-kalamp.tri.sch.gr</t>
  </si>
  <si>
    <t>ΚΑΛΑΜΠΑΚΑ</t>
  </si>
  <si>
    <t>ΑΝΑΛΗΨΕΩΣ 1</t>
  </si>
  <si>
    <t>2ο ΔΗΜΟΤΙΚΟ ΣΧΟΛΕΙΟ ΚΑΛΑΜΠΑΚΑΣ</t>
  </si>
  <si>
    <t>5ο ΓΕΝΙΚΟ ΛΥΚΕΙΟ ΤΡΙΚΑΛΩΝ</t>
  </si>
  <si>
    <t>mail@5lyk-trikal.tri.sch.gr</t>
  </si>
  <si>
    <t>ΚΑΛΑΜΠΑΚΑΣ ΚΑΙ ΣΤΑΥΡΟΠΟΥΛΟΥ</t>
  </si>
  <si>
    <t>3ο ΓΕΝΙΚΟ ΛΥΚΕΙΟ ΤΡΙΚΑΛΩΝ - ΟΔΥΣΣΕΑΣ ΕΛΥΤΗΣ</t>
  </si>
  <si>
    <t>mail@3lyk-trikal.tri.sch.gr</t>
  </si>
  <si>
    <t xml:space="preserve">ΤΡΙΚΑΛΑ </t>
  </si>
  <si>
    <t>ΜΕΤΕΩΡΩΝ 57</t>
  </si>
  <si>
    <t>31ο ΔΗΜΟΤΙΚΟ ΣΧΟΛΕΙΟ ΤΡΙΚΑΛΩΝ  "ΚΩΣΤΑΣ ΒΑΡΝΑΛΗΣ"</t>
  </si>
  <si>
    <t>ΗΜΕΡΗΣΙΟ ΓΕΝΙΚΟ ΛΥΚΕΙΟ ΟΙΧΑΛΙΑΣ</t>
  </si>
  <si>
    <t>mail@lyk-oichal.tri.sch.gr</t>
  </si>
  <si>
    <t>ΠΑΡΟΔΟΣ ΔΗΜΟΤΙΚΟΥ ΣΤΑΔΙΟΥ ΟΙΧΑΛΙΑΣ</t>
  </si>
  <si>
    <t>ΜΟΥΣΙΚΟ ΣΧΟΛΕΙΟ ΤΡΙΚΑΛΩΝ</t>
  </si>
  <si>
    <t>mail@gym-mous-trikal.tri.sch.gr</t>
  </si>
  <si>
    <t>ΔΗΜΟΚΡΙΤΟΥ ΚΑΙ ΠΕΡΙΦΕΡΕΙΑΚΗ ΤΡΙΚΑΛΩΝ ΡΙΖΑΡΙΟ</t>
  </si>
  <si>
    <t>13ο ΔΗΜΟΤΙΚΟ ΣΧΟΛΕΙΟ ΤΡΙΚΑΛΩΝ</t>
  </si>
  <si>
    <t>1ο ΕΠΑΛ ΤΡΙΚΑΛΩΝ</t>
  </si>
  <si>
    <t>mail@1epal-trikal.tri.sch.gr</t>
  </si>
  <si>
    <t>1ο ΓΥΜΝΑΣΙΟ ΚΑΛΑΜΠΑΚΑΣ</t>
  </si>
  <si>
    <t>mail@1gym-kalamp.tri.sch.gr</t>
  </si>
  <si>
    <t>ΔΗΜΟΥΛΑ 8</t>
  </si>
  <si>
    <t>3ο ΔΗΜΟΤΙΚΟ ΣΧΟΛΕΙΟ ΚΑΛΑΜΠΑΚΑΣ</t>
  </si>
  <si>
    <t>ΓΥΜΝΑΣΙΟ ΦΑΡΚΑΔΟΝΑΣ</t>
  </si>
  <si>
    <t>mail@gym-farkad.tri.sch.gr</t>
  </si>
  <si>
    <t>3ο ΓΥΜΝΑΣΙΟ ΤΡΙΚΑΛΩΝ</t>
  </si>
  <si>
    <t>mail@3gym-trikal.tri.sch.gr</t>
  </si>
  <si>
    <t>ΒΑΛΑΩΡΙΤΟΥ 33</t>
  </si>
  <si>
    <t>1ο ΓΥΜΝΑΣΙΟ ΠΥΛΗΣ</t>
  </si>
  <si>
    <t>mail@1gym-pylis.tri.sch.gr</t>
  </si>
  <si>
    <t>2ο ΓΥΜΝΑΣΙΟ ΚΑΛΑΜΠΑΚΑΣ</t>
  </si>
  <si>
    <t>mail@2gym-kalamp.tri.sch.gr</t>
  </si>
  <si>
    <t>ΕΣΠΕΡΙΝΟ ΓΥΜΝΑΣΙΟ ΚΑΙ ΛΥΚΕΙΑΚΕΣ ΤΑΞΕΙΣ ΤΡΙΚΑΛΩΝ</t>
  </si>
  <si>
    <t>mail@gym-esp-trikal.tri.sch.gr</t>
  </si>
  <si>
    <t>ΚΟΝΔΥΛΗ ΤΕΡΜΑ</t>
  </si>
  <si>
    <t>2ο ΓΥΜΝΑΣΙΟ ΤΡΙΚΑΛΩΝ</t>
  </si>
  <si>
    <t>mail@2gym-trikal.tri.sch.gr</t>
  </si>
  <si>
    <t>ΚΑΤΣΙΜΗΔΟΥ 5</t>
  </si>
  <si>
    <t>7ο ΓΥΜΝΑΣΙΟ ΤΡΙΚΑΛΩΝ</t>
  </si>
  <si>
    <t>mail@7gym-trikal.tri.sch.gr</t>
  </si>
  <si>
    <t>ΣΥΡΟΥ 50</t>
  </si>
  <si>
    <t>ΓΥΜΝΑΣΙΟ ΒΑΛΤΙΝΟΥ</t>
  </si>
  <si>
    <t>mail@gym-valtin.tri.sch.gr</t>
  </si>
  <si>
    <t>Βαλτινό</t>
  </si>
  <si>
    <t>ΜΕΓΑΛΩΝ ΚΑΛΥΒΙΩΝ</t>
  </si>
  <si>
    <t>ΓΥΜΝΑΣΙΟ ΜΕΓΑΛΩΝ ΚΑΛΥΒΙΩΝ</t>
  </si>
  <si>
    <t>mail@gym-m-kalyv.tri.sch.gr</t>
  </si>
  <si>
    <t>ΜΕΓΑΛΑ ΚΑΛΥΒΙΑ</t>
  </si>
  <si>
    <t>ΤΡΙΚΑΛΩΝ 10</t>
  </si>
  <si>
    <t>ΔΗΜΟΤΙΚΟ ΣΧΟΛΕΙΟ ΜΕΓΑΛΩΝ ΚΑΛΥΒΙΩΝ</t>
  </si>
  <si>
    <t>9ο ΓΥΜΝΑΣΙΟ ΤΡΙΚΑΛΩΝ</t>
  </si>
  <si>
    <t>mail@9gym-trikal.tri.sch.gr</t>
  </si>
  <si>
    <t>ΒΑΛΑΩΡΙΤΟΥ 27</t>
  </si>
  <si>
    <t>1ο ΗΜΕΡΗΣΙΟ ΕΠΑ.Λ ΚΑΛΑΜΠΑΚΑΣ</t>
  </si>
  <si>
    <t>1epal-kalamp@sch.gr</t>
  </si>
  <si>
    <t>Στεφ. Θανασούλα &amp; Αλέξη Αλεξίου Αηλιάδες</t>
  </si>
  <si>
    <t>5ο ΔΗΜΟΤΙΚΟ ΣΧΟΛΕΙΟ ΚΑΛΑΜΠΑΚΑΣ</t>
  </si>
  <si>
    <t>ΚΟΖΙΑΚΑ</t>
  </si>
  <si>
    <t>ΓΥΜΝΑΣΙΟ ΠΡΙΝΟΥ</t>
  </si>
  <si>
    <t>mail@gym-prinos.tri.sch.gr</t>
  </si>
  <si>
    <t>ΠΡΙΝΟΣ ΤΡΙΚΑΛΩΝ</t>
  </si>
  <si>
    <t>ΚΛΕΙΝΟΒΟΥ</t>
  </si>
  <si>
    <t>ΚΛΕΙΝΟΥ</t>
  </si>
  <si>
    <t>ΓΥΜΝΑΣΙΟ ΑΜΠΕΛΙΩΝ</t>
  </si>
  <si>
    <t>mail@gym-ampel.tri.sch.gr</t>
  </si>
  <si>
    <t>ΑΜΠΕΛΙΑ</t>
  </si>
  <si>
    <t>ΑΜΠΕΛΙΑ ΚΛΕΙΝΟΒΟΥ ΚΑΛΑΜΠΑΚΑΣ</t>
  </si>
  <si>
    <t>ΔΗΜΟΤΙΚΟ ΣΧΟΛΕΙΟ ΑΜΠΕΛΙΩΝ ΚΑΛΑΜΠΑΚΑΣ</t>
  </si>
  <si>
    <t>4ο ΓΥΜΝΑΣΙΟ ΤΡΙΚΑΛΩΝ - ΓΙΩΡΓΟΣ ΣΕΦΕΡΗΣ</t>
  </si>
  <si>
    <t>mail@4gym-trikal.tri.sch.gr</t>
  </si>
  <si>
    <t>ΠΛΑΣΤΗΡΑ  16</t>
  </si>
  <si>
    <t>5ο ΓΥΜΝΑΣΙΟ ΤΡΙΚΑΛΩΝ</t>
  </si>
  <si>
    <t>mail@5gym-trikal.tri.sch.gr</t>
  </si>
  <si>
    <t>ΚΑΛΑΜΠΑΚΑΣ &amp;  ΣΤΑΥΡΟΠΟΥΛΟΥ</t>
  </si>
  <si>
    <t>6ο ΓΥΜΝΑΣΙΟ ΤΡΙΚΑΛΩΝ</t>
  </si>
  <si>
    <t>mail@6gym-trikal.tri.sch.gr</t>
  </si>
  <si>
    <t>ΣΥΜΩΝΙΔΗ ΚΑΙ ΕΠΙΚΤΗΤΟΥ ΑΓΙΑ ΜΟΝΗ</t>
  </si>
  <si>
    <t>7ο ΔΗΜΟΤΙΚΟ ΣΧΟΛΕΙΟ ΤΡΙΚΑΛΩΝ</t>
  </si>
  <si>
    <t>ΑΓΙΑΣ ΚΥΡΙΑΚΗΣ</t>
  </si>
  <si>
    <t>ΕΕΕΕΚ ΤΡΙΚΑΛΩΝ</t>
  </si>
  <si>
    <t>mail@eeeek.tri.sch.gr</t>
  </si>
  <si>
    <t>ΚΑΡΥΕΣ ΤΡΙΚΑΛΩΝ</t>
  </si>
  <si>
    <t>14ο ΔΗΜΟΤΙΚΟ ΣΧΟΛΕΙΟ ΤΡΙΚΑΛΩΝ</t>
  </si>
  <si>
    <t>1ο ΓΥΜΝΑΣΙΟ ΤΡΙΚΑΛΩΝ</t>
  </si>
  <si>
    <t>mail@1gym-trikal.tri.sch.gr</t>
  </si>
  <si>
    <t>ΕΝΙΑΙΟ ΕΙΔΙΚΟ ΕΠΑΓΓΕΛΜΑΤΙΚΟ ΓΥΜΝΑΣΙΟ-ΛΥΚΕΙΟ ΤΡΙΚΑΛΩΝ</t>
  </si>
  <si>
    <t>gymlykeetri@sch.gr</t>
  </si>
  <si>
    <t>ΟΙΚΙΣΜΟΣ ΠΥΡΓΟΣ ΤΡΙΚΑΛΑ</t>
  </si>
  <si>
    <t>ΔΙΕΥΘΥΝΣΗ Π.Ε. ΚΑΡΔΙΤΣΑΣ</t>
  </si>
  <si>
    <t>ΚΑΡΠΟΧΩΡΙΟΥ</t>
  </si>
  <si>
    <t>ΝΗΠΙΑΓΩΓΕΙΟ ΚΑΡΠΟΧΩΡΙΟΥ</t>
  </si>
  <si>
    <t>mail@nip-karpoch.kar.sch.gr</t>
  </si>
  <si>
    <t>ΚΑΡΠΟΧΩΡΙ ΚΑΡΔΙΤΣΑΣ</t>
  </si>
  <si>
    <t>1ο ΝΗΠΙΑΓΩΓΕΙΟ ΣΟΦΑΔΩΝ</t>
  </si>
  <si>
    <t>mail@1nip-sofad.kar.sch.gr</t>
  </si>
  <si>
    <t>ΚΑΝΑΡΗ ΚΑΙ ΜΠΟΥΜΠΟΥΛΙΝΑΣ</t>
  </si>
  <si>
    <t>2ο ΝΗΠΙΑΓΩΓΕΙΟ ΣΟΦΑΔΩΝ</t>
  </si>
  <si>
    <t>mail@2nip-sofad.kar.sch.gr</t>
  </si>
  <si>
    <t>ΠΛΑΣΤΗΡΑ 100</t>
  </si>
  <si>
    <t>ΝΗΠΙΑΓΩΓΕΙΟ ΚΥΨΕΛΗΣ ΚΑΡΔΙΤΣΑΣ</t>
  </si>
  <si>
    <t>mail@nip-kypsel.kar.sch.gr</t>
  </si>
  <si>
    <t>ΝΗΠΙΑΓΩΓΕΙΟ ΦΙΛΙΑΣ</t>
  </si>
  <si>
    <t>mail@nip-filias.kar.sch.gr</t>
  </si>
  <si>
    <t>ΚΑΠΠΑΔΟΚΙΚΟΥ</t>
  </si>
  <si>
    <t>ΝΗΠΙΑΓΩΓΕΙΟ ΚΑΠΠΑΔΟΚΙΚΟΥ</t>
  </si>
  <si>
    <t>mail@nip-kappad.kar.sch.gr</t>
  </si>
  <si>
    <t>ΚΑΠΠΑΔΟΚΙΚΟ</t>
  </si>
  <si>
    <t>ΝΗΠΙΑΓΩΓΕΙΟ ΚΕΔΡΟΥ</t>
  </si>
  <si>
    <t>mail@nip-kedrou.kar.sch.gr</t>
  </si>
  <si>
    <t>5ο ΝΗΠΙΑΓΩΓΕΙΟ ΣΟΦΑΔΩΝ</t>
  </si>
  <si>
    <t>mail@5nip-sof-tsigan.kar.sch.gr</t>
  </si>
  <si>
    <t>ΝΕΟΣ ΟΙΚΙΣΜΟΣ ΑΘΙΓΓΑΝΩΝ</t>
  </si>
  <si>
    <t>ΑΝΑΒΡΑΣ</t>
  </si>
  <si>
    <t>ΝΗΠΙΑΓΩΓΕΙΟ ΑΝΑΒΡΑΣ</t>
  </si>
  <si>
    <t>mail@nip-anavr.kar.sch.gr</t>
  </si>
  <si>
    <t>ΑΝΑΒΡΑ</t>
  </si>
  <si>
    <t>4ο ΝΗΠΙΑΓΩΓΕΙΟ ΣΟΦΑΔΩΝ</t>
  </si>
  <si>
    <t>mail@4nip-sof-tsigan.kar.sch.gr</t>
  </si>
  <si>
    <t>ΤΕΡΜΑ ΑΝΘΕΩΝ</t>
  </si>
  <si>
    <t>mail@1dim-palam.kar.sch.gr</t>
  </si>
  <si>
    <t>ΠΑΛΑΜΑΣ</t>
  </si>
  <si>
    <t>Γ. ΚΟΝΔΥΛΗ 15</t>
  </si>
  <si>
    <t>6ο ΝΗΠΙΑΓΩΓΕΙΟ ΚΑΡΔΙΤΣΑΣ</t>
  </si>
  <si>
    <t>mail@6nip-kardits.kar.sch.gr</t>
  </si>
  <si>
    <t>ΑΝΤΙΓΟΝΟΥ 89</t>
  </si>
  <si>
    <t>ΙΤΑΜΟΥ</t>
  </si>
  <si>
    <t>ΚΑΛΛΙΘΗΡΟΥ</t>
  </si>
  <si>
    <t>ΝΗΠΙΑΓΩΓΕΙΟ ΚΑΛΛΙΘΗΡΟΥ</t>
  </si>
  <si>
    <t>mail@nip-kallith.kar.sch.gr</t>
  </si>
  <si>
    <t>ΚΑΛΛΙΘΗΡΟ</t>
  </si>
  <si>
    <t>ΔΗΜΟΤΙΚΟ ΣΧΟΛΕΙΟ ΑΝΑΒΡΑΣ -ΚΑΡΔΙΤΣΑΣ</t>
  </si>
  <si>
    <t>mail@dim-anavr.kar.sch.gr</t>
  </si>
  <si>
    <t>ΑΝΑΒΡΑ-ΚΑΡΔΙΤΣΑΣ</t>
  </si>
  <si>
    <t>ΑΝΑΒΡΑ ΚΑΡΔΙΤΣΑΣ</t>
  </si>
  <si>
    <t>mail@dim-iteas.kar.sch.gr</t>
  </si>
  <si>
    <t>Ιτέα</t>
  </si>
  <si>
    <t>ΙΤΕΑ ΚΑΡΔΙΤΣΑΣ</t>
  </si>
  <si>
    <t>mail@dim-matar.kar.sch.gr</t>
  </si>
  <si>
    <t>Ματαράγκα</t>
  </si>
  <si>
    <t>ΜΑΤΑΡΑΓΚΑ ΚΑΡΔΙΤΣΑΣ</t>
  </si>
  <si>
    <t>ΛΟΥΤΡΟΠΗΓΗΣ</t>
  </si>
  <si>
    <t>ΟΛΟΗΜΕΡΟ ΔΗΜΟΤΙΚΟ ΣΧΟΛΕΙΟ ΛΟΥΤΡΟΠΗΓΗ</t>
  </si>
  <si>
    <t>mail@dim-loutr.kar.sch.gr</t>
  </si>
  <si>
    <t>ΛΟΥΤΡΟΠΗΓΗ</t>
  </si>
  <si>
    <t>ΝΗΠΙΑΓΩΓΕΙΟ ΑΓΙΑΣ ΤΡΙΑΔΑΣ ΚΑΡΔΙΤΣΑΣ</t>
  </si>
  <si>
    <t>mail@nip-ag-triad.kar.sch.gr</t>
  </si>
  <si>
    <t>ΑΓΙΑΣ ΤΡΙΑΔΑΣ</t>
  </si>
  <si>
    <t>ΑΓ. ΤΡΙΑΔΑ</t>
  </si>
  <si>
    <t>ΒΛΟΧΟΥ</t>
  </si>
  <si>
    <t>ΔΗΜΟΤΙΚΟ ΣΧΟΛΕΙΟ ΒΛΟΧΟΥ</t>
  </si>
  <si>
    <t>mail@dim-vloch.kar.sch.gr</t>
  </si>
  <si>
    <t>ΒΛΟΧΟΣ</t>
  </si>
  <si>
    <t>27ο ΝΗΠΙΑΓΩΓΕΙΟ ΚΑΡΔΙΤΣΑΣ</t>
  </si>
  <si>
    <t>mail@27nip-kardits.kar.sch.gr</t>
  </si>
  <si>
    <t>ΧΙΟΥ 20</t>
  </si>
  <si>
    <t>ΚΡΥΑΣ ΒΡΥΣΗΣ</t>
  </si>
  <si>
    <t>ΝΗΠΙΑΓΩΓΕΙΟ ΚΡΥΑΣ ΒΡΥΣΗΣ</t>
  </si>
  <si>
    <t>mail@nip-kryas-vrysis.kar.sch.gr</t>
  </si>
  <si>
    <t>ΚΡΥΑ ΒΡΥΣΗ</t>
  </si>
  <si>
    <t>10ο  ΝΗΠΙΑΓΩΓΕΙΟ ΚΑΡΔΙΤΣΑΣ</t>
  </si>
  <si>
    <t>mail@10nip-kardits.kar.sch.gr</t>
  </si>
  <si>
    <t>ΘΕΣΣΑΛΙΩΤΙΔΟΣ  40</t>
  </si>
  <si>
    <t>ΚΑΛΛΙΦΩΝΙΟΥ</t>
  </si>
  <si>
    <t>ΝΗΠΙΑΓΩΓΕΙΟ ΚΑΛΛΙΦΩΝΙΟΥ</t>
  </si>
  <si>
    <t>mail@nip-kallif.kar.sch.gr</t>
  </si>
  <si>
    <t>ΚΑΛΛΙΦΩΝΙ</t>
  </si>
  <si>
    <t>ΛΙΜΝΗΣ ΠΛΑΣΤΗΡΑ</t>
  </si>
  <si>
    <t>ΝΕΒΡΟΠΟΛΗΣ ΑΓΡΑΦΩΝ</t>
  </si>
  <si>
    <t>2/ΘΕΣΙΟ ΔΗΜΟΤΙΚΟ ΣΧΟΛΕΙΟ ΚΡΥΟΝΕΡΙΟΥ   Ν.ΚΑΡΔΙΤΣΑΣ</t>
  </si>
  <si>
    <t>dimkryonkar@sch.gr</t>
  </si>
  <si>
    <t>ΚΡΥΟΝΕΡΙ ΚΑΡΔΙΤΣΑΣ</t>
  </si>
  <si>
    <t>33ο ΝΗΠΙΑΓΩΓΕΙΟ ΚΑΡΔΙΤΣΑΣ</t>
  </si>
  <si>
    <t>mail@33nip-kardits.kar.sch.gr</t>
  </si>
  <si>
    <t>ΤΕΡΜΑ ΚΑΒΑΦΗ</t>
  </si>
  <si>
    <t>28ο ΝΗΠΙΑΓΩΓΕΙΟ ΚΑΡΔΙΤΣΑΣ</t>
  </si>
  <si>
    <t>mail@28nip-kardits.kar.sch.gr</t>
  </si>
  <si>
    <t>ΣΑΜΑΡΟΠΟΥΛΟΥ-ΑΜΑΛΙΑΣ-ΟΛΥΜΠΟΥ</t>
  </si>
  <si>
    <t>ΕΙΔΙΚΟ ΝΗΠΙΑΓΩΓΕΙΟ ΚΑΡΔΙΤΣΑ</t>
  </si>
  <si>
    <t>mail@nip-eid-kardits.kar.sch.gr</t>
  </si>
  <si>
    <t>ΣΑΡΑΝΤΑΠΟΡΟΥ 89</t>
  </si>
  <si>
    <t>ΔΗΜΟΤΙΚΟ ΣΧΟΛΕΙΟ ΚΑΛΛΙΘΗΡΟΥ</t>
  </si>
  <si>
    <t>mail@dim-kallith.kar.sch.gr</t>
  </si>
  <si>
    <t>ΚΑΛΛΙΘΗΡΟ ΚΑΡΔΙΤΣΑΣ</t>
  </si>
  <si>
    <t>mail@dim-mitrop.kar.sch.gr</t>
  </si>
  <si>
    <t>34ο ΝΗΠΙΑΓΩΓΕΙΟ ΚΑΡΔΙΤΣΑΣ</t>
  </si>
  <si>
    <t>mail@34nip-kardits.kar.sch.gr</t>
  </si>
  <si>
    <t>ΠΑΡΟΔΟΣ ΜΥΡΙΝΗΣ 11</t>
  </si>
  <si>
    <t>ΚΟΣΚΙΝΑ</t>
  </si>
  <si>
    <t>ΔΗΜΟΤΙΚΟ ΣΧΟΛΕΙΟ ΚΟΣΚΙΝΑ</t>
  </si>
  <si>
    <t>mail@dim-koskin.kar.sch.gr</t>
  </si>
  <si>
    <t>ΚΟΣΚΙΝΑΣ</t>
  </si>
  <si>
    <t>mail@dim-kedrou.kar.sch.gr</t>
  </si>
  <si>
    <t>ΜΑΡΑΘΕΑΣ</t>
  </si>
  <si>
    <t>ΔΗΜΟΤΙΚΟ ΣΧΟΛΕΙΟ ΜΑΡΑΘΕΑΣ</t>
  </si>
  <si>
    <t>mail@dim-marath.kar.sch.gr</t>
  </si>
  <si>
    <t>ΜΑΡΑΘΕΑ ΚΑΡΔΙΤΣΑΣ</t>
  </si>
  <si>
    <t>ΜΑΡΑΘΕΑ</t>
  </si>
  <si>
    <t>mail@1dim-sofad.kar.sch.gr</t>
  </si>
  <si>
    <t>ΔΗΜΟΤΙΚΟ ΣΧΟΛΕΙΟ ΚΑΡΠΟΧΩΡΙΟΥ</t>
  </si>
  <si>
    <t>mail@dim-karpoch.kar.sch.gr</t>
  </si>
  <si>
    <t>Καρποχώρι Σοφάδων</t>
  </si>
  <si>
    <t>ΑΡΤΕΣΙΑΝΟΥ</t>
  </si>
  <si>
    <t>ΝΗΠΙΑΓΩΓΕΙΟ ΑΡΤΕΣΙΑΝΟΥ</t>
  </si>
  <si>
    <t>mail@nip-artes.kar.sch.gr</t>
  </si>
  <si>
    <t>ΑΡΤΕΣΙΑΝΟ</t>
  </si>
  <si>
    <t>7ο ΔΗΜΟΤΙΚΟ ΣΧΟΛΕΙΟ ΚΑΡΔΙΤΣΑΣ</t>
  </si>
  <si>
    <t>mail@7dim-kardits.kar.sch.gr</t>
  </si>
  <si>
    <t>ΦΑΝΑΡΙΟΥ ΤΕΡΜΑ</t>
  </si>
  <si>
    <t>ΚΑΜΠΟΥ</t>
  </si>
  <si>
    <t>ΑΓΙΟΥ ΘΕΟΔΩΡΟΥ</t>
  </si>
  <si>
    <t>ΔΗΜΟΤΙΚΟ ΣΧΟΛΕΙΟ ΑΓΙΟΥ ΘΕΟΔΩΡΟΥ</t>
  </si>
  <si>
    <t>diathkar@sch.gr</t>
  </si>
  <si>
    <t>ΑΓΙΟΣ ΘΕΟΔΩΡΟΣ</t>
  </si>
  <si>
    <t>ΔΗΜΟΤΙΚΟ ΣΧΟΛΕΙΟ ΜΑΚΡΥΧΩΡΙΟΥ</t>
  </si>
  <si>
    <t>mail@dim-makrych.kar.sch.gr</t>
  </si>
  <si>
    <t>mail@2dim-palam.kar.sch.gr</t>
  </si>
  <si>
    <t>ΜΑΝΤΟΠΟΥΛΟΥ ΛΟΦΟΣ</t>
  </si>
  <si>
    <t>ΠΛΑΣΤΗΡΑ</t>
  </si>
  <si>
    <t>ΜΕΣΕΝΙΚΟΛΑ</t>
  </si>
  <si>
    <t>ΝΗΠΙΑΓΩΓΕΙΟ ΜΕΣΕΝΙΚΟΛΑ</t>
  </si>
  <si>
    <t>mail@nip-mesen.kar.sch.gr</t>
  </si>
  <si>
    <t>ΜΕΣΕΝΙΚΟΛΑΣ</t>
  </si>
  <si>
    <t>2ο ΝΗΠΙΑΓΩΓΕΙΟ ΜΗΤΡΟΠΟΛΗΣ  ΚΑΡΔΙΤΣΑΣ</t>
  </si>
  <si>
    <t>mail@2nip-mitrop.kar.sch.gr</t>
  </si>
  <si>
    <t>mail@2dim-sofad.kar.sch.gr</t>
  </si>
  <si>
    <t>ΝΙΚ.ΠΑΠΑΚΡΙΒΟΥ 12</t>
  </si>
  <si>
    <t>9ο ΝΗΠΙΑΓΩΓΕΙΟ ΚΑΡΔΙΤΣΑΣ</t>
  </si>
  <si>
    <t>mail@9nip-kardits.kar.sch.gr</t>
  </si>
  <si>
    <t>ΔΗΜ.ΛΑΠΠΑ ΤΕΡΜΑ</t>
  </si>
  <si>
    <t>ΟΛΟΗΜΕΡΟ ΝΗΠΙΑΓΩΓΕΙΟ ΒΛΟΧΟΥ</t>
  </si>
  <si>
    <t>mail@nip-vloch.kar.sch.gr</t>
  </si>
  <si>
    <t>ΑΓΝΑΝΤΕΡΟΥ</t>
  </si>
  <si>
    <t>ΔΗΜΟΤΙΚΟ ΣΧΟΛΕΙΟ ΑΓΝΑΝΤΕΡΟΥ</t>
  </si>
  <si>
    <t>mail@dim-agnant.kar.sch.gr</t>
  </si>
  <si>
    <t xml:space="preserve"> ΑΓΝΑΝΤΕΡΟ ΚΑΡΔΙΤΣΑΣ</t>
  </si>
  <si>
    <t>ΑΓΝΑΝΤΕΡΟ</t>
  </si>
  <si>
    <t>ΝΗΠΙΑΓΩΓΕΙΟ ΠΡΟΑΣΤΙΟΥ ΚΑΡΔΙΤΣΑΣ</t>
  </si>
  <si>
    <t>mail@nip-proast.kar.sch.gr</t>
  </si>
  <si>
    <t>ΟΛΟΗΜΕΡΟ ΝΗΠΙΑΓΩΓΕΙΟ ΛΟΥΤΡΟΠΗΓΗΣ</t>
  </si>
  <si>
    <t>mail@nip-loutr.kar.sch.gr</t>
  </si>
  <si>
    <t>mail@4dim-kardits.kar.sch.gr</t>
  </si>
  <si>
    <t>ΑΓΙΟΥ ΡΑΦΑΗΛ 2</t>
  </si>
  <si>
    <t>5ο ΝΗΠΙΑΓΩΓΕΙΟ ΚΑΡΔΙΤΣΑΣ</t>
  </si>
  <si>
    <t>mail@5nip-kardits.kar.sch.gr</t>
  </si>
  <si>
    <t>ΚΟΥΜΟΥΝΔΟΥΡΟΥ 108</t>
  </si>
  <si>
    <t>2ο ΝΗΠΙΑΓΩΓΕΙΟ ΚΑΡΔΙΤΣΑ</t>
  </si>
  <si>
    <t>mail@2nip-kardits.kar.sch.gr</t>
  </si>
  <si>
    <t>ΕΥΜΕΝΟΥΣ-ΣΕΛΛΑΝΩΝ</t>
  </si>
  <si>
    <t>ΑΡΓΙΘΕΑΣ</t>
  </si>
  <si>
    <t>ΑΝΘΗΡΟΥ</t>
  </si>
  <si>
    <t>ΝΗΠΙΑΓΩΓΕΙΟ ΑΝΘΗΡΟΥ</t>
  </si>
  <si>
    <t>mail@nip-anthir.kar.sch.gr</t>
  </si>
  <si>
    <t>ΑΝΘΗΡΟ</t>
  </si>
  <si>
    <t>mail@4dim-sofad.kar.sch.gr</t>
  </si>
  <si>
    <t>ΣΥΝΟΙΚΙΣΜΟΣ ΑΘΙΓΓΑΝΩΝ</t>
  </si>
  <si>
    <t>13ο ΝΗΠΙΑΓΩΓΕΙΟ ΚΑΡΔΙΤΣΑ</t>
  </si>
  <si>
    <t>mail@13nip-kardits.kar.sch.gr</t>
  </si>
  <si>
    <t>Λάμπρου Σακελλαρίου  53</t>
  </si>
  <si>
    <t>mail@19dim-diap-kardits.kar.sch.gr</t>
  </si>
  <si>
    <t>ΚΑΡΔΙΤΣΟΜΑΓΟΥΛΑΣ</t>
  </si>
  <si>
    <t>ΝΗΠΙΑΓΩΓΕΙΟ ΚΑΡΔΙΤΣΟΜΑΓΟΥΛΑΣ</t>
  </si>
  <si>
    <t>1nipkarditsomkar@sch.gr</t>
  </si>
  <si>
    <t>ΚΑΡΔΙΤΣΟΜΑΓΟΥΛΑ</t>
  </si>
  <si>
    <t>ΡΕΝΤΙΝΗΣ</t>
  </si>
  <si>
    <t>ΡΕΝΤΙΝΑΣ</t>
  </si>
  <si>
    <t>ΔΗΜΟΤΙΚΟ ΣΧΟΛΕΙΟ ΡΕΝΤΙΝΑΣ</t>
  </si>
  <si>
    <t>mail@dim-rentin.kar.sch.gr</t>
  </si>
  <si>
    <t>ΡΕΝΤΙΝΑ</t>
  </si>
  <si>
    <t>3ο ΔΗΜΟΤΙΚΟ ΣΧΟΛΕΙΟ ΠΑΛΑΜΑ</t>
  </si>
  <si>
    <t>mail@3dim-palam.kar.sch.gr</t>
  </si>
  <si>
    <t>28ΗΣ ΟΚΤΩΒΡΙΟΥ ΚΑΙ ΚΥΠΡΟΥ</t>
  </si>
  <si>
    <t>12ο ΝΗΠΙΑΓΩΓΕΙΟ ΚΑΡΔΙΤΣΑΣ</t>
  </si>
  <si>
    <t>mail@12nip-kardits.kar.sch.gr</t>
  </si>
  <si>
    <t>ΛΑΧΑΝΑ  33</t>
  </si>
  <si>
    <t>8ο ΝΗΠΙΑΓΩΓΕΙΟ ΚΑΡΔΙΤΣΑΣ</t>
  </si>
  <si>
    <t>mail@8nip-kardits.kar.sch.gr</t>
  </si>
  <si>
    <t>ΠΕΡΙΚΛΕΟΥΣ ΘΕΟΔΩΡΟΥ 13</t>
  </si>
  <si>
    <t>ΑΧΕΛΩΟΥ</t>
  </si>
  <si>
    <t>ΑΡΓΥΡΙΟΥ</t>
  </si>
  <si>
    <t>1/Θ ΝΗΠΙΑΓΩΓΕΙΟ ΑΡΓΥΡΙΟΥ</t>
  </si>
  <si>
    <t>mail@nip-argyr.kar.sch.gr</t>
  </si>
  <si>
    <t>ΑΡΓΥΡΙ</t>
  </si>
  <si>
    <t>1/Θ Νηπιαγωγείο Ρεντίνας</t>
  </si>
  <si>
    <t>mail@nip-rentin.kar.sch.gr</t>
  </si>
  <si>
    <t>29ο ΝΗΠΙΑΓΩΓΕΙΟ ΚΑΡΔΙΤΣΑΣ</t>
  </si>
  <si>
    <t>mail@29nip-kardits.kar.sch.gr</t>
  </si>
  <si>
    <t>ΣΚΙΑΘΟΥ 5</t>
  </si>
  <si>
    <t>4ο ΝΗΠΙΑΓΩΓΕΙΟ ΠΑΛΑΜΑ</t>
  </si>
  <si>
    <t>mail@4nip-palam.kar.sch.gr</t>
  </si>
  <si>
    <t>7ο ΝΗΠΙΑΓΩΓΕΙΟ ΚΑΡΔΙΤΣΑΣ</t>
  </si>
  <si>
    <t>mail@7nip-kardits.kar.sch.gr</t>
  </si>
  <si>
    <t>23ο ΝΗΠΙΑΓΩΓΕΙΟ ΚΑΡΔΙΤΣΑΣ</t>
  </si>
  <si>
    <t>mail@23nip-kardits.kar.sch.gr</t>
  </si>
  <si>
    <t>Παπαρηγοπούλου και Δεληγιώργη 13</t>
  </si>
  <si>
    <t>ΣΤΑΥΡΟΥ</t>
  </si>
  <si>
    <t>ΔΗΜΟΤΙΚΟ ΣΧΟΛΕΙΟ ΣΤΑΥΡΟΥ  ΚΑΡΔΙΤΣΑΣ</t>
  </si>
  <si>
    <t>mail@dim-stavr.kar.sch.gr</t>
  </si>
  <si>
    <t>ΣΤΑΥΡΟΣ</t>
  </si>
  <si>
    <t>ΝΗΠΙΑΓΩΓΕΙΟ ΜΑΡΑΘΕΑ</t>
  </si>
  <si>
    <t>mail@nip-marath.kar.sch.gr</t>
  </si>
  <si>
    <t>ΝΗΠΙΑΓΩΓΕΙΟ ΜΑΚΡΥΧΩΡΙΟΥ-ΠΑΡΑΡΤΗΜΑ ΜΥΡΙΝΗΣ</t>
  </si>
  <si>
    <t>mail@nip-makrych.kar.sch.gr</t>
  </si>
  <si>
    <t>ΜΑΚΡΥΧΩΡΙΟΥ-Παραρτημα Μυρινης</t>
  </si>
  <si>
    <t>ΜΑΚΡΥΧΩΡΙ-ΠΑΡΑΡΤΗΜΑ ΜΥΡΙΝΗΣ</t>
  </si>
  <si>
    <t>ΜΑΥΡΟΜΜΑΤΙΟΥ</t>
  </si>
  <si>
    <t>ΝΗΠΙΑΓΩΓΕΙΟ ΜΑΥΡΟΜΜΑΤΙΟΥ</t>
  </si>
  <si>
    <t>mail@nip-mavromm.kar.sch.gr</t>
  </si>
  <si>
    <t>ΜΑΥΡΟΜΜΑΤΙ</t>
  </si>
  <si>
    <t>3ο ΝΗΠΙΑΓΩΓΕΙΟ ΠΑΛΑΜΑ</t>
  </si>
  <si>
    <t>mail@3nip-palam.kar.sch.gr</t>
  </si>
  <si>
    <t>ΠΑΝΑΓΙΩΤΗ ΜΠΑΡΤΖΙΩΚΑ 2</t>
  </si>
  <si>
    <t>11ο ΝΗΠΙΑΓΩΓΕΙΟ ΚΑΡΔΙΤΣΑΣ</t>
  </si>
  <si>
    <t>mail@11nip-kardits.kar.sch.gr</t>
  </si>
  <si>
    <t>Αισωπου 1 (Σεισμοπληκτα)</t>
  </si>
  <si>
    <t>ΔΗΜΟΤΙΚΟ ΣΧΟΛΕΙΟ ΦΥΛΛΟΥ</t>
  </si>
  <si>
    <t>mail@dim-fyllou.kar.sch.gr</t>
  </si>
  <si>
    <t>ΦΥΛΛΟ</t>
  </si>
  <si>
    <t>ΠΑΛΑΙΟΚΚΛΗΣΙΟΥ</t>
  </si>
  <si>
    <t>ΝΗΠΙΑΓΩΓΕΙΟ ΠΑΛΑΙΟΚΚΛΗΣΙΟΥ</t>
  </si>
  <si>
    <t>mail@nip-paliokk.kar.sch.gr</t>
  </si>
  <si>
    <t>ΠΑΛΑΙΟΚΚΛΗΣΙ</t>
  </si>
  <si>
    <t>4ο ΝΗΠΙΑΓΩΓΕΙΟ ΚΑΡΔΙΤΣΑΣ</t>
  </si>
  <si>
    <t>mail@4nip-kardits.kar.sch.gr</t>
  </si>
  <si>
    <t>ΑΓΙΟΥ ΡΑΦΑΗΛ ΚΑΙ Χ.ΧΑΤΖΗΝΙΚΟΛΑΟΥ</t>
  </si>
  <si>
    <t>ΔΗΜΟΤΙΚΟ ΣΧΟΛΕΙΟ ΜΑΥΡΟΜΜΑΤΙΟΥ ΚΑΡΔΙΤΣΑΣ</t>
  </si>
  <si>
    <t>mail@dim-mavromm.kar.sch.gr</t>
  </si>
  <si>
    <t>ΜΑΥΡΟΜΜΑΤΙ ΚΑΡΔΙΤΣΑΣ</t>
  </si>
  <si>
    <t>1ο ΝΗΠΙΑΓΩΓΕΙΟ ΚΑΡΔΙΤΣΑΣ</t>
  </si>
  <si>
    <t>mail@1nip-kardits.kar.sch.gr</t>
  </si>
  <si>
    <t>ΒΑΣΙΑΡΔΑΝΗ 97</t>
  </si>
  <si>
    <t>ΔΡΑΚΟΤΡΥΠΑΣ</t>
  </si>
  <si>
    <t>ΝΗΠΙΑΓΩΓΕΙΟ ΔΡΑΚΟΤΡΥΠΑΣ</t>
  </si>
  <si>
    <t>mail@nip-drakotr.kar.sch.gr</t>
  </si>
  <si>
    <t>ΔΡΑΚΟΤΡΥΠΑ</t>
  </si>
  <si>
    <t>ΝΗΠΙΑΓΩΓΕΙΟ ΑΓΙΟΥ ΘΕΟΔΩΡΟΥ - ΚΑΡΔΙΤΣΑΣ</t>
  </si>
  <si>
    <t>mail@nip-ag-theod.kar.sch.gr</t>
  </si>
  <si>
    <t>ΑΓΙΟΥ ΘΕΟΔΩΡΟΥ - ΚΑΡΔΙΤΣΑΣ</t>
  </si>
  <si>
    <t>ΑΓΙΟΣ ΘΕΟΔΩΡΟΣ- ΚΑΡΔΙΤΣΑΣ</t>
  </si>
  <si>
    <t>ΔΗΜΟΤΙΚΟ ΣΧΟΛΕΙΟ ΜΕΣΕΝΙΚΟΛΑ</t>
  </si>
  <si>
    <t>mail@dim-mesen.kar.sch.gr</t>
  </si>
  <si>
    <t>2ο  ΝΗΠΙΑΓΩΓΕΙΟ ΠΑΛΑΜΑ</t>
  </si>
  <si>
    <t>mail@2nip-palam.kar.sch.gr</t>
  </si>
  <si>
    <t>ΠΡΑΞΙΤΕΛΟΥΣ 3</t>
  </si>
  <si>
    <t>ΝΗΠΙΑΓΩΓΕΙΟ ΦΥΛΛΟΥ</t>
  </si>
  <si>
    <t>mail@nip-fyllou.kar.sch.gr</t>
  </si>
  <si>
    <t>1ο ΝΗΠΙΑΓΩΓΕΙΟ ΠΑΛΑΜΑ</t>
  </si>
  <si>
    <t>mail@nip-palam.kar.sch.gr</t>
  </si>
  <si>
    <t>ΚΑΒΡΑΚΟΥ 27</t>
  </si>
  <si>
    <t>ΝΗΠΙΑΓΩΓΕΙΟ ΚΟΣΚΙΝΑ</t>
  </si>
  <si>
    <t>mail@nip-koskin.kar.sch.gr</t>
  </si>
  <si>
    <t>ΜΑΡΚΟΥ</t>
  </si>
  <si>
    <t>ΝΗΠΙΑΓΩΓΕΙΟ ΜΑΡΚΟ</t>
  </si>
  <si>
    <t>mail@nip-markou.kar.sch.gr</t>
  </si>
  <si>
    <t>ΜΑΡΚΟ</t>
  </si>
  <si>
    <t>ΔΗΜΟΤΙΚΟ ΣΧΟΛΕΙΟ ΑΡΤΕΣΙΑΝΟΥ</t>
  </si>
  <si>
    <t>mail@dim-artes.kar.sch.gr</t>
  </si>
  <si>
    <t>Αρτεσιανό Καρδίτσας</t>
  </si>
  <si>
    <t>13ο  ΔΗΜΟΤΙΚΟ ΣΧΟΛΕΙΟ ΚΑΡΔΙΤΣΑΣ</t>
  </si>
  <si>
    <t>mail@13dim-kardits.kar.sch.gr</t>
  </si>
  <si>
    <t>ΛΑΜΠΡΟΥ ΣΑΚΕΛΛΑΡΙΟΥ 53</t>
  </si>
  <si>
    <t>ΔΗΜΟΤΙΚΟ ΣΧΟΛΕΙΟ ΚΑΡΔΙΤΣΟΜΑΓΟΥΛΑΣ</t>
  </si>
  <si>
    <t>mail@dim-kardits.kar.sch.gr</t>
  </si>
  <si>
    <t>ΑΝΑΠΑΥΣΕΩΣ ΚΑΙ ΑΛΒΑΝΟΜΑΧΩΝ</t>
  </si>
  <si>
    <t>ΕΙΔΙΚΟ ΔΗΜΟΤΙΚΟ ΣΧΟΛΕΙΟ ΚΑΡΔΙΤΣΑ</t>
  </si>
  <si>
    <t>mail@dim-eid-kardits.kar.sch.gr</t>
  </si>
  <si>
    <t>ΝΗΠΙΑΓΩΓΕΙΟ ΜΑΓΟΥΛΑΣ-ΚΑΡΔΙΤΣΑΣ</t>
  </si>
  <si>
    <t>mail@nip-magoul.kar.sch.gr</t>
  </si>
  <si>
    <t>1ο ΔΗΜΟΤΙΚΟ ΣΧΟΛΕΙΟ ΚΑΡΔΙΤΣΑΣ</t>
  </si>
  <si>
    <t>mail@1dim-kardits.kar.sch.gr</t>
  </si>
  <si>
    <t>Βασιαρδάνη 97</t>
  </si>
  <si>
    <t>1ο ΝΗΠΙΑΓΩΓΕΙΟ ΜΟΥΖΑΚΙΟΥ</t>
  </si>
  <si>
    <t>mail@1nip-mouzak.kar.sch.gr</t>
  </si>
  <si>
    <t>18ο  ΔΗΜΟΤΙΚΟ ΣΧΟΛΕΙΟ ΚΑΡΔΙΤΣΑΣ</t>
  </si>
  <si>
    <t>mail@18dim-kardits.kar.sch.gr</t>
  </si>
  <si>
    <t>K.ΚΑΒΑΦΗ  ΤΕΡΜΑ</t>
  </si>
  <si>
    <t>12ο ΔΗΜΟΤΙΚΟ ΣΧΟΛΕΙΟ ΚΑΡΔΙΤΣΑΣ</t>
  </si>
  <si>
    <t>12dimkardits@sch.gr</t>
  </si>
  <si>
    <t>Kαρδίτσα</t>
  </si>
  <si>
    <t>mail@dim-magoulas.kar.sch.gr</t>
  </si>
  <si>
    <t>mail@9dim-kardits.kar.sch.gr</t>
  </si>
  <si>
    <t>ΤΕΡΜΑ ΔΗΜ ΛΑΠΠΑ</t>
  </si>
  <si>
    <t>10ο ΔΗΜΟΤΙΚΟ ΣΧΟΛΕΙΟ ΚΑΡΔΙΤΣΑΣ</t>
  </si>
  <si>
    <t>mail@10dim-kardits.kar.sch.gr</t>
  </si>
  <si>
    <t>ΔΗΜΟΤΙΚΟ ΣΧΟΛΕΙΟ ΑΝΘΗΡΟΥ ΚΑΡΔΙΤΣΑΣ</t>
  </si>
  <si>
    <t>mail@dim-anthir.kar.sch.gr</t>
  </si>
  <si>
    <t>ΑΝΘΟΧΩΡΙΟΥ</t>
  </si>
  <si>
    <t>ΔΗΜΟΤΙΚΟ ΣΧΟΛΕΙΟ ΑΝΘΟΧΩΡΙΟΥ ΚΑΡΔΙΤΣΑΣ</t>
  </si>
  <si>
    <t>mail@dim-anthoch.kar.sch.gr</t>
  </si>
  <si>
    <t>ΑΝΘΟΧΩΡΙ</t>
  </si>
  <si>
    <t>ΒΑΤΣΟΥΝΙΑΣ</t>
  </si>
  <si>
    <t>ΝΗΠΙΑΓΩΓΕΙΟ ΒΑΤΣΟΥΝΙΑΣ</t>
  </si>
  <si>
    <t>mail@nip-vatsoun.kar.sch.gr</t>
  </si>
  <si>
    <t>ΒΑΤΣΟΥΝΙΑ</t>
  </si>
  <si>
    <t>2ο ΝΗΠΙΑΓΩΓΕΙΟ ΜΟΥΖΑΚΙΟΥ</t>
  </si>
  <si>
    <t>mail@2nip-mouzak.kar.sch.gr</t>
  </si>
  <si>
    <t>ΔΗΜΟΤΙΚΟ ΣΧΟΛΕΙΟ ΑΡΓΥΡΙΟΥ ΚΑΡΔΙΤΣΑΣ</t>
  </si>
  <si>
    <t>mail@dim-argyr.kar.sch.gr</t>
  </si>
  <si>
    <t>ΝΗΠΙΑΓΩΓΕΙΟ ΑΓΝΑΝΤΕΡΟΥ</t>
  </si>
  <si>
    <t>mail@nip-agnant.kar.sch.gr</t>
  </si>
  <si>
    <t>ΔΗΜΟΤΙΚΟ ΣΧΟΛΕΙΟ ΔΡΑΚΟΤΡΥΠΑΣ</t>
  </si>
  <si>
    <t>mail@dim-drakotr.kar.sch.gr</t>
  </si>
  <si>
    <t>ΝΗΠΙΑΓΩΓΕΙΟ ΙΤΕΑΣ ΚΑΡΔΙΤΣΑΣ</t>
  </si>
  <si>
    <t>mail@nip-iteas.kar.sch.gr</t>
  </si>
  <si>
    <t>ΔΗΜΟΤΙΚΟ ΣΧΟΛΕΙΟ ΒΑΤΣΟΥΝΙΑΣ</t>
  </si>
  <si>
    <t>mail@dim-vatsoun.kar.sch.gr</t>
  </si>
  <si>
    <t>ΔΗΜΟΤΙΚΟ ΣΧΟΛΕΙΟ ΚΡΥΑΣ  ΒΡΥΣΗΣ</t>
  </si>
  <si>
    <t>mail@dim-kr-vrysis.kar.sch.gr</t>
  </si>
  <si>
    <t xml:space="preserve">ΚΡΥΑ ΒΡΥΣΗ </t>
  </si>
  <si>
    <t>ΚΡΥΑ ΒΡΥΣΗ ΚΑΡΔΙΤΣΑΣ</t>
  </si>
  <si>
    <t>mail@1dim-mouzak.kar.sch.gr</t>
  </si>
  <si>
    <t>ΑΓΙΑΣ ΣΩΤΗΡΙΑΣ &amp; ΑΡΓΙΘΕΑΣ</t>
  </si>
  <si>
    <t>mail@2dim-kardits.kar.sch.gr</t>
  </si>
  <si>
    <t>ΑΛΛΑΜΑΝΗ 60</t>
  </si>
  <si>
    <t>2ο ΔΗΜΟΤΙΚΟ ΣΧΟΛΕΙΟ ΜΟΥΖΑΚΙΟΥ</t>
  </si>
  <si>
    <t>mail@dim-mouzak.kar.sch.gr</t>
  </si>
  <si>
    <t>Μουζάκι Καρδίτσας</t>
  </si>
  <si>
    <t>3ο  ΔΗΜΟΤΙΚΟ ΣΧΟΛΕΙΟ ΚΑΡΔΙΤΣΑΣ</t>
  </si>
  <si>
    <t>mail@3dim-kardits.kar.sch.gr</t>
  </si>
  <si>
    <t>Λ ΣΑΚΕΛΑΡΙΟΥ 53</t>
  </si>
  <si>
    <t>14ο  ΔΗΜΟΤΙΚΟ ΣΧΟΛΕΙΟ ΚΑΡΔΙΤΣΑΣ</t>
  </si>
  <si>
    <t>mail@14dim-kardits.kar.sch.gr</t>
  </si>
  <si>
    <t>ΠΑΠΑΡΡΗΓΟΠΟΥΛΟΥ  &amp; ΔΕΛΗΓΙΩΡΓΗ</t>
  </si>
  <si>
    <t>ΔΗΜΟΤΙΚΟ ΣΧΟΛΕΙΟ ΚΑΛΛΙΦΩΝΙΟΥ</t>
  </si>
  <si>
    <t>mail@dim-kallif.kar.sch.gr</t>
  </si>
  <si>
    <t>5ο ΔΗΜΟΤΙΚΟ ΣΧΟΛΕΙΟ ΚΑΡΔΙΤΣΑΣ</t>
  </si>
  <si>
    <t>mail@5dim-kardits.kar.sch.gr</t>
  </si>
  <si>
    <t>mail@6dim-kardits.kar.sch.gr</t>
  </si>
  <si>
    <t>ΛΑΖΑΡΙΝΑΣ</t>
  </si>
  <si>
    <t>ΝΗΠΙΑΓΩΓΕΙΟ ΛΑΖΑΡΙΝΑ</t>
  </si>
  <si>
    <t>mail@nip-lazar.kar.sch.gr</t>
  </si>
  <si>
    <t>ΛΑΖΑΡΙΝΑ</t>
  </si>
  <si>
    <t>ΙΘΩΜΗΣ</t>
  </si>
  <si>
    <t>ΝΗΠΙΑΓΩΓΕΙΟ ΦΑΝΑΡΙΟΥ</t>
  </si>
  <si>
    <t>mail@nip-fanar.kar.sch.gr</t>
  </si>
  <si>
    <t>mail@8dim-kardits.kar.sch.gr</t>
  </si>
  <si>
    <t>ΤΙΤΑΝΙΟΥ 5</t>
  </si>
  <si>
    <t>4ο ΝΗΠΙΑΓΩΓΕΙΟ ΜΟΥΖΑΚΙΟΥ</t>
  </si>
  <si>
    <t>mail@4nip-mouzak.kar.sch.gr</t>
  </si>
  <si>
    <t>ΔΗΜΟΤΙΚΟ ΣΧΟΛΕΙΟ ΠΕΤΡΩΤΟ</t>
  </si>
  <si>
    <t>mail@dim-petrot.kar.sch.gr</t>
  </si>
  <si>
    <t>ΠΕΤΡΩΤΟ</t>
  </si>
  <si>
    <t>39ο ΝΗΠΙΑΓΩΓΕΙΟ ΚΑΡΔΙΤΣΑΣ</t>
  </si>
  <si>
    <t>mail@39nip-kardits.kar.sch.gr</t>
  </si>
  <si>
    <t>Κ ΕΠΙΣΚΟΠΟΥ 72A</t>
  </si>
  <si>
    <t>37ο ΝΗΠΙΑΓΩΓΕΙΟ ΚΑΡΔΙΤΣΑΣ</t>
  </si>
  <si>
    <t>mail@37nip-kardits.kar.sch.gr</t>
  </si>
  <si>
    <t>Λ. ΣΑΚΕΛΛΑΡΙΟΥ 53</t>
  </si>
  <si>
    <t>ΝΗΠΙΑΓΩΓΕΙΟ ΑΝΘΟΧΩΡΙ</t>
  </si>
  <si>
    <t>mail@nip-anthoch.kar.sch.gr</t>
  </si>
  <si>
    <t>ΕΙΔΙΚΟ ΔΗΜΟΤΙΚΟ ΣΧΟΛΕΙΟ ΠΑΛΑΜΑΣ - ΕΙΔΙΚΟ ΔΗΜΟΤΙΚΟ ΣΧΟΛΕΙΟ ΠΑΛΑΜΑ</t>
  </si>
  <si>
    <t>ΚΑΛΥΒΑΚΙΑ</t>
  </si>
  <si>
    <t>40ο ΝΗΠΙΑΓΩΓΕΙΟ ΚΑΡΔΙΤΣΑΣ</t>
  </si>
  <si>
    <t>mail@40nip-kardits.kar.sch.gr</t>
  </si>
  <si>
    <t>ΑΓ. ΠΑΝΤΕΛΕΗΜΟΝΑΣ 26</t>
  </si>
  <si>
    <t>ΔΗΜΟΤΙΚΟ ΣΧΟΛΕΙΟ ΚΥΨΕΛΗΣ ΚΑΡΔΙΤΣΑΣ</t>
  </si>
  <si>
    <t>mail@dim-kypsel.kar.sch.gr</t>
  </si>
  <si>
    <t>mail@dim-leont.kar.sch.gr</t>
  </si>
  <si>
    <t>ΛΕΟΝΤΑΡΙ</t>
  </si>
  <si>
    <t>ΝΗΠΙΑΓΩΓΕΙΟ ΛΕΟΝΤΑΡΙΟΥ ΚΑΡΔΙΤΣΑΣ</t>
  </si>
  <si>
    <t>mail@nip-leont.kar.sch.gr</t>
  </si>
  <si>
    <t>Λεοντάρι</t>
  </si>
  <si>
    <t>ΔΗΜΟΤΙΚΟ ΣΧΟΛΕΙΟ ΦΑΝΑΡΙΟΥ ΚΑΡΔΙΤΣΑΣ</t>
  </si>
  <si>
    <t>mail@dim-fanar.kar.sch.gr</t>
  </si>
  <si>
    <t>ΝΗΠΙΑΓΩΓΕΙΟ ΜΑΤΑΡΑΓΚΑΣ</t>
  </si>
  <si>
    <t>mail@nip-matar.kar.sch.gr</t>
  </si>
  <si>
    <t>ΔΗΜΟΤΙΚΟ ΣΧΟΛΕΙΟ ΑΓΙΑΣ ΤΡΙΑΔΑΣ ΚΑΡΔΙΤΣΑΣ</t>
  </si>
  <si>
    <t>mail@dim-ag-triad.kar.sch.gr</t>
  </si>
  <si>
    <t>Αγία Τριάδα</t>
  </si>
  <si>
    <t>ΝΗΠΙΑΓΩΓΕΙΟ ΚΡΥΟΝΕΡΙΟΥ</t>
  </si>
  <si>
    <t>mail@nip-kryon.kar.sch.gr</t>
  </si>
  <si>
    <t>mail@dim-proast.kar.sch.gr</t>
  </si>
  <si>
    <t>Προάστιο</t>
  </si>
  <si>
    <t>ΠΡΟΔΡΟΜΟΥ</t>
  </si>
  <si>
    <t>ΝΗΠΙΑΓΩΓΕΙΟ ΠΡΟΔΡΟΜΟΥ ΚΑΡΔΙΤΣΑΣ</t>
  </si>
  <si>
    <t>mail@nip-prodr.kar.sch.gr</t>
  </si>
  <si>
    <t>ΠΡΟΔΡΟΜΟΣ</t>
  </si>
  <si>
    <t>ΝΗΠΙΑΓΩΓΕΙΟ ΣΤΑΥΡΟΥ ΚΑΡΔΙΤΣΑΣ</t>
  </si>
  <si>
    <t>mail@nip-stavr.kar.sch.gr</t>
  </si>
  <si>
    <t>ΔΙΕΥΘΥΝΣΗ Π.Ε. ΛΑΡΙΣΑΣ</t>
  </si>
  <si>
    <t>13ο ΝΗΠΙΑΓΩΓΕΙΟ ΛΑΡΙΣΑΣ</t>
  </si>
  <si>
    <t>mail@13nip-laris.lar.sch.gr</t>
  </si>
  <si>
    <t>ΜΕΡΑΡΧΙΑΣ 2</t>
  </si>
  <si>
    <t>ΝΗΠΙΑΓΩΓΕΙΟ ΑΡΜΕΝΙΟ</t>
  </si>
  <si>
    <t>mail@nip-armen.lar.sch.gr</t>
  </si>
  <si>
    <t>ΝΗΠΙΑΓΩΓΕΙΟ ΝΙΚΑΙΑΣ</t>
  </si>
  <si>
    <t>mail@nip-nikaias.lar.sch.gr</t>
  </si>
  <si>
    <t>ΔΗΜΟΤΙΚΟ ΣΧΟΛΕΙΟ ΤΕΡΨΙΘΕΑΣ</t>
  </si>
  <si>
    <t>mail@dim-terps.lar.sch.gr</t>
  </si>
  <si>
    <t>ΤΕΡΨΙΘΕΑ ΛΑΡΙΣΑΣ</t>
  </si>
  <si>
    <t>35ο ΝΗΠΙΑΓΩΓΕΙΟ ΛΑΡΙΣΑΣ</t>
  </si>
  <si>
    <t>mail@35nip-laris.lar.sch.gr</t>
  </si>
  <si>
    <t>ΑΕΡΟΔΡΟΜΙΟ ΛΑΡΙΣΑΣ - ΠΤΕΡΥΓΑ ΜΑΧΗΣ 110</t>
  </si>
  <si>
    <t>3ο  ΝΗΠΙΑΓΩΓΕΙΟ ΛΑΡΙΣΑΣ</t>
  </si>
  <si>
    <t>mail@3nip-laris.lar.sch.gr</t>
  </si>
  <si>
    <t>ΑΛΕΒΑΔΩΝ 3</t>
  </si>
  <si>
    <t>4ο ΝΗΠΙΑΓΩΓΕΙΟ ΛΑΡΙΣΑΣ</t>
  </si>
  <si>
    <t>mail@4nip-laris.lar.sch.gr</t>
  </si>
  <si>
    <t>ΜΑΓΡΙΕ 1</t>
  </si>
  <si>
    <t>8ο  ΝΗΠΙΑΓΩΓΕΙΟ ΛΑΡΙΣΑΣ</t>
  </si>
  <si>
    <t>mail@8nip-laris.lar.sch.gr</t>
  </si>
  <si>
    <t>ΡΟΔΟΠΗΣ 41</t>
  </si>
  <si>
    <t>6ο ΝΗΠΙΑΓΩΓΕΙΟ ΛΑΡΙΣΑΣ</t>
  </si>
  <si>
    <t>mail@6nip-laris.lar.sch.gr</t>
  </si>
  <si>
    <t>ΜΥΤΙΛΗΝΗΣ 27</t>
  </si>
  <si>
    <t>11ο ΝΗΠΙΑΓΩΓΕΙΟ ΛΑΡΙΣΑΣ</t>
  </si>
  <si>
    <t>mail@11nip-laris.lar.sch.gr</t>
  </si>
  <si>
    <t>ΚΟΥΜΟΥΝΔΟΥΡΟΥ 53</t>
  </si>
  <si>
    <t>20ο ΝΗΠΙΑΓΩΓΕΙΟ ΛΑΡΙΣΑΣ</t>
  </si>
  <si>
    <t>mail@20nip-laris.lar.sch.gr</t>
  </si>
  <si>
    <t>ΕΘΝΙΚΗΣ ΑΝΤΙΣΤΑΣΗΣ 35</t>
  </si>
  <si>
    <t>41ο ΝΗΠΙΑΓΩΓΕΙΟ ΛΑΡΙΣΑ</t>
  </si>
  <si>
    <t>mail@41nip-laris.lar.sch.gr</t>
  </si>
  <si>
    <t>ΗΠΕΙΡΟΥ 34</t>
  </si>
  <si>
    <t>ΝΗΠΙΑΓΩΓΕΙΟ   ΚΟΙΛΑΔΑΣ</t>
  </si>
  <si>
    <t>mail@nip-koilad.lar.sch.gr</t>
  </si>
  <si>
    <t>mail@25dim-laris.lar.sch.gr</t>
  </si>
  <si>
    <t>ΠΡΩΤΗΣ  ΜΕΡΑΡΧΙΑΣ 2</t>
  </si>
  <si>
    <t>28ο ΝΗΠΙΑΓΩΓΕΙΟ ΛΑΡΙΣΑΣ</t>
  </si>
  <si>
    <t>mail@28nip-laris.lar.sch.gr</t>
  </si>
  <si>
    <t>ΚΟΥΜΟΥΝΔΟΥΡΟΥ 17</t>
  </si>
  <si>
    <t>ΒΛΑΧΟΓΙΑΝΝΙΟΥ</t>
  </si>
  <si>
    <t>ΝΗΠΙΑΓΩΓΕΙΟ ΒΛΑΧΟΓΙΑΝΝΙΟΥ</t>
  </si>
  <si>
    <t>mail@nip-vlach.lar.sch.gr</t>
  </si>
  <si>
    <t>ΒΛΑΧΟΓΙΑΝΝΙ</t>
  </si>
  <si>
    <t>mail@dim-falan.lar.sch.gr</t>
  </si>
  <si>
    <t>ΠΡΩΤΟΒΑΘΜΙΑΣ ΕΚΠΑΙΔΕΥΣΗΣ Ν.ΛΑΡΙΣΑΣ</t>
  </si>
  <si>
    <t>mail@dim-pyrget.lar.sch.gr</t>
  </si>
  <si>
    <t>mail@23dim-laris.lar.sch.gr</t>
  </si>
  <si>
    <t>ΠΕΛΟΠΟΝΝΗΣΟΥ ΚΑΙ Γ. ΙΩΑΝΝΟΥ</t>
  </si>
  <si>
    <t>ΔΗΜΟΤΙΚΟ ΣΧΟΛΕΙΟ ΚΑΡΥΑΣ ΕΛΑΣΣΟΝΑΣ</t>
  </si>
  <si>
    <t>mail@dim-karyas.lar.sch.gr</t>
  </si>
  <si>
    <t>Καρυά Ελασσόνας</t>
  </si>
  <si>
    <t>12ο ΔΗΜΟΤΙΚΟ ΣΧΟΛΕΙΟ ΛΑΡΙΣΑΣ</t>
  </si>
  <si>
    <t>mail@12dim-laris.lar.sch.gr</t>
  </si>
  <si>
    <t>ΑΡΚΑΔΙΟΥ 38</t>
  </si>
  <si>
    <t>mail@15dim-laris.lar.sch.gr</t>
  </si>
  <si>
    <t>ΧΑΤΖΟΠΟΥΛΟΥ 1</t>
  </si>
  <si>
    <t>mail@11dim-laris.lar.sch.gr</t>
  </si>
  <si>
    <t>ΠΛΑΤΩΝΟΣ 32</t>
  </si>
  <si>
    <t>mail@19dim-laris.lar.sch.gr</t>
  </si>
  <si>
    <t>ΑΚΑΡΝΑΝΙΑΣ 32</t>
  </si>
  <si>
    <t>1ο ΝΗΠΙΑΓΩΓΕΙΟ ΠΛΑΤΥΚΑΜΠΟΥ</t>
  </si>
  <si>
    <t>mail@1nip-platyk.lar.sch.gr</t>
  </si>
  <si>
    <t>ΜΕΛΙΒΟΙΑΣ</t>
  </si>
  <si>
    <t>ΝΗΠΙΑΓΩΓΕΙΟ ΜΕΛΙΒΟΙΑΣ</t>
  </si>
  <si>
    <t>mail@nip-meliv.lar.sch.gr</t>
  </si>
  <si>
    <t>ΝΗΠΙΑΓΩΓΕΙΟ ΤΕΡΨΙΘΕΑΣ</t>
  </si>
  <si>
    <t>mail@nip-terps.lar.sch.gr</t>
  </si>
  <si>
    <t>Ρήγα Φεραίου και Βουλγαροκτόνου</t>
  </si>
  <si>
    <t>ΝΗΠΙΑΓΩΓΕΙΟ ΒΕΡΔΙΚΟΥΣΙΑΣ</t>
  </si>
  <si>
    <t>mail@nip-verdik.lar.sch.gr</t>
  </si>
  <si>
    <t>ΒΕΡΔΙΚΟΥΣΙΑ</t>
  </si>
  <si>
    <t>ΔΕΝΔΡΩΝ</t>
  </si>
  <si>
    <t>ΔΗΜΟΤΙΚΟ ΣΧΟΛΕΙΟ ΔΕΝΔΡΩΝ-ΠΛΑΤΑΝΟΥΛΙΩΝ</t>
  </si>
  <si>
    <t>mail@dim-platan.lar.sch.gr</t>
  </si>
  <si>
    <t>ΔΕΝΔΡΑ &amp; ΠΛΑΤΑΝΟΥΛΙΑ ΤΥΡΝΑΒΟΥ</t>
  </si>
  <si>
    <t>ΚΑΛΑΜΑΚΙΟΥ</t>
  </si>
  <si>
    <t>2/ΘΕΣΙΟ ΔΗΜΟΤΙΚΟ ΣΧΟΛΕΙΟ ΚΑΛΑΜΑΚΙ ΑΓΙΑΣ</t>
  </si>
  <si>
    <t>mail@dim-agias.lar.sch.gr</t>
  </si>
  <si>
    <t>ΚΑΛΑΜΑΚΙ ΑΓΙΑΣ</t>
  </si>
  <si>
    <t>55ο ΝΗΠΙΑΓΩΓΕΙΟ ΛΑΡΙΣΑ</t>
  </si>
  <si>
    <t>mail@55nip-laris.lar.sch.gr</t>
  </si>
  <si>
    <t>ΙΟΥΣΤΙΝΙΑΝΟΥ 24</t>
  </si>
  <si>
    <t>ΧΑΛΚΗΣ</t>
  </si>
  <si>
    <t>ΝΗΠΙΑΓΩΓΕΙΟ ΧΑΛΚΗΣ</t>
  </si>
  <si>
    <t>mail@nip-chalk.lar.sch.gr</t>
  </si>
  <si>
    <t>ΧΑΛΚΗ</t>
  </si>
  <si>
    <t>ΔΟΛΙΧΗΣ</t>
  </si>
  <si>
    <t>ΝΗΠΙΑΓΩΓΕΙΟ ΔΟΛΙΧΗ - ΔΟΛΙΧΗΣ</t>
  </si>
  <si>
    <t>mail@nip-dolich.lar.sch.gr</t>
  </si>
  <si>
    <t>ΔΟΛΙΧΗ</t>
  </si>
  <si>
    <t>17ο ΝΗΠΙΑΓΩΓΕΙΟ ΛΑΡΙΣΑΣ</t>
  </si>
  <si>
    <t>mail@17nip-laris.lar.sch.gr</t>
  </si>
  <si>
    <t>ΚΑΛΛΙΣΘΕΝΗ-ΘΕΟΦΙΛΟΥ 1</t>
  </si>
  <si>
    <t>ΛΑΚΕΡΕΙΑΣ</t>
  </si>
  <si>
    <t>ΔΗΜΟΤΙΚΟ ΣΧΟΛΕΙΟ ΔΗΜΗΤΡΑΣ ΑΓΙΑΣ</t>
  </si>
  <si>
    <t>mail@dim-ag-dimitr.lar.sch.gr</t>
  </si>
  <si>
    <t>ΔΗΜΟΤΙΚΟ ΣΧΟΛΕΙΟ ΚΑΛΟΧΩΡΙ0Υ</t>
  </si>
  <si>
    <t>mail@dim-kaloch.lar.sch.gr</t>
  </si>
  <si>
    <t>ΚΑΛΟΧΩΡΙ-ΛΑΡΙΣΑΣ</t>
  </si>
  <si>
    <t>ΝΗΠΙΑΓΩΓΕΙΟ ΔΟΜΕΝΙΚΟ</t>
  </si>
  <si>
    <t>mail@nip-domen.lar.sch.gr</t>
  </si>
  <si>
    <t>mail@1dim-agias.lar.sch.gr</t>
  </si>
  <si>
    <t>ΚΑΝΑΒΑ 1</t>
  </si>
  <si>
    <t>ΣΑΡΑΝΤΑΠΟΡΟΥ</t>
  </si>
  <si>
    <t>ΔΗΜΟΤΙΚΟ ΣΧΟΛΕΙΟ ΣΑΡΑΝΤΑΠΟΡΟΥ</t>
  </si>
  <si>
    <t>mail@dim-sarant.lar.sch.gr</t>
  </si>
  <si>
    <t>ΣΑΡΑΝΤΑΠΟΡΟ</t>
  </si>
  <si>
    <t>Σαραντάπορο</t>
  </si>
  <si>
    <t>32ο  ΔΗΜΟΤΙΚΟ ΣΧΟΛΕΙΟ ΛΑΡΙΣΑΣ</t>
  </si>
  <si>
    <t>mail@32dim-laris.lar.sch.gr</t>
  </si>
  <si>
    <t>ΜΕΓΑΛΟΥ ΜΟΝΑΣΤΗΡΙΟΥ</t>
  </si>
  <si>
    <t>1/Θ ΝΗΠΙΑΓΩΓΕΙΟ ΜΕΓΑΛΟ ΜΟΝΑΣΤΗΡΙ</t>
  </si>
  <si>
    <t>mail@nip-meg-monast.lar.sch.gr</t>
  </si>
  <si>
    <t>ΜΕΓΑΛΟ ΜΟΝΑΣΤΗΡΙ</t>
  </si>
  <si>
    <t>ΝΗΠΙΑΓΩΓΕΙΟ ΔΡΥΜΟΥ</t>
  </si>
  <si>
    <t>mail@nip-drymou.lar.sch.gr</t>
  </si>
  <si>
    <t>ΔΡΥΜΟΣ ΕΛΑΣΣΟΝΑΣ</t>
  </si>
  <si>
    <t>mail@2dim-agias.lar.sch.gr</t>
  </si>
  <si>
    <t>Μ.ΔΑΛΛΑ 1</t>
  </si>
  <si>
    <t>47ο ΝΗΠΙΑΓΩΓΕΙΟ ΛΑΡΙΣΑΣ</t>
  </si>
  <si>
    <t>mail@47nip-laris.lar.sch.gr</t>
  </si>
  <si>
    <t>38ο ΝΗΠΙΑΓΩΓΕΙΟ ΛΑΡΙΣΑΣ</t>
  </si>
  <si>
    <t>mail@38nip-laris.lar.sch.gr</t>
  </si>
  <si>
    <t>ΙΟΥΣΤΙΝΙΑΝΟΥ 24A</t>
  </si>
  <si>
    <t>ΕΙΔΙΚΟ ΔΗΜΟΤΙΚΟ ΣΧΟΛΕΙΟ ΦΑΡΣΑΛΩΝ</t>
  </si>
  <si>
    <t>mail@dim-eid-farsal.lar.sch.gr</t>
  </si>
  <si>
    <t>21ο ΝΗΠΙΑΓΩΓΕΙΟ ΛΑΡΙΣΑΣ</t>
  </si>
  <si>
    <t>mail@21nip-laris.lar.sch.gr</t>
  </si>
  <si>
    <t>ΓΑΡΙΤΣΙΟΥ-ΕΠΙΣΚΟΠΗΣ</t>
  </si>
  <si>
    <t>mail@1dim-laris.lar.sch.gr</t>
  </si>
  <si>
    <t>ΙΟΥΣΤΙΝΙΑΝΟΥ 24Α</t>
  </si>
  <si>
    <t>mail@5dim-tyrnav.lar.sch.gr</t>
  </si>
  <si>
    <t>ΑΓΙΟΥ ΓΕΔΕΩΝ 81</t>
  </si>
  <si>
    <t>43ο ΝΗΠΙΑΓΩΓΕΙΟ ΛΑΡΙΣΑΣ</t>
  </si>
  <si>
    <t>mail@43nip-laris.lar.sch.gr</t>
  </si>
  <si>
    <t>ΕΘΝΙΚΗΣ ΑΝΤΙΣΤΑΣΕΩΣ 35</t>
  </si>
  <si>
    <t>2ο  ΔΗΜΟΤΙΚΟ ΣΧΟΛΕΙΟ ΤΥΡΝΑΒΟΥ</t>
  </si>
  <si>
    <t>mail@2dim-tyrnav.lar.sch.gr</t>
  </si>
  <si>
    <t>ΣΤΡΑΤΗΓΟΥ ΛΙΜΠΡΙΤΗ 2</t>
  </si>
  <si>
    <t>mail@42dim-laris.lar.sch.gr</t>
  </si>
  <si>
    <t>ΜΑΝΟΥ ΛΟΪΖΟΥ 21</t>
  </si>
  <si>
    <t>50ο ΝΗΠΙΑΓΩΓΕΙΟ ΛΑΡΙΣΑ - ΠΕΝΤΗΚΟΣΤΟ ΝΗΠΙΑΓΩΓΕΙΟ</t>
  </si>
  <si>
    <t>mail@50nip-laris.lar.sch.gr</t>
  </si>
  <si>
    <t>ΚΑΛΛΙΣΘΕΝΟΥΣ ΚΑΙ ΘΕΟΦΙΛΟΥ</t>
  </si>
  <si>
    <t>mail@dim-koilad.lar.sch.gr</t>
  </si>
  <si>
    <t>ΔΗΜΟΤΙΚΟ ΣΧΟΛΕΙΟ ΚΟΙΛΑΔΑΣ</t>
  </si>
  <si>
    <t>mail@10dimlaris-lar.sch.gr</t>
  </si>
  <si>
    <t>ΑΙΟΛΟΥ 2</t>
  </si>
  <si>
    <t>29ο ΝΗΠΙΑΓΩΓΕΙΟ ΛΑΡΙΣΑΣ</t>
  </si>
  <si>
    <t>mail@29nip-laris.lar.sch.gr</t>
  </si>
  <si>
    <t>ΑΥΛΩΝΟΣ - ΑΒΔΗΡΩΝ</t>
  </si>
  <si>
    <t>2ο ΔΗΜΟΤΙΚΟ ΣΧΟΛΕΙΟ ΦΑΡΣΑΛΩΝ</t>
  </si>
  <si>
    <t>mail@2dim-farsal.lar.sch.gr</t>
  </si>
  <si>
    <t>Φάρσαλα</t>
  </si>
  <si>
    <t>ΔΕΥΚΑΛΙΩΝΟΣ 10</t>
  </si>
  <si>
    <t>42ο ΟΛΟΗΜΕΡΟ ΝΗΠΙΑΓΩΓΕΙΟ ΛΑΡΙΣΑΣ</t>
  </si>
  <si>
    <t>mail@42nip-laris.lar.sch.gr</t>
  </si>
  <si>
    <t>ΠΟΛ. ΖΗΛΟΥ - ΚΑΛΑΜΑ</t>
  </si>
  <si>
    <t>56ο ΝΗΠΙΑΓΩΓΕΙΟ ΛΑΡΙΣΑΣ</t>
  </si>
  <si>
    <t>mail@56nip-laris.lar.sch.gr</t>
  </si>
  <si>
    <t>40ο ΝΗΠΙΑΓΩΓΕΙΟ ΛΑΡΙΣΑ</t>
  </si>
  <si>
    <t>mail@40nip-laris.lar.sch.gr</t>
  </si>
  <si>
    <t>ΕΛΕΥΘΕΡΙΑΣ 12</t>
  </si>
  <si>
    <t>ΝΗΠΙΑΓΩΓΕΊΟ ΛΙΒΑΔΙΟΎ</t>
  </si>
  <si>
    <t>mail@nip-livad.lar.sch.gr</t>
  </si>
  <si>
    <t>ΛΙΒΑΔΙ</t>
  </si>
  <si>
    <t>58ο ΝΗΠΙΑΓΩΓΕΙΟ ΛΑΡΙΣΑΣ</t>
  </si>
  <si>
    <t>mail@58nip-laris.lar.sch.gr</t>
  </si>
  <si>
    <t>ΠΑΝΕΠΙΣΤΗΜΙΟ ΘΕΣΣΑΛΙΑΣ-ΓΑΙΟΠΟΛΙΣ</t>
  </si>
  <si>
    <t>ΝΗΠΙΑΓΩΓΕΙΟ ΛΟΥΤΡΟ</t>
  </si>
  <si>
    <t>mail@nip-loutr.lar.sch.gr</t>
  </si>
  <si>
    <t>ΛΟΥΤΡΟ ΕΛΑΣΣΟΝΑΣ</t>
  </si>
  <si>
    <t>37ο ΝΗΠΙΑΓΩΓΕΙΟ ΛΑΡΙΣΑΣ</t>
  </si>
  <si>
    <t>mail@37nip-laris.lar.sch.gr</t>
  </si>
  <si>
    <t>ΚΟΥΜΟΥΝΔΟΥΡΟΥ 17-19</t>
  </si>
  <si>
    <t>ΔΗΜΟΤΙΚΟ ΣΧΟΛΕΙΟ ΜΕΛΙΒΟΙΑΣ</t>
  </si>
  <si>
    <t>mail@dim-meliv.lar.sch.gr</t>
  </si>
  <si>
    <t>ΖΑΠΠΕΙΟΥ</t>
  </si>
  <si>
    <t>ΝΗΠΙΑΓΩΓΕΙΟ ΖΑΠΠΕΙΟ</t>
  </si>
  <si>
    <t>mail@nip-zappeiou.lar.sch.gr</t>
  </si>
  <si>
    <t>ΖΑΠΠΕΙΟ</t>
  </si>
  <si>
    <t>39ο ΟΛΟΗΜΕΡΟ ΔΗΜΟΤΙΚΟ ΣΧΟΛΕΙΟ ΛΑΡΙΣΑΣ</t>
  </si>
  <si>
    <t>mail@39dim-laris.lar.sch.gr</t>
  </si>
  <si>
    <t>ΠΛΟΥΤΩΝΟΣ 26</t>
  </si>
  <si>
    <t>24ο  ΔΗΜΟΤΙΚΟ ΣΧΟΛΕΙΟ ΛΑΡΙΣΑΣ</t>
  </si>
  <si>
    <t>mail@24dim-laris.lar.sch.gr</t>
  </si>
  <si>
    <t>29ο  ΔΗΜΟΤΙΚΟ ΣΧΟΛΕΙΟ ΛΑΡΙΣΑΣ</t>
  </si>
  <si>
    <t>mail@29dim-laris.lar.sch.gr</t>
  </si>
  <si>
    <t>31ης ΑΥΓΟΥΣΤΟΥ 34</t>
  </si>
  <si>
    <t>ΜΕΣΟΧΩΡΙΟΥ</t>
  </si>
  <si>
    <t>ΝΗΠΙΑΓΩΓΕΙΟ ΜΕΣΟΧΩΡΙ</t>
  </si>
  <si>
    <t>mail@nip-mesoch.lar.sch.gr</t>
  </si>
  <si>
    <t>ΜΕΣΟΧΩΡΙ</t>
  </si>
  <si>
    <t>39ο ΝΗΠΙΑΓΩΓΕΙΟ ΛΑΡΙΣΑΣ</t>
  </si>
  <si>
    <t>mail@39nip-laris.lar.sch.gr</t>
  </si>
  <si>
    <t>ΚΛΕΑΡΧΟΥ ΠΑΤΕΡΑ 1</t>
  </si>
  <si>
    <t>ΝΗΠΙΑΓΩΓΕΙΟ ΜΗΛΕΑ</t>
  </si>
  <si>
    <t>mail@nip-mileas.lar.sch.gr</t>
  </si>
  <si>
    <t>ΝΗΠΙΑΓΩΓΕΙΟ ΟΛΥΜΠΙΑΔΑΣ ΕΛΑΣΣΟΝΑ</t>
  </si>
  <si>
    <t>mail@nip-olymp.lar.sch.gr</t>
  </si>
  <si>
    <t>ΝΗΠΙΑΓΩΓΕΙΟ ΣΑΡΑΝΤΑΠΟΡΟ</t>
  </si>
  <si>
    <t>mail@nip-sarant.lar.sch.gr</t>
  </si>
  <si>
    <t>ΣΤΕΦΑΝΟΒΟΥΝΟΥ</t>
  </si>
  <si>
    <t>ΝΗΠΙΑΓΩΓΕΙΟ ΣΤΕΦΑΝΟΒΟΥΝΟΥ-ΓΑΛΑΝΟΒΡΥΣΗΣ</t>
  </si>
  <si>
    <t>mail@nip-stefan.lar.sch.gr</t>
  </si>
  <si>
    <t>ΣΤΕΦΑΝΟΒΟΥΝΟ</t>
  </si>
  <si>
    <t>33ο ΔΗΜΟΤΙΚΟ ΣΧΟΛΕΙΟ ΛΑΡΙΣΑΣ</t>
  </si>
  <si>
    <t>mail@33dim-laris.lar.sch.gr</t>
  </si>
  <si>
    <t>A.AΡΒΑΝΙΤΟΠΟΥΛΟΥ ΚΑΙ ΣΚΟΠΙΑΣ</t>
  </si>
  <si>
    <t>57ο  ΝΗΠΙΑΓΩΓΕΙΟ ΛΑΡΙΣΑΣ</t>
  </si>
  <si>
    <t>mail@57nip-laris.lar.sch.gr</t>
  </si>
  <si>
    <t>ΓΑΡΙΤΣΙΟΥ - ΛΕΥΚΙΠΠΟΥ</t>
  </si>
  <si>
    <t>2ο  ΔΗΜΟΤΙΚΟ ΣΧΟΛΕΙΟ ΠΛΑΤΥΚΑΜΠΟΥ ΛΑΡΙΣΑΣ</t>
  </si>
  <si>
    <t>mail@2dim-platyk.lar.sch.gr</t>
  </si>
  <si>
    <t>Γαλήνη</t>
  </si>
  <si>
    <t>1ο ΔΗΜΟΤΙΚΟ ΣΧΟΛΕΙΟ ΓΙΑΝΝΟΥΛΗΣ</t>
  </si>
  <si>
    <t>mail@1dim-giann.lar.sch.gr</t>
  </si>
  <si>
    <t>ΚΟΥΛΟΥΨΟΥΖΗ 25</t>
  </si>
  <si>
    <t>ΚΙΛΕΛΕΡ (ΚΥΨΕΛΗΣ)</t>
  </si>
  <si>
    <t>ΝΗΠΙΑΓΩΓΕΙΟ ΚΙΛΕΛΕΡ</t>
  </si>
  <si>
    <t>mail@nip-kilel.lar.sch.gr</t>
  </si>
  <si>
    <t>ΝΗΠΙΑΓΩΓΕΙΟ ΜΑΝΔΡΑ</t>
  </si>
  <si>
    <t>mail@nip-mandr.lar.sch.gr</t>
  </si>
  <si>
    <t>36ο ΝΗΠΙΑΓΩΓΕΙΟ ΛΑΡΙΣΑΣ</t>
  </si>
  <si>
    <t>mail@36nip-laris.lar.sch.gr</t>
  </si>
  <si>
    <t>ΑΙΓΑΝΗΣ</t>
  </si>
  <si>
    <t>ΔΗΜΟΤΙΚΟ ΣΧΟΛΕΙΟ ΑΙΓΑΝΗΣ</t>
  </si>
  <si>
    <t>mail@dim-aigan.lar.sch.gr</t>
  </si>
  <si>
    <t>ΑΙΓΑΝΗ</t>
  </si>
  <si>
    <t>ΑΙΓΑΝΗ ΛΑΡΙΣΑΣ</t>
  </si>
  <si>
    <t>ΔΑΜΑΣΙΟΥ</t>
  </si>
  <si>
    <t>ΔΗΜΟΤΙΚΟ ΣΧΟΛΕΙΟ ΔΑΜΑΣΙΟΥ</t>
  </si>
  <si>
    <t>mail@dim-damas.lar.sch.gr</t>
  </si>
  <si>
    <t>ΔΑΜΑΣΙ</t>
  </si>
  <si>
    <t>ΚΟΙΝΟΤΙΚΗ</t>
  </si>
  <si>
    <t>2/Θ ΔΗΜΟΤΙΚΟ ΣΧΟΛΕΙΟ ΜΕΓΑΛΟ ΜΟΝΑΣΤΗΡΙ</t>
  </si>
  <si>
    <t>mail@dim-meg-monast.lar.sch.gr</t>
  </si>
  <si>
    <t>9ο  ΝΗΠΙΑΓΩΓΕΙΟ ΛΑΡΙΣΑΣ</t>
  </si>
  <si>
    <t>mail@9nip-laris.lar.sch.gr</t>
  </si>
  <si>
    <t>ΕΥΑΓΓΕΛΙΣΜΟΥ ΕΛΛΑΣΟΝΟΣ</t>
  </si>
  <si>
    <t>ΝΗΠΙΑΓΩΓΕΙΟ ΕΥΑΓΓΕΛΙΣΜΟΥ</t>
  </si>
  <si>
    <t>mail@nip-evang.lar.sch.gr</t>
  </si>
  <si>
    <t>ΕΥΑΓΓΕΛΙΣΜΟΣ</t>
  </si>
  <si>
    <t>mail@dim-verdik.lar.sch.gr</t>
  </si>
  <si>
    <t>ΑΝΑΠΑΥΣΕΩΣ 5</t>
  </si>
  <si>
    <t>ΕΙΔΙΚΟ ΔΗΜΟΤΙΚΟ ΣΧΟΛΕΙΟ ΛΑΡΙΣΑΣ</t>
  </si>
  <si>
    <t>mail@dim-eid-laris.lar.sch.gr</t>
  </si>
  <si>
    <t>ΜΟΥΣΩΝ 1</t>
  </si>
  <si>
    <t>1ο ΝΗΠΙΑΓΩΓΕΙΟ ΦΑΡΣΑΛΩΝ</t>
  </si>
  <si>
    <t>mail@1nip-farsal.lar.sch.gr</t>
  </si>
  <si>
    <t>Β. ΜΑΥΡΟΓΙΩΡΓΟΥ 19</t>
  </si>
  <si>
    <t>2ο  ΝΗΠΙΑΓΩΓΕΙΟ ΦΑΡΣΑΛΩΝ</t>
  </si>
  <si>
    <t>mail@2nip-farsal.lar.sch.gr</t>
  </si>
  <si>
    <t>ΔΗΜΟΤΙΚΟ ΣΧΟΛΕΙΟ ΚΙΛΕΛΕΡ</t>
  </si>
  <si>
    <t>mail@dim-kilel.lar.sch.gr</t>
  </si>
  <si>
    <t>ΚΙΛΕΛΕΡ ΛΑΡΙΣΑΣ</t>
  </si>
  <si>
    <t>3ο ΝΗΠΙΑΓΩΓΕΙΟ ΦΑΡΣΑΛΩΝ</t>
  </si>
  <si>
    <t>mail@3nip-farsal.lar.sch.gr</t>
  </si>
  <si>
    <t>ΚΑΠΟΔΙΣΤΡΙΟΥ 3</t>
  </si>
  <si>
    <t>mail@37dim-laris.lar.sch.gr</t>
  </si>
  <si>
    <t>3ο ΝΗΠΙΑΓΩΓΕΙΟ ΕΛΑΣΣΟΝΑΣ</t>
  </si>
  <si>
    <t>mail@3nip-elass.lar.sch.gr</t>
  </si>
  <si>
    <t>Κ. ΟΙΚΟΝΟΜΟΥ</t>
  </si>
  <si>
    <t>21ο ΔΗΜΟΤΙΚΟ ΣΧΟΛΕΙΟ ΛΑΡΙΣΑΣ</t>
  </si>
  <si>
    <t>mail@21dim-laris.lar.sch.gr</t>
  </si>
  <si>
    <t>ΚΛ. ΠΑΤΕΡΑ 1</t>
  </si>
  <si>
    <t>4ο ΔΗΜΟΤΙΚΟ ΣΧΟΛΕΙΟ ΛΑΡΙΣΑΣ</t>
  </si>
  <si>
    <t>mail@4dim-laris.lar.sch.gr</t>
  </si>
  <si>
    <t>mail@4dim-farsal.lar.sch.gr</t>
  </si>
  <si>
    <t>Β. ΟΥΓΚΩ 1</t>
  </si>
  <si>
    <t>mail@3dim-laris.lar.sch.gr</t>
  </si>
  <si>
    <t>mail@27dim-laris.lar.sch.gr</t>
  </si>
  <si>
    <t>ΗΡΑΚΛΕΙΑΝΟΥ 36</t>
  </si>
  <si>
    <t>17ο ΔΗΜΟΤΙΚΟ ΣΧΟΛΕΙΟ ΛΑΡΙΣΑΣ</t>
  </si>
  <si>
    <t>mail@17dim-laris.lar.sch.gr</t>
  </si>
  <si>
    <t>mail@1dim-tyrnav.lar.sch.gr</t>
  </si>
  <si>
    <t>Δ. ΚΑΙ Α. ΒΟΓΙΑΤΖΗ ΤΕΡΜΑ</t>
  </si>
  <si>
    <t>15ο ΝΗΠΙΑΓΩΓΕΙΟ ΛΑΡΙΣΑΣ</t>
  </si>
  <si>
    <t>mail@15nip-laris.lar.sch.gr</t>
  </si>
  <si>
    <t>ΠΕΡΙΚΛΕΟΥΣ 7</t>
  </si>
  <si>
    <t>14ο ΔΗΜΟΤΙΚΟ ΣΧΟΛΕΙΟ ΛΑΡΙΣΑΣ</t>
  </si>
  <si>
    <t>mail@14dim-laris.lar.sch.gr</t>
  </si>
  <si>
    <t>ΓΕΡΟΥΛΑΝΟΥ 2</t>
  </si>
  <si>
    <t>5ο ΔΗΜΟΤΙΚΟ ΣΧΟΛΕΙΟ ΛΑΡΙΣΑΣ</t>
  </si>
  <si>
    <t>mail@5dim-laris.lar.sch.gr</t>
  </si>
  <si>
    <t>ΧΡΥΣΟΧΟΟΥ 2</t>
  </si>
  <si>
    <t>ΝΗΠΙΑΓΩΓΕΙΟ ΑΡΓΥΡΟΠΟΥΛΙΟΥ</t>
  </si>
  <si>
    <t>mail@nip-argyr.lar.sch.gr</t>
  </si>
  <si>
    <t>ΑΡΓΥΡΟΠΟΥΛΙ</t>
  </si>
  <si>
    <t>ΔΗΜΟΤΙΚΟ ΣΧΟΛΕΙΟ ΓΛΑΥΚΗΣ</t>
  </si>
  <si>
    <t>mail@dim-glafk.lar.sch.gr</t>
  </si>
  <si>
    <t>ΓΛΑΥΚΗ ΛΑΡΙΣΑΣ</t>
  </si>
  <si>
    <t>ΚΡΑΝΝΩΝΟΣ</t>
  </si>
  <si>
    <t>mail@dim-ag-anarg.lar.sch.gr</t>
  </si>
  <si>
    <t>ΕΛΕΥΘΕΡΙΟΥ</t>
  </si>
  <si>
    <t>ΝΗΠΙΑΓΩΓΕΙΟ ΕΛΕΥΘΕΡΙΟΥ</t>
  </si>
  <si>
    <t>mail@nip-elefth.lar.sch.gr</t>
  </si>
  <si>
    <t>ΕΛΕΥΘΕΡΙΟ</t>
  </si>
  <si>
    <t>ΠΟΥΡΝΑΡΙΟΥ</t>
  </si>
  <si>
    <t>ΝΗΠΙΑΓΩΓΕΙΟ ΠΟΥΡΝΑΡΙ</t>
  </si>
  <si>
    <t>mail@nip-pourn.lar.sch.gr</t>
  </si>
  <si>
    <t>ΠΟΥΡΝΑΡΙ</t>
  </si>
  <si>
    <t>ΝΗΠΙΑΓΩΓΕΙΟ ΣΥΚΟΥΡΙΟΥ</t>
  </si>
  <si>
    <t>mail@nip-sykour.lar.sch.gr</t>
  </si>
  <si>
    <t>mail@3dim-farsal.lar.sch.gr</t>
  </si>
  <si>
    <t>ΤΖΑΒΕΛΑ 2</t>
  </si>
  <si>
    <t>ΣΤΟΜΙΟΥ</t>
  </si>
  <si>
    <t>ΔΗΜΟΤΙΚΟ ΣΧΟΛΕΙΟ ΣΤΟΜΙΟΥ ΛΑΡΙΣΑΣ</t>
  </si>
  <si>
    <t>mail@dim-stomiou.lar.sch.gr</t>
  </si>
  <si>
    <t>ΣΤΟΜΙΟ ΛΑΡΙΣΑΣ</t>
  </si>
  <si>
    <t>ΝΗΠΙΑΓΩΓΕΙΟ ΓΛΑΥΚΗ</t>
  </si>
  <si>
    <t>mail@nip-glafk.lar.sch.gr</t>
  </si>
  <si>
    <t>mail@1dim-ampel.lar.sch.gr</t>
  </si>
  <si>
    <t>ΓΡΗΓ. ΛΑΜΠΡΑΚΗ 3</t>
  </si>
  <si>
    <t>ΟΜΟΡΦΟΧΩΡΙΟΥ</t>
  </si>
  <si>
    <t>ΔΗΜΟΤΙΚΟ ΣΧΟΛΕΙΟ ΟΜΟΡΦΟΧΩΡΙΟΥ ΛΑΡΙΣΑΣ</t>
  </si>
  <si>
    <t>mail@dim-omorf.lar.sch.gr</t>
  </si>
  <si>
    <t>ΟΜΟΡΦΟΧΩΡΙ ΛΑΡΙΣΑΣ</t>
  </si>
  <si>
    <t>2ο ΝΗΠΙΑΓΩΓΕΙΟ ΑΓΙΑΣ</t>
  </si>
  <si>
    <t>mail@2nip-agias.lar.sch.gr</t>
  </si>
  <si>
    <t>1ο ΝΗΠΙΑΓΩΓΕΙΟ ΑΓΙΑΣ</t>
  </si>
  <si>
    <t>mail@1nip-agias.lar.sch.gr</t>
  </si>
  <si>
    <t>ΒΑΣΙΛΕΙΟΥ  ΜΕΛΑ 22</t>
  </si>
  <si>
    <t>9ο  ΔΗΜΟΤΙΚΟ ΣΧΟΛΕΙΟ ΛΑΡΙΣΑΣ</t>
  </si>
  <si>
    <t>mail@9dim-laris.lar.sch.gr</t>
  </si>
  <si>
    <t>ΑΛΕΥΑΔΩΝ 1</t>
  </si>
  <si>
    <t>4ο ΝΗΠΙΑΓΩΓΕΙΟ  ΦΑΡΣΑΛΩΝ</t>
  </si>
  <si>
    <t>mail@4nip-farsal.lar.sch.gr</t>
  </si>
  <si>
    <t>Β  ΟΥΓΚΩ 1</t>
  </si>
  <si>
    <t>mail@dim-argyr.lar.sch.gr</t>
  </si>
  <si>
    <t>ΑΡΓΥΡΟΠΟΥΛΙ ΤΥΡΝΑΒΟΥ</t>
  </si>
  <si>
    <t>5ο ΝΗΠΙΑΓΩΓΕΙΟ ΦΑΡΣΑΛΩΝ</t>
  </si>
  <si>
    <t>mail@5nip-farsal.lar.sch.gr</t>
  </si>
  <si>
    <t>ΡΟΔΙΑΣ</t>
  </si>
  <si>
    <t>ΝΗΠΙΑΓΩΓΕΙΟ ΡΟΔΙΑ</t>
  </si>
  <si>
    <t>mail@nip-rodias.lar.sch.gr</t>
  </si>
  <si>
    <t>ΡΟΔΙΑ</t>
  </si>
  <si>
    <t>27ο ΝΗΠΙΑΓΩΓΕΙΟ ΛΑΡΙΣΑΣ</t>
  </si>
  <si>
    <t>mail@27nip-laris.lar.sch.gr</t>
  </si>
  <si>
    <t>ΑΝΤΩΝΙΟΥ ΦΑΣΟΥΛΑ 16</t>
  </si>
  <si>
    <t>52ο ΝΗΠΙΑΓΩΓΕΙΟ ΛΑΡΙΣΑ</t>
  </si>
  <si>
    <t>mail@52nip-laris.lar.sch.gr</t>
  </si>
  <si>
    <t>Γ. ΙΩΑΝΝΟΥ  ΠΕΛΟΠΟΝΝΗΣΟΥ</t>
  </si>
  <si>
    <t>23ο ΝΗΠΙΑΓΩΓΕΙΟ ΛΑΡΙΣΑΣ</t>
  </si>
  <si>
    <t>mail@23nip-laris.lar.sch.gr</t>
  </si>
  <si>
    <t>Γ. ΙΩΑΝΝΟΥ ΠΕΛΟΠΟΝΝΗΣΟΥ</t>
  </si>
  <si>
    <t>mail@dim-sykour.lar.sch.gr</t>
  </si>
  <si>
    <t>Συκούριο</t>
  </si>
  <si>
    <t>2ο ΝΗΠΙΑΓΩΓΕΙΟ ΠΛΑΤΥΚΑΜΠΟΣ</t>
  </si>
  <si>
    <t>mail@2nip-platyk.lar.sch.gr</t>
  </si>
  <si>
    <t>ΚΑΛΛΙΠΕΥΚΗΣ</t>
  </si>
  <si>
    <t>ΔΗΜΟΤΙΚΟ ΣΧΟΛΕΙΟ ΚΑΛΛΙΠΕΥΚΗ</t>
  </si>
  <si>
    <t>mail@dim-kallip.lar.sch.gr</t>
  </si>
  <si>
    <t>ΚΑΛΛΙΠΕΥΚΗ</t>
  </si>
  <si>
    <t>ΔΗΜΟΤΙΚΟ ΣΧΟΛΕΙΟ ΖΑΠΠΕΙΟΥ</t>
  </si>
  <si>
    <t>mail@dim-zappeiou.lar.sch.gr</t>
  </si>
  <si>
    <t>ΖΑΠΠΕΙΟ ΛΑΡΙΣΑΣ</t>
  </si>
  <si>
    <t>ΔΗΜΟΤΙΚΟ ΣΧΟΛΕΙΟ ΕΥΑΓΓΕΛΙΣΜΟΥ-ΕΛΑΣΣΟΝΑΣ</t>
  </si>
  <si>
    <t>mail@dim-evang.lar.sch.gr</t>
  </si>
  <si>
    <t>ΕΥΑΓΓΕΛΙΣΜΟΣ- ΕΛΑΣΣΟΝΑΣ</t>
  </si>
  <si>
    <t>4ο ΝΗΠΙΑΓΩΓΕΙΟ ΑΜΠΕΛΩΝΑΣ</t>
  </si>
  <si>
    <t>mail@4nip-ampel.lar.sch.gr</t>
  </si>
  <si>
    <t>ΓΡ. ΛΑΜΠΡΑΚΗ</t>
  </si>
  <si>
    <t>6ο ΔΗΜΟΤΙΚΟ ΣΧΟΛΕΙΟ ΛΑΡΙΣΑΣ</t>
  </si>
  <si>
    <t>mail@6dim-laris.lar.sch.gr</t>
  </si>
  <si>
    <t>31ΗΣ ΑΥΓΟΥΣΤΟΥ 34</t>
  </si>
  <si>
    <t>ΝΗΠΙΑΓΩΓΕΙΟ ΑΜΠΕΛΑΚΙΩΝ ΛΑΡΙΣΑΣ</t>
  </si>
  <si>
    <t>mail@nip-ampelak.lar.sch.gr</t>
  </si>
  <si>
    <t>ΑΜΠΕΛΑΚΙΑ</t>
  </si>
  <si>
    <t>ΜΕΛΙΣΣΟΧΩΡΙΟΥ</t>
  </si>
  <si>
    <t>ΝΗΠΙΑΓΩΓΕΙΟ ΜΕΛΙΣΣΟΧΩΡΙ</t>
  </si>
  <si>
    <t>mail@nip-meliss.lar.sch.gr</t>
  </si>
  <si>
    <t>ΜΕΛΙΣΣΟΧΩΡΙ</t>
  </si>
  <si>
    <t>ΝΗΠΙΑΓΩΓΕΙΟ ΟΜΟΡΦΟΧΩΡΙ</t>
  </si>
  <si>
    <t>mail@nip-omorf.lar.sch.gr</t>
  </si>
  <si>
    <t>ΟΜΟΡΦΟΧΩΡΙ</t>
  </si>
  <si>
    <t>ΟΜΟΛΙΟΥ</t>
  </si>
  <si>
    <t>ΝΗΠΙΑΓΩΓΕΙΟ ΟΜΟΛΙΟΥ</t>
  </si>
  <si>
    <t>mail@nip-omoliou.lar.sch.gr</t>
  </si>
  <si>
    <t>ΟΜΟΛΙΟ</t>
  </si>
  <si>
    <t>ΔΗΜΟΤΙΚΟ ΣΧΟΛΕΙΟ ΑΜΠΕΛΑΚΙΩΝ ΛΑΡΙΣΑΣ</t>
  </si>
  <si>
    <t>mail@dim-ampelak.lar.sch.gr</t>
  </si>
  <si>
    <t>mail@1dim-platyk.lar.sch.gr</t>
  </si>
  <si>
    <t>ΝΗΠΙΑΓΩΓΕΙΟ ΚΑΛΑΜΑΚΙ</t>
  </si>
  <si>
    <t>mail@nip-kalam.lar.sch.gr</t>
  </si>
  <si>
    <t>ΚΑΛΑΜΑΚΙ</t>
  </si>
  <si>
    <t>ΝΗΠΙΑΓΩΓΕΙΟ ΑΝΑΒΡΑ</t>
  </si>
  <si>
    <t>mail@nip-anavr.lar.sch.gr</t>
  </si>
  <si>
    <t>43ο ΔΗΜΟΤΙΚΟ ΣΧΟΛΕΙΟ ΛΑΡΙΣΑΣ</t>
  </si>
  <si>
    <t>mail@43dim-laris.lar.sch.gr</t>
  </si>
  <si>
    <t>1o ΔΗΜΟΤΙΚΟ ΣΧΟΛΕΙΟ ΜΕΛΙΣΣΟΧΩΡΙΟΥ</t>
  </si>
  <si>
    <t>mail@dim-meliss.lar.sch.gr</t>
  </si>
  <si>
    <t>ΝΗΠΙΑΓΩΓΕΙΟ ΣΤΟΜΙΟ</t>
  </si>
  <si>
    <t>mail@nip-stomiou.lar.sch.gr</t>
  </si>
  <si>
    <t>ΣΤΟΜΙΟ</t>
  </si>
  <si>
    <t>2ο ΝΗΠΙΑΓΩΓΕΙΟ ΛΑΡΙΣΑΣ</t>
  </si>
  <si>
    <t>mail@2nip-laris.lar.sch.gr</t>
  </si>
  <si>
    <t>10ο ΝΗΠΙΑΓΩΓΕΙΟ ΛΑΡΙΣΑ</t>
  </si>
  <si>
    <t>mail@10nip-laris.lar.sch.gr</t>
  </si>
  <si>
    <t>ΑΙΔΗΨΟΥ 21 Α</t>
  </si>
  <si>
    <t>18ο ΝΗΠΙΑΓΩΓΕΙΟ ΛΑΡΙΣΑ</t>
  </si>
  <si>
    <t>mail@18nip-laris.lar.sch.gr</t>
  </si>
  <si>
    <t>ΕΙΔΙΚΟ ΔΗΜΟΤΙΚΟ ΣΧΟΛΕΙΟ ΓΙΑΝΝΟΥΛΗ ΔΗΜΟΣ ΛΑΡΙΣΑΣ - ΕΙΔΙΚΟ Δ.Σ ΓΙΑΝΝΟΥΛΗΣ</t>
  </si>
  <si>
    <t>mail@dim-giann.lar.sch.gr</t>
  </si>
  <si>
    <t>ΓΙΑΝΝΟΥΛΗ ΔΗΜΟΣ ΛΑΡΙΣΑΣ</t>
  </si>
  <si>
    <t>ΠΑΠΑΓΟΥ  49</t>
  </si>
  <si>
    <t>19ο  ΝΗΠΙΑΓΩΓΕΙΟ ΛΑΡΙΣΑΣ</t>
  </si>
  <si>
    <t>mail@19nip-laris.lar.sch.gr</t>
  </si>
  <si>
    <t>31ο ΝΗΠΙΑΓΩΓΕΙΟ ΛΑΡΙΣΑ</t>
  </si>
  <si>
    <t>mail@31nip-laris.lar.sch.gr</t>
  </si>
  <si>
    <t>ΕΥΚΛΕΙΔΟΥ 11</t>
  </si>
  <si>
    <t>48ο ΝΗΠΙΑΓΩΓΕΙΟ ΛΑΡΙΣΑ</t>
  </si>
  <si>
    <t>mail@48nip-laris.lar.sch.gr</t>
  </si>
  <si>
    <t>ΑΙΔΗΨΟΥ 21Α</t>
  </si>
  <si>
    <t>3ο ΔΗΜΟΤΙΚΟ ΣΧΟΛΕΙΟ ΓΙΑΝΝΟΥΛΗΣ</t>
  </si>
  <si>
    <t>mail@3dim-giann.lar.sch.gr</t>
  </si>
  <si>
    <t>ΜΕΛΙΑΣ</t>
  </si>
  <si>
    <t>ΝΗΠΙΑΓΩΓΕΙΟ ΜΕΛΙΑ</t>
  </si>
  <si>
    <t>mail@nip-melias.lar.sch.gr</t>
  </si>
  <si>
    <t>ΜΕΛΙΑ</t>
  </si>
  <si>
    <t>ΝΗΠΙΑΓΩΓΕΙΟ ΕΛΕΥΘΕΡΩΝ</t>
  </si>
  <si>
    <t>mail@nip-elefther.lar.sch.gr</t>
  </si>
  <si>
    <t>7ο  ΔΗΜΟΤΙΚΟ ΣΧΟΛΕΙΟ ΛΑΡΙΣΑΣ</t>
  </si>
  <si>
    <t>mail@7dim-laris.lar.sch.gr</t>
  </si>
  <si>
    <t>30ο ΔΗΜΟΤΙΚΟ ΣΧΟΛΕΙΟ ΛΑΡΙΣΑΣ</t>
  </si>
  <si>
    <t>mail@30dim-laris.lar.sch.gr</t>
  </si>
  <si>
    <t>26ο ΔΗΜΟΤΙΚΟ ΣΧΟΛΕΙΟ ΛΑΡΙΣΑΣ</t>
  </si>
  <si>
    <t>mail@26dim-laris.lar.sch.gr</t>
  </si>
  <si>
    <t>ΑΥΛΩΝΟΣ ΚΑΙ ΑΒΔΗΡΩΝ</t>
  </si>
  <si>
    <t>mail@2dim-laris.lar.sch.gr</t>
  </si>
  <si>
    <t>Λάρισα</t>
  </si>
  <si>
    <t>1ο ΝΗΠΙΑΓΩΓΕΙΟ ΦΑΛΑΝΗΣ</t>
  </si>
  <si>
    <t>mail@1nip-falan.lar.sch.gr</t>
  </si>
  <si>
    <t>ΑΡΙΣΤΟΦΑΝΟΥΣ</t>
  </si>
  <si>
    <t>2ο ΝΗΠΙΑΓΩΓΕΙΟ ΦΑΛΑΝΗΣ</t>
  </si>
  <si>
    <t>mail@2nip-falan.lar.sch.gr</t>
  </si>
  <si>
    <t>1ο ΝΗΠΙΑΓΩΓΕΙΟ ΕΛΑΣΣΟΝΑΣ</t>
  </si>
  <si>
    <t>mail@1nip-elass.lar.sch.gr</t>
  </si>
  <si>
    <t>ΜΑΥΡΟΔΗΜΟΥ 10</t>
  </si>
  <si>
    <t>2ο ΝΗΠΙΑΓΩΓΕΙΟ ΕΛΑΣΣΟΝΑΣ</t>
  </si>
  <si>
    <t>mail@2nip-elass.lar.sch.gr</t>
  </si>
  <si>
    <t>ΠΡΩΤΗΣ ΜΕΡΑΡΧΙΑΣ ΤΕΡΜΑ</t>
  </si>
  <si>
    <t>3ο  ΝΗΠΙΑΓΩΓΕΙΟ ΑΜΠΕΛΩΝΑ</t>
  </si>
  <si>
    <t>mail@3nip-ampel.lar.sch.gr</t>
  </si>
  <si>
    <t>ΦΕΙΔΙΟΥ 2</t>
  </si>
  <si>
    <t>4ο ΝΗΠΙΑΓΩΓΕΙΟ ΕΛΑΣΣΟΝΑΣ</t>
  </si>
  <si>
    <t>mail@4nip-elass.lar.sch.gr</t>
  </si>
  <si>
    <t>ΠΡΩΤΗΣ ΜΕΡΑΡΧΙΑΣ</t>
  </si>
  <si>
    <t>ΝΑΡΘΑΚΙΟΥ</t>
  </si>
  <si>
    <t>ΔΙΛΟΦΟΥ ΦΑΡΣΑΛΩΝ</t>
  </si>
  <si>
    <t>ΔΗΜΟΤΙΚΟ ΣΧΟΛΕΙΟ ΔΙΛΟΦΟΥ</t>
  </si>
  <si>
    <t>mail@dim-dilof.lar.sch.gr</t>
  </si>
  <si>
    <t>ΔΙΛΟΦΟ ΦΑΡΣΑΛΩΝ</t>
  </si>
  <si>
    <t>ΔΙΛΟΦΟ</t>
  </si>
  <si>
    <t>ΝΗΠΙΑΓΩΓΕΙΟ ΚΑΡΥΑΣ ΕΛΑΣΣΟΝΑΣ</t>
  </si>
  <si>
    <t>mail@nip-karyas.lar.sch.gr</t>
  </si>
  <si>
    <t>mail@dim-armen.lar.sch.gr</t>
  </si>
  <si>
    <t>1ο ΝΗΠΙΑΓΩΓΕΙΟ ΑΜΠΕΛΩΝΑ</t>
  </si>
  <si>
    <t>mail@1nip-ampel.lar.sch.gr</t>
  </si>
  <si>
    <t>ΝΗΠΙΑΓΩΓΕΙΟ ΑΙΓΑΝΗΣ</t>
  </si>
  <si>
    <t>mail@nip-aigan.lar.sch.gr</t>
  </si>
  <si>
    <t>ΝΗΠΙΑΓΩΓΕΙΟ ΔΑΜΑΣΙ</t>
  </si>
  <si>
    <t>mail@nip-damas.lar.sch.gr</t>
  </si>
  <si>
    <t>ΝΗΠΙΑΓΩΓΕΙΟ ΚΡΑΝΕΑΣ</t>
  </si>
  <si>
    <t>mail@1nip-kraneas.lar.sch.gr</t>
  </si>
  <si>
    <t>ΝΗΠΙΑΓΩΓΕΙΟ ΠΛΑΤΑΝΟΥΛΙΩΝ</t>
  </si>
  <si>
    <t>mail@nip-platan.lar.sch.gr</t>
  </si>
  <si>
    <t>ΠΛΑΤΑΝΟΥΛΙΑ</t>
  </si>
  <si>
    <t>ΝΗΠΙΑΓΩΓΕΙΟ  ΠΥΡΓΕΤΟΥ</t>
  </si>
  <si>
    <t>mail@nip-pyrget.lar.sch.gr</t>
  </si>
  <si>
    <t>25ο ΝΗΠΙΑΓΩΓΕΙΟ ΛΑΡΙΣΑΣ</t>
  </si>
  <si>
    <t>mail@25nip-laris.lar.sch.gr</t>
  </si>
  <si>
    <t>32ο ΝΗΠΙΑΓΩΓΕΙΟ ΛΑΡΙΣΑΣ</t>
  </si>
  <si>
    <t>mail@32nip-laris.lar.sch.gr</t>
  </si>
  <si>
    <t>ΑΓΙΑΣ 2</t>
  </si>
  <si>
    <t>26ο ΝΗΠΙΑΓΩΓΕΙΟ ΛΑΡΙΣΑΣ</t>
  </si>
  <si>
    <t>mail@26nip-laris.lar.sch.gr</t>
  </si>
  <si>
    <t>ΕΡΜΟΓΕΝΟΥΣ 1</t>
  </si>
  <si>
    <t>ΝΗΠΙΑΓΩΓΕΙΟ ΓΟΝΝΟΙ</t>
  </si>
  <si>
    <t>mail@nip-gonnon.lar.sch.gr</t>
  </si>
  <si>
    <t>7ο ΝΗΠΙΑΓΩΓΕΙΟ ΛΑΡΙΣΑ</t>
  </si>
  <si>
    <t>mail@7nip-laris.lar.sch.gr</t>
  </si>
  <si>
    <t>22ο  ΝΗΠΙΑΓΩΓΕΙΟ ΛΑΡΙΣΑΣ</t>
  </si>
  <si>
    <t>mail@22nip-laris.lar.sch.gr</t>
  </si>
  <si>
    <t>ΠΑΡΝΗΘΟΣ 21</t>
  </si>
  <si>
    <t>mail@13dim-laris.lar.sch.gr</t>
  </si>
  <si>
    <t>ΛΕΜΕΣΟΥ 13</t>
  </si>
  <si>
    <t>16ο ΔΗΜΟΤΙΚΟ ΣΧΟΛΕΙΟ ΛΑΡΙΣΑΣ</t>
  </si>
  <si>
    <t>mail@16dim-laris.lar.sch.gr</t>
  </si>
  <si>
    <t>mail@18dim-laris.lar.sch.gr</t>
  </si>
  <si>
    <t>mail@22dim-laris.lar.sch.gr</t>
  </si>
  <si>
    <t>ΚΑΛΛΙΣΘΕΝΗ  2</t>
  </si>
  <si>
    <t>mail@dim-nikaias.lar.sch.gr</t>
  </si>
  <si>
    <t>ΕΘΝΑΡΧΟΥ ΜΑΚΑΡΙΟΥ 2, ΝΙΚΑΙΑ ΛΑΡΙΣΑΣ</t>
  </si>
  <si>
    <t>ΝΗΠΙΑΓΩΓΕΙΟ ΔΕΝΔΡΑ</t>
  </si>
  <si>
    <t>mail@nip-dendr.lar.sch.gr</t>
  </si>
  <si>
    <t>ΔΕΝΔΡΑ</t>
  </si>
  <si>
    <t>ΠΡΑΙΤΩΡΙΟΥ</t>
  </si>
  <si>
    <t>ΝΗΠΙΑΓΩΓΕΙΟ ΠΡΑΙΤΩΡΙ</t>
  </si>
  <si>
    <t>mail@nip-prait.lar.sch.gr</t>
  </si>
  <si>
    <t>ΠΡΑΙΤΩΡΙ</t>
  </si>
  <si>
    <t>1ο ΝΗΠΙΑΓΩΓΕΊΟ ΛΑΡΙΣΑΣ</t>
  </si>
  <si>
    <t>mail@1nip-laris.lar.sch.gr</t>
  </si>
  <si>
    <t>ΔΗΜΟΤΙΚΟ ΣΧΟΛΕΙΟ ΣΤΑΥΡΟΥ ΓΗΓΕΝΩΝ</t>
  </si>
  <si>
    <t>mail@dim-stavr.lar.sch.gr</t>
  </si>
  <si>
    <t>ΣΤΑΥΡΟΣ ΓΗΓΕΝΩΝ</t>
  </si>
  <si>
    <t>33ο ΝΗΠΙΑΓΩΓΕΙΟ ΛΑΡΙΣΑΣ</t>
  </si>
  <si>
    <t>mail@33nip-laris.lar.sch.gr</t>
  </si>
  <si>
    <t>ΧΡΥΣΟΧΟΟΥ  2</t>
  </si>
  <si>
    <t>16ο ΝΗΠΙΑΓΩΓΕΙΟ ΛΑΡΙΣΑ</t>
  </si>
  <si>
    <t>mail@16nip-laris.lar.sch.gr</t>
  </si>
  <si>
    <t>ΜΥΡΩΝ 2</t>
  </si>
  <si>
    <t>ΝΗΠΙΑΓΩΓΕΙΟ ΜΑΚΡΥΧΩΡΙΟΥ ΛΑΡΙΣΑΣ</t>
  </si>
  <si>
    <t>mail@nip-makrych.lar.sch.gr</t>
  </si>
  <si>
    <t>5ο ΝΗΠΙΑΓΩΓΕΙΟ ΤΥΡΝΑΒΟΥ</t>
  </si>
  <si>
    <t>mail@5nip-tyrnav.lar.sch.gr</t>
  </si>
  <si>
    <t>ΟΔΟΣ ΕΙΚΟΣΙ ΕΞΙ 30</t>
  </si>
  <si>
    <t>mail@dim-evdriou.lar.sch.gr</t>
  </si>
  <si>
    <t>ΕΥΥΔΡΙΟΥ ΛΟΦΟΥ</t>
  </si>
  <si>
    <t>3ο  ΝΗΠΙΑΓΩΓΕΙΟ ΓΙΑΝΝΟΥΛΗΣ</t>
  </si>
  <si>
    <t>mail@3nip-giann.lar.sch.gr</t>
  </si>
  <si>
    <t>ΕΡΓΑΤΙΚΕΣ ΚΑΤΟΙΚΙΕΣ ΓΙΑΝΝΟΥΛΗΣ</t>
  </si>
  <si>
    <t>2ο ΝΗΠΙΑΓΩΓΕΙΟ ΤΥΡΝΑΒΟΥ- ΑΓΙΟΣ ΓΕΩΡΓΙΟΣ</t>
  </si>
  <si>
    <t>mail@2nip-tyrnav.lar.sch.gr</t>
  </si>
  <si>
    <t>4ο ΝΗΠΙΑΓΩΓΕΙΟ ΤΥΡΝΑΒΟΣ</t>
  </si>
  <si>
    <t>mail@4nip-tyrnav.lar.sch.gr</t>
  </si>
  <si>
    <t>ΘΕΟΤΟΚΟΠΟΥΛΟΥ 10</t>
  </si>
  <si>
    <t>3ο ΝΗΠΙΑΓΩΓΕΙΟ ΤΥΡΝΑΒΟΣ</t>
  </si>
  <si>
    <t>mail@3nip-tyrnav.lar.sch.gr</t>
  </si>
  <si>
    <t>1ο ΝΗΠΙΑΓΩΓΕΙΟ ΤΥΡΝΑΒΟΣ</t>
  </si>
  <si>
    <t>mail@1nip-tyrnav.lar.sch.gr</t>
  </si>
  <si>
    <t>7ο ΝΗΠΙΑΓΩΓΕΙΟ ΤΥΡΝΑΒΟΣ</t>
  </si>
  <si>
    <t>mail@7nip-tyrnav.lar.sch.gr</t>
  </si>
  <si>
    <t>2ο ΝΗΠΙΑΓΩΓΕΙΟ ΓΙΑΝΝΟΥΛΗΣ</t>
  </si>
  <si>
    <t>mail@2nip-giann.lar.sch.gr</t>
  </si>
  <si>
    <t>ΣΤΑΔΙΟΥ 12</t>
  </si>
  <si>
    <t>1ο ΝΗΠΙΑΓΩΓΕΙΟ ΓΙΑΝΝΟΥΛΗΣ</t>
  </si>
  <si>
    <t>mail@1nip-giann.lar.sch.gr</t>
  </si>
  <si>
    <t>ΓΕΩΡΓΑΚΗ ΟΛΥΜΠΙΟΥ</t>
  </si>
  <si>
    <t>2ο ΝΗΠΙΑΓΩΓΕΙΟ ΑΜΠΕΛΩΝΑ</t>
  </si>
  <si>
    <t>mail@2nip-ampel.lar.sch.gr</t>
  </si>
  <si>
    <t>12ο ΝΗΠΙΑΓΩΓΕΙΟ ΛΑΡΙΣΑΣ</t>
  </si>
  <si>
    <t>mail@12nip-laris.lar.sch.gr</t>
  </si>
  <si>
    <t>6ο  ΝΗΠΙΑΓΩΓΕΙΟ ΤΥΡΝΑΒΟΣ</t>
  </si>
  <si>
    <t>mail@6nip-tyrnav.lar.sch.gr</t>
  </si>
  <si>
    <t>Δ. &amp; Α. ΒΟΓΙΑΤΖΗ</t>
  </si>
  <si>
    <t>mail@dim-makrych.lar.sch.gr</t>
  </si>
  <si>
    <t>ΔΗΜΟΤΙΚΟ ΣΧΟΛΕΙΟ ΡΟΔΙΑ</t>
  </si>
  <si>
    <t>mail@dim-rodias.lar.sch.gr</t>
  </si>
  <si>
    <t>ΡΟΔΙΑ ΤΥΡΝΑΒΟΥ</t>
  </si>
  <si>
    <t>ΔΗΜΟΤΙΚΟ ΣΧΟΛΕΙΟ ΛΟΥΤΡΟ ΕΛΑΣΣΟΝΑΣ</t>
  </si>
  <si>
    <t>mail@dim-loutr.lar.sch.gr</t>
  </si>
  <si>
    <t>mail@dim-vlach.lar.sch.gr</t>
  </si>
  <si>
    <t>1ο ΔΗΜΟΤΙΚΟ ΣΧΟΛΕΙΟ ΦΑΡΣΑΛΩΝ</t>
  </si>
  <si>
    <t>mail@1dim-farsal.lar.sch.gr</t>
  </si>
  <si>
    <t>ΜΑΥΡΟΓΙΩΡΓΟΥ 19</t>
  </si>
  <si>
    <t>mail@2dim-giann.lar.sch.gr</t>
  </si>
  <si>
    <t>3dimampel@sch.gr</t>
  </si>
  <si>
    <t>mail@4dim-tyrnav.lar.sch.gr</t>
  </si>
  <si>
    <t>mail@3dim-tyrnav.lar.sch.gr</t>
  </si>
  <si>
    <t>mail@2dim-elass.lar.sch.gr</t>
  </si>
  <si>
    <t>1ης  ΜΕΡΑΡΧΙΑΣ ΤΕΡΜΑ</t>
  </si>
  <si>
    <t>mail@20dim-laris.lar.sch.gr</t>
  </si>
  <si>
    <t>mail@1dim-kraneas.lar.sch.gr</t>
  </si>
  <si>
    <t>ΕΡΕΤΡΙΑΣ</t>
  </si>
  <si>
    <t>ΔΗΜΟΤΙΚΟ ΣΧΟΛΕΙΟ ΕΡΕΤΡΙΑΣ</t>
  </si>
  <si>
    <t>mail@dim-eretr.lar.sch.gr</t>
  </si>
  <si>
    <t>ΕΡΕΤΡΙΑ</t>
  </si>
  <si>
    <t>3ο ΔΗΜΟΤΙΚΟ ΣΧΟΛΕΙΟ ΕΛΑΣΣΟΝΑΣ</t>
  </si>
  <si>
    <t>mail@3dim-elass.lar.sch.gr</t>
  </si>
  <si>
    <t>ΟΙΚΟΝΟΜΟΥ</t>
  </si>
  <si>
    <t>mail@dim-kallith.lar.sch.gr</t>
  </si>
  <si>
    <t xml:space="preserve">Καλλιθέα </t>
  </si>
  <si>
    <t>Καλλιθέα Ελασσόνας</t>
  </si>
  <si>
    <t>mail@dim-livad.lar.sch.gr</t>
  </si>
  <si>
    <t>36ο ΔΗΜΟΤΙΚΟ ΣΧΟΛΕΙΟ ΛΑΡΙΣΑΣ</t>
  </si>
  <si>
    <t>mail@36dim-laris.lar.sch.gr</t>
  </si>
  <si>
    <t>mail@dim-vamvak.lar.sch.gr</t>
  </si>
  <si>
    <t>Βαμβακού</t>
  </si>
  <si>
    <t>Βαμβακού  Φαρσάλων</t>
  </si>
  <si>
    <t>ΝΗΠΙΑΓΩΓΕΙΟ ΣΤΑΥΡΟΣ ΓΗΓΕΝΩΝ</t>
  </si>
  <si>
    <t>mail@nip-stavrou.lar.sch.gr</t>
  </si>
  <si>
    <t>ΣΤΑΥΡΟΣ ΦΑΡΣΑΛΩΝ</t>
  </si>
  <si>
    <t>ΝΗΠΙΑΓΩΓΕΙΟ ΝΑΡΘΑΚΙ</t>
  </si>
  <si>
    <t>mail@nip-narth.lar.sch.gr</t>
  </si>
  <si>
    <t>ΝΑΡΘΑΚΙ</t>
  </si>
  <si>
    <t>ΝΗΠΙΑΓΩΓΕΙΟ ΜΕΓ. ΕΥΥΔΡΙΟΥ ΦΑΡΣΑΛΩΝ</t>
  </si>
  <si>
    <t>mail@nip-evydr.lar.sch.gr</t>
  </si>
  <si>
    <t>ΕΥΥΔΡΙΟ</t>
  </si>
  <si>
    <t>ΜΕΓΑΛΟ ΕΥΥΔΡΙΟ</t>
  </si>
  <si>
    <t>ΝΗΠΙΑΓΩΓΕΙΟ ΕΡΕΤΡΙΑΣ</t>
  </si>
  <si>
    <t>mail@nip-eretr.lar.sch.gr</t>
  </si>
  <si>
    <t>ΝΗΠΙΑΓΩΓΕΙΟ ΒΑΜΒΑΚΟΥΣ</t>
  </si>
  <si>
    <t>mail@nip-vamvak.lar.sch.gr</t>
  </si>
  <si>
    <t>mail@1dim-elass.lar.sch.gr</t>
  </si>
  <si>
    <t>ΑΝΩΝΥΜΗ ΟΔΟΣ ΜΕΤΑΞΥ ΜΑΥΡΟΔΗΜΟΥ ΚΑΙ ΚΙΜΩΝΟΣ</t>
  </si>
  <si>
    <t>mail@1dim-tsarits.lar.sch.gr</t>
  </si>
  <si>
    <t>Τσαριτσάνη</t>
  </si>
  <si>
    <t>Τσαριτσάνη Ελασσόνας</t>
  </si>
  <si>
    <t>31ο ΔΗΜΟΤΙΚΟ ΣΧΟΛΕΙΟ ΛΑΡΙΣΑΣ</t>
  </si>
  <si>
    <t>mail@31dim-laris.lar.sch.gr</t>
  </si>
  <si>
    <t>ΝΗΠΙΑΓΩΓΕΙΟ ΤΣΑΡΙΤΣΑΝΗΣ</t>
  </si>
  <si>
    <t>mail@1nip-tsarits.lar.sch.gr</t>
  </si>
  <si>
    <t>ΣΚΗΤΗΣ</t>
  </si>
  <si>
    <t>ΝΗΠΙΑΓΩΓΕΙΟ ΑΓΙΟΚΑΜΠΟΣ</t>
  </si>
  <si>
    <t>mail@nip-agiou.lar.sch.gr</t>
  </si>
  <si>
    <t>ΑΓΙΟΚΑΜΠΟΣ</t>
  </si>
  <si>
    <t>ΑΓΙΟΚΑΜΠΟΣ ΑΓΙΑΣ</t>
  </si>
  <si>
    <t>ΝΗΠΙΑΓΩΓΕΙΟ ΔΗΜΗΤΡΑΣ</t>
  </si>
  <si>
    <t>mail@nip-dhmhtr.lar.sch.gr</t>
  </si>
  <si>
    <t>mail@dim-gonnon.lar.sch.gr</t>
  </si>
  <si>
    <t>ΓΟΝΝΟΙ ΛΑΡΙΣΑΣ</t>
  </si>
  <si>
    <t>mail@38dim-laris.lar.sch.gr</t>
  </si>
  <si>
    <t>2ο ΔΗΜΟΤΙΚΟ ΣΧΟΛΕΙΟ ΑΜΠΕΛΩΝΑ</t>
  </si>
  <si>
    <t>mail@2dim-ampel.lar.sch.gr</t>
  </si>
  <si>
    <t>ΣΥΝΟΙΚΙΑ ΑΓΙΟΥ ΚΩΝΣΤΑΝΤΙΝΟΥ</t>
  </si>
  <si>
    <t>1ο ΕΙΔΙΚΟ ΔΗΜΟΤΙΚΟ ΣΧΟΛΕΙΟ ΛΑΡΙΣΑΣ ΓΙΑ ΠΑΙΔΙΑ ΜΕ ΔΙΑΧΥΤΕΣ ΑΝΑΠΤΥΞΙΑΚΕΣ ΔΙΑΤΑΡΑΧΕΣ</t>
  </si>
  <si>
    <t>mail@dim-eid-dad-laris.lar.sch.gr</t>
  </si>
  <si>
    <t>ΚΑΛΛΙΣΘΕΝΟΥΣ 25</t>
  </si>
  <si>
    <t>ΕΙΔΙΚΟ ΝΗΠΙΑΓΩΓΕΙΟ ΓΙΑΝΝΟΥΛΗ - ΕΙΔΙΚΟ ΝΗΠ. ΓΙΑΝΝΟΥΛΗΣ</t>
  </si>
  <si>
    <t>mail@nip-eid-giann.lar.sch.gr</t>
  </si>
  <si>
    <t>ΠΑΠΑΓΟΥ 45</t>
  </si>
  <si>
    <t>ΔΗΜΟΤΙΚΟ ΣΧΟΛΕΙΟ ΧΑΛΚΗΣ ΛΑΡΙΣΑΣ</t>
  </si>
  <si>
    <t>mail@dim-chalk.lar.sch.gr</t>
  </si>
  <si>
    <t>ΧΑΛΚΗ ΛΑΡΙΣΑΣ</t>
  </si>
  <si>
    <t>ΓΑΛΑΝΟΒΡΥΣΗΣ</t>
  </si>
  <si>
    <t>ΕΙΔΙΚΟ ΔΗΜΟΤΙΚΟ ΣΧΟΛΕΙΟ ΓΑΛΑΝΟΒΡΥΣΗ</t>
  </si>
  <si>
    <t>mail@dim-eid-galan.lar.sch.gr</t>
  </si>
  <si>
    <t>ΓΑΛΑΝΟΒΡΥΣΗ</t>
  </si>
  <si>
    <t>ΔΗΜΟΤΙΚΟ ΣΧΟΛΕΙΟ ΑΝΑΒΡΑΣ ΑΓΙΑΣ</t>
  </si>
  <si>
    <t>mail@dim-anavr.lar.sch.gr</t>
  </si>
  <si>
    <t>1ο  ΕΙΔΙΚΟ ΝΗΠΙΑΓΩΓΕΙΟ ΛΑΡΙΣΑΣ</t>
  </si>
  <si>
    <t>mail@1nip-eid-laris.lar.sch.gr</t>
  </si>
  <si>
    <t>ΜΟΥΣΩΝ</t>
  </si>
  <si>
    <t>ΕΙΔΙΚΟ ΝΗΠΙΑΓΩΓΕΙΟ ΓΙΑ ΠΑΙΔΙΑ ΜΕ ΔΙΑΧΥΤΕΣ ΑΝΑΠΤΥΞΙΑΚΕΣ ΔΙΑΤΑΡΑΧΕΣ (ΔΑΔ)</t>
  </si>
  <si>
    <t>mail@nip-eid-pdap.lar.sch.gr</t>
  </si>
  <si>
    <t>ΝΗΠΙΑΓΩΓΕΙΟ ΔΑΣΟΧΩΡΙΟΥ ΛΑΡΙΣΑΣ</t>
  </si>
  <si>
    <t>mail@nip-dasochor.lar.sch.gr</t>
  </si>
  <si>
    <t>ΔΑΣΟΧΩΡΙ</t>
  </si>
  <si>
    <t>ΝΗΠΙΑΓΩΓΕΙΟ ΑΓΙΟΙ ΑΝΑΡΓΥΡΟΙ</t>
  </si>
  <si>
    <t>mail@nip-ag-anarg.lar.sch.gr</t>
  </si>
  <si>
    <t>ΝΗΠΙΑΓΩΓΕΙΟ ΚΑΛΛΙΘΕΑΣ ΛΑΡΙΣΑΣ</t>
  </si>
  <si>
    <t>mail@nip-kallith.lar.sch.gr</t>
  </si>
  <si>
    <t>Ελασσόνας</t>
  </si>
  <si>
    <t>Καλλιθέα  Ολύμπου  Δήμος  Ελασσόνας</t>
  </si>
  <si>
    <t>ΝΗΠΙΑΓΩΓΕΙΟ ΚΑΛΟΧΩΡΙΟΥ ΛΑΡΙΣΑΣ</t>
  </si>
  <si>
    <t>mail@nip-kaloch.lar.sch.gr</t>
  </si>
  <si>
    <t>ΕΙΔΙΚΟ ΝΗΠΙΑΓΩΓΕΙΟ ΓΑΛΑΝΟΒΡΥΣΗ</t>
  </si>
  <si>
    <t>mail@nip-eid-galan.lar.sch.gr</t>
  </si>
  <si>
    <t>ΝΗΠΙΑΓΩΓΕΙΟ ΚΕΦΑΛΟΒΡΥΣΟ ΕΛΑΣΣΟΝΑΣ</t>
  </si>
  <si>
    <t>mail@nip-kefal.lar.sch.gr</t>
  </si>
  <si>
    <t>ΚΕΦΑΛΟΒΡΥΣΟ ΕΛΑΣΣΟΝΑΣ</t>
  </si>
  <si>
    <t>ΛΥΚΟΥΔΙΟΥ</t>
  </si>
  <si>
    <t>ΔΗΜΟΤΙΚΟ ΣΧΟΛΕΙΟ ΛΥΚΟΥΔΙΟΥ</t>
  </si>
  <si>
    <t>mail@dim-lykoud.lar.sch.gr</t>
  </si>
  <si>
    <t>ΛΥΚΟΥΔΙ</t>
  </si>
  <si>
    <t>44ο  ΔΗΜΟΤΙΚΟ ΣΧΟΛΕΙΟ ΛΑΡΙΣΑΣ</t>
  </si>
  <si>
    <t>mail@44dim-laris.lar.sch.gr</t>
  </si>
  <si>
    <t>ΑΓΙΑΣ ΛΑΥΡΑΣ 22</t>
  </si>
  <si>
    <t>61ο ΝΗΠΙΑΓΩΓΕΙΟ ΛΑΡΙΣΑΣ</t>
  </si>
  <si>
    <t>mail@61nip-laris.lar.sch.gr</t>
  </si>
  <si>
    <t>ΑΓΙΑΣ ΛΑΥΡΑΣ  22</t>
  </si>
  <si>
    <t>ΔΙΕΥΘΥΝΣΗ Π.Ε. ΜΑΓΝΗΣΙΑΣ</t>
  </si>
  <si>
    <t>7ο ΔΗΜΟΤΙΚΟ ΣΧΟΛΕΙΟ  ΝΕΑΣ ΙΩΝΙΑΣ</t>
  </si>
  <si>
    <t>mail@7dim-n-ionias.mag.sch.gr</t>
  </si>
  <si>
    <t>ΜΕΛΙΣΣΑΤΙΚΑ ΜΑΓΝΗΣΙΑΣ</t>
  </si>
  <si>
    <t>ΜΕΛΙΣΣΑΤΙΚΑ</t>
  </si>
  <si>
    <t>4ο ΔΗΜΟΤΙΚΟ ΣΧΟΛΕΙΟ   ΝΕΑΣ ΙΩΝΙΑΣ - ΚΑΤΣΙΡΕΛΟΣ ΠΑΝΑΓΙΩΤΗΣ</t>
  </si>
  <si>
    <t>mail@4dim-n-ionias.mag.sch.gr</t>
  </si>
  <si>
    <t>Ν.ΙΩΝΙΑ</t>
  </si>
  <si>
    <t>ΘΕΣΣΑΛΙΑΣ 2</t>
  </si>
  <si>
    <t>mail@8dim-n-ionias.mag.sch.gr</t>
  </si>
  <si>
    <t>ΤΕΡΜΑ ΚΥΡΙΛΛΟΥ</t>
  </si>
  <si>
    <t>ΕΙΔΙΚΟ ΔΗΜΟΤΙΚΟ ΣΧΟΛΕΙΟ ΙΔΡΥΜΑΤΟΣ ΑΓΩΓΗΣ ΑΝΗΛΙΚΩΝ</t>
  </si>
  <si>
    <t>mail@dim-eid-volou.mag.sch.gr</t>
  </si>
  <si>
    <t>Ν.ΙΩΝΙΑ - ΒΟΛΟΥ</t>
  </si>
  <si>
    <t>ΤΑΞΙΑΡΧΩΝ - ΑΝΑΠΑΥΣΕΩΣ 2</t>
  </si>
  <si>
    <t>2ο ΝΗΠΙΑΓΩΓΕΙΟ ΑΛΜΥΡΟΥ</t>
  </si>
  <si>
    <t>mail@2nip-almyr.mag.sch.gr</t>
  </si>
  <si>
    <t>ΤΕΡΜΑ ΑΓ.ΒΑΡΒΑΡΑΣ</t>
  </si>
  <si>
    <t>1ο ΝΗΠΙΑΓΩΓΕΙΟ ΑΛΜΥΡΟΥ</t>
  </si>
  <si>
    <t>mail@1nip-almyr.mag.sch.gr</t>
  </si>
  <si>
    <t>ΒΟΛΟΥ 6</t>
  </si>
  <si>
    <t>ΑΓΙΩΝ ΘΕΟΔΩΡΩΝ</t>
  </si>
  <si>
    <t>ΝΗΠΙΑΓΩΓΕΙΟ ΑΓΙΩΝ ΘΕΟΔΩΡΩΝ ΜΑΓΝΗΣΙΑΣ</t>
  </si>
  <si>
    <t>mail@nip-ag-theod.mag.sch.gr</t>
  </si>
  <si>
    <t>ΑΓΙΩΝ ΘΕΟΔΩΡΩΝ ΑΛΜΥΡΟΥ ΜΑΓΝΗΣΙΑΣ</t>
  </si>
  <si>
    <t>ΑΓΙΟΙ ΘΕΟΔΩΡΟΙ</t>
  </si>
  <si>
    <t>ΔΗΜΟΤΙΚΟ ΣΧΟΛΕΙΟ ΑΓ.ΘΕΟΔΩΡΩΝ</t>
  </si>
  <si>
    <t>mail@dim-ag-theod.mag.sch.gr</t>
  </si>
  <si>
    <t>ΑΓ. ΘΕΟΔΩΡOI ΑΛΜΥΡΟΥ ΜΑΓΝΗΣΙΑΣ</t>
  </si>
  <si>
    <t>ΑΓ.ΘΕΟΔΩΡΟΙ ΑΛΜΥΡΟΥ ΜΑΓΝΗΣΙΑΣ</t>
  </si>
  <si>
    <t>4ο ΝΗΠΙΑΓΩΓΕΙΟ ΑΛΜΥΡΟΥ</t>
  </si>
  <si>
    <t>mail@4nip-almyr.mag.sch.gr</t>
  </si>
  <si>
    <t>ΤΡ.ΑΡΓΥΡΟΠΟΥΛΟΥ</t>
  </si>
  <si>
    <t>22ο ΝΗΠΙΑΓΩΓΕΙΟ ΒΟΛΟΥ</t>
  </si>
  <si>
    <t>mail@22nip-volou.mag.sch.gr</t>
  </si>
  <si>
    <t>ΓΑΛΛΙΑΣ 132_Β</t>
  </si>
  <si>
    <t>mail@17dim-volou.mag.sch.gr</t>
  </si>
  <si>
    <t>ΚΩΝΣΤΑΝΤΙΝΟΥ ΒΑΡΝΑΛΗ 4</t>
  </si>
  <si>
    <t>4ο  ΝΗΠΙΑΓΩΓΕΙΟ ΒΟΛΟΥ</t>
  </si>
  <si>
    <t>mail@4nip-volou.mag.sch.gr</t>
  </si>
  <si>
    <t>ΓΙΑΝΝΗ ΔΗΜΟΥ - ΒΛΑΧΑΒΑ</t>
  </si>
  <si>
    <t>18ο  ΔΗΜΟΤΙΚΟ ΣΧΟΛΕΙΟ ΒΟΛΟΥ</t>
  </si>
  <si>
    <t>mail@18dim-volou.mag.sch.gr</t>
  </si>
  <si>
    <t>ΛΑΡΙΣΗΣ - ΜΙΑΟΥΛΗ 4</t>
  </si>
  <si>
    <t>21ο ΝΗΠΙΑΓΩΓΕΙΟ ΒΟΛΟΥ</t>
  </si>
  <si>
    <t>mail@21nip-volou.mag.sch.gr</t>
  </si>
  <si>
    <t>ΠΕΡΣΕΩΣ 6</t>
  </si>
  <si>
    <t>5ο ΝΗΠΙΑΓΩΓΕΙΟ ΒΟΛΟΥ</t>
  </si>
  <si>
    <t>mail@5nip-volou.mag.sch.gr</t>
  </si>
  <si>
    <t>ΟΓΛ-ΕΘΝΙΚΗΣ ΑΝΤΙΣΤΑΣΕΩΣ</t>
  </si>
  <si>
    <t>17ο ΝΗΠΙΑΓΩΓΕΙΟ ΒΟΛΟΥ</t>
  </si>
  <si>
    <t>mail@17nip-volou.mag.sch.gr</t>
  </si>
  <si>
    <t>ΝΙΚΟΤΣΑΡΑ - Β. ΚΑΤΡΑΚΗ</t>
  </si>
  <si>
    <t>ΕΙΔΙΚΟ ΔΗΜΟΤΙΚΟ ΣΧΟΛΕΙΟ ΑΛΜΥΡΟΥ</t>
  </si>
  <si>
    <t>mail@dim-eid-almyr.mag.sch.gr</t>
  </si>
  <si>
    <t>ΦΙΛΕΛΛΗΝΩΝ ΚΑΙ ΟΠΛΑΡΧΗΓΟΥ ΒΕΛΕΝΤΖΑ</t>
  </si>
  <si>
    <t>2ο ΔΗΜΟΤΙΚΟ ΣΧΟΛΕΙΟ ΜΟΥΡΕΣΙΟΥ - ΑΓΙΟΥ ΔΗΜΗΤΡΙΟΥ ΑΝΗΛΙΟΥ ΚΙΣΣΟΥ</t>
  </si>
  <si>
    <t>mail@2dim-moures.mag.sch.gr</t>
  </si>
  <si>
    <t>ΜΑΚΡΥΡΡΑΧΗΣ</t>
  </si>
  <si>
    <t>2ο ΔΗΜΟΤΙΚΟ ΣΧΟΛΕΙΟ ΖΑΓΟΡΑΣ-ΜΑΚΡΥΡΑΧΗΣ</t>
  </si>
  <si>
    <t>mail@2dim-zagor.mag.sch.gr</t>
  </si>
  <si>
    <t>ΜΑΚΡΥΡΑΧΗ</t>
  </si>
  <si>
    <t>mail@1dim-mileon.mag.sch.gr</t>
  </si>
  <si>
    <t>ΜΗΛΕΩΝ ΔΗΜΟΥ ΝΟΤΙΟΥ ΠΗΛΙΟΥ</t>
  </si>
  <si>
    <t>ΑΙΣΩΝΙΑΣ</t>
  </si>
  <si>
    <t>ΣΕΣΚΛΟΥ</t>
  </si>
  <si>
    <t>3ο ΔΗΜΟΤΙΚΟ ΣΧΟΛΕΙΟ ΑΙΣΩΝΙΑΣ-ΣΕΣΚΛΟΥ</t>
  </si>
  <si>
    <t>mail@3dim-aison.mag.sch.gr</t>
  </si>
  <si>
    <t>ΑΙΣΩΝΙΑ-ΣΕΣΚΛΟ</t>
  </si>
  <si>
    <t>ΣΕΣΚΛΟ</t>
  </si>
  <si>
    <t>mail@dim-pteleou.mag.sch.gr</t>
  </si>
  <si>
    <t>Πτελεός</t>
  </si>
  <si>
    <t>14ο ΔΗΜΟΤΙΚΟ ΣΧΟΛΕΙΟ ΒΟΛΟΥ</t>
  </si>
  <si>
    <t>mail@14dim-volou.mag.sch.gr</t>
  </si>
  <si>
    <t>ΑΘ.ΔΙΑΚΟΥ 161</t>
  </si>
  <si>
    <t>ΔΙΜΗΝΙΟΥ</t>
  </si>
  <si>
    <t>1ο ΔΗΜΟΤΙΚΟ ΣΧΟΛΕΙΟ ΑΙΣΩΝΙΑΣ-ΔΙΜΗΝΙΟΥ</t>
  </si>
  <si>
    <t>mail@1dim-dimin.mag.sch.gr</t>
  </si>
  <si>
    <t>ΔΙΜΗΝΙ</t>
  </si>
  <si>
    <t>ΔΙΜΗΝΙΟΥ-ΑΡΓΟΝΑΥΤΩΝ</t>
  </si>
  <si>
    <t>2dimnagch@sch.gr</t>
  </si>
  <si>
    <t>ΝΕΑ ΑΓΧΙΑΛΟΣ</t>
  </si>
  <si>
    <t>ΕΛΛΗΝΙΚΗΣ ΑΕΡΟΠΟΡΙΑΣ 62</t>
  </si>
  <si>
    <t>19ο ΝΗΠΙΑΓΩΓΕΙΟ ΒΟΛΟΥ</t>
  </si>
  <si>
    <t>mail@19nip-volou.mag.sch.gr</t>
  </si>
  <si>
    <t>ΓΑΜΒΕΤΑ-ΓΑΛΛΙΑΣ 86</t>
  </si>
  <si>
    <t>9ο ΔΗΜΟΤΙΚΟ ΣΧΟΛΕΙΟ ΒΟΛΟΥ</t>
  </si>
  <si>
    <t>mail@9dim-volou.mag.sch.gr</t>
  </si>
  <si>
    <t>ΛΗΜΝΟΥ 21</t>
  </si>
  <si>
    <t>2ο ΔΗΜΟΤΙΚΟ ΣΧΟΛΕΙΟ ΑΛΜΥΡΟΥ</t>
  </si>
  <si>
    <t>mail@2dim-almyr.mag.sch.gr</t>
  </si>
  <si>
    <t>ΚΟΡΑΗ 7</t>
  </si>
  <si>
    <t>29ο ΝΗΠΙΑΓΩΓΕΙΟ ΒΟΛΟΥ</t>
  </si>
  <si>
    <t>mail@29nip-volou.mag.sch.gr</t>
  </si>
  <si>
    <t>ΓΑΛΛΙΑΣ-ΓΑΜΒΕΤΑ 86</t>
  </si>
  <si>
    <t>4ο ΔΗΜΟΤΙΚΟ ΣΧΟΛΕΙΟ ΒΟΛΟΥ</t>
  </si>
  <si>
    <t>mail@4dim-volou.mag.sch.gr</t>
  </si>
  <si>
    <t>ΚΑΝΑΡΗ 42-44</t>
  </si>
  <si>
    <t>21ο ΔΗΜΟΤΙΚΟ ΣΧΟΛΕΙΟ ΒΟΛΟΥ</t>
  </si>
  <si>
    <t>mail@21dim-volou.mag.sch.gr</t>
  </si>
  <si>
    <t>ΟΡΜΙΝΙΟΥ 17</t>
  </si>
  <si>
    <t>30ο ΔΗΜΟΤΙΚΟ ΣΧΟΛΕΙΟ ΒΟΛΟΥ</t>
  </si>
  <si>
    <t>mail@30dim-volou.mag.sch.gr</t>
  </si>
  <si>
    <t>ΟΡΦΑΝΟΤΡΟΦΕΙΟΥ 4</t>
  </si>
  <si>
    <t>ΔΗΜΟΤΙΚΟ ΣΧΟΛΕΙΟ ΠΛΑΤΑΝΟΥ ΜΑΓΝΗΣΙΑΣ</t>
  </si>
  <si>
    <t>mail@dim-platan.mag.sch.gr</t>
  </si>
  <si>
    <t>4ο ΝΗΠΙΑΓΩΓΕΙΟ  ΝΕΑΣ ΙΩΝΙΑΣ</t>
  </si>
  <si>
    <t>mail@4nip-n-ionias.mag.sch.gr</t>
  </si>
  <si>
    <t>Ν.ΙΩΝΙΑΣ</t>
  </si>
  <si>
    <t>ΧΡ.ΛΟΥΛΗ ΚΑΙ ΓΑΝΟΧΩΡΑΣ</t>
  </si>
  <si>
    <t>6ο ΔΗΜΟΤΙΚΟ ΣΧΟΛΕΙΟ ΒΟΛΟΥ</t>
  </si>
  <si>
    <t>mail@6dim-volou.mag.sch.gr</t>
  </si>
  <si>
    <t>Βόλος</t>
  </si>
  <si>
    <t>ΓΑΛΛΙΑΣ-ΓΑΜΒΕΤΑ</t>
  </si>
  <si>
    <t>15ο ΔΗΜΟΤΙΚΟ ΣΧΟΛΕΙΟ ΒΟΛΟΥ</t>
  </si>
  <si>
    <t>mail@15dim-volou.mag.sch.gr</t>
  </si>
  <si>
    <t>ΔΑΒΑΚΗ  76</t>
  </si>
  <si>
    <t>6ο ΝΗΠΙΑΓΩΓΕΙΟ  Ν.ΙΩΝΙΑΣ</t>
  </si>
  <si>
    <t>mail@6nip-n-ionias.mag.sch.gr</t>
  </si>
  <si>
    <t>ΑΓΓΕΛΕΤΟΥ-ΕΥΣΤΑΘΙΑΔΗ</t>
  </si>
  <si>
    <t>15ο ΝΗΠΙΑΓΩΓΕΙΟ ΒΟΛΟΥ</t>
  </si>
  <si>
    <t>mail@15nip-volou.mag.sch.gr</t>
  </si>
  <si>
    <t>ΑΛ.ΠΑΝΑΓΟΥΛΗ 28</t>
  </si>
  <si>
    <t>33ο ΝΗΠΙΑΓΩΓΕΙΟ ΒΟΛΟΥ</t>
  </si>
  <si>
    <t>mail@33nip-volou.mag.sch.gr</t>
  </si>
  <si>
    <t>ΣΤΑΘΑ  101</t>
  </si>
  <si>
    <t>18ο ΝΗΠΙΑΓΩΓΕΙΟ ΒΟΛΟΥ</t>
  </si>
  <si>
    <t>mail@18nip-volou.mag.sch.gr</t>
  </si>
  <si>
    <t>ΓΑΛΛΙΑΣ -ΟΓΛ 54</t>
  </si>
  <si>
    <t>11ο ΝΗΠΙΑΓΩΓΕΙΟ  ΝΕΑΣ ΙΩΝΙΑΣ</t>
  </si>
  <si>
    <t>mail@11nip-n-ionias.mag.sch.gr</t>
  </si>
  <si>
    <t>Ε. ΓΚΛΑΒΑΝΗ 7</t>
  </si>
  <si>
    <t>4ο ΔΗΜΟΤΙΚΟ ΣΧΟΛΕΙΟ ΑΛΜΥΡΟΥ</t>
  </si>
  <si>
    <t>mail@4dim-almyr.mag.sch.gr</t>
  </si>
  <si>
    <t>ΒΟΛΟΥ 4</t>
  </si>
  <si>
    <t>2ο ΝΗΠΙΑΓΩΓΕΙΟ ΒΟΛΟΥ</t>
  </si>
  <si>
    <t>mail@2nip-volou.mag.sch.gr</t>
  </si>
  <si>
    <t>ΟΓΛ -ΕΘΝΙΚΗΣ ΑΝΤΙΣΤΑΣΕΩΣ</t>
  </si>
  <si>
    <t>11ο ΔΗΜΟΤΙΚΟ ΣΧΟΛΕΙΟ ΒΟΛΟΥ</t>
  </si>
  <si>
    <t>mail@11dim-volou.mag.sch.gr</t>
  </si>
  <si>
    <t>ΡΟΖΟΥ 57</t>
  </si>
  <si>
    <t>25ο ΝΗΠΙΑΓΩΓΕΙΟ ΒΟΛΟΥ</t>
  </si>
  <si>
    <t>mail@25nip-volou.mag.sch.gr</t>
  </si>
  <si>
    <t>ΔΑΒΑΚΗ 76</t>
  </si>
  <si>
    <t>ΑΧΙΛΛΕΙΟΥ</t>
  </si>
  <si>
    <t>ΔΗΜΟΤΙΚΟ ΣΧΟΛΕΙΟ ΑΧΙΛΛΕΙΟΥ</t>
  </si>
  <si>
    <t>mail@dim-achill.mag.sch.gr</t>
  </si>
  <si>
    <t>ΑΧΙΛΛΕΙΟ</t>
  </si>
  <si>
    <t>3ο ΝΗΠΙΑΓΩΓΕΙΟ ΑΙΣΩΝΙΑΣ-ΣΕΣΚΛΟΥ</t>
  </si>
  <si>
    <t>mail@3nip-aison.mag.sch.gr</t>
  </si>
  <si>
    <t>ΑΙΣΩΝΙΑΣ-ΣΕΣΚΛΟΥ</t>
  </si>
  <si>
    <t>2ο ΝΗΠΙΑΓΩΓΕΙΟ ΝΕΑΣ ΑΓΧΙΑΛΟΥ</t>
  </si>
  <si>
    <t>mail@2nip-n-agchial.mag.sch.gr</t>
  </si>
  <si>
    <t>ΑΜΥΡΑ 5</t>
  </si>
  <si>
    <t>1ο ΕΙΔΙΚΟ ΔΗΜΟΤΙΚΟ ΣΧΟΛΕΙΟ ΒΟΛΟY - ΟΙ ΚΕΝΤΑΥΡΟΙ</t>
  </si>
  <si>
    <t>mail@1dim-eid-volou.mag.sch.gr</t>
  </si>
  <si>
    <t>ΕΛ.ΒΕΝΙΖΕΛΟΥ ΤΕΡΜΑ 105</t>
  </si>
  <si>
    <t>ΕΛ.ΒΕΝΙΖΕΛΟΥ ΤΕΡΜΑ</t>
  </si>
  <si>
    <t>1ο ΔΗΜΟΤΙΚΟ ΣΧΟΛΕΙΟ  ΝΕΑΣ ΙΩΝΙΑΣ</t>
  </si>
  <si>
    <t>mail@1dim-n-ionias.mag.sch.gr</t>
  </si>
  <si>
    <t>ΜΑΙΑΝΔΡΟΥ 36</t>
  </si>
  <si>
    <t>1ο ΝΗΠΙΑΓΩΓΕΙΟ ΝΕΑ ΑΓΧΙΑΛΟΣ</t>
  </si>
  <si>
    <t>mail@1nip-n-agchial.mag.sch.gr</t>
  </si>
  <si>
    <t>ΕΛ. ΒΕΝΙΖΕΛΟΥ 2</t>
  </si>
  <si>
    <t>mail@dimefxein.mag.sch.gr</t>
  </si>
  <si>
    <t>ΕΥΞΕΙΝΟΥΠΟΛΗ</t>
  </si>
  <si>
    <t>ΗΡΩΩΝ ΠΟΛΥΤΕΧΝΕΙΟΥ 56</t>
  </si>
  <si>
    <t>ΝΗΠΙΑΓΩΓΕΙΟ ΠΤΕΛΕΟΥ</t>
  </si>
  <si>
    <t>mail@nip-pteleou.mag.sch.gr</t>
  </si>
  <si>
    <t>ΝΗΠΙΑΓΩΓΕΙΟ ΠΛΑΤΑΝΟΥ ΜΑΓΝΗΣΙΑΣ</t>
  </si>
  <si>
    <t>mail@nip-platan.mag.sch.gr</t>
  </si>
  <si>
    <t>ΜΥΡΜΙΔΟΝΩΝ ΚΑΙ ΑΧΙΛΛΕΩΣ</t>
  </si>
  <si>
    <t>ΚΡΟΚΙΟΥ</t>
  </si>
  <si>
    <t>ΝΗΠΙΑΓΩΓΕΙΟ ΑΕΡΟΔΡΟΜΙΟΥ</t>
  </si>
  <si>
    <t>mail@nip-aerodrom.mag.sch.gr</t>
  </si>
  <si>
    <t>ΑΕΡΟΔΡΟΜΙΟΥ</t>
  </si>
  <si>
    <t>ΑΕΡΟΔΡΟΜΙΟ 111  ΠΜ.</t>
  </si>
  <si>
    <t>ΑΜΑΛΙΑΠΟΛΕΩΣ</t>
  </si>
  <si>
    <t>ΔΗΜΟΤΙΚΟ ΣΧΟΛΕΙΟ ΑΜΑΛΙΑΠΟΛΗΣ</t>
  </si>
  <si>
    <t>mail@dim-amaliap.mag.sch.gr</t>
  </si>
  <si>
    <t>ΑΜΑΛΙΑΠΟΛΗΣ</t>
  </si>
  <si>
    <t>ΑΜΑΛΙΑΠΟΛΗ</t>
  </si>
  <si>
    <t>ΝΗΠΙΑΓΩΓΕΙΟ ΑΜΑΛΙΑΠΟΛΗΣ</t>
  </si>
  <si>
    <t>mail@nip-amaliap.mag.sch.gr</t>
  </si>
  <si>
    <t>mail@9dim-n-ionias.mag.sch.gr</t>
  </si>
  <si>
    <t>ΧΡΥΣΟΣΤΟΜΟΥ ΣΜΥΡΝΗΣ 25</t>
  </si>
  <si>
    <t>ΝΗΠΙΑΓΩΓΕΙΟ ΑΧΙΛΛΕΙΟΥ</t>
  </si>
  <si>
    <t>mail@nip-achill.mag.sch.gr</t>
  </si>
  <si>
    <t>2ο ΔΗΜΟΤΙΚΟ ΣΧΟΛΕΙΟ  ΝΕΑΣ ΙΩΝΙΑΣ</t>
  </si>
  <si>
    <t>mail@2dim-n-ionias.mag.sch.gr</t>
  </si>
  <si>
    <t>12ο ΝΗΠΙΑΓΩΓΕΙΟ   ΝΕΑΣ ΙΩΝΙΑΣ</t>
  </si>
  <si>
    <t>mail@12nip-n-ionias.mag.sch.gr</t>
  </si>
  <si>
    <t>5ο ΝΗΠΙΑΓΩΓΕΙΟ ΦΕΡΩΝ-ΧΛΟΗΣ</t>
  </si>
  <si>
    <t>mail@5nip-feron.mag.sch.gr</t>
  </si>
  <si>
    <t>ΦΕΡΩΝ-ΧΛΟΗΣ</t>
  </si>
  <si>
    <t>ΚΛΗΜΑΤΟΣ</t>
  </si>
  <si>
    <t>4ο ΝΗΠΙΑΓΩΓΕΙΟ ΣΚΟΠΕΛΟΥ-ΚΛΗΜΑΤΟΣ</t>
  </si>
  <si>
    <t>mail@4nip-skopel.mag.sch.gr</t>
  </si>
  <si>
    <t>ΣΚΟΠΕΛΟΥ-ΚΛΗΜΑΤΟΣ</t>
  </si>
  <si>
    <t>ΚΛΗΜΑ-ΣΚΟΠΕΛΟΥ</t>
  </si>
  <si>
    <t>1ο ΝΗΠΙΑΓΩΓΕΙΟ ΕΥΞΕΙΝΟΥΠΟΛΗΣ</t>
  </si>
  <si>
    <t>mail@nip-efxin.mag.sch.gr</t>
  </si>
  <si>
    <t>ΕΥΞΕΙΝΟΥΠΟΛΗΣ</t>
  </si>
  <si>
    <t>ΑΛ. ΥΨΗΛΑΝΤH- Μ.ΑΣΙΑΣ</t>
  </si>
  <si>
    <t>ΣΗΠΙΑΔΟΣ</t>
  </si>
  <si>
    <t>ΠΡΟΜΥΡΙΟΥ</t>
  </si>
  <si>
    <t>2ο ΔΗΜΟΤΙΚΟ ΣΧΟΛΕΙΟ ΣΗΠΙΑΔΟΣ-ΠΡΟΜΥΡΙΟΥ</t>
  </si>
  <si>
    <t>mail@2dim-sipiad.mag.sch.gr</t>
  </si>
  <si>
    <t>ΠΡΟΜΥΡΙ</t>
  </si>
  <si>
    <t>26ο ΝΗΠΙΑΓΩΓΕΙΟ ΒΟΛΟΥ</t>
  </si>
  <si>
    <t>mail@26nip-volou.mag.sch.gr</t>
  </si>
  <si>
    <t>ΠΑΓΑΣΩΝ &amp; ΑΝΑΛΗΨΕΩΣ</t>
  </si>
  <si>
    <t>6ο ΝΗΠΙΑΓΩΓΕΙΟ ΒΟΛΟΥ</t>
  </si>
  <si>
    <t>mail@6nip-volou.mag.sch.gr</t>
  </si>
  <si>
    <t>ΠΑΓΑΣΩΝ ΚΑΙ ΑΝΑΛΗΨΕΩΣ</t>
  </si>
  <si>
    <t>7ο ΝΗΠΙΑΓΩΓΕΙΟ ΒΟΛΟΥ</t>
  </si>
  <si>
    <t>mail@7nip-volou.mag.sch.gr</t>
  </si>
  <si>
    <t>10ο ΝΗΠΙΑΓΩΓΕΙΟ ΒΟΛΟΥ</t>
  </si>
  <si>
    <t>mail@10nip-volou.mag.sch.gr</t>
  </si>
  <si>
    <t>ΛΑΡΙΣΗΣ - ΜΙΑΟΥΛΗ 2</t>
  </si>
  <si>
    <t>16ο ΝΗΠΙΑΓΩΓΕΙΟ   ΝΕΑΣ ΙΩΝΙΑΣ</t>
  </si>
  <si>
    <t>mail@16nip-n-ionias.mag.sch.gr</t>
  </si>
  <si>
    <t>ΜΑΓΝΗΣΙΑΣ 15-17</t>
  </si>
  <si>
    <t>13ο ΝΗΠΙΑΓΩΓΕΙΟ ΒΟΛΟΥ</t>
  </si>
  <si>
    <t>mail@13nip-volou.mag.sch.gr</t>
  </si>
  <si>
    <t>27ο ΝΗΠΙΑΓΩΓΕΙΟ ΒΟΛΟΥ</t>
  </si>
  <si>
    <t>mail@27nip-volou.mag.sch.gr</t>
  </si>
  <si>
    <t>ΒΑΣΣΑΝΗ  69</t>
  </si>
  <si>
    <t>mail@dim-triker.mag.sch.gr</t>
  </si>
  <si>
    <t>mail@3dim-almyr.mag.sch.gr</t>
  </si>
  <si>
    <t>ΠΑΥΛΟΥ ΜΕΛΑ 9</t>
  </si>
  <si>
    <t>5ο ΝΗΠΙΑΓΩΓΕΙΟ   ΝΕΑΣ  ΙΩΝΙΑΣ</t>
  </si>
  <si>
    <t>mail@5nip-n-ionias.mag.sch.gr</t>
  </si>
  <si>
    <t>14ο ΝΗΠΙΑΓΩΓΕΙΟ  ΝΕΑΣ ΙΩΝΙΑΣ</t>
  </si>
  <si>
    <t>mail@14nip-n-ionias.mag.sch.gr</t>
  </si>
  <si>
    <t>ΘΡΑΚΗΣ 112</t>
  </si>
  <si>
    <t>4ο ΝΗΠΙΑΓΩΓΕΙΟ ΖΑΓΟΡΑΣ-ΜΑΚΡΥΡΑΧΗΣ</t>
  </si>
  <si>
    <t>mail@4nip-zagor.mag.sch.gr</t>
  </si>
  <si>
    <t>ΖΑΓΟΡΑΣ-ΜΑΚΡΥΡΑΧΗΣ</t>
  </si>
  <si>
    <t>10o  ΝΗΠΙΑΓΩΓΕΙΟ  ΝΕΑΣ ΙΩΝΙΑΣ</t>
  </si>
  <si>
    <t>mail@10nip-n-ionias.mag.sch.gr</t>
  </si>
  <si>
    <t>2ο  ΕΙΔΙΚΟ ΔΗΜΟΤΙΚΟ ΣΧΟΛΕΙΟ ΒΟΛΟY</t>
  </si>
  <si>
    <t>mail@2dim-eid-volou.mag.sch.gr</t>
  </si>
  <si>
    <t>ΜΕΤΑΜΟΡΦΩΣΕΩΣ 193</t>
  </si>
  <si>
    <t>13ο ΝΗΠΙΑΓΩΓΕΙΟ  ΝΕΑΣ ΙΩΝΙΑΣ</t>
  </si>
  <si>
    <t>mail@13nip-n-ionias.mag.sch.gr</t>
  </si>
  <si>
    <t>ΝΕΑΣ ΙΩΝΙΑ</t>
  </si>
  <si>
    <t>ΜΗΤΣΟΥ ΠΑΠΑΡΗΓΑ 32</t>
  </si>
  <si>
    <t>11ο ΝΗΠΙΑΓΩΓΕΙΟ ΒΟΛΟΥ</t>
  </si>
  <si>
    <t>mail@11nip-volou.mag.sch.gr</t>
  </si>
  <si>
    <t>ΜΕΤΑΜΟΡΦΩΣΕΩΣ 52</t>
  </si>
  <si>
    <t>ΚΙΣΣΟΥ</t>
  </si>
  <si>
    <t>ΝΗΠΙΑΓΩΓΕΙΟ ΑΓ.ΔΗΜΗΤΡΙΟΥ-ΑΝΗΛΙΟΥ-ΚΙΣΣΟΥ</t>
  </si>
  <si>
    <t>mail@5nip-moures.mag.sch.gr</t>
  </si>
  <si>
    <t>ΑΓ.ΔΗΜΗΤΡΙΟΥ-ΑΝΗΛΙΟΥ-ΚΙΣΣΟΥ</t>
  </si>
  <si>
    <t>ΚΙΣΣΟΣ</t>
  </si>
  <si>
    <t>mail@10dim-n-ionias.mag.sch.gr</t>
  </si>
  <si>
    <t>5ο ΔΗΜΟΤΙΚΟ ΣΧΟΛΕΙΟ  ΝΕΑΣ ΙΩΝΙΑΣ</t>
  </si>
  <si>
    <t>mail@5dim-neasionias.mag.sch.gr</t>
  </si>
  <si>
    <t>ΜΑΙΑΝΔΡΟΥ 119</t>
  </si>
  <si>
    <t>ΠΟΡΤΑΡΙΑΣ</t>
  </si>
  <si>
    <t>ΑΛΛΗΣ ΜΕΡΙΑΣ</t>
  </si>
  <si>
    <t>ΔΗΜΟΤΙΚΟ ΣΧΟΛΕΙΟ ΑΛΛΗΣ ΜΕΡΙΑΣ</t>
  </si>
  <si>
    <t>mail@2dim-portar.mag.sch.gr</t>
  </si>
  <si>
    <t>ΑΛΛΗ ΜΕΡΙΑ</t>
  </si>
  <si>
    <t>Ιάσονος 4</t>
  </si>
  <si>
    <t>ΑΦΕΤΩΝ</t>
  </si>
  <si>
    <t>1ο ΝΗΠΙΑΓΩΓΕΙΟ ΑΦΕΤΩΝ -ΝΕΟΧΩΡΙΟΥ</t>
  </si>
  <si>
    <t>mail@1nip-afeton.mag.sch.gr</t>
  </si>
  <si>
    <t>ΑΦΕΤΩΝ -ΝΕΟΧΩΡΙΟΥ</t>
  </si>
  <si>
    <t>1ο ΝΗΠΙΑΓΩΓΕΙΟ ΦΕΡΩΝ-ΒΕΛΕΣΤΙΝΟΥ</t>
  </si>
  <si>
    <t>mail@1nip-feron.mag.sch.gr</t>
  </si>
  <si>
    <t>ΦΕΡΩΝ-ΒΕΛΕΣΤΙΝΟΥ</t>
  </si>
  <si>
    <t>ΣΥΚΗΣ</t>
  </si>
  <si>
    <t>2ο ΝΗΠΙΑΓΩΓΕΙΟ ΑΦΕΤΩΝ-ΣΥΚΗΣ</t>
  </si>
  <si>
    <t>mail@2nip-afeton.mag.sch.gr</t>
  </si>
  <si>
    <t>ΑΦΕΤΩΝ-ΣΥΚΗΣ</t>
  </si>
  <si>
    <t>ΣΥΚΗ</t>
  </si>
  <si>
    <t>2ο ΝΗΠΙΑΓΩΓΕΙΟ ΜΟΥΡΕΣΙΟΥ-ΞΟΥΡΙΧΤΙΟΥ-ΤΣΑΓΚΑΡΑΔΑΣ</t>
  </si>
  <si>
    <t>mail@2nip-moures.mag.sch.gr</t>
  </si>
  <si>
    <t>ΜΟΥΡΕΣΙΟΥ-ΞΟΥΡΙΧΤΙΟΥ-ΤΣΑΓΚΑΡΑΔΑΣ</t>
  </si>
  <si>
    <t>ΜΟΥΡΕΣΙ</t>
  </si>
  <si>
    <t>11ο ΔΗΜΟΤΙΚΟ ΣΧΟΛΕΙΟ  ΝΕΑΣ  ΙΩΝΙΑΣ</t>
  </si>
  <si>
    <t>mail@11dim-n-ionias.mag.sch.gr</t>
  </si>
  <si>
    <t>ΜΗΛΙΝΗΣ</t>
  </si>
  <si>
    <t>3ο ΝΗΠΙΑΓΩΓΕΙΟ ΣΗΠΙΑΔΟΣ-ΜΗΛΙΝΑΣ</t>
  </si>
  <si>
    <t>mail@3nip-sipiad.mag.sch.gr</t>
  </si>
  <si>
    <t>ΣΗΠΙΑΔΟΣ-ΜΗΛΙΝΑΣ</t>
  </si>
  <si>
    <t>ΜΗΛΙΝΑ</t>
  </si>
  <si>
    <t>3ο ΔΗΜΟΤΙΚΟ ΣΧΟΛΕΙΟ ΒΟΛΟΥ</t>
  </si>
  <si>
    <t>mail@3dim-volou.mag.sch.gr</t>
  </si>
  <si>
    <t>ΓΑΛΛΙΑΣ 54</t>
  </si>
  <si>
    <t>ΝΗΠΙΑΓΩΓΕΙΟ ΣΟΥΡΠΗ</t>
  </si>
  <si>
    <t>mail@nip-sourp.mag.sch.gr</t>
  </si>
  <si>
    <t>ΣΟΥΡΠΗ</t>
  </si>
  <si>
    <t>9ο ΝΗΠΙΑΓΩΓΕΙΟ ΒΟΛΟΥ</t>
  </si>
  <si>
    <t>mail@9nip-volou.mag.sch.gr</t>
  </si>
  <si>
    <t>5dimalmyr@sch.gr</t>
  </si>
  <si>
    <t>ΑΓΙΑΣ ΒΑΡΒΑΡΑΣ (ΤΕΡΜΑ)</t>
  </si>
  <si>
    <t>8ο ΝΗΠΙΑΓΩΓΕΙΟ  ΝΕΑΣ ΙΩΝΙΑΣ</t>
  </si>
  <si>
    <t>mail@8nip-n-ionias.mag.sch.gr</t>
  </si>
  <si>
    <t>ΤΕΡΜΑ ΒΕΝΙΖΕΛΟΥ</t>
  </si>
  <si>
    <t>ΡΙΖΟΜΥΛΟΥ</t>
  </si>
  <si>
    <t>2ο ΔΗΜΟΤΙΚΟ ΣΧΟΛΕΙΟ ΚΑΡΛΑΣ - ΡΙΖΟΜΥΛΟΥ</t>
  </si>
  <si>
    <t>mail@2dim-karlas.mag.sch.gr</t>
  </si>
  <si>
    <t>ΡΙΖΟΜΥΛΟΣ</t>
  </si>
  <si>
    <t>ΝΗΠΙΑΓΩΓΕΙΟ  ΑΛΛΗΣ ΜΕΡΙΑΣ</t>
  </si>
  <si>
    <t>mail@2nip-portar.mag.sch.gr</t>
  </si>
  <si>
    <t>35ο ΝΗΠΙΑΓΩΓΕΙΟ ΒΟΛΟΥ</t>
  </si>
  <si>
    <t>mail@35nip-volou.mag.sch.gr</t>
  </si>
  <si>
    <t>Αναξαγόρα με Πούλιου</t>
  </si>
  <si>
    <t>ΠΟΥΡΙΟΥ</t>
  </si>
  <si>
    <t>3ο ΔΗΜΟΤΙΚΟ ΣΧΟΛΕΙΟ ΖΑΓΟΡΑΣ-ΠΟΥΡΙΟΥ</t>
  </si>
  <si>
    <t>mail@3dim-zagor.mag.sch.gr</t>
  </si>
  <si>
    <t>ΠΟΥΡΙ</t>
  </si>
  <si>
    <t>1ο ΝΗΠΙΑΓΩΓΕΙΟ ΑΓΡΙΑΣ</t>
  </si>
  <si>
    <t>mail@1nip-agrias.mag.sch.gr</t>
  </si>
  <si>
    <t>ΝΙΚ. ΛΟΑΡΗ-ΟΜΠΙΛΙΤΣ</t>
  </si>
  <si>
    <t>ΔΡΑΚΕΙΑΣ</t>
  </si>
  <si>
    <t>3ο ΝΗΠΙΑΓΩΓΕΙΟ ΑΓΡΙΑΣ-ΔΡΑΚΕΙΑΣ</t>
  </si>
  <si>
    <t>mail@3nip-agrias.mag.sch.gr</t>
  </si>
  <si>
    <t>ΑΓΡΙΑΣ-ΔΡΑΚΕΙΑΣ</t>
  </si>
  <si>
    <t>ΔΡΑΚΕΙΑ</t>
  </si>
  <si>
    <t>ΑΝΩ ΛΕΧΩΝΙΩΝ</t>
  </si>
  <si>
    <t>1ο ΝΗΠΙΑΓΩΓΕΙΟ ΑΡΤΕΜΙΔΟΣ-ΑΝΩ ΛΕΧΩΝΙΩΝ</t>
  </si>
  <si>
    <t>mail@1nip-artem.mag.sch.gr</t>
  </si>
  <si>
    <t>ΑΡΤΕΜΙΔΟΣ-ΑΝΩ ΛΕΧΩΝΙΩΝ</t>
  </si>
  <si>
    <t>ΑΝΩ ΛΕΧΩΝΙΑ</t>
  </si>
  <si>
    <t>1ο ΝΗΠΙΑΓΩΓΕΙΟ  ΝΕΑΣ ΙΩΝΙΑΣ</t>
  </si>
  <si>
    <t>mail@1nip-n-ionias.mag.sch.gr</t>
  </si>
  <si>
    <t>ΑΓ.ΝΕΚΤΑΡΙΟΥ ΤΕΡΜΑ</t>
  </si>
  <si>
    <t>1ο ΝΗΠΙΑΓΩΓΕΙΟ ΜΗΛΕΩΝ</t>
  </si>
  <si>
    <t>mail@1nip-mileon.mag.sch.gr</t>
  </si>
  <si>
    <t>25ο ΔΗΜΟΤΙΚΟ ΣΧΟΛΕΙΟ ΒΟΛΟΥ</t>
  </si>
  <si>
    <t>mail@25dim-volou.mag.sch.gr</t>
  </si>
  <si>
    <t>ΒΑΣΣΑΝΗ 69</t>
  </si>
  <si>
    <t>ΑΓΙΟΥ ΓΕΩΡΓΙΟΥ ΝΗΛΕΙΑΣ</t>
  </si>
  <si>
    <t>3ο ΝΗΠΙΑΓΩΓΕΙΟ ΜΗΛΕΩΝ-ΑΓ.ΓΕΩΡΓΙΟΥ ΝΗΛΕΙΑΣ</t>
  </si>
  <si>
    <t>mail@3nip-mileon.mag.sch.gr</t>
  </si>
  <si>
    <t>ΜΗΛΕΩΝ-ΑΓ.ΓΕΩΡΓΙΟΥ ΝΗΛΕΙΑΣ</t>
  </si>
  <si>
    <t>ΑΝΩ ΓΑΤΖΕΑ</t>
  </si>
  <si>
    <t>32ο ΔΗΜΟΤΙΚΟ ΣΧΟΛΕΙΟ ΒΟΛΟΥ</t>
  </si>
  <si>
    <t>mail@32dim-volou.mag.sch.gr</t>
  </si>
  <si>
    <t>ΒΟΛΟΣ-ΜΑΓΝΗΣΙΑ</t>
  </si>
  <si>
    <t>ΓΙΑΝΝΗ ΔΗΜΟΥ-ΒΛΑΧΑΒΑ</t>
  </si>
  <si>
    <t>mail@2dim-gloss.mag.sch.gr</t>
  </si>
  <si>
    <t>Γλώσσα</t>
  </si>
  <si>
    <t>ΒΡΥΝΑΙΝΗΣ</t>
  </si>
  <si>
    <t>ΔΗΜΟΤΙΚΟ ΣΧΟΛΕΙΟ ΒΡΥΝΑΙΝΑΣ</t>
  </si>
  <si>
    <t>mail@dim-vrynain.mag.sch.gr</t>
  </si>
  <si>
    <t>ΒΡΥΝΑΙΝΑ</t>
  </si>
  <si>
    <t>ΝΗΠΙΑΓΩΓΕΙΟ ΤΡΙΚΕΡΙΟΥ</t>
  </si>
  <si>
    <t>mail@nip-triker.mag.sch.gr</t>
  </si>
  <si>
    <t>24ο ΔΗΜΟΤΙΚΟ ΣΧΟΛΕΙΟ ΒΟΛΟΥ</t>
  </si>
  <si>
    <t>mail@24dim-volou.mag.sch.gr</t>
  </si>
  <si>
    <t>32ο ΝΗΠΙΑΓΩΓΕΙΟ ΒΟΛΟΥ</t>
  </si>
  <si>
    <t>mail@32nip-volou.mag.sch.gr</t>
  </si>
  <si>
    <t>ΛΑΡΙΣΗΣ   - ΜΙΑΟΥΛΗ 4</t>
  </si>
  <si>
    <t>2ο ΝΗΠΙΑΓΩΓΕΙΟ   ΝΕΑΣ ΙΩΝΙΑΣ</t>
  </si>
  <si>
    <t>mail@2nip-n-ionias.mag.sch.gr</t>
  </si>
  <si>
    <t>ΧΡ.ΣΜΥΡΝΗΣ-ΣΙΝΩΠΗΣ 25</t>
  </si>
  <si>
    <t>3ο ΔΗΜΟΤΙΚΟ ΣΧΟΛΕΙΟ ΑΓΡΙΑΣ-ΔΡΑΚΕΙΑΣ</t>
  </si>
  <si>
    <t>mail@3dim-agrias.mag.sch.gr</t>
  </si>
  <si>
    <t>ΑΪΔΙΝΙΟΥ</t>
  </si>
  <si>
    <t>ΝΗΠΙΑΓΩΓΕΙΟ ΑΙΔΙΝΙΟΥ</t>
  </si>
  <si>
    <t>mail@nip-aidin.mag.sch.gr</t>
  </si>
  <si>
    <t>ΑΙΔΙΝΙΟΥ</t>
  </si>
  <si>
    <t>ΑΙΔΙΝΙΟ</t>
  </si>
  <si>
    <t>3ο ΔΗΜΟΤΙΚΟ ΣΧΟΛΕΙΟ ΜΗΛΕΩΝ-ΑΓ.ΓΕΩΡΓΙΟΥ ΝΗΛΕΙΑΣ</t>
  </si>
  <si>
    <t>mail@3dim-mileon.mag.sch.gr</t>
  </si>
  <si>
    <t>ʼνω Γατζέα</t>
  </si>
  <si>
    <t>mail@22dim-volou.mag.sch.gr</t>
  </si>
  <si>
    <t>ΟΛΥΜΠΙΑΔΟΣ  20</t>
  </si>
  <si>
    <t>3ο ΔΗΜΟΤΙΚΟ ΣΧΟΛΕΙΟ  ΝΕΑΣ ΙΩΝΙΑΣ</t>
  </si>
  <si>
    <t>mail@3dim-n-ionias.mag.sch.gr</t>
  </si>
  <si>
    <t>mail@1dim-moures.mag.sch.gr</t>
  </si>
  <si>
    <t>Τσαγκαράδα</t>
  </si>
  <si>
    <t>Τσαγκαραδα</t>
  </si>
  <si>
    <t>mail@dim-k-lechon.mag.sch.gr</t>
  </si>
  <si>
    <t>mail@10dim-volou.mag.sch.gr</t>
  </si>
  <si>
    <t>ΕΘΝΙΚΗΣ ΑΝΤΙΣΤΑΣΕΩΣ - ΚΥΠΡΟΥ</t>
  </si>
  <si>
    <t>5ο ΝΗΠΙΑΓΩΓΕΙΟ ΖΑΓΟΡΑΣ-ΠΟΥΡΙΟΥ</t>
  </si>
  <si>
    <t>mail@5nip-zagor.mag.sch.gr</t>
  </si>
  <si>
    <t>ΖΑΓΟΡΑΣ-ΠΟΥΡΙΟΥ</t>
  </si>
  <si>
    <t>20ο ΔΗΜΟΤΙΚΟ ΣΧΟΛΕΙΟ ΒΟΛΟΥ</t>
  </si>
  <si>
    <t>mail@20dim-volou.mag.sch.gr</t>
  </si>
  <si>
    <t>ΓΑΛΛΙΑΣ 58</t>
  </si>
  <si>
    <t>mail@7dim-volou.mag.sch.gr</t>
  </si>
  <si>
    <t>ΟΛΥΜΠΙΑΔΟΣ 22</t>
  </si>
  <si>
    <t>1ο ΝΗΠΙΑΓΩΓΕΙΟ ΒΟΛΟΥ</t>
  </si>
  <si>
    <t>mail@1nip-volou.mag.sch.gr</t>
  </si>
  <si>
    <t>ΟΛΥΜΠΙΑΔΟΣ  22</t>
  </si>
  <si>
    <t>20ο  ΝΗΠΙΑΓΩΓΕΙΟ ΒΟΛΟΥ</t>
  </si>
  <si>
    <t>mail@20nip-volou.mag.sch.gr</t>
  </si>
  <si>
    <t>ΟΛΥΜΠΙΑΔΟΣ 20</t>
  </si>
  <si>
    <t>mail@1dim-agrias.mag.sch.gr</t>
  </si>
  <si>
    <t>ΑΓΡΙΑ</t>
  </si>
  <si>
    <t>Π. ΓΕΩΡΓΙΑΔΗ 25- Ρ. ΦΕΡΑΙΟΥ</t>
  </si>
  <si>
    <t>1ο ΔΗΜΟΤΙΚΟ ΣΧΟΛΕΙΟ ΝΕΑΣ ΑΓΧΙΑΛΟΥ - ΕΥΓΕΝΕΙΟ</t>
  </si>
  <si>
    <t>mail@1dim-n-agchial.mag.sch.gr</t>
  </si>
  <si>
    <t>ΠΑΡΑΣΚΕΥΟΠΟΥΛΟΥ 14</t>
  </si>
  <si>
    <t>2ο ΔΗΜΟΤΙΚΟ ΣΧΟΛΕΙΟ ΒΟΛΟΥ</t>
  </si>
  <si>
    <t>mail@2dim-volou.mag.sch.gr</t>
  </si>
  <si>
    <t>ΜΑΚΡΥΝΙΤΣΗΣ 23</t>
  </si>
  <si>
    <t>mail@dim-argal.mag.sch.gr</t>
  </si>
  <si>
    <t>2ο ΝΗΠΙΑΓΩΓΕΙΟ ΑΓΡΙΑΣ - ΓΕΩΡΓΙΑΔΕΙΟ</t>
  </si>
  <si>
    <t>mail@2nip-agrias.mag.sch.gr</t>
  </si>
  <si>
    <t>ΤΕΡΜΑ ΠΟΡΦΥΡΟΓΕΝΗ ΑΓΡΙΑ ΒΟΛΟΣ</t>
  </si>
  <si>
    <t>ΝΗΠΙΑΓΩΓΕΙΟ ΑΛΟΝΝΗΣΟΥ</t>
  </si>
  <si>
    <t>mail@nip-alonn.mag.sch.gr</t>
  </si>
  <si>
    <t>ΑΛΟΝΝΗΣΟΣ</t>
  </si>
  <si>
    <t>mail@13dim-volou.mag.sch.gr</t>
  </si>
  <si>
    <t>ΠΑΓΑΣΩΝ-ΑΝΑΛΗΨΕΩΣ</t>
  </si>
  <si>
    <t>ΝΗΠΙΑΓΩΓΕΙΟ ΑΡΓΑΛΑΣΤΗΣ</t>
  </si>
  <si>
    <t>mail@nip-argal.mag.sch.gr</t>
  </si>
  <si>
    <t>2ο ΝΗΠΙΑΓΩΓΕΙΟ ΑΡΤΕΜΙΔΟΣ-ΚΑΤΩ ΛΕΧΩΝΙΩΝ-ΜΑΡΙΚΑ ΣΑΡΑΦΗ</t>
  </si>
  <si>
    <t>mail@2nip-artem.mag.sch.gr</t>
  </si>
  <si>
    <t>ΑΡΤΕΜΙΔΟΣ-ΚΑΤΩ ΛΕΧΩΝΙΩΝ</t>
  </si>
  <si>
    <t>12ο ΝΗΠΙΑΓΩΓΕΙΟ ΒΟΛΟΥ</t>
  </si>
  <si>
    <t>mail@12nip-volou.mag.sch.gr</t>
  </si>
  <si>
    <t>ΧΑΤΖΗΑΡΓΥΡΗ 73</t>
  </si>
  <si>
    <t>14ο ΝΗΠΙΑΓΩΓΕΙΟ ΒΟΛΟΥ</t>
  </si>
  <si>
    <t>mail@14nip-volou.mag.sch.gr</t>
  </si>
  <si>
    <t>ΚΟΥΝΤΟΥΡΙΩΤΟΥ 146 -  ΣΟΛΩΜΟΥ</t>
  </si>
  <si>
    <t>16ο  ΝΗΠΙΑΓΩΓΕΙΟ ΒΟΛΟΥ</t>
  </si>
  <si>
    <t>mail@16nip-volou.mag.sch.gr</t>
  </si>
  <si>
    <t>ΣΑΡΑΚΗΝΟΥ 8</t>
  </si>
  <si>
    <t>23ο ΝΗΠΙΑΓΩΓΕΙΟ ΒΟΛΟΥ</t>
  </si>
  <si>
    <t>mail@23nip-volou.mag.sch.gr</t>
  </si>
  <si>
    <t>ΤΕΡΜΑ ΝΕΑΠΟΛΕΩΣ</t>
  </si>
  <si>
    <t>28ο ΝΗΠΙΑΓΩΓΕΙΟ ΒΟΛΟΥ</t>
  </si>
  <si>
    <t>mail@28nip-volou.mag.sch.gr</t>
  </si>
  <si>
    <t>ΓΟΡΓΟΠΟΤΑΜΟΥ 17</t>
  </si>
  <si>
    <t>ΕΙΔΙKΟ ΔΗΜΟΤΙΚΟ ΣΧΟΛΕΙΟ ΑΓΡΙΑΣ</t>
  </si>
  <si>
    <t>mail@dim-eid-agrias.mag.sch.gr</t>
  </si>
  <si>
    <t>ΠΑΙΔΟΠΟΛΗ ΑΓΡΙΑΣ</t>
  </si>
  <si>
    <t>31ο    ΝΗΠΙΑΓΩΓΕΙΟ ΒΟΛΟΥ</t>
  </si>
  <si>
    <t>mail@31nip-volou.mag.sch.gr</t>
  </si>
  <si>
    <t>ΑΝΤΙΓΟΝΗΣ 11</t>
  </si>
  <si>
    <t>19ο ΔΗΜΟΤΙΚΟ ΣΧΟΛΕΙΟ ΒΟΛΟΥ</t>
  </si>
  <si>
    <t>mail@19dim-volou.mag.sch.gr</t>
  </si>
  <si>
    <t>ΑΘΑΝΑΣΙΟΥ ΔΙΑΚΟΥ 161</t>
  </si>
  <si>
    <t>36ο ΝΗΠΙΑΓΩΓΕΙΟ ΒΟΛΟΥ</t>
  </si>
  <si>
    <t>mail@36nip-volou.mag.sch.gr</t>
  </si>
  <si>
    <t>ΚΑΛΩΝ ΝΕΡΩΝ</t>
  </si>
  <si>
    <t>2ο ΝΗΠΙΑΓΩΓΕΙΟ ΜΗΛΕΩΝ-ΚΑΛΩΝ ΝΕΡΩΝ</t>
  </si>
  <si>
    <t>mail@2nip-mileon.mag.sch.gr</t>
  </si>
  <si>
    <t>ΜΗΛΕΩΝ-ΚΑΛΩΝ ΝΕΡΩΝ</t>
  </si>
  <si>
    <t>ΚΑΛΑ ΝΕΡΑ</t>
  </si>
  <si>
    <t>mail@23dim-volou.mag.sch.gr</t>
  </si>
  <si>
    <t>ΝΕΑΠΟΛΕΩΣ ΤΕΡΜΑ</t>
  </si>
  <si>
    <t>ΝΗΠΙΑΓΩΓΕΙΟ ΒΡΥΝΑΙΝΑΣ</t>
  </si>
  <si>
    <t>mail@nip-vrynain.mag.sch.gr</t>
  </si>
  <si>
    <t>ΒΡΥΝΑΙΝΑΣ</t>
  </si>
  <si>
    <t>ΛΑΥΚΟΥ</t>
  </si>
  <si>
    <t>1ο ΔΗΜΟΤΙΚΟ ΣΧΟΛΕΙΟ ΣΗΠΙΑΔΟΣ-ΛΑΥΚΟΥ</t>
  </si>
  <si>
    <t>mail@dim-lafkou.mag.sch.gr</t>
  </si>
  <si>
    <t>ΛΑΥΚΟΣ</t>
  </si>
  <si>
    <t>3ο ΔΗΜΟΤΙΚΟ ΣΧΟΛΕΙΟ ΚΛΗΜΑΤΟΣ ΣΚΟΠΕΛΟΥ</t>
  </si>
  <si>
    <t>mail@3dim-skopel.mag.sch.gr</t>
  </si>
  <si>
    <t>ΝΕΟ ΚΛΗΜΑ-ΣΚΟΠΕΛΟΥ</t>
  </si>
  <si>
    <t>ΝΕΟ ΚΛΗΜΑ ΣΚΟΠΕΛΟΥ</t>
  </si>
  <si>
    <t>15ο ΝΗΠΙΑΓΩΓΕΙΟ ΝΕΑΣ ΙΩΝΙΑΣ ΜΑΓΝΗΣΙΑΣ</t>
  </si>
  <si>
    <t>mail@15nip-n-ionias.mag.sch.gr</t>
  </si>
  <si>
    <t>ΜΑΙΑΝΔΡΟΥ 187 -ΕΥΒΟΙΑΣ</t>
  </si>
  <si>
    <t>1ο ΔΗΜΟΤΙΚΟ ΣΧΟΛΕΙΟ ΑΡΤΕΜΙΔΟΣ-ΑΝΩ ΛΕΧΩΝΙΩΝ</t>
  </si>
  <si>
    <t>mail@1dim-artem.mag.sch.gr</t>
  </si>
  <si>
    <t>2ο ΝΗΠΙΑΓΩΓΕΙΟ ΣΗΠΙΑΔΟΣ-ΠΡΟΜΥΡΙΟΥ</t>
  </si>
  <si>
    <t>mail@2nip-sipiad.mag.sch.gr</t>
  </si>
  <si>
    <t>ΣΗΠΙΑΔΟΣ-ΠΡΟΜΥΡΙΟΥ</t>
  </si>
  <si>
    <t>1ο ΝΗΠΙΑΓΩΓΕΙΟ ΣΗΠΙΑΔΟΣ-ΛΑΥΚΟΥ</t>
  </si>
  <si>
    <t>mail@1nip-sipiad.mag.sch.gr</t>
  </si>
  <si>
    <t>ΣΗΠΙΑΔΟΣ-ΛΑΥΚΟΥ</t>
  </si>
  <si>
    <t>1ο  ΝΗΠΙΑΓΩΓΕΙΟ ΣΚΟΠΕΛΟΥ</t>
  </si>
  <si>
    <t>mail@1nip-skopel.mag.sch.gr</t>
  </si>
  <si>
    <t>ΔΗΜΟΤΙΚΟ ΣΧΟΛΕΙΟ ΑΝΑΒΡΑΣ</t>
  </si>
  <si>
    <t>mail@dim-anavr.mag.sch.gr</t>
  </si>
  <si>
    <t>mail@dim-alonn.mag.sch.gr</t>
  </si>
  <si>
    <t>ΔΗΜΟΤΙΚΟ ΣΧΟΛΕΙΟ ΚΑΣΣΑΒΕΤΕΙΑΣ</t>
  </si>
  <si>
    <t>mail@dim-kassav.mag.sch.gr</t>
  </si>
  <si>
    <t xml:space="preserve">Αϊδίνι, </t>
  </si>
  <si>
    <t>Ε.Α.Κ.Κ.Ν.  ΚΑΣΣΑΒΕΤΕΙΑΣ-ΑΪΔΙΝΙΟ</t>
  </si>
  <si>
    <t>3ο ΝΗΠΙΑΓΩΓΕΙΟ ΓΛΩΣΣΑΣ-ΣΚΟΠΕΛΟΥ</t>
  </si>
  <si>
    <t>mail@3nip-skopel-gloss.mag.sch.gr</t>
  </si>
  <si>
    <t>ΓΛΩΣΣΑΣ-ΣΚΟΠΕΛΟΥ</t>
  </si>
  <si>
    <t>ΓΛΩΣΣΑ-ΣΚΟΠΕΛΟΥ</t>
  </si>
  <si>
    <t>mail@1dim-skopel.mag.sch.gr</t>
  </si>
  <si>
    <t>ΣΚΟΠΕΛΟΣ-ΜΑΓΝΗΣΙΑΣ</t>
  </si>
  <si>
    <t>2ο ΝΗΠΙΑΓΩΓΕΙΟ ΣΚΟΠΕΛΟΥ</t>
  </si>
  <si>
    <t>mail@2nip-skopel.mag.sch.gr</t>
  </si>
  <si>
    <t>7ο ΝΗΠΙΑΓΩΓΕΙΟ   ΝΕΑΣ ΙΩΝΙΑΣ</t>
  </si>
  <si>
    <t>mail@7nip-n-ionias.mag.sch.gr</t>
  </si>
  <si>
    <t>ΧΡ.ΣΜΥΡΝΗΣ 25</t>
  </si>
  <si>
    <t>3ο ΝΗΠΙΑΓΩΓΕΙΟ ΑΡΤΕΜΙΔΟΣ-ΑΓ.ΒΛΑΣΙΟΥ</t>
  </si>
  <si>
    <t>mail@3nip-artem.mag.sch.gr</t>
  </si>
  <si>
    <t>ΑΡΤΕΜΙΔΟΣ-ΑΓ.ΒΛΑΣΙΟΥ</t>
  </si>
  <si>
    <t>9ο ΝΗΠΙΑΓΩΓΕΙΟ   ΝΕΑΣ ΙΩΝΙΑΣ</t>
  </si>
  <si>
    <t>mail@9nip-n-ionias.mag.sch.gr</t>
  </si>
  <si>
    <t>3ο ΝΗΠΙΑΓΩΓΕΙΟ ΑΛΜΥΡΟΥ</t>
  </si>
  <si>
    <t>mail@3nip-almyr.mag.sch.gr</t>
  </si>
  <si>
    <t>ΧΡΥΣΟΣΤΟΜΟΥ ΣΜΥΡΝΗΣ 2</t>
  </si>
  <si>
    <t>mail@8dim-volou.mag.sch.gr</t>
  </si>
  <si>
    <t>ΓΑΛΛΙΑΣ - ΓΑΜΒΕΤΑ</t>
  </si>
  <si>
    <t>29ο ΔΗΜΟΤΙΚΟ ΣΧΟΛΕΙΟ ΒΟΛΟΥ</t>
  </si>
  <si>
    <t>mail@29dim-volou.mag.sch.gr</t>
  </si>
  <si>
    <t xml:space="preserve"> ΒΟΛΟΣ</t>
  </si>
  <si>
    <t>30ο  ΝΗΠΙΑΓΩΓΕΙΟ ΒΟΛΟΥ</t>
  </si>
  <si>
    <t>mail@30nip-volou.mag.sch.gr</t>
  </si>
  <si>
    <t>ΕΡΓΑΤΙΚΑ ΑΓΙΑΣ ΠΑΡΑΣΚΕΥΗΣ</t>
  </si>
  <si>
    <t>28ο ΔΗΜΟΤΙΚΟ ΣΧΟΛΕΙΟ ΒΟΛΟΥ</t>
  </si>
  <si>
    <t>mail@28dim-volou.mag.sch.gr</t>
  </si>
  <si>
    <t>ΠΑΦΟΥ 19</t>
  </si>
  <si>
    <t>mail@6dim-n-ionias.mag.sch.gr</t>
  </si>
  <si>
    <t>Ν.Ιωνία</t>
  </si>
  <si>
    <t>ΑΓ.ΝΕΚΤΑΡΙΟΥ 3</t>
  </si>
  <si>
    <t>mail@31dim-volou.mag.sch.gr</t>
  </si>
  <si>
    <t>ΕΡΓΑΤΙΚΑ ΑΓ.ΠΑΡΑΣΚΕΥΗΣ</t>
  </si>
  <si>
    <t>16ο ΔΗΜΟΤΙΚΟ ΣΧΟΛΕΙΟ ΒΟΛΟΥ</t>
  </si>
  <si>
    <t>mail@16dim-volou.mag.sch.gr</t>
  </si>
  <si>
    <t>ΟΡΦΑΝΟΤΡΟΦΕΙΟΥ 4-ΧΕΙΡΩΝΟΣ</t>
  </si>
  <si>
    <t>2ο ΔΗΜΟΤΙΚΟ ΣΧΟΛΕΙΟ ΜΗΛΕΩΝ-ΚΑΛΩΝ ΝΕΡΩΝ</t>
  </si>
  <si>
    <t>mail@2dim-kal-neron.mag.sch.gr</t>
  </si>
  <si>
    <t>27ο  ΔΗΜΟΤΙΚΟ ΣΧΟΛΕΙΟ ΒΟΛΟΥ</t>
  </si>
  <si>
    <t>27dimvol@sch.gr</t>
  </si>
  <si>
    <t>ΠΡΟΦΗΤΗ ΗΛΙΑ ΑΛΥΚΕΣ</t>
  </si>
  <si>
    <t>3ο ΔΗΜΟΤΙΚΟ ΣΧΟΛΕΙΟ ΣΗΠΙΑΔΟΣ-ΜΗΛΙΝΑΣ</t>
  </si>
  <si>
    <t>mail@3dim-milin.mag.sch.gr</t>
  </si>
  <si>
    <t>ΔΗΜΟΤΙΚΟ ΣΧΟΛΕΙΟ ΑΦΕΤΩΝ</t>
  </si>
  <si>
    <t>mail@1dim-afeton.mag.sch.gr</t>
  </si>
  <si>
    <t>mail@2dim-agrias.mag.sch.gr</t>
  </si>
  <si>
    <t>ΤΕΡΜΑ Ν. ΠΟΡΦΥΡΟΓΕΝΗ</t>
  </si>
  <si>
    <t>1ο ΔΗΜΟΤΙΚΟ ΣΧΟΛΕΙΟ ΒΟΛΟΥ</t>
  </si>
  <si>
    <t>mail@1dim-volou.mag.sch.gr</t>
  </si>
  <si>
    <t>ΚΕΡΑΜΙΔΙΟΥ</t>
  </si>
  <si>
    <t>ΔΗΜΟΤΙΚΟ ΣΧΟΛΕΙΟ ΚΕΡΑΜΙΔΙΟΥ</t>
  </si>
  <si>
    <t>mail@dim-keram.mag.sch.gr</t>
  </si>
  <si>
    <t>ΚΕΡΑΜΙΔΙ</t>
  </si>
  <si>
    <t>ΠΛΑΤΕΙΑ</t>
  </si>
  <si>
    <t>ΑΝΑΚΑΣΙΑΣ</t>
  </si>
  <si>
    <t>mail@dim-iolkou.mag.sch.gr</t>
  </si>
  <si>
    <t xml:space="preserve"> ΙΩΛΚΟΣ</t>
  </si>
  <si>
    <t>ΑΝΑΚΑΣΙΑ</t>
  </si>
  <si>
    <t>1ο  ΔΗΜΟΤΙΚΟ ΣΧΟΛΕΙΟ ΣΚΙΑΘΟΥ</t>
  </si>
  <si>
    <t>mail@1dim-skiath.mag.sch.gr</t>
  </si>
  <si>
    <t>ΣΚΙΑΘΟΣ</t>
  </si>
  <si>
    <t>mail@1dim-karlas.mag.sch.gr</t>
  </si>
  <si>
    <t>ΚΑΡΛΑΣ-ΣΤΕΦΑΝΟΒΙΚΕΙΟΥ</t>
  </si>
  <si>
    <t>ΣΤΕΦΑΝΟΒΙΚΕΙΟ</t>
  </si>
  <si>
    <t>mail@1dim-zagor.mag.sch.gr</t>
  </si>
  <si>
    <t>ΖΑΓΟΡΑ</t>
  </si>
  <si>
    <t>mail@1dim-feron.mag.sch.gr</t>
  </si>
  <si>
    <t>ΡΗΓΑ ΦΕΡΑΙΟΥ 71</t>
  </si>
  <si>
    <t>1ο ΔΗΜΟΤΙΚΟ ΣΧΟΛΕΙΟ ΠΟΡΤΑΡΙΑΣ - Ν. ΤΣΟΠΟΤΟΣ</t>
  </si>
  <si>
    <t>dimporta@sch.gr</t>
  </si>
  <si>
    <t>ΠΟΡΤΑΡΙΑ</t>
  </si>
  <si>
    <t>2ο ΔΗΜΟΤΙΚΟ ΣΧΟΛΕΙΟ ΑΙΣΩΝΙΑΣ ΔΙΜΗΝΙΟΥ</t>
  </si>
  <si>
    <t>mail@2dim-dimin.mag.sch.gr</t>
  </si>
  <si>
    <t>ΛΑΜΙΑ (ΔΙΜΗΝΙΟΥ)</t>
  </si>
  <si>
    <t>mail@2dim-skiath.mag.sch.gr</t>
  </si>
  <si>
    <t>2ο  ΔΗΜΟΤΙΚΟ ΣΧΟΛΕΙΟ ΦΕΡΩΝ-ΒΕΛΕΣΤΙΝΟΥ - ΡΗΓΑΣ ΒΕΛΕΣΤΙΝΛΗΣ</t>
  </si>
  <si>
    <t>mail@2dim-feron.mag.sch.gr</t>
  </si>
  <si>
    <t>mail@3dim-karlas.mag.sch.gr</t>
  </si>
  <si>
    <t>ΑΓΙΟΥ ΓΕΩΡΓΙΟΥ ΦΕΡΩΝ</t>
  </si>
  <si>
    <t>3ο  ΔΗΜΟΤΙΚΟ ΣΧΟΛΕΙΟ ΦΕΡΩΝ ΑΓΙΟΥ ΓΕΩΡΓΙΟΥ</t>
  </si>
  <si>
    <t>mail@3dim-feron.mag.sch.gr</t>
  </si>
  <si>
    <t>ʼγ. Γεώργιος Φερών</t>
  </si>
  <si>
    <t>ΑΓ.ΓΕΩΡΓΙΟΣ - ΦΕΡΩΝ</t>
  </si>
  <si>
    <t>ΑΕΡΙΝΟΥ</t>
  </si>
  <si>
    <t>4ο ΔΗΜΟΤΙΚΟ ΣΧΟΛΕΙΟ ΦΕΡΩΝ-ΑΕΡΙΝΟΥ</t>
  </si>
  <si>
    <t>mail@4dim-feron.mag.sch.gr</t>
  </si>
  <si>
    <t>ΑΕΡΙΝΟ</t>
  </si>
  <si>
    <t>1ο ΝΗΠΙΑΓΩΓΕΙΟ ΣΚΙΑΘΟΥ</t>
  </si>
  <si>
    <t>mail@1nip-skiath.mag.sch.gr</t>
  </si>
  <si>
    <t>1ο ΝΗΠΙΑΓΩΓΕΙΟ ΑΙΣΩΝΙΑΣ-ΔΙΜΗΝΙΟΥ</t>
  </si>
  <si>
    <t>mail@1nip-dimin.mag.sch.gr</t>
  </si>
  <si>
    <t>ΑΙΣΩΝΙΑΣ-ΔΙΜΗΝΙΟΥ</t>
  </si>
  <si>
    <t>ΑΙΣΩΝΟΣ-ΔΙΜΗΝΙ-ΑΙΣΩΝΙΑΣ- 3</t>
  </si>
  <si>
    <t>1ο ΝΗΠΙΑΓΩΓΕΙΟ ΖΑΓΟΡΑΣ</t>
  </si>
  <si>
    <t>mail@1nip-zagor.mag.sch.gr</t>
  </si>
  <si>
    <t>ΖΑΓΟΡΑ - ΜΕΤΑΜΟΡΦΩΣΗ</t>
  </si>
  <si>
    <t>1ο ΝΗΠΙΑΓΩΓΕΙΟ ΚΑΡΛΑΣ-ΣΤΕΦΑΝΟΒΙΚΕΙΟΥ</t>
  </si>
  <si>
    <t>mail@1nip-karlas.mag.sch.gr</t>
  </si>
  <si>
    <t>1ο ΝΗΠΙΑΓΩΓΕΙΟ ΠΟΡΤΑΡΙΑΣ  "ΑΘΑΝΑΣΑΚΕΙΟ"</t>
  </si>
  <si>
    <t>mail@1nip-portar.mag.sch.gr</t>
  </si>
  <si>
    <t>1ο ΝΗΠΙΑΓΩΓΕΙΟ ΙΩΛΚΟΥ</t>
  </si>
  <si>
    <t>mail@1nip-iolkou.mag.sch.gr</t>
  </si>
  <si>
    <t>ΑΓ.ΟΝΟΥΦΡΙΟΣ</t>
  </si>
  <si>
    <t>2ο ΝΗΠΙΑΓΩΓΕΙΟ ΙΩΛΚΟΥ</t>
  </si>
  <si>
    <t>mail@2nip-iolkou.mag.sch.gr</t>
  </si>
  <si>
    <t>ΑΓΙΑΣ ΕΙΡΗΝΗΣ 5 ΑΝΑΚΑΣΙΑ ΒΟΛΟΥ</t>
  </si>
  <si>
    <t>2ο ΝΗΠΙΑΓΩΓΕΙΟ ΖΑΓΟΡΑΣ</t>
  </si>
  <si>
    <t>mail@2nip-zagor.mag.sch.gr</t>
  </si>
  <si>
    <t>ΠΕΡΑΧΩΡΑ-ΖΑΓΟΡΑΣ</t>
  </si>
  <si>
    <t>2ο  ΝΗΠΙΑΓΩΓΕΙΟ ΑΙΣΩΝΙΑΣ-ΔΙΜΗΝΙΟΥ</t>
  </si>
  <si>
    <t>mail@2nip-dimin.mag.sch.gr</t>
  </si>
  <si>
    <t>2ο ΝΗΠΙΑΓΩΓΕΙΟ ΦΕΡΩΝ-ΒΕΛΕΣΤΙΝΟΥ</t>
  </si>
  <si>
    <t>mail@2nip-feron.mag.sch.gr</t>
  </si>
  <si>
    <t>2ο ΝΗΠΙΑΓΩΓΕΙΟ ΚΑΡΛΑΣ-ΡΙΖΟΜΥΛΟΥ</t>
  </si>
  <si>
    <t>mail@2nip-karlas.mag.sch.gr</t>
  </si>
  <si>
    <t>ΚΑΡΛΑΣ-ΡΙΖΟΜΥΛΟΥ</t>
  </si>
  <si>
    <t>ΡΙΖΟΜΥΛΟΣ-ΒΕΛΕΣΤΙΝΟΥ</t>
  </si>
  <si>
    <t>3ο ΝΗΠΙΑΓΩΓΕΙΟ ΑΓ.ΓΕΩΡΓΙΟΥ ΦΕΡΩΝ</t>
  </si>
  <si>
    <t>mail@3nip-feron.mag.sch.gr</t>
  </si>
  <si>
    <t>ΑΓ.ΓΕΩΡΓΙΟΥ ΦΕΡΩΝ</t>
  </si>
  <si>
    <t>ΑΓ.ΓΕΩΡΓΙΟΣ-ΦΕΡΩΝ</t>
  </si>
  <si>
    <t>3ο ΝΗΠΙΑΓΩΓΕΙΟ ΚΑΡΛΑΣ-ΚΑΝΑΛΙΩΝ</t>
  </si>
  <si>
    <t>mail@3nip-karlas.mag.sch.gr</t>
  </si>
  <si>
    <t>ΚΑΡΛΑΣ-ΚΑΝΑΛΙΩΝ</t>
  </si>
  <si>
    <t>4ο ΝΗΠΙΑΓΩΓΕΙΟ ΦΕΡΩΝ-ΑΕΡΙΝΟΥ</t>
  </si>
  <si>
    <t>mail@4nip-feron.mag.sch.gr</t>
  </si>
  <si>
    <t>ΦΕΡΩΝ-ΑΕΡΙΝΟΥ</t>
  </si>
  <si>
    <t>6ο ΝΗΠΙΑΓΩΓΕΙΟ ΦΕΡΩΝ-ΠΕΡΙΒΛΕΠΤΟΥ</t>
  </si>
  <si>
    <t>mail@6nip-feron.mag.sch.gr</t>
  </si>
  <si>
    <t>ΦΕΡΩΝ-ΠΕΡΙΒΛΕΠΤΟΥ</t>
  </si>
  <si>
    <t>ΠΕΡΙΒΛΕΠΤΟ</t>
  </si>
  <si>
    <t>mail@5dim-volou.mag.sch.gr</t>
  </si>
  <si>
    <t>ΕΙΔΙΚΟ ΔΗΜΟΤΙΚΟ ΣΧΟΛΕΙΟ ΒΕΛΕΣΤΙΝΟ - ΔΗΜΟΤΙΚΟ ΣΧΟΛΕΙΟ ΦΕΡΩΝ ΒΕΛΕΣΤΙΝΟΥ</t>
  </si>
  <si>
    <t>mail@dim-eid-feron.mag.sch.gr</t>
  </si>
  <si>
    <t>mail@dim-sourp.mag.sch.gr</t>
  </si>
  <si>
    <t>ΔΡΥΜΩΝΟΣ</t>
  </si>
  <si>
    <t>ΔΗΜΟΤΙΚΟ ΣΧΟΛΕΙΟ ΔΡΥΜΩΝΑ ΜΑΓΝΗΣΙΑΣ</t>
  </si>
  <si>
    <t>mail@dim-drymon.mag.sch.gr</t>
  </si>
  <si>
    <t>ΔΡΥΜΩΝΑΣ</t>
  </si>
  <si>
    <t>ΔΡΥΜΩΝΑ-ΑΛΜΥΡΟΥ</t>
  </si>
  <si>
    <t>34ο  ΝΗΠΙΑΓΩΓΕΙΟ ΒΟΛΟΥ</t>
  </si>
  <si>
    <t>mail@34nip-volou.mag.sch.gr</t>
  </si>
  <si>
    <t>ΙΩΛΚΟΥ 398</t>
  </si>
  <si>
    <t>26ο  ΔΗΜΟΤΙΚΟ ΣΧΟΛΕΙΟ ΒΟΛΟΥ</t>
  </si>
  <si>
    <t>mail@26dim-volou.mag.sch.gr</t>
  </si>
  <si>
    <t>ΑΓΙΟΥ ΓΕΩΡΓΙΟΥ -ΙΩΛΚΟΥ</t>
  </si>
  <si>
    <t>ΝΗΠΙΑΓΩΓΕΙΟ ΚΡΟΚΙΟΥ</t>
  </si>
  <si>
    <t>mail@nip-krokiou.mag.sch.gr</t>
  </si>
  <si>
    <t>ΚΡΟΚΙΟ</t>
  </si>
  <si>
    <t>1ο ΔΗΜΟΤΙΚΟ ΣΧΟΛΕΙΟ ΑΛΜΥΡΟΥ</t>
  </si>
  <si>
    <t>mail@1dim-almyr.mag.sch.gr</t>
  </si>
  <si>
    <t>ΜΙΚΡΟΘΗΒΩΝ</t>
  </si>
  <si>
    <t>ΝΗΠΙΑΓΩΓΕΙΟ ΜΙΚΡΟΘΗΒΕΣ - ΝΗΠΙΑΓΩΓΕΙΟ ΜΙΚΡΟΘΗΒΩΝ</t>
  </si>
  <si>
    <t>mail@nip-mikroth.mag.sch.gr</t>
  </si>
  <si>
    <t>ΜΙΚΡΟΘΗΒΕΣ</t>
  </si>
  <si>
    <t>12dimvol@sch.gr</t>
  </si>
  <si>
    <t>Γ.ΔΗΜΟΥ-ΚΥΠΡΟΥ</t>
  </si>
  <si>
    <t>ΑΝΩ ΒΟΛΟΥ</t>
  </si>
  <si>
    <t>3ο ΝΗΠΙΑΓΩΓΕΙΟ ΙΩΛΚΟΥ</t>
  </si>
  <si>
    <t>mail@3nip-iolkou.mag.sch.gr</t>
  </si>
  <si>
    <t>ΑΝΩ ΒΟΛΟΣ</t>
  </si>
  <si>
    <t>ΑΓΙΟΥ ΛΑΥΡΕΝΤΙΟΥ</t>
  </si>
  <si>
    <t>4ο ΝΗΠΙΑΓΩΓΕΙΟ ΑΡΤΕΜΙΔΟΣ ΑΓ. ΛΑΥΡΕΝΤΙΟΣ</t>
  </si>
  <si>
    <t>mail@4nip-artem.mag.sch.gr</t>
  </si>
  <si>
    <t>ΑΡΤΕΜΙΔΟΣ  ΑΓ. ΛΑΥΡΕΝΤΙΟΣ</t>
  </si>
  <si>
    <t>ΑΓ. ΛΑΥΡΕΝΤΙΟΣ</t>
  </si>
  <si>
    <t>3ο ΝΗΠΙΑΓΩΓΕΙΟ ΣΚΙΑΘΟΥ</t>
  </si>
  <si>
    <t>mail@3nip-skiath.mag.sch.gr</t>
  </si>
  <si>
    <t>ΕΙΔΙΚΟ ΔΗΜΟΤΙΚΟ ΣΧΟΛΕΙΟ  ΒΟΛΟΥ ΓΙΑ ΠΑΙΔΙΑ ΜΕ ΔΙΑΧΥΤΕΣ ΑΝΑΠΤΥΞΙΑΚΕΣ ΔΙΑΤΑΡΑΧΕΣ</t>
  </si>
  <si>
    <t>mail@dim-eid-dad.mag.sch.gr</t>
  </si>
  <si>
    <t xml:space="preserve">ΝΕΑ ΙΩΝΙΑ </t>
  </si>
  <si>
    <t>ΤΕΡΜΑ ΕΛ. ΒΕΝΙΖΕΛΟΥ</t>
  </si>
  <si>
    <t>ΕΙΔΙΚΟ ΔΗΜΟΤΙΚΟ ΣΧΟΛΕΙΟ ΣΚΙΑΘΟΥ "ΑΛΕΞΑΝΔΡΟΣ ΠΑΠΑΔΙΑΜΑΝΤΗΣ"</t>
  </si>
  <si>
    <t>mail@dim-eid-skiath.mag.sch.gr</t>
  </si>
  <si>
    <t>3ο  ΝΗΠΙΑΓΩΓΕΙΟ   ΝΕΑΣ ΙΩΝΙΑΣ</t>
  </si>
  <si>
    <t>mail@3nip-n-ionias.mag.sch.gr</t>
  </si>
  <si>
    <t>Λ.ΕΙΡΗΝΗΣ 134</t>
  </si>
  <si>
    <t>ΝΗΠΙΑΓΩΓΕΙΟ ΚΕΡΑΜΙΔΙΟΥ</t>
  </si>
  <si>
    <t>mail@nip-keram.mag.sch.gr</t>
  </si>
  <si>
    <t>ΝΗΠΙΑΓΩΓΕΙΟ  ΑΝΑΒΡΑΣ</t>
  </si>
  <si>
    <t>mail@nip-anavr.mag.sch.gr</t>
  </si>
  <si>
    <t>2ο ΝΗΠΙΑΓΩΓΕΙΟ ΕΥΞΕΙΝΟΥΠΟΛΗΣ</t>
  </si>
  <si>
    <t>mail@2nip-efxin.mag.sch.gr</t>
  </si>
  <si>
    <t>ΑΛ. ΥΨΗΛΑΝΤΗ ΚΑΙ ΜΙΚΡΑΣ ΑΣΙΑΣ</t>
  </si>
  <si>
    <t>ΕΙΔΙΚΟ ΝΗΠΙΑΓΩΓΕΙΟ ΒΟΛΟΥ ΓΙΑ ΠΑΙΔΙΑ ΜΕ ΔΙΑΧΥΤΕΣ ΑΝΑΠΤΥΞΙΑΚΕΣ ΔΙΑΤΑΡΑΧΕΣ</t>
  </si>
  <si>
    <t>mail@nip-eid-dad.mag.sch.gr</t>
  </si>
  <si>
    <t>ΤΕΡΜΑ ΕΛ. ΒΕΝΙΖΕΛΟΥ ΝΕΑ ΙΩΝΙΑ</t>
  </si>
  <si>
    <t>5ο ΝΗΠΙΑΓΩΓΕΙΟ ΑΛΜΥΡΟΥ</t>
  </si>
  <si>
    <t>mail@5nip-almyr.mag.sch.gr</t>
  </si>
  <si>
    <t>Β.ΚΩΣΤΑΝΤΙΝΟΥ-ΚΟΡΑΗ</t>
  </si>
  <si>
    <t>2ο ΕΙΔΙΚΟ ΝΗΠΙΑΓΩΓΕΙΟ ΒΟΛΟΥ</t>
  </si>
  <si>
    <t>mail@2nip-eid-volou.mag.sch.gr</t>
  </si>
  <si>
    <t>ΜΕΤΑΜΟΡΦΩΣΕΩΣ  193</t>
  </si>
  <si>
    <t>37ο ΝΗΠΙΑΓΩΓΕΙΟ ΒΟΛΟΥ</t>
  </si>
  <si>
    <t>mail@37nip-volou.mag.sch.gr</t>
  </si>
  <si>
    <t>ΧΡΥΣΑΝΘΕΜΩΝ-ΡΟΔΩΝ</t>
  </si>
  <si>
    <t>mail@33dim-volou.mag.sch.gr</t>
  </si>
  <si>
    <t>ΜΕΤΑΜΟΡΦΩΣΕΩΣ 195</t>
  </si>
  <si>
    <t>ΕΙΔΙΚΟ ΝΗΠΙΑΓΩΓΕΙΟ ΒΟΛΟΥ " ΟΙ ΚΕΝΤΑΥΡΟΙ"</t>
  </si>
  <si>
    <t>mail@nip-eid-kentavr.mag.sch.gr</t>
  </si>
  <si>
    <t>ΕΙΔΙΚΟ ΝΗΠΙΑΓΩΓΕΙΟ ΑΓΡΙΑΣ</t>
  </si>
  <si>
    <t>mail@nip-eid-agrias.mag.sch.gr</t>
  </si>
  <si>
    <t>ΔΙΕΥΘΥΝΣΗ Π.Ε. ΤΡΙΚΑΛΩΝ</t>
  </si>
  <si>
    <t>ΦΑΛΩΡΕΙΑΣ</t>
  </si>
  <si>
    <t>ΔΙΑΛΕΚΤΟΥ</t>
  </si>
  <si>
    <t>ΝΗΠΙΑΓΩΓΕΙΟ ΔΙΑΛΕΚΤΟΥ</t>
  </si>
  <si>
    <t>mail@nip-dialekt.tri.sch.gr</t>
  </si>
  <si>
    <t>ΔΙΑΛΕΚΤΟ</t>
  </si>
  <si>
    <t>9ο ΝΗΠΙΑΓΩΓΕΙΟ ΤΡΙΚΑΛΩΝ</t>
  </si>
  <si>
    <t>mail@9nip-trikal.tri.sch.gr</t>
  </si>
  <si>
    <t>ΟΜΗΡΟΥ 23</t>
  </si>
  <si>
    <t>5ο ΝΗΠΙΑΓΩΓΕΙΟ ΤΡΙΚΑΛΩΝ</t>
  </si>
  <si>
    <t>mail@5nip-trikal.tri.sch.gr</t>
  </si>
  <si>
    <t>25ης Μαρτίου 27</t>
  </si>
  <si>
    <t>19ο ΝΗΠΙΑΓΩΓΕΙΟ ΤΡΙΚΑΛΩΝ</t>
  </si>
  <si>
    <t>mail@19nip-trikal.tri.sch.gr</t>
  </si>
  <si>
    <t>ΑΓ. ΑΠΟΣΤΟΛΟΙ</t>
  </si>
  <si>
    <t>ΝΗΠΙΑΓΩΓΕΙΟ ΦΛΑΜΟΥΛΙΟΥ</t>
  </si>
  <si>
    <t>mail@nip-flamou.tri.sch.gr</t>
  </si>
  <si>
    <t>ΦΛΑΜΟΥΛΙΟΥ</t>
  </si>
  <si>
    <t>ΦΛΑΜΟΥΛΙ</t>
  </si>
  <si>
    <t>2ο ΝΗΠΙΑΓΩΓΕΙΟ ΤΡΙΚΑΛΩΝ</t>
  </si>
  <si>
    <t>mail@2nip-trikal.tri.sch.gr</t>
  </si>
  <si>
    <t>ΛΑΜΠΡΟΥ ΚΑΤΣΩΝΗ</t>
  </si>
  <si>
    <t>ΝΗΠΙΑΓΩΓΕΙΟ ΜΕΓΑΛΟΧΩΡΙΟΥ ΤΡΙΚΑΛΩΝ</t>
  </si>
  <si>
    <t>mail@nip-megal.tri.sch.gr</t>
  </si>
  <si>
    <t>24ο ΝΗΠΙΑΓΩΓΕΙΟ ΤΡΙΚΑΛΩΝ</t>
  </si>
  <si>
    <t>mail@24nip-trikal.tri.sch.gr</t>
  </si>
  <si>
    <t>ΜΑΚΡΟΝΗΣΟΥ ΚΑΙ ΙΘΑΚΗΣ</t>
  </si>
  <si>
    <t>ΠΑΡΑΛΗΘΑΙΩΝ</t>
  </si>
  <si>
    <t>ΡΑΞΑΣ</t>
  </si>
  <si>
    <t>ΝΗΠΙΑΓΩΓΕΙΟ ΡΑΞΑΣ</t>
  </si>
  <si>
    <t>mail@nip-raxas.tri.sch.gr</t>
  </si>
  <si>
    <t>ΡΑΞΑ</t>
  </si>
  <si>
    <t>18ο ΝΗΠΙΑΓΩΓΕΙΟ ΤΡΙΚΑΛΩΝ</t>
  </si>
  <si>
    <t>mail@18nip-trikal.tri.sch.gr</t>
  </si>
  <si>
    <t>ΚΡΗΣΙΛΑΣ κ ΚΥΒΕΛΗΣ</t>
  </si>
  <si>
    <t>ΝΗΠΙΑΓΩΓΕΙΟ ΠΥΡΓΕΤΟΥ</t>
  </si>
  <si>
    <t>mail@nip-pyrget.tri.sch.gr</t>
  </si>
  <si>
    <t>ΠΕΛΙΝΝΑΙΩΝ</t>
  </si>
  <si>
    <t>ΣΕΡΒΩΤΩΝ</t>
  </si>
  <si>
    <t>ΝΗΠΙΑΓΩΓΕΙΟ ΣΕΡΒΩΤΩΝ</t>
  </si>
  <si>
    <t>mail@nip-servot.tri.sch.gr</t>
  </si>
  <si>
    <t>ΣΕΡΒΩΤΑ</t>
  </si>
  <si>
    <t>ΝΟΜΗΣ</t>
  </si>
  <si>
    <t>ΝΗΠΙΑΓΩΓΕΙΟ ΝΟΜΗΣ</t>
  </si>
  <si>
    <t>mail@nip-nomis.tri.sch.gr</t>
  </si>
  <si>
    <t>ΝΟΜΗ</t>
  </si>
  <si>
    <t>ΝΗΠΙΑΓΩΓΕΙΟ ΑΜΠΕΛΑΚΙΩΝ ΤΡΙΚΑΛΩΝ</t>
  </si>
  <si>
    <t>mail@nip-ampelak.tri.sch.gr</t>
  </si>
  <si>
    <t>ΝΗΠΙΑΓΩΓΕΙΟ ΚΕΦΑΛΟΒΡΥΣΟΥ ΤΡΙΚΑΛΩΝ</t>
  </si>
  <si>
    <t>mail@nip-kefal.tri.sch.gr</t>
  </si>
  <si>
    <t>23ο ΝΗΠΙΑΓΩΓΕΙΟ ΤΡΙΚΑΛΩΝ</t>
  </si>
  <si>
    <t>mail@23nip-trikal.tri.sch.gr</t>
  </si>
  <si>
    <t>ΕΥΒΟΙΑΣ ΤΕΡΜΑ</t>
  </si>
  <si>
    <t>7ο ΝΗΠΙΑΓΩΓΕΙΟ ΤΡΙΚΑΛΩΝ</t>
  </si>
  <si>
    <t>mail@7nip-trikal.tri.sch.gr</t>
  </si>
  <si>
    <t>ΛΕΡΟΥ 1</t>
  </si>
  <si>
    <t>ΔΗΜΟΤΙΚΟ ΣΧΟΛΕΙΟ ΓΑΒΡΟΥ</t>
  </si>
  <si>
    <t>mail@dim-gavrou.tri.sch.gr</t>
  </si>
  <si>
    <t>ΓΑΒΡΟΣ</t>
  </si>
  <si>
    <t>31ο ΝΗΠΙΑΓΩΓΕΙΟ ΤΡΙΚΑΛΩΝ</t>
  </si>
  <si>
    <t>mail@31nip-trikal.tri.sch.gr</t>
  </si>
  <si>
    <t>ΙΑΣΟΝΟΣ</t>
  </si>
  <si>
    <t>17ο ΝΗΠΙΑΓΩΓΕΙΟ ΤΡΙΚΑΛΩΝ</t>
  </si>
  <si>
    <t>mail@17nip-trikal.tri.sch.gr</t>
  </si>
  <si>
    <t>11ο ΝΗΠΙΑΓΩΓΕΙΟ ΤΡΙΚΑΛΩΝ</t>
  </si>
  <si>
    <t>mail@11nip-trikal.tri.sch.gr</t>
  </si>
  <si>
    <t>ΘΕΟΠΕΤΡΑΣ</t>
  </si>
  <si>
    <t>ΓΛΙΝΟΥ</t>
  </si>
  <si>
    <t>ΝΗΠΙΑΓΩΓΕΙΟ ΓΛΙΝΟΥ</t>
  </si>
  <si>
    <t>mail@nip-glynou.tri.sch.gr</t>
  </si>
  <si>
    <t>ΓΛΙΝΟΣ</t>
  </si>
  <si>
    <t>ΠΑΤΟΥΛΙΑΣ</t>
  </si>
  <si>
    <t>ΝΗΠΙΑΓΩΓΕΙΟ ΠΑΤΟΥΛΙΑΣ</t>
  </si>
  <si>
    <t>mail@nip-patoul.tri.sch.gr</t>
  </si>
  <si>
    <t>ΠΑΤΟΥΛΙΑ</t>
  </si>
  <si>
    <t>ΜΕΓΑΛΟΥ ΚΕΦΑΛΟΒΡΥΣΟΥ</t>
  </si>
  <si>
    <t>ΝΗΠΙΑΓΩΓΕΙΟ ΜΕΓ. ΚΕΦΑΛΟΒΡΥΣΟΥ</t>
  </si>
  <si>
    <t>mail@nip-meg-kefal.tri.sch.gr</t>
  </si>
  <si>
    <t>ΜΕΓ. ΚΕΦΑΛΟΒΡΥΣΟΥ</t>
  </si>
  <si>
    <t>ΜΕΓ. ΚΕΦΑΛΟΒΡΥΣΟ</t>
  </si>
  <si>
    <t>20ο ΝΗΠΙΑΓΩΓΕΙΟ ΤΡΙΚΑΛΩΝ</t>
  </si>
  <si>
    <t>mail@20nip-trikal.tri.sch.gr</t>
  </si>
  <si>
    <t>ΕΛΛΗΝΙΚΟΥ ΣΤΡΑΤΟΥ 12</t>
  </si>
  <si>
    <t>33ο ΔΗΜΟΤΙΚΟ ΣΧΟΛΕΙΟ ΤΡΙΚΑΛΩΝ</t>
  </si>
  <si>
    <t>mail@33dim-trikal.tri.sch.gr</t>
  </si>
  <si>
    <t>ΜΑΤΑΡΑΓΚΙΩΤΟΥ ΚΑΙ ΕΛΛΗΝΙΚΟΥ ΣΤΡΑΤΟΥ</t>
  </si>
  <si>
    <t>25ο ΔΗΜΟΤΙΚΟ ΣΧΟΛΕΙΟ ΤΡΙΚΑΛΩΝ</t>
  </si>
  <si>
    <t>mail@25dim-trikal.tri.sch.gr</t>
  </si>
  <si>
    <t>ΑΛΩΝΙΑ ΜΠΑΡΑΣ</t>
  </si>
  <si>
    <t>mail@31dim-trikal.tri.sch.gr</t>
  </si>
  <si>
    <t>1ο ΝΗΠΙΑΓΩΓΕΙΟ ΟΙΧΑΛΙΑΣ</t>
  </si>
  <si>
    <t>mail@1nip-oichal.tri.sch.gr</t>
  </si>
  <si>
    <t>ΑΓΙΟΥ ΝΙΚΟΛΑΟΥ 7</t>
  </si>
  <si>
    <t>2ο ΔΗΜΟΤΙΚΟ ΣΧΟΛΕΙΟ ΟΙΧΑΛΙΑΣ</t>
  </si>
  <si>
    <t>mail@2dim-oichal.tri.sch.gr</t>
  </si>
  <si>
    <t>25ης Μαρτίου 38</t>
  </si>
  <si>
    <t>24ο ΔΗΜΟΤΙΚΟ ΣΧΟΛΕΙΟ ΤΡΙΚΑΛΩΝ</t>
  </si>
  <si>
    <t>mail@24dim-trikal.tri.sch.gr</t>
  </si>
  <si>
    <t>ΟΔΟΣ ΝΕΡΑΊΔΑΣ 2 - ΑΓΙΟΣ ΟΙΚΟΥΜΕΝΙΟΣ</t>
  </si>
  <si>
    <t>ΒΑΣΙΛΙΚΗΣ</t>
  </si>
  <si>
    <t>ΔΗΜΟΤΙΚΟ ΣΧΟΛΕΙΟ ΒΑΣΙΛΙΚΗΣ</t>
  </si>
  <si>
    <t>mail@dim-vasil.tri.sch.gr</t>
  </si>
  <si>
    <t>ΒΑΣΙΛΙΚΗ</t>
  </si>
  <si>
    <t>11ο ΔΗΜΟΤΙΚΟ ΣΧΟΛΕΙΟ ΤΡΙΚΑΛΩΝ</t>
  </si>
  <si>
    <t>mail@11dim-trikal.tri.sch.gr</t>
  </si>
  <si>
    <t>ΣΥΡΟΥ 1</t>
  </si>
  <si>
    <t>20ο ΔΗΜΟΤΙΚΟ ΣΧΟΛΕΙΟ ΤΡΙΚΑΛΩΝ</t>
  </si>
  <si>
    <t>mail@20dim-trikal.tri.sch.gr</t>
  </si>
  <si>
    <t>ΛΕΠΤΟΚΑΡΥΑ  ΤΡΙΚΑΛΩΝ  ΟΔΟΣ ΒΕΡΓΙΝΑΣ &amp; ΓΙΑΝΝΟΥΣΗ</t>
  </si>
  <si>
    <t>mail@1dim-oichal.tri.sch.gr</t>
  </si>
  <si>
    <t>ΠΕΡΙΦΕΡΕΙΑΚΟΣ ΙΦΙΤΟΥ 2</t>
  </si>
  <si>
    <t>30ο ΔΗΜΟΤΙΚΟ ΣΧΟΛΕΙΟ ΤΡΙΚΑΛΩΝ</t>
  </si>
  <si>
    <t>mail@30dim-trikal.tri.sch.gr</t>
  </si>
  <si>
    <t>ΚΛΕΙΔΩΝΟΠΟΥΛΟΥ 55</t>
  </si>
  <si>
    <t>ΔΗΜΟΤΙΚΟ ΣΧΟΛΕΙΟ ΠΡΙΝΟΥ ΤΡΙΚΑΛΩΝ</t>
  </si>
  <si>
    <t>mail@dim-prinou.tri.sch.gr</t>
  </si>
  <si>
    <t>ΓΟΜΦΩΝ</t>
  </si>
  <si>
    <t>ΔΗΜΟΤΙΚΟ ΣΧΟΛΕΙΟ ΠΗΓΗΣ ΤΡΙΚΑΛΩΝ</t>
  </si>
  <si>
    <t>mail@dim-pigis.tri.sch.gr</t>
  </si>
  <si>
    <t>ΠΗΓΗ</t>
  </si>
  <si>
    <t>5ο ΔΗΜΟΤΙΚΟ ΣΧΟΛΕΙΟ ΤΡΙΚΑΛΩΝ "ΔΙΟΝΥΣΙΟΣ ΣΟΛΩΜΟΣ"</t>
  </si>
  <si>
    <t>mail@5dim-trikal.tri.sch.gr</t>
  </si>
  <si>
    <t>ΜΑΥΡΟΚΟΡΔΑΤΟΥ 79</t>
  </si>
  <si>
    <t>ΣΚΕΠΑΡΙΟΥ</t>
  </si>
  <si>
    <t>ΔΗΜΟΤΙΚΟ ΣΧΟΛΕΙΟ ΣΚΕΠΑΡΙΟΥ</t>
  </si>
  <si>
    <t>mail@dim-skepar.tri.sch.gr</t>
  </si>
  <si>
    <t>ΣΚΕΠΑΡΙ</t>
  </si>
  <si>
    <t>mail@2dim-kalamp.tri.sch.gr</t>
  </si>
  <si>
    <t>Μ. ΓΚΙΚΑ 2</t>
  </si>
  <si>
    <t>mail@dim-oxyneias.tri.sch.gr</t>
  </si>
  <si>
    <t>ΟΞΥΝΕΙΑ</t>
  </si>
  <si>
    <t>mail@3dim-trikal.tri.sch.gr</t>
  </si>
  <si>
    <t>ΑΒΕΡΩΦ 43</t>
  </si>
  <si>
    <t>ΝΗΠΙΑΓΩΓΕΙΟ ΒΑΣΙΛΙΚΗΣ ΤΡΙΚΑΛΩΝ</t>
  </si>
  <si>
    <t>mail@1nip-vasil.tri.sch.gr</t>
  </si>
  <si>
    <t>1ο ΔΗΜΟΤΙΚΟ ΣΧΟΛΕΙΟ ΤΡΙΚΑΛΩΝ "ΔΩΡΟΘΕΟΣ ΣΧΟΛΑΡΙΟΣ"</t>
  </si>
  <si>
    <t>mail@1dim-trikal.tri.sch.gr</t>
  </si>
  <si>
    <t>ΔΕΡΒΕΝΑΚΙΩΝ ΚΑΙ ΝΤΑΗ</t>
  </si>
  <si>
    <t>ΑΓΙΟΦΥΛΛΟΥ</t>
  </si>
  <si>
    <t>ΔΗΜΟΤΙΚΟ ΣΧΟΛΕΙΟ ΑΓΙΟΦΥΛΛΟΥ</t>
  </si>
  <si>
    <t>mail@dim-agiof.tri.sch.gr</t>
  </si>
  <si>
    <t>ΑΓΙΟΦΥΛΛΟ</t>
  </si>
  <si>
    <t>ΚΟΤΡΩΝΙΟΥ</t>
  </si>
  <si>
    <t>ΔΗΜΟΤΙΚΟ ΣΧΟΛΕΙΟ ΚΟΤΡΩΝΙOY</t>
  </si>
  <si>
    <t>mail@dim-kotron.tri.sch.gr</t>
  </si>
  <si>
    <t>ΚΟΤΡΩΝΙ</t>
  </si>
  <si>
    <t>ΚΟΤΡΩΝΙ ΤΡΙΚΑΛΩΝ</t>
  </si>
  <si>
    <t>ΖΑΡΚΟΥ</t>
  </si>
  <si>
    <t>ΔΗΜΟΤΙΚΟ ΣΧΟΛΕΙΟ ΖΑΡΚΟΥ</t>
  </si>
  <si>
    <t>mail@dim-zarkou.tri.sch.gr</t>
  </si>
  <si>
    <t>ΖΑΡΚΟ</t>
  </si>
  <si>
    <t>ΣΥΝΤΑΓΜΑΤΑΡΧΟΥ ΛΩΡΗ 1</t>
  </si>
  <si>
    <t>ΝΗΠΙΑΓΩΓΕΙΟ ΑΜΠΕΛΙΩΝ</t>
  </si>
  <si>
    <t>mail@nip-ampel.tri.sch.gr</t>
  </si>
  <si>
    <t>ΝΗΠΙΑΓΩΓΕΙΟ ΠΗΓΗΣ</t>
  </si>
  <si>
    <t>mail@nip-pigis.tri.sch.gr</t>
  </si>
  <si>
    <t>mail@12dim-trikal.tri.sch.gr</t>
  </si>
  <si>
    <t>ΔΕΛΗΓΙΑΝΝΗ</t>
  </si>
  <si>
    <t>ΠΙΑΛΕΙΩΝ</t>
  </si>
  <si>
    <t>ΝΗΠΙΑΓΩΓΕΙΟ ΦΙΛΥΡΑΣ</t>
  </si>
  <si>
    <t>mail@nip-filyr.tri.sch.gr</t>
  </si>
  <si>
    <t>ΦΙΛΥΡΑ</t>
  </si>
  <si>
    <t>ΔΗΜΟΤΙΚΟ ΣΧΟΛΕΙΟ ΠΡΟΔΡΟΜΟΥ ΤΡΙΚΚΑΙΩΝ</t>
  </si>
  <si>
    <t>mail@dim-prodr.tri.sch.gr</t>
  </si>
  <si>
    <t>ΜΟΥΡΙΑΣ</t>
  </si>
  <si>
    <t>ΝΗΠΙΑΓΩΓΕΙΟ ΜΟΥΡΙΑΣ</t>
  </si>
  <si>
    <t>mail@nip-mourias.tri.sch.gr</t>
  </si>
  <si>
    <t>ΜΟΥΡΙΑ</t>
  </si>
  <si>
    <t>ΝΗΠΙΑΓΩΓΕΙΟ ΡΙΖΑΡΙΟΥ</t>
  </si>
  <si>
    <t>mail@nip-rizar.tri.sch.gr</t>
  </si>
  <si>
    <t>ΡΙΖΑΡΙΟΥ</t>
  </si>
  <si>
    <t>ΡΙΖΑΡΙΟ</t>
  </si>
  <si>
    <t>ΔΗΜΟΤΙΚΟ ΣΧΟΛΕΙΟ ΦΙΛΥΡΑΣ</t>
  </si>
  <si>
    <t>mail@dim-filyr.tri.sch.gr</t>
  </si>
  <si>
    <t>ΓΕΝΕΣΙΟΥ</t>
  </si>
  <si>
    <t>ΝΗΠΙΑΓΩΓΕΙΟ ΓΕΝΕΣΙΟΥ</t>
  </si>
  <si>
    <t>mail@nip-genes.tri.sch.gr</t>
  </si>
  <si>
    <t>ΓΕΝΕΣΙ</t>
  </si>
  <si>
    <t>ΔΗΜΟΤΙΚΟ ΣΧΟΛΕΙΟ ΡΙΖΩΜΑΤΟΣ</t>
  </si>
  <si>
    <t>mail@dim-rizom.tri.sch.gr</t>
  </si>
  <si>
    <t>1o χλμ, επαρχιακής οδού Ριζώματος -Τρικάλων (Πρώην Γυμνάσιο Ριζώματος)</t>
  </si>
  <si>
    <t>1ο ΔΗΜΟΤΙΚΟ ΣΧΟΛΕΙΟ ΦΑΡΚΑΔΟΝΑΣ</t>
  </si>
  <si>
    <t>mail@1dim-farkad.tri.sch.gr</t>
  </si>
  <si>
    <t>ΝΙΚ. ΠΛΑΣΤΗΡΑ 46</t>
  </si>
  <si>
    <t>ΝΗΠΙΑΓΩΓΕΙΟ ΓΟΜΦΩΝ</t>
  </si>
  <si>
    <t>mail@nip-gomfon.tri.sch.gr</t>
  </si>
  <si>
    <t>ΓΟΜΦΟΙ</t>
  </si>
  <si>
    <t>ΑΓΝΑΝΤΙΑΣ</t>
  </si>
  <si>
    <t>ΔΗΜΟΤΙΚΟ ΣΧΟΛΕΙΟ ΑΓΝΑΝΤΙΑΣ</t>
  </si>
  <si>
    <t>mail@dim-agnant.tri.sch.gr</t>
  </si>
  <si>
    <t>ΡΟΠΟΤΟΥ</t>
  </si>
  <si>
    <t>ΔΗΜΟΤΙΚΟ ΣΧΟΛΕΙΟ ΡΟΠΩΤΟΥ</t>
  </si>
  <si>
    <t>mail@dim-ropot.tri.sch.gr</t>
  </si>
  <si>
    <t>ΡΟΠΩΤΟΥ</t>
  </si>
  <si>
    <t>ΡΟΠΩΤΟ</t>
  </si>
  <si>
    <t>ΑΥΡΑΣ</t>
  </si>
  <si>
    <t>ΝΗΠΙΑΓΩΓΕΙΟ ΑΥΡΑΣ</t>
  </si>
  <si>
    <t>mail@nip-avras.tri.sch.gr</t>
  </si>
  <si>
    <t>ΦΩΤΑΔΑΣ</t>
  </si>
  <si>
    <t>ΝΗΠΙΑΓΩΓΕΙΟ ΦΩΤΑΔΑΣ</t>
  </si>
  <si>
    <t>mail@nip-fotad.tri.sch.gr</t>
  </si>
  <si>
    <t>ΦΩΤΑΔΑ</t>
  </si>
  <si>
    <t>ΝΗΠΙΑΓΩΓΕΙΟ ΑΣΠΡΟΚΚΛΗΣΙΑΣ ΤΡΙΚΑΛΩΝ</t>
  </si>
  <si>
    <t>mail@nip-asprokk.tri.sch.gr</t>
  </si>
  <si>
    <t>ΑΣΠΡΟΚΛΗΣΙΑΣ</t>
  </si>
  <si>
    <t>ΜΑΛΑΚΑΣΙΟΥ</t>
  </si>
  <si>
    <t>ΝΗΠΙΑΓΩΓΕΙΟ ΠΑΝΑΓΙΑΣ</t>
  </si>
  <si>
    <t>mail@nip-panagias.tri.sch.gr</t>
  </si>
  <si>
    <t>ΧΡΥΣΟΜΗΛΕΑΣ</t>
  </si>
  <si>
    <t>ΝΗΠΙΑΓΩΓΕΙΟ ΧΡΥΣΟΜΗΛΙΑΣ</t>
  </si>
  <si>
    <t>mail@nip-chrys.tri.sch.gr</t>
  </si>
  <si>
    <t>ΧΡΥΣΟΜΗΛΙΑΣ</t>
  </si>
  <si>
    <t>ΔΗΜΟΤΙΚΟ ΣΧΟΛΕΙΟ ΜΟΥΡΣΙΑΣ</t>
  </si>
  <si>
    <t>mail@dim-mours.tri.sch.gr</t>
  </si>
  <si>
    <t>ΜΟΥΡΣΙΑΣ</t>
  </si>
  <si>
    <t>ΜΟΥΡΣΙΑ</t>
  </si>
  <si>
    <t>ΔΗΜΟΤΙΚΟ ΣΧΟΛΕΙΟ ΔΙΑΣΕΛΛΟΥ</t>
  </si>
  <si>
    <t>mail@dim-diasell.tri.sch.gr</t>
  </si>
  <si>
    <t>ΑΧΛΑΔΟΧΩΡΙΟΥ 3</t>
  </si>
  <si>
    <t>4ο ΔΗΜΟΤΙΚΟ ΣΧΟΛΕΙΟ ΤΡΙΚΑΛΩΝ</t>
  </si>
  <si>
    <t>mail@4dim-trikal.tri.sch.gr</t>
  </si>
  <si>
    <t>Πλατεία Παναγίας Επισκέψεως</t>
  </si>
  <si>
    <t>ΓΛΥΚΟΜΗΛΕΑΣ</t>
  </si>
  <si>
    <t>ΔΗΜΟΤΙΚΟ ΣΧΟΛΕΙΟ ΓΛΥΚΟΜΗΛΙΑΣ</t>
  </si>
  <si>
    <t>mail@dim-glykom.tri.sch.gr</t>
  </si>
  <si>
    <t>ΓΛΥΚΟΜΗΛΙΑ</t>
  </si>
  <si>
    <t>ΔΗΜΟΤΙΚΟ ΣΧΟΛΕΙΟ ΚΕΦΑΛΟΒΡΥΣΟΥ ΤΡΙΚΑΛΩΝ -</t>
  </si>
  <si>
    <t>mail@dim-kefal.tri.sch.gr</t>
  </si>
  <si>
    <t>ΚΕΦΑΛΟΒΡΥΣΟ ΤΡΙΚΑΛΩΝ</t>
  </si>
  <si>
    <t>ΝΗΠΙΑΓΩΓΕΙΟ ΜΕΓΑΛΩΝ ΚΑΛΥΒΙΩΝ</t>
  </si>
  <si>
    <t>mail@nip-m-kalyv.tri.sch.gr</t>
  </si>
  <si>
    <t>ΜΕΓ. ΚΑΛΥΒΙΩΝ</t>
  </si>
  <si>
    <t>ΜΕΓ. ΚΑΛΥΒΙΑ</t>
  </si>
  <si>
    <t>ΝΗΠΙΑΓΩΓΕΙΟ ΜΕΓΑΡΧΗΣ</t>
  </si>
  <si>
    <t>mail@nip-megarch.tri.sch.gr</t>
  </si>
  <si>
    <t>ΜΕΓΑΡΧΗ</t>
  </si>
  <si>
    <t>mail@9dim-trikal.tri.sch.gr</t>
  </si>
  <si>
    <t>ΚΑΤΣΙΜΗΔΟΥ ΤΕΡΜΑ (ΕΝΑΝΤΙ ΚΛΕΙΣΤΟΥ ΓΥΜΝΑΣΤΗΡΙΟΥ)</t>
  </si>
  <si>
    <t>ΔΗΜΟΤΙΚΟ ΣΧΟΛΕΙΟ ΤΑΞΙΑΡΧΩΝ</t>
  </si>
  <si>
    <t>mail@dim-taxiarch.tri.sch.gr</t>
  </si>
  <si>
    <t>22ο ΔΗΜΟΤΙΚΟ ΣΧΟΛΕΙΟ ΤΡΙΚΑΛΩΝ</t>
  </si>
  <si>
    <t>mail@22dim-trikal.tri.sch.gr</t>
  </si>
  <si>
    <t>ΣΩΤΗΡΑ</t>
  </si>
  <si>
    <t>2ο ΝΗΠΙΑΓΩΓΕΙΟ ΚΑΛΑΜΠΑΚΑΣ</t>
  </si>
  <si>
    <t>mail@2nip-kalamp.tri.sch.gr</t>
  </si>
  <si>
    <t>Μ.ΓΚΙΚΑ 2</t>
  </si>
  <si>
    <t>ΔΗΜΟΤΙΚΟ ΣΧΟΛΕΙΟ ΠΑΝΑΓΙΑΣ</t>
  </si>
  <si>
    <t>mail@dim-panagias.tri.sch.gr</t>
  </si>
  <si>
    <t>ΛΥΓΑΡΙΑΣ</t>
  </si>
  <si>
    <t>ΝΗΠΙΑΓΩΓΕΙΟ ΛΥΓΑΡΙΑΣ</t>
  </si>
  <si>
    <t>mail@nip-lygar.tri.sch.gr</t>
  </si>
  <si>
    <t>ΛΥΓΑΡΙΑ</t>
  </si>
  <si>
    <t>ΔΗΜΟΤΙΚΟ ΣΧΟΛΕΙΟ ΡΑΞΑΣ</t>
  </si>
  <si>
    <t>mail@dim-raxis.tri.sch.gr</t>
  </si>
  <si>
    <t>4ο ΝΗΠΙΑΓΩΓΕΙΟ ΚΑΛΑΜΠΑΚΑΣ</t>
  </si>
  <si>
    <t>mail@4nip-kalamp.tri.sch.gr</t>
  </si>
  <si>
    <t>ΗΠΕΙΡΟΥ &amp; ΠΥΘΑΓΟΡΑ</t>
  </si>
  <si>
    <t>ΝΗΠΙΑΓΩΓΕΙΟ ΠΡΟΔΡΟΜΟΥ ΤΡΙΚΑΛΩΝ</t>
  </si>
  <si>
    <t>mail@nip-prodr.tri.sch.gr</t>
  </si>
  <si>
    <t>3ο ΝΗΠΙΑΓΩΓΕΙΟ ΚΑΛΑΜΠΑΚΑΣ</t>
  </si>
  <si>
    <t>mail@3nip-kalamp.tri.sch.gr</t>
  </si>
  <si>
    <t>ΧΑΡΙΛΑΟΥ ΤΡΙΚΟΥΠΗ 10</t>
  </si>
  <si>
    <t>17ο ΔΗΜΟΤΙΚΟ ΣΧΟΛΕΙΟ ΤΡΙΚΑΛΩΝ</t>
  </si>
  <si>
    <t>mail@17dim-trikal.tri.sch.gr</t>
  </si>
  <si>
    <t>ΚΟΚΚΙΝΟΣ ΠΥΡΓΟΣ</t>
  </si>
  <si>
    <t>ΑΙΘΗΚΩΝ</t>
  </si>
  <si>
    <t>ΕΛΑΤΗΣ</t>
  </si>
  <si>
    <t>ΝΗΠΙΑΓΩΓΕΙΟ ΕΛΑΤΗΣ</t>
  </si>
  <si>
    <t>mail@nip-elatis.tri.sch.gr</t>
  </si>
  <si>
    <t>ΕΛΑΤΗ</t>
  </si>
  <si>
    <t>ΝΗΠΙΑΓΩΓΕΙΟ ΘΕΟΠΕΤΡΑΣ</t>
  </si>
  <si>
    <t>mail@nip-theop.tri.sch.gr</t>
  </si>
  <si>
    <t>5ο ΝΗΠΙΑΓΩΓΕΙΟ ΚΑΛΑΜΠΑΚΑΣ</t>
  </si>
  <si>
    <t>mail@5nip-kalamp.tri.sch.gr</t>
  </si>
  <si>
    <t>ΣΡΑΤΗΓΟΥ ΚΑΤΣΙΜΗΤΡΟΥ 18</t>
  </si>
  <si>
    <t>ΔΙΑΒΑΣ</t>
  </si>
  <si>
    <t>ΝΗΠΙΑΓΩΓΕΙΟ ΔΙΑΒΑΣ</t>
  </si>
  <si>
    <t>mail@nip-diavas.tri.sch.gr</t>
  </si>
  <si>
    <t>ΔΙΑΒΑ</t>
  </si>
  <si>
    <t>1ο ΝΗΠΙΑΓΩΓΕΙΟ ΚΑΛΑΜΠΑΚΑΣ</t>
  </si>
  <si>
    <t>mail@1nip-kalamp.tri.sch.gr</t>
  </si>
  <si>
    <t>Γ. ΜΑΣΟΥΤΑ 11</t>
  </si>
  <si>
    <t>ΕΛΕΥΘΕΡΟΧΩΡΙΟΥ</t>
  </si>
  <si>
    <t>ΝΗΠΙΑΓΩΓΕΙΟ ΕΛΕΥΘΕΡΟΧΩΡΙΟΥ</t>
  </si>
  <si>
    <t>mail@nip-elefth.tri.sch.gr</t>
  </si>
  <si>
    <t>ΕΛΕΥΘΕΡΟΧΩΡΙ</t>
  </si>
  <si>
    <t>ΔΗΜΟΤΙΚΟ ΣΧΟΛΕΙΟ  ΑΣΠΡΟΚΚΛΗΣΙΑΣ</t>
  </si>
  <si>
    <t>mail@dim-asprokk.tri.sch.gr</t>
  </si>
  <si>
    <t>mail@27dim-trikal.tri.sch.gr</t>
  </si>
  <si>
    <t>ΕΥΚΛΗ 13</t>
  </si>
  <si>
    <t>ΝΗΠΙΑΓΩΓΕΙΟ ΚΟΤΡΩΝΙΟΥ</t>
  </si>
  <si>
    <t>mail@nip-kotron.tri.sch.gr</t>
  </si>
  <si>
    <t>ΦΗΚΗΣ</t>
  </si>
  <si>
    <t>ΝΗΠΙΑΓΩΓΕΙΟ ΦΗΚΗΣ</t>
  </si>
  <si>
    <t>mail@nip-fikis.tri.sch.gr</t>
  </si>
  <si>
    <t>ΦΗΚΗ</t>
  </si>
  <si>
    <t>ΔΗΜΟΤΙΚΟ ΣΧΟΛΕΙΟ ΠΑΤΟΥΛΙΑΣ</t>
  </si>
  <si>
    <t>mail@dim-patoul.tri.sch.gr</t>
  </si>
  <si>
    <t>ΠΙΝΔΕΩΝ</t>
  </si>
  <si>
    <t>ΣΤΟΥΡΝΑΡΑΙΙΚΩΝ</t>
  </si>
  <si>
    <t>ΝΗΠΙΑΓΩΓΕΙΟ ΣΤΟΥΡΝΑΡΑΙΙΚΩΝ</t>
  </si>
  <si>
    <t>mail@nip-stourn.tri.sch.gr</t>
  </si>
  <si>
    <t>ΣΤΟΥΡΝΑΡΑΙΙΚΑ</t>
  </si>
  <si>
    <t>1ο ΕΙΔΙΚΟ ΔΗΜΟΤΙΚΟ ΣΧΟΛΕΙΟ ΤΡΙΚΑΛΩΝ</t>
  </si>
  <si>
    <t>mail@1dim-eid-trikal.tri.sch.gr</t>
  </si>
  <si>
    <t>ΠΙΑΛΕΙΑΣ</t>
  </si>
  <si>
    <t>ΝΗΠΙΑΓΩΓΕΙΟ ΠΙΑΛΕΙΑΣ</t>
  </si>
  <si>
    <t>mail@nip-pialeias.tri.sch.gr</t>
  </si>
  <si>
    <t>ΠΙΑΛΕΙΑ</t>
  </si>
  <si>
    <t>mail@2dim-trikal.tri.sch.gr</t>
  </si>
  <si>
    <t>ΠΑΡΟΔΟΣ ΚΑΡΔΙΤΣΗΣ</t>
  </si>
  <si>
    <t>ΝΗΠΙΑΓΩΓΕΙΟ ΠΥΛΗΣ ΤΡΙΚΑΛΩΝ</t>
  </si>
  <si>
    <t>mail@nip-pylis.tri.sch.gr</t>
  </si>
  <si>
    <t>ΝΗΠΙΑΓΩΓΕΙΟ ΠΡΙΝΟΥ</t>
  </si>
  <si>
    <t>mail@nip-prinou.tri.sch.gr</t>
  </si>
  <si>
    <t>ΓΟΡΓΟΓΥΡΙΟΥ</t>
  </si>
  <si>
    <t>ΝΗΠΙΑΓΩΓΕΙΟ ΓΟΡΓΟΓΥΡΙΟΥ</t>
  </si>
  <si>
    <t>mail@nip-gorgog.tri.sch.gr</t>
  </si>
  <si>
    <t>ΓΟΡΓΟΓΥΡΙ</t>
  </si>
  <si>
    <t>ΠΑΛΑΙΟΜΟΝΑΣΤΗΡΟΥ</t>
  </si>
  <si>
    <t>ΝΗΠΙΑΓΩΓΕΙΟ ΠΑΛΑΙΟΜΟΝΑΣΤΗΡΟΥ</t>
  </si>
  <si>
    <t>mail@nip-palaiom.tri.sch.gr</t>
  </si>
  <si>
    <t>Τρικάλων</t>
  </si>
  <si>
    <t>Παλαιομονάστηρο</t>
  </si>
  <si>
    <t>ΔΕΝΔΡΟΧΩΡΙΟΥ</t>
  </si>
  <si>
    <t>ΝΗΠΙΑΓΩΓΕΙΟ ΔΕΝΔΡΟΧΩΡΙΟΥ ΤΡΙΚΑΛΩΝ</t>
  </si>
  <si>
    <t>mail@nip-dendr.tri.sch.gr</t>
  </si>
  <si>
    <t>ΔΕΝΔΡΟΧΩΡΙ</t>
  </si>
  <si>
    <t>1ο ΕΙΔΙΚΟ ΔΗΜΟΤΙΚΟ ΣΧΟΛΕΙΟ ΚΑΛΑΜΠΑΚΑΣ</t>
  </si>
  <si>
    <t>mail@1dim-eid-kalamp.tri.sch.gr</t>
  </si>
  <si>
    <t>ΑΓ. ΣΤΕΦΑΝΟΥ 6</t>
  </si>
  <si>
    <t>ΠΑΛΗΟΚΑΣΤΡΟΥ</t>
  </si>
  <si>
    <t>ΚΡΗΝΙΤΣΗΣ</t>
  </si>
  <si>
    <t>ΝΗΠΙΑΓΩΓΕΙΟ ΚΡΗΝΙΤΣΑΣ</t>
  </si>
  <si>
    <t>mail@nip-krinits.tri.sch.gr</t>
  </si>
  <si>
    <t>ΚΡΗΝΙΤΣΑΣ</t>
  </si>
  <si>
    <t>ΚΡΗΝΙΤΣΑ</t>
  </si>
  <si>
    <t>6ο ΝΗΠΙΑΓΩΓΕΙΟ ΤΡΙΚΑΛΩΝ</t>
  </si>
  <si>
    <t>mail@6nip-trikal.tri.sch.gr</t>
  </si>
  <si>
    <t>ΠΑΡΟΔΟΣ ΠΑΤΟΥΛΙΑΣ</t>
  </si>
  <si>
    <t>mail@10dim-trikal.tri.sch.gr</t>
  </si>
  <si>
    <t>ΚΑΣΤΡΑΚΙΔΟΥ ΚΑΙ ΜΑΚΕΔΟΝΙΑΣ ΤΕΡΜΑ</t>
  </si>
  <si>
    <t>10ο ΝΗΠΙΑΓΩΓΕΙΟ ΤΡΙΚΑΛΩΝ</t>
  </si>
  <si>
    <t>mail@10nip-trikal.tri.sch.gr</t>
  </si>
  <si>
    <t>ΑΓΙΟΣ ΟΙΚΟΥΜΕΝΙΟΣ</t>
  </si>
  <si>
    <t>25ο ΝΗΠΙΑΓΩΓΕΙΟ ΤΡΙΚΑΛΩΝ</t>
  </si>
  <si>
    <t>mail@25nip-trikal.tri.sch.gr</t>
  </si>
  <si>
    <t>ΟΔΟΣ ΑΓΑΡΙΣΤΗΣ</t>
  </si>
  <si>
    <t>ΑΡΔΑΝΙΟΥ</t>
  </si>
  <si>
    <t>ΝΗΠΙΑΓΩΓΕΙΟ ΑΡΔΑΝΙ</t>
  </si>
  <si>
    <t>mail@nip-ardan.tri.sch.gr</t>
  </si>
  <si>
    <t>ΑΡΔΑΝΙ</t>
  </si>
  <si>
    <t>ΓΕΩΡΓΑΝΑΔΩΝ</t>
  </si>
  <si>
    <t>ΝΗΠΙΑΓΩΓΕΙΟ ΓΕΩΡΓΑΝΑΔΩΝ</t>
  </si>
  <si>
    <t>mail@nip-georg.tri.sch.gr</t>
  </si>
  <si>
    <t>ΓΕΩΡΓΑΝΑΔΕΣ</t>
  </si>
  <si>
    <t>ΠΑΛΑΙΟΚΑΡΥΑΣ</t>
  </si>
  <si>
    <t>ΔΗΜΟΤΙΚΟ ΣΧΟΛΕΙΟ ΚΑΤΩ ΠΑΛΑΙΟΚΑΡΥΑΣ</t>
  </si>
  <si>
    <t>mail@dim-kat-palaiok.tri.sch.gr</t>
  </si>
  <si>
    <t>ΚΑΤΩ ΠΑΛΑΙΟΚΑΡΥΑΣ</t>
  </si>
  <si>
    <t>ΚΑΤΩ ΠΑΛΑΙΟΚΑΡΥΑ</t>
  </si>
  <si>
    <t>ΓΡΙΖΑΝΟΥ</t>
  </si>
  <si>
    <t>ΝΗΠΙΑΓΩΓΕΙΟ ΓΡΙΖΑΝΟΥ</t>
  </si>
  <si>
    <t>mail@nip-grizan.tri.sch.gr</t>
  </si>
  <si>
    <t>ΓΡΙΖΑΝΟ</t>
  </si>
  <si>
    <t>ΝΗΠΙΑΓΩΓΕΙΟ ΔΙΑΣΕΛΛΟΥ</t>
  </si>
  <si>
    <t>mail@nip-diasell.tri.sch.gr</t>
  </si>
  <si>
    <t>ΝΗΠΙΑΓΩΓΕΙΟ ΖΑΡΚΟΥ</t>
  </si>
  <si>
    <t>mail@nip-zarkou.tri.sch.gr</t>
  </si>
  <si>
    <t>ΖΗΛΕΥΤΗΣ</t>
  </si>
  <si>
    <t>ΝΗΠΙΑΓΩΓΕΙΟ ΖΗΛΕΥΤΗΣ</t>
  </si>
  <si>
    <t>mail@nip-zileft.tri.sch.gr</t>
  </si>
  <si>
    <t>ΖΗΛΕΥΤΗ</t>
  </si>
  <si>
    <t>ΚΛΟΚΟΤΟΥ</t>
  </si>
  <si>
    <t>ΝΗΠΙΑΓΩΓΕΙΟ ΚΛΟΚΟΤΟΥ</t>
  </si>
  <si>
    <t>mail@nip-klokot.tri.sch.gr</t>
  </si>
  <si>
    <t>ΚΛΟΚΟΤΟΣ</t>
  </si>
  <si>
    <t>ΔΗΜΟΤΙΚΟ ΣΧΟΛΕΙΟ ΓΟΡΓΟΓΥΡΙΟΥ</t>
  </si>
  <si>
    <t>mail@dim-gorgog.tri.sch.gr</t>
  </si>
  <si>
    <t>ΠΑΛΑΙΟΠΥΡΓΟΥ</t>
  </si>
  <si>
    <t>ΝΗΠΙΑΓΩΓΕΙΟ ΠΑΛΑΙΟΠΥΡΓΟΥ</t>
  </si>
  <si>
    <t>mail@nip-palaiop.tri.sch.gr</t>
  </si>
  <si>
    <t>ΠΑΛΑΙΟΠΥΡΓΟΣ</t>
  </si>
  <si>
    <t>ΔΗΜΟΤΙΚΟ ΣΧΟΛΕΙΟ ΣΤΟΥΡΝΑΡΑΙΪΚΩΝ</t>
  </si>
  <si>
    <t>mail@dim-stourn.tri.sch.gr</t>
  </si>
  <si>
    <t>ΣΤΟΥΡΝΑΡΑΙΪΚΑ</t>
  </si>
  <si>
    <t>ΔΗΜΟΤΙΚΟ ΣΧΟΛΕΙΟ ΓΛΙΝΟΣ</t>
  </si>
  <si>
    <t>mail@dim-glinou.tri.sch.gr</t>
  </si>
  <si>
    <t>ΔΗΜΟΤΙΚΟ ΣΧΟΛΕΙΟ ΔΙΑΛΕΚΤΟΥ</t>
  </si>
  <si>
    <t>mail@dim-dialekt.tri.sch.gr</t>
  </si>
  <si>
    <t>mail@dim-m-kalyv.tri.sch.gr</t>
  </si>
  <si>
    <t>ΜΕΓΑΛΑ  ΚΑΛΥΒΙΑ</t>
  </si>
  <si>
    <t>mail@35dim-trikal.tri.sch.gr</t>
  </si>
  <si>
    <t>ΝΗΠΙΑΓΩΓΕΙΟ ΑΓΙΟΦΥΛΛΟΥ</t>
  </si>
  <si>
    <t>mail@nip-agiof.tri.sch.gr</t>
  </si>
  <si>
    <t>ΝΗΠΙΑΓΩΓΕΙΟ ΟΞΥΝΕΙΑΣ</t>
  </si>
  <si>
    <t>mail@nip-oxyneias.tri.sch.gr</t>
  </si>
  <si>
    <t>ΔΗΜΟΤΙΚΟ ΣΧΟΛΕΙΟ ΜΕΓ. ΚΕΦΑΛΟΒΡΥΣΟΥ</t>
  </si>
  <si>
    <t>mail@dim-meg-kefal.tri.sch.gr</t>
  </si>
  <si>
    <t>mail@dim-valtin.tri.sch.gr</t>
  </si>
  <si>
    <t>ΔΗΜΟΤΙΚΟ ΣΧΟΛΕΙΟ ΠΙΑΛΕΙΑΣ</t>
  </si>
  <si>
    <t>mail@dim-pialeias.tri.sch.gr</t>
  </si>
  <si>
    <t>ΠΙΑΛΕΙΑ-ΤΡΙΚΑΛΩΝ</t>
  </si>
  <si>
    <t>mail@13dim-trikal.tri.sch.gr</t>
  </si>
  <si>
    <t>ΑΛ.ΠΑΠΑΝΑΣΤΑΣΙΟΥ  ΡΙΖΑΡΙΟ</t>
  </si>
  <si>
    <t>ΔΗΜΟΤΙΚΟ ΣΧΟΛΕΙΟ ΦΗΚΗΣ</t>
  </si>
  <si>
    <t>mail@dim-fikis.tri.sch.gr</t>
  </si>
  <si>
    <t>ΞΥΛΟΠΑΡΟΙΚΟΥ</t>
  </si>
  <si>
    <t>ΔΗΜΟΤΙΚΟ ΣΧΟΛΕΙΟ ΞΥΛΟΠΑΡΟΙΚΟΥ</t>
  </si>
  <si>
    <t>mail@dim-xylop.tri.sch.gr</t>
  </si>
  <si>
    <t>ΞΥΛΟΠΑΡΟΙΚΟ</t>
  </si>
  <si>
    <t>ΚΑΛΟΓΗΡΩΝ</t>
  </si>
  <si>
    <t>ΔΗΜΟΤΙΚΟ ΣΧΟΛΕΙΟ ΚΑΛΟΓΗΡΩΝ</t>
  </si>
  <si>
    <t>mail@dim-kalog.tri.sch.gr</t>
  </si>
  <si>
    <t>ΚΑΛΟΓΗΡΟΙ</t>
  </si>
  <si>
    <t>ΝΗΠΙΑΓΩΓΕΙΟ ΠΕΤΡΩΤΟΥ ΤΡΙΚΑΛΩΝ</t>
  </si>
  <si>
    <t>mail@nip-petrot.tri.sch.gr</t>
  </si>
  <si>
    <t>ΝΗΠΙΑΓΩΓΕΙΟ ΡΙΖΩΜΑΤΟΣ</t>
  </si>
  <si>
    <t>mail@nip-rizom.tri.sch.gr</t>
  </si>
  <si>
    <t>ΝΗΠΙΑΓΩΓΕΙΟ ΤΑΞΙΑΡΧΩΝ</t>
  </si>
  <si>
    <t>mail@nip-taxiarch.tri.sch.gr</t>
  </si>
  <si>
    <t>2ο ΝΗΠΙΑΓΩΓΕΙΟ ΦΑΡΚΑΔΟΝΑΣ</t>
  </si>
  <si>
    <t>mail@2nip-farkad.tri.sch.gr</t>
  </si>
  <si>
    <t>ΚΟΛΟΚΟΤΡΩΝΗ 37</t>
  </si>
  <si>
    <t>ΚΑΣΤΑΝΙΑΣ</t>
  </si>
  <si>
    <t>ΑΜΑΡΑΝΤΟΥ</t>
  </si>
  <si>
    <t>ΔΗΜΟΤΙΚΟ ΣΧΟΛΕΙΟ ΕΛΑΦΙΟΥ</t>
  </si>
  <si>
    <t>mail@dim-elafiou.tri.sch.gr</t>
  </si>
  <si>
    <t>ΕΛΑΦΙ</t>
  </si>
  <si>
    <t>ΝΗΠΙΑΓΩΓΕΙΟ ΑΓΙΟΥ ΚΩΝΣΤΑΝΤΙΝΟΥ ΤΡΙΚΑΛΩΝ</t>
  </si>
  <si>
    <t>mail@nip-ag-konst.tri.sch.gr</t>
  </si>
  <si>
    <t>ΦΛΕΜΙΓΚ 6</t>
  </si>
  <si>
    <t>ΝΗΠΙΑΓΩΓΕΙΟ ΑΓΙΟΥ ΝΙΚΟΛΑΟΥ ΤΡΙΚΑΛΩΝ</t>
  </si>
  <si>
    <t>mail@nip-ag-nikol.tri.sch.gr</t>
  </si>
  <si>
    <t>ΠΙΤΣΑΚΟΥ 24</t>
  </si>
  <si>
    <t>mail@dim-megal.tri.sch.gr</t>
  </si>
  <si>
    <t>ΛΑΡΙΣΗΣ</t>
  </si>
  <si>
    <t>33ο ΝΗΠΙΑΓΩΓΕΙΟ ΤΡΙΚΑΛΩΝ</t>
  </si>
  <si>
    <t>mail@nip-kouts.tri.sch.gr</t>
  </si>
  <si>
    <t>Γ. ΘΕΟΛΟΓΟΥ</t>
  </si>
  <si>
    <t>ΝΗΠΙΑΓΩΓΕΙΟ ΜΠΑΡΑΣ</t>
  </si>
  <si>
    <t>mail@nip-mparas.tri.sch.gr</t>
  </si>
  <si>
    <t>Π. ΚΑΣΤΡΑΚΙΔΟΥ ΚΑΙ ΙΟΥΣΤΙΝΙΑΝΟΥ</t>
  </si>
  <si>
    <t>1ο ΝΗΠΙΑΓΩΓΕΙΟ ΤΡΙΚΑΛΩΝ</t>
  </si>
  <si>
    <t>mail@1nip-trikal.tri.sch.gr</t>
  </si>
  <si>
    <t>ΚΟΥΤΣΟΜΗΛΙΑ ΤΡΙΚΑΛΩΝ</t>
  </si>
  <si>
    <t>Κ. ΣΚΥΦΤΗ 35 ΚΟΥΤΣΟΜΗΛΙΑ</t>
  </si>
  <si>
    <t>4ο ΝΗΠΙΑΓΩΓΕΙΟ ΤΡΙΚΑΛΩΝ</t>
  </si>
  <si>
    <t>mail@4nip-trikal.tri.sch.gr</t>
  </si>
  <si>
    <t>ΤΕΡΜΑ ΗΡΑΚΛΕΟΥΣ</t>
  </si>
  <si>
    <t>3ο ΝΗΠΙΑΓΩΓΕΙΟ ΤΡΙΚΑΛΩΝ</t>
  </si>
  <si>
    <t>mail@3nip-trikal.tri.sch.gr</t>
  </si>
  <si>
    <t>8ο ΝΗΠΙΑΓΩΓΕΙΟ ΤΡΙΚΑΛΩΝ</t>
  </si>
  <si>
    <t>mail@8nip-trikal.tri.sch.gr</t>
  </si>
  <si>
    <t>ΑΓΑΡΙΣΤΗΣ ΜΠΑΡΑ</t>
  </si>
  <si>
    <t>ΝΗΠΙΑΓΩΓΕΙΟ ΒΑΛΤΙΝΟΥ</t>
  </si>
  <si>
    <t>mail@nip-valtin.tri.sch.gr</t>
  </si>
  <si>
    <t>12ο ΝΗΠΙΑΓΩΓΕΙΟ ΤΡΙΚΑΛΩΝ</t>
  </si>
  <si>
    <t>mail@12nip-trikal.tri.sch.gr</t>
  </si>
  <si>
    <t>ΜΑΒΙΛΗ ΠΑΡ. ΔΕΥΤΕΡΗ</t>
  </si>
  <si>
    <t>ΔΗΜΟΤΙΚΟ ΣΧΟΛΕΙΟ ΠΑΛΑΙΟΜΟΝΑΣΤΗΡΟΥ</t>
  </si>
  <si>
    <t>mail@dim-palaiom.tri.sch.gr</t>
  </si>
  <si>
    <t>ΠΑΛΑΙΟΜΟΝΑΣΤΗΡΟ</t>
  </si>
  <si>
    <t>mail@14dim-trikal.tri.sch.gr</t>
  </si>
  <si>
    <t>26ο ΔΗΜΟΤΙΚΟ ΣΧΟΛΕΙΟ ΤΡΙΚΑΛΩΝ</t>
  </si>
  <si>
    <t>mail@26dim-trikal.tri.sch.gr</t>
  </si>
  <si>
    <t>ΣΤΕΛΙΟΥ ΜΑΓΕΙΡΙΑ ΚΑΙ ΛΥΚΟΥΡΓΟΥ,  ΑΜΠΕΛΑΚΙΑ</t>
  </si>
  <si>
    <t>14ο ΝΗΠΙΑΓΩΓΕΙΟ ΤΡΙΚΑΛΩΝ</t>
  </si>
  <si>
    <t>mail@14nip-trikal.tri.sch.gr</t>
  </si>
  <si>
    <t>mail@dim-ampel.tri.sch.gr</t>
  </si>
  <si>
    <t>22ο ΝΗΠΙΑΓΩΓΕΙΟ ΤΡΙΚΑΛΩΝ</t>
  </si>
  <si>
    <t>mail@22nip-trikal.tri.sch.gr</t>
  </si>
  <si>
    <t>ΠΙΤΣΑΚΟΥ 1</t>
  </si>
  <si>
    <t>26ο ΝΗΠΙΑΓΩΓΕΙΟ ΤΡΙΚΑΛΩΝ</t>
  </si>
  <si>
    <t>mail@26nip-trikal.tri.sch.gr</t>
  </si>
  <si>
    <t>ΛΟΓΓΑΚΙ</t>
  </si>
  <si>
    <t>27ο ΝΗΠΙΑΓΩΓΕΙΟ ΤΡΙΚΑΛΩΝ</t>
  </si>
  <si>
    <t>mail@27nip-trikal.tri.sch.gr</t>
  </si>
  <si>
    <t>29ο ΝΗΠΙΑΓΩΓΕΙΟ ΤΡΙΚΑΛΩΝ</t>
  </si>
  <si>
    <t>mail@29nip-trikal.tri.sch.gr</t>
  </si>
  <si>
    <t>30ο ΝΗΠΙΑΓΩΓΕΙΟ ΤΡΙΚΑΛΩΝ</t>
  </si>
  <si>
    <t>mail@30nip-trikal.tri.sch.gr</t>
  </si>
  <si>
    <t>ΤΕΡΜΑ ΚΑΤΣΙΜΗΔΗ 7</t>
  </si>
  <si>
    <t>ΔΗΜΟΤΙΚΟ ΣΧΟΛΕΙΟ ΠΑΛΑΙΟΠΥΡΓΟΥ ΤΡΙΚΑΛΩΝ</t>
  </si>
  <si>
    <t>mail@dim-palaiop.tri.sch.gr</t>
  </si>
  <si>
    <t>ΔΗΜΟΤΙΚΟ ΣΧΟΛΕΙΟ ΔΙΑΒΑΣ</t>
  </si>
  <si>
    <t>mail@dim-diavas.tri.sch.gr</t>
  </si>
  <si>
    <t>28ο ΔΗΜΟΤΙΚΟ ΣΧΟΛΕΙΟ ΤΡΙΚΑΛΩΝ</t>
  </si>
  <si>
    <t>mail@28dim-trikal.tri.sch.gr</t>
  </si>
  <si>
    <t>Φιλοχώρου 8</t>
  </si>
  <si>
    <t>ΝΗΠΙΑΓΩΓΕΙΟ ΣΑΡΑΚΙΝΑΣ</t>
  </si>
  <si>
    <t>mail@nip-sarakin.tri.sch.gr</t>
  </si>
  <si>
    <t>ΣΑΡΑΚΙΝΑΣ</t>
  </si>
  <si>
    <t>ΣΑΡΑΚΙΝΑ</t>
  </si>
  <si>
    <t>ΔΗΜΟΤΙΚΟ ΣΧΟΛΕΙΟ ΓΡΙΖΑΝΟΥ</t>
  </si>
  <si>
    <t>mail@dim-grizan.tri.sch.gr</t>
  </si>
  <si>
    <t>ΔΗΜΟΤΙΚΟ ΣΧΟΛΕΙΟ ΣΕΡΒΩΤΩΝ</t>
  </si>
  <si>
    <t>mail@dim-servot.tri.sch.gr</t>
  </si>
  <si>
    <t>ΣΕΡΒΩΤA</t>
  </si>
  <si>
    <t>6ο ΔΗΜΟΤΙΚΟ ΣΧΟΛΕΙΟ ΤΡΙΚΑΛΩΝ</t>
  </si>
  <si>
    <t>mail@6dim-trikal.tri.sch.gr</t>
  </si>
  <si>
    <t>ΠΕΡΙΟΧΗ ΠΑΣΧΟΥ - Τέρμα Εύβοιας</t>
  </si>
  <si>
    <t>4ο ΔΗΜΟΤΙΚΟ ΣΧΟΛΕΙΟ ΚΑΛΑΜΠΑΚΑΣ</t>
  </si>
  <si>
    <t>mail@4dim-kalamp.tri.sch.gr</t>
  </si>
  <si>
    <t>Καλαμπάκα</t>
  </si>
  <si>
    <t>ΔΗΜΟΤΙΚΟ ΣΧΟΛΕΙΟ ΧΡΥΣΟΜΗΛΙΑΣ ΤΡΙΚΑΛΩΝ</t>
  </si>
  <si>
    <t>mail@dim-chrys.tri.sch.gr</t>
  </si>
  <si>
    <t>1ο ΔΗΜΟΤΙΚΟ ΣΧΟΛΕΙΟ ΚΑΛΑΜΠΑΚΑΣ</t>
  </si>
  <si>
    <t>mail@1dim-kalamp.tri.sch.gr</t>
  </si>
  <si>
    <t>ΤΡΙΚΑΛΩΝ 25</t>
  </si>
  <si>
    <t>mail@3dim-kalamp.tri.sch.gr</t>
  </si>
  <si>
    <t>Αγίου Στεφάνου 6</t>
  </si>
  <si>
    <t>ΔΗΜΟΤΙΚΟ ΣΧΟΛΕΙΟ ΜΕΓΑΡΧΗΣ</t>
  </si>
  <si>
    <t>mail@dim-megarch.tri.sch.gr</t>
  </si>
  <si>
    <t>16ο ΔΗΜΟΤΙΚΟ ΣΧΟΛΕΙΟ ΤΡΙΚΑΛΩΝ</t>
  </si>
  <si>
    <t>mail@16dim-trikal.tri.sch.gr</t>
  </si>
  <si>
    <t>ΔΗΜΟΤΙΚΟ ΣΧΟΛΕΙΟ ΕΛΑΤΗΣ</t>
  </si>
  <si>
    <t>mail@dim-elatis.tri.sch.gr</t>
  </si>
  <si>
    <t>18ο ΔΗΜΟΤΙΚΟ ΣΧΟΛΕΙΟ ΤΡΙΚΑΛΩΝ</t>
  </si>
  <si>
    <t>mail@18dim-trikal.tri.sch.gr</t>
  </si>
  <si>
    <t>ΚΗΠΑΚΙ</t>
  </si>
  <si>
    <t>mail@7dim-trikal.tri.sch.gr</t>
  </si>
  <si>
    <t>ΠΥΛΗΣ ΚΑΙ ΕΙΡΗΝΗΣ 1</t>
  </si>
  <si>
    <t>ΔΗΜΟΤΙΚΟ ΣΧΟΛΕΙΟ ΓΟΜΦΩΝ</t>
  </si>
  <si>
    <t>mail@dim-gomfon.tri.sch.gr</t>
  </si>
  <si>
    <t>Γόμφοι</t>
  </si>
  <si>
    <t>ΔΗΜΟΤΙΚΟ ΣΧΟΛΕΙΟ ΛΥΓΑΡΙΑΣ</t>
  </si>
  <si>
    <t>mail@dim-lygar.tri.sch.gr</t>
  </si>
  <si>
    <t>ΤΡΙΚΑΛΩΝ-ΠΥΛΗΣ</t>
  </si>
  <si>
    <t>1ο ΝΗΠΙΑΓΩΓΕΙΟ ΦΑΡΚΑΔΟΝΑΣ</t>
  </si>
  <si>
    <t>mail@1nip-farkad.tri.sch.gr</t>
  </si>
  <si>
    <t>Θ. ΜΕΡΜΗΓΚΑ 1</t>
  </si>
  <si>
    <t>ΝΗΠΙΑΓΩΓΕΙΟ ΞΥΛΟΠΑΡΟΙΚΟ</t>
  </si>
  <si>
    <t>mail@nip-xylop.tri.sch.gr</t>
  </si>
  <si>
    <t>ΔΗΜΟΤΙΚΟ ΣΧΟΛΕΙΟ ΓΕΝΕΣΙΟΥ</t>
  </si>
  <si>
    <t>mail@dim-genes.tri.sch.gr</t>
  </si>
  <si>
    <t>ΠΕΤΡΟΠΟΡΟΥ</t>
  </si>
  <si>
    <t>ΝΗΠΙΑΓΩΓΕΙΟ ΠΕΤΡΟΠΟΡΟΥ</t>
  </si>
  <si>
    <t>mail@nip-petrop.tri.sch.gr</t>
  </si>
  <si>
    <t>ΠΕΤΡΟΠΟΡΟΣ</t>
  </si>
  <si>
    <t>mail@2dim-farkad.tri.sch.gr</t>
  </si>
  <si>
    <t>ΚΩΛΕΤΤΗ &amp; Ν. ΠΛΑΣΤΗΡΑ</t>
  </si>
  <si>
    <t>32ο ΝΗΠΙΑΓΩΓΕΙΟ ΤΡΙΚΑΛΩΝ</t>
  </si>
  <si>
    <t>mail@32nip-trikal.tri.sch.gr</t>
  </si>
  <si>
    <t>ΚΗΠΑΚΙ ΤΡΙΚΑΛΩΝ</t>
  </si>
  <si>
    <t>mail@dim-pylis.tri.sch.gr</t>
  </si>
  <si>
    <t>ΑΓ. ΑΘΑΝΑΣΙΟΥ  5</t>
  </si>
  <si>
    <t>ΔΗΜΟΤΙΚΟ ΣΧΟΛΕΙΟ ΔΕΝΔΡΟΧΩΡΙΟΥ ΤΡΙΚΑΛΩΝ</t>
  </si>
  <si>
    <t>mail@dim-dendr.tri.sch.gr</t>
  </si>
  <si>
    <t>Δενδροχώρι</t>
  </si>
  <si>
    <t>ΔΕΝΔΡΟΧΩΡΙ ΤΡΙΚΑΛΩΝ</t>
  </si>
  <si>
    <t>ΔΗΜΟΤΙΚΟ ΣΧΟΛΕΙΟ ΚΑΣΤΡΑΚΙΟΥ</t>
  </si>
  <si>
    <t>mail@dim-kastr.tri.sch.gr</t>
  </si>
  <si>
    <t>Καστράκι</t>
  </si>
  <si>
    <t>ΔΗΜΟΤΙΚΟ ΣΧΟΛΕΙΟ ΠΕΤΡΩΤΟΥ ΤΡΙΚΑΛΩΝ</t>
  </si>
  <si>
    <t>mail@dim-petrot.tri.sch.gr</t>
  </si>
  <si>
    <t>Πετρωτό Τρικάλων</t>
  </si>
  <si>
    <t>ΝΗΠΙΑΓΩΓΕΙΟ ΣΚΕΠΑΡΙΟΥ</t>
  </si>
  <si>
    <t>ΝΗΠΙΑΓΩΓΕΙΟ ΠΛΑΤΑΝΟΥ ΤΡΙΚΑΛΩΝ</t>
  </si>
  <si>
    <t>mail@nip-platan.tri.sch.gr</t>
  </si>
  <si>
    <t>ΝΗΠΙΑΓΩΓΕΙΟ ΚΡΗΝΗΣ</t>
  </si>
  <si>
    <t>mail@nip-krinis.tri.sch.gr</t>
  </si>
  <si>
    <t>ΚΡΗΝΗ</t>
  </si>
  <si>
    <t>ΝΗΠΙΑΓΩΓΕΙΟ ΚΑΣΤΡΑΚΙΟΥ ΤΡΙΚΑΛΩΝ</t>
  </si>
  <si>
    <t>mail@nip-kastr.tri.sch.gr</t>
  </si>
  <si>
    <t>ΝΗΠΙΑΓΩΓΕΙΟ ΛΕΠΤΟΚΑΡΥΑΣ ΤΡΙΚΑΛΩΝ</t>
  </si>
  <si>
    <t>mail@nip-leptok.tri.sch.gr</t>
  </si>
  <si>
    <t>1ο ΕΙΔΙΚΟ ΝΗΠΙΑΓΩΓΕΙΟ ΤΡΙΚΑΛΩΝ</t>
  </si>
  <si>
    <t>mail@nip-eid-trikal.tri.sch.gr</t>
  </si>
  <si>
    <t>mail@5dim-kalamp.tri.sch.gr</t>
  </si>
  <si>
    <t>Καλαμπάκα,</t>
  </si>
  <si>
    <t>Αγίων  Κωνσταντίνου  και   Ελένης</t>
  </si>
  <si>
    <t>ΠΕΡΙΦΕΡΕΙΑΚΗ Δ/ΝΣΗ Α/ΘΜΙΑΣ ΚΑΙ Β/ΘΜΙΑΣ ΕΚΠ/ΣΗΣ ΙΟΝΙΩΝ ΝΗΣΩΝ</t>
  </si>
  <si>
    <t>ΖΑΚΥΝΘΙΩΝ</t>
  </si>
  <si>
    <t>Κ.Ε.Σ.Υ. ΖΑΚΥΝΘΟΥ</t>
  </si>
  <si>
    <t>mail@kesy.zak.sch.gr</t>
  </si>
  <si>
    <t>ΖΑΚΥΝΘΟΣ</t>
  </si>
  <si>
    <t>ΚΟΛΥΒΑ 85 &amp; ΗΛΙΑΚΟΠΟΥΛΟΥ</t>
  </si>
  <si>
    <t>ΚΕΝΤΡΙΚΗΣ ΚΕΡΚΥΡΑΣ ΚΑΙ ΔΙΑΠΟΝΤΙΩΝ ΝΗΣΩΝ</t>
  </si>
  <si>
    <t>ΚΕΡΚΥΡΑΙΩΝ</t>
  </si>
  <si>
    <t>Κ.Ε.Σ.Υ. ΚΕΡΚΥΡΑΣ</t>
  </si>
  <si>
    <t>mail@kesy.ker.sch.gr</t>
  </si>
  <si>
    <t>ΚΕΡΚΥΡΑ</t>
  </si>
  <si>
    <t>ΒΕΛΙΣΣΑΡΙΟΥ 30</t>
  </si>
  <si>
    <t>ΑΡΓΟΣΤΟΛΙΟΥ</t>
  </si>
  <si>
    <t>Κ.Ε.Σ.Υ Κεφαλληνίας</t>
  </si>
  <si>
    <t>mail@kesy.kef.sch.gr</t>
  </si>
  <si>
    <t>ΑΡΓΟΣΤΟΛΙ</t>
  </si>
  <si>
    <t>Μομφεράτου 30 &amp; Χαροκόπου</t>
  </si>
  <si>
    <t>ΛΕΥΚΑΔΑΣ</t>
  </si>
  <si>
    <t>ΛΕΥΚΑΔΟΣ</t>
  </si>
  <si>
    <t>ΚΕΣΥ ΛΕΥΚΑΔΑΣ</t>
  </si>
  <si>
    <t>kdaylef@dide.lef.sch.gr</t>
  </si>
  <si>
    <t>ΛΕΥΚΑΔΑ</t>
  </si>
  <si>
    <t>ΚΑΛΚΑΝΗ 15</t>
  </si>
  <si>
    <t>ΔΙΕΥΘΥΝΣΗ Δ.Ε. ΖΑΚΥΝΘΟΥ</t>
  </si>
  <si>
    <t>ΜΟΥΣΙΚΟ ΣΧΟΛΕΙΟ ΖΑΚΥΝΘΟΥ</t>
  </si>
  <si>
    <t>gymmousz@sch.gr</t>
  </si>
  <si>
    <t>ΕΡΥΘΡΟΥ ΣΤΑΥΡΟΥ 1</t>
  </si>
  <si>
    <t>4ο ΔΗΜΟΤΙΚΟ ΣΧΟΛΕΙΟ ΖΑΚΥΝΘΟΥ</t>
  </si>
  <si>
    <t>ΑΡΚΑΔΙΩΝ</t>
  </si>
  <si>
    <t>ΗΜΕΡΗΣΙΟ ΕΠΑ.Λ. ΖΑΚΥΝΘΟΥ</t>
  </si>
  <si>
    <t>mail@1epal-zakynth.zak.sch.gr</t>
  </si>
  <si>
    <t>ΔΗΜΟΤΙΚΟ ΣΧΟΛΕΙΟ ΚΑΜΠΟΥ - ΠΑΝΑΓΙΩΤΗΣ ΧΙΩΤΗΣ</t>
  </si>
  <si>
    <t>2ο ΗΜΕΡΗΣΙΟ ΓΕΝΙΚΟ ΛΥΚΕΙΟ ΖΑΚΥΝΘΟΥ</t>
  </si>
  <si>
    <t>mail@2lyk-zakynth.zak.sch.gr</t>
  </si>
  <si>
    <t>ΜΑΡΙΕΤΤΑΣ ΜΙΝΩΤΟΥ, ΠΑΝΑΓΟΥΛΑ</t>
  </si>
  <si>
    <t>5ο 6/θΕΣΙΟ ΔΗΜΟΤΙΚΟ ΣΧΟΛΕΙΟ ΖΑΚΥΝΘΟΥ</t>
  </si>
  <si>
    <t>ΑΛΥΚΩΝ</t>
  </si>
  <si>
    <t>ΚΑΤΑΣΤΑΡΙΟΥ</t>
  </si>
  <si>
    <t>ΗΜΕΡΗΣΙΟ ΓΕΝΙΚΟ ΛΥΚΕΙΟ ΚΑΤΑΣΤΑΡΙΟΥ ΖΑΚΥΝΘΟΥ</t>
  </si>
  <si>
    <t>mail@3lyk-katast.zak.sch.gr</t>
  </si>
  <si>
    <t>ΚΑΤΑΣΤΑΡΙ</t>
  </si>
  <si>
    <t>ΔΗΜΟΤΙΚΟ ΣΧΟΛΕΙΟ ΚΑΤΑΣΤΑΡΙΟΥ</t>
  </si>
  <si>
    <t>1ο ΗΜΕΡΗΣΙΟ ΓΕΝΙΚΟ ΛΥΚΕΙΟ ΖΑΚΥΝΘΟΥ</t>
  </si>
  <si>
    <t>mail@1lyk-zakynth.zak.sch.gr</t>
  </si>
  <si>
    <t>ΘΕΡΙΑΝΟΥ 8</t>
  </si>
  <si>
    <t>ΚΑΡΑΜΠΙΝΕΙΟ 1ο ΔΗΜΟΤΙΚΟ ΣΧΟΛΕΙΟ ΖΑΚΥΝΘΟΥ</t>
  </si>
  <si>
    <t>ΗΜΕΡΗΣΙΟ ΓΥΜΝΑΣΙΟ ΚΑΤΑΣΤΑΡΙΟΥ ΖΑΚΥΝΘΟΥ</t>
  </si>
  <si>
    <t>mail@gym-kastar.zak.sch.gr</t>
  </si>
  <si>
    <t>ΑΡΤΕΜΙΣΙΩΝ</t>
  </si>
  <si>
    <t>ΜΑΧΑΙΡΑΔΟΥ</t>
  </si>
  <si>
    <t>ΗΜΕΡΗΣΙΟ ΓΥΜΝΑΣΙΟ ΜΑΧΑΙΡΑΔΟΥ ΖΑΚΥΝΘΟΥ</t>
  </si>
  <si>
    <t>mail@gym-machair.zak.sch.gr</t>
  </si>
  <si>
    <t>ΜΑΧΑΙΡΑΔΟ</t>
  </si>
  <si>
    <t>1ο ΔΗΜΟΤΙΚΟ ΣΧΟΛΕΙΟ ΡΙΖΑΣ</t>
  </si>
  <si>
    <t>1ο Ε.Κ. ΖΑΚΥΝΘΟΥ</t>
  </si>
  <si>
    <t>mail@1sek-zakynth.zak.sch.gr</t>
  </si>
  <si>
    <t>ΕΣΠΕΡΙΝΟ ΓΥΜΝΑΣΙΟ ΖΑΚΥΝΘΟΥ      (ΜΕ ΛΥΚΕΙΑΚΕΣ ΤΑΞΕΙΣ)</t>
  </si>
  <si>
    <t>mail@gym-esp-zakynth.zak.sch.gr</t>
  </si>
  <si>
    <t>ΒΑΝΑΤΟΥ</t>
  </si>
  <si>
    <t>ΗΜΕΡΗΣΙΟ ΓΥΜΝΑΣΙΟ ΒΑΝΑΤΟΥ ΖΑΚΥΝΘΟΥ</t>
  </si>
  <si>
    <t>mail@gym-vanatou.zak.sch.gr</t>
  </si>
  <si>
    <t>ΒΑΝΑΤΟ</t>
  </si>
  <si>
    <t>3ο ΗΜΕΡΗΣΙΟ ΓΥΜΝΑΣΙΟ ΖΑΚΥΝΘΟΥ</t>
  </si>
  <si>
    <t>mail@3gym-zakynth.zak.sch.gr</t>
  </si>
  <si>
    <t>ΛΑΓΑΝΑ</t>
  </si>
  <si>
    <t>ΛΙΘΑΚΙΑΣ</t>
  </si>
  <si>
    <t>ΗΜΕΡΗΣΙΟ ΓΥΜΝΑΣΙΟ ΛΙΘΑΚΙΑΣ ΖΑΚΥΝΘΟΥ</t>
  </si>
  <si>
    <t>gymlitha@sch.gr</t>
  </si>
  <si>
    <t>ΛΙΘΑΚΙΑ</t>
  </si>
  <si>
    <t>6/Θ ΔΗΜΟΤΙΚΟ ΣΧΟΛΕΙΟ ΠΑΝΤΟΚΡΑΤΟΡΑ</t>
  </si>
  <si>
    <t>2ο ΗΜΕΡΗΣΙΟ ΓΥΜΝΑΣΙΟ ΖΑΚΥΝΘΟΥ</t>
  </si>
  <si>
    <t>mail@2gym-zakynth.zak.sch.gr</t>
  </si>
  <si>
    <t>1ο ΗΜΕΡΗΣΙΟ ΓΥΜΝΑΣΙΟ ΖΑΚΥΝΘΟΥ</t>
  </si>
  <si>
    <t>mail@1gym-zakynth.zak.sch.gr</t>
  </si>
  <si>
    <t>ΕΛΑΤΙΩΝ</t>
  </si>
  <si>
    <t>ΒΟΛΙΜΩΝ</t>
  </si>
  <si>
    <t>ΗΜΕΡΗΣΙΟ ΓΥΜΝΑΣΙΟ Λ.Τ. ΒΟΛΙΜΩΝ ΖΑΚΥΝΘΟΥ</t>
  </si>
  <si>
    <t>mail@gym-volim.zak.sch.gr</t>
  </si>
  <si>
    <t>ΒΟΛΙΜΕΣ</t>
  </si>
  <si>
    <t>Αρετάκειο Δημοτικό Σχολείο</t>
  </si>
  <si>
    <t>Ε.Ε.Ε.ΕΚ. ΖΑΚΥΝΘΟΥ</t>
  </si>
  <si>
    <t>mail@eeeek.zak.sch.gr</t>
  </si>
  <si>
    <t>ΜΠΟΧΑΛΗ</t>
  </si>
  <si>
    <t>ΕΝ.Ε.Ε.ΓΥ.-Λ. ΖΑΚΥΝΘΟΥ</t>
  </si>
  <si>
    <t>mail@gym-ee-zakynth.zak.sch.gr</t>
  </si>
  <si>
    <t>ΔΙΕΥΘΥΝΣΗ Δ.Ε. ΚΕΡΚΥΡΑΣ</t>
  </si>
  <si>
    <t>5ο ΗΜΕΡΗΣΙΟ ΓΥΜΝΑΣΙΟ ΚΕΡΚΥΡΑΣ</t>
  </si>
  <si>
    <t>mail@5gym-kerkyr.ker.sch.gr</t>
  </si>
  <si>
    <t>ΡΙΖΟΣΠΑΣΤΩΝ ΒΟΥΛΕΥΤΩΝ ΙΟΝΙΟΥ ΒΟΥΛΗΣ 6</t>
  </si>
  <si>
    <t>12ο ΔΗΜΟΤΙΚΟ ΣΧΟΛΕΙΟ ΚΕΡΚΥΡΑΣ</t>
  </si>
  <si>
    <t>ΝΟΤΙΑΣ ΚΕΡΚΥΡΑΣ</t>
  </si>
  <si>
    <t>ΛΕΥΚΙΜΜΑΙΩΝ</t>
  </si>
  <si>
    <t>ΛΕΥΚΙΜΜΗΣ</t>
  </si>
  <si>
    <t>ΗΜΕΡΗΣΙΟ ΓΥΜΝΑΣΙΟ ΛΕΥΚΙΜΜΗΣ ΚΕΡΚΥΡΑΣ</t>
  </si>
  <si>
    <t>mail@gym-lefkimm.ker.sch.gr</t>
  </si>
  <si>
    <t>ΛΕΥΚΙΜΜΗΣ ΚΕΡΚΥΡΑΣ</t>
  </si>
  <si>
    <t>ΠΟΛΥΤΕΧΝΕΙΟΥ 2</t>
  </si>
  <si>
    <t>2ο ΔΗΜΟΤΙΚΟ ΣΧΟΛΕΙΟ ΛΕΥΚΙΜΜΗΣ - ΡΙΓΓΛΑΔΩΝ</t>
  </si>
  <si>
    <t>ΑΧΙΛΛΕΙΩΝ</t>
  </si>
  <si>
    <t>ΚΑΣΤΕΛΛΑΝΩΝ ΜΕΣΗΣ</t>
  </si>
  <si>
    <t>ΗΜΕΡΗΣΙΟ ΓΕΝΙΚΟ ΛΥΚΕΙΟ ΚΑΣΤΕΛΛΑΝΩΝ ΜΕΣΗΣ - ΚΕΡΚΥΡΑΣ</t>
  </si>
  <si>
    <t>mail@lyk-kastell.ker.sch.gr</t>
  </si>
  <si>
    <t>ΚΑΣΤΕΛΛΑΝΟΙ ΜΕΣΗΣ - ΚΕΡΚΥΡΑ</t>
  </si>
  <si>
    <t>ΚΑΣΤΕΛΛΑΝΟΙ ΜΕΣΗΣ</t>
  </si>
  <si>
    <t>ΔΗΜΟΤΙΚΟ ΣΧΟΛΕΙΟ ΚΑΣΤΕΛΛΑΝΩΝ ΜΕΣΗΣ</t>
  </si>
  <si>
    <t>ΠΑΛΑΙΟΚΑΣΤΡΙΤΩΝ</t>
  </si>
  <si>
    <t>ΛΙΑΠΑΔΩΝ</t>
  </si>
  <si>
    <t>ΗΜΕΡΗΣΙΟ ΓΥΜΝΑΣΙΟ ΛΙΑΠΑΔΩΝ ΚΕΡΚΥΡΑΣ</t>
  </si>
  <si>
    <t>mail@gym-liapad.ker.sch.gr</t>
  </si>
  <si>
    <t>ΛΙΑΠΑΔΕΣ   ΚΕΡΚΥΡΑΣ</t>
  </si>
  <si>
    <t>ΛΙΑΠΑΔΕΣ</t>
  </si>
  <si>
    <t>ΛΙΑΠΑΔΕΣ ΚΕΡΚΥΡΑΣ</t>
  </si>
  <si>
    <t>ΔΗΜΟΤΙΚΟ ΣΧΟΛΕΙΟ ΛΙΑΠΑΔΩΝ</t>
  </si>
  <si>
    <t>ΕΣΠΕΡΙΝΟ ΓΕΝΙΚΟ ΛΥΚΕΙΟ ΚΕΡΚΥΡΑΣ</t>
  </si>
  <si>
    <t>mail@lyk-esp-kerkyr.ker.sch.gr</t>
  </si>
  <si>
    <t>Σ. ΞΥΝΔΑ 2</t>
  </si>
  <si>
    <t>7ο  ΔΗΜΟΤΙΚΟ ΣΧΟΛΕΙΟ ΚΕΡΚΥΡΑΣ</t>
  </si>
  <si>
    <t>ΣΚΡΙΠΕΡΟΥ</t>
  </si>
  <si>
    <t>ΗΜΕΡΗΣΙΟ ΓΥΜΝΑΣΙΟ ΣΚΡΙΠΕΡΟΥ ΚΕΡΚΥΡΑΣ ΜΕ ΛΥΚΕΙΑΚΕΣ ΤΑΞΕΙΣ</t>
  </si>
  <si>
    <t>mail@gym-skrip.ker.sch.gr</t>
  </si>
  <si>
    <t>ΣΚΡΙΠΕΡΟ</t>
  </si>
  <si>
    <t>Κέρκυρα</t>
  </si>
  <si>
    <t>ΔΗΜΟΤΙΚΟ ΣΧΟΛΕΙΟ ΔΟΥΚΑΔΩΝ</t>
  </si>
  <si>
    <t>ΕΕΕΕΚ ΚΕΡΚΥΡΑ - ΕΕΕΕΚ ΚΕΡΚΥΡΑΣ</t>
  </si>
  <si>
    <t>mail@eeeek.ker.sch.gr</t>
  </si>
  <si>
    <t>4ο χλμ ΕΘΝΙΚΗΣ ΛΕΥΚΙΜΜΗΣ</t>
  </si>
  <si>
    <t>ΔΗΜΟΤΙΚΟ ΣΧΟΛΕΙΟ ΚΑΝΑΛΙΩΝ ΚΕΡΚΥΡΑΣ</t>
  </si>
  <si>
    <t>ΦΑΙΑΚΩΝ</t>
  </si>
  <si>
    <t>ΚΑΤΩ ΚΟΡΑΚΙΑΝΑΣ</t>
  </si>
  <si>
    <t>ΜΟΥΣΙΚΟ ΓΥΜΝΑΣΙΟ ΚΕΡΚΥΡΑΣ</t>
  </si>
  <si>
    <t>mail@gym-mous-kerkyr.ker.sch.gr</t>
  </si>
  <si>
    <t>ΤΖΑΒΡΟΥ-ΚΑΤΩ  ΚΟΡΑΚΙΑΝΑ</t>
  </si>
  <si>
    <t>ΔΗΜΟΤΙΚΟ ΣΧΟΛΕΙΟ ΓΟΥΒΙΩΝ</t>
  </si>
  <si>
    <t>1ο ΗΜΕΡΗΣΙΟ ΕΠΑΛ ΚΑΤΩ ΚΟΡΑΚΙΑΝΑΣ</t>
  </si>
  <si>
    <t>mail@1epal-korak.ker.sch.gr</t>
  </si>
  <si>
    <t>ΚΑΤΩ ΚΟΡΑΚΙΑΝΑ - ΚΕΡΚΥΡΑ</t>
  </si>
  <si>
    <t>2ο ΗΜΕΡΗΣΙΟ ΕΠΑΛ ΚΕΡΚΥΡΑΣ</t>
  </si>
  <si>
    <t>mail@2epal-kerkyr.ker.sch.gr</t>
  </si>
  <si>
    <t>ΠΑΓΚΡΑΤΕΪΚΑ</t>
  </si>
  <si>
    <t>6ο ΔΗΜΟΤΙΚΟ ΣΧΟΛΕΙΟ ΚΕΡΚΥΡΑΣ</t>
  </si>
  <si>
    <t>1ο ΕΠΑ.Λ. ΚΕΡΚΥΡΑΣ</t>
  </si>
  <si>
    <t>1epalkerkyras@sch.gr</t>
  </si>
  <si>
    <t>ΕΥΑΓΓΕΛΟΥ ΝΑΠΟΛΕΟΝΤΟΣ 12</t>
  </si>
  <si>
    <t>ΔΗΜΟΤΙΚΟ ΣΧΟΛΕΙΟ ΜΑΝΤΟΥΚΙΟΥ ΚΕΡΚΥΡΑΣ</t>
  </si>
  <si>
    <t>1ο ΗΜΕΡΗΣΙΟ ΓΕΝΙΚΟ ΛΥΚΕΙΟ ΚΕΡΚΥΡΑΣ</t>
  </si>
  <si>
    <t>mail@1lyk-kerkyr.ker.sch.gr</t>
  </si>
  <si>
    <t>ΣΠΥΡΟΥ ΞΥΝΔΑ 4</t>
  </si>
  <si>
    <t>ΗΜΕΡΗΣΙΟ ΓΕΝΙΚΟ ΛΥΚΕΙΟ ΛΕΥΚΙΜΜΗΣ ΚΕΡΚΥΡΑΣ</t>
  </si>
  <si>
    <t>mail@lyk-lefkimm.ker.sch.gr</t>
  </si>
  <si>
    <t>Λευκίμμη</t>
  </si>
  <si>
    <t>ΛΕΥΚΙΜΜΗ</t>
  </si>
  <si>
    <t>2ο ΗΜΕΡΗΣΙΟ ΓΕΝΙΚΟ ΛΥΚΕΙΟ ΚΕΡΚΥΡΑΣ</t>
  </si>
  <si>
    <t>mail@2lyk-kerkyr.ker.sch.gr</t>
  </si>
  <si>
    <t>4ο ΓΕΝΙΚΟ ΛΥΚΕΙΟ ΚΕΡΚΥΡΑΣ</t>
  </si>
  <si>
    <t>mail@4lyk-kerkyr.ker.sch.gr</t>
  </si>
  <si>
    <t>3η ΠΑΡΟΔΟΣ ΕΘΝΙΚΟΥ ΣΤΑΔΙΟΥ - ΠΑΓΚΡΑΤΕΪΚΑ</t>
  </si>
  <si>
    <t>3ο ΗΜΕΡΗΣΙΟ ΓΕΝΙΚΟ ΛΥΚΕΙΟ ΚΕΡΚΥΡΑΣ</t>
  </si>
  <si>
    <t>mail@3lyk-kerkyr.ker.sch.gr</t>
  </si>
  <si>
    <t>ΣΠΥΡΟΥ ΞΥΝΔΑ 2</t>
  </si>
  <si>
    <t>5ο ΗΜΕΡΗΣΙΟ ΓΕΝΙΚΟ ΛΥΚΕΙΟ ΚΕΡΚΥΡΑΣ</t>
  </si>
  <si>
    <t>mail@5lyk-kerkyr.ker.sch.gr</t>
  </si>
  <si>
    <t>Ε. ΝΑΠΟΛΕΟΝΤΟΣ 12</t>
  </si>
  <si>
    <t>5ο ΔΗΜΟΤΙΚΟ ΣΧΟΛΕΙΟ ΚΕΡΚΥΡΑΣ</t>
  </si>
  <si>
    <t>ΒΟΡΕΙΑΣ ΚΕΡΚΥΡΑΣ</t>
  </si>
  <si>
    <t>ΕΣΠΕΡΙΩΝ</t>
  </si>
  <si>
    <t>ΚΑΡΟΥΣΑΔΩΝ</t>
  </si>
  <si>
    <t>ΓΥΜΝΑΣΙΟ ΚΑΡΟΥΣΑΔΩΝ</t>
  </si>
  <si>
    <t>mail@gym-karous.ker.sch.gr</t>
  </si>
  <si>
    <t>Καρουσάδες Κέρκυρας</t>
  </si>
  <si>
    <t>Καρουσάδες</t>
  </si>
  <si>
    <t>ΔΗΜΟΤΙΚΟ ΣΧΟΛΕΙΟ ΚΑΡΟΥΣΑΔΩΝ</t>
  </si>
  <si>
    <t>ΕΣΠΕΡΙΝΟ ΓΥΜΝΑΣΙΟ ΚΕΡΚΥΡΑΣ</t>
  </si>
  <si>
    <t>mail@gym-esp-kerkyr.ker.sch.gr</t>
  </si>
  <si>
    <t>ΠΑΡΕΛΙΩΝ</t>
  </si>
  <si>
    <t>ΓΥΜΝΑΣΙΟ ΑΓΙΟΥ ΙΩΑΝΝΗ</t>
  </si>
  <si>
    <t>mail@gym-ag-ioann.ker.sch.gr</t>
  </si>
  <si>
    <t>ΑΓΙΟΣ ΙΩΑΝΝΗΣ ΚΕΡΚΥΡΑΣ</t>
  </si>
  <si>
    <t>ΔΗΜΟΤΙΚΟ ΣΧΟΛΕΙΟΥ ΑΓΙΟΥ ΙΩΑΝΝΗ</t>
  </si>
  <si>
    <t>6ο ΗΜΕΡΗΣΙΟ ΓΥΜΝΑΣΙΟ ΚΕΡΚΥΡΑΣ</t>
  </si>
  <si>
    <t>mail@6gym-kerkyr.ker.sch.gr</t>
  </si>
  <si>
    <t>ΕΛΕΥΘ.ΒΕΝΙΖΕΛΟΥ 42</t>
  </si>
  <si>
    <t>3ο ΗΜΕΡΗΣΙΟ ΓΥΜΝΑΣΙΟ ΚΕΡΚΥΡΑΣ</t>
  </si>
  <si>
    <t>mail@3gym-kerkyr.ker.sch.gr</t>
  </si>
  <si>
    <t>ΤΕΡΜΑ ΚΟΛΟΚΟΤΡΩΝΗ</t>
  </si>
  <si>
    <t>1ο ΗΜΕΡΗΣΙΟ ΓΥΜΝΑΣΙΟ ΚΕΡΚΥΡΑΣ</t>
  </si>
  <si>
    <t>mail@1gym-kerkyr.ker.sch.gr</t>
  </si>
  <si>
    <t>ΓΥΜΝΑΣΙΟ ΦΑΙΑΚΩΝ</t>
  </si>
  <si>
    <t>mail@gym-spart.ker.sch.gr</t>
  </si>
  <si>
    <t>ΔΑΣΙΑ ΚΕΡΚΥΡΑΣ</t>
  </si>
  <si>
    <t>ΔΑΣΙΑ - ΚΕΡΚΥΡΑ</t>
  </si>
  <si>
    <t>ΔΗΜΟΤΙΚΟ ΣΧΟΛΕΙΟ ΚΑΤΩ ΚΟΡΑΚΙΑΝΑΣ</t>
  </si>
  <si>
    <t>ΚΑΣΣΩΠΑΙΩΝ</t>
  </si>
  <si>
    <t>ΚΑΣΣΙΟΠΗΣ</t>
  </si>
  <si>
    <t>ΗΜΕΡΗΣΙΟ ΓΥΜΝΑΣΙΟ με Λ.Τ. ΚΑΣΣΙΟΠΗΣ ΚΕΡΚΥΡΑΣ</t>
  </si>
  <si>
    <t>mail@gym-kassiop.ker.sch.gr</t>
  </si>
  <si>
    <t xml:space="preserve">ΚΑΣΣΙΟΠΗ ΚΕΡΚΥΡΑΣ </t>
  </si>
  <si>
    <t>ΚΑΣΣΙΟΠΗ</t>
  </si>
  <si>
    <t>ΔΗΜΟΤΙΚΟ ΣΧΟΛΕΙΟ ΚΑΣΣΙΟΠΗΣ</t>
  </si>
  <si>
    <t>ΗΜΕΡΗΣΙΟ ΓΥΜΝΑΣΙΟ ΚΑΣΤΕΛΛΑΝΩΝ ΜΕΣΗΣ ΚΕΡΚΥΡΑΣ</t>
  </si>
  <si>
    <t>mail@gym-kastell.ker.sch.gr</t>
  </si>
  <si>
    <t>ΚΑΣΤΕΛΛΑΝΟΙ ΜΕΣΗΣ ΚΕΡΚΥΡΑΣ</t>
  </si>
  <si>
    <t>ΠΑΞΩΝ</t>
  </si>
  <si>
    <t>ΓΑΪΟΥ</t>
  </si>
  <si>
    <t>ΗΜΕΡΗΣΙΟ ΓΥΜΝΑΣΙΟ ΠΑΞΩΝ</t>
  </si>
  <si>
    <t>mail@gym-paxon.ker.sch.gr</t>
  </si>
  <si>
    <t>ΠΑΞΟΙ ΚΕΡΚΥΡΑΣ</t>
  </si>
  <si>
    <t>ΣΧΟΛΙΚΟ ΚΕΝΤΡΟ ΠΑΞΩΝ</t>
  </si>
  <si>
    <t>2ο ΗΜΕΡΗΣΙΟ ΓΥΜΝΑΣΙΟ ΚΕΡΚΥΡΑΣ</t>
  </si>
  <si>
    <t>mail@2gym-kerkyr.ker.sch.gr</t>
  </si>
  <si>
    <t>ΖΑΜΠΕΛΗ 1</t>
  </si>
  <si>
    <t>ΔΗΜΟΤΙΚΟ ΣΧΟΛΕΙΟ ΠΑΛΙΑΣ ΠΟΛΗΣ ΚΕΡΚΥΡΑΣ</t>
  </si>
  <si>
    <t>ΘΙΝΑΛΙΟΥ</t>
  </si>
  <si>
    <t>ΗΜΕΡΗΣΙΟ ΓΥΜΝΑΣΙΟ ΘΙΝΑΛΙΟΥ ΚΕΡΚΥΡΑΣ - ΓΥΜΝΑΣΙΟ ΘΙΝΑΛΙΟΥ</t>
  </si>
  <si>
    <t>mail@gym-thinal.ker.sch.gr</t>
  </si>
  <si>
    <t>ΔΗΜΟΤΙΚΗ ΕΝΟΤΗΤΑ ΘΙΝΑΛΙΟΥ  ΚΕΡΚΥΡΑΣ</t>
  </si>
  <si>
    <t>ΑΧΑΡΑΒΗ ΚΕΡΚΥΡΑ</t>
  </si>
  <si>
    <t>ΑΧΑΡΑΒΗ</t>
  </si>
  <si>
    <t>1ο  ΣΧΟΛΙΚΟ ΚΕΝΤΡΟ ΘΙΝΑΛΙΩΝ</t>
  </si>
  <si>
    <t>ΠΕΡΟΥΛΑΔΩΝ</t>
  </si>
  <si>
    <t>ΓΥΜΝΑΣΙΟ ΑΜΦΙΠΑΓΙΤΩΝ  «ΑΝΔΡΕΑΣ ΚΑΛΒΟΣ»</t>
  </si>
  <si>
    <t>mail@gym-amfip.ker.sch.gr</t>
  </si>
  <si>
    <t>ΠΕΡΟΥΛΑΔΕΣ</t>
  </si>
  <si>
    <t>ΔΗΜΟΤΙΚΟ ΣΧΟΛΕΙΟ ΑΥΛΙΩΤΩΝ</t>
  </si>
  <si>
    <t>ΑΓΡΟΥ</t>
  </si>
  <si>
    <t>ΗΜΕΡΗΣΙΟ ΓΥΜΝΑΣΙΟ ΑΓΡΟΥ</t>
  </si>
  <si>
    <t>mail@gym-agrou.ker.sch.gr</t>
  </si>
  <si>
    <t>ΑΓΡΟΣ</t>
  </si>
  <si>
    <t>ΣΧΟΛΙΚΟ ΚΕΝΤΡΟ ΑΓΡΟΥ</t>
  </si>
  <si>
    <t>ΚΟΡΙΣΣΙΩΝ</t>
  </si>
  <si>
    <t>ΑΡΓΥΡΑΔΩΝ</t>
  </si>
  <si>
    <t>ΓΥΜΝΑΣΙΟ ΚΑΙ ΛΥΚΕΙΑΚΕΣ ΤΑΞΕΙΣ ΑΡΓΥΡΑΔΩΝ ΚΕΡΚΥΡΑΣ</t>
  </si>
  <si>
    <t>mail@gym-argyr.ker.sch.gr</t>
  </si>
  <si>
    <t xml:space="preserve"> ΚΕΡΚΥΡΑ</t>
  </si>
  <si>
    <t>ΑΡΓΥΡΑΔΕΣ</t>
  </si>
  <si>
    <t>1ο  ΔΗΜΟΤΙΚΟ ΣΧΟΛΕΙΟ ΚΟΡΙΣΣΙΩΝ - ΑΡΓΥΡΑΔΩΝ</t>
  </si>
  <si>
    <t>ΗΜΕΡΗΣΙΟ ΓΕΝΙΚΟ ΛΥΚΕΙΟ ΑΓΡΟΥ ΚΕΡΚΥΡΑΣ</t>
  </si>
  <si>
    <t>mail@lyk-agrou.ker.sch.gr</t>
  </si>
  <si>
    <t>7ο ΗΜΕΡΗΣΙΟ ΓΥΜΝΑΣΙΟ ΚΕΡΚΥΡΑΣ</t>
  </si>
  <si>
    <t>mail@7gym-kerkyr.ker.sch.gr</t>
  </si>
  <si>
    <t>ΑΓΙΟΙ ΘΕΟΔΩΡΟΙ - ΚΕΡΚΥΡΑ</t>
  </si>
  <si>
    <t>14ο  ΔΗΜΟΤΙΚΟ ΣΧΟΛΕΙΟ ΚΕΡΚΥΡΑΣ</t>
  </si>
  <si>
    <t>1ο ΕΡΓΑΣΤΗΡΙΑΚΟ ΚΕΝΤΡΟ ΚΕΡΚΥΡΑΣ</t>
  </si>
  <si>
    <t>mail@1sek-kerkyr.ker.sch.gr</t>
  </si>
  <si>
    <t>4ο ΗΜΕΡΗΣΙΟ ΓΥΜΝΑΣΙΟ ΚΕΡΚΥΡΑΣ</t>
  </si>
  <si>
    <t>mail@4gym-kerkyr.ker.sch.gr</t>
  </si>
  <si>
    <t>ΚΟΛΟΚΟΤΡΩΝΗ ΤΕΡΜΑ</t>
  </si>
  <si>
    <t>ΕΣΠΕΡΙΝΟ  ΕΠΑ.Λ  ΚΕΡΚΥΡΑΣ</t>
  </si>
  <si>
    <t>mail@epal-esp-kerkyr.ker.sch.gr</t>
  </si>
  <si>
    <t>ΑΝΩ ΚΟΡΑΚΙΑΝΑΣ</t>
  </si>
  <si>
    <t>ΕΝΙΑΙΟ ΕΙΔΙΚΟ ΕΠΑΓΓΕΛΜΑΤΙΚΟ ΓΥΜΝΑΣΙΟ-ΛΥΚΕΙΟ ΚΕΡΚΥΡΑΣ</t>
  </si>
  <si>
    <t>mail@gym-ee-kerkyr.ker.sch.gr</t>
  </si>
  <si>
    <t>10η πάροδος, Σπύρου Ραθ 1, Κέρκυρα</t>
  </si>
  <si>
    <t>ΔΗΜΟΤΙΚΟ ΣΧΟΛΕΙΟ ΑΓΙΟΣ ΜΑΡΚΟΣ</t>
  </si>
  <si>
    <t>ΔΙΕΥΘΥΝΣΗ Δ.Ε. ΚΕΦΑΛΛΗΝΙΑΣ</t>
  </si>
  <si>
    <t>ΙΘΑΚΗΣ</t>
  </si>
  <si>
    <t>ΗΜΕΡΗΣΙΟ ΓΕΝΙΚΟ ΛΥΚΕΙΟ ΙΘΑΚΗΣ</t>
  </si>
  <si>
    <t>mail@lyk-ithak.kef.sch.gr</t>
  </si>
  <si>
    <t>ΙΘΑΚΗ</t>
  </si>
  <si>
    <t>ΟΛ. ΡΕΒΕΡΝΤΕΝ 1</t>
  </si>
  <si>
    <t>ΔΗΜΟΤΙΚΟ ΣΧΟΛΕΙΟ ΙΘΑΚΗΣ</t>
  </si>
  <si>
    <t>ΛΕΙΒΑΘΟΥΣ</t>
  </si>
  <si>
    <t>ΗΜΕΡΗΣΙΟ ΓΕΝΙΚΟ ΛΥΚΕΙΟ ΚΕΡΑΜΕΙΩΝ ΚΕΦΑΛΛΟΝΙΑΣ - ΒΑΛΛΙΑΝΕΙΟ ΓΕΝΙΚΟ ΛΥΚΕΙΟ</t>
  </si>
  <si>
    <t>mail@lyk-keram.kef.sch.gr</t>
  </si>
  <si>
    <t xml:space="preserve">ΛΕΙΒΑΘΩ, ΚΕΦΑΛΛΗΝΙΑ </t>
  </si>
  <si>
    <t>ΚΕΡΑΜΕΙΕΣ</t>
  </si>
  <si>
    <t>ΚΕΡΑΜΕΙΕΣ ΚΕΦΑΛΟΝΙΑΣ</t>
  </si>
  <si>
    <t>ΕΕΕΕΚ ΑΡΓΟΣΤΟΛΙ-ΦΑΡΑΚΛΑΤΑ ΚΕΦΑΛΛΗΝΙΑΣ - ΕΕΕΕΚ ΑΡΓΟΣΤΟΛΙΟΥ</t>
  </si>
  <si>
    <t>mail@eeeek-argost.kef.sch.gr</t>
  </si>
  <si>
    <t>ΑΡΓΟΣΤΟΛΙ-ΦΑΡΑΚΛΑΤΑ ΚΕΦΑΛΛΗΝΙΑΣ</t>
  </si>
  <si>
    <t>ΦΑΡΑΚΛΑΤΑ</t>
  </si>
  <si>
    <t>ΔΗΜΟΤΙΚΟ ΣΧΟΛΕΙΟ ΔΙΛΙΝΑΤΩΝ</t>
  </si>
  <si>
    <t>ΛΗΞΟΥΡΙΟΥ</t>
  </si>
  <si>
    <t>ΠΑΛΙΚΗΣ</t>
  </si>
  <si>
    <t>1ο ΗΜΕΡΗΣΙΟ ΕΠΑΛ ΛΗΞΟΥΡΙΟΥ ΚΕΦΑΛΛΟΝΙΑΣ</t>
  </si>
  <si>
    <t>mail@1epal-lixour.kef.sch.gr</t>
  </si>
  <si>
    <t>ΛΗΞΟΥΡΙΟΥ ΚΕΦΑΛΛΟΝΙΑΣ</t>
  </si>
  <si>
    <t>ΝΙΚ. ΜΠΕΛΟΓΙΑΝΝΗ</t>
  </si>
  <si>
    <t>2ο  ΔΗΜΟΤΙΚΟ ΣΧΟΛΕΙΟ ΛΗΞΟΥΡΙΟΥ</t>
  </si>
  <si>
    <t>ΕΛΕΙΟΥ - ΠΡΟΝΩΝ</t>
  </si>
  <si>
    <t>ΠΑΣΤΡΑΣ</t>
  </si>
  <si>
    <t>ΗΜΕΡΗΣΙΟ ΓΥΜΝΑΣΙΟ ΠΑΣΤΡΑΣ ΚΕΦΑΛΛΟΝΙΑΣ - ΓΥΜΝΑΣΙΟ ΠΑΣΤΡΑΣ</t>
  </si>
  <si>
    <t>mail@gym-pastr.kef.sch.gr</t>
  </si>
  <si>
    <t>ΠΑΣΤΡΑ ΚΕΦΑΛΛΟΝΙΑΣ</t>
  </si>
  <si>
    <t>ΔΗΜΟΤΙΚΟ ΣΧΟΛΕΙΟ ΧΙΟΝΑΤΩΝ</t>
  </si>
  <si>
    <t>1ο ΕΠΑ.Λ. ΑΡΓΟΣΤΟΛΙΟΥ</t>
  </si>
  <si>
    <t>mail@1epal-argost.kef.sch.gr</t>
  </si>
  <si>
    <t>ΛΑΣΣΗ</t>
  </si>
  <si>
    <t>5ο   ΔΗΜΟΤΙΚΟ  ΣΧΟΛΕΙΟ ΑΡΓΟΣΤΟΛΙΟΥ</t>
  </si>
  <si>
    <t>2ο ΗΜΕΡΗΣΙΟ ΓΕΝΙΚΟ ΛΥΚΕΙΟ ΑΡΓΟΣΤΟΛΙΟΥ ΚΕΦΑΛΟΝΙΑΣ - ΠΑΝΑΓΙΩΤΗΣ ΒΕΡΓΩΤΗΣ</t>
  </si>
  <si>
    <t>mail@2lyk-argost.kef.sch.gr</t>
  </si>
  <si>
    <t xml:space="preserve"> ΚΕΦΑΛΟΝΙΑΣ</t>
  </si>
  <si>
    <t>ΠΕΡΙΦΕΡΕΙΑΚΟΣ ΑΡΓΟΣΤΟΛΙΟΥ</t>
  </si>
  <si>
    <t>1ο ΔΗΜΟΤΙΚΟ ΣΧΟΛΕΙΟ ΑΡΓΟΣΤΟΛΙΟΥ</t>
  </si>
  <si>
    <t>ΣΑΜΗΣ</t>
  </si>
  <si>
    <t>ΗΜΕΡΗΣΙΟ ΓΕΝΙΚΟ ΛΥΚΕΙΟ ΣΑΜΗΣ ΚΕΦΑΛΟΝΙΑΣ - ΓΕΝΙΚΟ ΛΥΚΕΙΟ ΣΑΜΗΣ</t>
  </si>
  <si>
    <t>mail@lyk-samis.kef.sch.gr</t>
  </si>
  <si>
    <t>ΣΑΜΗ ΚΕΦΑΛΟΝΙΑΣ</t>
  </si>
  <si>
    <t>ΛΕΩΦΟΡΟΣ ΣΑΜΗΣ-ΑΓΙΑΣ ΕΥΦΗΜΙΑΣ</t>
  </si>
  <si>
    <t>ΔΗΜΟΤΙΚΟ ΣΧΟΛΕΙΟ ΣΑΜΗΣ</t>
  </si>
  <si>
    <t>ΓΕΝΙΚΟ ΛΥΚΕΙΟ ΛΗΞΟΥΡΙΟΥ</t>
  </si>
  <si>
    <t>mail@lyk-liksour.kef.sch.gr</t>
  </si>
  <si>
    <t>ΛΗΞΟΥΡΙ ΚΕΦΑΛΛΟΝΙΑΣ</t>
  </si>
  <si>
    <t>Προκατασκευασμένες Αίθουσες, παραλία, πάροδος Γρ. Λαμπράκη</t>
  </si>
  <si>
    <t>1ο   ΔΗΜΟΤΙΚΟ ΣΧΟΛΕΙΟ ΛΗΞΟΥΡΙΟΥ</t>
  </si>
  <si>
    <t>1ο ΗΜΕΡΗΣΙΟ ΓΕΝΙΚΟ ΛΥΚΕΙΟ ΑΡΓΟΣΤΟΛΙΟΥ ΚΕΦΑΛΛΗΝΙΑΣ - ΜΑΡΙΝΟΣ ΚΟΡΓΙΑΛΕΝΙΟΣ</t>
  </si>
  <si>
    <t>mail@1lyk-argost.kef.sch.gr</t>
  </si>
  <si>
    <t>ΑΡΓΟΣΤΟΛΙ  ΚΕΦΑΛΛΗΝΙΑΣ</t>
  </si>
  <si>
    <t>ΛΕΩΦΟΡΟΣ ΓΕΡΑΣΙΜΟΥ ΑΡΣΕΝΗ 4</t>
  </si>
  <si>
    <t>2ο ΔΗΜΟΤΙΚΟ ΣΧΟΛΕΙΟ ΑΡΓΟΣΤΟΛΙΟΥ</t>
  </si>
  <si>
    <t>ΗΜΕΡΗΣΙΟ ΒΑΛΛΙΑΝΕΙΟ ΓΥΜΝΑΣΙΟ ΚΕΡΑΜΕΙΩΝ ΚΕΦΑΛΟΝΙΑΣ</t>
  </si>
  <si>
    <t>mail@gym-keram.kef.sch.gr</t>
  </si>
  <si>
    <t>ΗΜΕΡΗΣΙΟ ΓΥΜΝΑΣΙΟ ΣΑΜΗΣ ΚΕΦΑΛΟΝΙΑΣ - ΓΥΜΝΑΣΙΟ ΣΑΜΗΣ</t>
  </si>
  <si>
    <t>mail@gym-samis.kef.sch.gr</t>
  </si>
  <si>
    <t>ΣΑΜΗΣ ΚΕΦΑΛΛΟΝΙΑΣ</t>
  </si>
  <si>
    <t>ΑΓ. ΕΥΦΗΜΙΑΣ 26</t>
  </si>
  <si>
    <t>1ο ΗΜΕΡΗΣΙΟ ΓΥΜΝΑΣΙΟ ΑΡΓΟΣΤΟΛΙΟΥ ΚΕΦΑΛΛΟΝΙΑΣ - ΚΟΡΓΙΑΛΕΝΕΙΟ</t>
  </si>
  <si>
    <t>mail@1gym-argost.kef.sch.gr</t>
  </si>
  <si>
    <t>ΑΡΓΟΣΤΟΛΙ ΚΕΦΑΛΛΟΝΙΑΣ</t>
  </si>
  <si>
    <t>Μ.ΑΝΝΙΝΟΥ 1</t>
  </si>
  <si>
    <t>2ο ΗΜΕΡΗΣΙΟ ΓΥΜΝΑΣΙΟ ΑΡΓΟΣΤΟΛΙΟΥ ΚΕΦΑΛΟΝΙΑΣ 'ΙΩΣΗΦ ΜΟΜΦΕΡΡΑΤΟΣ'</t>
  </si>
  <si>
    <t>mail@2gym-argost.kef.sch.gr</t>
  </si>
  <si>
    <t>ΑΡΓΟΣΤΟΛΙΟΥ ΚΕΦΑΛΟΝΙΑΣ</t>
  </si>
  <si>
    <t>ΠΕΡΙΟΧΗ ΞΕΝΙΑ</t>
  </si>
  <si>
    <t>ΓΥΜΝΑΣΙΟ ΙΘΑΚΗΣ</t>
  </si>
  <si>
    <t>mail@gym-ithak.kef.sch.gr</t>
  </si>
  <si>
    <t>ΟΛΙΒΙΕ ΡΕΒΕΡΝΤΕΝ 1</t>
  </si>
  <si>
    <t>1ο ΕΠΑ.Λ. ΙΘΑΚΗΣ</t>
  </si>
  <si>
    <t>mail@1epal-ithak.kef.sch.gr</t>
  </si>
  <si>
    <t>3ο ΗΜΕΡΗΣΙΟ ΓΥΜΝΑΣΙΟ ΑΡΓΟΣΤΟΛΙΟΥ ΚΕΦΑΛΟΝΙΑΣ "ΡΟΚΚΟΣ ΧΟΪΔΑΣ"</t>
  </si>
  <si>
    <t>mail@3gym-argost.kef.sch.gr</t>
  </si>
  <si>
    <t>ΧΑΡΟΚΟΠΟΥ 62</t>
  </si>
  <si>
    <t>ΑΓΙΑΣ ΘΕΚΛΗΣ</t>
  </si>
  <si>
    <t>ΗΜΕΡΗΣΙΟ ΓΥΜΝΑΣΙΟ ΑΓΙΑΣ ΘΕΚΛΗΣ ΚΕΦΑΛΛΟΝΙΑΣ - ΓΥΜΝΑΣΙΟ ΑΓΙΑΣ ΘΕΚΛΗΣ</t>
  </si>
  <si>
    <t>mail@gym-ag-thekl.kef.sch.gr</t>
  </si>
  <si>
    <t xml:space="preserve">ΑΓΙΑ ΘΕΚΛΗ </t>
  </si>
  <si>
    <t>ΑΓΙΑ ΘΕΚΛΗ</t>
  </si>
  <si>
    <t>ΔΗΜΟΤΙΚΟ ΣΧΟΛΕΙΟ ΑΓΙΑΣ  ΘΕΚΛΗΣ</t>
  </si>
  <si>
    <t>ΗΜΕΡΗΣΙΟ ΓΥΜΝΑΣΙΟ  ΛΗΞΟΥΡΙΟΥ-ΠΕΤΡΙΤΣΕΙΟ</t>
  </si>
  <si>
    <t>mail@gym-lixour.kef.sch.gr</t>
  </si>
  <si>
    <t>ΛΗΞΟΥΡΙ ΚΕΦΑΛΛΗΝΙΑΣ</t>
  </si>
  <si>
    <t>ΠΑΡΟΔΟΣ ΝΙΚΟΥ ΜΠΕΛΟΓΙΑΝΝΗ - Τ.Κ.:28200</t>
  </si>
  <si>
    <t>ΕΡΙΣΟΥ</t>
  </si>
  <si>
    <t>ΜΕΣΟΒΟΥΝΙΩΝ</t>
  </si>
  <si>
    <t>ΓΥΜΝΑΣΙΟ ΜΕ ΛΥΚΕΙΑΚΕΣ ΤΑΞΕΙΣ ΜΕΣΟΒΟΥΝΙΩΝ ΚΕΦΑΛΟΝΙΑΣ</t>
  </si>
  <si>
    <t>mail@gym-mesov.kef.sch.gr</t>
  </si>
  <si>
    <t>ΜΕΣΟΒΟΥΝΙΩΝ ΚΕΦΑΛΟΝΙΑΣ</t>
  </si>
  <si>
    <t>ΜΕΣΟΒΟΥΝΙΑ - ΚΕΦΑΛΛΗΝΙΑΣ</t>
  </si>
  <si>
    <t>ΔΗΜΟΤΙΚΟ ΣΧΟΛΕΙΟ ΜΕΣΟΒΟΥΝΙΩΝ</t>
  </si>
  <si>
    <t>ΕΣΠΕΡΙΝΟ ΓΥΜΝΑΣΙΟ - ΤΑΞΕΙΣ ΛΥΚΕΙΟΥ ΑΡΓΟΣΤΟΛΙΟΥ</t>
  </si>
  <si>
    <t>mail@gym-esp-argost.kef.sch.gr</t>
  </si>
  <si>
    <t>ΗΜΕΡΗΣΙΟ ΓΕΝΙΚΟ ΛΥΚΕΙΟ ΠΑΣΤΡΑΣ</t>
  </si>
  <si>
    <t>mail@lyk-pastr.kef.sch.gr</t>
  </si>
  <si>
    <t>ΚΕΦΑΛΟΝΙΑ</t>
  </si>
  <si>
    <t>ΠΑΣΤΡΑ ΚΕΦΑΛΟΝΙΑΣ</t>
  </si>
  <si>
    <t>ΕΝΙΑΙΟ ΕΙΔΙΚΟ ΕΠΑΓΓΕΛΜΑΤΙΚΟ ΓΥΜΝΑΣΙΟ-ΛΥΚΕΙΟ ΚΕΦΑΛΟΝΙΑΣ</t>
  </si>
  <si>
    <t>mail@gym-ee-argost.kef.sch.gr</t>
  </si>
  <si>
    <t>ΜΠΑΜΠΗ ΑΝΝΙΝΟΥ 1 ΚΑΙ ΚΑΛΥΨΟΥΣ ΒΕΡΓΩΤΗ</t>
  </si>
  <si>
    <t>ΜΟΥΣΙΚΟ ΓΥΜΝΑΣΙΟ ΚΕΦΑΛΟΝΙΑΣ</t>
  </si>
  <si>
    <t>ΔΙΕΥΘΥΝΣΗ Δ.Ε. ΛΕΥΚΑΔΑΣ</t>
  </si>
  <si>
    <t>ΕΛΛΟΜΕΝΟΥ</t>
  </si>
  <si>
    <t>ΝΥΔΡΙΟΥ</t>
  </si>
  <si>
    <t>ΗΜΕΡΗΣΙΟ ΓΥΜΝΑΣΙΟ ΝΥΔΡΙΟΥ ΛΕΥΚΑΔΑΣ</t>
  </si>
  <si>
    <t>mail@gym-nydriou.lef.sch.gr</t>
  </si>
  <si>
    <t>ΝΥΔΡΙ ΛΕΥΚΑΔΑΣ</t>
  </si>
  <si>
    <t>ΔΗΜΟΤΙΚΟ ΣΧΟΛΕΙΟ ΝΥΔΡΙΟΥ</t>
  </si>
  <si>
    <t>ΗΜΕΡΗΣΙΟ ΓΕΝΙΚΟ ΛΥΚΕΙΟ ΝΥΔΡΙΟΥ ΛΕΥΚΑΔΑΣ</t>
  </si>
  <si>
    <t>mail@lyk-nydriou.lef.sch.gr</t>
  </si>
  <si>
    <t>ΝΥΔΡΙΟΥ ΛΕΥΚΑΔΑΣ</t>
  </si>
  <si>
    <t>ΤΗΛΕΜΑΧΟΥ ΣΤΕΡΙΩΤΗ 36 ΝΥΔΡΙ</t>
  </si>
  <si>
    <t>1ο ΗΜΕΡΗΣΙΟ ΕΠΑΛ ΛΕΥΚΑΔΑΣ - ΞΕΝΟΦΩΝ ΓΡΗΓΟΡΗΣ</t>
  </si>
  <si>
    <t>mail@1epal-lefkad.lef.sch.gr</t>
  </si>
  <si>
    <t>ΑΛΥΚΕΣ ΛΕΥΚΑΔΑΣ</t>
  </si>
  <si>
    <t>1ο ΔΗΜΟΤΙΚΟ ΣΧΟΛΕΙΟ ΛΕΥΚΑΔΑΣ</t>
  </si>
  <si>
    <t>2ο ΗΜΕΡΗΣΙΟ ΓΕΝΙΚΟ ΛΥΚΕΙΟ ΛΕΥΚΑΔΑΣ - ΑΓΓΕΛΟΣ ΣΙΚΕΛΙΑΝΟΣ</t>
  </si>
  <si>
    <t>mail@2lyk-lefkad.lef.sch.gr</t>
  </si>
  <si>
    <t>ΒΑΡΔΑΝΙΑ</t>
  </si>
  <si>
    <t>3ο ΔΗΜΟΤΙΚΟ ΣΧΟΛΕΙΟ ΛΕΥΚΑΔΑΣ</t>
  </si>
  <si>
    <t>ΜΕΓΑΝΗΣΙΟΥ</t>
  </si>
  <si>
    <t>ΣΠΑΡΤΟΧΩΡΙΟΥ</t>
  </si>
  <si>
    <t>ΗΜΕΡΗΣΙΟ ΓΥΜΝΑΣΙΟ ΜΕ ΛΥΚΕΙΑΚΕΣ ΤΑΞΕΙΣ ΜΕΓΑΝΗΣΙΟΥ ΛΕΥΚΑΔΑΣ - ΤΑΦΙΟ ΓΥΜΝΑΣΙΟ ΜΕΓΑΝΗΣΙΟΥ</t>
  </si>
  <si>
    <t>mail@gym-megan.lef.sch.gr</t>
  </si>
  <si>
    <t>ΜΕΓΑΝΗΣΙ ΛΕΥΚΑΔΑΣ</t>
  </si>
  <si>
    <t>ΣΠΑΡΤΟΧΩΡΙ</t>
  </si>
  <si>
    <t>ΔΗΜΟΤΙΚΟ ΣΧΟΛΕΙΟ ΜΕΓΑΝΗΣΙΟΥ</t>
  </si>
  <si>
    <t>ΑΠΟΛΛΩΝΙΩΝ</t>
  </si>
  <si>
    <t>ΓΥΜΝΑΣΙΟ ΚΑΙ ΓΕΝΙΚΕΣ ΛΥΚΕΙΑΚΕΣ ΤΑΞΕΙΣ ΒΑΣΙΛΙΚΗΣ</t>
  </si>
  <si>
    <t>mail@gym-vasil.lef.sch.gr</t>
  </si>
  <si>
    <t>ΒΑΣΙΛΙΚΗ ΛΕΥΚΑΔΑΣ</t>
  </si>
  <si>
    <t>ΔΗΜΟΤΙΚΟ ΣΧΟΛΕΙΟ ΒΑΣΙΛΙΚΗΣ ΛΕΥΚΑΔΑΣ</t>
  </si>
  <si>
    <t>ΗΜΕΡΗΣΙΟ ΓΥΜΝΑΣΙΟ &amp; ΛΥΚΕΙΑΚΕΣ ΤΑΞΕΙΣ ΚΑΡΥΑΣ ΛΕΥΚΑΔΑΣ</t>
  </si>
  <si>
    <t>mail@gym-karyas.lef.sch.gr</t>
  </si>
  <si>
    <t>ΚΑΡΥΑ ΛΕΥΚΑΔΑΣ</t>
  </si>
  <si>
    <t>ΔΗΜΟΤΙΚΟ ΣΧΟΛΕΙΟ ΣΦΑΚΙΩΤΩΝ ΛΕΥΚΑΔΑΣ</t>
  </si>
  <si>
    <t>1ο ΗΜΕΡΗΣΙΟ ΓΥΜΝΑΣΙΟ ΛΕΥΚΑΔΑΣ</t>
  </si>
  <si>
    <t>mail@1gym-lefkad.lef.sch.gr</t>
  </si>
  <si>
    <t>ΠΑΛΑΙΕΣ ΑΛΥΚΕΣ</t>
  </si>
  <si>
    <t>ΜΟΥΣΙΚΟ ΓΥΜΝΑΣΙΟ ΛΕΥΚΑΔΑΣ ΚΑΙ ΛΥΚΕΙΑΚΕΣ ΤΑΞΕΙΣ</t>
  </si>
  <si>
    <t>mail@gym-mous-lefkad.lef.sch.gr</t>
  </si>
  <si>
    <t>ΛΕΩΦΟΡΟΣ ΦΙΛΟΣΟΦΩΝ</t>
  </si>
  <si>
    <t>2ο ΗΜΕΡΗΣΙΟ ΓΥΜΝΑΣΙΟ ΛΕΥΚΑΔΑΣ</t>
  </si>
  <si>
    <t>mail@2gym-lefkad.lef.sch.gr</t>
  </si>
  <si>
    <t>1ο ΗΜΕΡΗΣΙΟ ΓΕΝΙΚΟ ΛΥΚΕΙΟ ΛΕΥΚΑΔΑΣ- ΑΘΑΝΑΣΙΟΣ ΨΑΛΙΔΑΣ</t>
  </si>
  <si>
    <t>mail@1lyk-lefkad.lef.sch.gr</t>
  </si>
  <si>
    <t>ΠΑΛΙΕΣ ΑΛΥΚΕΣ</t>
  </si>
  <si>
    <t>ΕΕΕΕΚ ΛΕΥΚΑΔΑ</t>
  </si>
  <si>
    <t>mail@eeeek.lef.sch.gr</t>
  </si>
  <si>
    <t>Θ.ΣΤΡΑΤΟΥ 3</t>
  </si>
  <si>
    <t>2ο  ΔΗΜΟΤΙΚΟ ΣΧΟΛΕΙΟ ΛΕΥΚΑΔΑΣ</t>
  </si>
  <si>
    <t>ΕΣΠΕΡΙΝΟ ΕΠΑ.Λ. ΛΕΥΚΑΔΑΣ</t>
  </si>
  <si>
    <t>mail@epal-esp-lefkad.lef.sch.gr</t>
  </si>
  <si>
    <t>ΑΛΥΚΕΣ ΛΕΥΚΑΔΑ</t>
  </si>
  <si>
    <t>ΔΙΕΥΘΥΝΣΗ Π.Ε. ΖΑΚΥΝΘΟΥ</t>
  </si>
  <si>
    <t>ΝΗΠΙΑΓΩΓΕΙΟ ΚΟΙΛΙΩΜΕΝΟΥ</t>
  </si>
  <si>
    <t>mail@nip-koiliom.zak.sch.gr</t>
  </si>
  <si>
    <t>ΚΟΙΛΙΩΜΕΝΟΥ</t>
  </si>
  <si>
    <t>ΚΟΙΛΙΩΜΕΝΟΣ</t>
  </si>
  <si>
    <t>ΤΡΑΓΑΚΙΟΥ</t>
  </si>
  <si>
    <t>ΔΗΜΟΤΙΚΟ ΣΧΟΛΕΙΟ ΔΕΡΜΑΤΟΥΣΑΣ</t>
  </si>
  <si>
    <t>mail@dim-dermat.zak.sch.gr</t>
  </si>
  <si>
    <t>ΤΡΑΓΑΚΙ</t>
  </si>
  <si>
    <t>ΑΝΩ ΓΕΡΑΚΑΡΙΟΥ</t>
  </si>
  <si>
    <t>ΟΛΟΗΜΕΡΟ ΔΗΜΟΤΙΚΟ ΣΧΟΛΕΙΟ ΓΕΡΑΚΑΡΙΩΝ</t>
  </si>
  <si>
    <t>mail@dim-gerak.zak.sch.gr</t>
  </si>
  <si>
    <t>ΑΝΩ ΓΕΡΑΚΑΡΙ</t>
  </si>
  <si>
    <t>ΑΝΩ ΓΕΡΑΚΑΡΙΟ</t>
  </si>
  <si>
    <t>dimkatast@sch.gr</t>
  </si>
  <si>
    <t>4dimzak@sch.gr</t>
  </si>
  <si>
    <t>ΥΦΑΝΤΟΥΡΓΕΙΩΝ 2</t>
  </si>
  <si>
    <t>ΝΗΠΙΑΓΩΓΕΙΟ ΚΑΤΑΣΤΑΡΙΟΥ</t>
  </si>
  <si>
    <t>mail@nip-katast.zak.sch.gr</t>
  </si>
  <si>
    <t>ΒΟΥΓΙΑΤΟΥ</t>
  </si>
  <si>
    <t>ΟΛΟΗΜΕΡΟ ΝΗΠΙΑΓΩΓΕΙΟ ΒΟΥΓΙΑΤΟΥ</t>
  </si>
  <si>
    <t>mail@nip-vougiat.zak.sch.gr</t>
  </si>
  <si>
    <t>ΒΟΥΓΙΑΤΟ</t>
  </si>
  <si>
    <t>ΓΑΪΤΑΝΙΟΥ</t>
  </si>
  <si>
    <t>ΝΗΠΙΑΓΩΓΕΙΟ ΓΑΪΤΑΝΙΟΥ</t>
  </si>
  <si>
    <t>mail@nip-gaitan.zak.sch.gr</t>
  </si>
  <si>
    <t>ΓΑΪΤΑΝΙ</t>
  </si>
  <si>
    <t>2ο ΔΗΜΟΤΙΚΟ ΣΧΟΛΕΙΟ ΖΑΚΥΝΘΟΥ</t>
  </si>
  <si>
    <t>mail@2dim-zakynth.zak.sch.gr</t>
  </si>
  <si>
    <t>ΠΑΠΑΦΛΕΣΣΑ 2</t>
  </si>
  <si>
    <t>ΚΕΡΙΟΥ</t>
  </si>
  <si>
    <t>1/Θ ΝΗΠΙΑΓΩΓΕΙΟ ΚΕΡΙΟΥ</t>
  </si>
  <si>
    <t>mail@nip-keriou.zak.sch.gr</t>
  </si>
  <si>
    <t>ΚΕΡΙ</t>
  </si>
  <si>
    <t>ΠΑΝΤΟΚΡΑΤΟΡΟΣ</t>
  </si>
  <si>
    <t>mail@dim-pantokr.zak.sch.gr</t>
  </si>
  <si>
    <t>ΠΑΝΤΟΚΡΑΤΟΡΑΣ</t>
  </si>
  <si>
    <t>ΑΡΓΑΣΙΟΥ</t>
  </si>
  <si>
    <t>ΝΗΠΙΑΓΩΓΕΙΟ ΑΡΓΑΣΙΟΥ</t>
  </si>
  <si>
    <t>mail@nip-argas.zak.sch.gr</t>
  </si>
  <si>
    <t>ΑΡΓΑΣΙ</t>
  </si>
  <si>
    <t>ΟΛΟΗΜΕΡΟ ΝΗΠΙΑΓΩΓΕΙΟ ΛΙΘΑΚΙΑΣ</t>
  </si>
  <si>
    <t>mail@nip-lithak.zak.sch.gr</t>
  </si>
  <si>
    <t>ΛΙΘΑΚΙΑ 164</t>
  </si>
  <si>
    <t>ΟΛΟΗΜΕΡΟ 3/ Θ ΔΗΜΟΤΙΚΟ ΣΧΟΛΕΙΟ ΚΕΡΙΟΥ</t>
  </si>
  <si>
    <t>mail@dim-keriou.zak.sch.gr</t>
  </si>
  <si>
    <t>ΝΗΠΙΑΓΩΓΕΙΟ ΒΑΣΙΛΙΚΟΥ</t>
  </si>
  <si>
    <t>mail@nip-vasil.zak.sch.gr</t>
  </si>
  <si>
    <t>ΒΑΣΙΛΙΚΟΣ</t>
  </si>
  <si>
    <t>ΡΟΜΙΡΙΟΥ</t>
  </si>
  <si>
    <t>ΝΗΠΙΑΓΩΓΕΙΟ ΡΟΜΙΡΙΟΥ</t>
  </si>
  <si>
    <t>mail@1nip-romir.zak.sch.gr</t>
  </si>
  <si>
    <t>ΡΟΜΙΡΙ</t>
  </si>
  <si>
    <t>ΟΛΟΗΜΕΡΟ ΔΗΜΟΤΙΚΟ ΣΧΟΛΕΙΟ ΑΜΠΕΛΟΚΗΠΩΝ</t>
  </si>
  <si>
    <t>mail@dim-ampel.zak.sch.gr</t>
  </si>
  <si>
    <t>mail@1dim-kampou.zak.sch.gr</t>
  </si>
  <si>
    <t>Βανάτο</t>
  </si>
  <si>
    <t>ΚΑΤΩ ΓΕΡΑΚΑΡΙΟΥ</t>
  </si>
  <si>
    <t>ΝΗΠΙΑΓΩΓΕΙΟ ΚΑΤΩ ΓΕΡΑΚΑΡΙΟΥ</t>
  </si>
  <si>
    <t>mail@nip_kat_gerak.zak.sch.gr</t>
  </si>
  <si>
    <t>Κ. ΓΕΡΑΚΑΡΙΟ</t>
  </si>
  <si>
    <t>1ο ΝΗΠΙΑΓΩΓΕΙΟ ΖΑΚΥΝΘΟΥ - ΕΛΙΣΑΒΕΤ ΜΑΡΤΙΝΕΓΚΟΥ</t>
  </si>
  <si>
    <t>mail@1nip-zakynth.zak.sch.gr</t>
  </si>
  <si>
    <t>ΚΡΥΟΝΕΡΙΟΥ 40</t>
  </si>
  <si>
    <t>ΑΓΙΟΥ ΛΕΟΝΤΟΣ</t>
  </si>
  <si>
    <t>4/Θ ΔΣ ΟΡΕΙΝΗΣ ΖΩΝΗΣ</t>
  </si>
  <si>
    <t>mail@dim-or-zonis.zak.sch.gr</t>
  </si>
  <si>
    <t>ΑΓΙΟΣ ΛΕΟΝΤΑΣ</t>
  </si>
  <si>
    <t>ΜΠΟΧΑΛΗΣ</t>
  </si>
  <si>
    <t>6/ΘΕΣΙΟ ΕΙΔΙΚΟ ΔΗΜΟΤΙΚΟ ΣΧΟΛΕΙΟ ΜΠΟΧΑΛΗΣ</t>
  </si>
  <si>
    <t>mail@dim-eid-zakynth.zak.sch.gr</t>
  </si>
  <si>
    <t>ΜΠΟΧΑΛΗ ΖΑΚΥΝΘΟΣ</t>
  </si>
  <si>
    <t>mail@5dim-zakynth.zak.sch.gr</t>
  </si>
  <si>
    <t>6ο ΔΗΜΟΤΙΚΟ ΣΧΟΛΕΙΟ ΖΑΚΥΝΘΟΥ</t>
  </si>
  <si>
    <t>mail@6dim-zakynth.zak.sch.gr</t>
  </si>
  <si>
    <t>ΑΝΑΠΑΥΣΕΩΣ 26</t>
  </si>
  <si>
    <t>6/Θ ΔΗΜΟΤΙΚΟ ΣΧΟΛΕΙΟ  ΜΟΥΖΑΚΙΟΥ</t>
  </si>
  <si>
    <t>mail@dim-mouzak.zak.sch.gr</t>
  </si>
  <si>
    <t>ΦΙΟΛΙΤΗ</t>
  </si>
  <si>
    <t>2ο ΔΗΜΟΤΙΚΟ ΣΧΟΛΕΙΟ ΡΙΖΑΣ</t>
  </si>
  <si>
    <t>mail@2dim-rizas.zak.sch.gr</t>
  </si>
  <si>
    <t>ΦΙΟΛΙΤΗΣ</t>
  </si>
  <si>
    <t>3ο ΔΗΜΟΤΙΚΟ ΣΧΟΛΕΙΟ ΖΑΚΥΝΘΟΥ</t>
  </si>
  <si>
    <t>mail@3dim-zakynth.zak.sch.gr</t>
  </si>
  <si>
    <t>ΑΓΙΟΥ ΔΙΟΝΥΣΙΟΥ 11</t>
  </si>
  <si>
    <t>6ο ΟΛΟΗΜΕΡΟ ΝΗΠΙΑΓΩΓΕΙΟ ΖΑΚΥΝΘΟΥ</t>
  </si>
  <si>
    <t>mail@6nip-zakynth.zak.sch.gr</t>
  </si>
  <si>
    <t>ΚΑΛΛΕΡΓΗ 10</t>
  </si>
  <si>
    <t>ΝΗΠΙΑΓΩΓΕΙΟ ΑΓΙΟΥ ΛΕΟΝΤΑ</t>
  </si>
  <si>
    <t>mail@nip-ag-leont.zak.sch.gr</t>
  </si>
  <si>
    <t>3ο ΝΗΠΙΑΓΩΓΕΙΟ ΖΑΚΥΝΘΟΥ</t>
  </si>
  <si>
    <t>mail@3nip-zakynth.zak.sch.gr</t>
  </si>
  <si>
    <t>ΝΗΠΙΑΓΩΓΕΙΟ ΜΟΥΖΑΚΙΟΥ</t>
  </si>
  <si>
    <t>mail@nip-mouzak.zak.sch.gr</t>
  </si>
  <si>
    <t>ΝΗΠΙΑΓΩΓΕΙΟ ΑΓΙΟΥ ΚΗΡΥΚΑ</t>
  </si>
  <si>
    <t>mail@nip-ag-kirik.zak.sch.gr</t>
  </si>
  <si>
    <t>ΑΓΙΟΥ ΚΗΡΥΚΑ</t>
  </si>
  <si>
    <t>ΑΓΙΟΣ ΚΗΡΥΚΑΣ</t>
  </si>
  <si>
    <t>ΣΚΟΥΛΗΚΑΔΟΥ</t>
  </si>
  <si>
    <t>ΝΗΠΙΑΓΩΓΕΙΟ ΣΚΟΥΛΗΚΑΔΟΥ</t>
  </si>
  <si>
    <t>mail@nip-skoul.zak.sch.gr</t>
  </si>
  <si>
    <t>ΣΚΟΥΛΗΚΑΔΟ</t>
  </si>
  <si>
    <t>ΝΗΠΙΑΓΩΓΕΙΟ ΑΜΠΕΛΟΚΗΠΩΝ</t>
  </si>
  <si>
    <t>mail@nip-ampel.zak.sch.gr</t>
  </si>
  <si>
    <t>ΤΕΜΠΟΝΕΡΑ</t>
  </si>
  <si>
    <t>ΜΕΣΟΥ ΓΕΡΑΚΑΡΙΟΥ</t>
  </si>
  <si>
    <t>ΝΗΠΙΑΓΩΓΕΙΟ ΜΕΣΟΥ ΓΕΡΑΚΑΡΙΟΥ - ΜΠΙΣΚΙΝΗΣ ΑΝΤΩΝΙΟΣ</t>
  </si>
  <si>
    <t>mail@nip-mes-gerak.zak.sch.gr</t>
  </si>
  <si>
    <t>ΜΕΣΟ  ΓΕΡΑΚΑΡΙΟ</t>
  </si>
  <si>
    <t>ΝΗΠΙΑΓΩΓΕΙΟ ΚΑΛΑΜΑΚΙΟΥ</t>
  </si>
  <si>
    <t>mail@nip-kalam.zak.sch.gr</t>
  </si>
  <si>
    <t>ΠΛΑΝΟΥ</t>
  </si>
  <si>
    <t>ΝΗΠΙΑΓΩΓΕΙΟ ΠΛΑΝΟΥ</t>
  </si>
  <si>
    <t>mail@nip-planou.zak.sch.gr</t>
  </si>
  <si>
    <t>ΠΛΑΝΟΣ</t>
  </si>
  <si>
    <t>4ο ΝΗΠΙΑΓΩΓΕΙΟ ΖΑΚΥΝΘΟΥ</t>
  </si>
  <si>
    <t>m_agic85@hotmail.com</t>
  </si>
  <si>
    <t>Ζακυνθος</t>
  </si>
  <si>
    <t>ΣΤΡΑΒΟΠΟΔΗ 16</t>
  </si>
  <si>
    <t>ΝΗΠΙΑΓΩΓΕΙΟ ΜΑΧΑΙΡΑΔΟΥ</t>
  </si>
  <si>
    <t>mail@nip-machair.zak.sch.gr</t>
  </si>
  <si>
    <t>ΜΑΧΑΙΡΑΔΟ 299</t>
  </si>
  <si>
    <t>ΟΛΟΗΜΕΡΟ ΝΗΠΙΑΓΩΓΕΙΟ ΠΑΝΤΟΚΡΑΤΟΡΑ</t>
  </si>
  <si>
    <t>mail@nip-pantok.zak.sch.gr</t>
  </si>
  <si>
    <t>ΠΑΝΤΟΚΡΑΤΟΡΑ</t>
  </si>
  <si>
    <t>ΝΗΠΙΑΓΩΓΕΙΟ ΤΡΑΓΑΚΙΟΥ</t>
  </si>
  <si>
    <t>mail@nip-tragak.zak.sch.gr</t>
  </si>
  <si>
    <t>ΑΓΙΩΝ ΠΑΝΤΩΝ</t>
  </si>
  <si>
    <t>ΟΛΟΗΜΕΡΟ ΝΗΠΙΑΓΩΓΕΙΟ ΑΓΙΩΝ ΠΑΝΤΩΝ</t>
  </si>
  <si>
    <t>mail@nip-ag-panton.zak.sch.gr</t>
  </si>
  <si>
    <t>ΑΓΙΟΙ ΠΑΝΤΕΣ</t>
  </si>
  <si>
    <t>ΛΑΓΩΠΟΔΟΥ</t>
  </si>
  <si>
    <t>mail@1dim-rizas.zak.sch.gr</t>
  </si>
  <si>
    <t>Μαχαιράδο</t>
  </si>
  <si>
    <t>Λαγωπόδο</t>
  </si>
  <si>
    <t>3ο ΔΗΜΟΤΙΚΟ ΣΧΟΛΕΙΟ ΡΙΖΑΣ</t>
  </si>
  <si>
    <t>mail@3dim-rizas.zak.sch.gr</t>
  </si>
  <si>
    <t>ΔΗΜΟΤΙΚΟ ΣΧΟΛΕΙΟ ΛΙΘΑΚΙΑΣ ΖΑΚΥΝΘΟΥ</t>
  </si>
  <si>
    <t>mail@dim-lithak.zak.sch.gr</t>
  </si>
  <si>
    <t>ΛΙΘΑΚΙΑ  ΖΑΚΥΝΘΟΥ</t>
  </si>
  <si>
    <t>mail@1dim-zakynth.zak.sch.gr</t>
  </si>
  <si>
    <t>Ζάκυνθος</t>
  </si>
  <si>
    <t>ΔΙΟΝΥΣΙΟΥ ΡΩΜΑ 32</t>
  </si>
  <si>
    <t>ΚΑΛΙΠΑΔΟΥ</t>
  </si>
  <si>
    <t>ΝΗΠΙΑΓΩΓΕΙΟ ΚΑΛΙΠΑΔΟΥ</t>
  </si>
  <si>
    <t>mail@nip-kalipad.zak.sch.gr</t>
  </si>
  <si>
    <t>ΚΑΛΙΠΑΔΟ</t>
  </si>
  <si>
    <t>7ο ΝΗΠΙΑΓΩΓΕΙΟ ΖΑΚΥΝΘΟΥ</t>
  </si>
  <si>
    <t>mail@7nip-zakynth.zak.sch.gr</t>
  </si>
  <si>
    <t>ΦΙΛΙΚΩΝ</t>
  </si>
  <si>
    <t>ΝΗΠΙΑΓΩΓΕΙΟ ΒΑΝΑΤΟΥ</t>
  </si>
  <si>
    <t>mail@nip-vanat.zak.sch.gr</t>
  </si>
  <si>
    <t>2ο ΝΗΠΙΑΓΩΓΕΙΟ ΖΑΚΥΝΘΟΥ</t>
  </si>
  <si>
    <t>mail@2nip-zakynth.zak.sch.gr</t>
  </si>
  <si>
    <t>5ο ΝΗΠΙΑΓΩΓΕΙΟ ΖΑΚΥΝΘΟΥ</t>
  </si>
  <si>
    <t>mail@5nip-zakynth.zak.sch.gr</t>
  </si>
  <si>
    <t>ΒΑΡΒΑΚΗ 12</t>
  </si>
  <si>
    <t>ΑΝΩ ΒΟΛΙΜΩΝ</t>
  </si>
  <si>
    <t>ΟΛΟΗΜΕΡΟ ΝΗΠΙΑΓΩΓΕΙΟ ΑΝΩ ΒΟΛΙΜΩΝ</t>
  </si>
  <si>
    <t>mail@nip-an-volim.zak.sch.gr</t>
  </si>
  <si>
    <t>ΑΝΩ ΒΟΛΙΜΕΣ</t>
  </si>
  <si>
    <t>ΕΙΔΙΚΟ ΝΗΠΙΑΓΩΓΕΙΟ ΖΑΚΥΝΘΟΥ</t>
  </si>
  <si>
    <t>mail@nip-eid-zakynth.zak.sch.gr</t>
  </si>
  <si>
    <t>ΑΛΙΚΑΝΑ</t>
  </si>
  <si>
    <t>ΝΗΠΙΑΓΩΓΕΙΟ ΑΛΙΚΑΝΑ</t>
  </si>
  <si>
    <t>mail@nip-alikan.zak.sch.gr</t>
  </si>
  <si>
    <t>ΑΛΙΚΑΝΑΣ</t>
  </si>
  <si>
    <t>ΑΓΑΛΑ</t>
  </si>
  <si>
    <t>ΝΗΠΙΑΓΩΓΕΙΟ ΑΓΑΛΑ</t>
  </si>
  <si>
    <t>mail@nip-agala.zak.sch.gr</t>
  </si>
  <si>
    <t>ΑΓΑΛΑΣ</t>
  </si>
  <si>
    <t>ΠΗΓΑΔΑΚΙΩΝ</t>
  </si>
  <si>
    <t>ΝΗΠΙΑΓΩΓΕΙΟ ΠΗΓΑΔΑΚΙΑ</t>
  </si>
  <si>
    <t>mail@nip-pigadak.zak.sch.gr</t>
  </si>
  <si>
    <t>ΠΗΓΑΔΑΚΙΑ</t>
  </si>
  <si>
    <t>ΠΗΓΑΔΑΚΙΑ ΖΑΚΥΝΘΟΥ</t>
  </si>
  <si>
    <t>3/Θ ΔΗΜΟΤΙΚΟ ΣΧΟΛΕΙΟ ΒΑΣΙΛΙΚΟΥ</t>
  </si>
  <si>
    <t>mail@dim-vasil.zak.sch.gr</t>
  </si>
  <si>
    <t>ΔΗΜΟΤΙΚΟ ΣΧΟΛΕΙΟ ΒΑΣΙΛΙΚΟΥ, ΒΑΣΙΛΙΚΟΣ ΖΑΚΥΝΘΟΣ</t>
  </si>
  <si>
    <t>ΝΗΠΙΑΓΩΓΕΙΟ ΚΥΨΕΛΗΣ (ΟΛΟΗΜΕΡΟ)</t>
  </si>
  <si>
    <t>mail@nip-kypsel.zak.sch.gr</t>
  </si>
  <si>
    <t>ΟΛΟΗΜΕΡΟ ΝΗΠΙΑΓΩΓΕΙΟ ΑΓΙΟΣ ΔΗΜΗΤΡΙΟΣ</t>
  </si>
  <si>
    <t>mail@nip-ag-dimitr.zak.sch.gr</t>
  </si>
  <si>
    <t>mail@dim-volim.zak.sch.gr</t>
  </si>
  <si>
    <t>ΔΙΕΥΘΥΝΣΗ Π.Ε. ΚΕΡΚΥΡΑΣ</t>
  </si>
  <si>
    <t>ΝΗΠΙΑΓΩΓΕΙΟ ΠΑΞΩΝ ΜΕ ΕΔΡΑ ΤΑ ΒΛΑΧΟΠΟΥΛΑΤΙΚΑ ΠΑΞΩΝ</t>
  </si>
  <si>
    <t>mail@nip-gaiou.ker.sch.gr</t>
  </si>
  <si>
    <t>ΓΑΪΟΣ ΠΑΞΩΝ</t>
  </si>
  <si>
    <t>12ο  ΝΗΠΙΑΓΩΓΕΙΟ ΚΕΡΚΥΡΑΣ</t>
  </si>
  <si>
    <t>mail@12nip-kerkyr.ker.sch.gr</t>
  </si>
  <si>
    <t>ΓΡΗΓΟΡΙΟΥ ΜΑΡΑΣΛΗ 34Α</t>
  </si>
  <si>
    <t>1ο ΕΙΔΙΚΟ ΝΗΠΙΑΓΩΓΕΙΟ ΚΕΡΚΥΡΑ</t>
  </si>
  <si>
    <t>mail@1nip-eid-kerkyr.ker.sch.gr</t>
  </si>
  <si>
    <t>ΜΑΡΑΣΛΗ 34</t>
  </si>
  <si>
    <t>ΠΕΡΙΒΟΛΙΟΥ</t>
  </si>
  <si>
    <t>2ο  ΝΗΠΙΑΓΩΓΕΙΟ ΚΟΡΙΣΣΙΩΝ-ΠΕΡΙΒΟΛΙΟΥ</t>
  </si>
  <si>
    <t>mail@2nip-periv.ker.sch.gr</t>
  </si>
  <si>
    <t>ΚΟΡΙΣΣΙΩΝ ΠΕΡΙΒΟΛΙΟΥ</t>
  </si>
  <si>
    <t>ΠΕΡΙΒΟΛΙ</t>
  </si>
  <si>
    <t>ΜΑΘΡΑΚΙΟΥ</t>
  </si>
  <si>
    <t>ΔΗΜΟΤΙΚΟ ΣΧΟΛΕΙΟ ΜΑΘΡΑΚΙ-ΚΕΡΚΥΡΑΣ</t>
  </si>
  <si>
    <t>mail@dim-mathr.ker.sch.gr</t>
  </si>
  <si>
    <t>ΜΑΘΡΑΚΙ-ΚΕΡΚΥΡΑΣ</t>
  </si>
  <si>
    <t>ΝΗΠΙΑΓΩΓΕΙΟ ΑΓΙΟΣ ΙΩΑΝΝΗΣ</t>
  </si>
  <si>
    <t>mail@nip-ag-ioann.ker.sch.gr</t>
  </si>
  <si>
    <t>ΔΟΥΚΑΔΩΝ</t>
  </si>
  <si>
    <t>mail@dim-doukad.ker.sch.gr</t>
  </si>
  <si>
    <t>ΔΟΥΚΑΔΕΣ - ΚΕΡΚΥΡΑ</t>
  </si>
  <si>
    <t>ΔΟΥΚΑΔΕΣ- ΚΕΡΚΥΡΑ</t>
  </si>
  <si>
    <t>ΝΗΠΙΑΓΩΓΕΙΟ ΔΟΥΚΑΔΩΝ</t>
  </si>
  <si>
    <t>mail@nip-doukad.ker.sch.gr</t>
  </si>
  <si>
    <t>ΔΟΥΚΑΔΕΣ ΚΕΡΚΥΡΑΣ</t>
  </si>
  <si>
    <t>ΔΟΥΚΑΔΕΣ</t>
  </si>
  <si>
    <t>11ο ΝΗΠΙΑΓΩΓΕΙΟ ΚΕΡΚΥΡΑΣ</t>
  </si>
  <si>
    <t>mail@11nip-kerkyr.ker.sch.gr</t>
  </si>
  <si>
    <t>Οθωνών 14 ΚΟΥΛΙΝΕΣ</t>
  </si>
  <si>
    <t>11ο ΔΗΜΟΤΙΚΟ ΣΧΟΛΕΙΟ ΚΕΡΚΥΡΑΣ</t>
  </si>
  <si>
    <t>mail@11dim-kerkyr.ker.sch.gr</t>
  </si>
  <si>
    <t>Οθωνών 46-50</t>
  </si>
  <si>
    <t>ΓΙΑΝΝΑΔΩΝ</t>
  </si>
  <si>
    <t>ΔΗΜΟΤΙΚΟ ΣΧΟΛΕΙΟ ΓΙΑΝΝΑΔΩΝ</t>
  </si>
  <si>
    <t>mail@dim-giann.ker.sch.gr</t>
  </si>
  <si>
    <t>ΓΙΑΝΝΑΔΕΣ</t>
  </si>
  <si>
    <t>mail@5dim-kerkyr.ker.sch.gr</t>
  </si>
  <si>
    <t>Ν. ΘΕΟΤΟΚΗ 97</t>
  </si>
  <si>
    <t>mail@dim-mantouk.ker.sch.gr</t>
  </si>
  <si>
    <t>ΜΑΝΤΟΥΚΙΟΥ ΚΕΡΚΥΡΑΣ</t>
  </si>
  <si>
    <t>ΞΕΝ.ΣΤΡΑΤΗΓΟΥ 58</t>
  </si>
  <si>
    <t>ΚΟΚΚΙΝΙΟΥ</t>
  </si>
  <si>
    <t>ΝΗΠΙΑΓΩΓΕΙΟ ΚΟΚΚΙΝΙΟΥ</t>
  </si>
  <si>
    <t>mail@nip-kokkin.ker.sch.gr</t>
  </si>
  <si>
    <t>ΚΟΚΚΙΝΙ</t>
  </si>
  <si>
    <t>ΒΙΡΟΥ</t>
  </si>
  <si>
    <t>ΔΗΜΟΤΙΚΟ ΣΧΟΛΕΙΟ ΒΙΡΟΥ ΚΕΡΚΥΡΑΣ</t>
  </si>
  <si>
    <t>mail@dim-virou.ker.sch.gr</t>
  </si>
  <si>
    <t>ΒΙΡΟΣ-ΚΕΡΚΥΡΑΣ</t>
  </si>
  <si>
    <t>ΒΙΡΟΣ</t>
  </si>
  <si>
    <t>mail@dim-kastell.ker.sch.gr</t>
  </si>
  <si>
    <t>ΔΗΜΟΤΙΚΟ ΣΧΟΛΕΙΟ ΠΟΤΑΜΟΥ ΚΕΡΚΥΡΑΣ</t>
  </si>
  <si>
    <t>mail@dim-potam.ker.sch.gr</t>
  </si>
  <si>
    <t>Υ.Θ.ΕΛΕΟΥΣΗΣ</t>
  </si>
  <si>
    <t>ΝΗΠΙΑΓΩΓΕΙΟ ΚΑΣΤΕΛΛΑΝΩΝ ΜΕΣΗΣ</t>
  </si>
  <si>
    <t>mail@nip-kastell.ker.sch.gr</t>
  </si>
  <si>
    <t>ΚΑΣΤΕΛΛΑΝΩΝ ΜΕΣΗΣ ΚΕΡΚΥΡΑ</t>
  </si>
  <si>
    <t>ΚΑΜΑΡΑ</t>
  </si>
  <si>
    <t>10ο ΝΗΠΙΑΓΩΓΕΙΟ ΚΕΡΚΥΡΑΣ</t>
  </si>
  <si>
    <t>mail@10nip-kerkyr.ker.sch.gr</t>
  </si>
  <si>
    <t>ΝΑΥΣΙΚΑΣ 19</t>
  </si>
  <si>
    <t>ΑΛΕΠΟΥΣ</t>
  </si>
  <si>
    <t>ΝΗΠΙΑΓΩΓΕΙΟ ΑΛΕΠΟΥΣ</t>
  </si>
  <si>
    <t>alepou@sch.gr</t>
  </si>
  <si>
    <t>ΑΛΕΠΟΥ</t>
  </si>
  <si>
    <t>1ο  ΔΗΜΟΤΙΚΟ ΣΧΟΛΕΙΟ ΚΕΡΚΥΡΑΣ</t>
  </si>
  <si>
    <t>mail@1dim-kerkyr.ker.sch.gr</t>
  </si>
  <si>
    <t>ΣΧΟΛΕΜΒΟΥΡΓΟΥ 20</t>
  </si>
  <si>
    <t>ΝΗΠΙΑΓΩΓΕΙΟ ΚΑΡΟΥΣΑΔΩΝ</t>
  </si>
  <si>
    <t>mail@nip-karous.ker.sch.gr</t>
  </si>
  <si>
    <t>ΚΑΡΟΥΣΑΔΕΣ</t>
  </si>
  <si>
    <t>ΣΙΝΑΡΑΔΩΝ</t>
  </si>
  <si>
    <t>ΔΗΜΟΤΙΚΟ ΣΧΟΛΕΙΟ ΣΙΝΑΡΑΔΩΝ</t>
  </si>
  <si>
    <t>dimsinar@sch.gr</t>
  </si>
  <si>
    <t>ΣΙΝΑΡΑΔΕΣ - ΚΕΡΚΥΡΑ</t>
  </si>
  <si>
    <t>4ο  ΔΗΜΟΤΙΚΟ ΣΧΟΛΕΙΟ ΛΕΥΚΙΜΜΗΣ - ΝΕΟΧΩΡΙΟΥ</t>
  </si>
  <si>
    <t>mail@4dim-lefkimm.ker.sch.gr</t>
  </si>
  <si>
    <t>mail@dim-p-polis.ker.sch.gr</t>
  </si>
  <si>
    <t>Κέρκυρα:</t>
  </si>
  <si>
    <t>ΠΛΑΤΕΙΑ  ΨΩΡΟΥΛΑ 1</t>
  </si>
  <si>
    <t>ΟΘΩΝΩΝ</t>
  </si>
  <si>
    <t>1ο ΔΗΜΟΤΙΚΟ ΣΧΟΛΕΙΟ ΟΘΩΝΟΙ-ΚΕΡΚΥΡΑΣ</t>
  </si>
  <si>
    <t>mail@dim-othon.ker.sch.gr</t>
  </si>
  <si>
    <t>ΟΘΩΝΟΙ-ΚΕΡΚΥΡΑΣ</t>
  </si>
  <si>
    <t>5ο ΝΗΠΙΑΓΩΓΕΙΟ ΚΕΡΚΥΡΑΣ</t>
  </si>
  <si>
    <t>mail@5nip-kerkyr.ker.sch.gr</t>
  </si>
  <si>
    <t>ΝΙΚΗΦΟΡΟΥ ΘΕΟΤΟΚΗ 97</t>
  </si>
  <si>
    <t>mail@dim-liapad.ker.sch.gr</t>
  </si>
  <si>
    <t>Λιαπάδες</t>
  </si>
  <si>
    <t>mail@dim-karous.ker.sch.gr</t>
  </si>
  <si>
    <t>ΔΗΜΟΤΙΚΟ ΣΧΟΛΕΙΟ ΑΛΕΠΟΥΣ</t>
  </si>
  <si>
    <t>dimalepou@sch.gr</t>
  </si>
  <si>
    <t>Αλεπού</t>
  </si>
  <si>
    <t>Αλεπού Κέρκυρας</t>
  </si>
  <si>
    <t>ΝΗΠΙΑΓΩΓΕΙΟ ΠΟΤΑΜΟΥ</t>
  </si>
  <si>
    <t>mail@nip-potam.ker.sch.gr</t>
  </si>
  <si>
    <t>ΠΟΤΑΜΟΣ - ΚΕΡΚΥΡΑΣ</t>
  </si>
  <si>
    <t>ΑΝΩ ΛΕΥΚΙΜΜΗΣ</t>
  </si>
  <si>
    <t>mail@2dim-lefkim.ker.sch.gr</t>
  </si>
  <si>
    <t>ΡΙΓΓΛΑΔΩΝ 12</t>
  </si>
  <si>
    <t>mail@dim-kanal.ker.sch.gr</t>
  </si>
  <si>
    <t>8ο  ΝΗΠΙΑΓΩΓΕΙΟ ΚΕΡΚΥΡΑΣ</t>
  </si>
  <si>
    <t>mail@8nip-kerkyr.ker.sch.gr</t>
  </si>
  <si>
    <t>ΞΕΝΟΦΩΝΤΟΣ ΣΤΡΑΤΗΓΟΥ 51</t>
  </si>
  <si>
    <t>ΝΗΠΙΑΓΩΓΕΙΟ ΚΟΝΤΟΚΑΛΙΟΥ</t>
  </si>
  <si>
    <t>mail@nip-kontok.ker.sch.gr</t>
  </si>
  <si>
    <t>ΚΟΝΤΟΚΑΛΙ</t>
  </si>
  <si>
    <t>6 ΧΛΜ ΕΘΝΙΚΗΣ ΠΑΛΑΙΟΚΑΣΤΡΙΤΣΑΣ</t>
  </si>
  <si>
    <t>ΛΑΚΩΝΩΝ</t>
  </si>
  <si>
    <t>ΝΗΠΙΑΓΩΓΕΙΟ ΛΑΚΩΝΩΝ</t>
  </si>
  <si>
    <t>mail@nip-lakon.ker.sch.gr</t>
  </si>
  <si>
    <t>ΛΑΚΩΝΕΣ  ΚΕΡΚΥΡΑΣ</t>
  </si>
  <si>
    <t>ΛΑΚΩΝΕΣ</t>
  </si>
  <si>
    <t>4ο ΝΗΠΙΑΓΩΓΕΙΟ ΛΕΥΚΙΜΜΗΣ - ΝΕΟΧΩΡΙΟΥ</t>
  </si>
  <si>
    <t>mail@4nip-lefkimm.ker.sch.gr</t>
  </si>
  <si>
    <t>ΜΠΕΝΙΤΣΩΝ</t>
  </si>
  <si>
    <t>ΝΗΠΙΑΓΩΓΕΙΟ ΜΠΕΝΙΤΣΩΝ</t>
  </si>
  <si>
    <t>mail@nip-benits.ker.sch.gr</t>
  </si>
  <si>
    <t>ΜΠΕΝΙΤΣΕΣ ΚΕΡΚΥΡΑΣ</t>
  </si>
  <si>
    <t>ΜΠΕΝΙΤΣΕΣ</t>
  </si>
  <si>
    <t>ΑΦΡΑΣ</t>
  </si>
  <si>
    <t>ΔΗΜΟΤΙΚΟ ΣΧΟΛΕΙΟ ΑΦΡΑΣ</t>
  </si>
  <si>
    <t>dimafras@sch.gr</t>
  </si>
  <si>
    <t>ΑΦΡΑ</t>
  </si>
  <si>
    <t>1ο ΝΗΠΙΑΓΩΓΕΙΟ ΛΕΥΚΙΜΜΗΣ- ΜΕΛΙΚΙΩΝ</t>
  </si>
  <si>
    <t>mail@1nip-lefkimm.ker.sch.gr</t>
  </si>
  <si>
    <t>ΛΕΥΚΙΜΜΗ ΚΕΡΚΥΡΑΣ</t>
  </si>
  <si>
    <t>ΜΕΛΙΚΙΑ-ΛΕΥΚΙΜΜΗΣ</t>
  </si>
  <si>
    <t>ΠΕΤΡΙΤΗΣ</t>
  </si>
  <si>
    <t>3ο  ΝΗΠΙΑΓΩΓΕΙΟ ΚΟΡΙΣΣΙΩΝ ΠΕΤΡΙΤΗ</t>
  </si>
  <si>
    <t>mail@3nip-petret.ker.sch.gr</t>
  </si>
  <si>
    <t>ΚΟΡΙΣΣΙΩΝ ΠΕΤΡΙΤΗ</t>
  </si>
  <si>
    <t>ΠΕΤΡΙΤΗΣ ΚΕΡΚΥΡΑΣ</t>
  </si>
  <si>
    <t>ΝΗΠΙΑΓΩΓΕΙΟ ΒΙΡΟΥ</t>
  </si>
  <si>
    <t>mail@nip-virou.ker.sch.gr</t>
  </si>
  <si>
    <t>ΜΕΛΙΤΕΙΕΩΝ</t>
  </si>
  <si>
    <t>ΑΓΙΟΥ ΜΑΤΘΑΙΟΥ</t>
  </si>
  <si>
    <t>ΔΗΜΟΤΙΚΟ ΣΧΟΛΕΙΟ ΑΓΙΟΥ ΜΑΤΘΑΙΟΥ</t>
  </si>
  <si>
    <t>mail@dim-ag-matth.ker.sch.gr</t>
  </si>
  <si>
    <t>ΑΓΙΟΣ ΜΑΤΘΑΙΟΣ</t>
  </si>
  <si>
    <t>ΝΗΠΙΑΓΩΓΕΙΟ ΠΕΡΟΥΛΑΔΩΝ</t>
  </si>
  <si>
    <t>mail@nip-peroul.ker.sch.gr</t>
  </si>
  <si>
    <t>mail@12dim-kerkyr.ker.sch.gr</t>
  </si>
  <si>
    <t>ΚΑΤΩ ΓΑΡΟΥΝΑΣ</t>
  </si>
  <si>
    <t>ΝΗΠΙΑΓΩΓΕΙΟ ΚΑΤΩ ΓΑΡΟΥΝΑ</t>
  </si>
  <si>
    <t>mail@nip-garoun.ker.sch.gr</t>
  </si>
  <si>
    <t>ΚΑΤΩ ΓΑΡΟΥΝΑ</t>
  </si>
  <si>
    <t>ΔΗΜΟΤΙΚΟ ΣΧΟΛΕΙΟ ΛΑΚΩΝΩΝ ΚΕΡΚΥΡΑΣ</t>
  </si>
  <si>
    <t>mail@dim-lakon.ker.sch.gr</t>
  </si>
  <si>
    <t>Λάκωνες</t>
  </si>
  <si>
    <t>ΓΑΣΤΟΥΡΙΟΥ</t>
  </si>
  <si>
    <t>ΝΗΠΙΑΓΩΓΕΙΟ ΓΑΣΤΟΥΡΙΟΥ</t>
  </si>
  <si>
    <t>mail@nip-gastour.ker.sch.gr</t>
  </si>
  <si>
    <t>ΓΑΣΤΟΥΡΙ</t>
  </si>
  <si>
    <t>ΝΗΠΙΑΓΩΓΕΊΟ ΛΙΑΠΑΔΩΝ</t>
  </si>
  <si>
    <t>mail@nip-liapad.ker.sch.gr</t>
  </si>
  <si>
    <t>ΜΟΡΑΪΤΙΚΩΝ</t>
  </si>
  <si>
    <t>ΜΟΝΟΘΕΣΙΟ ΝΗΠΙΑΓΩΓΕΙΟ ΕΠΙΣΚΟΠΙΑΝΩΝ</t>
  </si>
  <si>
    <t>mail@nip-episk.ker.sch.gr</t>
  </si>
  <si>
    <t>ΕΠΙΣΚΟΠΙΑΝΩΝ</t>
  </si>
  <si>
    <t>ΕΠΙΣΚΟΠΙΑΝΑ</t>
  </si>
  <si>
    <t>mail@dim-profit.ker.sch.gr</t>
  </si>
  <si>
    <t>ΒΛΑΧΟΠΟΥΛΑΤΙΚΑ ΠΑΞΩΝ</t>
  </si>
  <si>
    <t>ΚΥΝΟΠΙΑΣΤΩΝ</t>
  </si>
  <si>
    <t>ΔΗΜΟΤΙΚΟ ΣΧΟΛΕΙΟ ΚΥΝΟΠΙΑΣΤΩΝ</t>
  </si>
  <si>
    <t>mail@dim-kynop.ker.sch.gr</t>
  </si>
  <si>
    <t>ΚΥΝΟΠΙΑΣΤΕΣ ΚΕΡΚΥΡΑΣ</t>
  </si>
  <si>
    <t>ΜΗΛΙΑ ΚΥΝΟΠΙΑΣΤΩΝ</t>
  </si>
  <si>
    <t>ΝΗΠΙΑΓΩΓΕΙΟ ΚΥΝΟΠΙΑΣΤΩΝ</t>
  </si>
  <si>
    <t>mail@nip-kynop.ker.sch.gr</t>
  </si>
  <si>
    <t>ΝΗΠΙΑΓΩΓΕΙΟ ΣΙΝΑΡΑΔΕΣ</t>
  </si>
  <si>
    <t>mail@nip-sinar.ker.sch.gr</t>
  </si>
  <si>
    <t>ΣΙΝΑΡΑΔΕΣ</t>
  </si>
  <si>
    <t>ΑΓΙΟΥ ΜΑΡΚΟΥ</t>
  </si>
  <si>
    <t>ΝΗΠΙΑΓΩΓΕΙΟ ΑΓΙΟΥ ΜΑΡΚΟΥ</t>
  </si>
  <si>
    <t>mail@nip-ag-markou.ker.sch.gr</t>
  </si>
  <si>
    <t>ΝΗΠΙΑΓΩΓΕΙΟ ΑΓΙΟΥ ΜΑΤΘΑΙΟΥ</t>
  </si>
  <si>
    <t>mail@nip-ag-matth.ker.sch.gr</t>
  </si>
  <si>
    <t>ΒΑΤΟΥ</t>
  </si>
  <si>
    <t>ΝΗΠΙΑΓΩΓΕΙΟ ΒΑΤΟΥ</t>
  </si>
  <si>
    <t>mail@nip-vatou.ker.sch.gr</t>
  </si>
  <si>
    <t>ΒΑΤΟΣ ΚΕΡΚΥΡΑΣ</t>
  </si>
  <si>
    <t>ΒΑΤΟΣ</t>
  </si>
  <si>
    <t>mail@dim-ag-markou.ker.sch.gr</t>
  </si>
  <si>
    <t>ΚΕΡΚΥΡΑ-ΦΑΙΑΚΕΣ</t>
  </si>
  <si>
    <t>ʼγιος Μάρκος-Πυργί</t>
  </si>
  <si>
    <t>ΒΕΛΟΝΑΔΩΝ</t>
  </si>
  <si>
    <t>ΝΗΠΙΑΓΩΓΕΙΟ ΒΕΛΟΝΑΔΩΝ</t>
  </si>
  <si>
    <t>mail@nip-velon.ker.sch.gr</t>
  </si>
  <si>
    <t>ΒΕΛΟΝΑΔΕΣ</t>
  </si>
  <si>
    <t>ΝΗΠΙΑΓΩΓΕΙΟ ΑΧΑΡΑΒΗΣ</t>
  </si>
  <si>
    <t>mail@nip-achar.ker.sch.gr</t>
  </si>
  <si>
    <t>ΝΗΠΙΑΓΩΓΕΙΟ ΠΑΛΑΙΑΣ ΠΟΛΗΣ</t>
  </si>
  <si>
    <t>mail@2nip-kerkyr.ker.sch.gr</t>
  </si>
  <si>
    <t>ΔΕΥΤΕΡΗ ΠΑΡΟΔΟΣ ΔΗΜΑΡΧΟΥ ΔΗΜ. ΚΟΛΛΑ 5</t>
  </si>
  <si>
    <t>ΝΗΠΙΑΓΩΓΕΙΟ ΚΑΣΣΙΟΠΗΣ</t>
  </si>
  <si>
    <t>mail@nip-kassiop.ker.sch.gr</t>
  </si>
  <si>
    <t>ΠΟΡΤΟ ΣΕΡΠΑ ΚΑΣΣΙΟΠΗ</t>
  </si>
  <si>
    <t>mail@6dim-kerkyr.ker.sch.gr</t>
  </si>
  <si>
    <t>mail@14dim-kerkyr.ker.sch.gr</t>
  </si>
  <si>
    <t>9ο ΔΗΜΟΤΙΚΟ ΣΧΟΛΕΙΟ ΚΕΡΚΥΡΑΣ</t>
  </si>
  <si>
    <t>mail@9dim-kerkyr.ker.sch.gr</t>
  </si>
  <si>
    <t>Αλέξανδρου Παναγούλη 19</t>
  </si>
  <si>
    <t>14ο ΝΗΠΙΑΓΩΓΕΙΟ ΚΕΡΚΥΡΑΣ</t>
  </si>
  <si>
    <t>mail@14nip-kerkyr.ker.sch.gr</t>
  </si>
  <si>
    <t>ΑΥΛΙΩΤΩΝ</t>
  </si>
  <si>
    <t>ΝΗΠΙΑΓΩΓΕΙΟ ΑΥΛΙΩΤΕΣ</t>
  </si>
  <si>
    <t>mail@nip-avliot.ker.sch.gr</t>
  </si>
  <si>
    <t>ΑΥΛΙΩΤΕΣ</t>
  </si>
  <si>
    <t>ΜΑΓΟΥΛΑΔΩΝ</t>
  </si>
  <si>
    <t>ΝΗΠΙΑΓΩΓΕΙΟ  ΜΑΓΟΥΛΑΔΩΝ</t>
  </si>
  <si>
    <t>mail@nip-magoud.ker.sch.gr</t>
  </si>
  <si>
    <t>ΜΑΓΟΥΛΑΔΕΣ</t>
  </si>
  <si>
    <t>1ο  ΝΗΠΙΑΓΩΓΕΙΟ ΚΕΡΚΥΡΑΣ</t>
  </si>
  <si>
    <t>mail@1nip-kerkyr.ker.sch.gr</t>
  </si>
  <si>
    <t>ΚΑΒΒΑΔΑΔΩΝ</t>
  </si>
  <si>
    <t>ΝΗΠΙΑΓΩΓΕΙΟ ΚΑΒΒΑΔΑΔΩΝ</t>
  </si>
  <si>
    <t>mail@nip-kavvad.ker.sch.gr</t>
  </si>
  <si>
    <t>ΚΑΒΒΑΔΑΔΕΣ</t>
  </si>
  <si>
    <t>ΝΗΠΙΑΓΩΓΕΙΟ ΑΓΡΟΥ</t>
  </si>
  <si>
    <t>mail@nip-agrou.ker.sch.gr</t>
  </si>
  <si>
    <t>6ο ΝΗΠΙΑΓΩΓΕΙΟ ΚΕΡΚΥΡΑΣ</t>
  </si>
  <si>
    <t>mail@6nip-kerkyr.ker.sch.gr</t>
  </si>
  <si>
    <t>1ο  ΝΗΠΙΑΓΩΓΕΙΟ ΚΟΡΙΣΣΙΩΝ ΑΡΓΥΡΑΔΩΝ</t>
  </si>
  <si>
    <t>mail@1nip-argyr.ker.sch.gr</t>
  </si>
  <si>
    <t>ΚΟΡΙΣΣΙΩΝ ΑΡΓΥΡΑΔΩΝ</t>
  </si>
  <si>
    <t>4ο ΝΗΠΙΑΓΩΓΕΙΟ ΚΕΡΚΥΡΑΣ</t>
  </si>
  <si>
    <t>mail@4nip-kerkyr.ker.sch.gr</t>
  </si>
  <si>
    <t>ΑΘΗΝΑΓΟΡΑ ΚΑΒΒΑΔΑ 7</t>
  </si>
  <si>
    <t>ΔΗΜΟΤΙΚΟ ΣΧΟΛΕΙΟ ΚΟΝΤΟΚΑΛΙΟΥ</t>
  </si>
  <si>
    <t>1dimkont@sch.gr</t>
  </si>
  <si>
    <t>Κοντόκαλι</t>
  </si>
  <si>
    <t>ΣΠΑΡΤΥΛΑ</t>
  </si>
  <si>
    <t>ΝΗΠΙΑΓΩΓΕΙΟ ΣΠΑΡΤΥΛΑΣ</t>
  </si>
  <si>
    <t>mail@nip-spartil.ker.sch.gr</t>
  </si>
  <si>
    <t>Σπαρτύλας</t>
  </si>
  <si>
    <t>mail@dim-kassiop.ker.sch.gr</t>
  </si>
  <si>
    <t>2ο ΔΗΜΟΤΙΚΟ ΣΧΟΛΕΙΟ ΚΟΡΙΣΣΙΩΝ - ΠΕΡΙΒΟΛΙΟΥ</t>
  </si>
  <si>
    <t>mail@dim-periv.ker.sch.gr</t>
  </si>
  <si>
    <t>ΠΕΡΙΒΟΛΙΟΥ ΚΟΡΙΣΣΙΩΝ</t>
  </si>
  <si>
    <t>ΠΕΡΙΒΟΛΙ ΛΕΥΚΙΜΜΗ</t>
  </si>
  <si>
    <t>ΔΗΜΟΤΙΚΟ ΣΧΟΛΕΙΟ ΜΠΕΝΙΤΣΩΝ ΚΕΡΚΥΡΑΣ</t>
  </si>
  <si>
    <t>mail@dim-benits.ker.sch.gr</t>
  </si>
  <si>
    <t>ΔΗΜΟΤΙΚΟ ΣΧΟΛΕΙΟ ΚΑΤΩ ΓΑΡΟΥΝΑ</t>
  </si>
  <si>
    <t>mail@dim-garoun.ker.sch.gr</t>
  </si>
  <si>
    <t>ΚΑΤΩ ΓΑΡΟΥΝΑ  ΚΕΡΚΥΡΑ</t>
  </si>
  <si>
    <t>3ο  ΔΗΜΟΤΙΚΟ ΣΧΟΛΕΙΟ ΚΟΡΙΣΣΙΩΝ- ΠΕΤΡΙΤΗ</t>
  </si>
  <si>
    <t>mail@dim-petret.ker.sch.gr</t>
  </si>
  <si>
    <t>ΠΕΤΡΙΤΗΣ ΔΗΜΟΥ ΝΟΤΙΑΣ ΚΕΡΚΥΡΑΣ</t>
  </si>
  <si>
    <t>mail@dim-argyr.ker.sch.gr</t>
  </si>
  <si>
    <t>ΧΛΟΜΑΤΙΑΝΩΝ</t>
  </si>
  <si>
    <t>ΔΗΜΟΤΙΚΟ ΣΧΟΛΕΙΟ ΜΕΛΙΤΕΙΕΩΝ ΚΕΡΚΥΡΑΣ</t>
  </si>
  <si>
    <t>mail@dim-vragk.ker.sch.gr</t>
  </si>
  <si>
    <t>ΒΡΑΓΚΑΝΙΩΤΙΚΑ ΚΕΡΚΥΡΑΣ</t>
  </si>
  <si>
    <t>ΒΡΑΓΚΑΝΙΩΤΙΚΑ</t>
  </si>
  <si>
    <t>2ο ΝΗΠΙΑΓΩΓΕΙΟ ΛΕΥΚΙΜΜΗΣ - ΡΙΓΓΛΑΔΩΝ</t>
  </si>
  <si>
    <t>mail@2nip-lefkimm.ker.sch.gr</t>
  </si>
  <si>
    <t>1ο ΔΗΜΟΤΙΚΟ ΣΧΟΛΕΙΟ ΛΕΥΚΙΜΜΗΣ-MEΛΙΚΙΩΝ</t>
  </si>
  <si>
    <t>mail@1dim-lefkimm.ker.sch.gr</t>
  </si>
  <si>
    <t>21ης Μαρτίου 468</t>
  </si>
  <si>
    <t>ΕΡΕΙΚΟΥΣΣΗΣ</t>
  </si>
  <si>
    <t>ΔΗΜΟΤΙΚΟ ΣΧΟΛΕΙΟ ΕΡΕΙΚΟΥΣΑΣ</t>
  </si>
  <si>
    <t>mail@dim-ereik.ker.sch.gr</t>
  </si>
  <si>
    <t>ΕΡΕΙΚΟΥΣΑ</t>
  </si>
  <si>
    <t>mail@dim-kat-korak.ker.sch.gr</t>
  </si>
  <si>
    <t>ΚΑΤΩ ΚΟΡΑΚΙΑΝΑ</t>
  </si>
  <si>
    <t>dimagrou@sch.gr</t>
  </si>
  <si>
    <t>ΑΓΡΟΣ ΚΕΡΚΥΡΑ</t>
  </si>
  <si>
    <t>ΑΓΡΟΣ ΚΕΡΚΥΡΑΣ</t>
  </si>
  <si>
    <t>ΔΗΜΟΤΙΚΟ ΣΧΟΛΕΙΟ ΣΠΑΡΤΥΛΑ</t>
  </si>
  <si>
    <t>mail@dim-spart.ker.sch.gr</t>
  </si>
  <si>
    <t>ΣΠΑΡΤΥΛΑΣ ΚΕΡΚΥΡΑ</t>
  </si>
  <si>
    <t>ΣΠΑΡΤΥΛΑΣ</t>
  </si>
  <si>
    <t>mail@dim-avliot.ker.sch.gr</t>
  </si>
  <si>
    <t>mail@dim-thinal.ker.sch.gr</t>
  </si>
  <si>
    <t>ΣΧΟΛΙΚΟ ΚΕΝΤΡΟ ΒΕΛΟΝΑΔΩΝ</t>
  </si>
  <si>
    <t>mail@dim-velon.ker.sch.gr</t>
  </si>
  <si>
    <t>ΒΕΛΟΝΑΔΕΣ ΚΕΡΚΥΡΑ</t>
  </si>
  <si>
    <t>ΔΗΜΟΤΙΚΟ ΣΧΟΛΕΙΟ ΓΑΣΤΟΥΡΙΟΥ</t>
  </si>
  <si>
    <t>mail@dim-gastour.ker.sch.gr</t>
  </si>
  <si>
    <t>ΝΥΜΦΩΝ</t>
  </si>
  <si>
    <t>2ο  ΣΧΟΛΙΚΟ ΚΕΝΤΡΟ ΘΙΝΑΛΙΩΝ</t>
  </si>
  <si>
    <t>mail@dim-nymfon.ker.sch.gr</t>
  </si>
  <si>
    <t>ΠΛΑΤΩΝΑΣ-ΝΥΜΦΕΣ ΚΕΡΚΥΡΑΣ</t>
  </si>
  <si>
    <t>ΠΛΑΤΩΝΑΣ</t>
  </si>
  <si>
    <t>mail@dim-gouvion.ker.sch.gr</t>
  </si>
  <si>
    <t>ΓΟΥΒΙΑ</t>
  </si>
  <si>
    <t>dimagio@sch.gr</t>
  </si>
  <si>
    <t>10ο ΔΗΜ. ΣΧΟΛΕΙΟ ΚΕΡΚΥΡΑΣ</t>
  </si>
  <si>
    <t>mail@10dim-kerkyr.ker.sch.gr</t>
  </si>
  <si>
    <t>ΝΑΥΣΙΚΑΣ 18</t>
  </si>
  <si>
    <t>mail@7dim-kerkyr.ker.sch.gr</t>
  </si>
  <si>
    <t>7Η ΠΑΡΟΔΟΣ ΔΟΝΑΤΟΥ ΔΗΜΟΥΛΙΤΣΑ 7</t>
  </si>
  <si>
    <t>13ο ΔΗΜΟΤΙΚΟ ΣΧΟΛΕΙΟ ΚΕΡΚΥΡΑΣ</t>
  </si>
  <si>
    <t>mail@13dim-kerkyr.ker.sch.gr</t>
  </si>
  <si>
    <t>ΜΙΛΤΙΑΔΗ ΜΑΡΓΑΡΙΤΗ 68</t>
  </si>
  <si>
    <t>ΝΗΠΙΑΓΩΓΕΙΟ ΓΟΥΒΙΩΝ</t>
  </si>
  <si>
    <t>mail@nip-gouvion.ker.sch.gr</t>
  </si>
  <si>
    <t>ΝΗΠΙΑΓΩΓΕΙΟ ΝΥΜΦΩΝ</t>
  </si>
  <si>
    <t>mail@nip-nymfon.ker.sch.gr</t>
  </si>
  <si>
    <t>ΝΥΜΦΕΣ</t>
  </si>
  <si>
    <t>ΝΗΠΙΑΓΩΓΕΙΟ ΑΝΩ ΚΟΡΑΚΙΑΝΑ</t>
  </si>
  <si>
    <t>mail@nip-an-korak.ker.sch.gr</t>
  </si>
  <si>
    <t>ΑΝΩ ΚΟΡΑΚΙΑΝΑ</t>
  </si>
  <si>
    <t>7ο ΝΗΠΙΑΓΩΓΕΙΟ ΚΕΡΚΥΡΑΣ</t>
  </si>
  <si>
    <t>mail@7nip-kerkyr.ker.sch.gr</t>
  </si>
  <si>
    <t>Πολεοδόμου Στ. Βούλγαρη</t>
  </si>
  <si>
    <t>9ο ΝΗΠΙΑΓΩΓΕΙΟ ΚΕΡΚΥΡΑΣ</t>
  </si>
  <si>
    <t>mail@9nip-kerkyr.ker.sch.gr</t>
  </si>
  <si>
    <t>ΑΛΕΞΑΝΔΡΟΥ ΠΑΝΑΓΟΥΛΗ 12B</t>
  </si>
  <si>
    <t>13ο  ΝΗΠΙΑΓΩΓΕΙΟ ΚΕΡΚΥΡΑΣ</t>
  </si>
  <si>
    <t>mail@13nip-kerkyr.ker.sch.gr</t>
  </si>
  <si>
    <t>ΑΙΜΑΤΟΛΟΓΟΥ ΗΛΙΑ ΠΟΛΙΤΗ 30</t>
  </si>
  <si>
    <t>ΝΗΠΙΑΓΩΓΕΙΟ ΑΦΡΑΣ</t>
  </si>
  <si>
    <t>mail@nip-afras.ker.sch.gr</t>
  </si>
  <si>
    <t>4ο Δημοτικό Σχολείο Κέρκυρας - "Αθηναγόρειο"</t>
  </si>
  <si>
    <t>mail@4dim-kerkyr.ker.sch.gr</t>
  </si>
  <si>
    <t>ΝΗΠΙΑΓΩΓΕΙΟ ΚΑΤΩ ΚΟΡΑΚΙΑΝΑ</t>
  </si>
  <si>
    <t>mail@nip-kat-korak.ker.sch.gr</t>
  </si>
  <si>
    <t>ΒΙΤΑΛΑΔΩΝ</t>
  </si>
  <si>
    <t>5ο  ΝΗΠΙΑΓΩΓΕΙΟ ΛΕΥΚΙΜΜΗΣ - ΒΙΤΑΛΑΔΩΝ</t>
  </si>
  <si>
    <t>mail@5nip-lefkimm.ker.sch.gr</t>
  </si>
  <si>
    <t>ΛΕΥΚΙΜΜΗΣ ΒΙΤΑΛΑΔΕΣ</t>
  </si>
  <si>
    <t>ΒΙΤΑΛΑΔΕΣ ΛΕΥΚΙΜΜΗΣ</t>
  </si>
  <si>
    <t>1ο ΕΙΔΙΚΟ ΔΗΜΟΤΙΚΟ ΣΧΟΛΕΙΟ ΚΕΡΚΥΡΑΣ</t>
  </si>
  <si>
    <t>mail@1dim-eid-kerkyr.ker.sch.gr</t>
  </si>
  <si>
    <t>ΜΑΡΑΣΛΗ 34 Α</t>
  </si>
  <si>
    <t>ΝΗΠΙΑΓΩΓΕΙΟ ΓΙΑΝΝΑΔΩΝ</t>
  </si>
  <si>
    <t>mail@nip-giann.ker.sch.gr</t>
  </si>
  <si>
    <t>ΚΑΝΑΚΑΔΕΣ</t>
  </si>
  <si>
    <t>ΚΑΝΑΚΑΔΕΣ ΚΕΡΚΥΡΑΣ</t>
  </si>
  <si>
    <t>ΣΙΝΙΩΝ</t>
  </si>
  <si>
    <t>ΝΗΠΙΑΓΩΓΕΙΟ ΣΙΝΙΩΝ</t>
  </si>
  <si>
    <t>mail@nip-sinion.ker.sch.gr</t>
  </si>
  <si>
    <t>ΣΙΝΙΕΣ</t>
  </si>
  <si>
    <t>ΝΗΣΑΚΙΟΥ</t>
  </si>
  <si>
    <t>ΝΗΠΙΑΓΩΓΕΙΟ ΝΗΣΑΚΙΟΥ</t>
  </si>
  <si>
    <t>mail@nip-nisak.ker.sch.gr</t>
  </si>
  <si>
    <t>ΝΗΣΑΚΙ</t>
  </si>
  <si>
    <t>ΝΗΠΙΑΓΩΓΕΙΟ ΚΑΝΑΛΙΩΝ</t>
  </si>
  <si>
    <t>mail@nip-kanal.ker.sch.gr</t>
  </si>
  <si>
    <t>ΣΤΡΟΓΓΥΛΗΣ</t>
  </si>
  <si>
    <t>ΝΗΠΙΑΓΩΓΕΙΟ ΣΤΡΟΓΓΥΛΗΣ</t>
  </si>
  <si>
    <t>mail@nip-strog.ker.sch.gr</t>
  </si>
  <si>
    <t>ΣΤΡΟΓΓΥΛΗ</t>
  </si>
  <si>
    <t>ΣΤΡΟΓΓΥΛΗ ΚΕΡΚΥΡΑΣ</t>
  </si>
  <si>
    <t>ΔΗΜΟΤΙΚΟ ΕΙΔΙΚΗΣ ΑΓΩΓΗΣ ΚΩΦΩΝ-ΒΑΡΗΚΟΩΝ ΚΕΡΚΥΡΑΣ</t>
  </si>
  <si>
    <t>ΠΛΑΤΕΙΑ ΨΩΡΟΥΛΑ 1</t>
  </si>
  <si>
    <t>ΝΗΠΙΑΓΩΓΕΙΟ ΠΛΑΤΩΝΑ</t>
  </si>
  <si>
    <t>mail@nip-platona.ker.sch.gr</t>
  </si>
  <si>
    <t>Πλάτωνας</t>
  </si>
  <si>
    <t>Πλατωνας Νυμφών</t>
  </si>
  <si>
    <t>ΚΑΝΑΚΑΔΩΝ</t>
  </si>
  <si>
    <t>ΝΗΠΙΑΓΩΓΕΙΟ ΚΑΝΑΚΑΔΩΝ</t>
  </si>
  <si>
    <t>eftychiampr@gmail.com</t>
  </si>
  <si>
    <t>2ο Ειδικό Νηπιαγωγείο Κέρκυρας</t>
  </si>
  <si>
    <t>2ο Ειδικό Δημοτικό Σχολείο Κέρκυρας</t>
  </si>
  <si>
    <t>2eiddimker@sch.gr</t>
  </si>
  <si>
    <t>ΔΙΕΥΘΥΝΣΗ Π.Ε. ΚΕΦΑΛΛΗΝΙΑΣ</t>
  </si>
  <si>
    <t>ΠΥΛΑΡΕΩΝ</t>
  </si>
  <si>
    <t>ΜΑΚΡΥΩΤΙΚΩΝ</t>
  </si>
  <si>
    <t>ΝΗΠΙΑΓΩΓΕΙΟ ΜΑΚΡΥΩΤΙΚΩΝ ΠΥΛΑΡΟΥ</t>
  </si>
  <si>
    <t>mail@nip-makr.kef.sch.gr</t>
  </si>
  <si>
    <t>ΜΑΚΡΥΩΤΙΚΑ ΠΥΛΑΡΟΥ</t>
  </si>
  <si>
    <t>ΜΕΤΑΞΑΤΩΝ</t>
  </si>
  <si>
    <t>ΝΗΠΙΑΓΩΓΕΙΟ ΜΕΤΑΞΑΤΩΝ</t>
  </si>
  <si>
    <t>mail@nip-metax.kef.sch.gr</t>
  </si>
  <si>
    <t>ΛΕΙΒΑΘΩΣ</t>
  </si>
  <si>
    <t>ΜΕΤΑΞΑΤΑ</t>
  </si>
  <si>
    <t>ΘΗΝΑΙΑΣ</t>
  </si>
  <si>
    <t>ΝΗΠΙΑΓΩΓΕΙΟ ΚΑΡΔΑΚΑΤΩΝ</t>
  </si>
  <si>
    <t>mail@nip-kardak.kef.sch.gr</t>
  </si>
  <si>
    <t>ΚΑΡΔΑΚΑΤΑ</t>
  </si>
  <si>
    <t>2ο  ΝΗΠΙΑΓΩΓΕΙΟ ΑΡΓΟΣΤΟΛΙΟΥ</t>
  </si>
  <si>
    <t>mail@2nip-argost.kef.sch.gr</t>
  </si>
  <si>
    <t>Ν.ΣΚΛΑΒΟΥ 22</t>
  </si>
  <si>
    <t>4ο  ΝΗΠΙΑΓΩΓΕΙΟ ΑΡΓΟΣΤΟΛΙΟΥ</t>
  </si>
  <si>
    <t>mail@4nip-argost.kef.sch.gr</t>
  </si>
  <si>
    <t>Π ΒΑΣΙΛΑΤΟΥ 2</t>
  </si>
  <si>
    <t>4ο  ΔΗΜΟΤΙΚΟ ΣΧΟΛΕΙΟ ΑΡΓΟΣΤΟΛΙΟΥ</t>
  </si>
  <si>
    <t>mail@4dim-argost.kef.sch.gr</t>
  </si>
  <si>
    <t>Δ.Δελλαδέτσιμα</t>
  </si>
  <si>
    <t>2ο  ΝΗΠΙΑΓΩΓΕΙΟ ΛΗΞΟΥΡΙΟΥ</t>
  </si>
  <si>
    <t>mail@2nip-lixour.kef.sch.gr</t>
  </si>
  <si>
    <t>ΛΗΞΟΥΡΙ</t>
  </si>
  <si>
    <t>ΝΙΚΟΥ ΜΠΕΛΟΓΙΑΝΝΗ 4</t>
  </si>
  <si>
    <t>ΔΗΜΟΤΙΚΟ ΣΧΟΛΕΙΟ ΠΥΛΑΡΟΥ</t>
  </si>
  <si>
    <t>mail@dim-pylar.kef.sch.gr</t>
  </si>
  <si>
    <t>ΠΥΛΑΡΟΣ</t>
  </si>
  <si>
    <t>ΜΑΚΡΥΩΤΙΚΑ</t>
  </si>
  <si>
    <t>ΔΙΛΙΝΑΤΩΝ</t>
  </si>
  <si>
    <t>mail@dim-dilin.kef.sch.gr</t>
  </si>
  <si>
    <t>ΔΙΛΙΝΑΤΑ</t>
  </si>
  <si>
    <t>mail@1dim-argost.kef.sch.gr</t>
  </si>
  <si>
    <t>ΗΛΙΑ ΖΕΡΒΟΥ 10</t>
  </si>
  <si>
    <t>ΝΗΠΙΑΓΩΓΕΙΟ ΠΟΡΟΥ ΚΕΦΑΛΛΗΝΙΑΣ</t>
  </si>
  <si>
    <t>mail@nip-porou.kef.sch.gr</t>
  </si>
  <si>
    <t>ΧΙΟΝΑΤΩΝ</t>
  </si>
  <si>
    <t>mail@dim-chion.kef.sch.gr</t>
  </si>
  <si>
    <t>ΧΙΟΝΑΤΑ</t>
  </si>
  <si>
    <t>1ο ΝΗΠΙΑΓΩΓΕΙΟ ΑΡΓΟΣΤΟΛΙΟΥ</t>
  </si>
  <si>
    <t>mail@1nip-argost.kef.sch.gr</t>
  </si>
  <si>
    <t>mail@dim-ithakis.kef.sch.gr</t>
  </si>
  <si>
    <t>mail@2dim-argost.kef.sch.gr</t>
  </si>
  <si>
    <t>Αργοστόλι</t>
  </si>
  <si>
    <t>mail@dim-ag-thekl.kef.sch.gr</t>
  </si>
  <si>
    <t>mail@dim-samis.kef.sch.gr</t>
  </si>
  <si>
    <t>ΣΑΜΗ</t>
  </si>
  <si>
    <t>ΧΩΡΟΦΥΛΑΚΗΣ  2</t>
  </si>
  <si>
    <t>ΣΚΑΛΑΣ</t>
  </si>
  <si>
    <t>ΔΗΜΟΤΙΚΟ ΣΧΟΛΕΙΟ ΣΚΑΛΑΣ ΚΕΦΑΛΛΗΝΙΑΣ</t>
  </si>
  <si>
    <t>mail@dim-skalas.kef.sch.gr</t>
  </si>
  <si>
    <t>mail@dim-keram.kef.sch.gr</t>
  </si>
  <si>
    <t>ΤΟΥΛΙΑΤΩΝ</t>
  </si>
  <si>
    <t>mail@dim-mesov.kef.sch.gr</t>
  </si>
  <si>
    <t>ΤΟΥΛΙΑΤΑ ΕΡΙΣΟΥ</t>
  </si>
  <si>
    <t>ΠΕΚΟΥΛΑΡΙ</t>
  </si>
  <si>
    <t>mail@2dim-lixour.kef.sch.gr</t>
  </si>
  <si>
    <t>ΣΤΥΛ. ΤΥΠΑΛΔΟΥ &amp; 21ΗΣ ΜΑΪΟΥ</t>
  </si>
  <si>
    <t>ΣΠΑΡΤΙΩΝ</t>
  </si>
  <si>
    <t>ΝΗΠΙΑΓΩΓΕΙΟ ΣΠΑΡΤΙΩΝ</t>
  </si>
  <si>
    <t>mail@nip-spartion.kef.sch.gr</t>
  </si>
  <si>
    <t>ΣΠΑΡΤΙΑ</t>
  </si>
  <si>
    <t>ΝΗΠΙΑΓΩΓΕΙΟ ΚΕΡΑΜΕΙΩΝ ΚΕΦΑΛΟΝΙΑΣ</t>
  </si>
  <si>
    <t>mail@nip-keram.kef.sch.gr</t>
  </si>
  <si>
    <t>mail@1dim-lixour.kef.sch.gr</t>
  </si>
  <si>
    <t>ΠΕΡΑΤΑΤΩΝ</t>
  </si>
  <si>
    <t>ΕΙΔΙΚΟ ΔΗΜΟΤΙΚΟ ΣΧΟΛΕΙΟ ΠΕΡΑΤΑΤΩΝ</t>
  </si>
  <si>
    <t>mail@dim-eid-perat.kef.sch.gr</t>
  </si>
  <si>
    <t>ΠΕΡΑΤΑΤΑ, ΚΕΦΑΛΟΝΙΑΣ</t>
  </si>
  <si>
    <t>ΝΗΠΙΑΓΩΓΕΙΟ ΙΘΑΚΗΣ</t>
  </si>
  <si>
    <t>mail@nip-ithak.kef.sch.gr</t>
  </si>
  <si>
    <t>ΔΗΜΟΤΙΚΟ ΣΧΟΛΕΙΟ ΣΤΑΥΡΟΥ ΙΘΑΚΗΣ</t>
  </si>
  <si>
    <t>mail@dim-stavr.kef.sch.gr</t>
  </si>
  <si>
    <t>ΣΤΑΥΡΟΣ ΙΘΑΚΗΣ</t>
  </si>
  <si>
    <t>mail@5dim-argost.kef.sch.gr</t>
  </si>
  <si>
    <t>Π. ΒΑΣΙΛΑΤΟΥ 2</t>
  </si>
  <si>
    <t>ΟΜΑΛΩΝ</t>
  </si>
  <si>
    <t>ΔΗΜΟΤΙΚΟ ΣΧΟΛΕΙΟ ΑΓΙΟΥ ΓΕΡΑΣΙΜΟΥ</t>
  </si>
  <si>
    <t>mail@dim-ag-geras.kef.sch.gr</t>
  </si>
  <si>
    <t>ΟΜΑΛΑ</t>
  </si>
  <si>
    <t>ΜΑΚΡΥΓΙΑΝΝΗ ΚΑΙ ΛΟΡΔΟΥ ΚΑΙ ΛΑΙΔΗΣ  ΠΙΚ     ΓΩΝΙΑ</t>
  </si>
  <si>
    <t>ΒΛΑΧΑΤΩΝ ΕΙΚΟΣΙΜΙΑΣ</t>
  </si>
  <si>
    <t>ΔΗΜΟΤΙΚΟ ΣΧΟΛΕΙΟ ΒΛΑΧΑΤΩΝ</t>
  </si>
  <si>
    <t>mail@dim-vlach.kef.sch.gr</t>
  </si>
  <si>
    <t>ΒΛΑΧΑΤΑ</t>
  </si>
  <si>
    <t>ΝΗΠΙΑΓΩΓΕΙΟ ΔΙΛΙΝΑΤΩΝ</t>
  </si>
  <si>
    <t>mail@nip-dilin.kef.sch.gr</t>
  </si>
  <si>
    <t>ΝΗΠΙΑΓΩΓΕΙΟ ΑΓΙΑΣ ΘΕΚΛΗΣ</t>
  </si>
  <si>
    <t>mail@nip-ag-thekl.kef.sch.gr</t>
  </si>
  <si>
    <t>ΠΑΛΙΚΗ</t>
  </si>
  <si>
    <t>ΝΗΠΙΑΓΩΓΕΙΟ ΣΚΑΛΑΣ</t>
  </si>
  <si>
    <t>mail@nip-skalas.kef.sch.gr</t>
  </si>
  <si>
    <t>ΕΛΕΙΟΥ-ΠΡΟΝΝΩΝ</t>
  </si>
  <si>
    <t>ΣΒΟΡΩΝΑΤΩΝ</t>
  </si>
  <si>
    <t>ΝΗΠΙΑΓΩΓΕΙΟ ΛΑΚΗΘΡΑΣ</t>
  </si>
  <si>
    <t>mail@nip-lakith.kef.sch.gr</t>
  </si>
  <si>
    <t>ΛΑΚΗΘΡΑ</t>
  </si>
  <si>
    <t>ΝΗΠΙΑΓΩΓΕΙΟ ΜΕΣΟΒΟΥΝΙΩΝ</t>
  </si>
  <si>
    <t>mail@nip-mesov.kef.sch.gr</t>
  </si>
  <si>
    <t>ΤΟΥΛΙΑΤΑ</t>
  </si>
  <si>
    <t>ΦΑΡΑΚΛΑΤΩΝ</t>
  </si>
  <si>
    <t>ΝΗΠΙΑΓΩΓΕΙΟ ΦΑΡΑΚΛΑΤΩΝ</t>
  </si>
  <si>
    <t>mail@nip-farakl.kef.sch.gr</t>
  </si>
  <si>
    <t>ΡΑΖΑΤΑ</t>
  </si>
  <si>
    <t>ΝΗΠΙΑΓΩΓΕΙΟ ΑΓΙΑΣ ΕΙΡΗΝΗΣ</t>
  </si>
  <si>
    <t>mail@nip-ag-eirin.kef.sch.gr</t>
  </si>
  <si>
    <t>ΑΓΙΑ ΕΙΡΗΝΗ</t>
  </si>
  <si>
    <t>ΝΗΠΙΑΓΩΓΕΙΟ ΒΛΑΧΑΤΩΝ</t>
  </si>
  <si>
    <t>mail@nip-vlach.kef.sch.gr</t>
  </si>
  <si>
    <t>ΝΗΠΙΑΓΩΓΕΙΟ ΑΓΙΟΥ ΓΕΡΑΣΙΜΟΥ</t>
  </si>
  <si>
    <t>mail@nip-ag-geras.kef.sch.gr</t>
  </si>
  <si>
    <t>ΜΑΚΡΥΓΙΑΝΝΗ ΚΑΙ ΛΟΡΔΟΥ ΚΑΙ ΛΑΙΔΗΣ ΠΙΚ</t>
  </si>
  <si>
    <t>3ο ΝΗΠΙΑΓΩΓΕΙΟ ΑΡΓΟΣΤΟΛΙΟΥ</t>
  </si>
  <si>
    <t>mail@3nip-argost.kef.sch.gr</t>
  </si>
  <si>
    <t>ΛΕΩΦΟΡΟΣ ΑΝΤΩΝΗ ΤΡΙΤΣΗ (ΙΟΝΙΟ ΠΑΝ/ΜΙΟ)</t>
  </si>
  <si>
    <t>ΠΛΑΤΡΕΙΘΙΑ (ΠΛΑΤΗΘΡΙΑ)</t>
  </si>
  <si>
    <t>ΝΗΠΙΑΓΩΓΕΙΟ ΠΛΑΤΡΕΙΘΙΑ ΙΘΑΚΗΣ</t>
  </si>
  <si>
    <t>mail@nip-platr.kef.sch.gr</t>
  </si>
  <si>
    <t>ΠΛΑΤΡΕΙΘΙΑ ΙΘΑΚΗΣ</t>
  </si>
  <si>
    <t>ΝΗΠΙΑΓΩΓΕΙΟ ΣΑΜΗΣ</t>
  </si>
  <si>
    <t>mail@nip-samis.kef.sch.gr</t>
  </si>
  <si>
    <t>1ο ΝΗΠΙΑΓΩΓΕΙΟ ΛΗΞΟΥΡΙΟΥ</t>
  </si>
  <si>
    <t>mail@1nip-lixour.kef.sch.gr</t>
  </si>
  <si>
    <t>ΓΡ. ΛΑΜΠΡΑΚΗ 70</t>
  </si>
  <si>
    <t>ΝΗΠΙΑΓΩΓΕΙΟ ΧΙΟΝΑΤΩΝ</t>
  </si>
  <si>
    <t>mail@nip-chion.kef.sch.gr</t>
  </si>
  <si>
    <t>ΔΗΜΟΤΙΚΟ ΣΧΟΛΕΙΟ ΠΟΡΟΥ</t>
  </si>
  <si>
    <t>mail@dim-porou.kef.sch.gr</t>
  </si>
  <si>
    <t>Πόρος</t>
  </si>
  <si>
    <t>Παπαφλέσσα 20</t>
  </si>
  <si>
    <t>3ο ΔΗΜΟΤΙΚΟ ΣΧΟΛΕΙΟ ΑΡΓΟΣΤΟΛΙΟΥ</t>
  </si>
  <si>
    <t>mail@3dim-argost.kef.sch.gr</t>
  </si>
  <si>
    <t>ΚΕΦΑΛΟΥ 22</t>
  </si>
  <si>
    <t>6ο ΔΗΜΟΤΙΚΟ ΣΧΟΛΕΙΟ ΑΡΓΟΣΤΟΛΙΟΥ</t>
  </si>
  <si>
    <t>mail@6dim-argost.kef.sch.gr</t>
  </si>
  <si>
    <t>ΝΕΟΣ ΠΕΡΙΦΕΡΕΙΑΚΟΣ ΑΡΓΟΣΤΟΛΙΟΥ</t>
  </si>
  <si>
    <t>ΕΙΔΙΚΟ ΝΗΠΙΑΓΩΓΕΙΟ ΠΕΡΑΤΑΤΩΝ</t>
  </si>
  <si>
    <t>mail@nip-eid-perat.kef.sch.gr</t>
  </si>
  <si>
    <t>ΠΕΡΑΤΑΤΑ</t>
  </si>
  <si>
    <t>5ο  ΝΗΠΙΑΓΩΓΕΙΟ ΑΡΓΟΣΤΟΛΙΟΥ</t>
  </si>
  <si>
    <t>mail@5nip-argost.kef.sch.gr</t>
  </si>
  <si>
    <t>Δ.ΔΕΛΛΑΔΕΤΣΙΜΑ (ΠΛΗΣΙΟΝ ΞΕΝΙΑ)</t>
  </si>
  <si>
    <t>ΔΙΕΥΘΥΝΣΗ Π.Ε. ΛΕΥΚΑΔΑΣ</t>
  </si>
  <si>
    <t>ΚΑΤΩΜΕΡΙΟΥ</t>
  </si>
  <si>
    <t>mail@dim-megan.lef.sch.gr</t>
  </si>
  <si>
    <t>ΜΕΓΑΝΗΣΙ</t>
  </si>
  <si>
    <t>ΚΑΤΩΜΕΡΙ</t>
  </si>
  <si>
    <t>ΔΗΜΟΤΙΚΟ ΣΧΟΛΕΙΟ ΚΑΛΑΜΟΥ ΛΕΥΚΑΔΑΣ</t>
  </si>
  <si>
    <t>mail@dim-kalam.lef.sch.gr</t>
  </si>
  <si>
    <t>ΚΑΛΑΜΟΣ ΛΕΥΚΑΔΑΣ</t>
  </si>
  <si>
    <t>2ο ΝΗΠΙΑΓΩΓΕΙΟ ΛΕΥΚΑΔΑΣ</t>
  </si>
  <si>
    <t>mail@2nip-lefkad.lef.sch.gr</t>
  </si>
  <si>
    <t>mail@3dim-lefkad.lef.sch.gr</t>
  </si>
  <si>
    <t>1ο ΝΗΠΙΑΓΩΓΕΙΟ ΝΥΔΡΙΟΥ</t>
  </si>
  <si>
    <t>mail@1nip-nydriou.lef.sch.gr</t>
  </si>
  <si>
    <t>ΝΥΔΡΙ</t>
  </si>
  <si>
    <t>ΠΕΡΙΦΕΡΕΙΑΚΗ ΝΥΔΡΙΟΥ</t>
  </si>
  <si>
    <t>ΜΑΡΑΝΤΟΧΩΡΙΟΥ</t>
  </si>
  <si>
    <t>ΔΗΜΟΤΙΚΟ ΣΧΟΛΕΙΟ ΜΑΡΑΝΤΟΧΩΡΙΟΥ ΛΕΥΚΑΔΑΣ</t>
  </si>
  <si>
    <t>mail@dim-marant.lef.sch.gr</t>
  </si>
  <si>
    <t>ΜΑΡΑΝΤΟΧΩΡΙ</t>
  </si>
  <si>
    <t>ΜΑΡΑΝΤΟΧΩΡΙ ΛΕΥΚΑΔΑΣ</t>
  </si>
  <si>
    <t>ΝΗΠΙΑΓΩΓΕΙΟ ΚΑΛΑΜΟΥ</t>
  </si>
  <si>
    <t>mail@nip-kalam.lef.sch.gr</t>
  </si>
  <si>
    <t>ΒΛΥΧΟΥ</t>
  </si>
  <si>
    <t>ΝΗΠΙΑΓΩΓΕΙΟ ΒΛΥΧΟΥ</t>
  </si>
  <si>
    <t>mail@nip-vlych.lef.sch.gr</t>
  </si>
  <si>
    <t>ΒΛΥΧΟ ΛΕΥΚΑΔΑΣ</t>
  </si>
  <si>
    <t>ΣΥΒΡΟΥ</t>
  </si>
  <si>
    <t>ΝΗΠΙΑΓΩΓΕΙΟ ΣΥΒΡΟΥ</t>
  </si>
  <si>
    <t>mail@nip-syvrou.lef.sch.gr</t>
  </si>
  <si>
    <t>ΣΥΒΡΟΣ ΛΕΥΚΑΔΑΣ</t>
  </si>
  <si>
    <t>ΝΗΠΙΑΓΩΓΕΙΟ ΜΑΡΑΝΤΟΧΩΡΙΟΥ</t>
  </si>
  <si>
    <t>mail@nip-marant.lef.sch.gr</t>
  </si>
  <si>
    <t>4ο ΝΗΠΙΑΓΩΓΕΙΟ ΛΕΥΚΑΔΑΣ</t>
  </si>
  <si>
    <t>mail@4nip-lefkad.lef.sch.gr</t>
  </si>
  <si>
    <t>ΣΙΚΕΛΙΑΝΟΥ ΚΑΙ ΓΙΑΝΝΟΥΛΑΤΟΥ</t>
  </si>
  <si>
    <t>ΚΑΤΟΥΝΗΣ</t>
  </si>
  <si>
    <t>ΝΗΠΙΑΓΩΓΕΙΟ ΛΥΓΙΑΣ ΛΕΥΚΑΔΑΣ</t>
  </si>
  <si>
    <t>mail@nip-lygias.lef.sch.gr</t>
  </si>
  <si>
    <t>ΛΥΓΙΑ ΛΕΥΚΑΔΑΣ</t>
  </si>
  <si>
    <t>6ο ΝΗΠΙΑΓΩΓΕΙΟ ΛΕΥΚΑΔΑΣ</t>
  </si>
  <si>
    <t>mail@6nip-lefkad.lef.sch.gr</t>
  </si>
  <si>
    <t>Ι. ΚΑΠΟΔΙΣΤΡΙΑ 15</t>
  </si>
  <si>
    <t>ΝΗΠΙΑΓΩΓΕΙΟ ΜΕΓΑΝΗΣΙΟΥ ΛΕΥΚΑΔΑΣ</t>
  </si>
  <si>
    <t>mail@nip-megan.lef.sch.gr</t>
  </si>
  <si>
    <t>ΚΑΤΩΜΕΡΙ ΜΕΓΑΝΗΣΙΟΥ</t>
  </si>
  <si>
    <t>1ο ΝΗΠΙΑΓΩΓΕΙΟ ΛΕΥΚΑΔΑΣ</t>
  </si>
  <si>
    <t>mail@1nip-lefkad.lef.sch.gr</t>
  </si>
  <si>
    <t>Θ. ΣΤΡΑΤΟΥ   3</t>
  </si>
  <si>
    <t>ΑΛΕΞΑΝΔΡΟΥ</t>
  </si>
  <si>
    <t>ΝΗΠΙΑΓΩΓΕΙΟ ΝΙΚΙΑΝΑΣ</t>
  </si>
  <si>
    <t>mail@nip-nikian.lef.sch.gr</t>
  </si>
  <si>
    <t>ΝΙΚΙΑΝΑΣ</t>
  </si>
  <si>
    <t>ΝΙΚΙΑΝΑ ΛΕΥΚΑΔΑΣ</t>
  </si>
  <si>
    <t>2ο ΝΗΠΙΑΓΩΓΕΙΟ ΝΥΔΡΙΟΥ</t>
  </si>
  <si>
    <t>mail@2nip-nydriou.lef.sch.gr</t>
  </si>
  <si>
    <t>ΠΕΡΙΓΙΑΛΙ ΛΕΥΚΑΔΑΣ</t>
  </si>
  <si>
    <t>ΕΙΔΙΚΟ ΝΗΠΙΑΓΩΓΕΙΟ ΛΕΥΚΑΔΑΣ</t>
  </si>
  <si>
    <t>mail@nip-eid-lefkad.lef.sch.gr</t>
  </si>
  <si>
    <t>Θ. ΣΤΡΑΤΟΥ  3</t>
  </si>
  <si>
    <t>mail@2dim-lefkad.lef.sch.gr</t>
  </si>
  <si>
    <t>ΒΑΡΔΑΝΙΑ-ΛΕΥΚΑΔΑΣ</t>
  </si>
  <si>
    <t>mail@1dim-lefkad.lef.sch.gr</t>
  </si>
  <si>
    <t>ΑΝΤ. ΤΖΕΒΕΛΕΚΗ  2</t>
  </si>
  <si>
    <t>4ο ΔΗΜΟΤΙΚΟ ΣΧΟΛΕΙΟ ΛΕΥΚΑΔΑΣ</t>
  </si>
  <si>
    <t>mail@4dim-lefkad.lef.sch.gr</t>
  </si>
  <si>
    <t>ΚΑΠΟΔΙΣΤΡΙΟΥ  11</t>
  </si>
  <si>
    <t>ΔΗΜΟΤΙΚΟ ΣΧΟΛΕΙΟ ΛΥΓΙΑΣ ΛΕΥΚΑΔΑΣ</t>
  </si>
  <si>
    <t>mail@dim-lygias.lef.sch.gr</t>
  </si>
  <si>
    <t>mail@dim-vasil.lef.sch.gr</t>
  </si>
  <si>
    <t xml:space="preserve">ΒΑΣΙΛΙΚΗ </t>
  </si>
  <si>
    <t>mail@dim-nydriou.lef.sch.gr</t>
  </si>
  <si>
    <t>Νυδρί Λευκάδας</t>
  </si>
  <si>
    <t>ΣΦΑΚΙΩΤΩΝ</t>
  </si>
  <si>
    <t>ΛΑΖΑΡΑΤΩΝ</t>
  </si>
  <si>
    <t>mail@dim-sfakiot.lef.sch.gr</t>
  </si>
  <si>
    <t>Λαζαράτα</t>
  </si>
  <si>
    <t>Λαζαράτα   Λευκάδας</t>
  </si>
  <si>
    <t>5ο ΝΗΠΙΑΓΩΓΕΙΟ ΛΕΥΚΑΔΑΣ</t>
  </si>
  <si>
    <t>mail@5nip-lefkad.lef.sch.gr</t>
  </si>
  <si>
    <t>3ο ΝΗΠΙΑΓΩΓΕΙΟ ΛΕΥΚΑΔΑΣ</t>
  </si>
  <si>
    <t>mail@3nip-lefkad.lef.sch.gr</t>
  </si>
  <si>
    <t>ΑΠΟΛΠΑΙΝΑ ΛΕΥΚΑΔΑΣ</t>
  </si>
  <si>
    <t>7ο ΝΗΠΙΑΓΩΓΕΙΟ ΛΕΥΚΑΔΑΣ</t>
  </si>
  <si>
    <t>mail@7nip-lefkad.lef.sch.gr</t>
  </si>
  <si>
    <t>ΚΑΡΙΩΤΩΝ</t>
  </si>
  <si>
    <t>ΝΗΠΙΑΓΩΓΕΙΟ ΣΦΑΚΙΩΤΩΝ</t>
  </si>
  <si>
    <t>mail@nip-sfakiot.lef.sch.gr</t>
  </si>
  <si>
    <t>ΣΦΑΚΙΩΤΕΣ ΛΕΥΚΑΔΑΣ</t>
  </si>
  <si>
    <t>ΝΗΠΙΑΓΩΓΕΙΟ ΑΓΙΟΥ ΠΕΤΡΟΥ</t>
  </si>
  <si>
    <t>mail@nip-ag-petrou.lef.sch.gr</t>
  </si>
  <si>
    <t>ΑΓΙΟΣ ΠΕΤΡΟΣ ΛΕΥΚΑΔΑΣ</t>
  </si>
  <si>
    <t>ΝΗΠΙΑΓΩΓΕΙΟ ΒΑΣΙΛΙΚΗΣ ΛΕΥΚΑΔΑΣ</t>
  </si>
  <si>
    <t>mail@nip-vasil.lef.sch.gr</t>
  </si>
  <si>
    <t>ΝΗΠΙΑΓΩΓΕΙΟ ΚΑΡΥΑΣ ΛΕΥΚΑΔΑΣ</t>
  </si>
  <si>
    <t>mail@nip-karyas.lef.sch.gr</t>
  </si>
  <si>
    <t>ΕΙΔΙΚΟ ΔΗΜΟΤΙΚΟ ΣΧΟΛΕΙΟ ΛΕΥΚΑΔΑΣ</t>
  </si>
  <si>
    <t>mail@dim-eid-lefkad.lef.sch.gr</t>
  </si>
  <si>
    <t>ΤΣΟΥΚΑΛΑΔΩΝ</t>
  </si>
  <si>
    <t>ΝΗΠΙΑΓΩΓΕΙΟ ΤΣΟΥΚΑΛΑΔΩΝ ΛΕΥΚΑΔΑΣ</t>
  </si>
  <si>
    <t>mail@nip-tsoukal.lef.sch.gr</t>
  </si>
  <si>
    <t>ΤΣΟΥΚΑΛΑΔΕΣ</t>
  </si>
  <si>
    <t>8ο ΝΗΠΙΑΓΩΓΕΙΟ ΛΕΥΚΑΔΑΣ</t>
  </si>
  <si>
    <t>mail@8nip-lefkad.lef.sch.gr</t>
  </si>
  <si>
    <t>ΠΕΡΙΒΟΛΙΑ ΛΕΥΚΑΔΑΣ</t>
  </si>
  <si>
    <t>ΠΕΡΙΦΕΡΕΙΑΚΗ Δ/ΝΣΗ Α/ΘΜΙΑΣ ΚΑΙ Β/ΘΜΙΑΣ ΕΚΠ/ΣΗΣ ΚΕΝΤΡΙΚΗΣ ΜΑΚΕΔΟΝΙΑΣ</t>
  </si>
  <si>
    <t>ΗΜΑΘΙΑΣ</t>
  </si>
  <si>
    <t>ΒΕΡΟΙΑΣ</t>
  </si>
  <si>
    <t>Κ.Ε.Σ.Υ. ΗΜΑΘΙΑΣ</t>
  </si>
  <si>
    <t>mail@kesy.ima.sch.gr</t>
  </si>
  <si>
    <t>ΒΕΡΟΙΑ</t>
  </si>
  <si>
    <t>ΜΟΥΜΟΓΛΟΥ 1 - ΠΑΡΟΔΟΣ ΕΔΕΣΣΗΣ</t>
  </si>
  <si>
    <t>ΘΕΣΣΑΛΟΝΙΚΗΣ</t>
  </si>
  <si>
    <t>ΘΕΡΜΗΣ</t>
  </si>
  <si>
    <t>1ο ΚΕΣΥ Α΄ ΘΕΣΣΑΛΟΝΙΚΗΣ</t>
  </si>
  <si>
    <t>1kesyathess@sch.gr</t>
  </si>
  <si>
    <t>ΘΕΡΜΗ</t>
  </si>
  <si>
    <t>ΧΑΛΚΗΣ 8 -10ο ΧΛΜ ΘΕΣΣΑΛΟΝΙΚΗΣ</t>
  </si>
  <si>
    <t>ΠΑΥΛΟΥ ΜΕΛΑ</t>
  </si>
  <si>
    <t>1ο Κ.Ε.Σ.Υ.  Β΄ ΘΕΣΣΑΛΟΝΙΚΗΣ</t>
  </si>
  <si>
    <t>1kesyvthess@sch.gr</t>
  </si>
  <si>
    <t>ΚΟΛΟΚΟΤΡΩΝΗ 22</t>
  </si>
  <si>
    <t>ΚΙΛΚΙΣ</t>
  </si>
  <si>
    <t>ΚΕΣΥ ΚΙΛΚΙΣ</t>
  </si>
  <si>
    <t>mail@kesy.kil.sch.gr</t>
  </si>
  <si>
    <t>Ανδρέα Παπανδρέου 3 - Κιλκίς</t>
  </si>
  <si>
    <t>ΠΕΛΛΑΣ</t>
  </si>
  <si>
    <t>ΕΔΕΣΣΑΣ</t>
  </si>
  <si>
    <t>ΕΔΕΣΣΗΣ</t>
  </si>
  <si>
    <t>ΚΕΣΥ ΠΕΛΛΑΣ</t>
  </si>
  <si>
    <t>mail@kesy.pel.sch.gr</t>
  </si>
  <si>
    <t>ΕΔΕΣΣΑ</t>
  </si>
  <si>
    <t>ΦΛΩΡΙΝΗΣ 73</t>
  </si>
  <si>
    <t>ΠΙΕΡΙΑΣ</t>
  </si>
  <si>
    <t>ΚΑΤΕΡΙΝΗΣ</t>
  </si>
  <si>
    <t>Κ.Ε.Σ.Υ. ΠΙΕΡΙΑΣ</t>
  </si>
  <si>
    <t>mail@kesy.pie.sch.gr</t>
  </si>
  <si>
    <t>ΠΙΕΡΙΑ</t>
  </si>
  <si>
    <t>ΞΗΡΟΜΕΡΙΤΟΥ 15 ΚΑΤΕΡΙΝΗ</t>
  </si>
  <si>
    <t>ΣΕΡΡΩΝ</t>
  </si>
  <si>
    <t>Κ.Ε.Σ.Υ. ΣΕΡΡΩΝ</t>
  </si>
  <si>
    <t>mail@kesy.ser.sch.gr</t>
  </si>
  <si>
    <t>ΣΕΡΡΕΣ</t>
  </si>
  <si>
    <t>3ο χλμ. ΣΕΡΡΩΝ-ΔΡΑΜΑΣ</t>
  </si>
  <si>
    <t>ΧΑΛΚΙΔΙΚΗΣ</t>
  </si>
  <si>
    <t>ΠΟΛΥΓΥΡΟΥ</t>
  </si>
  <si>
    <t>ΚΕΣΥ ΧΑΛΚΙΔΙΚΗΣ</t>
  </si>
  <si>
    <t>mail@kday.chal.sch.gr</t>
  </si>
  <si>
    <t>ΠΟΛΥΓΥΡΟΣ</t>
  </si>
  <si>
    <t>22ας ΑΠΡΙΛΙΟΥ 1</t>
  </si>
  <si>
    <t>2ου ΔΗΜ.ΔΙΑΜΕΡ.ΘΕΣΣΑΛΟΝΙΚΗΣ</t>
  </si>
  <si>
    <t>2ο ΚΕΣΥ Α΄ ΘΕΣΣΑΛΟΝΙΚΗΣ</t>
  </si>
  <si>
    <t>mail@2kesy-a.thess.sch.gr</t>
  </si>
  <si>
    <t xml:space="preserve">Θεσσαλονίκη </t>
  </si>
  <si>
    <t>Ταντάλου 32</t>
  </si>
  <si>
    <t>2ο ΚΕΣΥ Β΄ ΘΕΣΣΑΛΟΝΙΚΗΣ</t>
  </si>
  <si>
    <t>mail@2kesy-v.thess.sch.gr</t>
  </si>
  <si>
    <t>ΣΤΑΥΡΟΥΠΟΛΗ- ΘΕΣΣΑΛΟΝΙΚΗ</t>
  </si>
  <si>
    <t>ΔΙΕΥΘΥΝΣΗ Δ.Ε. ΑΝΑΤ. ΘΕΣ/ΝΙΚΗΣ</t>
  </si>
  <si>
    <t>3ου ΔΗΜ.ΔΙΑΜΕΡ.ΘΕΣΣΑΛΟΝΙΚΗΣ</t>
  </si>
  <si>
    <t>7ο ΗΜΕΡΗΣΙΟ ΓΥΜΝΑΣΙΟ ΘΕΣΣΑΛΟΝΙΚΗΣ</t>
  </si>
  <si>
    <t>7gymthes@sch.gr</t>
  </si>
  <si>
    <t>ΘΕΣΣΑΛΟΝΙΚΗ</t>
  </si>
  <si>
    <t>ΕΛΕΝΗΣ ΖΩΓΡΑΦΟΥ 4</t>
  </si>
  <si>
    <t>50ο ΔΗΜΟΤΙΚΟ ΣΧΟΛΕΙΟ ΘΕΣΣΑΛΟΝΙΚΗΣ</t>
  </si>
  <si>
    <t>5ου ΔΗΜ.ΔΙΑΜΕΡ.ΘΕΣΣΑΛΟΝΙΚΗΣ</t>
  </si>
  <si>
    <t>28ο ΗΜΕΡΗΣΙΟ ΓΥΜΝΑΣΙΟ ΘΕΣΣΑΛΟΝΙΚΗΣ</t>
  </si>
  <si>
    <t>mail@28gym-thess.thess.sch.gr</t>
  </si>
  <si>
    <t>Κ.ΚΑΡΑΜΑΝΛΗ 95</t>
  </si>
  <si>
    <t>64ο ΔΗΜΟΤΙΚΟ ΣΧΟΛΕΙΟ ΘΕΣΣΑΛΟΝΙΚΗΣ</t>
  </si>
  <si>
    <t>1ου ΔΗΜ.ΔΙΑΜΕΡ.ΘΕΣΣΑΛΟΝΙΚΗΣ</t>
  </si>
  <si>
    <t>ΗΜΕΡΗΣΙΟ ΓΕΝΙΚΟ ΛΥΚΕΙΟ ΔΙΑΠΟΛΙΤΙΣΜΙΚΗΣ ΕΚΠΑΙΔΕΥΣΗΣ ΑΝΑΤΟΛΙΚΗΣ ΘΕΣΣΑΛΟΝΙΚΗΣ</t>
  </si>
  <si>
    <t>lykdiapt@sch.gr</t>
  </si>
  <si>
    <t>ΕΘΝΙΚΗΣ ΑΜΥΝΗΣ 8</t>
  </si>
  <si>
    <t>40ο ΔΗΜΟΤΙΚΟ ΣΧΟΛΕΙΟ ΘΕΣΣΑΛΟΝΙΚΗΣ - ΙΩΑΝΝΙΔΕΙΟΣ ΣΧΟΛΗ</t>
  </si>
  <si>
    <t>1ο ΗΜΕΡΗΣΙΟ ΓΕΝΙΚΟ ΛΥΚΕΙΟ ΘΕΣΣΑΛΟΝΙΚΗΣ</t>
  </si>
  <si>
    <t>mail@1lyk-thess.thess.sch.gr</t>
  </si>
  <si>
    <t>ΕΝΤΙΣΟΝ 1</t>
  </si>
  <si>
    <t>30ο ΔΗΜΟΤΙΚΟ ΣΧΟΛΕΙΟ ΘΕΣΣΑΛΟΝΙΚΗΣ</t>
  </si>
  <si>
    <t>ΠΥΛΑΙΑΣ-ΧΟΡΤΙΑΤΗ</t>
  </si>
  <si>
    <t>ΠΥΛΑΙΑΣ</t>
  </si>
  <si>
    <t>ΔΗΜΟΣΙΟ ΕΙΔΙΚΟ ΓΥΜΝΑΣΙΟ ΘΕΣΣΑΛΟΝΙΚΗΣ</t>
  </si>
  <si>
    <t>mail@gym-eid-thess.thess.sch.gr</t>
  </si>
  <si>
    <t>ΛΕΩΦΟΡΟΣ ΓΕΩΡΓΙΚΗΣ ΣΧΟΛΗΣ 95 ΤΘ 22407</t>
  </si>
  <si>
    <t>5ο ΔΗΜΟΤΙΚΟ ΣΧΟΛΕΙΟ ΠΥΛΑΙΑΣ</t>
  </si>
  <si>
    <t>ΧΟΡΤΙΑΤΗ</t>
  </si>
  <si>
    <t>ΓΕΝΙΚΟ ΛΥΚΕΙΟ ΧΟΡΤΙΑΤΗ</t>
  </si>
  <si>
    <t>mail@2lyk-chort.thess.sch.gr</t>
  </si>
  <si>
    <t>ΠΑΡΟΔΟΣ ΜΑΝΟΛΗ ΤΡΙΑΝΤΑΦΥΛΛΙΔΗ</t>
  </si>
  <si>
    <t>ΔΗΜΟΤΙΚΟ ΣΧΟΛΕΙΟ ΧΟΡΤΙΑΤΗ</t>
  </si>
  <si>
    <t>4ο ΗΜΕΡΗΣΙΟ ΓΕΝΙΚΟ ΛΥΚΕΙΟ ΘΕΣΣΑΛΟΝΙΚΗΣ</t>
  </si>
  <si>
    <t>mail@4lyk-thess.thess.sch.gr</t>
  </si>
  <si>
    <t>ΣΥΓΓΡΟΥ 31</t>
  </si>
  <si>
    <t>55ο ΔΗΜΟΤΙΚΟ ΣΧΟΛΕΙΟ ΘΕΣΣΑΛΟΝΙΚΗΣ</t>
  </si>
  <si>
    <t>1ο Ενιαίο Ειδικό Επαγγελματικό Γυμνάσιο-Λύκειο (ΕΝ.Ε.Ε.ΓΥ.-Λ.) Αν.Θεσσαλονίκης</t>
  </si>
  <si>
    <t>mail@tee-ekv-thess.thess.sch.gr</t>
  </si>
  <si>
    <t>ΓΕΩΡΓΙΚΗΣ ΣΧΟΛΗΣ 95</t>
  </si>
  <si>
    <t>8ο ΔΗΜΟΤΙΚΟ ΣΧΟΛΕΙΟ ΚΑΛΑΜΑΡΙΑΣ</t>
  </si>
  <si>
    <t>4ου ΔΗΜ.ΔΙΑΜΕΡ.ΘΕΣΣΑΛΟΝΙΚΗΣ</t>
  </si>
  <si>
    <t>2ο ΠΡΟΤΥΠΟ ΓΥΜΝΑΣΙΟ ΘΕΣΣΑΛΟΝΙΚΗΣ</t>
  </si>
  <si>
    <t>mail@2gym-peir-thess.thess.sch.gr</t>
  </si>
  <si>
    <t>ΚΛΕΑΝΘΟΥΣ 30</t>
  </si>
  <si>
    <t>83ο ΔΗΜΟΤΙΚΟ ΣΧΟΛΕΙΟ ΘΕΣΣΑΛΟΝΙΚΗΣ</t>
  </si>
  <si>
    <t>15ο ΗΜΕΡΗΣΙΟ ΕΠΑΛ ΘΕΣΣΑΛΟΝΙΚΗΣ</t>
  </si>
  <si>
    <t>mail@15epal-thess.thess.sch.gr</t>
  </si>
  <si>
    <t>ΚΑΤΣΙΜΙΔΗ 11</t>
  </si>
  <si>
    <t>ΤΟΥΜΠΑΣ</t>
  </si>
  <si>
    <t>13ο ΔΗΜΟΤΙΚΟ ΣΧΟΛΕΙΟ ΘΕΣΣΑΛΟΝΙΚΗΣ</t>
  </si>
  <si>
    <t>ΘΕΡΜΑΪΚΟΥ</t>
  </si>
  <si>
    <t>ΕΠΑΝΟΜΗΣ</t>
  </si>
  <si>
    <t>8ο ΕΚ Α ΘΕΣΣΑΛΟΝΙΚΗΣ - ΕΠΑΝΟΜΗ</t>
  </si>
  <si>
    <t>mail@8sek-a-thess.thess.sch.gr</t>
  </si>
  <si>
    <t>ΕΠΑΝΟΜΗ</t>
  </si>
  <si>
    <t>Ν. ΣΑΡΒΑΝΗ 2</t>
  </si>
  <si>
    <t>ΚΑΛΑΜΑΡΙΑΣ</t>
  </si>
  <si>
    <t>1ο ΔΗΜΟΤΙΚΟ ΣΧΟΛΕΙΟ ΕΠΑΝΟΜΗΣ</t>
  </si>
  <si>
    <t>17ο ΗΜΕΡΗΣΙΟ ΓΕΝΙΚΟ ΛΥΚΕΙΟ ΘΕΣΣΑΛΟΝΙΚΗΣ</t>
  </si>
  <si>
    <t>mail@17lyk-thess.thess.sch.gr</t>
  </si>
  <si>
    <t>ΧΡΙΣΤΟΠΟΥΛΟΥ 6</t>
  </si>
  <si>
    <t>36ο ΔΗΜΟΤΙΚΟ ΣΧΟΛΕΙΟ ΘΕΣΣΑΛΟΝΙΚΗΣ "ΜΙΛΤΟΣ ΚΟΥΝΤΟΥΡΑΣ"</t>
  </si>
  <si>
    <t>24ο ΗΜΕΡΗΣΙΟ ΓΕΝΙΚΟ ΛΥΚΕΙΟ ΘΕΣΣΑΛΟΝΙΚΗΣ</t>
  </si>
  <si>
    <t>mail@24lyk-thess.thess.sch.gr</t>
  </si>
  <si>
    <t>ΛΕΩΦΟΡΟΣ Κ. ΚΑΡΑΜΑΝΛΗ 52</t>
  </si>
  <si>
    <t>1ο ΗΜΕΡΗΣΙΟ ΕΠΑΛ ΕΠΑΝΟΜΗΣ</t>
  </si>
  <si>
    <t>mail@1epal-epanom.thess.sch.gr</t>
  </si>
  <si>
    <t>6ο ΕΣΠΕΡΙΝΟ ΕΠΑΛ ΘΕΣΣΑΛΟΝΙΚΗΣ</t>
  </si>
  <si>
    <t>mail@6epal-esp-thess.thess.sch.gr</t>
  </si>
  <si>
    <t>ΑΛΕΞ. ΠΑΠΑΝΑΣΤΑΣΙΟΥ 13</t>
  </si>
  <si>
    <t>69ο ΔΗΜΟΤΙΚΟ ΣΧΟΛΕΙΟ ΘΕΣΣΑΛΟΝΙΚΗΣ</t>
  </si>
  <si>
    <t>1ο ΗΜΕΡΗΣΙΟ ΓΕΝΙΚΟ ΛΥΚΕΙΟ ΕΠΑΝΟΜΗΣ ΘΕΣΣΑΛΟΝΙΚΗΣ</t>
  </si>
  <si>
    <t>1lykepan@sch.gr</t>
  </si>
  <si>
    <t>Επανομή</t>
  </si>
  <si>
    <t>ΒΑΣΙΛΙΚΩΝ</t>
  </si>
  <si>
    <t>1ο ΗΜΕΡΗΣΙΟ ΓΕΝΙΚΟ ΛΥΚΕΙΟ ΒΑΣΙΛΙΚΩΝ ΘΕΣΣΑΛΟΝΙΚΗΣ</t>
  </si>
  <si>
    <t>mail@1lyk-vasil.thess.sch.gr</t>
  </si>
  <si>
    <t>ΒΑΣΙΛΙΚΩΝ ΘΕΣΣΑΛΟΝΙΚΗΣ</t>
  </si>
  <si>
    <t>ΒΑΣΙΛΙΚΑ ΘΕΣΣΑΛΟΝΙΚΗΣ</t>
  </si>
  <si>
    <t>ΔΗΜΟΤΙΚΟ ΣΧΟΛΕΙΟ ΒΑΣΙΛΙΚΩΝ</t>
  </si>
  <si>
    <t>ΜΙΚΡΑΣ</t>
  </si>
  <si>
    <t>ΤΡΙΛΟΦΟΥ</t>
  </si>
  <si>
    <t>ΗΜΕΡΗΣΙΟ ΓΕΝΙΚΟ ΛΥΚΕΙΟ ΜΙΚΡΑΣ ΘΕΣΣΑΛΟΝΙΚΗΣ</t>
  </si>
  <si>
    <t>mail@1lyk-trilof.thess.sch.gr</t>
  </si>
  <si>
    <t>ΤΡΙΛΟΦΟΣ</t>
  </si>
  <si>
    <t>1ο ΔΗΜΟΤΙΚΟ ΣΧΟΛΕΙΟ ΤΡΙΛΟΦΟΥ</t>
  </si>
  <si>
    <t>2ο ΗΜΕΡΗΣΙΟ ΓΕΝΙΚΟ ΛΥΚΕΙΟ ΚΑΛΑΜΑΡΙΑΣ ΘΕΣΣΑΛΟΝΙΚΗΣ</t>
  </si>
  <si>
    <t>mail@2lyk-kalam.thess.sch.gr</t>
  </si>
  <si>
    <t>ΚΑΛΑΜΑΡΙΑ</t>
  </si>
  <si>
    <t>Θ. ΣΟΦΟΥΛΗ 114</t>
  </si>
  <si>
    <t>15ο ΔΗΜΟΤΙΚΟ ΣΧΟΛΕΙΟ ΚΑΛΑΜΑΡΙΑΣ</t>
  </si>
  <si>
    <t>8ο ΗΜΕΡΗΣΙΟ ΓΕΝΙΚΟ ΛΥΚΕΙΟ ΘΕΣΣΑΛΟΝΙΚΗΣ</t>
  </si>
  <si>
    <t>mail@8lyk-thess.thess.sch.gr</t>
  </si>
  <si>
    <t>Μ.ΑΛΕΞΑΝΔΡΟΥ  49  - ΑΜΠΟΤ  2</t>
  </si>
  <si>
    <t>89ο ΔΗΜΟΤΙΚΟ ΣΧΟΛΕΙΟ ΘΕΣΣΑΛΟΝΙΚΗΣ</t>
  </si>
  <si>
    <t>3ο ΗΜΕΡΗΣΙΟ ΓΕΝΙΚΟ ΛΥΚΕΙΟ ΚΑΛΑΜΑΡΙΑΣ ΘΕΣΣΑΛΟΝΙΚΗΣ</t>
  </si>
  <si>
    <t>mail@3lyk-kalam.thess.sch.gr</t>
  </si>
  <si>
    <t>ΚΑΛΑΜΑΡΙΑ ΘΕΣΣΑΛΟΝΙΚΗΣ</t>
  </si>
  <si>
    <t>ΓΕΩΡΓ.ΓΕΝΝΗΜΑΤΑ και ΚΥΡΙΛΛΟΥ ΚΑΙ ΜΕΘΟΔΙΟΥ</t>
  </si>
  <si>
    <t>12ο ΔΗΜΟΤΙΚΟ ΣΧΟΛΕΙΟ ΚΑΛΑΜΑΡΙΑΣ</t>
  </si>
  <si>
    <t>2ο ΗΜΕΡΗΣΙΟ ΓΕΝΙΚΟ ΛΥΚΕΙΟ ΠΥΛΑΙΑΣ ΘΕΣΣΑΛΟΝΙΚΗΣ</t>
  </si>
  <si>
    <t>mail@2lyk-pylaias.thess.sch.gr</t>
  </si>
  <si>
    <t>ΠΥΛΑΙΑ</t>
  </si>
  <si>
    <t>Δ. ΒΙΖΒΙΖΗ 29</t>
  </si>
  <si>
    <t>3ο ΔΗΜΟΤΙΚΟ ΣΧΟΛΕΙΟ ΠΥΛΑΙΑΣ</t>
  </si>
  <si>
    <t>16ο ΗΜΕΡΗΣΙΟ ΓΕΝΙΚΟ ΛΥΚΕΙΟ ΘΕΣΣΑΛΟΝΙΚΗΣ</t>
  </si>
  <si>
    <t>mail@16lyk-thess.thess.sch.gr</t>
  </si>
  <si>
    <t>ΓΡΗΓΟΡΙΟΥ ΚΟΛΩΝΙΑΡΗ 15</t>
  </si>
  <si>
    <t>66ο ΔΗΜΟΤΙΚΟ ΣΧΟΛΕΙΟ ΘΕΣΣΑΛΟΝΙΚΗΣ</t>
  </si>
  <si>
    <t>ΤΡΙΑΝΔΡΙΑΣ</t>
  </si>
  <si>
    <t>1ο ΗΜΕΡΗΣΙΟ ΓΕΝΙΚΟ ΛΥΚΕΙΟ ΤΡΙΑΝΔΡΙΑΣ ΘΕΣΣΑΛΟΝΙΚΗΣ</t>
  </si>
  <si>
    <t>mail@1lyk-triandr.thess.sch.gr</t>
  </si>
  <si>
    <t>ΤΡΙΑΝΔΡΙΑ ΘΕΣΣΑΛΟΝΙΚΗΣ</t>
  </si>
  <si>
    <t>ΑΘΑΝΑΣΙΟΥ ΔΙΑΚΟΥ 15</t>
  </si>
  <si>
    <t>2ο ΔΗΜΟΤΙΚΟ ΣΧΟΛΕΙΟ ΤΡΙΑΝΔΡΙΑΣ ΘΕΣΣΑΛΟΝΙΚΗΣ</t>
  </si>
  <si>
    <t>7ο ΗΜΕΡΗΣΙΟ ΕΠΑΛ ΘΕΣΣΑΛΟΝΙΚΗΣ</t>
  </si>
  <si>
    <t>mail@7epal-thess.thess.sch.gr</t>
  </si>
  <si>
    <t>28ο ΗΜΕΡΗΣΙΟ ΓΕΝΙΚΟ ΛΥΚΕΙΟ ΘΕΣΣΑΛΟΝΙΚΗΣ</t>
  </si>
  <si>
    <t>mail@28lyk-thess.thess.sch.gr</t>
  </si>
  <si>
    <t>ΤΥΡΟΛΟΗΣ 17</t>
  </si>
  <si>
    <t>23ο ΔΗΜΟΤΙΚΟ ΣΧΟΛΕΙΟ ΘΕΣΣΑΛΟΝΙΚΗΣ</t>
  </si>
  <si>
    <t>7ο ΗΜΕΡΗΣΙΟ ΓΕΝΙΚΟ ΛΥΚΕΙΟ ΚΑΛΑΜΑΡΙΑΣ ΘΕΣΣΑΛΟΝΙΚΗΣ</t>
  </si>
  <si>
    <t>mail@7lyk-kalam.thess.sch.gr</t>
  </si>
  <si>
    <t>ΚΑΛΑΜΑΡΙΑ  ΘΕΣΣΑΛΟΝΙΚΗΣ</t>
  </si>
  <si>
    <t>ΑΔΡΙΑΝΟΥΠΟΛΕΩΣ 2</t>
  </si>
  <si>
    <t>23ο ΔΗΜΟΤΙΚΟ ΣΧΟΛΕΙΟ ΚΑΛΑΜΑΡΙΑΣ</t>
  </si>
  <si>
    <t>5ο ΗΜΕΡΗΣΙΟ ΓΕΝΙΚΟ ΛΥΚΕΙΟ ΚΑΛΑΜΑΡΙΑΣ ΘΕΣΣΑΛΟΝΙΚΗΣ</t>
  </si>
  <si>
    <t>mail@5lyk-kalam.thess.sch.gr</t>
  </si>
  <si>
    <t>Μ. ΑΛΕΞΑΝΔΡΟΥ 10- ΑΝ. ΘΡΑΚΗΣ</t>
  </si>
  <si>
    <t>17ο ΔΗΜΟΤΙΚΟ ΣΧΟΛΕΙΟ ΚΑΛΑΜΑΡΙΑΣ</t>
  </si>
  <si>
    <t>6ο ΗΜΕΡΗΣΙΟ ΓΕΝΙΚΟ ΛΥΚΕΙΟ ΚΑΛΑΜΑΡΙΑΣ</t>
  </si>
  <si>
    <t>6lykkalt@sch.gr</t>
  </si>
  <si>
    <t xml:space="preserve">ΚΑΛΑΜΑΡΙΑ </t>
  </si>
  <si>
    <t>ΕΦΕΣΟΥ 3</t>
  </si>
  <si>
    <t>6ο ΔΗΜΟΤΙΚΟ ΣΧΟΛΕΙΟ ΚΑΛΑΜΑΡΙΑΣ</t>
  </si>
  <si>
    <t>15ο ΗΜΕΡΗΣΙΟ ΓΕΝΙΚΟ ΛΥΚΕΙΟ ΘΕΣΣΑΛΟΝΙΚΗΣ</t>
  </si>
  <si>
    <t>mail@15lyk-thess.thess.sch.gr</t>
  </si>
  <si>
    <t>ΚΑΡΟΛΟΥ ΝΤΗΛ 24</t>
  </si>
  <si>
    <t>41ο ΔΗΜΟΤΙΚΟ ΣΧΟΛΕΙΟ ΘΕΣΣΑΛΟΝΙΚΗΣ</t>
  </si>
  <si>
    <t>14ο ΕΣΠΕΡΙΝΟ ΕΠΑΛ ΘΕΣΣΑΛΟΝΙΚΗΣ</t>
  </si>
  <si>
    <t>mail@14epal-esp-thess.thess.sch.gr</t>
  </si>
  <si>
    <t>19ο ΗΜΕΡΗΣΙΟ ΓΕΝΙΚΟ ΛΥΚΕΙΟ ΘΕΣΣΑΛΟΝΙΚΗΣ</t>
  </si>
  <si>
    <t>mail@19lyk-thess.thess.sch.gr</t>
  </si>
  <si>
    <t>ΑΛΕΞΑΝΔΡΕΙΑΣ 93</t>
  </si>
  <si>
    <t>17ο ΔΗΜΟΤΙΚΟ ΣΧΟΛΕΙΟ ΘΕΣΣΑΛΟΝΙΚΗΣ</t>
  </si>
  <si>
    <t>5ο ΗΜΕΡΗΣΙΟ ΓΕΝΙΚΟ ΛΥΚΕΙΟ ΘΕΣΣΑΛΟΝΙΚΗΣ</t>
  </si>
  <si>
    <t>mail@5lyk-thess.thess.sch.gr</t>
  </si>
  <si>
    <t>ΚΡΙΕΖΩΤΟΥ 2 (ΠΡΟΣΩΡΙΝΗ ΔΙΕΥΘΥΝΣΗ: ΜΑΡΙΑΣ ΚΑΛΛΑΣ 2Α)</t>
  </si>
  <si>
    <t>87ο ΔΗΜΟΤΙΚΟ ΣΧΟΛΕΙΟ ΘΕΣΣΑΛΟΝΙΚΗΣ</t>
  </si>
  <si>
    <t>1ο ΗΜΕΡΗΣΙΟ ΓΕΝΙΚΟ ΛΥΚΕΙΟ ΘΕΡΜΗΣ ΘΕΣΣΑΛΟΝΙΚΗΣ</t>
  </si>
  <si>
    <t>1lykther@sch.gr</t>
  </si>
  <si>
    <t>ΘΕΡΜΗ ΘΕΣΣΑΛΟΝΙΚΗΣ</t>
  </si>
  <si>
    <t>ΡΑΦΑΗΛΙΔΟΥ-ΠΑΠΑΔΑΚΗ ΚΥΡΙΑΚΗ 2</t>
  </si>
  <si>
    <t>1ο ΔΗΜΟΤΙΚΟ ΣΧΟΛΕΙΟ ΘΕΡΜΗΣ</t>
  </si>
  <si>
    <t>ΠΕΙΡΑΜΑΤΙΚΟ ΣΧΟΛΕΙΟ ΠΑΝΕΠΙΣΤΗΜΙΟΥ ΘΕΣΣΑΛΟΝΙΚΗΣ ΓΥΜΝΑΣΙΟ - ΛΥΚΕΙΟ</t>
  </si>
  <si>
    <t>lykaeith@sch.gr</t>
  </si>
  <si>
    <t>ΔΕΛΜΟΥΖΟΥ 1 &amp; ΑΓ. ΣΟΦΙΑΣ 51</t>
  </si>
  <si>
    <t>ΠΑΝΟΡΑΜΑΤΟΣ</t>
  </si>
  <si>
    <t>1ο ΗΜΕΡΗΣΙΟ ΓΕΝΙΚΟ ΛΥΚΕΙΟ ΠΑΝΟΡΑΜΑΤΟΣ ΘΕΣΣΑΛΟΝΙΚΗΣ</t>
  </si>
  <si>
    <t>mail@1lyk-panor.thess.sch.gr</t>
  </si>
  <si>
    <t>ΠΑΝΟΡΑΜΑ ΘΕΣΣΑΛΟΝΙΚΗΣ</t>
  </si>
  <si>
    <t>2ο ΔΗΜΟΤΙΚΟ ΣΧΟΛΕΙΟ ΠΑΝΟΡΑΜΑΤΟΣ</t>
  </si>
  <si>
    <t>3ο ΗΜΕΡΗΣΙΟ ΓΕΝΙΚΟ ΛΥΚΕΙΟ ΘΕΣΣΑΛΟΝΙΚΗΣ - "ΓΙΩΡΓΟΣ ΙΩΑΝΝΟΥ"</t>
  </si>
  <si>
    <t>mail@3lyk-thess.thess.sch.gr</t>
  </si>
  <si>
    <t>ΟΛΥΜΠΙΑΔΟΣ 137 &amp; ΑΠΟΣΤΟΛΟΥ ΠΑΥΛΟΥ 28</t>
  </si>
  <si>
    <t>44ο ΔΗΜΟΤΙΚΟ ΣΧΟΛΕΙΟ ΘΕΣΣΑΛΟΝΙΚΗΣ</t>
  </si>
  <si>
    <t>27ο ΗΜΕΡΗΣΙΟ ΓΕΝΙΚΟ ΛΥΚΕΙΟ ΘΕΣΣΑΛΟΝΙΚΗΣ</t>
  </si>
  <si>
    <t>mail@27lyk-thess.thess.sch.gr</t>
  </si>
  <si>
    <t>ΚΛΕΑΝΘΟΥΣ 59</t>
  </si>
  <si>
    <t>26ο ΔΗΜΟΤΙΚΟ ΣΧΟΛΕΙΟ ΘΕΣΣΑΛΟΝΙΚΗΣ</t>
  </si>
  <si>
    <t>31ο ΗΜΕΡΗΣΙΟ ΓΕΝΙΚΟ ΛΥΚΕΙΟ ΘΕΣΣΑΛΟΝΙΚΗΣ</t>
  </si>
  <si>
    <t>mail@31lyk-thess.thess.sch.gr</t>
  </si>
  <si>
    <t>ΑΝΑΞΙΜΑΝΔΡΟΥ 79</t>
  </si>
  <si>
    <t>29ο ΔΗΜΟΤΙΚΟ ΣΧΟΛΕΙΟ ΘΕΣΣΑΛΟΝΙΚΗΣ</t>
  </si>
  <si>
    <t>23ο ΗΜΕΡΗΣΙΟ ΓΕΝΙΚΟ ΛΥΚΕΙΟ ΘΕΣΣΑΛΟΝΙΚΗΣ</t>
  </si>
  <si>
    <t>mail@23lyk-thess.thess.sch.gr</t>
  </si>
  <si>
    <t>ΚΑΣΣΑΝΔΡΟΥ 17 - 19</t>
  </si>
  <si>
    <t>54ο ΔΗΜΟΤΙΚΟ ΣΧΟΛΕΙΟ ΘΕΣΣΑΛΟΝΙΚΗΣ</t>
  </si>
  <si>
    <t>14ο ΗΜΕΡΗΣΙΟ ΓΕΝΙΚΟ ΛΥΚΕΙΟ ΘΕΣΣΑΛΟΝΙΚΗΣ</t>
  </si>
  <si>
    <t>mail@14lyk-thess.thess.sch.gr</t>
  </si>
  <si>
    <t>Θ. ΣΟΦΟΥΛΗ - Γ.ΠΑΠΑΝΔΡΕΟΥ 57</t>
  </si>
  <si>
    <t>94ο ΔΗΜΟΤΙΚΟ ΣΧΟΛΕΙΟ ΘΕΣΣΑΛΟΝΙΚΗΣ</t>
  </si>
  <si>
    <t>12ο ΗΜΕΡΗΣΙΟ ΓΕΝΙΚΟ ΛΥΚΕΙΟ ΘΕΣΣΑΛΟΝΙΚΗΣ</t>
  </si>
  <si>
    <t>mail@12lyk-thess.thess.sch.gr</t>
  </si>
  <si>
    <t>ΑΛ. ΣΠΑΝΟΥ 2</t>
  </si>
  <si>
    <t>105ο ΔΗΜΟΤΙΚΟ ΣΧΟΛΕΙΟ ΘΕΣΣΑΛΟΝΙΚΗΣ</t>
  </si>
  <si>
    <t>10ο ΗΜΕΡΗΣΙΟ ΓΕΝΙΚΟ ΛΥΚΕΙΟ ΘΕΣΣΑΛΟΝΙΚΗΣ</t>
  </si>
  <si>
    <t>mail@10lyk-thess.thess.sch.gr</t>
  </si>
  <si>
    <t>ΓΡ. ΛΑΜΠΡΑΚΗ 204</t>
  </si>
  <si>
    <t>21ο ΔΗΜΟΤΙΚΟ ΣΧΟΛΕΙΟ ΘΕΣΣΑΛΟΝΙΚΗΣ</t>
  </si>
  <si>
    <t>ΜΗΧΑΝΙΩΝΑΣ</t>
  </si>
  <si>
    <t>ΝΕΑΣ ΜΗΧΑΝΙΩΝΑΣ</t>
  </si>
  <si>
    <t>1ο ΗΜΕΡΗΣΙΟ ΓΕΝΙΚΟ ΛΥΚΕΙΟ ΝΕΑΣ ΜΗΧΑΝΙΩΝΑΣ ΘΕΣΣΑΛΟΝΙΚΗΣ</t>
  </si>
  <si>
    <t>mail@1lyk-n-michan.thess.sch.gr</t>
  </si>
  <si>
    <t>ΝΕΑΣ ΜΗΧΑΝΙΩΝΑΣ ΘΕΣΣΑΛΟΝΙΚΗΣ</t>
  </si>
  <si>
    <t>ΚΥΖΙΚΟΥ 8</t>
  </si>
  <si>
    <t>2ο ΔΗΜΟΤΙΚΟ ΣΧΟΛΕΙΟ ΝΕΑΣ ΜΗΧΑΝΙΩΝΑΣ</t>
  </si>
  <si>
    <t>1ο ΠΡΟΤΥΠΟ ΓΕΝΙΚΟ ΛΥΚΕΙΟ ΘΕΣΣΑΛΟΝΙΚΗΣ - ΜΑΝΟΛΗΣ ΑΝΔΡΟΝΙΚΟΣ</t>
  </si>
  <si>
    <t>mail@1lyk-peir-thess.thess.sch.gr</t>
  </si>
  <si>
    <t>1ο ΗΜΕΡΗΣΙΟ ΓΕΝΙΚΟ ΛΥΚΕΙΟ ΠΥΛΑΙΑΣ ΘΕΣΣΑΛΟΝΙΚΗΣ</t>
  </si>
  <si>
    <t>mail@1lyk-pylaias.thess.sch.gr</t>
  </si>
  <si>
    <t>ΙΣΜΗΝΗΣ 4</t>
  </si>
  <si>
    <t>1ο ΔΗΜΟΤΙΚΟ ΣΧΟΛΕΙΟ ΠΥΛΑΙΑΣ</t>
  </si>
  <si>
    <t>ΓΕΝΙΚΟ ΛΥΚΕΙΟ ΑΣΒΕΣΤΟΧΩΡΙΟΥ</t>
  </si>
  <si>
    <t>mail@lyk-asvest.thess.sch.gr</t>
  </si>
  <si>
    <t>ΑΣΒΕΣΤΟΧΩΡΙ ΘΕΣΣΑΛΟΝΙΚΗ</t>
  </si>
  <si>
    <t>1ο  ΔΗΜΟΤΙΚΟ ΣΧΟΛΕΙΟ ΑΣΒΕΣΤΟΧΩΡΙΟΥ</t>
  </si>
  <si>
    <t>2ο ΠΡΟΤΥΠΟ ΓΕ.Λ. ΘΕΣΣΑΛΟΝΙΚΗΣ</t>
  </si>
  <si>
    <t>mail@2lyk-peir-thess.thess.sch.gr</t>
  </si>
  <si>
    <t>ΕΘΝΙΚΗΣ ΑΜΥΝΗΣ 26</t>
  </si>
  <si>
    <t>ΝΕΩΝ ΕΠΙΒΑΤΩΝ</t>
  </si>
  <si>
    <t>1ο ΗΜΕΡΗΣΙΟ ΓΕΝΙΚΟ ΛΥΚΕΙΟ ΘΕΡΜΑΪΚΟΥ ΘΕΣΣΑΛΟΝΙΚΗΣ</t>
  </si>
  <si>
    <t>mail@lyk-n-epivat.thess.sch.gr</t>
  </si>
  <si>
    <t>ΘΕΡΜΑΪΚΟΥ ΘΕΣΣΑΛΟΝΙΚΗΣ</t>
  </si>
  <si>
    <t>18 ΧΛΜ  ΘΕΣΣΑΛΟΝΙΚΗΣ - Ν.ΜΗΧΑΝΙΩΝΑΣ</t>
  </si>
  <si>
    <t>2ο ΔΗΜΟΤΙΚΟ ΣΧΟΛΕΙΟ ΠΕΡΑΙΑΣ</t>
  </si>
  <si>
    <t>13ο ΕΣΠΕΡΙΝΟ ΕΠΑΛ ΘΕΣΣΑΛΟΝΙΚΗΣ</t>
  </si>
  <si>
    <t>mail@13epal-esp-thess.thess.sch.gr</t>
  </si>
  <si>
    <t>ΘΕΣΣΑΛΟΝΙΚΗ-ΜΟΝΑΣΤΗΡΙΟΥ</t>
  </si>
  <si>
    <t>ΜΟΝΑΣΤΗΡΙΟΥ 169-171</t>
  </si>
  <si>
    <t>ΗΜΕΡΗΣΙΟ ΕΠΑ.Λ. ΒΑΣΙΛΙΚΩΝ</t>
  </si>
  <si>
    <t>epal-vasil@sch.gr</t>
  </si>
  <si>
    <t>ΒΑΣΙΛΙΚΑ</t>
  </si>
  <si>
    <t>2ο Χιλιόμετρο Επαρχιακής Οδού Βασιλικών - Σουρωτής</t>
  </si>
  <si>
    <t>7ο ΗΜΕΡΗΣΙΟ ΓΕΝΙΚΟ ΛΥΚΕΙΟ ΘΕΣΣΑΛΟΝΙΚΗΣ</t>
  </si>
  <si>
    <t>mail@7lyk-thess.thess.sch.gr</t>
  </si>
  <si>
    <t>30ο ΗΜΕΡΗΣΙΟ ΓΕΝΙΚΟ ΛΥΚΕΙΟ ΘΕΣΣΑΛΟΝΙΚΗΣ</t>
  </si>
  <si>
    <t>30lykthe@sch.gr</t>
  </si>
  <si>
    <t>ΣΤΡΑΤΗΓΟΥ ΓΕΝΝΑΔΙΟΥ 53</t>
  </si>
  <si>
    <t>92ο ΔΗΜΟΤΙΚΟ ΣΧΟΛΕΙΟ ΘΕΣΣΑΛΟΝΙΚΗΣ</t>
  </si>
  <si>
    <t>ΕΡΓΑΣΤΗΡΙΑΚΌ ΚΈΝΤΡΟ ΕΥΚΛΕΊΔΗ</t>
  </si>
  <si>
    <t>mail@3sek-thess.thess.sch.gr</t>
  </si>
  <si>
    <t>18ο ΗΜΕΡΗΣΙΟ ΓΕΝΙΚΟ ΛΥΚΕΙΟ ΘΕΣΣΑΛΟΝΙΚΗΣ - "ΕΜΜΑΝΟΥΗΛ ΚΡΙΑΡΑΣ"</t>
  </si>
  <si>
    <t>mail@18lyk-thess.thess.sch.gr</t>
  </si>
  <si>
    <t>ΠΑΠΑΦΗ 130Α</t>
  </si>
  <si>
    <t>11ο ΗΜΕΡΗΣΙΟ ΓΕΝΙΚΟ ΛΥΚΕΙΟ ΘΕΣΣΑΛΟΝΙΚΗΣ</t>
  </si>
  <si>
    <t>mail@11lyk-thess.thess.sch.gr</t>
  </si>
  <si>
    <t>ΠΑΡΟΔΟΣ ΣΚΟΥΦΑ</t>
  </si>
  <si>
    <t>3ο ΔΗΜΟΤΙΚΟ ΣΧΟΛΕΙΟ ΤΡΙΑΝΔΡΙΑΣ ΘΕΣΣΑΛΟΝΙΚΗΣ</t>
  </si>
  <si>
    <t>2ο ΗΜΕΡΗΣΙΟ ΓΥΜΝΑΣΙΟ ΑΝΩ ΤΟΥΜΠΑΣ ΘΕΣΣΑΛΟΝΙΚΗΣ</t>
  </si>
  <si>
    <t>mail@2gym-an-toump.thess.sch.gr</t>
  </si>
  <si>
    <t>ΑΝΩ ΤΟΥΜΠΑ ΘΕΣΣΑΛΟΝΙΚΗΣ</t>
  </si>
  <si>
    <t>1ο ΗΜΕΡΗΣΙΟ ΓΥΜΝΑΣΙΟ ΝΕΑΣ ΜΗΧΑΝΙΩΝΑΣ ΘΕΣΣΑΛΟΝΙΚΗΣ</t>
  </si>
  <si>
    <t>mail@gym-n-michan.thess.sch.gr</t>
  </si>
  <si>
    <t>ΝΕΑ ΜΗΧΑΝΙΩΝΑ ΘΕΣΣΑΛΟΝΙΚΗΣ</t>
  </si>
  <si>
    <t>ΕΙΚΟΣΤΗΣ ΠΕΜΠΤΗΣ ΜΑΡΤΙΟΥ ΤΕΡΜΑ</t>
  </si>
  <si>
    <t>ΗΜΕΡΗΣΙΟ ΓΥΜΝΑΣΙΟ ΕΠΑΝΟΜΗΣ ΘΕΣΣΑΛΟΝΙΚΗΣ</t>
  </si>
  <si>
    <t>mail@gym-epanom.thess.sch.gr</t>
  </si>
  <si>
    <t>1ο ΗΜΕΡΗΣΙΟ ΕΠΑΛ ΘΕΣΣΑΛΟΝΙΚΗΣ</t>
  </si>
  <si>
    <t>mail@1epal-thess.thess.sch.gr</t>
  </si>
  <si>
    <t>ΟΛΥΜΠΙΟΥ ΔΙΑΜΑΝΤΗ 1</t>
  </si>
  <si>
    <t>Γυμνάσιο Ειδικής Αγωγής με Λυκειακές Τάξεις</t>
  </si>
  <si>
    <t>ΕΙΔΙΚΟ ΓΥΜΝΑΣΙΟ ΚΩΦΩΝ- ΒΑΡΗΚΟΩΝ ΘΕΣΣΑΛΟΝΙΚΗΣ-ΛΥΚΕΙΟ ΕΑΕ ΚΩΦΩΝ-ΒΑΡΗΚΟΩΝ ΘΕΣΣΑΛΟΝΙΚΗΣ</t>
  </si>
  <si>
    <t>mail@gym-ekv-thess.thess.sch.gr</t>
  </si>
  <si>
    <t>ΠΑΝΟΡΑΜΑ</t>
  </si>
  <si>
    <t>ΚΟΜΝΗΝΩΝ  86</t>
  </si>
  <si>
    <t>ΚΟΜΝΗΝΩΝ 86</t>
  </si>
  <si>
    <t>1ο ΔΗΜΟΤΙΚΟ ΣΧΟΛΕΙΟ ΠΑΝΟΡΑΜΑΤΟΣ</t>
  </si>
  <si>
    <t>4ο ΗΜΕΡΗΣΙΟ ΓΥΜΝΑΣΙΟ ΧΑΡΙΛΑΟΥ ΘΕΣΣΑΛΟΝΙΚΗΣ</t>
  </si>
  <si>
    <t>mail@4gym-charil.thess.sch.gr</t>
  </si>
  <si>
    <t>ΧΑΡΙΛΑΟΥ ΘΕΣΣΑΛΟΝΙΚΗΣ</t>
  </si>
  <si>
    <t>ΓΑΖΗ - ΝΙΚΟΛΑΟΥ ΠΛΑΣΤΗΡΑ 6</t>
  </si>
  <si>
    <t>79ο ΔΗΜΟΤΙΚΟ ΣΧΟΛΕΙΟ ΘΕΣΣΑΛΟΝΙΚΗΣ</t>
  </si>
  <si>
    <t>2ο ΗΜΕΡΗΣΙΟ ΓΥΜΝΑΣΙΟ ΤΟΥΜΠΑΣ ΘΕΣΣΑΛΟΝΙΚΗΣ</t>
  </si>
  <si>
    <t>mail@2gym-toump.thess.sch.gr</t>
  </si>
  <si>
    <t>32ο ΗΜΕΡΗΣΙΟ ΓΥΜΝΑΣΙΟ ΘΕΣΣΑΛΟΝΙΚΗΣ</t>
  </si>
  <si>
    <t>mail@32gym-thess.thess.sch.gr</t>
  </si>
  <si>
    <t>ΚΑΣΣΑΝΔΡΟΥ 17-19</t>
  </si>
  <si>
    <t>20ο ΗΜΕΡΗΣΙΟ ΓΕΝΙΚΟ ΛΥΚΕΙΟ ΘΕΣΣΑΛΟΝΙΚΗΣ</t>
  </si>
  <si>
    <t>mail@20lyk-thess.thess.sch.gr</t>
  </si>
  <si>
    <t>1ο ΗΜΕΡΗΣΙΟ ΕΠΑΛ ΚΑΛΑΜΑΡΙΑΣ</t>
  </si>
  <si>
    <t>1epal-kalam@sch.gr</t>
  </si>
  <si>
    <t>ΚΑΡΑΜΑΝΛΗ - ΜΑΚΕΔΟΝΙΑΣ</t>
  </si>
  <si>
    <t>10ο ΔΗΜΟΤΙΚΟ ΣΧΟΛΕΙΟ ΚΑΛΑΜΑΡΙΑΣ</t>
  </si>
  <si>
    <t>12ο ΗΜΕΡΗΣΙΟ ΕΠΑΛ ΘΕΣΣΑΛΟΝΙΚΗΣ</t>
  </si>
  <si>
    <t>12epal-thess@sch.gr</t>
  </si>
  <si>
    <t>ΕΡΓΑΣΤΗΡΙΑΚΟ ΚΕΝΤΡΟ ΘΕΣΣΑΛΟΝΙΚΗΣ</t>
  </si>
  <si>
    <t>mail@1sek-thess.thess.sch.gr</t>
  </si>
  <si>
    <t>1ο ΓΥΜΝΑΣΙΟ ΜΙΚΡΑΣ</t>
  </si>
  <si>
    <t>mail@gym-trilof.thess.sch.gr</t>
  </si>
  <si>
    <t>ΤΡΙΛΟΦΟΣ ΘΕΣΣΑΛΟΝΙΚΗΣ</t>
  </si>
  <si>
    <t>1ο ΓΥΜΝΑΣΙΟ ΜΙΚΡΑΣ ΤΡΙΛΟΦΟΣ ΘΕΣΣΑΛΟΝΙΚΗΣ</t>
  </si>
  <si>
    <t>1ο ΕΣΠΕΡΙΝΟ ΓΥΜΝΑΣΙΟ ΘΕΣΣΑΛΟΝΙΚΗΣ</t>
  </si>
  <si>
    <t>mail@1gym-esp-thess.thess.sch.gr</t>
  </si>
  <si>
    <t>ΙΚΤΙΝΟΥ 5</t>
  </si>
  <si>
    <t>4ο ΗΜΕΡΗΣΙΟ ΓΥΜΝΑΣΙΟ ΘΕΣΣΑΛΟΝΙΚΗΣ</t>
  </si>
  <si>
    <t>mail@4gym-thess.thess.sch.gr</t>
  </si>
  <si>
    <t>ΓΥΜΝΑΣΙΟ ΑΣΒΕΣΤΟΧΩΡΙΟΥ</t>
  </si>
  <si>
    <t>mail@gym-asvest.thess.sch.gr</t>
  </si>
  <si>
    <t>OΔΟΣ ΚΟΥΡΙ</t>
  </si>
  <si>
    <t>2ο ΗΜΕΡΗΣΙΟ ΓΥΜΝΑΣΙΟ ΚΑΛΑΜΑΡΙΑΣ ΘΕΣΣΑΛΟΝΙΚΗΣ</t>
  </si>
  <si>
    <t>mail@2gym-kalam.thess.sch.gr</t>
  </si>
  <si>
    <t>ΚΑΛΑΜΑΡΙΑΣ ΘΕΣΣΑΛΟΝΙΚΗΣ</t>
  </si>
  <si>
    <t>2ο ΗΜΕΡΗΣΙΟ ΓΥΜΝΑΣΙΟ ΠΥΛΑΙΑΣ ΘΕΣΣΑΛΟΝΙΚΗΣ</t>
  </si>
  <si>
    <t>mail@2gym-pylaias.thess.sch.gr</t>
  </si>
  <si>
    <t>Δ. ΒΙΣΒΙΖΗ 29</t>
  </si>
  <si>
    <t>14ο ΗΜΕΡΗΣΙΟ ΓΥΜΝΑΣΙΟ ΘΕΣΣΑΛΟΝΙΚΗΣ</t>
  </si>
  <si>
    <t>mail@14gym-thess.thess.sch.gr</t>
  </si>
  <si>
    <t>Γ.ΠΑΠΑΝΔΡΕΟΥ - ΘΕΜ.ΣΟΦΟΥΛΗ 13</t>
  </si>
  <si>
    <t>2ο ΗΜΕΡΗΣΙΟ ΓΥΜΝΑΣΙΟ ΘΕΡΜΗΣ ΘΕΣΣΑΛΟΝΙΚΗΣ</t>
  </si>
  <si>
    <t>mail@2gym-therm.thess.sch.gr</t>
  </si>
  <si>
    <t>Ν. ΡΥΣΙΟ-ΘΕΡΜΗ</t>
  </si>
  <si>
    <t>ΔΗΜΟΤΙΚΟ ΣΧΟΛΕΙΟ ΝΕΟΥ ΡΥΣΙΟΥ</t>
  </si>
  <si>
    <t>1ο ΗΜΕΡΗΣΙΟ ΓΥΜΝΑΣΙΟ ΠΥΛΑΙΑΣ ΘΕΣΣΑΛΟΝΙΚΗΣ</t>
  </si>
  <si>
    <t>mail@1gym-pylaias.thess.sch.gr</t>
  </si>
  <si>
    <t>ΠΥΛΑΙΑΣ ΘΕΣΣΑΛΟΝΙΚΗΣ</t>
  </si>
  <si>
    <t>ΦΙΛΥΡΟΥ</t>
  </si>
  <si>
    <t>Γυμνάσιο Φιλύρου</t>
  </si>
  <si>
    <t>mail@gym-filyr.thess.sch.gr</t>
  </si>
  <si>
    <t>ΦΙΛΥΡΟ</t>
  </si>
  <si>
    <t>ΜΕΓΑΛΟΥ ΑΛΕΞΑΝΔΡΟΥ 41</t>
  </si>
  <si>
    <t>2ο ΔΗΜΟΤΙΚΟ ΣΧΟΛΕΙΟ ΦΙΛΥΡΟΥ</t>
  </si>
  <si>
    <t>31ο ΗΜΕΡΗΣΙΟ ΓΥΜΝΑΣΙΟ ΘΕΣΣΑΛΟΝΙΚΗΣ</t>
  </si>
  <si>
    <t>mail@31gym-thess.thess.sch.gr</t>
  </si>
  <si>
    <t>ΗΜΕΡΗΣΙΟ ΓΥΜΝΑΣΙΟ ΒΑΣΙΛΙΚΩΝ ΘΕΣΣΑΛΟΝΙΚΗΣ</t>
  </si>
  <si>
    <t>mail@gym-vasil.thess.sch.gr</t>
  </si>
  <si>
    <t>ΒΑΣΙΛΙΚΑ ΘΕΣΣΑΛΟΝΙΚΗΣ ΤΘ:1069</t>
  </si>
  <si>
    <t>15ο ΗΜΕΡΗΣΙΟ ΓΥΜΝΑΣΙΟ ΘΕΣΣΑΛΟΝΙΚΗΣ</t>
  </si>
  <si>
    <t>mail@15gym-thess.thess.sch.gr</t>
  </si>
  <si>
    <t>4ο ΗΜΕΡΗΣΙΟ ΓΥΜΝΑΣΙΟ ΤΟΥΜΠΑΣ ΘΕΣΣΑΛΟΝΙΚΗΣ</t>
  </si>
  <si>
    <t>mail@4gym-toump.thess.sch.gr</t>
  </si>
  <si>
    <t>ΤΟΥΜΠΑΣ ΘΕΣΣΑΛΟΝΙΚΗΣ</t>
  </si>
  <si>
    <t>1ο ΗΜΕΡΗΣΙΟ ΓΥΜΝΑΣΙΟ ΧΑΡΙΛΑΟΥ</t>
  </si>
  <si>
    <t>mail@1gym-charil.thess.sch.gr</t>
  </si>
  <si>
    <t>6ο ΗΜΕΡΗΣΙΟ ΓΥΜΝΑΣΙΟ ΚΑΛΑΜΑΡΙΑΣ</t>
  </si>
  <si>
    <t>mail@6gym-kalam.thess.sch.gr</t>
  </si>
  <si>
    <t>7ο ΗΜΕΡΗΣΙΟ ΓΥΜΝΑΣΙΟ ΚΑΛΑΜΑΡΙΑΣ</t>
  </si>
  <si>
    <t>mail@7gym-kalam.thess.sch.gr</t>
  </si>
  <si>
    <t>ΠΑΤΜΟΥ 13</t>
  </si>
  <si>
    <t>19ο ΗΜΕΡΗΣΙΟ ΓΥΜΝΑΣΙΟ ΘΕΣΣΑΛΟΝΙΚΗΣ</t>
  </si>
  <si>
    <t>mail@19gym-thess.thess.sch.gr</t>
  </si>
  <si>
    <t>8ο ΗΜΕΡΗΣΙΟ ΕΠΑΛ ΘΕΣΣΑΛΟΝΙΚΗΣ</t>
  </si>
  <si>
    <t>8epal-thess@sch.gr</t>
  </si>
  <si>
    <t>11ο ΔΗΜΟΤΙΚΟ ΣΧΟΛΕΙΟ ΘΕΣΣΑΛΟΝΙΚΗΣ</t>
  </si>
  <si>
    <t>11ο ΗΜΕΡΗΣΙΟ ΓΥΜΝΑΣΙΟ ΘΕΣΣΑΛΟΝΙΚΗΣ</t>
  </si>
  <si>
    <t>mail@11gym-thess.thess.sch.gr</t>
  </si>
  <si>
    <t>31ο ΔΗΜΟΤΙΚΟ ΣΧΟΛΕΙΟ ΘΕΣΣΑΛΟΝΙΚΗΣ</t>
  </si>
  <si>
    <t>1ο ΗΜΕΡΗΣΙΟ ΓΥΜΝΑΣΙΟ ΘΕΡΜΗΣ ΘΕΣΣΑΛΟΝΙΚΗΣ</t>
  </si>
  <si>
    <t>mail@1gym-therm.thess.sch.gr</t>
  </si>
  <si>
    <t>ΡΑΦΑΗΛΙΔΟΥ ΠΑΠΑΔΑΚΗ ΚΥΡΙΑΚΗΣ 4</t>
  </si>
  <si>
    <t>ΜΟΥΣΙΚΟ ΓΥΜΝΑΣΙΟ ΘΕΣΣΑΛΟΝΙΚΗΣ ΜΕ ΛΥΚΕΙΑΚΕΣ ΤΑΞΕΙΣ</t>
  </si>
  <si>
    <t>mail@gym-mous-thess.thess.sch.gr</t>
  </si>
  <si>
    <t>ΠΡΟΕΚΤΑΣΗ ΕΓΝΑΤΙΑΣ 118</t>
  </si>
  <si>
    <t>13ο ΗΜΕΡΗΣΙΟ ΓΥΜΝΑΣΙΟ ΘΕΣΣΑΛΟΝΙΚΗΣ</t>
  </si>
  <si>
    <t>mail@13gym-thess.thess.sch.gr</t>
  </si>
  <si>
    <t>34ο ΔΗΜΟΤΙΚΟ ΣΧΟΛΕΙΟ ΘΕΣΣΑΛΟΝΙΚΗΣ</t>
  </si>
  <si>
    <t>4ο ΗΜΕΡΗΣΙΟ ΓΥΜΝΑΣΙΟ ΚΑΛΑΜΑΡΙΑΣ ΘΕΣΣΑΛΟΝΙΚΗΣ</t>
  </si>
  <si>
    <t>mail@4gym-kalam.thess.sch.gr</t>
  </si>
  <si>
    <t>ΚΑΠΠΑΔΟΚΙΑΣ - ΑΛΚΥΟΝΟΣ 16</t>
  </si>
  <si>
    <t>8ο ΗΜΕΡΗΣΙΟ ΓΥΜΝΑΣΙΟ ΚΑΛΑΜΑΡΙΑΣ ΘΕΣΣΑΛΟΝΙΚΗΣ</t>
  </si>
  <si>
    <t>mail@8gym-kalam.thess.sch.gr</t>
  </si>
  <si>
    <t>3ο ΗΜΕΡΗΣΙΟ ΓΥΜΝΑΣΙΟ ΘΕΣΣΑΛΟΝΙΚΗΣ</t>
  </si>
  <si>
    <t>3gymthes@sch.gr</t>
  </si>
  <si>
    <t>ΟΛΥΜΠΙΑΔΟΣ 137 &amp;  ΑΠΟΣΤΟΛΟΥ ΠΑΥΛΟΥ 28</t>
  </si>
  <si>
    <t>9ο ΗΜΕΡΗΣΙΟ ΓΥΜΝΑΣΙΟ ΚΑΛΑΜΑΡΙΑΣ ΘΕΣΣΑΛΟΝΙΚΗΣ</t>
  </si>
  <si>
    <t>mail@9gym-kalam.thess.sch.gr</t>
  </si>
  <si>
    <t>ΑΝ. ΠΑΠΑΝΔΡΕΟΥ - ΑΝΤ.ΤΡΙΤΣΗ</t>
  </si>
  <si>
    <t>ΕΚ ΚΑΛΑΜΑΡΙΑΣ</t>
  </si>
  <si>
    <t>mail@7sek-thess.thess.sch.gr</t>
  </si>
  <si>
    <t>ΚΑΡΑΜΑΝΛΗ ΚΑΙ ΜΑΚΕΔΟΝΙΑΣ</t>
  </si>
  <si>
    <t>3ο ΗΜΕΡΗΣΙΟ ΓΥΜΝΑΣΙΟ ΚΑΛΑΜΑΡΙΑΣ</t>
  </si>
  <si>
    <t>mail@3gym-kalam.thess.sch.gr</t>
  </si>
  <si>
    <t>ΜΗΤΡ. ΓΕΝΝΑΔΙΟΥ 3</t>
  </si>
  <si>
    <t>ΗΜΕΡΗΣΙΟ ΓΥΜΝΑΣΙΟ ΝΕΩΝ ΕΠΙΒΑΤΩΝ ΘΕΣΣΑΛΟΝΙΚΗΣ</t>
  </si>
  <si>
    <t>mail@gym-n-epivat.thess.sch.gr</t>
  </si>
  <si>
    <t>ΝΕΟΙ ΕΠΙΒΑΤΕΣ  ΘΕΣΣΑΛΟΝΙΚΗΣ</t>
  </si>
  <si>
    <t>ΓΑΒΡΙΗΛΙΔΗ 1</t>
  </si>
  <si>
    <t>5ο ΔΗΜΟΤΙΚΟ ΣΧΟΛΕΙΟ ΠΕΡΑΙΑΣ</t>
  </si>
  <si>
    <t>1ο ΠΡΟΤΥΠΟ ΓΥΜΝΑΣΙΟ ΘΕΣΣΑΛΟΝΙΚΗΣ</t>
  </si>
  <si>
    <t>mail@1gym-peir-thess.thess.sch.gr</t>
  </si>
  <si>
    <t>1ο ΗΜΕΡΗΣΙΟ ΓΥΜΝΑΣΙΟ ΑΝΩ ΤΟΥΜΠΑΣ ΘΕΣΣΑΛΟΝΙΚΗΣ</t>
  </si>
  <si>
    <t>mail@1gym-an-toump.thess.sch.gr</t>
  </si>
  <si>
    <t>ΑΝΩ ΤΟΥΜΠΑ  ΘΕΣ/ΝΙΚΗΣ</t>
  </si>
  <si>
    <t>ΚΛΕΑΝΘΟΥΣ - ΠΑΠΑΗΛΙΑΚΗ</t>
  </si>
  <si>
    <t>1ο ΗΜΕΡΗΣΙΟ ΓΥΜΝΑΣΙΟ ΜΑΛΑΚΟΠΗΣ ΘΕΣΣΑΛΟΝΙΚΗΣ</t>
  </si>
  <si>
    <t>mail@1gym-malakop.thess.sch.gr</t>
  </si>
  <si>
    <t>ΓΡΗΓΟΡΙΟΥ ΛΑΜΠΡΑΚΗ 204</t>
  </si>
  <si>
    <t>12ο ΗΜΕΡΗΣΙΟ ΓΥΜΝΑΣΙΟ ΘΕΣΣΑΛΟΝΙΚΗΣ</t>
  </si>
  <si>
    <t>mail@12gym-thess.thess.sch.gr</t>
  </si>
  <si>
    <t>8ο ΗΜΕΡΗΣΙΟ ΓΥΜΝΑΣΙΟ ΘΕΣΣΑΛΟΝΙΚΗΣ</t>
  </si>
  <si>
    <t>mail@8gym-thess.thess.sch.gr</t>
  </si>
  <si>
    <t>ΛΥΣΙΚΡΑΤΟΥΣ 9</t>
  </si>
  <si>
    <t>5ο ΔΗΜΟΤΙΚΟ ΣΧΟΛΕΙΟ ΘΕΣΣΑΛΟΝΙΚΗΣ</t>
  </si>
  <si>
    <t>1ο ΗΜΕΡΗΣΙΟ ΓΥΜΝΑΣΙΟ ΤΡΙΑΝΔΡΙΑΣ ΘΕΣΣΑΛΟΝΙΚΗΣ</t>
  </si>
  <si>
    <t>mail@1gym-triandr.thess.sch.gr</t>
  </si>
  <si>
    <t>ΓΥΜΝΑΣΤΗΡΙΟΥ 2</t>
  </si>
  <si>
    <t>1ο ΔΗΜΟΤΙΚΟ ΣΧΟΛΕΙΟ ΤΡΙΑΝΔΡΙΑΣ ΘΕΣΣΑΛΟΝΙΚΗΣ</t>
  </si>
  <si>
    <t>1ο ΗΜΕΡΗΣΙΟ ΓΥΜΝΑΣΙΟ ΚΑΛΑΜΑΡΙΑΣ ΘΕΣΣΑΛΟΝΙΚΗΣ "ΦΡΟΝΤΙΣΤΗΡΙΟΝ ΤΡΑΠΕΖΟΥΝΤΟΣ"</t>
  </si>
  <si>
    <t>mail@1gym-kalam.thess.sch.gr</t>
  </si>
  <si>
    <t>ΧΗΛΗΣ 12</t>
  </si>
  <si>
    <t>4ο ΔΗΜΟΤΙΚΟ ΣΧΟΛΕΙΟ ΚΑΛΑΜΑΡΙΑΣ</t>
  </si>
  <si>
    <t>1ο ΗΜΕΡΗΣΙΟ ΓΥΜΝΑΣΙΟ ΘΕΣΣΑΛΟΝΙΚΗΣ</t>
  </si>
  <si>
    <t>1gymthes@sch.gr</t>
  </si>
  <si>
    <t>ΒΑΣΙΛΙΣΣΗΣ ΟΛΓΑΣ 3-5</t>
  </si>
  <si>
    <t>26ο ΗΜΕΡΗΣΙΟ ΓΥΜΝΑΣΙΟ ΘΕΣΣΑΛΟΝΙΚΗΣ</t>
  </si>
  <si>
    <t>mail@26gym-thess.thess.sch.gr</t>
  </si>
  <si>
    <t>10ο ΗΜΕΡΗΣΙΟ ΓΥΜΝΑΣΙΟ ΚΑΛΑΜΑΡΙΑΣ</t>
  </si>
  <si>
    <t>mail@10gym-kalam.thess.sch.gr</t>
  </si>
  <si>
    <t>Μητρ. ΓΕΝΝΑΔΙΟΥ 3</t>
  </si>
  <si>
    <t>18ο ΔΗΜΟΤΙΚΟ ΣΧΟΛΕΙΟ ΚΑΛΑΜΑΡΙΑΣ</t>
  </si>
  <si>
    <t>6ο ΗΜΕΡΗΣΙΟ ΓΥΜΝΑΣΙΟ ΘΕΣΣΑΛΟΝΙΚΗΣ</t>
  </si>
  <si>
    <t>mail@6gym-thess.thess.sch.gr</t>
  </si>
  <si>
    <t>ΟΜΗΡΟΥ 2-4</t>
  </si>
  <si>
    <t>3ο ΗΜΕΡΗΣΙΟ ΓΥΜΝΑΣΙΟ ΧΑΡΙΛΑΟΥ</t>
  </si>
  <si>
    <t>3gymchar@sch.gr</t>
  </si>
  <si>
    <t>ΚΑΡΔΙΤΣΑΣ 1Α</t>
  </si>
  <si>
    <t>15ο ΔΗΜΟΤΙΚΟ ΣΧΟΛΕΙΟ ΘΕΣΣΑΛΟΝΙΚΗΣ</t>
  </si>
  <si>
    <t>5ο ΕΣΠΕΡΙΝΟ ΕΠΑΛ ΘΕΣΣΑΛΟΝΙΚΗΣ</t>
  </si>
  <si>
    <t>mail@5epal-esp-thess.thess.sch.gr</t>
  </si>
  <si>
    <t>ΗΜΕΡΗΣΙΟ ΓΥΜΝΑΣΙΟ ΧΟΡΤΙΑΤΗ</t>
  </si>
  <si>
    <t>mail@gym-chort.thess.sch.gr</t>
  </si>
  <si>
    <t>ΣΧΟΛΕΙΩΝ 2</t>
  </si>
  <si>
    <t>5ο ΗΜΕΡΗΣΙΟ ΓΥΜΝΑΣΙΟ ΘΕΣΣΑΛΟΝΙΚΗ</t>
  </si>
  <si>
    <t>mail@5gym-thess.thess.sch.gr</t>
  </si>
  <si>
    <t>ΚΡΙΕΖΩΤΟΥ 2</t>
  </si>
  <si>
    <t>12ο ΔΗΜΟΤΙΚΟ ΣΧΟΛΕΙΟ ΘΕΣΣΑΛΟΝΙΚΗΣ</t>
  </si>
  <si>
    <t>4ο ΗΜΕΡΗΣΙΟ ΓΕΝΙΚΟ ΛΥΚΕΙΟ ΚΑΛΑΜΑΡΙΑΣ ΘΕΣΣΑΛΟΝΙΚΗΣ</t>
  </si>
  <si>
    <t>mail@4lyk-kalam.thess.sch.gr</t>
  </si>
  <si>
    <t>Μ. ΑΛΕΞΑΝΔΡΟΥ - ΑΝ. ΘΡΑΚΗΣ  7</t>
  </si>
  <si>
    <t>1ο ΗΜΕΡΗΣΙΟ ΓΕΝΙΚΟ ΛΥΚΕΙΟ ΚΑΛΑΜΑΡΙΑΣ ΘΕΣΣΑΛΟΝΙΚΗΣ</t>
  </si>
  <si>
    <t>mail@1lyk-kalam.thess.sch.gr</t>
  </si>
  <si>
    <t>ΠΕΡΑΙΑΣ</t>
  </si>
  <si>
    <t>2ο ΗΜΕΡΗΣΙΟ ΓΥΜΝΑΣΙΟ ΠΕΡΑΙΑΣ ΘΕΣΣΑΛΟΝΙΚΗΣ</t>
  </si>
  <si>
    <t>mail@2gym-peraias.thess.sch.gr</t>
  </si>
  <si>
    <t>ΠΕΡΑΙΑ   ΘΕΣΣΑΛΟΝΙΚΗΣ</t>
  </si>
  <si>
    <t>ΑΝΘΕΩΝ 22- 24</t>
  </si>
  <si>
    <t>4ο ΔΗΜΟΤΙΚΟ ΣΧΟΛΕΙΟ ΠΕΡΑΙΑΣ</t>
  </si>
  <si>
    <t>30ο ΗΜΕΡΗΣΙΟ ΓΥΜΝΑΣΙΟ ΘΕΣΣΑΛΟΝΙΚΗΣ - ΚΩΝΣΤΑΝΤΙΝΟΣ ΚΑΡΑΘΕΟΔΩΡΗ</t>
  </si>
  <si>
    <t>mail@30gym-thess.thess.sch.gr</t>
  </si>
  <si>
    <t>ΜΑΖΑΡΑΚΗ 1</t>
  </si>
  <si>
    <t>1ο ΗΜΕΡΗΣΙΟ ΓΥΜΝΑΣΙΟ ΤΟΥΜΠΑΣ ΘΕΣΣΑΛΟΝΙΚΗΣ</t>
  </si>
  <si>
    <t>1gymtoumpas@sch.gr</t>
  </si>
  <si>
    <t>2ο ΗΜΕΡΗΣΙΟ ΓΥΜΝΑΣΙΟ ΜΑΛΑΚΟΠΗΣ ΘΕΣΣΑΛΟΝΙΚΗΣ</t>
  </si>
  <si>
    <t>mail@2gym-malak.thess.sch.gr</t>
  </si>
  <si>
    <t>ΑΛΕΞ. ΣΠΑΝΟΥ 2</t>
  </si>
  <si>
    <t>1ο ΗΜΕΡΗΣΙΟ ΓΥΜΝΑΣΙΟ ΠΑΝΟΡΑΜΑΤΟΣ ΘΕΣΣΑΛΟΝΙΚΗΣ</t>
  </si>
  <si>
    <t>mail@1gym-panor.thess.sch.gr</t>
  </si>
  <si>
    <t>ΥΔΡΑΓΩΓΕΙΟΥ 2</t>
  </si>
  <si>
    <t>2ο ΗΜΕΡΗΣΙΟ ΓΥΜΝΑΣΙΟ ΧΑΡΙΛΑΟΥ</t>
  </si>
  <si>
    <t>mail@2gym-charil.thess.sch.gr</t>
  </si>
  <si>
    <t>32ο ΗΜΕΡΗΣΙΟ ΓΕΝΙΚΟ ΛΥΚΕΙΟ ΘΕΣΣΑΛΟΝΙΚΗΣ</t>
  </si>
  <si>
    <t>mail@32lyk-thess.thess.sch.gr</t>
  </si>
  <si>
    <t>ΚΑΡΔΙΤΣΑΣ 1Α &amp; ΛΕΥΚΩΣΙΑΣ</t>
  </si>
  <si>
    <t>1ο ΗΜΕΡΗΣΙΟ ΓΥΜΝΑΣΙΟ ΠΕΡΑΙΑΣ ΘΕΣΣΑΛΟΝΙΚΗΣ</t>
  </si>
  <si>
    <t>mail@gym-peraias.thess.sch.gr</t>
  </si>
  <si>
    <t>ΠΕΡΑΙΑ</t>
  </si>
  <si>
    <t>ΠΗΓΑΣΟΥ 6</t>
  </si>
  <si>
    <t>1ο ΔΗΜΟΤΙΚΟ ΣΧΟΛΕΙΟ ΠΕΡΑΙΑΣ</t>
  </si>
  <si>
    <t>ΓΥΜΝΑΣΙΟ ΔΙΑΠΟΛΙΤΙΣΜΙΚΗΣ ΕΚΠΑΙΔΕΥΣΗΣ ΑΝΑΤΟΛΙΚΗΣ ΘΕΣΣΑΛΟΝΙΚΗΣ</t>
  </si>
  <si>
    <t>mail@gym-diap-thess.thess.sch.gr</t>
  </si>
  <si>
    <t>ΕΘΝΙΚΗΣ ΑΜΥΝΗΣ  8</t>
  </si>
  <si>
    <t>1ο ΕΕΕΕΚ ΘΕΣΣΑΛΟΝΙΚΗΣ - ΕΕΕΕΚ ΔΗΜΟΥ ΘΕΣΣΑΛΟΝΙΚΗΣ</t>
  </si>
  <si>
    <t>mail@eeeek.thess.sch.gr</t>
  </si>
  <si>
    <t>ΠΑΥΣΙΛΥΠΟΥ 5</t>
  </si>
  <si>
    <t>109ο ΔΗΜΟΤΙΚΟ ΣΧΟΛΕΙΟ ΘΕΣΣΑΛΟΝΙΚΗΣ - ΘΕΟΧΑΡΗ-ΜΑΡΙΑΣ ΜΑΝΑΒΗ</t>
  </si>
  <si>
    <t>Θεσσαλονίκη</t>
  </si>
  <si>
    <t>1ο ΕΕΕΕΚ ΘΕΡΜΗΣ - ΠΡΩΤΟ ΕΕΕΕΚ ΔΗΜΟΥ ΘΕΡΜΗΣ</t>
  </si>
  <si>
    <t>mail@eeek.thess.sch.gr</t>
  </si>
  <si>
    <t>ΤΑΒΑΚΗ 8 - ΜΑΚΡΥΓΙΑΝΝΗ ΓΩΝΙΑ</t>
  </si>
  <si>
    <t>1ο ΕΕΕΕΚ ΔΗΜΟΥ ΠΥΛΑΙΑΣ-ΧΟΡΤΙΑΤΗ - ΕΡΓΑΣΤΗΡΙΟ ΕΙΔΙΚΗΣ ΕΠΑΓΓΕΛΜΑΤΙΚΗΣ ΕΚΠΑΙΔΕΥΣΗΣ ΚΑΙ ΚΑΤΑΡΤΙΣΗΣ</t>
  </si>
  <si>
    <t>mail@1eeeek-panor.thess.sch.gr</t>
  </si>
  <si>
    <t>ΔΗΜΟΥ ΠΥΛΑΙΑΣ-ΧΟΡΤΙΑΤΗ</t>
  </si>
  <si>
    <t>2ο ΗΜΕΡΗΣΙΟ ΓΕΝΙΚΟ ΛΥΚΕΙΟ ΘΕΡΜΑΪΚΟΥ ΘΕΣΣΑΛΟΝΙΚΗΣ</t>
  </si>
  <si>
    <t>mail@2lyk-therm.thess.sch.gr</t>
  </si>
  <si>
    <t>ΘΕΡΜΑΙΚΟΥ  ΘΕΣΣΑΛΟΝΙΚΗΣ</t>
  </si>
  <si>
    <t>ΟΛΥΜΠΙΑΔΟΣ ΚΑΙ ΚΥΠΡΟΥ</t>
  </si>
  <si>
    <t>3ο ΓΥΜΝΑΣΙΟ ΘΕΡΜΗΣ ΘΕΣΣΑΛΟΝΙΚΗΣ</t>
  </si>
  <si>
    <t>mail@3gym-therm.thess.sch.gr</t>
  </si>
  <si>
    <t>ΘΕΣΗ ΑΠΟΘΗΚΕΣ</t>
  </si>
  <si>
    <t>4ο ΔΗΜΟΤΙΚΟ ΣΧΟΛΕΙΟ ΘΕΡΜΗΣ</t>
  </si>
  <si>
    <t>2ο  ΓΥΜΝΑΣΙΟ ΜΙΚΡΑΣ</t>
  </si>
  <si>
    <t>mail@2gym-mikras.thess.sch.gr</t>
  </si>
  <si>
    <t>ΜΑΚΕΔΟΝΙΑΣ 8 Τ.Θ. 1670</t>
  </si>
  <si>
    <t>ΓΕΝΙΚΟ ΛΥΚΕΙΟ ΦΙΛΥΡΟΥ</t>
  </si>
  <si>
    <t>mail@3lyk-chort.thess.sch.gr</t>
  </si>
  <si>
    <t>2ο ΗΜΕΡΗΣΙΟ ΓΕΝΙΚΟ ΛΥΚΕΙΟ ΘΕΡΜΗΣ ΘΕΣΣΑΛΟΝΙΚΗΣ - "ΓΙΩΡΓΟΣ ΙΩΑΝΝΟΥ"</t>
  </si>
  <si>
    <t>mail@2lyk-thermis.thess.sch.gr</t>
  </si>
  <si>
    <t>ΑΓΙΑΣ ΑΝΑΣΤΑΣΙΑΣ</t>
  </si>
  <si>
    <t>2ο ΗΜΕΡΗΣΙΟ ΓΥΜΝΑΣΙΟ ΘΕΣΣΑΛΟΝΙΚΗΣ</t>
  </si>
  <si>
    <t>mail@2gym-thess.thess.sch.gr</t>
  </si>
  <si>
    <t>2ο ΗΜΕΡΗΣΙΟ ΓΕΝΙΚΟ ΛΥΚΕΙΟ ΘΕΣΣΑΛΟΝΙΚΗΣ</t>
  </si>
  <si>
    <t>mail@2lyk-thess.thess.sch.gr</t>
  </si>
  <si>
    <t>1ο ΕΣΠΕΡΙΝΟ ΓΕΝΙΚΟ ΛΥΚΕΙΟ ΘΕΣΣΑΛΟΝΙΚΗΣ</t>
  </si>
  <si>
    <t>mail@1lyk-esp-thess.thess.sch.gr</t>
  </si>
  <si>
    <t>IKTINOY 5</t>
  </si>
  <si>
    <t>2ο ΕΕΕΕΚ ΔΗΜΟΥ ΠΥΛΑΙΑΣ - ΧΟΡΤΙΑΤΗ</t>
  </si>
  <si>
    <t>mail@1eeeek-pylaias.thess.sch.gr</t>
  </si>
  <si>
    <t>ΔΗΜΟΥ ΠΥΛΑΙΑΣ - ΧΟΡΤΙΑΤΗ</t>
  </si>
  <si>
    <t>17ης ΝΟΕΜΒΡΙΟΥ 83</t>
  </si>
  <si>
    <t>2ο  ΕΝΙΑΙΟ  ΕΙΔΙΚΟ ΕΠΑΓΓΕΛΜΑΤΙΚΟ ΓΥΜΝΑΣΙΟ - ΛΥΚΕΙΟ ΑΝΑΤΟΛΙΚΗΣ ΘΕΣΣΑΛΟΝΙΚΗΣ</t>
  </si>
  <si>
    <t>mail@tee-eaav-thess.thess.sch.gr</t>
  </si>
  <si>
    <t>ΣΤΡΟΦΗ Ν. ΡΥΣΙΟΥ   ΘΕΡΜΗ</t>
  </si>
  <si>
    <t>1ο ΔΗΜΟΤΙΚΟ ΣΧΟΛΕΙΟ ΝΕΑΣ ΡΑΙΔΕΣΤΟΥ</t>
  </si>
  <si>
    <t>2ο ΗΜΕΡΗΣΙΟ ΓΥΜΝΑΣΙΟ ΝΕΑΣ ΜΗΧΑΝΙΩΝΑΣ</t>
  </si>
  <si>
    <t>mail@2gym-n-michan.thess.sch.gr</t>
  </si>
  <si>
    <t>ΝΕΑ ΜΗΧΑΝΙΩΝΑ</t>
  </si>
  <si>
    <t>25ης ΜΑΡΤΙΟΥ 20</t>
  </si>
  <si>
    <t>ΚΑΡΔΙΑΣ</t>
  </si>
  <si>
    <t>3ο ΓΥΜΝΑΣΙΟ ΜΙΚΡΑΣ</t>
  </si>
  <si>
    <t>mail@3gym-mikras.thess.sch.gr</t>
  </si>
  <si>
    <t>ΚΑΡΔΙΑ ΘΕΣΣΑΛΟΝΙΚΗΣ</t>
  </si>
  <si>
    <t>ΕΥΜΕΝΟΥΣ ΤΟΥ ΚΑΡΔΙΑΝΟΥ</t>
  </si>
  <si>
    <t>2ο ΔΗΜΟΤΙΚΟ ΣΧΟΛΕΙΟ ΚΑΡΔΙΑΣ</t>
  </si>
  <si>
    <t>ΕΙΔΙΚΟ ΓΥΜΝΑΣΙΟ ΜΕ ΕΙΔΙΚΕΣ ΛΥΚΕΙΑΚΕΣ ΤΑΞΕΙΣ ΤΟΥ ΝΟΣΟΚΟΜΕΙΟΥ ΠΑΠΑΝΙΚΟΛΑΟΥ</t>
  </si>
  <si>
    <t>gymeidpapanik@sch.gr</t>
  </si>
  <si>
    <t>ΕΞΟΧΗ ΘΕΣΣΑΛΟΝΙΚΗΣ</t>
  </si>
  <si>
    <t>ΓΕΝΙΚΟ ΝΟΣΟΚΟΜΕΙΟ ΘΕΣΣΑΛΟΝΙΚΗΣ Γ. ΠΑΠΑΝΙΚΟΛΑΟΥ</t>
  </si>
  <si>
    <t>ΔΗΜΟΤΙΚΟ ΣΧΟΛΕΙΟ ΕΞΟΧΗΣ (ΠΥΛΑΙΑΣ-ΧΟΡΤΙΑΤΗ)</t>
  </si>
  <si>
    <t>2ο ΓΕΝΙΚΟ ΛΥΚΕΙΟ ΜΙΚΡΑΣ-ΘΕΡΜΗΣ</t>
  </si>
  <si>
    <t>mail@2lyk-mikras.thess.sch.gr</t>
  </si>
  <si>
    <t>ΜΙΚΡΑ ΘΕΡΜΗΣ</t>
  </si>
  <si>
    <t>ΘΕΣΣΑΛΟΝΙΚΗΣ-ΜΗΧΑΝΙΩΝΑΣ 14 ΧΛΜ</t>
  </si>
  <si>
    <t>6ο ΔΗΜΟΤΙΚΟ ΣΧΟΛΕΙΟ ΠΥΛΑΙΑΣ</t>
  </si>
  <si>
    <t>ΕΣΠΕΡΙΝΟ ΕΠΑΛ ΚΑΛΑΜΑΡΙΑΣ</t>
  </si>
  <si>
    <t>epalkkal@sch.gr</t>
  </si>
  <si>
    <t>ΜΕΣΗΜΕΡΙΟΥ</t>
  </si>
  <si>
    <t>ΗΜΕΡΗΣΙΟ ΓΥΜΝΑΣΙΟ ΜΕΣΗΜΕΡΙΟΥ</t>
  </si>
  <si>
    <t>Ε.Κ. ΚΑΛΑΜΑΡΙΑΣ</t>
  </si>
  <si>
    <t>ekkalamarias@sch.gr</t>
  </si>
  <si>
    <t>ΚΑΛΑΜΑΡΙΑ Θεσ/νίκης</t>
  </si>
  <si>
    <t>ΚΩΝ.ΚΑΡΑΜΑΝΛΗ &amp; ΜΑΚΕΔΟΝΙΑΣ</t>
  </si>
  <si>
    <t>ΔΙΕΥΘΥΝΣΗ Δ.Ε. ΔΥΤ. ΘΕΣ/ΝΙΚΗΣ</t>
  </si>
  <si>
    <t>ΒΟΛΒΗΣ</t>
  </si>
  <si>
    <t>ΜΑΔΥΤΟΥ</t>
  </si>
  <si>
    <t>ΝΕΑΣ ΜΑΔΥΤΟΥ</t>
  </si>
  <si>
    <t>ΗΜΕΡΗΣΙΟ ΓΥΜΝΑΣΙΟ ΝΕΑΣ ΜΑΔΥΤΟΥ</t>
  </si>
  <si>
    <t>mail@gym-n-madyt.thess.sch.gr</t>
  </si>
  <si>
    <t>ΝΕΑ ΜΑΔΥΤΟΣ</t>
  </si>
  <si>
    <t>ΔΗΜΟΤΙΚΟ ΣΧΟΛΕΙΟ ΝΕΑΣ ΜΑΔΥΤΟΥ</t>
  </si>
  <si>
    <t>ΓΥΜΝΑΣΙΟ ΡΕΝΤΙΝΑΣ</t>
  </si>
  <si>
    <t>mail@gym-rentin.thess.sch.gr</t>
  </si>
  <si>
    <t xml:space="preserve"> ΣΤΑΥΡΟΣ</t>
  </si>
  <si>
    <t>ΣΤΑΥΡΟΣ ΘΕΣΣΑΛΟΝΙΚΗΣ</t>
  </si>
  <si>
    <t>1ο ΔΗΜΟΤΙΚΟ ΣΧΟΛΕΙΟ ΠΑΡΑΛΙΑΣ ΣΤΑΥΡΟΥ</t>
  </si>
  <si>
    <t>ΑΠΟΛΛΩΝΙΑΣ</t>
  </si>
  <si>
    <t>ΝΕΑΣ ΑΠΟΛΛΩΝΙΑΣ</t>
  </si>
  <si>
    <t>ΗΜΕΡΗΣΙΟ ΓΥΜΝΑΣΙΟ ΝΕΑΣ ΑΠΟΛΛΩΝΙΑΣ</t>
  </si>
  <si>
    <t>mail@gym-n-apoll.thess.sch.gr</t>
  </si>
  <si>
    <t>ΝΕΑΣ ΑΠΟΛΛΩΝΙΑΣ ΘΕΣΣΑΛΟΝΙΚΗΣ</t>
  </si>
  <si>
    <t>ΝΕΑ ΑΠΟΛΛΩΝΙΑ ΘΕΣΣΑΛΟΝΙΚΗΣ</t>
  </si>
  <si>
    <t>ΔΗΜΟΤΙΚΟ ΣΧΟΛΕΙΟ ΝΕΑΣ ΑΠΟΛΛΩΝΙΑΣ</t>
  </si>
  <si>
    <t>ΠΟΛΙΧΝΗΣ</t>
  </si>
  <si>
    <t>3ο ΗΜΕΡΗΣΙΟ ΓΕΝΙΚΟ ΛΥΚΕΙΟ ΠΟΛΙΧΝΗΣ ΘΕΣΣΑΛΟΝΙΚΗΣ</t>
  </si>
  <si>
    <t>mail@3lyk-polichn.thess.sch.gr</t>
  </si>
  <si>
    <t>ΠΟΛΙΧΝΗ ΘΕΣΣΑΛΟΝΙΚΗΣ</t>
  </si>
  <si>
    <t>ΤΕΡΜΑ ΑΓΝΩΣΤΟΥ ΣΤΡΑΤΙΩΤΗ</t>
  </si>
  <si>
    <t>6ο ΔΗΜΟΤΙΚΟ ΣΧΟΛΕΙΟ ΠΟΛΙΧΝΗΣ</t>
  </si>
  <si>
    <t>ΔΕΛΤΑ</t>
  </si>
  <si>
    <t>ΑΞΙΟΥ</t>
  </si>
  <si>
    <t>ΚΥΜΙΝΩΝ</t>
  </si>
  <si>
    <t>ΗΜΕΡΗΣΙΟ ΓΕΝΙΚΟ ΛΥΚΕΙΟ ΑΞΙΟΥ ΘΕΣΣΑΛΟΝΙΚΗΣ</t>
  </si>
  <si>
    <t>mail@lyk-kymin.thess.sch.gr</t>
  </si>
  <si>
    <t>ΚΥΜΙΝΑ ΘΕΣΣΑΛΟΝΙΚΗΣ</t>
  </si>
  <si>
    <t>ΚΥΜΙΝΑ ΔΗΜΟΥ ΔΕΛΤΑ</t>
  </si>
  <si>
    <t>2ο ΔΗΜΟΤΙΚΟ ΣΧΟΛΕΙΟ ΚΥΜΙΝΩΝ</t>
  </si>
  <si>
    <t>ΗΜΕΡΗΣΙΟ ΓΕΝΙΚΟ ΛΥΚΕΙΟ ΡΕΝΤΙΝΑΣ</t>
  </si>
  <si>
    <t>mail@lyk-paral-stavr.thess.sch.gr</t>
  </si>
  <si>
    <t>ΣΤΑΥΡOΣ ΘΕΣΣΑΛΟΝΙΚΗΣ</t>
  </si>
  <si>
    <t>ΚΑΛΙΝΔΟΙΩΝ</t>
  </si>
  <si>
    <t>ΖΑΓΚΛΙΒΕΡΙΟΥ</t>
  </si>
  <si>
    <t>ΗΜΕΡΗΣΙΟ ΓΥΜΝΑΣΙΟ ΚΑΛΙΝΔΟΙΩΝ</t>
  </si>
  <si>
    <t>mail@gym-zagkl.thess.sch.gr</t>
  </si>
  <si>
    <t>ΖΑΓΚΛΙΒΕΡΙ ΘΕΣΣΑΛΟΝΙΚΗΣ</t>
  </si>
  <si>
    <t>ΖΑΓΚΛΙΒΕΡΙ</t>
  </si>
  <si>
    <t>ΔΗΜΟΤΙΚΟ ΣΧΟΛΕΙΟ ΖΑΓΚΛΙΒΕΡΙΟΥ</t>
  </si>
  <si>
    <t>ΚΟΡΩΝΕΙΑΣ</t>
  </si>
  <si>
    <t>ΛΑΓΚΑΔΙΚΙΩΝ</t>
  </si>
  <si>
    <t>ΗΜΕΡΗΣΙΟ ΓΥΜΝΑΣΙΟ ΚΟΡΩΝΕΙΑΣ "ΚΩΣΤΑΣ ΘΕΟΔΩΡΙΔΗΣ"</t>
  </si>
  <si>
    <t>mail@gym-lagkad.thess.sch.gr</t>
  </si>
  <si>
    <t>ΛΑΓΚΑΔΙΚΙΑ ΘΕΣΣΑΛΟΝΙΚΗΣ</t>
  </si>
  <si>
    <t>ΛΑΓΚΑΔΙΚΙΑ Ν.ΘΕΣΣΑΛΟΝΙΚΗΣ</t>
  </si>
  <si>
    <t>ΔΗΜΟΤΙΚΟ ΣΧΟΛΕΙΟ ΛΑΓΚΑΔΙΚΙΩΝ</t>
  </si>
  <si>
    <t>ΧΑΛΚΗΔΟΝΟΣ</t>
  </si>
  <si>
    <t>1ο ΗΜΕΡΗΣΙΟ ΓΥΜΝΑΣΙΟ ΧΑΛΚΗΔΟΝΑΣ ΘΕΣΣΑΛΟΝΙΚΗΣ</t>
  </si>
  <si>
    <t>mail@gym-chalk.thess.sch.gr</t>
  </si>
  <si>
    <t>ΧΑΛΚΗΔΟΝΑ ΘΕΣΣΑΛΟΝΙΚΗΣ</t>
  </si>
  <si>
    <t>ΧΑΛΚΗΔΟΝΑ</t>
  </si>
  <si>
    <t>ΔΗΜΟΤΙΚΟ ΣΧΟΛΕΙΟ ΧΑΛΚΗΔΟΝΑΣ</t>
  </si>
  <si>
    <t>ΑΔΕΝΔΡΟΥ</t>
  </si>
  <si>
    <t>2ο ΗΜΕΡΗΣΙΟ ΓΕΝΙΚΟ ΛΥΚΕΙΟ ΧΑΛΚΗΔΟΝΑΣ ΘΕΣΣΑΛΟΝΙΚΗΣ</t>
  </si>
  <si>
    <t>mail@2lyk-chalk.thess.sch.gr</t>
  </si>
  <si>
    <t>ΑΔΕΝΔΡΟ</t>
  </si>
  <si>
    <t>ΔΗΜΟΤΙΚΟ ΣΧΟΛΕΙΟ ΑΔΕΝΔΡΟΥ</t>
  </si>
  <si>
    <t>ΚΟΡΔΕΛΙΟΥ-ΕΥΟΣΜΟΥ</t>
  </si>
  <si>
    <t>ΕΛΕΥΘΕΡΙΟΥ-ΚΟΡΔΕΛΙΟΥ</t>
  </si>
  <si>
    <t>Ε.Ε.Ε.ΕΚ ΚΟΡΔΕΛΙΟΥ</t>
  </si>
  <si>
    <t>mail@eeeek-kordel.thess.sch.gr</t>
  </si>
  <si>
    <t>ΚΟΡΔΕΛΙΟ ΘΕΣΣΑΛΟΝΙΚΗΣ</t>
  </si>
  <si>
    <t>ΕΛ.ΒΕΝΙΖΕΛΟΥ 27</t>
  </si>
  <si>
    <t>7ο ΔΗΜΟΤΙΚΟ ΣΧΟΛΕΙΟ ΕΛΕΥΘΕΡΙΟΥ-ΚΟΡΔΕΛΙΟΥ</t>
  </si>
  <si>
    <t>ΕΥΟΣΜΟΥ</t>
  </si>
  <si>
    <t>6ο ΗΜΕΡΗΣΙΟ ΓΥΜΝΑΣΙΟ ΕΥΟΣΜΟΥ ΘΕΣΣΑΛΟΝΙΚΗΣ</t>
  </si>
  <si>
    <t>mail@6gym-evosm.thess.sch.gr</t>
  </si>
  <si>
    <t>ΕΥΟΣΜΟΣ ΘΕΣΣΑΛΟΝΙΚΗΣ</t>
  </si>
  <si>
    <t>ΠΑΠΑΓΟΥ 45 ΚΑΙ ΘΕΟΔΩΡΑΣ</t>
  </si>
  <si>
    <t>ΑΜΠΕΛΟΚΗΠΩΝ ΘΕΣΣΑΛΟΝΙΚΗΣ</t>
  </si>
  <si>
    <t>20ο ΔΗΜΟΤΙΚΟ ΣΧΟΛΕΙΟ ΕΥΟΣΜΟΥ</t>
  </si>
  <si>
    <t>ΑΣΠΡΟΒΑΛΤΑΣ</t>
  </si>
  <si>
    <t>ΗΜΕΡΗΣΙΟ ΓΥΜΝΑΣΙΟ ΑΓΙΟΥ ΓΕΩΡΓΙΟΥ ΘΕΣΣΑΛΟΝΙΚΗΣ</t>
  </si>
  <si>
    <t>gymaspro@sch.gr</t>
  </si>
  <si>
    <t>ΑΣΠΡΟΒΑΛΤΑΣ ΘΕΣΣΑΛΟΝΙΚΗΣ</t>
  </si>
  <si>
    <t>ΔΗΜΟΤΙΚΟ ΣΧΟΛΕΙΟ ΝΕΩΝ ΒΡΑΣΝΩΝ</t>
  </si>
  <si>
    <t>ΣΟΧΟΥ</t>
  </si>
  <si>
    <t>ΗΜΕΡΗΣΙΟ ΓΥΜΝΑΣΙΟ ΣΟΧΟΥ ΘΕΣΣΑΛΟΝΙΚΗΣ</t>
  </si>
  <si>
    <t>mail@gym-sochou.thess.sch.gr</t>
  </si>
  <si>
    <t>ΣΟΧΟΣ ΘΕΣΣΑΛΟΝΙΚΗΣ</t>
  </si>
  <si>
    <t>ΤΑΓΜΑΤΑΡΧΗ ΘΩΜΑ ΚΑΡΑΚΟΛΗ 50</t>
  </si>
  <si>
    <t>ΔΗΜΟΤΙΚΟ ΣΧΟΛΕΙΟ ΣΟΧΟΥ</t>
  </si>
  <si>
    <t>ΕΧΕΔΩΡΟΥ</t>
  </si>
  <si>
    <t>ΣΙΝΔΟΥ</t>
  </si>
  <si>
    <t>1ο ΗΜΕΡΗΣΙΟ ΕΠΑΛ ΣΙΝΔΟΥ - ΕΠΑ.Λ ΣΙΝΔΟΥ</t>
  </si>
  <si>
    <t>mail@1epal-sindou.thess.sch.gr</t>
  </si>
  <si>
    <t>ΣΙΝΔΟΣ</t>
  </si>
  <si>
    <t>ΚΩΣΤΗ ΠΑΛΑΜΑ 1</t>
  </si>
  <si>
    <t>3ο ΔΗΜΟΤΙΚΟ ΣΧΟΛΕΙΟ ΣΙΝΔΟΥ</t>
  </si>
  <si>
    <t>ΗΜΕΡΗΣΙΟ ΓΕΝΙΚΟ ΛΥΚΕΙΟ ΚΑΛΙΝΔΟΙΩΝ</t>
  </si>
  <si>
    <t>mail@lyk-zagkl.thess.sch.gr</t>
  </si>
  <si>
    <t>1ο ΕΠΑΛ ΣΤΑΥΡΟΥ-ΑΡΙΣΤΟΤΕΛΕΙΟ ΕΠΑΓΓΕΛΜΑΤΙΚΟ ΛΥΚΕΙΟ ΣΤΑΥΡΟΥ</t>
  </si>
  <si>
    <t>mail@1epal-stavr.thess.sch.gr</t>
  </si>
  <si>
    <t>Π. ΣΤΑΥΡΟΥ</t>
  </si>
  <si>
    <t>2ο ΔΗΜΟΤΙΚΟ ΣΧΟΛΕΙΟ ΠΑΡΑΛΙΑΣ ΣΤΑΥΡΟΥ</t>
  </si>
  <si>
    <t>ΚΟΥΦΑΛΙΩΝ</t>
  </si>
  <si>
    <t>1ο ΣΕΚ ΚΟΥΦΑΛΙΩΝ - ΣΕΚ ΚΟΥΦΑΛΙΩΝ</t>
  </si>
  <si>
    <t>mail@1sek-koufal.thess.sch.gr</t>
  </si>
  <si>
    <t>ΤΕΡΜΑ ΤΖΙΒΑΡΟΠΟΥΛΟΥ ΚΟΥΦΑΛΙΑ</t>
  </si>
  <si>
    <t>2ο ΔΗΜΟΤΙΚΟ ΣΧΟΛΕΙΟ ΚΟΥΦΑΛΙΩΝ</t>
  </si>
  <si>
    <t>ΗΜΕΡΗΣΙΟ ΕΠΑΛ ΑΓΙΟΥ ΑΘΑΝΑΣΙΟΥ</t>
  </si>
  <si>
    <t>mail@epal-ag-athan.thess.sch.gr</t>
  </si>
  <si>
    <t>ΛΕΩΦΟΡΟΣ ΑΘΗΝΩΝ</t>
  </si>
  <si>
    <t>2ο  ΔΗΜΟΤΙΚΟ ΣΧΟΛΕΙΟ ΑΓΙΟΥ ΑΘΑΝΑΣΙΟΥ</t>
  </si>
  <si>
    <t>ΑΜΠΕΛΟΚΗΠΩΝ-ΜΕΝΕΜΕΝΗΣ</t>
  </si>
  <si>
    <t>1ο ΗΜΕΡΗΣΙΟ ΕΠΑΛ ΑΜΠΕΛΟΚΗΠΩΝ - ΗΡΩΝ Ο ΑΛΕΞΑΝΔΡΕΥΣ</t>
  </si>
  <si>
    <t>mail@1epal-ampel.thess.sch.gr</t>
  </si>
  <si>
    <t>Ν. ΠΛΑΣΤΗΡΑ 54</t>
  </si>
  <si>
    <t>5ο ΔΗΜΟΤΙΚΟ ΣΧΟΛΕΙΟ ΑΜΠΕΛΟΚΗΠΩΝ</t>
  </si>
  <si>
    <t>ΕΥΚΑΡΠΙΑΣ</t>
  </si>
  <si>
    <t>1ο ΗΜΕΡΗΣΙΟ ΓΥΜΝΑΣΙΟ ΕΥΚΑΡΠΙΑΣ ΘΕΣΣΑΛΟΝΙΚΗΣ</t>
  </si>
  <si>
    <t>mail@gym-n-efkarp.thess.sch.gr</t>
  </si>
  <si>
    <t>ΕΥΚΑΡΠΙΑ ΘΕΣΣΑΛΟΝΙΚΗΣ</t>
  </si>
  <si>
    <t>Π. Π. ΓΕΡΜΑΝΟΥ  1</t>
  </si>
  <si>
    <t>ΠΑΛΑΙΩΝ ΠΑΤΡΩΝ ΓΕΡΜΑΝΟΥ 1</t>
  </si>
  <si>
    <t>4ο ΔΗΜΟΤΙΚΟ ΣΧΟΛΕΙΟ ΕΥΚΑΡΠΙΑΣ</t>
  </si>
  <si>
    <t>2ο ΗΜΕΡΗΣΙΟ ΓΕΝΙΚΟ ΛΥΚΕΙΟ ΕΥΟΣΜΟΥ ΘΕΣΣΑΛΟΝΙΚΗΣ</t>
  </si>
  <si>
    <t>mail@2lyk-evosm.thess.sch.gr</t>
  </si>
  <si>
    <t>ΠΕΤΜΕΖΑ - ΙΠΠΟΔΡΟΜΙΟΥ 1</t>
  </si>
  <si>
    <t>21ο ΔΗΜΟΤΙΚΟ ΣΧΟΛΕΙΟ ΕΥΟΣΜΟΥ</t>
  </si>
  <si>
    <t>ΝΕΑΠΟΛΗΣ-ΣΥΚΕΩΝ</t>
  </si>
  <si>
    <t>ΝΕΑΠΟΛΕΩΣ</t>
  </si>
  <si>
    <t>1ο ΕΠΑΛ ΝΕΑΠΟΛΗΣ ΘΕΣΣΑΛΟΝΙΚΗΣ</t>
  </si>
  <si>
    <t>mail@1epal-neapol.thess.sch.gr</t>
  </si>
  <si>
    <t xml:space="preserve">ΝΕΑΠΟΛΗ </t>
  </si>
  <si>
    <t>ΠΡΩΗΝ ΣΤΡΑΤΟΠΕΔΟ ΣΤΡΕΜΠΕΝΙΩΤΗ</t>
  </si>
  <si>
    <t>3ο ΔΗΜΟΤΙΚΟ ΣΧΟΛΕΙΟ ΠΟΛΙΧΝΗΣ</t>
  </si>
  <si>
    <t>ΧΑΛΑΣΤΡΑΣ</t>
  </si>
  <si>
    <t>ΗΜΕΡΗΣΙΟ ΓΕΝΙΚΟ ΛΥΚΕΙΟ ΧΑΛΑΣΤΡΑΣ ΘΕΣΣΑΛΟΝΙΚΗΣ</t>
  </si>
  <si>
    <t>mail@lyk-chalastr.thess.sch.gr</t>
  </si>
  <si>
    <t>ΧΑΛΑΣΤΡΑ ΘΕΣΣΑΛΟΝΙΚΗΣ</t>
  </si>
  <si>
    <t>ΧΑΛΑΣΤΡΑ</t>
  </si>
  <si>
    <t>3ο ΔΗΜΟΤΙΚΟ ΣΧΟΛΕΙΟ ΧΑΛΑΣΤΡΑΣ</t>
  </si>
  <si>
    <t>ΕΚ ΝΕΑΠΟΛΗΣ</t>
  </si>
  <si>
    <t>mail@1sek-neapol.thess.sch.gr</t>
  </si>
  <si>
    <t>ΣΤΡ. ΣΤΡΕΜΠΕΝΙΩΤΗ-  ΝΕΑΠΟΛΗ</t>
  </si>
  <si>
    <t>ΕΚ ΕΥΟΣΜΟΥ</t>
  </si>
  <si>
    <t>ekevosm@sch.gr</t>
  </si>
  <si>
    <t>ΤΕΡΜΑ ΣΜΥΡΝΗΣ -  ΕΥΟΣΜΟΣ</t>
  </si>
  <si>
    <t>19ο ΔΗΜΟΤΙΚΟ ΣΧΟΛΕΙΟ ΕΥΟΣΜΟΥ</t>
  </si>
  <si>
    <t>1ο ΕΠΑΛ ΠΟΛΙΧΝΗΣ</t>
  </si>
  <si>
    <t>mail@1epal-polichn.thess.sch.gr</t>
  </si>
  <si>
    <t>ΠΟΛΙΧΝΗ</t>
  </si>
  <si>
    <t>ΣΑΠΦΟΥΣ 3</t>
  </si>
  <si>
    <t>10ο ΔΗΜΟΤΙΚΟ ΣΧΟΛΕΙΟ ΠΟΛΙΧΝΗΣ</t>
  </si>
  <si>
    <t>ΝΕΑΣ ΜΕΣΗΜΒΡΙΑΣ</t>
  </si>
  <si>
    <t>2ο ΗΜΕΡΗΣΙΟ ΓΕΝΙΚΟ ΛΥΚΕΙΟ ΑΓΙΟΥ ΑΘΑΝΑΣΙΟΥ</t>
  </si>
  <si>
    <t>mail@lyk-n-mesimvr.thess.sch.gr</t>
  </si>
  <si>
    <t>ΝΕΑ ΜΕΣΗΜΒΡΙΑ ΘΕΣΣΑΛΟΝΙΚΗΣ</t>
  </si>
  <si>
    <t>ΔΑΜΑΣΚΟΥ 4 ΝΕΑ ΜΕΣΗΜΒΡΙΑ ΘΕΣΣΑΛΟΝΙΚΗΣ</t>
  </si>
  <si>
    <t>ΔΗΜΟΤΙΚΟ ΣΧΟΛΕΙΟ ΝΕΑΣ ΜΕΣΗΜΒΡΙΑΣ</t>
  </si>
  <si>
    <t>ΗΜΕΡΗΣΙΟ ΓΕΝΙΚΟ ΛΥΚΕΙΟ ΝΕΑΣ ΜΑΔΥΤΟΥ ΘΕΣΣΑΛΟΝΙΚΗΣ</t>
  </si>
  <si>
    <t>mail@lyk-n-madyt.thess.sch.gr</t>
  </si>
  <si>
    <t>ΒΟΛΒΗ</t>
  </si>
  <si>
    <t>ΝΕΑ ΜΑΔΥΤΟΣ ΘΕΣΣΑΛΟΝΙΚΗΣ</t>
  </si>
  <si>
    <t>ΣΥΚΕΩΝ</t>
  </si>
  <si>
    <t>1ο ΗΜΕΡΗΣΙΟ ΓΕΝΙΚΟ ΛΥΚΕΙΟ ΣΥΚΕΩΝ ΘΕΣΣΑΛΟΝΙΚΗΣ</t>
  </si>
  <si>
    <t>mail@1lyk-sykeon.thess.sch.gr</t>
  </si>
  <si>
    <t>ΣΥΚΕΩΝ ΘΕΣΣΑΛΟΝΙΚΗΣ</t>
  </si>
  <si>
    <t>ΕΠΤΑΠΥΡΓΙΟΥ 150</t>
  </si>
  <si>
    <t>2ο ΔΗΜΟΤΙΚΟ ΣΧΟΛΕΙΟ ΣΥΚΕΩΝ</t>
  </si>
  <si>
    <t>3ο ΗΜΕΡΗΣΙΟ ΓΕΝΙΚΟ ΛΥΚΕΙΟ ΕΥΟΣΜΟΥ ΘΕΣΣΑΛΟΝΙΚΗΣ</t>
  </si>
  <si>
    <t>mail@3lyk-evosm.thess.sch.gr</t>
  </si>
  <si>
    <t>ΠΑΠΑΓΟΥ ΚΑΙ ΘΕΟΔΩΡΑΣ</t>
  </si>
  <si>
    <t>1ο ΗΜΕΡΗΣΙΟ ΓΕΝΙΚΟ ΛΥΚΕΙΟ ΚΟΥΦΑΛΙΩΝ ΘΕΣΣΑΛΟΝΙΚΗΣ</t>
  </si>
  <si>
    <t>mail@lyk-koufal.thess.sch.gr</t>
  </si>
  <si>
    <t>ΚΟΥΦΑΛΙΑ ΘΕΣΣΑΛΟΝΙΚΗΣ</t>
  </si>
  <si>
    <t>ΘΕΜΙΣΤΟΚΛΕΟΥΣ 48</t>
  </si>
  <si>
    <t>1ο ΔΗΜΟΤΙΚΟ ΣΧΟΛΕΙΟ ΚΟΥΦΑΛΙΩΝ</t>
  </si>
  <si>
    <t>1ο ΕΠΑΛ ΚΟΥΦΑΛΙΩΝ</t>
  </si>
  <si>
    <t>mail@1epal-koufal.thess.sch.gr</t>
  </si>
  <si>
    <t>ΚΟΥΦΑΛΙΑ</t>
  </si>
  <si>
    <t>ΤΕΡΜΑ ΤΖΙΒΑΡΟΠΟΥΛΟΥ</t>
  </si>
  <si>
    <t>2ο ΗΜΕΡΗΣΙΟ ΕΠΑΛ ΣΤΑΥΡΟΥΠΟΛΗΣ</t>
  </si>
  <si>
    <t>mail@2epal-stavroup.thess.sch.gr</t>
  </si>
  <si>
    <t>ΑΚΡΙΤΩΝ ΚΑΙ ΘΡΑΚΗΣ 4</t>
  </si>
  <si>
    <t>13ο ΔΗΜΟΤΙΚΟ ΣΧΟΛΕΙΟ ΣΤΑΥΡΟΥΠΟΛΗΣ</t>
  </si>
  <si>
    <t>1ο ΗΜΕΡΗΣΙΟ ΕΠΑΛ ΧΑΛΑΣΤΡΑΣ</t>
  </si>
  <si>
    <t>mail@1epal-chalastr.thess.sch.gr</t>
  </si>
  <si>
    <t>ΚΕΝΤΡΙΚΗ ΠΛΑΤΕΙΑ ΧΑΛΑΣΤΡΑΣ</t>
  </si>
  <si>
    <t>1ο ΔΗΜΟΤΙΚΟ ΣΧΟΛΕΙΟ ΧΑΛΑΣΤΡΑΣ</t>
  </si>
  <si>
    <t>1ο ΗΜΕΡΗΣΙΟ ΕΠΑΛ ΣΥΚΕΩΝ</t>
  </si>
  <si>
    <t>mail@1epal-sykeon.thess.sch.gr</t>
  </si>
  <si>
    <t>ΣΥΚΙΕΣ</t>
  </si>
  <si>
    <t>ΗΡΩΩΝ ΠΟΛΥΤΕΧΝΕΙΟΥ- Γ.ΡΙΤΣΟΥ 2</t>
  </si>
  <si>
    <t>10ο ΔΗΜΟΤΙΚΟ ΣΧΟΛΕΙΟ ΣΥΚΕΩΝ</t>
  </si>
  <si>
    <t>1ο ΗΜΕΡΗΣΙΟ ΓΕΝΙΚΟ ΛΥΚΕΙΟ ΑΓΙΟΥ ΑΘΑΝΑΣΙΟΥ ΘΕΣΣΑΛΟΝΙΚΗΣ</t>
  </si>
  <si>
    <t>mail@lyk-ag-athan.thess.sch.gr</t>
  </si>
  <si>
    <t>ΑΓΙΟΣ ΑΘΑΝΑΣΙΟΣ ΘΕΣΣΑΛΟΝΙΚΗΣ</t>
  </si>
  <si>
    <t>ΛΕΩΦΟΡΟΣ ΑΘΗΝΩΝ 25Γ</t>
  </si>
  <si>
    <t>ΗΜΕΡΗΣΙΟ ΓΕΝΙΚΟ ΛΥΚΕΙΟ ΛΑΓΚΑΔΑ ΘΕΣΣΑΛΟΝΙΚΗΣ</t>
  </si>
  <si>
    <t>mail@1lyk-lagkad.thess.sch.gr</t>
  </si>
  <si>
    <t>ΜΑΤΑΠΑ 25</t>
  </si>
  <si>
    <t>3ο ΔΗΜΟΤΙΚΟ ΣΧΟΛΕΙΟ ΛΑΓΚΑΔΑ</t>
  </si>
  <si>
    <t>ΗΜΕΡΗΣΙΟ ΓΕΝΙΚΟ ΛΥΚΕΙΟ ΣΟΧΟΥ ΘΕΣΣΑΛΟΝΙΚΗΣ</t>
  </si>
  <si>
    <t>mail@lyk-sochou.thess.sch.gr</t>
  </si>
  <si>
    <t>ΘΩΜΑ ΚΑΡΑΚΟΛΗ 50</t>
  </si>
  <si>
    <t>ΩΡΑΙΟΚΑΣΤΡΟΥ</t>
  </si>
  <si>
    <t>1ο ΗΜΕΡΗΣΙΟ ΓΕΝΙΚΟ ΛΥΚΕΙΟ ΩΡΑΙΟΚΑΣΤΡΟΥ ΘΕΣΣΑΛΟΝΙΚΗΣ</t>
  </si>
  <si>
    <t>mail@lyk-oraiok.thess.sch.gr</t>
  </si>
  <si>
    <t>ΩΡΑΙΟΚΑΣΤΡΟ ΘΕΣΣΑΛΟΝΙΚΗΣ</t>
  </si>
  <si>
    <t>ΜΕΛΙΣΣΟΧΩΡΙΟΥ ΚΑΙ ΕΙΚΟΣΤΗΣ ΠΕΜΠΤΗΣ ΜΑΡΤΙΟΥ  1</t>
  </si>
  <si>
    <t>1ο ΔΗΜΟΤΙΚΟ ΣΧΟΛΕΙΟ ΩΡΑΙΟΚΑΣΤΡΟΥ</t>
  </si>
  <si>
    <t>1ο ΗΜΕΡΗΣΙΟ ΓΕΝΙΚΟ ΛΥΚΕΙΟ ΑΜΠΕΛΟΚΗΠΩΝ ΘΕΣΣΑΛΟΝΙΚΗΣ</t>
  </si>
  <si>
    <t>mail@1lyk-ampel.thess.sch.gr</t>
  </si>
  <si>
    <t>ΦΙΛΙΠΠΟΥΠΟΛΕΩΣ - ΔΑΒΑΚΗ</t>
  </si>
  <si>
    <t>1ο ΗΜΕΡΗΣΙΟ ΓΕΝΙΚΟ ΛΥΚΕΙΟ ΠΟΛΙΧΝΗΣ</t>
  </si>
  <si>
    <t>mail@1lyk-polichn.thess.sch.gr</t>
  </si>
  <si>
    <t>ΑΡΚΑΔΙΟΥ ΚΑΙ ΑΡΕΤΗΣ 1</t>
  </si>
  <si>
    <t>12ο ΔΗΜΟΤΙΚΟ ΣΧΟΛΕΙΟ ΠΟΛΙΧΝΗΣ</t>
  </si>
  <si>
    <t>1ο ΕΠΑΛ ΕΥΟΣΜΟΥ</t>
  </si>
  <si>
    <t>mail@1epal-evosm.thess.sch.gr</t>
  </si>
  <si>
    <t>ΤΕΡΜΑ ΣΜΥΡΝΗΣ</t>
  </si>
  <si>
    <t>4ο ΗΜΕΡΗΣΙΟ ΓΕΝΙΚΟ ΛΥΚΕΙΟ ΣΤΑΥΡΟΥΠΟΛΗΣ ΘΕΣΣΑΛΟΝΙΚΗΣ</t>
  </si>
  <si>
    <t>mail@4lyk-stavroup.thess.sch.gr</t>
  </si>
  <si>
    <t>ΣΤΑΥΡΟΥΠΟΛΗ ΘΕΣΣΑΛΟΝΙΚΗΣ</t>
  </si>
  <si>
    <t>ΙΘΑΚΗΣ - ΟΡΙΑ ΕΥΟΣΜΟΥ</t>
  </si>
  <si>
    <t>7ο ΔΗΜΟΤΙΚΟ ΣΧΟΛΕΙΟ ΣΤΑΥΡΟΥΠΟΛΗΣ</t>
  </si>
  <si>
    <t>3ο ΗΜΕΡΗΣΙΟ ΓΕΝΙΚΟ ΛΥΚΕΙΟ ΑΜΠΕΛΟΚΗΠΩΝ ΘΕΣΣΑΛΟΝΙΚΗΣ - ΟΜΗΡΟΣ</t>
  </si>
  <si>
    <t>mail@3lyk-ampel.thess.sch.gr</t>
  </si>
  <si>
    <t>ΑΜΠΕΛΟΚΗΠΟΙ ΘΕΣΣΑΛΟΝΙΚΗΣ</t>
  </si>
  <si>
    <t>ΠΑΝΤΑΖΟΠΟΥΛΟΥ  12Α</t>
  </si>
  <si>
    <t>12ο ΔΗΜΟΤΙΚΟ ΣΧΟΛΕΙΟ ΑΜΠΕΛΟΚΗΠΩΝ -9190823</t>
  </si>
  <si>
    <t>ΜΕΝΕΜΕΝΗΣ</t>
  </si>
  <si>
    <t>1ο ΗΜΕΡΗΣΙΟ ΓΕΝΙΚΟ ΛΥΚΕΙΟ ΜΕΝΕΜΕΝΗΣ ΘΕΣΣΑΛΟΝΙΚΗΣ-"ΔΙΔΩ ΣΩΤΗΡΙΟΥ"</t>
  </si>
  <si>
    <t>mail@1lyk-menem.thess.sch.gr</t>
  </si>
  <si>
    <t xml:space="preserve">ΜΕΝΕΜΕΝΗ </t>
  </si>
  <si>
    <t>Ν. ΚΟΥΝΤΟΥΡΙΩΤΟΥ 29</t>
  </si>
  <si>
    <t>1ο ΔΗΜΟΤΙΚΟ ΣΧΟΛΕΙΟ ΜΕΝΕΜΕΝΗΣ</t>
  </si>
  <si>
    <t>ΕΣΠΕΡΙΝΟ ΕΠΑΛ ΕΥΟΣΜΟΥ</t>
  </si>
  <si>
    <t>mail@4epal-esp-evosm.thess.sch.gr</t>
  </si>
  <si>
    <t>Εύοσμος,</t>
  </si>
  <si>
    <t>ΤΕΡΜΑ ΣΜΥΡΝΗΣ - ΕΥΟΣΜΟΣ</t>
  </si>
  <si>
    <t>ΕΣΠΕΡΙΝΟ ΓΕΝΙΚΟ ΛΥΚΕΙΟ ΑΜΠΕΛΟΚΗΠΩΝ ΘΕΣΣΑΛΟΝΙΚΗΣ - ΡΗΓΑΣ ΦΕΡΑΙΟΣ</t>
  </si>
  <si>
    <t>mail@lyk-esp-ampel.thess.sch.gr</t>
  </si>
  <si>
    <t>ΤΕΡΜΑ ΦΙΛΙΠΠΟΥΠΟΛΕΩΣ - ΔΑΒΑΚΗ 1</t>
  </si>
  <si>
    <t>2ο ΗΜΕΡΗΣΙΟ ΓΕΝΙΚΟ ΛΥΚΕΙΟ ΑΜΠΕΛΟΚΗΠΩΝ ΘΕΣΣΑΛΟΝΙΚΗΣ - ΕΜΜΑΝΟΥΗΛ ΠΑΠΑΣ</t>
  </si>
  <si>
    <t>mail@2lyk-ampel.thess.sch.gr</t>
  </si>
  <si>
    <t>Ν.ΠΛΑΣΤΗΡΑ 54</t>
  </si>
  <si>
    <t>ΓΕΝΙΚΟ ΛΥΚΕΙΟ ΔΙΑΠΟΛΙΤΙΣΜΙΚΗΣ ΕΚΠΑΙΔΕΥΣΗΣ ΕΥΟΣΜΟΥ</t>
  </si>
  <si>
    <t>mail@lyk-diap-v-thess.thess.sch.gr</t>
  </si>
  <si>
    <t>ΕΥΟΣΜΟΣ</t>
  </si>
  <si>
    <t>ΠΗΝΕΙΟΥ  3</t>
  </si>
  <si>
    <t>5ο ΔΗΜΟΤΙΚΟ ΣΧΟΛΕΙΟ ΕΥΟΣΜΟΥ</t>
  </si>
  <si>
    <t>2ο ΗΜΕΡΗΣΙΟ ΓΕΝΙΚΟ ΛΥΚΕΙΟ ΕΛΕΥΘΕΡΙΟΥ ΚΟΡΔΕΛΙΟΥ ΘΕΣΣΑΛΟΝΙΚΗΣ</t>
  </si>
  <si>
    <t>mail@2lyk-el-kordel.thess.sch.gr</t>
  </si>
  <si>
    <t>ΕΛΕΥΘΕΡΙΟ ΚΟΡΔΕΛΙΟ ΘΕΣΣΑΛΟΝΙΚΗΣ</t>
  </si>
  <si>
    <t>ΕΙΚΟΣΤΗΣ ΠΕΜΠΤΗΣ ΜΑΡΤΙΟΥ 2</t>
  </si>
  <si>
    <t>2ο ΔΗΜΟΤΙΚΟ ΣΧΟΛΕΙΟ ΕΛΕΥΘΕΡΙΟΥ-ΚΟΡΔΕΛΙΟΥ</t>
  </si>
  <si>
    <t>1ο ΓΕΝΙΚΟ ΛΥΚΕΙΟ ΝΕΑΠΟΛΗΣ ΘΕΣΣΑΛΟΝΙΚΗΣ</t>
  </si>
  <si>
    <t>mail@1lyk-neapol.thess.sch.gr</t>
  </si>
  <si>
    <t>ΜΑΝΟΛΗ ΤΡΙΑΝΤΑΦΥΛΛΙΔΗ (ΠΕΡΙΟΧΗ ΣΤΡΕΜΠΕΝΙΩΤΗ)</t>
  </si>
  <si>
    <t>10ο ΔΗΜΟΤΙΚΟ ΣΧΟΛΕΙΟ ΝΕΑΠΟΛΗΣ</t>
  </si>
  <si>
    <t>2ο ΗΜΕΡΗΣΙΟ ΕΠΑΛ ΕΥΟΣΜΟΥ</t>
  </si>
  <si>
    <t>mail@2epal-evosm.thess.sch.gr</t>
  </si>
  <si>
    <t>ΤΕΡΜΑ ΣΜΥΡΝΗΣ ΕΥΟΣΜΟΣ ΘΕΣΣΑΛΟΝΙΚΗΣ</t>
  </si>
  <si>
    <t>1ο ΗΜΕΡΗΣΙΟ ΕΠΑΛ ΣΤΑΥΡΟΥΠΟΛΗΣ</t>
  </si>
  <si>
    <t>mail@1epal-stavroup.thess.sch.gr</t>
  </si>
  <si>
    <t>ΘΡΑΚΗΣ 4</t>
  </si>
  <si>
    <t>1ο ΗΜΕΡΗΣΙΟ ΓΕΝΙΚΟ ΛΥΚΕΙΟ ΕΥΟΣΜΟΥ ΘΕΣΣΑΛΟΝΙΚΗΣ</t>
  </si>
  <si>
    <t>mail@1lyk-evosm.thess.sch.gr</t>
  </si>
  <si>
    <t>ΝΕΜΕΑΣ ΚΑΙ ΘΑΛΕΙΑΣ</t>
  </si>
  <si>
    <t>15ο ΔΗΜΟΤΙΚΟ ΣΧΟΛΕΙΟ ΕΥΟΣΜΟΥ</t>
  </si>
  <si>
    <t>2ο ΗΜΕΡΗΣΙΟ ΓΕΝΙΚΟ ΛΥΚΕΙΟ ΠΟΛΙΧΝΗΣ ΘΕΣΣΑΛΟΝΙΚΗΣ</t>
  </si>
  <si>
    <t>mail@2lyk-polichn.thess.sch.gr</t>
  </si>
  <si>
    <t>ΛΕΩΦ.ΣΤΡΑΤΟΥ 129</t>
  </si>
  <si>
    <t>4ο ΔΗΜΟΤΙΚΟ ΣΧΟΛΕΙΟ ΠΟΛΙΧΝΗΣ</t>
  </si>
  <si>
    <t>3ο ΗΜΕΡΗΣΙΟ ΓΕΝΙΚΟ ΛΥΚΕΙΟ ΣΤΑΥΡΟΥΠΟΛΗΣ ΘΕΣΣΑΛΟΝΙΚΗΣ</t>
  </si>
  <si>
    <t>mail@3lyk-stavroup.thess.sch.gr</t>
  </si>
  <si>
    <t>ΠΕΡΙΚΛΕΟΥΣ 21</t>
  </si>
  <si>
    <t>1ο ΗΜΕΡΗΣΙΟ ΓΕΝΙΚΟ ΛΥΚΕΙΟ ΕΛΕΥΘΕΡΙΟΥ-ΚΟΡΔΕΛΙΟΥ ΘΕΣΣΑΛΟΝΙΚΗΣ</t>
  </si>
  <si>
    <t>mail@1lyk-el-kordel.thess.sch.gr</t>
  </si>
  <si>
    <t>ΕΛΕΥΘΕΡΙΟΥ-ΚΟΡΔΕΛΙΟΥ ΘΕΣΣΑΛΟΝΙΚΗΣ</t>
  </si>
  <si>
    <t>ΑΛΕΞ.ΠΑΠΑΓΟΥ 40</t>
  </si>
  <si>
    <t>18ο ΔΗΜΟΤΙΚΟ ΣΧΟΛΕΙΟ ΕΥΟΣΜΟΥ</t>
  </si>
  <si>
    <t>ΠΡΟΧΩΜΑΤΟΣ</t>
  </si>
  <si>
    <t>2ο ΗΜΕΡΗΣΙΟ ΓΕΝΙΚΟ ΛΥΚΕΙΟ ΚΟΥΦΑΛΙΩΝ</t>
  </si>
  <si>
    <t>mail@lyk-proch.thess.sch.gr</t>
  </si>
  <si>
    <t>Πρόχωμα</t>
  </si>
  <si>
    <t>ΠΡΟΧΩΜΑ</t>
  </si>
  <si>
    <t>ΔΗΜΟΤΙΚΟ ΣΧΟΛΕΙΟ ΠΡΟΧΩΜΑΤΟΣ</t>
  </si>
  <si>
    <t>ΗΜΕΡΗΣΙΟ ΓΕΝΙΚΟ ΛΥΚΕΙΟ ΚΟΡΩΝΕΙΑΣ ΘΕΣΣΑΛΟΝΙΚΗΣ</t>
  </si>
  <si>
    <t>mail@lyk-lagkad.thess.sch.gr</t>
  </si>
  <si>
    <t>ΛΑΓΚΑΔΙΚΙΑ</t>
  </si>
  <si>
    <t>1ο ΗΜΕΡΗΣΙΟ ΕΠΑΛ ΛΑΓΚΑΔΑ</t>
  </si>
  <si>
    <t>mail@1epal-lagkad.thess.sch.gr</t>
  </si>
  <si>
    <t>1o ΧΙΛ. ΛΑΓΚΑΔΑ-ΧΡΥΣΑΥΓΗΣ</t>
  </si>
  <si>
    <t>ΜΥΓΔΟΝΙΑΣ</t>
  </si>
  <si>
    <t>ΗΜΕΡΗΣΙΟ ΓΕΝΙΚΟ ΛΥΚΕΙΟ ΜΥΓΔΟΝΙΑΣ</t>
  </si>
  <si>
    <t>mail@lyk-drymou.thess.sch.gr</t>
  </si>
  <si>
    <t>Α. ΠΑΠΑΝΔΡΕΟΥ 40</t>
  </si>
  <si>
    <t>ΔΗΜΟΤΙΚΟ ΣΧΟΛΕΙΟ ΔΡΥΜΟΥ ΘΕΣΣΑΛΟΝΙΚΗΣ</t>
  </si>
  <si>
    <t>1ο ΗΜΕΡΗΣΙΟ ΓΕΝΙΚΟ ΛΥΚΕΙΟ ΕΧΕΔΩΡΟΥ</t>
  </si>
  <si>
    <t>mail@lyk-sindou.thess.sch.gr</t>
  </si>
  <si>
    <t>ΣΙΝΔΟΣ ΘΕΣΣΑΛΟΝΙΚΗΣ</t>
  </si>
  <si>
    <t>Κ.ΠΑΛΑΜΑ 1</t>
  </si>
  <si>
    <t>2ο ΗΜΕΡΗΣΙΟ ΓΕΝΙΚΟ ΛΥΚΕΙΟ ΣΥΚΕΩΝ ΘΕΣΣΑΛΟΝΙΚΗΣ - ΦΙΛΙΠΠΟΣ</t>
  </si>
  <si>
    <t>mail@2lyk-sykeon.thess.sch.gr</t>
  </si>
  <si>
    <t>ΣΠΑΡΤΑΚΟΥ 24</t>
  </si>
  <si>
    <t>1ο ΗΜΕΡΗΣΙΟ ΓΕΝΙΚΟ ΛΥΚΕΙΟ ΧΑΛΚΗΔΟΝΑΣ ΘΕΣΣΑΛΟΝΙΚΗΣ</t>
  </si>
  <si>
    <t>mail@lyk-n-chalk.thess.sch.gr</t>
  </si>
  <si>
    <t>ΚΙΜΩΝΟΣ 4</t>
  </si>
  <si>
    <t>3ο ΗΜΕΡΗΣΙΟ ΓΕΝΙΚΟ ΛΥΚΕΙΟ ΕΧΕΔΩΡΟΥ</t>
  </si>
  <si>
    <t>mail@lyk-kaloch.thess.sch.gr</t>
  </si>
  <si>
    <t>ΚΑΛΟΧΩΡΙ ΘΕΣΣΑΛΟΝΙΚΗΣ</t>
  </si>
  <si>
    <t>ΠΡΩΤΟΜΑΓΙΑΣ ΚΑΙ ΙΩΝΙΑΣ</t>
  </si>
  <si>
    <t>2ο ΔΗΜΟΤΙΚΟ ΣΧΟΛΕΙΟ ΚΑΛΟΧΩΡΙΟΥ</t>
  </si>
  <si>
    <t>1ο ΗΜΕΡΗΣΙΟ ΓΕ.Λ. ΣΤΑΥΡΟΥΠΟΛΗΣ ΘΕΣΣΑΛΟΝΙΚΗΣ</t>
  </si>
  <si>
    <t>mail@1lyk-stavroup.thess.sch.gr</t>
  </si>
  <si>
    <t>ΠΕΣΟΝΤΩΝ ΗΡΩΩΝ 2</t>
  </si>
  <si>
    <t>16ο ΔΗΜΟΤΙΚΟ ΣΧΟΛΕΙΟ ΣΤΑΥΡΟΥΠΟΛΗΣ</t>
  </si>
  <si>
    <t>ΠΕΥΚΩΝ</t>
  </si>
  <si>
    <t>1ο ΓΕΝΙΚΟ ΛΥΚΕΙΟ ΠΕΥΚΩΝ ΘΕΣΣΑΛΟΝΙΚΗΣ</t>
  </si>
  <si>
    <t>mail@lyk-pefkon.thess.sch.gr</t>
  </si>
  <si>
    <t>ΠΕΥΚΑ ΘΕΣΣΑΛΟΝΙΚΗΣ</t>
  </si>
  <si>
    <t>ΕΜΜΑΝΟΥΗΛ ΠΑΠΑ ΚΑΙ ΚΑΡΑΤΑΣΟΥ</t>
  </si>
  <si>
    <t>3ο ΔΗΜΟΤΙΚΟ ΣΧΟΛΕΙΟ ΠΕΥΚΩΝ</t>
  </si>
  <si>
    <t>ΠΕΙΡΑΜΑΤΙΚΟ ΓΕΝΙΚΟ ΛΥΚΕΙΟ ΠΑΝΕΠΙΣΤΗΜΙΟΥ ΜΑΚΕΔΟΝΙΑΣ</t>
  </si>
  <si>
    <t>mail@lyk-peir-uom.thess.sch.gr</t>
  </si>
  <si>
    <t>ΣΤΡΑΤΟΠΕΔΟ ΣΤΡΕΜΠΕΝΙΩΤΗ</t>
  </si>
  <si>
    <t>ΕΡΓΑΣΤΗΡΙΑΚΟ ΚΕΝΤΡΟ ΣΤΑΥΡΟΥΠΟΛΗΣ</t>
  </si>
  <si>
    <t>ekstav@sch.gr</t>
  </si>
  <si>
    <t>Σταυρούπολη</t>
  </si>
  <si>
    <t>Ακριτών &amp; Θράκης 4</t>
  </si>
  <si>
    <t>1ο ΕΚ ΛΑΓΚΑΔΑ</t>
  </si>
  <si>
    <t>mail@sek-lagkad.thess.sch.gr</t>
  </si>
  <si>
    <t>2 ΧΛΜ ΛΑΓΚΑΔΑ ΠΡΟΣ ΧΡΥΣΑΥΓΗ</t>
  </si>
  <si>
    <t>5ο ΗΜΕΡΗΣΙΟ ΓΥΜΝΑΣΙΟ ΝΕΑΠΟΛΗΣ ΘΕΣΣΑΛΟΝΙΚΗΣ</t>
  </si>
  <si>
    <t>5gymneap@sch.gr</t>
  </si>
  <si>
    <t>ΝΕΑΠΟΛΗ ΘΕΣΣΑΛΟΝΙΚΗΣ</t>
  </si>
  <si>
    <t>8ο ΔΗΜΟΤΙΚΟ ΣΧΟΛΕΙΟ ΝΕΑΠΟΛΗΣ</t>
  </si>
  <si>
    <t>ΒΑΘΥΛΑΚΚΟΥ</t>
  </si>
  <si>
    <t>ΗΜΕΡΗΣΙΟ ΓΥΜΝΑΣΙΟ ΒΑΘΥΛΑΚΚΟΥ ΘΕΣΣΑΛΟΝΙΚΗΣ</t>
  </si>
  <si>
    <t>mail@gym-vathyl.thess.sch.gr</t>
  </si>
  <si>
    <t>ΒΑΘΥΛΑΚΚΟΣ ΘΕΣΣΑΛΟΝΙΚΗΣ</t>
  </si>
  <si>
    <t>ΛΥΜΠΕΡΗ ΠΑΥΛΙΔΑΚΗ 1</t>
  </si>
  <si>
    <t>ΔΗΜΟΤΙΚΟ ΣΧΟΛΕΙΟ ΒΑΘΥΛΑΚΟΥ</t>
  </si>
  <si>
    <t>2ο ΗΜΕΡΗΣΙΟ ΓΥΜΝΑΣΙΟ ΧΑΛΚΗΔΟΝΑΣ</t>
  </si>
  <si>
    <t>mail@gym-adendr.thess.sch.gr</t>
  </si>
  <si>
    <t>ΑΔΕΝΔΡΟ ΘΕΣΣΑΛΟΝΙΚΗΣ</t>
  </si>
  <si>
    <t>3ο ΗΜΕΡΗΣΙΟ ΓΥΜΝΑΣΙΟ ΣΥΚΕΩΝ ΘΕΣΣΑΛΟΝΙΚΗΣ</t>
  </si>
  <si>
    <t>mail@3gym-sykeon.thess.sch.gr</t>
  </si>
  <si>
    <t>ΣΥΚΙΕΣ ΘΕΣΣΑΛΟΝΙΚΗΣ</t>
  </si>
  <si>
    <t>ΟΔΥΣΣΕΑ ΦΩΚΑ 17</t>
  </si>
  <si>
    <t>2ο ΗΜΕΡΗΣΙΟ ΓΥΜΝΑΣΙΟ ΑΓΙΟΥ ΑΘΑΝΑΣΙΟΥ</t>
  </si>
  <si>
    <t>mail@gym-n-mesimvr.thess.sch.gr</t>
  </si>
  <si>
    <t>Ν.ΜΕΣΗΜΒΡΙΑ ΘΕΣΣΑΛΟΝΙΚΗΣ</t>
  </si>
  <si>
    <t>ΚΥΡΙΑΚΟΥ ΔΑΜΑΣΚΟΥ 4</t>
  </si>
  <si>
    <t>3ο ΗΜΕΡΗΣΙΟ ΓΥΜΝΑΣΙΟ ΣΤΑΥΡΟΥΠΟΛΗΣ ΘΕΣΣΑΛΟΝΙΚΗΣ</t>
  </si>
  <si>
    <t>3gymstav@sch.gr</t>
  </si>
  <si>
    <t>ΣΤΑΥΡΟΥΠΟΛΗ  ΘΕΣΣΑΛΟΝΙΚΗΣ</t>
  </si>
  <si>
    <t>ΓΡ.ΛΑΜΠΡΑΚΗ 26</t>
  </si>
  <si>
    <t>1ο ΔΗΜΟΤΙΚΟ ΣΧΟΛΕΙΟ ΣΤΑΥΡΟΥΠΟΛΗΣ</t>
  </si>
  <si>
    <t>2ο ΗΜΕΡΗΣΙΟ ΓΥΜΝΑΣΙΟ ΠΟΛΙΧΝΗΣ ΘΕΣΣΑΛΟΝΙΚΗΣ</t>
  </si>
  <si>
    <t>mail@2gym-polichn.thess.sch.gr</t>
  </si>
  <si>
    <t>4ο ΗΜΕΡΗΣΙΟ ΓΥΜΝΑΣΙΟ ΝΕΑΠΟΛΗΣ ΘΕΣΣΑΛΟΝΙΚΗΣ - 1901133</t>
  </si>
  <si>
    <t>4gymneap@sch.gr</t>
  </si>
  <si>
    <t>1ο ΗΜΕΡΗΣΙΟ ΓΥΜΝΑΣΙΟ ΛΑΓΚΑΔΑ ΘΕΣΣΑΛΟΝΙΚΗΣ</t>
  </si>
  <si>
    <t>mail@1gym-lagkad.thess.sch.gr</t>
  </si>
  <si>
    <t>ΛΟΥΤΡΩΝ 57</t>
  </si>
  <si>
    <t>2ο ΔΗΜΟΤΙΚΟ ΣΧΟΛΕΙΟ ΛΑΓΚΑΔΑ</t>
  </si>
  <si>
    <t>2ο ΗΜΕΡΗΣΙΟ ΓΥΜΝΑΣΙΟ ΑΜΠΕΛΟΚΗΠΩΝ ΘΕΣΣΑΛΟΝΙΚΗΣ - ΜΑΝΩΛΗΣ ΑΝΔΡΟΝΙΚΟΣ</t>
  </si>
  <si>
    <t>mail@2gym-ampel.thess.sch.gr</t>
  </si>
  <si>
    <t>ΝΙΚ. ΠΛΑΣΤΗΡΑ 54</t>
  </si>
  <si>
    <t>3ο ΗΜΕΡΗΣΙΟ ΓΥΜΝΑΣΙΟ ΕΧΕΔΩΡΟΥ</t>
  </si>
  <si>
    <t>mail@gym-kaloch.thess.sch.gr</t>
  </si>
  <si>
    <t>ΚΟΙΜΗΤΗΡΙΩΝ 3</t>
  </si>
  <si>
    <t>ΚΟΛΧΙΚΟΥ</t>
  </si>
  <si>
    <t>3ο ΗΜΕΡΗΣΙΟ ΓΥΜΝΑΣΙΟ ΛΑΓΚΑΔΑ ΘΕΣΣΑΛΟΝΙΚΗΣ - ΛΥΚΕΙΑΚΕΣ ΤΑΞΕΙΣ</t>
  </si>
  <si>
    <t>mail@gym-kolch.thess.sch.gr</t>
  </si>
  <si>
    <t>ΛΑΓΚΑΔΑ ΘΕΣΣΑΛΟΝΙΚΗΣ</t>
  </si>
  <si>
    <t>ΚΟΛΧΙΚΟ  ΛΑΓΚΑΔΑ</t>
  </si>
  <si>
    <t>ΚΟΛΧΙΚΟ</t>
  </si>
  <si>
    <t>ΔΗΜΟΤΙΚΟ ΣΧΟΛΕΙΟ ΚΟΛΧΙΚΟΥ</t>
  </si>
  <si>
    <t>1ο ΗΜΕΡΗΣΙΟ ΓΥΜΝΑΣΙΟ ΩΡΑΙΟΚΑΣΤΡΟΥ ΘΕΣΣΑΛΟΝΙΚΗΣ</t>
  </si>
  <si>
    <t>mail@gym-oraiok.thess.sch.gr</t>
  </si>
  <si>
    <t>25ης  ΜΑΡΤΙΟΥ 2</t>
  </si>
  <si>
    <t>2ο ΗΜΕΡΗΣΙΟ ΓΥΜΝΑΣΙΟ ΣΥΚΕΩΝ ΘΕΣΣΑΛΟΝΙΚΗΣ</t>
  </si>
  <si>
    <t>mail@2gym-sykeon.thess.sch.gr</t>
  </si>
  <si>
    <t>2ο ΗΜΕΡΗΣΙΟ ΓΥΜΝΑΣΙΟ ΕΥΟΣΜΟΥ ΘΕΣΣΑΛΟΝΙΚΗΣ - ΙΩΑΝΝΗΣ ΚΑΚΡΙΔΗΣ</t>
  </si>
  <si>
    <t>mail@2gym-evosm.thess.sch.gr</t>
  </si>
  <si>
    <t>ΜΕΣΟΛΟΓΓΙΟΥ 65</t>
  </si>
  <si>
    <t>4ο ΔΗΜΟΤΙΚΟ ΣΧΟΛΕΙΟ ΕΥΟΣΜΟΥ</t>
  </si>
  <si>
    <t>1ο ΗΜΕΡΗΣΙΟ ΕΠΑΛ ΕΛΕΥΘΕΡΙΟΥ - ΚΟΡΔΕΛΙΟΥ</t>
  </si>
  <si>
    <t>mail@1epal-kordel.thess.sch.gr</t>
  </si>
  <si>
    <t>ΕΛΕΥΘΕΡΙΟΥ - ΚΟΡΔΕΛΙΟΥ</t>
  </si>
  <si>
    <t>ΑΛΕΞΑΝΔΡΟΥ ΠΑΠΑΓΟΥ 40</t>
  </si>
  <si>
    <t>ΑΣΣΗΡΟΥ</t>
  </si>
  <si>
    <t>ΓΥΜΝΑΣΙΟ ΑΣΣΗΡΟΥ</t>
  </si>
  <si>
    <t>mail@gym-assir.thess.sch.gr</t>
  </si>
  <si>
    <t>ΑΣΣΗΡΟΣ</t>
  </si>
  <si>
    <t>ΔΗΜΟΤΙΚΟ ΣΧΟΛΕΙΟ ΑΣΣΗΡΟΥ</t>
  </si>
  <si>
    <t>ΠΡΟΦΗΤΟΥ</t>
  </si>
  <si>
    <t>ΗΜΕΡΗΣΙΟ ΓΥΜΝΑΣΙΟ ΕΓΝΑΤΙΑΣ</t>
  </si>
  <si>
    <t>mail@gym-profit.thess.sch.gr</t>
  </si>
  <si>
    <t>ΠΡΟΦΗΤΗΣ</t>
  </si>
  <si>
    <t>ΔΗΜΟΤΙΚΟ ΣΧΟΛΕΙΟ ΠΡΟΦΗΤΗ - ΕΓΝΑΤΙΑΣ</t>
  </si>
  <si>
    <t>ΗΜΕΡΗΣΙΟ ΓΥΜΝΑΣΙΟ ΜΥΓΔΟΝΙΑΣ</t>
  </si>
  <si>
    <t>mail@gym-drimou.thess.sch.gr</t>
  </si>
  <si>
    <t>ΔΡΥΜΟΥ ΘΕΣΣΑΛΟΝΙΚΗΣ</t>
  </si>
  <si>
    <t>4ο ΗΜΕΡΗΣΙΟ ΓΥΜΝΑΣΙΟ ΠΟΛΙΧΝΗΣ ΘΕΣΣΑΛΟΝΙΚΗΣ</t>
  </si>
  <si>
    <t>mail@4gym-polichn.thess.sch.gr</t>
  </si>
  <si>
    <t>ΑΡΧΗ  ΚΗΦΙΣΙΑΣ</t>
  </si>
  <si>
    <t>1ο ΓΥΜΝΑΣΙΟ ΚΟΥΦΑΛΙΩΝ</t>
  </si>
  <si>
    <t>mail@gym-koufal.thess.sch.gr</t>
  </si>
  <si>
    <t>ΘΕΜΙΣΤΟΚΛΕΟΥΣ 58</t>
  </si>
  <si>
    <t>3ο ΗΜΕΡΗΣΙΟ ΓΥΜΝΑΣΙΟ ΕΛΕΥΘΕΡΙΟΥ ΚΟΡΔΕΛΙΟΥ ΘΕΣΣΑΛΟΝΙΚΗΣ</t>
  </si>
  <si>
    <t>mail@3gym-el-kordel.thess.sch.gr</t>
  </si>
  <si>
    <t>ΕΛΕΥΘΕΡΙΟ ΚΟΡΔΕΛΙΟ</t>
  </si>
  <si>
    <t>ΔΑΒΑΚΗ 18</t>
  </si>
  <si>
    <t>5ο ΗΜΕΡΗΣΙΟ ΓΥΜΝΑΣΙΟ ΣΤΑΥΡΟΥΠΟΛΗΣ ΘΕΣΣΑΛΟΝΙΚΗΣ</t>
  </si>
  <si>
    <t>mail@5gym-stavroup.thess.sch.gr</t>
  </si>
  <si>
    <t>ΠΕΡΙΚΛΕΟΥΣ ΚΑΙ ΔΕΚΑΕΠΤΑ ΝΟΕΜΒΡΗ</t>
  </si>
  <si>
    <t>1ο ΗΜΕΡΗΣΙΟ ΓΥΜΝΑΣΙΟ ΑΜΠΕΛΟΚΗΠΩΝ ΘΕΣΣΑΛΟΝΙΚΗΣ - ΟΔΥΣΣΕΑΣ ΕΛΥΤΗΣ</t>
  </si>
  <si>
    <t>mail@1gym-ampel.thess.sch.gr</t>
  </si>
  <si>
    <t>ΝΙΚΟΛΑΟΥ ΠΛΑΣΤΗΡΑ 54</t>
  </si>
  <si>
    <t>1ο ΗΜΕΡΗΣΙΟ ΓΥΜΝΑΣΙΟ ΣΤΑΥΡΟΥΠΟΛΗΣ ΘΕΣΣΑΛΟΝΙΚΗΣ</t>
  </si>
  <si>
    <t>mail@1gym-stavroup.thess.sch.gr</t>
  </si>
  <si>
    <t>ΣΤΑΥΡΟΥΠΟΛΗ -  ΘΕΣΣΑΛΟΝΙΚΗ</t>
  </si>
  <si>
    <t>1ο ΗΜΕΡΗΣΙΟ ΓΥΜΝΑΣΙΟ ΕΥΟΣΜΟΥ ΘΕΣΣΑΛΟΝΙΚΗΣ - ΑΡΧΕΛΑΟΣ</t>
  </si>
  <si>
    <t>mail@1gym-evosm.thess.sch.gr</t>
  </si>
  <si>
    <t>ΕΙΚΟΣΤΗΣ ΟΓΔΟΗΣ  ΟΚΤΩΒΡΙΟΥ 2</t>
  </si>
  <si>
    <t>1ο ΔΗΜΟΤΙΚΟ ΣΧΟΛΕΙΟ ΕΥΟΣΜΟΥ</t>
  </si>
  <si>
    <t>ΝΕΟΧΩΡΟΥΔΑΣ</t>
  </si>
  <si>
    <t>ΗΜΕΡΗΣΙΟ ΓΥΜΝΑΣΙΟ ΚΑΛΛΙΘΕΑΣ</t>
  </si>
  <si>
    <t>mail@gym-neoch-pental.thess.sch.gr</t>
  </si>
  <si>
    <t>ΝΕΟΧΩΡΟΥΔΑ  ΘΕΣΣΑΛΟΝΙΚΗΣ</t>
  </si>
  <si>
    <t>ΝΕΟΧΩΡΟΥΔΑ ΘΕΣΣΑΛΟΝΙΚΗΣ</t>
  </si>
  <si>
    <t>ΝΕΟΧΩΡΟΥΔΑ</t>
  </si>
  <si>
    <t>ΔΗΜΟΤΙΚΟ ΣΧΟΛΕΙΟ ΝΕΟΧΩΡΟΥΔΑΣ</t>
  </si>
  <si>
    <t>ΠΕΙΡΑΜΑΤΙΚΟ ΓΥΜΝΑΣΙΟ ΠΑΝΕΠΙΣΤΗΜΙΟΥ ΜΑΚΕΔΟΝΙΑΣ</t>
  </si>
  <si>
    <t>mail@gym-peir-uom.thess.sch.gr</t>
  </si>
  <si>
    <t>ΠΕΡΙΟΧΗ ΣΤΡΕΜΠΕΝΙΩΤΗ</t>
  </si>
  <si>
    <t>1ο ΗΜΕΡΗΣΙΟ ΓΥΜΝΑΣΙΟ ΜΕΝΕΜΕΝΗΣ ΘΕΣΣΑΛΟΝΙΚΗΣ - ΙΦΙΓΕΝΕΙΑ ΧΡΥΣΟΧΟΟΥ</t>
  </si>
  <si>
    <t>mail@1gym-menem.thess.sch.gr</t>
  </si>
  <si>
    <t>AMΠΕΛΟΚΗΠΩΝ-ΜΕΝΕΜΕΝΗΣ ΘΕΣΣΑΛΟΝΙΚΗΣ</t>
  </si>
  <si>
    <t>Ν. ΚΟΥΝΤΟΥΡΙΩΤΟΥ 33</t>
  </si>
  <si>
    <t>1ο ΗΜΕΡΗΣΙΟ ΓΥΜΝΑΣΙΟ ΧΑΛΑΣΤΡΑΣ ΘΕΣΣΑΛΟΝΙΚΗΣ</t>
  </si>
  <si>
    <t>mail@gym-chalastr.thess.sch.gr</t>
  </si>
  <si>
    <t>2ο ΗΜΕΡΗΣΙΟ ΓΥΜΝΑΣΙΟ ΣΤΑΥΡΟΥΠΟΛΗ ΘΕΣΣΑΛΟΝΙΚΗΣ</t>
  </si>
  <si>
    <t>mail@2gym-stavroup.thess.sch.gr</t>
  </si>
  <si>
    <t>ΠΑΠΑΝΙΚΟΛΗ 42</t>
  </si>
  <si>
    <t>8ο ΔΗΜΟΤΙΚΟ ΣΧΟΛΕΙΟ ΣΤΑΥΡΟΥΠΟΛΗΣ</t>
  </si>
  <si>
    <t>2ο ΗΜΕΡΗΣΙΟ ΓΥΜΝΑΣΙΟ ΚΟΥΦΑΛΙΩΝ ΘΕΣΣΑΛΟΝΙΚΗΣ</t>
  </si>
  <si>
    <t>mail@gym-proch.thess.sch.gr</t>
  </si>
  <si>
    <t>4ο ΓΥΜΝΑΣΙΟ ΣΥΚΕΩΝ</t>
  </si>
  <si>
    <t>mail@4gym-sykeon.thess.sch.gr</t>
  </si>
  <si>
    <t>ΗΡΩΩΝ ΠΟΛΥΤΕΧΝΕΙΟΥ ΚΑΙ ΓΙΑΝΝΗ ΡΙΤΣΟΥ 2</t>
  </si>
  <si>
    <t>1ο ΗΜΕΡΗΣΙΟ ΓΥΜΝΑΣΙΟ ΠΟΛΙΧΝΗΣ ΘΕΣΣΑΛΟΝΙΚΗΣ</t>
  </si>
  <si>
    <t>mail@1gym-polichn.thess.sch.gr</t>
  </si>
  <si>
    <t>ΠΟΛΙΧΝΗΣ ΘΕΣΣΑΛΟΝΙΚΗΣ</t>
  </si>
  <si>
    <t>ΣΤΑΔΙΟΥ ΚΑΙ ΣΧΟΛΕΙΟΥ 1</t>
  </si>
  <si>
    <t>1ο ΔΗΜΟΤΙΚΟ ΣΧΟΛΕΙΟ ΠΟΛΙΧΝΗΣ</t>
  </si>
  <si>
    <t>1ο ΗΜΕΡΗΣΙΟ ΓΥΜΝΑΣΙΟ ΣΥΚΕΩΝ "ΟΔΥΣΣΕΑΣ ΦΩΚΑΣ"</t>
  </si>
  <si>
    <t>mail@1gym-sykeon.thess.sch.gr</t>
  </si>
  <si>
    <t>ΔΗΜΗΤΡΙΟΥ ΓΛΗΝΟΥ 13</t>
  </si>
  <si>
    <t>4ο ΗΜΕΡΗΣΙΟ ΓΥΜΝΑΣΙΟ ΑΜΠΕΛΟΚΗΠΩΝ ΘΕΣΣΑΛΟΝΙΚΗΣ - ΝΙΚΟΣ ΚΑΖΑΝΤΖΑΚΗΣ</t>
  </si>
  <si>
    <t>mail@4gym-ampel.thess.sch.gr</t>
  </si>
  <si>
    <t>ΕΘΝΙΚΗΣ ΑΝΤΙΣΤΑΣΗΣ 57</t>
  </si>
  <si>
    <t>4ο ΔΗΜΟΤΙΚΟ ΣΧΟΛΕΙΟ ΑΜΠΕΛΟΚΗΠΩΝ</t>
  </si>
  <si>
    <t>2ο ΗΜΕΡΗΣΙΟ ΓΥΜΝΑΣΙΟ ΩΡΑΙΟΚΑΣΤΡΟΥ ΘΕΣΣΑΛΟΝΙΚΗΣ - ΑΛΕΞΑΝΔΡΟΣ ΥΨΗΛΑΝΤΗΣ</t>
  </si>
  <si>
    <t>mail@2gym-oraiok.thess.sch.gr</t>
  </si>
  <si>
    <t>ΟΔΥΣΣΕΑ ΕΛΥΤΗ 19</t>
  </si>
  <si>
    <t>ΛΑΧΑΝΑ</t>
  </si>
  <si>
    <t>ΞΥΛΟΠΟΛΕΩΣ</t>
  </si>
  <si>
    <t>ΗΜΕΡΗΣΙΟ ΓΥΜΝΑΣΙΟ ΛΑΧΑΝΑ</t>
  </si>
  <si>
    <t>mail@gym-xyloup.thess.sch.gr</t>
  </si>
  <si>
    <t>ΞΥΛΟΠΟΛΗ ΘΕΣΣΑΛΟΝΙΚΗΣ</t>
  </si>
  <si>
    <t>ΞΥΛΟΠΟΛΗ</t>
  </si>
  <si>
    <t>ΔΗΜΟΤΙΚΟ ΣΧΟΛΕΙΟ ΞΥΛΟΠΟΛΗΣ</t>
  </si>
  <si>
    <t>3ο ΗΜΕΡΗΣΙΟ ΓΥΜΝΑΣΙΟ ΠΟΛΙΧΝΗΣ ΘΕΣΣΑΛΟΝΙΚΗΣ</t>
  </si>
  <si>
    <t>mail@3gym-polichn.thess.sch.gr</t>
  </si>
  <si>
    <t>ΔΙΑΒΑΤΩΝ</t>
  </si>
  <si>
    <t>2ο ΗΜΕΡΗΣΙΟ ΓΥΜΝΑΣΙΟ ΕΧΕΔΩΡΟΥ ΘΕΣΣΑΛΟΝΙΚΗΣ</t>
  </si>
  <si>
    <t>mail@gym-diavat.thess.sch.gr</t>
  </si>
  <si>
    <t>ΔΙΑΒΑΤΑ ΘΕΣΣΑΛΟΝΙΚΗΣ</t>
  </si>
  <si>
    <t>ΑΓΙΟΥ ΓΕΩΡΓΙΟΥ 8</t>
  </si>
  <si>
    <t>3ο ΔΗΜΟΤΙΚΟ ΣΧΟΛΕΙΟ ΔΙΑΒΑΤΩΝ</t>
  </si>
  <si>
    <t>ΔΙΑΠΟΛΙΤΙΣΜΙΚΟ ΓΥΜΝΑΣΙΟ ΕΥΟΣΜΟΥ</t>
  </si>
  <si>
    <t>gymdiape@sch.gr</t>
  </si>
  <si>
    <t>ΚΟΛΟΚΟΤΡΩΝΗ ΚΑΙ ΕΡΩΤΟΚΡΙΤΟΥ,</t>
  </si>
  <si>
    <t>ΓΕΦΥΡΑΣ</t>
  </si>
  <si>
    <t>3ο ΗΜΕΡΗΣΙΟ ΓΥΜΝΑΣΙΟ ΑΓΙΟΥ ΑΘΑΝΑΣΙΟΥ</t>
  </si>
  <si>
    <t>mail@gym-gefyr.thess.sch.gr</t>
  </si>
  <si>
    <t>ΓΕΦΥΡΑ</t>
  </si>
  <si>
    <t>ΓΕΦΥΡΑ -ΘΕΣ/ΝΙΚΗΣ</t>
  </si>
  <si>
    <t>ΔΗΜΟΤΙΚΟ ΣΧΟΛΕΙΟ ΓΕΦΥΡΑΣ</t>
  </si>
  <si>
    <t>2ο ΗΜΕΡΗΣΙΟ ΓΥΜΝΑΣΙΟ ΧΑΛΑΣΤΡΑΣ ΘΕΣΣΑΛΟΝΙΚΗΣ</t>
  </si>
  <si>
    <t>mail@gym-anatol.thess.sch.gr</t>
  </si>
  <si>
    <t>ΑΝΑΤΟΛΙΚΟ ΘΕΣΣΑΛΟΝΙΚΗΣ</t>
  </si>
  <si>
    <t>ΔΗΜΟΤΙΚΟ ΣΧΟΛΕΙΟ ΑΝΑΤΟΛΙΚΟΥ ¨ Η ΒΑΛΜΑΔΑ ¨</t>
  </si>
  <si>
    <t>1ο ΗΜΕΡΗΣΙΟ ΓΥΜΝΑΣΙΟ ΠΕΥΚΩΝ ΘΕΣΣΑΛΟΝΙΚΗΣ (ΚΩΔ. 1909018)</t>
  </si>
  <si>
    <t>mail@gym-pefkon.thess.sch.gr</t>
  </si>
  <si>
    <t>ΠΕΥΚΑ</t>
  </si>
  <si>
    <t>ΑΓ. ΓΕΩΡΓΙΟΥ ΚΑΙ ΤΡΙΩΝ ΙΕΡΑΡΧΩΝ</t>
  </si>
  <si>
    <t>4ο ΔΗΜΟΤΙΚΟ ΣΧΟΛΕΙΟ ΠΕΥΚΩΝ</t>
  </si>
  <si>
    <t>ΗΜΕΡΗΣΙΟ ΓΥΜΝΑΣΙΟ ΑΞΙΟΥ ΘΕΣΣΑΛΟΝΙΚΗΣ</t>
  </si>
  <si>
    <t>mail@gym-kymin.thess.sch.gr</t>
  </si>
  <si>
    <t>Κύμινα</t>
  </si>
  <si>
    <t>ΚΥΜΙΝΑ</t>
  </si>
  <si>
    <t>4ο ΗΜΕΡΗΣΙΟ ΓΥΜΝΑΣΙΟ ΕΥΟΣΜΟΥ ΘΕΣΣΑΛΟΝΙΚΗΣ</t>
  </si>
  <si>
    <t>mail@4gym-evosm.thess.sch.gr</t>
  </si>
  <si>
    <t>Χαριλάου  Τρικούπη 26</t>
  </si>
  <si>
    <t>3ο ΗΜΕΡΗΣΙΟ ΓΥΜΝΑΣΙΟ ΑΜΠΕΛΟΚΗΠΩΝ ΘΕΣΣΑΛΟΝΙΚΗΣ - ΜΑΝΟΥΗΛ ΠΑΝΣΕΛΗΝΟΣ</t>
  </si>
  <si>
    <t>mail@3gym-ampel.thess.sch.gr</t>
  </si>
  <si>
    <t>Γ.ΓΕΝΝΗΜΑΤΑ 52</t>
  </si>
  <si>
    <t>7ο ΔΗΜΟΤΙΚΟ ΣΧΟΛΕΙΟ ΑΜΠΕΛΟΚΗΠΩΝ</t>
  </si>
  <si>
    <t>6ο ΗΜΕΡΗΣΙΟ ΓΥΜΝΑΣΙΟ ΣΤΑΥΡΟΥΠΟΛΗΣ</t>
  </si>
  <si>
    <t>mail@6gym-stavroup.thess.sch.gr</t>
  </si>
  <si>
    <t>Κ.ΠΑΛΑΙΟΛΟΓΟΥ ΚΑΙ ΜΑΝΔΗΛΑΡΑ</t>
  </si>
  <si>
    <t>18ο ΔΗΜΟΤΙΚΟ ΣΧΟΛΕΙΟ ΣΤΑΥΡΟΥΠΟΛΗΣ</t>
  </si>
  <si>
    <t>ΕΣΠΕΡΙΝΟ ΓΥΜΝΑΣΙΟ ΑΜΠΕΛΟΚΗΠΩΝ ΘΕΣΣΑΛΟΝΙΚΗΣ - ΠΗΝΕΛΟΠΗ ΔΕΛΤΑ</t>
  </si>
  <si>
    <t>mail@gym-esp-ampel.thess.sch.gr</t>
  </si>
  <si>
    <t>ΑΜΠΕΛΟΚΗΠΟΙ - ΘΕΣΣΑΛΟΝΙΚΗ</t>
  </si>
  <si>
    <t>Γ. ΓΕΝΝΗΜΑΤΑ 52</t>
  </si>
  <si>
    <t>5ο ΗΜΕΡΗΣΙΟ ΓΥΜΝΑΣΙΟ ΕΥΟΣΜΟΥ ΘΕΣΣΑΛΟΝΙΚΗΣ</t>
  </si>
  <si>
    <t>mail@5gym-evosm.thess.sch.gr</t>
  </si>
  <si>
    <t>ΕΥΟΣΜΟΥ ΘΕΣΣΑΛΟΝΙΚΗΣ</t>
  </si>
  <si>
    <t>ΠΥΘΑΓΟΡΑ-ΜΑΒΙΛΗ 3</t>
  </si>
  <si>
    <t>2ο ΔΗΜΟΤΙΚΟ ΣΧΟΛΕΙΟ ΕΥΟΣΜΟΥ</t>
  </si>
  <si>
    <t>2ο ΗΜΕΡΗΣΙΟ ΓΥΜΝΑΣΙΟ ΕΛΕΥΘΕΡΙΟΥ ΚΟΡΔΕΛΙΟΥ ΘΕΣΣΑΛΟΝΙΚΗΣ</t>
  </si>
  <si>
    <t>mail@2gym-el-kordel.thess.sch.gr</t>
  </si>
  <si>
    <t>ΕΛΕΥΘΕΡΙΟΥ ΚΟΡΔΕΛΙΟΥ ΘΕΣΣ</t>
  </si>
  <si>
    <t>1ο ΗΜΕΡΗΣΙΟ ΓΥΜΝΑΣΙΟ ΕΧΕΔΩΡΟΥ ΘΕΣΣΑΛΟΝΙΚΗΣ</t>
  </si>
  <si>
    <t>mail@gym-sindou.thess.sch.gr</t>
  </si>
  <si>
    <t>1ο ΔΗΜΟΤΙΚΟ ΣΧΟΛΕΙΟ ΣΙΝΔΟΥ</t>
  </si>
  <si>
    <t>2ο ΗΜΕΡΗΣΙΟ ΓΥΜΝΑΣΙΟ ΛΑΓΚΑΔΑΣ ΘΕΣΣΑΛΟΝΙΚΗΣ</t>
  </si>
  <si>
    <t>mail@2gym-lagkad.thess.sch.gr</t>
  </si>
  <si>
    <t>ΛΑΓΚΑΔΑΣ  ΘΕΣΣΑΛΟΝΙΚΗΣ</t>
  </si>
  <si>
    <t>1ο ΗΜΕΡΗΣΙΟ ΓΥΜΝΑΣΙΟ ΝΕΑΠΟΛΗΣ ΘΕΣΣΑΛΟΝΙΚΗΣ</t>
  </si>
  <si>
    <t>1gymneap@sch.gr</t>
  </si>
  <si>
    <t>ΣΤΡΑΤΟΠΕΔΟ ΣΤΡΕΜΠΕΝΙΩΤΗ ΝΕΑΠΟΛΗ</t>
  </si>
  <si>
    <t>3ο ΗΜΕΡΗΣΙΟ ΓΥΜΝΑΣΙΟ ΝΕΑΠΟΛΗΣ ΘΕΣΣΑΛΟΝΙΚΗΣ</t>
  </si>
  <si>
    <t>mail@3gym-neapol.thess.sch.gr</t>
  </si>
  <si>
    <t>4ο ΗΜΕΡΗΣΙΟ ΓΥΜΝΑΣΙΟ ΣΤΑΥΡΟΥΠΟΛΗΣ</t>
  </si>
  <si>
    <t>mail@4gym-stavroup.thess.sch.gr</t>
  </si>
  <si>
    <t>ΧΑΝΙ ΓΡΑΒΙΑΣ 4</t>
  </si>
  <si>
    <t>9ο ΔΗΜΟΤΙΚΟ ΣΧΟΛΕΙΟ ΣΤΑΥΡΟΥΠΟΛΗΣ</t>
  </si>
  <si>
    <t>1ο ΗΜΕΡΗΣΙΟ ΓΥΜΝΑΣΙΟ ΑΓΙΟΥ ΑΘΑΝΑΣΙΟΥ</t>
  </si>
  <si>
    <t>mail@gym-ag-athan.thess.sch.gr</t>
  </si>
  <si>
    <t>Λ. ΑΘΗΝΩΝ  25Γ</t>
  </si>
  <si>
    <t>2ο ΓΕΝΙΚΟ ΛΥΚΕΙΟ ΝΕΑΠΟΛΗΣ ΘΕΣΣΑΛΟΝΙΚΗΣ</t>
  </si>
  <si>
    <t>2lykneap@sch.gr</t>
  </si>
  <si>
    <t>ΝΕΑΣ ΜΑΓΝΗΣΙΑΣ</t>
  </si>
  <si>
    <t>2ο ΗΜΕΡΗΣΙΟ ΓΕΝΙΚΟ ΛΥΚΕΙΟ ΕΧΕΔΩΡΟΥ ΘΕΣΣΑΛΟΝΙΚΗΣ</t>
  </si>
  <si>
    <t>mail@lyk-diavat.thess.sch.gr</t>
  </si>
  <si>
    <t>Ν.ΜΑΓΝΗΣΙΑ  ΘΕΣΣΑΛΟΝΙΚΗΣ</t>
  </si>
  <si>
    <t>ΚΟΥΝΤΟΥΡΙΩΤΗ 2</t>
  </si>
  <si>
    <t>1ο ΔΗΜΟΤΙΚΟ ΣΧΟΛΕΙΟ ΝΕΑΣ ΜΑΓΝΗΣΙΑΣ</t>
  </si>
  <si>
    <t>3ο ΗΜΕΡΗΣΙΟ ΓΥΜΝΑΣΙΟ ΜΕΝΕΜΕΝΗΣ-ΛΥΚΕΙΑΚΕΣ ΤΑΞΕΙΣ</t>
  </si>
  <si>
    <t>mail@3gym-menem.thess.sch.gr</t>
  </si>
  <si>
    <t>ΜΕΝΕΜΕΝΗ ΘΕΣΣΑΛΟΝΙΚΗΣ</t>
  </si>
  <si>
    <t>ΚΩΝΣΤΑΝΤΙΝΟΥΠΟΛΕΩΣ 58</t>
  </si>
  <si>
    <t>2ο ΗΜΕΡΗΣΙΟ ΓΥΜΝΑΣΙΟ ΝΕΑΠΟΛΗΣ ΘΕΣΣΑΛΟΝΙΚΗΣ</t>
  </si>
  <si>
    <t>mail@2gym-neapol.thess.sch.gr</t>
  </si>
  <si>
    <t>3ο ΗΜΕΡΗΣΙΟ ΓΥΜΝΑΣΙΟ ΕΥΟΣΜΟΥ</t>
  </si>
  <si>
    <t>mail@3gym-evosm.thess.sch.gr</t>
  </si>
  <si>
    <t>ΧΑΡΙΛΑΟΥ   ΤΡΙΚΟΥΠΗ 26</t>
  </si>
  <si>
    <t>ΑΡΕΘΟΥΣΑΣ</t>
  </si>
  <si>
    <t>ΗΜΕΡΗΣΙΟ ΓΥΜΝΑΣΙΟ ΑΡΕΘΟΥΣΑΣ ΘΕΣΣΑΛΟΝΙΚΗΣ</t>
  </si>
  <si>
    <t>mail@gym-areth.thess.sch.gr</t>
  </si>
  <si>
    <t>ΑΡΕΘΟΥΣΑΣ ΘΕΣΣΑΛΟΝΙΚΗΣ</t>
  </si>
  <si>
    <t>ΑΡΕΘΟΥΣΑ</t>
  </si>
  <si>
    <t>ΔΗΜΟΤΙΚΟ ΣΧΟΛΕΙΟ ΑΡΕΘΟΥΣΑΣ</t>
  </si>
  <si>
    <t>1ο ΗΜΕΡΗΣΙΟ ΓΥΜΝΑΣΙΟ ΕΛΕΥΘΕΡΙΟΥ-ΚΟΡΔΕΛΙΟΥ ΘΕΣΣΑΛΟΝΙΚΗΣ</t>
  </si>
  <si>
    <t>mail@1gym-el-kordel.thess.sch.gr</t>
  </si>
  <si>
    <t>ΕΛΕΥΘΕΡΙΟΥ-ΚΟΡΔΕΛΙΟΥ ΘΕΣΣ</t>
  </si>
  <si>
    <t>ΑΛ. ΠΑΠΑΓΟΥ 40</t>
  </si>
  <si>
    <t>ΕΣΠΕΡΙΝΟ ΕΠΑΛ ΣΤΑΥΡΟΥΠΟΛΗ ΘΕΣΣΑΛΟΝΙΚΗΣ - ΕΣΠΕΡΙΝΟ ΕΠΑΛ ΣΤΑΥΡΟΥΠΟΛΗΣ</t>
  </si>
  <si>
    <t>mail@epal-esp-stavroup.thess.sch.gr</t>
  </si>
  <si>
    <t>2ο ΔΗΜΟΤΙΚΟ ΣΧΟΛΕΙΟ ΣΤΑΥΡΟΥΠΟΛΗΣ</t>
  </si>
  <si>
    <t>ΓΕΝΙΚΟ ΛΥΚΕΙΟ ΑΣΣΗΡΟΥ</t>
  </si>
  <si>
    <t>mail@lyk-assir.thess.sch.gr</t>
  </si>
  <si>
    <t>ʼσσηρος</t>
  </si>
  <si>
    <t>ΗΜΕΡΗΣΙΟ ΓΕΝΙΚΟ ΛΥΚΕΙΟ ΚΑΛΛΙΘΕΑΣ ΘΕΣΣΑΛΟΝΙΚΗΣ</t>
  </si>
  <si>
    <t>mail@lyk-kallith.thess.sch.gr</t>
  </si>
  <si>
    <t>ΕΚ ΣΙΝΔΟΣ - ΕΚ ΣΙΝΔΟΥ</t>
  </si>
  <si>
    <t>mail@sek-sindou.thess.sch.gr</t>
  </si>
  <si>
    <t>3ο ΗΜΕΡΗΣΙΟ ΓΥΜΝΑΣΙΟ ΩΡΑΙΟΚΑΣΤΡΟΥ ΘΕΣΣΑΛΟΝΙΚΗΣ</t>
  </si>
  <si>
    <t>mail@3gym-oraiok.thess.sch.gr</t>
  </si>
  <si>
    <t>ΗΡΩΩΝ 1</t>
  </si>
  <si>
    <t>1ο ΔΗΜΟΤΙΚΟ ΣΧΟΛΕΙΟ ΠΑΛΑΙΟΚΑΣΤΡΟΥ</t>
  </si>
  <si>
    <t>ΚΑΛΛΙΤΕΧΝΙΚΟ ΓΥΜΝΑΣΙΟ - Λ.Τ. ΑΜΠΕΛΟΚΗΠΩΝ ΘΕΣΣΑΛΟΝΙΚΗΣ</t>
  </si>
  <si>
    <t>gymkallampel@sch.gr</t>
  </si>
  <si>
    <t>ΑΜΠΕΛΟΚΗΠΟΙ ΘΕΣΣΑΛΟΝΙΚΗ</t>
  </si>
  <si>
    <t>ΠΑΝΤΑΖΟΠΟΥΛΟΥ 12Α</t>
  </si>
  <si>
    <t>ΕΕΕΕΚ ΠΑΥΛΟΥ ΜΕΛΑ</t>
  </si>
  <si>
    <t>mail@eeeek-pavlou-mela.thess.sch.gr</t>
  </si>
  <si>
    <t>ΕΥΚΛΕΙΔH 8</t>
  </si>
  <si>
    <t>2ο ΗΜΕΡΗΣΙΟ ΓΕΝΙΚΟ ΛΥΚΕΙΟ ΩΡΑΙΟΚΑΣΤΡΟΥ</t>
  </si>
  <si>
    <t>mail@2lyk-oraiok.thess.sch.gr</t>
  </si>
  <si>
    <t>ΩΡΑΙΟΚΑΣΤΡΟ</t>
  </si>
  <si>
    <t>ΟΛΥΜΠΟΥ ΚΑΙ ΚΑΠΟΔΙΣΤΡΙΟΥ 1</t>
  </si>
  <si>
    <t>ΕΝΙΑΙΟ ΕΙΔΙΚΟ ΕΠΑΓΓΕΛΜΑΤΙΚΟ ΓΥΜΝΑΣΙΟ - ΛΥΚΕΙΟ  Ιν.Α.Α.</t>
  </si>
  <si>
    <t>mail@tee-eaav-pefkon.thess.sch.gr</t>
  </si>
  <si>
    <t>9ης ΚΩΝΣΤΑΝΤΙΝΟΥΠΟΛΕΩΣ  ΤΕΡΜΑ, ΠΕΥΚΑ</t>
  </si>
  <si>
    <t>2ο ΗΜΕΡΗΣΙΟ ΓΕΝΙΚΟ ΛΥΚΕΙΟ ΣΤΑΥΡΟΥΠΟΛΗΣ ΘΕΣΣΑΛΟΝΙΚΗΣ</t>
  </si>
  <si>
    <t>mail@2lyk-stavroup.thess.sch.gr</t>
  </si>
  <si>
    <t>ΗΜΕΡΗΣΙΟ ΓΕΝΙΚΟ ΛΥΚΕΙΟ ΑΓΙΟΥ ΓΕΩΡΓΙΟΥ</t>
  </si>
  <si>
    <t>mail@lyk-ag-georgiou.thess.sch.gr</t>
  </si>
  <si>
    <t>ΑΣΠΡΟΒΑΛΤΑ</t>
  </si>
  <si>
    <t>ΔΗΜΟΤΙΚΟ ΣΧΟΛΕΙΟ ΑΣΠΡΟΒΑΛΤΑΣ</t>
  </si>
  <si>
    <t>4ο ΗΜΕΡΗΣΙΟ ΓΕΝΙΚΟ ΛΥΚΕΙΟ ΕΥΟΣΜΟΥ</t>
  </si>
  <si>
    <t>mail@4lyk-evosm.thess.sch.gr</t>
  </si>
  <si>
    <t>ΜΟΝΑΣΤΗΡΙΟΥ 326</t>
  </si>
  <si>
    <t>7ο ΔΗΜΟΤΙΚΟ ΣΧΟΛΕΙΟ ΕΥΟΣΜΟΥ</t>
  </si>
  <si>
    <t>7ο ΗΜΕΡΗΣΙΟ ΓΥΜΝΑΣΙΟ ΕΥΟΣΜΟΣ ΘΕΣΣΑΛΟΝΙΚΗΣ</t>
  </si>
  <si>
    <t>2ο ΗΜΕΡΗΣΙΟ ΓΕΝΙΚΟ ΛΥΚΕΙΟ ΠΕΥΚΩΝ ΘΕΣΣΑΛΟΝΙΚΗΣ</t>
  </si>
  <si>
    <t>ΠΕΥΚΩΝ ΘΕΣΣΑΛΟΝΙΚΗΣ</t>
  </si>
  <si>
    <t>4ο ΗΜΕΡΗΣΙΟ ΓΥΜΝΑΣΙΟ ΕΧΕΔΩΡΟΥ</t>
  </si>
  <si>
    <t>mail@4gym-echedor.thess.sch.gr</t>
  </si>
  <si>
    <t>Ν.Μαγνησία</t>
  </si>
  <si>
    <t>ΚΟΥΝΤΟΥΡΙΩΤΟΥ 2, Ν. ΜΑΓΝΗΣΙΑ</t>
  </si>
  <si>
    <t>ΛΑΓΥΝΩΝ</t>
  </si>
  <si>
    <t>4ο ΓΥΜΝΑΣΙΟ ΛΑΓΚΑΔΑ-ΛΥΚΕΙΑΚΕΣ ΤΑΞΕΙΣ</t>
  </si>
  <si>
    <t>mail@4gym-lagkad.thess.sch.gr</t>
  </si>
  <si>
    <t>Λαγυνά Λαγκαδά</t>
  </si>
  <si>
    <t>13ο km Π.Ε.Ο. ΘΕΣΣΑΛΟΝΙΚΗΣ-ΚΑΒΑΛΑΣ</t>
  </si>
  <si>
    <t>ΔΗΜΟΤΙΚΟ ΣΧΟΛΕΙΟ ΛΑΓΥΝΩΝ</t>
  </si>
  <si>
    <t>5ο ΗΜΕΡΗΣΙΟ ΓΥΜΝΑΣΙΟ ΩΡΑΙΟΚΑΣΤΡΟΥ (Λ.Τ.)</t>
  </si>
  <si>
    <t>mail@5gym-oraiok.thess.sch.gr</t>
  </si>
  <si>
    <t>16ο χλμ ΕΠΑΡΧΙΑΚΗΣ ΟΔΟΥ ΘΕΣ/ΝΙΚΗΣ ΜΕΛΙΣΣΟΧΩΡΙΟΥ, ΣΥΓΚΡΟΤΗΜΑ ΣΚΑΡΑ</t>
  </si>
  <si>
    <t>5ο ΔΗΜΟΤΙΚΟ ΣΧΟΛΕΙΟ ΩΡΑΙΟΚΑΣΤΡΟΥ</t>
  </si>
  <si>
    <t>ΗΜΕΡΗΣΙΟ ΓΕΝΙΚΟ ΛΥΚΕΙΟ ΕΥΚΑΡΠΙΑΣ ΘΕΣΣΑΛΟΝΙΚΗΣ</t>
  </si>
  <si>
    <t>mail@lyk-efkarp.thess.sch.gr</t>
  </si>
  <si>
    <t>2ο ΗΜΕΡΗΣΙΟ ΓΥΜΝΑΣΙΟ ΕΥΚΑΡΠΙΑΣ ΘΕΣΣΑΛΟΝΙΚΗΣ</t>
  </si>
  <si>
    <t>mail@2gym-efkarp.thess.sch.gr</t>
  </si>
  <si>
    <t>ΚΑΡΥΩΤΑΚΗ  4 &amp; ΓΙΑΝΝΗ ΡΙΤΣΟΥ 3Α</t>
  </si>
  <si>
    <t>Ε.Ε.Ε.ΕΚ. ΑΓΙΟΥ ΑΘΑΝΑΣΙΟΥ</t>
  </si>
  <si>
    <t>mail@eeeek-ag-athan.thess.sch.gr</t>
  </si>
  <si>
    <t>ʼγιος Αθανάσιος</t>
  </si>
  <si>
    <t>Αγιος Αθανάσιος Θεσσαλονίκης</t>
  </si>
  <si>
    <t>Ενιαίο Ειδικό Επαγγελματικό Γυμνάσιο-Λύκειο (ΕΝ.Ε.Ε.ΓΥ.-Λ.) Παύλου Μελά</t>
  </si>
  <si>
    <t>ΔΙΕΥΘΥΝΣΗ Δ.Ε. ΗΜΑΘΙΑΣ</t>
  </si>
  <si>
    <t>ΗΡΩΙΚΗΣ ΠΟΛΕΩΣ ΝΑΟΥΣΑΣ</t>
  </si>
  <si>
    <t>ΝΑΟΥΣΑΣ</t>
  </si>
  <si>
    <t>2ο ΗΜΕΡΗΣΙΟ ΓΥΜΝΑΣΙΟ ΝΑΟΥΣΑΣ</t>
  </si>
  <si>
    <t>mail@2gym-naous.ima.sch.gr</t>
  </si>
  <si>
    <t>ΝΑΟΥΣΑ</t>
  </si>
  <si>
    <t>ΚΑΣΟΜΟΥΛΗ - ΠΕΡΙΟΧΗ ΒΡΥΣΑΚΙ</t>
  </si>
  <si>
    <t>3ο ΔΗΜΟΤΙΚΟ ΣΧΟΛΕΙΟ ΝΑΟΥΣΑΣ - ΓΑΛΑΚΕΙΑ</t>
  </si>
  <si>
    <t>1ο ΗΜΕΡΗΣΙΟ ΓΕΝΙΚΟ ΛΥΚΕΙΟ ΝΑΟΥΣΑΣ</t>
  </si>
  <si>
    <t>mail@1lyk-naous.ima.sch.gr</t>
  </si>
  <si>
    <t>ΤΕΡΜΑ ΦΙΛΩΤΑ ΚΟΚΚΙΝΟΥ</t>
  </si>
  <si>
    <t>10ο ΔΗΜΟΤΙΚΟ ΣΧΟΛΕΙΟ ΝΑΟΥΣΑΣ</t>
  </si>
  <si>
    <t>ΑΛΕΞΑΝΔΡΕΙΑΣ</t>
  </si>
  <si>
    <t>1ο ΗΜΕΡΗΣΙΟ ΓΕΝΙΚΟ ΛΥΚΕΙΟ ΑΛΕΞΑΝΔΡΕΙΑΣ ΗΜΑΘΙΑΣ</t>
  </si>
  <si>
    <t>mail@1lyk-alexandr.ima.sch.gr</t>
  </si>
  <si>
    <t>ΑΛΕΞΑΝΔΡΕΙΑ ΗΜΑΘΙΑΣ</t>
  </si>
  <si>
    <t>ΕΛ.ΒΕΝΙΖΕΛΟΥ 97</t>
  </si>
  <si>
    <t>5ο ΔΗΜΟΤΙΚΟ ΣΧΟΛΕΙΟ ΑΛΕΞΑΝΔΡΕΙΑΣ</t>
  </si>
  <si>
    <t>2ο ΗΜΕΡΗΣΙΟ ΓΕΝΙΚΟ ΛΥΚΕΙΟ ΝΑΟΥΣΑΣ</t>
  </si>
  <si>
    <t>mail@2lyk-naous.ima.sch.gr</t>
  </si>
  <si>
    <t>ΜΕΛΙΚΗΣ</t>
  </si>
  <si>
    <t>ΗΜΕΡΗΣΙΟ ΓΕΝΙΚΟ ΛΥΚΕΙΟ ΜΕΛΙΚΗΣ ΗΜΑΘΙΑΣ</t>
  </si>
  <si>
    <t>mail@lyk-melik.ima.sch.gr</t>
  </si>
  <si>
    <t>ΜΕΛΙΚΗ ΗΜΑΘΙΑΣ</t>
  </si>
  <si>
    <t>ΚΕΝΤΡΙΚΗΣ 1</t>
  </si>
  <si>
    <t>1ο ΔΗΜΟΤΙΚΟ ΣΧΟΛΕΙΟ ΜΕΛΙΚΗΣ</t>
  </si>
  <si>
    <t>1ο ΗΜΕΡΗΣΙΟ ΕΠΑΛ ΝΑΟΥΣΑΣ</t>
  </si>
  <si>
    <t>1epal-naous@sch.gr</t>
  </si>
  <si>
    <t>8ο ΔΗΜΟΤΙΚΟ ΣΧΟΛΕΙΟ ΝΑΟΥΣΑΣ</t>
  </si>
  <si>
    <t>3ο ΕΣΠΕΡΙΝΟ ΕΠΑΛ ΒΕΡΟΙΑΣ</t>
  </si>
  <si>
    <t>mail@3epal-esp-veroias.ima.sch.gr</t>
  </si>
  <si>
    <t>ΣΤΑΔΙΟΥ 121</t>
  </si>
  <si>
    <t>4ο ΔΗΜΟΤΙΚΟ ΣΧΟΛΕΙΟ ΒΕΡΟΙΑΣ</t>
  </si>
  <si>
    <t>1ο ΗΜΕΡΗΣΙΟ ΕΠΑΛ ΒΕΡΟΙΑΣ</t>
  </si>
  <si>
    <t>mail@1epal-veroias.ima.sch.gr</t>
  </si>
  <si>
    <t>2ο ΗΜΕΡΗΣΙΟ ΓΕΝΙΚΟ ΛΥΚΕΙΟ ΑΛΕΞΑΝΔΡΕΙΑΣ ΗΜΑΘΙΑΣ</t>
  </si>
  <si>
    <t>mail@2lyk-alexandr.ima.sch.gr</t>
  </si>
  <si>
    <t>ΤΡΑΠΕΖΟΥΝΤΟΣ 2</t>
  </si>
  <si>
    <t>1ο ΔΗΜΟΤΙΚΟ ΣΧΟΛΕΙΟ ΑΛΕΞΑΝΔΡΕΙΑΣ</t>
  </si>
  <si>
    <t>1ο ΗΜΕΡΗΣΙΟ ΓΕΝΙΚΟ ΛΥΚΕΙΟ ΒΕΡΟΙΑΣ</t>
  </si>
  <si>
    <t>mail@1lyk-veroias.ima.sch.gr</t>
  </si>
  <si>
    <t>Κ. ΠΑΡΘΕΝΗ 2</t>
  </si>
  <si>
    <t>4ο ΗΜΕΡΗΣΙΟ ΓΕΝΙΚΟ ΛΥΚΕΙΟ ΒΕΡΟΙΑΣ</t>
  </si>
  <si>
    <t>mail@4lyk-veroias.ima.sch.gr</t>
  </si>
  <si>
    <t>7ο ΔΗΜΟΤΙΚΟ ΣΧΟΛΕΙΟ ΒΕΡΟΙΑΣ</t>
  </si>
  <si>
    <t>1ο ΗΜΕΡΗΣΙΟ ΕΠΑΛ ΑΛΕΞΑΝΔΡΕΙΑΣ</t>
  </si>
  <si>
    <t>mail@1epal-alexandr.ima.sch.gr</t>
  </si>
  <si>
    <t>ΠΑΡΟΔΟΣ ΕΙΚΟΣΤΗΣ ΟΓΔΟΗΣ ΟΚΤΩΒΡΙΟΥ</t>
  </si>
  <si>
    <t>5ο ΗΜΕΡΗΣΙΟ ΓΕΝΙΚΟ ΛΥΚΕΙΟ ΒΕΡΟΙΑΣ - Γ.Ε.Λ. ΒΕΡΟΙΑΣ</t>
  </si>
  <si>
    <t>mail@5lyk-veroias.ima.sch.gr</t>
  </si>
  <si>
    <t>ΣΤΑΔΙΟΥ 123</t>
  </si>
  <si>
    <t>2ο ΗΜΕΡΗΣΙΟ ΓΕΝΙΚΟ ΛΥΚΕΙΟ ΒΕΡΟΙΑΣ</t>
  </si>
  <si>
    <t>mail@2lyk-veroias.ima.sch.gr</t>
  </si>
  <si>
    <t>ΡΩΜΑΝΙΑΣ &amp; ΓΙΑΝΝΗ ΡΙΤΣΟΥ 1</t>
  </si>
  <si>
    <t>10ο ΔΗΜΟΤΙΚΟ ΣΧΟΛΕΙΟ ΒΕΡΟΙΑΣ</t>
  </si>
  <si>
    <t>3ο ΗΜΕΡΗΣΙΟ ΓΕΝΙΚΟ ΛΥΚΕΙΟ ΒΕΡΟΙΑΣ</t>
  </si>
  <si>
    <t>mail@3lyk-veroias.ima.sch.gr</t>
  </si>
  <si>
    <t>ΠΛΟΥΤΑΡΧΟΥ ΜΕ ΑΡΙΣΤΟΦΑΝΟΥΣ, ΕΡΓΑΤΙΚΕΣ ΚΑΤΟΙΚΙΕΣ</t>
  </si>
  <si>
    <t>ΑΠΟΣΤΟΛΟΥ ΠΑΥΛΟΥ</t>
  </si>
  <si>
    <t>ΗΜΕΡΗΣΙΟ ΓΕΝΙΚΟ ΛΥΚΕΙΟ ΜΑΚΡΟΧΩΡΙΟΥ ΗΜΑΘΙΑΣ</t>
  </si>
  <si>
    <t>mail@lyk-makroch.ima.sch.gr</t>
  </si>
  <si>
    <t>ΜΑΚΡΟΧΩΡΙ ΗΜΑΘΙΑΣ</t>
  </si>
  <si>
    <t>ΠΟΛΥΤΕΧΝΕΙΟΥ 7</t>
  </si>
  <si>
    <t>3ο ΔΗΜΟΤΙΚΟ ΣΧΟΛΕΙΟ ΜΑΚΡΟΧΩΡΙΟΥ</t>
  </si>
  <si>
    <t>ΚΟΡΥΦΗΣ</t>
  </si>
  <si>
    <t>ΗΜΕΡΗΣΙΟ ΓΕΝΙΚΟ ΛΥΚΕΙΟ ΠΛΑΤΕΟΣ-ΚΟΡΥΦΗΣ ΗΜΑΘΙΑΣ</t>
  </si>
  <si>
    <t>mail@lyk-plateos.ima.sch.gr</t>
  </si>
  <si>
    <t>ΑΛΕΞΑΝΔΡΕΙΑ</t>
  </si>
  <si>
    <t>ΚΟΡΥΦΗ ΗΜΑΘΙΑΣ</t>
  </si>
  <si>
    <t>ΔΗΜΟΤΙΚΟ ΣΧΟΛΕΙΟ ΠΛΑΤΕΟΣ ΗΜΑΘΙΑΣ</t>
  </si>
  <si>
    <t>2ο ΗΜΕΡΗΣΙΟ ΓΥΜΝΑΣΙΟ ΑΛΕΞΑΝΔΡΕΙΑΣ ΗΜΑΘΙΑΣ</t>
  </si>
  <si>
    <t>mail@2gym-alexandr.ima.sch.gr</t>
  </si>
  <si>
    <t>ΗΜΕΡΗΣΙΟ ΓΥΜΝΑΣΙΟ ΠΛΑΤΕΟΣ ΜΕ ΕΔΡΑ ΤΟ ΠΛΑΤΥ</t>
  </si>
  <si>
    <t>mail@gym-plateos.ima.sch.gr</t>
  </si>
  <si>
    <t>ΠΛΑΤΕΟΣ ΗΜΑΘΙΑΣ</t>
  </si>
  <si>
    <t>ΠΛΑΤΥ ΗΜΑΘΙΑΣ</t>
  </si>
  <si>
    <t>ΕΙΡΗΝΟΥΠΟΛΗΣ</t>
  </si>
  <si>
    <t>ΑΓΓΕΛΟΧΩΡΙΟΥ</t>
  </si>
  <si>
    <t>ΗΜΕΡΗΣΙΟ ΓΥΜΝΑΣΙΟ ΕΙΡΗΝΟΥΠΟΛΗΣ - ΛΥΚΕΙΑΚΕΣ ΤΑΞΕΙΣ</t>
  </si>
  <si>
    <t>mail@gym-eirin.ima.sch.gr</t>
  </si>
  <si>
    <t>ΑΓΓΕΛΟΧΩΡΙ</t>
  </si>
  <si>
    <t>ΛΕΩΦΟΡΟΣ ΕΙΡΗΝΗΣ 100</t>
  </si>
  <si>
    <t>ΔΗΜΟΤΙΚΟ ΣΧΟΛΕΙΟ ΑΓΓΕΛΟΧΩΡΙΟΥ</t>
  </si>
  <si>
    <t>ΒΕΡΓΙΝΑΣ</t>
  </si>
  <si>
    <t>ΒΕΡΓΙΝΗΣ</t>
  </si>
  <si>
    <t>ΓΥΜΝΑΣΙΟ ΒΕΡΓΙΝΑΣ "ΜΑΝΟΛΗΣ ΑΝΔΡΟΝΙΚΟΣ"</t>
  </si>
  <si>
    <t>mail@gym-vergin.ima.sch.gr</t>
  </si>
  <si>
    <t>ΒΕΡΓΙΝΑ</t>
  </si>
  <si>
    <t>ΒΕΡΓΙΝΑ ΗΜΑΘΙΑΣ</t>
  </si>
  <si>
    <t>ΔΗΜΟΤΙΚΟ ΣΧΟΛΕΙΟ ΒΕΡΓΙΝΑΣ-ΠΑΛΑΤΙΤΣΙΩΝ</t>
  </si>
  <si>
    <t>ΗΜΕΡΗΣΙΟ ΓΥΜΝΑΣΙΟ ΤΡΙΚΑΛΩΝ ΗΜΑΘΙΑΣ</t>
  </si>
  <si>
    <t>mail@gym-trikal.ima.sch.gr</t>
  </si>
  <si>
    <t>ΤΡΙΚΑΛΑ ΗΜΑΘΙΑΣ</t>
  </si>
  <si>
    <t>ΔΗΜΟΤΙΚΟ ΣΧΟΛΕΙΟ ΤΡΙΚΑΛΩΝ ΗΜΑΘΙΑΣ</t>
  </si>
  <si>
    <t>1ο ΗΜΕΡΗΣΙΟ ΓΥΜΝΑΣΙΟ ΒΕΡΟΙΑΣ - ΦΙΛΙΠΠΕΙΟ</t>
  </si>
  <si>
    <t>mail@1gym-veroias.ima.sch.gr</t>
  </si>
  <si>
    <t>ΡΩΜΑΝΙΑΣ ΚΑΙ ΓΙΑΝΝΗ ΡΙΤΣΟΥ ΓΙΟΤΖΑΛΙΚΙΑ</t>
  </si>
  <si>
    <t>3ο ΗΜΕΡΗΣΙΟ ΓΥΜΝΑΣΙΟ ΝΑΟΥΣΑΣ</t>
  </si>
  <si>
    <t>mail@3gym-naous.ima.sch.gr</t>
  </si>
  <si>
    <t>ΑΓΙΟΥ ΝΙΚΟΛΑΟΥ 80</t>
  </si>
  <si>
    <t>ΕΕΕΕΚ ΑΛΕΞΑΝΔΡΕΙΑ Ν.ΗΜΑΘΙΑΣ - ΕΡΓΑΣΤΗΡΙΟ ΕΙΔΙΚΗΣ ΕΠΑΓΓΕΛΜΑΤΙΚΗΣ ΕΚΠΑΙΔΕΥΣΗΣ ΚΑΙ ΚΑΤΑΡΤΙΣΗΣ</t>
  </si>
  <si>
    <t>mail@eeeek-alexandr.ima.sch.gr</t>
  </si>
  <si>
    <t>ΑΛΕΞΑΝΔΡΕΙΑ Ν.ΗΜΑΘΙΑΣ</t>
  </si>
  <si>
    <t>ΠΑΡΟΔΟΣ 28ΗΣ ΟΚΤΩΒΡΙΟΥ</t>
  </si>
  <si>
    <t>4ο ΔΗΜΟΤΙΚΟ ΣΧΟΛΕΙΟ ΑΛΕΞΑΝΔΡΕΙΑΣ</t>
  </si>
  <si>
    <t>ΑΝΘΕΜΙΩΝ</t>
  </si>
  <si>
    <t>ΚΟΠΑΝΟΥ</t>
  </si>
  <si>
    <t>ΗΜΕΡΗΣΙΟ ΓΥΜΝΑΣΙΟ ΚΟΠΑΝΟΥ</t>
  </si>
  <si>
    <t>mail@gym-kopan.ima.sch.gr</t>
  </si>
  <si>
    <t>ΚΟΠΑΝΟΣ</t>
  </si>
  <si>
    <t>ΔΗΜΟΤΙΚΟ ΣΧΟΛΕΙΟ ΚΟΠΑΝΟΥ</t>
  </si>
  <si>
    <t>ΕΠΙΣΚΟΠΗΣ ΝΑΟΥΣΑΣ</t>
  </si>
  <si>
    <t>ΗΜΕΡΗΣΙΟ ΓΥΜΝΑΣΙΟ ΕΠΙΣΚΟΠΗ - ΓΥΜΝΑΣΙΟ ΕΠΙΣΚΟΠΗΣ</t>
  </si>
  <si>
    <t>mail@gym-episk.ima.sch.gr</t>
  </si>
  <si>
    <t>ΕΠΙΣΚΟΠΗ</t>
  </si>
  <si>
    <t>ΕΠΙΣΚΟΠΗ ΔΗΜΟΥ ΝΑΟΥΣΑΣ</t>
  </si>
  <si>
    <t>ΔΗΜΟΤΙΚΟ ΣΧΟΛΕΙΟ ΕΠΙΣΚΟΠΗΣ ΝΑΟΥΣΑΣ</t>
  </si>
  <si>
    <t>ΑΝΤΙΓΟΝΙΔΩΝ</t>
  </si>
  <si>
    <t>ΚΑΒΑΣΙΛΩΝ</t>
  </si>
  <si>
    <t>ΗΜΕΡΗΣΙΟ ΓΥΜΝΑΣΙΟ ΚΑΒΑΣΙΛΩΝ ΗΜΑΘΙΑΣ</t>
  </si>
  <si>
    <t>mail@gym-kavas.ima.sch.gr</t>
  </si>
  <si>
    <t>ΚΑΒΑΣΙΛΑ ΗΜΑΘΙΑΣ</t>
  </si>
  <si>
    <t>ΓΥΜΝΑΣΙΟ ΚΑΒΑΣΙΛΩΝ</t>
  </si>
  <si>
    <t>ΔΗΜΟΤΙΚΟ ΣΧΟΛΕΙΟ ΤΡΙΠΟΤΑΜΟΥ-ΡΑΧΗΣ</t>
  </si>
  <si>
    <t>ΕΣΠΕΡΙΝΟ ΓΥΜΝΑΣΙΟ ΒΕΡΟΙΑΣ</t>
  </si>
  <si>
    <t>mail@gym-esp-veroias.ima.sch.gr</t>
  </si>
  <si>
    <t>ΚΟΥΝΤΟΥΡΙΩΤΗ 8</t>
  </si>
  <si>
    <t>1ο ΔΗΜΟΤΙΚΟ ΣΧΟΛΕΙΟ ΒΕΡΟΙΑΣ</t>
  </si>
  <si>
    <t>1ο Ε.Κ. ΒΕΡΟΙΑΣ</t>
  </si>
  <si>
    <t>mail@sek-veroias.ima.sch.gr</t>
  </si>
  <si>
    <t>6ο ΗΜΕΡΗΣΙΟ ΓΥΜΝΑΣΙΟ ΒΕΡΟΙΑΣ</t>
  </si>
  <si>
    <t>mail@6gym-veroias.ima.sch.gr</t>
  </si>
  <si>
    <t>ΕΙΚΟΣΤΗΣ ΠΕΜΠΤΗΣ ΜΑΡΤΙΟΥ - ΑΝΑΞΑΓΟΡΑ</t>
  </si>
  <si>
    <t>ΜΑΚΕΔΟΝΙΔΟΣ</t>
  </si>
  <si>
    <t>ΡΙΖΩΜΑΤΩΝ</t>
  </si>
  <si>
    <t>ΓΥΜΝΑΣΙΟ ΜΕ ΛΥΚΕΙΑΚΕΣ ΤΑΞΕΙΣ ΡΙΖΩΜΑΤΩΝ ΗΜΑΘΙΑΣ</t>
  </si>
  <si>
    <t>mail@gym-rizom.ima.sch.gr</t>
  </si>
  <si>
    <t xml:space="preserve">ΡΙΖΩΜΑΤΑ </t>
  </si>
  <si>
    <t>Αγίου Αθανασίου 1</t>
  </si>
  <si>
    <t>ΔΗΜΟΤΙΚΟ ΣΧΟΛΕΙΟ ΡΙΖΩΜΑΤΩΝ-ΔΑΣΚΙΟΥ-ΣΦΗΚΙΑΣ</t>
  </si>
  <si>
    <t>1ο ΗΜΕΡΗΣΙΟ ΓΥΜΝΑΣΙΟ ΝΑΟΥΣΑΣ - ΛΑΠΠΕΙΟΝ</t>
  </si>
  <si>
    <t>1gymnaou@sch.gr</t>
  </si>
  <si>
    <t>ΤΙΜΙΟΥ ΠΡΟΔΡΟΜΟΥ 14</t>
  </si>
  <si>
    <t>1ο ΔΗΜΟΤΙΚΟ ΣΧΟΛΕΙΟ ΝΑΟΥΣΑΣ</t>
  </si>
  <si>
    <t>ΗΜΕΡΗΣΙΟ ΓΥΜΝΑΣΙΟ ΜΕΛΙΚΗΣ ΗΜΑΘΙΑΣ</t>
  </si>
  <si>
    <t>mail@gym-melik.ima.sch.gr</t>
  </si>
  <si>
    <t>ΚΕΝΤΡΙΚΗΣ  1</t>
  </si>
  <si>
    <t>4ο ΗΜΕΡΗΣΙΟ ΓΥΜΝΑΣΙΟ ΒΕΡΟΙΑΣ</t>
  </si>
  <si>
    <t>mail@4gym-veroias.ima.sch.gr</t>
  </si>
  <si>
    <t>ΚΟΥΝΤΟΥΡΙΩΤΗ 4</t>
  </si>
  <si>
    <t>5ο ΗΜΕΡΗΣΙΟ ΓΥΜΝΑΣΙΟ ΒΕΡΟΙΑΣ</t>
  </si>
  <si>
    <t>mail@5gym-veroias.ima.sch.gr</t>
  </si>
  <si>
    <t>Σ.ΠΕΤΡΟΥΛΑ ΚΑΙ  ΠΛΑΤΕΙΑ ΜΑΚΕΔΟΝΙΚΟΥ ΑΓΩΝΑ 1</t>
  </si>
  <si>
    <t>3ο ΗΜΕΡΗΣΙΟ ΓΥΜΝΑΣΙΟ ΒΕΡΟΙΑΣ</t>
  </si>
  <si>
    <t>mail@3gym-veroias.ima.sch.gr</t>
  </si>
  <si>
    <t>ΕΓΝΑΤΙΑΣ 3</t>
  </si>
  <si>
    <t>ΑΛΕΞΑΝΔΡΕΙΟ - 2ο ΗΜΕΡΗΣΙΟ ΓΥΜΝΑΣΙΟ ΒΕΡΟΙΑΣ</t>
  </si>
  <si>
    <t>mail@2gym-veroias.ima.sch.gr</t>
  </si>
  <si>
    <t>Ν.ΜΠΕΛΟΓΙΑΝΝΗ 2</t>
  </si>
  <si>
    <t>5ο ΔΗΜΟΤΙΚΟ ΣΧΟΛΕΙΟ ΒΕΡΟΙΑΣ</t>
  </si>
  <si>
    <t>ΕΕΕΕΚ ΝΑΟΥΣΑ - ΕΕΕΕΚ ΝΑΟΥΣΑΣ</t>
  </si>
  <si>
    <t>mail@eeeek.ima.sch.gr</t>
  </si>
  <si>
    <t>ΑΓΙΟΥ  ΝΙΚΟΛΑΟΥ</t>
  </si>
  <si>
    <t>1ο ΗΜΕΡΗΣΙΟ ΓΥΜΝΑΣΙΟ ΑΛΕΞΑΝΔΡΕΙΑ ΗΜΑΘΙΑΣ</t>
  </si>
  <si>
    <t>mail@1gym-alexandr.ima.sch.gr</t>
  </si>
  <si>
    <t>ΕΛ. ΒΕΝΙΖΕΛΟΥ 97</t>
  </si>
  <si>
    <t>ΗΜΕΡΗΣΙΟ ΓΥΜΝΑΣΙΟ ΜΑΚΡΟΧΩΡΙΟΥ - ΣΧΟΛΕΙΟ ΤΗΣ ΕΛΕΥΘΕΡΙΑΣ</t>
  </si>
  <si>
    <t>mail@gym-makroch.ima.sch.gr</t>
  </si>
  <si>
    <t>ΜΑΚΡΟΧΩΡΙ</t>
  </si>
  <si>
    <t>ΠΟΛΥΤΕΧΝΕΙΟΥ 11</t>
  </si>
  <si>
    <t>ΕΣΠΕΡΙΝΟ ΓΕΝΙΚΟ ΛΥΚΕΙΟ ΒΕΡΟΙΑΣ</t>
  </si>
  <si>
    <t>mail@lyk-esp-veroias.ima.sch.gr</t>
  </si>
  <si>
    <t>Ε.Ε.Ε.Ε.Κ. ΒΕΡΟΙΑΣ</t>
  </si>
  <si>
    <t>mail@eeeek-veroias.ima.sch.gr</t>
  </si>
  <si>
    <t>ΑΜΑΛΙΑΣ ΦΛΕΜΙΓΚ 22, ΛΑΖΟΧΩΡΙ</t>
  </si>
  <si>
    <t>ΜΟΥΣΙΚΟ ΣΧΟΛΕΙΟ ΒΕΡΟΙΑΣ</t>
  </si>
  <si>
    <t>mail@gym-mous-veroias.ima.sch.gr</t>
  </si>
  <si>
    <t>ΕΝΙΑΙΟ ΕΙΔΙΚΟ ΕΠΑΓΓΕΛΜΑΤΙΚΟ ΓΥΜΝΑΣΙΟ - ΛΥΚΕΙΟ ΒΕΡΟΙΑΣ</t>
  </si>
  <si>
    <t>teeeaavv@sch.gr</t>
  </si>
  <si>
    <t>Εργοχώρι</t>
  </si>
  <si>
    <t>Σταδίου 123</t>
  </si>
  <si>
    <t>ΔΙΕΥΘΥΝΣΗ Δ.Ε. ΚΙΛΚΙΣ</t>
  </si>
  <si>
    <t>ΠΙΚΡΟΛΙΜΝΗΣ</t>
  </si>
  <si>
    <t>ΝΕΟΥ ΓΥΝΑΙΚΟΚΑΣΤΡΟΥ</t>
  </si>
  <si>
    <t>ΗΜΕΡΗΣΙΟ ΓΥΜΝΑΣΙΟ ΝΕΟΥ ΓΥΝΑΙΚΟΚΑΣΤΡΟΥ ΚΙΛΚΙΣ</t>
  </si>
  <si>
    <t>mail@gym-n-gynaik.kil.sch.gr</t>
  </si>
  <si>
    <t xml:space="preserve">ΝΕΟ ΓΥΝΑΙΚΟΚΑΣΤΡΟ </t>
  </si>
  <si>
    <t>ΝΕΟ ΓΥΝΑΙΚΟΚΑΣΤΡΟ</t>
  </si>
  <si>
    <t>ΔΗΜΟΤΙΚΟ ΣΧΟΛΕΙΟ ΝΕΟΥ ΓΥΝΑΙΚΟΚΑΣΤΡΟΥ</t>
  </si>
  <si>
    <t>ΜΟΥΡΙΩΝ</t>
  </si>
  <si>
    <t>ΣΤΑΘΜΟΥ ΜΟΥΡΙΩΝ</t>
  </si>
  <si>
    <t>ΗΜΕΡΗΣΙΟ ΓΥΜΝΑΣΙΟ Σ.Σ ΜΟΥΡΙΩΝ ΚΙΛΚΙΣ - Σ.Σ. ΜΟΥΡΙΩΝ</t>
  </si>
  <si>
    <t>mail@gym-mourion.kil.sch.gr</t>
  </si>
  <si>
    <t xml:space="preserve">Σ.Σ ΜΟΥΡΙΩΝ </t>
  </si>
  <si>
    <t>Σ.Σ ΜΟΥΡΙΩΝ</t>
  </si>
  <si>
    <t>Σ.Σ. ΜΟΥΡΙΩΝ</t>
  </si>
  <si>
    <t>ΔΗΜΟΤΙΚΟ ΣΧΟΛΕΙΟ Σ.Σ. ΜΟΥΡΙΩΝ</t>
  </si>
  <si>
    <t>ΚΡΟΥΣΣΩΝ</t>
  </si>
  <si>
    <t>ΗΜΕΡΗΣΙΟ ΓΥΜΝΑΣΙΟ ΕΥΚΑΡΠΙΑΣ ΚΙΛΚΙΣ</t>
  </si>
  <si>
    <t>mail@gym-efkarp.kil.sch.gr</t>
  </si>
  <si>
    <t>ΕΥΚΑΡΠΙΑ</t>
  </si>
  <si>
    <t>ΔΗΜΟΤΙΚΟ ΣΧΟΛΕΙΟ ΕΥΚΑΡΠΙΑΣ ΚΙΛΚΙΣ</t>
  </si>
  <si>
    <t>ΠΑΙΟΝΙΑΣ</t>
  </si>
  <si>
    <t>ΑΞΙΟΥΠΟΛΗΣ</t>
  </si>
  <si>
    <t>ΑΞΙΟΥΠΟΛΕΩΣ</t>
  </si>
  <si>
    <t>1ο ΗΜΕΡΗΣΙΟ ΓΕΝΙΚΟ ΛΥΚΕΙΟ ΑΞΙΟΥΠΟΛΗΣ ΚΙΛΚΙΣ</t>
  </si>
  <si>
    <t>mail@lyk-axioup.kil.sch.gr</t>
  </si>
  <si>
    <t>ΑΞΙΟΥΠΟΛΗ</t>
  </si>
  <si>
    <t>1ο ΔΗΜΟΤΙΚΟ ΣΧΟΛΕΙΟ ΑΞΙΟΥΠΟΛΗΣ</t>
  </si>
  <si>
    <t>ΗΜΕΡΗΣΙΟ ΓΕΝΙΚΟ ΛΥΚΕΙΟ Σ.Σ. ΜΟΥΡΙΩΝ ΚΙΛΚΙΣ - Σ.Σ. ΜΟΥΡΙΩΝ</t>
  </si>
  <si>
    <t>mail@lyk-mourion.kil.sch.gr</t>
  </si>
  <si>
    <t xml:space="preserve">Σ.Σ. ΜΟΥΡΙΩΝ </t>
  </si>
  <si>
    <t>ΓΟΥΜΕΝΙΣΣΑΣ</t>
  </si>
  <si>
    <t>ΗΜΕΡΗΣΙΟ ΓΕΝΙΚΟ ΛΥΚΕΙΟ ΓΟΥΜΕΝΙΣΣΑΣ</t>
  </si>
  <si>
    <t>mail@lyk-goumen.kil.sch.gr</t>
  </si>
  <si>
    <t>ΓΟΥΜΕΝΙΣΣΑ</t>
  </si>
  <si>
    <t>Ροδοπούλου 33</t>
  </si>
  <si>
    <t>2ο ΔΗΜΟΤΙΚΟ ΣΧΟΛΕΙΟ ΓΟΥΜΕΝΙΣΣΑΣ</t>
  </si>
  <si>
    <t>ΕΣΠΕΡΙΝΟ ΓΕΝΙΚΟ ΛΥΚΕΙΟ ΚΙΛΚΙΣ</t>
  </si>
  <si>
    <t>mail@lyk-esp-kilkis.kil.sch.gr</t>
  </si>
  <si>
    <t>ΤΕΡΜΑ ΠΑΛΑΙΩΝ ΣΦΑΓΕΙΩΝ ΕΥΘΥΜΙΑΔΟΥ &amp; ΟΔΗΣΣΟΥ</t>
  </si>
  <si>
    <t>4ο ΔΗΜΟΤΙΚΟ ΣΧΟΛΕΙΟ ΚΙΛΚΙΣ</t>
  </si>
  <si>
    <t>2ο ΗΜΕΡΗΣΙΟ ΓΕΝΙΚΟ ΛΥΚΕΙΟ ΚΙΛΚΙΣ</t>
  </si>
  <si>
    <t>mail@2lyk-kilkis.kil.sch.gr</t>
  </si>
  <si>
    <t>ΑΘ. ΤΣΟΥΝΤΑ 2</t>
  </si>
  <si>
    <t>2ο ΔΗΜΟΤΙΚΟ ΣΧΟΛΕΙΟ ΚΙΛΚΙΣ</t>
  </si>
  <si>
    <t>1ο ΗΜΕΡΗΣΙΟ ΕΠΑΛ ΚΙΛΚΙΣ</t>
  </si>
  <si>
    <t>mail@1epal-kilkis.kil.sch.gr</t>
  </si>
  <si>
    <t>Ευθυμιάδου &amp; Οδησσού</t>
  </si>
  <si>
    <t>ΧΕΡΣΟΥ</t>
  </si>
  <si>
    <t>ΗΜΕΡΗΣΙΟ ΓΕΝΙΚΟ ΛΥΚΕΙΟ ΧΕΡΣΟ ΚΙΛΚΙΣ</t>
  </si>
  <si>
    <t>mail@lyk-chers.kil.sch.gr</t>
  </si>
  <si>
    <t xml:space="preserve">ΧΕΡΣΟ </t>
  </si>
  <si>
    <t>ΧΕΡΣΟ ΚΙΛΚΙΣ</t>
  </si>
  <si>
    <t>ΔΗΜΟΤΙΚΟ ΣΧΟΛΕΙΟ ΧΕΡΣΟΥ</t>
  </si>
  <si>
    <t>ΕΥΡΩΠΟΥ</t>
  </si>
  <si>
    <t>ΓΕΝΙΚΟ ΛΥΚΕΙΟ ΕΥΡΩΠΟΥ</t>
  </si>
  <si>
    <t>mail@lyk-evrop.kil.sch.gr</t>
  </si>
  <si>
    <t>ΕΥΡΩΠΟΣ</t>
  </si>
  <si>
    <t>ΔΗΜΟΤΙΚΟ ΣΧΟΛΕΙΟ ΕΥΡΩΠΟΥ</t>
  </si>
  <si>
    <t>1ο ΗΜΕΡΗΣΙΟ ΓΕΝΙΚΟ ΛΥΚΕΙΟ ΚΙΛΚΙΣ</t>
  </si>
  <si>
    <t>mail@1lyk-kilkis.kil.sch.gr</t>
  </si>
  <si>
    <t>ΤΕΡΜΑ ΠΑΛΑΙΑ ΣΦΑΓΕΙΑ</t>
  </si>
  <si>
    <t>ΠΟΛΥΚΑΣΤΡΟΥ</t>
  </si>
  <si>
    <t>ΗΜΕΡΗΣΙΟ ΓΕΝΙΚΟ ΛΥΚΕΙΟ ΠΟΛΥΚΑΣΤΡΟΥ ΚΙΛΚΙΣ</t>
  </si>
  <si>
    <t>lykpolyk@sch.gr</t>
  </si>
  <si>
    <t>ΠΟΛΥΚΑΣΤΡΟ</t>
  </si>
  <si>
    <t>ΚΥΠΡΟΥ ΚΑΙ ΛΕΩΦΟΡΟΥ ΣΤΡΑΤΟΥ</t>
  </si>
  <si>
    <t>1ο ΔΗΜΟΤΙΚΟ ΣΧΟΛΕΙΟ ΠΟΛΥΚΑΣΤΡΟΥ</t>
  </si>
  <si>
    <t>1ο ΗΜΕΡΗΣΙΟ ΕΠΑΛ ΑΞΙΟΥΠΟΛΗΣ ΚΙΛΚΙΣ</t>
  </si>
  <si>
    <t>mail@1epal-axioup.kil.sch.gr</t>
  </si>
  <si>
    <t xml:space="preserve">ΑΞΙΟΥΠΟΛΗ </t>
  </si>
  <si>
    <t>ΠΑΡΟΔΟΣ ΘΕΣΣΑΛΟΝΙΚΗΣ</t>
  </si>
  <si>
    <t>2ο ΔΗΜΟΤΙΚΟ ΣΧΟΛΕΙΟ ΑΞΙΟΥΠΟΛΗΣ</t>
  </si>
  <si>
    <t>ΗΜΕΡΗΣΙΟ ΓΥΜΝΑΣΙΟ ΕΥΡΩΠΟΥ ΚΙΛΚΙΣ</t>
  </si>
  <si>
    <t>mail@gym-evrop.kil.sch.gr</t>
  </si>
  <si>
    <t>2ο ΗΜΕΡΗΣΙΟ ΓΥΜΝΑΣΙΟ ΚΙΛΚΙΣ</t>
  </si>
  <si>
    <t>mail@2gym-kilkis.kil.sch.gr</t>
  </si>
  <si>
    <t>ΑΘΑΝΑΣΙΟΥ ΤΣΟΥΝΤΑ 2</t>
  </si>
  <si>
    <t>ΝΕΟΥ ΑΓΙΟΝΕΡΙΟΥ</t>
  </si>
  <si>
    <t>ΗΜΕΡΗΣΙΟ ΓΥΜΝΑΣΙΟ ΝΕΟΥ ΑΓΙΟΝΕΡΙΟΥ</t>
  </si>
  <si>
    <t>mail@gym-n-agion.kil.sch.gr</t>
  </si>
  <si>
    <t>ΝΕΟ ΑΓΙΟΝΕΡΙ</t>
  </si>
  <si>
    <t>ΔΗΜΟΤΙΚΟ ΣΧΟΛΕΙΟ ΝΕΟΥ ΑΓΙΟΝΕΡΙΟΥ</t>
  </si>
  <si>
    <t>ΗΜΕΡΗΣΙΟ ΓΥΜΝΑΣΙΟ ΧΕΡΣΟΥ ΚΙΛΚΙΣ</t>
  </si>
  <si>
    <t>mail@gym-chers.kil.sch.gr</t>
  </si>
  <si>
    <t>ΧΕΡΣΟ</t>
  </si>
  <si>
    <t>Κιλκίς</t>
  </si>
  <si>
    <t>1ο ΕΚ ΚΙΛΚΙΣ</t>
  </si>
  <si>
    <t>mail@1sek-kilkis.kil.sch.gr</t>
  </si>
  <si>
    <t>KAΡΑΟΛΗ ΚΑΙ ΔΗΜΗΤΡΙΟΥ 6</t>
  </si>
  <si>
    <t>3ο ΔΗΜΟΤΙΚΟ ΣΧΟΛΕΙΟ ΚΙΛΚΙΣ</t>
  </si>
  <si>
    <t>1ο ΗΜΕΡΗΣΙΟ ΓΥΜΝΑΣΙΟ ΠΟΛΥΚΑΣΤΡΟ ΚΙΛΚΙΣ</t>
  </si>
  <si>
    <t>mail@gym-polyk.kil.sch.gr</t>
  </si>
  <si>
    <t xml:space="preserve">ΠΟΛΥΚΑΣΤΡΟ </t>
  </si>
  <si>
    <t>ΜΕΓΑΛΟΥ ΑΛΕΞΑΝΔΡΟΥ 75</t>
  </si>
  <si>
    <t>1ο ΗΜΕΡΗΣΙΟ ΓΥΜΝΑΣΙΟ ΚΙΛΚΙΣ</t>
  </si>
  <si>
    <t>mail@1gym-kilkis.kil.sch.gr</t>
  </si>
  <si>
    <t>ΕΙΚΟΣΤΗΣ ΠΡΩΤΗΣ  ΙΟΥΝΙΟΥ 2</t>
  </si>
  <si>
    <t>8ο ΔΗΜΟΤΙΚΟ ΣΧΟΛΕΙΟ ΚΙΛΚΙΣ</t>
  </si>
  <si>
    <t>ΓΑΛΛΙΚΟΥ</t>
  </si>
  <si>
    <t>ΚΑΜΠΑΝΗ</t>
  </si>
  <si>
    <t>ΗΜΕΡΗΣΙΟ ΓΕΝΙΚΟ ΛΥΚΕΙΟ ΚΑΜΠΑΝΗ</t>
  </si>
  <si>
    <t>mail@lyk-kampan.kil.sch.gr</t>
  </si>
  <si>
    <t xml:space="preserve">ΚΑΜΠΑΝΗΣ </t>
  </si>
  <si>
    <t>ΚΑΜΠΑΝΗΣ</t>
  </si>
  <si>
    <t>ΔΗΜΟΤΙΚΟ ΣΧΟΛΕΙΟ ΚΑΜΠΑΝΗ</t>
  </si>
  <si>
    <t>ΗΜΕΡΗΣΙΟ ΓΥΜΝΑΣΙΟ ΚΑΜΠΑΝΗΣ ΚΙΛΚΙΣ</t>
  </si>
  <si>
    <t>mail@gym-kampan.kil.sch.gr</t>
  </si>
  <si>
    <t>ΠΟΝΤΟΗΡΑΚΛΕΙΑΣ</t>
  </si>
  <si>
    <t>1ο ΗΜΕΡΗΣΙΟ ΓΥΜΝΑΣΙΟ ΠΛΑΤΑΝΙΑΣ ΚΙΛΚΙΣ - ΓΥΜΝΑΣΙΟ ΠΛΑΤΑΝΙΑΣ</t>
  </si>
  <si>
    <t>mail@gym-platan.kil.sch.gr</t>
  </si>
  <si>
    <t xml:space="preserve">ΠΛΑΤΑΝΙΑ </t>
  </si>
  <si>
    <t>ΔΗΜΟΤΙΚΟ ΣΧΟΛΕΙΟ ΠΛΑΤΑΝΙΑΣ</t>
  </si>
  <si>
    <t>ΒΑΠΤΙΣΤΟΥ</t>
  </si>
  <si>
    <t>1ο ΗΜΕΡΗΣΙΟ ΓΥΜΝΑΣΙΟ ΒΑΠΤΙΣΤΗΣ ΚΙΛΚΙΣ</t>
  </si>
  <si>
    <t>mail@gym-vaptist.kil.sch.gr</t>
  </si>
  <si>
    <t xml:space="preserve">ΒΑΠΤΙΣΤΗΣ </t>
  </si>
  <si>
    <t>ΒΑΠΤΙΣΤΗΣ- ΚΙΛΚΙΣ</t>
  </si>
  <si>
    <t>ΔΗΜΟΤΙΚΟ ΣΧΟΛΕΙΟ ΜΕΓΑΛΗΣ ΒΡΥΣΗΣ</t>
  </si>
  <si>
    <t>3ο Ημερήσιο  Γυμνάσιο  Κιλκίς</t>
  </si>
  <si>
    <t>mail@3gym-kilkis.kil.sch.gr</t>
  </si>
  <si>
    <t>Τέρμα  ΕΥΡΩΠΗΣ</t>
  </si>
  <si>
    <t>2ο ΗΜΕΡΗΣΙΟ ΕΠΑΛ ΚΙΛΚΙΣ</t>
  </si>
  <si>
    <t>mail@2epal-kilkis.kil.sch.gr</t>
  </si>
  <si>
    <t>Γ.ΑΡΓΥΡΙΟΥ 16</t>
  </si>
  <si>
    <t>ΗΜΕΡΗΣΙΟ ΓΥΜΝΑΣΙΟ ΓΟΥΜΕΝΙΣΣΑΣ ΚΙΛΚΙΣ</t>
  </si>
  <si>
    <t>gymgoume@sch.gr</t>
  </si>
  <si>
    <t xml:space="preserve">ΓΟΥΜΕΝΙΣΣΑ </t>
  </si>
  <si>
    <t>ΡΟΔΟΠΟΥΛΟΥ 33</t>
  </si>
  <si>
    <t>ΗΜΕΡΗΣΙΟ ΓΥΜΝΑΣΙΟ ΑΞΙΟΥΠΟΛΗΣ ΚΙΛΚΙΣ</t>
  </si>
  <si>
    <t>mail@gym-axioup.kil.sch.gr</t>
  </si>
  <si>
    <t>Ε.Ε.Ε.ΕΚ ΚΙΛΚΙΣ</t>
  </si>
  <si>
    <t>mail@eek.kil.sch.gr</t>
  </si>
  <si>
    <t>ΠΑΡΑΠΛ. ΠΑΡΚΟΥ ΚΥΚΛΟΦ. ΑΓΩΓΗΣ</t>
  </si>
  <si>
    <t>1ο ΔΗΜΟΤΙΚΟ ΣΧΟΛΕΙΟ ΚΙΛΚΙΣ</t>
  </si>
  <si>
    <t>ΕΣΠΕΡΙΝΟ ΓΥΜΝΑΣΙΟ ΚΙΛΚΙΣ</t>
  </si>
  <si>
    <t>mail@gym-esp-kilkis.kil.sch.gr</t>
  </si>
  <si>
    <t>ΤΕΡΜΑ ΠΑΛΑΙΩΝ ΣΦΑΓΕΙΩΝ</t>
  </si>
  <si>
    <t>ΗΜΕΡΗΣΙΟ ΓΕΝΙΚΟ ΛΥΚΕΙΟ ΝΕΟ ΑΓΙΟΝΕΡΙ ΚΙΛΚΙΣ - ΓΕΛ ΑΓΙΟΝΕΡΙΟΥ</t>
  </si>
  <si>
    <t>mail@lyk-n-agion.kil.sch.gr</t>
  </si>
  <si>
    <t xml:space="preserve">ΝΕΟ ΑΓΙΟΝΕΡΙ </t>
  </si>
  <si>
    <t>Ενιαίο Ειδικό Επαγγελματικό Γυμνάσιο-Λύκειο (ΕΝ.Ε.Ε.ΓΥ.-Λ.) Κιλκίς</t>
  </si>
  <si>
    <t>mail@eneegyl-kilkis.kil.sch.gr</t>
  </si>
  <si>
    <t>ΔΙΕΥΘΥΝΣΗ Δ.Ε. ΠΕΛΛΑΣ</t>
  </si>
  <si>
    <t>2ο ΗΜΕΡΗΣΙΟ ΓΥΜΝΑΣΙΟ ΚΡΥΑΣ ΒΡΥΣΗΣ ΠΕΛΛΑΣ</t>
  </si>
  <si>
    <t>mail@2gym-k-vrysis.pel.sch.gr</t>
  </si>
  <si>
    <t>ΚΡΥΑ ΒΡΥΣΗ ΠΕΛΛΑΣ</t>
  </si>
  <si>
    <t>ΞΕΝΟΦΩΝΤΟΣ 1</t>
  </si>
  <si>
    <t>ΓΙΑΝΝΙΤΣΩΝ</t>
  </si>
  <si>
    <t>2ο  ΔΗΜΟΤΙΚΟ ΣΧΟΛΕΙΟ ΚΡΥΑΣ ΒΡΥΣΗΣ</t>
  </si>
  <si>
    <t>ΚΥΡΡΟΥ</t>
  </si>
  <si>
    <t>ΑΡΑΒΗΣΣΟΥ</t>
  </si>
  <si>
    <t>1ο ΗΜΕΡΗΣΙΟ ΓΥΜΝΑΣΙΟ ΑΡΑΒΗΣΣΟΥ ΠΕΛΛΑΣ</t>
  </si>
  <si>
    <t>mail@gym-araviss.pel.sch.gr</t>
  </si>
  <si>
    <t>ΑΡΑΒΗΣΣΟΣ</t>
  </si>
  <si>
    <t>ΔΗΜΟΤΙΚΟ ΣΧΟΛΕΙΟ ΑΡΑΒΗΣΣΟΥ</t>
  </si>
  <si>
    <t>1ο ΕΚ ΓΙΑΝΝΙΤΣΩΝ</t>
  </si>
  <si>
    <t>mail@sek-giann.pel.sch.gr</t>
  </si>
  <si>
    <t>ΠΕΝΤΑΠΛΑΤΑΝΟΣ</t>
  </si>
  <si>
    <t>4ο ΔΗΜΟΤΙΚΟ ΣΧΟΛΕΙΟ ΓΙΑΝΝΙΤΣΩΝ</t>
  </si>
  <si>
    <t>1ο ΗΜΕΡΗΣΙΟ ΕΠΑΛ ΚΡΥΑΣ ΒΡΥΣΗΣ</t>
  </si>
  <si>
    <t>mail@epal-kr-vrysis.pel.sch.gr</t>
  </si>
  <si>
    <t>ΒΑΣΙΛΕΩΣ ΠΑΥΛΟΥ 2</t>
  </si>
  <si>
    <t>3ο  ΔΗΜΟΤΙΚΟ ΣΧΟΛΕΙΟ ΚΡΥΑΣ ΒΡΥΣΗΣ</t>
  </si>
  <si>
    <t>ΠΕΛΛΗΣ</t>
  </si>
  <si>
    <t>ΗΜΕΡΗΣΙΟ ΓΥΜΝΑΣΙΟ ΠΕΛΛΑΣ - ΜΕΓΑΣ ΑΛΕΞΑΝΔΡΟΣ</t>
  </si>
  <si>
    <t>mail@gym-pellas.pel.sch.gr</t>
  </si>
  <si>
    <t>ΠΕΛΛΑ</t>
  </si>
  <si>
    <t>ΜΕΓΑΛΟΥ ΑΛΕΞΑΝΔΡΟΥ 5</t>
  </si>
  <si>
    <t>ΔΗΜΟΤΙΚΟ ΣΧΟΛΕΙΟ ΠΕΛΛΑΣ</t>
  </si>
  <si>
    <t>ΑΛΜΩΠΙΑΣ</t>
  </si>
  <si>
    <t>ΕΞΑΠΛΑΤΑΝΟΥ</t>
  </si>
  <si>
    <t>ΗΜΕΡΗΣΙΟ ΓΕΝΙΚΟ ΛΥΚΕΙΟ ΕΞΑΠΛΑΤΑΝΟΥ ΠΕΛΛΑΣ - ΜΕΝΕΛΑΟΣ ΛΟΥΝΤΕΜΗΣ</t>
  </si>
  <si>
    <t>mail@lyk-exapl.pel.sch.gr</t>
  </si>
  <si>
    <t>ΕΞΑΠΛΑΤΑΝΟΣ</t>
  </si>
  <si>
    <t>ΑΛΜΩΠΙΑΣ ΠΕΛΛΑΣ</t>
  </si>
  <si>
    <t>ΔΗΜΟΤΙΚΟ ΣΧΟΛΕΙΟ ΕΞΑΠΛΑΤΑΝΟΥ</t>
  </si>
  <si>
    <t>ΣΚΥΔΡΑΣ</t>
  </si>
  <si>
    <t>ΗΜΕΡΗΣΙΟ ΓΕΝΙΚΟ ΛΥΚΕΙΟ ΣΚΥΔΡΑΣ - ΓΕΩΡΓΙΟΣ ΔΗΜΟΥ</t>
  </si>
  <si>
    <t>lykskydr@sch.gr</t>
  </si>
  <si>
    <t>ΣΚΥΔΡΑ</t>
  </si>
  <si>
    <t>ΓΕΩΡΓΙΟΥ ΔΗΜΟΥ 11</t>
  </si>
  <si>
    <t>1ο ΔΗΜΟΤΙΚΟ ΣΧΟΛΕΙΟ ΣΚΥΔΡΑΣ</t>
  </si>
  <si>
    <t>ΗΜΕΡΗΣΙΟ ΓΕΝΙΚΟ ΛΥΚΕΙΟ ΚΡΥΑΣ ΒΡΥΣΗΣ ΠΕΛΛΑΣ</t>
  </si>
  <si>
    <t>mail@lyk-k-vrysis.pel.sch.gr</t>
  </si>
  <si>
    <t>ΚΡΥΑΣ ΒΡΥΣΗΣ ΠΕΛΛΑΣ</t>
  </si>
  <si>
    <t>Β. ΠΑΥΛΟΥ 2</t>
  </si>
  <si>
    <t>2ο ΓΕΝΙΚΟ ΛΥΚΕΙΟ ΓΙΑΝΝΙΤΣΩΝ - "ΑΝΝΑ ΚΟΜΝΗΝΗ"</t>
  </si>
  <si>
    <t>mail@2lyk-giann.pel.sch.gr</t>
  </si>
  <si>
    <t>ΓΙΑΝΝΙΤΣΑ</t>
  </si>
  <si>
    <t>ΕΓΝΑΤΙΑΣ 97</t>
  </si>
  <si>
    <t>3ο ΔΗΜΟΤΙΚΟ ΣΧΟΛΕΙΟ ΓΙΑΝΝΙΤΣΩΝ - ΑΓΑΘΟΒΟΥΛΕΙΟ</t>
  </si>
  <si>
    <t>ΑΡΙΔΑΙΑΣ</t>
  </si>
  <si>
    <t>ΗΜΕΡΗΣΙΟ ΓΕΝΙΚΟ ΛΥΚΕΙΟ ΑΡΙΔΑΙΑΣ ΠΕΛΛΑΣ</t>
  </si>
  <si>
    <t>mail@1lyk-aridaias.pel.sch.gr</t>
  </si>
  <si>
    <t>ΑΡΙΔΑΙΑ</t>
  </si>
  <si>
    <t>1o χλμ. ΑΡΙΔΑΙΑΣ ΕΞΑΠΛΑΤΑΝΟΥ</t>
  </si>
  <si>
    <t>1ο ΔΗΜΟΤΙΚΟ ΣΧΟΛΕΙΟ ΑΡΙΔΑΙΑΣ</t>
  </si>
  <si>
    <t>1ο ΓΕΝΙΚΟ ΛΥΚΕΙΟ ΓΙΑΝΝΙΤΣΩΝ</t>
  </si>
  <si>
    <t>mail@1lyk-giann.pel.sch.gr</t>
  </si>
  <si>
    <t>ΟΠΡΟΠΟΥΛΟΥ 1</t>
  </si>
  <si>
    <t>10ο ΔΗΜΟΤΙΚΟ ΣΧΟΛΕΙΟ ΓΙΑΝΝΙΤΣΩΝ</t>
  </si>
  <si>
    <t>ΜΕΝΗΙΔΟΣ</t>
  </si>
  <si>
    <t>ΚΑΛΗΣ</t>
  </si>
  <si>
    <t>ΗΜΕΡΗΣΙΟ ΓΕΝΙΚΟ ΛΥΚΕΙΟ ΚΑΛΗΣ ΠΕΛΛΑΣ</t>
  </si>
  <si>
    <t>mail@lyk-kalis.pel.sch.gr</t>
  </si>
  <si>
    <t>ΚΑΛΗΣ ΠΕΛΛΑΣ</t>
  </si>
  <si>
    <t>ΚΑΛΗ Ν. ΠΕΛΛΑΣ</t>
  </si>
  <si>
    <t>ΔΗΜΟΤΙΚΟ ΣΧΟΛΕΙΟ ΚΑΛΗΣ</t>
  </si>
  <si>
    <t>3ο ΗΜΕΡΗΣΙΟ ΓΕΝΙΚΟ ΛΥΚΕΙΟ ΓΙΑΝΝΙΤΣΩΝ - ΑΙΚΑΤΕΡΙΝΗ ΒΑΡΕΛΑ</t>
  </si>
  <si>
    <t>mail@3lyk-giann.pel.sch.gr</t>
  </si>
  <si>
    <t>9ο ΔΗΜΟΤΙΚΟ ΣΧΟΛΕΙΟ ΓΙΑΝΝΙΤΣΩΝ</t>
  </si>
  <si>
    <t>1ο ΗΜΕΡΗΣΙΟ ΓΕΝΙΚΟ ΛΥΚΕΙΟ ΕΔΕΣΣΑΣ - ΝΙΚΟΛΑΟΣ ΟΙΚΟΝΟΜΙΔΗΣ</t>
  </si>
  <si>
    <t>mail@1lyk-edess.pel.sch.gr</t>
  </si>
  <si>
    <t>ΕΓΝΑΤΙΑΣ 91</t>
  </si>
  <si>
    <t>5ο ΔΗΜΟΤΙΚΟ ΣΧΟΛΕΙΟ ΕΔΕΣΣΑΣ</t>
  </si>
  <si>
    <t>2ο ΗΜΕΡΗΣΙΟ ΕΠΑΛ ΓΙΑΝΝΙΤΣΑ</t>
  </si>
  <si>
    <t>mail@2epal-giann.pel.sch.gr</t>
  </si>
  <si>
    <t>2ο  ΗΜΕΡΗΣΙΟ ΓΕΝΙΚΟ ΛΥΚΕΙΟ ΕΔΕΣΣΑΣ ΠΕΛΛΑΣ  &lt;&lt; ΠΑΥΛΟΣ ΧΑΡΤΟΜΑΖΙΔΗΣ&gt;&gt;</t>
  </si>
  <si>
    <t>mail@2lyk-edess.pel.sch.gr</t>
  </si>
  <si>
    <t xml:space="preserve">ΕΔΕΣΣΑ </t>
  </si>
  <si>
    <t>ΜΕΛΙΝΑΣ ΜΕΡΚΟΥΡΗ 18</t>
  </si>
  <si>
    <t>8ο ΔΗΜΟΤΙΚΟ ΣΧΟΛΕΙΟ ΕΔΕΣΣΑΣ</t>
  </si>
  <si>
    <t>1ο ΗΜΕΡΗΣΙΟ ΕΠΑΛ ΕΔΕΣΣΑΣ</t>
  </si>
  <si>
    <t>mail@1epal-edess.pel.sch.gr</t>
  </si>
  <si>
    <t>Μ. ΜΕΡΚΟΥΡΗ 28</t>
  </si>
  <si>
    <t>1ο ΕΚ ΕΔΕΣΣΑΣ</t>
  </si>
  <si>
    <t>mail@1sek-edess.pel.sch.gr</t>
  </si>
  <si>
    <t>ΜΕΛΙΝΑΣ ΜΕΡΚΟΥΡΗ 28</t>
  </si>
  <si>
    <t>2ο ΗΜΕΡΗΣΙΟ ΓΥΜΝΑΣΙΟ ΕΔΕΣΣΑΣ ΠΕΛΛΑΣ</t>
  </si>
  <si>
    <t>mail@2gym-edess.pel.sch.gr</t>
  </si>
  <si>
    <t>ΕΓΝΑΤΙΑΣ 89</t>
  </si>
  <si>
    <t>ΒΕΓΟΡΙΤΙΔΑΣ</t>
  </si>
  <si>
    <t>ΑΡΝΙΣΣΗΣ</t>
  </si>
  <si>
    <t>ΗΜΕΡΗΣΙΟ ΓΥΜΝΑΣΙΟ Λ.Τ. ΑΡΝΙΣΣΑΣ "ΟΙΚΟΥΜΕΝΙΚΟΣ ΠΑΤΡΙΑΡΧΗΣ ΧΡΥΣΑΝΘΟΣ"</t>
  </si>
  <si>
    <t>mail@gym-arniss.pel.sch.gr</t>
  </si>
  <si>
    <t>ΑΡΝΙΣΣΑ ΠΕΛΛΑΣ</t>
  </si>
  <si>
    <t>ΑΡΝΙΣΣΑ</t>
  </si>
  <si>
    <t>ΔΗΜΟΤΙΚΟ ΣΧΟΛΕΙΟ ΑΡΝΙΣΣΑΣ</t>
  </si>
  <si>
    <t>4ο ΗΜΕΡΗΣΙΟ ΓΥΜΝΑΣΙΟ ΓΙΑΝΝΙΤΣΩΝ "Ο ΑΡΙΣΤΟΤΕΛΗΣ"</t>
  </si>
  <si>
    <t>mail@4gym-giann.pel.sch.gr</t>
  </si>
  <si>
    <t>ΓΙΑΝΝΙΤΣΩΝ ΠΕΛΛΑΣ</t>
  </si>
  <si>
    <t>Ι. ΒΑΣΙΛΕΙΑΔΗ 35</t>
  </si>
  <si>
    <t>8ο ΔΗΜΟΤΙΚΟ ΣΧΟΛΕΙΟ ΓΙΑΝΝΙΤΣΩΝ</t>
  </si>
  <si>
    <t>ΠΡΟΜΑΧΩΝ</t>
  </si>
  <si>
    <t>ΗΜΕΡΗΣΙΟ ΓΥΜΝΑΣΙΟ ΠΡΟΜΑΧΟΙ</t>
  </si>
  <si>
    <t>mail@gym-promach.pel.sch.gr</t>
  </si>
  <si>
    <t>ΠΡΟΜΑΧΟΙ</t>
  </si>
  <si>
    <t>ΔΗΜΟΤΙΚΟ ΣΧΟΛΕΙΟ ΠΡΟΜΑΧΩΝ</t>
  </si>
  <si>
    <t>ΗΜΕΡΗΣΙΟ ΓΥΜΝΑΣΙΟ ΚΑΛΗΣ ΠΕΛΛΑΣ</t>
  </si>
  <si>
    <t>mail@gym-kalis.pel.sch.gr</t>
  </si>
  <si>
    <t xml:space="preserve">ΚΑΛΗ </t>
  </si>
  <si>
    <t>ΚΑΛΗ</t>
  </si>
  <si>
    <t>1ο ΗΜΕΡΗΣΙΟ ΓΥΜΝΑΣΙΟ ΓΙΑΝΝΙΤΣΩΝ ΠΕΛΛΑΣ</t>
  </si>
  <si>
    <t>mail@1gym-giann.pel.sch.gr</t>
  </si>
  <si>
    <t>1ο ΗΜΕΡΗΣΙΟ ΓΥΜΝΑΣΙΟ ΚΡΥΑΣ ΒΡΥΣΗΣ ΠΕΛΛΑΣ "ΤΕΛΛΟΣ ΑΓΑΠΗΝΟΣ"</t>
  </si>
  <si>
    <t>mail@1gym-kr-vrysis.pel.sch.gr</t>
  </si>
  <si>
    <t>ΒΑΣ. ΠΑΥΛΟΥ 3</t>
  </si>
  <si>
    <t>ΜΥΛΟΤΟΠΟΥ</t>
  </si>
  <si>
    <t>1ο ΗΜΕΡΗΣΙΟ ΓΥΜΝΑΣΙΟ ΝΕΟΥ ΜΥΛΟΤΟΠΟΥ ΠΕΛΛΑΣ</t>
  </si>
  <si>
    <t>mail@gym-n-mylot.pel.sch.gr</t>
  </si>
  <si>
    <t>ΝΕΟΣ ΜΥΛΟΤΟΠΟΣ ΠΕΛΛΑΣ</t>
  </si>
  <si>
    <t>ΝΕΟΣ ΜΥΛΟΤΟΠΟΣ</t>
  </si>
  <si>
    <t>ΔΗΜΟΤΙΚΟ ΣΧΟΛΕΙΟ ΝΕΟΥ ΜΥΛΟΤΟΠΟΥ</t>
  </si>
  <si>
    <t>ΗΜΕΡΗΣΙΟ ΓΥΜΝΑΣΙΟ ΣΚΥΔΡΑΣ ΠΕΛΛΑΣ</t>
  </si>
  <si>
    <t>mail@1gym-skydr.pel.sch.gr</t>
  </si>
  <si>
    <t>ΕΘΝΙΚΗΣ ΑΝΤΙΣΤΑΣΗΣ 42</t>
  </si>
  <si>
    <t>3ο ΗΜΕΡΗΣΙΟ ΓΥΜΝΑΣΙΟ ΕΔΕΣΣΑΣ ΠΕΛΛΑΣ</t>
  </si>
  <si>
    <t>mail@3gym-edess.pel.sch.gr</t>
  </si>
  <si>
    <t>ΕΔΕΣΣΑ  ΠΕΛΛΑΣ</t>
  </si>
  <si>
    <t>Γ. ΡΙΤΣΟΥ 2Α - ΠΕΡΙΟΧΗ ΣΜΑΡΕΚΑ</t>
  </si>
  <si>
    <t>1ο ΗΜΕΡΗΣΙΟ ΓΥΜΝΑΣΙΟ ΕΔΕΣΣΑΣ ΠΕΛΛΑΣ</t>
  </si>
  <si>
    <t>mail@1gym-edess.pel.sch.gr</t>
  </si>
  <si>
    <t>Έδεσσα</t>
  </si>
  <si>
    <t>Περιοχή Αλώνια</t>
  </si>
  <si>
    <t>9ο ΔΗΜΟΤΙΚΟ ΣΧΟΛΕΙΟ ΕΔΕΣΣΑΣ</t>
  </si>
  <si>
    <t>2ο ΗΜΕΡΗΣΙΟ ΓΥΜΝΑΣΙΟ ΓΙΑΝΝΙΤΣΩΝ ΠΕΛΛΑΣ "ΚΥΡΙΛΛΟΣ &amp; ΜΕΘΟΔΙΟΣ"</t>
  </si>
  <si>
    <t>mail@2gym-giann.pel.sch.gr</t>
  </si>
  <si>
    <t>ΓΙΑΝΝΙΤΣΑ ΠΕΛΛΑΣ</t>
  </si>
  <si>
    <t>ΕΓΝΑΤΙΑ 97</t>
  </si>
  <si>
    <t>ΦΟΥΣΤΑΝΗΣ</t>
  </si>
  <si>
    <t>ΗΜΕΡΗΣΙΟ ΓΥΜΝΑΣΙΟ ΦΟΥΣΤΑΝΗΣ</t>
  </si>
  <si>
    <t>mail@gym-foust.pel.sch.gr</t>
  </si>
  <si>
    <t>ΦΟΥΣΤΑΝΗ ΑΛΜΩΠΙΑΣ</t>
  </si>
  <si>
    <t>ΦΟΥΣΤΑΝΗ</t>
  </si>
  <si>
    <t>2ο ΗΜΕΡΗΣΙΟ ΓΥΜΝΑΣΙΟ ΑΡΙΔΑΙΑΣ ΠΕΛΛΑΣ</t>
  </si>
  <si>
    <t>mail@2gym-aridaias.pel.sch.gr</t>
  </si>
  <si>
    <t>ΑΓΙΟΥ ΓΕΩΡΓΙΟΥ 2</t>
  </si>
  <si>
    <t>ΗΜΕΡΗΣΙΟ ΓΥΜΝΑΣΙΟ ΕΞΑΠΛΑΤΑΝΟΥ ΠΕΛΛΑΣ</t>
  </si>
  <si>
    <t>mail@gym-exapl.pel.sch.gr</t>
  </si>
  <si>
    <t>ΕΞΑΠΛΑΤΑΝΟΣ ΠΕΛΛΑΣ</t>
  </si>
  <si>
    <t>ΜΕΓΑΛΟΥ ΑΛΕΞΑΝΔΡΟΥ 49</t>
  </si>
  <si>
    <t>ΚΑΡΥΩΤΙΣΣΗΣ</t>
  </si>
  <si>
    <t>ΗΜΕΡΗΣΙΟ ΓΥΜΝΑΣΙΟ ΚΑΡΥΩΤΙΣΣΑΣ</t>
  </si>
  <si>
    <t>mail@gym-n-karyot.pel.sch.gr</t>
  </si>
  <si>
    <t>ΚΑΡΥΩΤΙΣΣΑ</t>
  </si>
  <si>
    <t>ΧΡ.ΣΑΡΡΗ 1</t>
  </si>
  <si>
    <t>ΔΗΜΟΤΙΚΟ ΣΧΟΛΕΙΟ ΚΑΡΥΩΤΙΣΣΑΣ</t>
  </si>
  <si>
    <t>1ο ΗΜΕΡΗΣΙΟ ΓΥΜΝΑΣΙΟ ΑΡΙΔΑΙΑΣ ΠΕΛΛΑΣ</t>
  </si>
  <si>
    <t>mail@1gym-aridaias.pel.sch.gr</t>
  </si>
  <si>
    <t>Αριδαία</t>
  </si>
  <si>
    <t>Διοικητηρίου 5</t>
  </si>
  <si>
    <t>3ο ΔΗΜΟΤΙΚΟ ΣΧΟΛΕΙΟ ΑΡΙΔΑΙΑΣ</t>
  </si>
  <si>
    <t>ΠΟΛΥΚΑΡΠΙΟΥ</t>
  </si>
  <si>
    <t>ΗΜΕΡΗΣΙΟ ΓΥΜΝΑΣΙΟ ΠΟΛΥΚΑΡΠΙΟΥ ΠΕΛΛΑΣ</t>
  </si>
  <si>
    <t>mail@gym-polyk.pel.sch.gr</t>
  </si>
  <si>
    <t>ΠΟΛΥΚΑΡΠΙΟ-ΑΛΜΩΠΙΑΣ</t>
  </si>
  <si>
    <t>ΠΟΛΥΚΑΡΠΙΟ</t>
  </si>
  <si>
    <t>ΔΗΜΟΤΙΚΟ ΣΧΟΛΕΙΟ ΠΟΛΥΚΑΡΠΗΣ ΠΕΛΛΑΣ</t>
  </si>
  <si>
    <t>1ο ΗΜΕΡΗΣΙΟ ΕΠΑΛ ΓΙΑΝΝΙΤΣΩΝ</t>
  </si>
  <si>
    <t>mail@1epal-giann.pel.sch.gr</t>
  </si>
  <si>
    <t>ΠΕΝΤΑΠΛΑΤΑΝΟΣ ΓΙΑΝΝΙΤΣΩΝ</t>
  </si>
  <si>
    <t>1ο ΕΚ ΑΡΙΔΑΙΑΣ</t>
  </si>
  <si>
    <t>mail@1sek-aridaias.pel.sch.gr</t>
  </si>
  <si>
    <t>ΟΔΟΣ ΑΡΙΔΑΙΑΣ-ΕΞΑΠΛΑΤΑΝΟΥ 1ΧΛΜ.</t>
  </si>
  <si>
    <t>1ο ΗΜΕΡΗΣΙΟ ΕΠΑΛ ΑΡΙΔΑΙΑΣ ΠΕΛΛΑΣ "ΝΙΚΑΝΔΡΟΣ ΠΑΠΑΪΩΑΝΝΟΥ"</t>
  </si>
  <si>
    <t>mail@1epal-aridaias.pel.sch.gr</t>
  </si>
  <si>
    <t>1o χλμ ΑΡΙΔΑΙΑΣ - ΕΞΑΠΛΑΤΑΝΟΥ</t>
  </si>
  <si>
    <t>Ε.Ε.Ε.ΕΚ ΓΙΑΝΝΙΤΣΩΝ - ΕΡΓΑΣΤΗΡΙΟ ΕΙΔΙΚΗΣ ΕΠΑΓΓΕΛΜΑΤΙΚΗΣ ΕΚΠΑΙΔΕΥΣΗΣ</t>
  </si>
  <si>
    <t>mail@eeeek-gianits.pel.sch.gr</t>
  </si>
  <si>
    <t>ΜΕΓ. ΑΛΕΞΑΝΔΡΟΥ 112</t>
  </si>
  <si>
    <t>3ο ΗΜΕΡΗΣΙΟ ΓΥΜΝΑΣΙΟ ΓΙΑΝΝΙΤΣΩΝ</t>
  </si>
  <si>
    <t>mail@3gym-giann.pel.sch.gr</t>
  </si>
  <si>
    <t>Κ. ΒΑΡΝΑΛΗ 1</t>
  </si>
  <si>
    <t>1ο ΔΗΜΟΤΙΚΟ ΣΧΟΛΕΙΟ ΓΙΑΝΝΙΤΣΩΝ</t>
  </si>
  <si>
    <t>ΕΕΕΕΚ ΕΔΕΣΣΑΣ</t>
  </si>
  <si>
    <t>mail@eeeek-edess.pel.sch.gr</t>
  </si>
  <si>
    <t>ΚΩΝΣΤΑΝΤΙΝΟΥΠΟΛΕΩΣ 72</t>
  </si>
  <si>
    <t>3ο ΔΗΜΟΤΙΚΟ ΣΧΟΛΕΙΟ ΕΔΕΣΣΑΣ</t>
  </si>
  <si>
    <t>ΠΕΤΡΑΙΑΣ</t>
  </si>
  <si>
    <t>ΓΥΜΝΑΣΙΟ ΠΕΤΡΙΑΣ - "ΧΡΗΣΤΟΣ ΣΤΟΥΓΙΑΝΝΙΔΗΣ-ΛΙΛΗΣ"</t>
  </si>
  <si>
    <t>mail@gym-petraias.pel.sch.gr</t>
  </si>
  <si>
    <t>ΠΕΤΡΑΙΑ</t>
  </si>
  <si>
    <t>ΔΗΜΟΤΙΚΟ ΣΧΟΛΕΙΟ ΠΕΤΡΑΙΑΣ</t>
  </si>
  <si>
    <t>ΕΣΠΕΡΙΝΟ ΕΠΑΛ ΓΙΑΝΝΙΤΣΩΝ</t>
  </si>
  <si>
    <t>mail@epal-esp-giannits.pel.sch.gr</t>
  </si>
  <si>
    <t>ΕΣΠΕΡΙΝΟ ΕΠΑΛ ΑΡΙΔΑΙΑΣ</t>
  </si>
  <si>
    <t>esperinoaridaias@sch.gr</t>
  </si>
  <si>
    <t>1ο ΧΛΜ ΑΡΙΔΑΙΑΣ -ΕΞΑΠΛΑΤΑΝΟΥ</t>
  </si>
  <si>
    <t>ΑΞΟΥ</t>
  </si>
  <si>
    <t>ΗΜΕΡΗΣΙΟ ΓΕΝΙΚΟ ΛΥΚΕΙΟ ΑΞΟΥ</t>
  </si>
  <si>
    <t>mail@lyk-axou.pel.sch.gr</t>
  </si>
  <si>
    <t>ΑΞΟΣ</t>
  </si>
  <si>
    <t>ΔΗΜΟΤΙΚΟ ΣΧΟΛΕΙΟ ΑΞΟΥ</t>
  </si>
  <si>
    <t>ΜΟΥΣΙΚΟ ΣΧΟΛΕΙΟ ΓΙΑΝΝΙΤΣΩΝ</t>
  </si>
  <si>
    <t>mail@gym-mous-giann.pel.sch.gr</t>
  </si>
  <si>
    <t>ΕΝΙΑΙΟ ΕΙΔΙΚΟ ΕΠΑΓΓΕΛΜΑΤΙΚΟ ΓΥΜΝΑΣΙΟ-ΛΥΚΕΙΟ ΣΚΥΔΡΑΣ</t>
  </si>
  <si>
    <t>eegskydras@sch.gr</t>
  </si>
  <si>
    <t>ΑΝΥΔΡΟ</t>
  </si>
  <si>
    <t>Ε.Ε.Ε.Ε.Κ. ΑΡΙΔΑΙΑΣ</t>
  </si>
  <si>
    <t>eeeekaridaias@sch.gr</t>
  </si>
  <si>
    <t>Παύλου Μελά 26</t>
  </si>
  <si>
    <t>ΔΙΕΥΘΥΝΣΗ Δ.Ε. ΠΙΕΡΙΑΣ</t>
  </si>
  <si>
    <t>ΕΣΠΕΡΙΝΟ ΓΥΜΝΑΣΙΟ ΚΑΤΕΡΙΝΗΣ</t>
  </si>
  <si>
    <t>mail@gym-esp-kater.pie.sch.gr</t>
  </si>
  <si>
    <t xml:space="preserve"> ΚΑΤΕΡΙΝΗ</t>
  </si>
  <si>
    <t>ΕΙΡΗΝΗΣ 34</t>
  </si>
  <si>
    <t>1ο ΔΗΜΟΤΙΚΟ ΣΧΟΛΕΙΟ ΚΑΤΕΡΙΝΗΣ</t>
  </si>
  <si>
    <t>ΔΙΟΥ-ΟΛΥΜΠΟΥ</t>
  </si>
  <si>
    <t>ΑΝΑΤΟΛΙΚΟΥ ΟΛΥΜΠΟΥ</t>
  </si>
  <si>
    <t>ΠΛΑΤΑΜΩΝΟΣ</t>
  </si>
  <si>
    <t>ΗΜΕΡΗΣΙΟ ΓΥΜΝΑΣΙΟ ΠΛΑΤΑΜΩΝΑ ΠΙΕΡΙΑΣ</t>
  </si>
  <si>
    <t>mail@gym-platam.pie.sch.gr</t>
  </si>
  <si>
    <t>ΠΛΑΤΑΜΩΝΑΣ ΠΙΕΡΙΑΣ</t>
  </si>
  <si>
    <t>ΣΤΑΔΙΟΥ,</t>
  </si>
  <si>
    <t>ΔΗΜΟΤΙΚΟ ΣΧΟΛΕΙΟ ΠΛΑΤΑΜΩΝΑ</t>
  </si>
  <si>
    <t>ΠΥΔΝΑΣ-ΚΟΛΙΝΔΡΟΥ</t>
  </si>
  <si>
    <t>ΚΟΛΙΝΔΡΟΥ</t>
  </si>
  <si>
    <t>ΗΜΕΡΗΣΙΟ ΓΥΜΝΑΣΙΟ ΚΟΛΙΝΔΡΟΥ ΠΙΕΡΙΑΣ</t>
  </si>
  <si>
    <t>mail@gym-kolindr.pie.sch.gr</t>
  </si>
  <si>
    <t>Κολινδρός</t>
  </si>
  <si>
    <t>Αγίου Δημητρίου  92</t>
  </si>
  <si>
    <t>ΑΙΓΙΝΙΟΥ</t>
  </si>
  <si>
    <t>2ο  ΔΗΜΟΤΙΚΟ ΣΧΟΛΕΙΟ ΚΟΛΙΝΔΡΟΥ</t>
  </si>
  <si>
    <t>4ο ΗΜΕΡΗΣΙΟ ΓΥΜΝΑΣΙΟ ΚΑΤΕΡΙΝΗΣ ΠΙΕΡΙΑΣ</t>
  </si>
  <si>
    <t>mail@4gym-kater.pie.sch.gr</t>
  </si>
  <si>
    <t>ΚΑΤΕΡΙΝΗ ΠΙΕΡΙΑΣ</t>
  </si>
  <si>
    <t>ΜΗΤΡΟΠΟΛΕΩΣ 2</t>
  </si>
  <si>
    <t>2ο ΔΗΜΟΤΙΚΟ ΣΧΟΛΕΙΟ ΚΑΤΕΡΙΝΗΣ                                                                                                                                                       «Χρίστος Τσολάκης»</t>
  </si>
  <si>
    <t>ΛΙΤΟΧΩΡΟΥ</t>
  </si>
  <si>
    <t>ΗΜΕΡΗΣΙΟ ΓΕΝΙΚΟ ΛΥΚΕΙΟ ΛΙΤΟΧΩΡΟΥ</t>
  </si>
  <si>
    <t>mail@lyk-litoch.pie.sch.gr</t>
  </si>
  <si>
    <t>ΔΙΟΥ 29</t>
  </si>
  <si>
    <t>3ο ΔΗΜΟΤΙΚΟ ΣΧΟΛΕΙΟ ΛΙΤΟΧΩΡΟΥ</t>
  </si>
  <si>
    <t>ΕΚ ΚΑΤΕΡΙΝΗΣ</t>
  </si>
  <si>
    <t>mail@1sek-pierias.pie.sch.gr</t>
  </si>
  <si>
    <t>ΚΑΤΕΡΙΝΗ</t>
  </si>
  <si>
    <t>Τ.ΤΕΡΖΟΠΟΥΛΟΥ  150</t>
  </si>
  <si>
    <t>18ο ΔΗΜΟΤΙΚΟ ΣΧΟΛΕΙΟ ΚΑΤΕΡΙΝΗΣ</t>
  </si>
  <si>
    <t>ΗΜΕΡΗΣΙΟ ΕΠΑΓΓΕΛΜΑΤΙΚΟ ΛΥΚΕΙΟ ΑΙΓΙΝΙΟΥ</t>
  </si>
  <si>
    <t>1epal-aigin@sch.gr</t>
  </si>
  <si>
    <t>ΠΛΑΤΕΙΑ ΑΓΙΟΥ ΑΝΔΡΕΑ 1</t>
  </si>
  <si>
    <t>2ο ΔΗΜΟΤΙΚΟ ΣΧΟΛΕΙΟ ΑΙΓΙΝΙΟΥ</t>
  </si>
  <si>
    <t>7ο ΗΜΕΡΗΣΙΟ ΓΥΜΝΑΣΙΟ ΚΑΤΕΡΙΝΗΣ ΠΙΕΡΙΑΣ</t>
  </si>
  <si>
    <t>mail@7gym-kater.pie.sch.gr</t>
  </si>
  <si>
    <t>ΚΑΤΕΡΙΝΗΣ ΠΙΕΡΙΑΣ</t>
  </si>
  <si>
    <t>ΔΕΚΑΤΗΣ ΕΝΑΤΗΣ ΜΑΪΟΥ 1</t>
  </si>
  <si>
    <t>ΟΛΟΗΜΕΡΟ ΔΗΜΟΤΙΚΟ ΣΧΟΛΕΙΟ ΠΕΡΙΣΤΑΣΗΣ</t>
  </si>
  <si>
    <t>ΔΙΟΥ</t>
  </si>
  <si>
    <t>ΚΟΝΤΑΡΙΩΤΙΣΣΗΣ</t>
  </si>
  <si>
    <t>ΗΜΕΡΗΣΙΟ ΓΕΝΙΚΟ ΛΥΚΕΙΟ ΚΟΝΤΑΡΙΩΤΙΣΣΑΣ</t>
  </si>
  <si>
    <t>mail@lyk-kontar.pie.sch.gr</t>
  </si>
  <si>
    <t>ΚΟΝΤΑΡΙΩΤΙΣΣΑ</t>
  </si>
  <si>
    <t>ΔΗΜΟΤΙΚΟ ΣΧΟΛΕΙΟ ΚΟΝΤΑΡΙΩΤΙΣΣΑΣ</t>
  </si>
  <si>
    <t>ΕΣΠΕΡΙΝΟ ΕΠΑΛ ΚΑΤΕΡΙΝΗ ΠΙΕΡΙΑΣ</t>
  </si>
  <si>
    <t>mail@epal-esp-kater.pie.sch.gr</t>
  </si>
  <si>
    <t>Τ. ΤΕΡΖΟΠΟΥΛΟΥ 150</t>
  </si>
  <si>
    <t>1ο ΗΜΕΡΗΣΙΟ ΕΠΑΛ ΚΑΤΕΡΙΝΗΣ</t>
  </si>
  <si>
    <t>1epal-kater@sch.gr</t>
  </si>
  <si>
    <t>ΤΑΚΗ ΤΕΡΖΟΠΟΥΛΟΥ 150</t>
  </si>
  <si>
    <t>3ο ΗΜΕΡΗΣΙΟ ΓΕΝΙΚΟ ΛΥΚΕΙΟ ΚΑΤΕΡΙΝΗΣ ΠΙΕΡΙΑΣ</t>
  </si>
  <si>
    <t>mail@3lyk-kater.pie.sch.gr</t>
  </si>
  <si>
    <t>ΜΙΛΗΤΟΥ  1</t>
  </si>
  <si>
    <t>10ο ΔΗΜΟΤΙΚΟ ΣΧΟΛΕΙΟ ΚΑΤΕΡΙΝΗΣ</t>
  </si>
  <si>
    <t>1ο ΗΜΕΡΗΣΙΟ ΓΕΝΙΚΟ ΛΥΚΕΙΟ ΚΑΤΕΡΙΝΗΣ ΠΙΕΡΙΑΣ</t>
  </si>
  <si>
    <t>mail@1lyk-kater.pie.sch.gr</t>
  </si>
  <si>
    <t>ΚΛΕΙΣΟΥΡΑΣ 48</t>
  </si>
  <si>
    <t>9ο ΟΛΟΗΜΕΡΟ ΔΗΜΟΤΙΚΟ ΣΧΟΛΕΙΟ ΚΑΤΕΡΙΝΗΣ</t>
  </si>
  <si>
    <t>2ο ΗΜΕΡΗΣΙΟ ΓΕΝΙΚΟ ΛΥΚΕΙΟ ΚΑΤΕΡΙΝΗΣ ΠΙΕΡΙΑΣ - ΑΡΙΣΤΟΤΕΛΕΙΟ</t>
  </si>
  <si>
    <t>mail@2lyk-kater.pie.sch.gr</t>
  </si>
  <si>
    <t>ΗΠΕΙΡΟΥ 10</t>
  </si>
  <si>
    <t>2ο ΕΠΑΓΓΕΛΜΑΤΙΚΟ ΛΥΚΕΙΟ ΚΑΤΕΡΙΝΗΣ</t>
  </si>
  <si>
    <t>2epal-kater@sch.gr</t>
  </si>
  <si>
    <t>Ν. ΚΕΡΑΜΙΔΙ</t>
  </si>
  <si>
    <t>ΔΗΜΟΤΙΚΟ ΣΧΟΛΕΙΟ ΑΝΔΡΟΜΑΧΗΣ</t>
  </si>
  <si>
    <t>ΗΜΕΡΗΣΙΟ ΓΕΝΙΚΟ ΛΥΚΕΙΟ ΑΙΓΙΝΙΟΥ ΠΙΕΡΙΑΣ</t>
  </si>
  <si>
    <t>mail@lyk-aigin.pie.sch.gr</t>
  </si>
  <si>
    <t>ΑΙΓΙΝΙΟ ΠΙΕΡΙΑΣ</t>
  </si>
  <si>
    <t>ΑΚΡΟΠΟΛΕΩΣ 1</t>
  </si>
  <si>
    <t>ΕΣΠΕΡΙΝΟ ΓΕΝΙΚΟ ΛΥΚΕΙΟ ΚΑΤΕΡΙΝΗΣ ΠΙΕΡΙΑΣ</t>
  </si>
  <si>
    <t>mail@lyk-esp-kater.pie.sch.gr</t>
  </si>
  <si>
    <t>ΗΜΕΡΗΣΙΟ ΓΕΝΙΚΟ ΛΥΚΕΙΟ ΚΟΛΙΝΔΡΟΥ ΠΙΕΡΙΑΣ - ΚΥΠΑΡΙΣΣΟΠΟΥΛΕΙΟ</t>
  </si>
  <si>
    <t>mail@lyk-kolindr.pie.sch.gr</t>
  </si>
  <si>
    <t>ΚΟΛΙΝΔΡΟΣ ΠΙΕΡΙΑΣ</t>
  </si>
  <si>
    <t>ΑΓ. ΔΗΜΗΤΡΙΟΥ 92</t>
  </si>
  <si>
    <t>4ο ΗΜΕΡΗΣΙΟ ΓΕΝΙΚΟ ΛΥΚΕΙΟ ΚΑΤΕΡΙΝΗΣ</t>
  </si>
  <si>
    <t>mail@4lyk-kater.pie.sch.gr</t>
  </si>
  <si>
    <t>ΠΕΡΙΣΤΑΣΗΣ</t>
  </si>
  <si>
    <t>ΗΜΕΡΗΣΙΟ ΓΥΜΝΑΣΙΟ ΠΕΡΙΣΤΑΣΗΣ ΠΙΕΡΙΑΣ</t>
  </si>
  <si>
    <t>mail@gym-perist.pie.sch.gr</t>
  </si>
  <si>
    <t>ΠΕΡΙΣΤΑΣΗ ΠΙΕΡΙΑΣ</t>
  </si>
  <si>
    <t>ΟΛΥΜΠΟΥ 2</t>
  </si>
  <si>
    <t>ΠΙΕΡΙΩΝ</t>
  </si>
  <si>
    <t>ΡΗΤΙΝΗΣ</t>
  </si>
  <si>
    <t>ΗΜΕΡΗΣΙΟ ΓΥΜΝΑΣΙΟ ΡΗΤΙΝΗΣ ΠΙΕΡΙΑΣ</t>
  </si>
  <si>
    <t>mail@gym-ritin.pie.sch.gr</t>
  </si>
  <si>
    <t>ΡΗΤΙΝΗ ΠΙΕΡΙΑΣ</t>
  </si>
  <si>
    <t>ΡΗΤΙΝΗ</t>
  </si>
  <si>
    <t>Δημοτικό Σχολείο Ρητίνης</t>
  </si>
  <si>
    <t>1ο ΗΜΕΡΗΣΙΟ ΓΥΜΝΑΣΙΟ ΚΑΤΕΡΙΝΗΣ ΠΙΕΡΙΑΣ</t>
  </si>
  <si>
    <t>mail@1gym-kater.pie.sch.gr</t>
  </si>
  <si>
    <t>ΜΗΛΙΑΣ</t>
  </si>
  <si>
    <t>ΗΜΕΡΗΣΙΟ ΓΥΜΝΑΣΙΟ ΚΑΤΩ ΜΗΛΙΑΣ ΠΙΕΡΙΑΣ</t>
  </si>
  <si>
    <t>mail@gym-k-milias.pie.sch.gr</t>
  </si>
  <si>
    <t>ΚΑΤΩ ΜΗΛΙΑ ΠΙΕΡΙΑΣ</t>
  </si>
  <si>
    <t>ΟΛΟΗΜΕΡΟ ΔΗΜΟΤΙΚΟ ΣΧΟΛΕΙΟ ΚΑΤΩ ΜΗΛΙΑΣ</t>
  </si>
  <si>
    <t>ΗΜΕΡΗΣΙΟ ΓΥΜΝΑΣΙΟ ΛΕΠΤΟΚΑΡΥΑΣ ΠΙΕΡΙΑΣ</t>
  </si>
  <si>
    <t>mail@gym-leptok.pie.sch.gr</t>
  </si>
  <si>
    <t>ΛΕΠΤΟΚΑΡΥΑΣ ΠΙΕΡΙΑΣ</t>
  </si>
  <si>
    <t>ΑΝΤΩΝΙΟΥ ΣΒΩΚΟΥ 1</t>
  </si>
  <si>
    <t>2ο  ΔΗΜΟΤΙΚΟ ΣΧΟΛΕΙΟ ΛΕΠΤΟΚΑΡΥΑΣ</t>
  </si>
  <si>
    <t>ΗΜΕΡΗΣΙΟ ΓΥΜΝΑΣΙΟ ΚΟΝΤΑΡΙΩΤΙΣΣΑΣ ΠΙΕΡΙΑΣ</t>
  </si>
  <si>
    <t>mail@gym-kontar.pie.sch.gr</t>
  </si>
  <si>
    <t>ΚΟΝΤΑΡΙΩΤΙΣΣΑ ΠΙΕΡΙΑΣ</t>
  </si>
  <si>
    <t>ΠΥΔΝΑΣ</t>
  </si>
  <si>
    <t>ΑΛΩΝΙΩΝ</t>
  </si>
  <si>
    <t>ΗΜΕΡΗΣΙΟ ΓΥΜΝΑΣΙΟ ΑΛΩΝΙΑ ΠΙΕΡΙΑΣ - ΒΘΜΙΑΣ ΔΗΜΟΥ ΠΥΔΝΑΣ - ΚΟΛΙΝΔΡΟΥ</t>
  </si>
  <si>
    <t>mail@gym-alonion.pie.sch.gr</t>
  </si>
  <si>
    <t>ΑΛΩΝΙΑ ΠΙΕΡΙΑΣ</t>
  </si>
  <si>
    <t>ΟΛΟΗΜΕΡΟ ΔΗΜΟΤΙΚΟ ΣΧΟΛΕΙΟ ΣΦΕΝΔΑΜΗΣ - ΣΩΠΙΑΔΗΣ ΜΩΥΣΗΣ</t>
  </si>
  <si>
    <t>5ο ΗΜΕΡΗΣΙΟ ΓΥΜΝΑΣΙΟ ΚΑΤΕΡΙΝΗΣ</t>
  </si>
  <si>
    <t>mail@5gym-kater.pie.sch.gr</t>
  </si>
  <si>
    <t>6ο ΗΜΕΡΗΣΙΟ ΓΥΜΝΑΣΙΟ ΚΑΤΕΡΙΝΗΣ ΠΙΕΡΙΑΣ - 3901026</t>
  </si>
  <si>
    <t>mail@6gym-kater.pie.sch.gr</t>
  </si>
  <si>
    <t>ΕΡΓΑΤΙΚΕΣ ΚΑΤΟΙΚΙΕΣ ΜΥΛΑΥΛΑΚΟΥ</t>
  </si>
  <si>
    <t>12ο ΔΗΜΟΤΙΚΟ ΣΧΟΛΕΙΟ ΚΑΤΕΡΙΝΗΣ</t>
  </si>
  <si>
    <t>2ο ΗΜΕΡΗΣΙΟ ΓΥΜΝΑΣΙΟ ΚΑΤΕΡΙΝΗΣ ΠΙΕΡΙΑΣ</t>
  </si>
  <si>
    <t>mail@2gym-kater.pie.sch.gr</t>
  </si>
  <si>
    <t>3ο ΗΜΕΡΗΣΙΟ ΓΥΜΝΑΣΙΟ ΚΑΤΕΡΙΝΗΣ ΠΙΕΡΙΑΣ</t>
  </si>
  <si>
    <t>mail@3gym-kater.pie.sch.gr</t>
  </si>
  <si>
    <t>ΓΩΝΙΑ ΜΙΛΗΤΟΥ ΚΑΙ Α ΠΑΡ ΜΙΛΗΤΟΥ</t>
  </si>
  <si>
    <t>ΗΜΕΡΗΣΙΟ ΓΥΜΝΑΣΙΟ ΑΙΓΙΝΙΟΥ ΠΙΕΡΙΑΣ</t>
  </si>
  <si>
    <t>mail@gym-aigin.pie.sch.gr</t>
  </si>
  <si>
    <t>ΜΕΘΩΝΗΣ</t>
  </si>
  <si>
    <t>ΜΑΚΡΥΓΙΑΛΟΥ</t>
  </si>
  <si>
    <t>ΗΜΕΡΗΣΙΟ ΓΥΜΝΑΣΙΟ ΜΑΚΡΥΓΙΑΛΟΥ ΠΙΕΡΙΑΣ</t>
  </si>
  <si>
    <t>mail@gym-makryg.pie.sch.gr</t>
  </si>
  <si>
    <t>Μακρύγιαλος</t>
  </si>
  <si>
    <t>ΔΗΜΟΤΙΚΟ ΣΧΟΛΕΙΟ ΜΑΚΡΥΓΙΑΛΟΥ ΠΙΕΡΙΑΣ 9390027</t>
  </si>
  <si>
    <t>ΗΜΕΡΗΣΙΟ ΓΥΜΝΑΣΙΟ ΛΙΤΟΧΩΡΟΥ ΠΙΕΡΙΑΣ</t>
  </si>
  <si>
    <t>mail@gym-litoch.pie.sch.gr</t>
  </si>
  <si>
    <t>ΛΙΤΟΧΩΡΟΥ ΠΙΕΡΙΑΣ</t>
  </si>
  <si>
    <t>ΓΑΝΟΧΩΡΑΣ</t>
  </si>
  <si>
    <t>ΓΑΝΟΧΩΡΑ</t>
  </si>
  <si>
    <t>ΚΟΡΙΝΟΥ</t>
  </si>
  <si>
    <t>ΗΜΕΡΗΣΙΟ ΓΥΜΝΑΣΙΟ ΚΟΡΙΝΟΥ ΠΙΕΡΙΑΣ - ΓΥΜΝΑΣΙΟ ΚΟΡΙΝΟΥ</t>
  </si>
  <si>
    <t>mail@gym-korin.pie.sch.gr</t>
  </si>
  <si>
    <t>ΚΟΡΙΝΟΣ ΠΙΕΡΙΑΣ</t>
  </si>
  <si>
    <t>ΔΗΜΟΤΙΚΟ ΣΧΟΛΕΙΟ ΚΟΡΙΝΟΥ</t>
  </si>
  <si>
    <t>ΜΟΥΣΙΚΟ ΣΧΟΛΕΙΟ ΚΑΤΕΡΙΝΗΣ</t>
  </si>
  <si>
    <t>mail@gym-mous-kater.pie.sch.gr</t>
  </si>
  <si>
    <t>ΕΘΝΙΚΟΥ ΣΤΑΔΙΟΥ 1</t>
  </si>
  <si>
    <t>ΕΕΕΕΚ ΚΑΤΕΡΙΝΗ ΠΙΕΡΙΑΣ</t>
  </si>
  <si>
    <t>email@eeeek.pie.sch.gr</t>
  </si>
  <si>
    <t>ΝΕΟ ΚΕΡΑΜΙΔΙ</t>
  </si>
  <si>
    <t>ΗΜΕΡΗΣΙΟ ΓΕΝΙΚΟ ΛΥΚΕΙΟ ΛΕΠΤΟΚΑΡΥΑΣ</t>
  </si>
  <si>
    <t>mail@lyk-leptok.pie.sch.gr</t>
  </si>
  <si>
    <t>Α. ΣΒΩΚΟΥ  1</t>
  </si>
  <si>
    <t>1ο  ΔΗΜΟΤΙΚΟ ΣΧΟΛΕΙΟ ΛΕΠΤΟΚΑΡΥΑΣ</t>
  </si>
  <si>
    <t>ΕΝΙΑΙΟ ΕΙΔΙΚΟ ΕΠΑΓΓΕΛΜΑΤΙΚΟ ΓΥΜΝΑΣΙΟ ΚΑΙ ΛΥΚΕΙΟ ΚΑΤΕΡΙΝΗΣ</t>
  </si>
  <si>
    <t>mail@tee-eid-agogis-kater.pie.sch.gr</t>
  </si>
  <si>
    <t>Τ. ΤΕΡΖΟΠΟΥΛΟΥ  150</t>
  </si>
  <si>
    <t>5ο ΗΜΕΡΗΣΙΟ ΓΕΝΙΚΟ ΛΥΚΕΙΟ ΚΑΤΕΡΙΝΗΣ</t>
  </si>
  <si>
    <t>mail@5lyk-kater.pie.sch.gr</t>
  </si>
  <si>
    <t>ΗΠΕΙΡΟΥ  10</t>
  </si>
  <si>
    <t>ΗΜΕΡΗΣΙΟ ΓΕΝΙΚΟ ΛΥΚΕΙΟ ΚΟΡΙΝΟΥ</t>
  </si>
  <si>
    <t>mail@lyk-korin.pie.sch.gr</t>
  </si>
  <si>
    <t>ΚΟΡΙΝΟΣ</t>
  </si>
  <si>
    <t>ΓΥΜΝΑΣΤΗΡΙΟΥ</t>
  </si>
  <si>
    <t>ΗΜΕΡΗΣΙΟ ΓΕΝΙΚΟ ΛΥΚΕΙΟ ΚΑΤΩ ΜΗΛΙΑΣ</t>
  </si>
  <si>
    <t>mail@lyk-kat-milias.pie.sch.gr</t>
  </si>
  <si>
    <t>ΚΑΤΩ ΜΗΛΙΑ</t>
  </si>
  <si>
    <t>ΔΙΕΥΘΥΝΣΗ Δ.Ε. ΣΕΡΡΩΝ</t>
  </si>
  <si>
    <t>ΣΙΝΤΙΚΗΣ</t>
  </si>
  <si>
    <t>ΑΧΛΑΔΟΧΩΡΙΟΥ</t>
  </si>
  <si>
    <t>ΓΥΜΝΑΣΙΟ ΑΧΛΑΔΟΧΩΡΙΟΥ ΣΕΡΡΩΝ</t>
  </si>
  <si>
    <t>mail@gym-achlad.ser.sch.gr</t>
  </si>
  <si>
    <t>ΑΧΛΑΔΟΧΩΡΙ ΣΕΡΡΩΝ</t>
  </si>
  <si>
    <t>ΣΙΔΗΡΟΚΑΣΤΡΟΥ</t>
  </si>
  <si>
    <t>ΔΗΜΟΤΙΚΟ ΣΧΟΛΕΙΟ ΑΧΛΑΔΟΧΩΡΙΟΥ</t>
  </si>
  <si>
    <t>ΓΕΝΙΚΟ ΛΥΚΕΙΟ ΗΡΑΚΛΕΙΑΣ ΣΕΡΡΩΝ</t>
  </si>
  <si>
    <t>mail@lyk-irakl.ser.sch.gr</t>
  </si>
  <si>
    <t>ΗΡΑΚΛΕΙΑ ΣΕΡΡΩΝ</t>
  </si>
  <si>
    <t>Κ. ΚΑΡΑΜΑΝΛΗ 6</t>
  </si>
  <si>
    <t>2ο ΔΗΜΟΤΙΚΟ ΣΧΟΛΕΙΟ ΗΡΑΚΛΕΙΑΣ</t>
  </si>
  <si>
    <t>ΚΕΡΚΙΝΗΣ</t>
  </si>
  <si>
    <t>ΚΑΤΩ ΠΟΡΟΙΩΝ</t>
  </si>
  <si>
    <t>ΗΜΕΡΗΣΙΟ ΓΕΝΙΚΟ ΛΥΚΕΙΟ ΚΑΤΩ ΠΟΡΟΪΩΝ ΣΕΡΡΩΝ</t>
  </si>
  <si>
    <t>mail@lyk-k-poroion.ser.sch.gr</t>
  </si>
  <si>
    <t>ΚΑΤΩ ΠΟΡΟΪΑ</t>
  </si>
  <si>
    <t>ΚΑΤΩ ΠΟΡΟΪΑ ΣΕΡΡΩΝ</t>
  </si>
  <si>
    <t>ΔΗΜΟΤΙΚΟ ΣΧΟΛΕΙΟ ΑΝΩ ΠΟΡΟΪΩΝ</t>
  </si>
  <si>
    <t>ΚΑΠΕΤΑΝ  ΜΗΤΡΟΥΣΙΟΥ</t>
  </si>
  <si>
    <t>ΠΡΟΒΑΤΑ</t>
  </si>
  <si>
    <t>ΓΕΝΙΚΟ ΛΥΚΕΙΟ ΠΡΟΒΑΤΑ ΣΕΡΡΩΝ</t>
  </si>
  <si>
    <t>lykprova@sch.gr</t>
  </si>
  <si>
    <t>ΠΡΟΒΑΤΑΣ</t>
  </si>
  <si>
    <t>ΤΥΡΟΛΟΗΣ 8</t>
  </si>
  <si>
    <t>ΔΗΜΟΤΙΚΟ ΣΧΟΛΕΙΟ ΠΡΟΒΑΤΑ</t>
  </si>
  <si>
    <t>ΛΙΒΑΔΙΑΣ</t>
  </si>
  <si>
    <t>ΓΥΜΝΑΣΙΟ ΛΙΒΑΔΙΑΣ ΣΕΡΡΩΝ</t>
  </si>
  <si>
    <t>mail@gym-livad.ser.sch.gr</t>
  </si>
  <si>
    <t>ΛΙΒΑΔΙΑ ΣΕΡΡΩΝ</t>
  </si>
  <si>
    <t>ΔΗΜΟΤΙΚΟ ΣΧΟΛΕΙΟ ΚΕΡΚΙΝΗΣ</t>
  </si>
  <si>
    <t>ΣΚΟΤΟΥΣΣΗΣ</t>
  </si>
  <si>
    <t>ΓΥΜΝΑΣΙΟ ΣΚΟΤΟΥΣΣΗΣ ΣΕΡΡΩΝ</t>
  </si>
  <si>
    <t>mail@gym-skotous.ser.sch.gr</t>
  </si>
  <si>
    <t>ΣΚΟΤΟΥΣΣΑ</t>
  </si>
  <si>
    <t>ΣΚΟΤΟΥΣΣΑ ΣΕΡΡΩΝ</t>
  </si>
  <si>
    <t>ΔΗΜΟΤΙΚΟ ΣΧΟΛΕΙΟ ΣΚΟΤΟΥΣΣΗΣ</t>
  </si>
  <si>
    <t>ΕΜΜΑΝΟΥΗΛ ΠΑΠΠΑ</t>
  </si>
  <si>
    <t>ΝΕΟΥ ΣΟΥΛΙΟΥ</t>
  </si>
  <si>
    <t>ΓΥΜΝΑΣΙΟ ΝΕΟΥ ΣΟΥΛΙΟΥ ΣΕΡΡΩΝ</t>
  </si>
  <si>
    <t>mail@gym-n-souliou.ser.sch.gr</t>
  </si>
  <si>
    <t>ΝΕΟ ΣΟΥΛΙ ΣΕΡΡΩΝ</t>
  </si>
  <si>
    <t>6/Θ ΔΗΜΟΤΙΚΟ ΣΧΟΛΕΙΟ ΑΝΩ ΜΗΤΡΟΥΣΙΟΥ</t>
  </si>
  <si>
    <t>ΠΕΤΡΙΤΣΙΟΥ</t>
  </si>
  <si>
    <t>ΒΥΡΩΝΕΙΑΣ</t>
  </si>
  <si>
    <t>ΓΕΝΙΚΟ ΛΥΚΕΙΟ ΒΥΡΩΝΕΙΑΣ ΣΕΡΡΩΝ</t>
  </si>
  <si>
    <t>mail@lyk-vyron.ser.sch.gr</t>
  </si>
  <si>
    <t>ΒΥΡΩΝΕΙΑ</t>
  </si>
  <si>
    <t>ΔΗΜΟΤΙΚΟ ΣΧΟΛΕΙΟ ΒΥΡΩΝΕΙΑΣ</t>
  </si>
  <si>
    <t>1ο ΕΠΑΛ ΣΕΡΡΩΝ</t>
  </si>
  <si>
    <t>mail@1epal-serron.ser.sch.gr</t>
  </si>
  <si>
    <t>ΕΘΝ. ΟΔΟΣ ΣΕΡΡΩΝ - ΘΕΣΣΑΛΟΝΙΚΗΣ 1 ΧΙΛ.</t>
  </si>
  <si>
    <t>ΜΕΡΑΡΧΙΑΣ 153</t>
  </si>
  <si>
    <t>11ο ΔΗΜΟΤΙΚΟ ΣΧΟΛΕΙΟ ΣΕΡΡΩΝ</t>
  </si>
  <si>
    <t>ΕΠΑ.Λ. ΡΟΔΟΠΟΛΗΣ ΣΕΡΡΩΝ</t>
  </si>
  <si>
    <t>epal-rodop@sch.gr</t>
  </si>
  <si>
    <t>ΔΗΜΟΤΙΚΟ ΣΧΟΛΕΙΟ ΡΟΔΟΠΟΛΗΣ</t>
  </si>
  <si>
    <t>ΝΕΑΣ ΖΙΧΝΗΣ</t>
  </si>
  <si>
    <t>ΕΠΑΛ ΝΕΑΣ ΖΙΧΝΗΣ ΣΕΡΡΩΝ</t>
  </si>
  <si>
    <t>mail@1epal-n-zichn.ser.sch.gr</t>
  </si>
  <si>
    <t>ΝΕΑ ΖΙΧΝΗ</t>
  </si>
  <si>
    <t>ΔΗΜΟΤΙΚΟ ΣΧΟΛΕΙΟ ΝΕΑΣ ΖΙΧΝΗΣ</t>
  </si>
  <si>
    <t>ΠΕΝΤΑΠΟΛΕΩΣ</t>
  </si>
  <si>
    <t>ΓΕΝΙΚΟ ΛΥΚΕΙΟ ΠΕΝΤΑΠΟΛΗΣ ΣΕΡΡΩΝ</t>
  </si>
  <si>
    <t>mail@lyk-pentap.ser.sch.gr</t>
  </si>
  <si>
    <t>ΠΕΝΤΑΠΟΛΗ</t>
  </si>
  <si>
    <t>ΠΕΝΤΑΠΟΛΗ ΣΕΡΡΩΝ</t>
  </si>
  <si>
    <t>ΔΗΜΟΤΙΚΟ ΣΧΟΛΕΙΟ ΠΕΝΤΑΠΟΛΕΩΣ</t>
  </si>
  <si>
    <t>ΣΤΡΥΜΩΝΑ</t>
  </si>
  <si>
    <t>ΝΕΟΥ ΣΚΟΠΟΥ</t>
  </si>
  <si>
    <t>ΓΕΝΙΚΟ ΛΥΚΕΙΟ ΝΕΟΥ ΣΚΟΠΟΥ</t>
  </si>
  <si>
    <t>mail@lyk-n-skopou.ser.sch.gr</t>
  </si>
  <si>
    <t>ΝΕΟΣ ΣΚΟΠΟΣ</t>
  </si>
  <si>
    <t>ΒΑΣΙΛΕΙΟΥ ΚΑΚΑΛΕΤΣΗ 1</t>
  </si>
  <si>
    <t>ΔΗΜΟΤΙΚΟ ΣΧΟΛΕΙΟ ΝΕΟΥ ΣΚΟΠΟΥ</t>
  </si>
  <si>
    <t>ΒΙΣΑΛΤΙΑΣ</t>
  </si>
  <si>
    <t>ΝΙΓΡΙΤΗΣ</t>
  </si>
  <si>
    <t>ΕΚ ΝΙΓΡΙΤΑΣ ΣΕΡΡΩΝ</t>
  </si>
  <si>
    <t>1seknigr@ser.sch.gr</t>
  </si>
  <si>
    <t>ΝΙΓΡΙΤΑΣ</t>
  </si>
  <si>
    <t>ΙΟΥΣΤΙΝΙΑΝΟΥ 7</t>
  </si>
  <si>
    <t>2ο ΔΗΜΟΤΙΚΟ ΣΧΟΛΕΙΟ ΝΙΓΡΙΤΑΣ</t>
  </si>
  <si>
    <t>ΕΠΑΛ ΝΙΓΡΙΤΑΣ</t>
  </si>
  <si>
    <t>1epal-nigrit@sch.gr</t>
  </si>
  <si>
    <t>ΝΙΓΡΙΤΑ</t>
  </si>
  <si>
    <t>4ο ΓΕΝΙΚΟ ΛΥΚΕΙΟ ΣΕΡΡΩΝ</t>
  </si>
  <si>
    <t>mail@4lyk-serron.ser.sch.gr</t>
  </si>
  <si>
    <t>ΔΑΓΚΛΗ - ΣΙΝΩΠΗΣ 1</t>
  </si>
  <si>
    <t>Κιλκίς 9</t>
  </si>
  <si>
    <t>1ο ΔΗΜΟΤΙΚΟ ΣΧΟΛΕΙΟ ΣΕΡΡΩΝ</t>
  </si>
  <si>
    <t>ΕΠΑΛ ΣΙΔΗΡΟΚΑΣΤΡΟΥ ΣΕΡΡΩΝ</t>
  </si>
  <si>
    <t>mail@epal-sidir.ser.sch.gr</t>
  </si>
  <si>
    <t>ΣΙΔΗΡΟΚΑΣΤΡΟ ΣΕΡΡΩΝ</t>
  </si>
  <si>
    <t>ΤΕΡΜΑ ΒΑΣ. ΓΕΩΡΓΙΟΥ</t>
  </si>
  <si>
    <t>3ο ΔΗΜΟΤΙΚΟ ΣΧΟΛΕΙΟ ΣΙΔΗΡΟΚΑΣΤΡΟΥ</t>
  </si>
  <si>
    <t>ΣΚΟΥΤΑΡΕΩΣ</t>
  </si>
  <si>
    <t>ΓΕΝΙΚΟ ΛΥΚΕΙΟ ΣΚΟΥΤΑΡΕΩΣ ΣΕΡΡΩΝ</t>
  </si>
  <si>
    <t>mail@lyk-skout.ser.sch.gr</t>
  </si>
  <si>
    <t>ΣΚΟΥΤΑΡΙ</t>
  </si>
  <si>
    <t>ΑΝΔΡΙΑΝΟΥΠΟΛΕΩΣ 4</t>
  </si>
  <si>
    <t>ΔΗΜΟΤΙΚΟ ΣΧΟΛΕΙΟ ΣΚΟΥΤΑΡΕΩΣ</t>
  </si>
  <si>
    <t>1ο ΓΕΝΙΚΟ ΛΥΚΕΙΟ ΣΕΡΡΩΝ</t>
  </si>
  <si>
    <t>mail@1lyk-serron.ser.sch.gr</t>
  </si>
  <si>
    <t>ΔΗΜ. ΜΑΡΟΥΛΗ 50</t>
  </si>
  <si>
    <t>5ο ΔΗΜΟΤΙΚΟ ΣΧΟΛΕΙΟ ΣΕΡΡΩΝ</t>
  </si>
  <si>
    <t>ΓΕΝΙΚΟ ΛΥΚΕΙΟ ΝΕΑΣ ΖΙΧΝΗΣ ΣΕΡΡΩΝ</t>
  </si>
  <si>
    <t>mail@lyk-n-zichn.ser.sch.gr</t>
  </si>
  <si>
    <t>Ν. ΖΙΧΝΗ</t>
  </si>
  <si>
    <t>3ο ΗΜΕΡΗΣΙΟ ΓΕΝΙΚΟ ΛΥΚΕΙΟ ΣΕΡΡΩΝ</t>
  </si>
  <si>
    <t>3lykserr@sch.gr</t>
  </si>
  <si>
    <t>Γ. ΡΙΤΣΟΥ 6</t>
  </si>
  <si>
    <t>17ο ΔΗΜΟΤΙΚΟ ΣΧΟΛΕΙΟ ΣΕΡΡΩΝ</t>
  </si>
  <si>
    <t>ΑΜΦΙΠΟΛΗΣ</t>
  </si>
  <si>
    <t>ΡΟΔΟΛΙΒΟΥΣ</t>
  </si>
  <si>
    <t>ΓΕΝΙΚΟ ΛΥΚΕΙΟ ΡΟΔΟΛΙΒΟΥΣ ΣΕΡΡΩΝ</t>
  </si>
  <si>
    <t>mail@lyk-rodol.ser.sch.gr</t>
  </si>
  <si>
    <t>ΡΟΔΟΛΙΒΟΣ</t>
  </si>
  <si>
    <t>Μ. ΑΛΕΞΑΝΔΡΟΥ 13</t>
  </si>
  <si>
    <t>ΔΗΜΟΤΙΚΟ ΣΧΟΛΕΙΟ ΡΟΔΟΛΙΒΟΥΣ "ΟΡΦΕΑΣ"</t>
  </si>
  <si>
    <t>ΤΡΑΓΙΛΟΥ</t>
  </si>
  <si>
    <t>ΜΑΥΡΟΘΑΛΑΣΣΗΣ</t>
  </si>
  <si>
    <t>ΓΕΝΙΚΟ ΛΥΚΕΙΟ ΜΑΥΡΟΘΑΛΑΣΣΑΣ ΣΕΡΡΩΝ</t>
  </si>
  <si>
    <t>mail@lyk-mavroth.ser.sch.gr</t>
  </si>
  <si>
    <t>ΜΑΥΡΟΘΑΛΑΣΣΑ</t>
  </si>
  <si>
    <t>ΜΑΥΡΟΘΑΛΑΣΣΑ ΣΕΡΡΩΝ</t>
  </si>
  <si>
    <t>ΔΗΜΟΤΙΚΟ ΣΧΟΛΕΙΟ ΜΑΥΡΟΘΑΛΑΣΣΑΣ</t>
  </si>
  <si>
    <t>4ο ΕΣΠΕΡΙΝΟ ΕΠΑΛ ΣΕΡΡΩΝ</t>
  </si>
  <si>
    <t>mail@4epal-esp-serron.ser.sch.gr</t>
  </si>
  <si>
    <t>ΕΘΝΙΚΗ ΟΔΟΣ ΣΕΡΡΩΝ - ΘΕΣΣΑΛΟΝΙΚΗΣ 1 ΧΛΜ</t>
  </si>
  <si>
    <t>2ο ΓΕΝΙΚΟ ΛΥΚΕΙΟ ΣΕΡΡΩΝ</t>
  </si>
  <si>
    <t>mail@2lyk-serron.ser.sch.gr</t>
  </si>
  <si>
    <t>ΚΙΛΚΙΣ 9</t>
  </si>
  <si>
    <t>13ο ΔΗΜΟΤΙΚΟ ΣΧΟΛΕΙΟ ΣΕΡΡΩΝ</t>
  </si>
  <si>
    <t>ΓΕΝΙΚΟ ΛΥΚΕΙΟ ΣΙΔΗΡΟΚΑΣΤΡΟΥ ΣΕΡΡΩΝ - ΠΑΛΛΑΤΙΔΕΙΟ</t>
  </si>
  <si>
    <t>mail@lyk-sidir.ser.sch.gr</t>
  </si>
  <si>
    <t>ΠΑΛΛΑΤΙΔΗ  4-6</t>
  </si>
  <si>
    <t>ΔΗΜΟΤΙΚΟ ΣΧΟΛΕΙΟ ΒΑΜΒΑΚΟΦΥΤΟΥ</t>
  </si>
  <si>
    <t>ΑΛΙΣΤΡΑΤΗΣ</t>
  </si>
  <si>
    <t>ΓΕΝΙΚΟ ΛΥΚΕΙΟ ΑΛΙΣΤΡΑΤΗΣ ΣΕΡΡΩΝ</t>
  </si>
  <si>
    <t>mail@lyk-alistr.ser.sch.gr</t>
  </si>
  <si>
    <t>ΑΛΙΣΤΡΑΤΗ</t>
  </si>
  <si>
    <t>Ν. ΤΣΙΜΠΑ 35</t>
  </si>
  <si>
    <t>ΔΗΜΟΤΙΚΟ ΣΧΟΛΕΙΟ ΑΛΙΣΤΡΑΤΗΣ ΣΕΡΡΩΝ</t>
  </si>
  <si>
    <t>ΕΚ ΣΕΡΡΩΝ</t>
  </si>
  <si>
    <t>mail@1sek-serron.ser.sch.gr</t>
  </si>
  <si>
    <t>ΕΘΝΙΚΗ-ΟΔΟΣ-ΣΕΡΡΩΝ-ΘΕΣΣΑΛΟΝΙΚΗΣ 1 ΧΙΛ</t>
  </si>
  <si>
    <t>ΓΕΝΙΚΟ ΛΥΚΕΙΟ ΝΙΓΡΙΤΑΣ</t>
  </si>
  <si>
    <t>mail@lyk-nigrit.ser.sch.gr</t>
  </si>
  <si>
    <t>ΣΕΡΡΩΝ 1</t>
  </si>
  <si>
    <t>ΓΥΜΝΑΣΙΟ ΗΡΑΚΛΕΙΑΣ ΣΕΡΡΩΝ</t>
  </si>
  <si>
    <t>mail@gym-irakl.ser.sch.gr</t>
  </si>
  <si>
    <t>Κ. ΚΑΡΑΜΑΝΛΗ 4</t>
  </si>
  <si>
    <t>ΓΥΜΝΑΣΙΟ ΣΚΟΥΤΑΡΕΩΣ ΣΕΡΡΩΝ</t>
  </si>
  <si>
    <t>mail@gym-skoutar.ser.sch.gr</t>
  </si>
  <si>
    <t>Σερρών</t>
  </si>
  <si>
    <t>Εθνικής  Αντιστάσεως</t>
  </si>
  <si>
    <t>1ο ΗΜΕΡΗΣΙΟ ΓΥΜΝΑΣΙΟ ΣΕΡΡΩΝ</t>
  </si>
  <si>
    <t>mail@1gym-serron.ser.sch.gr</t>
  </si>
  <si>
    <t>ΛΕΩΝΙΔΑ ΠΑΠΑΠΑΥΛΟΥ 30</t>
  </si>
  <si>
    <t>3ο ΔΗΜΟΤΙΚΟ ΣΧΟΛΕΙΟ ΣΕΡΡΩΝ</t>
  </si>
  <si>
    <t>ΓΥΜΝΑΣΙΟ ΚΑΤΩ ΠΟΡΟΙΩΝ ΣΕΡΡΩΝ</t>
  </si>
  <si>
    <t>mail@gym-k-poroion.ser.sch.gr</t>
  </si>
  <si>
    <t>ΚΑΤΩ ΠΟΡΟΙΑ ΣΕΡΡΩΝ</t>
  </si>
  <si>
    <t>ΕΚ ΣΙΔΗΡΟΚΑΣΤΡΟΥ</t>
  </si>
  <si>
    <t>mail@1sek-sidir.ser.sch.gr</t>
  </si>
  <si>
    <t>ΣΙΔΗΡΟΚΑΣΤΡΟ</t>
  </si>
  <si>
    <t>ΤΕΡΜΑ ΒΑΣΙΛΕΩΣ ΓΕΩΡΓΙΟΥ - ΕΙΣΟΔΟΣ ΣΙΔΗΡΟΚΑΣΤΡΟΥ</t>
  </si>
  <si>
    <t>ΣΤΡΥΜΟΝΙΚΟΥ</t>
  </si>
  <si>
    <t>ΓΥΜΝΑΣΙΟ ΣΤΡΥΜΟΝΙΚΟΥ ΣΕΡΡΩΝ</t>
  </si>
  <si>
    <t>gymstrym@sch.gr</t>
  </si>
  <si>
    <t>ΣΤΡΥΜΟΝΙΚΟ</t>
  </si>
  <si>
    <t>ΣΤΡΥΜΟΝΙΚΟ ΣΕΡΡΩΝ</t>
  </si>
  <si>
    <t>ΔΗΜΟΤΙΚΟ ΣΧΟΛΕΙΟ ΣΤΡΥΜΟΝΙΚΟΥ</t>
  </si>
  <si>
    <t>ΚΟΙΜΗΣΕΩΣ</t>
  </si>
  <si>
    <t>ΓΥΜΝΑΣΙΟ ΚΟΙΜΗΣΗΣ ΣΕΡΡΩΝ</t>
  </si>
  <si>
    <t>mail@gym-koimis.ser.sch.gr</t>
  </si>
  <si>
    <t>ΚΟΙΜΗΣΗ,</t>
  </si>
  <si>
    <t>ΗΡΑΚΛΕΙΑ ΣΕΡΡΩΝ,</t>
  </si>
  <si>
    <t>ΔΗΜΟΤΙΚΟ ΣΧΟΛΕΙΟ ΚΟΙΜΗΣΗΣ</t>
  </si>
  <si>
    <t>5ο ΓΥΜΝΑΣΙΟ ΣΕΡΡΩΝ</t>
  </si>
  <si>
    <t>mail@5gym-serron.ser.sch.gr</t>
  </si>
  <si>
    <t>ΓΡΗΓΟΡΙΟΥ ΡΑΚΙΤΖΗ 72</t>
  </si>
  <si>
    <t>21ο ΔΗΜΟΤΙΚΟ ΣΧΟΛΕΙΟ ΣΕΡΡΩΝ</t>
  </si>
  <si>
    <t>ΛΕΥΚΩΝΑ</t>
  </si>
  <si>
    <t>ΓΥΜΝΑΣΙΟ ΛΕΥΚΩΝΑ ΣΕΡΡΩΝ</t>
  </si>
  <si>
    <t>mail@gym-levkon.ser.sch.gr</t>
  </si>
  <si>
    <t>ΛΕΥΚΩΝΑΣ</t>
  </si>
  <si>
    <t>ΛΕΥΚΩΝΑΣ ΣΕΡΡΩΝ</t>
  </si>
  <si>
    <t>ΔΗΜΟΤΙΚΟ ΣΧΟΛΕΙΟ ΛΕΥΚΩΝΑ</t>
  </si>
  <si>
    <t>ΗΜΕΡΗΣΙΟ ΓΥΜΝΑΣΙΟ ΑΛΙΣΤΡΑΤΗΣ ΣΕΡΡΩΝ</t>
  </si>
  <si>
    <t>mail@gym-alistr.ser.sch.gr</t>
  </si>
  <si>
    <t>ΑΛΙΣΤΡΑΤΗ ΣΕΡΡΩΝ</t>
  </si>
  <si>
    <t>Ν. ΖΙΧΝΗΣ</t>
  </si>
  <si>
    <t>ΗΜΕΡΗΣΙΟ ΓΥΜΝΑΣΙΟ ΝΙΓΡΙΤΑΣ ΣΕΡΡΩΝ</t>
  </si>
  <si>
    <t>mail@gym-nigrit.ser.sch.gr</t>
  </si>
  <si>
    <t>ΝΕΟΥ ΠΕΤΡΙΤΣΙΟΥ</t>
  </si>
  <si>
    <t>ΓΥΜΝΑΣΙΟ ΝΕΟΥ ΠΕΤΡΙΤΣΙΟΥ ΣΕΡΡΩΝ</t>
  </si>
  <si>
    <t>mail@gym-n-petrits.ser.sch.gr</t>
  </si>
  <si>
    <t>ΝΕΟΥ ΠΕΤΡΙΤΣΙΟΥ ΣΕΡΡΩΝ</t>
  </si>
  <si>
    <t>Ν. ΠΕΤΡΙΤΣΙ ΣΕΡΡΩΝ</t>
  </si>
  <si>
    <t>ΔΗΜΟΤΙΚΟ ΣΧΟΛΕΙΟ Ν.ΠΕΤΡΙΤΣΙΟΥ</t>
  </si>
  <si>
    <t>6ο ΓΥΜΝΑΣΙΟ ΣΕΡΡΩΝ</t>
  </si>
  <si>
    <t>mail@6gym-serron.ser.sch.gr</t>
  </si>
  <si>
    <t>Π. ΠΕΝΝΑ 14</t>
  </si>
  <si>
    <t>ΓΥΜΝΑΣΙΟ ΒΥΡΩΝΕΙΑΣ ΣΕΡΡΩΝ</t>
  </si>
  <si>
    <t>mail@gym-vyron.ser.sch.gr</t>
  </si>
  <si>
    <t>ΒΥΡΩΝΕΙΑ - ΔΗΜΟΥ ΣΙΝΤΙΚΗΣ</t>
  </si>
  <si>
    <t>ΠΑΛΑΙΟΚΩΜΗΣ</t>
  </si>
  <si>
    <t>ΓΥΜΝΑΣΙΟ ΠΑΛΑΙΟΚΩΜΗΣ ΣΕΡΡΩΝ</t>
  </si>
  <si>
    <t>mail@gym-palaiok.ser.sch.gr</t>
  </si>
  <si>
    <t>ΠΑΛΑΙΟΚΩΜΗ ΣΕΡΡΩΝ</t>
  </si>
  <si>
    <t>ΠΑΛΑΙΟΚΩΜΗ</t>
  </si>
  <si>
    <t>ΔΗΜΟΤΙΚΟ ΣΧΟΛΕΙΟ ΠΑΛΑΙΟΚΩΜΗΣ</t>
  </si>
  <si>
    <t>2ο ΕΠΑΛ ΣΕΡΡΩΝ</t>
  </si>
  <si>
    <t>2epal-serron@sch.gr</t>
  </si>
  <si>
    <t>18ο ΔΗΜΟΤΙΚΟ ΣΧΟΛΕΙΟ ΣΕΡΡΩΝ</t>
  </si>
  <si>
    <t>ΠΡΩΤΗΣ</t>
  </si>
  <si>
    <t>ΓΥΜΝΑΣΙΟ ΠΡΩΤΗΣ ΣΕΡΡΩΝ</t>
  </si>
  <si>
    <t>mail@gym-protis.ser.sch.gr</t>
  </si>
  <si>
    <t>ΠΡΩΤΗ</t>
  </si>
  <si>
    <t>ΠΡΩΤΗ ΣΕΡΡΩΝ</t>
  </si>
  <si>
    <t>ΔΗΜΟΤΙΚΟ ΣΧΟΛΕΙΟ ΠΡΩΤΗΣ "ΚΩΝΣΤΑΝΤΙΝΟΣ Γ. ΚΑΡΑΜΑΝΛΗΣ"</t>
  </si>
  <si>
    <t>ΔΡΑΒΗΣΚΟΥ</t>
  </si>
  <si>
    <t>ΓΥΜΝΑΣΙΟ ΔΡΑΒΗΣΚΟΥ ΣΕΡΡΩΝ</t>
  </si>
  <si>
    <t>mail@gym-dravisk.ser.sch.gr</t>
  </si>
  <si>
    <t>ΔΡΑΒΗΣΚΟΣ ΣΕΡΡΩΝ</t>
  </si>
  <si>
    <t>ΔΗΜΟΤΙΚΟ ΣΧΟΛΕΙΟ ΔΡΑΒΗΣΚΟΥ</t>
  </si>
  <si>
    <t>ΓΥΜΝΑΣΙΟ ΜΑΥΡΟΘΑΛΑΣΣΑΣ ΣΕΡΡΩΝ</t>
  </si>
  <si>
    <t>mail@gym-mavroth.ser.sch.gr</t>
  </si>
  <si>
    <t>ΓΥΜΝΑΣΙΟ ΝΕΑΣ ΖΙΧΝΗΣ ΣΕΡΡΩΝ</t>
  </si>
  <si>
    <t>mail@gym-n-zichn.ser.sch.gr</t>
  </si>
  <si>
    <t>Ν.ΖΙΧΝΗ - ΣΕΡΡΩΝ</t>
  </si>
  <si>
    <t>ΔΗΜΗΤΡΗΤΣΙΟΥ</t>
  </si>
  <si>
    <t>ΓΥΜΝΑΣΙΟ ΔΗΜΗΤΡΙΤΣΙΟΥ ΣΕΡΡΩΝ</t>
  </si>
  <si>
    <t>mail@gym-dimitr.ser.sch.gr</t>
  </si>
  <si>
    <t>ΔΗΜΗΤΡΙΤΣΙ</t>
  </si>
  <si>
    <t>ΔΗΜΟΤΙΚΟ ΣΧΟΛΕΙΟ ΔΗΜΗΤΡΙΤΣΙΟΥ</t>
  </si>
  <si>
    <t>4ο ΓΥΜΝΑΣΙΟ ΣΕΡΡΩΝ</t>
  </si>
  <si>
    <t>mail@4gym-serron.ser.sch.gr</t>
  </si>
  <si>
    <t>ΜΑΚΕΔΟΝΟΜΑΧΩΝ 1Α</t>
  </si>
  <si>
    <t>ΗΜΕΡΗΣΙΟ ΓΥΜΝΑΣΙΟ ΝΕΟΥ ΣΚΟΠΟΥ ΣΕΡΡΩΝ</t>
  </si>
  <si>
    <t>mail@gym-n-skopou.ser.sch.gr</t>
  </si>
  <si>
    <t>ΝΕΟΣ  ΣΚΟΠΟΣ  ΣΕΡΡΩΝ</t>
  </si>
  <si>
    <t>Β. ΚΑΚΑΛΕΤΣΗ  1</t>
  </si>
  <si>
    <t>5ο ΓΕΝΙΚΟ ΛΥΚΕΙΟ ΣΕΡΡΩΝ</t>
  </si>
  <si>
    <t>mail@5lyk-serron.ser.sch.gr</t>
  </si>
  <si>
    <t>ΑΝΝΗΣ ΤΡΙΑΝΤΑΦΥΛΛΙΔΗ 2</t>
  </si>
  <si>
    <t>24ο ΔΗΜΟΤΙΚΟ ΣΧΟΛΕΙΟ ΣΕΡΡΩΝ</t>
  </si>
  <si>
    <t>3ο ΓΥΜΝΑΣΙΟ ΣΕΡΡΩΝ</t>
  </si>
  <si>
    <t>3gymserr@sch.gr</t>
  </si>
  <si>
    <t>Ευθαλίας Αδάμ 1</t>
  </si>
  <si>
    <t>20ο ΔΗΜΟΤΙΚΟ ΣΧΟΛΕΙΟ ΣΕΡΡΩΝ</t>
  </si>
  <si>
    <t>ΓΥΜΝΑΣΙΟ ΣΙΔΗΡΟΚΑΣΤΡΟΥ ΣΕΡΡΩΝ - ΠΑΛΛΑΤΙΔΕΙΟ</t>
  </si>
  <si>
    <t>mail@gym-sidir.ser.sch.gr</t>
  </si>
  <si>
    <t>ΣΙΔΗΡΟΚΑΣΤΡΟΥ ΣΕΡΡΩΝ</t>
  </si>
  <si>
    <t>ΑΝΑΣΤΑΣΙΟΥ ΠΑΛΛΑΤΙΔΗ 6</t>
  </si>
  <si>
    <t>Ε.Ε.Ε.ΕΚ. ΣΕΡΡΩΝ</t>
  </si>
  <si>
    <t>mail@eeeek.ser.sch.gr</t>
  </si>
  <si>
    <t>ΤΡΙΤΟ ΧΙΛ. ΣΕΡΡΩΝ ΔΡΑΜΑΣ</t>
  </si>
  <si>
    <t>14ο ΔΗΜΟΤΙΚΟ ΣΧΟΛΕΙΟ ΣΕΡΡΩΝ</t>
  </si>
  <si>
    <t>Σέρρες</t>
  </si>
  <si>
    <t>2ο ΓΥΜΝΑΣΙΟ ΣΕΡΡΩΝ</t>
  </si>
  <si>
    <t>mail@2gym-serron.ser.sch.gr</t>
  </si>
  <si>
    <t>ΕΣΠΕΡΙΝΟ ΓΥΜΝΑΣΙΟ ΣΕΡΡΩΝ ΜΕ ΛΥΚΕΙΑΚΕΣ ΤΑΞΕΙΣ</t>
  </si>
  <si>
    <t>gymlykespserron@sch.gr</t>
  </si>
  <si>
    <t>ΜΟΥΣΙΚΟ ΓΥΜΝΑΣΙΟ ΣΕΡΡΩΝ-ΛΥΚΕΙΑΚΕΣ ΤΑΞΕΙΣ</t>
  </si>
  <si>
    <t>mail@gym-mous-serron.ser.sch.gr</t>
  </si>
  <si>
    <t>ΠΡΩΤΟ ΧΙΛ ΣΕΡΡΩΝ-ΝΕΟΧΩΡΙΟΥ</t>
  </si>
  <si>
    <t>2ο ΔΗΜΟΤΙΚΟ ΣΧΟΛΕΙΟ ΣΕΡΡΩΝ</t>
  </si>
  <si>
    <t>ΕΝΙΑΙΟ ΕΙΔΙΚΟ ΕΠΑΓΓΕΛΜΑΤΙΚΟ ΓΥΜΝΑΣΙΟ-ΛΥΚΕΙΟ ΣΕΡΡΩΝ</t>
  </si>
  <si>
    <t>mail@tee-serron.ser.sch.gr</t>
  </si>
  <si>
    <t>3o χλμ ΣΕΡΡΩΝ - ΔΡΑΜΑΣ</t>
  </si>
  <si>
    <t>ΕΠΑ.Λ. ΗΡΑΚΛΕΙΑΣ ΣΕΡΡΩΝ</t>
  </si>
  <si>
    <t>mail@epal-irakl.ser.sch.gr</t>
  </si>
  <si>
    <t>ΑΓΙΟΥ ΠΝΕΥΜΑΤΟΣ</t>
  </si>
  <si>
    <t>ΓΥΜΝΑΣΙΟ ΑΓΙΟΥ ΠΝΕΥΜΑΤΟΣ ΣΕΡΡΩΝ</t>
  </si>
  <si>
    <t>mail@gym-ag-pnevm.ser.sch.gr</t>
  </si>
  <si>
    <t>ΑΓΙΟ ΠΝΕΥΜΑ</t>
  </si>
  <si>
    <t>ΑΓΙΟ ΠΝΕΥΜΑ ΣΕΡΡΩΝ</t>
  </si>
  <si>
    <t>ΔΗΜΟΤΙΚΟ ΣΧΟΛΕΙΟ Ν.ΣΟΥΛΙΟΥ</t>
  </si>
  <si>
    <t>ΔΙΕΥΘΥΝΣΗ Δ.Ε. ΧΑΛΚΙΔΙΚΗΣ</t>
  </si>
  <si>
    <t>ΣΙΘΩΝΙΑΣ</t>
  </si>
  <si>
    <t>ΤΟΡΩΝΗΣ</t>
  </si>
  <si>
    <t>ΣΥΚΕΑΣ</t>
  </si>
  <si>
    <t>ΗΜΕΡΗΣΙΟ ΓΥΜΝΑΣΙΟ ΣΥΚΙΑΣ ΧΑΛΚΙΔΙΚΗΣ - ΑΘΩΣ</t>
  </si>
  <si>
    <t>mail@gym-sykias.chal.sch.gr</t>
  </si>
  <si>
    <t>ΣΥΚΙΑ ΧΑΛΚΙΔΙΚΗΣ</t>
  </si>
  <si>
    <t>ΔΗΜΟΤΙΚΟ ΣΧΟΛΕΙΟ ΣΥΚΙΑΣ ΧΑΛΚΙΔΙΚΗΣ</t>
  </si>
  <si>
    <t>ΝΕΑΣ ΠΡΟΠΟΝΤΙΔΑΣ</t>
  </si>
  <si>
    <t>ΤΡΙΓΛΙΑΣ</t>
  </si>
  <si>
    <t>ΝΕΑΣ ΤΡΙΓΛΙΑΣ</t>
  </si>
  <si>
    <t>ΗΜΕΡΗΣΙΟ ΓΕΝΙΚΟ ΛΥΚΕΙΟ ΝΕΑΣ ΤΡΙΓΛΙΑΣ ΧΑΛΚΙΔΙΚΗΣ</t>
  </si>
  <si>
    <t>mail@lyk-n-trigl.chal.sch.gr</t>
  </si>
  <si>
    <t>ΝΕΑΣ ΤΡΙΓΛΙΑΣ ΧΑΛΚΙΔΙΚΗΣ</t>
  </si>
  <si>
    <t>ΝΕΑ ΤΡΙΓΛΙΑ</t>
  </si>
  <si>
    <t>ΝΕΩΝ ΜΟΥΔΑΝΙΩΝ</t>
  </si>
  <si>
    <t>1ο ΔΗΜΟΤΙΚΟ ΣΧΟΛΕΙΟ Ν. ΤΡΙΓΛΙΑΣ</t>
  </si>
  <si>
    <t>ΑΡΙΣΤΟΤΕΛΗ</t>
  </si>
  <si>
    <t>ΣΤΑΓΕΙΡΩΝ-ΑΚΑΝΘΟΥ</t>
  </si>
  <si>
    <t>ΙΕΡΙΣΣΟΥ</t>
  </si>
  <si>
    <t>1ο ΗΜΕΡΗΣΙΟ ΓΕΝΙΚΟ ΛΥΚΕΙΟ ΙΕΡΙΣΣΟΣ ΧΑΛΚΙΔΙΚΗΣ - ΑΡΙΣΤΟΤΕΛΕΙΟ</t>
  </si>
  <si>
    <t>lykieris@sch.gr</t>
  </si>
  <si>
    <t>ΙΕΡΙΣΣΟΣ ΧΑΛΚΙΔΙΚΗΣ</t>
  </si>
  <si>
    <t>ΑΚΑΝΘΟΥ 21</t>
  </si>
  <si>
    <t>2ο ΔΗΜΟΤΙΚΟ ΣΧΟΛΕΙΟ ΙΕΡΙΣΣΟΥ</t>
  </si>
  <si>
    <t>1ο ΗΜΕΡΗΣΙΟ ΕΠΑΛ ΠΟΛΥΓΥΡΟΥ ΧΑΛΚΙΔΙΚΗΣ</t>
  </si>
  <si>
    <t>mail@1epal-polyg.chal.sch.gr</t>
  </si>
  <si>
    <t>ΠΟΛΥΓΥΡΟΣ ΧΑΛΚΙΔΙΚΗΣ</t>
  </si>
  <si>
    <t>1ο ΔΗΜΟΤΙΚΟ ΣΧΟΛΕΙΟ ΠΟΛΥΓΥΡΟΥ</t>
  </si>
  <si>
    <t>ΚΑΣΣΑΝΔΡΑΣ</t>
  </si>
  <si>
    <t>ΚΑΣΣΑΝΔΡΕΙΑΣ</t>
  </si>
  <si>
    <t>1ο ΗΜΕΡΗΣΙΟ ΕΠΑΛ ΚΑΣΣΑΝΔΡΑΣ ΧΑΛΚΙΔΙΚΗΣ</t>
  </si>
  <si>
    <t>mail@1epal-kassandr.chal.sch.gr</t>
  </si>
  <si>
    <t>ΚΑΣΣΑΝΔΡΑΣ ΧΑΛΚΙΔΙΚΗΣ</t>
  </si>
  <si>
    <t>ΚΑΣΣΑΝΔΡΕΙΑ</t>
  </si>
  <si>
    <t>2ο ΔΗΜΟΤΙΚΟ ΣΧΟΛΕΙΟ ΚΑΣΣΑΝΔΡΕΙΑΣ</t>
  </si>
  <si>
    <t>ΗΜΕΡΗΣΙΟ ΓΕΝΙΚΟ ΛΥΚΕΙΟ ΚΑΣΣΑΝΔΡΑΣ ΧΑΛΚΙΔΙΚΗΣ</t>
  </si>
  <si>
    <t>mail@1lyk-kassandr.chal.sch.gr</t>
  </si>
  <si>
    <t>ΚΑΣΣΑΝΔΡΑ ΧΑΛΚΙΔΙΚΗΣ</t>
  </si>
  <si>
    <t>ΝΙΚΗΤΗΣ</t>
  </si>
  <si>
    <t>1ο ΗΜΕΡΗΣΙΟ ΕΠΑΛ ΝΙΚΗΤΗΣ</t>
  </si>
  <si>
    <t>mail@1epal-nikit.chal.sch.gr</t>
  </si>
  <si>
    <t>ΝΙΚΗΤΗ</t>
  </si>
  <si>
    <t>ΔΗΜΟΤΙΚΟ ΣΧΟΛΕΙΟ ΝΙΚΗΤΗΣ</t>
  </si>
  <si>
    <t>ΑΡΝΑΙΑΣ</t>
  </si>
  <si>
    <t>1ο ΗΜΕΡΗΣΙΟ ΕΠΑΛ ΑΡΝΑΙΑΣ ΧΑΛΚΙΔΙΚΗΣ</t>
  </si>
  <si>
    <t>mail@1epal-arnaias.chal.sch.gr</t>
  </si>
  <si>
    <t>ΑΡΝΑΙΑΣ ΧΑΛΚΙΔΙΚΗΣ</t>
  </si>
  <si>
    <t>ΑΡΝΑΙΑ</t>
  </si>
  <si>
    <t>ΑΡΝΑΙΑ ΧΑΛΚΙΔΙΚΗΣ</t>
  </si>
  <si>
    <t>ΔΗΜΟΤΙΚΟ ΣΧΟΛΕΙΟ ΑΡΝΑΙΑΣ</t>
  </si>
  <si>
    <t>ΗΜΕΡΗΣΙΟ ΓΕΝΙΚΟ ΛΥΚΕΙΟ ΑΓΙΟΥ ΝΙΚΟΛΑΟΥ ΧΑΛΚΙΔΙΚΗΣ</t>
  </si>
  <si>
    <t>mail@lyk-ag-nikol.chal.sch.gr</t>
  </si>
  <si>
    <t>ΑΓΙΟΣ ΝΙΚΟΛΑΟΣ ΧΑΛΚΙΔΙΚΗΣ</t>
  </si>
  <si>
    <t>ΔΗΜΟΤΙΚΟ ΣΧΟΛΕΙΟ  ΑΓΙΟΥ ΝΙΚΟΛΑΟΥ</t>
  </si>
  <si>
    <t>ΗΜΕΡΗΣΙΟ ΓΕΝΙΚΟ ΛΥΚΕΙΟ ΑΡΝΑΙΑΣ ΧΑΛΚΙΔΙΚΗΣ</t>
  </si>
  <si>
    <t>mail@lyk-arnaias.chal.sch.gr</t>
  </si>
  <si>
    <t>ΗΜΕΡΗΣΙΟ ΓΕΝΙΚΟ ΛΥΚΕΙΟ ΠΟΛΥΓΥΡΟΥ ΧΑΛΚΙΔΙΚΗΣ</t>
  </si>
  <si>
    <t>mail@1lyk-polyg.chal.sch.gr</t>
  </si>
  <si>
    <t>ΠΛΑΤΕΙΑ ΗΡΩΟΥ</t>
  </si>
  <si>
    <t>3ο ΔΗΜΟΤΙΚΟ ΣΧΟΛΕΙΟ ΠΟΛΥΓΥΡΟΥ</t>
  </si>
  <si>
    <t>ΜΟΥΔΑΝΙΩΝ</t>
  </si>
  <si>
    <t>ΗΜΕΡΗΣΙΟ ΓΕΝΙΚΟ ΛΥΚΕΙΟ Ν. ΜΟΥΔΑΝΙΩΝ ΧΑΛΚΙΔΙΚΗΣ</t>
  </si>
  <si>
    <t>mail@lyk-n-moudan.chal.sch.gr</t>
  </si>
  <si>
    <t>ΝΕΑ  ΜΟΥΔΑΝΙΑ ΧΑΛΚΙΔΙΚΗΣ</t>
  </si>
  <si>
    <t>ΑΘ.ΑΛΕΞΑΝΔΡΙΔΗ 61</t>
  </si>
  <si>
    <t>1ο ΔΗΜΟΤΙΚΟ ΣΧΟΛΕΙΟ ΝΕΩΝ ΜΟΥΔΑΝΙΩΝ</t>
  </si>
  <si>
    <t>ΚΑΛΛΙΚΡΑΤΕΙΑΣ</t>
  </si>
  <si>
    <t>ΝΕΑΣ ΚΑΛΛΙΚΡΑΤΕΙΑΣ</t>
  </si>
  <si>
    <t>ΗΜΕΡΗΣΙΟ ΓΕΝΙΚΟ ΛΥΚΕΙΟ ΝΕΑΣ ΚΑΛΛΙΚΡΑΤΕΙΑΣ ΧΑΛΚΙΔΙΚΗΣ</t>
  </si>
  <si>
    <t>mail@lyk-n-kallikr.chal.sch.gr</t>
  </si>
  <si>
    <t>ΝΕΑΣ ΚΑΛΛΙΚΡΑΤΕΙΑΣ ΧΑΛΚΙΔΙΚΗΣ</t>
  </si>
  <si>
    <t>ΜΙΧΑΗΛΟΥ 7</t>
  </si>
  <si>
    <t>2ο ΔΗΜΟΤΙΚΟ ΣΧΟΛΕΙΟ ΝΕΑΣ ΚΑΛΛΙΚΡΑΤΕΙΑΣ</t>
  </si>
  <si>
    <t>ΓΕΝΙΚΟ ΛΥΚΕΙΟ ΣΥΚΙΑΣ ΧΑΛΚΙΔΙΚΗΣ</t>
  </si>
  <si>
    <t>lyksykia@sch.gr</t>
  </si>
  <si>
    <t>Συκιά</t>
  </si>
  <si>
    <t>ΗΜΕΡΗΣΙΟ ΓΥΜΝΑΣΙΟ ΑΡΝΑΙΑΣ ΧΑΛΚΙΔΙΚΗΣ</t>
  </si>
  <si>
    <t>mail@gym-arnaias.chal.sch.gr</t>
  </si>
  <si>
    <t>ΑΡΝΑΙΑ  ΧΑΛΚΙΔΙΚΗΣ</t>
  </si>
  <si>
    <t>ΗΜΕΡΗΣΙΟ ΓΥΜΝΑΣΙΟ-Λ.Τ. ΣΗΜΑΝΤΡΩΝ</t>
  </si>
  <si>
    <t>mail@gym-simantr.chal.sch.gr</t>
  </si>
  <si>
    <t>ΣΗΜΑΝΤΡΑ ΧΑΛΚΙΔΙΚΗΣ</t>
  </si>
  <si>
    <t>ΔΗΜΟΤΙΚΟ ΣΧΟΛΕΙΟ ΣΗΜΑΝΤΡΩΝ</t>
  </si>
  <si>
    <t>ΟΡΜΥΛΙΑΣ</t>
  </si>
  <si>
    <t>ΗΜΕΡΗΣΙΟ ΓΥΜΝΑΣΙΟ ΟΡΜΥΛΙΑΣ ΧΑΛΚΙΔΙΚΗΣ</t>
  </si>
  <si>
    <t>mail@gym-ormyl.chal.sch.gr</t>
  </si>
  <si>
    <t>ΟΡΜΥΛΙΑ</t>
  </si>
  <si>
    <t>ΟΡΜΥΛΙΑ ΧΑΛΚΙΔΙΚΗΣ</t>
  </si>
  <si>
    <t>ΔΗΜΟΤΙΚΟ ΣΧΟΛΕΙΟ ΟΡΜΥΛΙΑΣ</t>
  </si>
  <si>
    <t>ΣΤΡΑΤΩΝΙΟΥ</t>
  </si>
  <si>
    <t>ΗΜΕΡΗΣΙΟ ΓΥΜΝΑΣΙΟ ΣΤΡΑΤΩΝΙΟΥ ΧΑΛΚΙΔΙΚΗΣ</t>
  </si>
  <si>
    <t>mail@gym-straton.chal.sch.gr</t>
  </si>
  <si>
    <t>ΣΤΡΑΤΩΝΙ ΧΑΛΚΙΔΙΚΗΣ</t>
  </si>
  <si>
    <t>ΣΤΡΑΤΩΝΙ</t>
  </si>
  <si>
    <t>ΔΗΜΟΤΙΚΟ ΣΧΟΛΕΙΟ ΣΤΡΑΤΩΝΙΟΥ</t>
  </si>
  <si>
    <t>ΗΜΕΡΗΣΙΟ ΕΠΑΛ ΝΕΩΝ ΜΟΥΔΑΝΙΩΝ ΧΑΛΚΙΔΙΚΗΣ</t>
  </si>
  <si>
    <t>mail@epal-n-moudan.chal.sch.gr</t>
  </si>
  <si>
    <t>ΝΕΑ ΜΟΥΔΑΝΙΑ ΧΑΛΚΙΔΙΚΗΣ</t>
  </si>
  <si>
    <t>ΛΕΩΦΟΡΟΣ ΕΛΕΥΘΕΡΙΑΣ 3</t>
  </si>
  <si>
    <t>2ο ΔΗΜΟΤΙΚΟ ΣΧΟΛΕΙΟ ΝΕΩΝ ΜΟΥΔΑΝΙΩΝ</t>
  </si>
  <si>
    <t>ΝΕΟΥ ΜΑΡΜΑΡΑ</t>
  </si>
  <si>
    <t>ΗΜΕΡΗΣΙΟ ΓΥΜΝΑΣΙΟ ΝΕΟΥ ΜΑΡΜΑΡΑ ΧΑΛΚΙΔΙΚΗΣ</t>
  </si>
  <si>
    <t>mail@gym-n-marmar.chal.sch.gr</t>
  </si>
  <si>
    <t>Ν. ΜΑΡΜΑΡΑΣ</t>
  </si>
  <si>
    <t>ΔΗΜΟΤΙΚΟ ΣΧΟΛΕΙΟ Ν.ΜΑΡΜΑΡΑ</t>
  </si>
  <si>
    <t>ΕΣΠΕΡΙΝΟ ΓΥΜΝΑΣΙΟ ΠΟΛΥΓΥΡΟΥ</t>
  </si>
  <si>
    <t>mail@gym-esp-polyg.chal.sch.gr</t>
  </si>
  <si>
    <t>ΠΑΛΙΟΥΡΙΟΥ</t>
  </si>
  <si>
    <t>ΗΜΕΡΗΣΙΟ ΓΥΜΝΑΣΙΟ ΠΑΛΙΟΥΡΙΟΥ ΧΑΛΚΙΔΙΚΗΣ</t>
  </si>
  <si>
    <t>mail@gym-paliour.chal.sch.gr</t>
  </si>
  <si>
    <t>Παλιούρι</t>
  </si>
  <si>
    <t>ΠΑΛΙΟΥΡΙ</t>
  </si>
  <si>
    <t>ΔΗΜΟΤΙΚΟ ΣΧΟΛΕΙΟ ΠΑΛΙΟΥΡΙΟΥ - ΑΓΙΑΣ ΠΑΡΑΣΚΕΥΗΣ</t>
  </si>
  <si>
    <t>ΗΜΕΡΗΣΙΟ ΓΥΜΝΑΣΙΟ ΝΙΚΗΤΗΣ</t>
  </si>
  <si>
    <t>mail@gym-nikit.chal.sch.gr</t>
  </si>
  <si>
    <t>ΖΕΡΒΟΧΩΡΙΩΝ</t>
  </si>
  <si>
    <t>ΠΑΛΑΙΟΧΩΡΑΣ</t>
  </si>
  <si>
    <t>ΗΜΕΡΗΣΙΟ ΓΥΜΝΑΣΙΟ ΠΑΛΑΙΟΧΩΡΑΣ ΧΑΛΚΙΔΙΚΗΣ</t>
  </si>
  <si>
    <t>mail@gym-palaiochor.chal.sch.gr</t>
  </si>
  <si>
    <t>ΠΑΛΑΙΟΧΩΡΑ</t>
  </si>
  <si>
    <t>ΠΑΛΑΙΟΧΩΡΑ ΧΑΛΚΙΔΙΚΗΣ</t>
  </si>
  <si>
    <t>ΔΗΜΟΤΙΚΟ ΣΧΟΛΕΙΟ ΖΕΡΒΟΧΩΡΙΩΝ</t>
  </si>
  <si>
    <t>1ο ΗΜΕΡΗΣΙΟ ΓΥΜΝΑΣΙΟ Ν. ΜΟΥΔΑΝΙΩΝ ΧΑΛΚΙΔΙΚΗΣ</t>
  </si>
  <si>
    <t>gymnmoud@sch.gr</t>
  </si>
  <si>
    <t>Ν.ΜΟΥΔΑΝΙΩΝ ΧΑΛΚΙΔΙΚΗΣ</t>
  </si>
  <si>
    <t>Α. ΑΛΕΞΑΝΔΡΙΔΗ 61</t>
  </si>
  <si>
    <t>ΗΜΕΡΗΣΙΟ ΓΥΜΝΑΣΙΟ ΚΑΣΣΑΝΔΡΑΣ ΧΑΛΚΙΔΙΚΗΣ</t>
  </si>
  <si>
    <t>gymkassandras@sch.gr</t>
  </si>
  <si>
    <t>1ο ΔΗΜΟΤΙΚΟ ΣΧΟΛΕΙΟ ΚΑΣΣΑΝΔΡΕΙΑΣ</t>
  </si>
  <si>
    <t>2ο ΗΜΕΡΗΣΙΟ ΓΥΜΝΑΣΙΟ ΝΕΩΝ ΜΟΥΔΑΝΙΩΝ</t>
  </si>
  <si>
    <t>mail@2gym-n-moudan.chal.sch.gr</t>
  </si>
  <si>
    <t>ΠΕΡΙΟΧΗ ΚΤΕΛ</t>
  </si>
  <si>
    <t>3ο ΔΗΜΟΤΙΚΟ ΣΧΟΛΕΙΟ ΝΕΩΝ ΜΟΥΔΑΝΙΩΝ</t>
  </si>
  <si>
    <t>ΑΝΘΕΜΟΥΝΤΑ</t>
  </si>
  <si>
    <t>ΓΑΛΑΤΙΣΤΗΣ</t>
  </si>
  <si>
    <t>ΗΜΕΡΗΣΙΟ ΓΥΜΝΑΣΙΟ ΛΥΚΕΙΑΚΕΣ ΤΑΞΕΙΣ ΓΑΛΑΤΙΣΤΑΣ ΧΑΛΚΙΔΙΚΗΣ</t>
  </si>
  <si>
    <t>mail@gym-galat.chal.sch.gr</t>
  </si>
  <si>
    <t>ΓΑΛΑΤΙΣΤΑΣ ΧΑΛΚΙΔΙΚΗΣ</t>
  </si>
  <si>
    <t>ΓΑΛΑΤΙΣΤΑ</t>
  </si>
  <si>
    <t>ΔΗΜΟΤΙΚΟ ΣΧΟΛΕΙΟ ΓΑΛΑΤΙΣΤΑΣ</t>
  </si>
  <si>
    <t>ΗΜΕΡΗΣΙΟ ΓΥΜΝΑΣΙΟ ΑΓΙΟΥ ΝΙΚΟΛΑΟΥ ΧΑΛΚΙΔΙΚΗΣ</t>
  </si>
  <si>
    <t>mail@gym-ag-nikol.chal.sch.gr</t>
  </si>
  <si>
    <t>ΜΕΓΑΛΗΣ ΠΑΝΑΓΙΑΣ</t>
  </si>
  <si>
    <t>ΗΜΕΡΗΣΙΟ ΓΥΜΝΑΣΙΟ ΜΕΓΑΛΗΣ ΠΑΝΑΓΙΑΣ ΧΑΛΚΙΔΙΚΗΣ</t>
  </si>
  <si>
    <t>mail@gym-m-panag.chal.sch.gr</t>
  </si>
  <si>
    <t>ΜΕΓΑΛΗ ΠΑΝΑΓΙΑ ΧΑΛΚΙΔΙΚΗΣ</t>
  </si>
  <si>
    <t>ΜΕΓΑΛΗ ΠΑΝΑΓΙΑ</t>
  </si>
  <si>
    <t>ΔΗΜΟΤΙΚΟ ΣΧΟΛΕΙΟ ΜΕΓ. ΠΑΝΑΓΙΑΣ</t>
  </si>
  <si>
    <t>1ο ΗΜΕΡΗΣΙΟ ΓΥΜΝΑΣΙΟ ΠΟΛΥΓΥΡΟΥ ΧΑΛΚΙΔΙΚΗΣ</t>
  </si>
  <si>
    <t>mail@gym-polyg.chal.sch.gr</t>
  </si>
  <si>
    <t>ΠΛΑΤΕΙΑ ΗΡΩΟΥ 1</t>
  </si>
  <si>
    <t>ΗΜΕΡΗΣΙΟ ΓΥΜΝΑΣΙΟ ΝΕΑΣ ΚΑΛΛΙΚΡΑΤΕΙΑΣ</t>
  </si>
  <si>
    <t>mail@gym-n-kallikr.chal.sch.gr</t>
  </si>
  <si>
    <t>ΝΕΑ ΚΑΛΛΙΚΡΑΤΕΙΑ</t>
  </si>
  <si>
    <t>ΓΑΓΑΛΗ ΚΑΙ  ΜΙΧΑΗΛΟΥ  7</t>
  </si>
  <si>
    <t>ΕΚ ΝΕΑ ΜΟΥΔΑΝΙΑ ΧΑΛΚΙΔΙΚΗΣ</t>
  </si>
  <si>
    <t>mail@sek-n-moudan.chal.sch.gr</t>
  </si>
  <si>
    <t>ΛΕΩΦΟΡΟΣ ΕΛΕΥΘΕΡΙΑΣ</t>
  </si>
  <si>
    <t>ΗΜΕΡΗΣΙΟ ΓΥΜΝΑΣΙΟ ΠΑΛΑΙΟΧΩΡΙ ΧΑΛΚΙΔΙΚΗΣ</t>
  </si>
  <si>
    <t>mail@gym-palaioch.chal.sch.gr</t>
  </si>
  <si>
    <t>ΠΑΛΑΙΟΧΩΡΙ ΧΑΛΚΙΔΙΚΗΣ</t>
  </si>
  <si>
    <t>ΔΗΜΟΤΙΚΟ ΣΧΟΛΕΙΟ ΠΑΛΑΙΟΧΩΡΙΟΥ</t>
  </si>
  <si>
    <t>ΠΕΥΚΟΧΩΡΙΟΥ</t>
  </si>
  <si>
    <t>ΗΜΕΡΗΣΙΟ ΓΥΜΝΑΣΙΟ ΠΕΥΚΟΧΩΡΙΟΥ ΧΑΛΚΙΔΙΚΗΣ</t>
  </si>
  <si>
    <t>mail@gym-pefkoch.chal.sch.gr</t>
  </si>
  <si>
    <t>ΠΕΥΚΟΧΩΡΙ ΧΑΛΚΙΔΙΚΗΣ</t>
  </si>
  <si>
    <t>ΠΕΥΚΟΧΩΡΙ</t>
  </si>
  <si>
    <t>ΔΗΜΟΤΙΚΟ ΣΧΟΛΕΙΟ ΠΕΥΚΟΧΩΡΙΟΥ</t>
  </si>
  <si>
    <t>ΕΕΕΕΚ ΠΟΛΥΓΥΡΟΥ</t>
  </si>
  <si>
    <t>mail@eeek.chal.sch.gr</t>
  </si>
  <si>
    <t>Β.ΗΠΕΙΡΟΥ 11</t>
  </si>
  <si>
    <t>ΓΥΜΝΑΣΙΟ ΙΕΡΙΣΣΟΥ</t>
  </si>
  <si>
    <t>gtheoch@sch.gr</t>
  </si>
  <si>
    <t>ιερισσος</t>
  </si>
  <si>
    <t>ΙΕΡΙΣΣΟΣ</t>
  </si>
  <si>
    <t>ΗΜΕΡΗΣΙΟ ΓΥΜΝΑΣΙΟ Ν.ΤΡΙΓΛΙΑΣ</t>
  </si>
  <si>
    <t>mail@gym-n-trigl.chal.sch.gr</t>
  </si>
  <si>
    <t>Ν.ΤΡΙΓΛΙΑ</t>
  </si>
  <si>
    <t>1ο ΕΚ ΠΟΛΥΓΥΡΟΥ - ΗΡΩΝ</t>
  </si>
  <si>
    <t>mail@sek-polyg.chal.sch.gr</t>
  </si>
  <si>
    <t>ΕΣΠΕΡΙΝΟ ΓΕΝΙΚΟ ΛΥΚΕΙΟ ΠΟΛΥΓΥΡΟΥ</t>
  </si>
  <si>
    <t>mail@lyk-esp-polyg.chal.sch.gr</t>
  </si>
  <si>
    <t>ΠΛΑΤΕΙΑ ΗΡΩΩΝ 1</t>
  </si>
  <si>
    <t>ΝΕΑΣ ΠΟΤΕΙΔΑΙΑΣ</t>
  </si>
  <si>
    <t>Ε.Ε.Ε.Ε.Κ. Ν.ΠΟΤΙΔΑΙΑΣ</t>
  </si>
  <si>
    <t>mail@eeeek-potid.chal.sch.gr</t>
  </si>
  <si>
    <t>Ν.ΠΟΤΙΔΑΙΑ</t>
  </si>
  <si>
    <t>Ν.ΠΟΤΙΔΑΙΑ 1</t>
  </si>
  <si>
    <t>ΔΗΜΟΤΙΚΟ ΣΧΟΛΕΙΟ Ν.ΠΟΤΙΔΑΙΑΣ</t>
  </si>
  <si>
    <t>ΝΕΑΣ ΦΩΚΑΙΑΣ</t>
  </si>
  <si>
    <t>ΗΜΕΡΗΣΙΟ ΓΥΜΝΑΣΙΟ ΝΕΑ ΦΩΚΑΙΑ - ΙΩΝΙΟ ΓΥΜΝΑΣΙΟ</t>
  </si>
  <si>
    <t>mail@gym-n-fokaias.chal.sch.gr</t>
  </si>
  <si>
    <t>ΝΕΑ ΦΩΚΑΙΑ</t>
  </si>
  <si>
    <t>ΔΗΜΟΤΙΚΟ ΣΧΟΛΕΙΟ ΝΕΑΣ ΦΩΚΑΙΑΣ</t>
  </si>
  <si>
    <t>ΗΜΕΡΗΣΙΟ ΓΕΝΙΚΟ ΛΥΚΕΙΟ ΟΡΜΥΛΙΑ ΧΑΛΚΙΔΙΚΗΣ</t>
  </si>
  <si>
    <t>mail@lyk-ormyl.chal.sch.gr</t>
  </si>
  <si>
    <t>ΕΣΠΕΡΙΝΟ ΕΠΑΛ ΝΕΩΝ ΜΟΥΔΑΝΙΩΝ</t>
  </si>
  <si>
    <t>mail@epal-esp-n-moudan.chal.sch.gr</t>
  </si>
  <si>
    <t>Ν. Μουδανια</t>
  </si>
  <si>
    <t>Λ. Ελευθερίας  3</t>
  </si>
  <si>
    <t>ΗΜΕΡΗΣΙΟ ΓΕΝΙΚΟ ΛΥΚΕΙΟ ΠΕΥΚΟΧΩΡΙΟΥ</t>
  </si>
  <si>
    <t>mail@lyk-pefkoch.chal.sch.gr</t>
  </si>
  <si>
    <t>Χαλκιδική</t>
  </si>
  <si>
    <t>Πευκοχώρι</t>
  </si>
  <si>
    <t>Ημερήσιο Γενικό Λύκειο Νέου Μαρμαρά</t>
  </si>
  <si>
    <t>mail@lyk-n-marmar.chal.sch.gr</t>
  </si>
  <si>
    <t>Ν. ΜΑΡΜΑΡΑΣ ΧΑΛΚΙΔΙΚΗΣ</t>
  </si>
  <si>
    <t>Ενιαίο Ειδικό Επαγγελματικό Γυμνάσιο-Λύκειο (ΕΝ.Ε.Ε.ΓΥ.-Λ.) Νέας Προποντίδας</t>
  </si>
  <si>
    <t>eneegylnp@sch.gr</t>
  </si>
  <si>
    <t>Πορταριά</t>
  </si>
  <si>
    <t>Πορταριά Νέας Προποντίδας,</t>
  </si>
  <si>
    <t>ΔΙΕΥΘΥΝΣΗ Π.Ε. ΑΝΑΤ. ΘΕΣ/ΝΙΚΗΣ</t>
  </si>
  <si>
    <t>20ο ΝΗΠΙΑΓΩΓΕΙΟ ΚΑΛΑΜΑΡΙΑΣ</t>
  </si>
  <si>
    <t>mail@20nip-kalam.thess.sch.gr</t>
  </si>
  <si>
    <t>Γ.ΓΕΝΝΗΜΑΤΑ  38</t>
  </si>
  <si>
    <t>19ο ΝΗΠΙΑΓΩΓΕΙΟ ΚΑΛΑΜΑΡΙΑΣ</t>
  </si>
  <si>
    <t>mail@19nip-kalam.thess.sch.gr</t>
  </si>
  <si>
    <t>ΑΛΙΣΤΡΑΤΗΣ ΚΑΙ Α. ΘΕΟΔΟΣΙΑΔΗ</t>
  </si>
  <si>
    <t>8ο ΝΗΠΙΑΓΩΓΕΙΟ ΚΑΛΑΜΑΡΙΑΣ</t>
  </si>
  <si>
    <t>mail@8nip-kalam.thess.sch.gr</t>
  </si>
  <si>
    <t>ΚΑΛΑΒΡΥΤΩΝ 14</t>
  </si>
  <si>
    <t>3ο ΔΗΜΟΤΙΚΟ ΣΧΟΛΕΙΟ ΠΑΝΟΡΑΜΑΤΟΣ</t>
  </si>
  <si>
    <t>mail@dipe-a.thess.sch.gr</t>
  </si>
  <si>
    <t>mail@12dim-kalam.thess.sch.gr</t>
  </si>
  <si>
    <t>ΠΟΝΤΟΥ 220</t>
  </si>
  <si>
    <t>ΤΑΓΑΡΑΔΩΝ</t>
  </si>
  <si>
    <t>ΔΗΜΟΤΙΚΟ ΣΧΟΛΕΙΟ ΤΑΓΑΡΑΔΩΝ</t>
  </si>
  <si>
    <t>mail@dim-tagar.thess.sch.gr</t>
  </si>
  <si>
    <t>ΤΑΓΑΡΑΔΕΣ</t>
  </si>
  <si>
    <t>ΓΡΑΜΜΟΥ ΒΙΤΣΙ 40</t>
  </si>
  <si>
    <t>20ο ΔΗΜΟΤΙΚΟ ΣΧΟΛΕΙΟ ΚΑΛΑΜΑΡΙΑΣ</t>
  </si>
  <si>
    <t>mail@20dim-kalam.thess.sch.gr</t>
  </si>
  <si>
    <t>ΦΩΚΑΙΑΣ 11</t>
  </si>
  <si>
    <t>51ο ΔΗΜΟΤΙΚΟ ΣΧΟΛΕΙΟ ΘΕΣΣΑΛΟΝΙΚΗΣ</t>
  </si>
  <si>
    <t>mail@51dim-thess.thess.sch.gr</t>
  </si>
  <si>
    <t>ΚΑΣΣΑΝΔΡΟΥ 54</t>
  </si>
  <si>
    <t>80ο ΔΗΜΟΤΙΚΟ ΣΧΟΛΕΙΟ ΘΕΣΣΑΛΟΝΙΚΗΣ</t>
  </si>
  <si>
    <t>mail@80dim-thess.thess.sch.gr</t>
  </si>
  <si>
    <t>ΒΑΛΤΕΤΣΙΟΥ 17</t>
  </si>
  <si>
    <t>26ο ΝΗΠΙΑΓΩΓΕΙΟ ΘΕΣΣΑΛΟΝΙΚΗΣ</t>
  </si>
  <si>
    <t>mail@26nip-thess.thess.sch.gr</t>
  </si>
  <si>
    <t>ΜΑΝΟΥΣΟΓΙΑΝΝΑΚΗ 4</t>
  </si>
  <si>
    <t>mail@dim-asvest.thess.sch.gr</t>
  </si>
  <si>
    <t>ΗΡΩΩΝ ΠΕΣΟΝΤΩΝ 5</t>
  </si>
  <si>
    <t>mail@44dim-thess.thess.sch.gr</t>
  </si>
  <si>
    <t>ΑΡΡΙΑΝΟΥ 3 &amp; ΙΑΣΩΝΙΔΟΥ</t>
  </si>
  <si>
    <t>28ο ΝΗΠΙΑΓΩΓΕΙΟ ΘΕΣΣΑΛΟΝΙΚΗΣ</t>
  </si>
  <si>
    <t>mail@28nip-thess.thess.sch.gr</t>
  </si>
  <si>
    <t>29ο ΝΗΠΙΑΓΩΓΕΙΟ ΘΕΣΣΑΛΟΝΙΚΗ</t>
  </si>
  <si>
    <t>mail@29nip-thess.thess.sch.gr</t>
  </si>
  <si>
    <t>mail@1dim-therm.thess.sch.gr</t>
  </si>
  <si>
    <t>ΜΑΚΡΥΓΙΑΝΝΗ 47</t>
  </si>
  <si>
    <t>30ο ΝΗΠΙΑΓΩΓΕΙΟ ΘΕΣΣΑΛΟΝΙΚΗΣ</t>
  </si>
  <si>
    <t>mail@30nip-thess.thess.sch.gr</t>
  </si>
  <si>
    <t>mail@6dim-pylaias.thess.sch.gr</t>
  </si>
  <si>
    <t>ΓΕΩΡΓΙΚΗΣ ΣΧΟΛΗΣ 129</t>
  </si>
  <si>
    <t>mail@1dim-pylaias.thess.sch.gr</t>
  </si>
  <si>
    <t>ΙΣΜΗΝΗΣ 6</t>
  </si>
  <si>
    <t>31ο ΝΗΠΙΑΓΩΓΕΙΟ ΘΕΣΣΑΛΟΝΙΚΗΣ</t>
  </si>
  <si>
    <t>mail@31nip-thess.thess.sch.gr</t>
  </si>
  <si>
    <t>ΠΡΟΞΕΝΟΥΣ ΚΟΡΟΜΗΛΑ 25</t>
  </si>
  <si>
    <t>32ο ΝΗΠΙΑΓΩΓΕΙΟ ΘΕΣΣΑΛΟΝΙΚΗΣ</t>
  </si>
  <si>
    <t>mail@32nip-thess.thess.sch.gr</t>
  </si>
  <si>
    <t>ΣΤΕΦ. ΔΡΑΓΟΥΜΗ 7</t>
  </si>
  <si>
    <t>3ο ΔΗΜΟΤΙΚΟ ΣΧΟΛΕΙΟ ΘΕΡΜΗΣ-ΤΡΙΑΔΙΟΥ</t>
  </si>
  <si>
    <t>mail@3dim-therm.thess.sch.gr</t>
  </si>
  <si>
    <t xml:space="preserve">ΤΡΙΑΔΙ </t>
  </si>
  <si>
    <t>ΗΡΩΩΝ ΠΟΛΥΤΕΧΝΕΙΟΥ 40</t>
  </si>
  <si>
    <t>106ο ΔΗΜΟΤΙΚΟ ΣΧΟΛΕΙΟ ΘΕΣΣΑΛΟΝΙΚΗΣ</t>
  </si>
  <si>
    <t>mail@106dim-thess.thess.sch.gr</t>
  </si>
  <si>
    <t>ΑΡΓΥΡΙΟΥ ΖΑΧΟΥ 20</t>
  </si>
  <si>
    <t>90ο ΔΗΜΟΤΙΚΟ ΣΧΟΛΕΙΟ ΘΕΣΣΑΛΟΝΙΚΗΣ</t>
  </si>
  <si>
    <t>mail@90dim-thess.thess.sch.gr</t>
  </si>
  <si>
    <t>ΜΑΡΚΟΥ ΜΠΟΤΣΑΡΗ 45</t>
  </si>
  <si>
    <t>4ο ΔΗΜΟΤΙΚΟ ΣΧΟΛΕΙΟ ΘΕΣΣΑΛΟΝΙΚΗΣ</t>
  </si>
  <si>
    <t>mail@4dim-thess.thess.sch.gr</t>
  </si>
  <si>
    <t>ΔΕΛΦΩΝ 150</t>
  </si>
  <si>
    <t>2ο ΔΗΜΟΤΙΚΟ ΣΧΟΛΕΙΟ ΚΑΛΑΜΑΡΙΑΣ</t>
  </si>
  <si>
    <t>mail@2dim-kalam.thess.sch.gr</t>
  </si>
  <si>
    <t>ΠΑΠΑΓΟΥ-ΚΑΛΛΙΔΟΥ 1</t>
  </si>
  <si>
    <t>mail@23dim-kalam.thess.sch.gr</t>
  </si>
  <si>
    <t>61ο ΔΗΜΟΤΙΚΟ ΣΧΟΛΕΙΟ ΘΕΣΣΑΛΟΝΙΚΗΣ</t>
  </si>
  <si>
    <t>mail@61dim-thess.thess.sch.gr</t>
  </si>
  <si>
    <t>ΑΡΧΑΙΟΤΗΤΩΝ 3</t>
  </si>
  <si>
    <t>2ο ΝΗΠΙΑΓΩΓΕΙΟ ΠΑΝΟΡΑΜΑΤΟΣ</t>
  </si>
  <si>
    <t>mail@2nip-panor.thess.sch.gr</t>
  </si>
  <si>
    <t>ΠΑΛΑΙΟΛΟΓΟΥ &amp; ΠΕΡΔΙΚΑ</t>
  </si>
  <si>
    <t>22ο ΝΗΠΙΑΓΩΓΕΙΟ ΚΑΛΑΜΑΡΙΑΣ</t>
  </si>
  <si>
    <t>mail@22nip-kalam.thess.sch.gr</t>
  </si>
  <si>
    <t>11ο ΔΗΜΟΤΙΚΟ ΣΧΟΛΕΙΟ ΚΑΛΑΜΑΡΙΑΣ - ΑΓΙΟΣ ΠΑΝΤΕΛΕΗΜΟΝΑΣ</t>
  </si>
  <si>
    <t>mail@11dim-kalam.thess.sch.gr</t>
  </si>
  <si>
    <t>ΦΙΛΕΛΛΗΝΩΝ 9</t>
  </si>
  <si>
    <t>mail@83dim-thess.thess.sch.gr</t>
  </si>
  <si>
    <t>Π. ΚΑΡΟΛΙΔΗ 10</t>
  </si>
  <si>
    <t>mail@36dim-thess.thess.sch.gr</t>
  </si>
  <si>
    <t>ΑΓΙΑΣ ΣΟΦΙΑΣ 66</t>
  </si>
  <si>
    <t>mail@79dim-thess.thess.sch.gr</t>
  </si>
  <si>
    <t>Ν. ΠΛΑΣΤΗΡΑ 6 - Θ. ΓΑΖΗ</t>
  </si>
  <si>
    <t>67ο ΔΗΜΟΤΙΚΟ ΣΧΟΛΕΙΟ ΘΕΣΣΑΛΟΝΙΚΗΣ</t>
  </si>
  <si>
    <t>mail@67dim-thess.thess.sch.gr</t>
  </si>
  <si>
    <t>Δ. ΠΑΠΑΘΑΝΑΣΙΟΥ 41</t>
  </si>
  <si>
    <t>13ο ΔΗΜΟΤΙΚΟ ΣΧΟΛΕΙΟ ΚΑΛΑΜΑΡΙΑΣ</t>
  </si>
  <si>
    <t>mail@13dim-kalam.thess.sch.gr</t>
  </si>
  <si>
    <t>ΜΑΚΡΟΧΩΡΙΟΥ 1 ΠΛ. ΣΚΡΑ</t>
  </si>
  <si>
    <t>ΑΔΡΑΜΥΤΙΟΥ 2</t>
  </si>
  <si>
    <t>7ο ΔΗΜΟΤΙΚΟ ΣΧΟΛΕΙΟ ΚΑΛΑΜΑΡΙΑΣ</t>
  </si>
  <si>
    <t>mail@7dim-kalam.thess.sch.gr</t>
  </si>
  <si>
    <t>ΖΗΡΓΑΝΟΥ-ΕΡΥΘΡΟΥ ΣΤΑΥΡΟΥ</t>
  </si>
  <si>
    <t>1ο ΔΗΜΟΤΙΚΟ ΣΧΟΛΕΙΟ ΚΑΛΑΜΑΡΙΑΣ</t>
  </si>
  <si>
    <t>mail@1dim-kalam.thess.sch.gr</t>
  </si>
  <si>
    <t>Τ.ΟΙΚΟΝΟΜΙΔΗ 52</t>
  </si>
  <si>
    <t>35ο  ΝΗΠΙΑΓΩΓΕΙΟ ΘΕΣΣΑΛΟΝΙΚΗΣ</t>
  </si>
  <si>
    <t>mail@35nip-thess.thess.sch.gr</t>
  </si>
  <si>
    <t>Κ. ΚΡΥΣΤΑΛΛΗ 10</t>
  </si>
  <si>
    <t>mail@17dim-kalam.thess.sch.gr</t>
  </si>
  <si>
    <t>ΑΝ. ΘΡΑΚΗΣ 10</t>
  </si>
  <si>
    <t>mail@1dim-peraias.thess.sch.gr</t>
  </si>
  <si>
    <t>ΑΜΠΕΛΟΚΗΠΩΝ 56</t>
  </si>
  <si>
    <t>3ο ΝΗΠΙΑΓΩΓΕΙΟ ΠΑΝΟΡΑΜΑΤΟΣ</t>
  </si>
  <si>
    <t>mail@3nip-panor.thess.sch.gr</t>
  </si>
  <si>
    <t>ΤΣΑΧΟΥΡΙΔΗ 3</t>
  </si>
  <si>
    <t>mail@55dim-thess.thess.sch.gr</t>
  </si>
  <si>
    <t>mail@15dim-kalam.thess.sch.gr</t>
  </si>
  <si>
    <t>ΚΑΛΛΙΔΟΥ-ΠΑΠΑΓΟΥ</t>
  </si>
  <si>
    <t>Μ.ΚΑΛΛΙΔΟΥ-ΠΑΠΑΓΟΥ</t>
  </si>
  <si>
    <t>63ο ΔΗΜΟΤΙΚΟ ΣΧΟΛΕΙΟ ΘΕΣΣΑΛΟΝΙΚΗΣ</t>
  </si>
  <si>
    <t>mail@63dim-thess.thess.sch.gr</t>
  </si>
  <si>
    <t>ΣΕΛΙΤΣΗΣ 2 ΕΝΑΝΤΙ Ν. Σ. ΣΤΑΘΜΟΥ</t>
  </si>
  <si>
    <t>25ο ΝΗΠΙΑΓΩΓΕΙΟ ΚΑΛΑΜΑΡΙΑΣ</t>
  </si>
  <si>
    <t>mail@25nip-kalam.thess.sch.gr</t>
  </si>
  <si>
    <t>ΚΟΥΣΚΟΥΡΑ 32</t>
  </si>
  <si>
    <t>2ο ΝΗΠΙΑΓΩΓΕΙΟ  ΠΥΛΑΙΑΣ</t>
  </si>
  <si>
    <t>mail@2nip-pylaias.thess.sch.gr</t>
  </si>
  <si>
    <t>ΒΕΡΓΙΝΑΣ 15</t>
  </si>
  <si>
    <t>37ο ΝΗΠΙΑΓΩΓΕΙΟ ΘΕΣΣΑΛΟΝΙΚΗΣ</t>
  </si>
  <si>
    <t>mail@37nip-thess.thess.sch.gr</t>
  </si>
  <si>
    <t>ΚΟΛΩΝΙΑΡΗ &amp; ΔΡΑΓΟΥΜΑΝΟΥ 13</t>
  </si>
  <si>
    <t>38ο ΝΗΠΙΑΓΩΓΕΙΟ ΘΕΣΣΑΛΟΝΙΚΗΣ</t>
  </si>
  <si>
    <t>mail@38nip-thess.thess.sch.gr</t>
  </si>
  <si>
    <t>ΜΟΝΑΣΤΗΡΙΟΥ ΕΝΑΝΤΙ Ν.Σ.ΣΤΑΘΜΟΥ</t>
  </si>
  <si>
    <t>mail@8dim-kalam.thess.sch.gr</t>
  </si>
  <si>
    <t>1ο ΝΗΠΙΑΓΩΓΕΙΟ ΠΥΛΑΙΑΣ</t>
  </si>
  <si>
    <t>mail@1nip-pylaias.thess.sch.gr</t>
  </si>
  <si>
    <t>ΗΛΕΚΤΡΑΣ 2</t>
  </si>
  <si>
    <t>mail@66dim-thess.thess.sch.gr</t>
  </si>
  <si>
    <t>ΚΑΠΑΤΟΥ  8</t>
  </si>
  <si>
    <t>mail@10dim-kalam.thess.sch.gr</t>
  </si>
  <si>
    <t>ΒΡΥΟΥΛΩΝ 51</t>
  </si>
  <si>
    <t>ΝΕΑΣ ΡΑΙΔΕΣΤΟΥ</t>
  </si>
  <si>
    <t>1ο ΝΗΠΙΑΓΩΓΕΙΟ ΝΕΑΣ ΡΑΙΔΕΣΤΟΥ</t>
  </si>
  <si>
    <t>mail@1nip-n-radaist.thess.sch.gr</t>
  </si>
  <si>
    <t>ΝΕΑ ΡΑΙΔΕΣΤΟΣ</t>
  </si>
  <si>
    <t>ΑΡΙΣΤΟΤΕΛΟΥΣ 9</t>
  </si>
  <si>
    <t>ΠΕΙΡΑΜΑΤΙΚΟ ΔΗΜΟΤΙΚΟ ΣΧΟΛΕΙΟ ΔΙΑΠΟΛΙΤΙΣΜΙΚΗΣ ΕΚΠΑΙΔΕΥΣΗΣ ΘΕΣΣΑΛΟΝΙΚΗΣ</t>
  </si>
  <si>
    <t>mail@dim-diap-thess.thess.sch.gr</t>
  </si>
  <si>
    <t xml:space="preserve">ΘΕΣΣΑΛΟΝΙΚΗ </t>
  </si>
  <si>
    <t>ΚΑΠΑΤΟΥ 6 &amp; ΓΑΛΑΝΑΚΗ</t>
  </si>
  <si>
    <t>47ο ΝΗΠΙΑΓΩΓΕΙΟ ΘΕΣΣΑΛΟΝΙΚΗΣ</t>
  </si>
  <si>
    <t>mail@47nip-thess.thess.sch.gr</t>
  </si>
  <si>
    <t>101ο ΔΗΜΟΤΙΚΟ ΣΧΟΛΕΙΟ ΘΕΣΣΑΛΟΝΙΚΗΣ</t>
  </si>
  <si>
    <t>mail@101dim-thess.thess.sch.gr</t>
  </si>
  <si>
    <t>ΑΜΜΟΧΩΣΤΟΥ 2</t>
  </si>
  <si>
    <t>49ο ΝΗΠΙΑΓΩΓΕΙΟ ΘΕΣΣΑΛΟΝΙΚΗΣ</t>
  </si>
  <si>
    <t>mail@49nip-thess.thess.sch.gr</t>
  </si>
  <si>
    <t>14ο ΝΗΠΙΑΓΩΓΕΙΟ ΚΑΛΑΜΑΡΙΑΣ</t>
  </si>
  <si>
    <t>mail@14nip-kalam.thess.sch.gr</t>
  </si>
  <si>
    <t>ΙΣΜΗΝΗΣ 7</t>
  </si>
  <si>
    <t>50ο ΝΗΠΙΑΓΩΓΕΙΟ ΘΕΣΣΑΛΟΝΙΚΗΣ</t>
  </si>
  <si>
    <t>mail@50nip-thess.thess.sch.gr</t>
  </si>
  <si>
    <t>ΑΓ. ΣΟΦΙΑΣ 66</t>
  </si>
  <si>
    <t>mail@4dim-therm.thess.sch.gr</t>
  </si>
  <si>
    <t>ΘΕΣΗ ΑΠΟΘΗΚΕΣ  Τ.Θ. Δ 1091</t>
  </si>
  <si>
    <t>53ο ΝΗΠΙΑΓΩΓΕΙΟ ΘΕΣΣΑΛΟΝΙΚΗΣ</t>
  </si>
  <si>
    <t>mail@53nip-thess.thess.sch.gr</t>
  </si>
  <si>
    <t>ΑΓ. ΔΗΜΗΤΡΙΟΥ 125</t>
  </si>
  <si>
    <t>mail@11dim-thess.thess.sch.gr</t>
  </si>
  <si>
    <t>ΑΜΑΛΙΑΣ 60-62</t>
  </si>
  <si>
    <t>9ο ΔΗΜΟΤΙΚΟ ΣΧΟΛΕΙΟ ΘΕΣΣΑΛΟΝΙΚΗΣ</t>
  </si>
  <si>
    <t>mail@9dim-thess.thess.sch.gr</t>
  </si>
  <si>
    <t>ΔΕΛΦΩΝ 35</t>
  </si>
  <si>
    <t>5ο ΝΗΠΙΑΓΩΓΕΙΟ ΘΕΡΜΗΣ</t>
  </si>
  <si>
    <t>mail@5nip-therm.thess.sch.gr</t>
  </si>
  <si>
    <t>ΘΕΣΗ ΑΠΟΘΗΚΕΣ Τ.Θ. Δ 1091</t>
  </si>
  <si>
    <t>33ο ΔΗΜΟΤΙΚΟ ΣΧΟΛΕΙΟ ΘΕΣΣΑΛΟΝΙΚΗΣ - ΑΣΥΛΟ ΤΟΥ ΠΑΙΔΙΟΥ</t>
  </si>
  <si>
    <t>mail@33dim-thess.thess.sch.gr</t>
  </si>
  <si>
    <t>ΣΤΕΛΙΟΥ ΚΑΖΑΝΤΖΙΔΗ 62 - 64</t>
  </si>
  <si>
    <t>1ο  ΝΗΠΙΑΓΩΓΕΙΟ ΚΑΡΔΙΑΣ</t>
  </si>
  <si>
    <t>mail@nip-kardias.thess.sch.gr</t>
  </si>
  <si>
    <t>ΚΑΡΔΙΑ</t>
  </si>
  <si>
    <t>ΠΟΣΕΙΔΩΝΟΣ 4</t>
  </si>
  <si>
    <t>54ο ΝΗΠΙΑΓΩΓΕΙΟ ΘΕΣΣΑΛΟΝΙΚΗΣ</t>
  </si>
  <si>
    <t>mail@54nip-thess.thess.sch.gr</t>
  </si>
  <si>
    <t>ΕΛΕΥΘΕΡΩΝ 14</t>
  </si>
  <si>
    <t>3ο ΝΗΠΙΑΓΩΓΕΙΟ ΕΠΑΝΟΜΗΣ</t>
  </si>
  <si>
    <t>mail@3nip-epanom.thess.sch.gr</t>
  </si>
  <si>
    <t>ΕΝΑΝΤΙ ΑΓΙΟΥ ΣΠΥΡΙΔΩΝΑ</t>
  </si>
  <si>
    <t>11ο ΕΙΔΙΚΟ ΔΗΜΟΤΙΚΟ ΣΧΟΛΕΙΟ ΘΕΣΣΑΛΟΝΙΚΗΣ - ΝΟΣΟΚΟΜΕΙΑΚΟ</t>
  </si>
  <si>
    <t>mail@11dim-eid-thess.thess.sch.gr</t>
  </si>
  <si>
    <t>ΕΘΝΙΚΗΣ ΑΜΥΝΗΣ 41</t>
  </si>
  <si>
    <t>105dimthe@sch.gr</t>
  </si>
  <si>
    <t>ΑΛ. ΣΠΑΝΟΥ 4</t>
  </si>
  <si>
    <t>3ο ΝΗΠΙΑΓΩΓΕΙΟ ΘΕΡΜΗΣ</t>
  </si>
  <si>
    <t>mail@3nip-therm.thess.sch.gr</t>
  </si>
  <si>
    <t>ΚΑΠΕΤΑΝ ΧΑΨΑ 6</t>
  </si>
  <si>
    <t>37ο ΔΗΜΟΤΙΚΟ ΣΧΟΛΕΙΟ ΘΕΣΣΑΛΟΝΙΚΗΣ</t>
  </si>
  <si>
    <t>mail@37dim-thess.thess.sch.gr</t>
  </si>
  <si>
    <t>ΟΛΥΜΠΟΥ 101</t>
  </si>
  <si>
    <t>59ο ΔΗΜΟΤΙΚΟ ΣΧΟΛΕΙΟ ΘΕΣΣΑΛΟΝΙΚΗΣ</t>
  </si>
  <si>
    <t>mail@59dim-thess.thess.sch.gr</t>
  </si>
  <si>
    <t>ΔΗΜΟΤΙΚΟ ΣΧΟΛΕΙΟ ΚΑΡΔΙΑΣ</t>
  </si>
  <si>
    <t>mail@dim-kardias.thess.sch.gr</t>
  </si>
  <si>
    <t>ΒΥΖΑΝΤΙΟΥ 2</t>
  </si>
  <si>
    <t>mail@15dim-thess.thess.sch.gr</t>
  </si>
  <si>
    <t>ΖΑΦΕΙΡΗ ΠΑΠΑΖΑΦΕΙΡΙΟΥ 4</t>
  </si>
  <si>
    <t>1ο ΝΗΠΙΑΓΩΓΕΙΟ ΘΕΡΜΗΣ</t>
  </si>
  <si>
    <t>mail@1nip-therm.thess.sch.gr</t>
  </si>
  <si>
    <t>ΔΗΜΟΚΡΑΤΙΑΣ 3</t>
  </si>
  <si>
    <t>mail@4dim-kalam.thess.sch.gr</t>
  </si>
  <si>
    <t>12ο ΝΗΠΙΑΓΩΓΕΙΟ ΘΕΣΣΑΛΟΝΙΚΗΣ</t>
  </si>
  <si>
    <t>mail@12nip-thess.thess.sch.gr</t>
  </si>
  <si>
    <t>ΠΥΛΑΙΑΣ 1</t>
  </si>
  <si>
    <t>1ο ΝΗΠΙΑΓΩΓΕΙΟ ΑΣΒΕΣΤΟΧΩΡΙΟΥ</t>
  </si>
  <si>
    <t>mail@1nip-asvest.thess.sch.gr</t>
  </si>
  <si>
    <t>ΠΕΣΟΝΤΩΝ ΗΡΩΩΝ 5</t>
  </si>
  <si>
    <t>ΣΟΥΡΩΤΗΣ</t>
  </si>
  <si>
    <t>ΝΗΠΙΑΓΩΓΕΙΟ ΣΟΥΡΩΤΗΣ</t>
  </si>
  <si>
    <t>mail@1nip-sourot.thess.sch.gr</t>
  </si>
  <si>
    <t>ΣΟΥΡΩΤΗ</t>
  </si>
  <si>
    <t>ΠΑΥΛΟΥ ΜΕΛΑ 1</t>
  </si>
  <si>
    <t>mail@54dim-thess.thess.sch.gr</t>
  </si>
  <si>
    <t>ΣΤ.ΔΡΑΓΟΥΜΗ  7-9</t>
  </si>
  <si>
    <t>77ο ΔΗΜΟΤΙΚΟ ΣΧΟΛΕΙΟ ΘΕΣΣΑΛΟΝΙΚΗΣ</t>
  </si>
  <si>
    <t>mail@77dim-thess.thess.sch.gr</t>
  </si>
  <si>
    <t>ΚΑΒΕΙΡΩΝ 6</t>
  </si>
  <si>
    <t>4ο ΝΗΠΙΑΓΩΓΕΙΟ ΠΥΛΑΙΑΣ</t>
  </si>
  <si>
    <t>mail@4nip-pylaias.thess.sch.gr</t>
  </si>
  <si>
    <t>ΠΕΡΡΑΙΒΟΥ 1</t>
  </si>
  <si>
    <t>2ο ΝΗΠΙΑΓΩΓΕΙΟ ΘΕΡΜΗΣ</t>
  </si>
  <si>
    <t>mail@2nip-therm.thess.sch.gr</t>
  </si>
  <si>
    <t>ΠΟΝΤΟΥ 45</t>
  </si>
  <si>
    <t>1ο ΝΗΠΙΑΓΩΓΕΙΟ ΤΡΙΑΝΔΡΙΑΣ ΘΕΣΣΑΛΟΝΙΚΗΣ</t>
  </si>
  <si>
    <t>mail@1nip-triandr.thess.sch.gr</t>
  </si>
  <si>
    <t>ΤΡΙΑΝΔΡΙΑ</t>
  </si>
  <si>
    <t>ΑΓΙΟΥ ΣΠΥΡΙΔΩΝΟΣ 2</t>
  </si>
  <si>
    <t>19ο ΝΗΠΙΑΓΩΓΕΙΟ ΘΕΣΣΑΛΟΝΙΚΗΣ</t>
  </si>
  <si>
    <t>mail@19nip-thess.thess.sch.gr</t>
  </si>
  <si>
    <t>ΜΗΤΣΑΚΗ 1</t>
  </si>
  <si>
    <t>1ο ΝΗΠΙΑΓΩΓΕΙΟ ΠΑΝΟΡΑΜΑΤΟΣ</t>
  </si>
  <si>
    <t>mail@1nip-panor.thess.sch.gr</t>
  </si>
  <si>
    <t>ΒΕΝΙΖΕΛΟΥ ΤΕΡΜΑ</t>
  </si>
  <si>
    <t>20ο ΝΗΠΙΑΓΩΓΕΙΟ ΘΕΣΣΑΛΟΝΙΚΗΣ</t>
  </si>
  <si>
    <t>mail@20nip-thess.thess.sch.gr</t>
  </si>
  <si>
    <t>ΠΕΣΤΩΝ 55-63</t>
  </si>
  <si>
    <t>21ο ΝΗΠΙΑΓΩΓΕΙΟ ΘΕΣΣΑΛΟΝΙΚΗΣ</t>
  </si>
  <si>
    <t>mail@21nip-thess.thess.sch.gr</t>
  </si>
  <si>
    <t>ΠΕΡΔΙΚΑ 8</t>
  </si>
  <si>
    <t>22ο ΝΗΠΙΑΓΩΓΕΙΟ ΘΕΣΣΑΛΟΝΙΚΗΣ</t>
  </si>
  <si>
    <t>mail@22nip-thess.thess.sch.gr</t>
  </si>
  <si>
    <t>ΣΙΦΝΟΥ 9</t>
  </si>
  <si>
    <t>23ο ΝΗΠΙΑΓΩΓΕΙΟ ΘΕΣΣΑΛΟΝΙΚΗΣ</t>
  </si>
  <si>
    <t>mail@23nip-thess.thess.sch.gr</t>
  </si>
  <si>
    <t>43ο ΝΗΠΙΑΓΩΓΕΙΟ ΘΕΣΣΑΛΟΝΙΚΗΣ</t>
  </si>
  <si>
    <t>mail@43nip-thess.thess.sch.gr</t>
  </si>
  <si>
    <t>ΤΕΡΜΑ ΔΙΔΑΣΚΑΛΟΥ ΑΔΑΜΙΔΗ</t>
  </si>
  <si>
    <t>48ο ΝΗΠΙΑΓΩΓΕΙΟ ΘΕΣΣΑΛΟΝΙΚΗΣ</t>
  </si>
  <si>
    <t>mail@48nip-thess.thess.sch.gr</t>
  </si>
  <si>
    <t>ΕΠΙΔΑΥΡΟΥ 9</t>
  </si>
  <si>
    <t>3ο ΔΗΜΟΤΙΚΟ ΣΧΟΛΕΙΟ ΚΑΛΑΜΑΡΙΑΣ</t>
  </si>
  <si>
    <t>mail@3dim-kalam.thess.sch.gr</t>
  </si>
  <si>
    <t>ΚΟΛΟΤΟΥΡΟΥ 10</t>
  </si>
  <si>
    <t>55ο ΝΗΠΙΑΓΩΓΕΙΟ ΘΕΣΣΑΛΟΝΙΚΗΣ</t>
  </si>
  <si>
    <t>mail@55nip-thess.thess.sch.gr</t>
  </si>
  <si>
    <t>ΙΠΠΟΔΡΟΜΙΟΥ 88</t>
  </si>
  <si>
    <t>56ο ΝΗΠΙΑΓΩΓΕΙΟ ΘΕΣΣΑΛΟΝΙΚΗΣ - ΤΕΝΕΚΕΔΕΝΙΟ</t>
  </si>
  <si>
    <t>mail@56nip-thess.thess.sch.gr</t>
  </si>
  <si>
    <t>mail@2dim-panor.thess.sch.gr</t>
  </si>
  <si>
    <t>ΠΑΛΑΙΟΛΟΓΟΥ 11</t>
  </si>
  <si>
    <t>77ο ΝΗΠΙΑΓΩΓΕΙΟ ΘΕΣΣΑΛΟΝΙΚΗΣ</t>
  </si>
  <si>
    <t>mail@77nip-thess.thess.sch.gr</t>
  </si>
  <si>
    <t>ΒΟΣΠΟΡΟΥ 66</t>
  </si>
  <si>
    <t>81ο ΝΗΠΙΑΓΩΓΕΙΟ ΘΕΣΣΑΛΟΝΙΚΗΣ</t>
  </si>
  <si>
    <t>mail@81nip-thess.thess.sch.gr</t>
  </si>
  <si>
    <t>ΠΟΝΤΟΥ 40</t>
  </si>
  <si>
    <t>mail@6dim-kalam.thess.sch.gr</t>
  </si>
  <si>
    <t>ΣΜΥΡΝΗΣ 51</t>
  </si>
  <si>
    <t>ΝΕΑΣ ΚΕΡΑΣΙΑΣ</t>
  </si>
  <si>
    <t>ΝΗΠΙΑΓΩΓΕΙΟ ΝΕΑΣ ΚΕΡΑΣΙΑΣ</t>
  </si>
  <si>
    <t>nipkerasia@sch.gr</t>
  </si>
  <si>
    <t>ΝΕΑ ΚΕΡΑΣΙΑ</t>
  </si>
  <si>
    <t>88ο ΔΗΜΟΤΙΚΟ ΣΧΟΛΕΙΟ ΘΕΣΣΑΛΟΝΙΚΗΣ</t>
  </si>
  <si>
    <t>mail@88dim-thess.thess.sch.gr</t>
  </si>
  <si>
    <t>ΖΑΜΠΕΛΙΟΥ 2-4</t>
  </si>
  <si>
    <t>9ο ΔΗΜΟΤΙΚΟ ΣΧΟΛΕΙΟ ΚΑΛΑΜΑΡΙΑΣ</t>
  </si>
  <si>
    <t>mail@9dim-kalam.thess.sch.gr</t>
  </si>
  <si>
    <t>ΝΥΜΦΩΝ 1</t>
  </si>
  <si>
    <t>60ο  ΝΗΠΙΑΓΩΓΕΙΟ ΘΕΣΣΑΛΟΝΙΚΗΣ</t>
  </si>
  <si>
    <t>mail@60nip-thess.thess.sch.gr</t>
  </si>
  <si>
    <t>ΠΛΑΤΕΙΑ ΑΓ. ΑΝΑΡΓΥΡΩΝ 4</t>
  </si>
  <si>
    <t>61ο ΝΗΠΙΑΓΩΓΕΙΟ ΘΕΣΣΑΛΟΝΙΚΗΣ</t>
  </si>
  <si>
    <t>mail@61nip-thess.thess.sch.gr</t>
  </si>
  <si>
    <t>ΟΛΥΜΠΙΑΔΟΣ 94</t>
  </si>
  <si>
    <t>mail@30dim-thess.thess.sch.gr</t>
  </si>
  <si>
    <t>ΙΩΑΝΝΙΝΩΝ 20</t>
  </si>
  <si>
    <t>1ο ΝΗΠΙΑΓΩΓΕΙΟ ΤΡΙΑΔΙΟΥ</t>
  </si>
  <si>
    <t>mail@1nip-triad.thess.sch.gr</t>
  </si>
  <si>
    <t>ΤΡΙΑΔΙ</t>
  </si>
  <si>
    <t>ΑΛΕΞΑΝΔΡΟΥ ΣΒΩΛΟΥ 2</t>
  </si>
  <si>
    <t>64ο ΝΗΠΙΑΓΩΓΕΙΟ ΘΕΣΣΑΛΟΝΙΚΗΣ</t>
  </si>
  <si>
    <t>mail@64nip-thess.thess.sch.gr</t>
  </si>
  <si>
    <t>90ο ΝΗΠΙΑΓΩΓΕΙΟ ΘΕΣΣΑΛΟΝΙΚΗΣ</t>
  </si>
  <si>
    <t>mail@90nip-thess.thess.sch.gr</t>
  </si>
  <si>
    <t>Ν. ΚΑΠΑΤΟΥ  8</t>
  </si>
  <si>
    <t>6ο ΝΗΠΙΑΓΩΓΕΙΟ ΚΑΛΑΜΑΡΙΑΣ</t>
  </si>
  <si>
    <t>mail@6nip-kalam.thess.sch.gr</t>
  </si>
  <si>
    <t>ΦΙΛΙΠΠΟΥ 2</t>
  </si>
  <si>
    <t>95ο ΝΗΠΙΑΓΩΓΕΙΟ ΘΕΣΣΑΛΟΝΙΚΗΣ</t>
  </si>
  <si>
    <t>mail@95nip-thess.thess.sch.gr</t>
  </si>
  <si>
    <t>2ο ΔΗΜΟΤΙΚΟ ΣΧΟΛΕΙΟ ΘΕΡΜΗΣ</t>
  </si>
  <si>
    <t>mail@2dim-therm.thess.sch.gr</t>
  </si>
  <si>
    <t>ΜΑΝΔΡΙΤΣΑ 2</t>
  </si>
  <si>
    <t>3ο ΔΗΜΟΤΙΚΟ ΣΧΟΛΕΙΟ ΕΠΑΝΟΜΗΣ</t>
  </si>
  <si>
    <t>mail@3dim-epanom.thess.sch.gr</t>
  </si>
  <si>
    <t>ΕΙΚΟΣΤΗΣ ΠΕΜΠΤΗΣ  ΜΑΡΤΙΟΥ 70</t>
  </si>
  <si>
    <t>18ο ΔΗΜΟΤΙΚΟ ΣΧΟΛΕΙΟ ΘΕΣΣΑΛΟΝΙΚΗΣ</t>
  </si>
  <si>
    <t>mail@18dim-thess.thess.sch.gr</t>
  </si>
  <si>
    <t>ΟΡΕΣΤΟΥ 30</t>
  </si>
  <si>
    <t>2ο ΝΗΠΙΑΓΩΓΕΙΟ ΑΣΒΕΣΤΟΧΩΡΙΟΥ</t>
  </si>
  <si>
    <t>mail@2nip-asvest.thess.sch.gr</t>
  </si>
  <si>
    <t>ΔΗΜΟΚΡΑΤΙΑΣ 11</t>
  </si>
  <si>
    <t>10ο ΝΗΠΙΑΓΩΓΕΙΟ ΚΑΛΑΜΑΡΙΑΣ</t>
  </si>
  <si>
    <t>mail@10nip-kalam.thess.sch.gr</t>
  </si>
  <si>
    <t>ΙΩΑΚΕΙΜ Γ 46</t>
  </si>
  <si>
    <t>8ο ΔΗΜΟΤΙΚΟ ΣΧΟΛΕΙΟ ΘΕΣΣΑΛΟΝΙΚΗΣ</t>
  </si>
  <si>
    <t>mail@8dim-thess.thess.sch.gr</t>
  </si>
  <si>
    <t>4ο ΝΗΠΙΑΓΩΓΕΙΟ ΚΑΛΑΜΑΡΙΑΣ</t>
  </si>
  <si>
    <t>mail@4nip-kalam.thess.sch.gr</t>
  </si>
  <si>
    <t>ΒΟΖΙΚΗ-ΧΡΙΣΤΟΔΟΥΛΙΔΗ-ΚΟΛΛΑΡΟΥ</t>
  </si>
  <si>
    <t>26ο ΝΗΠΙΑΓΩΓΕΙΟ ΚΑΛΑΜΑΡΙΑΣ</t>
  </si>
  <si>
    <t>mail@26nip-kalam.thess.sch.gr</t>
  </si>
  <si>
    <t>ΚΟΛΟΤΟΥΡΟΥ 20</t>
  </si>
  <si>
    <t>ΝΗΠΙΑΓΩΓΕΙΟ ΕΞΟΧΗΣ (ΠΥΛΑΙΑΣ-ΧΟΡΤΙΑΤΗ)</t>
  </si>
  <si>
    <t>mail@nip-exoch.thess.sch.gr</t>
  </si>
  <si>
    <t>ΙΟΥΛΙΑΝΟΥ 2</t>
  </si>
  <si>
    <t>3ο ΝΗΠΙΑΓΩΓΕΙΟ ΚΑΛΑΜΑΡΙΑΣ</t>
  </si>
  <si>
    <t>mail@3nip-kalam.thess.sch.gr</t>
  </si>
  <si>
    <t>ΦΙΛΙΚΗΣ ΕΤΑΙΡΕΙΑΣ 45</t>
  </si>
  <si>
    <t>19ο ΔΗΜΟΤΙΚΟ ΣΧΟΛΕΙΟ ΘΕΣΣΑΛΟΝΙΚΗΣ</t>
  </si>
  <si>
    <t>mail@19dim-thess.thess.sch.gr</t>
  </si>
  <si>
    <t>mail@31dim-thess.thess.sch.gr</t>
  </si>
  <si>
    <t>4ο ΝΗΠΙΑΓΩΓΕΙΟ ΘΕΡΜΗΣ</t>
  </si>
  <si>
    <t>mail@4nip-therm.thess.sch.gr</t>
  </si>
  <si>
    <t>ΜΑΝΔΡΙΤΣΑ 4</t>
  </si>
  <si>
    <t>dimexoxi@sch.gr</t>
  </si>
  <si>
    <t>ΑΓΙΟΥ ΣΤΕΦΑΝΟΥ 24</t>
  </si>
  <si>
    <t>10ο ΕΙΔΙΚΟ  ΔΗΜΟΤΙΚΟ ΣΧΟΛΕΙΟ ΒΑΡΗΚΟΩΝ ΘΕΣΣΑΛΟΝΙΚΗΣ</t>
  </si>
  <si>
    <t>mail@10dim-eid-thess.thess.sch.gr</t>
  </si>
  <si>
    <t>ΕΙΔΙΚΟ ΔΗΜΟΤΙΚΟ ΣΧΟΛΕΙΟ ΤΥΦΛΩΝ ΘΕΣΣΑΛΟΝΙΚΗΣ</t>
  </si>
  <si>
    <t>mail@dim-eid-thess1.thess.sch.gr</t>
  </si>
  <si>
    <t>ΒΑΣ. ΟΛΓΑΣ 32</t>
  </si>
  <si>
    <t>45ο ΔΗΜΟΤΙΚΟ ΣΧΟΛΕΙΟ ΘΕΣΣΑΛΟΝΙΚΗΣ</t>
  </si>
  <si>
    <t>mail@45dim-thess.thess.sch.gr</t>
  </si>
  <si>
    <t>2ο ΝΗΠΙΑΓΩΓΕΙΟ ΝΕΑΣ ΜΗΧΑΝΙΩΝΑΣ</t>
  </si>
  <si>
    <t>mail@2nip-n-michan.thess.sch.gr</t>
  </si>
  <si>
    <t>ΑΘ. ΔΙΑΚΟΥ 9</t>
  </si>
  <si>
    <t>mail@18dim-kalam.thess.sch.gr</t>
  </si>
  <si>
    <t>ΣΤΡΑΤΗΓΟΥ ΣΑΡΑΦΗ 32</t>
  </si>
  <si>
    <t>mail@dim-chort.thess.sch.gr</t>
  </si>
  <si>
    <t>ΧΟΡΤΙΑΤΗΣ</t>
  </si>
  <si>
    <t>ΠΡΟΕΚΤΑΣΗ ΑΓΙΟΥ ΒΑΣΙΛΕΙΟΥ</t>
  </si>
  <si>
    <t>2ο ΝΗΠΙΑΓΩΓΕΙΟ ΦΙΛΥΡΟΥ</t>
  </si>
  <si>
    <t>mail@2nip-filyr.thess.sch.gr</t>
  </si>
  <si>
    <t>ΜΕΓΑΛΟΥ ΑΛΕΞΑΝΔΡΟΥ 15</t>
  </si>
  <si>
    <t>Ολοήμερο Πειραματικό Νηπιαγωγείο μη ενταγμένο στο Πανεπιστήμιο</t>
  </si>
  <si>
    <t>ΠΕΙΡΑΜΑΤΙΚΟ ΝΗΠΙΑΓΩΓΕΙΟ ΠΑΝΕΠΙΣΤΗΜΙΟΥ (ΜΗ ΕΝΤΑΓΜΕΝΟ ΣΤΟ ΠΑΝΕΠΙΣΤΗΜΙΟ) ΘΕΣΣΑΛΟΝΙΚΗΣ</t>
  </si>
  <si>
    <t>mail@nip-peir.thess.sch.gr</t>
  </si>
  <si>
    <t>ΔΕΛΜΟΥΖΟΥ 1</t>
  </si>
  <si>
    <t>mail@69dim-thess.thess.sch.gr</t>
  </si>
  <si>
    <t>mail@92dim-thess.thess.sch.gr</t>
  </si>
  <si>
    <t>ΠΑΠΑΦΗ 229</t>
  </si>
  <si>
    <t>84ο ΝΗΠΙΑΓΩΓΕΙΟ ΘΕΣΣΑΛΟΝΙΚΗΣ</t>
  </si>
  <si>
    <t>mail@84nip-thess.thess.sch.gr</t>
  </si>
  <si>
    <t>85ο ΝΗΠΙΑΓΩΓΕΙΟ ΘΕΣΣΑΛΟΝΙΚΗΣ</t>
  </si>
  <si>
    <t>mail@85nip-thess.thess.sch.gr</t>
  </si>
  <si>
    <t>92ο ΝΗΠΙΑΓΩΓΕΙΟ ΘΕΣΣΑΛΟΝΙΚΗΣ</t>
  </si>
  <si>
    <t>mail@92nip-thess.thess.sch.gr</t>
  </si>
  <si>
    <t>ΤΥΔΕΩΣ 26</t>
  </si>
  <si>
    <t>3ο ΝΗΠΙΑΓΩΓΕΙΟ ΝΕΑΣ ΜΗΧΑΝΙΩΝΑΣ</t>
  </si>
  <si>
    <t>mail@3nip-n-michan.thess.sch.gr</t>
  </si>
  <si>
    <t>ΠΑΡΟΔΟΣ Κ. ΒΑΡΝΑΛΗ</t>
  </si>
  <si>
    <t>97ο ΝΗΠΙΑΓΩΓΕΙΟ ΘΕΣΣΑΛΟΝΙΚΗΣ</t>
  </si>
  <si>
    <t>mail@97nip-thess.thess.sch.gr</t>
  </si>
  <si>
    <t>103ο ΝΗΠΙΑΓΩΓΕΙΟ ΘΕΣΣΑΛΟΝΙΚΗΣ</t>
  </si>
  <si>
    <t>mail@103nip-thess.thess.sch.gr</t>
  </si>
  <si>
    <t>ΠΕΤΡΟΥ ΤΡΑΓΙΑΝΟΥ 8</t>
  </si>
  <si>
    <t>5ο ΔΗΜΟΤΙΚΟ ΣΧΟΛΕΙΟ ΚΑΛΑΜΑΡΙΑΣ</t>
  </si>
  <si>
    <t>mail@5dim-kalam.thess.sch.gr</t>
  </si>
  <si>
    <t>112ο ΝΗΠΙΑΓΩΓΕΙΟ ΘΕΣΣΑΛΟΝΙΚΗΣ</t>
  </si>
  <si>
    <t>mail@112nip-thess.thess.sch.gr</t>
  </si>
  <si>
    <t>ΤΡΙΑΝΤΑΦΥΛΛΟΠΟΥΛΟΥ 18</t>
  </si>
  <si>
    <t>113ο ΝΗΠΙΑΓΩΓΕΙΟ ΘΕΣΣΑΛΟΝΙΚΗΣ</t>
  </si>
  <si>
    <t>mail@113nip-thess.thess.sch.gr</t>
  </si>
  <si>
    <t>2ο ΝΗΠΙΑΓΩΓΕΙΟ ΤΡΙΑΔΙΟΥ</t>
  </si>
  <si>
    <t>mail@2nip-triad.thess.sch.gr</t>
  </si>
  <si>
    <t>350 Π.Κ.Β. ΑΕΡΟΠΟΡΙΚΗ ΒΑΣΗ ΣΕΔΕΣ</t>
  </si>
  <si>
    <t>7ο ΝΗΠΙΑΓΩΓΕΙΟ ΚΑΛΑΜΑΡΙΑΣ</t>
  </si>
  <si>
    <t>mail@7nip-kalam.thess.sch.gr</t>
  </si>
  <si>
    <t>ΕΙΔΙΚΟ ΔΗΜΟΤΙΚΟ ΣΧΟΛΕΙΟ ΘΕΣΣΑΛΟΝΙΚΗΣ - ΓΙΑ ΠΑΙΔΙΑ ΜΕ ΑΥΤΙΣΜΟ</t>
  </si>
  <si>
    <t>mail@dim-eaf-thess.thess.sch.gr</t>
  </si>
  <si>
    <t>ΠΕΡΙΣΤΕΡΑΣ</t>
  </si>
  <si>
    <t>ΝΗΠΙΑΓΩΓΕΙΟ ΠΕΡΙΣΤΕΡΑ</t>
  </si>
  <si>
    <t>mail@1nip-perist.thess.sch.gr</t>
  </si>
  <si>
    <t>ΠΕΡΙΣΤΕΡΑ</t>
  </si>
  <si>
    <t>ΠΕΡΙΣΤΕΡΑ 121</t>
  </si>
  <si>
    <t>4ο ΝΗΠΙΑΓΩΓΕΙΟ ΝΕΑΣ ΜΗΧΑΝΙΩΝΑΣ</t>
  </si>
  <si>
    <t>mail@4nip-n-michan.thess.sch.gr</t>
  </si>
  <si>
    <t>ΝΕΑΣ ΜΗΧΑΝΙΩΝΑ</t>
  </si>
  <si>
    <t>ΑΡΤΑΚΗΣ-ΜΑΝΟΥ ΛΟΙΖΟΥ, ΟΙΚΙΣΜΟΣ ΧΑΒΑΗ</t>
  </si>
  <si>
    <t>2ο ΔΗΜΟΤΙΚΟ ΣΧΟΛΕΙΟ ΠΥΛΑΙΑΣ-ΘΕΣΣΑΛΟΝΙΚΗΣ</t>
  </si>
  <si>
    <t>mail@2dim-pylaias.thess.sch.gr</t>
  </si>
  <si>
    <t>Μ. ΑΛΕΞΑΝΔΡΟΥ 18</t>
  </si>
  <si>
    <t>1ο ΝΗΠΙΑΓΩΓΕΙΟ ΝΕΩΝ ΕΠΙΒΑΤΩΝ</t>
  </si>
  <si>
    <t>mail@1nip-n-epivat.thess.sch.gr</t>
  </si>
  <si>
    <t>ΝΕΟΙ ΕΠΙΒΑΤΕΣ</t>
  </si>
  <si>
    <t>ΑΝΑΤΟΛΙΚΗΣ ΘΡΑΚΗΣ 8</t>
  </si>
  <si>
    <t>9ο ΕΙΔΙΚΟ ΔΗΜΟΤΙΚΟ ΣΧΟΛΕΙΟ ΘΕΣΣΑΛΟΝΙΚΗΣ - ΝΟΣΟΚΟΜΕΙΑΚΟ</t>
  </si>
  <si>
    <t>mail@9dim-eid-thess.thess.sch.gr</t>
  </si>
  <si>
    <t>ΚΩΝΣΤΑΝΤΙΝΟΥΠΟΛΕΩΣ 49</t>
  </si>
  <si>
    <t>ΑΓΙΟΥ ΑΝΤΩΝΙΟΥ</t>
  </si>
  <si>
    <t>ΝΗΠΙΑΓΩΓΕΙΟ ΑΓΙΟΥ ΑΝΤΩΝΙΟΥ</t>
  </si>
  <si>
    <t>mail@1nip-ag-anton.thess.sch.gr</t>
  </si>
  <si>
    <t>ΑΓΙΟΣ ΑΝΤΩΝΙΟΣ</t>
  </si>
  <si>
    <t>mail@dim-n-radaist.thess.sch.gr</t>
  </si>
  <si>
    <t>ΤΕΡΜΑ ΘΡΑΚΗΣ</t>
  </si>
  <si>
    <t>2ο ΝΗΠΙΑΓΩΓΕΙΟ ΝΕΩΝ ΕΠΙΒΑΤΩΝ</t>
  </si>
  <si>
    <t>mail@2nip-n-epivat.thess.sch.gr</t>
  </si>
  <si>
    <t>ΤΕΡΡΗ ΙΩΑΝΝΙΔΗ</t>
  </si>
  <si>
    <t>18ο ΝΗΠΙΑΓΩΓΕΙΟ ΚΑΛΑΜΑΡΙΑΣ</t>
  </si>
  <si>
    <t>mail@18nip-kalam.thess.sch.gr</t>
  </si>
  <si>
    <t>ΙΩΝΙΑΣ 14</t>
  </si>
  <si>
    <t>72ο ΔΗΜΟΤΙΚΟ ΣΧΟΛΕΙΟ ΘΕΣΣΑΛΟΝΙΚΗΣ</t>
  </si>
  <si>
    <t>mail@72dim-thess.thess.sch.gr</t>
  </si>
  <si>
    <t>3ο ΝΗΠΙΑΓΩΓΕΙΟ ΠΕΡΑΙΑΣ</t>
  </si>
  <si>
    <t>mail@3nip-peraias.thess.sch.gr</t>
  </si>
  <si>
    <t>ΑΜΠΕΛΟΚΗΠΩΝ 57</t>
  </si>
  <si>
    <t>4ο ΕΙΔΙΚΟ ΝΗΠΙΑΓΩΓΕΙΟ ΠΥΛΑΙΑΣ</t>
  </si>
  <si>
    <t>mail@4nip-eid-thess.thess.sch.gr</t>
  </si>
  <si>
    <t>ΤΖΩΝ ΚΕΝΝΕΝΤΥ 62</t>
  </si>
  <si>
    <t>1ο ΝΗΠΙΑΓΩΓΕΙΟ ΧΟΡΤΙΑΤΗ</t>
  </si>
  <si>
    <t>mail@nip-chort.thess.sch.gr</t>
  </si>
  <si>
    <t>ΜΑΡΤΥΡΩΝ 2ας ΣΕΠΤΕΜΒΡΙΟΥ 52</t>
  </si>
  <si>
    <t>5ο ΝΗΠΙΑΓΩΓΕΙΟ ΠΕΡΑΙΑΣ</t>
  </si>
  <si>
    <t>mail@5nip-peraias.thess.sch.gr</t>
  </si>
  <si>
    <t>ΠΡΟΜΗΘΕΩΣ 21</t>
  </si>
  <si>
    <t>ΝΗΠΙΑΓΩΓΕΙΟ  ΜΕΣΗΜΕΡΙΟΥ</t>
  </si>
  <si>
    <t>mail@nip-mesim.thess.sch.gr</t>
  </si>
  <si>
    <t>ΜΕΣΗΜΕΡΙ</t>
  </si>
  <si>
    <t>43ο ΔΗΜΟΤΙΚΟ ΣΧΟΛΕΙΟ ΘΕΣΣΑΛΟΝΙΚΗΣ</t>
  </si>
  <si>
    <t>mail@43dim-thess.thess.sch.gr</t>
  </si>
  <si>
    <t>ΠΡΟΞ. ΚΟΡΟΜΗΛΑ 25</t>
  </si>
  <si>
    <t>1ο ΝΗΠΙΑΓΩΓΕΙΟ ΦΙΛΥΡΟΥ</t>
  </si>
  <si>
    <t>mail@nip-filyr.thess.sch.gr</t>
  </si>
  <si>
    <t>ΑΘ. ΔΙΑΚΟΥ 16</t>
  </si>
  <si>
    <t>3ο ΝΗΠΙΑΓΩΓΕΙΟ ΦΙΛΥΡΟΥ</t>
  </si>
  <si>
    <t>mail@3nip-filyr.thess.sch.gr</t>
  </si>
  <si>
    <t>ΑΔΑΜΑΝΤΙΟΥ ΚΟΡΑΗ 24</t>
  </si>
  <si>
    <t>3ο ΝΗΠΙΑΓΩΓΕΙΟ ΤΡΙΑΔΙΟΥ</t>
  </si>
  <si>
    <t>mail@3nip-triad.thess.sch.gr</t>
  </si>
  <si>
    <t>ΜΑΡΙΝΟΥ ΑΝΤΥΠΑ 37</t>
  </si>
  <si>
    <t>1ο ΝΗΠΙΑΓΩΓΕΙΟ ΤΑΓΑΡΑΔΩΝ</t>
  </si>
  <si>
    <t>mail@nip-tagar.thess.sch.gr</t>
  </si>
  <si>
    <t>25ης ΜΑΡΤΙΟΥ 30</t>
  </si>
  <si>
    <t>2ο ΝΗΠΙΑΓΩΓΕΙΟ ΤΡΙΑΝΔΡΙΑΣ ΘΕΣΣΑΛΟΝΙΚΗΣ</t>
  </si>
  <si>
    <t>mail@2nip-triandr.thess.sch.gr</t>
  </si>
  <si>
    <t>ΗΠΕΙΡΟΥ 2</t>
  </si>
  <si>
    <t>7ο ΝΗΠΙΑΓΩΓΕΙΟ ΠΕΡΑΙΑΣ</t>
  </si>
  <si>
    <t>mail@7nip-peraias.thess.sch.gr</t>
  </si>
  <si>
    <t>ΑΙΣΧΥΛΟΥ 4</t>
  </si>
  <si>
    <t>81ο ΔΗΜΟΤΙΚΟ ΣΧΟΛΕΙΟ ΘΕΣΣΑΛΟΝΙΚΗΣ</t>
  </si>
  <si>
    <t>mail@81dim-thess.thess.sch.gr</t>
  </si>
  <si>
    <t>ΔΕΛΦΩΝ 131</t>
  </si>
  <si>
    <t>6ο ΕΙΔΙΚΟ ΔΗΜΟΤΙΚΟ ΣΧΟΛΕΙΟ ΘΕΣΣΑΛΟΝΙΚΗΣ</t>
  </si>
  <si>
    <t>mail@6dim-eid-thess.thess.sch.gr</t>
  </si>
  <si>
    <t>6ο ΝΗΠΙΑΓΩΓΕΙΟ ΠΕΡΑΙΑΣ</t>
  </si>
  <si>
    <t>mail@6nip-peraias.thess.sch.gr</t>
  </si>
  <si>
    <t>ΠΛΑΤΩΝΟΣ 7</t>
  </si>
  <si>
    <t>4ο ΝΗΠΙΑΓΩΓΕΙΟ ΤΡΙΑΝΔΡΙΑΣ ΘΕΣΣΑΛΟΝΙΚΗΣ</t>
  </si>
  <si>
    <t>mail@4nip-triandr.thess.sch.gr</t>
  </si>
  <si>
    <t>ΕΛΕΥΘΕΡΙΑΣ 17</t>
  </si>
  <si>
    <t>ΕΙΔΙΚΟ ΝΗΠΙΑΓΩΓΕΙΟ ΘΕΣΣΑΛΟΝΙΚΗΣ ΓΙΑ ΠΑΙΔΙΑ ΜΕ ΑΥΤΙΣΜΟ</t>
  </si>
  <si>
    <t>mail@nip-eaf-thess.thess.sch.gr</t>
  </si>
  <si>
    <t>5ο ΝΗΠΙΑΓΩΓΕΙΟ ΤΡΙΑΝΔΡΙΑΣ ΘΕΣΣΑΛΟΝΙΚΗΣ</t>
  </si>
  <si>
    <t>mail@5nip-triandr.thess.sch.gr</t>
  </si>
  <si>
    <t>ΖΑΪΜΗ 16</t>
  </si>
  <si>
    <t>3ο ΝΗΠΙΑΓΩΓΕΙΟ ΠΥΛΑΙΑΣ</t>
  </si>
  <si>
    <t>mail@3nip-pylaias.thess.sch.gr</t>
  </si>
  <si>
    <t>ΔΩΔΕΚΑΝΗΣΟΥ 6</t>
  </si>
  <si>
    <t>ΝΕΟΥ ΡΥΣΙΟΥ</t>
  </si>
  <si>
    <t>1ο ΝΗΠΙΑΓΩΓΕΙΟ ΝΕΟΥ ΡΥΣΙΟΥ</t>
  </si>
  <si>
    <t>mail@nip-n-rysiou.thess.sch.gr</t>
  </si>
  <si>
    <t>ΝΕΟ ΡΥΣΙΟ</t>
  </si>
  <si>
    <t>ΚΑΡΑΒΑΓΓΕΛΗ 34</t>
  </si>
  <si>
    <t>1ο ΔΗΜΟΤΙΚΟ ΣΧΟΛΕΙΟ ΘΕΣΣΑΛΟΝΙΚΗΣ</t>
  </si>
  <si>
    <t>mail@1dim-thess.thess.sch.gr</t>
  </si>
  <si>
    <t>ΠΛΑΤΕΊΑ ΑΓΊΟΥ ΕΛΕΥΘΕΡΊΟΥ 1-ΜΗΤΡΟΠΟΛΙΤΗ ΜΟΣΧΟΝΗΣΙΩΝ 2</t>
  </si>
  <si>
    <t>mail@1dim-panor.thess.sch.gr</t>
  </si>
  <si>
    <t>Χ. ΓΑΛΑΝΟΥ 10</t>
  </si>
  <si>
    <t>1ο ΝΗΠΙΑΓΩΓΕΙΟ ΤΡΙΛΟΦΟΥ</t>
  </si>
  <si>
    <t>mail@nip-trilof.thess.sch.gr</t>
  </si>
  <si>
    <t>3ο ΕΙΔΙΚΟ ΝΗΠΙΑΓΩΓΕΙΟ ΠΑΝΟΡΑΜΑΤΟΣ - ΕΙΔΙΚΟ ΝΗΠ. ΚΩΦΩΝ ΒΑΡΗΚ</t>
  </si>
  <si>
    <t>mail@3nip-eid-ekv-panor.thess.sch.gr</t>
  </si>
  <si>
    <t>2ο ΝΗΠΙΑΓΩΓΕΙΟ ΤΡΙΛΟΦΟΥ</t>
  </si>
  <si>
    <t>mail@2nip-trilof.thess.sch.gr</t>
  </si>
  <si>
    <t>ΠΛΑΓΙΑΡΙΟΥ</t>
  </si>
  <si>
    <t>1ο ΝΗΠΙΑΓΩΓΕΙΟ ΠΛΑΓΙΑΡΙΟΥ</t>
  </si>
  <si>
    <t>mail@nip-plagiar.thess.sch.gr</t>
  </si>
  <si>
    <t>ΠΛΑΓΙΑΡΙ</t>
  </si>
  <si>
    <t>Κονίτσης 2</t>
  </si>
  <si>
    <t>2ο ΝΗΠΙΑΓΩΓΕΙΟ ΠΛΑΓΙΑΡΙΟΥ</t>
  </si>
  <si>
    <t>mail@2nip-plagiar.thess.sch.gr</t>
  </si>
  <si>
    <t>ΚΟΛΟΚΟΤΡΩΝΗ 28</t>
  </si>
  <si>
    <t>ΥΠΟΛΟΙΠΑ ΘΕΣΣΑΛΟΝΙΚΗΣ</t>
  </si>
  <si>
    <t>2ο ΕΙΔΙΚΟ ΝΗΠΙΑΓΩΓΕΙΟ ΘΕΣΣΑΛΟΝΙΚΗΣ</t>
  </si>
  <si>
    <t>mail@2nip-eid-thess.thess.sch.gr</t>
  </si>
  <si>
    <t>ΚΑΡΑΪΣΚΑΚΗ 1</t>
  </si>
  <si>
    <t>1ο ΕΙΔΙΚΟ ΝΗΠΙΑΓΩΓΕΙΟ ΕΛΕΠΑΠ</t>
  </si>
  <si>
    <t>mail@1nip-eid-elepap.thess.sch.gr</t>
  </si>
  <si>
    <t>ΕΛΑΙΩΝΕΣ</t>
  </si>
  <si>
    <t>5ο ΕΙΔΙΚΟ ΝΗΠΙΑΓΩΓΕΙΟ ΘΕΣΣΑΛΟΝΙΚΗΣ-ΝΟΣΟΚΟΜΕΙΑΚΟ</t>
  </si>
  <si>
    <t>mail@5nip-eid-thess.thess.sch.gr</t>
  </si>
  <si>
    <t>6ο ΕΙΔΙΚΟ ΝΗΠΙΑΓΩΓΕΙΟ ΘΕΣΣΑΛΟΝΙΚΗΣ - ΕΙΔΙΚΟ ΝΗΠΙΑΓΩΓΕΙΟ ΤΥΦΛΩΝ</t>
  </si>
  <si>
    <t>mail@6nip-et-thess.thess.sch.gr</t>
  </si>
  <si>
    <t>Β ΟΛΓΑΣ 32</t>
  </si>
  <si>
    <t>ΠΕΙΡΑΜΑΤΙΚΟ ΔΗΜΟΤΙΚΟ ΣΧΟΛΕΙΟ ΔΙΑΠΟΛΙΤΙΣΜΙΚΗΣ ΕΚΠΑΙΔΕΥΣΗΣ ΝΕΩΝ ΕΠΙΒΑΤΩΝ "ΑΡΧΙΓΕΝΕΙΟ"</t>
  </si>
  <si>
    <t>mail@dim-n-epivat.thess.sch.gr</t>
  </si>
  <si>
    <t>ΣΧΟΛΕΙΩΝ 1</t>
  </si>
  <si>
    <t>10ο ΕΙΔΙΚΟ ΝΗΠΙΑΓΩΓΕΙΟ ΘΕΣΣΑΛΟΝΙΚΗΣ</t>
  </si>
  <si>
    <t>mail@nip-eid-thess.thess.sch.gr</t>
  </si>
  <si>
    <t>9ο ΕΙΔΙΚΟ ΝΗΠΙΑΓΩΓΕΙΟ ΘΕΣΣΑΛΟΝΙΚΗ - ΕΙΔΙΚΟ ΝΗΠΙΑΓΩΓΕΙΟ ΘΕΣΣΑΛΟΝΙΚΗΣ</t>
  </si>
  <si>
    <t>8ο ΕΙΔΙΚΟ ΔΗΜΟΤΙΚΟ ΣΧΟΛΕΙΟ ΘΕΣΣΑΛΟΝΙΚΗΣ</t>
  </si>
  <si>
    <t>ΚΕΝΟ</t>
  </si>
  <si>
    <t>16ο ΝΗΠΙΑΓΩΓΕΙΟ ΚΑΛΑΜΑΡΙΑΣ</t>
  </si>
  <si>
    <t>mail@16nip-kalam.thess.sch.gr</t>
  </si>
  <si>
    <t>ΓΚΟΝΗ-ΚΥΔΩΝΙΩΝ 34</t>
  </si>
  <si>
    <t>mail@87dim-thess.thess.sch.gr</t>
  </si>
  <si>
    <t>25ης Μαρτίου 1</t>
  </si>
  <si>
    <t>12ο ΔΗΜΟΤΙΚΟ ΣΧΟΛΕΙΟ ΕΙΔΙΚΗΣ ΑΓΩΓΗΣ ΘΕΣΣΑΛΟΝΙΚΗΣ (Π.Γ.Ν.Θ.ΑΧΕΠΑ) - ΝΟΣΟΚΟΜΕΙΑΚΟ</t>
  </si>
  <si>
    <t>mail@12dim-eid-thess.thess.sch.gr</t>
  </si>
  <si>
    <t>ΣΤΙΛΠ. ΚΥΡΙΑΚΙΔΗ 1 (Π.Γ.Ν.Θ. ΑΧΕΠΑ)</t>
  </si>
  <si>
    <t>mail@21dim-thess.thess.sch.gr</t>
  </si>
  <si>
    <t>ΤΣΕΛΙΟΥ ΚΑΙ ΤΣΙΑΠΑΝΟΥ</t>
  </si>
  <si>
    <t>53ο ΔΗΜΟΤΙΚΟ ΣΧΟΛΕΙΟ ΘΕΣΣΑΛΟΝΙΚΗΣ</t>
  </si>
  <si>
    <t>mail@53dim-thess.thess.sch.gr</t>
  </si>
  <si>
    <t>ΣΤΕΦ.(ΦΙΛ.) ΔΡΑΓΟΥΜΗ 7-9</t>
  </si>
  <si>
    <t>mail@34dim-thess.thess.sch.gr</t>
  </si>
  <si>
    <t>ΑΡΡΙΑΝΟΥ   3</t>
  </si>
  <si>
    <t>1ο ΕΙΔΙΚΟ ΔΗΜΟΤΙΚΟ ΣΧΟΛΕΙΟ ΘΕΣΣΑΛΟΝΙΚΗΣ</t>
  </si>
  <si>
    <t>mail@1dim-eid-thess.thess.sch.gr</t>
  </si>
  <si>
    <t>ΚΑΡΑΪΣΚΑΚΗ 1Α</t>
  </si>
  <si>
    <t>mail@41dim-thess.thess.sch.gr</t>
  </si>
  <si>
    <t>13ο ΝΗΠΙΑΓΩΓΕΙΟ ΚΑΛΑΜΑΡΙΑΣ</t>
  </si>
  <si>
    <t>mail@13nip-kalam.thess.sch.gr</t>
  </si>
  <si>
    <t>ΑΝΑΤΟΛΙΚΗΣ ΘΡΑΚΗΣ 10</t>
  </si>
  <si>
    <t>mail@12dim-thess.thess.sch.gr</t>
  </si>
  <si>
    <t>ΜΑΡΙΑΣ  ΚΑΛΛΑΣ 2Β</t>
  </si>
  <si>
    <t>3ο ΝΗΠΙΑΓΩΓΕΙΟ ΘΕΣΣΑΛΟΝΙΚΗΣ</t>
  </si>
  <si>
    <t>mail@3nip-thess.thess.sch.gr</t>
  </si>
  <si>
    <t>Γ. ΠΑΡΑΣΧΟΥ 2A</t>
  </si>
  <si>
    <t>4ο ΕΙΔΙΚΟ ΔΗΜΟΤΙΚΟ ΣΧΟΛΕΙΟ ΘΕΣΣΑΛΟΝΙΚΗΣ</t>
  </si>
  <si>
    <t>mail@4dim-eid-thess.thess.sch.gr</t>
  </si>
  <si>
    <t>K. ΜΑΖΑΡΑΚΗ 1</t>
  </si>
  <si>
    <t>1ο ΝΗΠΙΑΓΩΓΕΙΟ ΚΑΛΑΜΑΡΙΑΣ</t>
  </si>
  <si>
    <t>mail@1nip-kalam.thess.sch.gr</t>
  </si>
  <si>
    <t>Ι. ΠΑΠΑΝΙΚΟΛΑ 3</t>
  </si>
  <si>
    <t>10ο ΝΗΠΙΑΓΩΓΕΙΟ ΘΕΣΣΑΛΟΝΙΚΗΣ</t>
  </si>
  <si>
    <t>mail@10nip-thess.thess.sch.gr</t>
  </si>
  <si>
    <t>ΧΕΙΜΑΡΑΣ 26</t>
  </si>
  <si>
    <t>33ο ΝΗΠΙΑΓΩΓΕΙΟ ΘΕΣΣΑΛΟΝΙΚΗΣ</t>
  </si>
  <si>
    <t>mail@33nip-thess.thess.sch.gr</t>
  </si>
  <si>
    <t>ΔΙΣΤΟΜΟΥ 17</t>
  </si>
  <si>
    <t>mail@50dim-thess.thess.sch.gr</t>
  </si>
  <si>
    <t>25ο ΝΗΠΙΑΓΩΓΕΙΟ ΘΕΣΣΑΛΟΝΙΚΗΣ</t>
  </si>
  <si>
    <t>mail@25nip-thess.thess.sch.gr</t>
  </si>
  <si>
    <t>ΑΝΑΞΙΜΑΝΔΡΟΥ 77</t>
  </si>
  <si>
    <t>mail@64dim-thess.thess.sch.gr</t>
  </si>
  <si>
    <t>mail@1dim-triandr.thess.sch.gr</t>
  </si>
  <si>
    <t>ΓΥΜΝΑΣΤΗΡΙΟΥ 2Α</t>
  </si>
  <si>
    <t>mail@40dim-thess.thess.sch.gr</t>
  </si>
  <si>
    <t>mail@2dim-triandr.thess.sch.gr</t>
  </si>
  <si>
    <t>mail@2dim-n-michan.thess.sch.gr</t>
  </si>
  <si>
    <t>ΑΘΑΝ. ΔΙΑΚΟΥ 4</t>
  </si>
  <si>
    <t>ΚΑΤΩ ΣΧΟΛΑΡΙΟΥ</t>
  </si>
  <si>
    <t>ΔΗΜΟΤΙΚΟ ΣΧΟΛΕΙΟ ΚΑΤΩ ΣΧΟΛΑΡΙΟΥ</t>
  </si>
  <si>
    <t>mail@dim-kat-schol.thess.sch.gr</t>
  </si>
  <si>
    <t>ΚΑΤΩ ΣΧΟΛΑΡΙ</t>
  </si>
  <si>
    <t>82ο ΝΗΠΙΑΓΩΓΕΙΟ ΘΕΣΣΑΛΟΝΙΚΗΣ</t>
  </si>
  <si>
    <t>mail@82nip-thess.thess.sch.gr</t>
  </si>
  <si>
    <t>ΔΕΛΦΩΝ 224</t>
  </si>
  <si>
    <t>2ο ΕΙΔΙΚΟ ΔΗΜΟΤΙΚΟ ΣΧΟΛΕΙΟ ΘΕΣΣΑΛΟΝΙΚΗΣ</t>
  </si>
  <si>
    <t>mail@2dim-eid-thess.thess.sch.gr</t>
  </si>
  <si>
    <t>ΕΛΑΙΩΝΩΝ 22, ΕΛΑΙΩΝΕΣ  ΠΥΛΑΙΑΣ</t>
  </si>
  <si>
    <t>1ο ΔΗΜΟΤΙΚΟ ΣΧΟΛΕΙΟ ΦΙΛΥΡΟΥ</t>
  </si>
  <si>
    <t>mail@dim-filyr.thess.sch.gr</t>
  </si>
  <si>
    <t>ΑΝΑΠΑΥΣΕΩΣ 25</t>
  </si>
  <si>
    <t>99ο ΝΗΠΙΑΓΩΓΕΙΟ ΘΕΣΣΑΛΟΝΙΚΗΣ</t>
  </si>
  <si>
    <t>mail@99nip-thess.thess.sch.gr</t>
  </si>
  <si>
    <t>mail@5dim-pylaias.thess.sch.gr</t>
  </si>
  <si>
    <t>16ο ΔΗΜΟΤΙΚΟ ΣΧΟΛΕΙΟ ΘΕΣΣΑΛΟΝΙΚΗΣ</t>
  </si>
  <si>
    <t>mail@16dim-thess.thess.sch.gr</t>
  </si>
  <si>
    <t>Πριάμου 2,</t>
  </si>
  <si>
    <t>24ο ΔΗΜΟΤΙΚΟ ΣΧΟΛΕΙΟ ΘΕΣΣΑΛΟΝΙΚΗΣ</t>
  </si>
  <si>
    <t>mail@24dim-thess.thess.sch.gr</t>
  </si>
  <si>
    <t>25ο ΔΗΜΟΤΙΚΟ ΣΧΟΛΕΙΟ ΘΕΣΣΑΛΟΝΙΚΗΣ</t>
  </si>
  <si>
    <t>mail@25dim-thess.thess.sch.gr</t>
  </si>
  <si>
    <t>ΔΙΔ. ΑΔΑΜΙΔΗ ΤΕΡΜΑ</t>
  </si>
  <si>
    <t>mail@26dim-thess.thess.sch.gr</t>
  </si>
  <si>
    <t>27ο ΔΗΜΟΤΙΚΟ ΣΧΟΛΕΙΟ ΘΕΣΣΑΛΟΝΙΚΗΣ</t>
  </si>
  <si>
    <t>mail@27dim-thess.thess.sch.gr</t>
  </si>
  <si>
    <t>ΚΑΙΣΑΡΕΙΑΣ 15</t>
  </si>
  <si>
    <t>28ο ΔΗΜΟΤΙΚΟ ΣΧΟΛΕΙΟ ΘΕΣΣΑΛΟΝΙΚΗΣ</t>
  </si>
  <si>
    <t>mail@28dim-thess.thess.sch.gr</t>
  </si>
  <si>
    <t>ΚΑΤΣΙΜΙΔΗ-ΜΗΛΟΥ 33</t>
  </si>
  <si>
    <t>12ο ΝΗΠΙΑΓΩΓΕΙΟ ΚΑΛΑΜΑΡΙΑΣ</t>
  </si>
  <si>
    <t>mail@12nip-kalam.thess.sch.gr</t>
  </si>
  <si>
    <t>mail@23dim-thess.thess.sch.gr</t>
  </si>
  <si>
    <t>ΙΠΠΟΔΡΟΜΙΟΥ 19</t>
  </si>
  <si>
    <t>67ο ΝΗΠΙΑΓΩΓΕΙΟ ΘΕΣΣΑΛΟΝΙΚΗΣ</t>
  </si>
  <si>
    <t>mail@67nip-thess.thess.sch.gr</t>
  </si>
  <si>
    <t>69ο ΝΗΠΙΑΓΩΓΕΙΟ ΘΕΣΣΑΛΟΝΙΚΗΣ</t>
  </si>
  <si>
    <t>mail@69nip-thess.thess.sch.gr</t>
  </si>
  <si>
    <t>ΚΟΣΜΑ ΑΙΤΩΛΟΥ 49</t>
  </si>
  <si>
    <t>76ο ΝΗΠΙΑΓΩΓΕΙΟ ΘΕΣΣΑΛΟΝΙΚΗΣ</t>
  </si>
  <si>
    <t>mail@76nip-thess.thess.sch.gr</t>
  </si>
  <si>
    <t>ΠΑΠΑΖΑΦΕΙΡΙΟΥ 4</t>
  </si>
  <si>
    <t>78ο ΝΗΠΙΑΓΩΓΕΙΟ ΘΕΣΣΑΛΟΝΙΚΗΣ</t>
  </si>
  <si>
    <t>mail@78nip-thess.thess.sch.gr</t>
  </si>
  <si>
    <t>106ο ΝΗΠΙΑΓΩΓΕΙΟ ΘΕΣΣΑΛΟΝΙΚΗΣ</t>
  </si>
  <si>
    <t>mail@106nip-thess.thess.sch.gr</t>
  </si>
  <si>
    <t>Ν. ΜΑΝΟΥ 18</t>
  </si>
  <si>
    <t>ΠΕΙΡΑΜΑΤΙΚΟ ΣΧΟΛΕΙΟ ΠΑΝΕΠΙΣΤΗΜΙΟΥ ΘΕΣΣΑΛΟΝΙΚΗΣ - ΔΗΜΟΤΙΚΟ</t>
  </si>
  <si>
    <t>dimpeirthess@sch.gr</t>
  </si>
  <si>
    <t>mail@3dim-triandr.thess.sch.gr</t>
  </si>
  <si>
    <t>ΖΑΙΜΗ 16</t>
  </si>
  <si>
    <t>1ο ΝΗΠΙΑΓΩΓΕΙΟ ΘΕΣΣΑΛΟΝΙΚΗΣ</t>
  </si>
  <si>
    <t>mail@1nip-thess.thess.sch.gr</t>
  </si>
  <si>
    <t>ΑΓ. ΕΛΕΥΘΕΡΙΟΥ 1 ΚΑΙ  ΜΟΣΧΟΝΗΣΙΩΝ 2</t>
  </si>
  <si>
    <t>2ο ΠΕΙΡΑΜΑΤΙΚΟ ΝΗΠΙΑΓΩΓΕΙΟ (ΕΝΤΑΓΜΕΝΟ ΣΤΟ Α.Π.Θ.)</t>
  </si>
  <si>
    <t>mail@2nip-peir-thess.thess.sch.gr</t>
  </si>
  <si>
    <t>ΧΑΡΙΛΑΟΥ ΤΡΙΚΟΥΠΗ 2</t>
  </si>
  <si>
    <t>100ο ΔΗΜΟΤΙΚΟ ΣΧΟΛΕΙΟ ΘΕΣΣΑΛΟΝΙΚΗΣ</t>
  </si>
  <si>
    <t>mail@100dim-thess.thess.sch.gr</t>
  </si>
  <si>
    <t>ΔΙΔ. Β. ΑΔΑΜΙΔΗ 62</t>
  </si>
  <si>
    <t>5ο ΝΗΠΙΑΓΩΓΕΙΟ ΠΑΝΟΡΑΜΑΤΟΣ</t>
  </si>
  <si>
    <t>mail@4nip-peir-thess.thess.sch.gr</t>
  </si>
  <si>
    <t>4ο ΝΗΠΙΑΓΩΓΕΙΟ ΘΕΣΣΑΛΟΝΙΚΗΣ</t>
  </si>
  <si>
    <t>mail@4nip-thess.thess.sch.gr</t>
  </si>
  <si>
    <t>5ο ΝΗΠΙΑΓΩΓΕΙΟ ΘΕΣΣΑΛΟΝΙΚΗΣ</t>
  </si>
  <si>
    <t>mail@5nip-thess.thess.sch.gr</t>
  </si>
  <si>
    <t>ΜΙΑΟΥΛΗ 43</t>
  </si>
  <si>
    <t>7ο ΝΗΠΙΑΓΩΓΕΙΟ ΘΕΣΣΑΛΟΝΙΚΗΣ</t>
  </si>
  <si>
    <t>mail@7nip-thess.thess.sch.gr</t>
  </si>
  <si>
    <t>Μ. ΜΠΟΤΣΑΡΗ 45</t>
  </si>
  <si>
    <t>14ο ΝΗΠΙΑΓΩΓΕΙΟ ΘΕΣΣΑΛΟΝΙΚΗΣ</t>
  </si>
  <si>
    <t>mail@14nip-thess.thess.sch.gr</t>
  </si>
  <si>
    <t>ΚΟΝΤΟΓΟΥΡΗ 24 &amp; ΑΕΤΟΡΑΧΗΣ</t>
  </si>
  <si>
    <t>2ο ΝΗΠΙΑΓΩΓΕΙΟ ΒΑΣΙΛΙΚΩΝ</t>
  </si>
  <si>
    <t>mail@2nip-vasil.thess.sch.gr</t>
  </si>
  <si>
    <t>1ο ΠΕΙΡΑΜΑΤΙΚΟ ΔΗΜΟΤΙΚΟ ΣΧΟΛΕΙΟ ΘΕΣ/ΝΙΚΗΣ (ΕΝΤΑΓΜΕΝΟ ΣΤΟ ΑΠΘ)</t>
  </si>
  <si>
    <t>mail@1dim-aei-thess.thess.sch.gr</t>
  </si>
  <si>
    <t>ΕΓΝΑΤΙΑΣ 132</t>
  </si>
  <si>
    <t>mail@109dim-thess.thess.sch.gr</t>
  </si>
  <si>
    <t>ΤΣΙΑΠΑΝΟΥ &amp; ΤΣΕΛΙΟΥ</t>
  </si>
  <si>
    <t>mail@17dim-thess.thess.sch.gr</t>
  </si>
  <si>
    <t>ΔΕΛΦΩΝ 196</t>
  </si>
  <si>
    <t>16ο ΝΗΠΙΑΓΩΓΕΙΟ ΘΕΣΣΑΛΟΝΙΚΗΣ</t>
  </si>
  <si>
    <t>mail@16nip-thess.thess.sch.gr</t>
  </si>
  <si>
    <t>ΑΛΚΜΗΝΗΣ 20</t>
  </si>
  <si>
    <t>17ο ΝΗΠΙΑΓΩΓΕΙΟ ΘΕΣΣΑΛΟΝΙΚΗΣ</t>
  </si>
  <si>
    <t>mail@17nip-thess.thess.sch.gr</t>
  </si>
  <si>
    <t>ΠΛΑΣΤΗΡΑ 6</t>
  </si>
  <si>
    <t>44ο ΝΗΠΙΑΓΩΓΕΙΟ ΘΕΣΣΑΛΟΝΙΚΗΣ</t>
  </si>
  <si>
    <t>mail@44nip-thess.thess.sch.gr</t>
  </si>
  <si>
    <t>ΣΤΕΛΙΟΥ ΚΑΖΑΝΤΖΙΔΗ 62-64</t>
  </si>
  <si>
    <t>73ο ΝΗΠΙΑΓΩΓΕΙΟ ΘΕΣΣΑΛΟΝΙΚΗΣ</t>
  </si>
  <si>
    <t>mail@73nip-thess.thess.sch.gr</t>
  </si>
  <si>
    <t>ΚΟΝΤΟΓΟΥΡΗ 24 ΚΑΙ ΑΕΤΟΡΑΧΗΣ</t>
  </si>
  <si>
    <t>93ο ΝΗΠΙΑΓΩΓΕΙΟ ΘΕΣΣΑΛΟΝΙΚΗΣ</t>
  </si>
  <si>
    <t>mail@93nip-thess.thess.sch.gr</t>
  </si>
  <si>
    <t>25ΗΣ ΜΑΡΤΙΟΥ 1</t>
  </si>
  <si>
    <t>102ο ΝΗΠΙΑΓΩΓΕΙΟ ΘΕΣΣΑΛΟΝΙΚΗΣ</t>
  </si>
  <si>
    <t>mail@102nip-thess.thess.sch.gr</t>
  </si>
  <si>
    <t>ΚΑΡΑΚΑΣΗ 1</t>
  </si>
  <si>
    <t>ΝΗΠΙΑΓΩΓΕΙΟ ΑΓΓΕΛΟΧΩΡΙΟΥ</t>
  </si>
  <si>
    <t>mail@1nip-angel.thess.sch.gr</t>
  </si>
  <si>
    <t>ΔΗΜΟΤΙΚΟ ΣΧΟΛΕΙΟ ΑΓΙΑΣ ΤΡΙΑΔΑΣ (ΘΕΡΜΑΪΚΟΥ)</t>
  </si>
  <si>
    <t>mail@dim-ag-triad.thess.sch.gr</t>
  </si>
  <si>
    <t>ΚΟΛΟΚΟΤΡΩΝΗ 4</t>
  </si>
  <si>
    <t>1ο ΔΗΜΟΤΙΚΟ ΣΧΟΛΕΙΟ ΝΕΑΣ ΜΗΧΑΝΙΩΝΑΣ</t>
  </si>
  <si>
    <t>mail@1dim-n-michan.thess.sch.gr</t>
  </si>
  <si>
    <t>ΚΑΝΑΡΗ 17</t>
  </si>
  <si>
    <t>mail@1dim-epanom.thess.sch.gr</t>
  </si>
  <si>
    <t>ΣΧΟΛΕΙΟΥ 17</t>
  </si>
  <si>
    <t>2ο ΔΗΜΟΤΙΚΟ ΣΧΟΛΕΙΟ ΕΠΑΝΟΜΗΣ</t>
  </si>
  <si>
    <t>mail@2dim-epanom.thess.sch.gr</t>
  </si>
  <si>
    <t>ΑΓ. ΔΗΜΗΤΡΙΟΥ 10</t>
  </si>
  <si>
    <t>ΑΓΙΟΥ ΔΗΜΗΤΡΙΟΥ 10</t>
  </si>
  <si>
    <t>ΔΗΜΟΤΙΚΟ ΣΧΟΛΕΙΟ ΠΕΡΙΣΤΕΡΑΣ (ΘΕΡΜΗΣ)</t>
  </si>
  <si>
    <t>mail@dim-perist.thess.sch.gr</t>
  </si>
  <si>
    <t xml:space="preserve">ΠΕΡΙΣΤΕΡΑ </t>
  </si>
  <si>
    <t>ΔΗΜΟΤΙΚΟ ΣΧΟΛΕΙΟ ΑΓΙΑΣ ΠΑΡΑΣΚΕΥΗΣ (ΘΕΡΜΗΣ)</t>
  </si>
  <si>
    <t>mail@dim-ag-parask.thess.sch.gr</t>
  </si>
  <si>
    <t>ΔΗΜΟΤΙΚΟ ΣΧΟΛΕΙΟ ΑΓΓΕΛΟΧΩΡΙΟΥ (ΘΕΡΜΑΪΚΟΥ)</t>
  </si>
  <si>
    <t>mail@dim-angel.thess.sch.gr</t>
  </si>
  <si>
    <t>ΟΔΟΣ ΜΗΧΑΝΙΩΝΑΣ</t>
  </si>
  <si>
    <t>1ο ΔΗΜΟΤΙΚΟ ΣΧΟΛΕΙΟ ΠΛΑΓΙΑΡΙΟΥ (ΘΕΡΜΗΣ)</t>
  </si>
  <si>
    <t>mail@dim-plagiar.thess.sch.gr</t>
  </si>
  <si>
    <t>ΔΗΜΟΤΙΚΟ ΣΧΟΛΕΙΟ ΑΓΙΟΥ ΑΝΤΩΝΙΟΥ (ΘΕΡΜΗΣ)</t>
  </si>
  <si>
    <t>mail@dim-ag-anton.thess.sch.gr</t>
  </si>
  <si>
    <t xml:space="preserve">ΑΓΙΟΣ ΑΝΤΩΝΙΟΣ </t>
  </si>
  <si>
    <t>ΑΓ. ΑΝΤΩΝΙΟΣ</t>
  </si>
  <si>
    <t>mail@2dim-peraias.thess.sch.gr</t>
  </si>
  <si>
    <t>3ο ΔΗΜΟΤΙΚΟ ΣΧΟΛΕΙΟ ΠΕΡΑΙΑΣ</t>
  </si>
  <si>
    <t>mail@3dim-peraias.thess.sch.gr</t>
  </si>
  <si>
    <t>ΜΗΔΕΙΑΣ 8</t>
  </si>
  <si>
    <t>mail@4dim-peraias.thess.sch.gr</t>
  </si>
  <si>
    <t>ΡΗΓΑ ΦΕΡΑΙΟΥ 14Β</t>
  </si>
  <si>
    <t>ΝΗΠΙΑΓΩΓΕΙΟ ΚΑΤΩ ΣΧΟΛΑΡΙΟΥ</t>
  </si>
  <si>
    <t>mail@1nip-kat-shol.thess.sch.gr</t>
  </si>
  <si>
    <t>ΝΗΠΙΑΓΩΓΕΙΟ ΛΑΚΚΙΑΣ</t>
  </si>
  <si>
    <t>mail@1nip-lakkias.thess.sch.gr</t>
  </si>
  <si>
    <t>ΛΑΚΚΙΑΣ</t>
  </si>
  <si>
    <t>ΟΙΚΙΣΜΟΣ ΛΑΚΚΙΑΣ</t>
  </si>
  <si>
    <t>ΝΗΠΙΑΓΩΓΕΙΟ ΑΓΙΑΣ ΤΡΙΑΔΑΣ (ΘΕΡΜΑΪΚΟΥ)</t>
  </si>
  <si>
    <t>mail@1nip-ag-triad.thess.sch.gr</t>
  </si>
  <si>
    <t>ΛΕΩΦ. ΘΕΣΣΑΛΟΝΙΚΗΣ</t>
  </si>
  <si>
    <t>1ο ΝΗΠΙΑΓΩΓΕΙΟ ΒΑΣΙΛΙΚΩΝ</t>
  </si>
  <si>
    <t>mail@1nip-vasil.thess.sch.gr</t>
  </si>
  <si>
    <t>1ο ΝΗΠΙΑΓΩΓΕΙΟ ΠΕΡΑΙΑΣ</t>
  </si>
  <si>
    <t>mail@1nip-peraias.thess.sch.gr</t>
  </si>
  <si>
    <t>1ο ΝΗΠΙΑΓΩΓΕΙΟ ΕΠΑΝΟΜΗΣ</t>
  </si>
  <si>
    <t>mail@1nip-epanom.thess.sch.gr</t>
  </si>
  <si>
    <t>1ο ΝΗΠΙΑΓΩΓΕΙΟ ΝΕΑΣ ΜΗΧΑΝΙΩΝΑΣ</t>
  </si>
  <si>
    <t>mail@1nip-n-michan.thess.sch.gr</t>
  </si>
  <si>
    <t>ΜΑΡΓΑΡΙΤΗ ΕΥΑΓΓΕΛΙΔΗ 1</t>
  </si>
  <si>
    <t>2ο ΝΗΠΙΑΓΩΓΕΙΟ ΠΕΡΑΙΑΣ</t>
  </si>
  <si>
    <t>mail@2nip-peraias.thess.sch.gr</t>
  </si>
  <si>
    <t>2ο ΝΗΠΙΑΓΩΓΕΙΟ ΕΠΑΝΟΜΗΣ</t>
  </si>
  <si>
    <t>mail@2nip-epanom.thess.sch.gr</t>
  </si>
  <si>
    <t>27ο ΝΗΠΙΑΓΩΓΕΙΟ ΚΑΛΑΜΑΡΙΑΣ</t>
  </si>
  <si>
    <t>mail@27nip-kalam.thess.sch.gr</t>
  </si>
  <si>
    <t>5ο ΝΗΠΙΑΓΩΓΕΙΟ ΚΑΛΑΜΑΡΙΑΣ</t>
  </si>
  <si>
    <t>mail@5nip-kalam.thess.sch.gr</t>
  </si>
  <si>
    <t>ΤΡΑΠΕΖΟΥΝΤΟΣ 1</t>
  </si>
  <si>
    <t>9ο ΝΗΠΙΑΓΩΓΕΙΟ ΚΑΛΑΜΑΡΙΑΣ</t>
  </si>
  <si>
    <t>mail@9nip-kalam.thess.sch.gr</t>
  </si>
  <si>
    <t>3ο ΔΗΜΟΤΙΚΟ ΣΧΟΛΕΙΟ ΘΕΣΣΑΛΟΝΙΚΗΣ</t>
  </si>
  <si>
    <t>mail@3dim-thess.thess.sch.gr</t>
  </si>
  <si>
    <t>ΕΙΔΙΚΟ ΔΗΜΟΤΙΚΟ ΣΧΟΛΕΙΟ ΝΟΣΟΚΟΜΕΙΟΥ "Γ. ΠΑΠΑΝΙΚΟΛΑΟΥ"</t>
  </si>
  <si>
    <t>mail@dim-eid-papanik.thess.sch.gr</t>
  </si>
  <si>
    <t>ΝΟΣΟΚΟΜΕΙΟ ΠΑΠΑΝΙΚΟΛΑΟΥ</t>
  </si>
  <si>
    <t>ΕΙΔΙΚΟ ΝΗΠΙΑΓΩΓΕΙΟ ΝΟΣΟΚΟΜΕΙΟΥ "Γ. ΠΑΠΑΝΙΚΟΛΑΟΥ"</t>
  </si>
  <si>
    <t>mail@nip-eid-papanik.thess.sch.gr</t>
  </si>
  <si>
    <t>ΝΟΣΟΚΟΜΕΙΟ ΠΑΠΑΝΙΚΟΛΑΟΥ, ΕΞΟΧΗ</t>
  </si>
  <si>
    <t>mail@13dim-thess.thess.sch.gr</t>
  </si>
  <si>
    <t>ΒΑΛΑΓΙΑΝΝΗ 1</t>
  </si>
  <si>
    <t>mail@29dim-thess.thess.sch.gr</t>
  </si>
  <si>
    <t>mail@89dim-thess.thess.sch.gr</t>
  </si>
  <si>
    <t>Β. ΟΛΓΑΣ-Ν. ΜΑΝΟΥ</t>
  </si>
  <si>
    <t>mail@94dim-thess.thess.sch.gr</t>
  </si>
  <si>
    <t>ΚΡΗΤΗΣ 88</t>
  </si>
  <si>
    <t>mail@5dim-thess.thess.sch.gr</t>
  </si>
  <si>
    <t>ΨΥΧΑΡΗ 8 &amp; ΔΕΛΦΩΝ</t>
  </si>
  <si>
    <t>107ο ΔΗΜΟΤΙΚΟ ΣΧΟΛΕΙΟ ΘΕΣΣΑΛΟΝΙΚΗΣ</t>
  </si>
  <si>
    <t>mail@107dim-thess.thess.sch.gr</t>
  </si>
  <si>
    <t>ΝΕΜΕΑΣ 1</t>
  </si>
  <si>
    <t>9ο ΝΗΠΙΑΓΩΓΕΙΟ ΘΕΣΣΑΛΟΝΙΚΗΣ</t>
  </si>
  <si>
    <t>mail@9nip-thess.thess.sch.gr</t>
  </si>
  <si>
    <t>2ο ΝΗΠΙΑΓΩΓΕΙΟ ΧΟΡΤΙΑΤΗ</t>
  </si>
  <si>
    <t>mail@2nip-chort.thess.sch.gr</t>
  </si>
  <si>
    <t>ΣΧΟΛΕΙΩΝ 3</t>
  </si>
  <si>
    <t>ΕΙΔΙΚΟ ΔΗΜΟΤΙΚΟ ΣΧΟΛΕΙΟ ΚΩΦΩΝ-ΒΑΡΉΚΟΩΝ ΠΑΝΟΡΑΜΑΤΟΣ</t>
  </si>
  <si>
    <t>mail@dim-ekv-thess.thess.sch.gr</t>
  </si>
  <si>
    <t>6ο ΝΗΠΙΑΓΩΓΕΙΟ ΠΥΛΑΙΑΣ</t>
  </si>
  <si>
    <t>mail@6nip-pylaias.thess.sch.gr</t>
  </si>
  <si>
    <t>ΒΟΥΛΓΑΡΟΚΤΟΝΟΥ-ΚΥΠΡΟΥ</t>
  </si>
  <si>
    <t>63ο ΝΗΠΙΑΓΩΓΕΙΟ ΘΕΣΣΑΛΟΝΙΚΗΣ</t>
  </si>
  <si>
    <t>mail@63nip-thess.thess.sch.gr</t>
  </si>
  <si>
    <t>ΑΡΡΙΑΝΟΥ  3</t>
  </si>
  <si>
    <t>mail@3dim-pylaias.thess.sch.gr</t>
  </si>
  <si>
    <t>ΓΕΩΡΓΙΟΥ ΣΕΦΕΡΗ 24</t>
  </si>
  <si>
    <t>mail@dim-n-rysiou.thess.sch.gr</t>
  </si>
  <si>
    <t>ΤΕΡΜΑ 25ης ΜΑΡΤΙΟΥ</t>
  </si>
  <si>
    <t>2ο ΔΗΜΟΤΙΚΟ ΣΧΟΛΕΙΟ ΝΕΑΣ ΡΑΙΔΕΣΤΟΥ</t>
  </si>
  <si>
    <t>mail@2dim-n-raidest.thess.sch.gr</t>
  </si>
  <si>
    <t>22 χμ ΕΘΝ.ΟΔ. ΘΕΣ/ΝΙΚΗΣ-ΠΟΛΥΓΥΡΟΥ</t>
  </si>
  <si>
    <t>2ο ΔΗΜΟΤΙΚΟ ΣΧΟΛΕΙΟ ΤΡΙΛΟΦΟΥ</t>
  </si>
  <si>
    <t>mail@2dim-trilof.thess.sch.gr</t>
  </si>
  <si>
    <t>ΕΣΠΕΡΙΔΩΝ</t>
  </si>
  <si>
    <t>ΔΗΜΟΤΙΚΟ ΣΧΟΛΕΙΟ ΣΟΥΡΩΤΗΣ</t>
  </si>
  <si>
    <t>3ο ΝΗΠΙΑΓΩΓΕΙΟ ΒΑΣΙΛΙΚΩΝ</t>
  </si>
  <si>
    <t>8ο ΝΗΠΙΑΓΩΓΕΙΟ ΠΕΡΑΙΑΣ</t>
  </si>
  <si>
    <t>mail@8nip-peraias.thess.sch.gr</t>
  </si>
  <si>
    <t>ΡΗΓΑ ΦΕΡΡΑΙΟΥ 14Β</t>
  </si>
  <si>
    <t>2ο ΔΗΜΟΤΙΚΟ ΣΧΟΛΕΙΟ ΑΣΒΕΣΤΟΧΩΡΙΟΥ</t>
  </si>
  <si>
    <t>mail@2dim-asvest.thess.sch.gr</t>
  </si>
  <si>
    <t>mail@2dim-filyr.thess.sch.gr</t>
  </si>
  <si>
    <t>7ο ΝΗΠΙΑΓΩΓΕΙΟ ΠΥΛΑΙΑΣ</t>
  </si>
  <si>
    <t>mail@7nip-pylaias.thess.sch.gr</t>
  </si>
  <si>
    <t>ΔΟΜΝΑΣ ΒΙΖΒΙΖΗ 27</t>
  </si>
  <si>
    <t>mail@5dim-peraias.thess.sch.gr</t>
  </si>
  <si>
    <t>ΠΡΟΕΚΤΑΣΗ Κ. ΠΑΛΑΜΑ</t>
  </si>
  <si>
    <t>3ο ΝΗΠΙΑΓΩΓΕΙΟ ΤΡΙΛΟΦΟΥ</t>
  </si>
  <si>
    <t>mail@3nip-trilof.thess.sch.gr</t>
  </si>
  <si>
    <t>3ο ΝΗΠΙΑΓΩΓΕΙΟ ΝΕΑΣ ΡΑΙΔΕΣΤΟΥ</t>
  </si>
  <si>
    <t>mail@3nip-n-raidest.thess.sch.gr</t>
  </si>
  <si>
    <t>ΚΩΝ. ΚΑΡΑΜΑΝΛΗ 1</t>
  </si>
  <si>
    <t>2ο ΝΗΠΙΑΓΩΓΕΙΟ ΝΕΟΥ ΡΥΣΙΟΥ</t>
  </si>
  <si>
    <t>mail@2nip-n-rysiou.thess.sch.gr</t>
  </si>
  <si>
    <t>25ης ΜΑΡΤΙΟΥ</t>
  </si>
  <si>
    <t>8ο ΝΗΠΙΑΓΩΓΕΙΟ ΠΥΛΑΙΑΣ</t>
  </si>
  <si>
    <t>mail@8nip-pylaias.thess.sch.gr</t>
  </si>
  <si>
    <t>ΚΑΠΕΤΑΝ ΝΤΟΓΡΑ 32</t>
  </si>
  <si>
    <t>4ο ΔΗΜΟΤΙΚΟ ΣΧΟΛΕΙΟ ΠΥΛΑΙΑΣ</t>
  </si>
  <si>
    <t>mail@4dim-pylaias.thess.sch.gr</t>
  </si>
  <si>
    <t>ΑΜΦΟΤΕΡΟΥ - ΒΕΡΓΙΝΑΣ</t>
  </si>
  <si>
    <t>5ο ΔΗΜΟΤΙΚΟ ΣΧΟΛΕΙΟ ΘΕΡΜΗΣ-ΤΡΙΑΔΙΟΥ</t>
  </si>
  <si>
    <t>mail@5dim-therm.thess.sch.gr</t>
  </si>
  <si>
    <t>ΕΛΛΗΣ ΛΑΜΠΕΤΗ 10</t>
  </si>
  <si>
    <t>mail@1dim-vasil.thess.sch.gr</t>
  </si>
  <si>
    <t>ΔΗΜΟΤΙΚΟ ΣΧΟΛΕΙΟ ΜΕΣΗΜΕΡΙΟΥ</t>
  </si>
  <si>
    <t>mail@dim-mesim.thess.sch.gr</t>
  </si>
  <si>
    <t>2ο ΔΗΜΟΤΙΚΟ ΣΧΟΛΕΙΟ ΠΛΑΓΙΑΡΙΟΥ</t>
  </si>
  <si>
    <t>mail@2dim-plagiar.thess.sch.gr</t>
  </si>
  <si>
    <t>ΑΓ.ΔΗΜΗΤΡΙΟΥ 6Β</t>
  </si>
  <si>
    <t>mail@dim-trilof.thess.sch.gr</t>
  </si>
  <si>
    <t>3ο ΠΕΙΡΑΜΑΤΙΚΟ ΝΗΠΙΑΓΩΓΕΙΟ (ΕΝΤΑΓΜΕΝΟ ΣΤΟ ΑΠΘ)</t>
  </si>
  <si>
    <t>mail@3nip-peir-thess.thess.sch.gr</t>
  </si>
  <si>
    <t>2ο ΝΗΠΙΑΓΩΓΕΙΟ ΘΕΣΣΑΛΟΝΙΚΗΣ</t>
  </si>
  <si>
    <t>mail@2nip-thess.thess.sch.gr</t>
  </si>
  <si>
    <t>Ν. ΤΥΠΑ 1</t>
  </si>
  <si>
    <t>9ο ΝΗΠΙΑΓΩΓΕΙΟ ΠΕΡΑΙΑΣ</t>
  </si>
  <si>
    <t>ΣΕ ΑΝΑΣΤΟΛΗ</t>
  </si>
  <si>
    <t>ΝΗΠΙΑΓΩΓΕΙΟ ΑΓΙΑΣ ΠΑΡΑΣΚΕΥΗΣ ΘΕΣΣΑΛΟΝΙΚΗΣ</t>
  </si>
  <si>
    <t>mail@1nip-ag-parask.thess.sch.gr</t>
  </si>
  <si>
    <t>3ο ΝΗΠΙΑΓΩΓΕΙΟ ΠΛΑΓΙΑΡΙΟΥ</t>
  </si>
  <si>
    <t>mail@3nip-plagiar.thess.sch.gr</t>
  </si>
  <si>
    <t>ΔΩΔΕΚΑΝΗΣΟΥ 40</t>
  </si>
  <si>
    <t>ΕΙΔΙΚΟ ΔΗΜΟΤΙΚΟ ΣΧΟΛΕΙΟ ΚΑΛΑΜΑΡΙΑΣ</t>
  </si>
  <si>
    <t>ΑΝΑΣΤΟΛΗ ΛΕΙΤΟΥΡΓΙΑΣ</t>
  </si>
  <si>
    <t>ΕΙΔΙΚΟ ΝΗΠΙΑΓΩΓΕΙΟ ΚΑΛΑΜΑΡΙΑΣ</t>
  </si>
  <si>
    <t>4ο ΝΗΠΙΑΓΩΓΕΙΟ ΠΑΝΟΡΑΜΑΤΟΣ</t>
  </si>
  <si>
    <t>6ο ΝΗΠΙΑΓΩΓΕΙΟ ΘΕΡΜΗΣ</t>
  </si>
  <si>
    <t>mail@6nip-therm.thess.sch.gr</t>
  </si>
  <si>
    <t>ΑΘΗΝΑΣ 14</t>
  </si>
  <si>
    <t>11ο  ΝΗΠΙΑΓΩΓΕΙΟ ΕΙΔΙΚΗΣ ΑΓΩΓΗΣ ΘΕΣΣΑΛΟΝΙΚΗΣ (Π.Γ.Ν.Θ.ΑΧΕΠΑ) - ΝΟΣΟΚΟΜΕΙΑΚΟ</t>
  </si>
  <si>
    <t>mail@11nip-eid-thess.thess.sch.gr</t>
  </si>
  <si>
    <t>ΣΤΙΛΠΩΝΟΣ ΚΥΡΙΑΚΙΔΗ 1 (Π.Γ.Ν.Θ. ΑΧΕΠΑ)</t>
  </si>
  <si>
    <t>2ο ΝΗΠΙΑΓΩΓΕΙΟ ΚΑΡΔΙΑΣ</t>
  </si>
  <si>
    <t>mail@2nip-kardias.thess.sch.gr</t>
  </si>
  <si>
    <t>ΠΟΣΕΙΔΩΝΟΣ 2</t>
  </si>
  <si>
    <t>4ο ΝΗΠΙΑΓΩΓΕΙΟ ΝΕΩΝ ΕΠΙΒΑΤΩΝ</t>
  </si>
  <si>
    <t>ΣΕ ΑΝΑΣΤΟΛΗ ΛΕΙΤΟΥΡΓΙΑΣ</t>
  </si>
  <si>
    <t>ΔΗΜΟΤΙΚΟ ΣΧΟΛΕΙΟ ΝΕΑΣ ΚΕΡΑΣΙΑΣ</t>
  </si>
  <si>
    <t>mail@dim-keras.thess.sch.gr</t>
  </si>
  <si>
    <t>ΙΩΝΟΣ ΔΡΑΓΟΥΜΗ 34</t>
  </si>
  <si>
    <t>5ο ΝΗΠΙΑΓΩΓΕΙΟ ΝΕΑΣ ΜΗΧΑΝΙΩΝΑΣ</t>
  </si>
  <si>
    <t>ΔΗΜΟΤΙΚΟ ΣΧΟΛΕΙΟ ΝΕΩΝ ΕΠΙΒΑΤΩΝ</t>
  </si>
  <si>
    <t>3ο ΔΗΜΟΤΙΚΟ ΣΧΟΛΕΙΟ ΝΕΑΣ ΜΗΧΑΝΙΩΝΑΣ</t>
  </si>
  <si>
    <t>ΜΗΧΑΝΙΩΝΑ</t>
  </si>
  <si>
    <t>4ο ΔΗΜΟΤΙΚΟ ΣΧΟΛΕΙΟ ΕΠΑΝΟΜΗΣ</t>
  </si>
  <si>
    <t>mail@2dim-kardias.thess.sch.gr</t>
  </si>
  <si>
    <t>ΕΥΜΕΝΟΥΣ  ΚΑΡΔΙΑΝΟΥ</t>
  </si>
  <si>
    <t>2ο ΔΗΜΟΤΙΚΟ ΣΧΟΛΕΙΟ ΒΑΣΙΛΙΚΩΝ</t>
  </si>
  <si>
    <t>6ο ΔΗΜΟΤΙΚΟ ΣΧΟΛΕΙΟ ΘΕΡΜΗΣ</t>
  </si>
  <si>
    <t>7ο ΝΗΠΙΑΓΩΓΕΙΟ ΘΕΡΜΗΣ</t>
  </si>
  <si>
    <t>mail@7nip-therm.thess.sch.gr</t>
  </si>
  <si>
    <t>ΗΡΟΔΟΤΟΥ , ΤΡΙΑΔΙ</t>
  </si>
  <si>
    <t>ΕΙΔΙΚΟ ΔΗΜΟΤΙΚΟ ΣΧΟΛΕΙΟ ΔΗΜΟΥ ΘΕΡΜΑΪΚΟΥ</t>
  </si>
  <si>
    <t>mail@dim-eid-therm.thess.sch.gr</t>
  </si>
  <si>
    <t>ΔΑΓΚΛΗ 2</t>
  </si>
  <si>
    <t>ΔΙΕΥΘΥΝΣΗ Π.Ε. ΔΥΤ. ΘΕΣ/ΝΙΚΗΣ</t>
  </si>
  <si>
    <t>5ο ΝΗΠΙΑΓΩΓΕΙΟ ΕΛΕΥΘΕΡΙΟΥ-ΚΟΡΔΕΛΙΟΥ</t>
  </si>
  <si>
    <t>mail@5nip-elefth.thess.sch.gr</t>
  </si>
  <si>
    <t>ΤΙΜΙΟΥ ΣΤΑΥΡΟΥ 1</t>
  </si>
  <si>
    <t>7ο ΝΗΠΙΑΓΩΓΕΙΟ ΕΛΕΥΘΕΡΙΟΥ-ΚΟΡΔΕΛΙΟΥ</t>
  </si>
  <si>
    <t>mail@7nip-elefth.thess.sch.gr</t>
  </si>
  <si>
    <t>ΚΥΠΡΟΥ-ΚΡΗΤΗΣ ΓΩΝΙΑ</t>
  </si>
  <si>
    <t>8ο ΝΗΠΙΑΓΩΓΕΙΟ ΕΛΕΥΘΕΡΙΟΥ-ΚΟΡΔΕΛΙΟΥ</t>
  </si>
  <si>
    <t>mail@8nip-elefth.thess.sch.gr</t>
  </si>
  <si>
    <t>3ο ΝΗΠΙΑΓΩΓΕΙΟ ΕΛΕΥΘΕΡΙΟΥ-ΚΟΡΔΕΛΙΟΥ</t>
  </si>
  <si>
    <t>mail@3nip-elefth.thess.sch.gr</t>
  </si>
  <si>
    <t>10ο ΝΗΠΙΑΓΩΓΕΙΟ ΕΛΕΥΘΕΡΙΟΥ-ΚΟΡΔΕΛΙΟΥ</t>
  </si>
  <si>
    <t>mail@10nip-elefth.thess.sch.gr</t>
  </si>
  <si>
    <t>1ο ΝΗΠΙΑΓΩΓΕΙΟ ΕΥΟΣΜΟΥ</t>
  </si>
  <si>
    <t>mail@1nip-evosm.thess.sch.gr</t>
  </si>
  <si>
    <t>ΔΕΚΑΤΗΣ ΕΒΔΟΜΗΣ ΝΟΕΜΒΡΗ-ΒΕΡΓΙΝΑΣ</t>
  </si>
  <si>
    <t>2ο ΝΗΠΙΑΓΩΓΕΙΟ ΕΥΟΣΜΟΥ</t>
  </si>
  <si>
    <t>mail@2nip-evosm.thess.sch.gr</t>
  </si>
  <si>
    <t>ΚΑΡΑΟΛΗ &amp; ΔΗΜΗΤΡΙΟΥ 26 ΜΕ ΕΛΥΤΗ ΓΩΝΙΑ</t>
  </si>
  <si>
    <t>3ο ΝΗΠΙΑΓΩΓΕΙΟ ΕΥΟΣΜΟΥ</t>
  </si>
  <si>
    <t>mail@3nip-evosm.thess.sch.gr</t>
  </si>
  <si>
    <t>ΜΑΚΕΔΟΝΙΑΣ-ΝΟΤΑΡΑ</t>
  </si>
  <si>
    <t>5ο ΝΗΠΙΑΓΩΓΕΙΟ ΕΥΟΣΜΟΥ</t>
  </si>
  <si>
    <t>mail@5nip-evosm.thess.sch.gr</t>
  </si>
  <si>
    <t>ΔΕΚΑΤΗΣ ΕΒΔΟΜΗΣ ΝΟΕΜΒΡΙΟΥ-ΒΕΡΓΙΝΑΣ</t>
  </si>
  <si>
    <t>6ο ΝΗΠΙΑΓΩΓΕΙΟ ΕΥΟΣΜΟΥ</t>
  </si>
  <si>
    <t>mail@6nip-evosm.thess.sch.gr</t>
  </si>
  <si>
    <t>7ο ΝΗΠΙΑΓΩΓΕΙΟ ΕΥΟΣΜΟΥ</t>
  </si>
  <si>
    <t>mail@7nip-evosm.thess.sch.gr</t>
  </si>
  <si>
    <t>ΠΑΠΑΦΛΕΣΣΑ 18</t>
  </si>
  <si>
    <t>8ο ΝΗΠΙΑΓΩΓΕΙΟ ΕΥΟΣΜΟΥ</t>
  </si>
  <si>
    <t>mail@8nip-evosm.thess.sch.gr</t>
  </si>
  <si>
    <t>ΙΘΑΚΗΣ 22</t>
  </si>
  <si>
    <t>1ο ΝΗΠΙΑΓΩΓΕΙΟ ΕΛΕΥΘΕΡΙΟΥ-ΚΟΡΔΕΛΙΟΥ</t>
  </si>
  <si>
    <t>mail@1nip-elefth.thess.sch.gr</t>
  </si>
  <si>
    <t>ΚΑΤΣΑΝΤΩΝΗ-ΚΑΡΑΒΑΓΓΕΛΗ</t>
  </si>
  <si>
    <t>2ο ΝΗΠΙΑΓΩΓΕΙΟ ΕΛΕΥΘΕΡΙΟΥ-ΚΟΡΔΕΛΙΟΥ</t>
  </si>
  <si>
    <t>mail@2nip-elefth.thess.sch.gr</t>
  </si>
  <si>
    <t>ΜΑΚΕΔΟΝΟΜΑΧΩΝ 1-ΣΚΡΑ</t>
  </si>
  <si>
    <t>4ο ΝΗΠΙΑΓΩΓΕΙΟ ΕΛΕΥΘΕΡΙΟΥ- ΚΟΡΔΕΛΙΟΥ</t>
  </si>
  <si>
    <t>mail@4nip-elefth.thess.sch.gr</t>
  </si>
  <si>
    <t>Κ.ΚΑΡΑΜΑΝΛΗ-Μ.ΑΛΕΞΑΝΔΡΟΥ 37</t>
  </si>
  <si>
    <t>9ο ΝΗΠΙΑΓΩΓΕΙΟ ΕΛΕΥΘΕΡΙΟΥ-ΚΟΡΔΕΛΙΟΥ</t>
  </si>
  <si>
    <t>mail@9nip-elefth.thess.sch.gr</t>
  </si>
  <si>
    <t>ΕΛΕΥΘΕΡΙΟ-ΚΟΡΔΕΛΙΟ</t>
  </si>
  <si>
    <t>ΚΑΤΣΑΝΤΩΝΗ &amp; ΚΑΡΑΒΑΓΓΕΛΗ (ΓΩΝΙΑ)</t>
  </si>
  <si>
    <t>11ο ΝΗΠΙΑΓΩΓΕΙΟ ΕΛΕΥΘΕΡΙΟΥ-ΚΟΡΔΕΛΙΟΥ</t>
  </si>
  <si>
    <t>mail@11nip-elefth.thess.sch.gr</t>
  </si>
  <si>
    <t>ΣΚΡΑ-ΜΑΚΕΔΟΝΟΜΑΧΩΝ 1</t>
  </si>
  <si>
    <t>6ο ΝΗΠΙΑΓΩΓΕΙΟ ΕΛΕΥΘΕΡΙΟΥ-ΚΟΡΔΕΛΙΟΥ</t>
  </si>
  <si>
    <t>mail@6nip-elefth.thess.sch.gr</t>
  </si>
  <si>
    <t>9ο ΝΗΠΙΑΓΩΓΕΙΟ ΕΥΟΣΜΟΥ</t>
  </si>
  <si>
    <t>mail@9nip-evosm.thess.sch.gr</t>
  </si>
  <si>
    <t>ΤΕΡΜΑ ΚΛΕΙΣΟΥΡΑΣ</t>
  </si>
  <si>
    <t>10ο ΝΗΠΙΑΓΩΓΕΙΟ ΕΥΟΣΜΟΥ</t>
  </si>
  <si>
    <t>mail@10nip-evosm.thess.sch.gr</t>
  </si>
  <si>
    <t>ΕΙΚΟΣΤΗΣ ΟΓΔΟΗΣ ΟΚΤΩΒΡΙΟΥ 13</t>
  </si>
  <si>
    <t>11ο ΝΗΠΙΑΓΩΓΕΙΟ ΕΥΟΣΜΟΥ</t>
  </si>
  <si>
    <t>mail@11nip-evosm.thess.sch.gr</t>
  </si>
  <si>
    <t>12ο ΝΗΠΙΑΓΩΓΕΙΟ ΕΥΟΣΜΟΥ</t>
  </si>
  <si>
    <t>mail@12nip-evosm.thess.sch.gr</t>
  </si>
  <si>
    <t>ΑΣΤΡΟΥΣ - ΤΡΙΤΗΣ ΣΕΠΤΕΜΒΡΙΟΥ</t>
  </si>
  <si>
    <t>13ο ΝΗΠΙΑΓΩΓΕΙΟ ΕΥΟΣΜΟΥ</t>
  </si>
  <si>
    <t>mail@13nip-evosm.thess.sch.gr</t>
  </si>
  <si>
    <t>ΕΙΚΟΣΤΗΣ ΠΕΜΠΤΗΣ ΜΑΡΤΙΟΥ 98</t>
  </si>
  <si>
    <t>14ο ΝΗΠΙΑΓΩΓΕΙΟ ΕΥΟΣΜΟΥ</t>
  </si>
  <si>
    <t>mail@14nip-evosm.thess.sch.gr</t>
  </si>
  <si>
    <t>Μ.ΑΣΙΑΣ ΚΑΙ ΚΛΕΙΣΟΥΡΑΣ</t>
  </si>
  <si>
    <t>15ο ΝΗΠΙΑΓΩΓΕΙΟ ΕΥΟΣΜΟΥ</t>
  </si>
  <si>
    <t>mail@15nip-evosm.thess.sch.gr</t>
  </si>
  <si>
    <t>ΕΙΚΟΣΤΗΣ ΠΕΜΠΤΗΣ ΜΑΡΤΙΟΥ 18</t>
  </si>
  <si>
    <t>16ο ΝΗΠΙΑΓΩΓΕΙΟ ΕΥΟΣΜΟΥ</t>
  </si>
  <si>
    <t>16nipevos@sch.gr</t>
  </si>
  <si>
    <t>ΤΡΙΤΗΣ ΣΕΠΤΕΜΒΡΙΟΥ-ΑΣΤΡΟΥΣ</t>
  </si>
  <si>
    <t>17ο ΝΗΠΙΑΓΩΓΕΙΟ ΕΥΟΣΜΟΥ</t>
  </si>
  <si>
    <t>mail@17nip-evosm.thess.sch.gr</t>
  </si>
  <si>
    <t>19ο ΝΗΠΙΑΓΩΓΕΙΟ ΕΥΟΣΜΟΥ</t>
  </si>
  <si>
    <t>mail@19nip-evosm.thess.sch.gr</t>
  </si>
  <si>
    <t>ΜΟΥΣΩΝ  82</t>
  </si>
  <si>
    <t>20ο ΝΗΠΙΑΓΩΓΕΙΟ ΕΥΟΣΜΟΥ</t>
  </si>
  <si>
    <t>mail@20nip-evosm.thess.sch.gr</t>
  </si>
  <si>
    <t>ΜΑΙΑΝΔΡΟΥ ΚΑΙ 25η ΜΑΡΤΙΟΥ 20</t>
  </si>
  <si>
    <t>2ο ΝΗΠΙΑΓΩΓΕΙΟ ΣΤΑΥΡΟΥΠΟΛΗΣ</t>
  </si>
  <si>
    <t>mail@2nip-stavr.thess.sch.gr</t>
  </si>
  <si>
    <t>ΦΛΕΜΙΓΚ 41</t>
  </si>
  <si>
    <t>3ο ΝΗΠΙΑΓΩΓΕΙΟ ΣΤΑΥΡΟΥΠΟΛΗΣ</t>
  </si>
  <si>
    <t>mail@3nip-stavr.thess.sch.gr</t>
  </si>
  <si>
    <t>ΝΑΥΑΡΙΝΟΥ 1</t>
  </si>
  <si>
    <t>4ο ΝΗΠΙΑΓΩΓΕΙΟ ΣΤΑΥΡΟΥΠΟΛΗΣ</t>
  </si>
  <si>
    <t>mail@4nip-stavr.thess.sch.gr</t>
  </si>
  <si>
    <t>ΔΑΒΑΚΗ 40</t>
  </si>
  <si>
    <t>1ο ΝΗΠΙΑΓΩΓΕΙΟ ΝΕΑΣ ΜΕΣΗΜΒΡΙΑΣ</t>
  </si>
  <si>
    <t>mail@1nip-n-mesimvr.thess.sch.gr</t>
  </si>
  <si>
    <t>ΝΕΑ ΜΕΣΗΜΒΡΙΑ</t>
  </si>
  <si>
    <t>Δαμάσκου 70</t>
  </si>
  <si>
    <t>5ο ΝΗΠΙΑΓΩΓΕΙΟ ΣΤΑΥΡΟΥΠΟΛΗΣ</t>
  </si>
  <si>
    <t>mail@5nip-stavr.thess.sch.gr</t>
  </si>
  <si>
    <t>6ο ΝΗΠΙΑΓΩΓΕΙΟ ΣΤΑΥΡΟΥΠΟΛΗΣ</t>
  </si>
  <si>
    <t>mail@6nip-stavr.thess.sch.gr</t>
  </si>
  <si>
    <t>ΣΟΥΛΙΟΥ  32</t>
  </si>
  <si>
    <t>7ο ΝΗΠΙΑΓΩΓΕΙΟ ΣΤΑΥΡΟΥΠΟΛΗΣ</t>
  </si>
  <si>
    <t>mail@7nip-stavr.thess.sch.gr</t>
  </si>
  <si>
    <t>Χ. ΓΡΑΒΙΑΣ 1</t>
  </si>
  <si>
    <t>11ο ΝΗΠΙΑΓΩΓΕΙΟ ΣΤΑΥΡΟΥΠΟΛΗΣ</t>
  </si>
  <si>
    <t>mail@11nip-stavr.thess.sch.gr</t>
  </si>
  <si>
    <t>ΨΑΡΡΩΝ 46</t>
  </si>
  <si>
    <t>12ο ΝΗΠΙΑΓΩΓΕΙΟ ΣΤΑΥΡΟΥΠΟΛΗΣ</t>
  </si>
  <si>
    <t>mail@12nip-stavr.thess.sch.gr</t>
  </si>
  <si>
    <t>ΧΡ. ΣΜΥΡΝΗΣ 18</t>
  </si>
  <si>
    <t>13ο ΝΗΠΙΑΓΩΓΕΙΟ ΣΤΑΥΡΟΥΠΟΛΗΣ</t>
  </si>
  <si>
    <t>mail@13nip-stavr.thess.sch.gr</t>
  </si>
  <si>
    <t>ΑΡΙΣΤΕΙΔΗ 2</t>
  </si>
  <si>
    <t>14ο ΝΗΠΙΑΓΩΓΕΙΟ ΣΤΑΥΡΟΥΠΟΛΗΣ</t>
  </si>
  <si>
    <t>mail@14nip-stavr.thess.sch.gr</t>
  </si>
  <si>
    <t>Δ. ΓΛΗΝΟΥ 10</t>
  </si>
  <si>
    <t>15ο ΝΗΠΙΑΓΩΓΕΙΟ ΣΤΑΥΡΟΥΠΟΛΗΣ</t>
  </si>
  <si>
    <t>mail@15nip-stavr.thess.sch.gr</t>
  </si>
  <si>
    <t>ΠΕΡΙΚΛΕΟΥΣ 23</t>
  </si>
  <si>
    <t>16ο ΝΗΠΙΑΓΩΓΕΙΟ ΣΤΑΥΡΟΥΠΟΛΗΣ</t>
  </si>
  <si>
    <t>mail@16nip-stavr.thess.sch.gr</t>
  </si>
  <si>
    <t>17ο ΝΗΠΙΑΓΩΓΕΙΟ ΣΤΑΥΡΟΥΠΟΛΗΣ</t>
  </si>
  <si>
    <t>mail@17nip-stavr.thess.sch.gr</t>
  </si>
  <si>
    <t>ΜΙΝΩΤΗ 1</t>
  </si>
  <si>
    <t>12ο ΝΗΠΙΑΓΩΓΕΙΟ ΕΛΕΥΘΕΡΙΟΥ-ΚΟΡΔΕΛΙΟΥ ΘΕΣΣΑΛΟΝΙΚΗΣ</t>
  </si>
  <si>
    <t>mail@12nip-elefth.thess.sch.gr</t>
  </si>
  <si>
    <t>18ο ΝΗΠΙΑΓΩΓΕΙΟ ΣΤΑΥΡΟΥΠΟΛΗΣ</t>
  </si>
  <si>
    <t>mail@18nip-stavr.thess.sch.gr</t>
  </si>
  <si>
    <t>ΒΟΥΛΓΑΡΟΚΤΟΝΟΥ 6</t>
  </si>
  <si>
    <t>19ο ΝΗΠΙΑΓΩΓΕΙΟ ΣΤΑΥΡΟΥΠΟΛΗΣ</t>
  </si>
  <si>
    <t>mail@19nip-stavr.thess.sch.gr</t>
  </si>
  <si>
    <t>ΓΡ. ΛΑΜΠΡΑΚΗ 26</t>
  </si>
  <si>
    <t>20ο ΝΗΠΙΑΓΩΓΕΙΟ ΣΤΑΥΡΟΥΠΟΛΗΣ</t>
  </si>
  <si>
    <t>mail@20nip-stavr.thess.sch.gr</t>
  </si>
  <si>
    <t>ΠΕΡΙΚΛΕΟΥΣ ΚΑΙ ΔΕΚΑΕΦΤΑ ΝΟΕΜΒΡΗ</t>
  </si>
  <si>
    <t>21ο ΝΗΠΙΑΓΩΓΕΙΟ ΣΤΑΥΡΟΥΠΟΛΗΣ</t>
  </si>
  <si>
    <t>mail@21nip-stavr.thess.sch.gr</t>
  </si>
  <si>
    <t>ΠΑΠΑΝΔΡΕΟΥ 1</t>
  </si>
  <si>
    <t>21ο ΝΗΠΙΑΓΩΓΕΙΟ ΕΥΟΣΜΟΥ</t>
  </si>
  <si>
    <t>mail@21nip-evosm.thess.sch.gr</t>
  </si>
  <si>
    <t>ΚΑΖΑΝΤΖΑΚΗ 41</t>
  </si>
  <si>
    <t>22ο ΝΗΠΙΑΓΩΓΕΙΟ ΕΥΟΣΜΟΥ</t>
  </si>
  <si>
    <t>mail@22nip-evosm.thess.sch.gr</t>
  </si>
  <si>
    <t>ΑΓΙΟΥ ΑΘΑΝΑΣΙΟΥ-ΠΛΑΤΩΝΟΣ</t>
  </si>
  <si>
    <t>22ο ΝΗΠΙΑΓΩΓΕΙΟ ΣΤΑΥΡΟΥΠΟΛΗΣ</t>
  </si>
  <si>
    <t>mail@22nip-stavr.thess.sch.gr</t>
  </si>
  <si>
    <t>ΦΛΕΜΙΝΓΚ 41</t>
  </si>
  <si>
    <t>23ο ΝΗΠΙΑΓΩΓΕΙΟ ΕΥΟΣΜΟΥ</t>
  </si>
  <si>
    <t>mail@23nip-evosm.thess.sch.gr</t>
  </si>
  <si>
    <t>ΕΘΝΙΚΗΣ ΑΝΤΙΣΤΑΣΗΣ 84</t>
  </si>
  <si>
    <t>23ο ΝΗΠΙΑΓΩΓΕΙΟ ΣΤΑΥΡΟΥΠΟΛΗΣ</t>
  </si>
  <si>
    <t>mail@23nip-stavr.thess.sch.gr</t>
  </si>
  <si>
    <t>1ο ΝΗΠΙΑΓΩΓΕΙΟ ΣΤΑΥΡΟΥΠΟΛΗΣ</t>
  </si>
  <si>
    <t>mail@1nip-stavr.thess.sch.gr</t>
  </si>
  <si>
    <t>5ο ΔΗΜΟΤΙΚΟ ΣΧΟΛΕΙΟ ΕΛΕΥΘΕΡΙΟΥ-ΚΟΡΔΕΛΙΟΥ</t>
  </si>
  <si>
    <t>mail@5dim-elefth.thess.sch.gr</t>
  </si>
  <si>
    <t>4ο ΝΗΠΙΑΓΩΓΕΙΟ ΑΜΠΕΛΟΚΗΠΩΝ</t>
  </si>
  <si>
    <t>mail@4nip-ampel.thess.sch.gr</t>
  </si>
  <si>
    <t>ΦΙΛΙΠΠΟΥΠΟΛΕΩΣ 58</t>
  </si>
  <si>
    <t>5ο ΝΗΠΙΑΓΩΓΕΙΟ ΑΜΠΕΛΟΚΗΠΩΝ</t>
  </si>
  <si>
    <t>mail@5nip-ampel.thess.sch.gr</t>
  </si>
  <si>
    <t>ΤΕΡΜΑ ΦΙΛΙΠΠΟΥΠΟΛΕΩΣ</t>
  </si>
  <si>
    <t>6ο ΝΗΠΙΑΓΩΓΕΙΟ ΑΜΠΕΛΟΚΗΠΩΝ</t>
  </si>
  <si>
    <t>mail@6nip-ampel.thess.sch.gr</t>
  </si>
  <si>
    <t>ΠΑΝΤΑΖΟΠΟΥΛΟΥ 10</t>
  </si>
  <si>
    <t>7ο ΝΗΠΙΑΓΩΓΕΙΟ ΑΜΠΕΛΟΚΗΠΩΝ</t>
  </si>
  <si>
    <t>mail@7nip-ampel.thess.sch.gr</t>
  </si>
  <si>
    <t>ΤΖΕΚΑΚΗ X.A</t>
  </si>
  <si>
    <t>8ο ΝΗΠΙΑΓΩΓΕΙΟ ΑΜΠΕΛΟΚΗΠΩΝ</t>
  </si>
  <si>
    <t>mail@8nip-ampel.thess.sch.gr</t>
  </si>
  <si>
    <t>ΣΚΕΠΑΡΝΗ 1</t>
  </si>
  <si>
    <t>9ο ΝΗΠΙΑΓΩΓΕΙΟ ΑΜΠΕΛΟΚΗΠΩΝ</t>
  </si>
  <si>
    <t>mail@9nip-ampel.thess.sch.gr</t>
  </si>
  <si>
    <t>ΠΑΝΤΑΖΟΠΟΥΛΟΥ  51</t>
  </si>
  <si>
    <t>10ο ΝΗΠΙΑΓΩΓΕΙΟ ΑΜΠΕΛΟΚΗΠΩΝ</t>
  </si>
  <si>
    <t>10nipamp@sch.gr</t>
  </si>
  <si>
    <t>ΒΥΡΩΝΟΣ-ΚΕΝΕΝΤΥ ΓΩΝΙΑ</t>
  </si>
  <si>
    <t>11ο ΝΗΠΙΑΓΩΓΕΙΟ ΑΜΠΕΛΟΚΗΠΩΝ</t>
  </si>
  <si>
    <t>mail@11nip-ampel.thess.sch.gr</t>
  </si>
  <si>
    <t>13ο ΝΗΠΙΑΓΩΓΕΙΟ ΑΜΠΕΛΟΚΗΠΩΝ</t>
  </si>
  <si>
    <t>mail@13nip-ampel.thess.sch.gr</t>
  </si>
  <si>
    <t>14ο ΝΗΠΙΑΓΩΓΕΙΟ ΑΜΠΕΛΟΚΗΠΩΝ</t>
  </si>
  <si>
    <t>mail@14nip-ampel.thess.sch.gr</t>
  </si>
  <si>
    <t>ΜΑΡΑΘΩΝΟΣ 13</t>
  </si>
  <si>
    <t>12ο ΝΗΠΙΑΓΩΓΕΙΟ ΑΜΠΕΛΟΚΗΠΩΝ</t>
  </si>
  <si>
    <t>mail@12nip-ampel.thess.sch.gr</t>
  </si>
  <si>
    <t>ΕΛΕΥΘΕΡΙΑΣ 48Α</t>
  </si>
  <si>
    <t>2ο ΔΗΜΟΤΙΚΟ ΣΧΟΛΕΙΟ ΩΡΑΙΟΚΑΣΤΡΟΥ</t>
  </si>
  <si>
    <t>mail@2dim-oraiok.thess.sch.gr</t>
  </si>
  <si>
    <t>ΛΕΜΟΝΙΑΣ  ΑΛΣΟΥΣ</t>
  </si>
  <si>
    <t>2ο ΔΗΜΟΤΙΚΟ ΣΧΟΛΕΙΟ ΣΙΝΔΟΥ</t>
  </si>
  <si>
    <t>mail@2dim-sindou.thess.sch.gr</t>
  </si>
  <si>
    <t>Μ. ΑΛΕΞΑΝΔΡΟΥ 74</t>
  </si>
  <si>
    <t>1ο ΔΗΜΟΤΙΚΟ ΣΧΟΛΕΙΟ ΕΥΚΑΡΠΙΑΣ</t>
  </si>
  <si>
    <t>mail@dim-efkarp.thess.sch.gr</t>
  </si>
  <si>
    <t>Νικολάου Πλαστήρα 2 Ευκαρπία</t>
  </si>
  <si>
    <t>3ο ΔΗΜΟΤΙΚΟ ΣΧΟΛΕΙΟ ΑΜΠΕΛΟΚΗΠΩΝ</t>
  </si>
  <si>
    <t>mail@3dim-ampel.thess.sch.gr</t>
  </si>
  <si>
    <t>2ο ΝΗΠΙΑΓΩΓΕΙΟ ΣΥΚΕΩΝ</t>
  </si>
  <si>
    <t>mail@2nip-sykeon.thess.sch.gr</t>
  </si>
  <si>
    <t>ΡΗΓΑ ΦΕΡΡΑΙΟΥ 168</t>
  </si>
  <si>
    <t>2ο ΝΗΠΙΑΓΩΓΕΙΟ ΠΟΛΙΧΝΗΣ</t>
  </si>
  <si>
    <t>mail@2nip-polichn.thess.sch.gr</t>
  </si>
  <si>
    <t>ΑΚΡΟΠΟΛΕΩΣ 16</t>
  </si>
  <si>
    <t>4ο ΝΗΠΙΑΓΩΓΕΙΟ ΠΟΛΙΧΝΗΣ</t>
  </si>
  <si>
    <t>mail@4nip-polichn.thess.sch.gr</t>
  </si>
  <si>
    <t>ΛΕΩΦΟΡΟΣ ΣΤΡΑΤΟΥ 131</t>
  </si>
  <si>
    <t>ΝΗΠΙΑΓΩΓΕΙΟ ΚΡΥΟΝΕΡΙΟΥ ΘΕΣΣΑΛΟΝΙΚΗΣ</t>
  </si>
  <si>
    <t>mail@nip-kryon.thess.sch.gr</t>
  </si>
  <si>
    <t>9ο ΝΗΠΙΑΓΩΓΕΙΟ ΠΟΛΙΧΝΗΣ</t>
  </si>
  <si>
    <t>mail@9nip-polichn.thess.sch.gr</t>
  </si>
  <si>
    <t>ΤΕΡΜΑ ΚΗΦΙΣΙΑΣ</t>
  </si>
  <si>
    <t>ΝΗΠΙΑΓΩΓΕΙΟ ΝΕΑΣ ΜΑΔΥΤΟΥ</t>
  </si>
  <si>
    <t>mail@nip-n-madyt.thess.sch.gr</t>
  </si>
  <si>
    <t>3ο ΔΗΜΟΤΙΚΟ ΣΧΟΛΕΙΟ ΣΤΑΥΡΟΥΠΟΛΗΣ</t>
  </si>
  <si>
    <t>mail@3dim-stavr.thess.sch.gr</t>
  </si>
  <si>
    <t>6ο ΔΗΜΟΤΙΚΟ ΣΧΟΛΕΙΟ ΣΥΚΕΩΝ</t>
  </si>
  <si>
    <t>mail@6dim-sykeon.thess.sch.gr</t>
  </si>
  <si>
    <t>Γ. ΓΕΝΝΗΜΑΤΑ 10</t>
  </si>
  <si>
    <t>4ο ΔΗΜΟΤΙΚΟ ΣΧΟΛΕΙΟ ΜΕΝΕΜΕΝΗΣ</t>
  </si>
  <si>
    <t>mail@4dim-menem.thess.sch.gr</t>
  </si>
  <si>
    <t>ΜΕΝΕΜΕΝΗ</t>
  </si>
  <si>
    <t>Ν. ΚΥΡΙΑΚΙΔΗ 1</t>
  </si>
  <si>
    <t>3ο ΝΗΠΙΑΓΩΓΕΙΟ ΠΟΛΙΧΝΗΣ</t>
  </si>
  <si>
    <t>mail@3nip-polichn.thess.sch.gr</t>
  </si>
  <si>
    <t>ΔΙΓΕΝΗ ΚΑΙ ΙΑΣΟΝΙΔΗ</t>
  </si>
  <si>
    <t>mail@7dim-evosm.thess.sch.gr</t>
  </si>
  <si>
    <t>ΜΑΚΕΔΟΝΙΑΣ 62</t>
  </si>
  <si>
    <t>dimlagka@sch.gr</t>
  </si>
  <si>
    <t>Λαγκαδίκια,</t>
  </si>
  <si>
    <t>mail@dim-n-apollon.thess.sch.gr</t>
  </si>
  <si>
    <t>ΝΕΑ ΑΠΟΛΛΩΝΙΑ</t>
  </si>
  <si>
    <t>mail@dim-palaiok.thess.sch.gr</t>
  </si>
  <si>
    <t>ΣΤΑΝΙΣΗ 2</t>
  </si>
  <si>
    <t>ΔΗΜΟΤΙΚΟ ΣΧΟΛΕΙΟ ΝΕΑΣ ΦΙΛΑΔΕΛΦΕΙΑΣ</t>
  </si>
  <si>
    <t>mail@dim-n-filad.thess.sch.gr</t>
  </si>
  <si>
    <t>mail@1dim-oraiok.thess.sch.gr</t>
  </si>
  <si>
    <t>1ο ΔΗΜΟΤΙΚΟ ΣΧΟΛΕΙΟ ΠΕΥΚΩΝ</t>
  </si>
  <si>
    <t>dimpefko@sch.gr</t>
  </si>
  <si>
    <t>Λ. ΔΗΜΟΚΡΑΤΙΑΣ 59</t>
  </si>
  <si>
    <t>2ο ΔΗΜΟΤΙΚΟ ΣΧΟΛΕΙΟ ΔΙΑΒΑΤΩΝ</t>
  </si>
  <si>
    <t>mail@2dim-ionias.thess.sch.gr</t>
  </si>
  <si>
    <t>ΔΙΑΒΑΤΑ</t>
  </si>
  <si>
    <t>ΑΣΚΟΥ</t>
  </si>
  <si>
    <t>ΔΗΜΟΤΙΚΟ ΣΧΟΛΕΙΟ ΑΣΚΟΥ</t>
  </si>
  <si>
    <t>mail@dim-askou.thess.sch.gr</t>
  </si>
  <si>
    <t>ΑΣΚΟΣ</t>
  </si>
  <si>
    <t>ΓΕΡΑΚΑΡΟΥΣ</t>
  </si>
  <si>
    <t>ΔΗΜΟΤΙΚΟ ΣΧΟΛΕΙΟ ΓΕΡΑΚΑΡΟΥΣ</t>
  </si>
  <si>
    <t>mail@dim-gerak.thess.sch.gr</t>
  </si>
  <si>
    <t>ΓΕΡΑΚΑΡΟΥ</t>
  </si>
  <si>
    <t>ΔΗΜΟΤΙΚΟ ΣΧΟΛΕΙΟ ΜΙΚΡΗΣ ΒΟΛΒΗΣ</t>
  </si>
  <si>
    <t>mail@dim-mik-volvis.thess.sch.gr</t>
  </si>
  <si>
    <t>ΜΙΚΡΗΣ ΒΟΛΒΗΣ</t>
  </si>
  <si>
    <t>ΜΙΚΡΗ ΒΟΛΒΗ</t>
  </si>
  <si>
    <t>ΚΑΒΑΛΛΑΡΙΟΥ</t>
  </si>
  <si>
    <t>ΔΗΜΟΤΙΚΟ ΣΧΟΛΕΙΟ ΚΑΒΑΛΑΡΙΟΥ</t>
  </si>
  <si>
    <t>mail@dim-kaval.thess.sch.gr</t>
  </si>
  <si>
    <t>ΚΑΒΑΛΑΡΙ</t>
  </si>
  <si>
    <t>mail@13dim-stavr.thess.sch.gr</t>
  </si>
  <si>
    <t>ΜΑΓΝΗΣΙΑΣ 2</t>
  </si>
  <si>
    <t>2ο ΔΗΜΟΤΙΚΟ ΣΧΟΛΕΙΟ ΠΟΛΙΧΝΗΣ</t>
  </si>
  <si>
    <t>mail@2dim-polichn.thess.sch.gr</t>
  </si>
  <si>
    <t>ΜΕΤΕΩΡΑ</t>
  </si>
  <si>
    <t>ΚΥΡΙΑΚΟΠΟΥΛΟΥ 11</t>
  </si>
  <si>
    <t>mail@2dim-kymin.thess.sch.gr</t>
  </si>
  <si>
    <t>ΠΕΡΙΒΟΛΑΚΙΟΥ</t>
  </si>
  <si>
    <t>ΝΗΠΙΑΓΩΓΕΙΟ ΠΕΡΙΒΟΛΑΚΙΟΥ</t>
  </si>
  <si>
    <t>mail@nip-periv.thess.sch.gr</t>
  </si>
  <si>
    <t>ΠΕΡΙΒΟΛΑΚΙ</t>
  </si>
  <si>
    <t>13ο ΝΗΠΙΑΓΩΓΕΙΟ ΠΟΛΙΧΝΗΣ</t>
  </si>
  <si>
    <t>mail@13nip-polichn.thess.sch.gr</t>
  </si>
  <si>
    <t>ΛΕΩΦΟΡΟΥ ΣΤΡΑΤΟΥ 131</t>
  </si>
  <si>
    <t>1ο ΔΗΜΟΤΙΚΟ ΣΧΟΛΕΙΟ ΝΕΑΠΟΛΗΣ ΘΕΣΣΑΛΟΝΙΚΗΣ</t>
  </si>
  <si>
    <t>mail@1dim-neapol.thess.sch.gr</t>
  </si>
  <si>
    <t>ΕΛ. ΒΕΝΙΖΕΛΟΥ 99</t>
  </si>
  <si>
    <t>mail@12dim-polichn.thess.sch.gr</t>
  </si>
  <si>
    <t>ΑΡΚΑΔΙΟΥ 35</t>
  </si>
  <si>
    <t>4ο ΔΗΜΟΤΙΚΟ ΣΧΟΛΕΙΟ ΕΛΕΥΘΕΡΙΟΥ-ΚΟΡΔΕΛΙΟΥ</t>
  </si>
  <si>
    <t>mail@4dim-elefth.thess.sch.gr</t>
  </si>
  <si>
    <t>Φ. ΦΛΩΡΟΥ &amp; ΚΑΤΣΑΝΤΩΝΗ</t>
  </si>
  <si>
    <t>5ο ΝΗΠΙΑΓΩΓΕΙΟ ΠΟΛΙΧΝΗΣ</t>
  </si>
  <si>
    <t>mail@5nip-polichn.thess.sch.gr</t>
  </si>
  <si>
    <t>mail@1dim-stavr.thess.sch.gr</t>
  </si>
  <si>
    <t>11ο ΝΗΠΙΑΓΩΓΕΙΟ ΠΟΛΙΧΝΗΣ</t>
  </si>
  <si>
    <t>mail@11nip-polichn.thess.sch.gr</t>
  </si>
  <si>
    <t>Γ.ΠΑΠΑΪΩΑΝΝΟΥ  - ΣΠΥΡΟΠΟΥΛΟΥ ΕΥΣΤΑΘΙΟΥ</t>
  </si>
  <si>
    <t>9ο ΔΗΜΟΤΙΚΟ ΣΧΟΛΕΙΟ ΕΥΟΣΜΟΥ</t>
  </si>
  <si>
    <t>mail@9dim-evosm.thess.sch.gr</t>
  </si>
  <si>
    <t>ΒΡΑΧΙΑΣ</t>
  </si>
  <si>
    <t>ΝΗΠΙΑΓΩΓΕΙΟ ΒΡΑΧΙΑΣ</t>
  </si>
  <si>
    <t>mail@nip-vrach.thess.sch.gr</t>
  </si>
  <si>
    <t>ΒΡΑΧΙΑ</t>
  </si>
  <si>
    <t>3ο ΝΗΠΙΑΓΩΓΕΙΟ ΣΥΚΕΩΝ</t>
  </si>
  <si>
    <t>mail@3nip-sykeon.thess.sch.gr</t>
  </si>
  <si>
    <t>6ο ΝΗΠΙΑΓΩΓΕΙΟ ΣΥΚΕΩΝ</t>
  </si>
  <si>
    <t>mail@6nip-sykeon.thess.sch.gr</t>
  </si>
  <si>
    <t>8ο ΝΗΠΙΑΓΩΓΕΙΟ ΣΤΑΥΡΟΥΠΟΛΗΣ</t>
  </si>
  <si>
    <t>mail@8nip-stavr.thess.sch.gr</t>
  </si>
  <si>
    <t>ΩΡΑΙΟΚΑΣΤΡΟΥ 139</t>
  </si>
  <si>
    <t>mail@16dim-stavroup.thess.sch.gr</t>
  </si>
  <si>
    <t>ΧΡΥΣΟΣΤΟΜΟΥ ΣΜΥΡΝΗΣ 18</t>
  </si>
  <si>
    <t>8ο ΔΗΜΟΤΙΚΟ ΣΧΟΛΕΙΟ ΑΜΠΕΛΟΚΗΠΩΝ</t>
  </si>
  <si>
    <t>mail@8dim-ampel.thess.sch.gr</t>
  </si>
  <si>
    <t>Αμπελόκηποι</t>
  </si>
  <si>
    <t>Δ. Γ. Σκεπάρνη 1Α</t>
  </si>
  <si>
    <t>3ο ΝΗΠΙΑΓΩΓΕΙΟ ΧΑΛΑΣΤΡΑΣ</t>
  </si>
  <si>
    <t>mail@3nip-chalastr.thess.sch.gr</t>
  </si>
  <si>
    <t>1ο ΝΗΠΙΑΓΩΓΕΙΟ ΑΜΠΕΛΟΚΗΠΩΝ</t>
  </si>
  <si>
    <t>mail@1nip-ampel.thess.sch.gr</t>
  </si>
  <si>
    <t>ΝΗΠΙΑΓΩΓΕΙΟ ΑΔΕΝΔΡΟΥ</t>
  </si>
  <si>
    <t>mail@nip-adendr.thess.sch.gr</t>
  </si>
  <si>
    <t>ΚΟΡΑΗ 1</t>
  </si>
  <si>
    <t>10ο ΝΗΠΙΑΓΩΓΕΙΟ ΣΥΚΕΩΝ</t>
  </si>
  <si>
    <t>mail@10nip-sykeon.thess.sch.gr</t>
  </si>
  <si>
    <t>ΒΙΤΣΙ 17</t>
  </si>
  <si>
    <t>2ο ΝΗΠΙΑΓΩΓΕΙΟ ΑΜΠΕΛΟΚΗΠΩΝ</t>
  </si>
  <si>
    <t>mail@2nip-ampel.thess.sch.gr</t>
  </si>
  <si>
    <t>ΔΗΜΟΣΘΕΝΟΥΣ 5</t>
  </si>
  <si>
    <t>3ο ΝΗΠΙΑΓΩΓΕΙΟ ΑΜΠΕΛΟΚΗΠΩΝ</t>
  </si>
  <si>
    <t>mail@3nip-ampel.thess.sch.gr</t>
  </si>
  <si>
    <t>4ο ΝΗΠΙΑΓΩΓΕΙΟ ΣΥΚΕΩΝ</t>
  </si>
  <si>
    <t>mail@4nip-sykeon.thess.sch.gr</t>
  </si>
  <si>
    <t>ΤΕΡΜΑ ΑΓΝΩΣΤΟΥ ΣΤΡΑΤΙΩΤΟΥ</t>
  </si>
  <si>
    <t>12ο ΝΗΠΙΑΓΩΓΕΙΟ ΣΥΚΕΩΝ</t>
  </si>
  <si>
    <t>mail@12nip-sykeon.thess.sch.gr</t>
  </si>
  <si>
    <t>ΓΕΩΡΓΙΟΥ ΓΕΝΝΗΜΑΤΑ 18</t>
  </si>
  <si>
    <t>14ο ΝΗΠΙΑΓΩΓΕΙΟ ΝΕΑΠΟΛΗΣ</t>
  </si>
  <si>
    <t>mail@14nip-neapol.thess.sch.gr</t>
  </si>
  <si>
    <t>Τέρμα Φραγκλίνου Ρούσβελτ</t>
  </si>
  <si>
    <t>12ο ΝΗΠΙΑΓΩΓΕΙΟ ΝΕΑΠΟΛΗΣ</t>
  </si>
  <si>
    <t>mail@12nip-neapol.thess.sch.gr</t>
  </si>
  <si>
    <t>ΔΩΔΕΚΑΝΗΣΟΥ 97</t>
  </si>
  <si>
    <t>12ο ΝΗΠΙΑΓΩΓΕΙΟ ΠΟΛΙΧΝΗΣ</t>
  </si>
  <si>
    <t>mail@12nip-polichn.thess.sch.gr</t>
  </si>
  <si>
    <t>ΑΓΙΟΥ ΣΤΥΛΙΑΝΟΥ 6</t>
  </si>
  <si>
    <t>7ο ΝΗΠΙΑΓΩΓΕΙΟ ΣΥΚΕΩΝ</t>
  </si>
  <si>
    <t>mail@7nip-sykeon.thess.sch.gr</t>
  </si>
  <si>
    <t>ΚΑΡΑΒΑΓΓΕΛΗ - ΑΝΩΝΥΜΟΥ 1</t>
  </si>
  <si>
    <t>9dimstav@sch.gr</t>
  </si>
  <si>
    <t>ΧΑΝΙ ΓΡΑΒΙΑΣ 1</t>
  </si>
  <si>
    <t>7ο ΝΗΠΙΑΓΩΓΕΙΟ ΠΟΛΙΧΝΗΣ</t>
  </si>
  <si>
    <t>mail@7nip-polichn.thess.sch.gr</t>
  </si>
  <si>
    <t>ΣΤΡΑΤΟΠΕΔΟ ΠΑΥΛΟΥ ΜΕΛΑ</t>
  </si>
  <si>
    <t>3ο ΔΗΜΟΤΙΚΟ ΣΧΟΛΕΙΟ ΩΡΑΙΟΚΑΣΤΡΟΥ</t>
  </si>
  <si>
    <t>mail@3dim-oraiok.thess.sch.gr</t>
  </si>
  <si>
    <t>ΝΕΣΤΟΥ 32</t>
  </si>
  <si>
    <t>8ο ΝΗΠΙΑΓΩΓΕΙΟ ΠΟΛΙΧΝΗΣ</t>
  </si>
  <si>
    <t>mail@8nip-polichn.thess.sch.gr</t>
  </si>
  <si>
    <t>ΚΑΛΛΙΚΡΑΤΕΙΑΣ-Γ.ΠΑΠΑΪΩΑΝΝΟΥ</t>
  </si>
  <si>
    <t>11ο ΝΗΠΙΑΓΩΓΕΙΟ ΝΕΑΠΟΛΗΣ</t>
  </si>
  <si>
    <t>11nineap@thess.sch.gr</t>
  </si>
  <si>
    <t>ΠΡ. ΣΤΡΑΤΟΠΕΔΟ ΣΤΡΕΜΠΕΝΙΩΤΗ</t>
  </si>
  <si>
    <t>10ο ΝΗΠΙΑΓΩΓΕΙΟ ΝΕΑΠΟΛΗΣ</t>
  </si>
  <si>
    <t>mail@10nip-neapol.thess.sch.gr</t>
  </si>
  <si>
    <t>8ο ΝΗΠΙΑΓΩΓΕΙΟ ΝΕΑΠΟΛΗΣ</t>
  </si>
  <si>
    <t>mail@8nip-neapol.thess.sch.gr</t>
  </si>
  <si>
    <t>ΔΗΜ. ΓΛΗΝΟΥ &amp; ΕΛ. ΒΕΝΙΖΕΛΟΥ</t>
  </si>
  <si>
    <t>ΝΗΠΙΑΓΩΓΕΙΟ ΞΥΛΟΥΠΟΛΗΣ</t>
  </si>
  <si>
    <t>mail@nip-xyloup.thess.sch.gr</t>
  </si>
  <si>
    <t>ΞΥΛΟΥΠΟΛΗΣ</t>
  </si>
  <si>
    <t>ΞΥΛΟΥΠΟΛΗ</t>
  </si>
  <si>
    <t>mail@dim-kolch.thess.sch.gr</t>
  </si>
  <si>
    <t>mail@dim-n-mesimvr.thess.sch.gr</t>
  </si>
  <si>
    <t>ΜΑΥΡ.ΜΑΥΡΟΥΔΗ 18</t>
  </si>
  <si>
    <t>1ο ΝΗΠΙΑΓΩΓΕΙΟ ΚΑΒΑΛΑΡΙΟΥ</t>
  </si>
  <si>
    <t>mail@nip-kaval.thess.sch.gr</t>
  </si>
  <si>
    <t>ΚΑΒΑΛΑΡΙΟΥ</t>
  </si>
  <si>
    <t>ΝΗΠΙΑΓΩΓΕΙΟ ΖΑΓΚΛΙΒΕΡΙΟΥ</t>
  </si>
  <si>
    <t>mail@nip-zagliv.thess.sch.gr</t>
  </si>
  <si>
    <t>ΝΗΠΙΑΓΩΓΕΙΟ ΔΡΥΜΟΥ ΘΕΣΣΑΛΟΝΙΚΗΣ</t>
  </si>
  <si>
    <t>mail@nip-drymou.thess.sch.gr</t>
  </si>
  <si>
    <t>ΝΗΠΙΑΓΩΓΕΙΟ ΑΣΚΟΥ</t>
  </si>
  <si>
    <t>mail@nip-askou.thess.sch.gr</t>
  </si>
  <si>
    <t>ΑΣΚΟΣ ΛΑΓΚΑΔΑ</t>
  </si>
  <si>
    <t>ΝΗΠΙΑΓΩΓΕΙΟ ΓΕΡΑΚΑΡΟΥΣ</t>
  </si>
  <si>
    <t>mail@nip-gerak.thess.sch.gr</t>
  </si>
  <si>
    <t>mail@dim-neoch.thess.sch.gr</t>
  </si>
  <si>
    <t>ΑΓΙΟΥ ΠΑΥΛΟΥ</t>
  </si>
  <si>
    <t>2ο ΔΗΜΟΤΙΚΟ ΣΧΟΛΕΙΟ ΑΓΙΟΥ ΠΑΥΛΟΥ</t>
  </si>
  <si>
    <t>mail@2dim-ag-pavl.thess.sch.gr</t>
  </si>
  <si>
    <t>ΕΥΑΓΓΕΛΙΣΤΡΙΑ, ΘΕΣΣΑΛΟΝΙΚΗ,</t>
  </si>
  <si>
    <t>ΥΔΡΑΓΩΓΕΙΟΥ ΤΕΡΜΑ</t>
  </si>
  <si>
    <t>4ο ΔΗΜΟΤΙΚΟ ΣΧΟΛΕΙΟ ΣΥΚΕΩΝ</t>
  </si>
  <si>
    <t>mail@4dim-sykeon.thess.sch.gr</t>
  </si>
  <si>
    <t>Συκιές</t>
  </si>
  <si>
    <t>ΠΟΝΤΟΥ ΚΑΙ ΚΟΜΝΗΝΩΝ</t>
  </si>
  <si>
    <t>1ο ΝΗΠΙΑΓΩΓΕΙΟ ΑΓ. ΠΑΥΛΟΥ ΘΕΣΣΑΛΟΝΙΚΗΣ</t>
  </si>
  <si>
    <t>mail@1nip-ag-pavl.thess.sch.gr</t>
  </si>
  <si>
    <t>ΑΓ. ΠΑΥΛΟΥ ΘΕΣΣΑΛΟΝΙΚΗΣ</t>
  </si>
  <si>
    <t>ΚΑΒΑΛΑΣ  7</t>
  </si>
  <si>
    <t>mail@dim-adendr.thess.sch.gr</t>
  </si>
  <si>
    <t>mail@19dim-evosm.thess.sch.gr</t>
  </si>
  <si>
    <t>ΚΑΖΑΝΤΖΑΚΗ 43</t>
  </si>
  <si>
    <t>2ο ΝΗΠΙΑΓΩΓΕΙΟ ΛΑΓΚΑΔΑ</t>
  </si>
  <si>
    <t>mail@2nip-lagkad.thess.sch.gr</t>
  </si>
  <si>
    <t>ΛΟΥΤΡΩΝ 18</t>
  </si>
  <si>
    <t>2ο ΝΗΠΙΑΓΩΓΕΙΟ ΑΓΙΟΥ ΠΑΥΛΟΥ ΘΕΣΣΑΛΟΝΙΚΗΣ</t>
  </si>
  <si>
    <t>mail@2nip-ag-pavl.thess.sch.gr</t>
  </si>
  <si>
    <t>ΑΓ. ΠΑΥΛΟΥ ΘΕΣΣΑΛΟΝΙΚΗ</t>
  </si>
  <si>
    <t>ΤΕΡΜΑ ΥΔΡΑΓΩΓΕΙΟΥ</t>
  </si>
  <si>
    <t>3ο ΝΗΠΙΑΓΩΓΕΙΟ ΑΓΙΟΥ  ΠΑΥΛΟΥ</t>
  </si>
  <si>
    <t>mail@3nip-ag-pavl.thess.sch.gr</t>
  </si>
  <si>
    <t>ΚΑΒΑΛΑΣ 7</t>
  </si>
  <si>
    <t>11ο ΝΗΠΙΑΓΩΓΕΙΟ ΣΥΚΕΩΝ</t>
  </si>
  <si>
    <t>mail@11nip-sykeon.thess.sch.gr</t>
  </si>
  <si>
    <t>ΚΟΝΤΟΣΟΓΛΟΥ - ΤΕΠΕΛΕΝΙΟΥ (εντός 10ου Δημοτικού Σχολείου)</t>
  </si>
  <si>
    <t>15ο ΝΗΠΙΑΓΩΓΕΙΟ ΑΜΠΕΛΟΚΗΠΩΝ</t>
  </si>
  <si>
    <t>mail@15nip-ampel.thess.sch.gr</t>
  </si>
  <si>
    <t>ΜΕΝΕΛΑΟΥ 3</t>
  </si>
  <si>
    <t>2ο ΔΗΜΟΤΙΚΟ ΣΧΟΛΕΙΟ ΕΥΚΑΡΠΙΑΣ</t>
  </si>
  <si>
    <t>mail@2dim-efkarp.thess.sch.gr</t>
  </si>
  <si>
    <t>ΠΑΠΑΝΑΣΤΑΣΙΟΥ 1</t>
  </si>
  <si>
    <t>13ο ΝΗΠΙΑΓΩΓΕΙΟ ΣΥΚΕΩΝ</t>
  </si>
  <si>
    <t>mail@13nip-sykeon.thess.sch.gr</t>
  </si>
  <si>
    <t>ΕΥΡΥΠΙΔΟΥ  7</t>
  </si>
  <si>
    <t>ΑΝΑΛΗΨΕΩΣ</t>
  </si>
  <si>
    <t>ΝΗΠΙΑΓΩΓΕΙΟ ΑΝΑΛΗΨΕΩΣ</t>
  </si>
  <si>
    <t>mail@nip-analips.thess.sch.gr</t>
  </si>
  <si>
    <t>ΑΝΑΛΗΨΗΣ</t>
  </si>
  <si>
    <t>ΑΝΑΛΗΨΗ</t>
  </si>
  <si>
    <t>8ο ΔΗΜΟΤΙΚΟ ΣΧΟΛΕΙΟ ΕΛΕΥΘΕΡΙΟΥ-ΚΟΡΔΕΛΙΟΥ</t>
  </si>
  <si>
    <t>mail@8dim-elefth.thess.sch.gr</t>
  </si>
  <si>
    <t>ΚΡΗΤΗΣ ΚΑΙ ΚΥΠΡΟΥ ΓΩΝΙΑ 14</t>
  </si>
  <si>
    <t>ΕΙΔΙΚΟ ΔΗΜΟΤΙΚΟ ΣΧΟΛΕΙΟ ΙΝΣΤΙΤΟΥΤΟΥ ΑΝΑΠΤΥΞΙΑΚΗΣ ΑΠΟΚΑΤΑΣΤΑΣΗΣ</t>
  </si>
  <si>
    <t>mail@dim-eid-pefkon.thess.sch.gr</t>
  </si>
  <si>
    <t>9ΗΣ  ΚΩΝΣΤΑΝΤΙΝΟΥΠΟΛΕΩΣ 22</t>
  </si>
  <si>
    <t>6ο ΝΗΠΙΑΓΩΓΕΙΟ ΠΟΛΙΧΝΗΣ</t>
  </si>
  <si>
    <t>mail@6nip-polichn.thess.sch.gr</t>
  </si>
  <si>
    <t>ΑΡΧΗ ΚΗΦΙΣΙΑΣ - ΟΠΙΣΘΕΝ ΓΥΜΝΑΣΙΟΥ ΜΕΤΕΩΡΩΝ</t>
  </si>
  <si>
    <t>9ο ΝΗΠΙΑΓΩΓΕΙΟ ΝΕΑΠΟΛΗΣ</t>
  </si>
  <si>
    <t>mail@9nip-neapol.thess.sch.gr</t>
  </si>
  <si>
    <t>ΑΝΔΡΕΟΥ ΔΗΜΗΤΡΙΟΥ 2</t>
  </si>
  <si>
    <t>5ο ΔΙΑΠΟΛΙΤΙΣΜΙΚΟ ΔΗΜΟΤΙΚΟ ΣΧΟΛΕΙΟ ΜΕΝΕΜΕΝΗΣ</t>
  </si>
  <si>
    <t>mail@5dim-menem.thess.sch.gr</t>
  </si>
  <si>
    <t>ΜΕΓΑΛΟΥ ΑΛΕΞΑΝΔΡΟΥ &amp; ΑΓΙΟΥ ΝΕΚΤΑΡΙΟΥ 1</t>
  </si>
  <si>
    <t>14ο ΝΗΠΙΑΓΩΓΕΙΟ ΣΥΚΕΩΝ</t>
  </si>
  <si>
    <t>mail@14nip-sykeon.thess.sch.gr</t>
  </si>
  <si>
    <t>Γεωργίου Γεννηματά 10</t>
  </si>
  <si>
    <t>mail@8dim-stavroup.thess.sch.gr</t>
  </si>
  <si>
    <t>ΩΡΑΙΟΚΑΣΤΡΟΥ 139       ΣΤΑΥΡΟΥΠΟΛΗ</t>
  </si>
  <si>
    <t>mail@dim-sochou.thess.sch.gr</t>
  </si>
  <si>
    <t>ΣΟΧΟΣ</t>
  </si>
  <si>
    <t>ΣΤ. ΠΑΠΑΖΗ 32</t>
  </si>
  <si>
    <t>1ο ΝΗΠΙΑΓΩΓΕΙΟ ΣΥΚΕΩΝ</t>
  </si>
  <si>
    <t>mail@1nip-sykeon.thess.sch.gr</t>
  </si>
  <si>
    <t>ΑΛΕΞΑΝΔΡΟΥ ΠΑΠΑΝΑΣΤΑΣΙΟΥ 24</t>
  </si>
  <si>
    <t>mail@dim-asprov.thess.sch.gr</t>
  </si>
  <si>
    <t>mail@2dim-stavroup.thess.sch.gr</t>
  </si>
  <si>
    <t>7ο ΝΗΠΙΑΓΩΓΕΙΟ ΝΕΑΠΟΛΗΣ</t>
  </si>
  <si>
    <t>mail@7nip-neapol.thess.sch.gr</t>
  </si>
  <si>
    <t>Κωνσταντίνου Κραμανλή 31</t>
  </si>
  <si>
    <t>5ο ΔΗΜΟΤΙΚΟ ΣΧΟΛΕΙΟ ΣΥΚΕΩΝ</t>
  </si>
  <si>
    <t>5dimsyke@sch.gr</t>
  </si>
  <si>
    <t>ΖΑΧΑΡΙΑ ΓΟΥΝΑΡΙΔΗ - ΜΕΛΙΝΑΣ ΜΕΡΚΟΥΡΗ</t>
  </si>
  <si>
    <t>8ο ΝΗΠΙΑΓΩΓΕΙΟ ΣΥΚΕΩΝ</t>
  </si>
  <si>
    <t>mail@8nip-sykeon.thess.sch.gr</t>
  </si>
  <si>
    <t>Καραβαγγέλη  και Ανωνύμου 1</t>
  </si>
  <si>
    <t>ΝΗΠΙΑΓΩΓΕΙΟ ΗΡΑΚΛΕΙΟΥ</t>
  </si>
  <si>
    <t>mail@nip-irakl.thess.sch.gr</t>
  </si>
  <si>
    <t>ΗΡΑΚΛΕΙΟ</t>
  </si>
  <si>
    <t>ΝΗΠΙΑΓΩΓΕΙΟ ΑΣΣΗΡΟΥ</t>
  </si>
  <si>
    <t>mail@nip-assir.thess.sch.gr</t>
  </si>
  <si>
    <t>1ο ΝΗΠΙΑΓΩΓΕΙΟ ΣΟΧΟΥ</t>
  </si>
  <si>
    <t>mail@nip-sochou.thess.sch.gr</t>
  </si>
  <si>
    <t>ΝΗΠΙΑΓΩΓΕΙΟ ΠΡΟΦΗΤΗ-ΕΓΝΑΤΙΑΣ</t>
  </si>
  <si>
    <t>mail@nip-profit.thess.sch.gr</t>
  </si>
  <si>
    <t>2ο ΝΗΠΙΑΓΩΓΕΙΟ ΣΟΧΟΥ</t>
  </si>
  <si>
    <t>mail@2nip-sochou.thess.sch.gr</t>
  </si>
  <si>
    <t>ΜΑΡΚΟΥ ΜΠΟΤΣΑΡΗ/ΑΘ.ΔΙΑΚΟΥ/ΝΙΓΡΙΤΗΣ</t>
  </si>
  <si>
    <t>ΒΡΑΣΝΩΝ</t>
  </si>
  <si>
    <t>ΝΗΠΙΑΓΩΓΕΙΟ ΝΕΩΝ ΒΡΑΣΝΩΝ</t>
  </si>
  <si>
    <t>mail@nip-n-vrasn.thess.sch.gr</t>
  </si>
  <si>
    <t>ΝΕΩΝ ΒΡΑΣΝΩΝ</t>
  </si>
  <si>
    <t>ΝΕΑ ΒΡΑΣΝΑ</t>
  </si>
  <si>
    <t>ΝΗΠΙΑΓΩΓΕΙΟ ΝΕΑΣ ΑΠΟΛΛΩΝΙΑΣ</t>
  </si>
  <si>
    <t>mail@nip-n-apoll.thess.sch.gr</t>
  </si>
  <si>
    <t>ΒΕΡΤΙΣΚΟΥ</t>
  </si>
  <si>
    <t>ΟΣΣΗΣ</t>
  </si>
  <si>
    <t>ΝΗΠΙΑΓΩΓΕΙΟ ΟΣΣΑΣ</t>
  </si>
  <si>
    <t>nipossas@sch.gr</t>
  </si>
  <si>
    <t>Νηπιαγωγείο Όσσας, Όσσα Λαγκαδά</t>
  </si>
  <si>
    <t>ΣΤΙΒΟΥ</t>
  </si>
  <si>
    <t>ΝΗΠΙΑΓΩΓΕΙΟ ΣΤΙΒΟΥ</t>
  </si>
  <si>
    <t>mail@nip-stivou.thess.sch.gr</t>
  </si>
  <si>
    <t>ΣΤΙΒΟΣ</t>
  </si>
  <si>
    <t>2ο ΔΗΜΟΤΙΚΟ ΣΧΟΛΕΙΟ ΠΕΥΚΩΝ</t>
  </si>
  <si>
    <t>mail@2dim-pefkon.thess.sch.gr</t>
  </si>
  <si>
    <t>ΤΡΙΩΝ ΙΕΡΑΡΧΩΝ 5</t>
  </si>
  <si>
    <t>ΛΗΤΗΣ</t>
  </si>
  <si>
    <t>1ο ΝΗΠΙΑΓΩΓΕΙΟ ΛΗΤΗΣ</t>
  </si>
  <si>
    <t>mail@nip-litis.thess.sch.gr</t>
  </si>
  <si>
    <t>ΑΓΙΟΥ ΑΘΑΝΑΣΙΟΥ 15</t>
  </si>
  <si>
    <t>3ο ΝΗΠΙΑΓΩΓΕΙΟ ΛΑΓΚΑΔΑ</t>
  </si>
  <si>
    <t>mail@3nip-lagkad.thess.sch.gr</t>
  </si>
  <si>
    <t>ΚΑΣΣΑΝΔΡΟΥ 37</t>
  </si>
  <si>
    <t>ΝΗΠΙΑΓΩΓΕΙΟ ΚΟΛΧΙΚΟΥ</t>
  </si>
  <si>
    <t>mail@nip-kolch.thess.sch.gr</t>
  </si>
  <si>
    <t>9ο ΝΗΠΙΑΓΩΓΕΙΟ ΣΥΚΕΩΝ</t>
  </si>
  <si>
    <t>mail@9nip-sykeon.thess.sch.gr</t>
  </si>
  <si>
    <t>ΚΟΜΝΗΝΩΝ - ΠΟΝΤΟΥ 17</t>
  </si>
  <si>
    <t>ΜΙΚΡΟΥ ΜΟΝΑΣΤΗΡΙΟΥ</t>
  </si>
  <si>
    <t>ΝΗΠΙΑΓΩΓΕΙΟ ΜΙΚΡΟΥ ΜΟΝΑΣΤΗΡΙΟΥ</t>
  </si>
  <si>
    <t>mail@nip-mikr-monast.thess.sch.gr</t>
  </si>
  <si>
    <t>ΜΙΚΡΟ ΜΟΝΑΣΤΗΡΙ</t>
  </si>
  <si>
    <t>ΝΗΠΙΑΓΩΓΕΙΟ ΜΙΚΡΗΣ ΒΟΛΒΗΣ</t>
  </si>
  <si>
    <t>mail@nip-mik-volvis.thess.sch.gr</t>
  </si>
  <si>
    <t>ΝΗΠΙΑΓΩΓΕΙΟ ΑΣΠΡΟΒΑΛΤΑΣ</t>
  </si>
  <si>
    <t>mail@nip-asprov.thess.sch.gr</t>
  </si>
  <si>
    <t>4ο ΝΗΠΙΑΓΩΓΕΙΟ ΛΑΓΚΑΔΑ</t>
  </si>
  <si>
    <t>mail@4nip-lagkad.thess.sch.gr</t>
  </si>
  <si>
    <t>Μπιζανίου 15</t>
  </si>
  <si>
    <t>1ο ΝΗΠΙΑΓΩΓΕΙΟ ΠΑΡΑΛΙΑΣ ΣΤΑΥΡΟΥ</t>
  </si>
  <si>
    <t>mail@1nip-paral.thess.sch.gr</t>
  </si>
  <si>
    <t>ΠΑΡΑΛΙΑΣ ΣΤΑΥΡΟΥ</t>
  </si>
  <si>
    <t>ΑΓΧΙΑΛΟΥ</t>
  </si>
  <si>
    <t>ΝΗΠΙΑΓΩΓΕΙΟ ΑΓΧΙΑΛΟΥ</t>
  </si>
  <si>
    <t>mail@nip-agchial.thess.sch.gr</t>
  </si>
  <si>
    <t>ΑΓΧΙΑΛΟΣ</t>
  </si>
  <si>
    <t>1ο ΝΗΠΙΑΓΩΓΕΙΟ ΓΕΦΥΡΑΣ</t>
  </si>
  <si>
    <t>mail@nip-gefyr.thess.sch.gr</t>
  </si>
  <si>
    <t>ΜΕΓΑΛΟΥ ΑΛΕΞΑΝΔΡΟΥ ΚΑΙ ΔΗΜΟΚΡΑΤΙΑΣ ΓΕΦΥΡΑ ΘΕΣΣΑΛΟΝΙΚΗΣ</t>
  </si>
  <si>
    <t>ΝΗΠΙΑΓΩΓΕΙΟ ΑΡΕΘΟΥΣΑΣ</t>
  </si>
  <si>
    <t>mail@nip-areth.thess.sch.gr</t>
  </si>
  <si>
    <t>mail@6dim-polichn.thess.sch.gr</t>
  </si>
  <si>
    <t>mail@1dim-chalastr.thess.sch.gr</t>
  </si>
  <si>
    <t>Μ. ΑΛΕΞΑΝΔΡΟΥ  51</t>
  </si>
  <si>
    <t>ΝΗΠΙΑΓΩΓΕΙΟ ΛΑΓΚΑΔΙΚΙΩΝ</t>
  </si>
  <si>
    <t>mail@nip-lagkad.thess.sch.gr</t>
  </si>
  <si>
    <t>ΝΗΠΙΑΓΩΓΕΙΟ ΚΑΤΩ ΓΕΦΥΡΑΣ</t>
  </si>
  <si>
    <t>mail@nip-k-gefyr.thess.sch.gr</t>
  </si>
  <si>
    <t>ΚΑΤΩ ΓΕΦΥΡΑΣ</t>
  </si>
  <si>
    <t>ΚΑΤΩ ΓΕΦΥΡΑ</t>
  </si>
  <si>
    <t>1ο ΝΗΠΙΑΓΩΓΕΙΟ ΠΕΝΤΑΛΟΦΟΥ</t>
  </si>
  <si>
    <t>mail@nip-pental.thess.sch.gr</t>
  </si>
  <si>
    <t>1ο ΔΗΜΟΤΙΚΟ ΣΧΟΛΕΙΟ ΕΛΕΥΘΕΡΙΟΥ-ΚΟΡΔΕΛΙΟΥ</t>
  </si>
  <si>
    <t>mail@1dim-elefth.thess.sch.gr</t>
  </si>
  <si>
    <t>ΑΝΔΡΕΑ ΠΑΠΑΝΔΡΕΟΥ 16</t>
  </si>
  <si>
    <t>3ο ΝΗΠΙΑΓΩΓΕΙΟ ΚΟΥΦΑΛΙΩΝ</t>
  </si>
  <si>
    <t>mail@3nip-koufal.thess.sch.gr</t>
  </si>
  <si>
    <t>Μ. ΜΕΡΚΟΥΡΗ-ΣΩΚΡΑΤΟΥΣ 9</t>
  </si>
  <si>
    <t>2ο ΔΗΜΟΤΙΚΟ ΣΧΟΛΕΙΟ ΑΜΠΕΛΟΚΗΠΩΝ</t>
  </si>
  <si>
    <t>mail@2dim-ampel.thess.sch.gr</t>
  </si>
  <si>
    <t xml:space="preserve">Αμπελόκηποι </t>
  </si>
  <si>
    <t>Τζεκάκη (χωρίς αριθμό)</t>
  </si>
  <si>
    <t>1ο ΝΗΠΙΑΓΩΓΕΙΟ ΚΟΥΦΑΛΙΩΝ</t>
  </si>
  <si>
    <t>mail@1nip-koufal.thess.sch.gr</t>
  </si>
  <si>
    <t>ΑΓΙΟΥ ΑΘΑΝΑΣΙΟΥ 61</t>
  </si>
  <si>
    <t>mail@dim-profit.thess.sch.gr</t>
  </si>
  <si>
    <t>2ο ΝΗΠΙΑΓΩΓΕΙΟ ΧΑΛΑΣΤΡΑΣ</t>
  </si>
  <si>
    <t>mail@2nip-chalastr.thess.sch.gr</t>
  </si>
  <si>
    <t>ΚΑΜΠΑΝΙΑΣ 65</t>
  </si>
  <si>
    <t>1ο ΝΗΠΙΑΓΩΓΕΙΟ ΛΑΓΥΝΩΝ</t>
  </si>
  <si>
    <t>mail@nip-lagyn.thess.sch.gr</t>
  </si>
  <si>
    <t>ΛΑΓΥΝΑ</t>
  </si>
  <si>
    <t>mail@7dim-ampel.thess.sch.gr</t>
  </si>
  <si>
    <t>ΜΑΡΑΘΩΝΟΣ 17</t>
  </si>
  <si>
    <t>6ο ΔΙΑΠΟΛΙΤΙΣΜΙΚΟ ΔΗΜΟΤΙΚΟ ΣΧΟΛΕΙΟ ΕΛΕΥΘΕΡΙΟΥ-ΚΟΡΔΕΛΙΟΥ</t>
  </si>
  <si>
    <t>mail@6dim-diap-elefth.thess.sch.gr</t>
  </si>
  <si>
    <t>1ο ΝΗΠΙΑΓΩΓΕΙΟ ΛΑΓΚΑΔΑ</t>
  </si>
  <si>
    <t>mail@1nip-lagkad.thess.sch.gr</t>
  </si>
  <si>
    <t>ΜΕΓΑΛΟΥ ΑΛΕΞΑΝΔΡΟΥ 24</t>
  </si>
  <si>
    <t>ΝΕΩΝ ΜΑΛΓΑΡΩΝ</t>
  </si>
  <si>
    <t>1ο ΝΗΠΙΑΓΩΓΕΙΟ ΝΕΩΝ ΜΑΛΓΑΡΩΝ</t>
  </si>
  <si>
    <t>mail@1nip-n-malgar.thess.sch.gr</t>
  </si>
  <si>
    <t>ΚΑΡΑΤΑΣΟΥ 62</t>
  </si>
  <si>
    <t>mail@8dim-neapol.thess.sch.gr</t>
  </si>
  <si>
    <t>1ο ΝΗΠΙΑΓΩΓΕΙΟ ΜΕΝΕΜΕΝΗΣ</t>
  </si>
  <si>
    <t>mail@1nip-menem.thess.sch.gr</t>
  </si>
  <si>
    <t>ΚΥΡΙΜΗ 18</t>
  </si>
  <si>
    <t>ΚΡΙΘΙΑΣ (ΚΡΙΘΕΑΣ)</t>
  </si>
  <si>
    <t>ΝΗΠΙΑΓΩΓΕΊΟ ΚΡΙΘΙΑΣ</t>
  </si>
  <si>
    <t>mail@nip-krith.thess.sch.gr</t>
  </si>
  <si>
    <t>ΚΡΙΘΙΑΣ</t>
  </si>
  <si>
    <t>ΚΡΙΘΙΑ</t>
  </si>
  <si>
    <t>mail@2dim-kaloch.thess.sch.gr</t>
  </si>
  <si>
    <t>ΜΙΛΤΙΑΔΟΥ 1</t>
  </si>
  <si>
    <t>mail@5dim-ampel.thess.sch.gr</t>
  </si>
  <si>
    <t>ΝΗΠΙΑΓΩΓΕΙΟ ΛΟΥΔΙΑ</t>
  </si>
  <si>
    <t>mail@nip-loudia.thess.sch.gr</t>
  </si>
  <si>
    <t>ΛΟΥΔΙΑ</t>
  </si>
  <si>
    <t>ΛΟΥΔΙΑΣ</t>
  </si>
  <si>
    <t>mail@2dim-evosm.thess.sch.gr</t>
  </si>
  <si>
    <t>ΦΙΛΙΠΠΟΥ ΚΑΙ ΜΑΙΑΝΔΡΟΥ 2</t>
  </si>
  <si>
    <t>ΔΗΜΟΤΙΚΟ ΣΧΟΛΕΙΟ ΗΡΑΚΛΕΙΟΥ</t>
  </si>
  <si>
    <t>mail@dim-irakl.thess.sch.gr</t>
  </si>
  <si>
    <t>1ο ΔΗΜΟΤΙΚΟ ΣΧΟΛΕΙΟ ΛΑΓΚΑΔΑ</t>
  </si>
  <si>
    <t>mail@1dim-lagkad.thess.sch.gr</t>
  </si>
  <si>
    <t>Μ. ΑΛΕΞΑΝΔΡΟΥ 24</t>
  </si>
  <si>
    <t>2ο ΝΗΠΙΑΓΩΓΕΙΟ ΜΕΝΕΜΕΝΗΣ</t>
  </si>
  <si>
    <t>mail@2nip-menem.thess.sch.gr</t>
  </si>
  <si>
    <t>ΤΕΡΜΑ ΙΚΑΡΟΥ</t>
  </si>
  <si>
    <t>13ο ΕΙΔΙΚΟ ΔΗΜΟΤΙΚΟ ΣΧΟΛΕΙΟ ΘΕΣΣΑΛΟΝΙΚΗΣ</t>
  </si>
  <si>
    <t>13dimeid@sch.gr</t>
  </si>
  <si>
    <t>ΚΟΡΔΕΛΙΟ-ΕΥΟΣΜΟΣ</t>
  </si>
  <si>
    <t>ΚΡΗΤΗΣ-ΚΥΠΡΟΥ ΓΩΝΙΑ</t>
  </si>
  <si>
    <t>3ο ΝΗΠΙΑΓΩΓΕΙΟ ΜΕΝΕΜΕΝΗΣ</t>
  </si>
  <si>
    <t>mail@3nip-menem.thess.sch.gr</t>
  </si>
  <si>
    <t>ΚΟΥΝΤΟΥΡΙΩΤΟΥ 42</t>
  </si>
  <si>
    <t>mail@dim-xyloup.thess.sch.gr</t>
  </si>
  <si>
    <t>ΔΗΜΟΤΙΚΟ ΣΧΟΛΕΙΟ ΚΡΙΘΙΑΣ</t>
  </si>
  <si>
    <t>mail@dim-krith.thess.sch.gr</t>
  </si>
  <si>
    <t>ΕΞΑΛΟΦΟΥ</t>
  </si>
  <si>
    <t>ΝΗΠΙΑΓΩΓΕΙΟ ΠΕΝΤΕ ΒΡΥΣΩΝ</t>
  </si>
  <si>
    <t>mail@nip-5-vryson.thess.sch.gr</t>
  </si>
  <si>
    <t>ΠΕΝΤΕ ΒΡΥΣΕΣ</t>
  </si>
  <si>
    <t>5ο ΝΗΠΙΑΓΩΓΕΙΟ ΣΥΚΕΩΝ</t>
  </si>
  <si>
    <t>mail@5nip-sykeon.thess.sch.gr</t>
  </si>
  <si>
    <t>ΑΡΙΣΤʼΡΧΟΥ 9</t>
  </si>
  <si>
    <t>14ο ΔΗΜΟΤΙΚΟ ΣΧΟΛΕΙΟ ΠΟΛΙΧΝΗΣ</t>
  </si>
  <si>
    <t>mail@14dim-polichn.thess.sch.gr</t>
  </si>
  <si>
    <t>mail@dim-drymou.thess.sch.gr</t>
  </si>
  <si>
    <t>4ο ΝΗΠΙΑΓΩΓΕΙΟ ΜΕΝΕΜΕΝΗΣ</t>
  </si>
  <si>
    <t>mail@4nip-menem.thess.sch.gr</t>
  </si>
  <si>
    <t>mail@dim-zagliv.thess.sch.gr</t>
  </si>
  <si>
    <t>Ζαγκλιβέρι Θεσσαλονίκης</t>
  </si>
  <si>
    <t>mail@dim-areth.thess.sch.gr</t>
  </si>
  <si>
    <t>ΝΗΠΙΑΓΩΓΕΙΟ ΑΓΙΟΥ ΒΑΣΙΛΕΙΟΥ ΛΑΓΚΑΔΑ</t>
  </si>
  <si>
    <t>mail@nip-ag-vasil.thess.sch.gr</t>
  </si>
  <si>
    <t>ΑΓΙΟΣ ΒΑΣΙΛΕΙΟΣ</t>
  </si>
  <si>
    <t>1ο ΝΗΠΙΑΓΩΓΕΙΟ ΠΑΛΑΙΟΚΑΣΤΡΟΥ</t>
  </si>
  <si>
    <t>mail@nip-palaiok.thess.sch.gr</t>
  </si>
  <si>
    <t>ΠΥΘΑΓΟΡΑ 12</t>
  </si>
  <si>
    <t>mail@3dim-sindou.thess.sch.gr</t>
  </si>
  <si>
    <t>ΕΙΚΟΣΤΗΣ ΟΓΔΟΗΣ ΟΚΤΩΒΡΙΟΥ 1</t>
  </si>
  <si>
    <t>mail@dim-lagin.thess.sch.gr</t>
  </si>
  <si>
    <t>mail@2dim-ag-athan.thess.sch.gr</t>
  </si>
  <si>
    <t>ΠΕΤΡΟΥ ΛΕΒΑΝΤΗ 5</t>
  </si>
  <si>
    <t>4ο ΔΗΜΟΤΙΚΟ ΣΧΟΛΕΙΟ ΣΤΑΥΡΟΥΠΟΛΗΣ</t>
  </si>
  <si>
    <t>mail@4dim-stavr.thess.sch.gr</t>
  </si>
  <si>
    <t>mail@7dim-elefth.thess.sch.gr</t>
  </si>
  <si>
    <t>ΜΕΛΙΝΑΣ ΜΕΡΚΟΥΡΗ 30</t>
  </si>
  <si>
    <t>1ο ΝΗΠΙΑΓΩΓΕΙΟ ΠΟΛΙΧΝΗΣ</t>
  </si>
  <si>
    <t>mail@1nip-polichn.thess.sch.gr</t>
  </si>
  <si>
    <t>ΣΧΟΛΕΙΟΥ 1, ΠΟΛΙΧΝΗ</t>
  </si>
  <si>
    <t>6ο ΔΗΜΟΤΙΚΟ ΣΧΟΛΕΙΟ ΣΤΑΥΡΟΥΠΟΛΗΣ</t>
  </si>
  <si>
    <t>mail@6dim-stavroup.thess.sch.gr</t>
  </si>
  <si>
    <t>ΑΓ. ΛΑΥΡΑΣ ΚΑΙ ΣΟΥΛΙΟΥ 32</t>
  </si>
  <si>
    <t>1ο ΝΗΠΙΑΓΩΓΕΙΟ ΜΕΛΙΣΣΟΧΩΡΙΟΥ</t>
  </si>
  <si>
    <t>mail@nip-meliss.thess.sch.gr</t>
  </si>
  <si>
    <t>ΠΑΛΙΟ ΓΗΠΕΔΟ ΜΠΑΣΚΕΤ</t>
  </si>
  <si>
    <t>1ο ΔΗΜΟΤΙΚΟ ΣΧΟΛΕΙΟ ΣΥΚΕΩΝ</t>
  </si>
  <si>
    <t>1dimsyke@sch.gr</t>
  </si>
  <si>
    <t>Ζ.ΓΟΥΝΑΡΙΔΗ-Μ.ΜΕΡΚΟΥΡΗ</t>
  </si>
  <si>
    <t>2ο ΝΗΠΙΑΓΩΓΕΙΟ ΠΑΡΑΛΙΑΣ ΣΤΑΥΡΟΥ</t>
  </si>
  <si>
    <t>mail@2nip-paral.thess.sch.gr</t>
  </si>
  <si>
    <t>mail@1dim-evosm.thess.sch.gr</t>
  </si>
  <si>
    <t>28ης ΟΚΤΩΒΡΙΟΥ 13</t>
  </si>
  <si>
    <t>6ο ΔΗΜΟΤΙΚΟ ΣΧΟΛΕΙΟ ΜΕΝΕΜΕΝΗΣ</t>
  </si>
  <si>
    <t>mail@6dim-menem.thess.sch.gr</t>
  </si>
  <si>
    <t>ΜΟΥΤΑΦΗ 4</t>
  </si>
  <si>
    <t>2ο ΔΗΜΟΤΙΚΟ ΣΧΟΛΕΙΟ ΜΕΝΕΜΕΝΗΣ</t>
  </si>
  <si>
    <t>mail@2dim-menem.thess.sch.gr</t>
  </si>
  <si>
    <t>mail@dim-n-madyt.thess.sch.gr</t>
  </si>
  <si>
    <t>mail@dim-assir.thess.sch.gr</t>
  </si>
  <si>
    <t>ΜΑΚΕΔΟΝΙΑΣ 1</t>
  </si>
  <si>
    <t>ΔΗΜΟΤΙΚΟ ΣΧΟΛΕΙΟ ΠΕΡΙΒΟΛΑΚΙΟΥ</t>
  </si>
  <si>
    <t>mail@dim-periv.thess.sch.gr</t>
  </si>
  <si>
    <t>mail@dim-n-vrasn.thess.sch.gr</t>
  </si>
  <si>
    <t>ΕΒΔΟΜΗ ΠΑΡΑΛΙΑΚΗ 52</t>
  </si>
  <si>
    <t>mail@1dim-paral.thess.sch.gr</t>
  </si>
  <si>
    <t>ΠΑΡΑΛΙΑ ΣΤΑΥΡΟΥ</t>
  </si>
  <si>
    <t>ΧΡΥΣΑΥΓΗΣ</t>
  </si>
  <si>
    <t>ΔΗΜΟΤΙΚΟ ΣΧΟΛΕΙΟ ΧΡΥΣΑΥΓΗΣ</t>
  </si>
  <si>
    <t>mail@dim-chrys.thess.sch.gr</t>
  </si>
  <si>
    <t>Χρυσαυγή,</t>
  </si>
  <si>
    <t>ΧΡΥΣΑΥΓΗ</t>
  </si>
  <si>
    <t>ΔΗΜΟΤΙΚΟ ΣΧΟΛΕΙΟ ΟΣΣΑΣ</t>
  </si>
  <si>
    <t>dimossis@sch.gr</t>
  </si>
  <si>
    <t>Όσσα,</t>
  </si>
  <si>
    <t>ΛΑΓΚΑΔΑΣ,</t>
  </si>
  <si>
    <t>ΔΗΜΟΤΙΚΟ ΣΧΟΛΕΙΟ ΛΗΤΗΣ</t>
  </si>
  <si>
    <t>mail@dim-litis.thess.sch.gr</t>
  </si>
  <si>
    <t>ΛΗΤΗ</t>
  </si>
  <si>
    <t>ΟΔΟΣ ΣΧΟΛΕΙΟΥ 1</t>
  </si>
  <si>
    <t>3dimnion@sch.gr</t>
  </si>
  <si>
    <t>ΝΕΑ ΜΑΓΝΗΣΙΑ</t>
  </si>
  <si>
    <t>Β. ΓΕΩΡΓΙΟΥ 29</t>
  </si>
  <si>
    <t>mail@3dim-lagad.thess.sch.gr</t>
  </si>
  <si>
    <t>mail@7dim-stavroup.thess.sch.gr</t>
  </si>
  <si>
    <t>ΕΥΡΙΠΙΔΗ 1</t>
  </si>
  <si>
    <t>ΔΗΜΟΤΙΚΟ ΣΧΟΛΕΙΟ ΜΕΛΙΣΣΟΧΩΡΙΟΥ ΘΕΣΣΑΛΟΝΙΚΗΣ</t>
  </si>
  <si>
    <t>mail@dim-meliss.thess.sch.gr</t>
  </si>
  <si>
    <t>mail@2dim-paral.thess.sch.gr</t>
  </si>
  <si>
    <t>2dimelf@sch.gr</t>
  </si>
  <si>
    <t>Ελευθέριο - Κορδελιό</t>
  </si>
  <si>
    <t>ΜΑΚΕΔΟΝΟΜΑΧΩΝ 7</t>
  </si>
  <si>
    <t>1ο ΝΗΠΙΑΓΩΓΕΙΟ ΠΕΥΚΩΝ</t>
  </si>
  <si>
    <t>mail@1nip-pefkon.thess.sch.gr</t>
  </si>
  <si>
    <t>ΠΛΑΤΩΝΟΣ 12</t>
  </si>
  <si>
    <t>ΒΑΣΙΛΟΥΔΙΟΥ</t>
  </si>
  <si>
    <t>ΝΗΠΙΑΓΩΓΕΙΟ ΒΑΣΙΛΟΥΔΙΟΥ</t>
  </si>
  <si>
    <t>mail@nip-vasil.thess.sch.gr</t>
  </si>
  <si>
    <t>ΒΑΣΙΛΟΥΔΙ</t>
  </si>
  <si>
    <t>2ο ΝΗΠΙΑΓΩΓΕΙΟ ΠΕΥΚΩΝ</t>
  </si>
  <si>
    <t>mail@2nip-pefkon.thess.sch.gr</t>
  </si>
  <si>
    <t>ΡΟΔΩΝ 42</t>
  </si>
  <si>
    <t>ΝΗΠΙΑΓΩΓΕΙΟ ΧΡΥΣΑΥΓΗΣ ΘΕΣΣΑΛΟΝΙΚΗΣ</t>
  </si>
  <si>
    <t>nipchryt@sch.gr</t>
  </si>
  <si>
    <t>3ο ΔΗΜΟΤΙΚΟ ΣΧΟΛΕΙΟ ΕΛΕΥΘΕΡΙΟΥ-ΚΟΡΔΕΛΙΟΥ</t>
  </si>
  <si>
    <t>mail@3dim-elefth.thess.sch.gr</t>
  </si>
  <si>
    <t>ΚΟΡΔΕΛΙΟ</t>
  </si>
  <si>
    <t>3ο ΝΗΠΙΑΓΩΓΕΙΟ ΠΕΥΚΩΝ</t>
  </si>
  <si>
    <t>mail@3nip-pefkon.thess.sch.gr</t>
  </si>
  <si>
    <t>ΚΑΒΑΦΗ 1</t>
  </si>
  <si>
    <t>mail@2dim-lagkad.thess.sch.gr</t>
  </si>
  <si>
    <t>4ο ΝΗΠΙΑΓΩΓΕΙΟ ΠΕΥΚΩΝ</t>
  </si>
  <si>
    <t>4nippefk@sch.gr</t>
  </si>
  <si>
    <t>ΤΡΙΩΝ ΙΕΡΑΡΧΩΝ 1</t>
  </si>
  <si>
    <t>14ο ΔΗΜΟΤΙΚΟ ΣΧΟΛΕΙΟ ΣΤΑΥΡΟΥΠΟΛΗΣ</t>
  </si>
  <si>
    <t>14dimsta@sch.gr</t>
  </si>
  <si>
    <t>mail@18dim-stavroup.thess.sch.gr</t>
  </si>
  <si>
    <t>ΔΕΚΑΤΟΥ ΟΓΔΟΟΥ ΔΗΜΟΤΙΚΟΥ ΣΧΟΛΕΙΟΥ 10</t>
  </si>
  <si>
    <t>ΔΗΜΟΤΙΚΟ ΣΧΟΛΕΙΟ ΛΟΥΔΙΑ</t>
  </si>
  <si>
    <t>mail@dim-loudia.thess.sch.gr</t>
  </si>
  <si>
    <t>Λουδίας</t>
  </si>
  <si>
    <t>1ο ΝΗΠΙΑΓΩΓΕΙΟ ΕΥΚΑΡΠΙΑΣ</t>
  </si>
  <si>
    <t>1nipefka@sch.gr</t>
  </si>
  <si>
    <t>ΑΓΙΟΥ ΓΕΩΡΓΙΟΥ 28</t>
  </si>
  <si>
    <t>2ο ΝΗΠΙΑΓΩΓΕΙΟ ΕΥΚΑΡΠΙΑΣ</t>
  </si>
  <si>
    <t>mail@2nip-efkarp.thess.sch.gr</t>
  </si>
  <si>
    <t>3ο ΝΗΠΙΑΓΩΓΕΙΟ ΕΥΚΑΡΠΙΑΣ</t>
  </si>
  <si>
    <t>mail@3nip-efkarp.thess.sch.gr</t>
  </si>
  <si>
    <t>Κ. ΜΑΚΕΔΟΝΙΑ/Δ.ΠΑΥΛΟΥ ΜΕΛΑ/ΕΥΚΑΡΠΙΑ/ΚΑΡΥΩΤΑΚΗ ΚΑΙ Γ. ΣΕΦΕΡΗ</t>
  </si>
  <si>
    <t>mail@4dim-evosm.thess.sch.gr</t>
  </si>
  <si>
    <t>ΘΑΛΕΙΑΣ ΚΑΙ ΝΕΜΕΑΣ</t>
  </si>
  <si>
    <t>4ο ΝΗΠΙΑΓΩΓΕΙΟ ΕΥΚΑΡΠΙΑΣ</t>
  </si>
  <si>
    <t>mail@4nip-efkarp.thess.sch.gr</t>
  </si>
  <si>
    <t>Ρ. ΦΕΡΑΙΟΥ 19</t>
  </si>
  <si>
    <t>mail@1dim-menem.thess.sch.gr</t>
  </si>
  <si>
    <t>Μ.ΤΡΙΑΝΤΑΦΥΛΛΙΔΗ 1</t>
  </si>
  <si>
    <t>dimvatht@sch.gr</t>
  </si>
  <si>
    <t>ΒΑΘΥΛΑΚΟΣ</t>
  </si>
  <si>
    <t>ΛΥΜΠΕΡΗ ΠΑΥΛΙΔΑΚΗ</t>
  </si>
  <si>
    <t>1ο ΔΗΜΟΤΙΚΟ ΣΧΟΛΕΙΟ ΑΓΙΟΥ ΠΑΥΛΟΥ</t>
  </si>
  <si>
    <t>mail@1dim-ag-pavl.thess.sch.gr</t>
  </si>
  <si>
    <t>ΑΓ. ΠΑΥΛΟΣ ΘΕΣΣΑΛΟΝΙΚΗΣ</t>
  </si>
  <si>
    <t>ΛΕΩΦΟΡΟΣ ΟΧΙ 25 - ΤΕΡΜΑ ΔΑΣΟΥΣ</t>
  </si>
  <si>
    <t>mail@5dim-evosm.thess.sch.gr</t>
  </si>
  <si>
    <t>ΔΕΚΑΤΗΣ ΕΒΔΟΜΗΣ ΝΟΕΜΒΡΙΟΥ 2</t>
  </si>
  <si>
    <t>dimanat@sch.gr</t>
  </si>
  <si>
    <t>ΔΗΜΟΤΙΚΟΥ ΣΧΟΛΕΙΟΥ 2</t>
  </si>
  <si>
    <t>2ο ΔΗΜΟΤΙΚΟ ΣΧΟΛΕΙΟ ΧΑΛΑΣΤΡΑΣ</t>
  </si>
  <si>
    <t>mail@2dim-chalastr.thess.sch.gr</t>
  </si>
  <si>
    <t>ΚΑΜΠΑΝΙΑΣ 14</t>
  </si>
  <si>
    <t>1ο ΔΗΜΟΤΙΚΟ ΣΧΟΛΕΙΟ ΑΓΙΟΥ ΑΘΑΝΑΣΙΟΥ ΘΕΣΣΑΛΟΝΙΚΗΣ</t>
  </si>
  <si>
    <t>mail@1dim-ag-athan.thess.sch.gr</t>
  </si>
  <si>
    <t>ΠΛ. ΙΩΑΝΝΟΥ ΜΕΤΑΞΑ 49</t>
  </si>
  <si>
    <t>ΔΗΜΟΤΙΚΟ ΣΧΟΛΕΙΟ ΒΡΑΧΙΑΣ</t>
  </si>
  <si>
    <t>mail@dim-vrach.thess.sch.gr</t>
  </si>
  <si>
    <t>mail@dim-proch.thess.sch.gr</t>
  </si>
  <si>
    <t>1dimsind@sch.gr</t>
  </si>
  <si>
    <t>ΔΗΜΗΤΡΙΟΥ ΠΑΠΑΔΟΠΟΥΛΟΥ 2</t>
  </si>
  <si>
    <t>ΔΗΜΟΤΙΚΟ ΣΧΟΛΕΙΟ ΠΕΝΤΑΛΟΦΟΥ  ΘΕΣΣΑΛΟΝΙΚΗΣ</t>
  </si>
  <si>
    <t>mail@dim-pental.thess.sch.gr</t>
  </si>
  <si>
    <t>3ο ΔΗΜΟΤΙΚΟ ΣΧΟΛΕΙΟ ΚΟΥΦΑΛΙΩΝ</t>
  </si>
  <si>
    <t>mail@3dim-koufal.thess.sch.gr</t>
  </si>
  <si>
    <t>ΑΓΙΟΥ ΑΘΑΝΑΣΙΟΥ 34</t>
  </si>
  <si>
    <t>mail@2dim-koufal.thess.sch.gr</t>
  </si>
  <si>
    <t>ΕΘΝΙΚΗΣ ΑΝΤΙΣΤΑΣΗΣ 99 ΚΟΥΦΑΛΙΑ</t>
  </si>
  <si>
    <t>1dimkouf@sch.gr</t>
  </si>
  <si>
    <t>Κουφάλια</t>
  </si>
  <si>
    <t>Εθνικής Αντίστασης 41</t>
  </si>
  <si>
    <t>ΕΘΝΙΚΗΣ ΑΝΤΙΣΤΑΣΗΣ 41</t>
  </si>
  <si>
    <t>4ο ΔΗΜΟΤΙΚΟ ΣΧΟΛΕΙΟ ΚΟΥΦΑΛΙΩΝ</t>
  </si>
  <si>
    <t>mail@4dim-koufal.thess.sch.gr</t>
  </si>
  <si>
    <t>ΚΟΥΦΑΛΙΑ:</t>
  </si>
  <si>
    <t>ΔΗΜΟΤΙΚΟ ΣΧΟΛΕΙΟ ΝΕΩΝ ΜΑΛΓΑΡΩΝ</t>
  </si>
  <si>
    <t>mail@dim-n-malgar.thess.sch.gr</t>
  </si>
  <si>
    <t>Νέα Μάλγαρα Θεσσαλονίκης</t>
  </si>
  <si>
    <t>Ν. ΜΑΛΓΑΡΑ</t>
  </si>
  <si>
    <t>ΔΗΜΟΤΙΚΟ ΣΧΟΛΕΙΟ ΜΙΚΡΟΥ ΜΟΝΑΣΤΗΡΙΟΥ</t>
  </si>
  <si>
    <t>mail@dim-mikr-monast.thess.sch.gr</t>
  </si>
  <si>
    <t xml:space="preserve">ΜΙΚΡΟ ΜΟΝΑΣΤΗΡΙ </t>
  </si>
  <si>
    <t>mail@3dim-chalastr.thess.sch.gr</t>
  </si>
  <si>
    <t>ΔΗΜΟΣ ΔΕΛΤΑ ΘΕΣΣΑΛΟΝΙΚΗΣ</t>
  </si>
  <si>
    <t>1ο ΝΗΠΙΑΓΩΓΕΙΟ ΩΡΑΙΟΚΑΣΤΡΟΥ</t>
  </si>
  <si>
    <t>mail@1nip-oraiok.thess.sch.gr</t>
  </si>
  <si>
    <t>ΠΑΙΔΟΠΟΛΗ</t>
  </si>
  <si>
    <t>2ο ΝΗΠΙΑΓΩΓΕΙΟ ΩΡΑΙΟΚΑΣΤΡΟΥ</t>
  </si>
  <si>
    <t>mail@2nip-oraiok.thess.sch.gr</t>
  </si>
  <si>
    <t>ΑΛΣΟΥΣ ΚΑΙ ΛΕΜΟΝΙΑΣ</t>
  </si>
  <si>
    <t>mail@dim-gefyr.thess.sch.gr</t>
  </si>
  <si>
    <t>ΔΗΜΟΚΡΑΤΙΑΣ  18</t>
  </si>
  <si>
    <t>3ο ΝΗΠΙΑΓΩΓΕΙΟ ΩΡΑΙΟΚΑΣΤΡΟΥ</t>
  </si>
  <si>
    <t>mail@3nip-oraiok.thess.sch.gr</t>
  </si>
  <si>
    <t>ΣΟΛΩΜΟΥ &amp; ΕΞΑΔΑΚΤΥΛΟΥ</t>
  </si>
  <si>
    <t>mail@12dim-ampel.thess.sch.gr</t>
  </si>
  <si>
    <t>ΤΖΕΚΑΚΗ</t>
  </si>
  <si>
    <t>3ο ΕΙΔΙΚΟ ΝΗΠΙΑΓΩΓΕΙΟ ΘΕΣΣΑΛΟΝΙΚΗΣ</t>
  </si>
  <si>
    <t>mail@3nip-eid-thess.thess.sch.gr</t>
  </si>
  <si>
    <t>9Η ΛΕΩΦΟΡΟΣ - ΚΩΝΣΤΑΝΤΙΝΟΥΠΟΛΕΩΣ 22</t>
  </si>
  <si>
    <t>1ο ΔΗΜΟΤΙΚΟ ΣΧΟΛΕΙΟ ΚΥΜΙΝΩΝ</t>
  </si>
  <si>
    <t>mail@1dim-kymin.thess.sch.gr</t>
  </si>
  <si>
    <t>Μ. ΑΛΕΞΑΝΔΡΟΥ</t>
  </si>
  <si>
    <t>ΑΝΩ ΣΤΑΥΡΟΥ</t>
  </si>
  <si>
    <t>ΝΗΠΙΑΓΩΓΕΙΟ ΑΝΩ ΣΤΑΥΡΟΥ</t>
  </si>
  <si>
    <t>11597@sch.gr</t>
  </si>
  <si>
    <t>6ο ΔΙΑΠΟΛΙΤΙΣΜΙΚΟ ΔΗΜΟΤΙΚΟ ΣΧΟΛΕΙΟ ΕΥΟΣΜΟΥ</t>
  </si>
  <si>
    <t>mail@6dim-evosm.thess.sch.gr</t>
  </si>
  <si>
    <t>ΕΙΡΗΝΗΣ-ΜΑΚΕΔΟΝΟΜΑΧΩΝ</t>
  </si>
  <si>
    <t>5ο ΝΗΠΙΑΓΩΓΕΙΟ ΝΕΑΠΟΛΗΣ</t>
  </si>
  <si>
    <t>mail@5nip-neapol.thess.sch.gr</t>
  </si>
  <si>
    <t>ΔΙΔΥΜΟΤΕΙΧΟΥ 76</t>
  </si>
  <si>
    <t>8ο ΔΗΜΟΤΙΚΟ ΣΧΟΛΕΙΟ ΕΥΟΣΜΟΥ</t>
  </si>
  <si>
    <t>mail@8dim-evosm.thess.sch.gr</t>
  </si>
  <si>
    <t>1ο ΔΗΜΟΤΙΚΟ ΣΧΟΛΕΙΟ ΑΜΠΕΛΟΚΗΠΩΝ</t>
  </si>
  <si>
    <t>mail@1dim-ampel.thess.sch.gr</t>
  </si>
  <si>
    <t>ΔΗΜΟΤΙΚΟ ΣΧΟΛΕΙΟ ΑΓΧΙΑΛΟΥ</t>
  </si>
  <si>
    <t>mail@dim-agchial.thess.sch.gr</t>
  </si>
  <si>
    <t>ΤΡΙΑΚΟΣΤΗΣ ΙΟΥΛΙΟΥ 23</t>
  </si>
  <si>
    <t>mail@dim-chalk.thess.sch.gr</t>
  </si>
  <si>
    <t>ΡΗΓΑ  ΦΕΡΑΙΟΥ 16</t>
  </si>
  <si>
    <t>mail@3dim-pefkon.thess.sch.gr</t>
  </si>
  <si>
    <t>ΕΙΡΗΝΗΣ  3</t>
  </si>
  <si>
    <t>mail@4dim-ampel.thess.sch.gr</t>
  </si>
  <si>
    <t>28ης ΟΚΤΩΒΡΙΟΥ 79</t>
  </si>
  <si>
    <t>1ο ΔΗΜΟΤΙΚΟ ΣΧΟΛΕΙΟ ΚΑΛΟΧΩΡΙΟΥ</t>
  </si>
  <si>
    <t>mail@1dim-kaloch.thess.sch.gr</t>
  </si>
  <si>
    <t>ΔΑΒΑΚΗ 3</t>
  </si>
  <si>
    <t>4ο ΝΗΠΙΑΓΩΓΕΙΟ ΕΥΟΣΜΟΥ</t>
  </si>
  <si>
    <t>mail@4nip-evosm.thess.sch.gr</t>
  </si>
  <si>
    <t>ΜΕΣΟΛΟΓΓΙΟΥ ΚΑΙ ΜΑΡΤΙΟΥ 18</t>
  </si>
  <si>
    <t>10ο ΔΗΜΟΤΙΚΟ ΣΧΟΛΕΙΟ ΕΥΟΣΜΟΥ</t>
  </si>
  <si>
    <t>mail@10dim-evosm.thess.sch.gr</t>
  </si>
  <si>
    <t>Εύοσμος</t>
  </si>
  <si>
    <t>Ακρίτα 37</t>
  </si>
  <si>
    <t>11ο ΔΗΜΟΤΙΚΟ ΣΧΟΛΕΙΟ ΕΥΟΣΜΟΥ</t>
  </si>
  <si>
    <t>mail@11dim-evosm.thess.sch.gr</t>
  </si>
  <si>
    <t>ΧΑΡΙΛΑΟΥ ΤΡΙΚΟΥΠΗ 26</t>
  </si>
  <si>
    <t>1ο ΝΗΠΙΑΓΩΓΕΙΟ ΧΑΛΑΣΤΡΑΣ</t>
  </si>
  <si>
    <t>mail@1nip-chalastr.thess.sch.gr</t>
  </si>
  <si>
    <t>ΕΓΝΑΤΙΑ-Μ.ΑΛΕΞΑΝΔΡΟΥ 38Β</t>
  </si>
  <si>
    <t>2ο ΝΗΠΙΑΓΩΓΕΙΟ ΣΙΝΔΟΥ</t>
  </si>
  <si>
    <t>mail@2nip-sindou.thess.sch.gr</t>
  </si>
  <si>
    <t>Π. ΜΕΛΑ 43</t>
  </si>
  <si>
    <t>1ο ΝΗΠΙΑΓΩΓΕΊΟ ΚΑΛΟΧΩΡΙΟΥ</t>
  </si>
  <si>
    <t>mail@1nip-kaloch.thess.sch.gr</t>
  </si>
  <si>
    <t>ΔΑΒΑΚΗ 3 με ΚΑΠΕΤΑΝ ΑΓΡΑ ΓΩΝΙΑ</t>
  </si>
  <si>
    <t>2ο ΝΗΠΙΑΓΩΓΕΙΟ ΚΑΛΟΧΩΡΙΟΥ</t>
  </si>
  <si>
    <t>mail@2nip-kaloch.thess.sch.gr</t>
  </si>
  <si>
    <t>ΝΗΠΙΑΓΩΓΕΙΟ ΑΓΙΑΣ ΣΟΦΙΑΣ</t>
  </si>
  <si>
    <t>mail@nip-ag-sofias.thess.sch.gr</t>
  </si>
  <si>
    <t>ΟΙΚΙΣΜΟΣ ΑΓ.ΣΟΦΙΑΣ</t>
  </si>
  <si>
    <t>1ο ΝΗΠΙΑΓΩΓΕΙΟ ΑΓΙΟΥ ΑΘΑΝΑΣΙΟΥ ΘΕΣΣΑΛΟΝΙΚΗΣ</t>
  </si>
  <si>
    <t>mail@1nip-ag-athan.thess.sch.gr</t>
  </si>
  <si>
    <t>ΤΕΡΜΑ ΣΟΜΑ</t>
  </si>
  <si>
    <t>2ο ΝΗΠΙΑΓΩΓΕΙΟ ΑΓΙΟΥ ΑΘΑΝΑΣΙΟΥ</t>
  </si>
  <si>
    <t>mail@2nip-ag-athan.thess.sch.gr</t>
  </si>
  <si>
    <t>ΠΛ. Ι. ΜΕΤΑΞΑ 49</t>
  </si>
  <si>
    <t>3ο ΝΗΠΙΑΓΩΓΕΙΟ ΑΓΙΟΥ ΑΘΑΝΑΣΙΟΥ</t>
  </si>
  <si>
    <t>mail@3nip-ag-athan.thess.sch.gr</t>
  </si>
  <si>
    <t>ΠΛ. Ι. ΜΕΤΑΞΑ  49</t>
  </si>
  <si>
    <t>ΝΗΠΙΑΓΩΓΕΙΟ ΑΚΡΟΠΟΤΑΜΟΥ</t>
  </si>
  <si>
    <t>mail@nip-akrop.thess.sch.gr</t>
  </si>
  <si>
    <t>1ο ΝΗΠΙΑΓΩΓΕΙΟ ΑΝΑΤΟΛΙΚΟΥ</t>
  </si>
  <si>
    <t>mail@nip-anatol.thess.sch.gr</t>
  </si>
  <si>
    <t>1ο ΝΗΠΙΑΓΩΓΕΙΟ ΒΑΘΥΛΑΚΟΥ</t>
  </si>
  <si>
    <t>mail@nip-vathyl.thess.sch.gr</t>
  </si>
  <si>
    <t>ΒΑΘΥΛΑΚΟΥ</t>
  </si>
  <si>
    <t>ΒΑΘΥΛΑΚΚΟΣ</t>
  </si>
  <si>
    <t>2ο ΝΗΠΙΑΓΩΓΕΙΟ ΓΕΦΥΡΑΣ</t>
  </si>
  <si>
    <t>mail@2nip-gefyr.thess.sch.gr</t>
  </si>
  <si>
    <t>1ο ΝΗΠΙΑΓΩΓΕΙΟ ΔΙΑΒΑΤΩΝ</t>
  </si>
  <si>
    <t>mail@1nip-ionias.thess.sch.gr</t>
  </si>
  <si>
    <t>Δ.ΚΟΜΝΗΝΟΥ 6</t>
  </si>
  <si>
    <t>2ο ΝΗΠΙΑΓΩΓΕΙΟ ΔΙΑΒΑΤΩΝ</t>
  </si>
  <si>
    <t>3ο ΝΗΠΙΑΓΩΓΕΙΟ ΔΙΑΒΑΤΩΝ</t>
  </si>
  <si>
    <t>mail@3nip-ionias.thess.sch.gr</t>
  </si>
  <si>
    <t>Γ.ΠΑΠΑΝΔΡΕΟΥ 44</t>
  </si>
  <si>
    <t>1ο ΝΗΠΙΑΓΩΓΕΙΟ ΝΕΑΣ ΜΑΓΝΗΣΙΑΣ</t>
  </si>
  <si>
    <t>mail@4nip-ionias.thess.sch.gr</t>
  </si>
  <si>
    <t>ΠΛ. ΑΓΙΟΥ ΑΘΑΝΑΣΙΟΥ 1</t>
  </si>
  <si>
    <t>2ο ΝΗΠΙΑΓΩΓΕΙΟ ΝΕΑΣ ΜΑΓΝΗΣΙΑΣ</t>
  </si>
  <si>
    <t>mail@5nip-ionias.thess.sch.gr</t>
  </si>
  <si>
    <t>Ν. ΠΛΑΣΤΗΡΑ &amp; ΗΡΟΔΟΤΟΥ</t>
  </si>
  <si>
    <t>ΝΗΠΙΑΓΩΓΕΙΟ ΚΑΣΤΑΝΑ</t>
  </si>
  <si>
    <t>mail@nip-kastan.thess.sch.gr</t>
  </si>
  <si>
    <t>ΚΑΣΤΑΝΑ</t>
  </si>
  <si>
    <t>ΚΑΣΤΑΝΑΣ</t>
  </si>
  <si>
    <t>2ο ΝΗΠΙΑΓΩΓΕΙΟ ΚΟΥΦΑΛΙΩΝ</t>
  </si>
  <si>
    <t>mail@2nip-koufal.thess.sch.gr</t>
  </si>
  <si>
    <t>4ο ΝΗΠΙΑΓΩΓΕΙΟ ΚΟΥΦΑΛΙΩΝ</t>
  </si>
  <si>
    <t>mail@4nip-koufal.thess.sch.gr</t>
  </si>
  <si>
    <t>ΚΟΛΟΚΟΤΡΩΝΗ-ΠΑΠΑΦΛΕΣΣΑ 2</t>
  </si>
  <si>
    <t>1ο ΝΗΠΙΑΓΩΓΕΙΟ ΚΥΜΙΝΩΝ</t>
  </si>
  <si>
    <t>mail@1nip-kymin.thess.sch.gr</t>
  </si>
  <si>
    <t>2ο ΝΗΠΙΑΓΩΓΕΙΟ ΚΥΜΙΝΩΝ</t>
  </si>
  <si>
    <t>mail@2nip-kymin.thess.sch.gr</t>
  </si>
  <si>
    <t>2ο ΝΗΠΙΑΓΩΓΕΙΟ ΝΕΩΝ ΜΑΛΓΑΡΩΝ</t>
  </si>
  <si>
    <t>mail@2nip-n-malgar.thess.sch.gr</t>
  </si>
  <si>
    <t>ΝΗΠΙΑΓΩΓΕΙΟ ΝΕΑΣ ΦΙΛΑΔΕΛΦΕΙΑΣ</t>
  </si>
  <si>
    <t>mail@nip-n-filad.thess.sch.gr</t>
  </si>
  <si>
    <t>ΝΗΠΙΑΓΩΓΕΙΟ ΝΕΟΧΩΡΟΥΔΑΣ</t>
  </si>
  <si>
    <t>mail@nip-neoch.thess.sch.gr</t>
  </si>
  <si>
    <t>ΝΗΠΙΑΓΩΓΕΙΟ ΠΡΟΧΩΜΑΤΟΣ</t>
  </si>
  <si>
    <t>mail@nip-proch.thess.sch.gr</t>
  </si>
  <si>
    <t>1ο ΝΗΠΙΑΓΩΓΕΙΟ ΣΙΝΔΟΥ</t>
  </si>
  <si>
    <t>mail@1nip-sindou.thess.sch.gr</t>
  </si>
  <si>
    <t>ΠΡΟΕΚΤΑΣΗ ΣΙΝΔΟΥ</t>
  </si>
  <si>
    <t>3ο ΝΗΠΙΑΓΩΓΕΙΟ ΣΙΝΔΟΥ</t>
  </si>
  <si>
    <t>mail@3nip-sindou.thess.sch.gr</t>
  </si>
  <si>
    <t>28ΗΣ  ΟΚΤΩΒΡΙΟΥ 1</t>
  </si>
  <si>
    <t>1ο ΝΗΠΙΑΓΩΓΕΙΟ ΧΑΛΚΗΔΟΝΑΣ</t>
  </si>
  <si>
    <t>mail@1nip-chalk.thess.sch.gr</t>
  </si>
  <si>
    <t>ΧΑΛΚΗΔΟΝΑΣ</t>
  </si>
  <si>
    <t>ΜΙΑΟΥΛΗ 30</t>
  </si>
  <si>
    <t>2ο ΝΗΠΙΑΓΩΓΕΙΟ ΧΑΛΚΗΔΟΝΑΣ</t>
  </si>
  <si>
    <t>mail@2nip-chalk.thess.sch.gr</t>
  </si>
  <si>
    <t>13ο ΔΗΜΟΤΙΚΟ ΣΧΟΛΕΙΟ ΑΜΠΕΛΟΚΗΠΩΝ</t>
  </si>
  <si>
    <t>mail@13dim-ampel.thess.sch.gr</t>
  </si>
  <si>
    <t>ΕΘΝΙΚΗΣ ΑΝΤΙΣΤΑΣΗΣ 59</t>
  </si>
  <si>
    <t>12ο ΔΗΜΟΤΙΚΟ ΣΧΟΛΕΙΟ ΕΥΟΣΜΟΥ</t>
  </si>
  <si>
    <t>mail@12dim-evosm.thess.sch.gr</t>
  </si>
  <si>
    <t>5ο ΔΗΜΟΤΙΚΟ ΣΧΟΛΕΙΟ ΠΟΛΙΧΝΗΣ</t>
  </si>
  <si>
    <t>mail@5dim-polichn.thess.sch.gr</t>
  </si>
  <si>
    <t>13ο ΔΗΜΟΤΙΚΟ ΣΧΟΛΕΙΟ ΕΥΟΣΜΟΥ</t>
  </si>
  <si>
    <t>mail@13dim-evosm.thess.sch.gr</t>
  </si>
  <si>
    <t>25ΗΣ ΜΑΡΤΙΟΥ ΚΑΙ ΠΡΩΤΟΜΑΓΙΑΣ</t>
  </si>
  <si>
    <t>12ο ΔΗΜΟΤΙΚΟ ΣΧΟΛΕΙΟ ΝΕΑΠΟΛΗΣ</t>
  </si>
  <si>
    <t>mail@12dim-neapol.thess.sch.gr</t>
  </si>
  <si>
    <t>14ο ΔΗΜΟΤΙΚΟ ΣΧΟΛΕΙΟ ΕΥΟΣΜΟΥ</t>
  </si>
  <si>
    <t>mail@14dim-evosm.thess.sch.gr</t>
  </si>
  <si>
    <t>28ης  ΟΚΤΩΒΡΙΟΥ 13</t>
  </si>
  <si>
    <t>3ο ΠΕΙΡΑΜΑΤΙΚΟ ΔΗΜΟΤΙΚΟ ΣΧΟΛΕΙΟ (ΜΗ ΕΝΤΑΓΜΕΝΟ ΣΤΟ ΠΑΝΕΠΙΣΤΗΜΙΟ) ΕΥΟΣΜΟΥ</t>
  </si>
  <si>
    <t>3dimevos@sch.gr</t>
  </si>
  <si>
    <t>ΚΑΡΑΟΛΗ-ΔΗΜΗΤΡΙΟΥ 26</t>
  </si>
  <si>
    <t>1ο ΔΗΜΟΤΙΚΟ ΣΧΟΛΕΙΟ ΔΙΑΒΑΤΩΝ</t>
  </si>
  <si>
    <t>mail@1dim-ionias.thess.sch.gr</t>
  </si>
  <si>
    <t>ΔΗΜ. ΚΟΜΝΗΝΩΝ 6-8</t>
  </si>
  <si>
    <t>mail@10dim-polichn.thess.sch.gr</t>
  </si>
  <si>
    <t>ΟΛΥΜΠΙΟΝΙΚΗ ΚΑΡΥΠΙΔΗ 11</t>
  </si>
  <si>
    <t>mail@15dim-evosm.thess.sch.gr</t>
  </si>
  <si>
    <t>ΘΑΛΕΙΑΣ-ΝΕΜΕΑΣ</t>
  </si>
  <si>
    <t>16ο ΔΗΜΟΤΙΚΟ ΣΧΟΛΕΙΟ ΕΥΟΣΜΟΥ</t>
  </si>
  <si>
    <t>mail@16dim-evosm.thess.sch.gr</t>
  </si>
  <si>
    <t>Πεύκων 2</t>
  </si>
  <si>
    <t>mail@1dim-polichn.thess.sch.gr</t>
  </si>
  <si>
    <t>ΣΧΟΛΕΙΟΥ 1</t>
  </si>
  <si>
    <t>5ο ΔΗΜΟΤΙΚΟ ΣΧΟΛΕΙΟ ΝΕΑΠΟΛΗΣ</t>
  </si>
  <si>
    <t>mail@5dim-neapol.thess.sch.gr</t>
  </si>
  <si>
    <t>ΑΘ. ΔΙΑΚΟΥ 27</t>
  </si>
  <si>
    <t>17ο ΔΗΜΟΤΙΚΟ ΣΧΟΛΕΙΟ ΕΥΟΣΜΟΥ</t>
  </si>
  <si>
    <t>mail@17dim-evosm.thess.sch.gr</t>
  </si>
  <si>
    <t>ΑΚΡΙΤΑ 37</t>
  </si>
  <si>
    <t>18dimevo@sch.gr</t>
  </si>
  <si>
    <t>ΜΑΙΑΝΔΡΟΥ-ΦΙΛΙΠΠΟΥ</t>
  </si>
  <si>
    <t>ΔΗΜΟΤΙΚΟ ΣΧΟΛΕΙΟ ΚΑΤΩ ΓΕΦΥΡΑΣ</t>
  </si>
  <si>
    <t>mail@dim-k-gefyr.thess.sch.gr</t>
  </si>
  <si>
    <t>mail@20dim-evosm.thess.sch.gr</t>
  </si>
  <si>
    <t>ΔΕΚΑΤΗΣ ΕΒΔΟΜΗΣ ΝΟΕΜΒΡΗ ΚΑΙ ΒΕΡΓΙΝΑΣ</t>
  </si>
  <si>
    <t>mail@10dim-neapol.thess.sch.gr</t>
  </si>
  <si>
    <t>ΤΕΡΜΑ ΦΡΑΓΚΛΙΝΟΥ ΡΟΥΣΒΕΛΤ</t>
  </si>
  <si>
    <t>3ο ΔΗΜΟΤΙΚΟ ΣΧΟΛΕΙΟ ΣΥΚΕΩΝ</t>
  </si>
  <si>
    <t>mail@3dim-sykeon.thess.sch.gr</t>
  </si>
  <si>
    <t>13ο ΔΗΜΟΤΙΚΟ ΣΧΟΛΕΙΟ ΠΟΛΙΧΝΗΣ</t>
  </si>
  <si>
    <t>mail@13dim-polichn.thess.sch.gr</t>
  </si>
  <si>
    <t>ΦΙΛΙΠΠΟΥ 85</t>
  </si>
  <si>
    <t>mail@10dim-sykeon.thess.sch.gr</t>
  </si>
  <si>
    <t>ΑΡΓΥΡΟΚΑΣΤΡΟΥ &amp; ΚΟΝΤΟΣΟΓΛΟΥ</t>
  </si>
  <si>
    <t>8ο ΔΗΜΟΤΙΚΟ ΣΧΟΛΕΙΟ ΣΥΚΕΩΝ</t>
  </si>
  <si>
    <t>mail@8dim-sykeon.thess.sch.gr</t>
  </si>
  <si>
    <t>Βορείου Ηπείρου 7</t>
  </si>
  <si>
    <t>mail@4dim-polichn.thess.sch.gr</t>
  </si>
  <si>
    <t>ΠΟΛΙΧΝΗ-ΘΕΣΣΑΛΟΝΙΚΗ</t>
  </si>
  <si>
    <t>3ο ΔΗΜΟΤΙΚΟ ΣΧΟΛΕΙΟ  ΝΕΑΠΟΛΗΣ ΘΕΣΣΑΛΟΝΊΚΗΣ</t>
  </si>
  <si>
    <t>mail@3dim-neapol.thess.sch.gr</t>
  </si>
  <si>
    <t>mail@3dim-polichn.thess.sch.gr</t>
  </si>
  <si>
    <t>ΔΙΓΕΝΗ ΚΑΙ ΙΑΣΩΝΙΔΟΥ</t>
  </si>
  <si>
    <t>mail@2dim-sykeon.thess.sch.gr</t>
  </si>
  <si>
    <t>ΟΔ. ΚΑΙ ΑΠ. ΦΩΚΑ 17</t>
  </si>
  <si>
    <t>11ο ΔΗΜΟΤΙΚΟ ΣΧΟΛΕΙΟ ΣΥΚΕΩΝ</t>
  </si>
  <si>
    <t>mail@11dim-sykeon.thess.sch.gr</t>
  </si>
  <si>
    <t>3ο ΔΙΑΠΟΛΙΤΙΣΜΙΚΟ ΔΗΜΟΤΙΚΟ ΣΧΟΛΕΙΟ ΜΕΝΕΜΕΝΗΣ</t>
  </si>
  <si>
    <t>mail@3dim-diap-menem.thess.sch.gr</t>
  </si>
  <si>
    <t>ΚΟΛΟΚΟΤΡΩΝΗ &amp; ΚΩΝΣΤΑΝΤΙΝΟΥΠΟΛΕΩΣ 58</t>
  </si>
  <si>
    <t>7ο ΔΗΜΟΤΙΚΟ ΣΧΟΛΕΙΟ ΝΕΑΠΟΛΗΣ</t>
  </si>
  <si>
    <t>mail@7dim-neapol.thess.sch.gr</t>
  </si>
  <si>
    <t>Κ. ΚΑΡΑΜΑΝΛΗ 31</t>
  </si>
  <si>
    <t>3ο ΕΙΔΙΚΟ ΔΗΜΟΤΙΚΟ ΣΧΟΛΕΙΟ ΘΕΣΣΑΛΟΝΙΚΗΣ</t>
  </si>
  <si>
    <t>mail@3dim-eid-thess.thess.sch.gr</t>
  </si>
  <si>
    <t>5ο ΕΙΔΙΚΟ ΔΗΜΟΤΙΚΟ ΣΧΟΛΕΙΟ ΘΕΣΣΑΛΟΝΙΚΗΣ</t>
  </si>
  <si>
    <t>mail@5dim-eid.thess.sch.gr</t>
  </si>
  <si>
    <t>ΑΔΑΜΑΝΤΙΟΥ ΚΟΡΑΗ 4</t>
  </si>
  <si>
    <t>2ο ΝΗΠΙΑΓΩΓΕΙΟ ΛΑΓΥΝΩΝ</t>
  </si>
  <si>
    <t>mail@2nip-lagyn.thess.sch.gr</t>
  </si>
  <si>
    <t>mail@21dim-evosm.thess.sch.gr</t>
  </si>
  <si>
    <t>22ο ΔΗΜΟΤΙΚΟ ΣΧΟΛΕΙΟ ΕΥΟΣΜΟΥ</t>
  </si>
  <si>
    <t>mail@22dim-evosm.thess.sch.gr</t>
  </si>
  <si>
    <t>18ο ΝΗΠΙΑΓΩΓΕΙΟ ΕΥΟΣΜΟΥ</t>
  </si>
  <si>
    <t>mail@18nip-evosm.thess.sch.gr</t>
  </si>
  <si>
    <t>25ΗΣ  ΜΑΡΤΙΟΥ 18</t>
  </si>
  <si>
    <t>3ο ΔΗΜΟΤΙΚΟ ΣΧΟΛΕΙΟ ΕΥΚΑΡΠΙΑΣ</t>
  </si>
  <si>
    <t>mail@3dim-efkarp.thess.sch.gr</t>
  </si>
  <si>
    <t>ΔΩΔΕΚΑΝΗΣΟΥ 16</t>
  </si>
  <si>
    <t>2ο ΝΗΠΙΑΓΩΓΕΙΟ ΠΑΛΑΙΟΚΑΣΤΡΟΥ</t>
  </si>
  <si>
    <t>mail@2nip-palaiok.thess.sch.gr</t>
  </si>
  <si>
    <t>ΝΕΟΧΩΡΟΥΔΑΣ 8</t>
  </si>
  <si>
    <t>5ο ΝΗΠΙΑΓΩΓΕΙΟ ΕΥΚΑΡΠΙΑΣ</t>
  </si>
  <si>
    <t>mail@5nip-efkarp.thess.sch.gr</t>
  </si>
  <si>
    <t>ΟΜΗΡΟΥ ΚΑΙ ΕΓΝΑΤΙΑΣ</t>
  </si>
  <si>
    <t>5ο ΝΗΠΙΑΓΩΓΕΙΟ ΠΕΥΚΩΝ</t>
  </si>
  <si>
    <t>mail@5nip-pefkon.thess.sch.gr</t>
  </si>
  <si>
    <t>4ο ΝΗΠΙΑΓΩΓΕΙΟ ΔΙΑΒΑΤΩΝ</t>
  </si>
  <si>
    <t>mail@4nip-diavat.thess.sch.gr</t>
  </si>
  <si>
    <t>23ο ΔΗΜΟΤΙΚΟ ΣΧΟΛΕΙΟ ΕΥΟΣΜΟΥ</t>
  </si>
  <si>
    <t>mail@23dim-evosm.thess.sch.gr</t>
  </si>
  <si>
    <t>25ΗΣ ΜΑΡΤΙΟΥ- ΠΡΩΤΟΜΑΓΙΑΣ</t>
  </si>
  <si>
    <t>24ο ΔΗΜΟΤΙΚΟ ΣΧΟΛΕΙΟ ΕΥΟΣΜΟΥ</t>
  </si>
  <si>
    <t>mail@24dim-evosm.thess.sch.gr</t>
  </si>
  <si>
    <t>ΓΟΡΓΟΠΟΤΑΜΟΥ 3</t>
  </si>
  <si>
    <t>24ο ΝΗΠΙΑΓΩΓΕΙΟ ΕΥΟΣΜΟΥ</t>
  </si>
  <si>
    <t>mail@24nip-evosm.thess.sch.gr</t>
  </si>
  <si>
    <t>25ο ΝΗΠΙΑΓΩΓΕΙΟ ΕΥΟΣΜΟΥ</t>
  </si>
  <si>
    <t>kaspyridou@sch.gr</t>
  </si>
  <si>
    <t>26ο ΝΗΠΙΑΓΩΓΕΙΟ ΕΥΟΣΜΟΥ</t>
  </si>
  <si>
    <t>mail@26nip-evosm.thess.sch.gr</t>
  </si>
  <si>
    <t>27ο  ΝΗΠΙΑΓΩΓΕΙΟ ΕΥΟΣΜΟΥ</t>
  </si>
  <si>
    <t>mail@27nip-evosm.thess.sch.gr</t>
  </si>
  <si>
    <t>ΜΑΙΑΝΔΡΟΥ ΚΑΙ ΜΑΡΤΙΟΥ 20</t>
  </si>
  <si>
    <t>28ο ΝΗΠΙΑΓΩΓΕΙΟ ΕΥΟΣΜΟΥ</t>
  </si>
  <si>
    <t>mail@28nip-evosm.thess.sch.gr</t>
  </si>
  <si>
    <t>ΜΑΒΙΛΗ 8</t>
  </si>
  <si>
    <t>29ο ΝΗΠΙΑΓΩΓΕΙΟ ΕΥΟΣΜΟΥ</t>
  </si>
  <si>
    <t>mail@29nip-evosm.thess.sch.gr</t>
  </si>
  <si>
    <t>30ο ΝΗΠΙΑΓΩΓΕΙΟ ΕΥΟΣΜΟΥ</t>
  </si>
  <si>
    <t>mail@30nip-evosm.thess.sch.gr</t>
  </si>
  <si>
    <t>5ο ΝΗΠΙΑΓΩΓΕΙΟ ΚΟΥΦΑΛΙΩΝ</t>
  </si>
  <si>
    <t>mail@5nip-koufal.thess.sch.gr</t>
  </si>
  <si>
    <t>ΕΘΝ. ΑΝΤΙΣΤΑΣΗΣ  41</t>
  </si>
  <si>
    <t>5ο ΝΗΠΙΑΓΩΓΕΙΟ ΔΙΑΒΑΤΩΝ</t>
  </si>
  <si>
    <t>mail@5nip-diavat.thess.sch.gr</t>
  </si>
  <si>
    <t>ΔΑΒΑΚΗ ΚΑΙ ΧΑΡΙΛΑΟΥ ΤΡΙΚΟΥΠΗ Ν. ΜΑΓΝΗΣΙΑ</t>
  </si>
  <si>
    <t>4ο ΝΗΠΙΑΓΩΓΕΙΟ ΣΙΝΔΟΥ</t>
  </si>
  <si>
    <t>mail@4nip-sindou.thess.sch.gr</t>
  </si>
  <si>
    <t>ΕΠΕΚΤΑΣΗ ΣΙΝΔΟΥ</t>
  </si>
  <si>
    <t>ΜΕΣΑΙΟΥ</t>
  </si>
  <si>
    <t>ΝΗΠΙΑΓΩΓΕΙΟ ΜΟΝΟΛΟΦΟΥ</t>
  </si>
  <si>
    <t>mail@nip-monolof.thess.sch.gr</t>
  </si>
  <si>
    <t>ΜΟΝΟΛΟΦΟΥ</t>
  </si>
  <si>
    <t>ΜΟΝΟΛΟΦΟΣ</t>
  </si>
  <si>
    <t>2ο ΝΗΠΙΑΓΩΓΕΙΟ ΝΕΑΣ ΜΕΣΗΜΒΡΙΑΣ</t>
  </si>
  <si>
    <t>mail@2nip-n-mesimvr.thess.sch.gr</t>
  </si>
  <si>
    <t>4ο ΝΗΠΙΑΓΩΓΕΙΟ ΩΡΑΙΟΚΑΣΤΡΟΥ</t>
  </si>
  <si>
    <t>mail@4nip-oraiok.thess.sch.gr</t>
  </si>
  <si>
    <t>ΜΕΓΑΛΟΥ ΑΛΕΞΑΝΔΡΟΥ 28</t>
  </si>
  <si>
    <t>5ο ΕΙΔΙΚΟ ΝΗΠΙΑΓΩΓΕΙΟ ΕΥΚΑΡΠΙΑ ΘΕΣΣΑΛΟΝΙΚΗΣ</t>
  </si>
  <si>
    <t>14ο  ΝΗΠΙΑΓΩΓΕΙΟ ΠΟΛΙΧΝΗΣ</t>
  </si>
  <si>
    <t>mail@14nip-polichn.thess.sch.gr</t>
  </si>
  <si>
    <t>15ο ΝΗΠΙΑΓΩΓΕΙΟ ΠΟΛΙΧΝΗΣ</t>
  </si>
  <si>
    <t>mail@15nip-polichn.thess.sch.gr</t>
  </si>
  <si>
    <t>ΤΕΡΜΑ ΑΜΑΞΟΣΤΑΣΙΟΥ ΟΑΣΘ Ν.29</t>
  </si>
  <si>
    <t>4ο ΔΗΜΟΤΙΚΟ ΣΧΟΛΕΙΟ ΩΡΑΙΟΚΑΣΤΡΟΥ</t>
  </si>
  <si>
    <t>mail@4dim-oraiok.thess.sch.gr</t>
  </si>
  <si>
    <t>13ο ΝΗΠΙΑΓΩΓΕΙΟ ΕΛΕΥΘΕΡΙΟΥ-ΚΟΡΔΕΛΙΟΥ</t>
  </si>
  <si>
    <t>mail@13nip-el-kordel.thess.sch.gr</t>
  </si>
  <si>
    <t>Μ.ΑΛΕΞΑΝΔΡΟΥ 37</t>
  </si>
  <si>
    <t>6ο ΝΗΠΙΑΓΩΓΕΙΟ ΕΥΚΑΡΠΙΑΣ</t>
  </si>
  <si>
    <t>mail@6nip-efkarp.thess.sch.gr</t>
  </si>
  <si>
    <t>Γ.ΣΕΦΕΡΗ 2</t>
  </si>
  <si>
    <t>6ο ΝΗΠΙΑΓΩΓΕΙΟ ΠΕΥΚΩΝ</t>
  </si>
  <si>
    <t>mail@6nip-pefkon.thess.sch.gr</t>
  </si>
  <si>
    <t>ΚΡΥΣΤΑΛΛΗ 4</t>
  </si>
  <si>
    <t>mail@4dim-pefkon.thess.sch.gr</t>
  </si>
  <si>
    <t>ΠΕΥΚΑ ΘΕΣ/ΝΙΚΗΣ</t>
  </si>
  <si>
    <t>2ο ΔΗΜΟΤΙΚΟ ΣΧΟΛΕΙΟ ΠΑΛΑΙΟΚΑΣΤΡΟΥ</t>
  </si>
  <si>
    <t>mail@2dim-palaiok.thess.sch.gr</t>
  </si>
  <si>
    <t>mail@4dim-efkarp.thess.sch.gr</t>
  </si>
  <si>
    <t>N. ΠΛΑΣΤΗΡΑ  2</t>
  </si>
  <si>
    <t>mail@3dim-diavat.thess.sch.gr</t>
  </si>
  <si>
    <t>Διαβατά</t>
  </si>
  <si>
    <t>Κανάρη  1</t>
  </si>
  <si>
    <t>2ο ΝΗΠΙΑΓΩΓΕΙΟ ΑΝΑΤΟΛΙΚΟΥ</t>
  </si>
  <si>
    <t>mail@2nip-anatol.thess.sch.gr</t>
  </si>
  <si>
    <t>2ο ΝΗΠΙΑΓΩΓΕΙΟ ΒΑΘΥΛΑΚΟΥ</t>
  </si>
  <si>
    <t>mail@2nip-vathyl.thess.sch.gr</t>
  </si>
  <si>
    <t>2ο ΝΗΠΙΑΓΩΓΕΙΟ ΠΕΝΤΑΛΟΦΟΥ</t>
  </si>
  <si>
    <t>mail@2nip-pental.thess.sch.gr</t>
  </si>
  <si>
    <t>ΕΙΔΙΚΟ ΔΗΜΟΤΙΚΟ ΣΧΟΛΕΙΟ ΣΤΗΝ ΠΑΙΔΙΑΤΡΙΚΗ ΤΟΥ ΝΟΣΟΚΟΜΕΙΟΥ ΠΑΠΑΓΕΩΡΓΙΟΥ</t>
  </si>
  <si>
    <t>mail@dim-eid-papag.thess.sch.gr</t>
  </si>
  <si>
    <t>2ο ΝΗΠΙΑΓΩΓΕΙΟ ΛΗΤΗΣ</t>
  </si>
  <si>
    <t>mail@2nip-litis.thess.sch.gr</t>
  </si>
  <si>
    <t>ΑΓ. ΑΘΑΝΑΣΙΟΥ 15</t>
  </si>
  <si>
    <t>2ο ΝΗΠΙΑΓΩΓΕΙΟ ΜΕΛΙΣΣΟΧΩΡΙΟΥ</t>
  </si>
  <si>
    <t>mail@2nip-meliss.thess.sch.gr</t>
  </si>
  <si>
    <t>ΠΑΛΑΙΟ ΓΗΠΕΔΟ ΜΠΑΣΚΕΤ</t>
  </si>
  <si>
    <t>25ο ΔΗΜΟΤΙΚΟ ΣΧΟΛΕΙΟ ΕΥΟΣΜΟΥ</t>
  </si>
  <si>
    <t>mail@25dim-evosm.thess.sch.gr</t>
  </si>
  <si>
    <t>ΑΝΩΘΕΝ ΠΕΡΙΦΕΡΕΙΑΚΟΥ</t>
  </si>
  <si>
    <t>31ο ΝΗΠΙΑΓΩΓΕΙΟ ΕΥΟΣΜΟΥ</t>
  </si>
  <si>
    <t>mail@31nip-evosm.thess.sch.gr</t>
  </si>
  <si>
    <t>ΔΗΜΟΚΡΑΤΙΑΣ 19</t>
  </si>
  <si>
    <t>32ο ΝΗΠΙΑΓΩΓΕΙΟ ΕΥΟΣΜΟΥ</t>
  </si>
  <si>
    <t>mail@32nip-evosm.thess.sch.gr</t>
  </si>
  <si>
    <t>ΙΘΑΚΗΣ ΚΑΙ ΑΚΡΙΤΑ</t>
  </si>
  <si>
    <t>5ο ΝΗΠΙΑΓΩΓΕΙΟ ΣΙΝΔΟΥ</t>
  </si>
  <si>
    <t>mail@5nip-sindou.thess.sch.gr</t>
  </si>
  <si>
    <t>ΚΩΣΤΗ ΠΑΛΑΜΑ 8</t>
  </si>
  <si>
    <t>5ο ΔΗΜΟΤΙΚΟ ΣΧΟΛΕΙΟ ΣΤΑΥΡΟΥΠΟΛΗΣ</t>
  </si>
  <si>
    <t>mail@5dim-stavr.thess.sch.gr</t>
  </si>
  <si>
    <t>Α. ΒΕΛΟΥΧΙΩΤΗ ΚΑΙ ΣΑΜΟΥ ΓΩΝΙΑ</t>
  </si>
  <si>
    <t>24ο ΝΗΠΙΑΓΩΓΕΙΟ ΣΤΑΥΡΟΥΠΟΛΗΣ</t>
  </si>
  <si>
    <t>mail@24nip-stavr.thess.sch.gr</t>
  </si>
  <si>
    <t>ΓΕΝΝΑΔΙΟΥ 7 (καινούριο κτίριο) &amp;  ΚΑΖΑΝΤΖΙΔΗ 2 (παράρτημα)</t>
  </si>
  <si>
    <t>5ο ΝΗΠΙΑΓΩΓΕΙΟ ΩΡΑΙΟΚΑΣΤΡΟΥ</t>
  </si>
  <si>
    <t>mail@5nip-oraiok.thess.sch.gr</t>
  </si>
  <si>
    <t>ΕΡΓΑΤΙΚΕΣ ΚΑΤΟΙΚΙΕΣ ΓΑΛΗΝΗΣ</t>
  </si>
  <si>
    <t>1ο ΝΗΠΙΑΓΩΓΕΙΟ  ΝΕΑΠΟΛΗΣ</t>
  </si>
  <si>
    <t>mail@1nip-neapol.thess.sch.gr</t>
  </si>
  <si>
    <t>2ο ΝΗΠΙΑΓΩΓΕΙΟ  ΝΕΑΠΟΛΗΣ</t>
  </si>
  <si>
    <t>mail@2nip-neapol.thess.sch.gr</t>
  </si>
  <si>
    <t>3ο ΝΗΠΙΑΓΩΓΕΙΟ ΝΕΑΠΟΛΗΣ</t>
  </si>
  <si>
    <t>mail@3nip-neapol.thess.sch.gr</t>
  </si>
  <si>
    <t>2ο ΔΗΜΟΤΙΚΟ ΣΧΟΛΕΙΟ  ΝΕΑΠΟΛΗΣ</t>
  </si>
  <si>
    <t>mail@2dim-neapol.thess.sch.gr</t>
  </si>
  <si>
    <t>Π. ΚΟΥΝΤΟΥΡΙΩΤΗ  12</t>
  </si>
  <si>
    <t>15ο ΝΗΠΙΑΓΩΓΕΙΟ ΣΥΚΕΩΝ</t>
  </si>
  <si>
    <t>mail@15nip-sykeon.thess.sch.gr</t>
  </si>
  <si>
    <t>Γ.ΠΑΠΑΝΔΡΕΟΥ 2 ΚΑΙ ΚΑΡΟΛΟΥ ΚΟΥΝ ΓΩΝΙΑ</t>
  </si>
  <si>
    <t>16ο ΝΗΠΙΑΓΩΓΕΙΟ ΣΥΚΕΩΝ</t>
  </si>
  <si>
    <t>mail@16nip-sykeon.thess.sch.gr</t>
  </si>
  <si>
    <t>ΚΥΠΡΙΩΝ ΗΡΩΩΝ ΙΣΑΑΚ ΚΑΙ ΣΟΛΟΜΟΥ</t>
  </si>
  <si>
    <t>ΔΗΜΟΤΙΚΟ ΣΧΟΛΕΙΟ ΑΓΙΟΥ ΒΑΣΙΛΕΙΟΥ ΛΑΓΚΑΔΑ</t>
  </si>
  <si>
    <t>mail@dim-ag-vasil.thess.sch.gr</t>
  </si>
  <si>
    <t>ΑΓΙΟΣ ΒΑΣΙΛΕΙΟΣ ΛΑΓΚΑΔΑ</t>
  </si>
  <si>
    <t>2ο ΝΗΠΙΑΓΩΓΕΙΟ ΚΑΒΑΛΑΡΙΟΥ</t>
  </si>
  <si>
    <t>mail@2nip-kavalar.thess.sch.gr</t>
  </si>
  <si>
    <t>5ο ΟΛΟΗΜΕΡΟ ΝΗΠΙΑΓΩΓΕΙΟ ΜΕΝΕΜΕΝΗΣ</t>
  </si>
  <si>
    <t>ΔΗΜΟΤΙΚΟ ΣΧΟΛΕΙΟ ΚΡΥΟΝΕΡΙΟΥ ΛΑΓΚΑΔΑ ΘΕΣΣΑΛΟΝΙΚΗΣ</t>
  </si>
  <si>
    <t>mail@dim-kryon.thess.sch.gr</t>
  </si>
  <si>
    <t>6ο ΔΗΜΟΤΙΚΟ ΣΧΟΛΕΙΟ ΩΡΑΙΟΚΑΣΤΡΟΥ</t>
  </si>
  <si>
    <t>mail@5dim-oraiok.thess.sch.gr</t>
  </si>
  <si>
    <t>ΕΙΔΙΚΟ ΔΗΜΟΤΙΚΟ ΣΧΟΛΕΙΟ ΑΓΙΟΥ ΑΘΑΝΑΣΙΟΥ</t>
  </si>
  <si>
    <t>mail@dim-eid-ag-athan.thess.sch.gr</t>
  </si>
  <si>
    <t>Ο.Τ. Γ΄ 161, ΑΓΙΟΣ ΑΘΑΝΑΣΙΟΣ</t>
  </si>
  <si>
    <t>2ο ΔΗΜΟΤΙΚΟ ΣΧΟΛΕΙΟ ΝΕΑΣ ΜΑΓΝΗΣΙΑΣ</t>
  </si>
  <si>
    <t>mail@2dim-n-magn.thess.sch.gr</t>
  </si>
  <si>
    <t>ΗΡΟΔΟΤΟΥ</t>
  </si>
  <si>
    <t>4ο ΔΗΜΟΤΙΚΟ ΣΧΟΛΕΙΟ ΣΙΝΔΟΥ</t>
  </si>
  <si>
    <t>7ο ΝΗΠΙΑΓΩΓΕΙΟ ΔΙΑΒΑΤΩΝ</t>
  </si>
  <si>
    <t>3ο ΝΗΠΙΑΓΩΓΕΙΟ ΚΥΜΙΝΩΝ</t>
  </si>
  <si>
    <t>3ο ΝΗΠΙΑΓΩΓΕΙΟ ΝΕΑΣ ΜΑΓΝΗΣΙΑΣ</t>
  </si>
  <si>
    <t>Ν.ΜΑΓΝΗΣΙΑΣ</t>
  </si>
  <si>
    <t>ΟΛΟΗΜΕΡΟ ΔΗΜΟΤΙΚΟ ΣΧΟΛΕΙΟ ΑΚΡΟΠΟΤΑΜΟΥ</t>
  </si>
  <si>
    <t>mail@dim-akrop.thess.sch.gr</t>
  </si>
  <si>
    <t>6ο ΝΗΠΙΑΓΩΓΕΙΟ ΔΙΑΒΑΤΩΝ</t>
  </si>
  <si>
    <t>mail@6nip-diavat.thess.sch.gr</t>
  </si>
  <si>
    <t>ΠΑΝΑΓΟΥΛΗ ΜΕ ΤΑΣΣΩΝΑ-ΠΕΤΡΑΚΗ ΓΩΝΙΑ</t>
  </si>
  <si>
    <t>ΞΗΡΟΧΩΡΙΟΥ</t>
  </si>
  <si>
    <t>ΝΗΠΙΑΓΩΓΕΙΟ  ΞΗΡΟΧΩΡΙΟΥ</t>
  </si>
  <si>
    <t>mail@nip-xiroh.thess.sch.gr</t>
  </si>
  <si>
    <t>ΞΗΡΟΧΩΡΙ</t>
  </si>
  <si>
    <t>6ο ΝΗΠΙΑΓΩΓΕΊΟ ΩΡΑΙΟΚΑΣΤΡΟΥ</t>
  </si>
  <si>
    <t>mail@6nip-oraiok.thess.sch.gr</t>
  </si>
  <si>
    <t>ΚΑΒΑΣΙΤΟΥ-ΒΕΝΙΖΕΛΟΥ</t>
  </si>
  <si>
    <t>6ο ΝΗΠΙΑΓΩΓΕΙΟ ΜΕΝΕΜΕΝΗΣ</t>
  </si>
  <si>
    <t>mail@6nip-menem.thess.sch.gr</t>
  </si>
  <si>
    <t>ΚΑΖΑΝΤΖΑΚΗ 2 - ΓΛΗΝΟΥ 1</t>
  </si>
  <si>
    <t>7ο ΟΛΟΗΜΕΡΟ ΝΗΠΙΑΓΩΓΕΙΟ ΕΥΚΑΡΠΙΑΣ</t>
  </si>
  <si>
    <t>13ο ΝΗΠΙΑΓΩΓΕΙΟ ΝΕΑΠΟΛΗΣ</t>
  </si>
  <si>
    <t>mail@13nip-neapol.thess.sch.gr</t>
  </si>
  <si>
    <t>ΑΘΑΝΑΣΙΟΥ ΔΙΑΚΟΥ 49  KAI ΚΕΣΣΑΝΗΣ ΓΩΝΙΑ</t>
  </si>
  <si>
    <t>16ο ΟΛΟΗΜΕΡΟ ΝΗΠΙΑΓΩΓΕΙΟ ΠΟΛΙΧΝΗΣ</t>
  </si>
  <si>
    <t>17ο ΟΛΟΗΜΕΡΟ ΝΗΠΙΑΓΩΓΕΙΟ ΠΟΛΙΧΝΗΣ</t>
  </si>
  <si>
    <t>10ο ΝΗΠΙΑΓΩΓΕΙΟ ΠΟΛΙΧΝΗΣ</t>
  </si>
  <si>
    <t>33ο ΝΗΠΙΑΓΩΓΕΙΟ ΕΥΟΣΜΟΥ</t>
  </si>
  <si>
    <t>mail@33nip-evosm.thess.sch.gr</t>
  </si>
  <si>
    <t>K. ΔΙΟΛΕΤΖΗ 8</t>
  </si>
  <si>
    <t>2ο ΝΗΠΙΑΓΩΓΕΙΟ ΑΔΕΝΔΡΟΥ</t>
  </si>
  <si>
    <t>ΚΟΡΑΗ  1</t>
  </si>
  <si>
    <t>7ο ΝΗΠΙΑΓΩΓΕΙΟ ΠΕΥΚΩΝ</t>
  </si>
  <si>
    <t>5ο ΔΗΜΟΤΙΚΟ ΣΧΟΛΕΙΟ ΕΥΚΑΡΠΙΑΣ</t>
  </si>
  <si>
    <t>10ο ΔΗΜΟΤΙΚΟ ΣΧΟΛΕΙΟ ΣΤΑΥΡΟΥΠΟΛΗ</t>
  </si>
  <si>
    <t>ΕΙΔΙΚΟ ΔΗΜΟΤΙΚΟ ΣΧΟΛΕΙΟ ΛΑΓΚΑΔΑ</t>
  </si>
  <si>
    <t>mail@dim-eid-lagkad.thess.sch.gr</t>
  </si>
  <si>
    <t>ΛΟΦΙΣΚΟΣ</t>
  </si>
  <si>
    <t>ΕΙΔΙΚΟ ΝΗΠΙΑΓΩΓΕΙΟ ΑΓΙΟΥ ΑΘΑΝΑΣΙΟΥ</t>
  </si>
  <si>
    <t>mail@nip-eid-ag-athan.thess.sch.gr</t>
  </si>
  <si>
    <t>Ο.Τ. Γ΄ 161 ΑΓΙΟΣ ΑΘΑΝΑΣΙΟΣ ΘΕΣΣΑΛΟΝΙΚΗΣ,</t>
  </si>
  <si>
    <t>ΕΙΔΙΚΟ ΝΗΠΙΑΓΩΓΕΙΟ ΛΑΓΚΑΔΑ</t>
  </si>
  <si>
    <t>mail@nip-eid-lagkad.thess.sch.gr</t>
  </si>
  <si>
    <t>34ο ΝΗΠΙΑΓΩΓΕΙΟ ΕΥΟΣΜΟΥ</t>
  </si>
  <si>
    <t>mail@34nip-evosm.thess.sch.gr</t>
  </si>
  <si>
    <t>ΕΥΟΣΜΟΣ- ΘΕΣΣΑΛΟΝΙΚΗ</t>
  </si>
  <si>
    <t>ΛΟΥΚΙΑΝΟΥ 27</t>
  </si>
  <si>
    <t>35ο ΝΗΠΙΑΓΩΓΕΙΟ ΕΥΟΣΜΟΥ</t>
  </si>
  <si>
    <t>36ο ΝΗΠΙΑΓΩΓΕΙΟ ΕΥΟΣΜΟΥ</t>
  </si>
  <si>
    <t>14ο ΝΗΠΙΑΓΩΓΕΙΟ ΕΛΕΥΘΕΡΙΟΥ-ΚΟΡΔΕΛΙΟΥ</t>
  </si>
  <si>
    <t>25ο ΝΗΠΙΑΓΩΓΕΙΟ ΣΤΑΥΡΟΥΠΟΛΗΣ</t>
  </si>
  <si>
    <t>26ο ΔΗΜΟΤΙΚΟ ΣΧΟΛΕΙΟ ΕΥΟΣΜΟΥ</t>
  </si>
  <si>
    <t>15ο ΔΗΜΟΤΙΚΟ ΣΧΟΛΕΙΟ ΠΟΛΙΧΝΗΣ</t>
  </si>
  <si>
    <t>3ο ΔΗΜΟΤΙΚΟ ΣΧΟΛΕΙΟ ΠΑΛΑΙΟΚΑΣΤΡΟΥ</t>
  </si>
  <si>
    <t>37ο ΝΗΠΙΑΓΩΓΕΙΟ ΕΥΟΣΜΟΥ</t>
  </si>
  <si>
    <t>ΔΙΕΥΘΥΝΣΗ Π.Ε. ΗΜΑΘΙΑΣ</t>
  </si>
  <si>
    <t>ΜΟΝΟΣΠΙΤΩΝ</t>
  </si>
  <si>
    <t>ΝΗΠΙΑΓΩΓΕΙΟ ΜΟΝΟΣΠΙΤΩΝ</t>
  </si>
  <si>
    <t>mail@nip-monosp.ima.sch.gr</t>
  </si>
  <si>
    <t>ΜΟΝΟΣΠΙΤΑ</t>
  </si>
  <si>
    <t>9ο ΝΗΠΙΑΓΩΓΕΙΟ ΒΕΡΟΙΑΣ</t>
  </si>
  <si>
    <t>mail@9nip-veroias.ima.sch.gr</t>
  </si>
  <si>
    <t>ΠΡΟΥΣΣΗΣ 9</t>
  </si>
  <si>
    <t>5ο ΝΗΠΙΑΓΩΓΕΙΟ ΝΑΟΥΣΑΣ</t>
  </si>
  <si>
    <t>mail@5nip-naous.ima.sch.gr</t>
  </si>
  <si>
    <t>ΑΡΓΥΡΟΥΠΟΛΕΩΣ 7</t>
  </si>
  <si>
    <t>ΑΣΩΜΑΤΑ</t>
  </si>
  <si>
    <t>ΝΗΠΙΑΓΩΓΕΙΟ ΑΣΩΜΑΤΩΝ</t>
  </si>
  <si>
    <t>mail@nip-asomat.ima.sch.gr</t>
  </si>
  <si>
    <t>mail@1dim-naous.ima.sch.gr</t>
  </si>
  <si>
    <t>ΒΕΝΙΖΕΛΟΥ 3</t>
  </si>
  <si>
    <t>3ο ΝΗΠΙΑΓΩΓΕΙΟ ΒΕΡΟΙΑΣ</t>
  </si>
  <si>
    <t>mail@3nip-veroias.ima.sch.gr</t>
  </si>
  <si>
    <t>16ης Οκτωβρίου 5</t>
  </si>
  <si>
    <t>7ο ΝΗΠΙΑΓΩΓΕΙΟ ΝΑΟΥΣΑΣ</t>
  </si>
  <si>
    <t>mail@7nip-naous.ima.sch.gr</t>
  </si>
  <si>
    <t>ΕΙΔΙΚΟ ΔΗΜΟΤΙΚΟ ΣΧΟΛΕΙΟ ΒΕΡΟΙΑΣ</t>
  </si>
  <si>
    <t>mail@dim-eid-veroias.ima.sch.gr</t>
  </si>
  <si>
    <t>ΗΜΑΘΙΩΝΟΣ 2</t>
  </si>
  <si>
    <t>9ο ΝΗΠΙΑΓΩΓΕΙΟ ΝΑΟΥΣΑΣ</t>
  </si>
  <si>
    <t>mail@9nip-naous.ima.sch.gr</t>
  </si>
  <si>
    <t>ΘΑΛΕΙΑΣ ΣΑΜΑΡΑ 6</t>
  </si>
  <si>
    <t>ΜΑΡΙΝΗΣ</t>
  </si>
  <si>
    <t>ΝΗΠΙΑΓΩΓΕΙΟ ΜΑΡΙΝΑΣ</t>
  </si>
  <si>
    <t>mail@nip-marin.ima.sch.gr</t>
  </si>
  <si>
    <t>ΜΑΡΙΝΑΣ</t>
  </si>
  <si>
    <t>ΜΑΡΙΝΑ</t>
  </si>
  <si>
    <t>9ο ΔΗΜΟΤΙΚΟ ΣΧΟΛΕΙΟ ΝΑΟΥΣΑΣ - ΘΑΛΕΙΑ ΣΑΜΑΡΑ</t>
  </si>
  <si>
    <t>9dimnaou@sch.gr</t>
  </si>
  <si>
    <t>Θ.ΣΑΜΑΡΑ 6</t>
  </si>
  <si>
    <t>7ο ΝΗΠΙΑΓΩΓΕΙΟ ΒΕΡΟΙΑΣ</t>
  </si>
  <si>
    <t>mail@7nip-veroias.ima.sch.gr</t>
  </si>
  <si>
    <t>ΛΥΣΙΟΥ 1</t>
  </si>
  <si>
    <t>6ο ΔΗΜΟΤΙΚΟ ΣΧΟΛΕΙΟ ΝΑΟΥΣΑΣ</t>
  </si>
  <si>
    <t>mail@6dim-naous.ima.sch.gr</t>
  </si>
  <si>
    <t>ΠΑΡΟΔΟΣ ΑΡ. ΚΟΚΚΙΝΟΥ 17</t>
  </si>
  <si>
    <t>2ο ΝΗΠΙΑΓΩΓΕΙΟ ΝΑΟΥΣΑΣ</t>
  </si>
  <si>
    <t>mail@2nip-naous.ima.sch.gr</t>
  </si>
  <si>
    <t>ΜΑΛΑΜΟΥ 4</t>
  </si>
  <si>
    <t>ΝΗΠΙΑΓΩΓΕΙΟ ΑΓΓΕΛΟΧΩΡΙΟΥ ΗΜΑΘΙΑΣ</t>
  </si>
  <si>
    <t>mail@nip-angel.ima.sch.gr</t>
  </si>
  <si>
    <t>ΛΕΩΦΟΡΟΣ ΕΙΡΗΝΗΣ 373</t>
  </si>
  <si>
    <t>ΣΤΕΝΗΜΑΧΟΥ</t>
  </si>
  <si>
    <t>ΝΗΠΙΑΓΩΓΕΙΟ ΣΤΕΝΗΜΑΧΟΥ</t>
  </si>
  <si>
    <t>mail@nip-stenim.ima.sch.gr</t>
  </si>
  <si>
    <t>ΣΤΕΝΗΜΑΧΟΣ</t>
  </si>
  <si>
    <t>4ο ΝΗΠΙΑΓΩΓΕΙΟ ΝΑΟΥΣΑΣ - ΣΕΦΕΡΤΖΕΙΟ</t>
  </si>
  <si>
    <t>mail@4nip-naous.ima.sch.gr</t>
  </si>
  <si>
    <t>ΠΛΑΤΕΙΑ ΗΡΩΩΝ ΠΟΛΥΤΕΧΝΕΙΟΥ</t>
  </si>
  <si>
    <t>10ο ΝΗΠΙΑΓΩΓΕΙΟ ΝΑΟΥΣΑ</t>
  </si>
  <si>
    <t>mail@10nip-naous.ima.sch.gr</t>
  </si>
  <si>
    <t>ΣΕΦΕΡΗ 20</t>
  </si>
  <si>
    <t>ΛΥΚΟΓΙΑΝΝΗΣ</t>
  </si>
  <si>
    <t>ΝΗΠΙΑΓΩΓΕΙΟ Ν. ΛΥΚΟΓΙΑΝΝΗΣ</t>
  </si>
  <si>
    <t>mail@nip-n-lykog.ima.sch.gr</t>
  </si>
  <si>
    <t>Ν. ΛΥΚΟΓΙΑΝΝΗΣ</t>
  </si>
  <si>
    <t>Ν. ΛΥΚΟΓΙΑΝΝΗ</t>
  </si>
  <si>
    <t>ΤΡΙΠΟΤΑΜΟΥ</t>
  </si>
  <si>
    <t>ΝΗΠΙΑΓΩΓΕΙΟ ΤΡΙΠΟΤΑΜΟΥ ΗΜΑΘΙΑΣ</t>
  </si>
  <si>
    <t>mail@nip-tripot.ima.sch.gr</t>
  </si>
  <si>
    <t>ΤΡΙΠΟΤΑΜΟΣ</t>
  </si>
  <si>
    <t>ΠΟΛΥΠΛΑΤΑΝΟΥ</t>
  </si>
  <si>
    <t>ΝΗΠΙΑΓΩΓΕΙΟ ΠΟΛΥΠΛΑΤΑΝΟΥ</t>
  </si>
  <si>
    <t>mail@nip-polypl.ima.sch.gr</t>
  </si>
  <si>
    <t>ΑΓΙΟΥ ΧΡΙΣΤΟΦΟΡΟΥ 2</t>
  </si>
  <si>
    <t>ΔΑΣΚΙΟΥ</t>
  </si>
  <si>
    <t>ΝΗΠΙΑΓΩΓΕΙΟ ΔΑΣΚΙΟΥ</t>
  </si>
  <si>
    <t>mail@nip-daskiou.ima.sch.gr</t>
  </si>
  <si>
    <t>ΔΑΣΚΙΟ</t>
  </si>
  <si>
    <t>8ο ΝΗΠΙΑΓΩΓΕΙΟ ΝΑΟΥΣΑΣ</t>
  </si>
  <si>
    <t>mail@8nip-naous.ima.sch.gr</t>
  </si>
  <si>
    <t>ΝΗΠΙΑΓΩΓΕΙΟ ΑΡΧΑΓΓΕΛΟΥ</t>
  </si>
  <si>
    <t>mail@nip-archag.ima.sch.gr</t>
  </si>
  <si>
    <t>ΑΡΧΑΓΓΕΛΟΥ</t>
  </si>
  <si>
    <t>ΝΕΑΣ ΝΙΚΟΜΗΔΕΙΑΣ</t>
  </si>
  <si>
    <t>ΝΗΠΙΑΓΩΓΕΙΟ ΝΕΑΣ ΝΙΚΟΜΗΔΕΙΑΣ</t>
  </si>
  <si>
    <t>mail@nip-n-nikom.ima.sch.gr</t>
  </si>
  <si>
    <t>Ν. ΝΙΚΟΜΗΔΕΙΑ</t>
  </si>
  <si>
    <t>3ο ΝΗΠΙΑΓΩΓΕΙΟ ΝΑΟΥΣΑΣ</t>
  </si>
  <si>
    <t>mail@3nip-naous.ima.sch.gr</t>
  </si>
  <si>
    <t>ΘΑΛΕΙΑΣ  ΣΑΜΑΡΑ 6</t>
  </si>
  <si>
    <t>ΝΗΠΙΑΓΩΓΕΙΟ ΡΑΧΗΣ</t>
  </si>
  <si>
    <t>mail@nip-rachis.ima.sch.gr</t>
  </si>
  <si>
    <t>ΝΗΠΙΑΓΩΓΕΙΟ ΕΠΙΣΚΟΠΗ</t>
  </si>
  <si>
    <t>mail@nip-episk.ima.sch.gr</t>
  </si>
  <si>
    <t>25Η ΜΑΡΤΙΟΥ 7</t>
  </si>
  <si>
    <t>ΡΟΔΟΧΩΡΙΟΥ</t>
  </si>
  <si>
    <t>ΝΗΠΙΑΓΩΓΕΙΟ ΡΟΔΟΧΩΡΙΟΥ</t>
  </si>
  <si>
    <t>mail@nip-rodoch.ima.sch.gr</t>
  </si>
  <si>
    <t>ΡΟΔΟΧΩΡΙ</t>
  </si>
  <si>
    <t>1ο ΝΗΠΙΑΓΩΓΕΙΟ ΝΑΟΥΣΑΣ</t>
  </si>
  <si>
    <t>mail@1nip-naous.ima.sch.gr</t>
  </si>
  <si>
    <t>ΘΑΛΕΙΑ ΣΑΜΑΡΑ 6</t>
  </si>
  <si>
    <t>6ο ΝΗΠΙΑΓΩΓΕΙΟ ΝΑΟΥΣΑΣ</t>
  </si>
  <si>
    <t>mail@6nip-naous.ima.sch.gr</t>
  </si>
  <si>
    <t>ΔΟΒΡΑ</t>
  </si>
  <si>
    <t>ΝΗΠΙΑΓΩΓΕΙΟ ΑΓΙΟΥ ΓΕΩΡΓΙΟΥ-ΒΕΡΟΙΑΣ</t>
  </si>
  <si>
    <t>mail@nip-ag-georg.ima.sch.gr</t>
  </si>
  <si>
    <t>ΕΛΕΥΘΕΡΙΟΥ ΒΕΝΙΖΕΛΟΥ 33</t>
  </si>
  <si>
    <t>17ο ΝΗΠΙΑΓΩΓΕΙΟ ΒΕΡΟΙΑΣ</t>
  </si>
  <si>
    <t>mail@17nip-veroias.ima.sch.gr</t>
  </si>
  <si>
    <t>ΑΡΙΣΤΟΦΑΝΟΥΣ 10</t>
  </si>
  <si>
    <t>1ο ΝΗΠΙΑΓΩΓΕΙΟ ΜΑΚΡΟΧΩΡΙΟΥ</t>
  </si>
  <si>
    <t>mail@1nip-makroch.ima.sch.gr</t>
  </si>
  <si>
    <t>ΚΑΒΑΛΑΣ 1</t>
  </si>
  <si>
    <t>ΝΗΠΙΑΓΩΓΕΙΟ ΠΑΛΑΙΟΥ ΖΕΡΒΟΧΩΡΙΟΥ</t>
  </si>
  <si>
    <t>mail@nip-p-zervoch.ima.sch.gr</t>
  </si>
  <si>
    <t>ΠΑΛΑΙΟΥ ΖΕΡΒΟΧΩΡΙΟΥ</t>
  </si>
  <si>
    <t>ΠΑΛΑΙΟ ΖΕΡΒΟΧΩΡΙ</t>
  </si>
  <si>
    <t>ΓΙΑΝΝΑΚΟΧΩΡΙΟΥ</t>
  </si>
  <si>
    <t>ΝΗΠΙΑΓΩΓΕΙΟ ΓΙΑΝΝΑΚΟΧΩΡΙΟΥ</t>
  </si>
  <si>
    <t>mail@nip-giann.ima.sch.gr</t>
  </si>
  <si>
    <t>ΓΙΑΝΝΑΚΟΧΩΡΙ</t>
  </si>
  <si>
    <t>2/ΘΕΣΙΟ ΝΗΠΙΑΓΩΓΕΙΟ ΚΟΠΑΝΟΥ ΝΑΟΥΣΑΣ</t>
  </si>
  <si>
    <t>mail@1nip-kopan.ima.sch.gr</t>
  </si>
  <si>
    <t>ΠΑΛΑΤΙΤΣΙΩΝ</t>
  </si>
  <si>
    <t>ΝΗΠΙΑΓΩΓΕΙΟ ΠΑΛΑΤΙΤΣΙΩΝ</t>
  </si>
  <si>
    <t>mail@nip-palat.ima.sch.gr</t>
  </si>
  <si>
    <t>ΠΑΛΑΤΙΤΣΙΑ</t>
  </si>
  <si>
    <t>ΛΕΥΚΑΔΙΩΝ</t>
  </si>
  <si>
    <t>ΝΗΠΙΑΓΩΓΕΙΟ ΛΕΥΚΑΔΙΩΝ</t>
  </si>
  <si>
    <t>mail@nip-lefkad.ima.sch.gr</t>
  </si>
  <si>
    <t>ΛΕΥΚΑΔΙΑ</t>
  </si>
  <si>
    <t>ΝΗΠΙΑΓΩΓΕΙΟ ΑΓΙΑΣ ΜΑΡΙΝΑΣ</t>
  </si>
  <si>
    <t>mail@nip-ag-marin.ima.sch.gr</t>
  </si>
  <si>
    <t>ΝΗΠΙΑΓΩΓΕΙΟ ΚΟΥΛΟΥΡΑΣ ΗΜΑΘΙΑΣ</t>
  </si>
  <si>
    <t>nipkoulour@sch.gr</t>
  </si>
  <si>
    <t>ΚΟΥΛΟΥΡΑ</t>
  </si>
  <si>
    <t>ΝΗΠΙΑΓΩΓΕΙΟ ΡΙΖΩΜΑΤΩΝ</t>
  </si>
  <si>
    <t>mail@nip-rizom.ima.sch.gr</t>
  </si>
  <si>
    <t>ΑΓΙΟΥ ΑΘΑΝΑΣΙΟΥ  22</t>
  </si>
  <si>
    <t>ΝΗΠΙΑΓΩΓΕΙΟ ΜΕΣΗΣ</t>
  </si>
  <si>
    <t>mail@nip-mesis.ima.sch.gr</t>
  </si>
  <si>
    <t>ΜΕΣΗΣ</t>
  </si>
  <si>
    <t>ΜΕΣΗ</t>
  </si>
  <si>
    <t>2ο ΝΗΠΙΑΓΩΓΕΙΟ ΒΕΡΟΙΑΣ - ΜΕΛΕΤΕΙΟ</t>
  </si>
  <si>
    <t>mail@2nip-veroias.ima.sch.gr</t>
  </si>
  <si>
    <t>ΑΡΙΣΤΟΤΕΛΟΥΣ 7</t>
  </si>
  <si>
    <t>2ο ΝΗΠΙΑΓΩΓΕΙΟ ΜΑΚΡΟΧΩΡΙΟΥ</t>
  </si>
  <si>
    <t>mail@2nip-makroch.ima.sch.gr</t>
  </si>
  <si>
    <t>ΑΡΙΣΤΟΤΕΛΟΥΣ 41</t>
  </si>
  <si>
    <t>ΧΑΡΙΕΣΣΗΣ</t>
  </si>
  <si>
    <t>ΝΗΠΙΑΓΩΓΕΙΟ ΧΑΡΙΕΣΣΑΣ</t>
  </si>
  <si>
    <t>mail@nip-hariess.ima.sch.gr</t>
  </si>
  <si>
    <t>ΧΑΡΙΕΣΣΑΣ</t>
  </si>
  <si>
    <t>ΧΑΡΙΕΣΣΑ</t>
  </si>
  <si>
    <t>1ο ΝΗΠΙΑΓΩΓΕΙΟ ΒΕΡΟΙΑΣ</t>
  </si>
  <si>
    <t>mail@1nip-veroias.ima.sch.gr</t>
  </si>
  <si>
    <t>ΚΟΝΤΟΓΕΩΡΓΑΚΗ 15</t>
  </si>
  <si>
    <t>12ο ΝΗΠΙΑΓΩΓΕΙΟ ΒΕΡΟΙΑΣ</t>
  </si>
  <si>
    <t>mail@12nip-veroias.ima.sch.gr</t>
  </si>
  <si>
    <t>ΠΙΕΡΙΩΝ 10</t>
  </si>
  <si>
    <t>ΝΗΠΙΑΓΩΓΕΙΟ ΒΕΡΓΙΝΑΣ</t>
  </si>
  <si>
    <t>mail@nip-vergin.ima.sch.gr</t>
  </si>
  <si>
    <t>ΣΦΗΚΙΑΣ</t>
  </si>
  <si>
    <t>ΝΗΠΙΑΓΩΓΕΙΟ ΣΦΗΚΙΑΣ</t>
  </si>
  <si>
    <t>mail@nip-sfikas.ima.sch.gr</t>
  </si>
  <si>
    <t>ΣΦΗΚΙΑ</t>
  </si>
  <si>
    <t>3ο ΝΗΠΙΑΓΩΓΕΙΟ ΜΑΚΡΟΧΩΡΙΟΥ</t>
  </si>
  <si>
    <t>mail@3nip-makroch.ima.sch.gr</t>
  </si>
  <si>
    <t>ΝΗΠΙΑΓΩΓΕΙΟ ΠΛΑΤΑΝΟΥ</t>
  </si>
  <si>
    <t>mail@nip-platan.ima.sch.gr</t>
  </si>
  <si>
    <t>4ο ΝΗΠΙΑΓΩΓΕΙΟ ΒΕΡΟΙΑΣ</t>
  </si>
  <si>
    <t>mail@4nip-veroias.ima.sch.gr</t>
  </si>
  <si>
    <t>ΞΕΝΟΦΩΝΤΟΣ 11</t>
  </si>
  <si>
    <t>5ο ΝΗΠΙΑΓΩΓΕΙΟ ΒΕΡΟΙΑΣ</t>
  </si>
  <si>
    <t>mail@5nip-veroias.ima.sch.gr</t>
  </si>
  <si>
    <t>ΑΚΡΟΠΟΛΕΩΣ 12</t>
  </si>
  <si>
    <t>8ο ΝΗΠΙΑΓΩΓΕΙΟ ΒΕΡΟΙΑΣ</t>
  </si>
  <si>
    <t>mail@8nip-veroias.ima.sch.gr</t>
  </si>
  <si>
    <t>10ο ΝΗΠΙΑΓΩΓΕΙΟ ΒΕΡΟΙΑΣ</t>
  </si>
  <si>
    <t>mail@10nip-veroias.ima.sch.gr</t>
  </si>
  <si>
    <t>ΚΑΠΕΤΑΝ ΚΩΤΤΑ  2</t>
  </si>
  <si>
    <t>ΝΗΠΙΑΓΩΓΕΙΟ ΤΡΙΚΑΛΩΝ</t>
  </si>
  <si>
    <t>mail@nip-trikal.ima.sch.gr</t>
  </si>
  <si>
    <t>ΛΙΑΝΟΒΕΡΓΙΟΥ</t>
  </si>
  <si>
    <t>ΝΗΠΙΑΓΩΓΕΙΟ ΠΑΛΑΙΟΧΩΡΙΟΥ ΗΜΑΘΙΑΣ</t>
  </si>
  <si>
    <t>nippalaioc@sch.gr</t>
  </si>
  <si>
    <t>ΝΗΠΙΑΓΩΓΕΙΟ ΚΛΕΙΔΙΟΥ ΗΜΑΘΙΑΣ</t>
  </si>
  <si>
    <t>mail@nip-kleid.ima.sch.gr</t>
  </si>
  <si>
    <t>ΝΗΠΙΑΓΩΓΕΙΟ ΛΙΑΝΟΒΕΡΓΙΟΥ ΗΜΑΘΙΑΣ</t>
  </si>
  <si>
    <t>mail@nip-lianov.ima.sch.gr</t>
  </si>
  <si>
    <t>ΛΙΑΝΟΒΕΡΓΙ</t>
  </si>
  <si>
    <t>2ο ΝΗΠΙΑΓΩΓΕΙΟ ΠΛΑΤΥ</t>
  </si>
  <si>
    <t>mail@2nip-plateos.ima.sch.gr</t>
  </si>
  <si>
    <t>ΠΛΑΤΥ</t>
  </si>
  <si>
    <t>ΝΗΠΙΑΓΩΓΕΙΟ ΠΑΛΑΙΟΧΩΡΑΣ</t>
  </si>
  <si>
    <t>mail@nip-palaioc.ima.sch.gr</t>
  </si>
  <si>
    <t>ΝΗΠΙΑΓΩΓΕΙΟ ΣΤΑΥΡΟΥ ΗΜΑΘΙΑΣ</t>
  </si>
  <si>
    <t>mail@nip-stavr.ima.sch.gr</t>
  </si>
  <si>
    <t>ΒΑΣ. ΚΩΝΣΤΑΝΤΙΝΟΥ 14,  ΣΤΑΥΡΟΣ</t>
  </si>
  <si>
    <t>ΠΑΤΡΙΔΟΣ</t>
  </si>
  <si>
    <t>ΝΗΠΙΑΓΩΓΕΙΟ ΠΑΤΡΙΔΑΣ</t>
  </si>
  <si>
    <t>mail@nip-patrid.ima.sch.gr</t>
  </si>
  <si>
    <t>ΠΑΤΡΙΔΑΣ</t>
  </si>
  <si>
    <t>ΠΑΤΡΙΔΑ</t>
  </si>
  <si>
    <t>7ο ΝΗΠΙΑΓΩΓΕΙΟ ΑΛΕΞΑΝΔΡΕΙΑΣ</t>
  </si>
  <si>
    <t>mail@7nip-alexandr.ima.sch.gr</t>
  </si>
  <si>
    <t>Α.ΠΑΠΑΓΟΥ 41</t>
  </si>
  <si>
    <t>ΔΙΑΒΑΤΟΥ</t>
  </si>
  <si>
    <t>ΝΗΠΙΑΓΩΓΕΙΟ ΔΙΑΒΑΤΟΥ</t>
  </si>
  <si>
    <t>mail@nip-diavat.ima.sch.gr</t>
  </si>
  <si>
    <t>ΔΙΑΒΑΤΟΣ</t>
  </si>
  <si>
    <t>ΝΗΠΙΑΓΩΓΕΙΟ ΑΓΙΑΣ ΒΑΡΒΑΡΑΣ</t>
  </si>
  <si>
    <t>mail@nip-ag-varvar.ima.sch.gr</t>
  </si>
  <si>
    <t>6ο ΔΗΜΟΤΙΚΟ ΣΧΟΛΕΙΟ ΒΕΡΟΙΑΣ</t>
  </si>
  <si>
    <t>mail@6dim-veroias.ima.sch.gr</t>
  </si>
  <si>
    <t>ΚΑΡΑΤΑΣΟΥ 16</t>
  </si>
  <si>
    <t>6ο ΝΗΠΙΑΓΩΓΕΙΟ ΒΕΡΟΙΑΣ</t>
  </si>
  <si>
    <t>6nipver@sch.gr</t>
  </si>
  <si>
    <t>ΚΑΡΑΤΑΣΟΥ 14</t>
  </si>
  <si>
    <t>mail@3dim-naous.ima.sch.gr</t>
  </si>
  <si>
    <t>ΧΑΤΖΗΚΟΥΡΚΟΥΤΑ 19</t>
  </si>
  <si>
    <t>ΝΗΠΙΑΓΩΓΕΙΟ ΚΟΡΥΦΗΣ</t>
  </si>
  <si>
    <t>mail@nip-koryf.ima.sch.gr</t>
  </si>
  <si>
    <t>ΚΟΡΥΦΗ</t>
  </si>
  <si>
    <t>mail@5dim-veroias.ima.sch.gr</t>
  </si>
  <si>
    <t>mail@10dim-naous.ima.sch.gr</t>
  </si>
  <si>
    <t>Κ. ΒΑΡΝΑΛΗ  27</t>
  </si>
  <si>
    <t>mail@4dim-veroias.ima.sch.gr</t>
  </si>
  <si>
    <t>ΝΗΠΙΑΓΩΓΕΙΟ ΠΡΟΔΡΟΜΟΥ-ΑΓΙΑΣ ΤΡΙΑΔΑΣ</t>
  </si>
  <si>
    <t>mail@nip-p-prodr.ima.sch.gr</t>
  </si>
  <si>
    <t>ΠΑΛΑΙΟΣ ΠΡΟΔΡΟΜΟΣ</t>
  </si>
  <si>
    <t>ΠΡΑΣΙΝΑΔΑΣ</t>
  </si>
  <si>
    <t>ΝΗΠΙΑΓΩΓΕΙΟ ΠΡΑΣΙΝΑΔΑΣ</t>
  </si>
  <si>
    <t>mail@nip-prasin.ima.sch.gr</t>
  </si>
  <si>
    <t>ΠΡΑΣΙΝΑΔΑ</t>
  </si>
  <si>
    <t>ΝΗΣΙΟΥ</t>
  </si>
  <si>
    <t>ΝΗΠΙΑΓΩΓΕΙΟ ΣΧΟΙΝΑ</t>
  </si>
  <si>
    <t>mail@nip-schoina.ima.sch.gr</t>
  </si>
  <si>
    <t>ΣΧΟΙΝΑ</t>
  </si>
  <si>
    <t>ΣΧΟΙΝΑΣ</t>
  </si>
  <si>
    <t>ΞΕΧΑΣΜΕΝΗΣ</t>
  </si>
  <si>
    <t>ΝΗΠΙΑΓΩΓΕΙΟ ΞΕΧΑΣΜΕΝΗΣ</t>
  </si>
  <si>
    <t>mail@nip-xechasm.ima.sch.gr</t>
  </si>
  <si>
    <t>ΞΕΧΑΣΜΕΝΗ</t>
  </si>
  <si>
    <t>ΝΗΠΙΑΓΩΓΕΙΟ ΛΟΥΤΡΟΥ ΗΜΑΘΙΑΣ</t>
  </si>
  <si>
    <t>mail@nip-loutr.ima.sch.gr</t>
  </si>
  <si>
    <t>ΝΗΠΙΑΓΩΓΕΙΟ ΚΑΨΟΧΩΡΑΣ</t>
  </si>
  <si>
    <t>mail@nip-kapsoch.ima.sch.gr</t>
  </si>
  <si>
    <t>ΚΑΨΟΧΩΡΑΣ</t>
  </si>
  <si>
    <t>ΚΑΨΟΧΩΡΑ</t>
  </si>
  <si>
    <t>1ο ΝΗΠΙΑΓΩΓΕΙΟ ΑΛΕΞΑΝΔΡΕΙΑΣ</t>
  </si>
  <si>
    <t>mail@1nip-alexandr.ima.sch.gr</t>
  </si>
  <si>
    <t>ΓΡΗΓΟΡΙΟΥ ΛΑΜΠΡΑΚΗ 49</t>
  </si>
  <si>
    <t>2ο ΝΗΠΙΑΓΩΓΕΙΟ ΑΛΕΞΑΝΔΡΕΙΑΣ</t>
  </si>
  <si>
    <t>mail@2nip-alexandr.ima.sch.gr</t>
  </si>
  <si>
    <t>ΟΙΚΟΝΟΜΟΠΟΥΛΟΥ 5</t>
  </si>
  <si>
    <t>ΝΗΠΙΑΓΩΓΕΙΟ ΝΗΣΕΛΙΟΥ</t>
  </si>
  <si>
    <t>mail@nip-nisel.ima.sch.gr</t>
  </si>
  <si>
    <t>ΝΗΣΕΛΙ</t>
  </si>
  <si>
    <t>6ο ΝΗΠΙΑΓΩΓΕΙΟ ΑΛΕΞΑΝΔΡΕΙΑΣ</t>
  </si>
  <si>
    <t>mail@6nip-alexandr.ima.sch.gr</t>
  </si>
  <si>
    <t>ΜΑΚΕΔΟΝΟΜΑΧΩΝ 12</t>
  </si>
  <si>
    <t>5ο ΝΗΠΙΑΓΩΓΕΙΟ ΑΛΕΞΑΝΔΡΕΙΑΣ</t>
  </si>
  <si>
    <t>mail@5nip-alexandr.ima.sch.gr</t>
  </si>
  <si>
    <t>Γ. ΒΙΖΥΗΝΟΥ 10</t>
  </si>
  <si>
    <t>ΠΑΛΑΙΟΥ ΣΚΥΛΛΙΤΣΙΟΥ</t>
  </si>
  <si>
    <t>ΝΗΠΙΑΓΩΓΕΙΟ ΠΑΛΑΙΟΥ ΣΚΥΛΙΤΣΙΟΥ</t>
  </si>
  <si>
    <t>mail@nip-p-skylits.ima.sch.gr</t>
  </si>
  <si>
    <t>ΠΑΛΑΙΟΥ ΣΚΥΛΙΤΣΙΟΥ</t>
  </si>
  <si>
    <t>ΠΑΛΑΙΟ ΣΚΥΛΙΤΣΙ</t>
  </si>
  <si>
    <t>ΝΗΠΙΑΓΩΓΕΙΟ ΝΗΣΙΟΥ</t>
  </si>
  <si>
    <t>mail@nip-nisiou.ima.sch.gr</t>
  </si>
  <si>
    <t>ΝΗΣΙ</t>
  </si>
  <si>
    <t>ΑΡΑΧΟΥ</t>
  </si>
  <si>
    <t>ΝΗΠΙΑΓΩΓΕΙΟ ΑΡΑΧΟΥ</t>
  </si>
  <si>
    <t>mail@nip-arach.ima.sch.gr</t>
  </si>
  <si>
    <t>ΑΡΑΧΟΣ</t>
  </si>
  <si>
    <t>ΕΙΔΙΚΟ ΔΗΜΟΤΙΚΟ ΣΧΟΛΕΙΟ ΝΑΟΥΣΑΣ</t>
  </si>
  <si>
    <t>mail@dim-eid-naous.ima.sch.gr</t>
  </si>
  <si>
    <t>ΑΓΙΟΥ ΝΙΚΟΛΑΟΥ 3</t>
  </si>
  <si>
    <t>ΔΗΜΟΤΙΚΟ ΣΧΟΛΕΙΟ ΑΝΩ ΚΑΙ ΠΑΛΑΙΟΥ ΖΕΡΒΟΧΩΡΙΟΥ</t>
  </si>
  <si>
    <t>mail@dim-an-p-zervoch.ima.sch.gr</t>
  </si>
  <si>
    <t>ΑΝΩ ΖΕΡΒΟΧΩΡΙ</t>
  </si>
  <si>
    <t>ΔΗΜΟΤΙΚΟ ΣΧΟΛΕΙΟ ΣΤΕΝΗΜΑΧΟΥ</t>
  </si>
  <si>
    <t>mail@dim-stenim.ima.sch.gr</t>
  </si>
  <si>
    <t>mail@3dim-makroch.ima.sch.gr</t>
  </si>
  <si>
    <t>4ο ΔΗΜΟΤΙΚΟ ΣΧΟΛΕΙΟ ΝΑΟΥΣΑΣ</t>
  </si>
  <si>
    <t>mail@4dim-naous.ima.sch.gr</t>
  </si>
  <si>
    <t>4ο ΝΗΠΙΑΓΩΓΕΙΟ ΑΛΕΞΑΝΔΡΕΙΑΣ</t>
  </si>
  <si>
    <t>mail@4nip-alexandr.ima.sch.gr</t>
  </si>
  <si>
    <t>ΠΑΝΑΓΗ ΤΣΑΛΔΑΡΗ 45</t>
  </si>
  <si>
    <t>ΔΗΜΟΤΙΚΟ ΣΧΟΛΕΙΟ ΜΟΝΟΣΠΙΤΩΝ - ΧΑΡΙΕΣΣΑΣ</t>
  </si>
  <si>
    <t>mail@dim-monosp.ima.sch.gr</t>
  </si>
  <si>
    <t>ΜΟΝΟΣΠΙΤΩΝ - ΧΑΡΙΕΣΣΑΣ</t>
  </si>
  <si>
    <t>1ο ΝΗΠΙΑΓΩΓΕΙΟ ΠΛΑΤΕΟΣ</t>
  </si>
  <si>
    <t>mail@nip-plateos.ima.sch.gr</t>
  </si>
  <si>
    <t>ΑΓΚΑΘΙΑΣ</t>
  </si>
  <si>
    <t>ΝΗΠΙΑΓΩΓΕΙΟ ΑΓΚΑΘΙΑΣ</t>
  </si>
  <si>
    <t>mail@nip-agath.ima.sch.gr</t>
  </si>
  <si>
    <t>ΑΓΚΑΘΙΑ</t>
  </si>
  <si>
    <t>ΝΗΠΙΑΓΩΓΕΙΟ ΚΕΦΑΛΟΧΩΡΙΟΥ</t>
  </si>
  <si>
    <t>mail@nip-kefal.ima.sch.gr</t>
  </si>
  <si>
    <t>ΚΑΜΠΟΧΩΡΙΟΥ</t>
  </si>
  <si>
    <t>ΝΗΠΙΑΓΩΓΕΙΟ ΚΑΜΠΟΧΩΡΙΟΥ</t>
  </si>
  <si>
    <t>mail@nip-kampoch.ima.sch.gr</t>
  </si>
  <si>
    <t>ΚΑΜΠΟΧΩΡΙ</t>
  </si>
  <si>
    <t>ΒΡΥΣΑΚΙΟΥ</t>
  </si>
  <si>
    <t>ΝΗΠΙΑΓΩΓΕΙΟ ΒΡΥΣΑΚΙΟΥ</t>
  </si>
  <si>
    <t>mail@nip-vrysak.ima.sch.gr</t>
  </si>
  <si>
    <t>ΒΡΥΣΑΚΙ</t>
  </si>
  <si>
    <t>ΝΗΠΙΑΓΩΓΕΙΟ ΚΑΒΑΣΙΛΗΣ</t>
  </si>
  <si>
    <t>mail@nip-kavas.ima.sch.gr</t>
  </si>
  <si>
    <t>2ο ΝΗΠΙΑΓΩΓΕΙΟ ΜΕΛΙΚΗΣ</t>
  </si>
  <si>
    <t>mail@2nip-melik.ima.sch.gr</t>
  </si>
  <si>
    <t>ΜΕΛΙΚΗ</t>
  </si>
  <si>
    <t>ΠΕΡΙΦΕΡΕΙΑΚΗΣ 4</t>
  </si>
  <si>
    <t>1ο ΝΗΠΙΑΓΩΓΕΙΟ ΜΕΛΙΚΗΣ</t>
  </si>
  <si>
    <t>mail@1nip-melik.ima.sch.gr</t>
  </si>
  <si>
    <t>ΠΑΠΑΦΛΕΣΣΑ 4</t>
  </si>
  <si>
    <t>ΔΗΜΟΤΙΚΟ ΣΧΟΛΕΙΟ ΚΑΒΑΣΙΛΑ ΗΜΑΘΙΑΣ</t>
  </si>
  <si>
    <t>mail@dim-kavas.ima.sch.gr</t>
  </si>
  <si>
    <t>ΔΗΜΟΤΙΚΟ ΣΧΟΛΕΙΟ ΑΓΚΑΘΙΑΣ-ΚΥΨΕΛΗΣ</t>
  </si>
  <si>
    <t>mail@dim-agath.ima.sch.gr</t>
  </si>
  <si>
    <t>1dimver@sch.gr</t>
  </si>
  <si>
    <t>KONTOΓΕΩΡΓΑΚΗ 15</t>
  </si>
  <si>
    <t>ΔΗΜΟΤΙΚΟ ΣΧΟΛΕΙΟ ΛΟΥΤΡΟΥ ΗΜΑΘΙΑΣ</t>
  </si>
  <si>
    <t>mail@dim-loutr.ima.sch.gr</t>
  </si>
  <si>
    <t>3ο ΝΗΠΙΑΓΩΓΕΙΟ ΑΛΕΞΑΝΔΡΕΙΑΣ</t>
  </si>
  <si>
    <t>mail@3nip-alexandr.ima.sch.gr</t>
  </si>
  <si>
    <t>ΘΕΜΙΣΤΟΚΛΗ ΣΟΦΟΥΛΗ 19</t>
  </si>
  <si>
    <t>ΔΗΜΟΤΙΚΟ ΣΧΟΛΕΙΟ ΑΓΙΑΣ ΜΑΡΙΝΑΣ - ΤΡΙΛΟΦΟΥ</t>
  </si>
  <si>
    <t>mail@dim-ag-marin.ima.sch.gr</t>
  </si>
  <si>
    <t>ΑΓΙΑ ΜΑΡΙΝΑ (Βέροια-Ημαθίας)</t>
  </si>
  <si>
    <t>8ο ΔΗΜΟΤΙΚΟ ΣΧΟΛΕΙΟ ΒΕΡΟΙΑΣ</t>
  </si>
  <si>
    <t>mail@8dim-veroias.ima.sch.gr</t>
  </si>
  <si>
    <t>16ο ΔΗΜΟΤΙΚΟ ΣΧΟΛΕΙΟ ΒΕΡΟΙΑΣ</t>
  </si>
  <si>
    <t>mail@16dim-veroias.ima.sch.gr</t>
  </si>
  <si>
    <t>ΔΗΜΟΤΙΚΟ ΣΧΟΛΕΙΟ ΠΟΛΥΠΛΑΤΑΝΟΥ ΑΡΧΑΓΓΕΛΟΥ</t>
  </si>
  <si>
    <t>mail@dim-polypl.ima.sch.gr</t>
  </si>
  <si>
    <t>ΠΟΛΥΠΛΑΤΑΝΟΣ</t>
  </si>
  <si>
    <t>ΝΕΟΚΑΣΤΡΟΥ</t>
  </si>
  <si>
    <t>ΔΗΜΟΤΙΚΟ ΣΧΟΛΕΙΟ ΝΕΟΚΑΣΤΡΟΥ</t>
  </si>
  <si>
    <t>mail@dim-neokastr.ima.sch.gr</t>
  </si>
  <si>
    <t>ΝΕΟΚΑΣΤΡΟ</t>
  </si>
  <si>
    <t>ΔΗΜΟΤΙΚΟ ΣΧΟΛΕΙΟ ΛΕΥΚΑΔΙΩΝ</t>
  </si>
  <si>
    <t>mail@dim-lefkad.ima.sch.gr</t>
  </si>
  <si>
    <t>Λευκάδια</t>
  </si>
  <si>
    <t>ΕΙΔΙΚΟ ΔΗΜΟΤΙΚΟ ΣΧΟΛΕΙΟ  ΑΛΕΞΑΝΔΡΕΙΑΣ</t>
  </si>
  <si>
    <t>mail@dim-eid-alexandr.ima.sch.gr</t>
  </si>
  <si>
    <t>ΕΙΔΙΚΟ ΔΗΜΟΤΙΚΟ ΣΧΟΛΕΙΟ ΑΛΕΞΑΝΔΡΕΙΑΣ</t>
  </si>
  <si>
    <t>Ν. ΕΥΑΓΓΕΛΑ 13</t>
  </si>
  <si>
    <t>5ο ΔΗΜΟΤΙΚΟ ΣΧΟΛΕΙΟ ΝΑΟΥΣΑΣ</t>
  </si>
  <si>
    <t>mail@5dim-naous.ima.sch.gr</t>
  </si>
  <si>
    <t>mail@7dim-veroias.ima.sch.gr</t>
  </si>
  <si>
    <t>ΔΗΜΟΤΙΚΟ ΣΧΟΛΕΙΟ ΡΟΔΟΧΩΡΙΟΥ</t>
  </si>
  <si>
    <t>mail@dim-rodoch.ima.sch.gr</t>
  </si>
  <si>
    <t>ΔΗΜΟΤΙΚΟ ΣΧΟΛΕΙΟ ΝΗΣΙ-ΗΜΑΘΙΑΣ</t>
  </si>
  <si>
    <t>mail@dim-nisiou.ima.sch.gr</t>
  </si>
  <si>
    <t>ΝΗΣΙ-ΗΜΑΘΙΑΣ</t>
  </si>
  <si>
    <t>2ο ΔΗΜΟΤΙΚΟ ΣΧΟΛΕΙΟ ΑΛΕΞΑΝΔΡΕΙΑΣ</t>
  </si>
  <si>
    <t>mail@2dim-alexandr.ima.sch.gr</t>
  </si>
  <si>
    <t>25ης ΜΑΡΤΙΟΥ 45</t>
  </si>
  <si>
    <t>mail@4dim-alexandr.ima.sch.gr</t>
  </si>
  <si>
    <t>ΕΛ.ΒΕΝΙΖΕΛΟΥ 7</t>
  </si>
  <si>
    <t>ΔΗΜΟΤΙΚΟ ΣΧΟΛΕΙΟ ΚΟΡΥΦΗΣ ΗΜΑΘΙΑΣ</t>
  </si>
  <si>
    <t>mail@dim-koryf.ima.sch.gr</t>
  </si>
  <si>
    <t>6ο ΔΗΜΟΤΙΚΟ ΣΧΟΛΕΙΟ ΑΛΕΞΑΝΔΡΕΙΑΣ</t>
  </si>
  <si>
    <t>mail@6dim-alexandr.ima.sch.gr</t>
  </si>
  <si>
    <t>ΕΙΚΟΣΤΗΣ ΠΕΜΠΤΗΣ ΜΑΡΤΙΟΥ 45</t>
  </si>
  <si>
    <t>ΔΗΜΟΤΙΚΟ ΣΧΟΛΕΙΟ ΛΙΑΝΟΒΕΡΓΙΟΥ-ΑΡΑΧΟΥ - ΛΙΑΝΟΒΕΡΓΙ</t>
  </si>
  <si>
    <t>mail@dim-lianov.ima.sch.gr</t>
  </si>
  <si>
    <t>ΔΗΜΟΤΙΚΟ ΣΧΟΛΕΙΟ ΠΛΑΤΑΝΟΥ - ΠΡΑΣΙΝΑΔΑΣ</t>
  </si>
  <si>
    <t>mail@dim-platan.ima.sch.gr</t>
  </si>
  <si>
    <t>ΔΗΜΟΤΙΚΟ ΣΧΟΛΕΙΟ ΞΕΧΑΣΜΕΝΗΣ - ΚΕΦΑΛΟΧΩΡΙΟΥ</t>
  </si>
  <si>
    <t>mail@dim-ksech.ima.sch.gr</t>
  </si>
  <si>
    <t>Οδός Βασιλίσσης Όλγας, Ξεχασμένη</t>
  </si>
  <si>
    <t>7ο ΔΗΜΟΤΙΚΟ ΣΧΟΛΕΙΟ ΑΛΕΞΑΝΔΡΕΙΑΣ</t>
  </si>
  <si>
    <t>mail@7dim-alexandr.ima.sch.gr</t>
  </si>
  <si>
    <t>ΔΗΜΟΤΙΚΟ ΣΧΟΛΕΙΟ ΚΑΨΟΧΩΡΑΣ-ΝΗΣΕΛΙΟΥ</t>
  </si>
  <si>
    <t>mail@dim-kapsoch.ima.sch.gr</t>
  </si>
  <si>
    <t>2ο ΔΗΜΟΤΙΚΟ ΣΧΟΛΕΙΟ ΜΕΛΙΚΗΣ</t>
  </si>
  <si>
    <t>mail@2dim-melik.ima.sch.gr</t>
  </si>
  <si>
    <t>ΚΕΝΤΡΙΚΗΣ - ΔΑΒΑΚΗ</t>
  </si>
  <si>
    <t>mail@dim-kopan.ima.sch.gr</t>
  </si>
  <si>
    <t>mail@1dim-melik.ima.sch.gr</t>
  </si>
  <si>
    <t>mail@dim-episk.ima.sch.gr</t>
  </si>
  <si>
    <t>ΕΠΙΣΚΟΠΗ ΝΑΟΥΣΑΣ</t>
  </si>
  <si>
    <t>ΕΡΜΟΥ 32</t>
  </si>
  <si>
    <t>mail@dim-angel.ima.sch.gr</t>
  </si>
  <si>
    <t>Λ. ΕΙΡΗΝΗΣ 167</t>
  </si>
  <si>
    <t>9ο ΔΗΜΟΤΙΚΟ ΣΧΟΛΕΙΟ ΒΕΡΟΙΑΣ</t>
  </si>
  <si>
    <t>9dimverima@sch.gr</t>
  </si>
  <si>
    <t>3ο ΔΗΜΟΤΙΚΟ ΣΧΟΛΕΙΟ ΒΕΡΟΙΑΣ</t>
  </si>
  <si>
    <t>mail@3dim-veroias.ima.sch.gr</t>
  </si>
  <si>
    <t>ΑΠΟΣΤΟΛΟΥ ΠΑΥΛΟΥ 1</t>
  </si>
  <si>
    <t>2ο ΔΗΜΟΤΙΚΟ ΣΧΟΛΕΙΟ ΒΕΡΟΙΑΣ - ΜΕΛΕΤΕΙΟ</t>
  </si>
  <si>
    <t>mail@2dim-veroias.ima.sch.gr</t>
  </si>
  <si>
    <t>ΑΡΙΣΤΟΤΕΛΟΥΣ 2Α</t>
  </si>
  <si>
    <t>mail@1dim-alexandr.ima.sch.gr</t>
  </si>
  <si>
    <t>ΝΙΚΟΛΑΟΥ ΕΥΑΓΓΕΛΑ 13</t>
  </si>
  <si>
    <t>mail@5dim-alexandr.ima.sch.gr</t>
  </si>
  <si>
    <t>ΔΗΜΟΤΙΚΟ ΣΧΟΛΕΙΟ ΚΑΜΠΟΧΩΡΙΟΥ - ΒΡΥΣΑΚΙΟΥ</t>
  </si>
  <si>
    <t>mail@dim-vrysak.ima.sch.gr</t>
  </si>
  <si>
    <t>ΚΑΜΠΟΧΩΡΙΟΥ - ΒΡΥΣΑΚΙΟΥ</t>
  </si>
  <si>
    <t>mail@dim-trikal.ima.sch.gr</t>
  </si>
  <si>
    <t>Τρίκαλα Ημαθίας</t>
  </si>
  <si>
    <t>ΔΗΜΟΤΙΚΟ ΣΧΟΛΕΙΟ ΜΑΡΙΝΑΣ-Π.ΝΕΡΩΝ-ΓΙΑΝΝΑΚΟΧΩΡΙΟΥ</t>
  </si>
  <si>
    <t>mail@dim-marin.ima.sch.gr</t>
  </si>
  <si>
    <t>12ο ΔΗΜΟΤΙΚΟ ΣΧΟΛΕΙΟ ΒΕΡΟΙΑΣ</t>
  </si>
  <si>
    <t>mail@12dim-veroias.ima.sch.gr</t>
  </si>
  <si>
    <t>mail@dim-rachis.ima.sch.gr</t>
  </si>
  <si>
    <t>ΡΑΧΗ-ΤΡΙΠΟΤΑΜΟΣ</t>
  </si>
  <si>
    <t>ΡΑΧΗ -ΤΡΙΠΟΤΑΜΟΣ</t>
  </si>
  <si>
    <t>7ο ΔΗΜΟΤΙΚΟ ΣΧΟΛΕΙΟ ΝΑΟΥΣΑΣ</t>
  </si>
  <si>
    <t>mail@7dim-naous.ima.sch.gr</t>
  </si>
  <si>
    <t>mail@10dim-veroias.ima.sch.gr</t>
  </si>
  <si>
    <t>ΡΩΜΑΝΟΥ Δ΄ ΔΙΟΓΕΝΗ 5</t>
  </si>
  <si>
    <t>mail@8dim-naous.ima.sch.gr</t>
  </si>
  <si>
    <t>ΝΗΠΙΑΓΩΓΕΙΟ ΝΕΟΚΑΣΤΡΟΥ</t>
  </si>
  <si>
    <t>mail@nip-neokastr.ima.sch.gr</t>
  </si>
  <si>
    <t>ΔΗΜΟΤΙΚΟ ΣΧΟΛΕΙΟ Ν. ΝΙΚΟΜΗΔΕΙΑΣ - Ν. &amp; Π. ΛΥΚΟΓΙΑΝΝΗΣ - ΛΑΖΟΧΩΡΙΟΥ - ΤΑΓΑΡΟΧΩΡΙΟΥ</t>
  </si>
  <si>
    <t>mail@dim-n-lykog.ima.sch.gr</t>
  </si>
  <si>
    <t>ΝΕΑ ΛΥΚΟΓΙΑΝΝΗ</t>
  </si>
  <si>
    <t>ΔΗΜΟΤΙΚΟ ΣΧΟΛΕΙΟ ΚΟΥΛΟΥΡΑΣ</t>
  </si>
  <si>
    <t>mail@dim-koulour.ima.sch.gr</t>
  </si>
  <si>
    <t>1ο ΔΗΜΟΤΙΚΟ ΣΧΟΛΕΙΟ ΜΑΚΡΟΧΩΡΙΟΥ</t>
  </si>
  <si>
    <t>mail@1dim-makroch.ima.sch.gr</t>
  </si>
  <si>
    <t>ΜΕΓΑΛΟΥ ΑΛΕΞΑΝΔΡΟΥ 9</t>
  </si>
  <si>
    <t>3ο ΔΗΜΟΤΙΚΟ ΣΧΟΛΕΙΟ ΑΛΕΞΑΝΔΡΕΙΑΣ</t>
  </si>
  <si>
    <t>mail@3dim-alexandr.ima.sch.gr</t>
  </si>
  <si>
    <t>ΔΗΜΟΤΙΚΟ ΣΧΟΛΕΙΟ ΚΛΕΙΔΙΟΥ</t>
  </si>
  <si>
    <t>mail@dim-kleid.ima.sch.gr</t>
  </si>
  <si>
    <t>ΚΛΕΙΔΙ ΗΜΑΘΙΑΣ</t>
  </si>
  <si>
    <t>ΔΗΜΟΤΙΚΟ ΣΧΟΛΕΙΟ ΔΙΑΒΑΤΟΥ - ΜΕΣΗΣ</t>
  </si>
  <si>
    <t>mail@dim-diavat.ima.sch.gr</t>
  </si>
  <si>
    <t>2ο ΔΗΜΟΤΙΚΟ ΣΧΟΛΕΙΟ ΜΑΚΡΟΧΩΡΙΟΥ</t>
  </si>
  <si>
    <t>mail@2dim-makroch.ima.sch.gr</t>
  </si>
  <si>
    <t>28ης ΟΚΤΩΒΡΙΟΥ</t>
  </si>
  <si>
    <t>ΔΗΜΟΤΙΚΟ ΣΧΟΛΕΙΟ ΑΓΙΑΣ ΒΑΡΒΑΡΑΣ</t>
  </si>
  <si>
    <t>mail@dim-ag-varvar.ima.sch.gr</t>
  </si>
  <si>
    <t>ΔΗΜΟΤΙΚΟ ΣΧΟΛΕΙΟ ΠΡΟΔΡΟΜΟΥ-ΑΓ.ΤΡΙΑΔΑΣ</t>
  </si>
  <si>
    <t>mail@dim-prodr.ima.sch.gr</t>
  </si>
  <si>
    <t>Π. ΠΡΟΔΡΟΜΟΣ</t>
  </si>
  <si>
    <t>dimvergin@sch.gr</t>
  </si>
  <si>
    <t>ΒΕΡΓΙΝΑ-ΠΑΛΑΤΙΤΣΙΑ</t>
  </si>
  <si>
    <t>mail@dim-rizom.ima.sch.gr</t>
  </si>
  <si>
    <t>ΡΙΖΩΜΑΤΑ ΗΜΑΘΙΑΣ</t>
  </si>
  <si>
    <t>ΑΓΙΟΥ ΑΘΑΝΑΣΙΟΥ &amp; ΠΑΝΑΓΙΑΣ</t>
  </si>
  <si>
    <t>ΔΗΜΟΤΙΚΟ ΣΧΟΛΕΙΟ ΠΑΤΡΙΔΑΣ ΗΜΑΘΙΑΣ</t>
  </si>
  <si>
    <t>mail@dim-patrid.ima.sch.gr</t>
  </si>
  <si>
    <t>ΔΑΜΙΑΝΟΥ ΔΑΜΙΑΝΙΔΗ 2</t>
  </si>
  <si>
    <t>ΕΙΔΙΚΟ ΝΗΠΙΑΓΩΓΕΙΟ ΑΛΕΞΑΝΔΡΕΙΑΣ</t>
  </si>
  <si>
    <t>mail@nip-eid-alexandr.ima.sch.gr</t>
  </si>
  <si>
    <t>ΕΙΔΙΚΟ ΝΗΠΙΑΓΩΓΕΙΟ ΒΕΡΟΙΑΣ</t>
  </si>
  <si>
    <t>mail@nip-eid-veroias.ima.sch.gr</t>
  </si>
  <si>
    <t>ΕΙΔΙΚΟ ΝΗΠΙΑΓΩΓΕΙΟ ΝΑΟΥΣΑΣ</t>
  </si>
  <si>
    <t>nipneidiko@sch.gr</t>
  </si>
  <si>
    <t>ΕΠΙΣΚΟΠΗΣ</t>
  </si>
  <si>
    <t>ΝΗΠΙΑΓΩΓΕΙΟ ΕΠΙΣΚΟΠΗΣ</t>
  </si>
  <si>
    <t>mail@nip-episkop.ima.sch.gr</t>
  </si>
  <si>
    <t>ΕΠΙΣΚΟΠΗ ΑΛΕΞΑΝΔΡΕΙΑΣ</t>
  </si>
  <si>
    <t>ΝΗΠΙΑΓΩΓΕΙΟ ΝΕΟΧΩΡΙΟΥ</t>
  </si>
  <si>
    <t>mail@nip-neoch.ima.sch.gr</t>
  </si>
  <si>
    <t>ΝΗΠΙΑΓΩΓΕΙΟ ΤΡΙΛΟΦΟΥ</t>
  </si>
  <si>
    <t>mail@nip-trilof.ima.sch.gr</t>
  </si>
  <si>
    <t>ΔΗΜΟΤΙΚΟ ΣΧΟΛΕΙΟ ΑΓΙΟΥ ΓΕΩΡΓΙΟΥ ΗΜΑΘΙΑΣ</t>
  </si>
  <si>
    <t>mail@dim-ag-georg.ima.sch.gr</t>
  </si>
  <si>
    <t>Αγιος Γεώργιος.Ταμπακόπουλου 20.</t>
  </si>
  <si>
    <t>4/Θ ΔΗΜΟΤΙΚΟ ΣΧΟΛΕΙΟ ΝΕΟΧΩΡΙΟΥ-ΣΧΟΙΝΑ</t>
  </si>
  <si>
    <t>mail@dim-neoch.ima.sch.gr</t>
  </si>
  <si>
    <t>mail@dim-plateos.ima.sch.gr</t>
  </si>
  <si>
    <t>ΔΗΜΟΤΙΚΟ ΣΧΟΛΕΙΟ ΣΤΑΥΡΟΥ ΗΜΑΘΙΑΣ</t>
  </si>
  <si>
    <t>mail@dim-stavr.ima.sch.gr</t>
  </si>
  <si>
    <t>Θεσσαλονίκης 25</t>
  </si>
  <si>
    <t>ΔΙΕΥΘΥΝΣΗ Π.Ε. ΚΙΛΚΙΣ</t>
  </si>
  <si>
    <t>ΧΩΡΥΓΙΟΥ</t>
  </si>
  <si>
    <t>ΝΗΠΙΑΓΩΓΕΙΟ ΧΩΡΥΓΙΟΥ</t>
  </si>
  <si>
    <t>mail@nip-choryg.kil.sch.gr</t>
  </si>
  <si>
    <t>ΧΩΡΥΓΙ</t>
  </si>
  <si>
    <t>ΝΗΠΙΑΓΩΓΕΙΟ Σ.Σ. ΜΟΥΡΙΩΝ</t>
  </si>
  <si>
    <t>mail@nip-mourion.kil.sch.gr</t>
  </si>
  <si>
    <t>mail@2dim-goumen.kil.sch.gr</t>
  </si>
  <si>
    <t>ΑΝΑΤΟΛΙΚΗΣ ΡΩΜΥΛΙΑΣ 30</t>
  </si>
  <si>
    <t>ΜΕΓΑΛΗΣ ΒΡΥΣΗΣ</t>
  </si>
  <si>
    <t>ΝΗΠΙΑΓΩΓΕΙΟ ΜΕΓΑΛΗΣ ΒΡΥΣΗΣ ΚΙΛΚΙΣ</t>
  </si>
  <si>
    <t>mail@nip-m-vrysis.kil.sch.gr</t>
  </si>
  <si>
    <t>ΜΕΓΑΛΗΣ  ΒΡΥΣΗΣ</t>
  </si>
  <si>
    <t>ΜΕΓΑΛΗ ΒΡΥΣΗ</t>
  </si>
  <si>
    <t>ΚΡΗΣΤΩΝΗΣ</t>
  </si>
  <si>
    <t>ΝΗΠΙΑΓΩΓΕΙΟ ΚΡΗΣΤΩΝΗΣ</t>
  </si>
  <si>
    <t>mail@nip-krist.kil.sch.gr</t>
  </si>
  <si>
    <t>ΚΡΗΣΤΩΝΗ</t>
  </si>
  <si>
    <t>ΔΗΜΟΤΙΚΟ ΣΧΟΛΕΙΟ ΠΟΝΤΟΗΡΑΚΛΕΙΑΣ</t>
  </si>
  <si>
    <t>mail@dim-pontoir.kil.sch.gr</t>
  </si>
  <si>
    <t>ΠΟΝΤΟΗΡΑΚΛΕΙΑ</t>
  </si>
  <si>
    <t>ΣΤΑΥΡΟΧΩΡΙΟΥ</t>
  </si>
  <si>
    <t>ΝΗΠΙΑΓΩΓΕΙΟ ΣΤΑΥΡΟΧΩΡΙΟΥ</t>
  </si>
  <si>
    <t>mail@nip-stavr.kil.sch.gr</t>
  </si>
  <si>
    <t>ΣΤΑΥΡΟΧΩΡΙ</t>
  </si>
  <si>
    <t>ΝΗΠΙΑΓΩΓΕΙΟ ΕΥΚΑΡΠΙΑΣ ΚΙΛΚΙΣ</t>
  </si>
  <si>
    <t>mail@nip-efkarp.kil.sch.gr</t>
  </si>
  <si>
    <t>ΠΕΔΙΝΟΥ</t>
  </si>
  <si>
    <t>ΝΗΠΙΑΓΩΓΕΙΟ ΠΕΔΙΝΟΥ</t>
  </si>
  <si>
    <t>mail@nip-pedin.kil.sch.gr</t>
  </si>
  <si>
    <t>ΠΕΔΙΝΟ</t>
  </si>
  <si>
    <t>ΝΗΠΙΑΓΩΓΕΙΟ ΝΕΟΥ ΑΓΙΟΝΕΡΙΟΥ</t>
  </si>
  <si>
    <t>mail@nip-n-agion.kil.sch.gr</t>
  </si>
  <si>
    <t>ΠΑΛΑΙΟΥ ΑΓΙΟΝΕΡΙΟΥ</t>
  </si>
  <si>
    <t>ΝΗΠΙΑΓΩΓΕΙΟ ΠΑΛΙΟ ΑΓΙΟΝΕΡΙ</t>
  </si>
  <si>
    <t>mail@nip-p-agion.kil.sch.gr</t>
  </si>
  <si>
    <t>ΠΑΛΙΟ ΑΓΙΟΝΕΡΙ</t>
  </si>
  <si>
    <t>ΝΗΠΙΑΓΩΓΕΙΟ ΚΑΜΠΑΝΗ</t>
  </si>
  <si>
    <t>mail@nip-kampan.kil.sch.gr</t>
  </si>
  <si>
    <t>ΝΗΠΙΑΓΩΓΕΙΟ ΑΓΙΟΣ ΠΕΤΡΟΣ</t>
  </si>
  <si>
    <t>mail@nip-ag-petrou.kil.sch.gr</t>
  </si>
  <si>
    <t>ΑΓΙΟΣ ΠΕΤΡΟΣ</t>
  </si>
  <si>
    <t>ΝΗΠΙΑΓΩΓΕΙΟ ΓΑΛΛΙΚΟΥ</t>
  </si>
  <si>
    <t>mail@nip-gallik.kil.sch.gr</t>
  </si>
  <si>
    <t>ΓΑΛΛΙΚΟΣ</t>
  </si>
  <si>
    <t>ΜΑΝΔΡΩΝ</t>
  </si>
  <si>
    <t>ΝΗΠΙΑΓΩΓΕΙΟ ΜΑΝΔΡΩΝ</t>
  </si>
  <si>
    <t>mail@nip-mandr.kil.sch.gr</t>
  </si>
  <si>
    <t>ΜΑΝΔΡΕΣ</t>
  </si>
  <si>
    <t>ΝΕΑΣ ΣΑΝΤΑΣ</t>
  </si>
  <si>
    <t>ΝΗΠΙΑΓΩΓΕΙΟ ΑΓΙΟΣ ΠΑΝΤΕΛΕΗΜΟΝΑΣ</t>
  </si>
  <si>
    <t>mail@nip-pantel.kil.sch.gr</t>
  </si>
  <si>
    <t>1ο ΝΗΠΙΑΓΩΓΕΙΟ ΑΞΙΟΥΠΟΛΗΣ</t>
  </si>
  <si>
    <t>mail@1nip-axioup.kil.sch.gr</t>
  </si>
  <si>
    <t>ΟΔΟΣ ΣΧΟΛΕΙΩΝ</t>
  </si>
  <si>
    <t>2ο ΝΗΠΙΑΓΩΓΕΙΟ ΑΞΙΟΥΠΟΛΗ</t>
  </si>
  <si>
    <t>mail@2nip-axioup.kil.sch.gr</t>
  </si>
  <si>
    <t>ΟΔΟΣ ΕΥΚΛΕΙΔΗ</t>
  </si>
  <si>
    <t>ΓΟΡΓΟΠΗ</t>
  </si>
  <si>
    <t>ΝΗΠΙΑΓΩΓΕΙΟ ΓΟΡΓΟΠΗΣ</t>
  </si>
  <si>
    <t>mail@nip-gorgop.kil.sch.gr</t>
  </si>
  <si>
    <t>ΑΣΠΡΟΥ</t>
  </si>
  <si>
    <t>ΝΗΠΙΑΓΩΓΕΙΟ ΑΣΠΡΟΥ</t>
  </si>
  <si>
    <t>mail@nip-asprou.kil.sch.gr</t>
  </si>
  <si>
    <t>ΑΣΠΡΟΣ</t>
  </si>
  <si>
    <t>1ο ΝΗΠΙΑΓΩΓΕΙΟ ΓΟΥΜΕΝΙΣΣΑΣ</t>
  </si>
  <si>
    <t>mail@1nip-goumen.kil.sch.gr</t>
  </si>
  <si>
    <t>ΤΕΡΜΑ ΚΑΠΕΤΑΝ ΓΚΟΝΟΥ</t>
  </si>
  <si>
    <t>ΝΗΠΙΑΓΩΓΕΙΟ ΝΕΑΣ ΣΑΝΤΑΣ</t>
  </si>
  <si>
    <t>mail@nip-n-santas.kil.sch.gr</t>
  </si>
  <si>
    <t>ΝΕΑ ΣΑΝΤΑΣ</t>
  </si>
  <si>
    <t>ΝΕΑ ΣΑΝΤΑ</t>
  </si>
  <si>
    <t>ΔΗΜΟΤΙΚΟ ΣΧΟΛΕΙΟ ΓΟΡΓΟΠΗΣ</t>
  </si>
  <si>
    <t>mail@dim-gorgop.kil.sch.gr</t>
  </si>
  <si>
    <t>2ο ΝΗΠΙΑΓΩΓΕΙΟ ΓΟΥΜΕΝΙΣΣΑΣ</t>
  </si>
  <si>
    <t>mail@2nip-goumen.kil.sch.gr</t>
  </si>
  <si>
    <t>ΓΡΙΒΑΣ</t>
  </si>
  <si>
    <t>ΝΗΠΙΑΓΩΓΕΙΟ ΓΡΙΒΑ</t>
  </si>
  <si>
    <t>mail@nip-grivas.kil.sch.gr</t>
  </si>
  <si>
    <t>ΓΡΙΒΑ</t>
  </si>
  <si>
    <t>ΝΗΠΙΑΓΩΓΕΙΟ ΝΕΟ ΓΥΝΑΙΚΟΚΑΣΤΡΟΥ</t>
  </si>
  <si>
    <t>mail@nip-n-gynaik.kil.sch.gr</t>
  </si>
  <si>
    <t>ΝΗΠΙΑΓΩΓΕΙΟ ΕΥΡΩΠΟΥ</t>
  </si>
  <si>
    <t>mail@nip-evrop.kil.sch.gr</t>
  </si>
  <si>
    <t>ΜΑΥΡΟΝΕΡΙΟΥ</t>
  </si>
  <si>
    <t>ΝΗΠΙΑΓΩΓΕΙΟ ΜΑΥΡΟΝΕΡΙΟΥ</t>
  </si>
  <si>
    <t>mail@nip-mavron.kil.sch.gr</t>
  </si>
  <si>
    <t>ΜΑΥΡΟΝΕΡΙ</t>
  </si>
  <si>
    <t>3ο ΝΗΠΙΑΓΩΓΕΙΟ ΠΟΛΥΚΑΣΤΡΟ</t>
  </si>
  <si>
    <t>mail@3nip-polyk.kil.sch.gr</t>
  </si>
  <si>
    <t>ΜΙΚΡΟΚΑΜΠΟΥ</t>
  </si>
  <si>
    <t>ΝΗΠΙΑΓΩΓΕΙΟ ΜΙΚΡΟΚΑΜΠΟΣ</t>
  </si>
  <si>
    <t>mail@nip-mikrok.kil.sch.gr</t>
  </si>
  <si>
    <t>ΜΙΚΡΟΚΑΜΠΟΣ</t>
  </si>
  <si>
    <t>ΕΥΖΩΝΩΝ</t>
  </si>
  <si>
    <t>ΝΗΠΙΑΓΩΓΕΙΟ ΠΛΑΤΑΝΙΑ</t>
  </si>
  <si>
    <t>mail@nip-platan.kil.sch.gr</t>
  </si>
  <si>
    <t>1ο ΝΗΠΙΑΓΩΓΕΙΟ ΠΟΛΥΚΑΣΤΡΟΥ</t>
  </si>
  <si>
    <t>1nippolyk@sch.gr</t>
  </si>
  <si>
    <t>ΑΜΠΕΛIA</t>
  </si>
  <si>
    <t>1ο ΔΗΜΟΤΙΚΟ ΣΧΟΛΕΙΟ ΓΟΥΜΕΝΙΣΣΑΣ</t>
  </si>
  <si>
    <t>mail@1dim-goumen.kil.sch.gr</t>
  </si>
  <si>
    <t>ΚΑΠΕΤΑΝ ΓΚΟΝΟΥ 65</t>
  </si>
  <si>
    <t>2ο ΝΗΠΙΑΓΩΓΕΙΟ ΠΟΛΥΚΑΣΤΡΟΥ</t>
  </si>
  <si>
    <t>mail@2nip-polyk.kil.sch.gr</t>
  </si>
  <si>
    <t>ΔΑΒΑΚΗ 11</t>
  </si>
  <si>
    <t>ΝΗΠΙΑΓΩΓΕΙΟ ΠΟΝΤΟΗΡΑΚΛΕΙΑΣ</t>
  </si>
  <si>
    <t>mail@nip-pontoir.kil.sch.gr</t>
  </si>
  <si>
    <t>10ο ΝΗΠΙΑΓΩΓΕΙΟ ΚΙΛΚΙΣ</t>
  </si>
  <si>
    <t>mail@10nip-kilkis.kil.sch.gr</t>
  </si>
  <si>
    <t>ΠΑΥΛΟΥ ΜΕΛΑ 46</t>
  </si>
  <si>
    <t>ΣΤΑΘΗΣ</t>
  </si>
  <si>
    <t>ΝΗΠΙΑΓΩΓΕΙΟ ΣΤΑΘΗΣ</t>
  </si>
  <si>
    <t>mail@nip-stath.kil.sch.gr</t>
  </si>
  <si>
    <t>ΣΤΑΘΗ</t>
  </si>
  <si>
    <t>ΝΗΠΙΑΓΩΓΕΙΟ ΤΟΥΜΠΑ</t>
  </si>
  <si>
    <t>mail@nip-toump.kil.sch.gr</t>
  </si>
  <si>
    <t>ΤΟΥΜΠΑ</t>
  </si>
  <si>
    <t>mail@dim-n-gynaik.kil.sch.gr</t>
  </si>
  <si>
    <t>mail@1dim-kilkis.kil.sch.gr</t>
  </si>
  <si>
    <t>ΚΑΡΑΟΛΗ - ΔΗΜΗΤΡΙΟΥ 20</t>
  </si>
  <si>
    <t>ΑΝΤ. ΚΟΥΤΗΦΑΡΗ 6</t>
  </si>
  <si>
    <t>mail@dim-n-agion.kil.sch.gr</t>
  </si>
  <si>
    <t>6ο ΔΗΜΟΤΙΚΟ ΣΧΟΛΕΙΟ ΚΙΛΚΙΣ</t>
  </si>
  <si>
    <t>mail@6dim-kilkis.kil.sch.gr</t>
  </si>
  <si>
    <t>ΚΑΡΑΟΛΗ ΔΗΜΗΤΡΙΟΥ 20</t>
  </si>
  <si>
    <t>ΔΗΜΟΤΙΚΟ ΣΧΟΛΕΙΟ ΚΡΗΣΤΩΝΗ</t>
  </si>
  <si>
    <t>mail@dim-krist.kil.sch.gr</t>
  </si>
  <si>
    <t>Κρηστώνη</t>
  </si>
  <si>
    <t>mail@dim-kampan.kil.sch.gr</t>
  </si>
  <si>
    <t>ΔΗΜΟΤΙΚΟ ΣΧΟΛΕΙΟ ΑΣΠΡΟΥ</t>
  </si>
  <si>
    <t>mail@dim-asprou.kil.sch.gr</t>
  </si>
  <si>
    <t>ʼσπρος Παιονιας</t>
  </si>
  <si>
    <t>ΝΗΠΙΑΓΩΓΕΙΟ ΧΕΡΣΟΥ</t>
  </si>
  <si>
    <t>mail@nip-chers.kil.sch.gr</t>
  </si>
  <si>
    <t>mail@dim-evrop.kil.sch.gr</t>
  </si>
  <si>
    <t>ΔΗΜΟΤΙΚΟ ΣΧΟΛΕΙΟ ΜΑΥΡΟΝΕΡΙΟΥ</t>
  </si>
  <si>
    <t>mail@dim-mavron.kil.sch.gr</t>
  </si>
  <si>
    <t>ΕΠΤΑΛΟΦΟΥ</t>
  </si>
  <si>
    <t>ΝΗΠΙΑΓΩΓΕΙΟ ΕΠΤΑΛΟΦΟΣ</t>
  </si>
  <si>
    <t>mail@nip-eptalof.kil.sch.gr</t>
  </si>
  <si>
    <t>ΕΠΤΑΛΟΦΟΣ</t>
  </si>
  <si>
    <t>ΔΟΪΡΑΝΗΣ</t>
  </si>
  <si>
    <t>ΔΡΟΣΑΤΟΥ</t>
  </si>
  <si>
    <t>ΝΗΠΙΑΓΩΓΕΙΟ ΔΡΟΣΑΤΟΥ</t>
  </si>
  <si>
    <t>mail@nip-drosat.kil.sch.gr</t>
  </si>
  <si>
    <t>ΔΡΟΣΑΤΟ</t>
  </si>
  <si>
    <t>1ο ΝΗΠΙΑΓΩΓΕΙΟ ΚΙΛΚΙΣ</t>
  </si>
  <si>
    <t>mail@1nip-kilkis.kil.sch.gr</t>
  </si>
  <si>
    <t>ΜΥΡΙΟΦΥΤΟΥ</t>
  </si>
  <si>
    <t>ΔΗΜΟΤΙΚΟ ΣΧΟΛΕΙΟ ΜΥΡΙΟΦΥΤΟΥ</t>
  </si>
  <si>
    <t>mail@dim-myriof.kil.sch.gr</t>
  </si>
  <si>
    <t>ΜΥΡΙΟΦΥΤΟ</t>
  </si>
  <si>
    <t>mail@dim-m-vrysis.kil.sch.gr</t>
  </si>
  <si>
    <t>7ο ΝΗΠΙΑΓΩΓΕΙΟ ΚΙΛΚΙΣ</t>
  </si>
  <si>
    <t>mail@7nip-kilkis.kil.sch.gr</t>
  </si>
  <si>
    <t>mail@dim-platan.kil.sch.gr</t>
  </si>
  <si>
    <t>mail@1dim-polyk.kil.sch.gr</t>
  </si>
  <si>
    <t>Πολύκαστρο</t>
  </si>
  <si>
    <t>5ο ΔΗΜΟΤΙΚΟ ΣΧΟΛΕΙΟ ΚΙΛΚΙΣ</t>
  </si>
  <si>
    <t>mail@5dim-kilkis.kil.sch.gr</t>
  </si>
  <si>
    <t>ΠΕΡΙΚΛΕΟΥΣ ΤΕΡΜΑ</t>
  </si>
  <si>
    <t>ΔΗΜΟΤΙΚΟ ΣΧΟΛΕΙΟ ΠΑΛΑΙΟΥ ΑΓΙΟΝΕΡΙΟΥ ΚΙΛΚΙΣ</t>
  </si>
  <si>
    <t>mail@dim-p-agion.kil.sch.gr</t>
  </si>
  <si>
    <t>ΠΑΛΑΙΟ ΑΓΙΟΝΕΡΙ ΚΙΛΚΙΣ</t>
  </si>
  <si>
    <t>9ο ΝΗΠΙΑΓΩΓΕΙΟ ΚΙΛΚΙΣ</t>
  </si>
  <si>
    <t>mail@9nip-kilkis.kil.sch.gr</t>
  </si>
  <si>
    <t>Μ. ΑΛΕΞΑΝΔΡΟΥ 26</t>
  </si>
  <si>
    <t>ΔΗΜΟΤΙΚΟ ΣΧΟΛΕΙΟ ΜΙΚΡΟΚΑΜΠΟΣ</t>
  </si>
  <si>
    <t>mail@dim-mikrok.kil.sch.gr</t>
  </si>
  <si>
    <t>ΔΗΜΟΤΙΚΟ ΣΧΟΛΕΙΟ ΓΑΛΛΙΚΟΥ</t>
  </si>
  <si>
    <t>mail@dim-gallik.kil.sch.gr</t>
  </si>
  <si>
    <t>mail@4dim-kilkis.kil.sch.gr</t>
  </si>
  <si>
    <t>Γ. ΚΑΠΕΤΑ 41</t>
  </si>
  <si>
    <t>ΔΗΜΟΤΙΚΟ ΣΧΟΛΕΙΟ ΠΕΔΙΝΟ</t>
  </si>
  <si>
    <t>mail@dim-pedin.kil.sch.gr</t>
  </si>
  <si>
    <t>ΔΗΜΟΤΙΚΟ ΣΧΟΛΕΙΟ ΧΩΡΥΓΙΟΥ</t>
  </si>
  <si>
    <t>mail@dim-choryg.kil.sch.gr</t>
  </si>
  <si>
    <t>7ο ΔΗΜΟΤΙΚΟ ΣΧΟΛΕΙΟ ΚΙΛΚΙΣ</t>
  </si>
  <si>
    <t>mail@7dim-kilkis.kil.sch.gr</t>
  </si>
  <si>
    <t>ΔΕΚΑΠΕΝΤΕ ΜΑΡΤΥΡΩΝ ΤΕΡΜΑ</t>
  </si>
  <si>
    <t>ΔΗΜΟΤΙΚΟ ΣΧΟΛΕΙΟ ΔΡΟΣΑΤΟΥ</t>
  </si>
  <si>
    <t>mail@dim-drosat.kil.sch.gr</t>
  </si>
  <si>
    <t>mail@2dim-kilkis.kil.sch.gr</t>
  </si>
  <si>
    <t>ΜΗΤΡΟΠΟΛΕΩΣ 3</t>
  </si>
  <si>
    <t>6ο ΝΗΠΙΑΓΩΓΕΙΟ ΚΙΛΚΙΣ</t>
  </si>
  <si>
    <t>mail@6nip-kilkis.kil.sch.gr</t>
  </si>
  <si>
    <t>ΤΕΡΜΑ ΜΙΛΤΙΑΔΟΥ</t>
  </si>
  <si>
    <t>ΔΗΜΟΤΙΚΟ ΣΧΟΛΕΙΟ ΑΓΙΟΥ ΠΕΤΡΟΥ</t>
  </si>
  <si>
    <t>mail@dim-ag-petrou.kil.sch.gr</t>
  </si>
  <si>
    <t>mail@3dim-kilkis.kil.sch.gr</t>
  </si>
  <si>
    <t>ΕΛ. ΒΕΝΙΖΕΛΟΥ 53</t>
  </si>
  <si>
    <t>4ο ΝΗΠΙΑΓΩΓΕΙΟ ΚΙΛΚΙΣ</t>
  </si>
  <si>
    <t>mail@4nip-kilkis.kil.sch.gr</t>
  </si>
  <si>
    <t>ΑΜΠΕΛΩΝ ΕΡΓΑΤΙΚΕΣ ΚΑΤΟΙΚΙΕΣ 6</t>
  </si>
  <si>
    <t>ΔΗΜΟΤΙΚΟ ΣΧΟΛΕΙΟ ΕΠΤΑΛΟΦΟΥ</t>
  </si>
  <si>
    <t>mail@dim-eptalof.kil.sch.gr</t>
  </si>
  <si>
    <t>mail@8dim-kilkis.kil.sch.gr</t>
  </si>
  <si>
    <t>ΚΑΝΑΡΗ 3</t>
  </si>
  <si>
    <t>mail@2dim-axioup.kil.sch.gr</t>
  </si>
  <si>
    <t>Αξιούπολη,</t>
  </si>
  <si>
    <t>5ο ΝΗΠΙΑΓΩΓΕΙΟ ΚΙΛΚΙΣ</t>
  </si>
  <si>
    <t>mail@5nip-kilkis.kil.sch.gr</t>
  </si>
  <si>
    <t>ΠΑΠΑΓΙΑΝΝΑΚΟΥ 1</t>
  </si>
  <si>
    <t>3ο ΝΗΠΙΑΓΩΓΕΙΟ ΚΙΛΚΙΣ</t>
  </si>
  <si>
    <t>mail@3nip-kilkis.kil.sch.gr</t>
  </si>
  <si>
    <t>ΕΛ.ΒΕΝΙΖΕΛΟΥ 53</t>
  </si>
  <si>
    <t>2ο ΝΗΠΙΑΓΩΓΕΙΟ ΚΙΛΚΙΣ</t>
  </si>
  <si>
    <t>mail@2nip-kilkis.kil.sch.gr</t>
  </si>
  <si>
    <t>ΑΓΙΟΥ ΓΕΩΡΓΙΟΥ 3</t>
  </si>
  <si>
    <t>ΔΗΜΟΤΙΚΟ ΣΧΟΛΕΙΟ ΝΕΑΣ ΣΑΝΤΑΣ</t>
  </si>
  <si>
    <t>mail@dim-n-santas.kil.sch.gr</t>
  </si>
  <si>
    <t>mail@dim-axioup.kil.sch.gr</t>
  </si>
  <si>
    <t>ΟΔΟΣ ΣΧΟΛΕΙΩΝ 23</t>
  </si>
  <si>
    <t>ΕΙΔΙΚΟ ΔΗΜΟΤΙΚΟ ΣΧΟΛΕΙΟ ΚΙΛΚΙΣ - ΕΙΔΙΚΟ</t>
  </si>
  <si>
    <t>mail@dim-eid-kilkis.kil.sch.gr</t>
  </si>
  <si>
    <t>ΤΕΡΜΑ ΣΑΛΑΜΙΝΑΣ</t>
  </si>
  <si>
    <t>ΔΗΜΟΤΙΚΟ ΣΧΟΛΕΙΟ ΤΟΥΜΠΑΣ</t>
  </si>
  <si>
    <t>mail@dim-toump.kil.sch.gr</t>
  </si>
  <si>
    <t>Τούμπα</t>
  </si>
  <si>
    <t>2ο ΔΗΜΟΤΙΚΟ ΣΧΟΛΕΙΟ ΠΟΛΥΚΑΣΤΡΟΥ</t>
  </si>
  <si>
    <t>mail@2dim-polyk.kil.sch.gr</t>
  </si>
  <si>
    <t>ΔΑΒΑΚΗ 9</t>
  </si>
  <si>
    <t>3ο ΔΗΜΟΤΙΚΟ ΣΧΟΛΕΙΟ ΠΟΛΥΚΑΣΤΡΟΥ</t>
  </si>
  <si>
    <t>mail@3dim-polyk.kil.sch.gr</t>
  </si>
  <si>
    <t>mail@dim-mourion.kil.sch.gr</t>
  </si>
  <si>
    <t>mail@dim-efkarp.kil.sch.gr</t>
  </si>
  <si>
    <t>8ο  ΝΗΠΙΑΓΩΓΕΙΟ ΚΙΛΚΙΣ</t>
  </si>
  <si>
    <t>mail@8nip-kilkis.kil.sch.gr</t>
  </si>
  <si>
    <t>ΠΑΙΟΝΙΑΣ 1</t>
  </si>
  <si>
    <t>mail@dim-chers.kil.sch.gr</t>
  </si>
  <si>
    <t>9ο ΔΗΜΟΤΙΚΟ ΣΧΟΛΕΙΟ ΚΙΛΚΙΣ</t>
  </si>
  <si>
    <t>mail@9dim-kilkis.kil.sch.gr</t>
  </si>
  <si>
    <t>ΝΗΠΙΑΓΩΓΕΙΟ ΜΥΡΙΟΦΥΤΟ</t>
  </si>
  <si>
    <t>mail@nip-myriof.kil.sch.gr</t>
  </si>
  <si>
    <t>11ο ΝΗΠΙΑΓΩΓΕΙΟ ΚΙΛΚΙΣ</t>
  </si>
  <si>
    <t>mail@11nip-kilkis.kil.sch.gr</t>
  </si>
  <si>
    <t>12ο ΝΗΠΙΑΓΩΓΕΙΟ ΚΙΚΛΙΣ</t>
  </si>
  <si>
    <t>mail@12nip-kilkis.kil.sch.gr</t>
  </si>
  <si>
    <t>ΚΙΚΛΙΣ</t>
  </si>
  <si>
    <t>Ε. ΕΥΘΥΜΙΑΔΟΥ 5</t>
  </si>
  <si>
    <t>13ο ΝΗΠΙΑΓΩΓΕΙΟ ΚΙΛΚΙΣ</t>
  </si>
  <si>
    <t>mail@13nip-kilkis.kil.sch.gr</t>
  </si>
  <si>
    <t>ΔΙΑΛΕΤΗ  19</t>
  </si>
  <si>
    <t>ΕΙΔΙΚΟ ΝΗΠΙΑΓΩΓΕΙΟ ΚΙΛΚΙΣ</t>
  </si>
  <si>
    <t>mail@nip-eid-kilkis.kil.sch.gr</t>
  </si>
  <si>
    <t>ΤΕΡΜΑ ΣΑΛΑΜΙΝΟΣ</t>
  </si>
  <si>
    <t>14ο ΝΗΠΙΑΓΩΓΕΙΟ ΚΙΛΚΙΣ</t>
  </si>
  <si>
    <t>mail@14nip-kilkis.kil.sch.gr</t>
  </si>
  <si>
    <t>ΑΡΚΑΔΙΑΣ 2</t>
  </si>
  <si>
    <t>4ο  ΝΗΠΙΑΓΩΓΕΙΟ ΠΟΛΥΚΑΣΤΡΟΥ</t>
  </si>
  <si>
    <t>mail@4nip-polyk.kil.sch.gr</t>
  </si>
  <si>
    <t>10ο ΔΗΜΟΤΙΚΟ ΣΧΟΛΕΙΟ ΚΙΛΚΙΣ</t>
  </si>
  <si>
    <t>4ο ΔΗΜΟΤΙΚΟ ΣΧΟΛΕΙΟ ΠΟΛΥΚΑΣΤΡΟΥ</t>
  </si>
  <si>
    <t>2/θέσιο Ειδικό Δημοτικό Σχολείο Γουμένισσας</t>
  </si>
  <si>
    <t>1/θέσιο Ειδικό Νηπιαγωγείο Γουμένισσας</t>
  </si>
  <si>
    <t>ΔΙΕΥΘΥΝΣΗ Π.Ε. ΠΕΛΛΑΣ</t>
  </si>
  <si>
    <t>ΒΟΡΕΙΝΟΥ</t>
  </si>
  <si>
    <t>ΔΗΜΟΤΙΚΟ ΣΧΟΛΕΙΟ ΒΟΡΕΙΝΟΥ-ΝΕΟΧΩΡΙΟΥ</t>
  </si>
  <si>
    <t>mail@dim-vorein.pel.sch.gr</t>
  </si>
  <si>
    <t>ΒΟΡΕΙΝΟ</t>
  </si>
  <si>
    <t>ΔΗΜΟΤΙΚΟ ΣΧΟΛΕΙΟ ΜΗΛΙΑΣ-ΡΙΖΟΧΩΡΙΟΥ</t>
  </si>
  <si>
    <t>mail@dim-rizoch.pel.sch.gr</t>
  </si>
  <si>
    <t>Μηλιά</t>
  </si>
  <si>
    <t>mail@dim-polyk.pel.sch.gr</t>
  </si>
  <si>
    <t>ΠΟΛΥΚΑΡΠΗ ΑΡΙΔΑΙΑΣ</t>
  </si>
  <si>
    <t>ΑΨΑΛΟΥ</t>
  </si>
  <si>
    <t>ΔΗΜΟΤΙΚΟ ΣΧΟΛΕΙΟ ΑΨΑΛΟΥ</t>
  </si>
  <si>
    <t>mail@dim-apsal.pel.sch.gr</t>
  </si>
  <si>
    <t>ΑΨΑΛΟΣ</t>
  </si>
  <si>
    <t>7ο ΝΗΠΙΑΓΩΓΕΙΟ ΓΙΑΝΝΙΤΣΩΝ</t>
  </si>
  <si>
    <t>mail@7nip-giann.pel.sch.gr</t>
  </si>
  <si>
    <t>Ν.ΣΚΟΡΔΗ 21</t>
  </si>
  <si>
    <t>ΔΡΟΣΕΡΟΥ</t>
  </si>
  <si>
    <t>ΝΗΠΙΑΓΩΓΕΙΟ ΔΡΟΣΕΡΟΥ</t>
  </si>
  <si>
    <t>mail@nip-droser.pel.sch.gr</t>
  </si>
  <si>
    <t>1ο ΝΗΠΙΑΓΩΓΕΙΟ ΠΕΛΛΑΣ</t>
  </si>
  <si>
    <t>mail@1nip-pellas.pel.sch.gr</t>
  </si>
  <si>
    <t>ΔΥΤΙΚΟΥ</t>
  </si>
  <si>
    <t>ΝΗΠΙΑΓΩΓΕΙΟ ΔΥΤΙΚΟΥ</t>
  </si>
  <si>
    <t>mail@nip-dytik.pel.sch.gr</t>
  </si>
  <si>
    <t>ΔΥΤΙΚΟ</t>
  </si>
  <si>
    <t>ΤΡΙΦΥΛΛΙΟΥ</t>
  </si>
  <si>
    <t>ΝΗΠΙΑΓΩΓΕΙΟ ΓΥΨΟΧΩΡΙΟΥ</t>
  </si>
  <si>
    <t>mail@nip-gypsoch.pel.sch.gr</t>
  </si>
  <si>
    <t>ΓΥΨΟΧΩΡΙΟΥ</t>
  </si>
  <si>
    <t>ΓΥΨΟΧΩΡΙ</t>
  </si>
  <si>
    <t>18ο ΝΗΠΙΑΓΩΓΕΙΟ ΓΙΑΝΝΙΤΣΩΝ</t>
  </si>
  <si>
    <t>mail@18nip-giann.pel.sch.gr</t>
  </si>
  <si>
    <t>ΣΤΑΔΙΟΥ 9</t>
  </si>
  <si>
    <t>ΑΘΥΡΩΝ</t>
  </si>
  <si>
    <t>ΝΗΠΙΑΓΩΓΕΙΟ ΑΘΥΡΩΝ</t>
  </si>
  <si>
    <t>mail@nip-athyr.pel.sch.gr</t>
  </si>
  <si>
    <t>ΑΘΥΡΑ ΠΕΛΛΑΣ</t>
  </si>
  <si>
    <t>15ο ΝΗΠΙΑΓΩΓΕΙΟ ΓΙΑΝΝΙΤΣΩΝ</t>
  </si>
  <si>
    <t>mail@15nip-giann.pel.sch.gr</t>
  </si>
  <si>
    <t>ΠΑΣΤΡΑ 11</t>
  </si>
  <si>
    <t>5ο ΝΗΠΙΑΓΩΓΕΙΟ ΓΙΑΝΝΙΤΣΩΝ</t>
  </si>
  <si>
    <t>mail@5nip-giann.pel.sch.gr</t>
  </si>
  <si>
    <t>ΝΙΚΗΤΑΡΑ 4</t>
  </si>
  <si>
    <t>ΜΕΛΙΣΣΙΟΥ</t>
  </si>
  <si>
    <t>ΝΗΠΙΑΓΩΓΕΙΟ ΜΕΛΙΣΣΙΟΥ ΠΕΛΛΑΣ</t>
  </si>
  <si>
    <t>mail@nip-meliss.pel.sch.gr</t>
  </si>
  <si>
    <t>ΜΕΛΙΣΣΙ ΓΙΑΝΝΙΤΣΩΝ</t>
  </si>
  <si>
    <t>1ο ΝΗΠΙΑΓΩΓΕΙΟ Ν.ΜΥΛΟΤΟΠΟΥ</t>
  </si>
  <si>
    <t>mail@1nip-n-mylot.pel.sch.gr</t>
  </si>
  <si>
    <t>Ν.ΜΥΛΟΤΟΠΟΥ</t>
  </si>
  <si>
    <t>Π. ΚΑΤΣΑΡΕΑ  7</t>
  </si>
  <si>
    <t>ΕΣΩΒΑΛΤΩΝ (ΒΑΛΤΩΝ)</t>
  </si>
  <si>
    <t>ΝΗΠΙΑΓΩΓΕΙΟ ΣΤΑΥΡΟΔΡΟΜΙ</t>
  </si>
  <si>
    <t>mail@nip-stavr.pel.sch.gr</t>
  </si>
  <si>
    <t>ΝΗΠΙΑΓΩΓΕΙΟ ΠΟΛΥΚΑΡΠΗ-ΑΛΜΩΠΙΑΣ</t>
  </si>
  <si>
    <t>mail@nip-polyk.pel.sch.gr</t>
  </si>
  <si>
    <t>ΠΟΛΥΚΑΡΠΗ-ΑΛΜΩΠΙΑΣ</t>
  </si>
  <si>
    <t>3ο  ΝΗΠΙΑΓΩΓΕΙΟ ΓΙΑΝΝΙΤΣΩΝ</t>
  </si>
  <si>
    <t>mail@3nip-giann.pel.sch.gr</t>
  </si>
  <si>
    <t>ΤΑΓΜ. ΗΛΙΟΠΟΥΛΟΥ 1</t>
  </si>
  <si>
    <t>ΝΗΠΙΑΓΩΓΕΙΟ ΑΞΟΥ</t>
  </si>
  <si>
    <t>mail@nip-axou.pel.sch.gr</t>
  </si>
  <si>
    <t>ΠΑΛΑΙΟΥ ΜΥΛΟΤΟΠΟΥ</t>
  </si>
  <si>
    <t>ΝΗΠΙΑΓΩΓΕΙΟ Π.ΜΥΛΟΤΟΠΟΣ</t>
  </si>
  <si>
    <t>mail@nip-p-mylot.pel.sch.gr</t>
  </si>
  <si>
    <t>Π.ΜΥΛΟΤΟΠΟΣ</t>
  </si>
  <si>
    <t>20ο ΝΗΠΙΑΓΩΓΕΙΟ ΓΙΑΝΝΙΤΣΩΝ</t>
  </si>
  <si>
    <t>mail@20nip-giann.pel.sch.gr</t>
  </si>
  <si>
    <t>1ο ΧΛΜ ΓΙΑΝΝΙΤΣΩΝ ΠΕΝΤΑΠΛΑΤΑΝΟΥ</t>
  </si>
  <si>
    <t>16ο ΝΗΠΙΑΓΩΓΕΙΟ ΓΙΑΝΝΙΤΣΩΝ</t>
  </si>
  <si>
    <t>mail@16nip-giann.pel.sch.gr</t>
  </si>
  <si>
    <t>ΣΤΡΑΝΤΖΗΣ 16Α</t>
  </si>
  <si>
    <t>12ο ΝΗΠΙΑΓΩΓΕΙΟ ΓΙΑΝΝΙΤΣΩΝ</t>
  </si>
  <si>
    <t>mail@12nip-giann.pel.sch.gr</t>
  </si>
  <si>
    <t>Μ.ΑΛΕΞΑΝΔΡΟΥ 98</t>
  </si>
  <si>
    <t>11ο ΝΗΠΙΑΓΩΓΕΙΟ ΓΙΑΝΝΙΤΣΩΝ</t>
  </si>
  <si>
    <t>mail@11nip-giann.pel.sch.gr</t>
  </si>
  <si>
    <t>ΣΤΡΑΝΤΖΗΣ 4</t>
  </si>
  <si>
    <t>10ο ΝΗΠΙΑΓΩΓΕΙΟ ΓΙΑΝΝΙΤΣΑ</t>
  </si>
  <si>
    <t>mail@10nip-giann.pel.sch.gr</t>
  </si>
  <si>
    <t>ΕΛΕΥΘΕΡΙΟΥ ΒΕΝΙΖΕΛΟΥ  37</t>
  </si>
  <si>
    <t>ΓΑΛΑΤΑΔΩΝ</t>
  </si>
  <si>
    <t>ΝΗΠΙΑΓΩΓΕΙΟ ΓΑΛΑΤΑΔΩΝ</t>
  </si>
  <si>
    <t>mail@nip-galat.pel.sch.gr</t>
  </si>
  <si>
    <t>ΓΑΛΑΤΑΔΕΣ</t>
  </si>
  <si>
    <t>4ο ΝΗΠΙΑΓΩΓΕΙΟ ΓΙΑΝΝΙΤΣΩΝ</t>
  </si>
  <si>
    <t>mail@4nip-giann.pel.sch.gr</t>
  </si>
  <si>
    <t>ΜΗΤΡΟΠΟΛΕΩΣ 40</t>
  </si>
  <si>
    <t>19ο ΝΗΠΙΑΓΩΓΕΙΟ ΓΙΑΝΝΙΤΣΩΝ</t>
  </si>
  <si>
    <t>mail@19nip-giann.pel.sch.gr</t>
  </si>
  <si>
    <t>2ο ΝΗΠΙΑΓΩΓΕΙΟ ΓΙΑΝΝΙΤΣΩΝ</t>
  </si>
  <si>
    <t>mail@2nip-giann.pel.sch.gr</t>
  </si>
  <si>
    <t>ΧΑΤΖΗΔΗΜΗΤΡΙΟΥ 118</t>
  </si>
  <si>
    <t>ΝΗΠΙΑΓΩΓΕΙΟ ΑΡΝΙΣΣΑΣ</t>
  </si>
  <si>
    <t>mail@1nip-arniss.pel.sch.gr</t>
  </si>
  <si>
    <t>ΑΡΝΙΣΣΑΣ</t>
  </si>
  <si>
    <t>ΠΑΛΑΙΦΥΤΟΥ</t>
  </si>
  <si>
    <t>ΝΗΠΙΑΓΩΓΕΙΟ ΠΑΛΑΙΦΥΤΟΥ</t>
  </si>
  <si>
    <t>mail@nip-palaif.pel.sch.gr</t>
  </si>
  <si>
    <t>ΠΑΛΑΙΦΥΤΟ</t>
  </si>
  <si>
    <t>mail@5dim-edess.pel.sch.gr</t>
  </si>
  <si>
    <t>ΝΗΠΙΑΓΩΓΕΙΟ ΕΣΩΒΑΛΤΩΝ</t>
  </si>
  <si>
    <t>mail@nip-esovalt.pel.sch.gr</t>
  </si>
  <si>
    <t>ΕΣΩΒΑΛΤΩΝ</t>
  </si>
  <si>
    <t>ΕΣΩΒΑΛΤΑ Ν. ΠΕΛΛΑΣ</t>
  </si>
  <si>
    <t>ΑΓΙΟΥ ΛΟΥΚΑ</t>
  </si>
  <si>
    <t>ΝΗΠΙΑΓΩΓΕΙΟ ΑΓΙΟΥ ΛΟΥΚΑ ΠΕΛΛΑΣ</t>
  </si>
  <si>
    <t>mail@nip-ag-louka.pel.sch.gr</t>
  </si>
  <si>
    <t>ΑΓΙΟΣ ΛΟΥΚΑΣ</t>
  </si>
  <si>
    <t>ΝΗΠΙΑΓΩΓΕΙΟ ΑΡΑΒΗΣΣΟΥ</t>
  </si>
  <si>
    <t>mail@nip-araviss.pel.sch.gr</t>
  </si>
  <si>
    <t>1ο ΝΗΠΙΑΓΩΓΕΙΟ ΓΙΑΝΝΙΤΣΩΝ "ΔΗΜΗΤΡΑ ΜΙΓΓΑ-ΚΑΣΑΠΗ"</t>
  </si>
  <si>
    <t>mail@1nip-giann.pel.sch.gr</t>
  </si>
  <si>
    <t>ΦΙΛΙΠΠΟΥΠΟΛΕΩΣ 3</t>
  </si>
  <si>
    <t>6ο ΝΗΠΙΑΓΩΓΕΙΟ ΓΙΑΝΝΙΤΣΩΝ</t>
  </si>
  <si>
    <t>mail@6nip-giann.pel.sch.gr</t>
  </si>
  <si>
    <t>ΜΠΑΦΡΑΣ 38</t>
  </si>
  <si>
    <t>ΛΙΠΑΡΟΥ</t>
  </si>
  <si>
    <t>ΝΗΠΙΑΓΩΓΕΙΟ ΛΙΠΑΡΟΥ</t>
  </si>
  <si>
    <t>mail@nip-lipar.pel.sch.gr</t>
  </si>
  <si>
    <t>ΛΙΠΑΡΟ</t>
  </si>
  <si>
    <t>2ο ΝΗΠΙΑΓΩΓΕΙΟ ΠΕΛΛΑΣ</t>
  </si>
  <si>
    <t>mail@2nip-pellas.pel.sch.gr</t>
  </si>
  <si>
    <t xml:space="preserve"> ΠΕΛΛΑΣ</t>
  </si>
  <si>
    <t>ΜΕΓΑΛΟΥ ΑΛΕΞΑΝΔΡΟΥ 6, ΠΕΛΛΑ</t>
  </si>
  <si>
    <t>12ο ΝΗΠΙΑΓΩΓΕΙΟ ΕΔΕΣΣΑΣ</t>
  </si>
  <si>
    <t>mail@12nip-edess.pel.sch.gr</t>
  </si>
  <si>
    <t>ΒΟΡ. ΗΠΕΙΡΟΥ  25</t>
  </si>
  <si>
    <t>10ο ΝΗΠΙΑΓΩΓΕΙΟ ΕΔΕΣΣΑΣ</t>
  </si>
  <si>
    <t>mail@10nip-edess.pel.sch.gr</t>
  </si>
  <si>
    <t>ΝΙΚΟΥ ΚΑΖΑΝΤΖΑΚΗ  ΣΜΑΡΕΚΑ 18</t>
  </si>
  <si>
    <t>ΝΗΠΙΑΓΩΓΕΙΟ ΚΑΡΥΩΤΙΣΣΑΣ</t>
  </si>
  <si>
    <t>mail@nip-karyot.pel.sch.gr</t>
  </si>
  <si>
    <t>ΑΜΠΕΛΕΙΩΝ</t>
  </si>
  <si>
    <t>ΝΗΠΙΑΓΩΓΕΙΟ ΑΜΠΕΛΕΙΩΝ</t>
  </si>
  <si>
    <t>mail@nip-ampel.pel.sch.gr</t>
  </si>
  <si>
    <t>ΑΜΠΕΛΕΙΕΣ</t>
  </si>
  <si>
    <t>3ο ΝΗΠΙΑΓΩΓΕΙΟ ΕΔΕΣΣΑΣ</t>
  </si>
  <si>
    <t>mail@3nip-edess.pel.sch.gr</t>
  </si>
  <si>
    <t>ΗΡΩΩΝ ΠΟΛΥΤΕΧΝΕΙΟΥ 67</t>
  </si>
  <si>
    <t>1/Θ ΝΗΠΙΑΓΩΓΕΙΟ ΤΡΙΦΥΛΛΙΟΥ</t>
  </si>
  <si>
    <t>mail@nip-trifyll.pel.sch.gr</t>
  </si>
  <si>
    <t>ΤΡΙΦΥΛΛΙ</t>
  </si>
  <si>
    <t>ΝΗΠΙΑΓΩΓΕΙΟ ΑΓΡΑ</t>
  </si>
  <si>
    <t>mail@nip-agra.pel.sch.gr</t>
  </si>
  <si>
    <t>ΝΗΠΙΑΓΩΓΕΙΟ ΠΑΡΑΛΙΜΝΗΣ</t>
  </si>
  <si>
    <t>mail@nip-paral.pel.sch.gr</t>
  </si>
  <si>
    <t>ΠΑΡΑΛΙΜΝΗ</t>
  </si>
  <si>
    <t>ΕΙΔΙΚΟ ΝΗΠΙΑΓΩΓΕΙΟ ΓΙΑΝΝΙΤΣΩΝ</t>
  </si>
  <si>
    <t>mail@nip-eid-giann.pel.sch.gr</t>
  </si>
  <si>
    <t>Μ. ΑΛΕΞΑΝΔΡΟΥ 112</t>
  </si>
  <si>
    <t>ΜΑΝΔΑΛΟΥ</t>
  </si>
  <si>
    <t>ΝΗΠΙΑΓΩΓΕΙΟ ΜΑΝΔΑΛΟΥ</t>
  </si>
  <si>
    <t>mail@nip-mandal.pel.sch.gr</t>
  </si>
  <si>
    <t>ΜΑΝΔΑΛΟ</t>
  </si>
  <si>
    <t>ΝΗΠΙΑΓΩΓΕΙΟ ΔΑΦΝΗΣ   ΠΕΛΛΑΣ</t>
  </si>
  <si>
    <t>mail@nip-dafnis.pel.sch.gr</t>
  </si>
  <si>
    <t>7ο ΝΗΠΙΑΓΩΓΕΙΟ ΕΔΕΣΣΑΣ</t>
  </si>
  <si>
    <t>mail@7nip-edess.pel.sch.gr</t>
  </si>
  <si>
    <t>ΠΥΘΑΓΟΡΑ 6</t>
  </si>
  <si>
    <t>ΑΚΡΟΛΙΜΝΗΣ</t>
  </si>
  <si>
    <t>ΝΗΠΙΑΓΩΓΕΙΟ ΑΚΡΟΛΙΜΝΗΣ</t>
  </si>
  <si>
    <t>mail@nip-akrol.pel.sch.gr</t>
  </si>
  <si>
    <t>ΑΚΡΟΛΙΜΝΗ</t>
  </si>
  <si>
    <t>ΝΗΠΙΑΓΩΓΕΙΟ ΑΣΠΡΟΥ ΠΕΛΛΑΣ</t>
  </si>
  <si>
    <t>mail@nip-asprou.pel.sch.gr</t>
  </si>
  <si>
    <t>ΑΣΠΡΟ</t>
  </si>
  <si>
    <t>ΝΗΠΙΑΓΩΓΕΙΟ ΠΕΝΤΑΠΛΑΤΑΝΟΥ</t>
  </si>
  <si>
    <t>mail@nip-pentap.pel.sch.gr</t>
  </si>
  <si>
    <t>ΠΕΝΤΑΠΛΑΤΑΝΟΣ ΠΕΛΛΑΣ</t>
  </si>
  <si>
    <t>ΔΗΜΟΤΙΚΟ ΣΧΟΛΕΙΟ ΑΘΥΡΩΝ</t>
  </si>
  <si>
    <t>mail@dim-athyr.pel.sch.gr</t>
  </si>
  <si>
    <t>ʼθυρα</t>
  </si>
  <si>
    <t>ΣΚΡΑ 2</t>
  </si>
  <si>
    <t>ΚΑΛΛΙΠΟΛΕΩΣ</t>
  </si>
  <si>
    <t>ΝΗΠΙΑΓΩΓΕΙΟ ΚΑΛΛΙΠΟΛΗΣ</t>
  </si>
  <si>
    <t>mail@nip-kallip.pel.sch.gr</t>
  </si>
  <si>
    <t>ΚΑΛΛΙΠΟΛΗΣ</t>
  </si>
  <si>
    <t>ΑΡΣΕΝΙΟΥ</t>
  </si>
  <si>
    <t>ΝΗΠΙΑΓΩΓΕΙΟ ΑΡΣΕΝΙΟΥ</t>
  </si>
  <si>
    <t>mail@nip-arsen.pel.sch.gr</t>
  </si>
  <si>
    <t>ΑΡΣΕΝΙ</t>
  </si>
  <si>
    <t>ΘΕΟΔΩΡΑΚΕΙΟΥ</t>
  </si>
  <si>
    <t>ΔΗΜΟΤΙΚΟ ΣΧΟΛΕΙΟ ΘΕΟΔΩΡΑΚΕΙΟΥ</t>
  </si>
  <si>
    <t>mail@dim-theod.pel.sch.gr</t>
  </si>
  <si>
    <t>ΘΕΟΔΩΡΑΚΙ</t>
  </si>
  <si>
    <t>ΘΕΟΔΩΡΑΚΙ ΑΛΜΩΠΙΑΣ</t>
  </si>
  <si>
    <t>mail@3dim-aridaias.pel.sch.gr</t>
  </si>
  <si>
    <t>Π. Μελά 24</t>
  </si>
  <si>
    <t>ΓΑΡΕΦΕΙΟΥ</t>
  </si>
  <si>
    <t>ΔΗΜΟΤΙΚΟ ΣΧΟΛΕΙΟ ΓΑΡΕΦΕΙΟΥ</t>
  </si>
  <si>
    <t>mail@dim-garef.pel.sch.gr</t>
  </si>
  <si>
    <t>ΓΑΡΕΦΙ</t>
  </si>
  <si>
    <t>4/Θ ΔΗΜΟΤΙΚΟ ΣΧΟΛΕΙΟ ΓΑΡΕΦΕΙΟΥ</t>
  </si>
  <si>
    <t>ΝΕΑΣ ΠΕΛΛΗΣ</t>
  </si>
  <si>
    <t>ΝΗΠΙΑΓΩΓΕΙΟ ΝΕΑΣ ΠΕΛΛΑΣ</t>
  </si>
  <si>
    <t>mail@nip-n-pellas.pel.sch.gr</t>
  </si>
  <si>
    <t>ΝΕΑΣ ΠΕΛΛΑΣ</t>
  </si>
  <si>
    <t>ΝΕΑ ΠΕΛΛΑ</t>
  </si>
  <si>
    <t>mail@dim-arabiss.pel.sch.gr</t>
  </si>
  <si>
    <t>mail@8dim-giann.pel.sch.gr</t>
  </si>
  <si>
    <t>Ι.ΒΑΣΙΛΕΙΑΔΗ 35</t>
  </si>
  <si>
    <t>ΔΗΜΟΤΙΚΟ ΣΧΟΛΕΙΟ ΜΕΣΗΜΕΡΙΟΥ ΠΕΛΛΑΣ</t>
  </si>
  <si>
    <t>mail@dim-mesim.pel.sch.gr</t>
  </si>
  <si>
    <t>6ο ΔΗΜΟΤΙΚΟ ΣΧΟΛΕΙΟ ΓΙΑΝΝΙΤΣΩΝ</t>
  </si>
  <si>
    <t>mail@6dim-giann.pel.sch.gr</t>
  </si>
  <si>
    <t>ΣΠΑΡΤΙΑΤΟΥ 20</t>
  </si>
  <si>
    <t>mail@4dim-giann.pel.sch.gr</t>
  </si>
  <si>
    <t>ΙΑΤΡΟΥ ΜΠΟΣΚΟΥ 21</t>
  </si>
  <si>
    <t>ΔΗΜΟΤΙΚΟ ΣΧΟΛΕΙΟ ΠΑΡΑΛΙΜΝΗΣ</t>
  </si>
  <si>
    <t>mail@dim-paral.pel.sch.gr</t>
  </si>
  <si>
    <t>Παραλίμνη Πέλλας</t>
  </si>
  <si>
    <t>1ο ΔΗΜΟΤΙΚΟ ΣΧΟΛΕΙΟ ΚΡΥΑΣ ΒΡΥΣΗΣ</t>
  </si>
  <si>
    <t>mail@1dim-k-vrysis.pel.sch.gr</t>
  </si>
  <si>
    <t>ΕΛ. ΒΕΝΙΖΕΛΟΥ 20</t>
  </si>
  <si>
    <t>6ο ΔΗΜΟΤΙΚΟ ΣΧΟΛΕΙΟ ΕΔΕΣΣΑΣ</t>
  </si>
  <si>
    <t>mail@6dim-edess.pel.sch.gr</t>
  </si>
  <si>
    <t>ΚΑΡΑΝΟΥ 30</t>
  </si>
  <si>
    <t>ΔΗΜΟΤΙΚΟ ΣΧΟΛΕΙΟ ΑΧΛΑΔΟΧΩΡΙΟΥ ΠΕΛΛΑΣ</t>
  </si>
  <si>
    <t>mail@dim-achlad.pel.sch.gr</t>
  </si>
  <si>
    <t>ΑΧΛΑΔΟΧΩΡΙ</t>
  </si>
  <si>
    <t>ΑΧΛΑΔΟΧΩΡΙ ΓΙΑΝΝΙΤΣΩΝ</t>
  </si>
  <si>
    <t>ΕΙΔΙΚΟ ΔΗΜΟΤΙΚΟ ΣΧΟΛΕΙΟ ΑΡΙΔΑΙΑΣ</t>
  </si>
  <si>
    <t>mail@dim-eid-aridaias.pel.sch.gr</t>
  </si>
  <si>
    <t>Π.ΜΕΛΑ 26</t>
  </si>
  <si>
    <t>mail@dim-promach.pel.sch.gr</t>
  </si>
  <si>
    <t>Πρόμαχοι</t>
  </si>
  <si>
    <t>ΠΡΟΜΑΧΟΙ ΑΛΜΩΠΙΑΣ</t>
  </si>
  <si>
    <t>ΚΩΝΣΤΑΝΤΙΑΣ</t>
  </si>
  <si>
    <t>ΔΗΜΟΤΙΚΟ ΣΧΟΛΕΙΟ ΚΩΝΣΤΑΝΤΙΑΣ</t>
  </si>
  <si>
    <t>mail@dim-konst.pel.sch.gr</t>
  </si>
  <si>
    <t>ΚΩΝΣΤΑΝΤΙΑ</t>
  </si>
  <si>
    <t>ΚΩΝΣΤΑΝΤΙΑ ΑΡΙΔΑΙΑΣ Ν. ΠΕΛΛΑΣ</t>
  </si>
  <si>
    <t>mail@1dim-skydr.pel.sch.gr</t>
  </si>
  <si>
    <t>ΕΛ. ΒΕΝΙΖΕΛΟΥ 1</t>
  </si>
  <si>
    <t>ΦΛΑΜΟΥΡΙΑΣ</t>
  </si>
  <si>
    <t>ΔΗΜΟΤΙΚΟ ΣΧΟΛΕΙΟ ΦΛΑΜΟΥΡΙΑΣ</t>
  </si>
  <si>
    <t>mail@dim-flamour.pel.sch.gr</t>
  </si>
  <si>
    <t>ΦΛΑΜΟΥΡΙΑ</t>
  </si>
  <si>
    <t>1ο ΝΗΠΙΑΓΩΓΕΙΟ ΕΔΕΣΣΑΣ</t>
  </si>
  <si>
    <t>mail@1nip-edess.pel.sch.gr</t>
  </si>
  <si>
    <t>ΔΑΡΔΑΝΕΛΛΙΩΝ 15</t>
  </si>
  <si>
    <t>2ο ΝΗΠΙΑΓΩΓΕΙΟ ΕΔΕΣΣΑΣ</t>
  </si>
  <si>
    <t>mail@2nip-edess.pel.sch.gr</t>
  </si>
  <si>
    <t>ΠΛΑΤΕΙΑ ΜΟΥΣΕΙΟΥ 2</t>
  </si>
  <si>
    <t>9ο ΝΗΠΙΑΓΩΓΕΙΟ ΕΔΕΣΣΑΣ</t>
  </si>
  <si>
    <t>mail@9nip-edess.pel.sch.gr</t>
  </si>
  <si>
    <t>ΔΗΜΗΤΡΙΟΥ ΠΕΤΡΙΤΣΗ 30</t>
  </si>
  <si>
    <t>ΝΗΠΙΑΓΩΓΕΙΟ ΦΟΥΣΤΑΝΗ-ΑΛΜΩΠΙΑΣ</t>
  </si>
  <si>
    <t>mail@nip-foust.pel.sch.gr</t>
  </si>
  <si>
    <t>ΦΟΥΣΤΑΝΗ-ΑΛΜΩΠΙΑΣ</t>
  </si>
  <si>
    <t>ΔΩΡΟΘΕΑΣ</t>
  </si>
  <si>
    <t>ΔΗΜΟΤΙΚΟ ΣΧΟΛΕΙΟ ΔΩΡΟΘΕΑΣ</t>
  </si>
  <si>
    <t>mail@dim-doroth.pel.sch.gr</t>
  </si>
  <si>
    <t>ΔΩΡΟΘΕΑ</t>
  </si>
  <si>
    <t>ΔΩΡΟΘΕΑ ΑΡΙΔΑΙΑΣ</t>
  </si>
  <si>
    <t>mail@3dim-giann.pel.sch.gr</t>
  </si>
  <si>
    <t>mail@1dim-giann.pel.sch.gr</t>
  </si>
  <si>
    <t>ΓΚΟΝΟΥ ΓΙΩΤΑ 40</t>
  </si>
  <si>
    <t>4ο ΝΗΠΙΑΓΩΓΕΙΟ ΚΡΥΑΣ ΒΡΥΣΗΣ</t>
  </si>
  <si>
    <t>mail@4nip-kr-vrysis.pel.sch.gr</t>
  </si>
  <si>
    <t>ΥΨΗΛΑΝΤΟΥ 1</t>
  </si>
  <si>
    <t>ΔΗΜΟΤΙΚΟ ΣΧΟΛΕΙΟ ΠΕΝΤΑΠΛΑΤΑΝΟΥ</t>
  </si>
  <si>
    <t>mail@dim-pentap.pel.sch.gr</t>
  </si>
  <si>
    <t>7ο ΔΗΜΟΤΙΚΟ ΣΧΟΛΕΙΟ ΕΔΕΣΣΑΣ</t>
  </si>
  <si>
    <t>mail@7dim-edess.pel.sch.gr</t>
  </si>
  <si>
    <t>Φιλίππου &amp; Παύλου Μελά</t>
  </si>
  <si>
    <t>ΦΙΛΩΤΕΙΑΣ</t>
  </si>
  <si>
    <t>ΝΗΠΙΑΓΩΓΕΙΟ ΦΙΛΩΤΕΙΑ-ΑΛΜΩΠΙΑΣ</t>
  </si>
  <si>
    <t>mail@nip-filot.pel.sch.gr</t>
  </si>
  <si>
    <t>ΦΙΛΩΤΕΙΑ-ΑΛΜΩΠΙΑΣ</t>
  </si>
  <si>
    <t>ΦΙΛΩΤΕΙΑ</t>
  </si>
  <si>
    <t>ΔΗΜΟΤΙΚΟ ΣΧΟΛΕΙΟ ΓΑΛΑΤΑΔΩΝ</t>
  </si>
  <si>
    <t>mail@dim-galat.pel.sch.gr</t>
  </si>
  <si>
    <t>ΠΕΡΙΚΛΕΙΑΣ</t>
  </si>
  <si>
    <t>ΔΗΜΟΤΙΚΟ ΣΧΟΛΕΙΟ ΠΕΡΙΚΛΕΙΑΣ ΠΕΛΛΑΣ</t>
  </si>
  <si>
    <t>mail@dim-perikl.pel.sch.gr</t>
  </si>
  <si>
    <t>ΠΕΡΙΚΛΕΙΑ</t>
  </si>
  <si>
    <t>mail@9dim-giann.pel.sch.gr</t>
  </si>
  <si>
    <t>ΓΙΑΝΝΙΤΣΑ-ΠΕΛΛΑΣ</t>
  </si>
  <si>
    <t>ΑΡΙΣΤΟΦΑΝΟΥΣ &amp; ΙΩΝΟΣ ΔΡΑΓΟΥΜΗ ΓΩΝΙΑ</t>
  </si>
  <si>
    <t>ΝΗΠΙΑΓΩΓΕΙΟ ΠΕΡΙΚΛΕΙΑΣ</t>
  </si>
  <si>
    <t>mail@nip-perikl.pel.sch.gr</t>
  </si>
  <si>
    <t>ΠΕΡΙΚΛΕΙΑ-ΑΛΜΩΠΙΑΣ</t>
  </si>
  <si>
    <t>ΔΗΜΟΤΙΚΟ ΣΧΟΛΕΙΟ ΤΡΙΦΥΛΛΙΟΥ ΠΕΛΛΑΣ</t>
  </si>
  <si>
    <t>mail@dim-trifyll.pel.sch.gr</t>
  </si>
  <si>
    <t>ΕΙΔΙΚΟ ΔΗΜΟΤΙΚΟ ΣΧΟΛΕΙΟ ΓΙΑΝΝΙΤΣΩΝ</t>
  </si>
  <si>
    <t>mail@dim-eid-giann.pel.sch.gr</t>
  </si>
  <si>
    <t>4ο ΝΗΠΙΑΓΩΓΕΙΟ ΣΚΥΔΡΑΣ</t>
  </si>
  <si>
    <t>mail@4nip-skydr.pel.sch.gr</t>
  </si>
  <si>
    <t>ΠΕΤΡΟΥ ΣΑΧΙΝΗ 25</t>
  </si>
  <si>
    <t>4ο ΔΗΜΟΤΙΚΟ ΣΧΟΛΕΙΟ ΑΡΙΔΑΙΑΣ - ΞΕΝΙΤΙΔΕΙΟ</t>
  </si>
  <si>
    <t>mail@4dim-aridaias.pel.sch.gr</t>
  </si>
  <si>
    <t>ΔΥΤΙΚΟΣ ΠΕΡΙΦΕΡΕΙΑΚΟΣ</t>
  </si>
  <si>
    <t>ΔΗΜΟΤΙΚΟ ΣΧΟΛΕΙΟ ΔΑΜΙΑΝΟΥ</t>
  </si>
  <si>
    <t>mail@dim-damian.pel.sch.gr</t>
  </si>
  <si>
    <t>ΔΑΜΙΑΝΟΣ</t>
  </si>
  <si>
    <t>ΒΡΥΤΩΝ</t>
  </si>
  <si>
    <t>ΔΗΜΟΤΙΚΟ ΣΧΟΛΕΙΟ ΒΡΥΤΩΝ</t>
  </si>
  <si>
    <t>mail@dim-vryton.pel.sch.gr</t>
  </si>
  <si>
    <t>ΒΡΥΤΑ</t>
  </si>
  <si>
    <t>5ο ΝΗΠΙΑΓΩΓΕΙΟ ΕΔΕΣΣΑΣ</t>
  </si>
  <si>
    <t>mail@5nip-edess.pel.sch.gr</t>
  </si>
  <si>
    <t>ΑΓ. ΔΗΜΗΤΡΙΟΥ 49</t>
  </si>
  <si>
    <t>ΠΙΠΕΡΙΩΝ</t>
  </si>
  <si>
    <t>ΝΗΠΙΑΓΩΓΕΙΟ ΠΙΠΕΡΙΑ-ΑΛΜΩΠΙΑΣ</t>
  </si>
  <si>
    <t>mail@nip-piper.pel.sch.gr</t>
  </si>
  <si>
    <t>ΠΙΠΕΡΙΑ-ΑΛΜΩΠΙΑΣ</t>
  </si>
  <si>
    <t>ΠΙΠΕΡΙΑ</t>
  </si>
  <si>
    <t>ΟΛΟΗΜΕΡΟ ΝΗΠΙΑΓΩΓΕΙΟ ΑΡΧΑΓΓΕΛΟΣ</t>
  </si>
  <si>
    <t>mail@nip-archang.pel.sch.gr</t>
  </si>
  <si>
    <t>ΝΗΠΙΑΓΩΓΕΙΟ ΚΑΛΗΣ</t>
  </si>
  <si>
    <t>mail@nip-kalis.pel.sch.gr</t>
  </si>
  <si>
    <t>ΔΗΜΟΤΙΚΟ ΣΧΟΛΕΙΟ ΣΤΑΥΡΟΔΡΟΜΙ</t>
  </si>
  <si>
    <t>mail@dim-stavr.pel.sch.gr</t>
  </si>
  <si>
    <t>ΣΤΑΥΡΟΔΡΟΜΙ Ν. ΠΕΛΛΑΣ</t>
  </si>
  <si>
    <t>ΟΛΟΗΜΕΡΟ ΝΗΠΙΑΓΩΓΕΙΟ ΔΑΜΙΑΝΟΥ</t>
  </si>
  <si>
    <t>mail@nip-damian.pel.sch.gr</t>
  </si>
  <si>
    <t>ΔΑΜΙΑΝΟΥ</t>
  </si>
  <si>
    <t>ΔΑΜΙΑΝΟ ΓΙΑΝΝΙΤΣΩΝ Ν.ΠΕΛΛΑΣ</t>
  </si>
  <si>
    <t>ΔΗΜΟΤΙΚΟ ΣΧΟΛΕΙΟ ΛΟΥΤΡΟΧΩΡΙΟΥ</t>
  </si>
  <si>
    <t>mail@dim-loutroch.pel.sch.gr</t>
  </si>
  <si>
    <t>ΛΟΥΤΡΟΧΩΡΙ</t>
  </si>
  <si>
    <t>mail@dim-karyot.pel.sch.gr</t>
  </si>
  <si>
    <t>Μ.ΑΛΕΞΑΝΔΡΟΥ 21</t>
  </si>
  <si>
    <t>ΔΗΜΟΤΙΚΟ ΣΧΟΛΕΙΟ ΑΜΠΕΛΕΙΩΝ</t>
  </si>
  <si>
    <t>mail@dim-ampelm.pel.sch.gr</t>
  </si>
  <si>
    <t>Αμπελειές</t>
  </si>
  <si>
    <t>ΡΑΧΩΝΑΣ</t>
  </si>
  <si>
    <t>ΝΗΠΙΑΓΩΓΕΙΟ ΡΑΧΩΝΑΣ</t>
  </si>
  <si>
    <t>mail@nip-rachon.pel.sch.gr</t>
  </si>
  <si>
    <t>ΡΑΧΩΝΑ</t>
  </si>
  <si>
    <t>ΣΩΣΑΝΔΡΑΣ</t>
  </si>
  <si>
    <t>ΔΗΜΟΤΙΚΟ ΣΧΟΛΕΙΟ ΣΩΣΑΝΔΡΑΣ</t>
  </si>
  <si>
    <t>mail@dim-sosandr.pel.sch.gr</t>
  </si>
  <si>
    <t>ΣΩΣΑΝΔΡΑ ΑΡΙΔΑΙΑΣ</t>
  </si>
  <si>
    <t>mail@dim-exapl.pel.sch.gr</t>
  </si>
  <si>
    <t>Μ. ΑΛΕΞΑΝΔΡΟΥ 35</t>
  </si>
  <si>
    <t>2ο ΔΗΜΟΤΙΚΟ ΣΧΟΛΕΙΟ ΣΚΥΔΡΑΣ</t>
  </si>
  <si>
    <t>mail@2dim-skydr.pel.sch.gr</t>
  </si>
  <si>
    <t>ΦΙΝΤΙΟΥ 1</t>
  </si>
  <si>
    <t>ΔΗΜΟΤΙΚΟ ΣΧΟΛΕΙΟ ΜΑΝΔΑΛΟΥ</t>
  </si>
  <si>
    <t>mail@dim-mandal.pel.sch.gr</t>
  </si>
  <si>
    <t>mail@9dim-edess.pel.sch.gr</t>
  </si>
  <si>
    <t>ΑΓΙΟΥ ΔΗΜΗΤΡΙΟΥ 49</t>
  </si>
  <si>
    <t>ΑΛΩΡΟΥ</t>
  </si>
  <si>
    <t>ΝΗΠΙΑΓΩΓΕΙΟ ΑΛΩΡΟΥ</t>
  </si>
  <si>
    <t>mail@nip-alorou.pel.sch.gr</t>
  </si>
  <si>
    <t>ΑΛΩΡΟΣ</t>
  </si>
  <si>
    <t>ΠΑΝΑΓΙΤΣΑΣ</t>
  </si>
  <si>
    <t>ΝΗΠΙΑΓΩΓΕΙΟ ΠΑΝΑΓΙΤΣΑΣ ΠΕΛΛΑΣ</t>
  </si>
  <si>
    <t>mail@nip-panag.pel.sch.gr</t>
  </si>
  <si>
    <t>ΠΑΝΑΓΙΤΣΑ</t>
  </si>
  <si>
    <t>ΔΗΜΟΤΙΚΟ ΣΧΟΛΕΙΟ ΑΓΙΟΥ ΛΟΥΚΑ ΠΕΛΛΑΣ</t>
  </si>
  <si>
    <t>mail@dim-ag-louka.pel.sch.gr</t>
  </si>
  <si>
    <t>ΑΓΙΟΣ  ΛΟΥΚΑΣ</t>
  </si>
  <si>
    <t>ΑΓΙΟΣ ΛΟΥΚΑΣ ΚΡΥΑΣ ΒΡΥΣΗΣ</t>
  </si>
  <si>
    <t>ΔΗΜΟΤΙΚΟ ΣΧΟΛΕΙΟ ΑΓΙΟΥ ΛΟΥΚΑ</t>
  </si>
  <si>
    <t>ΡΙΖΟΥ</t>
  </si>
  <si>
    <t>ΝΗΠΙΑΓΩΓΕΙΟ ΡΙΖΟΥ</t>
  </si>
  <si>
    <t>mail@nip-rizou.pel.sch.gr</t>
  </si>
  <si>
    <t>ΡΙΖΟ</t>
  </si>
  <si>
    <t>1ο ΝΗΠΙΑΓΩΓΕΙΟ ΑΡΙΔΑΙΑΣ</t>
  </si>
  <si>
    <t>mail@1nip-aridaias.pel.sch.gr</t>
  </si>
  <si>
    <t>ΠΕΡΙΦΕΡΕΙΑΚΗ ΟΔΟΣ-ΑΝΑΤΟΛΙΚΗ</t>
  </si>
  <si>
    <t>ΔΗΜΟΤΙΚΟ ΣΧΟΛΕΙΟ ΑΣΠΡΟΥ ΠΕΛΛΑΣ</t>
  </si>
  <si>
    <t>mail@dim-asprou.pel.sch.gr</t>
  </si>
  <si>
    <t>ΔΗΜΟΤΙΚΟ ΣΧΟΛΕΙΟ ΑΓΡΑ</t>
  </si>
  <si>
    <t>mail@dim-agra.pel.sch.gr</t>
  </si>
  <si>
    <t>mail@dim-petraias.pel.sch.gr</t>
  </si>
  <si>
    <t>ΠΕΤΡΑΙΑ ΣΚΥΔΡΑΣ</t>
  </si>
  <si>
    <t>ΔΗΜΟΤΙΚΟ ΣΧΟΛΕΙΟ ΑΡΣΕΝΙΟΥ</t>
  </si>
  <si>
    <t>mail@dim-arsen.pel.sch.gr</t>
  </si>
  <si>
    <t>Αρσένι Σκύδρας</t>
  </si>
  <si>
    <t>mail@3dim-edess.pel.sch.gr</t>
  </si>
  <si>
    <t>ΝΗΠΙΑΓΩΓΕΙΟ ΒΡΥΤΩΝ</t>
  </si>
  <si>
    <t>mail@nip-vryton.pel.sch.gr</t>
  </si>
  <si>
    <t>ΝΗΠΙΑΓΩΓΕΙΟ ΦΛΑΜΟΥΡΙΑΣ</t>
  </si>
  <si>
    <t>mail@nip-flamour.pel.sch.gr</t>
  </si>
  <si>
    <t>ΛΑΚΚΑΣ</t>
  </si>
  <si>
    <t>ΔΗΜΟΤΙΚΟ ΣΧΟΛΕΙΟ ΛΑΚΚΑΣ</t>
  </si>
  <si>
    <t>mail@dim-lakkas.pel.sch.gr</t>
  </si>
  <si>
    <t>ΛΑΚΚΑ</t>
  </si>
  <si>
    <t>ΔΗΜΟΤΙΚΟ ΣΧΟΛΕΙΟ ΠΛΑΓΙΑΡΙΟΥ</t>
  </si>
  <si>
    <t>mail@dim-plagiar.pel.sch.gr</t>
  </si>
  <si>
    <t>Πλαγιάρι</t>
  </si>
  <si>
    <t>ΠΛΑΓΙΑΡΙ ΓΙΑΝΝΙΤΣΩΝ</t>
  </si>
  <si>
    <t>ΔΗΜΟΤΙΚΟ ΣΧΟΛΕΙΟ ΠΑΛΙΟΥ ΜΥΛΟΤΟΠΟΥ</t>
  </si>
  <si>
    <t>mail@dim-paliou.pel.sch.gr</t>
  </si>
  <si>
    <t>Παλαιός Μυλότοπος</t>
  </si>
  <si>
    <t>ΔΗΜΟΤΙΚΟ ΣΧΟΛΕΙΟ ΡΑΧΩΝΑΣ</t>
  </si>
  <si>
    <t>mail@dim-rachon.pel.sch.gr</t>
  </si>
  <si>
    <t>mail@dim-mylot.pel.sch.gr</t>
  </si>
  <si>
    <t>ΝΕΟΣ  ΜΥΛΟΤΟΠΟΣ</t>
  </si>
  <si>
    <t>Π. ΚΑΤΣΑΡΕΑ 7</t>
  </si>
  <si>
    <t>ΔΗΜΟΤΙΚΟ ΣΧΟΛΕΙΟ ΔΥΤΙΚΟΥ</t>
  </si>
  <si>
    <t>mail@dim-dytik.pel.sch.gr</t>
  </si>
  <si>
    <t>Δυτικό</t>
  </si>
  <si>
    <t>2ο  ΔΗΜΟΤΙΚΟ ΣΧΟΛΕΙΟ ΓΙΑΝΝΙΤΣΩΝ "ΑΛΕΞΑΝΔΡΕΙΟ"</t>
  </si>
  <si>
    <t>mail@2dim-giann.pel.sch.gr</t>
  </si>
  <si>
    <t>ΑΘ.ΟΙΚΟΝΟΜΟΥ 1</t>
  </si>
  <si>
    <t>ΔΗΜΟΤΙΚΟ ΣΧΟΛΕΙΟ ΑΚΡΟΛΙΜΝΗΣ</t>
  </si>
  <si>
    <t>mail@dim-akrol.pel.sch.gr</t>
  </si>
  <si>
    <t>ΔΗΜΟΤΙΚΟ ΣΧΟΛΕΙΟ ΜΕΛΙΣΣΙΟΥ</t>
  </si>
  <si>
    <t>mail@dim-meliss.pel.sch.gr</t>
  </si>
  <si>
    <t>ΜΕΛΙΣΣΙ</t>
  </si>
  <si>
    <t>ΔΗΜΟΤΙΚΟ ΣΧΟΛΕΙΟ ΓΥΨΟΧΩΡΙΟΥ</t>
  </si>
  <si>
    <t>mail@dim-gypsoch.pel.sch.gr</t>
  </si>
  <si>
    <t>ΦΙΛΙΠΠΟΥ-ΓΥΨΟΧΩΡΙ</t>
  </si>
  <si>
    <t>2ο  ΝΗΠΙΑΓΩΓΕΙΟ ΣΚΥΔΡΑΣ</t>
  </si>
  <si>
    <t>mail@2nip-skydr.pel.sch.gr</t>
  </si>
  <si>
    <t>ΗΡΩΩΝ ΠΟΛΥΤΕΧΝΕΙΟΥ 4</t>
  </si>
  <si>
    <t>1ο ΝΗΠΙΑΓΩΓΕΙΟ ΣΚΥΔΡΑΣ</t>
  </si>
  <si>
    <t>mail@1nip-skydr.pel.sch.gr</t>
  </si>
  <si>
    <t>ΘΕΜ. ΣΗΜΑΙΟΦΟΡΙΔΗ 1</t>
  </si>
  <si>
    <t>5ο ΔΗΜΟΤΙΚΟ ΣΧΟΛΕΙΟ ΓΙΑΝΝΙΤΣΩΝ "ΠΗΝΕΛΟΠΗ ΔΕΛΤΑ"</t>
  </si>
  <si>
    <t>mail@5dim-giann.pel.sch.gr</t>
  </si>
  <si>
    <t>Μ.ΑΛΕΞΑΝΔΡΟΥ 112</t>
  </si>
  <si>
    <t>1ο  ΝΗΠΙΑΓΩΓΕΙΟ ΚΡΥΑΣ ΒΡΥΣΗΣ</t>
  </si>
  <si>
    <t>mail@1nip-kr-vrysis.pel.sch.gr</t>
  </si>
  <si>
    <t>ΕΛΕΥΘΕΡΙΟΥ ΒΕΝΙΖΕΛΟΥ 20</t>
  </si>
  <si>
    <t>3ο  ΝΗΠΙΑΓΩΓΕΙΟ ΚΡΥΑΣ ΒΡΥΣΗΣ</t>
  </si>
  <si>
    <t>mail@3nip-kr-vrysis.pel.sch.gr</t>
  </si>
  <si>
    <t>ΔΩΔΕΚΑΝΗΣΟΥ 3</t>
  </si>
  <si>
    <t>7ο ΔΗΜΟΤΙΚΟ ΣΧΟΛΕΙΟ ΓΙΑΝΝΙΤΣΩΝ</t>
  </si>
  <si>
    <t>mail@7dim-giann.pel.sch.gr</t>
  </si>
  <si>
    <t>ΚΛΕΦΤΩΝ ΚΑΙ ΑΡΜΑΤΩΛΩΝ</t>
  </si>
  <si>
    <t>ΔΗΜΟΤΙΚΟ ΣΧΟΛΕΙΟ ΕΣΩΒΑΛΤΩΝ</t>
  </si>
  <si>
    <t>mail@dim-esovalt.pel.sch.gr</t>
  </si>
  <si>
    <t>ΕΣΩΒΑΛΤA</t>
  </si>
  <si>
    <t>Δ.Σ.ΕΣΩΒΑΛΤΩΝ ΚΡΥΑΣ ΒΡΥΣΗΣ</t>
  </si>
  <si>
    <t>ΔΗΜΟΤΙΚΟ ΣΧΟΛΕΙΟ ΝΕΑΣ ΠΕΛΛΑΣ</t>
  </si>
  <si>
    <t>mail@dim-n-pellas.pel.sch.gr</t>
  </si>
  <si>
    <t>ΝΗΠΙΑΓΩΓΕΙΟ ΖΕΡΒΗΣ</t>
  </si>
  <si>
    <t>mail@nip-zervis.pel.sch.gr</t>
  </si>
  <si>
    <t>ΖΕΡΒΗΣ</t>
  </si>
  <si>
    <t>ΖΕΡΒΗ</t>
  </si>
  <si>
    <t>ΟΡΜΗΣ</t>
  </si>
  <si>
    <t>ΝΗΠΙΑΓΩΓΕΙΟ ΟΡΜΑΣ</t>
  </si>
  <si>
    <t>mail@nip-ormas.pel.sch.gr</t>
  </si>
  <si>
    <t>ΟΡΜΑ-ΑΛΜΩΠΙΑΣ</t>
  </si>
  <si>
    <t>ΟΡΜΑ</t>
  </si>
  <si>
    <t>2dimkvry@sch.gr</t>
  </si>
  <si>
    <t>ΒΕΝΙΖΕΛΟΥ 107</t>
  </si>
  <si>
    <t>ΔΗΜΟΤΙΚΟ ΣΧΟΛΕΙΟ ΠΑΛΑΙΦΥΤΟΥ</t>
  </si>
  <si>
    <t>mail@dim-palaif.pel.sch.gr</t>
  </si>
  <si>
    <t>ΝΗΠΙΑΓΩΓΕΙΟ ΠΕΤΡΑΙΑΣ</t>
  </si>
  <si>
    <t>mail@nip-petraias.pel.sch.gr</t>
  </si>
  <si>
    <t>ΔΗΜΟΤΙΚΟ ΣΧΟΛΕΙΟ ΔΡΟΣΕΡΟΥ</t>
  </si>
  <si>
    <t>mail@dim-droser.pel.sch.gr</t>
  </si>
  <si>
    <t>ΔΗΜΟΤΙΚΟ ΣΧΟΛΕΙΟ ΝΗΣΙΟΥ ΠΕΛΛΑΣ</t>
  </si>
  <si>
    <t>dimnisiou@sch.gr</t>
  </si>
  <si>
    <t>ΝΗΣΙ ΠΕΛΛΑΣ</t>
  </si>
  <si>
    <t>ΔΗΜΟΤΙΚΟ ΣΧΟΛΕΙΟ ΑΡΧΑΓΓΕΛΟΥ</t>
  </si>
  <si>
    <t>mail@dim-archang.pel.sch.gr</t>
  </si>
  <si>
    <t>mail@dim-pellas.pel.sch.gr</t>
  </si>
  <si>
    <t>ΝΟΤΙΑΣ</t>
  </si>
  <si>
    <t>ΔΗΜΟΤΙΚΟ ΣΧΟΛΕΙΟ ΝΟΤΙΑΣ</t>
  </si>
  <si>
    <t>mail@dim-n-arid.pel.sch.gr</t>
  </si>
  <si>
    <t>ΝΟΤΙΑ</t>
  </si>
  <si>
    <t>ΞΙΦΙΑΝΗΣ</t>
  </si>
  <si>
    <t>ΔΗΜΟΤΙΚΟ ΣΧΟΛΕΙΟ ΞΙΦΙΑΝΗΣ - ΑΛΩΡΟΥ</t>
  </si>
  <si>
    <t>mail@dim-xifian.pel.sch.gr</t>
  </si>
  <si>
    <t>Ξιφιανή</t>
  </si>
  <si>
    <t>ΞΙΦΙΑΝΗ</t>
  </si>
  <si>
    <t>ΔΗΜΟΤΙΚΟ ΣΧΟΛΕΙΟ ΟΡΜΑΣ</t>
  </si>
  <si>
    <t>mail@dim-ormas.pel.sch.gr</t>
  </si>
  <si>
    <t>ΟΡΜΑ ΑΡΙΔΑΙΑΣ</t>
  </si>
  <si>
    <t>ΛΟΥΤΡΑΚΙΟΥ</t>
  </si>
  <si>
    <t>ΔΗΜΟΤΙΚΟ ΣΧΟΛΕΙΟ ΛΟΥΤΡΑΚΙΟΥ</t>
  </si>
  <si>
    <t>mail@dim-loutr.pel.sch.gr</t>
  </si>
  <si>
    <t>ΛΟΥΤΡΑΚΙ</t>
  </si>
  <si>
    <t>ΛΟΥΤΡΑΚΙ ΑΡΙΔΑΙΑΣ</t>
  </si>
  <si>
    <t>ΚΑΡΥΔΙΑΣ</t>
  </si>
  <si>
    <t>ΝΗΠΙΑΓΩΓΕΙΟ ΚΑΡΥΔΙΑΣ</t>
  </si>
  <si>
    <t>mail@nip-karyd.pel.sch.gr</t>
  </si>
  <si>
    <t>ΚΑΡΥΔΙΑ</t>
  </si>
  <si>
    <t>mail@10dim-giann.pel.sch.gr</t>
  </si>
  <si>
    <t>ΜΕΓΑΛΟΥ ΑΛΕΞΑΝΔΡΟΥ 112</t>
  </si>
  <si>
    <t>ΣΑΡΑΚΗΝΩΝ</t>
  </si>
  <si>
    <t>ΔΗΜΟΤΙΚΟ ΣΧΟΛΕΙΟ ΣΑΡΑΚΗΝΟΙ - ΣΑΡΑΚΗΝΩΝ ΚΟΡΥΦΗΣ</t>
  </si>
  <si>
    <t>mail@dim-sarak.pel.sch.gr</t>
  </si>
  <si>
    <t>ΣΑΡΑΚΗΝΟΙ</t>
  </si>
  <si>
    <t>ΣΑΡΑΚΗΝΟΙ ΑΡΙΔΑΙΑΣ</t>
  </si>
  <si>
    <t>ΔΗΜΟΤΙΚΟ ΣΧΟΛΕΙΟ ΦΙΛΩΤΕΙΑΣ</t>
  </si>
  <si>
    <t>mail@dim-filot.pel.sch.gr</t>
  </si>
  <si>
    <t>mail@dim-axou.pel.sch.gr</t>
  </si>
  <si>
    <t>Μ. ΑΛΕΞΑΝΔΡΟΥ 132</t>
  </si>
  <si>
    <t>8ο ΝΗΠΙΑΓΩΓΕΙΟ ΓΙΑΝΝΙΤΣΩΝ</t>
  </si>
  <si>
    <t>mail@8nip-giann.pel.sch.gr</t>
  </si>
  <si>
    <t>1 ΧΛΜ ΓΙΑΝΝΙΤΣΩΝ ΠΕΝΤΑΠΛΑΤΑΝΟΥ</t>
  </si>
  <si>
    <t>mail@3dim-k-vrysis.pel.sch.gr</t>
  </si>
  <si>
    <t>ΣΑΓΓΑΡΙΟΥ 1</t>
  </si>
  <si>
    <t>4ο  ΔΗΜΟΤΙΚΟ ΣΧΟΛΕΙΟ ΚΡΥΑΣ ΒΡΥΣΗΣ</t>
  </si>
  <si>
    <t>mail@4dim-kr-vrysis.pel.sch.gr</t>
  </si>
  <si>
    <t>ΥΨΗΛΑΝΤΟΥ  1</t>
  </si>
  <si>
    <t>ΤΣΑΚΩΝ</t>
  </si>
  <si>
    <t>ΔΗΜΟΤΙΚΟ ΣΧΟΛΕΙΟ ΧΡΥΣΑΣ - ΤΣΑΚΩΝ</t>
  </si>
  <si>
    <t>mail@dim-chrys.pel.sch.gr</t>
  </si>
  <si>
    <t>ΤΣΑΚΟΙ</t>
  </si>
  <si>
    <t>ΤΣΑΚΟΙ ΑΡΙΔΑΙΑΣ</t>
  </si>
  <si>
    <t>ΝΗΠΙΑΓΩΓΕΙΟ ΔΩΡΟΘΕΑ-ΑΛΜΩΠΙΑΣ</t>
  </si>
  <si>
    <t>mail@nip-doroth.pel.sch.gr</t>
  </si>
  <si>
    <t>ΔΩΡΟΘΕΑ-ΑΛΜΩΠΙΑΣ</t>
  </si>
  <si>
    <t>ΝΗΠΙΑΓΩΓΕΙΟ ΘΗΡΙΟΠΕΤΡΑ ΕΞΑΠΛΑΤΑΝΟΥ</t>
  </si>
  <si>
    <t>mail@nip-thiriop.pel.sch.gr</t>
  </si>
  <si>
    <t>ΘΗΡΙΟΠΕΤΡΑ ΕΞΑΠΛΑΤΑΝΟΥ</t>
  </si>
  <si>
    <t>ΘΗΡΙΟΠΕΤΡΑ</t>
  </si>
  <si>
    <t>ΝΗΠΙΑΓΩΓΕΙΟ ΞΙΦΙΑΝΗ-ΑΛΜΩΠΙΑΣ</t>
  </si>
  <si>
    <t>mail@nip-xifian.pel.sch.gr</t>
  </si>
  <si>
    <t>ΞΙΦΙΑΝΗ-ΑΛΜΩΠΙΑΣ</t>
  </si>
  <si>
    <t>ΝΗΠΙΑΓΩΓΕΙΟ ΠΡΟΜΑΧΩΝ-ΑΛΜΩΠΙΑΣ</t>
  </si>
  <si>
    <t>mail@nip-promach.pel.sch.gr</t>
  </si>
  <si>
    <t>ΠΡΟΜΑΧΟΙ-ΑΛΜΩΠΙΑΣ</t>
  </si>
  <si>
    <t>ΝΗΠΙΑΓΩΓΕΙΟ ΡΙΖΟΧΩΡΙ- ΑΛΜΩΠΙΑΣ</t>
  </si>
  <si>
    <t>mail@nip-rizoch.pel.sch.gr</t>
  </si>
  <si>
    <t>ΡΙΖΟΧΩΡΙ- ΑΛΜΩΠΙΑΣ</t>
  </si>
  <si>
    <t>ΡΙΖΟΧΩΡΙ</t>
  </si>
  <si>
    <t>ΝΗΠΙΑΓΩΓΕΙΟ ΣΑΡΑΚΗΝΟΙ-ΑΛΜΩΠΙΑΣ</t>
  </si>
  <si>
    <t>mail@nip-sarak.pel.sch.gr</t>
  </si>
  <si>
    <t>ΣΑΡΑΚΗΝΟΙ-ΑΛΜΩΠΙΑΣ</t>
  </si>
  <si>
    <t>ΝΗΠΙΑΓΩΓΕΙΟ ΣΩΣΑΝΔΡΑΣ-ΑΛΜΩΠΙΑΣ</t>
  </si>
  <si>
    <t>mail@nip-sosandr.pel.sch.gr</t>
  </si>
  <si>
    <t>ΣΩΣΑΝΔΡΑ-ΑΛΜΩΠΙΑΣ</t>
  </si>
  <si>
    <t>ΣΩΣΑΝΔΡΑ</t>
  </si>
  <si>
    <t>ΝΗΠΙΑΓΩΓΕΙΟ ΥΔΡΑΙΑ- ΑΛΜΩΠΙΑΣ</t>
  </si>
  <si>
    <t>mail@nip-ydraias.pel.sch.gr</t>
  </si>
  <si>
    <t>ΥΔΡΑΙΑ- ΑΛΜΩΠΙΑΣ</t>
  </si>
  <si>
    <t>ΥΔΡΑΙΑ</t>
  </si>
  <si>
    <t>ΝΗΠΙΑΓΩΓΕΙΟ ΧΡΥΣΑΣ-ΤΣΑΚΩΝ</t>
  </si>
  <si>
    <t>mail@nip-chrysas.pel.sch.gr</t>
  </si>
  <si>
    <t>ΧΡΥΣΑ-ΤΣΑΚΟΙ-ΑΛΜΩΠΙΑΣ</t>
  </si>
  <si>
    <t>2ο  ΝΗΠΙΑΓΩΓΕΙΟ ΑΡΙΔΑΙΑΣ</t>
  </si>
  <si>
    <t>mail@2nip-aridaias.pel.sch.gr</t>
  </si>
  <si>
    <t>ΜΕΓΑΛΟΥ ΑΛΕΞΑΝΔΡΟΥ 20</t>
  </si>
  <si>
    <t>Νηπιαγωγείο Αψάλου</t>
  </si>
  <si>
    <t>mail@nip-apsal.pel.sch.gr</t>
  </si>
  <si>
    <t>ΑΨΑΛΟΣ-ΑΛΜΩΠΙΑΣ</t>
  </si>
  <si>
    <t>ΝΗΠΙΑΓΩΓΕΙΟ ΒΟΡΕΙΝΟΥ-ΑΛΜΩΠΙΑΣ</t>
  </si>
  <si>
    <t>mail@nip-vorein.pel.sch.gr</t>
  </si>
  <si>
    <t>ΒΟΡΕΙΝΟ-ΑΛΜΩΠΙΑΣ</t>
  </si>
  <si>
    <t>ΝΗΠΙΑΓΩΓΕΙΟ ΓΑΡΕΦΕΙΟΥ-ΑΛΜΩΠΙΑΣ</t>
  </si>
  <si>
    <t>mail@nip-garef.pel.sch.gr</t>
  </si>
  <si>
    <t>ΓΑΡΕΦΙ-ΑΛΜΩΠΙΑΣ</t>
  </si>
  <si>
    <t>ΝΗΠΙΑΓΩΓΕΙΟ ΕΞΑΠΛΑΤΑΝΟΥ</t>
  </si>
  <si>
    <t>mail@2nip-exapl.pel.sch.gr</t>
  </si>
  <si>
    <t>ΟΛΟΗΜΕΡΟ ΝΗΠΙΑΓΩΓΕΙΟ ΘΕΟΔΩΡΑΚΙ-ΑΛΜΩΠΙΑΣ</t>
  </si>
  <si>
    <t>mail@nip-theod.pel.sch.gr</t>
  </si>
  <si>
    <t>ΘΕΟΔΩΡΑΚΙ-ΑΛΜΩΠΙΑΣ</t>
  </si>
  <si>
    <t>ΙΔΑΣ</t>
  </si>
  <si>
    <t>ΝΗΠΙΑΓΩΓΕΙΟ ΙΔΑΣ-ΑΛΜΩΠΙΑΣ</t>
  </si>
  <si>
    <t>mail@nip-idas.pel.sch.gr</t>
  </si>
  <si>
    <t>ΙΔΑ-ΑΛΜΩΠΙΑΣ</t>
  </si>
  <si>
    <t>ΙΔΑ</t>
  </si>
  <si>
    <t>ΝΗΠΙΑΓΩΓΕΙΟ ΚΩΝΣΤΑΝΤΙΑ-ΑΛΜΩΠΙΑΣ</t>
  </si>
  <si>
    <t>mail@nip-konst.pel.sch.gr</t>
  </si>
  <si>
    <t>ΚΩΝΣΤΑΝΤΙΑ-ΑΛΜΩΠΙΑΣ</t>
  </si>
  <si>
    <t>ΝΗΠΙΑΓΩΓΕΙΟ ΛΟΥΤΡΑΚΙΟΥ ΑΛΜΩΠΙΑΣ</t>
  </si>
  <si>
    <t>mail@nip-loutr.pel.sch.gr</t>
  </si>
  <si>
    <t>ΛΟΥΤΡΑΚΙ-ΑΛΜΩΠΙΑΣ</t>
  </si>
  <si>
    <t>ΜΕΓΑΠΛΑΤΑΝΟΥ</t>
  </si>
  <si>
    <t>ΝΗΠΙΑΓΩΓΕΙΟ ΜΕΓΑΠΛΑΤΑΝΟΥ</t>
  </si>
  <si>
    <t>mail@nip-megap.pel.sch.gr</t>
  </si>
  <si>
    <t>ΜΕΓΑΠΛΑΤΑΝΟΣ-ΑΛΜΩΠΙΑΣ</t>
  </si>
  <si>
    <t>ΜΕΓΑΠΛΑΤΑΝΟΣ</t>
  </si>
  <si>
    <t>mail@1dim-aridaias.pel.sch.gr</t>
  </si>
  <si>
    <t>Μαυρομιχάλη 6</t>
  </si>
  <si>
    <t>ΔΗΜΟΤΙΚΟ ΣΧΟΛΕΙΟ ΖΕΡΒΗΣ</t>
  </si>
  <si>
    <t>mail@dim-zervis.pel.sch.gr</t>
  </si>
  <si>
    <t>Ζέρβη Πέλλας</t>
  </si>
  <si>
    <t>Δ. Σχ. Ζέρβης</t>
  </si>
  <si>
    <t>mail@dim-kalis.pel.sch.gr</t>
  </si>
  <si>
    <t>ΔΗΜΟΤΙΚΟ ΣΧΟΛΕΙΟ ΚΑΛΛΙΠΟΛΗΣ "ΣΟΦΙΑ ΒΕΜΠΟ"</t>
  </si>
  <si>
    <t>mail@dim-kallip.pel.sch.gr</t>
  </si>
  <si>
    <t>ΚΑΛΛΙΠΟΛΗ ΣΚΥΔΡΑΣ</t>
  </si>
  <si>
    <t>ΔΗΜΟΤΙΚΟ ΣΧΟΛΕΙΟ ΚΑΡΥΔΙΑΣ</t>
  </si>
  <si>
    <t>mail@dim-karyd.pel.sch.gr</t>
  </si>
  <si>
    <t xml:space="preserve">Καρυδιά </t>
  </si>
  <si>
    <t>Δ.Δ.ΚΑΡΥΔΙΑΣ</t>
  </si>
  <si>
    <t>ΔΗΜΟΤΙΚΟ ΣΧΟΛΕΙΟ ΠΕΡΑΙΑΣ</t>
  </si>
  <si>
    <t>mail@dim-peraias.pel.sch.gr</t>
  </si>
  <si>
    <t>ΔΗΜΟΤΙΚΟ ΣΧΟΛΕΙΟ ΡΙΖΟΥ</t>
  </si>
  <si>
    <t>mail@dim-rizou.pel.sch.gr</t>
  </si>
  <si>
    <t>ΔΗΜΟΤΙΚΟ ΣΧΟΛΕΙΟ ΠΑΝΑΓΙΤΣΑΣ ΕΔΕΣΣΑΣ</t>
  </si>
  <si>
    <t>dipanagi@sch.gr</t>
  </si>
  <si>
    <t>ΔΗΜΟΤΙΚΟ ΣΧΟΛΕΙΟ ΡΙΖΑΡΙΟΥ</t>
  </si>
  <si>
    <t>mail@dim-rizar.pel.sch.gr</t>
  </si>
  <si>
    <t>ΡΙΖΑΡΙ</t>
  </si>
  <si>
    <t>ΔΗΜΟΤΙΚΟ ΣΧΟΛΕΙΟ ΡΙΖΑΡΙΟΥ ΠΕΛΛΑΣ</t>
  </si>
  <si>
    <t>ΣΩΤΗΡΑΣ</t>
  </si>
  <si>
    <t>ΟΛΟΗΜΕΡΟ ΔΗΜΟΤΙΚΟ ΣΧΟΛΕΙΟ ΣΩΤΗΡΑ</t>
  </si>
  <si>
    <t>mail@dim-sotir.pel.sch.gr</t>
  </si>
  <si>
    <t>Δ.Δ.ΣΩΤΗΡΑΣ</t>
  </si>
  <si>
    <t>ΔΗΜΟΤΙΚΟ ΣΧΟΛΕΙΟ ΚΕΡΑΣΙΑΣ ΠΕΛΛΑΣ</t>
  </si>
  <si>
    <t>mail@dim-keras.pel.sch.gr</t>
  </si>
  <si>
    <t>Κερασιά</t>
  </si>
  <si>
    <t>ΛΙΠΟΧΩΡΙΟΥ</t>
  </si>
  <si>
    <t>ΔΗΜΟΤΙΚΟ ΣΧΟΛΕΙΟ ΛΙΠΟΧΩΡΙΟΥ</t>
  </si>
  <si>
    <t>mail@dim-lipoch.pel.sch.gr</t>
  </si>
  <si>
    <t>ΛΙΠΟΧΩΡΙ</t>
  </si>
  <si>
    <t>ΜΑΥΡΟΒΟΥΝΙΟΥ</t>
  </si>
  <si>
    <t>ΝΗΠΙΑΓΩΓΕΙΟ ΜΑΥΡΟΒΟΥΝΙΟΥ ΠΕΛΛΑΣ</t>
  </si>
  <si>
    <t>mail@nip-mavrov.pel.sch.gr</t>
  </si>
  <si>
    <t>ΜΑΥΡΟΒΟΥΝΙ</t>
  </si>
  <si>
    <t>ΝΗΠΙΑΓΩΓΕΙΟ ΛΙΠΟΧΩΡΙΟΥ</t>
  </si>
  <si>
    <t>mail@nip-lipoch.pel.sch.gr</t>
  </si>
  <si>
    <t>ΣΕΒΑΣΤΙΑΝΩΝ</t>
  </si>
  <si>
    <t>ΝΗΠΙΑΓΩΓΕΙΟ ΣΕΒΑΣΤΙΑΝΩΝ</t>
  </si>
  <si>
    <t>mail@nip-sevast.pel.sch.gr</t>
  </si>
  <si>
    <t>ΣΕΒΑΣΤΙΑΝΑ</t>
  </si>
  <si>
    <t>ΝΗΠΙΑΓΩΓΕΙΟ ΕΚΚΛΗΣΟΧΩΡΙΟΥ</t>
  </si>
  <si>
    <t>mail@nip-ekklis.pel.sch.gr</t>
  </si>
  <si>
    <t>ΕΚΚΛΗΣΟΧΩΡΙΟΥ</t>
  </si>
  <si>
    <t>ΕΚΚΛΗΣΟΧΩΡΙ</t>
  </si>
  <si>
    <t>ΝΗΠΙΑΓΩΓΕΙΟ ΚΑΛΥΒΙΩΝ - "ΜΠΟΪΚΟΣ Β.- ΦΙΛΑΝΘΙΔΟΥ Ε."</t>
  </si>
  <si>
    <t>mail@nip-kalyv.pel.sch.gr</t>
  </si>
  <si>
    <t>ΝΗΠΙΑΓΩΓΕΙΟ ΚΕΡΑΣΙΑΣ ΠΕΛΛΑΣ</t>
  </si>
  <si>
    <t>mail@nip-keras.pel.sch.gr</t>
  </si>
  <si>
    <t>ΚΕΡΑΣΙΑΣ</t>
  </si>
  <si>
    <t>ΝΗΠΙΑΓΩΓΕΙΟ ΠΕΡΑΙΑΣ</t>
  </si>
  <si>
    <t>mail@nip-peraias.pel.sch.gr</t>
  </si>
  <si>
    <t>ΝΗΠΙΑΓΩΓΕΙΟ Κ.ΓΡΑΜΜΑΤΙΚΟΥ</t>
  </si>
  <si>
    <t>mail@nip-kat-gramm.pel.sch.gr</t>
  </si>
  <si>
    <t>Κ.ΓΡΑΜΜΑΤΙΚΟΥ</t>
  </si>
  <si>
    <t>Κ.ΓΡΑΜΜΑΤΙΚΟ</t>
  </si>
  <si>
    <t>ΔΗΜΟΤΙΚΟ ΣΧΟΛΕΙΟ ΚΑΤΩ ΓΡΑΜΜΑΤΙΚΟΥ</t>
  </si>
  <si>
    <t>mail@dim-kat-gramm.pel.sch.gr</t>
  </si>
  <si>
    <t>ΚΑΤΩ ΓΡΑΜΜΑΤΙΚΟ</t>
  </si>
  <si>
    <t>ΠΡΟΦΗΤΟΥ ΗΛΙΟΥ</t>
  </si>
  <si>
    <t>ΔΗΜΟΤΙΚΟ ΣΧΟΛΕΙΟ ΠΡΟΦΗΤΗ ΗΛΙΑ ΠΕΛΛΑΣ</t>
  </si>
  <si>
    <t>mail@dim-prof-ilia.pel.sch.gr</t>
  </si>
  <si>
    <t>Προφήτης Ηλίας</t>
  </si>
  <si>
    <t>ΠΡΟΦΗΤΗΣ ΗΛΙΑΣ - ΣΚΥΔΡΑ</t>
  </si>
  <si>
    <t>ΔΗΜΟΤΙΚΟ ΣΧΟΛΕΙΟ ΑΓΙΟΥ ΑΘΑΝΑΣΙΟΥ</t>
  </si>
  <si>
    <t>mail@dim-ag-athan.pel.sch.gr</t>
  </si>
  <si>
    <t>ΔΗΜΟΤΙΚΟ ΣΧΟΛΕΙΟ ΑΓ.ΦΩΤΕΙΝΗΣ</t>
  </si>
  <si>
    <t>mail@dim-ag-fotein.pel.sch.gr</t>
  </si>
  <si>
    <t>ΑΓ.ΦΩΤΕΙΝΗ</t>
  </si>
  <si>
    <t>ΑΓΙΑ ΦΩΤΕΙΝΗ</t>
  </si>
  <si>
    <t>ΔΗΜΟΤΙΚΟ ΣΧΟΛΕΙΟ ΣΕΒΑΣΤΕΙΑΝΩΝ</t>
  </si>
  <si>
    <t>mail@dim-sevast.pel.sch.gr</t>
  </si>
  <si>
    <t>ΣΕΒΑΣΤΕΙΑΝΑ</t>
  </si>
  <si>
    <t>ΔΗΜΟΤΙΚΟ ΣΧΟΛΕΙΟ ΚΑΛΥΒΙΩΝ ΠΕΛΛΑΣ</t>
  </si>
  <si>
    <t>mail@dim-kalyv.pel.sch.gr</t>
  </si>
  <si>
    <t>ΟΛΟΗΜΕΡΟ ΝΗΠΙΑΓΩΓΕΙΟ ΑΓ.ΦΩΤΕΙΝΗΣ</t>
  </si>
  <si>
    <t>mail@nip-ag-fotein.pel.sch.gr</t>
  </si>
  <si>
    <t>ΑΓ.ΦΩΤΕΙΝΗΣ</t>
  </si>
  <si>
    <t>mail@dim-arniss.pel.sch.gr</t>
  </si>
  <si>
    <t>ΔΗΜΟΤΙΚΟ ΣΧΟΛΕΙΟ ΜΑΥΡΟΒΟΥΝΙΟΥ</t>
  </si>
  <si>
    <t>mail@dim-mavrov.pel.sch.gr</t>
  </si>
  <si>
    <t>MAΥΡΟΒΟΥΝΙ</t>
  </si>
  <si>
    <t>ΜΑΥΡΟΒΟΥΝΙ-ΣΚΥΔΡΑΣ</t>
  </si>
  <si>
    <t>ΕΙΔΙΚΟ ΔΗΜΟΤΙΚΟ ΣΧΟΛΕΙΟ ΕΔΕΣΣΑΣ</t>
  </si>
  <si>
    <t>mail@dim-eid-edess.pel.sch.gr</t>
  </si>
  <si>
    <t>1ο  ΔΗΜΟΤΙΚΟ ΣΧΟΛΕΙΟ ΕΔΕΣΣΑΣ</t>
  </si>
  <si>
    <t>mail@1dim-edess.pel.sch.gr</t>
  </si>
  <si>
    <t>ΑΡΧ. ΝΙΚΟΔΗΜΟΥ 27</t>
  </si>
  <si>
    <t>4ο ΔΗΜΟΤΙΚΟ ΣΧΟΛΕΙΟ ΕΔΕΣΣΑΣ</t>
  </si>
  <si>
    <t>mail@4dim-edess.pel.sch.gr</t>
  </si>
  <si>
    <t>ΠΛ. ΜΙΚ.ΑΣΙΑΣ 7</t>
  </si>
  <si>
    <t>mail@8dim-edess.pel.sch.gr</t>
  </si>
  <si>
    <t>ΔΗΜ. ΠΕΤΡΙΤΣΗ 30</t>
  </si>
  <si>
    <t>ΝΗΠΙΑΓΩΓΕΙΟ ΠΡΟΦΗΤΗ ΗΛΙΑ ΠΕΛΛΑΣ</t>
  </si>
  <si>
    <t>mail@nip-prof-ilia.pel.sch.gr</t>
  </si>
  <si>
    <t>ΠΡΟΦΗΤΗΣ ΗΛΙΑΣ</t>
  </si>
  <si>
    <t>2ο ΔΗΜΟΤΙΚΟ ΣΧΟΛΕΙΟ ΕΔΕΣΣΑΣ</t>
  </si>
  <si>
    <t>mail@2dim-edess.pel.sch.gr</t>
  </si>
  <si>
    <t>ΚΑΠ. ΑΚΡΙΤΑ 30</t>
  </si>
  <si>
    <t>4ο  ΝΗΠΙΑΓΩΓΕΙΟ ΕΔΕΣΣΑΣ</t>
  </si>
  <si>
    <t>mail@4nip-edess.pel.sch.gr</t>
  </si>
  <si>
    <t>ΚΕΡΑΣΟΥΝΤΟΣ  1, ΕΔΕΣΣΑ</t>
  </si>
  <si>
    <t>8ο ΝΗΠΙΑΓΩΓΕΙΟ ΕΔΕΣΣΑΣ</t>
  </si>
  <si>
    <t>mail@8nip-edess.pel.sch.gr</t>
  </si>
  <si>
    <t>ΔΕΚΑΤΗΣ ΟΓΔΟΗΣ ΟΚΤΩΒΡΙΟΥ 49</t>
  </si>
  <si>
    <t>ΝΗΠΙΑΓΩΓΕΙΟ ΑΓΙΟΥ ΑΘΑΝΑΣΙΟΥ</t>
  </si>
  <si>
    <t>mail@nip-ag-athan.pel.sch.gr</t>
  </si>
  <si>
    <t>ΑΓ.ΑΘΑΝΑΣΙΟΥ</t>
  </si>
  <si>
    <t>ΑΓ.ΑΘΑΝΑΣΙΟΣ</t>
  </si>
  <si>
    <t>ΝΗΠΙΑΓΩΓΕΙΟ ΛΟΥΤΡΟΧΩΡΙΟΥ</t>
  </si>
  <si>
    <t>mail@nip-loutroch.pel.sch.gr</t>
  </si>
  <si>
    <t>ΛΟΥΤΡΟΧΩΡΙΟΥ</t>
  </si>
  <si>
    <t>ΝΗΠΙΑΓΩΓΕΙΟ ΛΑΚΚΑΣ</t>
  </si>
  <si>
    <t>mail@nip-lakkas.pel.sch.gr</t>
  </si>
  <si>
    <t>ΔΗΜΟΤΙΚΟ ΣΧΟΛΕΙΟ ΙΔΑΣ</t>
  </si>
  <si>
    <t>mail@dim-idas.pel.sch.gr</t>
  </si>
  <si>
    <t>Δ. Σ. ΙΔΑΣ -ΔΗΜΟΣ ΑΛΜΩΠΙΑΣ</t>
  </si>
  <si>
    <t>2ο ΔΗΜΟΤΙΚΟ ΣΧΟΛΕΙΟ ΑΡΙΔΑΙΑΣ</t>
  </si>
  <si>
    <t>mail@2dim-aridaias.pel.sch.gr</t>
  </si>
  <si>
    <t>ΕΜΜΑΝΟΥΉΛ ΠΑΠΠΑ 6</t>
  </si>
  <si>
    <t>21ο ΝΗΠΙΑΓΩΓΕΙΟ ΓΙΑΝΝΙΤΣΩΝ</t>
  </si>
  <si>
    <t>mail@21nip-giann.pel.sch.gr</t>
  </si>
  <si>
    <t>ΕΛΛΗΣΠΟΝΤΟΥ 1</t>
  </si>
  <si>
    <t>ΔΗΜΟΤΙΚΟ ΣΧΟΛΕΙΟ ΔΑΦΝΗΣ ΠΕΛΛΑΣ</t>
  </si>
  <si>
    <t>mail@dim-dafnis.pel.sch.gr</t>
  </si>
  <si>
    <t>Δ.Σ .ΔΑΦΝΗΣ</t>
  </si>
  <si>
    <t>ΝΗΠΙΑΓΩΓΕΙΟ ΜΕΣΗΜΕΡΙΟΥ</t>
  </si>
  <si>
    <t>mail@nip-mesim.pel.sch.gr</t>
  </si>
  <si>
    <t>ΝΗΠΙΑΓΩΓΕΙΟ ΝΗΣΙΟΥ ΠΕΛΛΑΣ</t>
  </si>
  <si>
    <t>mail@nip-nisiou.pel.sch.gr</t>
  </si>
  <si>
    <t>ΝΗΠΙΑΓΩΓΕΙΟ ΡΙΖΑΡΙΟΥ  ΕΔΕΣΣΑΣ</t>
  </si>
  <si>
    <t>mail@nip-rizar.pel.sch.gr</t>
  </si>
  <si>
    <t>ΕΙΔΙΚΟ ΝΗΠΙΑΓΩΓΕΙΟ ΑΡΙΔΑΙΑ</t>
  </si>
  <si>
    <t>ΜΕΓ. ΑΛΕΞΑΝΔΡΟΥ 20</t>
  </si>
  <si>
    <t>ΕΙΔΙΚΟ ΝΗΠΙΑΓΩΓΕΙΟ ΕΔΕΣΣΑΣ</t>
  </si>
  <si>
    <t>mail@nip-eid-edess.pel.sch.gr</t>
  </si>
  <si>
    <t>11ο ΔΗΜΟΤΙΚΟ ΣΧΟΛΕΙΟ ΓΙΑΝΝΙΤΣΩΝ ΝΙΚΑΝΔΡΟΣ ΠΑΠΑΪΩΑΝΝΟΥ</t>
  </si>
  <si>
    <t>mail@11dim-giann.pel.sch.gr</t>
  </si>
  <si>
    <t>Μ. ΑΛΕΞΑΝΔΡΟΥ 3</t>
  </si>
  <si>
    <t>ΕΙΔΙΚΟ ΔΗΜΟΤΙΚΟ ΣΧΟΛΕΙΟ ΣΚΥΔΡΑΣ</t>
  </si>
  <si>
    <t>2ο  ΝΗΠΙΑΓΩΓΕΙΟ ΚΡΥΑΣ  ΒΡΥΣΗΣ - ΠΑΠΑΤΖΑΝΕΤΑ</t>
  </si>
  <si>
    <t>mail@2nip-k-vrysis.pel.sch.gr</t>
  </si>
  <si>
    <t>ΕΛΕΥΘΕΡΙΟΥ ΒΕΝΙΖΕΛΟΥ 107</t>
  </si>
  <si>
    <t>ΔΙΕΥΘΥΝΣΗ Π.Ε. ΠΙΕΡΙΑΣ</t>
  </si>
  <si>
    <t>mail@10dim-kater.pie.sch.gr</t>
  </si>
  <si>
    <t>ΤΕΝΕΔΟΥ 16</t>
  </si>
  <si>
    <t>3ο ΟΛΟΗΜΕΡΟ ΔΗΜΟΤΙΚΟ ΣΧΟΛΕΙΟ ΚΑΤΕΡΙΝΗΣ</t>
  </si>
  <si>
    <t>mail@3dim-kater.pie.sch.gr</t>
  </si>
  <si>
    <t>mail@2dim-kater.pie.sch.gr</t>
  </si>
  <si>
    <t>ΚΙΟΥΤΑΧΕΙΑΣ 10 (ΜΗΤΡΟΠΟΛΕΩΣ 8)</t>
  </si>
  <si>
    <t>ΕΙΔΙΚΟ ΔΗΜΟΤΙΚΟ ΣΧΟΛΕΙΟ ΚΑΤΕΡΙΝΗΣ</t>
  </si>
  <si>
    <t>mail@dim-eid-kater.pie.sch.gr</t>
  </si>
  <si>
    <t>ΓΑΝΟΧΩΡΑ, ΚΑΤΕΡΙΝΗΣ</t>
  </si>
  <si>
    <t>ΣΚΟΤΙΝΗΣ</t>
  </si>
  <si>
    <t>ΝΗΠΙΑΓΩΓΕΙΟ ΣΚΟΤΙΝΑΣ</t>
  </si>
  <si>
    <t>mail@nip-skotin.pie.sch.gr</t>
  </si>
  <si>
    <t>ΣΚΟΤΙΝΑ</t>
  </si>
  <si>
    <t>ΟΛΟΗΜΕΡΟ ΔΗΜΟΤΙΚΟ ΣΧΟΛΕΙΟ ΜΕΣΑΙΑΣ ΜΗΛΙΑΣ</t>
  </si>
  <si>
    <t>mail@dim-mes-milias.pie.sch.gr</t>
  </si>
  <si>
    <t>Μεσαία Μηλιά Πιερίας</t>
  </si>
  <si>
    <t>mail@2dim-leptok.pie.sch.gr</t>
  </si>
  <si>
    <t>ΜΕΓ.  ΑΛΕΞΑΝΔΡΟΥ 1</t>
  </si>
  <si>
    <t>ΔΗΜΟΤΙΚΟ ΣΧΟΛΕΙΟ ΑΓΙΟΥ ΔΗΜΗΤΡΙΟΥ ΠΙΕΡΙΑΣ</t>
  </si>
  <si>
    <t>mail@dim-ag-dimitr.pie.sch.gr</t>
  </si>
  <si>
    <t>ΕΛΑΦΙΝΑΣ</t>
  </si>
  <si>
    <t>ΠΑΛΑΙΟΥ ΚΕΡΑΜΙΔΙΟΥ</t>
  </si>
  <si>
    <t>ΝΗΠΙΑΓΩΓΕΙΟ ΠΑΛΑΙΟΥ ΚΕΡΑΜΙΔΙΟΥ</t>
  </si>
  <si>
    <t>mail@nip-p-keram.pie.sch.gr</t>
  </si>
  <si>
    <t>ΠΑΛΑΙΟ ΚΕΡΑΜΙΔΙ</t>
  </si>
  <si>
    <t>ΒΡΙΑΣ</t>
  </si>
  <si>
    <t>ΝΗΠΙΑΓΩΓΕΙΟ ΒΡΙΑΣ</t>
  </si>
  <si>
    <t>mail@nip-vrias.pie.sch.gr</t>
  </si>
  <si>
    <t>ΒΡΙΑ</t>
  </si>
  <si>
    <t>ΠΟΡΩΝ</t>
  </si>
  <si>
    <t>ΝΗΠΙΑΓΩΓΕΙΟ ΝΕΩΝ ΠΟΡΩΝ</t>
  </si>
  <si>
    <t>mail@nip-n-poron.pie.sch.gr</t>
  </si>
  <si>
    <t>ΝΕΩΝ ΠΟΡΩΝ</t>
  </si>
  <si>
    <t>ΝΕΟΙ ΠΟΡΟΙ</t>
  </si>
  <si>
    <t>1ο   ΝΗΠΙΑΓΩΓΕΙΟ ΑΙΓΙΝΙΟΥ - ΓΕΩΡΓΙΟΣ ΔΡΟΣΙΝΗΣ</t>
  </si>
  <si>
    <t>mail@1nip-aigin.pie.sch.gr</t>
  </si>
  <si>
    <t>ΑΘΑΝΑΣΙΟΥ ΔΙΑΚΟΥ 2</t>
  </si>
  <si>
    <t>7ο ΔΗΜΟΤΙΚΟ ΣΧΟΛΕΙΟ ΚΑΤΕΡΙΝΗΣ</t>
  </si>
  <si>
    <t>mail@7dim-kater.pie.sch.gr</t>
  </si>
  <si>
    <t>ΜΗΤΡΟΠΟΛΙΤΟΥ ΚΥΡΙΛΛΟΥ 8</t>
  </si>
  <si>
    <t>ΜΟΣΧΟΧΩΡΙΟΥ</t>
  </si>
  <si>
    <t>ΔΗΜΟΤΙΚΟ ΣΧΟΛΕΙΟ ΜΟΣΧΟΧΩΡΙΟΥ</t>
  </si>
  <si>
    <t>mail@dim-mosch.pie.sch.gr</t>
  </si>
  <si>
    <t>ΜΟΣΧΟΧΩΡΙ</t>
  </si>
  <si>
    <t>4ο ΝΗΠΙΑΓΩΓΕΙΟ ΚΑΤΕΡΙΝΗΣ</t>
  </si>
  <si>
    <t>mail@4nip-kater.pie.sch.gr</t>
  </si>
  <si>
    <t>19ο ΝΗΠΙΑΓΩΓΕΙΟ ΚΑΤΕΡΙΝΗΣ</t>
  </si>
  <si>
    <t>mail@19nip-kater.pie.sch.gr</t>
  </si>
  <si>
    <t>ΤΥΡΤΑΙΟΥ  2</t>
  </si>
  <si>
    <t>ΝΕΑΣ ΤΡΑΠΕΖΟΥΝΤΟΣ</t>
  </si>
  <si>
    <t>ΝΗΠΙΑΓΩΓΕΙΟ ΝΕΑΣ ΤΡΑΠΕΖΟΥΝΤΑΣ</t>
  </si>
  <si>
    <t>mail@nip-n-trapez.pie.sch.gr</t>
  </si>
  <si>
    <t>ΝΕΑΣ ΤΡΑΠΕΖΟΥΝΤΑΣ</t>
  </si>
  <si>
    <t>19 ΜΑΪΟΥ 2,ΝΕΑ ΤΡΑΠΕΖΟΥΝΤΑ</t>
  </si>
  <si>
    <t>ΝΗΠΙΑΓΩΓΕΙΟ ΠΛΑΤΑΜΩΝΑ</t>
  </si>
  <si>
    <t>mail@nip-platam.pie.sch.gr</t>
  </si>
  <si>
    <t>ΠΛΑΤΑΜΩΝΑ</t>
  </si>
  <si>
    <t>ΕΓΝΑΤΙΑΣ 76</t>
  </si>
  <si>
    <t>ΝΕΑΣ ΕΦΕΣΟΥ</t>
  </si>
  <si>
    <t>ΝΗΠΙΑΓΩΓΕΙΟ ΝΕΑ ΕΦΕΣΟΣ</t>
  </si>
  <si>
    <t>mail@nip-n-efesou.pie.sch.gr</t>
  </si>
  <si>
    <t>ΝΕΑ ΕΦΕΣΟΣ</t>
  </si>
  <si>
    <t>8ο ΔΗΜΟΤΙΚΟ ΣΧΟΛΕΙΟ ΚΑΤΕΡΙΝΗΣ</t>
  </si>
  <si>
    <t>mail@8dim-kater.pie.sch.gr</t>
  </si>
  <si>
    <t>ΣΤΡΑΤΗΓΟΥ ΡΟΚΑ 13</t>
  </si>
  <si>
    <t>18ο ΝΗΠΙΑΓΩΓΕΙΟ ΚΑΤΕΡΙΝΗΣ</t>
  </si>
  <si>
    <t>mail@18nip-kater.pie.sch.gr</t>
  </si>
  <si>
    <t>ΡΟΔΟΠΗΣ &amp; ΑΝΤΙΣΘΕΝΟΥΣ ΚΑΤΕΡΙΝΗ</t>
  </si>
  <si>
    <t>ΝΗΠΙΑΓΩΓΕΙΟ ΚΑΛΛΙΘΕΑΣ Ν.ΠΙΕΡΙΑΣ</t>
  </si>
  <si>
    <t>mail@nip-kallith.pie.sch.gr</t>
  </si>
  <si>
    <t>ΝΙΚ. ΒΟΤΣΗ ΚΑΙ ΟΛ. ΚΑΡΑΚΩΣΤΑ</t>
  </si>
  <si>
    <t>5ο  ΝΗΠΙΑΓΩΓΕΙΟ ΚΑΤΕΡΙΝΗΣ</t>
  </si>
  <si>
    <t>mail@5nip-kater.pie.sch.gr</t>
  </si>
  <si>
    <t>ΦΙΛΙΠΠΟΥ 30</t>
  </si>
  <si>
    <t>1ο  ΝΗΠΙΑΓΩΓΕΙΟ ΚΑΤΕΡΙΝΗΣ</t>
  </si>
  <si>
    <t>mail@1nip-kater.pie.sch.gr</t>
  </si>
  <si>
    <t>ΙΠΠΟΚΡΑΤΟΥΣ  3</t>
  </si>
  <si>
    <t>6ο ΝΗΠΙΑΓΩΓΕΙΟ ΚΑΤΕΡΙΝΗΣ</t>
  </si>
  <si>
    <t>mail@6nip-kater.pie.sch.gr</t>
  </si>
  <si>
    <t>28ης Οκτωβρίου 15</t>
  </si>
  <si>
    <t>9ο ΝΗΠΙΑΓΩΓΕΙΟ ΚΑΤΕΡΙΝΗΣ</t>
  </si>
  <si>
    <t>mail@9nip-kater.pie.sch.gr</t>
  </si>
  <si>
    <t>ΛΟΥΚΙΑΝΟΥ 2</t>
  </si>
  <si>
    <t>3ο ΝΗΠΙΑΓΩΓΕΙΟ ΑΙΓΙΝΙΟΥ-ΓΕΩΡΓΙΟΣ ΣΕΦΕΡΗΣ</t>
  </si>
  <si>
    <t>mail@3nip-aigin.pie.sch.gr</t>
  </si>
  <si>
    <t>ΑΙΓΙΝΙΟ</t>
  </si>
  <si>
    <t>Κιλκίς 6</t>
  </si>
  <si>
    <t>2ο ΝΗΠΙΑΓΩΓΕΙΟ ΚΑΤΕΡΙΝΗΣ</t>
  </si>
  <si>
    <t>mail@2nip-kater.pie.sch.gr</t>
  </si>
  <si>
    <t>ΚΙΟΥΤΑΧΕΙΑΣ 10</t>
  </si>
  <si>
    <t>1ο  ΝΗΠΙΑΓΩΓΕΙΟ ΚΟΡΙΝΟΥ</t>
  </si>
  <si>
    <t>mail@nip-korin.pie.sch.gr</t>
  </si>
  <si>
    <t>Ν.ΘΩΜΑΪΔΗ 9</t>
  </si>
  <si>
    <t>22ο ΝΗΠΙΑΓΩΓΕΙΟ ΚΑΤΕΡΙΝΗΣ</t>
  </si>
  <si>
    <t>mail@22nip-kater.pie.sch.gr</t>
  </si>
  <si>
    <t>Λουκιανού &amp; Μαντζαροπούλου</t>
  </si>
  <si>
    <t>ΝΗΠΙΑΓΩΓΕΙΟ ΧΡΑΝΗΣ</t>
  </si>
  <si>
    <t>mail@nip-chran.pie.sch.gr</t>
  </si>
  <si>
    <t>ΧΡΑΝΗΣ</t>
  </si>
  <si>
    <t>ΧΡΑΝΗ</t>
  </si>
  <si>
    <t>17ο ΝΗΠΙΑΓΩΓΕΙΟ ΚΑΤΕΡΙΝΗΣ</t>
  </si>
  <si>
    <t>mail@17nip-kater.pie.sch.gr</t>
  </si>
  <si>
    <t>ΟΔΥΣΣΕΑ ΕΛΥΤΗ 17</t>
  </si>
  <si>
    <t>ΔΗΜΟΤΙΚΟ ΣΧΟΛΕΙΟ ΒΡΙΑΣ</t>
  </si>
  <si>
    <t>mail@dim-vrias.pie.sch.gr</t>
  </si>
  <si>
    <t>10ο ΝΗΠΙΑΓΩΓΕΙΟ ΚΑΤΕΡΙΝΗΣ</t>
  </si>
  <si>
    <t>mail@10nip-kater.pie.sch.gr</t>
  </si>
  <si>
    <t>ΑΝΩ ΑΓΙΟΥ ΙΩΑΝΝΟΥ</t>
  </si>
  <si>
    <t>ΝΗΠΙΑΓΩΓΕΙΟ ΑΝΩ ΑΓΙΟΥ ΙΩΑΝΝΗ</t>
  </si>
  <si>
    <t>mail@nip-an-ag-ioann.pie.sch.gr</t>
  </si>
  <si>
    <t>ΑΝΩ ΑΓΙΟΥ ΙΩΑΝΝΗ</t>
  </si>
  <si>
    <t>ΑΝΩ ΑΓΙΟΣ ΙΩΑΝΝΗΣ</t>
  </si>
  <si>
    <t>mail@9dim-kater.pie.sch.gr</t>
  </si>
  <si>
    <t>Κατερίνη</t>
  </si>
  <si>
    <t>Λουκιανού 2</t>
  </si>
  <si>
    <t>ΝΗΠΙΑΓΩΓΕΙΟ ΝΕΟΥ ΚΕΡΑΜΙΔΙΟΥ</t>
  </si>
  <si>
    <t>mail@nip-n-keram.pie.sch.gr</t>
  </si>
  <si>
    <t>ΝΕΟΥ ΚΕΡΑΜΙΔΙΟΥ</t>
  </si>
  <si>
    <t>ΝΗΠΙΑΓΩΓΕΙΟ ΠΕΡΙΣΤΑΣΗΣ</t>
  </si>
  <si>
    <t>mail@nip-perist.pie.sch.gr</t>
  </si>
  <si>
    <t>ΑΓ.ΓΕΩΡΓΙΟΥ 2</t>
  </si>
  <si>
    <t>ΚΑΤΑΛΩΝΙΩΝ</t>
  </si>
  <si>
    <t>ΝΗΠΙΑΓΩΓΕΙΟ ΚΑΤΑΛΩΝΙΩΝ</t>
  </si>
  <si>
    <t>mail@nip-katal.pie.sch.gr</t>
  </si>
  <si>
    <t>ΚΑΤΑΛΩΝΙΑ</t>
  </si>
  <si>
    <t>ΝΗΠΙΑΓΩΓΕΙΟ ΕΞΟΧΗΣ</t>
  </si>
  <si>
    <t>mail@nip-exoxis.pie.sch.gr</t>
  </si>
  <si>
    <t>ΕΞΟΧΗ - ΠΙΕΡΙΑΣ</t>
  </si>
  <si>
    <t>ΛΑΓΟΡΡΑΧΗΣ</t>
  </si>
  <si>
    <t>ΝΗΠΙΑΓΩΓΕΙΟ ΛΑΓΟΡΑΧΗΣ</t>
  </si>
  <si>
    <t>mail@nip-lagor.pie.sch.gr</t>
  </si>
  <si>
    <t>ΛΑΓΟΡΑΧΗΣ</t>
  </si>
  <si>
    <t>ΛΑΓΟΡΑΧΗ</t>
  </si>
  <si>
    <t>1/Θ ΝΗΠΙΑΓΩΓΕΙΟ ΑΝΔΡΟΜΑΧΗΣ</t>
  </si>
  <si>
    <t>mail@nip-androm.pie.sch.gr</t>
  </si>
  <si>
    <t>ΑΝΔΡΟΜΑΧΗΣ</t>
  </si>
  <si>
    <t>ΡΙΤΣΟΥ ΑΝΔΡΟΜΑΧΗ</t>
  </si>
  <si>
    <t>ΜΟΣΧΟΠΟΤΑΜΟΥ</t>
  </si>
  <si>
    <t>ΝΗΠΙΑΓΩΓΕΙΟ ΜΟΣΧΟΠΟΤΑΜΟΥ</t>
  </si>
  <si>
    <t>mail@nip-moschop.pie.sch.gr</t>
  </si>
  <si>
    <t>ΜΟΣΧΟΠΟΤΑΜΟΣ</t>
  </si>
  <si>
    <t>ΠΑΝΤΕΛΕΗΜΟΝΟΣ</t>
  </si>
  <si>
    <t>ΝΗΠΙΑΓΩΓΕΙΟ ΠΑΝΤΕΛΕΗΜΟΝΑ</t>
  </si>
  <si>
    <t>mail@nip-pantel.pie.sch.gr</t>
  </si>
  <si>
    <t>ΠΑΝΤΕΛΕΗΜΟΝΑΣ</t>
  </si>
  <si>
    <t>2ο ΝΗΠΙΑΓΩΓΕΙΟ ΚΟΛΙΝΔΡΟΥ</t>
  </si>
  <si>
    <t>mail@2nip-kolindr.pie.sch.gr</t>
  </si>
  <si>
    <t>ΜΕΓΑΛΟΥ ΑΛΕΞΑΝΔΡΟΥ 118</t>
  </si>
  <si>
    <t>mail@dim-ritin.pie.sch.gr</t>
  </si>
  <si>
    <t>3/ΘΕΣΙΟ ΔΗΜΟΤΙΚΟ ΣΧΟΛΕΙΟ ΡΗΤΙΝΗΣ ΠΙΕΡΙΑΣ</t>
  </si>
  <si>
    <t>mail@dim-kolindr.pie.sch.gr</t>
  </si>
  <si>
    <t>ΚΟΛΙΝΔΡΟΣ</t>
  </si>
  <si>
    <t>ΛΟΦΟΥ</t>
  </si>
  <si>
    <t>ΟΛΟΗΜΕΡΟ ΔΗΜΟΤΙΚΟ ΣΧΟΛΕΙΟ ΛΟΦΟΥ</t>
  </si>
  <si>
    <t>mail@dim-lofou.pie.sch.gr</t>
  </si>
  <si>
    <t>ΛΟΦΟΣ</t>
  </si>
  <si>
    <t>7ο  ΝΗΠΙΑΓΩΓΕΙΟ ΚΑΤΕΡΙΝΗΣ</t>
  </si>
  <si>
    <t>mail@7nip-kater.pie.sch.gr</t>
  </si>
  <si>
    <t>4ο ΔΗΜΟΤΙΚΟ ΣΧΟΛΕΙΟ ΚΑΤΕΡΙΝΗΣ</t>
  </si>
  <si>
    <t>mail@4dim-kater.pie.sch.gr</t>
  </si>
  <si>
    <t>16ο ΝΗΠΙΑΓΩΓΕΙΟ ΚΑΤΕΡΙΝΗΣ</t>
  </si>
  <si>
    <t>mail@16nip-kater.pie.sch.gr</t>
  </si>
  <si>
    <t>28ης ΟΚΤΩΒΡΙΟΥ 15</t>
  </si>
  <si>
    <t>3ο ΟΛΟΗΜΕΡΟ ΝΗΠΙΑΓΩΓΕΙΟ ΚΑΤΕΡΙΝΗΣ</t>
  </si>
  <si>
    <t>mail@3nip-kater.pie.sch.gr</t>
  </si>
  <si>
    <t>ΝΗΠΙΑΓΩΓΕΙΟ ΜΕΘΩΝΗΣ</t>
  </si>
  <si>
    <t>mail@nip-methon.pie.sch.gr</t>
  </si>
  <si>
    <t>ΜΕΘΩΝΗ</t>
  </si>
  <si>
    <t>2/ΘΕΣΙΟ ΝΗΠΙΑΓΩΓΕΙΟ ΚΙΤΡΟΥΣ</t>
  </si>
  <si>
    <t>mail@nip-kitrous.pie.sch.gr</t>
  </si>
  <si>
    <t>ΚΙΤΡΟΥΣ</t>
  </si>
  <si>
    <t>ΚΙΤΡΟΣ</t>
  </si>
  <si>
    <t>14ο ΔΗΜΟΤΙΚΟ ΣΧΟΛΕΙΟ ΚΑΤΕΡΙΝΗΣ</t>
  </si>
  <si>
    <t>mail@14dim-kater.pie.sch.gr</t>
  </si>
  <si>
    <t>ΚΙΛΚΙΣ 6</t>
  </si>
  <si>
    <t>ΕΛΑΤΟΧΩΡΙΟΥ</t>
  </si>
  <si>
    <t>ΔΗΜΟΤΙΚΟ ΣΧΟΛΕΙΟ ΕΛΑΤΟΧΩΡΙΟΥ</t>
  </si>
  <si>
    <t>mail@dim-elatoch.pie.sch.gr</t>
  </si>
  <si>
    <t>ΕΛΑΤΟΧΩΡΙ</t>
  </si>
  <si>
    <t>ΔΗΜΟΤΙΚΟ ΣΧΟΛΕΙΟ Ν. ΠΑΝΤΕΛΕΗΜΟΝΑ</t>
  </si>
  <si>
    <t>mail@dim-pantel.pie.sch.gr</t>
  </si>
  <si>
    <t>Ν. ΠΑΝΤΕΛΕΗΜΟΝΑΣ</t>
  </si>
  <si>
    <t>ΦΩΤΕΙΝΩΝ</t>
  </si>
  <si>
    <t>ΟΛΟΗΜΕΡΟ ΔΗΜΟΤΙΚΟ ΣΧΟΛΕΙΟ ΦΩΤΕΙΝΩΝ</t>
  </si>
  <si>
    <t>mail@dim-fotein.pie.sch.gr</t>
  </si>
  <si>
    <t>Φωτεινά ,</t>
  </si>
  <si>
    <t>ΦΩΤΕΙΝΑ</t>
  </si>
  <si>
    <t>ΟΛΟΗΜΕΡΟ ΝΗΠΙΑΓΩΓΕΙΟ ΠΑΡΑΛΙΑΣ</t>
  </si>
  <si>
    <t>mail@nip-paral.pie.sch.gr</t>
  </si>
  <si>
    <t>ΑΓΙΟΥ ΝΙΚΟΛΑΟΥ ΠΑΡΑΛΙΑ 42</t>
  </si>
  <si>
    <t>ΝΗΠΙΑΓΩΓΕΙΟ ΛΟΦΟΥ</t>
  </si>
  <si>
    <t>mail@nip-lofou.pie.sch.gr</t>
  </si>
  <si>
    <t>ΝΗΠΙΑΓΩΓΕΙΟ ΚΑΤΩ ΜΗΛΙΑΣ</t>
  </si>
  <si>
    <t>mail@nip-kat-milias.pie.sch.gr</t>
  </si>
  <si>
    <t>ΚΑΤΩ ΜΗΛΙΑΣ</t>
  </si>
  <si>
    <t>ΟΛΟΗΜΕΡΟ ΝΗΠΙΑΓΩΓΕΙΟ ΦΩΤΕΙΝΩΝ</t>
  </si>
  <si>
    <t>mail@nip-fotein.pie.sch.gr</t>
  </si>
  <si>
    <t>ΝΗΠΙΑΓΩΓΕΙΟ ΡΗΤΙΝΗΣ</t>
  </si>
  <si>
    <t>mail@nip-ritin.pie.sch.gr</t>
  </si>
  <si>
    <t>ΟΛΟΗΜΕΡΟ ΝΗΠΙΑΓΩΓΕΙΟ ΑΓΙΟΥ ΔΗΜΗΤΡΙΟΥ ΠΙΕΡΙΑΣ</t>
  </si>
  <si>
    <t>mail@nip-ag-dimitr.pie.sch.gr</t>
  </si>
  <si>
    <t>11ο ΔΗΜΟΤΙΚΟ ΣΧΟΛΕΙΟ ΚΑΤΕΡΙΝΗΣ</t>
  </si>
  <si>
    <t>mail@11dim-kater.pie.sch.gr</t>
  </si>
  <si>
    <t>ΦΛΕΜΙΓΚ 10</t>
  </si>
  <si>
    <t>ΟΛΟΗΜΕΡΟ ΔΗΜΟΤΙΚΟ ΣΧΟΛΕΙΟ ΓΑΝΟΧΩΡΑΣ</t>
  </si>
  <si>
    <t>mail@dim-ganoch.pie.sch.gr</t>
  </si>
  <si>
    <t>ΜΕΓΑΛΟΥ ΑΛΕΞΑΝΔΡΟΥ 29</t>
  </si>
  <si>
    <t>ΒΡΟΝΤΟΥΣ</t>
  </si>
  <si>
    <t>ΝΗΠΙΑΓΩΓΕΙΟ ΒΡΟΝΤΟΥΣ</t>
  </si>
  <si>
    <t>mail@1nip-vront.pie.sch.gr</t>
  </si>
  <si>
    <t>ΒΡΟΝΤΟΥ</t>
  </si>
  <si>
    <t>12ο ΟΛΟΗΜΕΡΟ ΝΗΠΙΑΓΩΓΕΙΟ ΚΑΤΕΡΙΝΗΣ</t>
  </si>
  <si>
    <t>mail@12nip-kater.pie.sch.gr</t>
  </si>
  <si>
    <t>ΡΩΜΑΝΟΥ 14</t>
  </si>
  <si>
    <t>1ο ΝΗΠΙΑΓΩΓΕΙΟ ΚΟΛΙΝΔΡΟΥ</t>
  </si>
  <si>
    <t>mail@1nip-kolindr.pie.sch.gr</t>
  </si>
  <si>
    <t>ΑΓΙΑΣ ΠΑΡΑΣΚΕΥΗΣ 15</t>
  </si>
  <si>
    <t>11ο ΝΗΠΙΑΓΩΓΕΙΟ ΚΑΤΕΡΙΝΗΣ</t>
  </si>
  <si>
    <t>mail@11nip-kater.pie.sch.gr</t>
  </si>
  <si>
    <t>1ο  ΔΗΜΟΤΙΚΟ ΣΧΟΛΕΙΟ ΚΟΛΙΝΔΡΟΥ</t>
  </si>
  <si>
    <t>mail@1dim-kolindr.pie.sch.gr</t>
  </si>
  <si>
    <t>ΣΦΕΝΔΑΜΙΟΥ</t>
  </si>
  <si>
    <t>ΟΛΟΗΜΕΡΟ 1/Θ ΝΗΠΙΑΓΩΓΕΙΟ ΣΦΕΝΔΑΜΗΣ</t>
  </si>
  <si>
    <t>mail@nip-sfend.pie.sch.gr</t>
  </si>
  <si>
    <t>ΣΦΕΝΔΑΜΗΣ</t>
  </si>
  <si>
    <t>ΣΦΕΝΔΑΜΗ</t>
  </si>
  <si>
    <t>ΚΑΤΩ ΑΓΙΟΥ ΙΩΑΝΝΟΥ</t>
  </si>
  <si>
    <t>ΔΗΜΟΤΙΚΟ ΣΧΟΛΕΙΟ ΚΑΤΩ ΑΓΙΟΥ ΙΩΑΝΝΗ</t>
  </si>
  <si>
    <t>mail@dim-kat-ioann.pie.sch.gr</t>
  </si>
  <si>
    <t>ΚΑΤΩ ΑΓΙΟΥ ΙΩΑΝΝΗ</t>
  </si>
  <si>
    <t>ΚΑΤΩ ΑΓΙΟΣ ΙΩΑΝΝΗΣ</t>
  </si>
  <si>
    <t>3ο  ΔΗΜΟΤΙΚΟ ΣΧΟΛΕΙΟ ΑΙΓΙΝΙΟΥ</t>
  </si>
  <si>
    <t>mail@3dim-aigin.pie.sch.gr</t>
  </si>
  <si>
    <t>ΚΙΛΚΙΣ    6</t>
  </si>
  <si>
    <t>mail@dim-makryg.pie.sch.gr</t>
  </si>
  <si>
    <t>ΜΑΚΡΥΓΙΑΛΟΥ-ΠΙΕΡΙΑΣ</t>
  </si>
  <si>
    <t>ΜΑΚΡΥΓΙΑΛΟΣ</t>
  </si>
  <si>
    <t>14ο ΝΗΠΙΑΓΩΓΕΙΟ ΚΑΤΕΡΙΝΗΣ</t>
  </si>
  <si>
    <t>mail@14nip-kater.pie.sch.gr</t>
  </si>
  <si>
    <t>ΠΕΡΔΙΚΑ ΚΑΙ ΒΑΣΙΛΕΙΑΔΗ</t>
  </si>
  <si>
    <t>ΟΛΟΗΜΕΡΟ ΝΗΠΙΑΓΩΓΕΙΟ ΑΓΙΟΥ ΣΠΥΡΙΔΩΝΑ</t>
  </si>
  <si>
    <t>mail@nip-ag-spyrid.pie.sch.gr</t>
  </si>
  <si>
    <t>ΑΓΙΟΥ ΣΠΥΡΙΔΩΝΑ</t>
  </si>
  <si>
    <t>ΝΗΠΙΑΓΩΓΕΙΟ ΔΙΟΥ</t>
  </si>
  <si>
    <t>mail@nip-diou.pie.sch.gr</t>
  </si>
  <si>
    <t>ΔΙΟΝ</t>
  </si>
  <si>
    <t>ΚΑΡΙΤΣΗΣ</t>
  </si>
  <si>
    <t>ΝΗΠΙΑΓΩΓΕΙΟ ΚΑΡΙΤΣΑΣ</t>
  </si>
  <si>
    <t>mail@nip-karits.pie.sch.gr</t>
  </si>
  <si>
    <t>ΚΑΡΙΤΣΑΣ</t>
  </si>
  <si>
    <t>ΚΑΡΙΤΣΑ</t>
  </si>
  <si>
    <t>ΝΗΠΙΑΓΩΓΕΙΟ ΚΟΝΤΑΡΙΩΤΙΣΣΑΣ</t>
  </si>
  <si>
    <t>mail@nip-kontar.pie.sch.gr</t>
  </si>
  <si>
    <t>ΚΟΝΤΑΡΙΩΤΙΣΣΑΣ</t>
  </si>
  <si>
    <t>8ο ΟΛΟΗΜΕΡΟ ΝΗΠΙΑΓΩΓΕΙΟ ΚΑΤΕΡΙΝΗΣ</t>
  </si>
  <si>
    <t>mail@8nip-kater.pie.sch.gr</t>
  </si>
  <si>
    <t>Α ΠΑΡΟΔΟΣ ΠΡΙΑΜΟΥ 10</t>
  </si>
  <si>
    <t>ΝΗΠΙΑΓΩΓΕΙΟ ΕΛΑΤΟΧΩΡΙΟΥ</t>
  </si>
  <si>
    <t>mail@nip-elatoch.pie.sch.gr</t>
  </si>
  <si>
    <t>1ο  ΝΗΠΙΑΓΩΓΕΙΟ ΛΕΠΤΟΚΑΡΥΑΣ</t>
  </si>
  <si>
    <t>mail@1nip-leptok.pie.sch.gr</t>
  </si>
  <si>
    <t>ΘΕΣΣΑΛΟΝΙΚΗΣ 1</t>
  </si>
  <si>
    <t>ΣΕΒΑΣΤΗΣ</t>
  </si>
  <si>
    <t>ΝΗΠΙΑΓΩΓΕΙΟ ΣΕΒΑΣΤΗΣ</t>
  </si>
  <si>
    <t>mail@nip-sevast.pie.sch.gr</t>
  </si>
  <si>
    <t>ΣΕΒΑΣΤΗ</t>
  </si>
  <si>
    <t>15ο ΝΗΠΙΑΓΩΓΕΙΟ ΚΑΤΕΡΙΝΗΣ</t>
  </si>
  <si>
    <t>mail@15nip-kater.pie.sch.gr</t>
  </si>
  <si>
    <t>ΣΒΟΡΩΝΟΥ 15</t>
  </si>
  <si>
    <t>1ο 2/Θ ΝΗΠΙΑΓΩΓΕΙΟ ΛΙΤΟΧΩΡΟ - ΚΑΛΑΚΑΝΕΙΟ</t>
  </si>
  <si>
    <t>mail@1nip-litoch.pie.sch.gr</t>
  </si>
  <si>
    <t>ΛΙΤΟΧΩΡΟ</t>
  </si>
  <si>
    <t>ΔΗΜΗΤΡΙΟΥ ΚΑΛΑΚΑΝΗ 9</t>
  </si>
  <si>
    <t>13ο ΝΗΠΙΑΓΩΓΕΙΟ ΚΑΤΕΡΙΝΗΣ</t>
  </si>
  <si>
    <t>mail@13nip-kater.pie.sch.gr</t>
  </si>
  <si>
    <t>ΠΛΑΤΩΝΟΣ 39</t>
  </si>
  <si>
    <t>1ο  ΔΗΜΟΤΙΚΟ ΣΧΟΛΕΙΟ ΑΙΓΙΝΙΟΥ</t>
  </si>
  <si>
    <t>mail@1dim-aigin.pie.sch.gr</t>
  </si>
  <si>
    <t>mail@dim-sfend.pie.sch.gr</t>
  </si>
  <si>
    <t>Σφενδάμη Πιερίας</t>
  </si>
  <si>
    <t>Σφενδάμη</t>
  </si>
  <si>
    <t>ΕΙΔΙΚΟ ΝΗΠΙΑΓΩΓΕΙΟ ΚΑΤΕΡΙΝΗΣ</t>
  </si>
  <si>
    <t>mail@nip-eid-kater.pie.sch.gr</t>
  </si>
  <si>
    <t>1/θ ΔΗΜΟΤΙΚΟ ΣΧΟΛΕΙΟ ΡΑΧΗΣ</t>
  </si>
  <si>
    <t>mail@dim-rachis.pie.sch.gr</t>
  </si>
  <si>
    <t>ΡΑΧΗΣ ΠΙΕΡΙΑΣ</t>
  </si>
  <si>
    <t>ΡΑΧΗ  ΠΙΕΡΙΑΣ</t>
  </si>
  <si>
    <t>ΔΗΜΟΤΙΚΟ ΣΧΟΛΕΙΟ ΠΑΛΙΟΥ ΚΕΡΑΜΙΔΙΟΥ</t>
  </si>
  <si>
    <t>mail@dim-p-keram.pie.sch.gr</t>
  </si>
  <si>
    <t>ΔΗΜΟΤΙΚΟ ΣΧΟΛΕΙΟ ΑΓΙΟΥ ΣΠΥΡΙΔΩΝΑ</t>
  </si>
  <si>
    <t>mail@dim-ag-spyrid.pie.sch.gr</t>
  </si>
  <si>
    <t>ΠΑΛΑΙΟΣΤΑΝΗΣ</t>
  </si>
  <si>
    <t>ΔΗΜΟΤΙΚΟ ΣΧΟΛΕΙΟ ΠΑΛΑΙΟΣΤΑΝΗΣ</t>
  </si>
  <si>
    <t>mail@dim-paliost.pie.sch.gr</t>
  </si>
  <si>
    <t>ΠΑΛΑΙΟΣΤΑΝΗ</t>
  </si>
  <si>
    <t>ΔΗΜΟΤΙΚΟ ΣΧΟΛΕΙΟ ΠΑΡΑΛΙΑΣ ΚΑΤΕΡΙΝΗΣ - ΠΟΣΕΙΔΩΝΙΟ ΣΧΟΛΕΙΟ</t>
  </si>
  <si>
    <t>mail@dim-paral.pie.sch.gr</t>
  </si>
  <si>
    <t xml:space="preserve">ΠΑΡΑΛΙΑ  </t>
  </si>
  <si>
    <t>ΑΓΙΟΥ ΝΙΚΟΛΑΟΥ 46</t>
  </si>
  <si>
    <t>1ο  ΔΗΜΟΤΙΚΟ ΣΧΟΛΕΙΟ ΛΙΤΟΧΩΡΟΥ</t>
  </si>
  <si>
    <t>mail@1dim-litoch.pie.sch.gr</t>
  </si>
  <si>
    <t>ΝΙΚΟΛΑΟΥ ΕΠΙΣΚΟΠΟΥ ΚΙΤΡΟΥΣ 28</t>
  </si>
  <si>
    <t>ΟΛΟΗΜΕΡΟ ΝΗΠΙΑΓΩΓΕΙΟ ΜΑΚΡΥΓΙΑΛΟΥ</t>
  </si>
  <si>
    <t>mail@nip-makryg.pie.sch.gr</t>
  </si>
  <si>
    <t>ΟΛΟΗΜΕΡΟ ΔΗΜΟΤΙΚΟ ΣΧΟΛΕΙΟ ΚΑΤΑΛΩΝΙΩΝ</t>
  </si>
  <si>
    <t>mail@dim-katal.pie.sch.gr</t>
  </si>
  <si>
    <t>Δ.Σ.ΚΑΤΑΛΩΝΙΩΝ</t>
  </si>
  <si>
    <t>ΚΑΤΑΛΩΝΙΑ 1</t>
  </si>
  <si>
    <t>ΟΛΟΗΜΕΡΟ ΔΗΜΟΤΙΚΟ ΣΧΟΛΕΙΟ ΚΙΤΡΟΥΣ</t>
  </si>
  <si>
    <t>mail@dim-kitrous.pie.sch.gr</t>
  </si>
  <si>
    <t>mail@dim-androm.pie.sch.gr</t>
  </si>
  <si>
    <t>ΑΝΔΡΟΜΑΧΗ</t>
  </si>
  <si>
    <t>ΔΙΚΑΙΟΣΥΝΗΣ 2</t>
  </si>
  <si>
    <t>2ο  ΝΗΠΙΑΓΩΓΕΙΟ ΑΙΓΙΝΙΟ - ΡΕΝΑ ΚΑΡΘΑΙΟΥ</t>
  </si>
  <si>
    <t>mail@2nip-aigin.pie.sch.gr</t>
  </si>
  <si>
    <t>ΚΡΥΣΤΑΛΛΟΠΟΥΛΟΥ 4</t>
  </si>
  <si>
    <t>ΔΗΜΟΤΙΚΟ ΣΧΟΛΕΙΟ ΣΚΟΤΙΝΑΣ</t>
  </si>
  <si>
    <t>mail@dim-skotin.pie.sch.gr</t>
  </si>
  <si>
    <t xml:space="preserve"> Πιερίας</t>
  </si>
  <si>
    <t>Σκοτίνα</t>
  </si>
  <si>
    <t>mail@2dim-aigin.pie.sch.gr</t>
  </si>
  <si>
    <t>ΚΡΟΥΣΤΑΛΛΟΠΟΥΛΟΥ 6</t>
  </si>
  <si>
    <t>mail@1dim-leptok.pie.sch.gr</t>
  </si>
  <si>
    <t>Δ.ΓΟΥΝΑΡΗ 2</t>
  </si>
  <si>
    <t>2ο ΝΗΠΙΑΓΩΓΕΙΟ ΛΕΠΤΟΚΑΡΥΑ ΠΙΕΡΙΑΣ</t>
  </si>
  <si>
    <t>mail@2nip-leptok.pie.sch.gr</t>
  </si>
  <si>
    <t>ΛΕΠΤΟΚΑΡΥΑ ΠΙΕΡΙΑΣ</t>
  </si>
  <si>
    <t>mail@1dim-kater.pie.sch.gr</t>
  </si>
  <si>
    <t>ΙΠΠΟΚΡΑΤΟΥΣ 3</t>
  </si>
  <si>
    <t>2ο  ΝΗΠΙΑΓΩΓΕΙΟ ΛΙΤΟΧΩΡΟΥ</t>
  </si>
  <si>
    <t>mail@2nip-litoch.pie.sch.gr</t>
  </si>
  <si>
    <t>ΑΓΙΟΥ ΓΕΩΡΓΙΟΥ 66</t>
  </si>
  <si>
    <t>2ο ΔΗΜΟΤΙΚΟ ΣΧΟΛΕΙΟ ΛΙΤΟΧΩΡΟΥ</t>
  </si>
  <si>
    <t>mail@2dim-litoch.pie.sch.gr</t>
  </si>
  <si>
    <t>ΑΓΙΟΥ ΓΕΩΡΓΙΟΥ 64</t>
  </si>
  <si>
    <t>mail@3dim-litoch.pie.sch.gr</t>
  </si>
  <si>
    <t>ΔΗΜΟΚΡΙΤΟΥ 14</t>
  </si>
  <si>
    <t>5ο ΔΗΜΟΤΙΚΟ ΣΧΟΛΕΙΟ ΚΑΤΕΡΙΝΗΣ</t>
  </si>
  <si>
    <t>mail@5dim-kater.pie.sch.gr</t>
  </si>
  <si>
    <t>6ο ΔΗΜΟΤΙΚΟ ΣΧΟΛΕΙΟ ΚΑΤΕΡΙΝΗΣ</t>
  </si>
  <si>
    <t>mail@6dim-kater.pie.sch.gr</t>
  </si>
  <si>
    <t>ΕΙΚΟΣΤΗΣ ΟΓΔΟΗΣ ΟΚΤΩΒΡΙΟΥ 15</t>
  </si>
  <si>
    <t>ΔΗΜΟΤΙΚΟ ΣΧΟΛΕΙΟ ΚΑΛΛΙΘΕΑΣ  «ΟΛΥΜΠΙΑΔΑ»</t>
  </si>
  <si>
    <t>mail@dim-kallith.pie.sch.gr</t>
  </si>
  <si>
    <t>3ης ΣΕΠΤΕΜΒΡΙΟΥ 56</t>
  </si>
  <si>
    <t>ΟΛΟΗΜΕΡΟ ΔΗΜΟΤΙΚΟ ΣΧΟΛΕΙΟ ΒΡΟΝΤΟΥΣ</t>
  </si>
  <si>
    <t>mail@dim-vront.pie.sch.gr</t>
  </si>
  <si>
    <t>Βροντού</t>
  </si>
  <si>
    <t>mail@12dim-kater.pie.sch.gr</t>
  </si>
  <si>
    <t>ΡΩΜΑΝΟΥ 18</t>
  </si>
  <si>
    <t>13ο ΔΗΜΟΤΙΚΟ ΣΧΟΛΕΙΟ ΚΑΤΕΡΙΝΗΣ</t>
  </si>
  <si>
    <t>mail@13dim-kater.pie.sch.gr</t>
  </si>
  <si>
    <t>ΔΗΜΟΤΙΚΟ ΣΧΟΛΕΙΟ ΔΙΟΥ</t>
  </si>
  <si>
    <t>mail@dim-diou.pie.sch.gr</t>
  </si>
  <si>
    <t>ΔΙΟΝ ΠΙΕΡΙΑΣ</t>
  </si>
  <si>
    <t>ΔΗΜΟΤΙΚΟ ΣΧΟΛΕΊΟ ΔΙΟΥ</t>
  </si>
  <si>
    <t>15ο ΔΗΜΟΤΙΚΟ ΣΧΟΛΕΙΟ ΚΑΤΕΡΙΝΗΣ</t>
  </si>
  <si>
    <t>mail@15dim-kater.pie.sch.gr</t>
  </si>
  <si>
    <t>ΔΗΜΟΤΙΚΟ ΣΧΟΛΕΙΟ ΚΑΡΙΤΣΑΣ ΠΙΕΡΙΑΣ</t>
  </si>
  <si>
    <t>mail@dim-karits.pie.sch.gr</t>
  </si>
  <si>
    <t xml:space="preserve">ΚΑΡΙΤΣΑ </t>
  </si>
  <si>
    <t>ΑΘΑΝΑΣΙΟΥ ΤΣΑΚΝΑΚΗ 3</t>
  </si>
  <si>
    <t>mail@dim-platam.pie.sch.gr</t>
  </si>
  <si>
    <t>ΠΛΑΤΑΜΩΝΑΣ</t>
  </si>
  <si>
    <t>ΔΗΜΟΤΙΚΟ ΣΧΟΛΕΙΟ ΝΕΑΣ ΕΦΕΣΟΥ</t>
  </si>
  <si>
    <t>mail@dim-n-efesou.pie.sch.gr</t>
  </si>
  <si>
    <t>Νέα  Έφεσος</t>
  </si>
  <si>
    <t>ΟΛΟΗΜΕΡΟ ΔΗΜΟΤΙΚΟ ΣΧΟΛΕΙΟ ΜΟΣΧΟΠΟΤΑΜΟΥ</t>
  </si>
  <si>
    <t>mail@dim-moschop.pie.sch.gr</t>
  </si>
  <si>
    <t>mail@dim-perist.pie.sch.gr</t>
  </si>
  <si>
    <t>ΠΕΡΙΣΤΑΣΗ</t>
  </si>
  <si>
    <t>ΜΑΚΕΔΟΝΙΑΣ 15</t>
  </si>
  <si>
    <t>mail@dim-kontar.pie.sch.gr</t>
  </si>
  <si>
    <t>ΚΟΝΤΑΡΙΩΤΙΣΣΑ   ΠΙΕΡΙΑΣ</t>
  </si>
  <si>
    <t>ΔΗΜΟΤΙΚΟ ΣΧΟΛΕΙΟ ΧΡΑΝΗΣ</t>
  </si>
  <si>
    <t>mail@dim-chran.pie.sch.gr</t>
  </si>
  <si>
    <t>ΔΗΜΟΤΙΚΟ ΣΧΟΛΕΙΟ ΝΕΩΝ ΠΟΡΩΝ</t>
  </si>
  <si>
    <t>mail@dim-n-poron.pie.sch.gr</t>
  </si>
  <si>
    <t xml:space="preserve">ΝΕΟΙ ΠΟΡΟΙ </t>
  </si>
  <si>
    <t>Ν.ΠΟΡΟΙ</t>
  </si>
  <si>
    <t>ΣΒΟΡΩΝΟΥ</t>
  </si>
  <si>
    <t>ΔΗΜΟΤΙΚΟ ΣΧΟΛΕΙΟ ΣΒΟΡΩΝΟΥ</t>
  </si>
  <si>
    <t>mail@dim-svoron.pie.sch.gr</t>
  </si>
  <si>
    <t>ΣΒΟΡΩΝΟΣ</t>
  </si>
  <si>
    <t>ΑΓΙΟΥ ΑΝΤΩΝΙΟΥ 42</t>
  </si>
  <si>
    <t>mail@dim-kat-milias.pie.sch.gr</t>
  </si>
  <si>
    <t>3ο  ΝΗΠΙΑΓΩΓΕΙΟ  ΛΙΤΟΧΩΡΟΥ</t>
  </si>
  <si>
    <t>mail@3nip-litoch.pie.sch.gr</t>
  </si>
  <si>
    <t>ΝΗΠΙΑΓΩΓΕΙΟ ΣΒΟΡΩΝΟΥ</t>
  </si>
  <si>
    <t>mail@nip-svoron.pie.sch.gr</t>
  </si>
  <si>
    <t>mail@dim-korin.pie.sch.gr</t>
  </si>
  <si>
    <t>ΙΩΑΝΝΗ ΜΕΤΑΞΑ  16</t>
  </si>
  <si>
    <t>23ο ΝΗΠΙΑΓΩΓΕΙΟ ΚΑΤΕΡΙΝΗΣ</t>
  </si>
  <si>
    <t>mail@23nip-kater.pie.sch.gr</t>
  </si>
  <si>
    <t>2ο  1/Θ  ΝΗΠΙΑΓΩΓΕΙΟ ΚΟΡΙΝΟΥ</t>
  </si>
  <si>
    <t>mail@2nip-korin.pie.sch.gr</t>
  </si>
  <si>
    <t>ΒΑΣ. ΚΩΝ/ΝΟΥ &amp; ΘΩΜΑΙΔΗ 1 ΓΩΝΙΑ ( ΠΑΛΙΟ ΔΗΜΟΤΙΚΟ )</t>
  </si>
  <si>
    <t>3ο ΝΗΠΙΑΓΩΓΕΙΟ ΛΕΠΤΟΚΑΡΥΑΣ</t>
  </si>
  <si>
    <t>mail@3nip-leptok.pie.sch.gr</t>
  </si>
  <si>
    <t>ΟΛΟΗΜΕΡΟ ΔΗΜΟΤΙΚΟ ΣΧΟΛΕΙΟ ΕΛΑΦΟΥ ΕΞΟΧΗΣ</t>
  </si>
  <si>
    <t>mail@dim-exoxis.pie.sch.gr</t>
  </si>
  <si>
    <t>ΕΛΑΦΟΣ-ΕΞΟΧΗ</t>
  </si>
  <si>
    <t>ΕΞΟΧΗ ΠΙΕΡΙΑΣ</t>
  </si>
  <si>
    <t>1ΘΕΣΙΟ ΝΗΠΙΑΓΩΓΕΙΟ ΜΟΣΧΟΧΩΡΙΟΥ</t>
  </si>
  <si>
    <t>mail@nip-mosch.pie.sch.gr</t>
  </si>
  <si>
    <t>4ο ΝΗΠΙΑΓΩΓΕΙΟ ΛΙΤΟΧΩΡΟΥ</t>
  </si>
  <si>
    <t>mail@4nip-litoch.pie.sch.gr</t>
  </si>
  <si>
    <t>ΒΑΣ.ΙΘΑΚΗΣΙΟΥ 2</t>
  </si>
  <si>
    <t>24ο ΝΗΠΙΑΓΩΓΕΙΟ ΚΑΤΕΡΙΝΗΣ</t>
  </si>
  <si>
    <t>mail@24nip-kater.pie.sch.gr</t>
  </si>
  <si>
    <t>ΛΕΖΙΝΣΚΙ 45</t>
  </si>
  <si>
    <t>16ο ΔΗΜΟΤΙΚΟ ΣΧΟΛΕΙΟ ΚΑΤΕΡΙΝΗΣ - ΠΕΡΙΟΧΗ ΕΥΑΓΓΕΛΙΚΩΝ</t>
  </si>
  <si>
    <t>mail@16dim-kater.pie.sch.gr</t>
  </si>
  <si>
    <t>ΑΓΙΟΥ ΧΡΙΣΤΟΦΟΡΟΥ 1</t>
  </si>
  <si>
    <t>25ο ΟΛΟΗΜΕΡΟ ΝΗΠΙΑΓΩΓΕΙΟ ΚΑΤΕΡΙΝΗΣ</t>
  </si>
  <si>
    <t>mail@25nip-kater.pie.sch.gr</t>
  </si>
  <si>
    <t>ΑΓ.ΧΡΙΣΤΟΦΟΡΟΥ 1</t>
  </si>
  <si>
    <t>17ο ΔΗΜΟΤΙΚΟ ΣΧΟΛΕΙΟ ΚΑΤΕΡΙΝΗΣ</t>
  </si>
  <si>
    <t>mail@17dim-kater.pie.sch.gr</t>
  </si>
  <si>
    <t>Οδυσσέα Ελύτη 17</t>
  </si>
  <si>
    <t>mail@18dim-kater.pie.sch.gr</t>
  </si>
  <si>
    <t>ΑΝΤΙΣΘΕΝΟΥΣ 1</t>
  </si>
  <si>
    <t>19ο ΔΗΜΟΤΙΚΟ ΣΧΟΛΕΙΟ ΚΑΤΕΡΙΝΗΣ</t>
  </si>
  <si>
    <t>mail@19dim-kater.pie.sch.gr</t>
  </si>
  <si>
    <t>ΤΥΡΤΑΙΟΥ 2</t>
  </si>
  <si>
    <t>ΔΙΕΥΘΥΝΣΗ Π.Ε. ΣΕΡΡΩΝ</t>
  </si>
  <si>
    <t>ΑΓΚΙΣΤΡΟΥ</t>
  </si>
  <si>
    <t>ΝΗΠΙΑΓΩΓΕΙΟ ΑΓΚΙΣΤΡΟΥ</t>
  </si>
  <si>
    <t>mail@nip-agkistr.ser.sch.gr</t>
  </si>
  <si>
    <t>ΑΓΚΙΣΤΡΟ</t>
  </si>
  <si>
    <t>29ο ΝΗΠΙΑΓΩΓΕΙΟ ΣΕΡΡΩΝ</t>
  </si>
  <si>
    <t>mail@29nip-serron.ser.sch.gr</t>
  </si>
  <si>
    <t>ΕΥΖΩΝΩΝ 7</t>
  </si>
  <si>
    <t>mail@24dim-serron.ser.sch.gr</t>
  </si>
  <si>
    <t>ΕΛ. ΒΕΝΙΖΕΛΟΥ 92</t>
  </si>
  <si>
    <t>12ο ΝΗΠΙΑΓΩΓΕΙΟ ΣΕΡΡΩΝ</t>
  </si>
  <si>
    <t>mail@12nip-serron.ser.sch.gr</t>
  </si>
  <si>
    <t>ΒΕΝΙΖΕΛΟΥ 137</t>
  </si>
  <si>
    <t>30ο ΝΗΠΙΑΓΩΓΕΙΟ ΣΕΡΡΩΝ</t>
  </si>
  <si>
    <t>mail@30nip-serron.ser.sch.gr</t>
  </si>
  <si>
    <t>ΠΙΠΙΝΟΥ 23</t>
  </si>
  <si>
    <t>8ο ΔΗΜΟΤΙΚΟ ΣΧΟΛΕΙΟ ΣΕΡΡΩΝ</t>
  </si>
  <si>
    <t>mail@8dim-serron.ser.sch.gr</t>
  </si>
  <si>
    <t>ΚΕΡΑΣΟΥΝΤΟΣ 2</t>
  </si>
  <si>
    <t>32ο ΝΗΠΙΑΓΩΓΕΙΟ ΣΕΡΡΩΝ</t>
  </si>
  <si>
    <t>mail@32nip-serron.ser.sch.gr</t>
  </si>
  <si>
    <t>ΒΕΝΙΖΕΛΟΥ 92</t>
  </si>
  <si>
    <t>ΚΑΛΩΝ ΔΕΝΔΡΩΝ</t>
  </si>
  <si>
    <t>ΝΗΠΙΑΓΩΓΕΙΟ ΚΑΛΩΝ ΔΕΝΔΡΩΝ</t>
  </si>
  <si>
    <t>mail@nip-kal-dendr.ser.sch.gr</t>
  </si>
  <si>
    <t>ΚΑΛΑ ΔΕΝΔΡΑ ΣΕΡΡΩΝ</t>
  </si>
  <si>
    <t>ΝΗΠΙΑΓΩΓΕΙΟ ΛΕΥΚΩΝΑ</t>
  </si>
  <si>
    <t>mail@nip-lefkon.ser.sch.gr</t>
  </si>
  <si>
    <t>ΗΛ. ΛΑΥΡΕΝΤΙΔΗ 6</t>
  </si>
  <si>
    <t>10ο ΔΗΜΟΤΙΚΟ ΣΧΟΛΕΙΟ ΣΕΡΡΩΝ</t>
  </si>
  <si>
    <t>mail@10dim-serron.ser.sch.gr</t>
  </si>
  <si>
    <t>ΕΛΕΥΘΕΡΙΟΥ ΒΕΝΙΖΕΛΟΥ 92</t>
  </si>
  <si>
    <t>ΝΗΠΙΑΓΩΓΕΙΟ ΝΕΟΥ ΣΚΟΠΟΥ</t>
  </si>
  <si>
    <t>mail@nip-n-skopou.ser.sch.gr</t>
  </si>
  <si>
    <t>ΚΥΡ. ΑΣΤΡΕΙΝΙΔΗ 41</t>
  </si>
  <si>
    <t>ΝΗΠΙΑΓΩΓΕΙΟ ΝΕΟΧΩΡΙΟΥ ΣΕΡΡΩΝ</t>
  </si>
  <si>
    <t>mail@nip-neochor.ser.sch.gr</t>
  </si>
  <si>
    <t>ΝΕΟΧΩΡΙ ΣΕΡΡΩΝ</t>
  </si>
  <si>
    <t>mail@20dim-serron.ser.sch.gr</t>
  </si>
  <si>
    <t>Αναστασίου Χρυσάφη 36</t>
  </si>
  <si>
    <t>7ο ΝΗΠΙΑΓΩΓΕΙΟ ΣΕΡΡΩΝ</t>
  </si>
  <si>
    <t>mail@7nip-serron.ser.sch.gr</t>
  </si>
  <si>
    <t>ΑΙΝΟΥ 16</t>
  </si>
  <si>
    <t>7ο ΔΗΜΟΤΙΚΟ ΣΧΟΛΕΙΟ ΣΕΡΡΩΝ</t>
  </si>
  <si>
    <t>mail@7dim-serron.ser.sch.gr</t>
  </si>
  <si>
    <t>ΑΘ. ΜΠΕΚΙΑΡΗ 7</t>
  </si>
  <si>
    <t>2ο ΝΗΠΙΑΓΩΓΕΙΟ ΣΕΡΡΩΝ</t>
  </si>
  <si>
    <t>mail@2nip-serron.ser.sch.gr</t>
  </si>
  <si>
    <t>ΜΠΙΖΑΝΙΟΥ 1</t>
  </si>
  <si>
    <t>4ο ΝΗΠΙΑΓΩΓΕΙΟ ΣΕΡΡΩΝ</t>
  </si>
  <si>
    <t>mail@4nip-serron.ser.sch.gr</t>
  </si>
  <si>
    <t>ΝΙΓΡΗΤΗΣ 128</t>
  </si>
  <si>
    <t>8ο ΝΗΠΙΑΓΩΓΕΙΟ ΣΕΡΡΩΝ</t>
  </si>
  <si>
    <t>mail@8nip-serron.ser.sch.gr</t>
  </si>
  <si>
    <t>5ο ΝΗΠΙΑΓΩΓΕΙΟ ΣΕΡΡΩΝ</t>
  </si>
  <si>
    <t>mail@5nip-serron.ser.sch.gr</t>
  </si>
  <si>
    <t>ΚΑΝΑΒΟΥ 2</t>
  </si>
  <si>
    <t>9ο  ΝΗΠΙΑΓΩΓΕΙΟ ΣΕΡΡΩΝ</t>
  </si>
  <si>
    <t>mail@9nip-serron.ser.sch.gr</t>
  </si>
  <si>
    <t>13ο ΝΗΠΙΑΓΩΓΕΙΟ ΣΕΡΡΩΝ</t>
  </si>
  <si>
    <t>mail@13nip-serron.ser.sch.gr</t>
  </si>
  <si>
    <t>ΜΙΑΟΥΛΗ 17</t>
  </si>
  <si>
    <t>17ο  ΝΗΠΙΑΓΩΓΕΙΟ ΣΕΡΡΩΝ</t>
  </si>
  <si>
    <t>mail@17nip-serron.ser.sch.gr</t>
  </si>
  <si>
    <t>ΚΙΣΣΑΒΟΥ 12</t>
  </si>
  <si>
    <t>18ο ΝΗΠΙΑΓΩΓΕΙΟ ΣΕΡΡΩΝ</t>
  </si>
  <si>
    <t>mail@18nip-serron.ser.sch.gr</t>
  </si>
  <si>
    <t>ΑΡΚΑΔΙΟΥΠΟΛΕΩΣ 15</t>
  </si>
  <si>
    <t>6ο ΔΗΜΟΤΙΚΟ ΣΧΟΛΕΙΟ ΣΕΡΡΩΝ</t>
  </si>
  <si>
    <t>mail@6dim-serron.ser.sch.gr</t>
  </si>
  <si>
    <t>ΑΘΑΝΑΣΙΟΥ ΜΑΥΡΙΔΗ 2</t>
  </si>
  <si>
    <t>ΔΗΜΟΤΙΚΟ ΣΧΟΛΕΙΟ ΨΥΧΙΚΟΥ</t>
  </si>
  <si>
    <t>mail@dim-psych.ser.sch.gr</t>
  </si>
  <si>
    <t>ΨΥΧΙΚΟ ΣΕΡΡΩΝ</t>
  </si>
  <si>
    <t>mail@2dim-serron.ser.sch.gr</t>
  </si>
  <si>
    <t>ΝΙΓΡΙΤΑΣ 128</t>
  </si>
  <si>
    <t>mail@dim-lefkon.ser.sch.gr</t>
  </si>
  <si>
    <t>ΟΜΗΡΩΝ 3</t>
  </si>
  <si>
    <t>3ο ΝΗΠΙΑΓΩΓΕΙΟ ΣΕΡΡΩΝ</t>
  </si>
  <si>
    <t>mail@3nip-serron.ser.sch.gr</t>
  </si>
  <si>
    <t>ΙΚΟΝΙΟΥ 20</t>
  </si>
  <si>
    <t>20ο  ΝΗΠΙΑΓΩΓΕΙΟ ΣΕΡΡΩΝ</t>
  </si>
  <si>
    <t>mail@20nip-serron.ser.sch.gr</t>
  </si>
  <si>
    <t>ΑΘΑΝΑΣΙΟΥ ΜΠΕΚΙΑΡΗ 7</t>
  </si>
  <si>
    <t>mail@14dim-serron.ser.sch.gr</t>
  </si>
  <si>
    <t>ʼγιος Ιωάννης Σερρών</t>
  </si>
  <si>
    <t>ΜΙΝΩΟΣ</t>
  </si>
  <si>
    <t>ΔΗΜΟΤΙΚΟ ΣΧΟΛΕΙΟ ΚΑΛΩΝ ΔΕΝΔΡΩΝ</t>
  </si>
  <si>
    <t>mail@dim-kal-dendr.ser.sch.gr</t>
  </si>
  <si>
    <t>ΚΑΛΑ ΔΕΝΔΡΑ</t>
  </si>
  <si>
    <t>21ο ΝΗΠΙΑΓΩΓΕΙΟ ΣΕΡΡΩΝ</t>
  </si>
  <si>
    <t>mail@21nip-serron.ser.sch.gr</t>
  </si>
  <si>
    <t>mail@dim-pentap.ser.sch.gr</t>
  </si>
  <si>
    <t>ΔΗΜΟΣ ΕΜΜ. ΠΑΠΠΑ ΣΕΡΡΩΝ</t>
  </si>
  <si>
    <t>22ο ΝΗΠΙΑΓΩΓΕΙΟ ΣΕΡΡΩΝ</t>
  </si>
  <si>
    <t>mail@22nip-serron.ser.sch.gr</t>
  </si>
  <si>
    <t>27ο ΝΗΠΙΑΓΩΓΕΙΟ ΣΕΡΡΩΝ</t>
  </si>
  <si>
    <t>mail@27nip-serron.ser.sch.gr</t>
  </si>
  <si>
    <t>28ο ΝΗΠΙΑΓΩΓΕΙΟ ΣΕΡΡΩΝ</t>
  </si>
  <si>
    <t>mail@28nip-serron.ser.sch.gr</t>
  </si>
  <si>
    <t>ΝΗΠΙΑΓΩΓΕΙΟ ΠΑΛΑΙΟΚΩΜΗΣ</t>
  </si>
  <si>
    <t>mail@nip-palaiokom.ser.sch.gr</t>
  </si>
  <si>
    <t>ΔΗΜΟΤΙΚΟ ΣΧΟΛΕΙΟ ΑΓΚΙΣΤΡΟΥ</t>
  </si>
  <si>
    <t>mail@dim-agkistr.ser.sch.gr</t>
  </si>
  <si>
    <t>ΑΓΚΙΣΤΡΟ ΣΕΡΡΩΝ</t>
  </si>
  <si>
    <t>ΑΧΙΝΟΥ</t>
  </si>
  <si>
    <t>ΣΙΤΟΧΩΡΙΟΥ</t>
  </si>
  <si>
    <t>ΝΗΠΙΑΓΩΓΕΙΟ ΣΙΤΟΧΩΡΙΟΥ</t>
  </si>
  <si>
    <t>mail@nip-sitoch.ser.sch.gr</t>
  </si>
  <si>
    <t>ΣΙΤΟΧΩΡΙ</t>
  </si>
  <si>
    <t>ΣΙΤΟΧΩΡΙ ΣΕΡΡΩΝ</t>
  </si>
  <si>
    <t>ΝΗΠΙΑΓΩΓΕΙΟ ΔΗΜΗΤΡΙΤΣΙΟΥ</t>
  </si>
  <si>
    <t>mail@nip-dimitr.ser.sch.gr</t>
  </si>
  <si>
    <t>ΔΗΜΗΤΡΙΤΣΙΟΥ</t>
  </si>
  <si>
    <t>ΔΗΜΗΤΡΙΤΣΙ ΣΕΡΡΩΝ</t>
  </si>
  <si>
    <t>mail@1dim-serron.ser.sch.gr</t>
  </si>
  <si>
    <t>ΜΠΕΚΙΑΡΗ 7</t>
  </si>
  <si>
    <t>1ο ΝΗΠΙΑΓΩΓΕΙΟ Ν. ΣΟΥΛΙΟΥ</t>
  </si>
  <si>
    <t>mail@nip-n-souliou.ser.sch.gr</t>
  </si>
  <si>
    <t>Ν. ΣΟΥΛΙΟΥ</t>
  </si>
  <si>
    <t>ΙΒΗΡΩΝ</t>
  </si>
  <si>
    <t>ΝΗΠΙΑΓΩΓΕΙΟ ΙΒΗΡΩΝ</t>
  </si>
  <si>
    <t>mail@nip-ivir.ser.sch.gr</t>
  </si>
  <si>
    <t>ΙΒΗΡΑ ΣΕΡΡΩΝ</t>
  </si>
  <si>
    <t>ΝΗΠΙΑΓΩΓΕΙΟ ΑΓΙΟΥ ΠΝΕΥΜΑΤΟΣ</t>
  </si>
  <si>
    <t>mail@nip-ag-pnevm.ser.sch.gr</t>
  </si>
  <si>
    <t>ΝΗΠΙΑΓΩΓΕΙΟ ΠΕΝΤΑΠΟΛΗΣ</t>
  </si>
  <si>
    <t>mail@nip-pentap.ser.sch.gr</t>
  </si>
  <si>
    <t>ΠΕΝΤΑΠΟΛΗΣ</t>
  </si>
  <si>
    <t>ΝΗΠΙΑΓΩΓΕΙΟ ΔΡΑΒΗΣΚΟΥ</t>
  </si>
  <si>
    <t>mail@nip-dravisk.ser.sch.gr</t>
  </si>
  <si>
    <t>ΝΗΠΙΑΓΩΓΕΙΟ ΑΛΙΣΤΡΑΤΗΣ</t>
  </si>
  <si>
    <t>mail@nip-alistr.ser.sch.gr</t>
  </si>
  <si>
    <t>ΤΡΙΑΝΤΑΦΥΛΛΙΑΣ</t>
  </si>
  <si>
    <t>ΝΗΠΙΑΓΩΓΕΙΟ ΤΡΙΑΝΤΑΦΥΛΛΙΑΣ</t>
  </si>
  <si>
    <t>mail@nip-triant.ser.sch.gr</t>
  </si>
  <si>
    <t>ΤΡΙΑΝΤΑΦΥΛΛΙΑ ΣΕΡΡΩΝ</t>
  </si>
  <si>
    <t>ΝΗΠΙΑΓΩΓΕΙΟ ΜΑΥΡΟΘΑΛΑΣΣΑΣ ΣΕΡΡΩΝ</t>
  </si>
  <si>
    <t>mail@nip-mavroth.ser.sch.gr</t>
  </si>
  <si>
    <t>ΑΝΩ ΠΟΡΟΙΩΝ</t>
  </si>
  <si>
    <t>ΝΗΠΙΑΓΩΓΕΙΟ ΑΝΩ ΠΟΡΟΙΩΝ</t>
  </si>
  <si>
    <t>mail@nip-an-poroion.ser.sch.gr</t>
  </si>
  <si>
    <t>ΑΝΩ ΠΟΡΟΙΑ ΣΕΡΡΩΝ</t>
  </si>
  <si>
    <t>ΑΝΩ ΠΟΡΟΪΑ</t>
  </si>
  <si>
    <t>ΝΗΠΙΑΓΩΓΕΙΟ ΑΧΛΑΔΟΧΩΡΙΟΥ</t>
  </si>
  <si>
    <t>mail@nip-achlad.ser.sch.gr</t>
  </si>
  <si>
    <t>ΣΟΥΛΕΙΟ ΝΗΠΙΑΓΩΓΕΙΟ Ν. ΖΙΧΝΗΣ</t>
  </si>
  <si>
    <t>mail@nip-n-zichn.ser.sch.gr</t>
  </si>
  <si>
    <t>ΝΕΑΣ ΖΙΧΝΗ ΣΕΡΡΩΝ</t>
  </si>
  <si>
    <t>ΚΑΤΩ ΚΑΜΗΛΑΣ</t>
  </si>
  <si>
    <t>ΝΗΠΙΑΓΩΓΕΙΟ ΚΑΤΩ ΚΑΜΗΛΑΣ</t>
  </si>
  <si>
    <t>mail@nip-kat-kamil.ser.sch.gr</t>
  </si>
  <si>
    <t>ΚΑΤΩ ΚΑΜΗΛΑ ΣΕΡΡΩΝ</t>
  </si>
  <si>
    <t>ΝΗΠΙΑΓΩΓΕΙΟ ΒΥΡΩΝΕΙΑΣ</t>
  </si>
  <si>
    <t>mail@nip-vyron.ser.sch.gr</t>
  </si>
  <si>
    <t>ΒΥΡΩΝΕΙΑ ΣΕΡΡΩΝ</t>
  </si>
  <si>
    <t>ΝΗΠΙΑΓΩΓΕΙΟ ΧΡΥΣΟΥ</t>
  </si>
  <si>
    <t>mail@nip-chrys.ser.sch.gr</t>
  </si>
  <si>
    <t>ΤΟΠΙΚΗ  ΚΟΙΝΟΤΗΤΑ ΧΡΥΣΟΥ</t>
  </si>
  <si>
    <t>ΝΗΠΙΑΓΩΓΕΙΟ ΤΟΥΜΠΑΣ</t>
  </si>
  <si>
    <t>mail@nip-toump.ser.sch.gr</t>
  </si>
  <si>
    <t>ΤΟΥΜΠΑ ΣΕΡΡΩΝ</t>
  </si>
  <si>
    <t>ΒΑΜΒΑΚΟΦΥΤΟΥ</t>
  </si>
  <si>
    <t>ΝΗΠΙΑΓΩΓΕΙΟ ΒΑΜΒΑΚΟΦΥΤΟΥ</t>
  </si>
  <si>
    <t>mail@nip-vamvak.ser.sch.gr</t>
  </si>
  <si>
    <t>ΒΑΜΒΑΚΟΦΥΤΟ ΣΕΡΡΩΝ</t>
  </si>
  <si>
    <t>2ο ΝΗΠΙΑΓΩΓΕΙΟ ΝΙΓΡΙΤΑΣ</t>
  </si>
  <si>
    <t>mail@2nip-nigrit.ser.sch.gr</t>
  </si>
  <si>
    <t>ΦΥΛΛΙΔΟΣ 14</t>
  </si>
  <si>
    <t>ΧΑΡΟΠΟΥ</t>
  </si>
  <si>
    <t>ΔΗΜΟΤΙΚΟ ΣΧΟΛΕΙΟ ΧΑΡΟΠΟΥ</t>
  </si>
  <si>
    <t>mail@dim-charop.ser.sch.gr</t>
  </si>
  <si>
    <t>Χαροπό</t>
  </si>
  <si>
    <t>ΧΑΡΟΠΟ ΣΕΡΡΩΝ</t>
  </si>
  <si>
    <t>ΤΕΡΠΝΗΣ</t>
  </si>
  <si>
    <t>ΝΗΠΙΑΓΩΓΕΙΟ ΤΕΡΠΝΗΣ</t>
  </si>
  <si>
    <t>mail@nip-terpn.ser.sch.gr</t>
  </si>
  <si>
    <t>ΤΕΡΠΝΗ ΣΕΡΡΩΝ</t>
  </si>
  <si>
    <t>mail@dim-n-zichn.ser.sch.gr</t>
  </si>
  <si>
    <t>ΕΓΝΑΤΙΑΣ &amp; ΠΑΓΓΑΙΟΥ</t>
  </si>
  <si>
    <t>ΓΑΖΩΡΟΥ</t>
  </si>
  <si>
    <t>ΝΗΠΙΑΓΩΓΕΙΟ ΓΑΖΩΡΟΥ</t>
  </si>
  <si>
    <t>mail@nip-gazor.ser.sch.gr</t>
  </si>
  <si>
    <t>ΓΑΖΩΡΟΣ ΣΕΡΡΩΝ</t>
  </si>
  <si>
    <t>10ο ΝΗΠΙΑΓΩΓΕΙΟ ΣΕΡΡΩΝ</t>
  </si>
  <si>
    <t>mail@10nip-serron.ser.sch.gr</t>
  </si>
  <si>
    <t>4ο ΔΗΜΟΤΙΚΟ ΣΧΟΛΕΙΟ ΣΕΡΡΩΝ</t>
  </si>
  <si>
    <t>mail@4dim-serron.ser.sch.gr</t>
  </si>
  <si>
    <t>ΔΥΤ. ΘΡΑΚΗΣ 6</t>
  </si>
  <si>
    <t>16ο ΝΗΠΙΑΓΩΓΕΙΟ ΣΕΡΡΩΝ</t>
  </si>
  <si>
    <t>mail@16nip-serron.ser.sch.gr</t>
  </si>
  <si>
    <t>mail@18dim-serron.ser.sch.gr</t>
  </si>
  <si>
    <t>ΧΑΡΙΛΑΟΥ ΤΡΙΚΟΥΠΗ 34</t>
  </si>
  <si>
    <t>19ο  ΝΗΠΙΑΓΩΓΕΙΟ ΣΕΡΡΩΝ</t>
  </si>
  <si>
    <t>mail@19nip-serron.ser.sch.gr</t>
  </si>
  <si>
    <t>ΕΡΓΑΤΙΚΕΣ ΚΑΤΟΙΚΙΕΣ ΚΗΦΙΣΙΑΣ</t>
  </si>
  <si>
    <t>6ο ΝΗΠΙΑΓΩΓΕΙΟ ΣΕΡΡΩΝ</t>
  </si>
  <si>
    <t>mail@6nip-serron.ser.sch.gr</t>
  </si>
  <si>
    <t>ΠΕΡΙΟΧΗ ΑΓΙΩΝ ΑΝΑΡΓΥΡΩΝ</t>
  </si>
  <si>
    <t>26ο ΝΗΠΙΑΓΩΓΕΙΟ ΣΕΡΡΩΝ</t>
  </si>
  <si>
    <t>mail@26nip-serron.ser.sch.gr</t>
  </si>
  <si>
    <t>ΑΘΑΝΑΣΙΟΥ ΑΡΓΥΡΟΥ 45</t>
  </si>
  <si>
    <t>15ο ΝΗΠΙΑΓΩΓΕΙΟ ΣΕΡΡΩΝ</t>
  </si>
  <si>
    <t>mail@15nip-serron.ser.sch.gr</t>
  </si>
  <si>
    <t>ΟΛΟΗΜΕΡΟ ΝΗΠΙΑΓΩΓΕΙΟ ΡΟΔΟΛΙΒΟΥΣ</t>
  </si>
  <si>
    <t>mail@nip-rodol.ser.sch.gr</t>
  </si>
  <si>
    <t>ΡΟΔΟΛΙΒΟΣ ΣΕΡΡΩΝ</t>
  </si>
  <si>
    <t>mail@dim-kerkin.ser.sch.gr</t>
  </si>
  <si>
    <t>ΚΕΡΚΙΝΗ</t>
  </si>
  <si>
    <t>ΚΕΡΚΙΝΗ ΣΕΡΡΩΝ</t>
  </si>
  <si>
    <t>mail@dim-rodol.ser.sch.gr</t>
  </si>
  <si>
    <t>Κ. ΚΙΟΡΠΕ  2</t>
  </si>
  <si>
    <t>ΕΙΔΙΚΟ ΔΗΜΟΤΙΚΟ ΣΧΟΛΕΙΟ ΣΕΡΡΩΝ</t>
  </si>
  <si>
    <t>mail@dim-eid-serron.ser.sch.gr</t>
  </si>
  <si>
    <t>3ο ΧΙΛ.ΣΕΡΡΩΝ -ΔΡΑΜΑΣ</t>
  </si>
  <si>
    <t>ΧΛΜ ΣΕΡΡΩΝ ΔΡΑΜΑΣ 3</t>
  </si>
  <si>
    <t>ΚΟΡΜΙΣΤΑΣ</t>
  </si>
  <si>
    <t>ΝΕΑΣ ΜΠΑΦΡΑΣ</t>
  </si>
  <si>
    <t>ΔΗΜΟΤΙΚΟ ΣΧΟΛΕΙΟ Ν. ΜΠΑΦΡΑΣ</t>
  </si>
  <si>
    <t>mail@dim-n-bafras.ser.sch.gr</t>
  </si>
  <si>
    <t>Ν. ΜΠΑΦΡΑ</t>
  </si>
  <si>
    <t>Ν. ΜΠΑΦΡΑ ΣΕΡΡΩΝ</t>
  </si>
  <si>
    <t>ΝΕΩΝ ΚΕΡΔΥΛΙΩΝ</t>
  </si>
  <si>
    <t>ΝΗΠΙΑΓΩΓΕΙΟ Ν. ΚΕΡΔΥΛΙΩΝ</t>
  </si>
  <si>
    <t>mail@nip-n-kerdyl.ser.sch.gr</t>
  </si>
  <si>
    <t>Ν. ΚΕΡΔΥΛΙΩΝ</t>
  </si>
  <si>
    <t>ΝΕΑ ΚΕΡΔΥΛΙΑ ΣΕΡΡΩΝ</t>
  </si>
  <si>
    <t>mail@dim-palaiokom.ser.sch.gr</t>
  </si>
  <si>
    <t>ΝΗΠΙΑΓΩΓΕΙΟ ΚΕΡΚΙΝΗΣ</t>
  </si>
  <si>
    <t>mail@nip-kerkin.ser.sch.gr</t>
  </si>
  <si>
    <t>ΑΝΩ ΚΑΜΗΛΑΣ</t>
  </si>
  <si>
    <t>ΝΗΠΙΑΓΩΓΕΙΟ ΑΝΩ ΚΑΜΗΛΑΣ</t>
  </si>
  <si>
    <t>mail@nip-an-kamil.ser.sch.gr</t>
  </si>
  <si>
    <t>ΑΝΩ ΚΑΜΗΛΑΣ ΣΕΡΡΩΝ</t>
  </si>
  <si>
    <t>ΒΑΛΤΕΡΟΥ</t>
  </si>
  <si>
    <t>ΝΗΠΙΑΓΩΓΕΙΟ ΒΑΛΤΕΡΟΥ</t>
  </si>
  <si>
    <t>mail@nip-valter.ser.sch.gr</t>
  </si>
  <si>
    <t>ΒΑΛΤΕΡΟ ΣΕΡΡΩΝ</t>
  </si>
  <si>
    <t>ΝΗΠΙΑΓΩΓΕΙΟ Ν. ΜΠΑΦΡΑΣ</t>
  </si>
  <si>
    <t>mail@nip-n-bafras.ser.sch.gr</t>
  </si>
  <si>
    <t>Ν. ΜΠΑΦΡΑΣ</t>
  </si>
  <si>
    <t>ΠΛΑΤΑΝΑΚΙΩΝ</t>
  </si>
  <si>
    <t>ΝΗΠΙΑΓΩΓΕΙΟ ΠΛΑΤΑΝΑΚΙΑ ΣΕΡΡΩΝ</t>
  </si>
  <si>
    <t>mail@nip-platan.ser.sch.gr</t>
  </si>
  <si>
    <t>ΠΛΑΤΑΝΑΚΙΑ ΣΕΡΡΩΝ</t>
  </si>
  <si>
    <t>ΝΗΠΙΑΓΩΓΕΙΟ ΡΟΔΟΠΟΛΗΣ</t>
  </si>
  <si>
    <t>mail@nip-rodop.ser.sch.gr</t>
  </si>
  <si>
    <t>ΡΟΔΟΠΟΛΗ ΣΕΡΡΩΝ</t>
  </si>
  <si>
    <t>1ο  ΝΗΠΙΑΓΩΓΕΙΟ ΣΙΔΗΡΟΚΑΣΤΡΟΥ</t>
  </si>
  <si>
    <t>mail@1nip-sidir.ser.sch.gr</t>
  </si>
  <si>
    <t>ΓΕΦΥΡΟΥΔΙΟΥ</t>
  </si>
  <si>
    <t>ΝΗΠΙΑΓΩΓΕΙΟ ΓΕΦΥΡΟΥΔΙΟΥ</t>
  </si>
  <si>
    <t>mail@nip-gefyr.ser.sch.gr</t>
  </si>
  <si>
    <t>ΓΕΦΥΡΟΥΔΙ ΣΕΡΡΩΝ</t>
  </si>
  <si>
    <t>ΔΗΜΟΤΙΚΟ ΣΧΟΛΕΙΟ ΝΕΩΝ ΚΕΡΔΥΛΛΙΩΝ</t>
  </si>
  <si>
    <t>mail@dim-n-kerdyl.ser.sch.gr</t>
  </si>
  <si>
    <t>ΝΕΑ ΚΕΡΔΥΛΛΙΑ</t>
  </si>
  <si>
    <t>mail@dim-mavroth.ser.sch.gr</t>
  </si>
  <si>
    <t>ΝΗΠΙΑΓΩΓΕΊΟ ΣΤΡΥΜΟΝΙΚΟΥ</t>
  </si>
  <si>
    <t>mail@nip-strym.ser.sch.gr</t>
  </si>
  <si>
    <t>12ο ΔΗΜΟΤΙΚΟ ΣΧΟΛΕΙΟ ΣΕΡΡΩΝ</t>
  </si>
  <si>
    <t>mail@12dim-serron.ser.sch.gr</t>
  </si>
  <si>
    <t>ΚΑΝΝΑΒΟΥ 2</t>
  </si>
  <si>
    <t>ΝΗΠΙΑΓΩΓΕΙΟ ΚΟΙΜΗΣΗΣ</t>
  </si>
  <si>
    <t>mail@nip-koimis.ser.sch.gr</t>
  </si>
  <si>
    <t>ΚΟΙΜΗΣΗΣ</t>
  </si>
  <si>
    <t>ΚΟΙΜΗΣΗ ΣΕΡΡΩΝ</t>
  </si>
  <si>
    <t>1ο  ΝΗΠΙΑΓΩΓΕΙΟ ΣΕΡΡΩΝ</t>
  </si>
  <si>
    <t>mail@1nip-serron.ser.sch.gr</t>
  </si>
  <si>
    <t>ΣΙΓΗΣ</t>
  </si>
  <si>
    <t>11ο  ΝΗΠΙΑΓΩΓΕΙΟ ΣΕΡΡΩΝ</t>
  </si>
  <si>
    <t>mail@11nip-serron.ser.sch.gr</t>
  </si>
  <si>
    <t>ΚΩΝΣΤΑΝΤΙΝΟΥΠΟΛΕΩΣ 74</t>
  </si>
  <si>
    <t>14ο ΝΗΠΙΑΓΩΓΕΙΟ ΣΕΡΡΩΝ</t>
  </si>
  <si>
    <t>mail@14nip-serron.ser.sch.gr</t>
  </si>
  <si>
    <t>ΚΥΠΡΟΥ 38</t>
  </si>
  <si>
    <t>ΛΙΘΟΤΟΠΟΥ</t>
  </si>
  <si>
    <t>ΝΗΠΙΑΓΩΓΕΙΟ ΛΙΘΟΤΟΠΟΥ</t>
  </si>
  <si>
    <t>mail@nip-lithot.ser.sch.gr</t>
  </si>
  <si>
    <t>ΛΙΘΟΤΟΠΟΣ ΣΕΡΡΩΝ</t>
  </si>
  <si>
    <t>23ο ΝΗΠΙΑΓΩΓΕΙΟ ΣΕΡΡΩΝ</t>
  </si>
  <si>
    <t>mail@23nip-serron.ser.sch.gr</t>
  </si>
  <si>
    <t>ΔΗΜΟΤΙΚΟ ΣΧΟΛΕΙΟ ΣΙΤΟΧΩΡΙΟΥ</t>
  </si>
  <si>
    <t>mail@dim-sitoch.ser.sch.gr</t>
  </si>
  <si>
    <t>ΝΗΠΙΑΓΩΓΕΙΟ ΠΡΩΤΗΣ ΣΕΡΡΩΝ</t>
  </si>
  <si>
    <t>mail@nip-protis.ser.sch.gr</t>
  </si>
  <si>
    <t>ΠΡΩΤΗΣ ΣΕΡΡΩΝ</t>
  </si>
  <si>
    <t>24ο ΝΗΠΙΑΓΩΓΕΙΟ ΣΕΡΡΩΝ</t>
  </si>
  <si>
    <t>mail@24nip-serron.ser.sch.gr</t>
  </si>
  <si>
    <t>ΔΥΤΙΚΗΣ ΘΡΑΚΗΣ 7</t>
  </si>
  <si>
    <t>ΝΗΠΙΑΓΩΓΕΙΟ ΠΡΟΒΑΤΑ</t>
  </si>
  <si>
    <t>mail@nip-provat.ser.sch.gr</t>
  </si>
  <si>
    <t>ΠΡΟΒΑΤΑΣ ΣΕΡΡΩΝ</t>
  </si>
  <si>
    <t>ΝΗΠΙΑΓΩΓΕΙΟ ΣΚΟΤΟΥΣΣΗΣ</t>
  </si>
  <si>
    <t>mail@nip-skotous.ser.sch.gr</t>
  </si>
  <si>
    <t>ΧΡΥΣΟΧΩΡΑΦΩΝ</t>
  </si>
  <si>
    <t>ΝΗΠΙΑΓΩΓΕΙΟ ΧΡΥΣΟΧΩΡΑΦΩΝ</t>
  </si>
  <si>
    <t>mail@nip-chrysoch.ser.sch.gr</t>
  </si>
  <si>
    <t>ΧΡΥΣΟΧΩΡΑΦΑ ΣΕΡΡΩΝ</t>
  </si>
  <si>
    <t>31ο ΝΗΠΙΑΓΩΓΕΙΟ ΣΕΡΡΩΝ</t>
  </si>
  <si>
    <t>mail@31nip-serron.ser.sch.gr</t>
  </si>
  <si>
    <t>ΛΕΩΝΙΔΑ ΠΑΠΑΠΑΥΛΟΥ 43</t>
  </si>
  <si>
    <t>1ο 1/θ ΝΗΠΙΑΓΩΓΕΙΟ  ΗΡΑΚΛΕΙΑΣ</t>
  </si>
  <si>
    <t>mail@1nip-irakl.ser.sch.gr</t>
  </si>
  <si>
    <t>ΠΑΠΑΠΕΤΡΟΥ 1</t>
  </si>
  <si>
    <t>2ο ΝΗΠΙΑΓΩΓΕΙΟ ΗΡΑΚΛΕΙΑΣ</t>
  </si>
  <si>
    <t>mail@2nip-irakl.ser.sch.gr</t>
  </si>
  <si>
    <t>ΠΟΝΤΙΣΜΕΝΟΥ</t>
  </si>
  <si>
    <t>ΝΗΠΙΑΓΩΓΕΙΟ ΠΟΝΤΙΣΜΕΝΟΥ</t>
  </si>
  <si>
    <t>mail@nip-pontism.ser.sch.gr</t>
  </si>
  <si>
    <t>ΠΟΝΤΙΣΜΕΝΟ ΣΕΡΡΩΝ</t>
  </si>
  <si>
    <t>ΧΕΙΜΑΡΡΟΥ</t>
  </si>
  <si>
    <t>ΝΗΠΙΑΓΩΓΕΙΟ ΧΕΙΜΑΡΡΟΥ</t>
  </si>
  <si>
    <t>mail@nip-cheim.ser.sch.gr</t>
  </si>
  <si>
    <t>ΧΕΙΜΑΡΡΟΣ ΣΕΡΡΩΝ</t>
  </si>
  <si>
    <t>ΕΙΔΙΚΟ ΝΗΠΙΑΓΩΓΕΙΟ ΣΕΡΡΩΝ</t>
  </si>
  <si>
    <t>mail@nip-eid-serron.ser.sch.gr</t>
  </si>
  <si>
    <t>ΝΗΠΙΑΓΩΓΕΙΟ ΕΛΑΙΩΝΑΣ ΣΕΡΡΩΝ</t>
  </si>
  <si>
    <t>mail@nip-elaion.ser.sch.gr</t>
  </si>
  <si>
    <t>ΕΛΑΙΩΝΑΣ ΣΕΡΡΩΝ</t>
  </si>
  <si>
    <t>2ο  ΝΗΠΙΑΓΩΓΕΙΟ ΣΙΔΗΡΟΚΑΣΤΡΟΥ</t>
  </si>
  <si>
    <t>mail@2nip-sidir.ser.sch.gr</t>
  </si>
  <si>
    <t>ΣΤΕΦΑΝΙΔΗ 16</t>
  </si>
  <si>
    <t>3ο ΝΗΠΙΑΓΩΓΕΙΟ ΣΙΔΗΡΟΚΑΣΤΡΟΥ</t>
  </si>
  <si>
    <t>mail@3nip-sidir.ser.sch.gr</t>
  </si>
  <si>
    <t>27ης Ιουνίου 64 Β Σιδηρόκαστρο</t>
  </si>
  <si>
    <t>mail@dim-vamvak.ser.sch.gr</t>
  </si>
  <si>
    <t>ΒΑΜΒΑΚΟΦΥΤΟ</t>
  </si>
  <si>
    <t>33ο ΝΗΠΙΑΓΩΓΕΙΟ ΣΕΡΡΩΝ</t>
  </si>
  <si>
    <t>mail@33nip-serron.ser.sch.gr</t>
  </si>
  <si>
    <t>3 ΧΙΛ ΣΕΡΡΩΝ ΔΡΑΜΑΣ 3</t>
  </si>
  <si>
    <t>25ο ΝΗΠΙΑΓΩΓΕΙΟ ΣΕΡΡΩΝ</t>
  </si>
  <si>
    <t>mail@25nip-serron.ser.sch.gr</t>
  </si>
  <si>
    <t>mail@dim-n-skopou.ser.sch.gr</t>
  </si>
  <si>
    <t>ΠΛ. ΕΛΕΥΘΕΡΙΑΣ 14</t>
  </si>
  <si>
    <t>4ο ΝΗΠΙΑΓΩΓΕΙΟ ΣΙΔΗΡΟΚΑΣΤΡΟΥ</t>
  </si>
  <si>
    <t>mail@4nip-sidir.ser.sch.gr</t>
  </si>
  <si>
    <t>ΒΑΣ. ΓΕΩΡΓΙΟΥ 64</t>
  </si>
  <si>
    <t>ΝΗΠΙΑΓΩΓΕΙΟ ΧΑΡΟΠΟΥ</t>
  </si>
  <si>
    <t>mail@nip-charop.ser.sch.gr</t>
  </si>
  <si>
    <t>mail@dim-vyron.ser.sch.gr</t>
  </si>
  <si>
    <t>Βυρώνεια</t>
  </si>
  <si>
    <t>mail@3dim-sidir.ser.sch.gr</t>
  </si>
  <si>
    <t>ΚΟΚΟΛΕΤΣΗ 22</t>
  </si>
  <si>
    <t>mail@dim-n-petrits.ser.sch.gr</t>
  </si>
  <si>
    <t>Ν.Πετρίτσι</t>
  </si>
  <si>
    <t>ΑΧΙΛΛΕΩΣ 5</t>
  </si>
  <si>
    <t>ΝΕΑΣ ΤΥΡΟΛΟΗΣ</t>
  </si>
  <si>
    <t>ΝΗΠΙΑΓΩΓΕΙΟ ΝΕΑΣ ΤΥΡΟΛΟΗΣ</t>
  </si>
  <si>
    <t>mail@nip-n-tyrol.ser.sch.gr</t>
  </si>
  <si>
    <t>ΝΕΑ ΤΥΡΟΛΟΗ ΣΕΡΡΩΝ</t>
  </si>
  <si>
    <t>mail@dim-dravisk.ser.sch.gr</t>
  </si>
  <si>
    <t>mail@dim-n-souliou.ser.sch.gr</t>
  </si>
  <si>
    <t>Ν. ΣΟΥΛΙ ΣΕΡΡΩΝ</t>
  </si>
  <si>
    <t>Ν.ΣΟΥΛΙ ΣΕΡΡΩΝ</t>
  </si>
  <si>
    <t>ΒΑΛΤΟΤΟΠΙΟΥ</t>
  </si>
  <si>
    <t>ΔΗΜΟΤΙΚΟ ΣΧΟΛΕΙΟ ΒΑΛΤΟΤΟΠΙΟΥ ΣΕΡΡΩΝ</t>
  </si>
  <si>
    <t>mail@dim-valtot.ser.sch.gr</t>
  </si>
  <si>
    <t>Βαλτοτόπι Σερρών</t>
  </si>
  <si>
    <t>ΒΑΛΤΟΤΟΠΙ ΣΕΡΡΩΝ</t>
  </si>
  <si>
    <t>ΔΗΜΟΤΙΚΟ ΣΧΟΛΕΙΟ  ΝΕΟΧΩΡΙΟΥ</t>
  </si>
  <si>
    <t>mail@dim-neoch.ser.sch.gr</t>
  </si>
  <si>
    <t>mail@13dim-serron.ser.sch.gr</t>
  </si>
  <si>
    <t>ΚΙΣΣΑΒΟΥ 8</t>
  </si>
  <si>
    <t>ΔΗΜΟΤΙΚΟ ΣΧΟΛΕΙΟ ΓΑΖΩΡΟΥ</t>
  </si>
  <si>
    <t>mail@dim-gazor.ser.sch.gr</t>
  </si>
  <si>
    <t>ΓΑΖΩΡΟΣ</t>
  </si>
  <si>
    <t>15ο ΔΗΜΟΤΙΚΟ ΣΧΟΛΕΙΟ ΣΕΡΡΩΝ</t>
  </si>
  <si>
    <t>mail@15dim-serron.ser.sch.gr</t>
  </si>
  <si>
    <t>1ο ΝΗΠΙΑΓΩΓΕΙΟ ΝΙΓΡΙΤΑΣ</t>
  </si>
  <si>
    <t>mail@1nip-nigrit.ser.sch.gr</t>
  </si>
  <si>
    <t>ΣΟΧΟΥ 5</t>
  </si>
  <si>
    <t>mail@11dim-serron.ser.sch.gr</t>
  </si>
  <si>
    <t>ΕΛΕΥΘΕΡΙΟΥ ΒΕΝΙΖΕΛΟΥ 132</t>
  </si>
  <si>
    <t>2ο  ΝΗΠΙΑΓΩΓΕΙΟ ΣΚΟΥΤΑΡΕΩΣ</t>
  </si>
  <si>
    <t>mail@2nip-skoutar.ser.sch.gr</t>
  </si>
  <si>
    <t>ΣΚΟΥΤΑΡΙ ΣΕΡΡΩΝ</t>
  </si>
  <si>
    <t>mail@21dim-serron.ser.sch.gr</t>
  </si>
  <si>
    <t>mail@dim-alistr.ser.sch.gr</t>
  </si>
  <si>
    <t>mail@dim-protis.ser.sch.gr</t>
  </si>
  <si>
    <t xml:space="preserve">ΠΡΩΤΗ </t>
  </si>
  <si>
    <t>ΜΗΤΡΟΥΣΙΟΥ</t>
  </si>
  <si>
    <t>ΝΗΠΙΑΓΩΓΕΙΟ ΑΝΩ ΜΗΤΡΟΥΣΙΟΥ</t>
  </si>
  <si>
    <t>mail@nip-an-mitrous.ser.sch.gr</t>
  </si>
  <si>
    <t>ΑΝΩ ΜΗΤΡΟΥΣΙΟΥ</t>
  </si>
  <si>
    <t>ΑΝΩ ΜΗΤΡΟΥΣΙ ΣΕΡΡΩΝ</t>
  </si>
  <si>
    <t>9ο ΔΗΜΟΤΙΚΟ ΣΧΟΛΕΙΟ ΣΕΡΡΩΝ</t>
  </si>
  <si>
    <t>mail@9dim-serron.ser.sch.gr</t>
  </si>
  <si>
    <t>mail@dim-rodop.ser.sch.gr</t>
  </si>
  <si>
    <t>mail@5dim-serron.ser.sch.gr</t>
  </si>
  <si>
    <t>ΔΗΜΗΤΡΙΟΥ ΜΑΡΟΥΛΗ 43</t>
  </si>
  <si>
    <t>mail@17dim-serron.ser.sch.gr</t>
  </si>
  <si>
    <t>ΤΡΙΓΛΙΑΣ 36</t>
  </si>
  <si>
    <t>1ο ΔΗΜΟΤΙΚΟ ΣΧΟΛΕΙΟ ΣΙΔΗΡΟΚΑΣΤΡΟΥ</t>
  </si>
  <si>
    <t>mail@1dim-sidir.ser.sch.gr</t>
  </si>
  <si>
    <t>ΒΑΡΟΣΙ 1</t>
  </si>
  <si>
    <t>mail@dim-achlad.ser.sch.gr</t>
  </si>
  <si>
    <t>1ο ΔΗΜΟΤΙΚΟ ΣΧΟΛΕΙΟ ΝΙΓΡΙΤΑΣ</t>
  </si>
  <si>
    <t>mail@1dim-nigrit.ser.sch.gr</t>
  </si>
  <si>
    <t>ΑΓΓ. ΜΗΤΤΑ 1</t>
  </si>
  <si>
    <t>mail@2dim-nigrit.ser.sch.gr</t>
  </si>
  <si>
    <t>ΔΗΜΟΚΡΑΤΙΑΣ 12</t>
  </si>
  <si>
    <t>3ο ΔΗΜΟΤΙΚΟ ΣΧΟΛΕΙΟ ΝΙΓΡΙΤΑΣ</t>
  </si>
  <si>
    <t>mail@3dim-nigrit.ser.sch.gr</t>
  </si>
  <si>
    <t>ΕΠΑΜΕΙΝΩΝΔΑ 2</t>
  </si>
  <si>
    <t>mail@dim-an-poroion.ser.sch.gr</t>
  </si>
  <si>
    <t>ΑΝΩ ΠΟΡΟΪΑ ΣΕΡΡΩΝ</t>
  </si>
  <si>
    <t>ΔΗΜΟΤΙΚΟ ΣΧΟΛΕΙΟ ΤΕΡΠΝΗΣ</t>
  </si>
  <si>
    <t>mail@dim-terpn.ser.sch.gr</t>
  </si>
  <si>
    <t>ΤΕΡΠΝΗ</t>
  </si>
  <si>
    <t>ΔΗΜΟΤΙΚΟ ΣΧΟΛΕΙΟ ΚΑΤΩ ΚΑΜΗΛΑΣ</t>
  </si>
  <si>
    <t>mail@dim-kat-kamil.ser.sch.gr</t>
  </si>
  <si>
    <t>mail@dim-dimitr.ser.sch.gr</t>
  </si>
  <si>
    <t>Δημητρίτσι</t>
  </si>
  <si>
    <t>mail@dim-skout.ser.sch.gr</t>
  </si>
  <si>
    <t>ΔΗΜΟΤΙΚΟ ΣΧΟΛΕΙΟ ΑΝΩ ΚΑΜΗΛΑΣ</t>
  </si>
  <si>
    <t>mail@dim-an-kamil.ser.sch.gr</t>
  </si>
  <si>
    <t>ΑΝΩ ΚΑΜΗΛΑ</t>
  </si>
  <si>
    <t>ΑΝΩ ΚΑΜΗΛΑ ΣΕΡΡΩΝ</t>
  </si>
  <si>
    <t>mail@3dim-serron.ser.sch.gr</t>
  </si>
  <si>
    <t>ΚΩΝΣΤΑΝΤΙΝΟΥΠΟΛΕΩΣ 54</t>
  </si>
  <si>
    <t>2ο ΔΗΜΟΤΙΚΟ ΣΧΟΛΕΙΟ ΣΙΔΗΡΟΚΑΣΤΡΟΥ</t>
  </si>
  <si>
    <t>mail@2dim-sidir.ser.sch.gr</t>
  </si>
  <si>
    <t>ΝΙΚΟΛΑΟΥ ΙΝΤΖΕ 27</t>
  </si>
  <si>
    <t>19ο ΔΗΜΟΤΙΚΟ ΣΧΟΛΕΙΟ ΣΕΡΡΩΝ</t>
  </si>
  <si>
    <t>mail@19dim-serron.ser.sch.gr</t>
  </si>
  <si>
    <t>Σέρρες,</t>
  </si>
  <si>
    <t>ΟΡΕΙΝΗΣ</t>
  </si>
  <si>
    <t>ΔΗΜΟΤΙΚΟ ΣΧΟΛΕΙΟ ΚΑΤΩ ΟΡΕΙΝΗΣ</t>
  </si>
  <si>
    <t>mail@dim-k-orein.ser.sch.gr</t>
  </si>
  <si>
    <t>ΚΑΤΩ ΟΡΕΙΝΗ</t>
  </si>
  <si>
    <t>ΚΑΤΩ ΟΡΕΙΝΗ ΣΕΡΡΩΝ</t>
  </si>
  <si>
    <t>ΚΑΣΤΑΝΟΥΣΣΗΣ</t>
  </si>
  <si>
    <t>ΔΗΜΟΤΙΚΟ ΣΧΟΛΕΙΟ ΚΑΣΤΑΝΟΥΣΑΣ</t>
  </si>
  <si>
    <t>mail@dim-kastan.ser.sch.gr</t>
  </si>
  <si>
    <t>ΚΑΣΤΑΝΟΥΣΑ</t>
  </si>
  <si>
    <t>ΚΑΣΤΑΝΟΥΣΑ ΣΕΡΡΩΝ</t>
  </si>
  <si>
    <t>ΠΑΡΑΛΙΜΝΙΟΥ</t>
  </si>
  <si>
    <t>ΝΗΠΙΑΓΩΓΕΙΟ ΠΑΡΑΛΙΜΝΙΟΥ</t>
  </si>
  <si>
    <t>mail@nip-paral.ser.sch.gr</t>
  </si>
  <si>
    <t>ΠΑΡΑΛΙΜΝΙΟ ΣΕΡΡΩΝ</t>
  </si>
  <si>
    <t>ΝΗΠΙΑΓΩΓΕΙΟ ΚΑΣΤΑΝΟΥΣΑΣ</t>
  </si>
  <si>
    <t>mail@nip-kastan.ser.sch.gr</t>
  </si>
  <si>
    <t>ΚΑΣΤΑΝΟΥΣΑΣ</t>
  </si>
  <si>
    <t>ΚΑΣΤΑΝΟΥΣΑΣ ΣΕΡΡΩΝ</t>
  </si>
  <si>
    <t>ΝΗΠΙΑΓΩΓΕΙΟ ΚΑΤΩ ΟΡΕΙΝΗΣ</t>
  </si>
  <si>
    <t>mail@nip-k-orein.ser.sch.gr</t>
  </si>
  <si>
    <t>ΚΑΤΩ ΟΡΕΙΝΗΣ</t>
  </si>
  <si>
    <t>ΝΗΠΙΑΓΩΓΕΙΟ ΨΥΧΙΚΟΥ</t>
  </si>
  <si>
    <t>mail@nip-psych.ser.sch.gr</t>
  </si>
  <si>
    <t>ΝΗΠΙΑΓΩΓΕΙΟ ΒΑΛΤΟΤΟΠΙΟΥ</t>
  </si>
  <si>
    <t>mail@nip-valtot.ser.sch.gr</t>
  </si>
  <si>
    <t>ΜΟΝΟΒΡΥΣΗΣ</t>
  </si>
  <si>
    <t>ΝΗΠΙΑΓΩΓΕΙΟ ΜΟΝΟΒΡΥΣΗΣ</t>
  </si>
  <si>
    <t>mail@nip-monovr.ser.sch.gr</t>
  </si>
  <si>
    <t>ΜΟΝΟΒΡΥΣΗ ΣΕΡΡΩΝ</t>
  </si>
  <si>
    <t>ΔΗΜΟΤΙΚΟ ΣΧΟΛΕΙΟ ΧΕΙΜΑΡΡΟΥ</t>
  </si>
  <si>
    <t>dimchim@sch.gr</t>
  </si>
  <si>
    <t>ΧΕΙΜΑΡΡΟΣ</t>
  </si>
  <si>
    <t>ΔΑΣΟΧΩΡΙΟΥ</t>
  </si>
  <si>
    <t>ΔΗΜΟΤΙΚΟ ΣΧΟΛΕΙΟ ΔΑΣΟΧΩΡΙΟΥ ΣΕΡΡΩΝ</t>
  </si>
  <si>
    <t>mail@dim-dasoch.ser.sch.gr</t>
  </si>
  <si>
    <t>ΔΑΣΟΧΩΡΙ ΣΕΡΡΩΝ</t>
  </si>
  <si>
    <t>23ο ΔΗΜΟΤΙΚΟ ΣΧΟΛΕΙΟ ΣΕΡΡΩΝ</t>
  </si>
  <si>
    <t>mail@23dim-serron.ser.sch.gr</t>
  </si>
  <si>
    <t>ΤΣΑΛΟΠΟΥΛΟΥ 10</t>
  </si>
  <si>
    <t>ΝΗΠΙΑΓΩΓΕΙΟ ΝΕΟΥ ΠΕΤΡΙΤΣΙΟΥ</t>
  </si>
  <si>
    <t>mail@nip-n-petrits.ser.sch.gr</t>
  </si>
  <si>
    <t>ΝΕΟ ΠΕΤΡΙΤΣΙ ΣΕΡΡΩΝ</t>
  </si>
  <si>
    <t>28ης Οκτωβρίου 31</t>
  </si>
  <si>
    <t>mail@dim-koimis.ser.sch.gr</t>
  </si>
  <si>
    <t>mail@dim-an-mitrous.ser.sch.gr</t>
  </si>
  <si>
    <t>ΑΝΩ ΜΗΤΡΟΥΣΙ</t>
  </si>
  <si>
    <t>ΝΗΠΙΑΓΩΓΕΙΟ ΚΑΤΩ ΠΟΡΟΙΩΝ</t>
  </si>
  <si>
    <t>mail@nip-k-poroion.ser.sch.gr</t>
  </si>
  <si>
    <t>ΔΗΜΟΤΙΚΟ ΣΧΟΛΕΙΟ ΠΟΝΤΙΣΜΕΝΟΥ</t>
  </si>
  <si>
    <t>mail@dim-pontism.ser.sch.gr</t>
  </si>
  <si>
    <t>ΠΟΝΤΙΣΜΕΝΟ</t>
  </si>
  <si>
    <t>ΔΗΜΟΤΙΚΟ ΣΧΟΛΕΙΟ ΒΑΛΤΕΡΟΥ</t>
  </si>
  <si>
    <t>mail@dim-valter.ser.sch.gr</t>
  </si>
  <si>
    <t>ΒΑΛΤΕΡΟ</t>
  </si>
  <si>
    <t>1/Θ ΝΗΠΙΑΓΩΓΕΙΟ ΝΕΟΧΩΡΙΟΥ ΣΙΝΤΙΚΗΣ ΣΕΡΡΩΝ</t>
  </si>
  <si>
    <t>mail@nip-neoch.ser.sch.gr</t>
  </si>
  <si>
    <t>ΝΕΟΧΩΡΙΟΥ ΣΙΝΤΙΚΗΣ ΣΕΡΡΩΝ</t>
  </si>
  <si>
    <t>ΝΕΟΧΩΡΙ ΣΙΝΤΙΚΗΣ ΣΕΡΡΩΝ</t>
  </si>
  <si>
    <t>ΔΗΜΟΤΙΚΟ ΣΧΟΛΕΙΟ ΧΡΥΣΟΥ</t>
  </si>
  <si>
    <t>mail@dim-chrys.ser.sch.gr</t>
  </si>
  <si>
    <t>ΧΡΥΣΟ ΣΕΡΡΩΝ</t>
  </si>
  <si>
    <t>mail@dim-skotouss.ser.sch.gr</t>
  </si>
  <si>
    <t>mail@dim-strym.ser.sch.gr</t>
  </si>
  <si>
    <t>mail@dim-provat.ser.sch.gr</t>
  </si>
  <si>
    <t>1ο ΔΗΜΟΤΙΚΟ ΣΧΟΛΕΙΟ ΗΡΑΚΛΕΙΑΣ</t>
  </si>
  <si>
    <t>mail@1dim-irakl.ser.sch.gr</t>
  </si>
  <si>
    <t>ΗΡΑΚΛΕΙΑ</t>
  </si>
  <si>
    <t>ΓΥΜΝΑΣΙΑΡΧΟΥ ΑΘΑΝΑΣΙΟΥ ΦΥΛΑΚΤΟΥ 1</t>
  </si>
  <si>
    <t>mail@2dim-irakl.ser.sch.gr</t>
  </si>
  <si>
    <t>ΑΘΑΝΑΣΙΟΥ ΦΥΛΑΚΤΟΥ 1</t>
  </si>
  <si>
    <t>1ο ΝΗΠΙΑΓΩΓΕΙΟ ΣΚΟΥΤΑΡΕΩΣ</t>
  </si>
  <si>
    <t>mail@1nip-skoutar.ser.sch.gr</t>
  </si>
  <si>
    <t>25ο ΔΗΜΟΤΙΚΟ ΣΧΟΛΕΙΟ ΣΕΡΡΩΝ</t>
  </si>
  <si>
    <t>mail@25dim-serron.ser.sch.gr</t>
  </si>
  <si>
    <t>34ο ΝΗΠΙΑΓΩΓΕΙΟ ΣΕΡΡΩΝ</t>
  </si>
  <si>
    <t>mail@34nip-serron.ser.sch.gr</t>
  </si>
  <si>
    <t>ΕΛ.ΒΕΝΙΖΕΛΟΥ 137</t>
  </si>
  <si>
    <t>ΕΙΔΙΚΟ ΔΗΜΟΤΙΚΟ ΣΧΟΛΕΙΟ ΣΙΔΗΡΟΚΑΣΤΡΟΥ</t>
  </si>
  <si>
    <t>mail@dim-eid-sidir.ser.sch.gr</t>
  </si>
  <si>
    <t>ΕΙΔΙΚΟ ΔΗΜΟΤΙΚΟ ΣΧΟΛΕΙΟ ΣΕΡΡΩΝ - Ε.Δ.Σ. ΚΩΦΩΝ ΚΑΙ ΒΑΡΗΚΟΩΝ</t>
  </si>
  <si>
    <t xml:space="preserve">mail@dim-ekv-serron.ser.sch.gr </t>
  </si>
  <si>
    <t>ΠΕΙΡΑΜΑΤΙΚΟ ΔΗΜΟΤΙΚΟ ΣΧΟΛΕΙΟ ΣΕΡΡΩΝ - ΚΩΝΣΤΑΝΤΙΝΟΣ ΚΑΡΑΜΑΝΛΗΣ</t>
  </si>
  <si>
    <t>mail@dim-peir-serron.ser.sch.gr</t>
  </si>
  <si>
    <t>ΚΩΝ. ΠΑΛΑΙΟΛΟΓΟΥ 22</t>
  </si>
  <si>
    <t>ΝΗΠΙΑΓΩΓΕΙΟ ΜΕΓΑΛΟΧΩΡΙΟΥ</t>
  </si>
  <si>
    <t>mail@nip-megal.ser.sch.gr</t>
  </si>
  <si>
    <t>ΜΕΓΑΛΟΧΩΡΙ ΣΕΡΡΩΝ</t>
  </si>
  <si>
    <t>ΝΗΠΙΑΓΩΓΕΙΟ ΔΑΣΟΧΩΡΙΟΥ</t>
  </si>
  <si>
    <t>mail@nip-dasoch.ser.sch.gr</t>
  </si>
  <si>
    <t>ΝΗΠΙΑΓΩΓΕΙΟ ΠΑΛΑΙΟΚΑΣΤΡΟΥ ΣΕΡΡΩΝ</t>
  </si>
  <si>
    <t>mail@nip-palaiok.ser.sch.gr</t>
  </si>
  <si>
    <t>ΠΑΛΑΙΟΚΑΣΤΡΟ ΣΕΡΡΩΝ</t>
  </si>
  <si>
    <t>ΝΗΠΙΑΓΩΓΕΙΟ ΦΛΑΜΠΟΥΡΟΥ</t>
  </si>
  <si>
    <t>mail@nip-flamp.ser.sch.gr</t>
  </si>
  <si>
    <t>ΦΛΑΜΠΟΥΡΟ ΣΕΡΡΩΝ</t>
  </si>
  <si>
    <t>ΟΙΝΟΥΣΣΑΣ (ΧΙΟΝΟΧΩΡΙΟΥ)</t>
  </si>
  <si>
    <t>ΝΗΠΙΑΓΩΓΕΙΟ ΟΙΝΟΥΣΑΣ-ΑΓ.ΙΩΑΝΝΗ</t>
  </si>
  <si>
    <t>mail@nip-oinous.ser.sch.gr</t>
  </si>
  <si>
    <t>ΟΙΝΟΥΣΑΣ</t>
  </si>
  <si>
    <t>ΟΙΝΟΥΣΑ ΣΕΡΡΩΝ</t>
  </si>
  <si>
    <t>ΔΙΕΥΘΥΝΣΗ Π.Ε. ΧΑΛΚΙΔΙΚΗΣ</t>
  </si>
  <si>
    <t>ΝΕΑΣ ΣΚΙΩΝΗΣ</t>
  </si>
  <si>
    <t>ΝΗΠΙΑΓΩΓΕΙΟ Ν.ΣΚΙΩΝΗ</t>
  </si>
  <si>
    <t>mail@nip-n-skion.chal.sch.gr</t>
  </si>
  <si>
    <t>Ν.ΣΚΙΩΝΗ</t>
  </si>
  <si>
    <t>ΝΕΑ ΣΚΙΩΝΗ</t>
  </si>
  <si>
    <t>ΝΗΠΙΑΓΩΓΕΙΟ ΚΡΗΝΗΣ ΧΑΛΚΙΔΙΚΗΣ</t>
  </si>
  <si>
    <t>mail@nip-krinis.chal.sch.gr</t>
  </si>
  <si>
    <t>ΚΡΗΝΗ ΧΑΛΚΙΔΙΚΗΣ</t>
  </si>
  <si>
    <t>mail@dim-ag-nikol.chal.sch.gr</t>
  </si>
  <si>
    <t>ΔΗΜΟΤΙΚΟ ΣΧΟΛΕΙΟ ΤΟΡΩΝΗΣ</t>
  </si>
  <si>
    <t>mail@dim-toron.chal.sch.gr</t>
  </si>
  <si>
    <t>ΤΟΡΩΝΗ</t>
  </si>
  <si>
    <t>mail@dim-sykias.chal.sch.gr</t>
  </si>
  <si>
    <t>ΣΥΚΙΑ</t>
  </si>
  <si>
    <t>mail@dim-nikit.chal.sch.gr</t>
  </si>
  <si>
    <t>ΝΙΚΗΤΗ Ν. ΧΑΛΚΙΔΙΚΗΣ</t>
  </si>
  <si>
    <t>ΒΡΑΣΤΑΜΩΝ</t>
  </si>
  <si>
    <t>ΝΗΠΙΑΓΩΓΕΙΟ ΒΡΑΣΤΑΜΑ</t>
  </si>
  <si>
    <t>mail@nip-vrastam.chal.sch.gr</t>
  </si>
  <si>
    <t>ΒΡΑΣΤΑΜΑ</t>
  </si>
  <si>
    <t>1dimpol@sch.gr</t>
  </si>
  <si>
    <t>Ασκληπιού 10</t>
  </si>
  <si>
    <t>mail@dim-meg-panag.chal.sch.gr</t>
  </si>
  <si>
    <t>ΜΕΓ. ΠΑΝΑΓΙΑ</t>
  </si>
  <si>
    <t>Μ. ΠΑΝΑΓΙΑ</t>
  </si>
  <si>
    <t>ΔΗΜΟΤΙΚΟ ΣΧΟΛΕΙΟ ΓΕΡΑΚΙΝΗΣ-ΚΑΛΥΒΩΝ</t>
  </si>
  <si>
    <t>dimkalyv@sch.gr</t>
  </si>
  <si>
    <t>ΚΑΛΥΒΕΣ ΧΑΛΚΙΔΙΚΗΣ</t>
  </si>
  <si>
    <t>ΚΑΛΥΒΕΣ</t>
  </si>
  <si>
    <t>2ο ΝΗΠΙΑΓΩΓΕΙΟ Ν. ΚΑΛΛΙΚΡΑΤΕΙΑΣ</t>
  </si>
  <si>
    <t>mail@2nip-n-kallik.chal.sch.gr</t>
  </si>
  <si>
    <t>Ν. ΚΑΛΛΙΚΡΑΤΕΙΑ</t>
  </si>
  <si>
    <t>ΠΑΡΝΑΒΕΛΗ</t>
  </si>
  <si>
    <t>1ο ΝΗΠΙΑΓΩΓΕΙΟ Ν. ΚΑΛΛΙΚΡΑΤΕΙΑΣ</t>
  </si>
  <si>
    <t>mail@1nip-kallik.chal.sch.gr</t>
  </si>
  <si>
    <t>2ο ΔΗΜΟΤΙΚΟ ΣΧΟΛΕΙΟ ΠΟΛΥΓΥΡΟΥ</t>
  </si>
  <si>
    <t>mail@2dim-polyg.chal.sch.gr</t>
  </si>
  <si>
    <t>2ο ΝΗΠΙΑΓΩΓΕΙΟ ΚΑΣΣΑΝΔΡΕΙΑ</t>
  </si>
  <si>
    <t>mail@2nip-kassandr.chal.sch.gr</t>
  </si>
  <si>
    <t>ΚΑΛΑΝΔΡΑΣ</t>
  </si>
  <si>
    <t>ΝΗΠΙΑΓΩΓΕΙΟ ΚΑΛΑΝΔΡΑΣ</t>
  </si>
  <si>
    <t>mail@nip-kalandr.chal.sch.gr</t>
  </si>
  <si>
    <t>ΚΑΛΑΝΔΡΑ</t>
  </si>
  <si>
    <t>4ο ΝΗΠΙΑΓΩΓΕΙΟ ΝΕΑ ΜΟΥΔΑΝΙΑ</t>
  </si>
  <si>
    <t>mail@4nip-n-moudan.chal.sch.gr</t>
  </si>
  <si>
    <t>ΝΕΑ ΜΟΥΔΑΝΙΑ</t>
  </si>
  <si>
    <t>4ο ΝΗΠΙΑΓΩΓΕΙΟ Ν.ΜΟΥΔΑΝΙΩΝ ΓΕΡΑΣΙΜΟΥ ΗΛΙΟΠΟΥΛΟΥ</t>
  </si>
  <si>
    <t>ΑΜΜΟΥΛΙΑΝΗΣ</t>
  </si>
  <si>
    <t>ΝΗΠΙΑΓΩΓΕΙΟ ΑΜΜΟΛΙΑΝΗ</t>
  </si>
  <si>
    <t>mail@nip-ammol.chal.sch.gr</t>
  </si>
  <si>
    <t>ΑΜΜΟΛΙΑΝΗ</t>
  </si>
  <si>
    <t>ΒΑΡΒΑΡΑΣ</t>
  </si>
  <si>
    <t>ΝΗΠΙΑΓΩΓΕΙΟ ΒΑΡΒΑΡΑ</t>
  </si>
  <si>
    <t>mail@nip-varvar.chal.sch.gr</t>
  </si>
  <si>
    <t>ΒΑΡΒΑΡΑ</t>
  </si>
  <si>
    <t>1ο ΝΗΠΙΑΓΩΓΕΙΟ ΑΡΝΑΙΑ</t>
  </si>
  <si>
    <t>mail@nip-arnaias.chal.sch.gr</t>
  </si>
  <si>
    <t>2ο ΝΗΠΙΑΓΩΓΕΙΟ ΣΗΜΑΝΤΡΑ</t>
  </si>
  <si>
    <t>mail@2nip-simantr.chal.sch.gr</t>
  </si>
  <si>
    <t>ΣΑΡΤΗΣ</t>
  </si>
  <si>
    <t>ΔΗΜΟΤΙΚΟ ΣΧΟΛΕΙΟ ΣΑΡΤΗΣ</t>
  </si>
  <si>
    <t>mail@dim-sartis.chal.sch.gr</t>
  </si>
  <si>
    <t>ΣΑΡΤΗ</t>
  </si>
  <si>
    <t>ΤΑΞΙΑΡΧΟΥ</t>
  </si>
  <si>
    <t>ΔΗΜΟΤΙΚΟ ΣΧΟΛΕΙΟ ΤΑΞΙΑΡΧΗ</t>
  </si>
  <si>
    <t>dimtaxia@sch.gr</t>
  </si>
  <si>
    <t>ΤΑΞΙΑΡΧΗΣ</t>
  </si>
  <si>
    <t>ΤΑΞΙΑΡΧΗΣ ΧΑΛΚΙΔΙΚΗΣ</t>
  </si>
  <si>
    <t>1ο ΝΗΠΙΑΓΩΓΕΙΟ ΓΑΛΑΤΙΣΤΑΣ</t>
  </si>
  <si>
    <t>mail@1nip-galat.chal.sch.gr</t>
  </si>
  <si>
    <t>2ο ΝΗΠΙΑΓΩΓΕΙΟ ΓΑΛΑΤΙΣΤΑΣ</t>
  </si>
  <si>
    <t>mail@2nip-galat.chal.sch.gr</t>
  </si>
  <si>
    <t>ΝΗΠΙΑΓΩΓΕΙΟ ΠΑΛΑΙΟΧΩΡΙ</t>
  </si>
  <si>
    <t>mail@nip-palaioch.chal.sch.gr</t>
  </si>
  <si>
    <t>2ο ΝΗΠΙΑΓΩΓΕΙΟ Ν. ΤΡΙΓΛΙΑ</t>
  </si>
  <si>
    <t>mail@2nip-n-triglias.chal.sch.gr</t>
  </si>
  <si>
    <t>Ν. ΤΡΙΓΛΙΑ</t>
  </si>
  <si>
    <t>1ο  ΝΗΠΙΑΓΩΓΕΙΟ Ν. ΤΡΙΓΛΙΑΣ - ΤΣΑΚΩΝΕΙΟ</t>
  </si>
  <si>
    <t>mail@1nip-n-triglias.chal.sch.gr</t>
  </si>
  <si>
    <t>ΓΟΜΑΤΙΟΥ</t>
  </si>
  <si>
    <t>ΝΗΠΙΑΓΩΓΕΙΟ ΓΟΜΑΤΙΟΥ</t>
  </si>
  <si>
    <t>mail@nip-gomat.chal.sch.gr</t>
  </si>
  <si>
    <t>ΓΟΜΑΤΙ</t>
  </si>
  <si>
    <t>3ο ΝΗΠΙΑΓΩΓΕΙΟ Ν. ΚΑΛΛΙΚΡΑΤΕΙΑΣ</t>
  </si>
  <si>
    <t>3nipkallik@sch.gr</t>
  </si>
  <si>
    <t>ΠΕΡΙΟΧΗ ΑΓΙΟΥ ΝΕΚΤΑΡΙΟΥ</t>
  </si>
  <si>
    <t>mail@2dim-ieriss.chal.sch.gr</t>
  </si>
  <si>
    <t>26ης ΣΕΠΤΕΜΒΡΙΟΥ 48</t>
  </si>
  <si>
    <t>ΔΟΥΜΠΙΩΝ</t>
  </si>
  <si>
    <t>ΝΗΠΙΑΓΩΓΕΙΟ ΔΟΥΜΠΙΑ</t>
  </si>
  <si>
    <t>mail@nip-doump.chal.sch.gr</t>
  </si>
  <si>
    <t>ΔΟΥΜΠΙΑ</t>
  </si>
  <si>
    <t>2ο ΝΗΠΙΑΓΩΓΕΙΟ ΠΕΥΚΟΧΩΡΙΟΥ</t>
  </si>
  <si>
    <t>mail@2nip-pefkoch.chal.sch.gr</t>
  </si>
  <si>
    <t>1ο ΝΗΠΙΑΓΩΓΕΙΟ ΣΗΜΑΝΤΡΑ</t>
  </si>
  <si>
    <t>mail@1nip-simantr.chal.sch.gr</t>
  </si>
  <si>
    <t>ΧΩΡΙΣ ΟΔΟ</t>
  </si>
  <si>
    <t>1ο ΝΗΠΙΑΓΩΓΕΙΟ ΙΕΡΙΣΣΟΥ</t>
  </si>
  <si>
    <t>mail@1nip-ieriss.chal.sch.gr</t>
  </si>
  <si>
    <t>ΑΓ. ΟΡΟΥΣ</t>
  </si>
  <si>
    <t>ΝΗΠΙΑΓΩΓΕΙΟ ΚΑΛΥΒΕΣ</t>
  </si>
  <si>
    <t>mail@nip-kalyv.chal.sch.gr</t>
  </si>
  <si>
    <t>1ο ΝΗΠΙΑΓΩΓΕΙΟ ΚΑΣΣΑΝΔΡΕΙΑΣ</t>
  </si>
  <si>
    <t>mail@1nip-kassandr.chal.sch.gr</t>
  </si>
  <si>
    <t>1ο ΝΗΠΙΑΓΩΓΕΙΟ ΟΡΜΥΛΙΑ</t>
  </si>
  <si>
    <t>mail@1nip-ormyl.chal.sch.gr</t>
  </si>
  <si>
    <t>ΝΕΑΣ ΤΕΝΕΔΟΥ</t>
  </si>
  <si>
    <t>ΝΗΠΙΑΓΩΓΕΙΟ Ν. ΤΕΝΕΔΟΥ</t>
  </si>
  <si>
    <t>mail@nip-n-tened.chal.sch.gr</t>
  </si>
  <si>
    <t>Ν. ΤΕΝΕΔΟΣ</t>
  </si>
  <si>
    <t>1ο ΝΗΠΙΑΓΩΓΕΙΟ Ν. ΜΟΥΔΑΝΙΑ</t>
  </si>
  <si>
    <t>mail@1nip-n-moudan.chal.sch.gr</t>
  </si>
  <si>
    <t>Ν. ΜΟΥΔΑΝΙΑ</t>
  </si>
  <si>
    <t>Λ.ΕΛΕΥΘΕΡΙΑΣ 34</t>
  </si>
  <si>
    <t>ΔΗΜΟΤΙΚΟ ΣΧΟΛΕΙΟ ΜΕΤΑΜΟΡΦΩΣΗ</t>
  </si>
  <si>
    <t>mail@dim-metam.chal.sch.gr</t>
  </si>
  <si>
    <t>ΔΙΟΝΥΣΙΟΥ</t>
  </si>
  <si>
    <t>ΔΗΜΟΤΙΚΟ ΣΧΟΛΕΙΟ ΠΑΡΑΛΙΑΣ ΔΙΟΝΥΣΙΟΥ</t>
  </si>
  <si>
    <t>mail@dim-paral.chal.sch.gr</t>
  </si>
  <si>
    <t>ΠΑΡΑΛΙΑ  ΔΙΟΝΥΣΙΟΥ</t>
  </si>
  <si>
    <t>ΠΑΡΑΛΙΑ ΔΙΟΝΥΣΙΟΥ</t>
  </si>
  <si>
    <t>ΝΗΠΙΑΓΩΓΕΙΟ ΤΑΞΙΑΡΧΗΣ</t>
  </si>
  <si>
    <t>mail@nip-taxiarch.chal.sch.gr</t>
  </si>
  <si>
    <t>1ο ΝΗΠΙΑΓΩΓΕΙΟ ΣΥΚΙΑΣ</t>
  </si>
  <si>
    <t>mail@1nip-sykias.chal.sch.gr</t>
  </si>
  <si>
    <t>2ο ΝΗΠΙΑΓΩΓΕΙΟ ΟΡΜΥΛΙΑ</t>
  </si>
  <si>
    <t>mail@2nip-ormyl.chal.sch.gr</t>
  </si>
  <si>
    <t>ΜΕΤΑΓΚΙΤΣΙΟΥ</t>
  </si>
  <si>
    <t>ΝΗΠΙΑΓΩΓΕΙΟ ΜΕΤΑΓΓΙΤΣΙΟΥ</t>
  </si>
  <si>
    <t>mail@nip-metang.chal.sch.gr</t>
  </si>
  <si>
    <t>ΜΕΤΑΓΓΙΤΣΙ</t>
  </si>
  <si>
    <t>ΝΗΠΙΑΓΩΓΕΙΟ ΣΑΡΤΗΣ</t>
  </si>
  <si>
    <t>mail@nip-sartis.chal.sch.gr</t>
  </si>
  <si>
    <t>Σάρτη</t>
  </si>
  <si>
    <t>ΝΗΠΙΑΓΩΓΕΙΟ ΑΓΙΟΥ ΝΙΚΟΛΑΟΥ</t>
  </si>
  <si>
    <t>mail@nip-ag-nikol.chal.sch.gr</t>
  </si>
  <si>
    <t>1ο ΝΗΠΙΑΓΩΓΕΙΟ ΝΕΟΣ ΜΑΡΜΑΡΑΣ - ΙΩΑΝΝΗΣ ΕΜΜΑΝΟΥΗΛ</t>
  </si>
  <si>
    <t>mail@1nip-n-marmar.chal.sch.gr</t>
  </si>
  <si>
    <t>ΝΕΟΣ ΜΑΡΜΑΡΑΣ</t>
  </si>
  <si>
    <t>2ο ΝΗΠΙΑΓΩΓΕΙΟ Ν. ΜΑΡΜΑΡΑΣ - ΙΩΑΝΝΗΣ ΕΜΜΑΝΟΥΗΛ</t>
  </si>
  <si>
    <t>mail@2nip-n-marmar.chal.sch.gr</t>
  </si>
  <si>
    <t>Ν.ΜΑΡΜΑΡΑΣ</t>
  </si>
  <si>
    <t>3ο ΝΗΠΙΑΓΩΓΕΙΟ ΠΟΛΥΓΥΡΟΥ</t>
  </si>
  <si>
    <t>3nippoly@sch.gr</t>
  </si>
  <si>
    <t>ΛΟΥΚΙ</t>
  </si>
  <si>
    <t>ΝΗΠΙΑΓΩΓΕΙΟ ΜΕΤΑΜΟΡΦΩΣΗΣ ΧΑΛΚΙΔΙΚΗΣ</t>
  </si>
  <si>
    <t>mail@nip-metam.chal.sch.gr</t>
  </si>
  <si>
    <t>ΝΕΩΝ ΠΛΑΓΙΩΝ</t>
  </si>
  <si>
    <t>ΝΗΠΙΑΓΩΓΕΙΟ ΝΕΑ ΠΛΑΓΙΑ</t>
  </si>
  <si>
    <t>mail@nip-n-plagion.chal.sch.gr</t>
  </si>
  <si>
    <t>ΝΕΑ ΠΛΑΓΙΑ</t>
  </si>
  <si>
    <t>ΔΗΜΟΤΙΚΟ ΣΧΟΛΕΙΟ ΒΑΡΒΑΡΑΣ</t>
  </si>
  <si>
    <t>mail@dim-varvar.chal.sch.gr</t>
  </si>
  <si>
    <t>ΝΗΠΙΑΓΩΓΕΙΟ ΚΑΛΛΙΘΕΑΣ</t>
  </si>
  <si>
    <t>mail@nip-kallith.chal.sch.gr</t>
  </si>
  <si>
    <t>ΧΑΝΙΩΤΗ</t>
  </si>
  <si>
    <t>ΝΗΠΙΑΓΩΓΕΙΟ ΧΑΝΙΩΤΗΣ</t>
  </si>
  <si>
    <t>mail@nip-chaniot.chal.sch.gr</t>
  </si>
  <si>
    <t>ΧΑΝΙΩΤΗΣ</t>
  </si>
  <si>
    <t>ΟΛΥΝΘΟΥ</t>
  </si>
  <si>
    <t>ΝΗΠΙΑΓΩΓΕΙΟ ΟΛΥΝΘΟΥ</t>
  </si>
  <si>
    <t>mail@nip-olynth.chal.sch.gr</t>
  </si>
  <si>
    <t>ΟΛΥΝΘΟΣ</t>
  </si>
  <si>
    <t>1ο ΝΗΠΙΑΓΩΓΕΙΟ ΝΕΑ ΦΩΚΑΙΑΣ</t>
  </si>
  <si>
    <t>mail@nip-n-fokaias.chal.sch.gr</t>
  </si>
  <si>
    <t>Ν. ΦΩΚΑΙΑ</t>
  </si>
  <si>
    <t>1ο ΝΗΠΙΑΓΩΓΕΙΟ ΝΙΚΗΤΗΣ</t>
  </si>
  <si>
    <t>mail@nip-nikit.chal.sch.gr</t>
  </si>
  <si>
    <t>3ο ΝΗΠΙΑΓΩΓΕΙΟ Ν. ΜΟΥΔΑΝΙΑ</t>
  </si>
  <si>
    <t>3nipmoud@sch.gr</t>
  </si>
  <si>
    <t>ΑΠ. ΜΑΜΕΛΗ 23</t>
  </si>
  <si>
    <t>ΟΥΡΑΝΟΠΟΛΕΩΣ</t>
  </si>
  <si>
    <t>ΔΗΜΟΤΙΚΟ ΣΧΟΛΕΙΟ ΟΥΡΑΝΟΥΠΟΛΗΣ</t>
  </si>
  <si>
    <t>mail@dim-ouran.chal.sch.gr</t>
  </si>
  <si>
    <t>ΟΥΡΑΝΟΥΠΟΛΗ</t>
  </si>
  <si>
    <t>ΣΤΡΑΤΟΝΙΚΗΣ</t>
  </si>
  <si>
    <t>ΔΗΜΟΤΙΚΟ ΣΧΟΛΕΙΟ  ΣΤΑΓΕΙΡΩΝ - ΣΤΡΑΤΟΝΙΚΗΣ</t>
  </si>
  <si>
    <t>mail@dim-straton.chal.sch.gr</t>
  </si>
  <si>
    <t>ΣΤΡΑΤΟΝΙΚΗ</t>
  </si>
  <si>
    <t>mail@dim-n-marmar.chal.sch.gr</t>
  </si>
  <si>
    <t>ΝΗΠΙΑΓΩΓΕΙΟ Μ. ΠΑΝΑΓΙΑ</t>
  </si>
  <si>
    <t>mail@1nip-meg-flogit.chal.sch.gr</t>
  </si>
  <si>
    <t>ΝΗΠΙΑΓΩΓΕΙΟ ΑΓΙΟΥ ΠΑΥΛΟΥ</t>
  </si>
  <si>
    <t>mail@nip-ag-pavlou.chal.sch.gr</t>
  </si>
  <si>
    <t>ΑΓΙΟΣ ΠΑΥΛΟΣ</t>
  </si>
  <si>
    <t>ΝΕΩΝ ΡΟΔΩΝ</t>
  </si>
  <si>
    <t>ΝΗΠΙΑΓΩΓΕΙΟ ΝΕΑ ΡΟΔΑ</t>
  </si>
  <si>
    <t>mail@nip-n-rodon.chal.sch.gr</t>
  </si>
  <si>
    <t>ΝΕΑ ΡΟΔΑ</t>
  </si>
  <si>
    <t>Ν. ΡΟΔΑ</t>
  </si>
  <si>
    <t>ΕΙΔΙΚΟ ΔΗΜΟΤΙΚΟ ΣΧΟΛΕΙΟ ΠΟΛΥΓΥΡΟΥ</t>
  </si>
  <si>
    <t>dimeid@sch.gr</t>
  </si>
  <si>
    <t>ΑΣΚΛΗΠΙΟΥ 10</t>
  </si>
  <si>
    <t>ΦΛΟΓΗΤΩΝ</t>
  </si>
  <si>
    <t>ΝΗΠΙΑΓΩΓΕΙΟ ΦΛΟΓΗΤΑ</t>
  </si>
  <si>
    <t>mail@nip-n-flogit.chal.sch.gr</t>
  </si>
  <si>
    <t>ΦΛΟΓΗΤΑ</t>
  </si>
  <si>
    <t>Β. ΓΕΩΡΓΙΟΥ</t>
  </si>
  <si>
    <t>ΕΛΑΙΟΧΩΡΙΩΝ</t>
  </si>
  <si>
    <t>ΝΗΠΙΑΓΩΓΕΙΟ ΕΛΑΙΟΧΩΡΙΩΝ</t>
  </si>
  <si>
    <t>mail@nip-elaioch.chal.sch.gr</t>
  </si>
  <si>
    <t>ΕΛΑΙΟΧΩΡΙΑ</t>
  </si>
  <si>
    <t>mail@3dim-polyg.chal.sch.gr</t>
  </si>
  <si>
    <t>ΓΚΙΩΣΗ ΑΛΩΝΙ - ΠΟΛΥΓΥΡΟΣ</t>
  </si>
  <si>
    <t>ΝΗΠΙΑΓΩΓΕΙΟ ΟΥΡΑΝΟΥΠΟΛΗΣ</t>
  </si>
  <si>
    <t>mail@nip-ouran.chal.sch.gr</t>
  </si>
  <si>
    <t>ΟΥΡΑΝΟΥΠΟΛΗΣ</t>
  </si>
  <si>
    <t>ΣΤΑΓΙΡΩΝ</t>
  </si>
  <si>
    <t>ΝΗΠΙΑΓΩΓΕΙΟ ΣΤΑΓΕΙΡΩΝ-ΣΤΡΑΤΟΝΙΚΗΣ</t>
  </si>
  <si>
    <t>mail@nip-straton.chal.sch.gr</t>
  </si>
  <si>
    <t>ΣΤΑΓΕΙΡΑ</t>
  </si>
  <si>
    <t>ΝΗΠΙΑΓΩΓΕΙΟ Ν. ΗΡΑΚΛΕΙΑ</t>
  </si>
  <si>
    <t>mail@nip-n-irakl.chal.sch.gr</t>
  </si>
  <si>
    <t>Ν. ΗΡΑΚΛΕΙΑ</t>
  </si>
  <si>
    <t>ΔΗΜΟΤΙΚΟ ΣΧΟΛΕΙΟ ΜΕΤΑΓΓΙΤΣΙ</t>
  </si>
  <si>
    <t>mail@dim-metang.chal.sch.gr</t>
  </si>
  <si>
    <t>mail@dim-ormyl.chal.sch.gr</t>
  </si>
  <si>
    <t>ΟΡΜΥΛΙΑ 1</t>
  </si>
  <si>
    <t>2ο ΝΗΠΙΑΓΩΓΕΙΟ ΙΕΡΙΣΣΟΥ</t>
  </si>
  <si>
    <t>mail@2nip-ieriss.chal.sch.gr</t>
  </si>
  <si>
    <t>26ΗΣ ΣΕΠΤΕΜΒΡΙΟΥ</t>
  </si>
  <si>
    <t>1ο ΝΗΠΙΑΓΩΓΕΙΟ ΠΕΥΚΟΧΩΡΙΟΥ</t>
  </si>
  <si>
    <t>mail@nip-pefkoch.chal.sch.gr</t>
  </si>
  <si>
    <t>2ο ΝΗΠΙΑΓΩΓΕΙΟ ΝΕΩΝ ΜΟΥΔΑΝΙΩΝ</t>
  </si>
  <si>
    <t>2nipmoud@sch.gr</t>
  </si>
  <si>
    <t>Ν. ΜΟΥΔΑΝΙΩΝ</t>
  </si>
  <si>
    <t>mail@dim-pefkoch.chal.sch.gr</t>
  </si>
  <si>
    <t>2ο ΝΗΠΙΑΓΩΓΕΙΟ ΠΟΛΥΓΥΡΟΥ</t>
  </si>
  <si>
    <t>mail@2nip-polyg.chal.sch.gr</t>
  </si>
  <si>
    <t>ΑΣΚΛΗΠΙΟΥ - ΠΟΛΥΓΥΡΟΣ</t>
  </si>
  <si>
    <t>ΔΗΜΟΤΙΚΟ ΣΧΟΛΕΙΟ ΑΜΜΟΛΙΑΝΗΣ</t>
  </si>
  <si>
    <t>mail@dim-ammol.chal.sch.gr</t>
  </si>
  <si>
    <t>ΒΑΒΔΟΥ</t>
  </si>
  <si>
    <t>ΔΗΜΟΤΙΚΟ ΣΧΟΛΕΙΟ ΒΑΒΔΟΥ</t>
  </si>
  <si>
    <t>mail@dim-vavdou.chal.sch.gr</t>
  </si>
  <si>
    <t>ΒΑΒΔΟΣ</t>
  </si>
  <si>
    <t>mail@dim-galat.chal.sch.gr</t>
  </si>
  <si>
    <t>1ο ΔΗΜΟΤΙΚΟ ΣΧΟΛΕΙΟ ΙΕΡΙΣΣΟΥ</t>
  </si>
  <si>
    <t>mail@1dim-ieriss.chal.sch.gr</t>
  </si>
  <si>
    <t>mail@dim-palaioch.chal.sch.gr</t>
  </si>
  <si>
    <t>ΔΗΜΟΤΙΚΟ ΣΧΟΛΕΙΟ ΣΤΑΝΟΥ</t>
  </si>
  <si>
    <t>mail@dim-stanou.chal.sch.gr</t>
  </si>
  <si>
    <t>ΑΓΙΟΥ ΜΑΜΑΝΤΟΣ</t>
  </si>
  <si>
    <t>ΔΗΜΟΤΙΚΟ ΣΧΟΛΕΙΟ ΑΓΙΟΥ ΜΑΜΑ</t>
  </si>
  <si>
    <t>mail@dim-ag-mamant.chal.sch.gr</t>
  </si>
  <si>
    <t>ΑΓΙΟΥ ΜΑΜΑ</t>
  </si>
  <si>
    <t>ΑΓΙΟΣ ΜΑΜΑΣ ΧΑΛΚΙΔΙΚΗΣ, -</t>
  </si>
  <si>
    <t>mail@dim-strat.chal.sch.gr</t>
  </si>
  <si>
    <t>1ο ΝΗΠΙΑΓΩΓΕΙΟ Δ. ΠΟΛΥΓΥΡΟΥ</t>
  </si>
  <si>
    <t>1nippoly@sch.gr</t>
  </si>
  <si>
    <t>Δ. ΠΟΛΥΓΥΡΟΥ</t>
  </si>
  <si>
    <t>ΔΗΜΟΤΙΚΟ ΣΧΟΛΕΙΟ ΒΡΑΣΤΑΜΩΝ</t>
  </si>
  <si>
    <t>mail@dim-vrastam.chal.sch.gr</t>
  </si>
  <si>
    <t>ΑΦΥΤΟΥ</t>
  </si>
  <si>
    <t>ΔΗΜΟΤΙΚΟ ΣΧΟΛΕΙΟ ΑΦΥΤΟΥ</t>
  </si>
  <si>
    <t>mail@dim-afytou.chal.sch.gr</t>
  </si>
  <si>
    <t xml:space="preserve">ʼφυτος </t>
  </si>
  <si>
    <t>ʼφυτος Χαλκιδικής</t>
  </si>
  <si>
    <t>mail@3dim-moudan.chal.sch.gr</t>
  </si>
  <si>
    <t>ΝΑΚΟΥ ΚΟΥΤΣΟΥ  23</t>
  </si>
  <si>
    <t>ΔΗΜΟΤΙΚΟ ΣΧΟΛΕΙΟ ΝΕΑΣ ΣΚΙΩΝΗΣ</t>
  </si>
  <si>
    <t>mail@dim-skion.chal.sch.gr</t>
  </si>
  <si>
    <t>dimntrig@sch.gr</t>
  </si>
  <si>
    <t>Ν. Τρίγλια</t>
  </si>
  <si>
    <t>2ο ΔΗΜΟΤΙΚΟ ΣΧΟΛΕΙΟ ΝΕΑΣ ΤΡΙΓΛΙΑΣ</t>
  </si>
  <si>
    <t>mail@2dim-n-trigl.chal.sch.gr</t>
  </si>
  <si>
    <t>mail@dim-arnaias.chal.sch.gr</t>
  </si>
  <si>
    <t>ΔΗΜΟΤΙΚΟ ΣΧΟΛΕΙΟ Ν.ΡΟΔΩΝ</t>
  </si>
  <si>
    <t>mail@dim-n-rodon.chal.sch.gr</t>
  </si>
  <si>
    <t>Ν.ΡΟΔΑ</t>
  </si>
  <si>
    <t>ΔΗΜΟΤΙΚΟ ΣΧΟΛΕΙΟ ΟΛΥΝΘΟΥ</t>
  </si>
  <si>
    <t>mail@dim-olynth.chal.sch.gr</t>
  </si>
  <si>
    <t>ΔΗΜΟΤΙΚΟ ΣΧΟΛΕΙΟ ΠΟΡΤΑΡΙΑΣ  ΧΑΛΚΙΔΙΚΗΣ</t>
  </si>
  <si>
    <t>mail@dim-portar.chal.sch.gr</t>
  </si>
  <si>
    <t>ΠΟΡΤΑΡΙΑ ΧΑΛΚΙΔΙΚΗΣ</t>
  </si>
  <si>
    <t>ΔΗΜΟΤΙΚΟ ΣΧΟΛΕΙΟ ΟΛΥΜΠΙΑΔΑΣ</t>
  </si>
  <si>
    <t>mail@dim-olymp.chal.sch.gr</t>
  </si>
  <si>
    <t>ΝΗΠΙΑΓΩΓΕΙΟ ΣΤΡΑΤΩΝΙΟΥ</t>
  </si>
  <si>
    <t>mail@nip-strat.chal.sch.gr</t>
  </si>
  <si>
    <t>mail@dim-zervoch.chal.sch.gr</t>
  </si>
  <si>
    <t>ΝΗΠΙΑΓΩΓΕΙΟ ΣΤΑΝΟΥ</t>
  </si>
  <si>
    <t>mail@nip-stanou.chal.sch.gr</t>
  </si>
  <si>
    <t>ΔΗΜΟΤΙΚΟ ΣΧΟΛΕΙΟ Ν. ΗΡΑΚΛΕΙΑ</t>
  </si>
  <si>
    <t>mail@dim-n-irakl.chal.sch.gr</t>
  </si>
  <si>
    <t>ΝΕΑ ΗΡΑΚΛΕΙΑ</t>
  </si>
  <si>
    <t>mail@dim-n-potid.chal.sch.gr</t>
  </si>
  <si>
    <t>ΠΟΤΙΔΑΙΑ</t>
  </si>
  <si>
    <t>ΠΟΛΥΧΡΟΝΟΥ</t>
  </si>
  <si>
    <t>ΔΗΜΟΤΙΚΟ ΣΧΟΛΕΙΟ ΠΟΛΥΧΡΟΝΟΥ</t>
  </si>
  <si>
    <t>mail@dim-polychr.chal.sch.gr</t>
  </si>
  <si>
    <t>ΠΟΛΥΧΡΟΝΟ</t>
  </si>
  <si>
    <t>mail@dim-n-fokaias.chal.sch.gr</t>
  </si>
  <si>
    <t>ΔΗΜΟΤΙΚΟ ΣΧΟΛΕΙΟ ΛΑΚΚΩΜΑΤΟΣ ΧΑΛΚΙΔΙΚΗΣ</t>
  </si>
  <si>
    <t>mail@dim-lakkom.chal.sch.gr</t>
  </si>
  <si>
    <t>ΛΑΚΚΩΜΑ ΧΑΛΚΙΔΙΚΗΣ</t>
  </si>
  <si>
    <t>ΝΕΩΝ ΣΙΛΑΤΩΝ</t>
  </si>
  <si>
    <t>ΔΗΜΟΤΙΚΟ ΣΧΟΛΕΙΟ ΝΕΩΝ ΣΙΛΑΤΩΝ</t>
  </si>
  <si>
    <t>dimsilat@sch.gr</t>
  </si>
  <si>
    <t>ΑΓΙΟΣ ΠΑΥΛΟΣ ΧΑΛΚΙΔΙΚΗ</t>
  </si>
  <si>
    <t>ΔΗΜΟΤΙΚΟ ΣΧΟΛΕΙΟ ΦΛΟΓΗΤΩΝ</t>
  </si>
  <si>
    <t>mail@dim-flogit.chal.sch.gr</t>
  </si>
  <si>
    <t xml:space="preserve">ΦΛΟΓΗΤΑ </t>
  </si>
  <si>
    <t>ΒΑΣΙΛΕΩΣ ΓΕΩΡΓΙΟΥ</t>
  </si>
  <si>
    <t>mail@dim-simantr.chal.sch.gr</t>
  </si>
  <si>
    <t>Σήμαντρα</t>
  </si>
  <si>
    <t>ΦΟΥΡΚΑΣ</t>
  </si>
  <si>
    <t>ΔΗΜΟΤΙΚΟ ΣΧΟΛΕΙΟ ΦΟΥΡΚΑΣ-ΚΑΣΣΑΝΔΡΙΝΟΥ</t>
  </si>
  <si>
    <t>dimfourk@sch.gr</t>
  </si>
  <si>
    <t xml:space="preserve">Φούρκα </t>
  </si>
  <si>
    <t>Φούρκα- Χαλκιδικής</t>
  </si>
  <si>
    <t>mail@dim-paliour.chal.sch.gr</t>
  </si>
  <si>
    <t>ΠΑΛΙΟΥΡΙ ΧΑΛΚΙΔΙΚΗΣ</t>
  </si>
  <si>
    <t>1ο ΔΗΜΟΤΙΚΟ ΣΧΟΛΕΙΟ ΝΕΑΣ ΚΑΛΛΙΚΡΑΤΕΙΑΣ</t>
  </si>
  <si>
    <t>mail@1dim-n-kallik.chal.sch.gr</t>
  </si>
  <si>
    <t>ΠΕΡΙΟΧΗ ΚΑΜΠΟΣ</t>
  </si>
  <si>
    <t>mail@1dim-kassandr.chal.sch.gr</t>
  </si>
  <si>
    <t>mail@1dim-n-moudan.chal.sch.gr</t>
  </si>
  <si>
    <t>Ν.ΜΟΥΔΑΝΙΑ</t>
  </si>
  <si>
    <t>ΕΙΚΟΣΤΗΣ ΟΓΔΟΗΣ ΟΚΤΩΒΡΙΟΥ 27</t>
  </si>
  <si>
    <t>mail@2dim-kassandr.chal.sch.gr</t>
  </si>
  <si>
    <t>mail@2dim-n-kallikr.chal.sch.gr</t>
  </si>
  <si>
    <t>ΟΣΙΑΣ ΠΑΡΑΣΚΕΥΗΣ 39</t>
  </si>
  <si>
    <t>mail@2dim-moudan.chal.sch.gr</t>
  </si>
  <si>
    <t>ΕΛΕΥΘΕΡΙΑΣ 30, ΝΕΑ ΜΟΥΔΑΝΙΑ ΧΑΛΚΙΔΙΚΗΣ</t>
  </si>
  <si>
    <t>ΚΡΥΟΠΗΓΗΣ</t>
  </si>
  <si>
    <t>ΝΗΠΙΑΓΩΓΕΙΟ ΚΡΥΟΠΗΓΗΣ</t>
  </si>
  <si>
    <t>mail@nip-kryop.chal.sch.gr</t>
  </si>
  <si>
    <t>ΝΗΠΙΑΓΩΓΕΙΟ ΠΑΛΙΟΥΡΙΟΥ- ΑΓ. ΠΑΡΑΣΚΕΥΗΣ</t>
  </si>
  <si>
    <t>mail@nip-paliour.chal.sch.gr</t>
  </si>
  <si>
    <t>ΝΗΠΙΑΓΩΓΕΙΟ ΠΟΛΥΧΡΟΝΟΥ</t>
  </si>
  <si>
    <t>mail@nip-polychr.chal.sch.gr</t>
  </si>
  <si>
    <t>ΝΗΠΙΑΓΩΓΕΙΟ ΝΕΩΝ ΣΙΛΑΤΩΝ</t>
  </si>
  <si>
    <t>mail@nip-n-silat.chal.sch.gr</t>
  </si>
  <si>
    <t>Ν. ΣΙΛΛΑΤΩΝ</t>
  </si>
  <si>
    <t>Ν. ΣΙΛΛΑΤΑ</t>
  </si>
  <si>
    <t>ΠΕΤΡΑΛΩΝΩΝ</t>
  </si>
  <si>
    <t>ΝΗΠΙΑΓΩΓΕΙΟ ΠΕΤΡΑΛΩΝΩΝ</t>
  </si>
  <si>
    <t>mail@nip-petral.chal.sch.gr</t>
  </si>
  <si>
    <t>ΠΕΤΡΑΛΩΝΑ</t>
  </si>
  <si>
    <t>ΝΗΠΙΑΓΩΓΕΙΟ ΝΕΑΣ ΠΟΤΙΔΑΙΑΣ</t>
  </si>
  <si>
    <t>mail@nip-n-potid.chal.sch.gr</t>
  </si>
  <si>
    <t>ΝΕΑΣ ΠΟΤΙΔΑΙΑΣ</t>
  </si>
  <si>
    <t>Ν. ΠΟΤΙΔΑΙΑ</t>
  </si>
  <si>
    <t>ΝΗΠΙΑΓΩΓΕΙΟ ΠΑΡΑΛΙΑΣ ΔΙΟΝΥΣΙΟΥ</t>
  </si>
  <si>
    <t>mail@nip-paral.chal.sch.gr</t>
  </si>
  <si>
    <t>ΠΑΡΑΛΙΑΣ ΔΙΟΝΥΣΙΟΥ</t>
  </si>
  <si>
    <t>ΠΑΡ. ΔΙΟΝΥΣΙΟΥ</t>
  </si>
  <si>
    <t>ΝΗΠΙΑΓΩΓΕΙΟ ΠΟΡΤΑΡΙΑΣ</t>
  </si>
  <si>
    <t>mail@nip-portar.chal.sch.gr</t>
  </si>
  <si>
    <t>ΝΗΠΙΑΓΩΓΕΙΟ ΑΦΥΤΟΥ</t>
  </si>
  <si>
    <t>mail@nip-afytou.chal.sch.gr</t>
  </si>
  <si>
    <t>ΑΦΥΤΟΣ</t>
  </si>
  <si>
    <t>ΝΗΠΙΑΓΩΓΕΙΟ ΑΓ. ΜΑΜΑΝΤΟΣ</t>
  </si>
  <si>
    <t>mail@nip-ag-mamant.chal.sch.gr</t>
  </si>
  <si>
    <t>ΑΓ. ΜΑΜΑ</t>
  </si>
  <si>
    <t>ΑΓ. ΜΑΜΑΣ</t>
  </si>
  <si>
    <t>ΝΗΠΙΑΓΩΓΕΙΟ ΦΟΥΡΚΑΣ</t>
  </si>
  <si>
    <t>mail@nip-fourk.chal.sch.gr</t>
  </si>
  <si>
    <t>ΦΟΥΡΚΑ</t>
  </si>
  <si>
    <t>ΝΕΑΣ ΓΩΝΙΑΣ</t>
  </si>
  <si>
    <t>ΝΗΠΙΑΓΩΓΕΙΟ Ν.ΓΩΝΙΑΣ</t>
  </si>
  <si>
    <t>mail@nip-n-gonias.chal.sch.gr</t>
  </si>
  <si>
    <t>Ν.ΓΩΝΙΑ</t>
  </si>
  <si>
    <t>ΟΛΟΗΜΕΡΟ ΕΙΔΙΚΟ ΝΗΠΙΑΓΩΓΕΙΟ ΠΟΛΥΓΥΡΟΥ</t>
  </si>
  <si>
    <t>mail@nip-eid-polyg.chal.sch.gr</t>
  </si>
  <si>
    <t>4ο ΝΗΠΙΑΓΩΓΕΙΟ ΠΟΛΥΓΥΡΟΥ</t>
  </si>
  <si>
    <t>mail@4nip-polyg.chal.sch.gr</t>
  </si>
  <si>
    <t>Κ.  ΠΑΛΑΜΑ &amp;  ΜΥΚΗΒΕΡΝΗΣ</t>
  </si>
  <si>
    <t>ΔΗΜΟΤΙΚΟ ΣΧΟΛΕΙΟ ΧΑΝΙΩΤΗΣ</t>
  </si>
  <si>
    <t>mail@dim-chaniot.chal.sch.gr</t>
  </si>
  <si>
    <t>4ο ΔΗΜΟΤΙΚΟ ΣΧΟΛΕΙΟ ΝΕΑ ΜΟΥΔΑΝΙΑ</t>
  </si>
  <si>
    <t>mail@4dim-n-moudan.chal.sch.gr</t>
  </si>
  <si>
    <t>ΜΟΣΧΟΝΗΣΙΩΝ-ΚΥΔΩΝΙΩΝ 71</t>
  </si>
  <si>
    <t>5ο ΝΗΠΙΑΓΩΓΕΙΟ Ν. ΜΟΥΔΑΝΙΩΝ</t>
  </si>
  <si>
    <t>mail@5nip-n-moudan.chal.sch.gr</t>
  </si>
  <si>
    <t>Φ. ΟΡΦΑΝΙΔΗ 17</t>
  </si>
  <si>
    <t>ΕΙΔΙΚΟ ΔΗΜΟΤΙΚΟ ΣΧΟΛΕΙΟ ΠΑΛΑΙΟΧΩΡΙ</t>
  </si>
  <si>
    <t>2ο ΝΗΠΙΑΓΩΓΕΙΟ Ν.ΦΩΚΑΙΑΣ</t>
  </si>
  <si>
    <t>mail@2nip-n-fokaias.chal.sch.gr</t>
  </si>
  <si>
    <t>Ν.ΦΩΚΑΙΑ</t>
  </si>
  <si>
    <t>ΜΟΣΧΟΝΗΣΙΩΝ-ΚΥΔΩΝΙΩΝ</t>
  </si>
  <si>
    <t>ΕΙΔΙΚΟ ΔΗΜΟΤΙΚΟ ΣΧΟΛΕΙΟ ΝΕΑΣ ΠΡΟΠΟΝΤΙΔΑΣ</t>
  </si>
  <si>
    <t>dimeidmoud@sch.gr</t>
  </si>
  <si>
    <t>6ο ΝΗΠΙΑΓΩΓΕΙΟ ΝΕΩΝ ΜΟΥΔΑΝΙΩΝ</t>
  </si>
  <si>
    <t>mail@6nip-n-moudan.chal.sch.gr</t>
  </si>
  <si>
    <t>4ο ΝΗΠΙΑΓΩΓΕΙΟ ΝΕΑΣ ΚΑΛΛΙΚΡΑΤΕΙΑΣ</t>
  </si>
  <si>
    <t>mail@4nip-n-kallikr.chal.sch.gr</t>
  </si>
  <si>
    <t>ΠΑΡΝΑΒΕΛΗ 67</t>
  </si>
  <si>
    <t>ΔΗΜΟΤΙΚΟ ΣΧΟΛΕΙΟ ΚΑΛΑΝΔΡΑΣ</t>
  </si>
  <si>
    <t>mail@dim-kalandr.chal.sch.gr</t>
  </si>
  <si>
    <t>ΔΗΜΟΤΙΚΟ ΣΧΟΛΕΙΟ ΝΕΟΧΩΡΙΟΥ ΧΑΛΚΙΔΙΚΗΣ</t>
  </si>
  <si>
    <t>mail@dim-neoch.chal.sch.gr</t>
  </si>
  <si>
    <t>ΝΕΟΧΩΡΙ ΧΑΛΚΙΔΙΚΗΣ</t>
  </si>
  <si>
    <t>ΔΗΜΟΤΙΚΟ ΣΧΟΛΕΙΟ ΚΑΛΛΙΘΕΑΣ ΧΑΛΚΙΔΙΚΗΣ</t>
  </si>
  <si>
    <t>mail@dim-kallith.chal.sch.gr</t>
  </si>
  <si>
    <t>Καλλιθέα Χαλκιδικής</t>
  </si>
  <si>
    <t>ΔΗΜΟΤΙΚΟ ΣΧΟΛΕΙΟ ΚΡΗΝΗΣ ΧΑΛΚΙΔΙΚΗΣ</t>
  </si>
  <si>
    <t>mail@dim-krinis.chal.sch.gr</t>
  </si>
  <si>
    <t>2ο ΝΗΠΙΑΓΩΓΕΙΟ ΝΙΚΗΤΗΣ</t>
  </si>
  <si>
    <t>mail@2nip-nikit.chal.sch.gr</t>
  </si>
  <si>
    <t>2ο ΝΗΠΙΑΓΩΓΕΙΟ ΑΡΝΑΙΑΣ</t>
  </si>
  <si>
    <t>mail@2nip-arnaias.chal.sch.gr</t>
  </si>
  <si>
    <t>ΝΗΠΙΑΓΩΓΕΙΟ ΝΕΟΧΩΡΙΟΥ ΧΑΛΚΙΔΙΚΗΣ</t>
  </si>
  <si>
    <t>mail@nip-neoch.chal.sch.gr</t>
  </si>
  <si>
    <t>ΝΗΠΙΑΓΩΓΕΙΟ ΟΛΥΜΠΙΑΔΑΣ</t>
  </si>
  <si>
    <t>mail@nip-olymp.chal.sch.gr</t>
  </si>
  <si>
    <t>ΝΗΠΙΑΓΩΓΕΙΟ ΠΑΛΑΙΟΧΩΡΑΣ ΧΑΛΚΙΔΙΚΗΣ</t>
  </si>
  <si>
    <t>mail@nip-palaiochor.chal.sch.gr</t>
  </si>
  <si>
    <t>Γαλάτιστα</t>
  </si>
  <si>
    <t>Παλαιόχωρα</t>
  </si>
  <si>
    <t>ΕΙΔΙΚΟ ΝΗΠΙΑΓΩΓΕΙΟ ΑΡΝΑΙΑ</t>
  </si>
  <si>
    <t>ΝΗΠΙΑΓΩΓΕΙΟ ΛΑΚΚΩΜΑΤΟΣ - ΣΑΡΒΑΝΕΙΟ</t>
  </si>
  <si>
    <t>mail@nip-lakkom.chal.sch.gr</t>
  </si>
  <si>
    <t>ΕΙΔΙΚΟ ΝΗΠΙΑΓΩΓΕΙΟ ΝΕΑΣ ΠΡΟΠΟΝΤΙΔΑΣ</t>
  </si>
  <si>
    <t>mail@nip-eid-n-moudan.chal.sch.gr</t>
  </si>
  <si>
    <t>ΔΗΜΟΤΙΚΟ ΣΧΟΛΕΙΟ ΝΕΩΝ ΠΛΑΓΙΩΝ</t>
  </si>
  <si>
    <t>mail@dim-n-plagion.chal.sch.gr</t>
  </si>
  <si>
    <t>Ν.ΠΛΑΓΙΑ</t>
  </si>
  <si>
    <t>ΠΕΡΙΦΕΡΕΙΑΚΗ Δ/ΝΣΗ Α/ΘΜΙΑΣ ΚΑΙ Β/ΘΜΙΑΣ ΕΚΠ/ΣΗΣ ΚΡΗΤΗΣ</t>
  </si>
  <si>
    <t>1ο ΔΗΜ. ΔΙΑΜΕΡ. ΗΡΑΚΛΕΙΟΥ</t>
  </si>
  <si>
    <t>ΚΕΝΤΡΟ ΕΚΠΑΙΔΕΥΤΙΚΗΣ ΚΑΙ ΣΥΜΒΟΥΛΕΥΤΙΚΗΣ ΥΠΟΣΤΗΡΙΞΗΣ ΝΟΜΟΥ ΗΡΑΚΛΕΙΟΥ</t>
  </si>
  <si>
    <t>mail@kesy.ira.sch.gr</t>
  </si>
  <si>
    <t>ΠΙΤΣΟΥΛΑΚΗ 73</t>
  </si>
  <si>
    <t>ΛΑΣΙΘΙΟΥ</t>
  </si>
  <si>
    <t>Κ.Ε.Σ.Υ. ΛΑΣΙΘΙΟΥ</t>
  </si>
  <si>
    <t>mail@kesy.las.sch.gr</t>
  </si>
  <si>
    <t>ΑΓ. ΝΙΚΟΛΑΟΣ</t>
  </si>
  <si>
    <t>ΥΓΕΙΑΣ 7 &amp; Φ. ΚΟΝΤΟΓΛΟΥ</t>
  </si>
  <si>
    <t>ΡΕΘΥΜΝΟΥ</t>
  </si>
  <si>
    <t>ΡΕΘΥΜΝΗΣ</t>
  </si>
  <si>
    <t>ΚΕΣΥ ΡΕΘΥΜΝΟΥ</t>
  </si>
  <si>
    <t>mail@kesy.reth.sch.gr</t>
  </si>
  <si>
    <t>ΡΕΘΥΜΝΟ</t>
  </si>
  <si>
    <t>ΝΙΚΟΛΑΟΥ ΨΑΡΡΟΥ 50</t>
  </si>
  <si>
    <t>ΧΑΝΙΩΝ</t>
  </si>
  <si>
    <t>ΚΕΣΥ ΧΑΝΙΩΝ</t>
  </si>
  <si>
    <t>kday@dide.chan.sch.gr</t>
  </si>
  <si>
    <t>ΧΑΝΙΑ</t>
  </si>
  <si>
    <t>8ης ΔΕΚΕΜΒΡΙΟΥ 61</t>
  </si>
  <si>
    <t>ΔΙΕΥΘΥΝΣΗ Δ.Ε. ΗΡΑΚΛΕΙΟΥ</t>
  </si>
  <si>
    <t>ΠΡΟΦΗΤΟΥ ΗΛΙΑ</t>
  </si>
  <si>
    <t>ΗΜΕΡΗΣΙΟ ΓΥΜΝΑΣΙΟ ΠΡΟΦΗΤΗ ΗΛΙΑ ΗΡΑΚΛΕΙΟΥ</t>
  </si>
  <si>
    <t>mail@gym-prof-ilia.ira.sch.gr</t>
  </si>
  <si>
    <t>ΠΡΟΦΗΤΗ ΗΛΙΑ ΗΡΑΚΛΕΙΟΥ</t>
  </si>
  <si>
    <t>ΔΗΜΟΤΙΚΟ ΣΧΟΛΕΙΟ ΠΡΟΦΗΤΗ ΗΛΙΑ ΗΡΑΚΛΕΙΟΥ</t>
  </si>
  <si>
    <t>1ο ΗΜΕΡΗΣΙΟ ΓΥΜΝΑΣΙΟ ΗΡΑΚΛΕΙΟΥ - ΚΑΠΕΤΑΝΑΚΕΙΟ</t>
  </si>
  <si>
    <t>mail@1gym-irakl.ira.sch.gr</t>
  </si>
  <si>
    <t>Λ.ΔΗΜΟΚΡΑΤΙΑΣ 1</t>
  </si>
  <si>
    <t>24ο ΟΛΟΗΜΕΡΟ ΔΗΜΟΤΙΚΟ ΣΧΟΛΕΙΟ ΗΡΑΚΛΕΙΟΥ</t>
  </si>
  <si>
    <t>ΑΡΧΑΝΩΝ - ΑΣΤΕΡΟΥΣΙΩΝ</t>
  </si>
  <si>
    <t>ΑΡΧΑΝΩΝ</t>
  </si>
  <si>
    <t>ΗΜΕΡΗΣΙΟ ΓΕΝΙΚΟ ΛΥΚΕΙΟ ΑΡΧΑΝΩΝ ΗΡΑΚΛΕΙΟΥ</t>
  </si>
  <si>
    <t>mail@lyk-archan.ira.sch.gr</t>
  </si>
  <si>
    <t>ΑΡΧΑΝΕΣ ΗΡΑΚΛΕΙΟΥ</t>
  </si>
  <si>
    <t>ΑΡΧΑΝΕΣ</t>
  </si>
  <si>
    <t>2ο ΔΗΜΟΤΙΚΟ ΣΧΟΛΕΙΟ ΑΝΩ ΑΡΧΑΝΩΝ</t>
  </si>
  <si>
    <t>ΧΕΡΣΟΝΗΣΟΥ</t>
  </si>
  <si>
    <t>ΗΜΕΡΗΣΙΟ ΓΕΝΙΚΟ ΛΥΚΕΙΟ ΕΠΙΣΚΟΠΗΣ ΗΡΑΚΛΕΙΟΥ</t>
  </si>
  <si>
    <t>mail@lyk-episk.ira.sch.gr</t>
  </si>
  <si>
    <t>ΕΠΙΣΚΟΠΗ ΗΡΑΚΛΕΙΟΥ</t>
  </si>
  <si>
    <t>ΕΠΙΣΚΟΠΗ ΠΕΔΙΑΔΑΣ</t>
  </si>
  <si>
    <t>ΔΗΜΟΤΙΚΟ ΣΧΟΛΕΙΟ ΕΠΙΣΚΟΠΗΣ</t>
  </si>
  <si>
    <t>3ο ΔΗΜ. ΔΙΑΜΕΡ. ΗΡΑΚΛΕΙΟΥ(συμπεριλαμβάνονται οι οικισμοί Αθάνατων, Γουρνών, Δρακουλιάρη, Λοφουπόλεως Σέμελης και Φοινικιά)</t>
  </si>
  <si>
    <t>ΠΡΟΤΥΠΟ ΓΥΜΝΑΣΙΟ ΗΡΑΚΛΕΙΟΥ</t>
  </si>
  <si>
    <t>mail@gym-peir-irakl.ira.sch.gr</t>
  </si>
  <si>
    <t>Γ. ΚΟΡΝΑΡΟΥ ΕΣΤΑΥΡΩΜΕΝΟΣ</t>
  </si>
  <si>
    <t>45ο ΔΗΜΟΤΙΚΟ ΣΧΟΛΕΙΟ ΗΡΑΚΛΕΙΟ</t>
  </si>
  <si>
    <t>ΓΟΥΒΩΝ</t>
  </si>
  <si>
    <t>ΚΑΛΛΙΤΕΧΝΙΚΟ ΓΥΜΝΑΣΙΟ ΗΡΑΚΛΕΙΟΥ ΜΕ ΛΥΚΕΙΑΚΕΣ ΤΑΞΕΙΣ</t>
  </si>
  <si>
    <t>mail@gym-kallitech.ira.sch.gr</t>
  </si>
  <si>
    <t>ΓΟΥΡΝΕΣ ΗΡΑΚΛΕΙΟΥ</t>
  </si>
  <si>
    <t>ΠΡΩΗΝ ΑΜΕΡΙΚΑΝΙΚΗ ΒΑΣΗ ΓΟΥΡΝΩΝ</t>
  </si>
  <si>
    <t>ΔΗΜΟΤΙΚΟ ΣΧΟΛΕΙΟ ΓΟΥΡΝΩΝ</t>
  </si>
  <si>
    <t>ΓΥΜΝΑΣΙΟ ΓΟΥΒΩΝ ΗΡΑΚΛΕΙΟΥ ΚΡΗΤΗΣ</t>
  </si>
  <si>
    <t>mail@gym-gouvon.ira.sch.gr</t>
  </si>
  <si>
    <t>ΓΟΥΡΝΕΣ ΧΕΡΣΟΝΗΣΟΥ</t>
  </si>
  <si>
    <t>ΠΡΩΗΝ ΑΜΕΡΙΚΑΝΙΚΗ ΒΑΣΗ, ΓΟΥΡΝΕΣ ΧΕΡΣΟΝΗΣΟΥ</t>
  </si>
  <si>
    <t>ΜΑΛΕΒΙΖΙΟΥ</t>
  </si>
  <si>
    <t>ΚΡΟΥΣΩΝΑ</t>
  </si>
  <si>
    <t>ΚΡΟΥΣΩΝΟΣ</t>
  </si>
  <si>
    <t>ΗΜΕΡΗΣΙΟ ΓΕΝΙΚΟ ΛΥΚΕΙΟ ΚΡΟΥΣΩΝΑ ΗΡΑΚΛΕΙΟΥ</t>
  </si>
  <si>
    <t>mail@lyk-krous.ira.sch.gr</t>
  </si>
  <si>
    <t>ΔΗΜΟΣ ΜΑΛΕΒΙΖΙΟΥ</t>
  </si>
  <si>
    <t>ΚΡΟΥΣΩΝΑΣ</t>
  </si>
  <si>
    <t>2ο ΔΗΜΟΤΙΚΟ ΣΧΟΛΕΙΟ ΚΡΟΥΣΩΝΑ</t>
  </si>
  <si>
    <t>4ο ΔΗΜ. ΔΙΑΜΕΡ. ΗΡΑΚΛΕΙΟΥ(συμπεριλαμβάνονται οι οικισμοί Αγίας Ειρήνης, Βλυχιάς, Κνωσού και Μαραθίτη</t>
  </si>
  <si>
    <t>6ο ΗΜΕΡΗΣΙΟ ΕΠΑΛ ΗΡΑΚΛΕΙΟΥ</t>
  </si>
  <si>
    <t>mail@6epal-irakl.ira.sch.gr</t>
  </si>
  <si>
    <t>ΠΙΤΣΟΥΛΑΚΗ 24</t>
  </si>
  <si>
    <t>23ο ΔΗΜΟΤΙΚΟ ΣΧΟΛΕΙΟ ΗΡΑΚΛΕΙΟΥ</t>
  </si>
  <si>
    <t>1ο ΗΜΕΡΗΣΙΟ ΕΠΑΛ ΗΡΑΚΛΕΙΟΥ</t>
  </si>
  <si>
    <t>mail@1epal-irakl.ira.sch.gr</t>
  </si>
  <si>
    <t>ΑΧΕΠΑΝΣ ΚΗΠΟΥΠΟΛΗ</t>
  </si>
  <si>
    <t>5ο ΟΛΟΗΜΕΡΟ ΔΗΜΟΤΙΚΟ ΣΧΟΛΕΙΟ ΗΡΑΚΛΕΙΟΥ</t>
  </si>
  <si>
    <t>ΠΡΟΤΥΠΟ ΓΕΝΙΚΟ ΛΥΚΕΙΟ ΗΡΑΚΛΕΙΟΥ</t>
  </si>
  <si>
    <t>mail@lyk-peir-irakl.ira.sch.gr</t>
  </si>
  <si>
    <t>ΓΙΑΝΝΗ ΚΟΡΝΑΡΟΥ 17 - ΕΣΤΑΥΡΩΜΕΝΟΣ</t>
  </si>
  <si>
    <t>ΜΙΝΩΑ ΠΕΔΙΑΔΑΣ</t>
  </si>
  <si>
    <t>ΑΡΚΑΛΟΧΩΡΙΟΥ</t>
  </si>
  <si>
    <t>1ο ΗΜΕΡΗΣΙΟ ΕΠΑΛ ΑΡΚΑΛΟΧΩΡΙΟΥ ΗΡΑΚΛΕΙΟΥ - ΕΠΑΛ ΑΡΚΑΛΟΧΩΡΙΟΥ</t>
  </si>
  <si>
    <t>mail@1epal-arkal.ira.sch.gr</t>
  </si>
  <si>
    <t>ΑΡΚΑΛΟΧΩΡΙ ΗΡΑΚΛΕΙΟΥ</t>
  </si>
  <si>
    <t>1ο  ΔΗΜΟΤΙΚΟ ΣΧΟΛΕΙΟ ΑΡΚΑΛΟΧΩΡΙΟΥ</t>
  </si>
  <si>
    <t>1ο Εργαστηριακό Κέντρο Ηρακλείου</t>
  </si>
  <si>
    <t>mail@1sek-irakl.ira.sch.gr</t>
  </si>
  <si>
    <t>ΙΤΑΝΟΥ 40</t>
  </si>
  <si>
    <t>5ο ΗΜΕΡΗΣΙΟ ΕΠΑΛ ΗΡΑΚΛΕΙΟΥ</t>
  </si>
  <si>
    <t>mail@5epal-irakl.ira.sch.gr</t>
  </si>
  <si>
    <t>ΗΦΑΙΣΤΟΥ 7</t>
  </si>
  <si>
    <t>25ο ΔΗΜΟΤΙΚΟ ΣΧΟΛΕΙΟ ΗΡΑΚΛΕΙΟΥ</t>
  </si>
  <si>
    <t>2ο ΗΜΕΡΗΣΙΟ ΕΠΑΛ ΗΡΑΚΛΕΙΟΥ</t>
  </si>
  <si>
    <t>mail@2epal-irakl.ira.sch.gr</t>
  </si>
  <si>
    <t>ΠΑΡΟΔΟΣ Γ. ΔΙΛΒΟΗ - ΝΕΑ ΑΛΑΤΣΑΤΑ</t>
  </si>
  <si>
    <t>56ο ΟΛΟΗΜΕΡΟ ΔΗΜΟΤΙΚΟ ΣΧΟΛΕΙΟ ΗΡΑΚΛΕΙΟΥ</t>
  </si>
  <si>
    <t>13ο ΗΜΕΡΗΣΙΟ ΓΕΝΙΚΟ ΛΥΚΕΙΟ ΗΡΑΚΛΕΙΟΥ</t>
  </si>
  <si>
    <t>mail@13lyk-irakl.ira.sch.gr</t>
  </si>
  <si>
    <t>Μάχης Κρήτης 52</t>
  </si>
  <si>
    <t>ΜΑΧΗΣ ΚΡΗΤΗΣ 52</t>
  </si>
  <si>
    <t>4ο  ΔΗΜΟΤΙΚΟ ΣΧΟΛΕΙΟ ΗΡΑΚΛΕΙΟΥ - ΤΑΛΩΣ</t>
  </si>
  <si>
    <t>ΑΣΤΕΡΟΥΣΙΩΝ</t>
  </si>
  <si>
    <t>ΧΑΡΑΚΟΣ</t>
  </si>
  <si>
    <t>ΗΜΕΡΗΣΙΟ ΓΕΝΙΚΟ ΛΥΚΕΙΟ ΧΑΡΑΚΑ ΗΡΑΚΛΕΙΟΥ</t>
  </si>
  <si>
    <t>mail@lyk-charak.ira.sch.gr</t>
  </si>
  <si>
    <t>ΧΑΡΑΚΑΣ ΜΟΝΟΦΑΤΣΙΟΥ ΗΡΑΚΛΕΙΟΥ</t>
  </si>
  <si>
    <t>ΔΗΜΟΤΙΚΟ ΣΧΟΛΕΙΟ ΧΑΡΑΚΑ</t>
  </si>
  <si>
    <t>5ο ΗΜΕΡΗΣΙΟ ΓΕΝΙΚΟ ΛΥΚΕΙΟ ΗΡΑΚΛΕΙΟΥ</t>
  </si>
  <si>
    <t>mail@5lyk-irakl.ira.sch.gr</t>
  </si>
  <si>
    <t>Λ. ΣΚΕΠΕΤΖΗ 31</t>
  </si>
  <si>
    <t>4ο ΗΜΕΡΗΣΙΟ ΓΕΝΙΚΟ ΛΥΚΕΙΟ ΗΡΑΚΛΕΙΟΥ</t>
  </si>
  <si>
    <t>mail@4lyk-irakl.ira.sch.gr</t>
  </si>
  <si>
    <t>ΦΙΛΙΠΠΟΥΠΟΛΕΩΣ 45</t>
  </si>
  <si>
    <t>8ο  ΔΗΜΟΤΙΚΟ  ΣΧΟΛΕΙΟ  ΗΡΑΚΛΕΙΟΥ</t>
  </si>
  <si>
    <t>ΦΑΙΣΤΟΥ</t>
  </si>
  <si>
    <t>ΤΥΜΠΑΚΙΟΥ</t>
  </si>
  <si>
    <t>ΗΜΕΡΗΣΙΟ ΓΕΝΙΚΟ ΛΥΚΕΙΟ ΤΥΜΠΑΚΙΟΥ</t>
  </si>
  <si>
    <t>mail@lyk-tympak.ira.sch.gr</t>
  </si>
  <si>
    <t>ΔΗΜΟΣ ΦΑΙΣΤΟΥ</t>
  </si>
  <si>
    <t>ΤΥΜΠΑΚΙ</t>
  </si>
  <si>
    <t>ΤΥΜΠΑΚΙ ΗΡΑΚΛΕΙΟΥ ΚΡΗΤΗΣ</t>
  </si>
  <si>
    <t>1ο ΔΗΜΟΤΙΚΟ ΣΧΟΛΕΙΟ ΤΥΜΠΑΚΙΟΥ</t>
  </si>
  <si>
    <t>2ο ΗΜΕΡΗΣΙΟ ΓΕΝΙΚΟ ΛΥΚΕΙΟ ΗΡΑΚΛΕΙΟ</t>
  </si>
  <si>
    <t>mail@2lyk-irakl.ira.sch.gr</t>
  </si>
  <si>
    <t>Ι.  ΚΟΝΔΥΛΑΚΗ 32</t>
  </si>
  <si>
    <t>30ο ΟΛΟΗΜΕΡΟ ΔΗΜΟΤΙΚΟ ΣΧΟΛΕΙΟ ΗΡΑΚΛΕΙΟΥ</t>
  </si>
  <si>
    <t>ΝΙΚΟΥ ΚΑΖΑΝΤΖΑΚΗ</t>
  </si>
  <si>
    <t>ΜΕΛΕΣΩΝ</t>
  </si>
  <si>
    <t>ΗΜΕΡΗΣΙΟ ΓΕΝΙΚΟ ΛΥΚΕΙΟ ΜΕΛΕΣΩΝ ΗΡΑΚΛΕΙΟΥ - ΜΑΛΛΙΩΤΕΙΟ</t>
  </si>
  <si>
    <t>mail@lyk-meles.ira.sch.gr</t>
  </si>
  <si>
    <t>ΜΕΛΕΣΕΣ</t>
  </si>
  <si>
    <t>ΔΗΜΟΤΙΚΟ ΣΧΟΛΕΙΟ ΧΟΥΔΕΤΣΙ</t>
  </si>
  <si>
    <t>ΜΑΛΙΩΝ</t>
  </si>
  <si>
    <t>ΗΜΕΡΗΣΙΟ ΓΕΝΙΚΟ ΛΥΚΕΙΟ ΜΑΛΙΩΝ</t>
  </si>
  <si>
    <t>mail@lyk-malion.ira.sch.gr</t>
  </si>
  <si>
    <t>ΜΑΛΙΑ ΗΡΑΚΛΕΙΟΥ</t>
  </si>
  <si>
    <t>1ο 10/Θ ΔΗΜΟΤΙΚΟ ΣΧΟΛΕΙΟ ΜΑΛΙΩΝ</t>
  </si>
  <si>
    <t>ΓΟΡΓΟΛΑΪΝΗ</t>
  </si>
  <si>
    <t>ΑΓΙΟΥ ΜΥΡΩΝΟΣ</t>
  </si>
  <si>
    <t>ΗΜΕΡΗΣΙΟ ΓΕΝΙΚΟ ΛΥΚΕΙΟ ΑΓΙΟΣ ΜΥΡΩΝΑΣ ΗΡΑΚΛΕΙΟΥ</t>
  </si>
  <si>
    <t>mail@lyk-ag-myron.ira.sch.gr</t>
  </si>
  <si>
    <t>ΑΓΙΟΣ ΜΥΡΩΝΑΣ ΗΡΑΚΛΕΙΟΥ</t>
  </si>
  <si>
    <t>ΑΓΙΟΣ ΜΥΡΩΝΑΣ</t>
  </si>
  <si>
    <t>ΔΗΜΟΤΙΚΟ ΣΧΟΛΕΙΟ ΑΓΙΟΥ ΜΥΡΩΝΑ</t>
  </si>
  <si>
    <t>3ο ΗΜΕΡΗΣΙΟ ΓΕΝΙΚΟ ΛΥΚΕΙΟ ΗΡΑΚΛΕΙΟΥ</t>
  </si>
  <si>
    <t>mail@3lyk-irakl.ira.sch.gr</t>
  </si>
  <si>
    <t>ΜΟΙΡΩΝ</t>
  </si>
  <si>
    <t>ΠΟΜΠΙΑΣ</t>
  </si>
  <si>
    <t>ΗΜΕΡΗΣΙΟ ΓΕΝΙΚΟ ΛΥΚΕΙΟ ΠΟΜΠΙΑΣ ΔΗΜΟΥ ΦΑΙΣΤΟΥ - ΓΕΛ ΠΟΜΠΙΑΣ</t>
  </si>
  <si>
    <t>mail@lyk-pompias.ira.sch.gr</t>
  </si>
  <si>
    <t>ΠΟΜΠΙΑ ΔΗΜΟΥ ΦΑΙΣΤΟΥ</t>
  </si>
  <si>
    <t>ΠΟΜΠΙΑ ΗΡΑΚΛΕΙΟΥ</t>
  </si>
  <si>
    <t>ΔΗΜΟΤΙΚΟ ΣΧΟΛΕΙΟ ΠΟΜΠΙΑΣ</t>
  </si>
  <si>
    <t>ΝΕΑΣ ΑΛΙΚΑΡΝΑΣΣΟΥ</t>
  </si>
  <si>
    <t>ΗΜΕΡΗΣΙΟ ΓΕΝΙΚΟ ΛΥΚΕΙΟ ΝΕΑΣ ΑΛΙΚΑΡΝΑΣΣΟΥ</t>
  </si>
  <si>
    <t>mail@lyk-n-alikarn.ira.sch.gr</t>
  </si>
  <si>
    <t>ΝΕΑ ΑΛΙΚΑΡΝΑΣΣΟΣ</t>
  </si>
  <si>
    <t>ΑΠ. ΒΑΡΔΑΞΗ 1</t>
  </si>
  <si>
    <t>2ο  ΔΗΜΟΤΙΚΟ ΣΧΟΛΕΙΟ ΝΕΑΣ ΑΛΙΚΑΡΝΑΣΣΟΥ</t>
  </si>
  <si>
    <t>ΓΟΡΤΥΝΑΣ</t>
  </si>
  <si>
    <t>ΚΟΦΙΝΑ</t>
  </si>
  <si>
    <t>ΑΣΗΜΙΟΥ</t>
  </si>
  <si>
    <t>ΗΜΕΡΗΣΙΟ ΓΕΝΙΚΟ ΛΥΚΕΙΟ ΑΣΗΜΙΟΥ ΗΡΑΚΛΕΙΟΥ</t>
  </si>
  <si>
    <t>mail@lyk-asim.ira.sch.gr</t>
  </si>
  <si>
    <t>ΑΣΗΜΙ ΗΡΑΚΛΕΙΟΥ</t>
  </si>
  <si>
    <t>ΔΗΜΟΤΙΚΟ ΣΧΟΛΕΙΟ ΑΣΗΜΙΟΥ</t>
  </si>
  <si>
    <t>10ο ΗΜΕΡΗΣΙΟ ΓΕΝΙΚΟ ΛΥΚΕΙΟ ΗΡΑΚΛΕΙΟΥ</t>
  </si>
  <si>
    <t>mail@10lyk-irakl.ira.sch.gr</t>
  </si>
  <si>
    <t>ΒΟΡΕΙΟΥ ΗΠΕΙΡΟΥ 19</t>
  </si>
  <si>
    <t>33ο ΔΗΜΟΤΙΚΟ ΣΧΟΛΕΙΟ ΗΡΑΚΛΕΙΟΥ</t>
  </si>
  <si>
    <t>ΜΟΧΟΥ</t>
  </si>
  <si>
    <t>ΗΜΕΡΗΣΙΟ ΓΕΝΙΚΟ ΛΥΚΕΙΟ ΜΟΧΟΥ</t>
  </si>
  <si>
    <t>mail@lyk-mochou.ira.sch.gr</t>
  </si>
  <si>
    <t>ΜΟΧΟΣ ΗΡΑΚΛΕΙΟΥ</t>
  </si>
  <si>
    <t>Μοχός</t>
  </si>
  <si>
    <t>ΜΟΧΟΣ</t>
  </si>
  <si>
    <t>7 /Θ ΔΗΜΟΤΙΚΟ ΣΧΟΛΕΙΟ ΜΟΧΟΥ</t>
  </si>
  <si>
    <t>ΗΜΕΡΗΣΙΟ ΓΕΝΙΚΟ ΛΥΚΕΙΟ ΓΟΥΒΩΝ</t>
  </si>
  <si>
    <t>mail@lyk-gouvon.ira.sch.gr</t>
  </si>
  <si>
    <t>ΓΟΥΡΝΕΣ ΔΗΜΟΥ ΧΕΡΣΟΝΗΣΟΥ</t>
  </si>
  <si>
    <t>ΓΑΖΙΟΥ</t>
  </si>
  <si>
    <t>ΗΜΕΡΗΣΙΟ ΓΕΝΙΚΟ ΛΥΚΕΙΟ ΓΑΖΙΟΥ ΗΡΑΚΛΕΙΟ ΚΡΗΤΗΣ - ΔΟΜΗΝΙΚΟΣ ΘΕΟΤΟΚΟΠΟΥΛΟΣ</t>
  </si>
  <si>
    <t>mail@lyk-gaziou.ira.sch.gr</t>
  </si>
  <si>
    <t>ΓΑΖΙ  ΗΡΑΚΛΕΙΟ ΚΡΗΤΗΣ</t>
  </si>
  <si>
    <t>ΓΕΩΡΓΙΟΥ ΠΑΠΑΝΔΡΕΟΥ 60</t>
  </si>
  <si>
    <t>1ο ΔΗΜΟΤΙΚΟ ΣΧΟΛΕΙΟ ΓΑΖΙΟΥ</t>
  </si>
  <si>
    <t>11ο ΗΜΕΡΗΣΙΟ ΓΕΝΙΚΟ ΛΥΚΕΙΟ ΗΡΑΚΛΕΙΟΥ</t>
  </si>
  <si>
    <t>mail@11lyk-irakl.ira.sch.gr</t>
  </si>
  <si>
    <t>ΠΑΠΑΠΕΤΡΟΥ ΓΑΒΑΛΑ 64</t>
  </si>
  <si>
    <t>46ο ΔΗΜΟΤΙΚΟ ΣΧΟΛΕΙΟ ΗΡΑΚΛΕΙΟΥ</t>
  </si>
  <si>
    <t>7ο ΗΜΕΡΗΣΙΟ ΓΕΝΙΚΟ ΛΥΚΕΙΟ ΗΡΑΚΛΕΙΟΥ</t>
  </si>
  <si>
    <t>mail@7lyk-irakl.ira.sch.gr</t>
  </si>
  <si>
    <t>Γ. ΜΑΡΑΝΤΗ</t>
  </si>
  <si>
    <t>40ο Δημοτικό Σχολείο Ηρακλείου</t>
  </si>
  <si>
    <t>ΗΜΕΡΗΣΙΟ ΓΕΝΙΚΟ ΛΥΚΕΙΟ ΜΟΙΡΩΝ ΗΡΑΚΛΕΙΟΥ</t>
  </si>
  <si>
    <t>mail@1lyk-moiron.ira.sch.gr</t>
  </si>
  <si>
    <t>Μοίρες</t>
  </si>
  <si>
    <t>ΤΕΡΜΑ ΚΩΣΤΗ ΠΑΛΑΜΑ ΜΟΙΡΕΣ ΗΡΑΚΛΕΙΟΥ ΚΡΗΤΗΣ</t>
  </si>
  <si>
    <t>ΟΛΟΗΜΕΡΟ ΔΗΜΟΤΙΚΟ ΣΧΟΛΕΙΟ ΚΑΠΑΡΙΑΝΩΝ</t>
  </si>
  <si>
    <t>ΚΑΣΤΕΛΛΙΟΥ</t>
  </si>
  <si>
    <t>ΗΜΕΡΗΣΙΟ ΓΕΝΙΚΟ ΛΥΚΕΙΟ ΚΑΣΤΕΛΛΙΟΥ ΠΕΔΙΑΔΑΣ ΗΡΑΚΛΕΙΟΥ</t>
  </si>
  <si>
    <t>mail@lyk-kastell.ira.sch.gr</t>
  </si>
  <si>
    <t>ΚΑΣΤΕΛΛΙ  ΠΕΔΙΑΔΑΣ ΗΡΑΚΛΕΙΟΥ</t>
  </si>
  <si>
    <t>ΚΑΣΤΕΛΛΙ ΠΕΔΙΑΔΑΣ ΗΡΑΚΛΕΙΟΥ</t>
  </si>
  <si>
    <t>ΔΗΜΟΤΙΚΟ ΣΧΟΛΕΙΟ ΚΑΣΤΕΛΛΙΟΥ</t>
  </si>
  <si>
    <t>1ο ΗΜΕΡΗΣΙΟ ΓΕΝΙΚΟ ΛΥΚΕΙΟ ΗΡΑΚΛΕΙΟΥ</t>
  </si>
  <si>
    <t>mail@1lyk-irakl.ira.sch.gr</t>
  </si>
  <si>
    <t>ΛΕΩΦΟΡΟΣ ΔΗΜΟΚΡΑΤΙΑΣ 1</t>
  </si>
  <si>
    <t>4ο ΕΣΠΕΡΙΝΟ ΕΠΑΛ ΗΡΑΚΛΕΙΟΥ</t>
  </si>
  <si>
    <t>mail@4epal-esp-irakl.ira.sch.gr</t>
  </si>
  <si>
    <t>ΕΛΕΥΘΕΡΙΟΥ ΣΚΕΠΕΤΖΗ 31</t>
  </si>
  <si>
    <t>ΕΣΠΕΡΙΝΟ ΓΕΝΙΚΟ ΛΥΚΕΙΟ ΗΡΑΚΛΕΙΟΥ</t>
  </si>
  <si>
    <t>esperino_ira@sch.gr</t>
  </si>
  <si>
    <t>ΑΓΙΟΣ ΙΩΑΝΝΗΣ ΗΡΑΚΛΕΙΟΥ</t>
  </si>
  <si>
    <t>ΓΕΡΟΥΛΑΝΟΥ 32</t>
  </si>
  <si>
    <t>19ο  ΔΗΜΟΤΙΚΟ ΣΧΟΛΕΙΟ ΗΡΑΚΛΕΙΟΥ</t>
  </si>
  <si>
    <t>ΗΜΕΡΗΣΙΟ ΓΕΝΙΚΟ ΛΥΚΕΙΟ ΑΡΚΑΛΟΧΩΡΙΟΥ</t>
  </si>
  <si>
    <t>mail@lyk-arkal.ira.sch.gr</t>
  </si>
  <si>
    <t>ΑΡΚΑΛΟΧΩΡΙ</t>
  </si>
  <si>
    <t>2ο 12/Θ  ΔΗΜΟΤΙΚΟ ΣΧΟΛΕΙΟ ΑΡΚΑΛΟΧΩΡΙΟΥ</t>
  </si>
  <si>
    <t>ΒΙΑΝΝΟΥ</t>
  </si>
  <si>
    <t>ΑΝΩ ΒΙΑΝΝΟΥ</t>
  </si>
  <si>
    <t>ΗΜΕΡΗΣΙΟ ΓΕΝΙΚΟ ΛΥΚΕΙΟ ΒΙΑΝΝΟΥ ΗΡΑΚΛΕΙΟΥ - ΕΝΙΑΙΟ ΛΥΚΕΙΟ</t>
  </si>
  <si>
    <t>mail@lyk-viann.ira.sch.gr</t>
  </si>
  <si>
    <t>ΒΙΑΝΝΟΥ ΗΡΑΚΛΕΙΟΥ</t>
  </si>
  <si>
    <t>ΑΝΩ ΒΙΑΝΝΟΣ ΗΡΑΚΛΕΙΟΥ</t>
  </si>
  <si>
    <t>ΟΛΟΗΜΕΡΟ ΔΗΜΟΤΙΚΟ ΣΧΟΛΕΙΟ ΑΝΩ ΒΙΑΝΝΟΥ</t>
  </si>
  <si>
    <t>ΗΜΕΡΗΣΙΟ ΓΕΝΙΚΟ ΛΥΚΕΙΟ ΑΓΙΑΣ ΒΑΡΒΑΡΑΣ ΗΡΑΚΛΕΙΟΥ</t>
  </si>
  <si>
    <t>mail@lyk-ag-varvar.ira.sch.gr</t>
  </si>
  <si>
    <t>ΑΓΙΑΣ ΒΑΡΒΑΡΑΣ ΗΡΑΚΛΕΙΟΥ</t>
  </si>
  <si>
    <t>ΑΓΙΑ ΒΑΡΒΑΡΑ ΗΡΑΚΛΕΙΟΥ</t>
  </si>
  <si>
    <t>ΔΗΜΟΤΙΚΟ ΣΧΟΛΕΙΟ ΑΓΙΑΣ  ΒΑΡΒΑΡΑΣ</t>
  </si>
  <si>
    <t>ΑΓΙΩΝ ΔΕΚΑ</t>
  </si>
  <si>
    <t>ΗΜΕΡΗΣΙΟ ΓΕΝΙΚΟ ΛΥΚΕΙΟ ΑΓΙΩΝ ΔΕΚΑ ΗΡΑΚΛΕΙΟΥ</t>
  </si>
  <si>
    <t>mail@lyk-ag-deka.ira.sch.gr</t>
  </si>
  <si>
    <t>ΓΟΡΤΥΝΑ-ΗΡΑΚΛΕΙΟΥ</t>
  </si>
  <si>
    <t>ΑΓΙΟΙ ΔΕΚΑ</t>
  </si>
  <si>
    <t>ΔΗΜΟΤΙΚΟ ΣΧΟΛΕΙΟ ΑΓΙΩΝ ΔΕΚΑ</t>
  </si>
  <si>
    <t>8ο ΗΜΕΡΗΣΙΟ ΓΕΝΙΚΟ ΛΥΚΕΙΟ ΗΡΑΚΛΕΙΟΥ</t>
  </si>
  <si>
    <t>mail@8lyk-irakl.ira.sch.gr</t>
  </si>
  <si>
    <t>ΓΕΩΡΓΙΟΥ ΞΗΡΟΥΔΑΚΗ 17</t>
  </si>
  <si>
    <t>3ο ΗΜΕΡΗΣΙΟ ΕΠΑΛ ΗΡΑΚΛΕΙΟΥ</t>
  </si>
  <si>
    <t>mail@3epal-irakl.ira.sch.gr</t>
  </si>
  <si>
    <t>ΑΡΧΙΜΗΔΟΥΣ 1</t>
  </si>
  <si>
    <t>4ο  ΔΗΜΟΤΙΚΟ ΣΧΟΛΕΙΟ ΝΕΑΣ ΑΛΙΚΑΡΝΑΣΣΟΥ</t>
  </si>
  <si>
    <t>3ο ΗΜΕΡΗΣΙΟ ΓΥΜΝΑΣΙΟ ΗΡΑΚΛΕΙΟΥ</t>
  </si>
  <si>
    <t>mail@3gym-irakl.ira.sch.gr</t>
  </si>
  <si>
    <t>ΦΙΛΕΛΛΗΝΩΝ ΚΑΙ ΣΚΕΠΕΤΖΗ</t>
  </si>
  <si>
    <t>ΗΜΕΡΗΣΙΟ ΓΥΜΝΑΣΙΟ ΚΡΟΥΣΩΝΑ ΗΡΑΚΛΕΙΟΥ</t>
  </si>
  <si>
    <t>mail@gym-krous.ira.sch.gr</t>
  </si>
  <si>
    <t xml:space="preserve">ΚΡΟΥΣΩΝΑΣ </t>
  </si>
  <si>
    <t>1ο ΔΗΜΟΤΙΚΟ ΣΧΟΛΕΙΟ ΚΡΟΥΣΩΝΑ</t>
  </si>
  <si>
    <t>ΗΜΕΡΗΣΙΟ ΓΥΜΝΑΣΙΟ ΑΣΗΜΙΟΥ ΗΡΑΚΛΕΙΟΥ</t>
  </si>
  <si>
    <t>mail@gym-asimiou.ira.sch.gr</t>
  </si>
  <si>
    <t>ΔΗΜΟΤΙΚΟ ΣΧΟΛΕΙΟ ΣΤΟΛΩΝ</t>
  </si>
  <si>
    <t>ΗΜΕΡΗΣΙΟ ΓΥΜΝΑΣΙΟ ΧΑΡΑΚΑ ΗΡΑΚΛΕΙΟΥ</t>
  </si>
  <si>
    <t>mail@gym-charak.ira.sch.gr</t>
  </si>
  <si>
    <t>ΧΑΡΑΚΑΣ ΗΡΑΚΛΕΙΟΥ</t>
  </si>
  <si>
    <t>ΗΜΕΡΗΣΙΟ ΓΥΜΝΑΣΙΟ ΓΑΖΙΟΥ</t>
  </si>
  <si>
    <t>mail@gym-gaziou.ira.sch.gr</t>
  </si>
  <si>
    <t>ΓΑΖΙΟΥ ΗΡΑΚΛΕΙΟΥ</t>
  </si>
  <si>
    <t>ΚΑΜΑΡΙΩΤΗ 44</t>
  </si>
  <si>
    <t>ΡΟΥΒΑ</t>
  </si>
  <si>
    <t>ΓΕΡΓΕΡΗΣ</t>
  </si>
  <si>
    <t>ΗΜΕΡΗΣΙΟ ΓΥΜΝΑΣΙΟ ΓΕΡΓΕΡΗΣ ΗΡΑΚΛΕΙΟΥ</t>
  </si>
  <si>
    <t>mail@gym-gerger.ira.sch.gr</t>
  </si>
  <si>
    <t>ΓΕΡΓΕΡΗΣ ΗΡΑΚΛΕΙΟΥ</t>
  </si>
  <si>
    <t>ΓΕΡΓΕΡΗ ΗΡΑΚΛΕΙΟΥ</t>
  </si>
  <si>
    <t>ΔΗΜΟΤΙΚΟ ΣΧΟΛΕΙΟ ΓΕΡΓΕΡΗΣ</t>
  </si>
  <si>
    <t>13ο ΗΜΕΡΗΣΙΟ ΓΥΜΝΑΣΙΟ ΗΡΑΚΛΕΙΟΥ</t>
  </si>
  <si>
    <t>mail@13gym-irakl.ira.sch.gr</t>
  </si>
  <si>
    <t>ΑΝΤ.ΒΟΡΕΑΔΗ 36</t>
  </si>
  <si>
    <t>ΗΜΕΡΗΣΙΟ ΓΥΜΝΑΣΙΟ ΤΥΜΠΑΚΙΟΥ - ΚΑ: 1713010</t>
  </si>
  <si>
    <t>mail@gym-tympak.ira.sch.gr</t>
  </si>
  <si>
    <t>ΗΜΕΡΗΣΙΟ ΓΥΜΝΑΣΙΟ ΝΕΑΣ ΑΛΙΚΑΡΝΑΣΣΟΥ</t>
  </si>
  <si>
    <t>gymnalik@sch.gr</t>
  </si>
  <si>
    <t>ΝΕΑ ΑΛΙΚΑΡΝΑΣΣΟΣ ΗΡΑΚΛΕΙΟΥ</t>
  </si>
  <si>
    <t>ΛΥΜΠΕΡΗ ΛΥΜΠΕΡΙΟΥ 1</t>
  </si>
  <si>
    <t>ΗΜΕΡΗΣΙΟ ΓΥΜΝΑΣΙΟ ΑΓΙΟΥ ΜΥΡΩΝΑ ΗΡΑΚΛΕΙΟΥ</t>
  </si>
  <si>
    <t>mail@gym-ag-myron.ira.sch.gr</t>
  </si>
  <si>
    <t>ΗΜΕΡΗΣΙΟ ΓΥΜΝΑΣΙΟ ΑΡΧΑΝΩΝ ΗΡΑΚΛΕΙΟΥ</t>
  </si>
  <si>
    <t>mail@gym-archan.ira.sch.gr</t>
  </si>
  <si>
    <t xml:space="preserve">ΑΡΧΑΝΩΝ </t>
  </si>
  <si>
    <t>ΠΛΑΤΕΙΑ ΑΡΧΑΝΩΝ 3</t>
  </si>
  <si>
    <t>2ο ΔΗΜ. ΔΙΑΜΕΡ. ΗΡΑΚΛΕΙΟΥ</t>
  </si>
  <si>
    <t>2ο ΕΚ ΗΡΑΚΛΕΙΟΥ</t>
  </si>
  <si>
    <t>mail@2sek-irakl.ira.sch.gr</t>
  </si>
  <si>
    <t>ΦΙΛΙΚΗΣ ΕΤΑΙΡΙΑΣ  &amp; ΔΑΦΕΡΜΟΥ</t>
  </si>
  <si>
    <t>48ο ΔΗΜΟΤΙΚΟ ΣΧΟΛΕΙΟ ΗΡΑΚΛΕΙΟΥ</t>
  </si>
  <si>
    <t>ΤΕΦΕΛΙΟΥ</t>
  </si>
  <si>
    <t>ΗΜΕΡΗΣΙΟ ΓΥΜΝΑΣΙΟ ΤΕΦΕΛΙ ΜΟΝΟΦΑΤΣΙΟΥ ΗΡΑΚΛΕΙΟΥ - ΓΥΜΝΑΣΙΟ ΤΕΦΕΛΙΟΥ</t>
  </si>
  <si>
    <t>mail@gym-tefel.ira.sch.gr</t>
  </si>
  <si>
    <t>ΤΕΦΕΛΙ ΜΟΝΟΦΑΤΣΙΟΥ ΗΡΑΚΛΕΙΟΥ</t>
  </si>
  <si>
    <t>ΤΕΦΕΛΙ ΜΟΝΟΦΑΤΣΙΟΥ</t>
  </si>
  <si>
    <t>ΔΗΜΟΤΙΚΟ ΣΧΟΛΕΙΟ ΜΕΤΑΞΟΧΩΡΙΟΥ</t>
  </si>
  <si>
    <t>ΓΥΜΝΑΣΙΟ ΜΑΛΙΩΝ ΗΡΑΚΛΕΙΟΥ</t>
  </si>
  <si>
    <t>mail@gym-malion.ira.sch.gr</t>
  </si>
  <si>
    <t>ΕΛΕΥΘΕΡΙΟΥ ΒΕΝΙΖΕΛΟΥ 97</t>
  </si>
  <si>
    <t>ΛΙΜΕΝΟΣ ΧΕΡΣΟΝΗΣΟΥ</t>
  </si>
  <si>
    <t>ΗΜΕΡΗΣΙΟ ΓΥΜΝΑΣΙΟ ΜΟΧΟΥ ΗΡΑΚΛΕΙΟΥ</t>
  </si>
  <si>
    <t>mail@gym-mochou.ira.sch.gr</t>
  </si>
  <si>
    <t>ΗΜΕΡΗΣΙΟ ΓΥΜΝΑΣΙΟ ΛΙΜΕΝΑ ΧΕΡΣΟΝΗΣΟΥ ΗΡΑΚΛΕΙΟΥ</t>
  </si>
  <si>
    <t>mail@gym-chers.ira.sch.gr</t>
  </si>
  <si>
    <t xml:space="preserve">ΛΙΜΕΝΑΣ ΧΕΡΣΟΝΗΣΟΥ  </t>
  </si>
  <si>
    <t>ΕΛΕΥΘΕΡΙΑΣ 50</t>
  </si>
  <si>
    <t>1ο ΔΗΜΟΤΙΚΟ ΣΧΟΛΕΙΟ ΛΙΜΕΝΑ ΧΕΡΣΟΝΗΣΟΥ</t>
  </si>
  <si>
    <t>11ο ΗΜΕΡΗΣΙΟ ΓΥΜΝΑΣΙΟ ΗΡΑΚΛΕΙΟΥ</t>
  </si>
  <si>
    <t>mail@11gym-irakl.ira.sch.gr</t>
  </si>
  <si>
    <t>ΗΜΕΡΗΣΙΟ ΓΥΜΝΑΣΙΟ ΒΙΑΝΝΟΥ ΗΡΑΚΛΕΙΟΥ</t>
  </si>
  <si>
    <t>mail@gym-viannou.ira.sch.gr</t>
  </si>
  <si>
    <t>ʼ. Βιάννος</t>
  </si>
  <si>
    <t>2ο ΗΜΕΡΗΣΙΟ ΓΥΜΝΑΣΙΟ ΗΡΑΚΛΕΙΟΥ</t>
  </si>
  <si>
    <t>mail@2gym-irakl.ira.sch.gr</t>
  </si>
  <si>
    <t>ΚΟΝΔΥΛΑΚΗ  32</t>
  </si>
  <si>
    <t>ΗΜΕΡΗΣΙΟ ΓΥΜΝΑΣΙΟ ΠΟΜΠΙΑΣ ΗΡΑΚΛΕΙΟΥ</t>
  </si>
  <si>
    <t>mail@gym-pompias.ira.sch.gr</t>
  </si>
  <si>
    <t>ΠΟΜΠΙΑ Δ ΦΑΙΣΤΟΥ</t>
  </si>
  <si>
    <t>8ο ΗΜΕΡΗΣΙΟ ΓΥΜΝΑΣΙΟ ΗΡΑΚΛΕΙΟΥ</t>
  </si>
  <si>
    <t>mail@8gym-irakl.ira.sch.gr</t>
  </si>
  <si>
    <t>ΓΕΩΡΓΙΟΥ ΜΑΡΑΝΤΗ</t>
  </si>
  <si>
    <t>5ο ΗΜΕΡΗΣΙΟ ΓΥΜΝΑΣΙΟ ΗΡΑΚΛΕΙΟΥ</t>
  </si>
  <si>
    <t>mail@5gym-irakl.ira.sch.gr</t>
  </si>
  <si>
    <t>Ηράκλειο,</t>
  </si>
  <si>
    <t>ΠΑΠΑΠΕΤΡΟΥ ΓΑΒΑΛΑ  64</t>
  </si>
  <si>
    <t>ΘΡΑΨΑΝΟΥ</t>
  </si>
  <si>
    <t>ΗΜΕΡΗΣΙΟ ΓΥΜΝΑΣΙΟ ΘΡΑΨΑΝΟΥ ΗΡΑΚΛΕΙΟΥ</t>
  </si>
  <si>
    <t>mail@gym-thraps.ira.sch.gr</t>
  </si>
  <si>
    <t>ΘΡΑΨΑΝΟ ΗΡΑΚΛΕΙΟΥ</t>
  </si>
  <si>
    <t>ΔΗΜΟΤΙΚΟ ΣΧΟΛΕΙΟ ΘΡΑΨΑΝΟΥ</t>
  </si>
  <si>
    <t>4ο ΗΜΕΡΗΣΙΟ ΓΥΜΝΑΣΙΟ ΗΡΑΚΛΕΙΟΥ</t>
  </si>
  <si>
    <t>mail@4gym-irakl.ira.sch.gr</t>
  </si>
  <si>
    <t>ΖΑΡΟΥ</t>
  </si>
  <si>
    <t>ΗΜΕΡΗΣΙΟ ΓΥΜΝΑΣΙΟ ΖΑΡΟΥ ΗΡΑΚΛΕΙΟΥ</t>
  </si>
  <si>
    <t>mail@gym-zarou.ira.sch.gr</t>
  </si>
  <si>
    <t>ΖΑΡΟΣ</t>
  </si>
  <si>
    <t>ΔΗΜΟΤΙΚΟ ΣΧΟΛΕΙΟ ΖΑΡΟΥ</t>
  </si>
  <si>
    <t>12ο ΗΜΕΡΗΣΙΟ ΓΥΜΝΑΣΙΟ ΗΡΑΚΛΕΙΟΥ</t>
  </si>
  <si>
    <t>mail@12gym-irakl.ira.sch.gr</t>
  </si>
  <si>
    <t>ΕΜΜΑΝΟΥΗΛ ΞΑΝΘΟΥ 29</t>
  </si>
  <si>
    <t>12ο Δημοτικό Σχολείο Ηρακλείου</t>
  </si>
  <si>
    <t>ΕΣΠΕΡΙΝΟ ΓΥΜΝΑΣΙΟ ΗΡΑΚΛΕΙΟΥ</t>
  </si>
  <si>
    <t>mail@gym-esp-irakl.ira.sch.gr</t>
  </si>
  <si>
    <t>Μουσικό Σχολείο ΗρακλείουΓυμνάσιο με Λυκειακές Τάξεις</t>
  </si>
  <si>
    <t>mail@gym-mous-irakl.ira.sch.gr</t>
  </si>
  <si>
    <t>Γούρνες Πεδιάδος</t>
  </si>
  <si>
    <t>Πρώην Αμερικανική Βάση Γουρνών</t>
  </si>
  <si>
    <t>ΗΜΕΡΗΣΙΟ ΓΥΜΝΑΣΙΟ ΑΓΙΑΣ ΒΑΡΒΑΡΑΣ ΗΡΑΚΛΕΙΟΥ</t>
  </si>
  <si>
    <t>mail@gym-ag-varvar.ira.sch.gr</t>
  </si>
  <si>
    <t>ΒΑΓΙΟΝΙΑΣ</t>
  </si>
  <si>
    <t>ΗΜΕΡΗΣΙΟ ΓΥΜΝΑΣΙΟ ΒΑΓΙΟΝΙΑΣ ΗΡΑΚΛΕΙΟΥ</t>
  </si>
  <si>
    <t>mail@gym-vagion.ira.sch.gr</t>
  </si>
  <si>
    <t>ΒΑΓΙΟΝΙΑ ΗΡΑΚΛΕΙΟΥ</t>
  </si>
  <si>
    <t>ΒΑΓΙΟΝΙΑ</t>
  </si>
  <si>
    <t>ΟΛΟΗΜΕΡΟ ΔΗΜΟΤΙΚΟ ΣΧΟΛΕΙΟ ΒΑΓΙΟΝΙΑΣ</t>
  </si>
  <si>
    <t>ΠΑΛΙΑΝΗΣ</t>
  </si>
  <si>
    <t>ΒΕΝΕΡΑΤΟΥ</t>
  </si>
  <si>
    <t>ΗΜΕΡΗΣΙΟ ΓΥΜΝΑΣΙΟ ΒΕΝΕΡΑΤΟΥ</t>
  </si>
  <si>
    <t>mail@gym-vener.ira.sch.gr</t>
  </si>
  <si>
    <t>ΒΕΝΕΡΑΤΟ ΔΗΜΟΣ ΗΡΑΚΛΕΙΟΥ</t>
  </si>
  <si>
    <t>ΒΕΝΕΡΑΤΟ</t>
  </si>
  <si>
    <t>ΔΗΜΟΤΙΚΟ ΣΧΟΛΕΙΟ ΒΕΝΕΡΑΤΟΥ</t>
  </si>
  <si>
    <t>ΤΥΛΙΣΟΥ</t>
  </si>
  <si>
    <t>ΗΜΕΡΗΣΙΟ ΓΥΜΝΑΣΙΟ ΤΥΛΙΣΟΥ "ΙΩΑΝΝΗΣ ΠΕΡΔΙΚΑΡΗΣ"</t>
  </si>
  <si>
    <t>mail@gym-tylis.ira.sch.gr</t>
  </si>
  <si>
    <t>ΤΥΛΙΣΟΣ</t>
  </si>
  <si>
    <t>Δημοτικό Σχολείο Τυλίσου</t>
  </si>
  <si>
    <t>ΗΜΕΡΗΣΙΟ ΓΥΜΝΑΣΙΟ ΚΑΣΤΕΛΛΙΟΥ ΠΕΔΙΑΔΟΣ ΗΡΑΚΛΕΙΟΥ</t>
  </si>
  <si>
    <t>mail@gym-kastell.ira.sch.gr</t>
  </si>
  <si>
    <t>ΚΑΣΤΕΛΛΙΟΥ ΠΕΔΙΑΔΟΣ ΗΡΑΚΛΕΙΟΥ</t>
  </si>
  <si>
    <t>ΚΑΣΤΕΛΛΙ ΠΕΔΙΑΔΟΣ ΗΡΑΚΛΕΙΟΥ</t>
  </si>
  <si>
    <t>ΚΑΣΤΕΛΛΙ ΠΕΔΙΑΔΟΣ</t>
  </si>
  <si>
    <t>ΗΜΕΡΗΣΙΟ ΓΥΜΝΑΣΙΟ ΠΥΡΓΟΥ ΜΟΝΟΦΑΤΣΙΟΥ</t>
  </si>
  <si>
    <t>mail@gym-pyrgou.ira.sch.gr</t>
  </si>
  <si>
    <t>ΠΥΡΓΟΣ ΜΟΝΟΦΑΤΣΙΟΥ</t>
  </si>
  <si>
    <t>ΗΜΕΡΗΣΙΟ ΓΥΜΝΑΣΙΟ ΑΡΚΑΛΟΧΩΡΙΟΥ ΗΡΑΚΛΕΙΟΥ</t>
  </si>
  <si>
    <t>mail@gym-arkal.ira.sch.gr</t>
  </si>
  <si>
    <t>ΜΠΕΛΙΒΑΣΑΚΗ 6</t>
  </si>
  <si>
    <t>ΗΜΕΡΗΣΙΟ ΓΥΜΝΑΣΙΟ ΜΕΛΕΣΩΝ ΗΡΑΚΛΕΙΟΥ - ΜΑΛΙΩΤΕΙΟ ΕΚΠΑΙΔΕΥΤΗΡΙΟ</t>
  </si>
  <si>
    <t>mail@gym-meles.ira.sch.gr</t>
  </si>
  <si>
    <t>ΜΕΛΕΣΕΣ ΗΡΑΚΛΕΙΟΥ</t>
  </si>
  <si>
    <t>7ο ΓΥΜΝΑΣΙΟ ΗΡΑΚΛΕΙΟΥ</t>
  </si>
  <si>
    <t>mail@7gym-irakl.ira.sch.gr</t>
  </si>
  <si>
    <t>Φάνη Κλεάνθη 4</t>
  </si>
  <si>
    <t>9ο ΗΜΕΡΗΣΙΟ ΓΥΜΝΑΣΙΟ ΗΡΑΚΛΕΙΟΥ</t>
  </si>
  <si>
    <t>mail@9gym-irakl.ira.sch.gr</t>
  </si>
  <si>
    <t>1ο ΗΜΕΡΗΣΙΟ ΕΠΑΛ ΜΟΙΡΩΝ</t>
  </si>
  <si>
    <t>mail@1epal-moiron.ira.sch.gr</t>
  </si>
  <si>
    <t>ΜΟΙΡΕΣ ΗΡΑΚΛΕΙΟΥ</t>
  </si>
  <si>
    <t>ΗΜΕΡΗΣΙΟ ΓΥΜΝΑΣΙΟ ΜΟΙΡΩΝ</t>
  </si>
  <si>
    <t>mail@gym-moiron.ira.sch.gr</t>
  </si>
  <si>
    <t>ΜΟΙΡΕΣ</t>
  </si>
  <si>
    <t>ΜΟΙΡΕΣ Δ. ΦΑΙΣΤΟΥ</t>
  </si>
  <si>
    <t>10ο ΗΜΕΡΗΣΙΟ ΓΥΜΝΑΣΙΟ ΗΡΑΚΛΕΙΟΥ</t>
  </si>
  <si>
    <t>mail@10gym-irakl.ira.sch.gr</t>
  </si>
  <si>
    <t>ΗΡΑΚΛΕΙΟ ΚΡΗΤΗΣ</t>
  </si>
  <si>
    <t>ΜΕΝΕΛΑΟΥ 4-6</t>
  </si>
  <si>
    <t>34ο ΟΛΟΗΜΕΡΟ ΔΗΜΟΤΙΚΟ ΣΧΟΛΕΙΟ ΗΡΑΚΛΕΙΟΥ</t>
  </si>
  <si>
    <t>ΓΥΜΝΑΣΙΟ ΕΠΙΣΚΟΠΗΣ ΗΡΑΚΛΕΙΟΥ</t>
  </si>
  <si>
    <t>mail@gym-episk.ira.sch.gr</t>
  </si>
  <si>
    <t>ΕΠΙΣΚΟΠΗ ΠΕΔΙΑΔΟΣ ΗΡΑΚΛΕΙΟΥ</t>
  </si>
  <si>
    <t>ΕΙΔΙΚΟ ΓΥΜΝΑΣΙΟ ΗΡΑΚΛΕΙΟΥ</t>
  </si>
  <si>
    <t>mail@gym-eid-irakl.ira.sch.gr</t>
  </si>
  <si>
    <t>6ο ΗΜΕΡΗΣΙΟ ΓΥΜΝΑΣΙΟ ΗΡΑΚΛΕΙΟΥ</t>
  </si>
  <si>
    <t>mail@6gym-irakl.ira.sch.gr</t>
  </si>
  <si>
    <t>ΔΟΥΚΟΣ ΜΠΟΦΩΡ 19</t>
  </si>
  <si>
    <t>6ο Δημοτικό Σχολείο Ηρακλείου</t>
  </si>
  <si>
    <t>ΗΜΕΡΗΣΙΟ ΓΥΜΝΑΣΙΟ ΑΓΙΩΝ ΔΕΚΑ ΗΡΑΚΛΕΙΟΥ</t>
  </si>
  <si>
    <t>mail@gym-ag-deka.ira.sch.gr</t>
  </si>
  <si>
    <t>ΑΓΙΟΙ ΔΕΚΑ ΗΡΑΚΛΕΙΟΥ</t>
  </si>
  <si>
    <t>ΑΓ.ΔΕΚΑ ΗΡΑΚΛΕΙΟΥ</t>
  </si>
  <si>
    <t>ΗΜΕΡΗΣΙΟ ΓΕΝΙΚΟ ΛΥΚΕΙΟ ΛΙΜΕΝΑ ΧΕΡΣΟΝΗΣΟΥ</t>
  </si>
  <si>
    <t>mail@lyk-limen.ira.sch.gr</t>
  </si>
  <si>
    <t>ΛΙΜΕΝΑΣ ΧΕΡΣΟΝΗΣΟΥ</t>
  </si>
  <si>
    <t>ΕΕΕΕΚ ΗΡΑΚΛΕΙΟ - ΕΕΕΕΚ ΗΡΑΚΛΕΙΟΥ</t>
  </si>
  <si>
    <t>mail@eeeek.ira.sch.gr</t>
  </si>
  <si>
    <t>ΑΝΘΗΡΟΥ 1, ΑΓΙΟΣ ΙΩΑΝΝΗΣ ΧΩΣΤΟΣ</t>
  </si>
  <si>
    <t>Γυμνάσιο Ευρωπαϊκής Παιδείας με Λυκειακές Τάξεις</t>
  </si>
  <si>
    <t>ΓΥΜΝΑΣΙΟ ΕΥΡΩΠΑΪΚΗΣ ΠΑΙΔΕΙΑΣ ΗΡΑΚΛΕΙΟΥ</t>
  </si>
  <si>
    <t>mail@gym-eur-edu.ira.sch.gr</t>
  </si>
  <si>
    <t>ΣΑΒΒΑΘΙΑΝΩΝ ΚΑΙ ΝΙΩΤΗ 8</t>
  </si>
  <si>
    <t>2ο ΟΛΟΗΜΕΡΟ ΔΗΜΟΤΙΚΟ ΣΧΟΛΕΙΟ ΗΡΑΚΛΕΙΟΥ - ΜΠΟΔΟΣΑΚΕΙΟ</t>
  </si>
  <si>
    <t>ΕΝΙΑΙΟ ΕΙΔΙΚΟ ΕΠΑΓΓΕΛΜΑΤΙΚΟ ΓΥΜΝΑΣΙΟ ΚΑΙ ΛΥΚΕΙΟ ΗΡΑΚΛΕΙΟΥ</t>
  </si>
  <si>
    <t>mail@epal-eid-agogis-irak.ira.sch.gr</t>
  </si>
  <si>
    <t>ΑΝΘΗΡΟΥ ΑΓΙΟΣ ΙΩΑΝΝΗΣ ΧΩΣΤΟΣ</t>
  </si>
  <si>
    <t>15ο ΟΛΟΗΜΕΡΟ ΔΗΜΟΤΙΚΟ ΣΧΟΛΕΙΟ ΗΡΑΚΛΕΙΟΥ</t>
  </si>
  <si>
    <t>ΕΣΠΕΡΙΝΟ ΓΥΜΝΑΣΙΟ ΤΥΜΠΑΚΙΟΥ ΜΕ Α , Β , Γ  ΛΥΚΕΙΑΚΕΣ ΤΑΞΕΙΣ</t>
  </si>
  <si>
    <t>mail@gym-esp-tympak.ira.sch.gr</t>
  </si>
  <si>
    <t>ΔΗΜΟΥ ΦΑΙΣΤΟΥ</t>
  </si>
  <si>
    <t>ΕΕΕΕΚ ΤΥΜΠΑΚΙ - ΕΕΕΕΚ ΤΥΜΠΑΚΙΟΥ</t>
  </si>
  <si>
    <t>mail@eeeek-tympak.ira.sch.gr</t>
  </si>
  <si>
    <t>2ο ΔΗΜΟΤΙΚΟ ΣΧΟΛΕΙΟ ΤΥΜΠΑΚΙΟΥ</t>
  </si>
  <si>
    <t>6ο ΗΜΕΡΗΣΙΟ ΓΕΝΙΚΟ ΛΥΚΕΙΟ ΗΡΑΚΛΕΙΟΥ</t>
  </si>
  <si>
    <t>mail@6lyk-irakl.ira.sch.gr</t>
  </si>
  <si>
    <t>ΕΜΜ. ΞΑΝΘΟΥ 29</t>
  </si>
  <si>
    <t>ΔΙΕΥΘΥΝΣΗ Δ.Ε. ΛΑΣΙΘΙΟΥ</t>
  </si>
  <si>
    <t>ΣΗΤΕΙΑΣ</t>
  </si>
  <si>
    <t>1ο ΗΜΕΡΗΣΙΟ ΓΥΜΝΑΣΙΟ ΣΗΤΕΙΑΣ ΛΑΣΙΘΙΟΥ</t>
  </si>
  <si>
    <t>mail@1gym-siteias.las.sch.gr</t>
  </si>
  <si>
    <t>ΣΗΤΕΙΑΣ ΛΑΣΙΘΙΟΥ</t>
  </si>
  <si>
    <t>ΘΕΟΤΟΚΟΠΟΥΛΟΥ 2</t>
  </si>
  <si>
    <t>2ο ΔΗΜΟΤΙΚΟ ΣΧΟΛΕΙΟ ΣΗΤΕΙΑΣ</t>
  </si>
  <si>
    <t>ΧΑΝΔΡΑ</t>
  </si>
  <si>
    <t>ΗΜΕΡΗΣΙΟ ΓΥΜΝΑΣΙΟ ΧΑΝΔΡΑ ΛΑΣΙΘΙΟΥ</t>
  </si>
  <si>
    <t>mail@gym-chandr.las.sch.gr</t>
  </si>
  <si>
    <t>ΧΑΝΔΡΑΣ ΛΑΣΙΘΙΟΥ</t>
  </si>
  <si>
    <t>ΧΑΝΔΡΑΣ ΣΗΤΕΙΑΣ</t>
  </si>
  <si>
    <t>ΔΗΜΟΤΙΚΟ ΣΧΟΛΕΙΟ ΑΡΜΕΝΟΙ ΣΗΤΕΙΑΣ</t>
  </si>
  <si>
    <t>ΙΕΡΑΠΕΤΡΑΣ</t>
  </si>
  <si>
    <t>ΜΑΚΡΥ ΓΙΑΛΟΥ</t>
  </si>
  <si>
    <t>ΓΥΜΝΑΣΙΟ ΚΟΥΤΣΟΥΡΑ</t>
  </si>
  <si>
    <t>mail@gym-kouts.las.sch.gr</t>
  </si>
  <si>
    <t xml:space="preserve"> ΛΑΣΙΘΙΟΥ</t>
  </si>
  <si>
    <t>ΚΟΥΤΣΟΥΡΑΣ</t>
  </si>
  <si>
    <t>ΔΗΜΟΤΙΚΟ ΣΧΟΛΕΙΟ ΚΟΥΤΣΟΥΡΑ</t>
  </si>
  <si>
    <t>ΟΡΟΠΕΔΙΟΥ ΛΑΣΙΘΙΟΥ</t>
  </si>
  <si>
    <t>ΤΖΕΡΜΙΑΔΟΥ</t>
  </si>
  <si>
    <t>ΓΕΝΙΚΟ ΛΥΚΕΙΟ ΤΖΕΡΜΙΑΔΩΝ ΛΑΣΙΘΙΟΥ</t>
  </si>
  <si>
    <t>mail@1lyk-tzerm.las.sch.gr</t>
  </si>
  <si>
    <t>ΤΖΕΡΜΙΑΔΩΝ ΛΑΣΙΘΙΟΥ</t>
  </si>
  <si>
    <t>ΔΗΜ. ΣΧΟΛΕΙΟ ΑΓΙΟΥ ΓΕΩΡΓΙΟΥ</t>
  </si>
  <si>
    <t>ΗΜΕΡΗΣΙΟ ΓΥΜΝΑΣΙΟ ΝΕΑΠΟΛΕΩΣ ΛΑΣΙΘΙΟΥ</t>
  </si>
  <si>
    <t>mail@gym-neapol.las.sch.gr</t>
  </si>
  <si>
    <t>ΝΕΑΠΟΛΕΩΣ ΛΑΣΙΘΙΟΥ</t>
  </si>
  <si>
    <t>ΠΛ. ΕΛΕΥΘΕΡΙΟΥ ΒΕΝΙΖΕΛΟΥ</t>
  </si>
  <si>
    <t>1ο ΔΗΜΟΤΙΚΟ ΣΧΟΛΕΙΟ ΝΕΑΠΟΛΗΣ</t>
  </si>
  <si>
    <t>2ο ΗΜΕΡΗΣΙΟ ΓΕΝΙΚΟ ΛΥΚΕΙΟ ΙΕΡΑΠΕΤΡΑΣ ΛΑΣΙΘΙΟΥ</t>
  </si>
  <si>
    <t>mail@2lyk-ierap.las.sch.gr</t>
  </si>
  <si>
    <t>ΙΕΡΑΠΕΤΡΑ ΛΑΣΙΘΙΟΥ</t>
  </si>
  <si>
    <t>ΟΔ. ΕΛΥΤΗ ΚΑΙ Ι.Θ.ΚΑΚΡΙΔΗ</t>
  </si>
  <si>
    <t>2ο ΔΗΜΟΤΙΚΟ ΣΧΟΛΕΙΟ ΙΕΡΑΠΕΤΡΑΣ</t>
  </si>
  <si>
    <t>ΗΜΕΡΗΣΙΟ ΓΕΝΙΚΟ ΛΥΚΕΙΟ ΣΗΤΕΙΑΣ ΛΑΣΙΘΙΟΥ</t>
  </si>
  <si>
    <t>mail@1lyk-siteias.las.sch.gr</t>
  </si>
  <si>
    <t>ΠΙΣΚΟΚΕΦΑΛΟΥ ΣΗΤΕΙΑΣ</t>
  </si>
  <si>
    <t>4ο ΔΗΜΟΤΙΚΟ ΣΧΟΛΕΙΟ ΣΗΤΕΙΑΣ</t>
  </si>
  <si>
    <t>1ο ΗΜΕΡΗΣΙΟ ΕΠΑΛ ΑΓΙΟΥ ΝΙΚΟΛΑΟΥ</t>
  </si>
  <si>
    <t>mail@1epal-ag-nikol.las.sch.gr</t>
  </si>
  <si>
    <t>ΜΑΡΙΑΣ ΑΜΑΡΙΩΤΟΥ  ΚΑΙ ΓΝΩΣΕΩΣ ΞΗΡΟΚΑΜΠΟΣ</t>
  </si>
  <si>
    <t>4ο ΔΗΜΟΤΙΚΟ ΣΧΟΛΕΙΟ ΑΓΙΟΥ ΝΙΚΟΛΑΟΥ</t>
  </si>
  <si>
    <t>1ο ΗΜΕΡΗΣΙΟ ΓΕΝΙΚΟ ΛΥΚΕΙΟ ΙΕΡΑΠΕΤΡΑΣ ΛΑΣΙΘΙΟΥ</t>
  </si>
  <si>
    <t>mail@1lyk-ierap.las.sch.gr</t>
  </si>
  <si>
    <t>Ι.Θ. ΚΑΚΡΙΔΗ 4</t>
  </si>
  <si>
    <t>ΗΜΕΡΗΣΙΟ ΓΕΝΙΚΟ ΛΥΚΕΙΟ ΝΕΑΠΟΛΕΩΣ ΛΑΣΙΘΙΟΥ</t>
  </si>
  <si>
    <t>mail@1lyk-neapol.las.sch.gr</t>
  </si>
  <si>
    <t>ΝΕΑΠΟΛΗ ΛΑΣΙΘΙΟΥ</t>
  </si>
  <si>
    <t>ΠΛΑΤΕΙΑ ΕΛ. ΒΕΝΙΖΕΛΟΥ</t>
  </si>
  <si>
    <t>1ο ΗΜΕΡΗΣΙΟ ΓΕΝΙΚΟ ΛΥΚΕΙΟ ΑΓΙΟΥ ΝΙΚΟΛΑΟΥ ΛΑΣΙΘΙΟΥ</t>
  </si>
  <si>
    <t>mail@1lyk-ag-nikol.las.sch.gr</t>
  </si>
  <si>
    <t>ΑΓΙΟΣ ΝΙΚΟΛΑΟΣ ΛΑΣΙΘΙΟΥ</t>
  </si>
  <si>
    <t>Ελ. Πλατάκη 17 - 19, ΞΗΡΟΚΑΜΠΟΣ</t>
  </si>
  <si>
    <t>1ο ΗΜΕΡΗΣΙΟ ΕΠΑΛ ΣΗΤΕΙΑΣ</t>
  </si>
  <si>
    <t>mail@1epal-siteias.las.sch.gr</t>
  </si>
  <si>
    <t>ΣΗΤΕΙΑ</t>
  </si>
  <si>
    <t>ΕΠΑΡ. ΟΔΟΣ ΣΗΤΕΙΑΣ-ΠΙΣΚΟΚΕΦΑΛΟΥ</t>
  </si>
  <si>
    <t>ΗΜΕΡΗΣΙΟ ΓΥΜΝΑΣΙΟ ΤΖΕΡΜΙΑΔΩΝ ΛΑΣΙΘΙΟΥ - ΓΥΜΝΑΣΙΟ ΤΖΕΡΜΙΑΔΩΝ</t>
  </si>
  <si>
    <t>mail@gym-tzerm.las.sch.gr</t>
  </si>
  <si>
    <t>ΟΡΟΠΕΔΙΟ ΛΑΣΙΘΙΟΥ</t>
  </si>
  <si>
    <t>ΤΖΕΡΜΙΑΔΩΝ ΟΡΟΠΕΔΙΟΥ ΛΑΣΙΘΙΟΥ</t>
  </si>
  <si>
    <t>ΙΤΑΝΟΥ</t>
  </si>
  <si>
    <t>ΠΑΛΑΙΚΑΣΤΡΟΥ</t>
  </si>
  <si>
    <t>ΗΜΕΡΗΣΙΟ ΓΥΜΝΑΣΙΟ ΠΑΛΑΙΚΑΣΤΡΟΥ ΛΑΣΙΘΙΟΥ - ΓΥΜΝΑΣΙΟ ΠΑΛΑΙΚΑΣΤΡΟΥ</t>
  </si>
  <si>
    <t>mail@gym-palaik.las.sch.gr</t>
  </si>
  <si>
    <t>ΠΑΛΑΙΚΑΣΤΡΟΥ ΛΑΣΙΘΙΟΥ ΚΡΗΤΗ</t>
  </si>
  <si>
    <t>ΠΑΛΑΙΚΑΣΤΡΟ ΛΑΣΙΘΙΟΥ</t>
  </si>
  <si>
    <t>ΔΗΜΟΤΙΚΟ ΣΧΟΛΕΙΟ ΠΑΛΑΙΚΑΣΤΡΟΥ</t>
  </si>
  <si>
    <t>1ο ΗΜΕΡΗΣΙΟ ΕΠΑΛ ΙΕΡΑΠΕΤΡΑΣ</t>
  </si>
  <si>
    <t>mail@1epal-ierap.las.sch.gr</t>
  </si>
  <si>
    <t>ΙΕΡΑΠΕΤΡΑ</t>
  </si>
  <si>
    <t>ΕΜΜ. ΛΑΜΠΡΑΚΗ 8</t>
  </si>
  <si>
    <t>3ο ΔΗΜΟΤΙΚΟ ΣΧΟΛΕΙΟ ΙΕΡΑΠΕΤΡΑΣ</t>
  </si>
  <si>
    <t>1ο ΗΜΕΡΗΣΙΟ ΓΥΜΝΑΣΙΟ ΙΕΡΑΠΕΤΡΑΣ ΛΑΣΙΘΙΟΥ</t>
  </si>
  <si>
    <t>mail@1gym-ierap.las.sch.gr</t>
  </si>
  <si>
    <t>ΓΡΗΓΟΡΙΟΥ ΜΟΥΤΣΑΚΗ 5</t>
  </si>
  <si>
    <t>2ο ΗΜΕΡΗΣΙΟ ΓΥΜΝΑΣΙΟ ΙΕΡΑΠΕΤΡΑΣ ΛΑΣΙΘΙΟΥ</t>
  </si>
  <si>
    <t>mail@2gym-ierap.las.sch.gr</t>
  </si>
  <si>
    <t>ΚΩΝ. ΚΑΝΑΡΗ 2</t>
  </si>
  <si>
    <t>ΔΗΜΟΤΙΚΟ ΣΧΟΛΕΙΟ ΚΑΤΩ ΧΩΡΙΟΥ</t>
  </si>
  <si>
    <t>ΚΡΙΤΣΑΣ</t>
  </si>
  <si>
    <t>ΗΜΕΡΗΣΙΟ ΓΥΜΝΑΣΙΟ ΚΡΙΤΣΑΣ ΛΑΣΙΘΙΟΥ</t>
  </si>
  <si>
    <t>mail@gym-krits.las.sch.gr</t>
  </si>
  <si>
    <t>ΚΡΙΤΣΑ ΛΑΣΙΘΙΟΥ</t>
  </si>
  <si>
    <t>Γ. ΠΕΔΙΑΔΙΤΗ 1</t>
  </si>
  <si>
    <t>ΔΗΜΟΤΙΚΟ ΣΧΟΛΕΙΟ ΚΡΙΤΣΑΣ</t>
  </si>
  <si>
    <t>2ο ΗΜΕΡΗΣΙΟ ΓΥΜΝΑΣΙΟ ΑΓΙΟΥ ΝΙΚΟΛΑΟΥ ΛΑΣΙΘΙΟΥ</t>
  </si>
  <si>
    <t>mail@2gym-ag-nikol.las.sch.gr</t>
  </si>
  <si>
    <t>ΞΗΡΟΚΑΜΠΟΣ</t>
  </si>
  <si>
    <t>ΕΕΕΕΚ ΙΕΡΑΠΕΤΡΑΣ - Ε.Ε.Ε.ΕΚ. ΙΕΡΑΠΕΤΡΑΣ</t>
  </si>
  <si>
    <t>mail@eeeek.las.sch.gr</t>
  </si>
  <si>
    <t>Κ. ΚΑΒΑΦΗ 4</t>
  </si>
  <si>
    <t>2ο ΗΜΕΡΗΣΙΟ ΓΥΜΝΑΣΙΟ ΣΗΤΕΙΑΣ ΛΑΣΙΘΙΟΥ</t>
  </si>
  <si>
    <t>mail@2gym-siteias.las.sch.gr</t>
  </si>
  <si>
    <t>Σητεία</t>
  </si>
  <si>
    <t>Θεοτοκοπούλου 2</t>
  </si>
  <si>
    <t>1ο ΗΜΕΡΗΣΙΟ ΓΥΜΝΑΣΙΟ ΑΓΙΟΥ ΝΙΚΟΛΑΟΥ ΛΑΣΙΘΙΟΥ</t>
  </si>
  <si>
    <t>mail@1gym-ag-nikol.las.sch.gr</t>
  </si>
  <si>
    <t>ΦΑΙΣΤΟΥ ΚΑΙ ΓΟΥΡΝΙΩΝ 2</t>
  </si>
  <si>
    <t>1ο ΔΗΜΟΤΙΚΟ ΣΧΟΛΕΙΟ ΑΓΙΟΥ ΝΙΚΟΛΑΟΥ</t>
  </si>
  <si>
    <t>3ο ΗΜΕΡΗΣΙΟ ΓΥΜΝΑΣΙΟ ΙΕΡΑΠΕΤΡΑΣ ΛΑΣΙΘΙΟΥ</t>
  </si>
  <si>
    <t>mail@3gym-ierap.las.sch.gr</t>
  </si>
  <si>
    <t>ΙΕΡΑΠΕΤΡΑΣ ΛΑΣΙΘΙΟΥ</t>
  </si>
  <si>
    <t>ΕΜΜΑΝΟΥΗΛ ΛΑΜΠΡΑΚΗ 8</t>
  </si>
  <si>
    <t>ΤΟΥΡΛΩΤΗΣ</t>
  </si>
  <si>
    <t>ΗΜΕΡΗΣΙΟ ΓΥΜΝΑΣΙΟ ΤΟΥΡΛΩΤΗΣ ΛΑΣΙΘΙΟΥ</t>
  </si>
  <si>
    <t>mail@gym-tourl.las.sch.gr</t>
  </si>
  <si>
    <t>ΤΟΥΡΛΩΤΗ ΛΑΣΙΘΙΟΥ</t>
  </si>
  <si>
    <t>ΤΟΥΡΛΩΤΗ ΣΗΤΕΙΑΣ</t>
  </si>
  <si>
    <t>ΔΗΜΟΤΙΚΟ ΣΧΟΛΕΙΟ ΣΦΑΚΑΣ</t>
  </si>
  <si>
    <t>1ο ΗΜΕΡΗΣΙΟ ΕΠΑΛ ΝΕΑΠΟΛΗ ΛΑΣΗΘΙΟΥ</t>
  </si>
  <si>
    <t>mail@1epal-neapol.las.sch.gr</t>
  </si>
  <si>
    <t>ΝΕΑΠΟΛΗ ΛΑΣΗΘΙΟΥ</t>
  </si>
  <si>
    <t>ΙΩΑΝΝΟΥ ΣΕΡΓΑΚΗ 65</t>
  </si>
  <si>
    <t>2ο ΔΗΜΟΤΙΚΟ ΣΧΟΛΕΙΟ ΝΕΑΠΟΛΗΣ ΛΑΣΙΘΙΟΥ</t>
  </si>
  <si>
    <t>ΕΕΕΕΚ ΑΓΙΟΣ ΝΙΚΟΛΑΟΣ</t>
  </si>
  <si>
    <t>mail@eeeek-ag-nikol.las.sch.gr</t>
  </si>
  <si>
    <t>ΕΣΠΕΡΙΝΟ ΕΠΑ.Λ ΙΕΡΑΠΕΤΡΑΣ</t>
  </si>
  <si>
    <t>mail@3epal-esp-ierap.las.sch.gr</t>
  </si>
  <si>
    <t>ΕΜ.ΛΑΜΠΡΑΚΗ 8</t>
  </si>
  <si>
    <t>ΕΕΕΕΚ ΣΗΤΕΙΑ</t>
  </si>
  <si>
    <t>mail@eeeek-siteias.las.sch.gr</t>
  </si>
  <si>
    <t>ΕΡΓΑΤΙΚΕΣ ΚΑΤΟΙΚΙΕΣ Α 49</t>
  </si>
  <si>
    <t>1ο ΔΗΜΟΤΙΚΟ ΣΧΟΛΕΙΟ ΣΗΤΕΙΑΣ</t>
  </si>
  <si>
    <t>ΓΕΝΙΚΟ ΛΥΚΕΙΟ ΜΑΚΡΥ ΓΙΑΛΟΥ</t>
  </si>
  <si>
    <t>mail@lyk-mak-gialou.las.sch.gr</t>
  </si>
  <si>
    <t>2ο ΓΕΝΙΚΟ ΛΥΚΕΙΟ ΑΓΙΟΥ ΝΙΚΟΛΑΟΥ</t>
  </si>
  <si>
    <t>mail@2lyk-ag-nikol.las.sch.gr</t>
  </si>
  <si>
    <t>ΕΣΠΕΡΙΝΟ ΓΕΝΙΚΟ ΛΥΚΕΙΟ ΣΗΤΕΙΑΣ</t>
  </si>
  <si>
    <t>mail@lyk-esp-siteias.las.sch.gr</t>
  </si>
  <si>
    <t>1ο χλμ ΣΗΤΕΙΑΣ-ΠΙΣΚΟΚΕΦΑΛΟΥ</t>
  </si>
  <si>
    <t>3ο ΗΜΕΡΗΣΙΟ ΓΥΜΝΑΣΙΟ ΑΓΙΟΥ ΝΙΚΟΛΑΟΥ</t>
  </si>
  <si>
    <t>mail@3gym-ag-nikol.las.sch.gr</t>
  </si>
  <si>
    <t>ΣΧΟΛ.ΣΥΓΚΡΟΤΗΜΑ ΞΗΡΟΚΑΜΠΟΥ</t>
  </si>
  <si>
    <t>ΚΑΒΟΥΣΙΟΥ</t>
  </si>
  <si>
    <t>ΜΟΥΣΙΚΟ ΓΥΜΝΑΣΙΟ ΛΑΣΙΘΙΟΥ</t>
  </si>
  <si>
    <t>mail@gym-mous-lasith.las.sch.gr</t>
  </si>
  <si>
    <t>ΚΑΒΟΥΣΙ ΛΑΣΙΘΙΟΥ</t>
  </si>
  <si>
    <t>ΔΙΕΥΘΥΝΣΗ Δ.Ε. ΡΕΘΥΜΝΟΥ</t>
  </si>
  <si>
    <t>ΓΕΡΟΠΟΤΑΜΟΥ</t>
  </si>
  <si>
    <t>ΗΜΕΡΗΣΙΟ ΓΕΝΙΚΟ ΛΥΚΕΙΟ ΠΕΡΑΜΑΤΟΣ ΜΥΛΟΠΟΤΑΜΟΥ ΡΕΘΥΜΝΟΥ</t>
  </si>
  <si>
    <t>mail@lyk-peram.reth.sch.gr</t>
  </si>
  <si>
    <t>ΠΕΡΑΜΑ ΜΥΛΟΠΟΤΑΜΟΥ ΡΕΘΥΜΝΟΥ</t>
  </si>
  <si>
    <t>ΠΕΡΑΜΑ ΜΥΛΟΠΟΤΑΜΟΥ ΡΕΘΥΜΝΗΣ</t>
  </si>
  <si>
    <t>1ο  ΔΗΜΟΤΙΚΟ ΣΧΟΛΕΙΟ ΠΕΡΑΜΑΤΟΣ ΡΕΘΥΜΝΗΣ</t>
  </si>
  <si>
    <t>ΕΚ ΡΕΘΥΜΝΟΥ</t>
  </si>
  <si>
    <t>mail@1sek-rethymn.reth.sch.gr</t>
  </si>
  <si>
    <t>Ε.ΔΑΣΚΑΛΑΚΗ 3</t>
  </si>
  <si>
    <t>8ο ΟΛΟΗΜΕΡΟ ΔΗΜΟΤΙΚΟ ΣΧΟΛΕΙΟ ΡΕΘΥΜΝΟΥ - ΟΓΔΟΟ ΔΩΔΕΚΑΘΕΣΙΟ ΟΛΟΗΜΕΡΟ ΔΗΜΟΤΙΚΟ ΣΧΟΛΕΙΟ ΡΕΘΥΜΝΟΥ</t>
  </si>
  <si>
    <t>ΕΣΠΕΡΙΝΟ ΓΕΝΙΚΟ ΛΥΚΕΙΟ ΡΕΘΥΜΝΟ - ΛΥΚΕΙΟ ΡΕΘΥΜΝΟΥ ΕΣΠΕΡ</t>
  </si>
  <si>
    <t>mail@lyk-esp-rethymn.reth.sch.gr</t>
  </si>
  <si>
    <t>ΜΙΣΙΡΙΑ</t>
  </si>
  <si>
    <t>9ο 12/ΘΕΣΙΟ ΟΛΟΗΜΕΡΟ ΔΗΜΟΤΙΚΟ ΣΧΟΛΕΙΟ ΡΕΘΥΜΝΟΥ</t>
  </si>
  <si>
    <t>ΑΝΩΓΕΙΩΝ</t>
  </si>
  <si>
    <t>ΣΤΑΥΡΑΚΕΙΟ ΓΕΝΙΚΟ ΛΥΚΕΙΟ ΑΝΩΓΕΙΩΝ</t>
  </si>
  <si>
    <t>mail@lyk-anogeion.reth.sch.gr</t>
  </si>
  <si>
    <t>ΑΝΩΓΕΙΩΝ ΡΕΘΥΜΝΟΥ</t>
  </si>
  <si>
    <t>ΑΝΩΓΕΙΑ ΜΥΛΟΠΟΤΑΜΟΥ</t>
  </si>
  <si>
    <t>1ο ΔΗΜΟΤΙΚΟ ΣΧΟΛΕΙΟ ΑΝΩΓΕΙΩΝ</t>
  </si>
  <si>
    <t>ΛΑΜΠΗΣ</t>
  </si>
  <si>
    <t>ΣΠΗΛΙΟΥ</t>
  </si>
  <si>
    <t>ΗΜΕΡΗΣΙΟ ΓΕΝΙΚΟ ΛΥΚΕΙΟ ΣΠΗΛΙΟΥ ΡΕΘΥΜΝΟΥ</t>
  </si>
  <si>
    <t>mail@lyk-spiliou.reth.sch.gr</t>
  </si>
  <si>
    <t>ΣΠΗΛΙ ΡΕΘΥΜΝΟΥ</t>
  </si>
  <si>
    <t>ΣΠΗΛΙ ΑΓ. ΒΑΣΙΛΕΙΟΥ ΡΕΘΥΜΝΟΥ</t>
  </si>
  <si>
    <t>ΟΛΟΗΜΕΡΟ ΔΗΜΟΤΙΚΟ ΣΧΟΛΕΙΟ ΣΠΗΛΙ - ΟΚΤΑΘΕΣΙΟ ΟΛΟΗΜΕΡΟ ΔΗΜΟΤΙΚΟ ΣΧΟΛΕΙΟ ΣΠΗΛΙΟΥ</t>
  </si>
  <si>
    <t>ΠΕΙΡΑΜΑΤΙΚΟ ΓΕ.Λ. ΡΕΘΥΜΝΟΥ ΠΑΝΕΠΙΣΤΗΜΙΟΥ ΚΡΗΤΗΣ</t>
  </si>
  <si>
    <t>lykaei@sch.gr</t>
  </si>
  <si>
    <t>ΜΑΡΚΕΛΟΥ &amp; ΣΑΘΑ</t>
  </si>
  <si>
    <t>2ο ΔΩΔΕΚΑΘΕΣΙΟ ΟΛΟΗΜΕΡΟ ΔΗΜΟΤΙΚΟ ΣΧΟΛΕΙΟ ΡΕΘΥΜΝΟΥ</t>
  </si>
  <si>
    <t>2ο ΗΜΕΡΗΣΙΟ ΓΕΝΙΚΟ ΛΥΚΕΙΟ ΡΕΘΥΜΝΟΥ -  ΠΑΝΤΕΛΗΣ ΠΡΕΒΕΛΑΚΗΣ</t>
  </si>
  <si>
    <t>2lykreth@sch.gr</t>
  </si>
  <si>
    <t>ΑΣΚΟΥΤΣΗ 62</t>
  </si>
  <si>
    <t>5ο ΟΛΟΗΜΕΡΟ ΔΗΜΟΤΙΚΟ ΣΧΟΛΕΙΟ ΡΕΘΥΜΝΟΥ - ΠΕΜΠΤΟ ΔΩΔΕΚΑΘΕΣΙΟ ΟΛΟΗΜΕΡΟ ΔΗΜΟΤΙΚΟ ΣΧΟΛΕΙΟ ΡΕΘΥΜΝΟΥ</t>
  </si>
  <si>
    <t>ΑΜΑΡΙΟΥ</t>
  </si>
  <si>
    <t>ΚΟΥΡΗΤΩΝ</t>
  </si>
  <si>
    <t>ΦΟΥΡΦΟΥΡΑ</t>
  </si>
  <si>
    <t>ΗΜΕΡΗΣΙΟ ΓΕΝΙΚΟ ΛΥΚΕΙΟ ΦΟΥΡΦΟΥΡΑ ΡΕΘΥΜΝΟΥ</t>
  </si>
  <si>
    <t>mail@lyk-fourf.reth.sch.gr</t>
  </si>
  <si>
    <t>ΦΟΥΡΦΟΥΡΑ ΡΕΘΥΜΝΟΥ</t>
  </si>
  <si>
    <t>ΦΟΥΡΦΟΥΡΑΣ ΑΜΑΡΙΟΥ</t>
  </si>
  <si>
    <t>ΤΕΤΡΑΘΕΣΙΟ ΔΗΜΟΤΙΚΟ ΣΧΟΛΕΙΟ ΦΟΥΡΦΟΥΡΑ</t>
  </si>
  <si>
    <t>1ο ΗΜΕΡΗΣΙΟ ΓΕΝΙΚΟ ΛΥΚΕΙΟ ΡΕΘΥΜΝΟΥ</t>
  </si>
  <si>
    <t>mail@1lyk-rethymn.reth.sch.gr</t>
  </si>
  <si>
    <t>ΜΟΑΤΣΟΥ-ΜΑΡΚΕΛΛΟΥ 1</t>
  </si>
  <si>
    <t>1ο ΗΜΕΡΗΣΙΟ ΕΠΑΛ ΡΕΘΥΜΝΟΥ</t>
  </si>
  <si>
    <t>mail@1epal-rethymn.reth.sch.gr</t>
  </si>
  <si>
    <t>ΕΥΑΓΓΕΛΟΥ ΔΑΣΚΑΛΑΚΗ 3, ΠΕΡΙΒΟΛΙΑ</t>
  </si>
  <si>
    <t>1ο ΗΜΕΡΗΣΙΟ ΓΥΜΝΑΣΙΟ ΡΕΘΥΜΝΟΥ</t>
  </si>
  <si>
    <t>mail@1gym-rethymn.reth.sch.gr</t>
  </si>
  <si>
    <t>ΙΕΡΑΣ ΜΗΤΡΟΠΟΛΕΩΣ 15</t>
  </si>
  <si>
    <t>7ο ΟΛΟΗΜΕΡΟ ΔΗΜΟΤΙΚΟ ΣΧΟΛΕΙΟ ΡΕΘΥΜΝΗΣ/ ΕΒΔΟΜΟ ΔΩΔΕΚΑΘΕΣΙΟ ΟΛΟΗΜΕΡΟ ΔΗΜΟΤΙΚΟ ΣΧΟΛΕΙΟ ΡΕΘΥΜΝΗΣ</t>
  </si>
  <si>
    <t>ΗΜΕΡΗΣΙΟ ΓΥΜΝΑΣΙΟ ΠΕΡΑΜΑΤΟΣ ΡΕΘΥΜΝΟΥ</t>
  </si>
  <si>
    <t>mail@gym-peram.reth.sch.gr</t>
  </si>
  <si>
    <t>ΠΕΡΑΜΑ ΡΕΘΥΜΝΟΥ</t>
  </si>
  <si>
    <t>ΠΕΡΑΜΑ ΜΥΛΟΠΟΤΑΜΟΥ</t>
  </si>
  <si>
    <t>ΛΑΠΠΑΙΩΝ</t>
  </si>
  <si>
    <t>ΗΜΕΡΗΣΙΟ ΓΥΜΝΑΣΙΟ ΕΠΙΣΚΟΠΗΣ ΡΕΘΥΜΝΟΥ - ΓΥΜΝΑΣΙΟ ΕΠΙΣΚΟΠΗΣ</t>
  </si>
  <si>
    <t>mail@gym-episk.reth.sch.gr</t>
  </si>
  <si>
    <t>ΕΠΙΣΚΟΠΗΣ ΡΕΘΥΜΝΟΥ</t>
  </si>
  <si>
    <t>ΕΠΙΣΚΟΠΗ  ΡΕΘΥΜΝΟΥ</t>
  </si>
  <si>
    <t>ΟΛΟΗΜΕΡΟ ΔΗΜΟΤΙΚΟ ΣΧΟΛΕΙΟ ΕΠΙΣΚΟΠΗΣ - ΕΞΑΘΕΣΙΟ ΟΛΟΗΜΕΡΟ ΔΗΜΟΤΙΚΟ ΣΧΟΛΕΙΟ ΕΠΙΣΚΟΠΗΣ</t>
  </si>
  <si>
    <t>ΣΥΒΡΙΤΟΥ</t>
  </si>
  <si>
    <t>ΑΠΟΣΤΟΛΩΝ</t>
  </si>
  <si>
    <t>ΗΜΕΡΗΣΙΟ ΓΥΜΝΑΣΙΟ ΣΥΒΡΙΤΟΥ ΡΕΘΥΜΝΟΥ</t>
  </si>
  <si>
    <t>mail@gym-syvrit.reth.sch.gr</t>
  </si>
  <si>
    <t>ΑΜΑΡΙ ΡΕΘΥΜΝΟΥ</t>
  </si>
  <si>
    <t>ΑΓΙΑ ΦΩΤΕΙΝΗ ΑΜΑΡΙΟΥ</t>
  </si>
  <si>
    <t>ΟΛΟΗΜΕΡΟ ΔΗΜΟΤΙΚΟ ΣΧΟΛΕΙΟ ΑΠΟΣΤΟΛΩΝ - ΟΛΟΗΜΕΡΟ ΕΞΑΘΕΣΙΟ ΔΗΜΟΤΙΚΟ ΣΧΟΛΕΙΟ ΑΠΟΣΤΟΛΩΝ</t>
  </si>
  <si>
    <t>ΗΜΕΡΗΣΙΟ ΓΥΜΝΑΣΙΟ ΣΠΗΛΙΟΥ</t>
  </si>
  <si>
    <t>gymspili@sch.gr</t>
  </si>
  <si>
    <t>ΣΠΗΛΙ</t>
  </si>
  <si>
    <t>ΣΠΗΛΙ ΔΗΜΟΥ ΑΓΙΟΥ ΒΑΣΙΛΕΙΟΥ</t>
  </si>
  <si>
    <t>3ο ΗΜΕΡΗΣΙΟ ΓΥΜΝΑΣΙΟ ΡΕΘΥΜΝΟΥ</t>
  </si>
  <si>
    <t>3gymreth@sch.gr</t>
  </si>
  <si>
    <t>ΚΟΥΝΤΟΥΡΙΩΤΗ 1</t>
  </si>
  <si>
    <t>ΠΑΝΟΡΜΟΥ</t>
  </si>
  <si>
    <t>ΗΜΕΡΗΣΙΟ ΓΥΜΝΑΣΙΟ ΠΑΝΟΡΜΟΥ ΡΕΘΥΜΝΟΥ</t>
  </si>
  <si>
    <t>mail@gym-panorm.reth.sch.gr</t>
  </si>
  <si>
    <t>ΠΑΝΟΡΜΟ ΡΕΘΥΜΝΟΥ</t>
  </si>
  <si>
    <t>ΠΑΝΟΡΜΟ ΜΥΛΟΠΟΤΑΜΟΥ-ΡΕΘΥΜΝΟ</t>
  </si>
  <si>
    <t>ΤΕΤΡΑΘΕΣΙΟ ΟΛΟΗΜΕΡΟ ΔΗΜΟΤΙΚΟ ΣΧΟΛΕΙΟ ΠΑΝΟΡΜΟΥ-ΜΥΛΟΠΟΤΑΜΟΥ</t>
  </si>
  <si>
    <t>ΜΟΥΣΙΚΟ ΓΥΜΝΑΣΙΟ ΡΕΘΥΜΝΟΥ</t>
  </si>
  <si>
    <t>mail@gym-mous-rethymn.reth.sch.gr</t>
  </si>
  <si>
    <t>ΚΑΝΤΑΝΟΛΕΟΝΤΟΣ 10</t>
  </si>
  <si>
    <t>ΗΜΕΡΗΣΙΟ ΓΥΜΝΑΣΙΟ ΦΟΥΡΦΟΥΡΑ ΡΕΘΥΜΝΟΥ</t>
  </si>
  <si>
    <t>mail@gym-fourf.reth.sch.gr</t>
  </si>
  <si>
    <t>ΠΕΙΡΑΜΑΤΙΚΟ ΓΥΜΝΑΣΙΟ ΡΕΘΥΜΝΟΥ ΠΑΝΕΠΙΣΤΗΜΙΟΥ ΚΡΗΤΗΣ</t>
  </si>
  <si>
    <t>mail@gym-aei.reth.sch.gr</t>
  </si>
  <si>
    <t>ΕΥΑΓΓ. ΔΑΣΚΑΛΑΚΗ 3</t>
  </si>
  <si>
    <t>ΦΟΙΝΙΚΑ</t>
  </si>
  <si>
    <t>ΚΟΞΑΡΕΣ</t>
  </si>
  <si>
    <t>ΗΜΕΡΗΣΙΟ ΓΥΜΝΑΣΙΟ ΚΟΞΑΡΕΣ</t>
  </si>
  <si>
    <t>mail@gym-koxar.reth.sch.gr</t>
  </si>
  <si>
    <t>ΚΟΞΑΡΕ</t>
  </si>
  <si>
    <t>ΚΟΞΑΡΕ -  ΔΗΜΟΥ ΑΓΙΟΥ ΒΑΣΙΛΕΙΟΥ</t>
  </si>
  <si>
    <t>ΟΛΟΗΜΕΡΟ ΔΗΜΟΤΙΚΟ ΣΧΟΛΕΙΟ ΑΓΚΟΥΣΕΛΙΑΝΩΝ</t>
  </si>
  <si>
    <t>4ο ΗΜΕΡΗΣΙΟ ΓΥΜΝΑΣΙΟ ΡΕΘΥΜΝΟΥ</t>
  </si>
  <si>
    <t>4gymreth@sch.gr</t>
  </si>
  <si>
    <t>ΜΑΧΗΣ ΚΡΗΤΗΣ 35</t>
  </si>
  <si>
    <t>ΚΟΥΛΟΥΚΩΝΑ</t>
  </si>
  <si>
    <t>ΓΑΡΑΖΟΥ</t>
  </si>
  <si>
    <t>ΗΜΕΡΗΣΙΟ ΓΥΜΝΑΣΙΟ ΓΑΡΑΖΟΥ ΡΕΘΥΜΝΟΥ - ΓΥΜΝΑΣΙΟ ΓΑΡΑΖΟΥ</t>
  </si>
  <si>
    <t>mail@gym-garaz.reth.sch.gr</t>
  </si>
  <si>
    <t>ΓΑΡΑΖΟΥ ΡΕΘΥΜΝΟΥ</t>
  </si>
  <si>
    <t>ΓΑΡΑΖΟ</t>
  </si>
  <si>
    <t>ΔΗΜΟΤΙΚΟ ΣΧΟΛΕΙΟ ΓΑΡΑΖΟΥ - ΟΛΟΗΜΕΡΟ ΜΟΝΟΘΕΣΙΟ ΔΗΜΟΤΙΚΟ ΣΧΟΛΕΙΟ ΓΑΡΑΖΟΥ</t>
  </si>
  <si>
    <t>ΗΜΕΡΗΣΙΟ ΓΥΜΝΑΣΙΟ ΚΡΑΝΑΣ ΡΕΘΥΜΝΟΥ</t>
  </si>
  <si>
    <t>mail@gym-kranas.reth.sch.gr</t>
  </si>
  <si>
    <t>ΚΡΑΝΑΣ ΡΕΘΥΜΝΟΥ</t>
  </si>
  <si>
    <t>ΚΡΑΝΑ ΜΥΛΟΠΟΤΑΜΟΥ</t>
  </si>
  <si>
    <t>ΕΞΑΘΕΣΙΟ ΟΛΟΗΜΕΡΟ ΔΗΜ.ΣΧΟΛΕΙΟ ΛΙΒΑΔΙΩΝ</t>
  </si>
  <si>
    <t>3ο ΗΜΕΡΗΣΙΟ ΓΕΝΙΚΟ ΛΥΚΕΙΟ ΡΕΘΥΜΝΟΥ</t>
  </si>
  <si>
    <t>3lykreth@sch.gr</t>
  </si>
  <si>
    <t>Λ. ΚΟΥΝΤΟΥΡΙΩΤΗ 1</t>
  </si>
  <si>
    <t>ΗΜΕΡΗΣΙΟ ΓΥΜΝΑΣΙΟ ΑΝΩΓΕΙΩΝ ΡΕΘΥΜΝΟΥ - ΣΤΑΥΡΑΚΕΙΟ</t>
  </si>
  <si>
    <t>mail@gym-anogeion.reth.sch.gr</t>
  </si>
  <si>
    <t>ΑΝΩΓΕΙΑ ΡΕΘΥΜΝΟΥ</t>
  </si>
  <si>
    <t>2ο ΗΜΕΡΗΣΙΟ ΓΥΜΝΑΣΙΟ ΡΕΘΥΜΝΟΥ</t>
  </si>
  <si>
    <t>mail@2gym-rethymn.reth.sch.gr</t>
  </si>
  <si>
    <t>Ν. ΑΣΚΟΥΤΣΗ 62</t>
  </si>
  <si>
    <t>ΕΕΕΕΚ ΡΕΘΥΜΝΟ - ΕΕΕΕΚ ΡΕΘΥΜΝΟΥ</t>
  </si>
  <si>
    <t>mail@eeeek.reth.sch.gr</t>
  </si>
  <si>
    <t>ΠΛΑΚΟΥΡΑ ΜΙΣΙΡΙΩΝ</t>
  </si>
  <si>
    <t>ΗΜΕΡΗΣΙΟ ΕΠΑΛ ΓΑΡΑΖΟΥ ΡΕΘΥΜΝΟΥ</t>
  </si>
  <si>
    <t>epal-garaz@sch.gr</t>
  </si>
  <si>
    <t xml:space="preserve"> ΡΕΘΥΜΝΟ</t>
  </si>
  <si>
    <t>ΝΙΚΗΦΟΡΟΥ ΦΩΚΑ</t>
  </si>
  <si>
    <t>ΑΤΣΙΠΟΠΟΥΛΟΥ</t>
  </si>
  <si>
    <t>ΗΜΕΡΗΣΙΟ ΓΥΜΝΑΣΙΟ ΑΤΣΙΠΟΠΟΥΛΟΥ - ΓΥΜΝΑΣΙΟ ΑΤΣΙΠΟΠΟΥΛΟΥ</t>
  </si>
  <si>
    <t>mail@gym-atsip.reth.sch.gr</t>
  </si>
  <si>
    <t>ΑΤΣΙΠΟΠΟΥΛΟ</t>
  </si>
  <si>
    <t>ΠΑΝΑΓΙΑΣ ΕΛΙΕΣ ΑΓΙΑΣ ΖΩΝΗΣ - ΑΤΣΙΠΟΠΟΥΛΟ</t>
  </si>
  <si>
    <t>ΟΛΟΗΜΕΡΟ ΔΗΜΟΤΙΚΟ ΣΧΟΛΕΙΟ ΠΡΙΝΕΣ - ΠΕΝΤΑΘΕΣΙΟ ΟΛΟΗΜΕΡΟ ΔΗΜΟΤΙΚΟ ΣΧΟΛΕΙΟ ΠΡΙΝΕ</t>
  </si>
  <si>
    <t>ΕΣΠΕΡΙΝΟ ΕΠΑΛ ΡΕΘΥΜΝΟΥ</t>
  </si>
  <si>
    <t>mail@epal-esp-rethymn.reth.sch.gr</t>
  </si>
  <si>
    <t>Ε. ΔΑΣΚΑΛΑΚΗ 3</t>
  </si>
  <si>
    <t>ΟΛΟΗΜΕΡΟ ΔΗΜΟΤΙΚΟ ΣΧΟΛΕΙΟ ΓΕΡΑΝΙ - ΕΞΑΘΕΣΙΟ ΟΛΟΗΜΕΡΟ ΔΗΜΟΤΙΚΟ ΣΧΟΛΕΙΟ ΓΕΡΑΝΙΟΥ</t>
  </si>
  <si>
    <t>ΗΜΕΡΗΣΙΟ ΓΕΝΙΚΟ ΛΥΚΕΙΟ ΠΑΝΟΡΜΟΥ ΡΕΘΥΜΝΟΥ</t>
  </si>
  <si>
    <t>mail@lt-panorm.reth.sch.gr</t>
  </si>
  <si>
    <t>ΠΑΝΟΡΜΟΣ</t>
  </si>
  <si>
    <t>ΠΑΝΟΡΜΟΣ ΜΥΛΟΠΟΤΑΜΟΥ-ΡΕΘΥΜΝΟ</t>
  </si>
  <si>
    <t>ΗΜΕΡΗΣΙΟ ΓΕΝΙΚΟ ΛΥΚΕΙΟ ΑΤΣΙΠΟΠΟΥΛΟΥ</t>
  </si>
  <si>
    <t>mail@lyk-atsip.reth.sch.gr</t>
  </si>
  <si>
    <t>ΠΑΝΑΓΙΑΣ ΕΛΙΕΣ -   ΑΓΙΑΣ   ΖΩΝΗΣ</t>
  </si>
  <si>
    <t>5ο ΗΜΕΡΗΣΙΟ ΓΥΜΝΑΣΙΟ ΡΕΘΥΜΝΟΥ - ΑΡΣΑΝΙΟ ΓΥΜΝΑΣΙΟ</t>
  </si>
  <si>
    <t>mail@5gym-rethymn.reth.sch.gr</t>
  </si>
  <si>
    <t>Ρέθυμνο</t>
  </si>
  <si>
    <t>Σφακάκι</t>
  </si>
  <si>
    <t>ΗΜΕΡΗΣΙΟ ΓΕΝΙΚΟ ΛΥΚΕΙΟ ΕΠΙΣΚΟΠΗΣ ΡΕΘΥΜΝΟΥ</t>
  </si>
  <si>
    <t>mail@lyk-episk.reth.sch.gr</t>
  </si>
  <si>
    <t>2ο ΗΜΕΡΗΣΙΟ ΕΠΑ.Λ. ΡΕΘΥΜΝΟΥ</t>
  </si>
  <si>
    <t>mail@2epal-rethymn.reth.sch.gr</t>
  </si>
  <si>
    <t>ΚΟΜΒΟΣ ΑΤΣΙΠΟΠΟΥΛΟΥ</t>
  </si>
  <si>
    <t>2ο ΟΛΟΗΜΕΡΟ ΔΗΜΟΤΙΚΟ ΣΧΟΛΕΙΟ ΑΤΣΙΠΟΠΟΥΛΟΥ - ΔΕΥΤΕΡΟ ΕΝΝΙΑΘΕΣΙΟ ΟΛΟΗΜΕΡΟ ΔΗΜΟΤΙΚΟ ΣΧΟΛΕΙΟ ΑΤΣΙΠΟΠΟΥΛΟΥ</t>
  </si>
  <si>
    <t>4ο ΗΜΕΡΗΣΙΟ ΓΕΝΙΚΟ ΛΥΚΕΙΟ ΡΕΘΥΜΝΟΥ - ΑΡΣΑΝΙΟ ΛΥΚΕΙΟ</t>
  </si>
  <si>
    <t>mail@4lyk-rethymn.reth.sch.gr</t>
  </si>
  <si>
    <t>ΣΦΑΚΑΚΙ</t>
  </si>
  <si>
    <t>Ενιαίο Ειδικό Επαγγελματικό Γυμνάσιο -Λύκειο ΡΕΘΥΜΝΗΣ</t>
  </si>
  <si>
    <t>mail@gym-ee-rethymn.reth.sch.gr</t>
  </si>
  <si>
    <t>ΚΟΜΒΟΣ ΑΤΣΙΠΟΠΟΥΛΟY</t>
  </si>
  <si>
    <t>ΔΙΕΥΘΥΝΣΗ Δ.Ε. ΧΑΝΙΩΝ</t>
  </si>
  <si>
    <t>7ο Γυμνάσιο Χανίων</t>
  </si>
  <si>
    <t>mail@7gym-chanion.chan.sch.gr</t>
  </si>
  <si>
    <t>Μ. ΑΛΕΞΑΝΔΡΟΥ  ΚΟΥΜΠΕΛΗ 20</t>
  </si>
  <si>
    <t>11ο ΔΗΜΟΤΙΚΟ ΣΧΟΛΕΙΟ ΧΑΝΙΩΝ</t>
  </si>
  <si>
    <t>ΚΟΛΥΜΒΑΡΙΟΥ</t>
  </si>
  <si>
    <t>Γυμνάσιο Κολυμβαρίου</t>
  </si>
  <si>
    <t>mail@gym-kolymv.chan.sch.gr</t>
  </si>
  <si>
    <t>ΚΟΛΥΜΒΑΡΙ</t>
  </si>
  <si>
    <t>ΚΟΛΥΜΒΑΡΙ ΧΑΝΙΩΝ</t>
  </si>
  <si>
    <t>ΔΗΜΟΤΙΚΟ ΣΧΟΛΕΙΟ ΚΟΛΥΜΒΑΡΙΟΥ</t>
  </si>
  <si>
    <t>ΚΑΝΤΑΝΟΥ - ΣΕΛΙΝΟΥ</t>
  </si>
  <si>
    <t>ΠΕΛΕΚΑΝΟΥ</t>
  </si>
  <si>
    <t>Γενικό Λύκειο Παλαιόχωρας</t>
  </si>
  <si>
    <t>mail@lyk-palaioch.chan.sch.gr</t>
  </si>
  <si>
    <t>ΠΑΛΑΙΟΧΩΡΑ ΧΑΝΙΩΝ</t>
  </si>
  <si>
    <t>ΔΗΜΟΤΙΚΟ ΣΧΟΛΕΙΟ ΠΑΛΑΙΟΧΩΡΑΣ</t>
  </si>
  <si>
    <t>Ε.Ε.Ε.ΕΚ. Χανίων</t>
  </si>
  <si>
    <t>mail@eeeek.chan.sch.gr</t>
  </si>
  <si>
    <t>ΠΡΟΦΗΤΗΣ ΗΛΙΑΣ ΚΟΥΝΟΥΠΙΔΙΑΝΑ (ΠΡΩΗΝ ΠΟΛΥΚΛΑΔΙΚΟ)</t>
  </si>
  <si>
    <t>Εσπερινό Γυμνάσιο Χανίων</t>
  </si>
  <si>
    <t>mail@gym-esp-chanion.chan.sch.gr</t>
  </si>
  <si>
    <t>ΕΜΜ. ΜΟΥΝΤΑΚΗ 1</t>
  </si>
  <si>
    <t>13ο ΔΗΜΟΤΙΚΟ ΣΧΟΛΕΙΟ ΧΑΝΙΩΝ</t>
  </si>
  <si>
    <t>ΑΠΟΚΟΡΩΝΟΥ</t>
  </si>
  <si>
    <t>ΚΡΥΟΝΕΡΙΔΑΣ</t>
  </si>
  <si>
    <t>ΒΡΥΣΩΝ</t>
  </si>
  <si>
    <t>ΕΠΑΛ Βρυσών</t>
  </si>
  <si>
    <t>mail@1epal-bryson.chan.sch.gr</t>
  </si>
  <si>
    <t xml:space="preserve">ΒΡΥΣΕΣ </t>
  </si>
  <si>
    <t>ΒΡΥΣΕΣ ΑΠΟΚΟΡΩΝΟΥ</t>
  </si>
  <si>
    <t>ΔΗΜΟΤΙΚΟ ΣΧΟΛΕΙΟ ΒΡΥΣΩΝ</t>
  </si>
  <si>
    <t>ΚΑΝΤΑΝΟΥ</t>
  </si>
  <si>
    <t>ΚΑΝΔΑΝΟΥ (ΚΑΝΤΑΝΟΥ)</t>
  </si>
  <si>
    <t>ΕΠΑ.Λ. Καντάνου</t>
  </si>
  <si>
    <t>mail@1epal-kandan.chan.sch.gr</t>
  </si>
  <si>
    <t>ΚΑΝΤΑΝΟΣ ΣΕΛΙΝΟΥ ΧΑΝΙΩΝ</t>
  </si>
  <si>
    <t>ΚΑΝΤΑΝΟΣ</t>
  </si>
  <si>
    <t>ΔΗΜΟΤΙΚΟ ΣΧΟΛΕΙΟ ΚΑΝΤΑΝΟΥ ΧΑΝΙΩΝ</t>
  </si>
  <si>
    <t>1ο ΕΠΑΛ Χανίων</t>
  </si>
  <si>
    <t>mail@1epal-chanion.chan.sch.gr</t>
  </si>
  <si>
    <t>3ο ΔΗΜΟΤΙΚΟ ΣΧΟΛΕΙΟ ΧΑΝΙΩΝ</t>
  </si>
  <si>
    <t>2ο ΕΠΑΛ Χανίων</t>
  </si>
  <si>
    <t>mail@2epal-chanion.chan.sch.gr</t>
  </si>
  <si>
    <t>ΜΥΛΩΝΟΓΙΑΝΝΗ 94</t>
  </si>
  <si>
    <t>17ο ΔΗΜΟΤΙΚΟ ΣΧΟΛΕΙΟ ΧΑΝΙΩΝ</t>
  </si>
  <si>
    <t>ΜΟΥΡΝΙΩΝ</t>
  </si>
  <si>
    <t>ΕΠΑΛ Ελευθερίου Βενιζέλου</t>
  </si>
  <si>
    <t>mail@epal-el-venizel.chan.sch.gr</t>
  </si>
  <si>
    <t>Μουρνιές  Χανίων</t>
  </si>
  <si>
    <t>Αρπακουλάκηδων</t>
  </si>
  <si>
    <t>2ο ΔΗΜΟΤΙΚΟ ΣΧΟΛΕΙΟ ΜΟΥΡΝΙΩΝ</t>
  </si>
  <si>
    <t>2ο Γενικό Λύκειο Χανίων</t>
  </si>
  <si>
    <t>2lykchan@sch.gr</t>
  </si>
  <si>
    <t>ΚΟΡΑΗ 5</t>
  </si>
  <si>
    <t>ΣΟΥΔΑΣ</t>
  </si>
  <si>
    <t>Γενικό Λύκειο Σούδας</t>
  </si>
  <si>
    <t>mail@lyk-soudas.chan.sch.gr</t>
  </si>
  <si>
    <t>ΣΟΥΔΑ ΧΑΝΙΩΝ</t>
  </si>
  <si>
    <t>ΕΙΚΟΣΤΗΣ ΠΕΜΠΤΗΣ  ΜΑΡΤΙΟΥ</t>
  </si>
  <si>
    <t>1ο ΔΗΜΟΤΙΚΟ ΣΧΟΛΕΙΟ ΣΟΥΔΑΣ</t>
  </si>
  <si>
    <t>ΑΚΡΩΤΗΡΙΟΥ</t>
  </si>
  <si>
    <t>ΚΟΥΝΟΥΠΙΔΙΑΝΩΝ</t>
  </si>
  <si>
    <t>Γενικό Λύκειο Ακρωτηρίου</t>
  </si>
  <si>
    <t>mail@lyk-akrot.chan.sch.gr</t>
  </si>
  <si>
    <t>ΚΟΥΝΟΥΠΙΔΙΑΝΑ ΧΑΝΙΩΝ</t>
  </si>
  <si>
    <t>4ο ΗΜΕΡΗΣΙΟ ΓΕΝΙΚΟ ΛΥΚΕΙΟ ΧΑΝΙΩΝ</t>
  </si>
  <si>
    <t>4lykchan@sch.gr</t>
  </si>
  <si>
    <t>ΧΑΝΙA</t>
  </si>
  <si>
    <t>ΣΦΑΚΙΩΝ</t>
  </si>
  <si>
    <t>ΧΩΡΑΣ ΣΦΑΚΙΩΝ</t>
  </si>
  <si>
    <t>Γενικό Λύκειο Χώρας Σφακίων</t>
  </si>
  <si>
    <t>mail@lyk-sfakion.chan.sch.gr</t>
  </si>
  <si>
    <t>ΧΩΡΑ ΣΦΑΚΙΩΝ ΧΑΝΙΩΝ</t>
  </si>
  <si>
    <t>ΧΩΡΑ ΣΦΑΚΙΩΝ</t>
  </si>
  <si>
    <t>ΔΗΜΟΤΙΚΟ ΣΧΟΛΕΙΟ ΧΩΡΑΣ ΣΦΑΚΙΩΝ</t>
  </si>
  <si>
    <t>ΕΣΠΕΡΙΝΟ ΓΕΝΙΚΟ ΛΥΚΕΙΟ ΧΑΝΙΩΝ</t>
  </si>
  <si>
    <t>mail@lyk-esp-chanion.chan.sch.gr</t>
  </si>
  <si>
    <t>ΕΜΜΑΝΟΥΗΛ ΜΟΥΝΤΑΚΗ 1</t>
  </si>
  <si>
    <t>ΒΑΜΟΥ</t>
  </si>
  <si>
    <t>Γενικό Λύκειο Βάμου</t>
  </si>
  <si>
    <t>mail@lyk-vamou.chan.sch.gr</t>
  </si>
  <si>
    <t>ΒΑΜΟΣ ΧΑΝΙΩΝ</t>
  </si>
  <si>
    <t>ΒΑΜΟΣ ΑΠΟΚΟΡΩΝΟΥ</t>
  </si>
  <si>
    <t>ΔΗΜΟΤΙΚΟ ΣΧΟΛΕΙΟ ΒΑΜΟΥ</t>
  </si>
  <si>
    <t>ΓΕΝΙΚΟ ΛΥΚΕΙΟ ΚΟΛΥΜΒΑΡΙΟΥ</t>
  </si>
  <si>
    <t>mail@lyk-kolymv.chan.sch.gr</t>
  </si>
  <si>
    <t>ΜΟΥΣΟΥΡΩΝ</t>
  </si>
  <si>
    <t>ΑΛΙΚΙΑΝΟΥ</t>
  </si>
  <si>
    <t>Γενικό Λύκειο Αλικιανού</t>
  </si>
  <si>
    <t>mail@lyk-alikian.chan.sch.gr</t>
  </si>
  <si>
    <t xml:space="preserve">ΑΛΙΚΙΑΝΟΣ </t>
  </si>
  <si>
    <t>Δ. ΠΛΑΤΑΝΙΑ -</t>
  </si>
  <si>
    <t>ΔΗΜΟΤΙΚΟ ΣΧΟΛΕΙΟ ΑΛΙΚΙΑΝΟΥ</t>
  </si>
  <si>
    <t>ΚΙΣΣΑΜΟΥ</t>
  </si>
  <si>
    <t>Γενικό Λύκειο Κισσάμου</t>
  </si>
  <si>
    <t>mail@1lyk-kissam.chan.sch.gr</t>
  </si>
  <si>
    <t>ΚΙΣΣΑΜΟΣ ΧΑΝΙΩΝ</t>
  </si>
  <si>
    <t>ΗΡΩΩΝ ΠΟΛΥΤΕΧΝΕΙΟΥ</t>
  </si>
  <si>
    <t>2ο ΔΗΜΟΤΙΚΟ ΣΧΟΛΕΙΟ ΚΙΣΑΜΟΥ</t>
  </si>
  <si>
    <t>ΒΟΥΚΟΛΙΩΝ</t>
  </si>
  <si>
    <t>Γενικό Λύκειο Βουκολιών</t>
  </si>
  <si>
    <t>mail@lyk-voukol.chan.sch.gr</t>
  </si>
  <si>
    <t>ΒΟΥΚΟΛΙΕΣ ΧΑΝΙΩΝ</t>
  </si>
  <si>
    <t>ΒΟΥΚΟΛΙΕΣ</t>
  </si>
  <si>
    <t>ΔΗΜΟΤΙΚΟ ΣΧΟΛΕΙΟ ΒΟΥΚΟΛΙΩΝ</t>
  </si>
  <si>
    <t>1ο Γενικό Λύκειο Χανίων</t>
  </si>
  <si>
    <t>1lykchan@sch.gr</t>
  </si>
  <si>
    <t>Χανιά</t>
  </si>
  <si>
    <t>Γερασίμου Παρδάλη</t>
  </si>
  <si>
    <t>5ο ΔΗΜΟΤΙΚΟ ΣΧΟΛΕΙΟ ΧΑΝΙΩΝ</t>
  </si>
  <si>
    <t>Γυμνάσιο Καντάνου</t>
  </si>
  <si>
    <t>mail@gym-kantan.chan.sch.gr</t>
  </si>
  <si>
    <t>ΚΑΝΤΑΝΟΣ ΧΑΝΙΩΝ</t>
  </si>
  <si>
    <t>5ο ΓΥΜΝΑΣΙΟ ΧΑΝΙΩΝ</t>
  </si>
  <si>
    <t>5gymchan@sch.gr</t>
  </si>
  <si>
    <t>3ο Γυμνάσιο Χανίων</t>
  </si>
  <si>
    <t>3gymchan@sch.gr</t>
  </si>
  <si>
    <t>ΑΠΤΕΡΩΝ 2</t>
  </si>
  <si>
    <t>12ο ΔΗΜΟΤΙΚΟ ΣΧΟΛΕΙΟ ΧΑΝΙΩΝ</t>
  </si>
  <si>
    <t>Γυμνάσιο Παλαιόχωρας</t>
  </si>
  <si>
    <t>mail@gym-palaioch.chan.sch.gr</t>
  </si>
  <si>
    <t>4ο Γυμνάσιο Χανίων</t>
  </si>
  <si>
    <t>mail@4gym-chanion.chan.sch.gr</t>
  </si>
  <si>
    <t>Γυμνάσιο Βάμου - "Λαμπράκειο"</t>
  </si>
  <si>
    <t>mail@gym-vamou.chan.sch.gr</t>
  </si>
  <si>
    <t>ΒΑΜΟΣ ΑΠΟΚΟΡΩΝΟΥ ΧΑΝΙΩΝ ΚΡΗΤΗΣ</t>
  </si>
  <si>
    <t>ΒΑΜΟΣ ΑΠΟΚΟΡΩΝΟΥ ΧΑΝΙΩΝ</t>
  </si>
  <si>
    <t>Γενικό Λύκειο Ελευθερίου Βενιζέλου</t>
  </si>
  <si>
    <t>lykelveniz@sch.gr</t>
  </si>
  <si>
    <t>Ι. ΜΑΡΚΑΚΗ 10 ΚΑΛΥΚΑΣ</t>
  </si>
  <si>
    <t>ΔΗΜΟΤΙΚΟ ΣΧΟΛΕΙΟ ΧΡΥΣΟΠΗΓΗΣ</t>
  </si>
  <si>
    <t>ΓΥΜΝΑΣΙΟ ΣΟΥΔΑΣ</t>
  </si>
  <si>
    <t>mail@gym-soudas.chan.sch.gr</t>
  </si>
  <si>
    <t>ΕΘΝΑΡΧΟΥ ΒΕΝΙΖΕΛΟΥ 4</t>
  </si>
  <si>
    <t>Γυμνάσιο Χώρας Σφακίων</t>
  </si>
  <si>
    <t>mail@gym-sfakion.chan.sch.gr</t>
  </si>
  <si>
    <t>ΧΩΡΑΣ ΣΦΑΚΙΩΝ ΧΑΝΙΩΝ</t>
  </si>
  <si>
    <t>Γυμνάσιο Πλατανιά</t>
  </si>
  <si>
    <t>mail@gym-platan.chan.sch.gr</t>
  </si>
  <si>
    <t>ΠΛΑΤΑΝΙΑΣ ΧΑΝΙΩΝ</t>
  </si>
  <si>
    <t>ΔΗΜΟΤΙΚΟ ΣΧΟΛΕΙΟ ΠΛΑΤΑΝΙΑ ΧΑΝΙΩΝ</t>
  </si>
  <si>
    <t>Γυμνάσιο Αλικιανού - «Γυμνασιάρχης Γεώργιος Δ. Καψωμένος»</t>
  </si>
  <si>
    <t>gymaliki@sch.gr</t>
  </si>
  <si>
    <t>Αλικιανός</t>
  </si>
  <si>
    <t>ΑΛΙΚΙΑΝΟΣ</t>
  </si>
  <si>
    <t>Γυμνάσιο Βρυσών</t>
  </si>
  <si>
    <t>mail@gym-vryson.chan.sch.gr</t>
  </si>
  <si>
    <t>ΒΡΥΣΕΣ ΧΑΝΙΩΝ</t>
  </si>
  <si>
    <t>1ο Γυμνάσιο Κισσάμου</t>
  </si>
  <si>
    <t>mail@1gym-kissam.chan.sch.gr</t>
  </si>
  <si>
    <t>Κίσσαμος</t>
  </si>
  <si>
    <t>Ηρώων Πολυτεχνείου 53,</t>
  </si>
  <si>
    <t>ΝΕΡΟΚΟΥΡΟΥ</t>
  </si>
  <si>
    <t>1ο Γυμνάσιο Ελ. Βενιζέλου</t>
  </si>
  <si>
    <t>mail@1gym-el-venizel.chan.sch.gr</t>
  </si>
  <si>
    <t>ΧΡΥΣΟΠΗΓΗ  ΧΑΝΙΩΝ</t>
  </si>
  <si>
    <t>1ο Γυμνάσιο Χανίων</t>
  </si>
  <si>
    <t>mail@1gym-chanion.chan.sch.gr</t>
  </si>
  <si>
    <t>7ο ΔΗΜΟΤΙΚΟ ΣΧΟΛΕΙΟ ΧΑΝΙΩΝ</t>
  </si>
  <si>
    <t>2ο Γυμνάσιο Κισάμου</t>
  </si>
  <si>
    <t>mail@2gym-kissam.chan.sch.gr</t>
  </si>
  <si>
    <t>ΚΙΣΑΜΟΣ ΧΑΝΙΩΝ</t>
  </si>
  <si>
    <t>ΚΙΣΑΜΟΣ</t>
  </si>
  <si>
    <t>1ο ΔΗΜΟΤΙΚΟ ΣΧΟΛΕΙΟ ΚΙΣΑΜΟΥ</t>
  </si>
  <si>
    <t>ΝΕΑΣ ΚΥΔΩΝΙΑΣ</t>
  </si>
  <si>
    <t>ΔΑΡΑΤΣΟΥ</t>
  </si>
  <si>
    <t>ΓΥΜΝΑΣΙΟ ΝΕΑΣ ΚΥΔΩΝΙΑΣ</t>
  </si>
  <si>
    <t>mail@gym-n-kydon.chan.sch.gr</t>
  </si>
  <si>
    <t>ΝΕΑ  ΚΥΔΩΝΙΑ</t>
  </si>
  <si>
    <t>ΔΑΡΑΤΣΟΣ</t>
  </si>
  <si>
    <t>1ο ΔΗΜΟΤΙΚΟ ΣΧΟΛΕΙΟ ΝΕΑΣ ΚΥΔΩΝΙΑΣ</t>
  </si>
  <si>
    <t>ΕΠΑΛ Ακρωτηρίου</t>
  </si>
  <si>
    <t>mail@epal-akrot.chan.sch.gr</t>
  </si>
  <si>
    <t>ΑΚΡΩΤΗΡΙ  ΧΑΝΙΩΝ</t>
  </si>
  <si>
    <t>ΠΡΟΦΗΤΗ ΗΛΙΑ 9</t>
  </si>
  <si>
    <t>2ο Γυμνάσιο Χανίων</t>
  </si>
  <si>
    <t>mail@2gym-chanion.chan.sch.gr</t>
  </si>
  <si>
    <t>Γυμνάσιο Βουκολιών</t>
  </si>
  <si>
    <t>mail@gym-voukol.chan.sch.gr</t>
  </si>
  <si>
    <t>ΕΠΑΛ Κισάμου - Μητροπολίτης Ειρηναίος Γαλανάκης</t>
  </si>
  <si>
    <t>mail@epal-kissam.chan.sch.gr</t>
  </si>
  <si>
    <t>Γυμνάσιο Κουνουπιδιανών</t>
  </si>
  <si>
    <t>gymkouno@sch.gr</t>
  </si>
  <si>
    <t>ΚΟΥΝΟΥΠΙΔΙΑΝΑ</t>
  </si>
  <si>
    <t>ΕΥΑΓΓΕΛΙΣΤΡΙΑΣ 5</t>
  </si>
  <si>
    <t>1ο ΔΗΜΟΤΙΚΟ ΣΧΟΛΕΙΟ ΚΟΥΝΟΥΠΙΔΙΑΝΩΝ</t>
  </si>
  <si>
    <t>Εργαστηριακό Κέντρο Χανίων</t>
  </si>
  <si>
    <t>mail@sek-chanion.chan.sch.gr</t>
  </si>
  <si>
    <t>ΥΨΗΛΑΝΤΩΝ 27</t>
  </si>
  <si>
    <t>2ο Γυμνάσιο Ελευθερίου Βενιζέλου</t>
  </si>
  <si>
    <t>mail@2gym-el-venizel.chan.sch.gr</t>
  </si>
  <si>
    <t>ΜΟΥΡΝΙΕΣ ΧΑΝΙΩΝ</t>
  </si>
  <si>
    <t>ΑΡΠΑΚΟΥΛΑΚΗΔΩΝ 14</t>
  </si>
  <si>
    <t>6ο Γυμνάσιο Χανίων</t>
  </si>
  <si>
    <t>6gymchan@sch.gr</t>
  </si>
  <si>
    <t>Γενικό Λύκειο Νέας Κυδωνίας</t>
  </si>
  <si>
    <t>mail@lyk-n-kydon.chan.sch.gr</t>
  </si>
  <si>
    <t>ΝΕΑ ΚΥΔΩΝΙΑ ΧΑΝΙΩΝ</t>
  </si>
  <si>
    <t>ΔΗΜΟΤΙΚΟ ΣΧΟΛΕΙΟ ΒΑΜΒΑΚΟΠΟΥΛΟΥ</t>
  </si>
  <si>
    <t>Εσπερινό ΕΠΑΛ Χανίων</t>
  </si>
  <si>
    <t>mail@epal-esp-chanion.chan.sch.gr</t>
  </si>
  <si>
    <t>3ο Γενικό Λύκειο Χανίων</t>
  </si>
  <si>
    <t>mail@3lyk-chanion.chan.sch.gr</t>
  </si>
  <si>
    <t>Ε.Ε.Ε.Ε.Κ. Κισάμου</t>
  </si>
  <si>
    <t>mail@eeeek-kisam.chan.sch.gr</t>
  </si>
  <si>
    <t>ΚΙΣΣΑΜΟΣ</t>
  </si>
  <si>
    <t>ΚΟΥΤΟΥΦΙΑΝΑ ΚΙΣΑΜΟΥ</t>
  </si>
  <si>
    <t>ΜΟΥΣΙΚΟ ΣΧΟΛΕΙΟ ΘΕΡΙΣΟΥ</t>
  </si>
  <si>
    <t>mail@gym-mous-theris.chan.sch.gr</t>
  </si>
  <si>
    <t>ΦΡΟΥΔΙΑ ΧΑΛΕΠΑΣ, ΓΕΩΡΓΙΟΥ ΣΕΪΜΕΝΗ</t>
  </si>
  <si>
    <t>Εσπερινό ΕΠΑΛ Πλατανιά</t>
  </si>
  <si>
    <t>mail@epal-esp-platan.chan.sch.gr</t>
  </si>
  <si>
    <t>Πλατανιάς Χανίων</t>
  </si>
  <si>
    <t>2ο ΓΥΜΝΑΣΙΟ ΑΚΡΩΤΗΡΙΟΥ</t>
  </si>
  <si>
    <t>ΕΝΙΑΙΟ ΕΙΔΙΚΟ ΕΠΑΓΓΕΛΜΑΤΙΚΟ ΓΥΜΝΑΣΙΟ-ΛΥΚΕΙΟ ΧΑΝΙΩΝ</t>
  </si>
  <si>
    <t>mail@gym-eid-chanion.chan.sch.gr</t>
  </si>
  <si>
    <t>Χανιά, Μουρνιές</t>
  </si>
  <si>
    <t>Αγίου Ελευθερίου 1, Μουρνιές Χανίων</t>
  </si>
  <si>
    <t>ΔΙΕΥΘΥΝΣΗ Π.Ε. ΗΡΑΚΛΕΙΟΥ</t>
  </si>
  <si>
    <t>ΝΗΠΙΑΓΩΓΕΙΟ ΔΕΜΑΤΙΟΥ</t>
  </si>
  <si>
    <t>mail@nip-demat.ira.sch.gr</t>
  </si>
  <si>
    <t>ΔΕΜΑΤΙ ΠΥΡΓΟΥ</t>
  </si>
  <si>
    <t>ΣΚΑΛΑΝΙΟΥ</t>
  </si>
  <si>
    <t>ΝΗΠΙΑΓΩΓΕΙΟ ΣΚΑΛΑΝΙΟΥ</t>
  </si>
  <si>
    <t>mail@nip-skalan.ira.sch.gr</t>
  </si>
  <si>
    <t>ΣΚΑΛΑΝΙ</t>
  </si>
  <si>
    <t>28ο ΝΗΠΙΑΓΩΓΕΙΟ ΗΡΑΚΛΕΙΟΥ</t>
  </si>
  <si>
    <t>mail@28nip-irakl.ira.sch.gr</t>
  </si>
  <si>
    <t>ΜΙΧΑΗΛ ΑΡΧΑΓΓΕΛΟΥ 47</t>
  </si>
  <si>
    <t>2ο ΕΙΔΙΚΟ ΔΗΜΟΤΙΚΟ ΣΧΟΛΕΙΟ ΗΡΑΚΛΕΙΟΥ ΚΡΗΤΗΣ</t>
  </si>
  <si>
    <t>mail@2dim-eid-irakl.ira.sch.gr</t>
  </si>
  <si>
    <t>ΗΡΑΚΛΕΙΟ  ΚΡΗΤΗΣ</t>
  </si>
  <si>
    <t>ΠΥΡΑΝΘΟΥ ΚΑΙ ΑΥΛΩΝΟΣ   ΗΡΑΚΛΕΙΟ ΚΡΗΤΗΣ</t>
  </si>
  <si>
    <t>ΠΥΡΑΝΘΟΥ ΚΑΙ ΑΥΛΩΝΟΣ</t>
  </si>
  <si>
    <t>mail@48dim-irakl.ira.sch.gr</t>
  </si>
  <si>
    <t>ΦΙΛΙΚΗΣ ΕΤΑΙΡΕΙΑΣ ΚΑΙ ΔΑΦΕΡΜΟΥ</t>
  </si>
  <si>
    <t>ΑΝΩΠΟΛΕΩΣ</t>
  </si>
  <si>
    <t>1/θέσιο Νηπιαγωγείο Ανώπολης</t>
  </si>
  <si>
    <t>mail@nip-anopol.ira.sch.gr</t>
  </si>
  <si>
    <t>ΑΝΩΠΟΛΗ</t>
  </si>
  <si>
    <t>ΑΝΩΠΟΛΗ-ΠΕΔΙΑΔΟΣ</t>
  </si>
  <si>
    <t>ΕΙΔΙΚΟ ΝΗΠΙΑΓΩΓΕΙΟ ΗΡΑΚΛΕΙΟ - ΚΩΦΩΝ-ΒΑΡΗΚΟΩΝ</t>
  </si>
  <si>
    <t>mail@nip-ekv-irakl.ira.sch.gr</t>
  </si>
  <si>
    <t>38ο ΝΗΠΙΑΓΩΓΕΙΟ  ΗΡΑΚΛΕΙΟΥ</t>
  </si>
  <si>
    <t>mail@38nip-irakl.ira.sch.gr</t>
  </si>
  <si>
    <t>ΑΡΓΥΡΟΚΑΣΤΡΟΥ 81</t>
  </si>
  <si>
    <t>mail@12dim-irakl.ira.sch.gr</t>
  </si>
  <si>
    <t>Κράπης 4</t>
  </si>
  <si>
    <t>2ο ΝΗΠΙΑΓΩΓΕΙΟ ΗΡΑΚΛΕΙΟΥ</t>
  </si>
  <si>
    <t>mail@2nip-irakl.ira.sch.gr</t>
  </si>
  <si>
    <t>ΕΜΜ.ΒΕΙΣΑΚΗ 32</t>
  </si>
  <si>
    <t>1ο  ΝΗΠΙΑΓΩΓΕΙΟ ΑΡΧΑΝΩΝ</t>
  </si>
  <si>
    <t>mail@1nip-an-archan.ira.sch.gr</t>
  </si>
  <si>
    <t>ΑΝΩ ΑΡΧΑΝΕΣ</t>
  </si>
  <si>
    <t>ΝΙΚ.ΨΑΛΤΑΚΗ 19</t>
  </si>
  <si>
    <t>ΚΑΤΩ ΑΡΧΑΝΩΝ</t>
  </si>
  <si>
    <t>2ο ΝΗΠΙΑΓΩΓΕΙΟ ΑΝΩ ΑΡΧΑΝΩΝ</t>
  </si>
  <si>
    <t>mail@2nip-an-archan.ira.sch.gr</t>
  </si>
  <si>
    <t>ΟΛΟΗΜΕΡΟ ΝΗΠΙΑΓΩΓΕΙΟ ΚΑΤΩ ΓΟΥΒΕΣ</t>
  </si>
  <si>
    <t>mail@nip-kat-gouvon.ira.sch.gr</t>
  </si>
  <si>
    <t>ΚΑΤΩ ΓΟΥΒΕΣ</t>
  </si>
  <si>
    <t>10ο Ολοήμερο Νηπιαγωγείο Ηρακλείου</t>
  </si>
  <si>
    <t>mail@10nip-irakl.ira.sch.gr</t>
  </si>
  <si>
    <t>Μελιδονίου 4</t>
  </si>
  <si>
    <t>ΕΛΑΙΑΣ</t>
  </si>
  <si>
    <t>ΝΗΠΙΑΓΩΓΕΙΟ ΕΛΙΑΣ</t>
  </si>
  <si>
    <t>mail@nip-elaias.ira.sch.gr</t>
  </si>
  <si>
    <t>ΕΛΙΑΣ</t>
  </si>
  <si>
    <t>ΕΛΙΑ- ΠΕΔΙΑΔΟΣ</t>
  </si>
  <si>
    <t>4ο ΝΗΠΙΑΓΩΓΕΙΟ ΗΡΑΚΛΕΙΟΥ</t>
  </si>
  <si>
    <t>mail@4nip-irakl.ira.sch.gr</t>
  </si>
  <si>
    <t>7ο ΝΗΠΙΑΓΩΓΕΙΟ ΗΡΑΚΛΕΙΟΥ</t>
  </si>
  <si>
    <t>mail@7nip-irakl.ira.sch.gr</t>
  </si>
  <si>
    <t>ΜΕΤΕΩΡΩΝ 17</t>
  </si>
  <si>
    <t>1ο ΝΗΠΙΑΓΩΓΕΙΟ ΗΡΑΚΛΕΙΟΥ - ΜΠΟΔΟΣΑΚΕΙΟ</t>
  </si>
  <si>
    <t>mail@1nip-irakl.ira.sch.gr</t>
  </si>
  <si>
    <t>ΧΙΛΙΑ ΟΧΤΑΚΟΣΙΑ ΕΒΔΟΜΗΝΤΑ ΟΧΤΩ 2</t>
  </si>
  <si>
    <t>ΝΗΠΙΑΓΩΓΕΙΟ ΑΝΩ ΓΟΥΒΕΣ</t>
  </si>
  <si>
    <t>mail@nip-gouvon.ira.sch.gr</t>
  </si>
  <si>
    <t>ΑΝΩ ΓΟΥΒΕΣ</t>
  </si>
  <si>
    <t>8ο ΟΛΟΗΜΕΡΟ ΝΗΠΙΑΓΩΓΕΙΟ ΗΡΑΚΛΕΙΟΥ</t>
  </si>
  <si>
    <t>mail@8nip-irakl.ira.sch.gr</t>
  </si>
  <si>
    <t>ΕΜΜ. ΞΑΝΘΟΥ 13</t>
  </si>
  <si>
    <t>11ο ΝΗΠΙΑΓΩΓΕΙΟ ΗΡΑΚΛΕΙΟΥ</t>
  </si>
  <si>
    <t>mail@11nip-irakl.ira.sch.gr</t>
  </si>
  <si>
    <t>ΕΘΝΙΚΗΣ ΑΝΤΙΣΤΑΣΕΩΣ 54</t>
  </si>
  <si>
    <t>15ο ΝΗΠΙΑΓΩΓΕΙΟ ΗΡΑΚΛΕΙΟΥ</t>
  </si>
  <si>
    <t>mail@15nip-irakl.ira.sch.gr</t>
  </si>
  <si>
    <t>ΡΟΔΩΝ 10</t>
  </si>
  <si>
    <t>25ο ΝΗΠΙΑΓΩΓΕΙΟ ΗΡΑΚΛΕΙΟΥ</t>
  </si>
  <si>
    <t>mail@25nip-irakl.ira.sch.gr</t>
  </si>
  <si>
    <t>ΣΓΟΥΡΟΜΑΛΛΙΝΗΣ 1</t>
  </si>
  <si>
    <t>26ο  ΝΗΠΙΑΓΩΓΕΙΟ ΗΡΑΚΛΕΙΟΥ</t>
  </si>
  <si>
    <t>mail@26nip-irakl.ira.sch.gr</t>
  </si>
  <si>
    <t>ΜΟΥΣΣΩΝ 71</t>
  </si>
  <si>
    <t>34ο ΝΗΠΙΑΓΩΓΕΙΟ ΗΡΑΚΛΕΙΟΥ</t>
  </si>
  <si>
    <t>mail@34nip-irakl.ira.sch.gr</t>
  </si>
  <si>
    <t>54ο ΝΗΠΙΑΓΩΓΕΙΟ ΗΡΑΚΛΕΙΟΥ</t>
  </si>
  <si>
    <t>mail@54nip-irakl.ira.sch.gr</t>
  </si>
  <si>
    <t>ΕΒΡΟΥ ΚΑΙ ΑΡΤΑΣ 10</t>
  </si>
  <si>
    <t>35ο ΝΗΠΙΑΓΩΓΕΙΟ ΗΡΑΚΛΕΙΟΥ</t>
  </si>
  <si>
    <t>mail@35nip-irakl.ira.sch.gr</t>
  </si>
  <si>
    <t>ΜΟΥΣΣΩΝ  71</t>
  </si>
  <si>
    <t>31ο ΝΗΠΙΑΓΩΓΕΙΟ ΗΡΑΚΛΕΙΟΥ</t>
  </si>
  <si>
    <t>mail@31nip-irakl.ira.sch.gr</t>
  </si>
  <si>
    <t>ΛΑΠΠΑ 63</t>
  </si>
  <si>
    <t>68ο ΝΗΠΙΑΓΩΓΕΙΟ ΗΡΑΚΛΕΙΟΥ</t>
  </si>
  <si>
    <t>mail@68nip-irakl.ira.sch.gr</t>
  </si>
  <si>
    <t>ΑΛΜΠΕΡΤ ΣΒΑΪΤΣΕΡ 61</t>
  </si>
  <si>
    <t>36ο ΝΗΠΙΑΓΩΓΕΙΟ ΗΡΑΚΛΕΙΟΥ</t>
  </si>
  <si>
    <t>mail@36nip-irakl.ira.sch.gr</t>
  </si>
  <si>
    <t>ΕΚΑΤΗΣ 9</t>
  </si>
  <si>
    <t>51ο ΝΗΠΙΑΓΩΓΕΙΟ ΗΡΑΚΛΕΙΟΥ</t>
  </si>
  <si>
    <t>mail@51nip-irakl.ira.sch.gr</t>
  </si>
  <si>
    <t>Ι. ΚΑΡΔΙΤΣΗ 10</t>
  </si>
  <si>
    <t>ΒΑΣΙΛΕΙΩΝ</t>
  </si>
  <si>
    <t>ΝΗΠΙΑΓΩΓΕΙΟ ΑΓΙΟΥ ΒΛΑΣΗ</t>
  </si>
  <si>
    <t>mail@nip-ag-vlass.ira.sch.gr</t>
  </si>
  <si>
    <t>ΑΓΙΟΥ ΒΛΑΣΗ</t>
  </si>
  <si>
    <t>ΑΓ. ΒΛΑΣΗΣ</t>
  </si>
  <si>
    <t>ΝΗΠΙΑΓΩΓΕΙΟ ΑΓΙΟΥ ΘΩΜΑ ΗΡΑΚΛΕΙΟΥ</t>
  </si>
  <si>
    <t>mail@nip-ag-thoma.ira.sch.gr</t>
  </si>
  <si>
    <t>ΑΓ. ΘΩΜΑΣ</t>
  </si>
  <si>
    <t>22ο ΝΗΠΙΑΓΩΓΕΙΟ ΗΡΑΚΛΕΙΟΥ</t>
  </si>
  <si>
    <t>mail@22nip-irakl.ira.sch.gr</t>
  </si>
  <si>
    <t>ΣΑΚΟΥΛΙΕΡΗΔΩΝ 24</t>
  </si>
  <si>
    <t>40ο ΟΛΟΗΜΕΡΟ ΝΗΠΙΑΓΩΓΕΙΟ ΗΡΑΚΛΕΙΟΥ</t>
  </si>
  <si>
    <t>mail@40nip-irakl.ira.sch.gr</t>
  </si>
  <si>
    <t>ΚΑΤΩ ΑΣΙΤΩΝ</t>
  </si>
  <si>
    <t>ΝΗΠΙΑΓΩΓΕΙΟ ΚΑΤΩ ΑΣΙΤΩΝ</t>
  </si>
  <si>
    <t>mail@nip-kat-asiton.ira.sch.gr</t>
  </si>
  <si>
    <t>ΚΑΤΩ ΑΣΙΤΕΣ</t>
  </si>
  <si>
    <t>53ο  ΝΗΠΙΑΓΩΓΕΙΟ  ΗΡΑΚΛΕΙΟΥ</t>
  </si>
  <si>
    <t>mail@53nip-irakl.ira.sch.gr</t>
  </si>
  <si>
    <t>ΕΡΓΑΤΙΚΕΣ ΚΑΤΟΙΚΙΕΣ ΜΠΕΝΤΕΒΗ</t>
  </si>
  <si>
    <t>64ο  ΝΗΠΙΑΓΩΓΕΙΟ ΗΡΑΚΛΕΙΟΥ</t>
  </si>
  <si>
    <t>mail@64nip-irakl.ira.sch.gr</t>
  </si>
  <si>
    <t>ΒΟΡΕΑΔΗ &amp; ΕΡΜΗ</t>
  </si>
  <si>
    <t>3ο ΝΗΠΙΑΓΩΓΕΙΟ ΗΡΑΚΛΕΙΟΥ</t>
  </si>
  <si>
    <t>mail@3nip-irakl.ira.sch.gr</t>
  </si>
  <si>
    <t>ΚΑΛΟΚΑΙΡΙΝΟΥ 197</t>
  </si>
  <si>
    <t>67ο ΝΗΠΙΑΓΩΓΕΙΟ ΗΡΑΚΛΕΙΟΥ</t>
  </si>
  <si>
    <t>mail@67nip-irakl.ira.sch.gr</t>
  </si>
  <si>
    <t>Δ. ΜΠΟΥΡΛΑΚΗ 17</t>
  </si>
  <si>
    <t>1ο ΕΙΔΙΚΟ ΝΗΠΙΑΓΩΓΕΙΟ ΗΡΑΚΛΕΙΟ</t>
  </si>
  <si>
    <t>mail@1nip-eid-irakl.ira.sch.gr</t>
  </si>
  <si>
    <t>ΑΠΕΛΛΟΥ ΚΑΙ ΡΟΔΑΡΙΑΣ</t>
  </si>
  <si>
    <t>5ο  ΝΗΠΙΑΓΩΓΕΙΟ ΗΡΑΚΛΕΙΟΥ</t>
  </si>
  <si>
    <t>mail@5nip-irakl.ira.sch.gr</t>
  </si>
  <si>
    <t>Π. ΠΕΡΙΔΗ 23</t>
  </si>
  <si>
    <t>ΝΗΠΙΑΓΩΓΕΙΟ ΚΑΛΛΙΘΕΑΣ ΗΡΑΚΛΕΙΟΥ</t>
  </si>
  <si>
    <t>mail@nip-kallith.ira.sch.gr</t>
  </si>
  <si>
    <t>ΑΓΙΩΝ ΠΑΝΤΩΝ 13</t>
  </si>
  <si>
    <t>23ο ΝΗΠΙΑΓΩΓΕΙΟ ΗΡΑΚΛΕΙΟΥ</t>
  </si>
  <si>
    <t>mail@23nip-irakl.ira.sch.gr</t>
  </si>
  <si>
    <t>ΛΑΣΑΙΑΣ ΚΑΙ ΑΥΛΩΝΟΣ</t>
  </si>
  <si>
    <t>21ο  ΝΗΠΙΑΓΩΓΕΙΟ ΗΡΑΚΛΕΙΟΥ</t>
  </si>
  <si>
    <t>mail@21nip-irakl.ira.sch.gr</t>
  </si>
  <si>
    <t>9ο ΝΗΠΙΑΓΩΓΕΙΟ ΗΡΑΚΛΕΙΟΥ</t>
  </si>
  <si>
    <t>mail@9nip-irakl.ira.sch.gr</t>
  </si>
  <si>
    <t>Ι.ΡΩΜΑΝΙΔΗ 7</t>
  </si>
  <si>
    <t>2ο ΕΙΔΙΚΟ ΝΗΠΙΑΓΩΓΕΙΟ ΗΡΑΚΛΕΙΟ</t>
  </si>
  <si>
    <t>mail@2nip-eid-irakl.ira.sch.gr</t>
  </si>
  <si>
    <t>ΛΕΩΦ. Α.ΠΑΠΑΝΔΡΕΟΥ 8</t>
  </si>
  <si>
    <t>72ο  ΝΗΠΙΑΓΩΓΕΙΟ ΗΡΑΚΛΕΙΟ</t>
  </si>
  <si>
    <t>mail@72nip-irakl.ira.sch.gr</t>
  </si>
  <si>
    <t>ΙΩΑΝΝΟΥ ΚΑΡΔΙΤΣΗ                                   10</t>
  </si>
  <si>
    <t>18ο ΝΗΠΙΑΓΩΓΕΙΟ ΗΡΑΚΛΕΙΟΥ</t>
  </si>
  <si>
    <t>mail@18nip-irakl.ira.sch.gr</t>
  </si>
  <si>
    <t>ΕΚΤΟΡΟΣ 6</t>
  </si>
  <si>
    <t>24ο  ΝΗΠΙΑΓΩΓΕΙΟ ΗΡΑΚΛΕΙΟΥ</t>
  </si>
  <si>
    <t>mail@24nip-irakl.ira.sch.gr</t>
  </si>
  <si>
    <t>ΚΑΣΤΡΙΝΑΚΗ 82</t>
  </si>
  <si>
    <t>ΓΩΝΙΩΝ ΠΕΔΙΑΔΟΣ</t>
  </si>
  <si>
    <t>ΝΗΠΙΑΓΩΓΕΙΟ ΓΩΝΙΕΣ ΠΕΔΙΑΔΟΣ</t>
  </si>
  <si>
    <t>mail@nip-gonion.ira.sch.gr</t>
  </si>
  <si>
    <t>ΓΩΝΙΕΣ ΠΕΔΙΑΔΟΣ</t>
  </si>
  <si>
    <t>57ο ΝΗΠΙΑΓΩΓΕΙΟ ΗΡΑΚΛΕΙΟΥ ΚΡΗΤΗΣ</t>
  </si>
  <si>
    <t>mail@57nip-irakl.ira.sch.gr</t>
  </si>
  <si>
    <t>ΜΕΣΑΜΠΕΛΙΕΣ - ΗΛΙΟΥΠΟΛΗ</t>
  </si>
  <si>
    <t>ΠΑΠΑ ΠΕΤΡΟΥ ΓΑΒΑΛΑ 69 HΡΑΚΛΕΙΟ ΚΡΗΤΗΣ</t>
  </si>
  <si>
    <t>ΚΟΥΝΑΒΩΝ</t>
  </si>
  <si>
    <t>2/ΘΕΣΙΟ ΝΗΠΙΑΓΩΓΕΙΟ ΚΟΥΝΑΒΩΝ</t>
  </si>
  <si>
    <t>mail@nip-kounav.ira.sch.gr</t>
  </si>
  <si>
    <t>ΚΟΥΝΑΒΟΙ</t>
  </si>
  <si>
    <t>6ο ΝΗΠΙΑΓΩΓΕΙΟ ΗΡΑΚΛΕΙΟΥ</t>
  </si>
  <si>
    <t>mail@6nip-irakl.ira.sch.gr</t>
  </si>
  <si>
    <t>ΜΕΤΑΞΟΧΩΡΙΟΥ</t>
  </si>
  <si>
    <t>ΝΗΠΙΑΓΩΓΕΙΟ ΜΕΤΑΞΟΧΩΡΙΟΥ</t>
  </si>
  <si>
    <t>mail@nip-metax.ira.sch.gr</t>
  </si>
  <si>
    <t>ΜΕΤΑΞΟΧΩΡΙ</t>
  </si>
  <si>
    <t>27ο ΝΗΠΙΑΓΩΓΕΙΟ ΗΡΑΚΛΕΙΟΥ</t>
  </si>
  <si>
    <t>mail@27nip-irakl.ira.sch.gr</t>
  </si>
  <si>
    <t>ΑΓΛΑΙΑΣ ΒΟΓΙΑΤΖΑΚΗ 7</t>
  </si>
  <si>
    <t>1ο ΝΗΠΙΑΓΩΓΕΙΟ Λ. ΧΕΡΣΟΝΗΣΟΥ</t>
  </si>
  <si>
    <t>mail@1nip-limen.ira.sch.gr</t>
  </si>
  <si>
    <t>Λ. ΧΕΡΣΟΝΗΣΟΥ</t>
  </si>
  <si>
    <t>ΣΑΝΟΥΔΑΚΗ 15</t>
  </si>
  <si>
    <t>1ο ΝΗΠΙΑΓΩΓΕΙΟ ΜΑΛΙΩΝ</t>
  </si>
  <si>
    <t>mail@1nip-malion.ira.sch.gr</t>
  </si>
  <si>
    <t>ΕΛΛΗΣ ΑΛΕΞΙΟΥ 1</t>
  </si>
  <si>
    <t>32ο Νηπιαγωγείο Ηρακλείου</t>
  </si>
  <si>
    <t>mail@32nip-irakl.ira.sch.gr</t>
  </si>
  <si>
    <t>Ηράκλειο Κρήτης</t>
  </si>
  <si>
    <t>Υακίνθου 1</t>
  </si>
  <si>
    <t>2ο ΝΗΠΙΑΓΩΓΕΙΟ ΜΑΛΙΩΝ</t>
  </si>
  <si>
    <t>mail@2nip-malion.ira.sch.gr</t>
  </si>
  <si>
    <t>ΜΙΧΕΛΙΔΑΚΗ 1</t>
  </si>
  <si>
    <t>ΝΗΠΙΑΓΩΓΕΙΟ ΜΟΧΟΥ</t>
  </si>
  <si>
    <t>mail@nip-mochou.ira.sch.gr</t>
  </si>
  <si>
    <t>41ο Νηπιαγωγείο Ηρακλείου</t>
  </si>
  <si>
    <t>mail@41nip-irakl.ira.sch.gr</t>
  </si>
  <si>
    <t>ΠΥΡΑΝΘΟΥ</t>
  </si>
  <si>
    <t>37ο  ΝΗΠΙΑΓΩΓΕΙΟ ΗΡΑΚΛΕΙΟΥ</t>
  </si>
  <si>
    <t>mail@37nip-irakl.ira.sch.gr</t>
  </si>
  <si>
    <t>ΦΟΙΝΙΚΟΣ 16</t>
  </si>
  <si>
    <t>44 ΝΗΠΙΑΓΩΓΕΙΟ ΗΡΑΚΛΕΙΟΥ</t>
  </si>
  <si>
    <t>mail@44nip-irakl.ira.sch.gr</t>
  </si>
  <si>
    <t>ΠΑΛΑΙΟΚΑΠΑ 55</t>
  </si>
  <si>
    <t>46ο  ΝΗΠΙΑΓΩΓΕΙΟ ΗΡΑΚΛΕΙΟΥ</t>
  </si>
  <si>
    <t>mail@46nip-irakl.ira.sch.gr</t>
  </si>
  <si>
    <t>ΚΟΝΔΥΛΑΚΗ 90</t>
  </si>
  <si>
    <t>33ο  ΝΗΠΙΑΓΩΓΕΙΟ ΗΡΑΚΛΕΙΟΥ</t>
  </si>
  <si>
    <t>mail@33nip-irakl.ira.sch.gr</t>
  </si>
  <si>
    <t>ΑΛΑΜΑΝΑΣ ΚΑΙ ΙΩΑΝΝΗ ΡΩΜΑΝΙΔΗ</t>
  </si>
  <si>
    <t>3ο ΝΗΠΙΑΓΩΓΕΙΟ ΜΑΛΙΩΝ</t>
  </si>
  <si>
    <t>mail@3nip-malion.ira.sch.gr</t>
  </si>
  <si>
    <t>ΜΑΛΙΑ</t>
  </si>
  <si>
    <t>2ο ΝΗΠΙΑΓΩΓΕΙΟ ΝΕΑΣ ΑΛΙΚΑΡΝΑΣΣΟΥ</t>
  </si>
  <si>
    <t>mail@2nip-n-alikarn.ira.sch.gr</t>
  </si>
  <si>
    <t>ΜΑΥΣΩΛΟΥ 105</t>
  </si>
  <si>
    <t>3ο ΝΗΠΙΑΓΩΓΕΙΟ ΝΕΑΣ ΑΛΙΚΑΡΝΑΣΣΟΥ</t>
  </si>
  <si>
    <t>mail@3nip-n-alikarn.ira.sch.gr</t>
  </si>
  <si>
    <t>ΕΙΣΟΔΟΣ ΓΗΠΕΔΟΥ ΗΡΟΔΟΤΟΥ</t>
  </si>
  <si>
    <t>42ο ΝΗΠΙΑΓΩΓΕΙΟ ΗΡΑΚΛΕΙΟΥ</t>
  </si>
  <si>
    <t>mail@42nip-irakl.ira.sch.gr</t>
  </si>
  <si>
    <t>ΔΡΥΜΗΤΙΝΟΥ 58</t>
  </si>
  <si>
    <t>4ο ΝΗΠΙΑΓΩΓΕΙΟ ΝΕΑΣ ΑΛΙΚΑΡΝΑΣΣΟΥ</t>
  </si>
  <si>
    <t>mail@4nip-n-alikarn.ira.sch.gr</t>
  </si>
  <si>
    <t>ΑΓ. ΓΕΩΡΓΙΟΥ 11</t>
  </si>
  <si>
    <t>43ο  ΝΗΠΙΑΓΩΓΕΙΟ ΗΡΑΚΛΕΙΟΥ</t>
  </si>
  <si>
    <t>mail@43nip-irakl.ira.sch.gr</t>
  </si>
  <si>
    <t>ΥΑΚΙΝΘΟΥ 1</t>
  </si>
  <si>
    <t>48ο ΝΗΠΙΑΓΩΓΕΙΟ ΗΡΑΚΛΕΙΟΥ</t>
  </si>
  <si>
    <t>mail@48nip-irakl.ira.sch.gr</t>
  </si>
  <si>
    <t>ΙΕΡΟΛΟΧΙΤΩΝ 42</t>
  </si>
  <si>
    <t>6ο ΝΗΠΙΑΓΩΓΕΙΟ ΝΕΑΣ ΑΛΙΚΑΡΝΑΣΣΟΥ</t>
  </si>
  <si>
    <t>mail@6nip-n-alikarn.ira.sch.gr</t>
  </si>
  <si>
    <t>7ο ΝΗΠΙΑΓΩΓΕΙΟ ΝΕΑΣ ΑΛΙΚΑΡΝΑΣΣΟΥ</t>
  </si>
  <si>
    <t>mail@7nip-n-alikarn.ira.sch.gr</t>
  </si>
  <si>
    <t>52ο ΝΗΠΙΑΓΩΓΕΙΟ ΗΡΑΚΛΕΙΟΥ</t>
  </si>
  <si>
    <t>mail@52nip-irakl.ira.sch.gr</t>
  </si>
  <si>
    <t>ΜΥΚΗΝΩΝ 10</t>
  </si>
  <si>
    <t>60ο  ΝΗΠΙΑΓΩΓΕΙΟ ΗΡΑΚΛΕΙΟΥ</t>
  </si>
  <si>
    <t>mail@60nip-irakl.ira.sch.gr</t>
  </si>
  <si>
    <t>ΑΝΘΕΩΝ 33</t>
  </si>
  <si>
    <t>61ο ΝΗΠΙΑΓΩΓΕΙΟ ΗΡΑΚΛΕΙΟΥ</t>
  </si>
  <si>
    <t>mail@61nip-irakl.ira.sch.gr</t>
  </si>
  <si>
    <t>ΑΛΕΞΑΝΔΡΟΥ ΔΕΛΜΟΥΖΟΥ 9</t>
  </si>
  <si>
    <t>ΣΤΟΛΩΝ</t>
  </si>
  <si>
    <t>mail@dim-stolon.ira.sch.gr</t>
  </si>
  <si>
    <t>ΣΤΟΛOI</t>
  </si>
  <si>
    <t>ΣΤΟΛΟΙ-ΑΣΗΜΙ</t>
  </si>
  <si>
    <t>ΧΟΥΔΕΤΣΙΟΥ</t>
  </si>
  <si>
    <t>ΝΗΠΙΑΓΩΓΕΙΟ ΧΟΥΔΕΤΣΙΟΥ</t>
  </si>
  <si>
    <t>mail@nip-choud.ira.sch.gr</t>
  </si>
  <si>
    <t>ΧΟΥΔΕΤΣΙ</t>
  </si>
  <si>
    <t>ΧΑΡΑΚΙΟΥ</t>
  </si>
  <si>
    <t>ΝΗΠΙΑΓΩΓΕΙΟ ΧΑΡΑΚΙΟΥ</t>
  </si>
  <si>
    <t>mail@nip-charakiou.ira.sch.gr</t>
  </si>
  <si>
    <t>ΧΑΡΑΚΙ-ΜΟΝΟΦΑΤΣΙΟΥ</t>
  </si>
  <si>
    <t>ΝΗΠΙΑΓΩΓΕΙΟ ΑΝΑΛΗΨΗΣ ΧΕΡΣΟΝΗΣΟΥ</t>
  </si>
  <si>
    <t>mail@nip-analips.ira.sch.gr</t>
  </si>
  <si>
    <t>ΑΝΑΛΗΨΗΣ ΧΕΡΣΟΝΗΣΟΥ</t>
  </si>
  <si>
    <t>ΑΝΑΛΗΨΗ ΧΕΡΣΟΝΗΣΟΥ</t>
  </si>
  <si>
    <t>2ο ΝΗΠΙΑΓΩΓΕΙΟ ΛΙΜΕΝΟΣ ΧΕΡΣΟΝΗΣΟΥ</t>
  </si>
  <si>
    <t>mail@2nip-limen.ira.sch.gr</t>
  </si>
  <si>
    <t>ΛΙΜΕΝΑΣ  ΧΕΡΣΟΝΗΣΟΥ</t>
  </si>
  <si>
    <t>49ο ΔΗΜΟΤΙΚΟ ΣΧΟΛΕΙΟ ΗΡΑΚΛΕΙΟΥ ΚΡΗΤΗΣ</t>
  </si>
  <si>
    <t>mail@49dim-irakl.ira.sch.gr</t>
  </si>
  <si>
    <t>1dimtym@sch.gr</t>
  </si>
  <si>
    <t>Τυμπάκι</t>
  </si>
  <si>
    <t>11ο ΟΛΟΗΜΕΡΟ ΔΗΜΟΤΙΚΟ ΣΧΟΛΕΙΟ ΗΡΑΚΛΕΙΟΥ</t>
  </si>
  <si>
    <t>mail@11dim-irakl.ira.sch.gr</t>
  </si>
  <si>
    <t>ΠΛΑΤΕΙΑ ΜΗΝΑ ΓΕΩΡΓΙΑΔΟΥ</t>
  </si>
  <si>
    <t>mail@dim-gourn.ira.sch.gr</t>
  </si>
  <si>
    <t>ΓΟΥΡΝΕΣ</t>
  </si>
  <si>
    <t>ΓΟΥΡΝΕΣ ΠΕΔΙΑΔΟΣ</t>
  </si>
  <si>
    <t>ΟΛΟΗΜΕΡΟ ΝΗΠΙΑΓΩΓΕΙΟ ΚΑΣΤΕΛΙΟΥ</t>
  </si>
  <si>
    <t>mail@nip-kastel.ira.sch.gr</t>
  </si>
  <si>
    <t>ΚΑΣΤΕΛΙΟΥ</t>
  </si>
  <si>
    <t>2ο ΔΗΜΟΤΙΚΟ ΣΧΟΛΕΙΟ ΜΟΙΡΩΝ</t>
  </si>
  <si>
    <t>mail@2dim-moiron.ira.sch.gr</t>
  </si>
  <si>
    <t>ΑΜΙΡΑ</t>
  </si>
  <si>
    <t>ΔΗΜΟΤΙΚΟ ΣΧΟΛΕΙΟ ΑΜΙΡΑ</t>
  </si>
  <si>
    <t>mail@dim-amira.ira.sch.gr</t>
  </si>
  <si>
    <t>ΑΜΙΡΑΣ</t>
  </si>
  <si>
    <t>mail@dim-kastell.ira.sch.gr</t>
  </si>
  <si>
    <t>ΚΑΣΤΕΛΛΙ</t>
  </si>
  <si>
    <t>66ο ΝΗΠΙΑΓΩΓΕΙΟ ΗΡΑΚΛΕΙΟΥ</t>
  </si>
  <si>
    <t>ΘΑΛΗ</t>
  </si>
  <si>
    <t>13ο ΝΗΠΙΑΓΩΓΕΙΟ ΗΡΑΚΛΕΙΟΥ</t>
  </si>
  <si>
    <t>mail@13nip-irakl.ira.sch.gr</t>
  </si>
  <si>
    <t>Λ.ΚΝΩΣΣΟΥ &amp; ΖΟΥΡΙΔΗ ΓΩΝΙΑ</t>
  </si>
  <si>
    <t>5ο ΝΗΠΙΑΓΩΓΕΙΟ ΝΕΑΣ ΑΛΙΚΑΡΝΑΣΣΟΥ</t>
  </si>
  <si>
    <t>mail@5nip-n-alikarn.ira.sch.gr</t>
  </si>
  <si>
    <t>ΜΑΥΣΩΛΟΥ 75</t>
  </si>
  <si>
    <t>1ο ΝΗΠΙΑΓΩΓΕΙΟ ΝΕΑΣ ΑΛΙΚΑΡΝΑΣΣΟΥ</t>
  </si>
  <si>
    <t>mail@1nip-n-alikarn.ira.sch.gr</t>
  </si>
  <si>
    <t>Ν. ΑΛΙΚΑΡΝΑΣΣΟΥ</t>
  </si>
  <si>
    <t>mail@dim-charaka.ira.sch.gr</t>
  </si>
  <si>
    <t>ΧΑΡΑΚΑΣ</t>
  </si>
  <si>
    <t>1ο ΕΙΔΙΚΟ ΔΗΜΟΤΙΚΟ ΣΧΟΛΕΙΟ ΗΡΑΚΛΕΙΟ</t>
  </si>
  <si>
    <t>mail@dim-eid-irakl.ira.sch.gr</t>
  </si>
  <si>
    <t>Α. ΠΑΠΑΝΔΡΕΟΥ 8</t>
  </si>
  <si>
    <t>65ο ΟΛΟΗΜΕΡΟ ΝΗΠΙΑΓΩΓΕΙΟ ΗΡΑΚΛΕΙΟΥ</t>
  </si>
  <si>
    <t>mail@65nip-irakl.ira.sch.gr</t>
  </si>
  <si>
    <t>ΕΡΥΘΡΟΥ ΣΤΑΥΡΟΥ ΚΑΙ ΠΡΟΚΛΟΥ 12</t>
  </si>
  <si>
    <t>58ο ΝΗΠΙΑΓΩΓΕΙΟ ΗΡΑΚΛΕΙΟΥ</t>
  </si>
  <si>
    <t>mail@58nip-irakl.ira.sch.gr</t>
  </si>
  <si>
    <t>ΜΑΓΓΑΝΑΡΗΔΩΝ 25</t>
  </si>
  <si>
    <t>ΦΟΔΕΛΕ</t>
  </si>
  <si>
    <t>ΝΗΠΙΑΓΩΓΕΙΟ ΦΟΔΕΛΕ</t>
  </si>
  <si>
    <t>minaparadisi@gmail.com</t>
  </si>
  <si>
    <t>heraklion</t>
  </si>
  <si>
    <t>ΦΟΔΕΛΕ ΗΡΑΚΛΕΙΟΥ</t>
  </si>
  <si>
    <t>ΝΗΠΙΑΓΩΓΕΙΟ ΚΑΡΤΕΡΟΥ</t>
  </si>
  <si>
    <t>mail@nip-karter.ira.sch.gr</t>
  </si>
  <si>
    <t>ΚΑΡΤΕΡΟΣ</t>
  </si>
  <si>
    <t>1/ΘΕΣΙΟ ΝΗΠΙΑΓΩΓΕΙΟ ΤΥΛΙΣΟΥ</t>
  </si>
  <si>
    <t>mail@nip-tylis.ira.sch.gr</t>
  </si>
  <si>
    <t>ΜΥΡΤΙΑΣ</t>
  </si>
  <si>
    <t>ΝΗΠΙΑΓΩΓΕΙΟ ΜΥΡΤΙΑΣ ΗΡΑΚΛΕΙΟΥ</t>
  </si>
  <si>
    <t>sia.kalaitzaki@gmail.com</t>
  </si>
  <si>
    <t>ΝΗΠΙΑΓΩΓΕΙΟ ΒΑΣΙΛΕΙΩΝ ΗΡΑΚΛΕΙΟΥ</t>
  </si>
  <si>
    <t>mail@nip-vasil.ira.sch.gr</t>
  </si>
  <si>
    <t>ΒΑΣΙΛΕΙΩΝ ΗΡΑΚΛΕΙΟΥ</t>
  </si>
  <si>
    <t>Λ.ΕΘΝΙΚΗΣ ΑΝΤΙΣΤΑΣΗΣ 128</t>
  </si>
  <si>
    <t>mail@dim-myrteas.ira.sch.gr</t>
  </si>
  <si>
    <t>1ο ΝΗΠΙΑΓΩΓΕΙΟ ΓΑΖΙΟΥ</t>
  </si>
  <si>
    <t>mail@1nip-gaziou.ira.sch.gr</t>
  </si>
  <si>
    <t>ΓΡ. ΞΕΝΟΠΟΥΛΟΥ 7</t>
  </si>
  <si>
    <t>mail@2dim-irakl.ira.sch.gr</t>
  </si>
  <si>
    <t>ΧΙΛΙΑ ΟΚΤΑΚΟΣΙΑ ΕΒΔΟΜΗΝΤΑ ΟΚΤΩ 2</t>
  </si>
  <si>
    <t>29ο  ΝΗΠΙΑΓΩΓΕΙΟ ΗΡΑΚΛΕΙΟΥ</t>
  </si>
  <si>
    <t>mail@29nip-irakl.ira.sch.gr</t>
  </si>
  <si>
    <t>ΓΕΩΡΓΙΟΥ ΜΑΡΑΝΤΗ  ΤΕΡΜΑ</t>
  </si>
  <si>
    <t>mail@dim-kapar.ira.sch.gr</t>
  </si>
  <si>
    <t>ΔΗΜΟΤΙΚΟ ΣΧΟΛΕΙΟ ΕΛΙΑΣ</t>
  </si>
  <si>
    <t>mail@dim-elaias.ira.sch.gr</t>
  </si>
  <si>
    <t>ΕΛΙΑ</t>
  </si>
  <si>
    <t>49ο ΝΗΠΙΑΓΩΓΕΙΟ ΗΡΑΚΛΕΙΟΥ</t>
  </si>
  <si>
    <t>mail@49nip-irakl.ira.sch.gr</t>
  </si>
  <si>
    <t>ΠΟΝΤΟΥ 10</t>
  </si>
  <si>
    <t>62ο ΝΗΠΙΑΓΩΓΕΙΟ ΗΡΑΚΛΕΙΟΥ</t>
  </si>
  <si>
    <t>mail@62nip-irakl.ira.sch.gr</t>
  </si>
  <si>
    <t>ΚΥΒΕΛΗΣ 29</t>
  </si>
  <si>
    <t>2ο ΝΗΠΙΑΓΩΓΕΙΟ ΑΡΚΑΛΟΧΩΡΙΟΥ</t>
  </si>
  <si>
    <t>mail@2nip-arkal.ira.sch.gr</t>
  </si>
  <si>
    <t>69ο ΝΗΠΙΑΓΩΓΕΙΟ ΗΡΑΚΛΕΙΟΥ</t>
  </si>
  <si>
    <t>mail@69nip-irakl.ira.sch.gr</t>
  </si>
  <si>
    <t>Π.ΜΠΑΚΟΓΙΑΝΝΗ 5</t>
  </si>
  <si>
    <t>ΚΑΛΕΣΙΩΝ</t>
  </si>
  <si>
    <t>ΟΛΟΗΜΕΡΟ ΝΗΠΙΑΓΩΓΕΙΟ ΚΑΛΕΣΣΑ</t>
  </si>
  <si>
    <t>mail@nip-kales.ira.sch.gr</t>
  </si>
  <si>
    <t>ΚΑΛΕΣΣΑ</t>
  </si>
  <si>
    <t>3ο  ΝΗΠΙΑΓΩΓΕΙΟ ΑΓΙΑΣ ΜΑΡΙΝΑΣ</t>
  </si>
  <si>
    <t>mail@3nip-ag-marin.ira.sch.gr</t>
  </si>
  <si>
    <t>ΠΡΟΜΗΘΕΩΣ 33</t>
  </si>
  <si>
    <t>dimepiskira@sch.gr</t>
  </si>
  <si>
    <t>ΑΝΩ ΑΣΙΤΩΝ</t>
  </si>
  <si>
    <t>ΝΗΠΙΑΓΩΓΕΙΟ ΑΝΩ ΑΣΙΤΩΝ</t>
  </si>
  <si>
    <t>mail@nip-an-asiton.ira.sch.gr</t>
  </si>
  <si>
    <t>ΑΝΩ ΑΣΙΤΕΣ</t>
  </si>
  <si>
    <t>ΑΝΩ  ΑΣΙΤΕΣ</t>
  </si>
  <si>
    <t>ΕΜΠΑΡΟΥ</t>
  </si>
  <si>
    <t>2/Θ ΔΗΜΟΤΙΚΟ ΣΧΟΛΕΙΟ ΕΜΠΑΡΟΥ</t>
  </si>
  <si>
    <t>mail@dim-empar.ira.sch.gr</t>
  </si>
  <si>
    <t>ΕΜΠΑΡΟΣ</t>
  </si>
  <si>
    <t>ΕΜΠΑΡΟΣ ΠΕΔΙΑΔΟΣ</t>
  </si>
  <si>
    <t>2ο  ΝΗΠΙΑΓΩΓΕΙΟ ΑΓΙΑ ΜΑΡΙΝΑΣ</t>
  </si>
  <si>
    <t>mail@2nip-ag-marin.ira.sch.gr</t>
  </si>
  <si>
    <t>Πλατεία  Αγίας Μαρίνας (Αγία Μαρίνα)</t>
  </si>
  <si>
    <t>1ο ΝΗΠΙΑΓΩΓΕΙΟ ΑΓΙΑΣ ΜΑΡΙΝΑΣ</t>
  </si>
  <si>
    <t>mail@1nip-ag-marin.ira.sch.gr</t>
  </si>
  <si>
    <t>ΓΑΖΙ</t>
  </si>
  <si>
    <t>ΓΩΝΙΑ ΜΗΤΣΟΤΑΚΗ ΚΑΙ ΚΑΝΕΛΛΟΠΟΥΛΟΥ ΑΜΜΟΥΔΑΡΑ</t>
  </si>
  <si>
    <t>mail@dim-metax.ira.sch.gr</t>
  </si>
  <si>
    <t>Μεταξοχώρι</t>
  </si>
  <si>
    <t>ΚΑΣΤΕΛΛΙΑΝΩΝ</t>
  </si>
  <si>
    <t>ΝΗΠΙΑΓΩΓΕΙΟ ΚΑΤΩ ΚΑΣΤΕΛΛΙΑΝΩΝ</t>
  </si>
  <si>
    <t>mail@nip-k-kastel.ira.sch.gr</t>
  </si>
  <si>
    <t>ΚΑΤΩ ΚΑΣΤΕΛΛΙΑΝΩΝ</t>
  </si>
  <si>
    <t>ΚΑΤΩ ΚΑΣΤΕΛΛΙΑΝΑ</t>
  </si>
  <si>
    <t>3ο ΝΗΠΙΑΓΩΓΕΙΟ ΓΑΖΙΟΥ</t>
  </si>
  <si>
    <t>mail@3nip-gaziou.ira.sch.gr</t>
  </si>
  <si>
    <t xml:space="preserve">ΓΑΖΙ </t>
  </si>
  <si>
    <t>Γ. ΞΕΝΟΠΟΥΛΟΥ 7 και Γ. Δροσίνη 11</t>
  </si>
  <si>
    <t>ΣΓΟΥΡΟΚΕΦΑΛΙΟΥ</t>
  </si>
  <si>
    <t>ΔΗΜΟΤΙΚΟ ΣΧΟΛΕΙΟ ΣΓΟΥΡΟΚΕΦΑΛΙ</t>
  </si>
  <si>
    <t>mail@dim-sgour.ira.sch.gr</t>
  </si>
  <si>
    <t>ΣΓΟΥΡΟΚΕΦΑΛΙ</t>
  </si>
  <si>
    <t>mail@46dim-irakl.ira.sch.gr</t>
  </si>
  <si>
    <t>ΠΑΠΑΠΕΤΡΟΥ ΓΑΒΑΛΑ 41</t>
  </si>
  <si>
    <t>ΔΗΜΟΤΙΚΟ ΣΧΟΛΕΙΟ ΤΕΦΕΛΙΟΥ</t>
  </si>
  <si>
    <t>mail@dim-tefel.ira.sch.gr</t>
  </si>
  <si>
    <t>ΤΕΦΕΛΙ</t>
  </si>
  <si>
    <t>ΑΓΙΩΝ ΠΑΡΑΣΚΙΩΝ</t>
  </si>
  <si>
    <t>ΔΗΜΟΤΙΚΟ ΣΧΟΛΕΙΟ ΑΓΙΩΝ ΠΑΡΑΣΚΙΩΝ</t>
  </si>
  <si>
    <t>dimapar@sch.gr</t>
  </si>
  <si>
    <t>ΑΓΙΕΣ ΠΑΡΑΣΚΙΕΣ</t>
  </si>
  <si>
    <t>mail@24dim-irakl.ira.sch.gr</t>
  </si>
  <si>
    <t>ΓΕΡΩΝΥΜΑΚΗ 13</t>
  </si>
  <si>
    <t>31ο ΔΗΜΟΤΙΚΟ ΣΧΟΛΕΙΟ ΗΡΑΚΛΕΙΟΥ</t>
  </si>
  <si>
    <t>mail@31dim-irakl.ira.sch.gr</t>
  </si>
  <si>
    <t>ΗΡΑΚΛΕΙΟ,</t>
  </si>
  <si>
    <t>55ο ΝΗΠΙΑΓΩΓΕΙΟ ΗΡΑΚΛΕΙΟΥ</t>
  </si>
  <si>
    <t>mail@55nip-irakl.ira.sch.gr</t>
  </si>
  <si>
    <t>ΑΓΙΟΥ ΣΥΛΛΑ</t>
  </si>
  <si>
    <t>ΔΗΜΟΤΙΚΟ ΣΧΟΛΕΙΟ ΑΓΙΟΥ ΣΥΛΛΑ</t>
  </si>
  <si>
    <t>mail@dim-ag-sylla.ira.sch.gr</t>
  </si>
  <si>
    <t>ΑΓΙΟΣ ΣΥΛΛΑΣ</t>
  </si>
  <si>
    <t>ΕΙΔΙΚΟ ΔΗΜΟΤΙΚΟ ΣΧΟΛΕΙΟ ΗΡΑΚΛΕΙΟ-ΚΡΗΤΗΣ - ΕΙΔΙΚΟ ΔΗΜΟΤΙΚΟ ΣΧΟΛΕΙΟ ΚΩΦΩΝ ΒΑΡΗΚΟΩΝ ΗΡΑΚΛΕΙΟΥ</t>
  </si>
  <si>
    <t>mail@dim-ekv-irakl.ira.sch.gr</t>
  </si>
  <si>
    <t>ΗΡΑΚΛΕΙΟ-ΚΡΗΤΗΣ</t>
  </si>
  <si>
    <t>ΔΗΜΟΤΙΚΟ ΣΧΟΛΕΙΟ ΒΑΣΙΛΕΙΩΝ</t>
  </si>
  <si>
    <t>mail@dim-vasil.ira.sch.gr</t>
  </si>
  <si>
    <t>Βασιλειές</t>
  </si>
  <si>
    <t>Κ. Πατραμάνη 12</t>
  </si>
  <si>
    <t>ΝΗΠΙΑΓΩΓΕΙΟ ΑΓΙΩΝ ΠΑΡΑΣΚΙΩΝ</t>
  </si>
  <si>
    <t>mail@nip-ag-parask.ira.sch.gr</t>
  </si>
  <si>
    <t>ΜΕΛΕΣΣΕΣ</t>
  </si>
  <si>
    <t>ΔΑΦΝΕ</t>
  </si>
  <si>
    <t>ΔΗΜΟΤΙΚΟ ΣΧΟΛΕΙΟ ΔΑΦΝΩΝ</t>
  </si>
  <si>
    <t>mail@dim-dafnon.ira.sch.gr</t>
  </si>
  <si>
    <t>ΔΑΦΝΕΣ</t>
  </si>
  <si>
    <t>ΧΟΝΔΡΟΥ</t>
  </si>
  <si>
    <t>ΝΗΠΙΑΓΩΓΕΙΟ ΚΑΣΤΡΙ</t>
  </si>
  <si>
    <t>mail@nip-kastr.ira.sch.gr</t>
  </si>
  <si>
    <t>ΑΝΩ ΒΙΑΝΝΟΣ</t>
  </si>
  <si>
    <t>47ο ΔΗΜΟΤΙΚΟ ΣΧΟΛΕΙΟ ΗΡΑΚΛΕΙΟΥ ΚΡΗΤΗΣ</t>
  </si>
  <si>
    <t>mail@47dim-irakl.ira.sch.gr</t>
  </si>
  <si>
    <t>ΚΡΑΣΑΔΑΚΗ 19</t>
  </si>
  <si>
    <t>1ο  ΔΗΜΟΤΙΚΟ ΣΧΟΛΕΙΟ ΝΕΑΣ ΑΛΙΚΑΡΝΑΣΣΟΥ- ΗΡΟΔΟΤΕΙΟΣ ΣΧΟΛΗ</t>
  </si>
  <si>
    <t>mail@1dim-n-alikarn.ira.sch.gr</t>
  </si>
  <si>
    <t>ΚΑΛΑΜΙΟΥ</t>
  </si>
  <si>
    <t>ΝΗΠΙΑΓΩΓΕΙΟ ΨΑΡΗΣ ΦΟΡΑΔΑΣ</t>
  </si>
  <si>
    <t>mail@nip-psaris.ira.sch.gr</t>
  </si>
  <si>
    <t>ΨΑΡΗ ΦΟΡΑΔΑ</t>
  </si>
  <si>
    <t>2ο ΔΗΜΟΤΙΚΟ ΣΧΟΛΕΙΟ ΛΙΜΕΝΟΣ ΧΕΡΣΟΝΗΣΟΥ</t>
  </si>
  <si>
    <t>mail@2dim-limen.ira.sch.gr</t>
  </si>
  <si>
    <t>ΝΕΑ ΔΙΔΑΚΤΗΡΙΑ</t>
  </si>
  <si>
    <t>ΔΗΜΟΤΙΚΟ ΣΧΟΛΕΙΟ ΑΝΩ ΑΣΙΤΩΝ</t>
  </si>
  <si>
    <t>mail@dim-asiton.ira.sch.gr</t>
  </si>
  <si>
    <t>mail@5dim-irakl.ira.sch.gr</t>
  </si>
  <si>
    <t>ΓΑΛΙΑΣ</t>
  </si>
  <si>
    <t>ΔΗΜΟΤΙΚΟ ΣΧΟΛΕΙΟ ΓΑΛΙΑΣ</t>
  </si>
  <si>
    <t>mail@dim-galias.ira.sch.gr</t>
  </si>
  <si>
    <t>Γαλιά</t>
  </si>
  <si>
    <t>ΣΟΚΑΡΑ</t>
  </si>
  <si>
    <t>ΔΗΜΟΤΙΚΟ ΣΧΟΛΕΙΟ ΣΟΚΑΡΑ</t>
  </si>
  <si>
    <t>mail@dim-sokar.ira.sch.gr</t>
  </si>
  <si>
    <t>ΣΟΚΑΡΑΣ</t>
  </si>
  <si>
    <t>ΔΗΜΟΤΙΚΟ ΣΧΟΛΕΙΟ ΚΑΡΚΑΔΙΩΤΙΣΣΑΣ</t>
  </si>
  <si>
    <t>mail@dim-karkad.ira.sch.gr</t>
  </si>
  <si>
    <t>ΚΑΡΚΑΔΙΩΤΙΣΣΑΣ</t>
  </si>
  <si>
    <t>ΚΑΡΚΑΔΙΩΤΙΣΣΑ</t>
  </si>
  <si>
    <t>ΝΗΠΙΑΓΩΓΕΙΟ ΕΜΠΑΡΟΥ</t>
  </si>
  <si>
    <t>mail@nip-empar.ira.sch.gr</t>
  </si>
  <si>
    <t>ΔΗΜΟΤΙΚΟ ΣΧΟΛΕΙΟ ΚΑΛΕΣΣΩΝ</t>
  </si>
  <si>
    <t>mail@dim-kales.ira.sch.gr</t>
  </si>
  <si>
    <t>ΚΑΛΕΣΣΑ ΜΑΛΕΒΙΖΙΟΥ</t>
  </si>
  <si>
    <t>41ο  ΔΗΜΟΤΙΚΟ ΣΧΟΛΕΙΟ ΗΡΑΚΛΕΙΟΥ</t>
  </si>
  <si>
    <t>mail@41dim-irakl.ira.sch.gr</t>
  </si>
  <si>
    <t>ΜΕΛΕΤΙΟΥ ΠΗΓΑ 63</t>
  </si>
  <si>
    <t>39ο ΔΗΜΟΤΙΚΟ ΣΧΟΛΕΙΟ ΗΡΑΚΛΕΙΟΥ</t>
  </si>
  <si>
    <t>mail@39dim-irakl.ira.sch.gr</t>
  </si>
  <si>
    <t>Kομνηνών 40,Πόρος</t>
  </si>
  <si>
    <t>mail@dim-ag-deka.ira.sch.gr</t>
  </si>
  <si>
    <t>ʼγιοι Δέκα</t>
  </si>
  <si>
    <t>ΔΗΜΟΤΙΚΟ ΣΧΟΛΕΙΟ ΑΓΙΑΣ ΠΕΛΑΓΙΑΣ</t>
  </si>
  <si>
    <t>mail@dim-achlad.ira.sch.gr</t>
  </si>
  <si>
    <t>ΑΓΙΑ ΠΕΛΑΓΙΑ</t>
  </si>
  <si>
    <t>ΝΗΠΙΑΓΩΓΕΙΟ ΑΓΙΑ ΠΕΛΑΓΙΑ</t>
  </si>
  <si>
    <t>mail@nip-achlad.ira.sch.gr</t>
  </si>
  <si>
    <t>ΑΓΙΑΣ ΠΕΛΑΓΙΑΣ</t>
  </si>
  <si>
    <t>21ο ΟΛΟΗΜΕΡΟ ΔΗΜΟΤΙΚΟ ΣΧΟΛΕΙΟ ΗΡΑΚΛΕΙΟΥ</t>
  </si>
  <si>
    <t>mail@21dim-irakl.ira.sch.gr</t>
  </si>
  <si>
    <t>ΣΟΛΩΝΟΣ 102</t>
  </si>
  <si>
    <t>mail@8dim-irakl.ira.sch.gr</t>
  </si>
  <si>
    <t>ΤΑΞΙΑΡΧΟΥ ΜΑΡΚΟΠΟΥΛΟΥ 7</t>
  </si>
  <si>
    <t>6/Θ ΔΗΜΟΤΙΚΟ ΣΧΟΛΕΙΟ ΚΑΤΩ ΑΣΙΤΩΝ</t>
  </si>
  <si>
    <t>mail@dim-kat-asiton.ira.sch.gr</t>
  </si>
  <si>
    <t xml:space="preserve">Κάτω Ασίτες , </t>
  </si>
  <si>
    <t>Κάτω Ασίτες ,</t>
  </si>
  <si>
    <t>5ο  ΔΗΜΟΤΙΚΟ ΣΧΟΛΕΙΟ ΝΕΑΣ ΑΛΙΚΑΡΝΑΣΣΟΥ</t>
  </si>
  <si>
    <t>mail@5dim-n-alikarn.ira.sch.gr</t>
  </si>
  <si>
    <t>Νέα Αλικαρνασσός</t>
  </si>
  <si>
    <t>ΔΗΜΟΤΙΚΟ ΣΧΟΛΕΙΟ ΜΕΣΟΧΩΡΙΟΥ</t>
  </si>
  <si>
    <t>mail@dim-mesoch.ira.sch.gr</t>
  </si>
  <si>
    <t>ΜΕΣΟΧΩΡΙΟ</t>
  </si>
  <si>
    <t>20ο ΟΛΟΗΜΕΡΟ ΝΗΠΙΑΓΩΓΕΙΟ ΗΡΑΚΛΕΙΟΥ</t>
  </si>
  <si>
    <t>mail@20nip-irakl.ira.sch.gr</t>
  </si>
  <si>
    <t>ΛΕΒΗΝΟΥ 7</t>
  </si>
  <si>
    <t>3ο ΕΙΔΙΚΟ ΔΗΜΟΤΙΚΟ ΣΧΟΛΕΙΟ ΗΡΑΚΛΕΙΟΥ</t>
  </si>
  <si>
    <t>3dimeidira@sch.gr</t>
  </si>
  <si>
    <t>ΑΠΕΛΛΟΥ &amp; ΖΕΥΞΙΔΟΣ</t>
  </si>
  <si>
    <t>2ο ΔΗΜΟΤΙΚΟ ΣΧΟΛΕΙΟ ΜΑΛΙΩΝ - ΚΕΡΝΟΣ</t>
  </si>
  <si>
    <t>mail@2dim-malion.ira.sch.gr</t>
  </si>
  <si>
    <t>ΙΛΑΡΙΩΝΟΣ ΚΑΤΣΟΥΛΗ 29</t>
  </si>
  <si>
    <t>ΝΗΠΙΑΓΩΓΕΙΟ ΚΑΒΡΟΧΩΡΙ</t>
  </si>
  <si>
    <t>mail@nip-kavroch.ira.sch.gr</t>
  </si>
  <si>
    <t>ΚΑΒΡΟΧΩΡΙ</t>
  </si>
  <si>
    <t>17ο ΔΗΜΟΤΙΚΟ ΣΧΟΛΕΙΟ ΗΡΑΚΛΕΙΟΥ</t>
  </si>
  <si>
    <t>mail@17dim-irakl.ira.sch.gr</t>
  </si>
  <si>
    <t>Λ. ΚΝΩΣΟΥ 1</t>
  </si>
  <si>
    <t>mail@33dim-irakl.ira.sch.gr</t>
  </si>
  <si>
    <t>ΣΤΑΥΡΑΚΙΩΝ</t>
  </si>
  <si>
    <t>ΔΗΜΟΤΙΚΟ ΣΧΟΛΕΙΟ ΣΤΑΥΡΑΚΙΩΝ</t>
  </si>
  <si>
    <t>mail@dim-stavr.ira.sch.gr</t>
  </si>
  <si>
    <t>ΣΤΑΥΡΑΚΙΑ</t>
  </si>
  <si>
    <t>14ο ΝΗΠΙΑΓΩΓΕΙΟ ΗΡΑΚΛΕΙΟΥ</t>
  </si>
  <si>
    <t>mail@14nip-irakl.ira.sch.gr</t>
  </si>
  <si>
    <t>Λ. ΚΝΩΣΣΟΥ 126</t>
  </si>
  <si>
    <t>17ο ΝΗΠΙΑΓΩΓΕΙΟ ΗΡΑΚΛΕΙΟΥ</t>
  </si>
  <si>
    <t>mail@17nip-irakl.ira.sch.gr</t>
  </si>
  <si>
    <t>ΔΙΟΝ. ΦΡΑΓΚΙΑΔΑΚΗ 26</t>
  </si>
  <si>
    <t>19ο ΝΗΠΙΑΓΩΓΕΙΟ ΗΡΑΚΛΕΙΟΥ</t>
  </si>
  <si>
    <t>mail@19nip-irakl.ira.sch.gr</t>
  </si>
  <si>
    <t>2ο ΝΗΠΙΑΓΩΓΕΙΟ ΜΟΙΡΩΝ ΗΡΑΚΛΕΙΟΥ</t>
  </si>
  <si>
    <t>mail@2nip-moiron.ira.sch.gr</t>
  </si>
  <si>
    <t>ΦΡ. ΜΑΣΤΡΑΧΑ-ΘΕΡΙΣΟΥ</t>
  </si>
  <si>
    <t>Δημοτικό Σχολείο  Ροδιάς</t>
  </si>
  <si>
    <t>mail@dim-rodias.ira.sch.gr</t>
  </si>
  <si>
    <t>ΡΟΔΙΑ ΜΑΛΕΒΙΖΙΟΥ</t>
  </si>
  <si>
    <t>ΔΗΜΟΤΙΚΟ ΣΧΟΛΕΙΟ ΜΕΓΑΛΗΣ ΒΡΥΣΗΣ ΗΡΑΚΛΕΙΟΥ</t>
  </si>
  <si>
    <t>mail@dim-meg-vrysis.ira.sch.gr</t>
  </si>
  <si>
    <t>ΠΙΤΣΙΔΙΩΝ</t>
  </si>
  <si>
    <t>ΔΗΜΟΤΙΚΟ ΣΧΟΛΕΙΟ ΠΙΤΣΙΔΙΩΝ</t>
  </si>
  <si>
    <t>mail@dim-pitsid.ira.sch.gr</t>
  </si>
  <si>
    <t>Πιτσίδια</t>
  </si>
  <si>
    <t>mail@6dim-irakl.ira.sch.gr</t>
  </si>
  <si>
    <t>ΑΓΙΟΥ ΤΙΤΟΥ 3</t>
  </si>
  <si>
    <t>mail@23dim-irakl.ira.sch.gr</t>
  </si>
  <si>
    <t>ΜΟΥΣΩΝ 71</t>
  </si>
  <si>
    <t>45ο ΝΗΠΙΑΓΩΓΕΙΟ ΗΡΑΚΛΕΙΟΥ</t>
  </si>
  <si>
    <t>mail@45nip-irakl.ira.sch.gr</t>
  </si>
  <si>
    <t>ΛΕΥΚΩΣΙΑΣ 40</t>
  </si>
  <si>
    <t>30ο ΝΗΠΙΑΓΩΓΕΙΟ ΗΡΑΚΛΕΙΟΥ</t>
  </si>
  <si>
    <t>mail@30nip-irakl.ira.sch.gr</t>
  </si>
  <si>
    <t>47ο  ΝΗΠΙΑΓΩΓΕΙΟ ΗΡΑΚΛΕΙΟΥ</t>
  </si>
  <si>
    <t>mail@47nip-irakl.ira.sch.gr</t>
  </si>
  <si>
    <t>2ο ΝΗΠΙΑΓΩΓΕΙΟ ΚΡΟΥΣΩΝΑ</t>
  </si>
  <si>
    <t>mail@2nip-krous.ira.sch.gr</t>
  </si>
  <si>
    <t>1ο ΝΗΠΙΑΓΩΓΕΙΟ ΚΡΟΥΣΩΝΑ</t>
  </si>
  <si>
    <t>mail@1nip-krous.ira.sch.gr</t>
  </si>
  <si>
    <t>1ο  ΔΗΜΟΤΙΚΟ ΣΧΟΛΕΙΟ ΑΓΙΑΣ ΜΑΡΙΝΑΣ</t>
  </si>
  <si>
    <t>mail@dim-ag-marin.ira.sch.gr</t>
  </si>
  <si>
    <t>ΤΕΜΠΟΝΕΡΑ ΑΓ. ΜΑΡΙΝΑ</t>
  </si>
  <si>
    <t>26ο 12/Θ ΔΗΜΟΤΙΚΟ ΣΧΟΛΕΙΟ ΗΡΑΚΛΕΙΟΥ ΚΡΗΤΗΣ</t>
  </si>
  <si>
    <t>mail@26dim-irakl.ira.sch.gr</t>
  </si>
  <si>
    <t>ΓΕΩΡΓΙΟΥ ΜΑΡΑΝΤΗ 3</t>
  </si>
  <si>
    <t>mail@2dim-krouss.ira.sch.gr</t>
  </si>
  <si>
    <t>ΔΗΜΟΤΙΚΟ ΣΧΟΛΕΙΟ ΨΑΡΗΣ ΦΟΡΑΔΑΣ</t>
  </si>
  <si>
    <t>mail@dim-psaris.ira.sch.gr</t>
  </si>
  <si>
    <t>mail@dim-choud.ira.sch.gr</t>
  </si>
  <si>
    <t>ΔΗΜΟΤΙΚΟ ΣΧΟΛΕΙΟ ΧΕΡΣΟΝΗΣΟΥ</t>
  </si>
  <si>
    <t>mail@dim-chers.ira.sch.gr</t>
  </si>
  <si>
    <t>ΧΕΡΣΟΝΗΣΟΣ</t>
  </si>
  <si>
    <t>Οδός Ειρήνης</t>
  </si>
  <si>
    <t>ΣΚΙΝΙΑ</t>
  </si>
  <si>
    <t>ΔΗΜΟΤΙΚΟ ΣΧΟΛΕΙΟ ΣΚΙΝΙΑ</t>
  </si>
  <si>
    <t>mail@dim-skinia.ira.sch.gr</t>
  </si>
  <si>
    <t>ΣΚΙΝΙΑΣ</t>
  </si>
  <si>
    <t>63ο ΝΗΠΙΑΓΩΓΕΙΟ ΗΡΑΚΛΕΙΟΥ</t>
  </si>
  <si>
    <t>mail@63nip-irakl.ira.sch.gr</t>
  </si>
  <si>
    <t>ΓΑΛΗΝΟΥ 61</t>
  </si>
  <si>
    <t>1ο  ΝΗΠΙΑΓΩΓΕΙΟ ΑΓΙΑΣ ΒΑΡΒΑΡΑΣ</t>
  </si>
  <si>
    <t>mail@1nip-ag-varvar.ira.sch.gr</t>
  </si>
  <si>
    <t>mail@4dim-n-alikarn.ira.sch.gr</t>
  </si>
  <si>
    <t>Κεράμου 93 Γήπεδο Ηροδότου</t>
  </si>
  <si>
    <t>mail@2dim-n-alikarn.ira.sch.gr</t>
  </si>
  <si>
    <t>mail@dim-an-viann.ira.sch.gr</t>
  </si>
  <si>
    <t>16ο ΟΛΟΗΜΕΡΟ ΔΗΜΟΤΙΚΟ ΣΧΟΛΕΙΟ ΗΡΑΚΛΕΙΟΥ</t>
  </si>
  <si>
    <t>mail@16dim-irakl.ira.sch.gr</t>
  </si>
  <si>
    <t>ΠΛΟΥΤΩΝΟΣ 30</t>
  </si>
  <si>
    <t>9ο ΔΗΜΟΤΙΚΟ ΣΧΟΛΕΙΟ ΗΡΑΚΛΕΙΟΥ ΚΡΗΤΗΣ</t>
  </si>
  <si>
    <t>mail@9dim-irakl.ira.sch.gr</t>
  </si>
  <si>
    <t>ΑΝΤ. ΜΠΕΤΕΙΝΑΚΗ 5</t>
  </si>
  <si>
    <t>52ο ΔΗΜΟΤΙΚΟ ΣΧΟΛΕΙΟ ΗΡΑΚΛΕΙΟΥ</t>
  </si>
  <si>
    <t>mail@52dim-irakl.ira.sch.gr</t>
  </si>
  <si>
    <t>28ο ΔΗΜΟΤΙΚΟ ΣΧΟΛΕΙΟ ΗΡΑΚΛΕΙΟΥ</t>
  </si>
  <si>
    <t>mail@28dim-irakl.ira.sch.gr</t>
  </si>
  <si>
    <t>ΠΑΠΑΓΙΑΝΝΗ ΣΚΟΥΛΑ 10</t>
  </si>
  <si>
    <t>35ο ΟΛΟΗΜΕΡΟ ΔΗΜΟΤΙΚΟ ΣΧΟΛΕΙΟ ΗΡΑΚΛΕΙΟΥ</t>
  </si>
  <si>
    <t>mail@35dim-irakl.ira.sch.gr</t>
  </si>
  <si>
    <t>ΔΑΜΑΣΚΗΝΟΥ 20</t>
  </si>
  <si>
    <t>mail@dim-tylis.ira.sch.gr</t>
  </si>
  <si>
    <t>Τύλισος</t>
  </si>
  <si>
    <t>mail@40dim-irakl.ira.sch.gr</t>
  </si>
  <si>
    <t>Γ. ΜΑΡΑΝΤΗ (ΤΕΡΜΑ)</t>
  </si>
  <si>
    <t>Δημοτικό Σχολείο Φόδελε</t>
  </si>
  <si>
    <t>mail@dim-fodel.ira.sch.gr</t>
  </si>
  <si>
    <t>ΔΗΜΟΤΙΚΟ ΣΧΟΛΕΙΟ ΑΓΙΟΥ ΘΩΜΑ</t>
  </si>
  <si>
    <t>mail@dim-ag-thoma.ira.sch.gr</t>
  </si>
  <si>
    <t>mail@dim-vener.ira.sch.gr</t>
  </si>
  <si>
    <t>ΤΖΑΓΚΑΡΑΝΤΩΝΗ 99</t>
  </si>
  <si>
    <t>ΝΗΠΙΑΓΩΓΕΙΟ ΑΡΒΗΣ</t>
  </si>
  <si>
    <t>mail@nip-arvis.ira.sch.gr</t>
  </si>
  <si>
    <t>ΑΡΒΗΣ</t>
  </si>
  <si>
    <t>ΑΡΒΗ ΒΙΑΝΝΟΥ</t>
  </si>
  <si>
    <t>mail@1dim-arkal.ira.sch.gr</t>
  </si>
  <si>
    <t>ΙΩΑΝΝΟΥ ΚΟΝΔΥΛΑΚΗ</t>
  </si>
  <si>
    <t>mail@dim-mochou.ira.sch.gr</t>
  </si>
  <si>
    <t>ΜΟΧΟΣ ΔΗΜΟΥ ΧΕΡΣΟΝΗΣΟΥ</t>
  </si>
  <si>
    <t>3ο ΔΗΜΟΤΙΚΟ ΣΧΟΛΕΙΟ ΝΕΑΣ ΑΛΙΚΑΡΝΑΣΣΟΥ</t>
  </si>
  <si>
    <t>mail@3dim-n-alikarn.ira.sch.gr</t>
  </si>
  <si>
    <t>ΑΓΙΟΥ ΓΕΩΡΓΙΟΥ 11</t>
  </si>
  <si>
    <t>32ο ΔΗΜΟΤΙΚΟ ΣΧΟΛΕΙΟ ΗΡΑΚΛΕΙΟΥ</t>
  </si>
  <si>
    <t>mail@32dim-irakl.ira.sch.gr</t>
  </si>
  <si>
    <t>ΝΙΚΗΦΟΡΟΥ ΛΥΤΡΑ 2</t>
  </si>
  <si>
    <t>mail@2dim-arkal.ira.sch.gr</t>
  </si>
  <si>
    <t>ΔΙΚΑΙΟΣΥΝΗΣ 1,  ΑΡΚΑΛΟΧΩΡΙ</t>
  </si>
  <si>
    <t>mail@dim-ag-varvar.ira.sch.gr</t>
  </si>
  <si>
    <t>16ο ΝΗΠΙΑΓΩΓΕΙΟ ΗΡΑΚΛΕΙΟΥ</t>
  </si>
  <si>
    <t>mail@16nip-irakl.ira.sch.gr</t>
  </si>
  <si>
    <t>ΚΝΩΣΣΟΥ 1</t>
  </si>
  <si>
    <t>ΔΙΘΕΣΙΟ ΝΗΠΙΑΓΩΓΕΙΟ ΠΥΡΓΟΥ ΜΟΝΟΦΑΤΣΙΟΥ</t>
  </si>
  <si>
    <t>mail@nip-pyrgou.ira.sch.gr</t>
  </si>
  <si>
    <t>1ο  ΔΗΜΟΤΙΚΟ ΣΧΟΛΕΙΟ ΗΡΑΚΛΕΙΟΥ</t>
  </si>
  <si>
    <t>mail@1dim-irakl.ira.sch.gr</t>
  </si>
  <si>
    <t>7ο ΟΛΟΗΜΕΡΟ ΔΗΜΟΤΙΚΟ ΣΧΟΛΕΙΟ ΗΡΑΚΛΕΙΟΥ - ΕΛΛΗ ΑΛΕΞΙΟΥ</t>
  </si>
  <si>
    <t>mail@7dim-irakl.ira.sch.gr</t>
  </si>
  <si>
    <t>ΚΝΩΣΟΥ 1</t>
  </si>
  <si>
    <t>mail@25dim-irakl.ira.sch.gr</t>
  </si>
  <si>
    <t>ΔΙΟΝΥΣΙΟΥ ΦΡΑΓΚΙΑΔΑΚΗ 3</t>
  </si>
  <si>
    <t>ΟΛΟΗΜΕΡΟ ΔΗΜΟΤΙΚΟ ΣΧΟΛΕΙΟ ΓΟΥΒΕΣ ΠΕΔΙΑΔΟΣ ΗΡΑΚΛΕΙΟΥ ΚΡΗΤΗΣ</t>
  </si>
  <si>
    <t>mail@dim-gouvon.ira.sch.gr</t>
  </si>
  <si>
    <t>ΓΟΥΒΕΣ ΠΕΔΙΑΔΟΣ ΗΡΑΚΛΕΙΟΥ ΚΡΗΤΗΣ</t>
  </si>
  <si>
    <t>ΓΟΥΒΕΣ</t>
  </si>
  <si>
    <t>mail@dim-limen.ira.sch.gr</t>
  </si>
  <si>
    <t>ΝΕΑ ΔΙΔΑΚΤΗΡΙΑ ΛΙΜΕΝΑ ΧΕΡΣΟΝΗΣΟΥ</t>
  </si>
  <si>
    <t>2ο ΝΗΠΙΑΓΩΓΕΙΟ ΤΥΜΠΑΚΙΟΥ</t>
  </si>
  <si>
    <t>mail@2nip-tympak.ira.sch.gr</t>
  </si>
  <si>
    <t>mail@dim-malion.ira.sch.gr</t>
  </si>
  <si>
    <t>3o ΝΗΠΙΑΓΩΓΕΙΟ   ΤΥΜΠΑΚΙΟΥ</t>
  </si>
  <si>
    <t>mail@3nip-tympak.ira.sch.gr</t>
  </si>
  <si>
    <t>ΑΓΙΟΥ  ΝΕΚΤΑΡΙΟΥ</t>
  </si>
  <si>
    <t>53ο ΔΗΜΟΤΙΚΟ ΣΧΟΛΕΙΟ ΗΡΑΚΛΕΙΟΥ</t>
  </si>
  <si>
    <t>mail@53dim-irakl.ira.sch.gr</t>
  </si>
  <si>
    <t>ΑΝΔΡΕΑ ΠΑΠΑΝΔΡΕΟΥ 8</t>
  </si>
  <si>
    <t>ΠΕΤΡΟΚΕΦΑΛΙΟΥ</t>
  </si>
  <si>
    <t>ΝΗΠΙΑΓΩΓΕΙΟ ΠΕΤΡΟΚΕΦΑΛΙΟΥ</t>
  </si>
  <si>
    <t>mail@nip-petrok.ira.sch.gr</t>
  </si>
  <si>
    <t>ΠΕΤΡΟΚΕΦΑΛΙ</t>
  </si>
  <si>
    <t>ΟΛΟΗΜΕΡΟ ΝΗΠΙΑΓΩΓΕΙΟ ΘΡΑΨΑΝΟΥ</t>
  </si>
  <si>
    <t>mail@nip-thraps.ira.sch.gr</t>
  </si>
  <si>
    <t>ΘΡΑΨΑΝΟ ΠΕΔΙΑΔΟΣ</t>
  </si>
  <si>
    <t>mail@dim-thraps.ira.sch.gr</t>
  </si>
  <si>
    <t>Θραψανό</t>
  </si>
  <si>
    <t>12/ΘΕΣΙΟ 1ο ΔΗΜΟΤΙΚΟ ΣΧΟΛΕΙΟ ΑΡΧΑΝΩΝ</t>
  </si>
  <si>
    <t>mail@1dim-an-archan.ira.sch.gr</t>
  </si>
  <si>
    <t>Αρχάνες</t>
  </si>
  <si>
    <t>ΝΙΚ. ΨΑΛΤΑΚΗ 21</t>
  </si>
  <si>
    <t>ΝΗΠΙΑΓΩΓΕΙΟ ΑΓΙΩΝ ΔΕΚΑ</t>
  </si>
  <si>
    <t>mail@nip-ag-deka.ira.sch.gr</t>
  </si>
  <si>
    <t>ΠΛΑΤΕΙΑ ΔΕΙΛΙΝΩΝ</t>
  </si>
  <si>
    <t>ΜΗΤΡΟΠΟΛΕΩΣ</t>
  </si>
  <si>
    <t>ΝΗΠΙΑΓΩΓΕΙΟ ΜΗΤΡΟΠΟΛΗΣ</t>
  </si>
  <si>
    <t>mail@nip-mitrop.ira.sch.gr</t>
  </si>
  <si>
    <t>mail@2dim-an-acharn.ira.sch.gr</t>
  </si>
  <si>
    <t>ΒΑΘΥΠΕΤΡΟΥ 24 ΑΝΩ ΑΡΧΑΝΕΣ</t>
  </si>
  <si>
    <t>mail@45dim-irakl.ira.sch.gr</t>
  </si>
  <si>
    <t>ΖΕΥΞΙΔΟΣ -  ΤΡΕΙΣ  ΒΑΓΙΕΣ</t>
  </si>
  <si>
    <t>ΑΝΤΙΣΚΑΡΙΟΥ</t>
  </si>
  <si>
    <t>ΝΗΠΙΑΓΩΓΕΙΟ ΑΝΤΙΣΚΑΡΙΟΥ</t>
  </si>
  <si>
    <t>mail@nip-antisk.ira.sch.gr</t>
  </si>
  <si>
    <t>ΑΝΤΙΣΚΑΡΙ</t>
  </si>
  <si>
    <t>ΝΗΠΙΑΓΩΓΕΙΟ ΣΟΚΑΡΑ</t>
  </si>
  <si>
    <t>mail@nip-sokar.ira.sch.gr</t>
  </si>
  <si>
    <t>13ο  ΔΗΜΟΤΙΚΟ  ΣΧΟΛΕΙΟ  ΗΡΑΚΛΕΙΟΥ</t>
  </si>
  <si>
    <t>13dimirakl@sch.gr</t>
  </si>
  <si>
    <t>ΚΑΝΑΡΗ 40</t>
  </si>
  <si>
    <t>ΝΗΠΙΑΓΩΓΕΙΟ ΣΤΟΛΩΝ</t>
  </si>
  <si>
    <t>mail@nip-stolon.ira.sch.gr</t>
  </si>
  <si>
    <t>ΣΤΟΛΟΙ</t>
  </si>
  <si>
    <t>mail@1dim-gaziou.ira.sch.gr</t>
  </si>
  <si>
    <t>ΕΛΕΥΘΕΡΙΑΣ 49</t>
  </si>
  <si>
    <t>14ο ΔΗΜΟΤΙΚΟ ΣΧΟΛΕΙΟ ΗΡΑΚΛΕΙΟΥ</t>
  </si>
  <si>
    <t>mail@14dim-irakl.ira.sch.gr</t>
  </si>
  <si>
    <t>ΣΤΕΡΓΙΟΥ ΣΠΑΝΑΚΗ 5</t>
  </si>
  <si>
    <t>ΒΩΡΩΝ</t>
  </si>
  <si>
    <t>ΝΗΠΙΑΓΩΓΕΙΟ ΒΩΡΩΝ</t>
  </si>
  <si>
    <t>mail@nip-voron.ira.sch.gr</t>
  </si>
  <si>
    <t>ΒΩΡΟΙ</t>
  </si>
  <si>
    <t>ΒΟΡΙΖΙΩΝ</t>
  </si>
  <si>
    <t>ΝΗΠΙΑΓΩΓΕΙΟ ΒΟΡΙΖΙΩΝ</t>
  </si>
  <si>
    <t>mail@nip-voriz.ira.sch.gr</t>
  </si>
  <si>
    <t>ΒΟΡΙΖΙΑ</t>
  </si>
  <si>
    <t>ΓΚΑΓΚΑΛΩΝ</t>
  </si>
  <si>
    <t>ΝΗΠΙΑΓΩΓΕΙΟ ΓΚΑΓΚΑΛΕΣ</t>
  </si>
  <si>
    <t>mail@nip-gkagk.ira.sch.gr</t>
  </si>
  <si>
    <t>ΓΚΑΓΚΑΛΕΣ</t>
  </si>
  <si>
    <t>ΝΗΠΙΑΓΩΓΕΙΟ ΚΑΠΑΡΙΑΝΩΝ</t>
  </si>
  <si>
    <t>mail@nip-kapar.ira.sch.gr</t>
  </si>
  <si>
    <t>mail@2dim-tympak.ira.sch.gr</t>
  </si>
  <si>
    <t>Πλησίον Ιερού Ναού Αγίας Αικατερίνης</t>
  </si>
  <si>
    <t>ΔΗΜΟΤΙΚΟ ΣΧΟΛΕΙΟ  ΑΡΒΗΣ</t>
  </si>
  <si>
    <t>mail@dim-arvis.ira.sch.gr</t>
  </si>
  <si>
    <t>ΑΡΒΗ</t>
  </si>
  <si>
    <t>42ο ΟΛΟΗΜΕΡΟ ΔΗΜΟΤΙΚΟ ΣΧΟΛΕΙΟ ΗΡΑΚΛΕΙΟΥ</t>
  </si>
  <si>
    <t>mail@42dim-irakl.ira.sch.gr</t>
  </si>
  <si>
    <t>7/ΘΕΣΙΟ ΔΗΜΟΤΙΚΟ ΣΧΟΛΕΙΟ ΚΟΥΝΑΒΩΝ</t>
  </si>
  <si>
    <t>mail@dim-kounav.ira.sch.gr</t>
  </si>
  <si>
    <t>Κουνάβοι</t>
  </si>
  <si>
    <t>1ο ΝΗΠΙΑΓΩΓΕΙΟ ΑΡΚΑΛΟΧΩΡΙΟΥ</t>
  </si>
  <si>
    <t>mail@1nip-arkal.ira.sch.gr</t>
  </si>
  <si>
    <t>37ο ΔΗΜΟΤΙΚΟ ΣΧΟΛΕΙΟ ΗΡΑΚΛΕΙΟΥ</t>
  </si>
  <si>
    <t>mail@37dim-irakl.ira.sch.gr</t>
  </si>
  <si>
    <t>ΜΥΡΤΙΑΣ 22</t>
  </si>
  <si>
    <t>mail@19dim-irakl.ira.sch.gr</t>
  </si>
  <si>
    <t>Λ. ΚΝΩΣΣΟΥ 236</t>
  </si>
  <si>
    <t>mail@dim-zarou.ira.sch.gr</t>
  </si>
  <si>
    <t>ΔΗΜΟΤΙΚΟ ΣΧΟΛΕΙΟ ΑΝΤΙΣΚΑΡΙΟΥ</t>
  </si>
  <si>
    <t>mail@dim-antisk.ira.sch.gr</t>
  </si>
  <si>
    <t>ΝΗΠΙΑΓΩΓΕΙΟ ΠΙΤΣΙΔΙΩΝ</t>
  </si>
  <si>
    <t>mail@nip-pitsid.ira.sch.gr</t>
  </si>
  <si>
    <t>ΠΙΤΣΙΔΙΑ</t>
  </si>
  <si>
    <t>1ο ΝΗΠΙΑΓΩΓΕΙΟ ΜΟΙΡΩΝ</t>
  </si>
  <si>
    <t>mail@1nip-moiron.ira.sch.gr</t>
  </si>
  <si>
    <t>ΘΕΡΙΣΟΥ  23</t>
  </si>
  <si>
    <t>27ο ΔΗΜΟΤΙΚΟ ΣΧΟΛΕΙΟ ΗΡΑΚΛΕΙΟΥ</t>
  </si>
  <si>
    <t>mail@27dim-irakl.ira.sch.gr</t>
  </si>
  <si>
    <t>ΔΙΟΝΥΣΙΟΥ ΦΡΑΓΚΙΑΔΑΚΗ 13</t>
  </si>
  <si>
    <t>ΔΗΜΟΤΙΚΟ ΣΧΟΛΕΙΟ ΜΗΤΡΟΠΟΛΗΣ</t>
  </si>
  <si>
    <t>mail@dim-mitrop.ira.sch.gr</t>
  </si>
  <si>
    <t>ΝΗΠΙΑΓΩΓΕΙΟ ΓΕΡΓΕΡΗΣ</t>
  </si>
  <si>
    <t>mail@nip-gerger.ira.sch.gr</t>
  </si>
  <si>
    <t>ΓΕΡΓΕΡΗ</t>
  </si>
  <si>
    <t>MAIL@15DIM-IRAKL.IRA.SCH.GR</t>
  </si>
  <si>
    <t>ΕΜΜ. ΠΑΠΑ 9</t>
  </si>
  <si>
    <t>ΣΙΒΑ</t>
  </si>
  <si>
    <t>ΔΗΜΟΤΙΚΟ ΣΧΟΛΕΙΟ ΣΙΒΑ ΠΥΡΓΙΩΤΙΣΣΗΣ</t>
  </si>
  <si>
    <t>mail@dim-siva.ira.sch.gr</t>
  </si>
  <si>
    <t>ΣΙΒΑ ΠΥΡΓΙΩΤΙΣΣΗΣ</t>
  </si>
  <si>
    <t>ΣΙΒΑΣ ΠΥΡΓΙΩΤΙΣΣΗΣ</t>
  </si>
  <si>
    <t>3ο Νηπιαγωγείο Αρκαλοχωρίου</t>
  </si>
  <si>
    <t>3niparkalira@sch.gr</t>
  </si>
  <si>
    <t>44ο ΔΗΜΟΤΙΚΟ ΣΧΟΛΕΙΟ ΗΡΑΚΛΕΙΟΥ</t>
  </si>
  <si>
    <t>mail@44dim-irakl.ira.sch.gr</t>
  </si>
  <si>
    <t>ΝΗΠΙΑΓΩΓΕΙΟ ΣΙΒΑ ΠΥΡΓΙΩΤΙΣΣΗΣ</t>
  </si>
  <si>
    <t>mail@nip-sivas.ira.sch.gr</t>
  </si>
  <si>
    <t>ΟΛΟΗΜΕΡΟ ΔΗΜΟΤΙΚΟ ΣΧΟΛΕΙΟ ΚΟΚΚΙΝΗ ΧΑΝΙ</t>
  </si>
  <si>
    <t>mail@dim-kokkin.ira.sch.gr</t>
  </si>
  <si>
    <t>ΚΟΚΚΙΝΗ ΧΑΝΙ</t>
  </si>
  <si>
    <t>mail@4dim-irakl.ira.sch.gr</t>
  </si>
  <si>
    <t>ΜΑΧΗΣ ΚΡΗΤΗΣ ΚΑΙ ΥΑΚΙΝΘΟΥ</t>
  </si>
  <si>
    <t>mail@dim-asimiou.ira.sch.gr</t>
  </si>
  <si>
    <t>ΑΣΗΜΙ</t>
  </si>
  <si>
    <t>50ο ΔΗΜΟΤΙΚΟ ΣΧΟΛΕΙΟ ΗΡΑΚΛΕΙΟΥ</t>
  </si>
  <si>
    <t>mail@50dim-irakl.ira.sch.gr</t>
  </si>
  <si>
    <t>18ο ΔΗΜΟΤΙΚΟ ΣΧΟΛΕΙΟ ΗΡΑΚΛΕΙΟΥ</t>
  </si>
  <si>
    <t>mail@18dim-irakl.ira.sch.gr</t>
  </si>
  <si>
    <t>ΗΡΑΚΛΕΙO</t>
  </si>
  <si>
    <t>ΕΡΥΘΡΑΙΑΣ 42</t>
  </si>
  <si>
    <t>1ο  ΔΗΜΟΤΙΚΟ ΣΧΟΛΕΙΟ ΜΟΙΡΩΝ</t>
  </si>
  <si>
    <t>mail@1dim-moiron.ira.sch.gr</t>
  </si>
  <si>
    <t>ΤΕΡΜΑ ΚΟΡΑΗ</t>
  </si>
  <si>
    <t>mail@dim-vagion.ira.sch.gr</t>
  </si>
  <si>
    <t>54ο  ΔΗΜΟΤΙΚΟ ΣΧΟΛΕΙΟ ΗΡΑΚΛΕΙΟΥ</t>
  </si>
  <si>
    <t>mail@54dim-irakl.ira.sch.gr</t>
  </si>
  <si>
    <t>mail@30dim-irakl.ira.sch.gr</t>
  </si>
  <si>
    <t>ΝΕΟ-ΣΤΑΔΙΟ ΗΡΑΚΛΕΙΟΥ</t>
  </si>
  <si>
    <t>ΠΥΡΑΝΘΟΥ 44</t>
  </si>
  <si>
    <t>ΝΗΠΙΑΓΩΓΕΙΟ ΒΑΓΙΟΝΙΑΣ</t>
  </si>
  <si>
    <t>mail@nip-vagion.ira.sch.gr</t>
  </si>
  <si>
    <t>3ο ΔΗΜΟΤΙΚΟ ΣΧΟΛΕΙΟ ΤΥΜΠΑΚΙΟΥ</t>
  </si>
  <si>
    <t>3dimtym@sch.gr</t>
  </si>
  <si>
    <t>ΑΓ.ΝΕΚΤΑΡΙΟΥ</t>
  </si>
  <si>
    <t>10ο ΔΗΜΟΤΙΚΟ ΣΧΟΛΕΙΟ ΗΡΑΚΛΕΙΟΥ ΚΡΗΤΗΣ</t>
  </si>
  <si>
    <t>mail@10dim-irakl.ira.sch.gr</t>
  </si>
  <si>
    <t>ΙΣΟΚΡΑΤΟΥΣ 2</t>
  </si>
  <si>
    <t>mail@dim-pompias.ira.sch.gr</t>
  </si>
  <si>
    <t>ΠΟΜΠΙΑ</t>
  </si>
  <si>
    <t>36ο ΟΛΟΗΜΕΡΟ ΔΗΜΟΤΙΚΟ ΣΧΟΛΕΙΟ ΗΡΑΚΛΕΙΟΥ</t>
  </si>
  <si>
    <t>mail@36dim-irakl.ira.sch.gr</t>
  </si>
  <si>
    <t>ΓΙΑΚΟΥΜΑΚΗ 41</t>
  </si>
  <si>
    <t>ΒΟΥΤΩΝ</t>
  </si>
  <si>
    <t>2ο ΔΗΜΟΤΙΚΟ ΣΧΟΛΕΙΟ ΒΟΥΤΩΝ</t>
  </si>
  <si>
    <t>mail@2dim-vouton.ira.sch.gr</t>
  </si>
  <si>
    <t>ΒΟΥΤΕΣ</t>
  </si>
  <si>
    <t>Λ. ΠΑΝΕΠΙΣΤΗΜΙΟΥ 70</t>
  </si>
  <si>
    <t>ΑΝΩ ΑΚΡΙΩΝ</t>
  </si>
  <si>
    <t>ΔΗΜΟΤΙΚΟ ΣΧΟΛΕΙΟ ΤΣΙΦΟΥΤ ΚΑΣΤΕΛΛΙΟΥ</t>
  </si>
  <si>
    <t>mail@dim-tsifout.ira.sch.gr</t>
  </si>
  <si>
    <t>ΤΣΙΦΟΥΤ ΚΑΣΤΕΛΛΙ</t>
  </si>
  <si>
    <t>ΝΗΠΙΑΓΩΓΕΙΟ ΤΣΙΦΟΥΤ ΚΑΣΤΕΛΛΙΟΥ</t>
  </si>
  <si>
    <t>mail@nip-tsifout.ira.sch.gr</t>
  </si>
  <si>
    <t>ΤΣΙΦΟΥΤ ΚΑΣΤΕΛΛΙΟΥ</t>
  </si>
  <si>
    <t>12ο ΟΛΟΗΜΕΡΟ ΝΗΠΙΑΓΩΓΕΙΟ ΗΡΑΚΛΕΙΟΥ</t>
  </si>
  <si>
    <t>mail@12nip-irakl.ira.sch.gr</t>
  </si>
  <si>
    <t>ΝΑΥΑΡΙΝΟΥ-ΦΟΡΤΕΤΣΑ 45</t>
  </si>
  <si>
    <t>ΜΙΑΜΟΥΣ</t>
  </si>
  <si>
    <t>ΔΗΜΟΤΙΚΟ ΣΧΟΛΕΙΟ ΚΡΟΤΟΥ</t>
  </si>
  <si>
    <t>mail@dim-krotou.ira.sch.gr</t>
  </si>
  <si>
    <t>ΚΡΟΤΟΣ</t>
  </si>
  <si>
    <t>ΚΡΟΤΟΣ- ΚΑΙΝΟΥΡΓΙΟΥ-ΗΡΑΚΛΕΙΟΥ-ΚΡΗΤΗΣ</t>
  </si>
  <si>
    <t>mail@34dim-irakl.ira.sch.gr</t>
  </si>
  <si>
    <t>70ο ΝΗΠΙΑΓΩΓΕΙΟ ΗΡΑΚΛΕΙΟΥ</t>
  </si>
  <si>
    <t>mail@70nip-irakl.ira.sch.gr</t>
  </si>
  <si>
    <t>ΠΑΠΑΝΑΣΤΑΣΙΟΥ 199</t>
  </si>
  <si>
    <t>71ο ΝΗΠΙΑΓΩΓΕΙΟ ΗΡΑΚΛΕΙΟΥ</t>
  </si>
  <si>
    <t>mail@71nip-irakl.ira.sch.gr</t>
  </si>
  <si>
    <t xml:space="preserve">ΗΡΑΚΛΕΙΟΥ Τρείς Βαγιές </t>
  </si>
  <si>
    <t>ΔΩΡΙΔΟΣ 4</t>
  </si>
  <si>
    <t>20ο ΟΛΟΗΜΕΡΟ ΔΗΜΟΤΙΚΟ ΣΧΟΛΕΙΟ ΗΡΑΚΛΕΙΟ ΚΡΗΤΗΣ</t>
  </si>
  <si>
    <t>mail@20dim-irakl.ira.sch.gr</t>
  </si>
  <si>
    <t>ΠΕΖΟΔΡΟΜΟΣ  ΟΡΦΕΩΣ 3</t>
  </si>
  <si>
    <t>ΝΗΠΙΑΓΩΓΕΙΟ ΓΑΛΙΑΣ</t>
  </si>
  <si>
    <t>mail@nip-galias.ira.sch.gr</t>
  </si>
  <si>
    <t>ΓΑΛΙΑ</t>
  </si>
  <si>
    <t>ΦΑΝΕΡΩΜΕΝΗΣ</t>
  </si>
  <si>
    <t>ΝΗΠΙΑΓΩΓΕΙΟ ΚΑΛΥΒΙΩΝ ΠΥΡΓΙΩΤΙΣΣΗΣ</t>
  </si>
  <si>
    <t>mail@nip-pyrgiot.ira.sch.gr</t>
  </si>
  <si>
    <t>ΚΑΛΥΒΙΩΝ ΠΥΡΓΙΩΤΙΣΣΗΣ</t>
  </si>
  <si>
    <t>ΚΑΛΥΒΙΑ ΠΥΡΓΙΩΤΙΣΣΗΣ</t>
  </si>
  <si>
    <t>mail@dim-gerger.ira.sch.gr</t>
  </si>
  <si>
    <t>ΜΙΧ. ΜΑΝΑΣΑΚΗ 7</t>
  </si>
  <si>
    <t>ΝΗΠΙΑΓΩΓΕΙΟ ΠΟΜΠΙΑΣ</t>
  </si>
  <si>
    <t>mail@nip-pompias.ira.sch.gr</t>
  </si>
  <si>
    <t>ΔΗΜΟΤΙΚΟ ΣΧΟΛΕΙΟ ΚΑΛΥΒΙΩΝ ΠΥΡΓΙΩΤΙΣΣΗΣ</t>
  </si>
  <si>
    <t>mail@dim-pyrgiot.ira.sch.gr</t>
  </si>
  <si>
    <t>ΠΑΝΑΓΙΑ ΚΑΛΥΒΙΑΝΗ</t>
  </si>
  <si>
    <t>ΟΛΟΗΜΕΡΟ ΔΗΜΟΤΙΚΟ ΣΧΟΛΕΙΟ ΒΟΡΙΖΙΩΝ</t>
  </si>
  <si>
    <t>mail@dim-voriz.ira.sch.gr</t>
  </si>
  <si>
    <t>ΔΗΜΟΤΙΚΟ ΣΧΟΛΕΙΟ ΓΚΑΓΚΑΛΩΝ</t>
  </si>
  <si>
    <t>mail@dim-gkagk.ira.sch.gr</t>
  </si>
  <si>
    <t>ΑΓΙΟΥ ΚΥΡΙΛΛΟΥ</t>
  </si>
  <si>
    <t>1/ΘΕΣΙΟ ΔΗΜΟΤΙΚΟ ΣΧΟΛΕΙΟ ΑΓΙΟΥ ΚΥΡΙΛΛΟΥ</t>
  </si>
  <si>
    <t>mail@dim-ag-kyrill.ira.sch.gr</t>
  </si>
  <si>
    <t>ΑΓΙΟΣ  ΚΥΡΙΛΛΟΣ</t>
  </si>
  <si>
    <t>ΑΓΙΟΣ ΚΥΡΙΛΛΟΣ-ΚΑΙΝΟΥΡΓΙΟΥ-ΗΡΑΚΛΕΙΟΥ-ΚΡΗΤΗΣ</t>
  </si>
  <si>
    <t>ΣΚΟΥΡΒΟΥΛΩΝ</t>
  </si>
  <si>
    <t>ΝΗΠΙΑΓΩΓΕΙΟ ΣΚΟΥΡΒΟΥΛΩΝ</t>
  </si>
  <si>
    <t>mail@nip-skourv.ira.sch.gr</t>
  </si>
  <si>
    <t>ΣΚΟΥΡΒΟΥΛΑ</t>
  </si>
  <si>
    <t>1ο  ΝΗΠΙΑΓΩΓΕΙΟ ΤΥΜΠΑΚΙΟΥ</t>
  </si>
  <si>
    <t>mail@1nip-tympak.ira.sch.gr</t>
  </si>
  <si>
    <t>1ο  ΝΗΠΙΑΓΩΓΕΙΟ ΑΣΗΜΙΟΥ</t>
  </si>
  <si>
    <t>mail@nip-asimiou.ira.sch.gr</t>
  </si>
  <si>
    <t>1ο ΝΗΠΙΑΓΩΓΕΙΟ ΖΑΡΟΥ</t>
  </si>
  <si>
    <t>mail@1nip-zarou.ira.sch.gr</t>
  </si>
  <si>
    <t>3ο ΝΗΠΙΑΓΩΓΕΙΟ ΜΟΙΡΩΝ</t>
  </si>
  <si>
    <t>mail@3nip-moiron.ira.sch.gr</t>
  </si>
  <si>
    <t>ΔΗΜΟΤΙΚΟ ΣΧΟΛΕΙΟ ΣΚΟΥΡΒΟΥΛΩΝ</t>
  </si>
  <si>
    <t>mail@dim-skourv.ira.sch.gr</t>
  </si>
  <si>
    <t>ΔΗΜΟΤΙΚΟ ΣΧΟΛΕΙΟ ΠΕΤΡΟΚΕΦΑΛΙΟΥ</t>
  </si>
  <si>
    <t>mail@dim-petrok.ira.sch.gr</t>
  </si>
  <si>
    <t>ΝΗΠΙΑΓΩΓΕΙΟ ΧΑΡΑΚΑ</t>
  </si>
  <si>
    <t>mail@nip-charak.ira.sch.gr</t>
  </si>
  <si>
    <t>ΧΑΡΑΚΑ</t>
  </si>
  <si>
    <t>ΝΗΠΙΑΓΩΓΕΙΟ ΤΕΦΕΛΙΟΥ</t>
  </si>
  <si>
    <t>mail@nip-tefel.ira.sch.gr</t>
  </si>
  <si>
    <t>ΑΧΕΝΤΡΙΑ</t>
  </si>
  <si>
    <t>ΝΗΠΙΑΓΩΓΕΙΟ ΑΧΕΝΤΡΙΑ</t>
  </si>
  <si>
    <t>mail@nip-axentr.ira.sch.gr</t>
  </si>
  <si>
    <t>ΑΧΕΝΤΡΙΑΣ</t>
  </si>
  <si>
    <t>ΔΗΜΟΤΙΚΟ ΣΧΟΛΕΙΟ ΣΚΑΛΑΝΙΟΥ</t>
  </si>
  <si>
    <t>mail@dim-skalan.ira.sch.gr</t>
  </si>
  <si>
    <t>ΝΗΠΙΑΓΩΓΕΙΟ ΓΟΥΡΝΩΝ</t>
  </si>
  <si>
    <t>mail@nip-gourn.ira.sch.gr</t>
  </si>
  <si>
    <t>ΕΙΡΗΝΗΣ ΚΑΙ Λ. ΔΗΜΟΚΡΑΤΙΑΣ ΓΟΥΡΝΕΣ ΧΕΡΣΟΝΗΣΟΥ</t>
  </si>
  <si>
    <t>ΝΗΠΙΑΓΩΓΕΙΟ ΣΤΑΥΡΑΚΙΩΝ</t>
  </si>
  <si>
    <t>mail@nip-stavr.ira.sch.gr</t>
  </si>
  <si>
    <t>ΝΗΠΙΑΓΩΓΕΙΟ ΠΡΟΦΗΤΗΣ ΗΛΙΑΣ</t>
  </si>
  <si>
    <t>mail@nip-prof-ilia.ira.sch.gr</t>
  </si>
  <si>
    <t>ΜΑΡΑΘΟΥ</t>
  </si>
  <si>
    <t>Νηπιαγωγείο Μαράθου</t>
  </si>
  <si>
    <t>mail@nip-marath.ira.sch.gr</t>
  </si>
  <si>
    <t>ΜΑΡΑΘΟΣ</t>
  </si>
  <si>
    <t>ΝΗΠΙΑΓΩΓΕΙΟ ΚΥΠΑΡΙΣΣΙ</t>
  </si>
  <si>
    <t>mail@nip-kypar.ira.sch.gr</t>
  </si>
  <si>
    <t>ΚΥΠΑΡΙΣΣΙ</t>
  </si>
  <si>
    <t>ΟΛΟΗΜΕΡΟ ΝΗΠΙΑΓΩΓΕΙΟ ΔΑΦΝΕΣ</t>
  </si>
  <si>
    <t>mail@nip-dafne.ira.sch.gr</t>
  </si>
  <si>
    <t>2ο ΝΗΠΙΑΓΩΓΕΙΟ ΓΑΖΙΟΥ</t>
  </si>
  <si>
    <t>mail@2nip-gaziou.ira.sch.gr</t>
  </si>
  <si>
    <t>ΚΟΣΜΑ ΑΙΤΩΛΟΥ ΕΡΓ. ΚΑΤΟΙΚΙΕΣ ΓΑΖΙ</t>
  </si>
  <si>
    <t>3ο   ΝΗΠΙΑΓΩΓΕΙΟ ΒΟΥΤΩΝ</t>
  </si>
  <si>
    <t>mail@3nip-vouton.ira.sch.gr</t>
  </si>
  <si>
    <t>Λ.ΠΑΝΕΠΙΣΤΗΜΙΟΥ 70</t>
  </si>
  <si>
    <t>2ο  ΝΗΠΙΑΓΩΓΕΊΟ ΒΟΥΤΩΝ</t>
  </si>
  <si>
    <t>mail@2nip-vouton.ira.sch.gr</t>
  </si>
  <si>
    <t>1ο ΝΗΠΙΑΓΩΓΕΙΟ ΒΟΥΤΕΣ</t>
  </si>
  <si>
    <t>mail@1nip-vouton.ira.sch.gr</t>
  </si>
  <si>
    <t>ΝΗΠΙΑΓΩΓΕΙΟ ΒΕΝΕΡΑΤΟΥ</t>
  </si>
  <si>
    <t>mail@nip-vener.ira.sch.gr</t>
  </si>
  <si>
    <t>ΟΔΟΣ ΒΕΝΙΕΡΗΔΩΝ</t>
  </si>
  <si>
    <t>ΝΗΠΙΑΓΩΓΕΙΟ ΑΓΙΟΥ ΣΥΛΛΑ</t>
  </si>
  <si>
    <t>mail@nip-ag-sylla.ira.sch.gr</t>
  </si>
  <si>
    <t>ΑΓ. ΣΥΛΛΑΣ</t>
  </si>
  <si>
    <t>ΝΗΠΙΑΓΩΓΕΙΟ ΑΓΙΟΥ ΜΥΡΩΝΑ</t>
  </si>
  <si>
    <t>mail@nip-ag-myron.ira.sch.gr</t>
  </si>
  <si>
    <t>ΑΓΙΟΥ ΜΥΡΩΝΑ</t>
  </si>
  <si>
    <t>2ο ΟΛΟΗΜΕΡΟ ΝΗΠΙΑΓΩΓΕΙΟ ΑΓΙΑΣ ΒΑΡΒΑΡΑΣ</t>
  </si>
  <si>
    <t>mail@2nip-ag-varvar.ira.sch.gr</t>
  </si>
  <si>
    <t>mail@dim-ag-myron.ira.sch.gr</t>
  </si>
  <si>
    <t>ΑΓΙΟΣ ΜΥΡΩΝ</t>
  </si>
  <si>
    <t>2ο ΔΗΜΟΤΙΚΟ ΣΧΟΛΕΙΟ ΓΑΖΙΟΥ</t>
  </si>
  <si>
    <t>mail@2dim-gaziou.ira.sch.gr</t>
  </si>
  <si>
    <t>1ο ΔΗΜΟΤΙΚΟ ΣΧΟΛΕΙΟ ΒΟΥΤΩΝ</t>
  </si>
  <si>
    <t>mail@1dim-vouton.ira.sch.gr</t>
  </si>
  <si>
    <t>50ο  ΝΗΠΙΑΓΩΓΕΙΟ ΗΡΑΚΛΕΙΟΥ</t>
  </si>
  <si>
    <t>mail@50nip-irakl.ira.sch.gr</t>
  </si>
  <si>
    <t>ΠΟΛΥΒΙΟΥ 3</t>
  </si>
  <si>
    <t>ΔΗΜΟΤΙΚΟ ΣΧΟΛΕΙΟ ΜΑΡΑΘΟΥ</t>
  </si>
  <si>
    <t>mail@dim-marath.ira.sch.gr</t>
  </si>
  <si>
    <t>ΝΗΠΙΑΓΩΓΕΙΟ ΧΕΡΣΟΝΗΣΟΥ</t>
  </si>
  <si>
    <t>mail@nip-chers.ira.sch.gr</t>
  </si>
  <si>
    <t>ΜΑΡΚΑΝΤΩΝΗ ΦΩΣΚΟΛΟΥ</t>
  </si>
  <si>
    <t>ΝΗΠΙΑΓΩΓΕΙΟ ΣΓΟΥΡΟΚΕΦΑΛΙΟΥ</t>
  </si>
  <si>
    <t>mail@nip-sgour.ira.sch.gr</t>
  </si>
  <si>
    <t>ΕΠΙΣΚΟΠΗΣ ΠΕΔΙΑΔΟΣ</t>
  </si>
  <si>
    <t>mail@1dim-krouss.ira.sch.gr</t>
  </si>
  <si>
    <t>2/θ ΝΗΠΙΑΓΩΓΕΙΟ ΚΟΚΚΙΝΗ ΧΑΝΙ</t>
  </si>
  <si>
    <t>mail@nip-kokkin.ira.sch.gr</t>
  </si>
  <si>
    <t>43ο ΔΗΜΟΤΙΚΟ ΣΧΟΛΕΙΟ ΗΡΑΚΛΕΙΟΥ "ΣΠΥΡΟΣ ΜΟΥΣΤΑΚΛΗΣ"</t>
  </si>
  <si>
    <t>mail@43dim-irakl.ira.sch.gr</t>
  </si>
  <si>
    <t>ΣΠΥΡΟΥ ΜΟΥΣΤΑΚΛΗ 10 (ΚΑΙ ΕΒΡΟΥ ΓΩΝΙΑ)</t>
  </si>
  <si>
    <t>ΔΗΜΟΤΙΚΟ ΣΧΟΛΕΙΟ ΒΩΡΩΝ</t>
  </si>
  <si>
    <t>mail@dim-voron.ira.sch.gr</t>
  </si>
  <si>
    <t>ΒΩΡΟΙ ΗΡΑΚΛΕΙΟΥ ΚΡΗΤΗΣ</t>
  </si>
  <si>
    <t>ΕΙΔΙΚΟ ΝΗΠΙΑΓΩΓΕΙΟ ΑΡΚΑΛΟΧΩΡΙ</t>
  </si>
  <si>
    <t>mail@nip-eid-arkal.ira.sch.gr</t>
  </si>
  <si>
    <t>1ο ΟΛΟΗΜΕΡΟ ΝΗΠΙΑΓΩΓΕΙΟ ΑΝΩ ΒΙΑΝΝΟΣ</t>
  </si>
  <si>
    <t>mail@nip-an-viann.ira.sch.gr</t>
  </si>
  <si>
    <t>57ο  ΔΗΜΟΤΙΚΟ ΣΧΟΛΕΙΟ ΗΡΑΚΛΕΙΟΥ</t>
  </si>
  <si>
    <t>mail@57dim-irakl.ira.sch.gr</t>
  </si>
  <si>
    <t>2ο Δημοτικό Σχολείο Αγίας Μαρίνας</t>
  </si>
  <si>
    <t>mail@2dim-ag-marin.ira.sch.gr</t>
  </si>
  <si>
    <t>Κ. ΜΗΤΣΟΤΑΚΗ 29</t>
  </si>
  <si>
    <t>73ο ΝΗΠΙΑΓΩΓΕΙΟ ΗΡΑΚΛΕΙΟΥ</t>
  </si>
  <si>
    <t>mail@73nip-irakl.ira.sch.gr</t>
  </si>
  <si>
    <t>ΑΛΜΠΕΡΤ ΣΒΑΙΤΣΕΡ 61</t>
  </si>
  <si>
    <t>mail@56dim-irakl.ira.sch.gr</t>
  </si>
  <si>
    <t>ΠΕΖΟΔΡΟΜΟΣ ΟΡΦΕΩΣ  3</t>
  </si>
  <si>
    <t>ΕΙΔΙΚΟ ΔΗΜΟΤΙΚΟ ΣΧΟΛΕΙΟ ΑΡΚΑΛΟΧΩΡΙΟΥ</t>
  </si>
  <si>
    <t>mail@dim-eid-arkal.ira.sch.gr</t>
  </si>
  <si>
    <t>mail@dim-prof-ilia.ira.sch.gr</t>
  </si>
  <si>
    <t>ΠΡΟΦΗΤΗΣ  ΗΛΙΑΣ</t>
  </si>
  <si>
    <t>74ο ΝΗΠΙΑΓΩΓΕΙΟ ΗΡΑΚΛΕΙΟΥ</t>
  </si>
  <si>
    <t>mail@74nip-irakl.ira.sch.gr</t>
  </si>
  <si>
    <t xml:space="preserve"> ΗΡΑΚΛΕΙΟ ΚΡΗΤΗΣ</t>
  </si>
  <si>
    <t>ΘΕΟΔ. ΜΑΤΘΑΙΑΚΗ  35Α</t>
  </si>
  <si>
    <t>ΝΗΠΙΑΓΩΓΕΙΟ ΜΕΓΑΛΗΣ ΒΡΥΣΗΣ ΗΡΑΚΛΕΙΟΥ</t>
  </si>
  <si>
    <t>mail@nip-meg-vrysis.ira.sch.gr</t>
  </si>
  <si>
    <t>ΟΛΟΗΜΕΡΟ ΝΗΠΙΑΓΩΓΕΙΟ ΡΟΔΙΑ</t>
  </si>
  <si>
    <t>mail@nip-rodias.ira.sch.gr</t>
  </si>
  <si>
    <t>2/Θ ΝΗΠΙΑΓΩΓΕΙΟ ΕΠΙΣΚΟΠΗΣ ΗΡΑΚΛΕΙΟΥ</t>
  </si>
  <si>
    <t>mail@nip-episkop.ira.sch.gr</t>
  </si>
  <si>
    <t>ΕΠΙΣΚΟΠΗ-ΠΕΔΙΑΔΟΣ</t>
  </si>
  <si>
    <t>ΝΗΠΙΑΓΩΓΕΙΟ ΑΜΟΥΡΓΕΛΛΩΝ</t>
  </si>
  <si>
    <t>mail@nip-amourg.ira.sch.gr</t>
  </si>
  <si>
    <t>ΑΜΟΥΡΓΕΛΛΩΝ</t>
  </si>
  <si>
    <t>ΑΜΟΥΡΓΕΛΛΕΣ</t>
  </si>
  <si>
    <t>ΔΗΜΟΤΙΚΟ ΣΧΟΛΕΙΟ ΠΥΡΓΟΥ ΑΣΤΕΡΟΥΣΙΩΝ ΗΡΑΚΛΕΙΟΥ ΚΡΗΤΗΣ</t>
  </si>
  <si>
    <t>mail@dim-pyrgou.ira.sch.gr</t>
  </si>
  <si>
    <t>ΠΥΡΓΟΣ ΑΣΤΕΡΟΥΣΙΩΝ</t>
  </si>
  <si>
    <t>ΕΙΔΙΚΟ ΔΗΜΟΤΙΚΟ ΣΧΟΛΕΙΟ ΜΟΙΡΩΝ</t>
  </si>
  <si>
    <t>mail@dim-eid-moiron.ira.sch.gr</t>
  </si>
  <si>
    <t>ΠΟΜΠΙΑ-ΜΟΙΡΩΝ</t>
  </si>
  <si>
    <t>ΕΙΔΙΚΟ ΝΗΠΙΑΓΩΓΕΙΟ ΜΟΙΡΩΝ</t>
  </si>
  <si>
    <t>mail@nip-eid-moiron.ira.sch.gr</t>
  </si>
  <si>
    <t>ΜΟΙΡΩΝ - ΠΟΜΠΙΑ</t>
  </si>
  <si>
    <t>ΝΗΠΙΑΓΩΓΕΙΟ ΜΕΣΟΧΩΡΙΟΥ</t>
  </si>
  <si>
    <t>mail@nip-mesoch.ira.sch.gr</t>
  </si>
  <si>
    <t>Νηπιαγωγείο Ευρωπαϊκής Παιδείας</t>
  </si>
  <si>
    <t>ΝΗΠΙΑΓΩΓΕΙΟ ΕΥΡΩΠΑΪΚΗΣ ΠΑΙΔΕΙΑΣ ΗΡΑΚΛΕΙΟ</t>
  </si>
  <si>
    <t>mail@nip-eur-edu.ira.sch.gr</t>
  </si>
  <si>
    <t>Δημοτικό Σχολείο Ευρωπαϊκής Παιδείας</t>
  </si>
  <si>
    <t>ΔΗΜΟΤΙΚΟ ΣΧΟΛΕΙΟ ΕΥΡΩΠΑΪΚΗΣ ΠΑΙΔΕΙΑΣ ΗΡΑΚΛΕΙΟΥ</t>
  </si>
  <si>
    <t>mail@dim-eur-edu.ira.sch.gr</t>
  </si>
  <si>
    <t>3ο ΔΗΜΟΤΙΚΟ ΣΧΟΛΕΙΟ ΓΑΖΙΟΥ</t>
  </si>
  <si>
    <t>mail@3dim-gaziou.ira.sch.gr</t>
  </si>
  <si>
    <t>ΟΛΟΗΜΕΡΟ ΝΗΠΙΑΓΩΓΕΙΟ ΚΑΜΑΡΩΝ</t>
  </si>
  <si>
    <t>mail@nip-kamar.ira.sch.gr</t>
  </si>
  <si>
    <t>ΕΙΔΙΚΟ ΔΗΜΟΤΙΚΟ ΣΧΟΛΕΙΟ ΚΩΦΩΝ ΚΑΙ ΒΑΡΗΚΟΩΝ ΜΟΙΡΩΝ (ΜΕ ΕΔΡΑ ΤΗ ΓΑΛΙΑ)</t>
  </si>
  <si>
    <t>mail@dim-ekv-moiron.ira.sch.gr</t>
  </si>
  <si>
    <t>75ο ΝΗΠΙΑΓΩΓΕΙΟ ΗΡΑΚΛΕΙΟΥ</t>
  </si>
  <si>
    <t>mail@75nip-irakl.ira.sch.gr</t>
  </si>
  <si>
    <t>Τ.Ε.Ι.  ΕΣΤΑΥΡΩΜΕΝΟΣ</t>
  </si>
  <si>
    <t>76ο ΝΗΠΙΑΓΩΓΕΙΟ ΗΡΑΚΛΕΙΟΥ</t>
  </si>
  <si>
    <t>mail@76nip-irakl.ira.sch.gr</t>
  </si>
  <si>
    <t>ΑΒΔΗΡΩΝ 2</t>
  </si>
  <si>
    <t>ΔΗΜΟΤΙΚΟ ΣΧΟΛΕΙΟ ΑΝΑΛΗΨΗΣ ΧΕΡΣΟΝΗΣΟΥ</t>
  </si>
  <si>
    <t>mail@dim-analips.ira.sch.gr</t>
  </si>
  <si>
    <t>Ανάληψη Χερσονήσου</t>
  </si>
  <si>
    <t>8ο ΝΗΠΙΑΓΩΓΕΙΟ ΑΛΙΚΑΡΝΑΣΣΟΥ</t>
  </si>
  <si>
    <t>mail@8nip-n-alikarn.ira.sch.gr</t>
  </si>
  <si>
    <t>ΑΛΙΚΑΡΝΑΣΣΟΥ</t>
  </si>
  <si>
    <t>ΘΑΛΗ 9</t>
  </si>
  <si>
    <t>ΔΗΜΟΤΙΚΟ ΣΧΟΛΕΙΟ ΚΑΜΑΡΩΝ</t>
  </si>
  <si>
    <t>mail@dim-kamar.ira.sch.gr</t>
  </si>
  <si>
    <t>Καμάρες</t>
  </si>
  <si>
    <t>77ο ΝΗΠΙΑΓΩΓΕΙΟ ΗΡΑΚΛΕΙΟΥ</t>
  </si>
  <si>
    <t>mail@77nip-irakl.ira.sch.gr</t>
  </si>
  <si>
    <t>ΑΡΤΑΣ 10</t>
  </si>
  <si>
    <t>78ο  ΝΗΠΙΑΓΩΓΕΙΟ ΗΡΑΚΛΕΙΟΥ</t>
  </si>
  <si>
    <t>mail@78nip-irakl.ira.sch.gr</t>
  </si>
  <si>
    <t>Ι.ΚΑΡΔΙΤΣΗ 10</t>
  </si>
  <si>
    <t>ΔΗΜΟΤΙΚΟ ΣΧΟΛΕΙΟ ΚΑΡΤΕΡΟΥ</t>
  </si>
  <si>
    <t>ΚΑΡΤΕΡΟΥ</t>
  </si>
  <si>
    <t>3ο  ΝΗΠΙΑΓΩΓΕΙΟ ΑΡΧΑΝΩΝ</t>
  </si>
  <si>
    <t>mail@3nip-archan.ira.sch.gr</t>
  </si>
  <si>
    <t>ΑΡΧΑΝΕΣ HΡʼΚΛΕΙΟΥ ΚΡΗΤΗΣ</t>
  </si>
  <si>
    <t>ΚΑΤΩ ΑΡΧΑΝΕΣ</t>
  </si>
  <si>
    <t>2ο ΝΗΠΙΑΓΩΓΕΙΟ ΑΣΗΜΙΟΥ</t>
  </si>
  <si>
    <t>mail@2nip-asimiou.ira.sch.gr</t>
  </si>
  <si>
    <t>ΑΣΗΜΙ 1</t>
  </si>
  <si>
    <t>4ο 1/Θ ΝΗΠΙΑΓΩΓΕΙΟ ΑΓΙΑΣ ΜΑΡΙΝΑΣ</t>
  </si>
  <si>
    <t>mail@4nip-ag-marin.ira.sch.gr</t>
  </si>
  <si>
    <t>ΠΟΣΕΙΔΩΝΟΣ 10</t>
  </si>
  <si>
    <t>ΔΙΕΥΘΥΝΣΗ Π.Ε. ΛΑΣΙΘΙΟΥ</t>
  </si>
  <si>
    <t>ΝΗΠΙΑΓΩΓΕΙΟ ΑΓΙΟΥ ΓΕΩΡΓΙΟΥ ΛΑΣΙΘΙΟΥ</t>
  </si>
  <si>
    <t>mail@nip-ag-georg.las.sch.gr</t>
  </si>
  <si>
    <t>ΤΖΕΡΜΙΑΔΟ</t>
  </si>
  <si>
    <t>ΝΗΠΙΑΓΩΓΕΙΟ ΚΟΥΤΣΟΥΡΑ</t>
  </si>
  <si>
    <t>mail@nip-kouts.las.sch.gr</t>
  </si>
  <si>
    <t>ΑΠΙΔΙΩΝ (ΜΕΣΑ ΑΠΙΔΙΟΥ)</t>
  </si>
  <si>
    <t>ΝΗΠΙΑΓΩΓΕΙΟ ΓΟΥΔΟΥΡΑ</t>
  </si>
  <si>
    <t>mail@nip-goudour.las.sch.gr</t>
  </si>
  <si>
    <t>ΓΟΥΔΟΥΡΑΣ ΛΕΥΚΗΣ</t>
  </si>
  <si>
    <t>2ο ΝΗΠΙΑΓΩΓΕΙΟ ΑΓΙΟΥ ΝΙΚΟΛΑΟΥ</t>
  </si>
  <si>
    <t>mail@2nip-ag-nikol.las.sch.gr</t>
  </si>
  <si>
    <t>ΕΒΑΝΣ 6</t>
  </si>
  <si>
    <t>1ο ΝΗΠΙΑΓΩΓΕΙΟ ΑΓΙΟΥ ΝΙΚΟΛΑΟΥ</t>
  </si>
  <si>
    <t>mail@1nip-ag-nikol.las.sch.gr</t>
  </si>
  <si>
    <t>Σ.ΔΑΒΑΚΗ 4 -  Β.ΚΟΡΝΑΡΟΥ 7</t>
  </si>
  <si>
    <t>ΖΑΚΡΟΥ</t>
  </si>
  <si>
    <t>ΔΗΜΟΤΙΚΟ ΣΧΟΛΕΙΟ ΖΑΚΡΟΥ</t>
  </si>
  <si>
    <t>mail@dim-zakrou.las.sch.gr</t>
  </si>
  <si>
    <t>ΖΑΚΡΟΣ  ΣΗΤΕΙΑΣ</t>
  </si>
  <si>
    <t>3ο ΔΗΜΟΤΙΚΟ ΣΧΟΛΕΙΟ ΑΓΙΟΥ ΝΙΚΟΛΑΟΥ</t>
  </si>
  <si>
    <t>mail@3dim-ag-nikol.las.sch.gr</t>
  </si>
  <si>
    <t>ΤΕΡΜΑ ΚΑΖΑΝΗ</t>
  </si>
  <si>
    <t>3ο ΔΗΜΟΤΙΚΟ ΣΧΟΛΕΙΟ ΣΗΤΕΙΑΣ</t>
  </si>
  <si>
    <t>mail@3dim-siteias.las.sch.gr</t>
  </si>
  <si>
    <t>ΚΟΚΚΙΝΑ</t>
  </si>
  <si>
    <t>ΝΗΠΙΑΓΩΓΕΙΟ ΖΑΚΡΟΥ - ΝΙΚΟΛΑΟΣ ΠΛΑΤΩΝ</t>
  </si>
  <si>
    <t>mail@nip-zakrou.las.sch.gr</t>
  </si>
  <si>
    <t>ΖΑΚΡΟΣ</t>
  </si>
  <si>
    <t>1ο ΝΗΠΙΑΓΩΓΕΙΟ ΣΗΤΕΙΑΣ</t>
  </si>
  <si>
    <t>mail@1nip-siteias.las.sch.gr</t>
  </si>
  <si>
    <t>ΕΘΝΟΜΑΡΤΥΡΟΣ Ι.ΑΡΧΑΤΖΙΚΑΚΗ ΕΡΓ. ΚΑΤΟΙΚΙΕΣ</t>
  </si>
  <si>
    <t>5ο ΝΗΠΙΑΓΩΓΕΙΟ ΣΗΤΕΙΑΣ</t>
  </si>
  <si>
    <t>mail@5nip-siteias.las.sch.gr</t>
  </si>
  <si>
    <t>ΝΗΠΙΑΓΩΓΕΙΟ ΜΑΚΡΥ ΓΙΑΛΟΥ</t>
  </si>
  <si>
    <t>mail@nip-mak-gialou.las.sch.gr</t>
  </si>
  <si>
    <t>ΜΑΚΡΥΣ ΓΙΑΛΟΣ</t>
  </si>
  <si>
    <t>ΑΡΜΕΝΩΝ</t>
  </si>
  <si>
    <t>mail@dim-armen.las.sch.gr</t>
  </si>
  <si>
    <t>ΑΡΜΕΝΟΙ ΣΗΤΕΙΑΣ</t>
  </si>
  <si>
    <t>ΣΦΑΚΑΣ</t>
  </si>
  <si>
    <t>ΝΗΠΙΑΓΩΓΕΙΟ ΣΦΑΚΑΣ</t>
  </si>
  <si>
    <t>mail@nip-sfakas.las.sch.gr</t>
  </si>
  <si>
    <t>ΣΦΑΚΑ</t>
  </si>
  <si>
    <t>6ο  ΝΗΠΙΑΓΩΓΕΙΟ ΣΗΤΕΙΑΣ</t>
  </si>
  <si>
    <t>mail@6nip-siteias.las.sch.gr</t>
  </si>
  <si>
    <t>ΠΑΡΟΔΟΣ ΜΙΝΩΟΣ</t>
  </si>
  <si>
    <t>mail@dim-sfakas.las.sch.gr</t>
  </si>
  <si>
    <t>3ο ΝΗΠΙΑΓΩΓΕΙΟ ΣΗΤΕΙΑΣ</t>
  </si>
  <si>
    <t>3nip-siteias@las.sch.gr</t>
  </si>
  <si>
    <t>Νικήτα Νικητάκη, Κόκκινα</t>
  </si>
  <si>
    <t>ΚΑΛΟΥ ΧΩΡΙΟΥ</t>
  </si>
  <si>
    <t>ΝΗΠΙΑΓΩΓΕΙΟ ΚΑΛΟΥ ΧΩΡΙΟΥ</t>
  </si>
  <si>
    <t>mail@nip-kal-choriou.las.sch.gr</t>
  </si>
  <si>
    <t>ΚΑΛΟ ΧΩΡΙΟ</t>
  </si>
  <si>
    <t>ΠΙΣΚΟΚΕΦΑΛΟΥ</t>
  </si>
  <si>
    <t>ΝΗΠΙΑΓΩΓΕΙΟ ΠΙΣΚΟΚΕΦΑΛΟΥ</t>
  </si>
  <si>
    <t>mail@nip-piskok.las.sch.gr</t>
  </si>
  <si>
    <t>ΠΙΣΚΟΚΕΦΑΛΟ ΣΗΤΕΙΑΣ</t>
  </si>
  <si>
    <t>ΝΗΠΙΑΓΩΓΕΙΟ ΠΑΛΑΙΚΑΣΤΡΟΥ</t>
  </si>
  <si>
    <t>mail@nip-palaik.las.sch.gr</t>
  </si>
  <si>
    <t>ΠΑΛΑΙΚΑΣΤΡΟ</t>
  </si>
  <si>
    <t>mail@1dim-ag-nikol.las.sch.gr</t>
  </si>
  <si>
    <t>Δ. ΣΟΛΩΜΟΥ 13 &amp; Ν. ΠΛΑΣΤΗΡΑ</t>
  </si>
  <si>
    <t>2ο ΝΗΠΙΑΓΩΓΕΙΟ ΣΗΤΕΙΑΣ - ΕΥΣΤΡΑΤΙΟΣ ΚΑΛΟΓΕΡΙΔΗΣ</t>
  </si>
  <si>
    <t>mail@2nip-siteias.las.sch.gr</t>
  </si>
  <si>
    <t>Γ. ΓΕΝΝΗΜΑΤΑ 31</t>
  </si>
  <si>
    <t>mail@dim-ag-georg.las.sch.gr</t>
  </si>
  <si>
    <t>ΑΓΙΟΣ  ΓΕΩΡΓΙΟΣ ΛΑΣΙΘΙΟΥ ΚΡΗΤΗ</t>
  </si>
  <si>
    <t>3ο ΝΗΠΙΑΓΩΓΕΙΟ ΑΓΙΟΥ ΝΙΚΟΛΑΟΥ</t>
  </si>
  <si>
    <t>mail@3nip-ag-nikol.las.sch.gr</t>
  </si>
  <si>
    <t>ΚΑΖΑΝΗ</t>
  </si>
  <si>
    <t>6ο ΝΗΠΙΑΓΩΓΕΙΟ ΑΓΙΟΥ ΝΙΚΟΛΑΟΥ</t>
  </si>
  <si>
    <t>mail@6nip-ag-nikol.las.sch.gr</t>
  </si>
  <si>
    <t>ΠΕΡΙΟΧΗ ΚΟΠΡΑΝΕΣ ΩΡΙΩΝΟΣ ΚΑΙ ΓΑΛΗΝΟΥ</t>
  </si>
  <si>
    <t>2ο ΝΗΠΙΑΓΩΓΕΙΟ ΝΕΑΠΟΛΗΣ ΛΑΣΙΘΙΟΥ</t>
  </si>
  <si>
    <t>mail@2nip-neapol.las.sch.gr</t>
  </si>
  <si>
    <t>ΙΩΑΝΝΗ ΣΕΡΓΑΚΗ 60</t>
  </si>
  <si>
    <t>ΒΡΑΧΑΣΙΟΥ</t>
  </si>
  <si>
    <t>ΝΗΠΙΑΓΩΓΕΙΟ ΣΕΙΣΙΟΥ</t>
  </si>
  <si>
    <t>mail@nip-seisiou.las.sch.gr</t>
  </si>
  <si>
    <t>ΣΕΙΣΙ</t>
  </si>
  <si>
    <t>mail@4dim-ag-nikol.las.sch.gr</t>
  </si>
  <si>
    <t>ΧΑΤΖΗΔΑΚΙ -ΞΑΝΘΟΥΔΙΔΟΥ ΑΜΜΟΥΔΙ</t>
  </si>
  <si>
    <t>2ο ΔΗΜΟΤΙΚΟ ΣΧΟΛΕΙΟ ΑΓΙΟΥ ΝΙΚΟΛΑΟΥ</t>
  </si>
  <si>
    <t>mail@2dim-ag-nikol.las.sch.gr</t>
  </si>
  <si>
    <t>ΚΩΝΣΤΑΝΤΙΝΟΥ ΠΑΛΑΙΟΛΟΓΟΥ 78</t>
  </si>
  <si>
    <t>3ο ΝΗΠΙΑΓΩΓΕΙΟ ΙΕΡΑΠΕΤΡΑΣ</t>
  </si>
  <si>
    <t>mail@3nip-ierap.las.sch.gr</t>
  </si>
  <si>
    <t>Ιεράπετρα</t>
  </si>
  <si>
    <t>Τζιβέρι</t>
  </si>
  <si>
    <t>4ο ΝΗΠΙΑΓΩΓΕΙΟ ΣΗΤΕΙΑΣ - ΨΑΡΑΚΕΙΟ ΝΗΠΙΑΓΩΓΕΙΟ ΣΗΤΕΙΑΣ</t>
  </si>
  <si>
    <t>mail@4nip-siteias.las.sch.gr</t>
  </si>
  <si>
    <t>ΠΑΠΑΝΑΣΤΑΣΙΟΥ 59</t>
  </si>
  <si>
    <t>ΔΗΜΟΤΙΚΟ ΣΧΟΛΕΙΟ ΓΟΥΔΟΥΡΑ</t>
  </si>
  <si>
    <t>mail@dim-goudour.las.sch.gr</t>
  </si>
  <si>
    <t>ΓΟΥΔΟΥΡΑΣ ΣΗΤΕΙΑΣ</t>
  </si>
  <si>
    <t>ΕΙΔΙΚΟ ΔΗΜΟΤΙΚΟ ΣΧΟΛΕΙΟ ΣΗΤΕΙΑΣ</t>
  </si>
  <si>
    <t>mail@dim-eid-siteias.las.sch.gr</t>
  </si>
  <si>
    <t>1ο ΧΙΛΙΟΜΕΤΡΟ ΣΗΤΕΙΑΣ-ΠΙΣΚΟΚΕΦΑΛΟΥ ΑΝΕΜΟΜΥΛΙΑ</t>
  </si>
  <si>
    <t>ΝΗΠΙΑΓΩΓΕΙΟ ΚΡΙΤΣΑΣ</t>
  </si>
  <si>
    <t>mail@nip-krits.las.sch.gr</t>
  </si>
  <si>
    <t>ΧΟΡΤΑΡΑΚΙΑ-ΚΡΙΤΣΑ</t>
  </si>
  <si>
    <t>mail@2dim-siteias.las.sch.gr</t>
  </si>
  <si>
    <t>ΚΑΡΑΟΛΗ ΚΑΙ ΔΗΜΗΤΡΙΟΥ</t>
  </si>
  <si>
    <t>ΚΡΟΥΣΤΑ</t>
  </si>
  <si>
    <t>ΔΗΜΟΤΙΚΟ ΣΧΟΛΕΙΟ ΚΡΟΥΣΤΑ</t>
  </si>
  <si>
    <t>mail@dim-kroust.las.sch.gr</t>
  </si>
  <si>
    <t>ΚΡΟΥΣΤΑΣ</t>
  </si>
  <si>
    <t>5ο ΝΗΠΙΑΓΩΓΕΙΟ ΑΓΙΟΥ ΝΙΚΟΛΑΟΥ</t>
  </si>
  <si>
    <t>mail@5nip-ag-nikol.las.sch.gr</t>
  </si>
  <si>
    <t>ΕΙΔΙΚΟ ΝΗΠΙΑΓΩΓΕΙΟ ΑΓΙΟΥ ΝΙΚΟΛΑΟΥ</t>
  </si>
  <si>
    <t>mail@nip-eid-ag-nikol.las.sch.gr</t>
  </si>
  <si>
    <t>ΑΜΜΟΥΔΙ</t>
  </si>
  <si>
    <t>ΣΚΟΠΗΣ</t>
  </si>
  <si>
    <t>ΔΗΜΟΤΙΚΟ ΣΧΟΛΕΙΟ ΣΚΟΠΗΣ</t>
  </si>
  <si>
    <t>mail@dim-skopis.las.sch.gr</t>
  </si>
  <si>
    <t>ΣΚΟΠΗ ΣΗΤΕΙΑΣ</t>
  </si>
  <si>
    <t>mail@dim-kouts.las.sch.gr</t>
  </si>
  <si>
    <t>ΔΗΜΟΤΙΚΟ ΣΧΟΛΕΙΟ ΠΙΣΚΟΚΕΦΑΛΟΥ</t>
  </si>
  <si>
    <t>mail@dim-piskok.las.sch.gr</t>
  </si>
  <si>
    <t>ΔΗΜΟΤΙΚΟ ΣΧΟΛΕΙΟ ΣΕΙΣΙΟΥ - ΠΛΑΤΑΚΗ</t>
  </si>
  <si>
    <t>mail@dim-seisiou.las.sch.gr</t>
  </si>
  <si>
    <t>ΔΗΜΟΤΙΚΟ ΣΧΟΛΕΙΟ ΜΑΚΡΥ ΓΙΑΛΟΥ</t>
  </si>
  <si>
    <t>mail@dim-mak-gialou.las.sch.gr</t>
  </si>
  <si>
    <t>1ο ΝΗΠΙΑΓΩΓΕΙΟ ΝΕΑΠΟΛΗΣ ΛΑΣΙΘΙΟΥ</t>
  </si>
  <si>
    <t>mail@1nip-neapol.las.sch.gr</t>
  </si>
  <si>
    <t>ΜΕΛΕΤΙΟΥ ΜΕΤΑΞΑΚΗ 1</t>
  </si>
  <si>
    <t>mail@1dim-siteias.las.sch.gr</t>
  </si>
  <si>
    <t>ΓΑΒΡΙΗΛ ΑΡΚΑΔΙΟΥ 1</t>
  </si>
  <si>
    <t>mail@4dim-siteias.las.sch.gr</t>
  </si>
  <si>
    <t>ΑΛΕΚΟΥ ΓΕΡΟΛΑΚΗ  9</t>
  </si>
  <si>
    <t>ΝΗΠΙΑΓΩΓΕΙΟ ΣΚΟΠΗΣ - ΛΑΓΚΩΝΑΚΕΙΟ ΙΔΡΥΜΑ</t>
  </si>
  <si>
    <t>mail@nip-skop-siteias.las.sch.gr</t>
  </si>
  <si>
    <t>ΖΙΡΟΥ</t>
  </si>
  <si>
    <t>ΝΗΠΙΑΓΩΓΕΙΟ ΖΗΡΟΥ</t>
  </si>
  <si>
    <t>mail@nip-zirou.las.sch.gr</t>
  </si>
  <si>
    <t>ΖΗΡΟΣ</t>
  </si>
  <si>
    <t>ΕΙΔΙΚΟ ΔΗΜΟΤΙΚΟ ΣΧΟΛΕΙΟ ΑΓΙΟΥ ΝΙΚΟΛΑΟΥ</t>
  </si>
  <si>
    <t>mail@dim-eid-ag-nikol.las.sch.gr</t>
  </si>
  <si>
    <t>4ο ΝΗΠΙΑΓΩΓΕΙΟ ΑΓΙΟΥ ΝΙΚΟΛΑΟΥ</t>
  </si>
  <si>
    <t>mail@4nip-ag-nikol.las.sch.gr</t>
  </si>
  <si>
    <t>mail@dim-palaik.las.sch.gr</t>
  </si>
  <si>
    <t>ΠΑΛΑΙΚΑΣΤΡΟ, ΣΗΤΕΙΑ, ΚΡΗΤΗ</t>
  </si>
  <si>
    <t>mail@dim-krits.las.sch.gr</t>
  </si>
  <si>
    <t>Γ.ΠΕΔΙΑΔΙΤΗ</t>
  </si>
  <si>
    <t>ΕΛΟΥΝΤΑΣ</t>
  </si>
  <si>
    <t>ΝΗΠΙΑΓΩΓΕΙΟ ΕΛΟΥΝΤΑΣ</t>
  </si>
  <si>
    <t>mail@nip-elount.las.sch.gr</t>
  </si>
  <si>
    <t>ΕΛΟΥΝΤΑ</t>
  </si>
  <si>
    <t>2ο ΝΗΠΙΑΓΩΓΕΙΟ ΙΕΡΑΠΕΤΡΑΣ</t>
  </si>
  <si>
    <t>mail@2nip-ierap.las.sch.gr</t>
  </si>
  <si>
    <t>ΚΥΠΡΟΥ  29</t>
  </si>
  <si>
    <t>ΠΑΧΕΙΑΣ ΑΜΜΟΥ</t>
  </si>
  <si>
    <t>ΝΗΠΙΑΓΩΓΕΙΟ ΠΑΧΕΙΑΣ ΑΜΜΟΥ</t>
  </si>
  <si>
    <t>mail@nip-pacheias.las.sch.gr</t>
  </si>
  <si>
    <t>ΠΑΧΕΙΑ ΑΜΜΟΣ</t>
  </si>
  <si>
    <t>ΚΑΤΩ ΧΩΡΙΟΥ</t>
  </si>
  <si>
    <t>ΝΗΠΙΑΓΩΓΕΙΟ ΚΑΤΩ ΧΩΡΙΟΥ</t>
  </si>
  <si>
    <t>mail@nip-kat-choriou.las.sch.gr</t>
  </si>
  <si>
    <t>ΚΑΤΩ ΧΩΡΙΟ ΙΕΡΑΠΕΤΡΑΣ</t>
  </si>
  <si>
    <t>ΜΥΡΤΟΥ</t>
  </si>
  <si>
    <t>ΔΗΜΟΤΙΚΟ ΣΧΟΛΕΙΟ ΜΥΡΤΟΥ</t>
  </si>
  <si>
    <t>mail@dim-myrtou.las.sch.gr</t>
  </si>
  <si>
    <t>ΜΥΡΤΟΣ ΙΕΡΑΠΕΤΡΑ</t>
  </si>
  <si>
    <t>ΜΥΡΤΟΣ ΜΑΛΕΣ</t>
  </si>
  <si>
    <t>ΔΗΜΟΤΙΚΟ ΣΧΟΛΕΙΟ ΝΕΑΣ ΑΝΑΤΟΛΗΣ</t>
  </si>
  <si>
    <t>mail@dim-n-anatol.las.sch.gr</t>
  </si>
  <si>
    <t>ΝΕΑ ΑΝΑΤΟΛΗ</t>
  </si>
  <si>
    <t>ΝΕΑ ΑΝΑΤΟΛΗ ΙΕΡΑΠΕΤΡΑΣ</t>
  </si>
  <si>
    <t>ΜΑΛΩΝ</t>
  </si>
  <si>
    <t>ΔΗΜΟΤΙΚΟ ΣΧΟΛΕΙΟ ΜΑΛΩΝ</t>
  </si>
  <si>
    <t>mail@dim-malon.las.sch.gr</t>
  </si>
  <si>
    <t>ΜΑΛΕΣ</t>
  </si>
  <si>
    <t>ΔΗΜΟΤΙΚΟ ΣΧΟΛΕΙΟ ΜΑΛΩΝ ΙΕΡΑΠΕΤΡΑΣ</t>
  </si>
  <si>
    <t>ΔΗΜΟΤΙΚΟ ΣΧΟΛΕΙΟ ΠΑΧΕΙΑΣ ΑΜΜΟΥ</t>
  </si>
  <si>
    <t>mail@dim-pacheias.las.sch.gr</t>
  </si>
  <si>
    <t>ΕΙΔΙΚΟ ΔΗΜΟΤΙΚΟ ΣΧΟΛΕΙΟ ΙΕΡΑΠΕΤΡΑΣ</t>
  </si>
  <si>
    <t>mail@dim-eid-ierap.las.sch.gr</t>
  </si>
  <si>
    <t>ΝΗΠΙΑΓΩΓΕΙΟ ΝΕΑΣ ΑΝΑΤΟΛΗΣ</t>
  </si>
  <si>
    <t>mail@nip-n-anatol.las.sch.gr</t>
  </si>
  <si>
    <t>ΕΙΔΙΚΟ ΝΗΠΙΑΓΩΓΕΙΟ ΙΕΡΑΠΕΤΡΑΣ</t>
  </si>
  <si>
    <t>mail@nip-eid-ierap.las.sch.gr</t>
  </si>
  <si>
    <t>ΚΩΝΣΤΑΝΤΙΝΟΥ ΚΑΒΑΦΗ 4</t>
  </si>
  <si>
    <t>1ο ΔΗΜΟΤΙΚΟ ΣΧΟΛΕΙΟ ΙΕΡΑΠΕΤΡΑΣ</t>
  </si>
  <si>
    <t>mail@1dim-ierap.las.sch.gr</t>
  </si>
  <si>
    <t>ΝΙΚ.ΒΑΣΑΡΜΙΔΗ 56</t>
  </si>
  <si>
    <t>mail@2dim-ierap.las.sch.gr</t>
  </si>
  <si>
    <t>ΠΛΑΤΕΙΑ ΕΛΕΥΘΕΡΙΟΥ ΒΕΝΙΖΕΛΟΥ</t>
  </si>
  <si>
    <t>mail@3dim-ierap.las.sch.gr</t>
  </si>
  <si>
    <t>ΦΙΛΟΘΕΟΥ Α 2</t>
  </si>
  <si>
    <t>4ο  ΔΗΜΟΤΙΚΟ ΣΧΟΛΕΙΟ ΙΕΡΑΠΕΤΡΑΣ</t>
  </si>
  <si>
    <t>mail@4dim-ierap.las.sch.gr</t>
  </si>
  <si>
    <t>ΠΛΑΤ. ΜΕΜΟΥ ΜΑΚΡΗ</t>
  </si>
  <si>
    <t>5ο ΔΗΜΟΤΙΚΟ ΣΧΟΛΕΙΟ ΙΕΡΑΠΕΤΡΑΣ</t>
  </si>
  <si>
    <t>mail@5dim-ierap.las.sch.gr</t>
  </si>
  <si>
    <t>Γρα Λυγιά</t>
  </si>
  <si>
    <t>ΓΡΑ-ΛΥΓΙΑ ΙΕΡΑΠΕΤΡΑΣ</t>
  </si>
  <si>
    <t>4ο ΝΗΠΙΑΓΩΓΕΙΟ ΙΕΡΑΠΕΤΡΑΣ</t>
  </si>
  <si>
    <t>mail@4nip-ierap.las.sch.gr</t>
  </si>
  <si>
    <t>ΟΠΛΑΡΧΗΓΟΥ ΛΑΚΕΡΔΑ  21</t>
  </si>
  <si>
    <t>ΚΑΛΑΜΑΥΚΑΣ</t>
  </si>
  <si>
    <t>ΟΛΟΗΜΕΡΟ ΝΗΠΙΑΓΩΓΕΙΟ ΚΑΛΑΜΑΥΚΑΣ</t>
  </si>
  <si>
    <t>mail@nip-kalam.las.sch.gr</t>
  </si>
  <si>
    <t>ΚΑΛΑΜΑΥΚΑ</t>
  </si>
  <si>
    <t>ΔΗΜΟΤΙΚΟ ΣΧΟΛΕΙΟ ΦΕΡΜΩΝ</t>
  </si>
  <si>
    <t>mail@dim-fermon.las.sch.gr</t>
  </si>
  <si>
    <t xml:space="preserve">Φέρμα </t>
  </si>
  <si>
    <t>Φέρμα Ιεράπετρας</t>
  </si>
  <si>
    <t>mail@dim-kat-choriou.las.sch.gr</t>
  </si>
  <si>
    <t>Κάτω Χωριό Ιεράπετρας</t>
  </si>
  <si>
    <t>Κάτω Χωριό</t>
  </si>
  <si>
    <t>5ο ΝΗΠΙΑΓΩΓΕΙΟ ΙΕΡΑΠΕΤΡΑΣ</t>
  </si>
  <si>
    <t>mail@5nip-ierap.las.sch.gr</t>
  </si>
  <si>
    <t>ΠΑΠΑΝΟΥΤΣΟΥ  - ΗΛΙΟΥ</t>
  </si>
  <si>
    <t>6ο ΝΗΠΙΑΓΩΓΕΙΟ ΙΕΡΑΠΕΤΡΑΣ</t>
  </si>
  <si>
    <t>mail@6nip-ierap.las.sch.gr</t>
  </si>
  <si>
    <t>ΝΗΠΙΑΓΩΓΕΙΟ ΜΥΡΤΟΥ</t>
  </si>
  <si>
    <t>mail@nip-myrtou.las.sch.gr</t>
  </si>
  <si>
    <t>ΜΥΡΤΟΣ ΙΕΡΑΠΕΤΡΑΣ</t>
  </si>
  <si>
    <t>ΝΗΠΙΑΓΩΓΕΙΟ ΚΕΝΤΡΙΟΥ</t>
  </si>
  <si>
    <t>mail@nip-kentr.las.sch.gr</t>
  </si>
  <si>
    <t>ΚΕΝΤΡΙ ΙΕΡΑΠΕΤΡΑΣ</t>
  </si>
  <si>
    <t>ΔΗΜΟΤΙΚΟ ΣΧΟΛΕΙΟ ΚΑΛΑΜΑΥΚΑΣ</t>
  </si>
  <si>
    <t>mail@dim-kalam.las.sch.gr</t>
  </si>
  <si>
    <t>ΔΗΜΟΤΙΚΟ ΣΧΟΛΕΙΟ ΚΕΝΤΡΙΟΥ</t>
  </si>
  <si>
    <t>mail@dim-kentr.las.sch.gr</t>
  </si>
  <si>
    <t>ΚΕΝΤΡΙ</t>
  </si>
  <si>
    <t>1ο  ΝΗΠΙΑΓΩΓΕΙΟ ΙΕΡΑΠΕΤΡΑΣ</t>
  </si>
  <si>
    <t>mail@1nip-ierap.las.sch.gr</t>
  </si>
  <si>
    <t>ΑΛΥΚΗ</t>
  </si>
  <si>
    <t>ΝΗΠΙΑΓΩΓΕΙΟ ΦΕΡΜΩΝ</t>
  </si>
  <si>
    <t>mail@nip-fermon.las.sch.gr</t>
  </si>
  <si>
    <t>ΦΕΡΜΑ ΙΕΡΑΠΕΤΡΑΣ</t>
  </si>
  <si>
    <t>ΔΗΜΟΤΙΚΟ ΣΧΟΛΕΙΟ ΕΛΟΥΝΤΑΣ</t>
  </si>
  <si>
    <t>mail@dim-elount.las.sch.gr</t>
  </si>
  <si>
    <t>ΠΛΑΤΩΝΟΣ &amp;  ΟΔ.ΕΛΥΤΗ</t>
  </si>
  <si>
    <t>ΔΗΜΟΤΙΚΟ ΣΧΟΛΕΙΟ ΚΑΛΟΥ ΧΩΡΙΟΥ</t>
  </si>
  <si>
    <t>mail@dim-kal-choriou.las.sch.gr</t>
  </si>
  <si>
    <t>5ο ΔΗΜΟΤΙΚΟ ΣΧΟΛΕΙΟ ΑΓΙΟΥ ΝΙΚΟΛΑΟΥ</t>
  </si>
  <si>
    <t>mail@5dim-ag-nikol.las.sch.gr</t>
  </si>
  <si>
    <t>ΠΕΡΙΟΧΗ ΣΤΑΥΡΟΥ</t>
  </si>
  <si>
    <t>7ο ΝΗΠΙΑΓΩΓΕΙΟ ΙΕΡΑΠΕΤΡΑΣ</t>
  </si>
  <si>
    <t>mail@7nip-ierap.las.sch.gr</t>
  </si>
  <si>
    <t>ΕΛΛΗΝΩΝ ΟΛΥΜΠΙΟΝΙΚΩΝ</t>
  </si>
  <si>
    <t>mail@1dim-neapol.las.sch.gr</t>
  </si>
  <si>
    <t>ΠΑΤΡΙΑΡΧΟΥ ΜΕΛΕΤΙΟΥ ΜΕΤΑΞΑΚΗ 1</t>
  </si>
  <si>
    <t>mail@2dim-neapol.las.sch.gr</t>
  </si>
  <si>
    <t>ΘΕΡΙΣΣΟΥ 17</t>
  </si>
  <si>
    <t>ΝΗΠΙΑΓΩΓΕΙΟ ΜΑΛΩΝ</t>
  </si>
  <si>
    <t>mail@nip-malon.las.sch.gr</t>
  </si>
  <si>
    <t>ΜΑΛΕΣ ΙΕΡΑΠΕΤΡΑΣ</t>
  </si>
  <si>
    <t>ΕΙΔΙΚΟ ΝΗΠΙΑΓΩΓΕΙΟ ΣΗΤΕΙΑ - ΕΙΔΙΚΟ ΝΗΠΙΑΓΩΓΕΙΟ ΣΗΤΕΙΑΣ</t>
  </si>
  <si>
    <t>mail@nip-eid-siteias.las.sch.gr</t>
  </si>
  <si>
    <t>6ο ΔΗΜΟΤΙΚΟ ΣΧΟΛΕΙΟ ΙΕΡΑΠΕΤΡΑ</t>
  </si>
  <si>
    <t>7ο 2/Θ ΝΗΠΙΑΓΩΓΕΙΟ ΑΓΙΟΥ ΝΙΚΟΛΑΟΥ</t>
  </si>
  <si>
    <t>7nipagnikol@sch.gr</t>
  </si>
  <si>
    <t>ΣΤΡΑΤΗΓΟΥ ΚΟΡΑΚΑ 15</t>
  </si>
  <si>
    <t>ΝΗΠΙΑΓΩΓΕΙΟ ΓΡΑ ΛΥΓΙΑΣ</t>
  </si>
  <si>
    <t>mail@nip-gra-lygias.las.sch.gr</t>
  </si>
  <si>
    <t>ΓΡΑ ΛΥΓΙΑ ΙΕΡΑΠΕΤΡΑΣ</t>
  </si>
  <si>
    <t>ΔΙΕΥΘΥΝΣΗ Π.Ε. ΡΕΘΥΜΝΟΥ</t>
  </si>
  <si>
    <t>ΑΓΓΕΛΙΑΝΩΝ</t>
  </si>
  <si>
    <t>ΝΗΠΙΑΓΩΓΕΙΟ ΑΓΓΕΛΙΑΝΑ - ΜΟΝΟΘΕΣΙΟ ΝΗΠΙΑΓΩΓΕΙΟ ΑΓΓΕΛΙΑΝΩΝ</t>
  </si>
  <si>
    <t>mail@nip-angel.reth.sch.gr</t>
  </si>
  <si>
    <t>ΑΓΓΕΛΙΑΝΑ</t>
  </si>
  <si>
    <t>ΜΕΛΙΔΟΝΙΟΥ</t>
  </si>
  <si>
    <t>ΜΟΝΟΘΕΣΙΟ ΚΛΑΣΙΚΟ ΝΗΠΙΑΓΩΓΕΙΟ ΜΠΑΛΙΟΥ</t>
  </si>
  <si>
    <t>mail@nip-baliou.reth.sch.gr</t>
  </si>
  <si>
    <t>ΜΠΑΛΙ</t>
  </si>
  <si>
    <t>ΜΠΑΛΙ ΔΗΜΟΥ ΜΥΛΟΠΟΤΑΜΟΥ</t>
  </si>
  <si>
    <t>ΑΠΛΑΔΙΑΝΩΝ</t>
  </si>
  <si>
    <t>ΝΗΠΙΑΓΩΓΕΙΟ ΑΠΛΑΔΙΑΝΩΝ - ΜΟΝΟΘΕΣΙΟ ΚΛΑΣΙΚΟ ΝΗΠΙΑΓΩΓΕΙΟ ΑΠΛΑΔΙΑΝΩΝ</t>
  </si>
  <si>
    <t>mail@nip-aplad.reth.sch.gr</t>
  </si>
  <si>
    <t>ΑΠΛΑΔΙΑΝΑ</t>
  </si>
  <si>
    <t>ΝΗΠΙΑΓΩΓΕΙΟ ΓΑΡΑΖΟ - ΜΟΝΟΘΕΣΙΟ ΟΛΟΗΜΕΡΟ ΝΗΠΙΑΓΩΓΕΙΟ ΓΑΡΑΖΟΥ</t>
  </si>
  <si>
    <t>mail@nip-garaz.reth.sch.gr</t>
  </si>
  <si>
    <t>ΣΙΣΩΝ</t>
  </si>
  <si>
    <t>ΜΟΝΟΘΕΣΙΟ ΝΗΠΙΑΓΩΓΕΙΟ ΣΙΣΩΝ</t>
  </si>
  <si>
    <t>mail@nip-sison.reth.sch.gr</t>
  </si>
  <si>
    <t>ΣΙΣΕΣ</t>
  </si>
  <si>
    <t>ΜΑΡΓΑΡΙΤΩΝ</t>
  </si>
  <si>
    <t>ΝΗΠΙΑΓΩΓΕΙΟ ΜΑΡΓΑΡΙΤΩΝ</t>
  </si>
  <si>
    <t>mail@nip-margar.reth.sch.gr</t>
  </si>
  <si>
    <t>ΜΑΡΓΑΡΙΤΕΣ</t>
  </si>
  <si>
    <t>ΝΗΠΙΑΓΩΓΕΙΟ ΜΙΣΙΡΙΩΝ - ΤΡΙΘΕΣΙΟ ΝΗΠΙΑΓΩΓΕΙΟ ΜΙΣΙΡΙΩΝ</t>
  </si>
  <si>
    <t>mail@nip-misir.reth.sch.gr</t>
  </si>
  <si>
    <t>Μισίρια</t>
  </si>
  <si>
    <t>Παπούρα-Μισίρια</t>
  </si>
  <si>
    <t>9ο ΟΛΟΗΜΕΡΟ ΝΗΠΙΑΓΩΓΕΙΟ ΡΕΘΥΜΝΟΥ - ΕΝΑΤΟ ΔΙΘΕΣΙΟ ΟΛΟΗΜΕΡΟ ΝΗΠΙΑΓΩΓΕΙΟ ΡΕΘΥΜΝΟΥ</t>
  </si>
  <si>
    <t>mail@9nipreth.reth.sch.gr</t>
  </si>
  <si>
    <t>ΚΑΠΟΔΙΣΤΡΙΟΥ 43</t>
  </si>
  <si>
    <t>6ο  ΝΗΠΙΑΓΩΓΕΙΟ ΡΕΘΥΜΝΟΥ - ΕΚΤΟ ΔΙΘΕΣΙΟ ΝΗΠΙΑΓΩΓΕΙΟΥ ΡΕΘΥΜΝΟΥ</t>
  </si>
  <si>
    <t>mail@6nip-rethymn.reth.sch.gr</t>
  </si>
  <si>
    <t>ΕΥΓΓΕΛ. ΔΑΣΚΑΛΑΚΗ</t>
  </si>
  <si>
    <t>5ο ΤΡΙΘΕΣΙΟ ΟΛΟΗΜΕΡΟ ΝΗΠΙΑΓΩΓΕΙΟ ΡΕΘΥΜΝΟΥ - ΠΕΜΠΤΟ ΤΡΙΘΕΣΙΟ ΟΛΟΗΜΕΡΟ ΝΗΠΙΑΓΩΓΕΙΟ ΡΕΘΥΜΝΟΥ</t>
  </si>
  <si>
    <t>mail@5nip-rethymn.reth.sch.gr</t>
  </si>
  <si>
    <t>ΧΡΥΣΗΣ ΑΓΓΕΛΙΔΑΚΗ  2</t>
  </si>
  <si>
    <t>ΔΙΘΕΣΙΟ ΝΗΠΙΑΓΩΓΕΙΟ ΠΛΑΤΑΝΙΑ</t>
  </si>
  <si>
    <t>mail@nip-platane.reth.sch.gr</t>
  </si>
  <si>
    <t>ΝΙΚΟΜΗΔΕΙΑΣ 9Α ΚΑΙ ΤΡΑΠΕΖ</t>
  </si>
  <si>
    <t>ΓΕΡΑΚΑΡΙΟΥ</t>
  </si>
  <si>
    <t>ΝΗΠΙΑΓΩΓΕΙΟ ΓΕΡΑΚΑΡΙΟΥ ΑΜΑΡΙΟΥ - ΜΟΝΟΘΕΣΙΟ ΟΛΟΗΜΕΡΟ ΝΗΠΙΑΓΩΓΕΙΟ ΓΕΡΑΚΑΡΙΟΥ</t>
  </si>
  <si>
    <t>mail@nip-apost.reth.sch.gr</t>
  </si>
  <si>
    <t>ΓΕΡΑΚΑΡΙ ΑΜΑΡΙΟΥ</t>
  </si>
  <si>
    <t>ΓΕΡΑΚΑΡΙ</t>
  </si>
  <si>
    <t>ΡΟΥΣΣΟΣΠΙΤΙΟΥ</t>
  </si>
  <si>
    <t>ΟΛΟΗΜΕΡΟ ΝΗΠΙΑΓΩΓΕΙΟ ΡΟΥΣΣΟΣΠΙΤΙ - ΔΙΘΕΣΙΟ ΟΛΟΗΜΕΡΟ ΝΗΠΙΑΓΩΓΕΙΟ ΡΟΥΣΣΟΣΠΙΤΙΟΥ</t>
  </si>
  <si>
    <t>mail@nip-rouss.reth.sch.gr</t>
  </si>
  <si>
    <t>ΡΟΥΣΣΟΣΠΙΤΙ</t>
  </si>
  <si>
    <t>ΒΑΣΙΛΕΙΟΥ ΜΕΛΑ</t>
  </si>
  <si>
    <t>4ο ΝΗΠΙΑΓΩΓΕΙΟ ΡΕΘΥΜΝΟΥ</t>
  </si>
  <si>
    <t>mail@4nip-rethymn.reth.sch.gr</t>
  </si>
  <si>
    <t>ΔΙΟΓΕΝΟΥΣ ΑΠΟΛΛΩΝΙΑΤΟΥ 6</t>
  </si>
  <si>
    <t>ΑΡΚΑΔΙΟΥ</t>
  </si>
  <si>
    <t>ΑΔΕΛΕ</t>
  </si>
  <si>
    <t>ΔΙΘΕΣΙΟ ΟΛΟΗΜΕΡΟ ΝΗΠΑΓΩΓΕΙΟ ΑΓΙΑΣ ΠΑΡΑΣΚΕΥΗΣ</t>
  </si>
  <si>
    <t>mail@nip-adele.reth.sch.gr</t>
  </si>
  <si>
    <t>14ο 1/ΘΕΣΙΟ ΝΗΠΙΑΓΩΓΕΙΟ ΡΕΘΥΜΝΟΥ - ΔΕΚΑΤΟ ΤΕΤΑΡΤΟ ΜΟΝΟΘΕΣΙΟ  ΝΗΠΙΑΓΩΓΕΙΟ ΡΕΘΥΜΝΟΥ</t>
  </si>
  <si>
    <t>mail@14nip-rethymn.reth.sch.gr</t>
  </si>
  <si>
    <t>ΟΠΛΑΡΧΗΓΟΥ ΠΑΧΛΑ 49 &amp; ΠΑΥΛΟΥ ΜΠΑΚΟΓΙΑΝΝΗ</t>
  </si>
  <si>
    <t>ΔΙΘΕΣΙΟ ΟΛΟΗΜΕΡΟ ΝΗΠΙΑΓΩΓΕΙΟ ΠΗΓΗΣ</t>
  </si>
  <si>
    <t>mail@nip-pigis.reth.sch.gr</t>
  </si>
  <si>
    <t>13ο 2/ΘΕΣΙΟ   ΝΗΠΙΑΓΩΓΕΙΟ ΡΕΘΥΜΝΟΥ - ΔΕΚΑΤΟ ΤΡΙΤΟ ΔΙΘΕΣΙΟ   ΝΗΠΙΑΓΩΓΕΙΟ ΡΕΘΥΜΝΟΥ</t>
  </si>
  <si>
    <t>mail@13nip-rethymn.reth.sch.gr</t>
  </si>
  <si>
    <t>mail@7dim-rethymn.reth.sch.gr</t>
  </si>
  <si>
    <t>ΑΠ. ΑΠΟΣΤΟΛΑΚΗ 6</t>
  </si>
  <si>
    <t>ΑΠΟΣΤΟΛΑΚΗ 6</t>
  </si>
  <si>
    <t>ΔΗΜΟΤΙΚΟ ΣΧΟΛΕΙΟ ΡΟΥΣΣΟΣΠΙΤΙΟΥ - ΠΕΝΤΑΘΕΣΙΟ ΟΛΟΗΜΕΡΟ ΔΗΜΟΤΙΚΟ ΣΧΟΛΕΙΟ ΡΟΥΣΣΟΣΠΙΤΙΟΥ</t>
  </si>
  <si>
    <t>mail@dim-rouss.reth.sch.gr</t>
  </si>
  <si>
    <t>ΟΛΟΗΜΕΡΟ ΔΗΜΟΤΙΚΟ ΣΧΟΛΕΙΟ ΜΑΡΓΑΡΙΤΩΝ - ΔΙΘΕΣΙΟ ΟΛΟΗΜΕΡΟ ΔΗΜΟΤΙΚΟ ΣΧΟΛΕΙΟ ΜΑΡΓΑΡΙΤΩΝ</t>
  </si>
  <si>
    <t>mail@dim-margar.reth.sch.gr</t>
  </si>
  <si>
    <t>mail@dim-apost.reth.sch.gr</t>
  </si>
  <si>
    <t>ΑΠΟΣΤΟΛΟΙ</t>
  </si>
  <si>
    <t>ΑΛΦΑΣ</t>
  </si>
  <si>
    <t>ΔΗΜΟΤΙΚΟ ΣΧΟΛΕΙΟ ΑΛΦΑ-ΔΙΘΕΣΙΟ ΟΛΟΗΜΕΡΟ ΔΗΜΟΤΙΚΟ ΣΧΟΛΕΙΟ ΑΛΦΑΣ</t>
  </si>
  <si>
    <t>mail@dim-alfas.reth.sch.gr</t>
  </si>
  <si>
    <t>ΑΛΦΑ</t>
  </si>
  <si>
    <t>mail@dim-fourf.reth.sch.gr</t>
  </si>
  <si>
    <t>ΦΟΥΡΦΟΥΡΑΣ</t>
  </si>
  <si>
    <t>ΟΛΟΗΜΕΡΟ ΔΗΜΟΤΙΚΟ ΣΧΟΛΕΙΟ ΑΠΛΑΔΙΑΝΩΝ - ΤΡΙΘΕΣΙΟ ΔΗΜΟΤΙΚΟ ΣΧΟΛΕΙΟ ΑΠΛΑΔΙΑΝΩΝ</t>
  </si>
  <si>
    <t>mail@dim-aplad.reth.sch.gr</t>
  </si>
  <si>
    <t>mail@9dim-rethymn.reth.sch.gr</t>
  </si>
  <si>
    <t>ΜΑΧΗΣ ΚΡΗΤΗΣ 33</t>
  </si>
  <si>
    <t>ΤΕΤΡΑΘΕΣΙΟ ΟΛΟΗΜΕΡΟ ΔΗΜΟΤΙΚΟ ΣΧΟΛΕΙΟ ΑΓΓΕΛΙΑΝΩΝ</t>
  </si>
  <si>
    <t>mail@dim-angel.reth.sch.gr</t>
  </si>
  <si>
    <t>2dimreth@sch.gr</t>
  </si>
  <si>
    <t>ΛΕΩΦΟΡΟΣ ΚΟΥΝΤΟΥΡΙΩΤΗ 43</t>
  </si>
  <si>
    <t>ΚΥΡΙΑΝΝΑΣ</t>
  </si>
  <si>
    <t>ΟΛΟΗΜΕΡΟ ΝΗΠΙΑΓΩΓΕΙΟ  ΚΥΡΙΑΝΝΑΣ</t>
  </si>
  <si>
    <t>mail@nip-kyriann.reth.sch.gr</t>
  </si>
  <si>
    <t>ΚΥΡΙΑΝΝΑ</t>
  </si>
  <si>
    <t>ΜΟΝΟΘΕΣΙΟ ΔΗΜΟΤΙΚΟ ΣΧΟΛΕΙΟ ΑΒΔΕΛΛΑ</t>
  </si>
  <si>
    <t>mail@dim-avdell.reth.sch.gr</t>
  </si>
  <si>
    <t>ΑΒΔΕΛΛΑ</t>
  </si>
  <si>
    <t>2ο ΟΛΟΗΜΕΡΟ ΔΗΜΟΤΙΚΟ ΣΧΟΛΕΙΟ ΠΕΡΑΜΑΤΟΣ - ΟΚΤΑΘΕΣΙΟ ΟΛΟΗΜΕΡΟ ΔΗΜ.ΣΧΟΛΕΙΟ ΠΕΡΑΜΑΤΟΣ</t>
  </si>
  <si>
    <t>mail@2dim-peram.reth.sch.gr</t>
  </si>
  <si>
    <t>ΝΗΠΙΑΓΩΓΕΙΟ ΦΟΥΡΦΟΥΡΑ</t>
  </si>
  <si>
    <t>mail@nip-fourf.reth.sch.gr</t>
  </si>
  <si>
    <t>ΧΑΜΑΛΕΥΡΙΟΥ</t>
  </si>
  <si>
    <t>ΟΛΟΗΜΕΡΟ ΔΗΜΟΤΙΚΟ ΣΧΟΛΕΙΟ ΣΤΑΥΡΩΜΕΝΟΥ - ΔΕΚΑΘΕΣΙΟ ΟΛΟΗΜΕΡΟ ΔΗΜΟΤΙΚΟ ΣΧΟΛΕΙΟ ΣΤΑΥΡΩΜΕΝΟΥ</t>
  </si>
  <si>
    <t>mail@dim-stavr.reth.sch.gr</t>
  </si>
  <si>
    <t>ΣΤΑΥΡΩΜΕΝΟΣ</t>
  </si>
  <si>
    <t>3ο ΔΩΔΕΚΑΘΕΣΙΟ ΟΛΟΗΜΕΡΟ ΔΗΜΟΤΙΚΟ ΣΧΟΛΕΙΟ ΡΕΘΥΜΝΟΥ</t>
  </si>
  <si>
    <t>mail@3dim-rethymn.reth.sch.gr</t>
  </si>
  <si>
    <t>ΨΙΛΑΚΙ 1</t>
  </si>
  <si>
    <t>14ο ΔΗΜΟΤΙΚΟ ΣΧΟΛΕΙΟ ΡΕΘΥΜΝΟΥ</t>
  </si>
  <si>
    <t>mail@14dim-rethymn.reth.sch.gr</t>
  </si>
  <si>
    <t>Κ.ΒΑΡΝΑΛΗ 21</t>
  </si>
  <si>
    <t>mail@1dim-anogeion.reth.sch.gr</t>
  </si>
  <si>
    <t>ΑΝΩΓΕΙΑ</t>
  </si>
  <si>
    <t>ΔΗΜΟΤΙΚΟ ΣΧΟΛΕΙΟ ΑΞΟΣ - ΔΙΘΕΣΙΟ ΔΗΜΟΤΙΚΟ ΣΧΟΛΕΙΟ ΑΞΟΥ</t>
  </si>
  <si>
    <t>mail@dim-axou.reth.sch.gr</t>
  </si>
  <si>
    <t>ΟΛΟΗΜΕΡΟ ΔΗΜΟΤΙΚΟ ΣΧΟΛΕΙΟ ΠΛΑΤΑΝΟΥ - ΔΙΘΕΣΙΟ ΔΗΜΟΤΙΚΟ ΣΧΟΛΕΙΟ ΠΛΑΤΑΝΟΥ</t>
  </si>
  <si>
    <t>mail@dim-platan.reth.sch.gr</t>
  </si>
  <si>
    <t>ΔΗΜΟΤΙΚΟ ΣΧΟΛΕΙΟ ΑΔΕΛΕ</t>
  </si>
  <si>
    <t>mail@dim-adele.reth.sch.gr</t>
  </si>
  <si>
    <t>6ο 12/ΘΕΣΙΟ ΟΛΟΗΜΕΡΟ ΔΗΜΟΤΙΚΟ ΣΧΟΛΕΙΟ ΡΕΘΥΜΝΟΥ-ΕΚΤΟ ΔΩΔΕΚΑΘΕΣΙΟ ΟΛΟΗΜΕΡΟ ΔΗΜΟΤΙΚΟ ΣΧΟΛΕΙΟ  ΡΕΘΥΜΝΟΥ</t>
  </si>
  <si>
    <t>mail@6dim-rethymn.reth.sch.gr</t>
  </si>
  <si>
    <t>ΘΕΟΤΟΚΟΠΟΥΛΟΥ 18</t>
  </si>
  <si>
    <t>ΣΚΕΠΑΣΤΗΣ</t>
  </si>
  <si>
    <t>ΔΗΜΟΤΙΚΟ ΣΧΟΛΕΙΟ ΣΚΕΠΑΣΤΗΣ - ΔΙΘΕΣΙΟ ΔΗΜΟΤΙΚΟ ΣΧΟΛΕΙΟ ΣΚΕΠΑΣΤΗΣ- ΟΛΟΗΜΕΡΟ</t>
  </si>
  <si>
    <t>mail@dim-skepast.reth.sch.gr</t>
  </si>
  <si>
    <t>ΣΚΕΠΑΣΤΗ</t>
  </si>
  <si>
    <t>mail@dim-livad.reth.sch.gr</t>
  </si>
  <si>
    <t>ΛΙΒΑΔΙΑ ΜΥΛΟΠΟΤΑΜΟΥ</t>
  </si>
  <si>
    <t>ΔΙΘΕΣΙΟ- ΟΛΟΗΜΕΡΟ ΔΗΜΟΤΙΚΟ ΣΧΟΛΕΙΟ ΡΟΥΜΕΛΗ</t>
  </si>
  <si>
    <t>mail@dim-roumel.reth.sch.gr</t>
  </si>
  <si>
    <t>ΡΟΥΜΕΛΗ</t>
  </si>
  <si>
    <t>ΚΑΛΥΒΟΥ</t>
  </si>
  <si>
    <t>ΔΙΘΕΣΙΟ - ΟΛΟΗΜΕΡΟ ΔΗΜΟΤΙΚΟ ΣΧΟΛΕΙΟ ΚΑΛΥΒΟΥ</t>
  </si>
  <si>
    <t>mail@dim-kalyv.reth.sch.gr</t>
  </si>
  <si>
    <t>ΚΑΛΥΒΟΣ</t>
  </si>
  <si>
    <t>mail@5dim-rethymn.reth.sch.gr</t>
  </si>
  <si>
    <t>ΔΡΑΚΟΝΤΟΠΟΥΛΩΝ 1</t>
  </si>
  <si>
    <t>ΖΩΝΙΑΝΩΝ</t>
  </si>
  <si>
    <t>ΔΗΜΟΤΙΚΟ ΣΧΟΛΕΙΟ ΖΩΝΙΑΝΩΝ</t>
  </si>
  <si>
    <t>mail@dim-zonian.reth.sch.gr</t>
  </si>
  <si>
    <t>ΖΩΝΙΑΝΑ</t>
  </si>
  <si>
    <t>Ζωνιανά, Ρέθυμνο</t>
  </si>
  <si>
    <t>ΔΙΘΕΣΙΟ ΟΛΟΗΜΕΡΟ ΝΗΠΙΑΓΩΓΕΙΟ ΣΤΑΥΡΩΜΕΝΟΥ</t>
  </si>
  <si>
    <t>mail@nip-stavr.reth.sch.gr</t>
  </si>
  <si>
    <t>mail@dim-garaz.reth.sch.gr</t>
  </si>
  <si>
    <t>ΟΛΟΗΜΕΡΟ ΔΗΜΟΤΙΚΟ ΣΧΟΛΕΙΟ ΣΙΣΕΣ - ΤΡΙΘΕΣΙΟ ΟΛΟΗΜΕΡΟ ΔΗΜΟΤΙΚΟ ΣΧΟΛΕΙΟ ΣΙΣΩΝ</t>
  </si>
  <si>
    <t>mail@dim-sison.reth.sch.gr</t>
  </si>
  <si>
    <t>Σίσες,</t>
  </si>
  <si>
    <t>Σίσες, Μυλοποτάμου</t>
  </si>
  <si>
    <t>ΔΙΘΕΣΙΟ ΟΛΟΗΜΕΡΟ ΔΗΜΟΤΙΚΟ ΣΧΟΛΕΙΟ ΑΓΙΑΣ</t>
  </si>
  <si>
    <t>mail@dim-agias.reth.sch.gr</t>
  </si>
  <si>
    <t>ΝΗΠΙΑΓΩΓΕΙΟ ΑΞΟΥ - ΜΟΝΟΘΕΣΙΟ ΝΗΠΙΑΓΩΓΕΙΟ ΑΞΟΥ</t>
  </si>
  <si>
    <t>mail@nip-axou.reth.sch.gr</t>
  </si>
  <si>
    <t>1ο ΕΙΔΙΚΟ ΔΗΜΟΤΙΚΟ ΣΧΟΛΕΙΟ ΜΙΣΣΙΡΙΑ ΡΕΘΥΜΝΟΥ - ΠΡΩΤΟ ΕΙΔΙΚΟ ΔΗΜΟΤΙΚΟ ΣΧΟΛΕΙΟ ΡΕΘΥΜΝΟΥ</t>
  </si>
  <si>
    <t>mail@1dim-eid-rethymn.reth.sch.gr</t>
  </si>
  <si>
    <t>ΜΙΣΣΙΡΙΑ ΡΕΘΥΜΝΟΥ</t>
  </si>
  <si>
    <t>ΠΛΑΚΟΥΡΑ ΜΙΣΣΙΡΙΩΝ</t>
  </si>
  <si>
    <t>10ο ΟΛΟΗΜΕΡΟ ΔΗΜΟΤΙΚΟ ΣΧΟΛΕΙΟ ΡΕΘΥΜΝΟΥ</t>
  </si>
  <si>
    <t>mail@10dim-rethymn.reth.sch.gr</t>
  </si>
  <si>
    <t>ΝΙΚΟΜΗΔΕΙΑΣ 9A</t>
  </si>
  <si>
    <t>ΝΗΠΙΑΓΩΓΕΙΟ ΑΓΙΟΣ ΜΑΜΑΝΤΑΣ - ΜΟΝΟΘΕΣΙΟ ΚΛΑΣΙΚΟ ΝΗΠΙΑΓΩΓΕΙΟ ΑΓΙΟΥ ΜΑΜΑΝΤΑ</t>
  </si>
  <si>
    <t>mail@nip-ag-mamant.reth.sch.gr</t>
  </si>
  <si>
    <t>ΑΓΙΟΣ ΜΑΜΑΝΤΑΣ</t>
  </si>
  <si>
    <t>ΝΗΠΙΑΓΩΓΕΙΟ ΑΛΦΑΣ - ΜΟΝΟΘΕΣΙΟ ΟΛΟΗΜΕΡΟ ΝΗΠΙΑΓΩΓΕΙΟ ΑΛΦΑΣ</t>
  </si>
  <si>
    <t>mail@nip-alfas.reth.sch.gr</t>
  </si>
  <si>
    <t>ΜΟΝΟΘΕΣΙΟ ΝΗΠΙΑΓΩΓΕΙΟ ΚΑΛΥΒΟΥ</t>
  </si>
  <si>
    <t>mail@nip-kalyv.reth.sch.gr</t>
  </si>
  <si>
    <t>ΔΙΘΕΣΙΟ ΟΛΟΗΜΕΡΟ ΔΗΜΟΤΙΚΟ ΣΧΟΛΕΙΟ ΑΓΙΟΥ ΜΑΜΑΝΤΑ</t>
  </si>
  <si>
    <t>mail@dim-ag-mamant.reth.sch.gr</t>
  </si>
  <si>
    <t>ΑΓΙΟΥ ΜΑΜΑΝΤΑ</t>
  </si>
  <si>
    <t>ΑΓΙΟΣ ΜΑΜΑΣ</t>
  </si>
  <si>
    <t>ΝΗΠΙΑΓΩΓΕΙΟ ΠΑΝΟΡΜΟΥ</t>
  </si>
  <si>
    <t>mail@nip-panorm.reth.sch.gr</t>
  </si>
  <si>
    <t>ΠΑΝΟΡΜΟ</t>
  </si>
  <si>
    <t>ΝΗΠΙΑΓΩΓΕΙΟ ΣΚΕΠΑΣΤΗΣ - ΜΟΝΟΘΕΣΙΟ ΟΛΟΗΜΕΡΟ ΝΗΠΙΑΓΩΓΕΙΟ ΣΚΕΠΑΣΤΗΣ</t>
  </si>
  <si>
    <t>mail@nip-skepas.reth.sch.gr</t>
  </si>
  <si>
    <t>mail@8dim-rethymn.reth.sch.gr</t>
  </si>
  <si>
    <t>ΕΜΜ. ΠΑΧΛΑ ΠΕΡΙΒΟΛΙΑ</t>
  </si>
  <si>
    <t>1ο ΟΛΟΗΜΕΡΟ ΝΗΠΙΑΓΩΓΕΙΟ ΑΝΩΓΕΙΑ - ΠΡΩΤΟ ΟΛΟΗΜΕΡΟ ΝΗΠΙΑΓΩΓΩΓΕΙΟ ΑΝΩΓΕΙΩΝ</t>
  </si>
  <si>
    <t>mail@1nip-anogeion.reth.sch.gr</t>
  </si>
  <si>
    <t>ΑΝΩΓΕΙΑ ΜΥΛΟΠΟΤΑΜΟΥ ΡΕΘΥΜΝΟΥ</t>
  </si>
  <si>
    <t>2ο ΝΗΠΙΑΓΩΓΕΙΟ ΑΝΩΓΕΙΩΝ - ΔΕΥΤΕΡΟ ΜΟΝΟΘΕΣΙΟ ΝΗΠΙΑΓΩΓΕΙΟ ΑΝΩΓΕΙΩΝ</t>
  </si>
  <si>
    <t>mail@2nip-anogeion.reth.sch.gr</t>
  </si>
  <si>
    <t>mail@dim-panorm.reth.sch.gr</t>
  </si>
  <si>
    <t>ΜΥΡΘΙΟΥ</t>
  </si>
  <si>
    <t>ΟΛΟΗΜΕΡΟ ΝΗΠΙΑΓΩΓΕΙΟ ΜΥΡΘΙΟΣ - ΔΙΘΕΣΙΟ ΟΛΟΗΜΕΡΟ ΝΗΠΙΑΓΩΓΕΙΟ ΜΥΡΘΙΟΥ</t>
  </si>
  <si>
    <t>mail@nip-myrth.reth.sch.gr</t>
  </si>
  <si>
    <t>ΜΥΡΘΙΟΣ</t>
  </si>
  <si>
    <t>ΜΕΛΑΜΠΩΝ</t>
  </si>
  <si>
    <t>ΝΗΠΙΑΓΩΓΕΙΟ ΜΕΛΑΜΠΩΝ - ΜΟΝΟΘΕΣΙΟ ΚΛΑΣΙΚΟ ΝΗΠΙΑΓΩΓΕΙΟ ΜΕΛΑΜΠΩΝ</t>
  </si>
  <si>
    <t>mail@nip-melamp.reth.sch.gr</t>
  </si>
  <si>
    <t>ΜΕΛΑΜΠΕΣ   ΣΠΗΛΙ  ΚΡΗΤΗ</t>
  </si>
  <si>
    <t>11ο ΟΛΟΗΜΕΡΟ ΝΗΠΙΑΓΩΓΕΙΟ ΡΕΘΥΜΝΟ - ΕΝΔΕΚΑΤΟ ΔΙΘΕΣΙΟ ΟΛΟΗΜΕΡΟ ΝΗΠΙΑΓΩΓΕΙΟ ΡΕΘΥΜΝΟΥ</t>
  </si>
  <si>
    <t>mail@11nip-rethymn.reth.sch.gr</t>
  </si>
  <si>
    <t>ΚΟΥΡΗΤΩΝ 9</t>
  </si>
  <si>
    <t>ΣΕΛΛΙΩΝ</t>
  </si>
  <si>
    <t>ΝΗΠΙΑΓΩΓΕΙΟ ΣΕΛΛΙΩΝ</t>
  </si>
  <si>
    <t>mail@nip-sellion.reth.sch.gr</t>
  </si>
  <si>
    <t>ΣΕΛΛΙΑ</t>
  </si>
  <si>
    <t>ΣΕΛΛΙΑ ΑΓΙΟΥ ΒΑΣΙΛΕΙΟΥ</t>
  </si>
  <si>
    <t>1ο 3/θ ΝΗΠΙΑΓΩΓΕΙΟ ΡΕΘΥΜΝΟΥ - ΠΡΩΤΟ ΤΡΙΘΕΣΙΟ ΝΗΠΙΑΓΩΓΕΙΟ ΡΕΘΥΜΝΟΥ</t>
  </si>
  <si>
    <t>mail@1nip-rethymn.reth.sch.gr</t>
  </si>
  <si>
    <t>Λ.ΚΟΥΝΤΟΥΡΙΩΤΟΥ 43</t>
  </si>
  <si>
    <t>3ο  ΝΗΠΙΑΓΩΓΕΙΟ ΡΕΘΥΜΝΟΥ - ΤΡΙΤΟ ΔΙΘΕΣΙΟ ΝΗΠΙΑΓΩΓΕΙΟ ΡΕΘΥΜΝΟΥ</t>
  </si>
  <si>
    <t>mail@3nip-rethymn.reth.sch.gr</t>
  </si>
  <si>
    <t>ΨΙΛΛΑΚΗ 1</t>
  </si>
  <si>
    <t>ΜΟΝΟΘΕΣΙΟ ΟΛΟΗΜΕΡΟ ΝΗΠΙΑΓΩΓΕΙΟ ΓΑΛΛΟΥ</t>
  </si>
  <si>
    <t>mail@nip-gallou.reth.sch.gr</t>
  </si>
  <si>
    <t>ΓΑΛΛΟΣ</t>
  </si>
  <si>
    <t>ΓΑΛΛΟΣ ΡΕΘΥΜΝΟΥ</t>
  </si>
  <si>
    <t>ΠΡΙΝΕ</t>
  </si>
  <si>
    <t>2/ΘΕΣΙΟ ΟΛΟΗΜΕΡΟ ΝΗΠΙΑΓΩΓΕΙΟ ΠΡΙΝΕ - ΔΙΘΕΣΙΟ ΟΛΟΗΜΕΡΟ ΝΗΠΙΑΓΩΓΕΙΟ ΠΡΙΝΕ</t>
  </si>
  <si>
    <t>mail@nip-prine.reth.sch.gr</t>
  </si>
  <si>
    <t>ΠΡΙΝΕΣ</t>
  </si>
  <si>
    <t>7ο ΟΛΟΗΜΕΡΟ ΝΗΠΙΑΓΩΓΕΙΟ ΡΕΘΥΜΝΟ - ΕΒΔΟΜΟ ΤΡΙΘΕΣΙΟ  ΝΗΠΙΑΓΩΓΕΙΟ ΡΕΘΥΜΝΟΥ</t>
  </si>
  <si>
    <t>mail@7nip-rethymn.reth.sch.gr</t>
  </si>
  <si>
    <t>2ο ΟΛΟΗΜΕΡΟ ΝΗΠΙΑΓΩΓΕΙΟ ΡΕΘΥΜΝΟ - ΔΕΥΤΕΡΟ ΔΙΘΕΣΙΟ ΝΗΠΙΑΓΩΓΕΙΟ ΡΕΘΥΜΝΟΥ</t>
  </si>
  <si>
    <t>mail@2nip-rethymn.reth.sch.gr</t>
  </si>
  <si>
    <t>ΕΘΝ. ΑΝΤΙΣΤΑΣΕΩΣ 74</t>
  </si>
  <si>
    <t>2ο ΟΛΟΗΜΕΡΟ ΝΗΠΙΑΓΩΓΕΙΟ ΑΤΣΙΠΟΠΟΥΛΟ - ΔΙΘΕΣΙΟ ΟΛΟΗΜΕΡΟ ΝΗΠ.ΑΤΣΙΠΟΠΟΥΛΟΥ</t>
  </si>
  <si>
    <t>mail@2nip-atsip.reth.sch.gr</t>
  </si>
  <si>
    <t>ΓΩΝΙΑΣ</t>
  </si>
  <si>
    <t>ΟΛΟΗΜΕΡΟ ΝΗΠΙΑΓΩΓΕΙΟ ΓΩΝΙΑ - ΔΙΘΕΣΙΟ ΟΛΟΗΜΕΡΟ ΝΗΠΙΑΓΩΓΕΙΟ ΓΩΝΙΑΣ</t>
  </si>
  <si>
    <t>mail@nip-gonias.reth.sch.gr</t>
  </si>
  <si>
    <t>ΓΩΝΙΑ</t>
  </si>
  <si>
    <t>2/Θ ΟΛΟΗΜΕΡΟ ΝΗΠΙΑΓΩΓΕΙΟ ΣΠΗΛΙΟΥ - ΔΙΘΕΣΙΟ ΟΛΟΗΜΕΡΟ ΝΗΠΙΑΓΩΓΕΙΟ ΣΠΗΛΙΟΥ</t>
  </si>
  <si>
    <t>mail@nip-spiliou.reth.sch.gr</t>
  </si>
  <si>
    <t>ΟΛΟΗΜΕΡΟ ΝΗΠΙΑΓΩΓΕΙΟ ΑΡΜΕΝΩΝ - ΔΙΘΕΣΙΟ ΟΛΟΗΜΕΡΟ ΝΗΠΙΑΓΩΓΕΙΟ ΑΡΜΕΝΩΝ</t>
  </si>
  <si>
    <t>mail@nip-armen.reth.sch.gr</t>
  </si>
  <si>
    <t>ΑΡΜΕΝΟΙ</t>
  </si>
  <si>
    <t>ΑΓΚΟΥΣΕΛΙΑΝΩΝ</t>
  </si>
  <si>
    <t>ΟΛΟΗΜΕΡΟ ΝΗΠΙΑΓΩΓΕΙΟ ΑΓΚΟΥΣΕΛΙΑΝΑ - ΜΟΝΟΘΕΣΙΟ ΟΛΟΗΜΕΡΟ ΝΗΠΙΑΓΩΓΕΙΟ ΑΓΚΟΥΣΕΛΙΑΝΩΝ</t>
  </si>
  <si>
    <t>mail@nip-agous.reth.sch.gr</t>
  </si>
  <si>
    <t>ΑΓΚΟΥΣΕΛΙΑΝΑ</t>
  </si>
  <si>
    <t>ΓΕΡΑΝΙΟΥ</t>
  </si>
  <si>
    <t>ΔΙΘΕΣΙΟ ΟΛΟΗΜΕΡΟ  ΝΗΠΙΑΓΩΓΕΙΟ ΓΕΡΑΝΙΟΥ</t>
  </si>
  <si>
    <t>mail@nip-geran.reth.sch.gr</t>
  </si>
  <si>
    <t>ΓΕΡΑΝΙ</t>
  </si>
  <si>
    <t>2/Θ  ΝΗΠΙΑΓΩΓΕΙΟ ΓΕΡΑΝΙΟΥ  ΝΟΜΟΥ ΡΕΘΥΜΝΟΥ</t>
  </si>
  <si>
    <t>ΜΥΞΟΡΡΟΥΜΑ</t>
  </si>
  <si>
    <t>ΟΛΟΗΜΕΡΟ ΝΗΠΙΑΓΩΓΕΙΟ ΜΙΞΟΡΡΟΥΜΑ - ΜΟΝΟΘΕΣΙΟ ΟΛΟΗΜΕΡΟ ΝΗΠΙΑΓΩΓΕΙΟ ΜΙΞΟΡΡΟΥΜΑΤΟΣ</t>
  </si>
  <si>
    <t>mail@nip-mixorr.reth.sch.gr</t>
  </si>
  <si>
    <t>ΜΙΞΟΡΡΟΥΜΑ</t>
  </si>
  <si>
    <t>ΑΓΙΑΣ ΓΑΛΗΝΗΣ</t>
  </si>
  <si>
    <t>ΝΗΠΙΑΓΩΓΕΙΟ ΑΓΙΑΣ ΓΑΛΗΝΗΣ</t>
  </si>
  <si>
    <t>mail@nip-ag-galin.reth.sch.gr</t>
  </si>
  <si>
    <t>ΑΓΙΑ ΓΑΛΗΝΗ</t>
  </si>
  <si>
    <t>ΔΙΘΕΣΙΟ ΝΗΠΙΑΓΩΓΕΙΟ ΕΠΙΣΚΟΠΗΣ</t>
  </si>
  <si>
    <t>mail@nip-episk.reth.sch.gr</t>
  </si>
  <si>
    <t>ΔΙΘΕΣΙΟ ΟΛΟΗΜΕΡΟ ΔΗΜΟΤΙΚΟ ΣΧΟΛΕΙΟ ΜΕΛΑΜΠΩΝ</t>
  </si>
  <si>
    <t>dimmelamp@sch.gr</t>
  </si>
  <si>
    <t>ΜΕΛΑΜΠΕΣ</t>
  </si>
  <si>
    <t>mail@dim-agkous.reth.sch.gr</t>
  </si>
  <si>
    <t>mail@dim-spiliou.reth.sch.gr</t>
  </si>
  <si>
    <t>8ο ΤΕΤΡΑΘΕΣΙΟ ΟΛΟΗΜΕΡΟ ΝΗΠΙΑΓΩΓΕΙΟ ΡΕΘΥΜΝΟΥ</t>
  </si>
  <si>
    <t>mail@8nip-rethymn.reth.sch.gr</t>
  </si>
  <si>
    <t>1ο ΟΛΟΗΜΕΡΟ ΝΗΠΙΑΓΩΓΕΙΟ ΑΤΣΙΠΟΠΟΥΛΟ - ΔΙΘΕΣΙΟ ΟΛΟΗΜΕΡΟ ΝΗΠΙΑΓΩΓΕΙΟ ΑΤΣΙΠΟΠΟΥΛΟΥ</t>
  </si>
  <si>
    <t>mail@nip-atsip.reth.sch.gr</t>
  </si>
  <si>
    <t>ΤΕΤΡΑΘΕΣΙΟ ΟΛΟΗΜΕΡΟ ΔΗΜΟΤΙΚΟ ΣΧΟΛΕΙΟ ΑΡΓΥΡΟΥΠΟΛΗΣ -ΡΕΘΥΜΝΟΥ</t>
  </si>
  <si>
    <t>mail@dim-argyr.reth.sch.gr</t>
  </si>
  <si>
    <t>ΑΡΓΥΡΟΥΠΟΛΗ ΡΕΘΥΜΝΟΥ</t>
  </si>
  <si>
    <t>1ο ΔΩΔΕΚΑΘΕΣΙΟ ΟΛΟΗΜΕΡΟ ΔΗΜΟΤΙΚΟ ΣΧΟΛΕΙΟ ΡΕΘΥΜΝΟΥ</t>
  </si>
  <si>
    <t>mail@1dim-rethymn.reth.sch.gr</t>
  </si>
  <si>
    <t>15ο ΔΗΜΟΤΙΚΟ ΣΧΟΛΕΙΟ ΡΕΘΥΜΝΟΥ - ΔΕΚΑΤΟ ΠΕΜΠΤΟ ΔΩΔΕΚΑΘΕΣΙΟ ΟΛΟΗΜΕΡΟ ΔΗΜΟΤΙΚΟ ΣΧΟΛΕΙΟ ΡΕΘΥΜΝΟΥ</t>
  </si>
  <si>
    <t>mail@15dim-rethymn.reth.sch.gr</t>
  </si>
  <si>
    <t>mail@dim-geran.reth.sch.gr</t>
  </si>
  <si>
    <t>1ο ΟΚΤΑΘΕΣΙΟ ΟΛΟΗΜΕΡΟ ΔΗΜΟΤΙΚΟ ΣΧΟΛΕΙΟ ΑΤΣΙΠΟΠΟΥΛΟΥ</t>
  </si>
  <si>
    <t>mail@dim-atsip.reth.sch.gr</t>
  </si>
  <si>
    <t>1ο ΔΗΜΟΤΙΚΟ ΣΧΟΛΕΙΟ ΠΛΑΚΙΑ</t>
  </si>
  <si>
    <t>mail@dim-plakia.reth.sch.gr</t>
  </si>
  <si>
    <t>ΠΛΑΚΙΑΣ</t>
  </si>
  <si>
    <t>ΟΛΟΗΜΕΡΟ ΔΗΜΟΤΙΚΟ ΣΧΟΛΕΙΟ ΓΩΝΙΑΣ - ΕΞΑΘΕΣΙΟ ΟΛΟΗΜΕΡΟ ΔΗΜΟΤΙΚΟ ΣΧΟΛΕΙΟ ΓΩΝΙΑΣ</t>
  </si>
  <si>
    <t>mail@dim-gonias.reth.sch.gr</t>
  </si>
  <si>
    <t>ΓΩΝΙΑ ΡΕΘΥΜΝΟΥ</t>
  </si>
  <si>
    <t>6/Θ ΟΛΟΗΜΕΡΟ ΔΗΜΟΤΙΚΟ ΣΧΟΛΕΙΟ ΑΡΜΕΝΩΝ</t>
  </si>
  <si>
    <t>mail@dim-armen.reth.sch.gr</t>
  </si>
  <si>
    <t>Αρμένοι Ρεθύμνης</t>
  </si>
  <si>
    <t>ΝΗΠΙΑΓΩΓΕΙΟ ΖΩΝΙΑΝΩΝ - ΔΙΘΕΣΙΟ  ΝΗΠΙΑΓΩΓΕΙΟ ΖΩΝΙΑΝΩΝ</t>
  </si>
  <si>
    <t>mail@nip-zonian.reth.sch.gr</t>
  </si>
  <si>
    <t>ΟΛΟΗΜΕΡΟ ΔΗΜΟΤΙΚΟ ΣΧΟΛΕΙΟ ΜΠΑΛΙ - ΤΕΤΡΑΘΕΣΙΟ ΟΛΟΗΜΕΡΟ ΔΗΜΟΤΙΚΟ ΣΧΟΛΕΙΟ ΜΠΑΛΙΟΥ</t>
  </si>
  <si>
    <t>mail@dim-baliou.reth.sch.gr</t>
  </si>
  <si>
    <t>mail@dim-prine.reth.sch.gr</t>
  </si>
  <si>
    <t>13ο ΟΛΟΗΜΕΡΟ ΔΗΜΟΤΙΚΟ ΣΧΟΛΕΙΟ ΡΕΘΥΜΝΟ - ΔΩΔΕΚΑΘΕΣΙΟ ΟΛΟΗΜΕΡΟ ΔΗΜΟΤΙΚΟ ΣΧΟΛΕΙΟ ΡΕΘΥΜΝΟΥ</t>
  </si>
  <si>
    <t>mail@13dim-rethymn.reth.sch.gr</t>
  </si>
  <si>
    <t>ΚΝΩΣΟΥ  2</t>
  </si>
  <si>
    <t>10ο ΝΗΠΙΑΓΩΓΕΙΟ ΡΕΘΥΜΝΟΥ - ΔΕΚΑΤΟ ΔΙΘΕΣΙΟ ΝΗΠΙΑΓΩΓΕΙΟ ΡΕΘΥΜΝΟΥ</t>
  </si>
  <si>
    <t>mail@10nip-rethymn.reth.sch.gr</t>
  </si>
  <si>
    <t>ΙΔΟΜΕΝΕΩΣ 12</t>
  </si>
  <si>
    <t>16ο ΟΛΟΗΜΕΡΟ ΔΗΜΟΤΙΚΟ ΣΧΟΛΕΙΟ ΡΕΘΥΜΝΟ - ΕΠΤΑΘΕΣΙΟ ΟΛΟΗΜΕΡΟ ΔΗΜΟΤΙΚΟ ΣΧΟΛΕΙΟ ΡΕΘΥΜΝΟΥ</t>
  </si>
  <si>
    <t>mail@16dim-rethymn.reth.sch.gr</t>
  </si>
  <si>
    <t>ΙΔΟΜΕΝΕΩΣ 14</t>
  </si>
  <si>
    <t>1ο ΕΙΔΙΚΟ ΝΗΠΙΑΓΩΓΕΙΟ ΡΕΘΥΜΝΟ - ΕΙΔΙΚΟ ΝΗΠΙΑΓΩΓΕΙΟ ΡΕΘΥΜΝΟΥ</t>
  </si>
  <si>
    <t>mail@nip-eid-rethymn.reth.sch.gr</t>
  </si>
  <si>
    <t>ΠΛΑΚΟΥΡΑ ΜΙΣΙΡΙΑ</t>
  </si>
  <si>
    <t>ΟΛΟΗΜΕΡΟ ΔΗΜΟΤΙΚΟ ΣΧΟΛΕΙΟ ΑΓΙΑΣ ΓΑΛΗΝΗΣ - ΤΕΤΡΑΘΕΣΙΟ ΟΛΟΗΜΕΡΟ ΔΗΜΟΤΙΚΟ ΣΧΟΛΕΙΟ ΑΓΙΑΣ ΓΑΛΗΝΗΣ</t>
  </si>
  <si>
    <t>mail@dim-ag-galin.reth.sch.gr</t>
  </si>
  <si>
    <t>ΜΑΡΟΥΛΑ</t>
  </si>
  <si>
    <t>ΟΛΟΗΜΕΡΟ ΝΗΠΙΑΓΩΓΕΙΟ ΜΑΡΟΥΛΑ - ΜΟΝΟΘΕΣΙΟ ΟΛΟΗΜΕΡΟ ΝΗΠΙΑΓΩΓΕΙΟ ΜΑΡΟΥΛΑ</t>
  </si>
  <si>
    <t>mail@nip-maroul.reth.sch.gr</t>
  </si>
  <si>
    <t xml:space="preserve">ΜΑΡΟΥΛΑ </t>
  </si>
  <si>
    <t>mail@2dim-atsip.reth.sch.gr</t>
  </si>
  <si>
    <t>T.Θ.3043</t>
  </si>
  <si>
    <t>3ο  ΝΗΠΙΑΓΩΓΕΙΟ ΑΤΣΙΠΟΠΟΥΛΟΥ</t>
  </si>
  <si>
    <t>mail@3nip-atsip.reth.sch.gr</t>
  </si>
  <si>
    <t>ΕΛ. ΒΕΝΙΖΕΛΟΥ  15</t>
  </si>
  <si>
    <t>ΜΟΝΟΘΕΣΙΟ ΟΛΟΗΜΕΡΟ ΝΗΠΙΑΓΩΓΕΙΟ ΑΡΓΥΡΟΥΠΟΛΗΣ</t>
  </si>
  <si>
    <t>mail@nip-argyr.reth.sch.gr</t>
  </si>
  <si>
    <t>vogiatzis.anton@gmail.com</t>
  </si>
  <si>
    <t>Rethymno</t>
  </si>
  <si>
    <t>ΕΡΦΩΝ</t>
  </si>
  <si>
    <t>ΕΞΑΘΕΣΙΟ ΟΛΟΗΜΕΡΟ ΔΗΜΟΤΙΚΟ ΣΧΟΛΕΙΟ ΑΓΙΟΥ ΝΙΚΟΛΑΟΥ</t>
  </si>
  <si>
    <t>mail@dim-ag-nikol.reth.sch.gr</t>
  </si>
  <si>
    <t>ΑΓΙΟΣ  ΝΙΚΟΛΑΟΣ</t>
  </si>
  <si>
    <t>ΝΗΠΙΑΓΩΓΕΙΟ ΝΗΠΙΑΓΩΓΕΙΟ ΑΓΙΟΥ ΝΙΚΟΛΑΟΥ - ΟΛΟΗΜΕΡΟ ΔΙΘΕΣΙΟ ΝΗΠΙΑΓΩΓΕΙΟ ΑΓΙΟΥ ΝΙΚΟΛΑΟΥ</t>
  </si>
  <si>
    <t>mail@nip-ag-nikol.reth.sch.gr</t>
  </si>
  <si>
    <t>2/ΘΕΣΙΟ ΝΗΠΙΑΓΩΓΕΙΟ ΛΙΒΑΔΙΩΝ - ΔΙΘΕΣΙΟ  ΝΗΠΙΑΓΩΓΕΙΟ ΛΙΒΑΔΙΩΝ</t>
  </si>
  <si>
    <t>mail@nip-livad.reth.sch.gr</t>
  </si>
  <si>
    <t>mail@1dim-peram.reth.sch.gr</t>
  </si>
  <si>
    <t>1ο 3/ΘΕΣΙO ΝΗΠΙΑΓΩΓΕΙΟ ΠΕΡΑΜΑΤΟΣ - ΠΡΩΤΟ ΤΡΙΘΕΣΙΟ ΝΗΠΙΑΓΩΓΕΙΟ ΠΕΡΑΜΑΤΟΣ</t>
  </si>
  <si>
    <t>mail@1nip-peram.reth.sch.gr</t>
  </si>
  <si>
    <t>2ο ΟΛΟΗΜΕΡΟ ΝΗΠΙΑΓΩΓΕΙΟ ΠΕΡΑΜΑΤΟΣ - ΔΕΥΤΕΡΟ ΟΛΟΗΜΕΡΟ ΝΗΠΙΑΓΩΓΕΙΟ ΠΕΡΑΜΑΤΟΣ</t>
  </si>
  <si>
    <t>mail@2nip-peram.reth.sch.gr</t>
  </si>
  <si>
    <t>ΝΗΠΙΑΓΩΓΕΙΟ ΠΛΑΤΑΝΟΥ - ΜΟΝΟΘΕΣΙΟ ΚΛΑΣΙΚΟ ΝΗΠΙΑΓΩΓΕΙΟ ΠΛΑΤΑΝΟΥ</t>
  </si>
  <si>
    <t>mail@nip-platan.reth.sch.gr</t>
  </si>
  <si>
    <t>4ο ΔΙΘΕΣΙΟ ΟΛΟΗΜΕΡΟ ΝΗΠΙΑΓΩΓΕΙΟ ΑΤΣΙΠΟΠΟΥΛΟΥ</t>
  </si>
  <si>
    <t>mail@4nip-atsip.reth.sch.gr</t>
  </si>
  <si>
    <t>1/Θ ΟΛΟΗΜΕΡΟ ΝΗΠΙΑΓΩΓΕΙΟ ΑΓΙΑΣ</t>
  </si>
  <si>
    <t>mail@nip-agias.reth.sch.gr</t>
  </si>
  <si>
    <t>ΔΙΕΥΘΥΝΣΗ Π.Ε. ΧΑΝΙΩΝ</t>
  </si>
  <si>
    <t>33ο ΝΗΠΙΑΓΩΓΕΙΟ ΧΑΝΙΩΝ</t>
  </si>
  <si>
    <t>mail@33nip-chanion.chan.sch.gr</t>
  </si>
  <si>
    <t>ΠΛΑΤΕΙΑ ΑΡΚΑΔΙΟΥ</t>
  </si>
  <si>
    <t>ΑΣΗ ΓΩΝΙΑΣ</t>
  </si>
  <si>
    <t>ΔΗΜΟΤΙΚΟ ΣΧΟΛΕΙΟ ΑΣΗ ΓΩΝΙΑΣ</t>
  </si>
  <si>
    <t>mail@dim-asigon.chan.sch.gr</t>
  </si>
  <si>
    <t>ΑΣΗ ΓΩΝΙΑ</t>
  </si>
  <si>
    <t>ΘΕΡΙΣΟΥ</t>
  </si>
  <si>
    <t>ΝΗΠΙΑΓΩΓΕΙΟ ΑΓΙΑΣ</t>
  </si>
  <si>
    <t>mail@nip-agias.chan.sch.gr</t>
  </si>
  <si>
    <t xml:space="preserve">ΑΓΙΑΣ </t>
  </si>
  <si>
    <t>ΑΓΙΑ ΚΥΔΩΝΙΑΣ ΧΑΝΙΩΝ</t>
  </si>
  <si>
    <t>ΝΗΠΙΑΓΩΓΕΙΟ ΑΝΩΠΟΛΗΣ ΣΦΑΚΙΩΝ</t>
  </si>
  <si>
    <t>mail@nip-an-polis.chan.sch.gr</t>
  </si>
  <si>
    <t>ΑΝΩΠΟΛΗΣ</t>
  </si>
  <si>
    <t>ΑΝΩΠΟΛΗ ΣΦΑΚΙΩΝ</t>
  </si>
  <si>
    <t>mail@dim-voukol.chan.sch.gr</t>
  </si>
  <si>
    <t>ΒΟΥΚΟΛΙΕΣ ΚΙΣΑΜΟΥ</t>
  </si>
  <si>
    <t>ΚΕΡΑΜΙΩΝ</t>
  </si>
  <si>
    <t>ΚΟΝΤΟΠΟΥΛΩΝ</t>
  </si>
  <si>
    <t>ΔΗΜΟΤΙΚΟ ΣΧΟΛΕΙΟ ΚΑΤΩΧΩΡΙΟΥ</t>
  </si>
  <si>
    <t>1dimkeram@sch.gr</t>
  </si>
  <si>
    <t>ΚΑΤΩΧΩΡΙ</t>
  </si>
  <si>
    <t>ΝΗΠΙΑΓΩΓΕΙΟ ΑΣΗ ΓΩΝΙΑΣ</t>
  </si>
  <si>
    <t>mail@nip-asigon.chan.sch.gr</t>
  </si>
  <si>
    <t>ΑΣΗ ΓΩΝΙΑ ΕΠΙΣΚΟΠΗΣ ΡΕΘΥΜΝΗΣ</t>
  </si>
  <si>
    <t>ΓΕΩΡΓΙΟΥΠΟΛΕΩΣ</t>
  </si>
  <si>
    <t>ΦΥΛΑΚΗΣ</t>
  </si>
  <si>
    <t>ΝΗΠΙΑΓΩΓΕΙΟ ΔΡΑΜΙΩΝ</t>
  </si>
  <si>
    <t>mail@nip-kavrou.chan.sch.gr</t>
  </si>
  <si>
    <t>ΔΡΑΜΙΩΝ</t>
  </si>
  <si>
    <t>ΚΑΒΡΟΣ ΑΠΟΚΟΡΩΝΟΥ</t>
  </si>
  <si>
    <t>ΑΝΑΤΟΛΙΚΟΥ ΣΕΛΙΝΟΥ</t>
  </si>
  <si>
    <t>ΡΟΔΟΒΑΝΙΟΥ</t>
  </si>
  <si>
    <t>ΝΗΠΙΑΓΩΓΕΙΟ ΡΟΔΟΒΑΝΙΟΥ</t>
  </si>
  <si>
    <t>mail@1nip-rodov.chan.sch.gr</t>
  </si>
  <si>
    <t>ΡΟΔΟΒΑΝΙ ΧΑΝΙΩΝ</t>
  </si>
  <si>
    <t>ΒΑΤΟΛΑΚΚΟΥ</t>
  </si>
  <si>
    <t>ΝΗΠΙΑΓΩΓΕΙΟ ΒΑΤΟΛΑΚΚΟΥ ΧΑΝΙΩΝ</t>
  </si>
  <si>
    <t>mail@3nip-mousour.chan.sch.gr</t>
  </si>
  <si>
    <t>ΒΑΤΟΛΑΚΚΟΣ ΧΑΝΙΩΝ</t>
  </si>
  <si>
    <t>2ο ΝΗΠΙΑΓΩΓΕΙΟ ΧΑΝΙΩΝ</t>
  </si>
  <si>
    <t>mail@2nip-chanion.chan.sch.gr</t>
  </si>
  <si>
    <t>ΔΥΤΙΚΟ ΦΡΟΥΡΙΟ ΧΑΝΙΑ</t>
  </si>
  <si>
    <t>3ο ΝΗΠΙΑΓΩΓΕΙΟ ΝΕΑΣ ΚΥΔΩΝΙΑΣ</t>
  </si>
  <si>
    <t>mail@3nip-n-kydon.chan.sch.gr</t>
  </si>
  <si>
    <t>ΠΛΑΤΕΙΑ ΠΥΘΙΑΣ</t>
  </si>
  <si>
    <t>ΠΑΠΠΑΔΙΑΝΩΝ</t>
  </si>
  <si>
    <t>ΝΗΠΙΑΓΩΓΕΙΟ ΚΕΡΑΜΙΩΝ</t>
  </si>
  <si>
    <t>mail@nip-keram.chan.sch.gr</t>
  </si>
  <si>
    <t xml:space="preserve"> ΚΕΡΑΜΙΑ</t>
  </si>
  <si>
    <t>ΚΑΤΩΧΩΡΙ  ΚΕΡΑΜΙΩΝ</t>
  </si>
  <si>
    <t>ΔΗΜΟΤΙΚΟ ΣΧΟΛΕΙΟ ΑΓΙΑΣ</t>
  </si>
  <si>
    <t>mail@dim-agias.chan.sch.gr</t>
  </si>
  <si>
    <t>ΑΓΙΑ ΚΥΔΩΝΙΑΣ</t>
  </si>
  <si>
    <t>31ο ΝΗΠΙΑΓΩΓΕΙΟ ΧΑΝΙΩΝ</t>
  </si>
  <si>
    <t>mail@31nip-chanion.chan.sch.gr</t>
  </si>
  <si>
    <t>ΙΩΣΗΦ ΓΚΕΡΟΛΑ 48β</t>
  </si>
  <si>
    <t>30ο ΝΗΠΙΑΓΩΓΕΙΟ ΧΑΝΙΩΝ</t>
  </si>
  <si>
    <t>mail@30nip-chanion.chan.sch.gr</t>
  </si>
  <si>
    <t>ΙΩΣΗΦ ΓΚΕΡΟΛΑ 48Β</t>
  </si>
  <si>
    <t>34ο ΝΗΠΙΑΓΩΓΕΙΟ ΧΑΝΙΩΝ</t>
  </si>
  <si>
    <t>mail@34nip-chanion.chan.sch.gr</t>
  </si>
  <si>
    <t>ΜΑΚΕΔΟΝΟΜΑΧΩΝ 25</t>
  </si>
  <si>
    <t>1o   ΝΗΠΙΑΓΩΓΕΙΟ ΣΟΥΔΑΣ</t>
  </si>
  <si>
    <t>mail@1nip-soudas.chan.sch.gr</t>
  </si>
  <si>
    <t>25  ΜΑΡΤΙΟΥ</t>
  </si>
  <si>
    <t>3ο ΝΗΠΙΑΓΩΓΕΙΟ ΧΑΝΙΩΝ</t>
  </si>
  <si>
    <t>mail@3nip-chanion.chan.sch.gr</t>
  </si>
  <si>
    <t>ΚΟΡΑΗ 3</t>
  </si>
  <si>
    <t>4ο ΝΗΠΙΑΓΩΓΕΙΟ ΧΑΝΙΩΝ</t>
  </si>
  <si>
    <t>mail@4nip-chanion.chan.sch.gr</t>
  </si>
  <si>
    <t>32ο ΝΗΠΙΑΓΩΓΕΙΟ ΧΑΝΙΩΝ</t>
  </si>
  <si>
    <t>mail@32nip-chanion.chan.sch.gr</t>
  </si>
  <si>
    <t>ΦΟΥΜΗΔΩΝ ΚΑΙ ΜΟΥΣΤΕΡΑΚΗ 27</t>
  </si>
  <si>
    <t>ΚΟΥΡΝΑ</t>
  </si>
  <si>
    <t>ΔΗΜΟΤΙΚΟ ΣΧΟΛΕΙΟ ΚΟΥΡΝΑ</t>
  </si>
  <si>
    <t>mail@dim-kourn.chan.sch.gr</t>
  </si>
  <si>
    <t>ΚΟΥΡΝΑΣ ΑΠΟΚΟΡΩΝΟΥ</t>
  </si>
  <si>
    <t>ΚΟΥΡΝΑΣ</t>
  </si>
  <si>
    <t>ΠΕΡΙΒΟΛΙΩΝ ΚΥΔΩΝΙΑΣ</t>
  </si>
  <si>
    <t>ΔΗΜΟΤΙΚΟ ΣΧΟΛΕΙΟ ΠΕΡΙΒΟΛΙΩΝ</t>
  </si>
  <si>
    <t>mail@dim-periv.chan.sch.gr</t>
  </si>
  <si>
    <t>ΠΕΡΙΒΟΛΙΑ</t>
  </si>
  <si>
    <t>ΝΗΠΙΑΓΩΓΕΙΟ ΓΕΡΑΝΙΟΥ</t>
  </si>
  <si>
    <t>mail@3nip-platan.chan.sch.gr</t>
  </si>
  <si>
    <t>ΜΟΔΙ</t>
  </si>
  <si>
    <t>ΑΣΦΕΝΔΟΥ</t>
  </si>
  <si>
    <t>ΔΗΜΟΤΙΚΟ ΣΧΟΛΕΙΟ ΒΟΥΒΑ</t>
  </si>
  <si>
    <t>mail@dim-vouva.chan.sch.gr</t>
  </si>
  <si>
    <t>ΒΟΥΒΑ</t>
  </si>
  <si>
    <t>ΒΟΥΒΑΣ ΣΦΑΚΙΩΝ</t>
  </si>
  <si>
    <t>ΔΗΜΟΤΙΚΟ ΣΧΟΛΕΙΟ ΑΓΙΑΣ ΜΑΡΙΝΑΣ</t>
  </si>
  <si>
    <t>mail@dim-ag-marin.chan.sch.gr</t>
  </si>
  <si>
    <t>ΑΓΙΑΣ  ΜΑΡΙΝΑΣ</t>
  </si>
  <si>
    <t>ΑΔΑΜΑΝΤΙΟΥ ΚΟΡΑΗ-ΑΓΙΑ ΜΑΡΙΝΑ</t>
  </si>
  <si>
    <t>ΜΑΛΕΜΕ</t>
  </si>
  <si>
    <t>ΝΗΠΙΑΓΩΓΕΙΟ ΜΑΛΕΜΕ</t>
  </si>
  <si>
    <t>mail@2nip-malem.chan.sch.gr</t>
  </si>
  <si>
    <t>ΣΚΑΛΩΤΗΣ</t>
  </si>
  <si>
    <t>ΝΗΠΙΑΓΩΓΕΙΟ ΣΚΑΛΩΤΗΣ</t>
  </si>
  <si>
    <t>mail@nip-skalot.chan.sch.gr</t>
  </si>
  <si>
    <t>ΣΚΑΛΩΤΗ ΣΦΑΚΙΩΝ</t>
  </si>
  <si>
    <t>ΑΣΚΥΦΟΥ</t>
  </si>
  <si>
    <t>ΝΗΠΙΑΓΩΓΕΙΟ ΑΣΚΥΦΟΥ</t>
  </si>
  <si>
    <t>mail@nip-askyf.chan.sch.gr</t>
  </si>
  <si>
    <t>ΑΣΚΥΦΟΥ ΣΦΑΚΙΩΝ</t>
  </si>
  <si>
    <t>ΝΗΠΙΑΓΩΓΕΙΟ ΑΓΙΑΣ ΜΑΡΙΝΑΣ ΧΑΝΙΩΝ</t>
  </si>
  <si>
    <t>mail@5nip-n-kydon.chan.sch.gr</t>
  </si>
  <si>
    <t xml:space="preserve">ΑΓΙΑΣ ΜΑΡΙΝΑΣ </t>
  </si>
  <si>
    <t>3ο ΝΗΠΙΑΓΩΓΕΙΟ ΜΟΥΡΝΙΩΝ</t>
  </si>
  <si>
    <t>mail@3nip-mourn.chan.sch.gr</t>
  </si>
  <si>
    <t>ΕΡΓΑΤΙΚΕΣ ΚΑΤΟΙΚΙΕΣ, ΚΟΚΚΙΝΟ ΜΕΤΟΧΙ</t>
  </si>
  <si>
    <t>ΒΑΜΒΑΚΟΠΟΥΛΟΥ</t>
  </si>
  <si>
    <t>2ο ΝΗΠΙΑΓΩΓΕΙΟ ΒΑΜΒΑΚΟΠΟΥΛΟΥ</t>
  </si>
  <si>
    <t>mail@2nip-vamvak.chan.sch.gr</t>
  </si>
  <si>
    <t>ΦΥΝΤΙΚΙ ΜΕΤΟΧΙ 4</t>
  </si>
  <si>
    <t>14ο ΝΗΠΙΑΓΩΓΕΙΟ ΧΑΝΙΩΝ</t>
  </si>
  <si>
    <t>mail@14nip-chanion.chan.sch.gr</t>
  </si>
  <si>
    <t>Ουέλινγκτον 25</t>
  </si>
  <si>
    <t>2ο ΝΗΠΙΑΓΩΓΕΙΟ ΜΟΥΡΝΙΩΝ</t>
  </si>
  <si>
    <t>mail@2nip-mourn.chan.sch.gr</t>
  </si>
  <si>
    <t>ΜΟΥΡΝΙΕΣ</t>
  </si>
  <si>
    <t>ΝΗΠΙΑΓΩΓΕΙΟ ΒΟΥΒΑ</t>
  </si>
  <si>
    <t>mail@nip-vouva.chan.sch.gr</t>
  </si>
  <si>
    <t>1ο ΝΗΠΙΑΓΩΓΕΙΟ ΒΑΜΒΑΚΟΠΟΥΛΟΥ</t>
  </si>
  <si>
    <t>mail@1nip-vamvak.chan.sch.gr</t>
  </si>
  <si>
    <t>Βαμβακόπουλο</t>
  </si>
  <si>
    <t>15ο ΝΗΠΙΑΓΩΓΕΙΟ ΧΑΝΙΩΝ</t>
  </si>
  <si>
    <t>mail@15nip-chanion.chan.sch.gr</t>
  </si>
  <si>
    <t>ΜΑΚΕΔΟΝΟΜΑΧΩΝ ΧΑΝΙΑ 25</t>
  </si>
  <si>
    <t>ΝΗΠΙΑΓΩΓΕΙΟ ΒΑΜΟΥ</t>
  </si>
  <si>
    <t>mail@nip-vamou.chan.sch.gr</t>
  </si>
  <si>
    <t>ΒΑΡΥΠΕΤΡΟΥ</t>
  </si>
  <si>
    <t>ΝΗΠΙΑΓΩΓΕΙΟ ΒΑΡΥΠΕΤΡΟΥ</t>
  </si>
  <si>
    <t>mail@nip-varyp.chan.sch.gr</t>
  </si>
  <si>
    <t>ΑΓΥΙΑΣ</t>
  </si>
  <si>
    <t>ΑΓΥΙΑ  ΚΥΔΩΝΙΑΣ</t>
  </si>
  <si>
    <t>23ο ΝΗΠΙΑΓΩΓΕΙΟ ΧΑΝΙΩΝ</t>
  </si>
  <si>
    <t>mail@23nip-chanion.chan.sch.gr</t>
  </si>
  <si>
    <t>ΚΝΩΣΣΟΥ ΚΑΙ ΤΣΟΝΤΟΥ ΒΑΡΔΑ ΧΑΝΙΑ</t>
  </si>
  <si>
    <t>ΚΑΛΥΒΩΝ</t>
  </si>
  <si>
    <t>1ο ΝΗΠΙΑΓΩΓΕΙΟ ΚΑΛΥΒΩΝ</t>
  </si>
  <si>
    <t>mail@1nip-kalyv.chan.sch.gr</t>
  </si>
  <si>
    <t>ΚΑΛΥΒΕΣ ΑΠΟΚΟΡΩΝΟΥ ΧΑΝΙΩΝ</t>
  </si>
  <si>
    <t>ΚΑΛΥΒΕΣ ΑΠΟΚΟΡΩΝΟΥ</t>
  </si>
  <si>
    <t>ΝΗΠΙΑΓΩΓΕΙΟ ΠΛΑΤΑΝΙΑ ΧΑΝΙΩΝ</t>
  </si>
  <si>
    <t>mail@1nip-platan.chan.sch.gr</t>
  </si>
  <si>
    <t>2ο ΝΗΠΙΑΓΩΓΕΙΟ ΚΑΛΥΒΩΝ</t>
  </si>
  <si>
    <t>mail@2nip-kalyv.chan.sch.gr</t>
  </si>
  <si>
    <t>ΓΑΒΑΛΟΧΩΡΙΟΥ</t>
  </si>
  <si>
    <t>ΟΛΟΗΜΕΡΟ ΝΗΠΙΑΓΩΓΕΙΟ ΓΑΒΑΛΟΧΩΡΙΟΥ</t>
  </si>
  <si>
    <t>mail@nip-gaval.chan.sch.gr</t>
  </si>
  <si>
    <t>ΓΑΒΑΛΟΧΩΡΙ ΑΠΟΚΟΡΩΝΟΥ ΧΑΝΙΩΝ</t>
  </si>
  <si>
    <t>ΦΡΕ</t>
  </si>
  <si>
    <t>ΠΑΪΔΟΧΩΡΙΟΥ</t>
  </si>
  <si>
    <t>ΝΗΠΙΑΓΩΓΕΙΟ ΠΑΪΔΟΧΩΡΙΟΥ</t>
  </si>
  <si>
    <t>mail@nip-paidoch.chan.sch.gr</t>
  </si>
  <si>
    <t>ΑΓΙΟΙ ΠΑΝΤΕΣ ΑΠΟΚΟΡΩΝΟΥ ΧΑΝΙΩΝ</t>
  </si>
  <si>
    <t>ΠΑΤΣΙΑΝΟΥ</t>
  </si>
  <si>
    <t>ΝΗΠΙΑΓΩΓΕΙΟ ΠΑΤΣΙΑΝΟΥ</t>
  </si>
  <si>
    <t>mail@nip-patsian.chan.sch.gr</t>
  </si>
  <si>
    <t>ΠΑΤΣΙΑΝΟΣ ΣΦΑΚΙΩΝ</t>
  </si>
  <si>
    <t>2ο ΝΗΠΙΑΓΩΓΕΙΟ ΠΕΡΙΒΟΛΙΩΝ</t>
  </si>
  <si>
    <t>mail@2nip-periv.chan.sch.gr</t>
  </si>
  <si>
    <t>ΠΕΡΙΒΟΛΙΩΝ</t>
  </si>
  <si>
    <t>ΑΓΙΑ ΕΙΡΗΝΗ ΧΡΥΣΟΒΑΛΑΝΤΟΥ</t>
  </si>
  <si>
    <t>ΝΗΠΙΑΓΩΓΕΙΟ ΠΛΑΚΑΣ</t>
  </si>
  <si>
    <t>mail@nip-plakas.chan.sch.gr</t>
  </si>
  <si>
    <t>ΠΛΑΚΑ ΑΠΟΚΟΡΩΝΟΥ ΧΑΝΙΩΝ</t>
  </si>
  <si>
    <t>36ο ΝΗΠΙΑΓΩΓΕΙΟ ΧΑΝΙΩΝ</t>
  </si>
  <si>
    <t>mail@36nip-chanion.chan.sch.gr</t>
  </si>
  <si>
    <t>ΦΟΥΜΗΔΩΝ 27</t>
  </si>
  <si>
    <t>ΝΗΠΙΑΓΩΓΕΙΟ ΧΩΡΑΦΑΚΙΩΝ</t>
  </si>
  <si>
    <t>mail@4nip-akrot.chan.sch.gr</t>
  </si>
  <si>
    <t>ΧΩΡΑΦΑΚΙΩΝ</t>
  </si>
  <si>
    <t>ΧΩΡΑΦΑΚΙΑ</t>
  </si>
  <si>
    <t>ΑΡΩΝΙΟΥ</t>
  </si>
  <si>
    <t>1ο ΝΗΠΙΑΓΩΓΕΙΟ ΑΡΩΝΙΟΥ</t>
  </si>
  <si>
    <t>mail@1nip-aroniou.chan.sch.gr</t>
  </si>
  <si>
    <t>Γρα Στέρνα -ΑΡΩΝΙ</t>
  </si>
  <si>
    <t>2ο ΝΗΠΙΑΓΩΓΕΙΟ ΑΡΩΝΙΟΥ</t>
  </si>
  <si>
    <t>mail@2nip-aroni.chan.sch.gr</t>
  </si>
  <si>
    <t>ΑΡΩΝΙ</t>
  </si>
  <si>
    <t>29ο ΝΗΠΙΑΓΩΓΕΙΟ ΧΑΝΙΩΝ</t>
  </si>
  <si>
    <t>mail@29nip-chanion.chan.sch.gr</t>
  </si>
  <si>
    <t>ΓΕΩΡΓΙΟΥ ΣΓΟΥΡΟΥ 21</t>
  </si>
  <si>
    <t>19ο ΝΗΠΙΑΓΩΓΕΙΟ ΧΑΝΙΩΝ</t>
  </si>
  <si>
    <t>mail@19nip-chanion.chan.sch.gr</t>
  </si>
  <si>
    <t>Ι.ΓΕΩΡΓΑΚΑΚΗ 10</t>
  </si>
  <si>
    <t>ΝΗΠΙΑΓΩΓΕΙΟ ΚΟΥΡΝΑ</t>
  </si>
  <si>
    <t>mail@nip-kourn.chan.sch.gr</t>
  </si>
  <si>
    <t>ΣΚΙΝΕ</t>
  </si>
  <si>
    <t>ΝΗΠΙΑΓΩΓΕΙΟ ΣΚΙΝΕ - ΦΟΥΡΝΕ</t>
  </si>
  <si>
    <t>mail@2nip-mousour.chan.sch.gr</t>
  </si>
  <si>
    <t>ΣΚΙΝΕ - ΦΟΥΡΝΕ</t>
  </si>
  <si>
    <t>ΣΚΙΝΕΣ  ΚΥΔΩΝΙΑΣ</t>
  </si>
  <si>
    <t>ΔΗΜΟΤΙΚΟ ΣΧΟΛΕΙΟ ΓΕΩΡΓΙΟΥΠΟΛΗΣ</t>
  </si>
  <si>
    <t>mail@dim-georg.chan.sch.gr</t>
  </si>
  <si>
    <t>ΓΕΩΡΓΙΟΥΠΟΛΗ</t>
  </si>
  <si>
    <t>ΔΗΜΟΤΙΚΟ ΣΧΟΛΕΙΟ ΑΣΚΥΦΟΥ</t>
  </si>
  <si>
    <t>mail@dim-askyf.chan.sch.gr</t>
  </si>
  <si>
    <t>ΑΜΜΟΥΔΑΡΙ ΑΣΚΥΦΟΥ ΣΦΑΚΙΩΝ</t>
  </si>
  <si>
    <t>mail@dim-vamou.chan.sch.gr</t>
  </si>
  <si>
    <t>ΒΑΜΟΣ</t>
  </si>
  <si>
    <t>ΓΑΥΔΟΥ</t>
  </si>
  <si>
    <t>ΔΗΜΟΤΙΚΟ ΣΧΟΛΕΙΟ ΓΑΥΔΟΥ</t>
  </si>
  <si>
    <t>mail@dim-gavdou.chan.sch.gr</t>
  </si>
  <si>
    <t>ΓΑΥΔΟΣ</t>
  </si>
  <si>
    <t>mail@1dim-kisam.chan.sch.gr</t>
  </si>
  <si>
    <t>ΟΜΟΓΕΝΩΝ ΑΜΕΡΙΚΗΣ 40</t>
  </si>
  <si>
    <t>ΝΗΠΙΑΓΩΓΕΙΟ ΠΟΤΙΣΤΗΡΙΩΝ</t>
  </si>
  <si>
    <t>mail@nip-potist.chan.sch.gr</t>
  </si>
  <si>
    <t>ΠΟΤΙΣΤΗΡΙΑ</t>
  </si>
  <si>
    <t>ΠΟΤΙΣΤΗΡΙΑ ΚΥΔΩΝΙΑΣ ΧΑΝΙΩΝ</t>
  </si>
  <si>
    <t>ΣΤΥΛΟΥ</t>
  </si>
  <si>
    <t>ΝΗΠΙΑΓΩΓΕΙΟ ΣΤΥΛΟΥ</t>
  </si>
  <si>
    <t>mail@nip-stylou.chan.sch.gr</t>
  </si>
  <si>
    <t>ΣΤΥΛΟΣ ΑΠΟΚΟΡΩΝΟΥ</t>
  </si>
  <si>
    <t>ΝΗΠΙΑΓΩΓΕΙΟ ΧΩΡΑΣ ΣΦΑΚΙΩΝ</t>
  </si>
  <si>
    <t>mail@nip-choras.chan.sch.gr</t>
  </si>
  <si>
    <t>9ο ΝΗΠΙΑΓΩΓΕΙΟ ΧΑΝΙΩΝ</t>
  </si>
  <si>
    <t>mail@9nip-chanion.chan.sch.gr</t>
  </si>
  <si>
    <t>ΣΚΡΑ 19</t>
  </si>
  <si>
    <t>5ο ΝΗΠΙΑΓΩΓΕΙΟ ΧΑΝΙΩΝ</t>
  </si>
  <si>
    <t>mail@5nip-chanion.chan.sch.gr</t>
  </si>
  <si>
    <t>ΜΕΛΕΤΙΟΥ ΜΕΤΑΞΑΚΗ 64</t>
  </si>
  <si>
    <t>6ο ΝΗΠΙΑΓΩΓΕΙΟ ΧΑΝΙΩΝ</t>
  </si>
  <si>
    <t>mail@6nip-chanion.chan.sch.gr</t>
  </si>
  <si>
    <t>ΠΑΤΡΙΑΡΧΟΥ ΙΩΑΝΝΙΚΕΙΟΥ 56</t>
  </si>
  <si>
    <t>8ο  ΝΗΠΙΑΓΩΓΕΙΟ ΧΑΝΙΩΝ</t>
  </si>
  <si>
    <t>mail@8nip-chanion.chan.sch.gr</t>
  </si>
  <si>
    <t>ΑΝΤΩΝΙΟΥ ΓΙΑΝΝΑΡΗ 19</t>
  </si>
  <si>
    <t>ΣΤΕΡΝΩΝ</t>
  </si>
  <si>
    <t>2ο  ΕΙΔΙΚΟ ΝΗΠΙΑΓΩΓΕΙΟ ΧΑΝΙΩΝ</t>
  </si>
  <si>
    <t>mail@2nip-eid-chanion.chan.sch.gr</t>
  </si>
  <si>
    <t>ΣΤΕΡΝΕΣ</t>
  </si>
  <si>
    <t>12ο ΝΗΠΙΑΓΩΓΕΙΟ ΧΑΝΙΩΝ</t>
  </si>
  <si>
    <t>mail@12nip-chanion.chan.sch.gr</t>
  </si>
  <si>
    <t>ΑΓΑΘΑΓΓΕΛΟΥ ΝΙΝΟΛΑΚΗ</t>
  </si>
  <si>
    <t>3ο ΔΗΜΟΤΙΚΟ ΣΧΟΛΕΙΟ ΚΙΣΑΜΟΥ</t>
  </si>
  <si>
    <t>mail@3dim-kisam.chan.sch.gr</t>
  </si>
  <si>
    <t>13ο ΝΗΠΙΑΓΩΓΕΙΟ ΧΑΝΙΩΝ</t>
  </si>
  <si>
    <t>mail@13nip-chanion.chan.sch.gr</t>
  </si>
  <si>
    <t>ΠΑΝΤΕΛΗ ΠΡΕΒΕΛΑΚΗ</t>
  </si>
  <si>
    <t>17ο ΝΗΠΙΑΓΩΓΕΙΟ ΧΑΝΙΩΝ</t>
  </si>
  <si>
    <t>mail@17nip-chanion.chan.sch.gr</t>
  </si>
  <si>
    <t>ΝΙΚΟΛΑΟΥ ΣΚΟΥΛΑ 61</t>
  </si>
  <si>
    <t>1ο ΝΗΠΙΑΓΩΓΕΙΟ ΠΑΛΑΙΟΧΩΡΑΣ</t>
  </si>
  <si>
    <t>mail@1nip-palaioch.chan.sch.gr</t>
  </si>
  <si>
    <t>ΜΥΘΗΜΝΗΣ</t>
  </si>
  <si>
    <t>ΚΑΛΟΥΔΙΑΝΩΝ</t>
  </si>
  <si>
    <t>ΝΗΠΙΑΓΩΓΕΙΟ ΚΑΛΟΥΔΙΑΝΩΝ</t>
  </si>
  <si>
    <t>mail@nip-kaloud.chan.sch.gr</t>
  </si>
  <si>
    <t>ΚΑΛΟΥΔΙΑΝΑ ΚΙΣΣΑΜΟΥ</t>
  </si>
  <si>
    <t>21ο ΝΗΠΙΑΓΩΓΕΙΟ ΧΑΝΙΩΝ</t>
  </si>
  <si>
    <t>mail@21nip-chanion.chan.sch.gr</t>
  </si>
  <si>
    <t>ΑΝΑΓΝΩΣΤΟΥ  ΜΑΝΤΑΚΑ 111</t>
  </si>
  <si>
    <t>1ο ΝΗΠΙΑΓΩΓΕΙΟ ΜΟΥΡΝΙΩΝ</t>
  </si>
  <si>
    <t>mail@1nip-mourn.chan.sch.gr</t>
  </si>
  <si>
    <t>ΠΕΡΓΑΜΟΥ 1</t>
  </si>
  <si>
    <t>ΝΗΠΙΑΓΩΓΕΙΟ ΚΑΝΤΑΝΟΥ</t>
  </si>
  <si>
    <t>mail@nip-kantan.chan.sch.gr</t>
  </si>
  <si>
    <t>24ο ΝΗΠΙΑΓΩΓΕΙΟ ΧΑΝΙΩΝ</t>
  </si>
  <si>
    <t>mail@24nip-chanion.chan.sch.gr</t>
  </si>
  <si>
    <t>ΕΦΕΔΡΩΝ ΠΟΛΕΜΙΣΤΩΝ 142</t>
  </si>
  <si>
    <t>ΝΗΠΙΑΓΩΓΕΙΟ ΒΟΥΚΟΛΙΩΝ</t>
  </si>
  <si>
    <t>mail@nip-voukol.chan.sch.gr</t>
  </si>
  <si>
    <t>ΔΗΜΟΤΙΚΟ ΣΧΟΛΕΙΟ ΦΡΕ</t>
  </si>
  <si>
    <t>mail@dim-fre.chan.sch.gr</t>
  </si>
  <si>
    <t>ΦΡΕΣ</t>
  </si>
  <si>
    <t>ΦΡΕΣ ΑΠΟΚΟΡΩΝΟΥ ΧΑΝΙΩΝ</t>
  </si>
  <si>
    <t>25ο ΝΗΠΙΑΓΩΓΕΙΟ ΧΑΝΙΩΝ</t>
  </si>
  <si>
    <t>mail@25nip-chanion.chan.sch.gr</t>
  </si>
  <si>
    <t>20ο ΝΗΠΙΑΓΩΓΕΙΟ ΧΑΝΙΩΝ</t>
  </si>
  <si>
    <t>mail@20nip-chanion.chan.sch.gr</t>
  </si>
  <si>
    <t>18ο ΝΗΠΙΑΓΩΓΕΙΟ ΧΑΝΙΩΝ</t>
  </si>
  <si>
    <t>mail@18nip-chanion.chan.sch.gr</t>
  </si>
  <si>
    <t>ΝΗΠΙΑΓΩΓΕΙΟ ΓΑΥΔΟΥ</t>
  </si>
  <si>
    <t>mail@nip-gavdou.chan.sch.gr</t>
  </si>
  <si>
    <t>ΣΦΑΚΟΠΗΓΑΔΙΟΥ</t>
  </si>
  <si>
    <t>ΝΗΠΙΑΓΩΓΕΙΟ ΣΦΑΚΟΠΗΓΑΔΙΟΥ</t>
  </si>
  <si>
    <t>mail@nip-sfakop.chan.sch.gr</t>
  </si>
  <si>
    <t>ΣΦΑΚΟΠΗΓΑΔΙ</t>
  </si>
  <si>
    <t>26ο ΝΗΠΙΑΓΩΓΕΙΟ ΧΑΝΙΩΝ</t>
  </si>
  <si>
    <t>mail@26nip-chanion.chan.sch.gr</t>
  </si>
  <si>
    <t>1ο ΝΗΠΙΑΓΩΓΕΙΟ ΝΕΑΣ ΚΥΔΩΝΙΑΣ</t>
  </si>
  <si>
    <t>mail@1nip-n-kydon.chan.sch.gr</t>
  </si>
  <si>
    <t>ΑΝΩ ΓΑΛΑΤΑΣ</t>
  </si>
  <si>
    <t>2ο ΔΗΜΟΤΙΚΟ ΣΧΟΛΕΙΟ ΝΕΑΣ ΚΥΔΩΝΙΑΣ</t>
  </si>
  <si>
    <t>mail@2dim-n-kydon.chan.sch.gr</t>
  </si>
  <si>
    <t>ΓΕΡΟΓΙΑΝΝΗΔΩΝ</t>
  </si>
  <si>
    <t>1ο ΝΗΠΙΑΓΩΓΕΙΟ ΧΑΝΙΩΝ</t>
  </si>
  <si>
    <t>mail@1nip-chanion.chan.sch.gr</t>
  </si>
  <si>
    <t>Νικολάου Σκουλά 61</t>
  </si>
  <si>
    <t>2ο  ΝΗΠΙΑΓΩΓΕΙΟ ΣΟΥΔΑΣ</t>
  </si>
  <si>
    <t>mail@2nip-soudas.chan.sch.gr</t>
  </si>
  <si>
    <t>ΚΥΔΩΝΙΑΣ ΚΑΤΩ ΣΟΥΔΑΣ</t>
  </si>
  <si>
    <t>1ο ΝΗΠΙΑΓΩΓΕΙΟ ΧΡΥΣΟΠΗΓΗΣ</t>
  </si>
  <si>
    <t>mail@1nip-chrys.chan.sch.gr</t>
  </si>
  <si>
    <t>ΧΡΥΣΟΠΗΓΗΣ</t>
  </si>
  <si>
    <t>2ο ΝΗΠΙΑΓΩΓΕΙΟ ΧΡΥΣΟΠΗΓΗΣ</t>
  </si>
  <si>
    <t>mail@2nip-chrys.chan.sch.gr</t>
  </si>
  <si>
    <t>ΠΑΡΟΔΟΣ ΧΡΥΣΟΠΗΓΗΣ</t>
  </si>
  <si>
    <t>2ο ΝΗΠΙΑΓΩΓΕΙΟ ΑΓΡΟΚΗΠΙΟΥ</t>
  </si>
  <si>
    <t>mail@2nip-agrok.chan.sch.gr</t>
  </si>
  <si>
    <t>ΑΓΡΟΚΗΠΙΟΥ</t>
  </si>
  <si>
    <t>Ι. ΚΟΝΔΥΛΑΚΗ 1</t>
  </si>
  <si>
    <t>1ο ΝΗΠΙΑΓΩΓΕΙΟ ΑΓΡΟΚΗΠΙΟΥ</t>
  </si>
  <si>
    <t>mail@1nip-agrok.chan.sch.gr</t>
  </si>
  <si>
    <t>Μ. ΤΣΟΝΤΟΥ 75</t>
  </si>
  <si>
    <t>4ο ΝΗΠΙΑΓΩΓΕΙΟ ΜΟΥΡΝΙΩΝ</t>
  </si>
  <si>
    <t>mail@4nip-mourn.chan.sch.gr</t>
  </si>
  <si>
    <t>1ο ΝΗΠΙΑΓΩΓΕΙΟ ΠΕΡΙΒΟΛΙΩΝ</t>
  </si>
  <si>
    <t>mail@1nip-periv.chan.sch.gr</t>
  </si>
  <si>
    <t>ΠΕΡΙΒΟΛΙΑ ΧΑΝΙΩΝ</t>
  </si>
  <si>
    <t>2ο ΔΗΜΟΤΙΚΟ ΣΧΟΛΕΙΟ ΧΑΝΙΩΝ</t>
  </si>
  <si>
    <t>mail@2dim-chanion.chan.sch.gr</t>
  </si>
  <si>
    <t>ΔΥΤΙΚΟ ΦΡΟΥΡΙΟ ΧΑΝΙΩΝ</t>
  </si>
  <si>
    <t>28ο ΝΗΠΙΑΓΩΓΕΙΟ ΧΑΝΙΩΝ</t>
  </si>
  <si>
    <t>mail@28nip-chanion.chan.sch.gr</t>
  </si>
  <si>
    <t>ΜΑΡΓΟΥΝΙΟΥ 56</t>
  </si>
  <si>
    <t>1ο ΔΗΜΟΤΙΚΟ ΣΧΟΛΕΙΟ ΜΟΥΡΝΙΩΝ</t>
  </si>
  <si>
    <t>mail@1dim-mourn.chan.sch.gr</t>
  </si>
  <si>
    <t>ΑΓΙΟΥ ΝΕΚΤΑΡΙΟΥ ΚΑΙ ΜΙΚΡΑΣ ΑΣΙΑΣ ΠΑΣΑΚΑΚΙ</t>
  </si>
  <si>
    <t>ΔΗΜΟΤΙΚΟ ΣΧΟΛΕΙΟ ΑΓΡΟΚΗΠΙΟΥ</t>
  </si>
  <si>
    <t>dimagrok@sch.gr</t>
  </si>
  <si>
    <t>ΑΓΡΟΚΗΠΙΟ</t>
  </si>
  <si>
    <t>ΜΙΧΑΗΛ ΤΣΟΝΤΟΥ  75</t>
  </si>
  <si>
    <t>ΔΗΜΟΤΙΚΟ ΣΧΟΛΕΙΟ ΝΕΡΟΚΟΥΡΟΥ</t>
  </si>
  <si>
    <t>mail@dim-nerok.chan.sch.gr</t>
  </si>
  <si>
    <t>ΤΣΙΚΑΛΑΡΙΩΝ</t>
  </si>
  <si>
    <t>1ο ΝΗΠΙΑΓΩΓΕΙΟ ΤΣΙΚΑΛΑΡΙΩΝ</t>
  </si>
  <si>
    <t>mail@nip-tsikal.chan.sch.gr</t>
  </si>
  <si>
    <t>ΣΟΥΔΑ - ΧΑΝΙΑ</t>
  </si>
  <si>
    <t>ΤΣΙΚΑΛΑΡΙΑ</t>
  </si>
  <si>
    <t>ΝΗΠΙΑΓΩΓΕΙΟ ΝΕΡΟΚΟΥΡΟΥ ΧΑΝΙΩΝ</t>
  </si>
  <si>
    <t>mail@nip-nerok.chan.sch.gr</t>
  </si>
  <si>
    <t>ΝΗΠΙΑΓΩΓΕΙΟ ΑΓΙΩΝ ΣΑΡΑΝΤΑ</t>
  </si>
  <si>
    <t>mail@nip-ag-sarant.chan.sch.gr</t>
  </si>
  <si>
    <t>ΚΑΤΣΙΦΑΡΙΑΝΑ ΧΑΝΙΩΝ</t>
  </si>
  <si>
    <t>ΙΚΑΡΟΥ 27</t>
  </si>
  <si>
    <t>16ο ΝΗΠΙΑΓΩΓΕΙΟ ΧΑΝΙΩΝ</t>
  </si>
  <si>
    <t>mail@16nip-chanion.chan.sch.gr</t>
  </si>
  <si>
    <t>ΑΝΑΓΝΩΣΤΟΥ ΜΑΝΤΑΚΑ 111</t>
  </si>
  <si>
    <t>mail@dim-vamvak.chan.sch.gr</t>
  </si>
  <si>
    <t>ΒΑΜΒΑΚΟΠΟΥΛΟ</t>
  </si>
  <si>
    <t>ΕΘΝΙΚΗΣ ΑΝΤΙΣΤΑΣΗΣ 17</t>
  </si>
  <si>
    <t>ΔΗΜΟΤΙΚΟ ΣΧΟΛΕΙΟ ΑΝΩΠΟΛΗΣ</t>
  </si>
  <si>
    <t>mail@dim-an-polis.chan.sch.gr</t>
  </si>
  <si>
    <t>mail@dim-choras.chan.sch.gr</t>
  </si>
  <si>
    <t>13dimchacha@sch.gr</t>
  </si>
  <si>
    <t>4ο ΔΗΜΟΤΙΚΟ ΣΧΟΛΕΙΟ ΧΑΝΙΩΝ</t>
  </si>
  <si>
    <t>mail@4dim-chanion.chan.sch.gr</t>
  </si>
  <si>
    <t>ΠΛ. ΑΡΚΑΔΙΟΥ</t>
  </si>
  <si>
    <t>ΝΗΠΙΑΓΩΓΕΙΟ ΒΡΥΣΩΝ ΑΠΟΚΟΡΩΝΟΥ</t>
  </si>
  <si>
    <t>nipvrysonchan@sch.gr</t>
  </si>
  <si>
    <t>ΒΡΥΣΩΝ ΑΠΟΚΟΡΩΝΟΥ</t>
  </si>
  <si>
    <t>ΕΜΠΡΟΣΝΕΡΟΥ</t>
  </si>
  <si>
    <t>ΝΗΠΙΑΓΩΓΕΙΟ ΕΜΠΡΟΣΝΕΡΟΥ</t>
  </si>
  <si>
    <t>mail@nip-empros.chan.sch.gr</t>
  </si>
  <si>
    <t>ΕΜΠΡΟΣΝΕΡΟΣ ΑΠΟΚΟΡΩΝΟΥ ΧΑΝΙΩΝ</t>
  </si>
  <si>
    <t>22ο ΝΗΠΙΑΓΩΓΕΙΟ ΧΑΝΙΩΝ</t>
  </si>
  <si>
    <t>mail@22nip-chanion.chan.sch.gr</t>
  </si>
  <si>
    <t>ΒΑΣΙΛΗ ΠΟΘΟΥΛΑΚΗ 3</t>
  </si>
  <si>
    <t>18ο ΔΗΜΟΤΙΚΟ ΣΧΟΛΕΙΟ ΧΑΝΙΩΝ</t>
  </si>
  <si>
    <t>mail@18dim-chanion.chan.sch.gr</t>
  </si>
  <si>
    <t>ΤΑΥΡΩΝΙΤΟΥ</t>
  </si>
  <si>
    <t>ΝΗΠΙΑΓΩΓΕΙΟ ΤΑΥΡΩΝΙΤΗ</t>
  </si>
  <si>
    <t>mail@nip-tavron.chan.sch.gr</t>
  </si>
  <si>
    <t>ΤΑΥΡΩΝΙΤΗ</t>
  </si>
  <si>
    <t>ΤΑΥΡΩΝΙΤΗΣ</t>
  </si>
  <si>
    <t>10ο ΔΗΜΟΤΙΚΟ ΣΧΟΛΕΙΟ ΧΑΝΙΩΝ</t>
  </si>
  <si>
    <t>mail@10dim-chanion.chan.sch.gr</t>
  </si>
  <si>
    <t>ΡΩΜΑΝΟΥ 3</t>
  </si>
  <si>
    <t>2ο ΔΗΜΟΤΙΚΟ ΣΧΟΛΕΙΟ ΣΟΥΔΑΣ</t>
  </si>
  <si>
    <t>mail@2dim-soudas.chan.sch.gr</t>
  </si>
  <si>
    <t>ΣΟΥΔΑ</t>
  </si>
  <si>
    <t>ΚΥΔΩΝΙΑΣ 1</t>
  </si>
  <si>
    <t>4ο ΝΗΠΙΑΓΩΓΕΙΟ ΚΙΣΑΜΟΥ</t>
  </si>
  <si>
    <t>mail@4nip-kisam.chan.sch.gr</t>
  </si>
  <si>
    <t>ΚΙΣΑΜΟΥ</t>
  </si>
  <si>
    <t>ΝΗΠΙΑΓΩΓΕΙΟ ΠΛΑΤΑΝΟΥ ΧΑΝΙΩΝ</t>
  </si>
  <si>
    <t>mail@nip-platan.chan.sch.gr</t>
  </si>
  <si>
    <t>ΠΛΑΤΑΝΟΣ ΚΙΣΑΜΟΥ</t>
  </si>
  <si>
    <t>mail@1dim-soudas.chan.sch.gr</t>
  </si>
  <si>
    <t>Σούδα</t>
  </si>
  <si>
    <t>Εθνάρχου Βενιζέλου 142</t>
  </si>
  <si>
    <t>ΝΗΠΙΑΓΩΓΕΙΟ ΑΛΙΚΙΑΝΟΥ</t>
  </si>
  <si>
    <t>mail@1nip-mousour.chan.sch.gr</t>
  </si>
  <si>
    <t>ΑΛΙΚΙΑΝΟΣ ΧΑΝΙΩΝ</t>
  </si>
  <si>
    <t>2ο ΝΗΠΙΑΓΩΓΕΙΟ ΚΙΣΑΜΟΥ</t>
  </si>
  <si>
    <t>mail@2nip-kisam.chan.sch.gr</t>
  </si>
  <si>
    <t>ΟΜΟΓΕΝΩΝ ΑΜΕΡΙΚΗΣ</t>
  </si>
  <si>
    <t>1ο ΕΙΔΙΚΟ ΝΗΠΙΑΓΩΓΕΙΟ ΧΑΝΙΩΝ</t>
  </si>
  <si>
    <t>mail@1nip-eid-chanion.chan.sch.gr</t>
  </si>
  <si>
    <t>ΓΕΡΑΣΙΜΟΥ ΣΦΑΚΙΩΤΑΚΗ 5</t>
  </si>
  <si>
    <t>ΣΠΗΛΙΑΣ</t>
  </si>
  <si>
    <t>ΝΗΠΙΑΓΩΓΕΙΟ ΣΠΗΛΙΑΣ</t>
  </si>
  <si>
    <t>mail@nip-spilias.chan.sch.gr</t>
  </si>
  <si>
    <t>ΣΠΗΛΙΑ ΠΛΑΤΑΝΙΑ</t>
  </si>
  <si>
    <t>1ο ΝΗΠΙΑΓΩΓΕΙΟ ΚΟΥΝΟΥΠΙΔΙΑΝΩΝ</t>
  </si>
  <si>
    <t>mail@1nip-akrot.chan.sch.gr</t>
  </si>
  <si>
    <t xml:space="preserve"> ΚΟΥΝΟΥΠΙΔΙΑΝΩΝ</t>
  </si>
  <si>
    <t>ΚΑΖΑΝΤΖΑΚΗ 3</t>
  </si>
  <si>
    <t>ΓΡΑΜΒΟΥΣΗΣ</t>
  </si>
  <si>
    <t>ΝΗΠΙΑΓΩΓΕΙΟ ΓΡΑΜΒΟΥΣΑΣ</t>
  </si>
  <si>
    <t>mail@nip-gramv.chan.sch.gr</t>
  </si>
  <si>
    <t>ΓΡΑΜΒΟΥΣΑ ΚΙΣΣΑΜΟΥ</t>
  </si>
  <si>
    <t>2ο ΝΗΠΙΑΓΩΓΕΙΟ ΚΟΥΝΟΥΠΙΔΙΑΝΩΝ</t>
  </si>
  <si>
    <t>mail@2nip-akrot.chan.sch.gr</t>
  </si>
  <si>
    <t>9η Πάροδος ΑΓ. ΟΝΟΥΦΡΙΟΥ</t>
  </si>
  <si>
    <t>11ο ΝΗΠΙΑΓΩΓΕΙΟ ΧΑΝΙΩΝ</t>
  </si>
  <si>
    <t>mail@11nip-chanion.chan.sch.gr</t>
  </si>
  <si>
    <t>ΦΡΟΥΔΙΑ ΧΑΛΕΠΑΣ</t>
  </si>
  <si>
    <t>10ο ΝΗΠΙΑΓΩΓΕΙΟ ΧΑΝΙΩΝ</t>
  </si>
  <si>
    <t>mail@10nip-chanion.chan.sch.gr</t>
  </si>
  <si>
    <t>7ο ΝΗΠΙΑΓΩΓΕΙΟ ΧΑΝΙΩΝ</t>
  </si>
  <si>
    <t>mail@7nip-chanion.chan.sch.gr</t>
  </si>
  <si>
    <t>ΝΙΚΗΦΟΡΟΥ ΦΩΚΑ 5</t>
  </si>
  <si>
    <t>3ο ΝΗΠΙΑΓΩΓΕΙΟ ΚΙΣΑΜΟΥ</t>
  </si>
  <si>
    <t>mail@3nip-kisam.chan.sch.gr</t>
  </si>
  <si>
    <t>mail@2dim-mourn.chan.sch.gr</t>
  </si>
  <si>
    <t>Μουρνιές</t>
  </si>
  <si>
    <t>1ο ΝΗΠΙΑΓΩΓΕΙΟ ΚΙΣΑΜΟΥ</t>
  </si>
  <si>
    <t>mail@1nip-kisam.chan.sch.gr</t>
  </si>
  <si>
    <t>mail@dim-chrys.chan.sch.gr</t>
  </si>
  <si>
    <t>ΧΡΥΣΟΠΗΓΗΣ 144</t>
  </si>
  <si>
    <t>ΝΗΠΙΑΓΩΓΕΙΟ ΚΟΛΥΜΒΑΡΙΟΥ</t>
  </si>
  <si>
    <t>mail@nip-kolymv.chan.sch.gr</t>
  </si>
  <si>
    <t>2ο ΝΗΠΙΑΓΩΓΕΙΟ ΝΕΑΣ ΚΥΔΩΝΙΑΣ</t>
  </si>
  <si>
    <t>mail@2nip-n-kydon.chan.sch.gr</t>
  </si>
  <si>
    <t>ΕΛ. ΓΙΑΚΟΥΜΑΚΗ</t>
  </si>
  <si>
    <t>3ο ΝΗΠΙΑΓΩΓΕΙΟ ΚΟΥΝΟΥΠΙΔΙΑΝΩΝ</t>
  </si>
  <si>
    <t>mail@3nip-kounoup.chan.sch.gr</t>
  </si>
  <si>
    <t>ΚΑΛΑΘΑΣ- ΑΚΡΩΤΗΡΙΟΥ</t>
  </si>
  <si>
    <t>ΚΑΛΑΘΑΣ</t>
  </si>
  <si>
    <t>ΣΤΑΛΟΥ</t>
  </si>
  <si>
    <t>4ο ΝΗΠΙΑΓΩΓΕΙΟ ΝΕΑΣ ΚΥΔΩΝΙΑΣ - ΣΤΑΛΟΥ ΧΑΝΙΩΝ</t>
  </si>
  <si>
    <t>mail@4nip-n-kydon.chan.sch.gr</t>
  </si>
  <si>
    <t>ΣΤΑΛΟΣ</t>
  </si>
  <si>
    <t>1ο ΕΙΔΙΚΟ ΔΗΜΟΤΙΚΟ ΣΧΟΛΕΙΟ ΧΑΝΙΑ</t>
  </si>
  <si>
    <t>1dimeidc@sch.gr</t>
  </si>
  <si>
    <t>ΓΕΡ. ΣΦΑΚΙΩΤΑΚΗ 5</t>
  </si>
  <si>
    <t>2ο ΝΗΠΙΑΓΩΓΕΙΟ ΠΑΛΑΙΟΧΩΡΑΣ</t>
  </si>
  <si>
    <t>mail@2nip-palaioch.chan.sch.gr</t>
  </si>
  <si>
    <t>ΒΟΥΤΑ</t>
  </si>
  <si>
    <t>ΝΗΠΙΑΓΩΓΕΙΟ ΚΟΥΝΤΟΥΡΑΣ</t>
  </si>
  <si>
    <t>mail@nip-kount.chan.sch.gr</t>
  </si>
  <si>
    <t>ΚΟΥΝΤΟΥΡΑΣ ΣΕΛΙΝΟΥ</t>
  </si>
  <si>
    <t>ΚΟΥΝΤΟΥΡΑ</t>
  </si>
  <si>
    <t>mail@dim-kantan.chan.sch.gr</t>
  </si>
  <si>
    <t xml:space="preserve">ΚΑΝΤΑΝΟΣ </t>
  </si>
  <si>
    <t>mail@3dim-chanion.chan.sch.gr</t>
  </si>
  <si>
    <t>mail@dim-vryson.chan.sch.gr</t>
  </si>
  <si>
    <t>ΒΡΥΣΕΣ</t>
  </si>
  <si>
    <t>ΝΗΠΙΑΓΩΓΕΙΟ ΓΕΩΡΓΙΟΥΠΟΛΗΣ</t>
  </si>
  <si>
    <t>mail@1nip-georg.chan.sch.gr</t>
  </si>
  <si>
    <t>ΓΕΩΡΓΙΟΥΠΟΛΗΣ</t>
  </si>
  <si>
    <t>ΓΕΩΡΓΙΟΥΠΟΛΗ ΧΑΝΙΩΝ</t>
  </si>
  <si>
    <t>8ο ΔΗΜΟΤΙΚΟ ΣΧΟΛΕΙΟ ΧΑΝΙΩΝ</t>
  </si>
  <si>
    <t>8dimchancha@sch.gr</t>
  </si>
  <si>
    <t>ΔΡΑΠΑΝΙΑ</t>
  </si>
  <si>
    <t>ΔΗΜΟΤΙΚΟ ΣΧΟΛΕΙΟ ΔΡΑΠΑΝΙΑ</t>
  </si>
  <si>
    <t>mail@dim-drapan.chan.sch.gr</t>
  </si>
  <si>
    <t>ΔΡΑΠΑΝΙΑΣ</t>
  </si>
  <si>
    <t>mail@2dim-kisam.chan.sch.gr</t>
  </si>
  <si>
    <t>mail@5dim-chanion.chan.sch.gr</t>
  </si>
  <si>
    <t>ΔΗΜΟΤΙΚΟ ΣΧΟΛΕΙΟ ΓΡΑΜΒΟΥΣΑΣ</t>
  </si>
  <si>
    <t>mail@dim-gramv.chan.sch.gr</t>
  </si>
  <si>
    <t>ΓΡΑΜΒΟΥΣΑ</t>
  </si>
  <si>
    <t>ΓΡΑΜΒΟΥΣΑ ΚΙΣΑΜΟΥ</t>
  </si>
  <si>
    <t>5ο ΝΗΠΙΑΓΩΓΕΙΟ ΚΙΣΑΜΟΥ</t>
  </si>
  <si>
    <t>mail@5nip-kissam.chan.sch.gr</t>
  </si>
  <si>
    <t>ΔΗΜΟΤΙΚΟ ΣΧΟΛΕΙΟ ΡΟΔΟΒΑΝΙΟΥ</t>
  </si>
  <si>
    <t>mail@dim-rodov.chan.sch.gr</t>
  </si>
  <si>
    <t>ΡΟΔΟΒΑΝΙ</t>
  </si>
  <si>
    <t>ΔΗΜΟΤΙΚΟ ΣΧΟΛΕΙΟ ΣΦΑΚΟΠΗΓΑΔΙΟΥ</t>
  </si>
  <si>
    <t>mail@dim-sfakop.chan.sch.gr</t>
  </si>
  <si>
    <t>ΣΦΑΚΟΠΗΓΑΔΙ,</t>
  </si>
  <si>
    <t>ΣΦΑΚΟΠΗΓΑΔΙ 73400</t>
  </si>
  <si>
    <t>mail@dim-palaioch.chan.sch.gr</t>
  </si>
  <si>
    <t>ΔΗΜΟΤΙΚΟ ΣΧΟΛΕΙΟ ΚΟΥΝΤΟΥΡΑΣ</t>
  </si>
  <si>
    <t>mail@1dim-pelek.chan.sch.gr</t>
  </si>
  <si>
    <t>ΔΗΜΟΤΙΚΟ ΣΧΟΛΕΙΟ ΠΛΑΤΑΝΟΥ ΚΙΣΑΜΟΥ</t>
  </si>
  <si>
    <t>mail@dim-platan.chan.sch.gr</t>
  </si>
  <si>
    <t>mail@dim-alikian.chan.sch.gr</t>
  </si>
  <si>
    <t>9ο ΔΗΜΟΤΙΚΟ ΣΧΟΛΕΙΟ ΧΑΝΙΩΝ</t>
  </si>
  <si>
    <t>9dimchancha@sch.gr</t>
  </si>
  <si>
    <t>1ο ΔΗΜΟΤΙΚΟ ΣΧΟΛΕΙΟ ΧΑΝΙΩΝ</t>
  </si>
  <si>
    <t>mail@1dim-chanion.chan.sch.gr</t>
  </si>
  <si>
    <t>Χανιά,</t>
  </si>
  <si>
    <t>ΑΝΑΠΑΥΣΕΩΣ 40-42</t>
  </si>
  <si>
    <t>ΔΗΜΟΤΙΚΟ ΣΧΟΛΕΙΟ ΜΑΛΕΜΕ</t>
  </si>
  <si>
    <t>mail@dim-malem.chan.sch.gr</t>
  </si>
  <si>
    <t>mail@7dim-chanion.chan.sch.gr</t>
  </si>
  <si>
    <t>ΝΙΚΗΦΟΡΟΥ ΦΩΚΑ   5</t>
  </si>
  <si>
    <t>ΝΕΟΥ ΧΩΡΙΟΥ</t>
  </si>
  <si>
    <t>ΔΗΜΟΤΙΚΟ ΣΧΟΛΕΙΟ ΝΕΟΥ ΧΩΡΙΟΥ</t>
  </si>
  <si>
    <t>mail@dim-n-choriou.chan.sch.gr</t>
  </si>
  <si>
    <t>ΝΕΟ ΧΩΡΙΟ</t>
  </si>
  <si>
    <t>19ο ΔΗΜΟΤΙΚΟ ΣΧΟΛΕΙΟ ΧΑΝΙΩΝ</t>
  </si>
  <si>
    <t>19dimchacha@sch.gr</t>
  </si>
  <si>
    <t>Ι. ΓΕΩΡΓΑΚΑΚΗ 10</t>
  </si>
  <si>
    <t>ΔΗΜΟΤΙΚΟ ΣΧΟΛΕΙΟ ΤΣΙΚΑΛΑΡΙΩΝ</t>
  </si>
  <si>
    <t>mail@dim-tsikal.chan.sch.gr</t>
  </si>
  <si>
    <t>ΤΣΙΚΑΛΑΡΙΑ ΧΑΝΙΩΝ</t>
  </si>
  <si>
    <t>ΤΣΙΚΑΛΑΡΙΑ ΣΟΥΔΑΣ ΧΑΝΙΩΝ</t>
  </si>
  <si>
    <t>ΔΗΜΟΤΙΚΟ ΣΧΟΛΕΙΟ ΤΑΥΡΩΝΙΤΗ</t>
  </si>
  <si>
    <t>mail@dim-tavron.chan.sch.gr</t>
  </si>
  <si>
    <t>ΕΠΙΣΚΟΠΟΥ ΕΙΡΗΝΑΙΟΥ ΓΑΛΑΝΑΚΗ 10</t>
  </si>
  <si>
    <t>16ο ΔΗΜΟΤΙΚΟ ΣΧΟΛΕΙΟ ΧΑΝΙΩΝ ΔΙΑΠΟΛΙΤΙΣΜΙΚΗΣ ΕΚΠΑΙΔΕΥΣΗΣ</t>
  </si>
  <si>
    <t>mail@16dim-diap-chanion.chan.sch.gr</t>
  </si>
  <si>
    <t>mail@dim-kolymv.chan.sch.gr</t>
  </si>
  <si>
    <t>15ο ΔΗΜΟΤΙΚΟ ΣΧΟΛΕΙΟ ΧΑΝΙΩΝ</t>
  </si>
  <si>
    <t>mail@15dim-chanion.chan.sch.gr</t>
  </si>
  <si>
    <t>ΔΗΜΟΤΙΚΟ ΣΧΟΛΕΙΟ ΓΕΡΑΝΙΟΥ ΧΑΝΙΩΝ</t>
  </si>
  <si>
    <t>mail@3dim-platan.chan.sch.gr</t>
  </si>
  <si>
    <t>ΔΗΜΟΤΙΚΟ ΣΧΟΛΕΙΟ ΠΑΖΙΝΟΥ</t>
  </si>
  <si>
    <t>dimpazichan@sch.gr</t>
  </si>
  <si>
    <t>ΠΑΖΙΝΟΣ ΑΚΡΩΤΗΡΙΟΥ</t>
  </si>
  <si>
    <t>ΔΗΜΟΤΙΚΟ ΣΧΟΛΕΙΟ ΣΤΕΡΝΩΝ</t>
  </si>
  <si>
    <t>mail@dim-stern.chan.sch.gr</t>
  </si>
  <si>
    <t>ΣΤΕΡΝΕΣ ΧΑΝΙΩΝ</t>
  </si>
  <si>
    <t>ΔΗΜΟΤΙΚΟ ΣΧΟΛΕΙΟ ΒΑΤΟΛΑΚΚΟΥ ΧΑΝΙΩΝ</t>
  </si>
  <si>
    <t>mail@dim-vatol.chan.sch.gr</t>
  </si>
  <si>
    <t>ΒΑΤΟΛΑΚΚΟΣ</t>
  </si>
  <si>
    <t>mail@1dim-kounoup.chan.sch.gr</t>
  </si>
  <si>
    <t>ΔΗΜΟΤΙΚΟ ΣΧΟΛΕΙΟ ΚΑΛΥΒΩΝ</t>
  </si>
  <si>
    <t>mail@dim-kalyv.chan.sch.gr</t>
  </si>
  <si>
    <t>mail@1dim-n-kydon.chan.sch.gr</t>
  </si>
  <si>
    <t>ΝΕΑ ΚΥΔΩΝΙΑ</t>
  </si>
  <si>
    <t>ΓΕΡΟΓΙΑΝΝΑΚΗΔΩΝ ΝΕΑΣ ΚΥΔΩΝΙΑΣ</t>
  </si>
  <si>
    <t>ΕΙΔΙΚΟ ΔΗΜΟΤΙΚΟ ΣΧΟΛΕΙΟ ΧΑΝΙΩΝ - ΕΙΔΙΚΟ ΔΗΜΟΤΙΚΟ ΣΧΟΛΕΙΟ ΓΙΑ ΑΥΤΙΣΤΙΚΑ ΠΑΙΔΙΑ</t>
  </si>
  <si>
    <t>mail@dim-eid-chanion.chan.sch.gr</t>
  </si>
  <si>
    <t>3ο  ΝΗΠΙΑΓΩΓΕΙΟ ΒΑΜΒΑΚΟΠΟΥΛΟΥ</t>
  </si>
  <si>
    <t>mail@3nip-vamvak.chan.sch.gr</t>
  </si>
  <si>
    <t>ΒΑΜΒΑΚΟΠΟΥΛΟ ΧΑΝΙΩΝ</t>
  </si>
  <si>
    <t>mail@17dim-chanion.chan.sch.gr</t>
  </si>
  <si>
    <t>ΠΑΧΙΑΝΑ ΧΑΝΙΩΝ</t>
  </si>
  <si>
    <t>ΔΗΜΟΤΙΚΟ ΣΧΟΛΕΙΟ ΕΜΠΡΟΣΝΕΡΟΥ</t>
  </si>
  <si>
    <t>mail@dim-empros.chan.sch.gr</t>
  </si>
  <si>
    <t>ΕΜΠΡΟΣΝΕΡΟ</t>
  </si>
  <si>
    <t>ΕΜΠΡΟΣΝΕΡΟ ΑΠΟΚΟΡΩΝΟΥ</t>
  </si>
  <si>
    <t>ΔΗΜΟΤΙΚΟ ΣΧΟΛΕΙΟ ΒΑΡΥΠΕΤΡΟΥ</t>
  </si>
  <si>
    <t>mail@dim-varyp.chan.sch.gr</t>
  </si>
  <si>
    <t>ΒΑΡΥΠΕΤΡΟ</t>
  </si>
  <si>
    <t>ΒΑΡΥΠΕΤΡΟ ΚΥΔΩΝΙΑΣ</t>
  </si>
  <si>
    <t>mail@12dim-chanion.chan.sch.gr</t>
  </si>
  <si>
    <t>ΔΗΜΟΤΙΚΟ ΣΧΟΛΕΙΟ ΧΩΡΑΦΑΚΙΩΝ</t>
  </si>
  <si>
    <t>mail@4dim-akrot.chan.sch.gr</t>
  </si>
  <si>
    <t>ΤΖΑΜΑΡΙΔΑΚΗ &amp; ΧΩΡΑΦΑ ΓΩΝΙΑ</t>
  </si>
  <si>
    <t>mail@11dim-chanion.chan.sch.gr</t>
  </si>
  <si>
    <t>Xανιά,</t>
  </si>
  <si>
    <t>Γ. ΣΕΪΜΕΝΗ ΦΡΟΥΔΙΑ ΧΑΛΕΠΑΣ</t>
  </si>
  <si>
    <t>14ο ΔΗΜΟΤΙΚΟ ΣΧΟΛΕΙΟ ΧΑΝΙΩΝ</t>
  </si>
  <si>
    <t>14dimcha@sch.gr</t>
  </si>
  <si>
    <t>ΟΥΕΛΙΝΓΚΤΟΝ 25</t>
  </si>
  <si>
    <t>ΔΗΜΟΤΙΚΟ ΣΧΟΛΕΙΟ ΣΚΙΝΕ - ΦΟΥΡΝΕ</t>
  </si>
  <si>
    <t>mail@dim-fourn.chan.sch.gr</t>
  </si>
  <si>
    <t>ΣΚΙΝΕΣ - ΦΟΥΡΝΕΣ</t>
  </si>
  <si>
    <t>ΣΚΙΝΕΣ-ΦΟΥΡΝΕΣ ΧΑΝΙΩΝ</t>
  </si>
  <si>
    <t>ΝΗΠΙΑΓΩΓΕΙΟ ΣΤΕΡΝΩΝ ΑΚΡΩΤΗΡΙΟΥ</t>
  </si>
  <si>
    <t>mail@3nip-akrot.chan.sch.gr</t>
  </si>
  <si>
    <t>ΔΕΚΑ ΕΚΤΕΛΕΣΘΕΝΤΩΝ</t>
  </si>
  <si>
    <t>2ο ΔΗΜΟΤΙΚΟ ΣΧΟΛΕΙΟ ΚΟΥΝΟΥΠΙΔΙΑΝΩΝ</t>
  </si>
  <si>
    <t>mail@2dim-kounoup.chan.sch.gr</t>
  </si>
  <si>
    <t>Κουνουπιδιανά ,</t>
  </si>
  <si>
    <t>ΚΟΥΝΟΥΠΙΔΙΑΝΑ-ΑΓ.ΟΝΟΥΦΡΙΟΣ</t>
  </si>
  <si>
    <t>6ο ΔΗΜΟΤΙΚΟ ΣΧΟΛΕΙΟ ΧΑΝΙΩΝ</t>
  </si>
  <si>
    <t>mail@6dim-chanion.chan.sch.gr</t>
  </si>
  <si>
    <t>ΠΑΤΡ. ΙΩΑΝΝΙΚΕΙΟΥ</t>
  </si>
  <si>
    <t>ΕΙΔΙΚΟ ΝΗΠΙΑΓΩΓΕΙΟ ΧΑΝΙΩΝ - ΕΙΔΙΚΟ ΑΥΤΙΣΤΙΚΩΝ</t>
  </si>
  <si>
    <t>mail@nip-eid-chanion.chan.sch.gr</t>
  </si>
  <si>
    <t>mail@1dim-platan.chan.sch.gr</t>
  </si>
  <si>
    <t>ΙΝΑΧΩΡΙΟΥ</t>
  </si>
  <si>
    <t>ΕΛΟΥΣ</t>
  </si>
  <si>
    <t>ΔΗΜΟΤΙΚΟ ΣΧΟΛΕΙΟ ΕΛΟΥΣ</t>
  </si>
  <si>
    <t>mail@dim-elous.chan.sch.gr</t>
  </si>
  <si>
    <t>ΕΛΟΣ</t>
  </si>
  <si>
    <t>2ο ΕΙΔΙΚΟ ΔΗΜΟΤΙΚΟ ΣΧΟΛΕΙΟ ΧΑΝΙΩΝ</t>
  </si>
  <si>
    <t>mail@2dim-eid-chan.chan.sch.gr</t>
  </si>
  <si>
    <t xml:space="preserve"> ΧΑΝΙΑ</t>
  </si>
  <si>
    <t>4ο ΝΗΠΙΑΓΩΓΕΙΟ ΚΟΥΝΟΥΠΙΔΙΑΝΩΝ</t>
  </si>
  <si>
    <t>mail@4nip-kounoup.chan.sch.gr</t>
  </si>
  <si>
    <t>ΠΙΘΑΡΙ</t>
  </si>
  <si>
    <t>ΝΗΠΙΑΓΩΓΕΙΟ ΕΛΟΥΣ</t>
  </si>
  <si>
    <t>mail@nip-elous.chan.sch.gr</t>
  </si>
  <si>
    <t>ΕΛΟΣ ΙΝΝΑΧΩΡΙΟΥ</t>
  </si>
  <si>
    <t>ΔΗΜΟΤΙΚΟ ΕΙΔΙΚΗΣ ΑΓΩΓΗΣ ΚΩΦΩΝ-ΒΑΡΗΚΟΩΝ Ε.Ι.Κ. ΚΡΗΤΗΣ</t>
  </si>
  <si>
    <t>2ο ΝΗΠΙΑΓΩΓΕΙΟ ΤΣΙΚΑΛΑΡΙΩΝ</t>
  </si>
  <si>
    <t>mail@2nip-tsikal.chan.sch.gr</t>
  </si>
  <si>
    <t>ΤΣΙΚΑΛΑΡΙΑ ΣΟΥΔΑΣ</t>
  </si>
  <si>
    <t>37ο ΝΗΠΙΑΓΩΓΕΙΟ ΧΑΝΙΩΝ</t>
  </si>
  <si>
    <t>mail@37nip-chanion.chan.sch.gr</t>
  </si>
  <si>
    <t>5ο ΝΗΠΙΑΓΩΓΕΙΟ ΚΟΥΝΟΥΠΙΔΙΑΝΩΝ</t>
  </si>
  <si>
    <t>mail@5nip-kounoup.chan.sch.gr</t>
  </si>
  <si>
    <t>ΠΛΑΚΟΥΡΕΣ</t>
  </si>
  <si>
    <t>5ο ΝΗΠΙΑΓΩΓΕΙΟ ΝΕΑΣ ΚΥΔΩΝΙΑΣ</t>
  </si>
  <si>
    <t>mail@5nip-n-kydon-dar.chan.sch.gr</t>
  </si>
  <si>
    <t>ΣΦΑΚΙΩΝ-ΔΑΡΑΤΣΟ</t>
  </si>
  <si>
    <t>35ο ΝΗΠΙΑΓΩΓΕΙΟ ΧΑΝΙΩΝ</t>
  </si>
  <si>
    <t>mail@35nip-chanion.chan.sch.gr</t>
  </si>
  <si>
    <t>Μ.ΑΛΕΞΑΝΔΡΟΥ 18</t>
  </si>
  <si>
    <t>ΕΙΔΙΚΟ ΔΗΜΟΤΙΚΟ ΣΧΟΛΕΙΟ ΧΑΝΙΑ - ΚΕΝΤΡΟ ΑΠΟΚΑΤΑΣΤΑΣΗΣ ΠΑΙΔΙΩΝ ΚΑΙ ΝΕΩΝ ΚΡΗΤΗΣ</t>
  </si>
  <si>
    <t>dimkapnk@sch.gr</t>
  </si>
  <si>
    <t>ΑΠΟΚΟΡΩΝΟΥ 166</t>
  </si>
  <si>
    <t>ΕΙΔΙΚΟ ΝΗΠΙΑΓΩΓΕΙΟ ΧΑΝΙΩΝ - ΚΕΝΤΡΟ ΑΠΟΚΑΤΑΣΤΑΣΗΣ ΠΑΙΔΙΩΝ ΚΑΙ ΝΕΩΝ ΚΡΗΤΗΣ</t>
  </si>
  <si>
    <t>mail@nip-kapnk.chan.sch.gr</t>
  </si>
  <si>
    <t>27ο ΝΗΠΙΑΓΩΓΕΙΟ ΧΑΝΙΩΝ</t>
  </si>
  <si>
    <t>mail@27nip-chanion.chan.sch.gr</t>
  </si>
  <si>
    <t>5ο ΝΗΠΙΑΓΩΓΕΙΟ ΜΟΥΡΝΙΩΝ</t>
  </si>
  <si>
    <t>mail@5nip-mourn.chan.sch.gr</t>
  </si>
  <si>
    <t>3ο ΔΗΜΟΤΙΚΟ ΣΧΟΛΕΙΟ ΚΟΥΝΟΥΠΙΔΙΑΝΩΝ</t>
  </si>
  <si>
    <t>6ο ΝΗΠΙΑΓΩΓΕΙΟ ΝΕΑΣ ΚΥΔΩΝΙΑΣ</t>
  </si>
  <si>
    <t>mail@6nip-n-kydon.chan.sch.gr</t>
  </si>
  <si>
    <t>38ο ΝΗΠΙΑΓΩΓΕΙΟ ΧΑΝΙΩΝ</t>
  </si>
  <si>
    <t>mail@38nip-chanion.chan.sch.gr</t>
  </si>
  <si>
    <t>ΜΑΚΕΔΟΝΟΜΑΧΩΝ 46</t>
  </si>
  <si>
    <t>2ο ΔΗΜΟΤΙΚΟ ΣΧΟΛΕΙΟ ΧΡΥΣΟΠΗΓΗΣ</t>
  </si>
  <si>
    <t>ΧΑΛΕΠΑ</t>
  </si>
  <si>
    <t>ΠΕΡΙΦΕΡΕΙΑΚΗ Δ/ΝΣΗ Α/ΘΜΙΑΣ ΚΑΙ Β/ΘΜΙΑΣ ΕΚΠ/ΣΗΣ ΝΟΤΙΟΥ ΑΙΓΑΙΟΥ</t>
  </si>
  <si>
    <t>ΡΟΔΟΥ</t>
  </si>
  <si>
    <t>ΚΕΝΤΡΟ ΕΚΠΑΙΔΕΥΤΙΚΗΣ ΚΑΙ ΣΥΜΒΟΥΛΕΥΤΙΚΗΣ ΥΠΟΣΤΗΡΙΞΗΣ Κ.Ε.Σ.Υ. ΡΟΔΟΥ</t>
  </si>
  <si>
    <t>kesyrodou@sch.gr</t>
  </si>
  <si>
    <t xml:space="preserve"> ΡΟΔΟΣ</t>
  </si>
  <si>
    <t>ΑΜΣΤΕΡΝΤΑΜ 6</t>
  </si>
  <si>
    <t>ΣΥΡΟΥ</t>
  </si>
  <si>
    <t>ΣΥΡΟΥ-ΕΡΜΟΥΠΟΛΗΣ</t>
  </si>
  <si>
    <t>ΕΡΜΟΥΠΟΛΕΩΣ</t>
  </si>
  <si>
    <t>ΚΕΣΥ ΣΥΡΟΥ</t>
  </si>
  <si>
    <t>kesysrou@sch.gr</t>
  </si>
  <si>
    <t>ΣΥΡΟΣ</t>
  </si>
  <si>
    <t>ΓΕΩΡΓΙΟΥ ΠΑΠΑΝΔΡΕΟΥ 1</t>
  </si>
  <si>
    <t>ΚΑΛΥΜΝΟΥ</t>
  </si>
  <si>
    <t>ΚΑΛΥΜΝΙΩΝ</t>
  </si>
  <si>
    <t>Κ.Ε.Σ.Υ.  ΚΑΛΥΜΝΟΥ</t>
  </si>
  <si>
    <t>mail@kesy-kalymn.dod.sch.gr</t>
  </si>
  <si>
    <t>Αγίου Αθανασίου</t>
  </si>
  <si>
    <t>Ενορία Αγίου Αθανασίου, Κάλυμνος</t>
  </si>
  <si>
    <t>ΚΩ</t>
  </si>
  <si>
    <t>ΔΙΚΑΙΟΥ</t>
  </si>
  <si>
    <t>ΑΣΦΕΝΔΙΟΥ</t>
  </si>
  <si>
    <t>ΚΕΣΥ ΚΩ</t>
  </si>
  <si>
    <t>kesyko@sch.gr</t>
  </si>
  <si>
    <t>Ζηπάρι - Κω</t>
  </si>
  <si>
    <t>Σμύρνης &amp; Εμ. Κιαπόκα Ζηπάρι - Κω</t>
  </si>
  <si>
    <t>ΝΑΞΟΥ &amp; ΜΙΚΡΩΝ ΚΥΚΛΑΔΩΝ</t>
  </si>
  <si>
    <t>ΕΓΓΑΡΩΝ</t>
  </si>
  <si>
    <t>ΚΕΣΥ ΝΑΞΟΥ</t>
  </si>
  <si>
    <t>kesynaxou@sch.gr</t>
  </si>
  <si>
    <t>Εγγαρών</t>
  </si>
  <si>
    <t>Εγγαρές Νάξου (Κτήριο Δημοτικού Σχολείου)</t>
  </si>
  <si>
    <t>ΔΙΕΥΘΥΝΣΗ Δ.Ε. ΔΩΔΕΚΑΝΗΣΟΥ</t>
  </si>
  <si>
    <t>3ο ΗΜΕΡΗΣΙΟ ΓΥΜΝΑΣΙΟ ΚΑΛΥΜΝΟΣ</t>
  </si>
  <si>
    <t>mail@3gym-kalymn.dod.sch.gr</t>
  </si>
  <si>
    <t>ΚΑΛΥΜΝΟΣ</t>
  </si>
  <si>
    <t>ΧΩΡΑ - ΚΑΛΥΜΝΟΣ</t>
  </si>
  <si>
    <t>1ο ΔΗΜΟΤΙΚΟ ΣΧΟΛΕΙΟ ΧΩΡΑΣ ΚΑΛΥΜΝΟΥ</t>
  </si>
  <si>
    <t>ΝΙΣΥΡΟΥ</t>
  </si>
  <si>
    <t>ΜΑΝΔΡΑΚΙΟΥ</t>
  </si>
  <si>
    <t>ΗΜΕΡΗΣΙΟ ΓΥΜΝΑΣΙΟ ΝΙΣΥΡΟΣ</t>
  </si>
  <si>
    <t>mail@gym-nisyr.dod.sch.gr</t>
  </si>
  <si>
    <t>ΝΙΣΥΡΟΣ</t>
  </si>
  <si>
    <t>ΜΑΝΔΡΑΚΙ</t>
  </si>
  <si>
    <t>ΜΑΝΔΡΑΚΙ ΝΙΣΥΡΟΥ</t>
  </si>
  <si>
    <t>6/Θ ΔΗΜΟΤΙΚΟ ΣΧΟΛΕΙΟ ΜΑΝΔΡΑΚΙΟΥ ΝΙΣΥΡΟΥ</t>
  </si>
  <si>
    <t>ΓΕΝΙΚΟ ΛΥΚΕΙΟ ΑΡΧΑΓΓΕΛΟΥ</t>
  </si>
  <si>
    <t>mail@lyk-archang.dod.sch.gr</t>
  </si>
  <si>
    <t>Αρχάγγελος</t>
  </si>
  <si>
    <t>Πλατεία Ηρώων</t>
  </si>
  <si>
    <t>2ο ΔΗΜΟΤΙΚΟ ΣΧΟΛΕΙΟ ΑΡΧΑΓΓΕΛΟΥ ΡΟΔΟΥ</t>
  </si>
  <si>
    <t>ΚΑΡΠΑΘΟΥ</t>
  </si>
  <si>
    <t>ΗΜΕΡΗΣΙΟ ΓΥΜΝΑΣΙΟ ΑΠΕΡΙΟΥ ΚΑΡΠΑΘΟΥ</t>
  </si>
  <si>
    <t>mail@gym-aperiou.dod.sch.gr</t>
  </si>
  <si>
    <t>ΑΠΕΡΙΟΥ ΚΑΡΠΑΘΟΥ</t>
  </si>
  <si>
    <t>ΑΠΕΡΙ ΚΑΡΠΑΘΟΥ - ΚΑΡΠΑΘΟΣ</t>
  </si>
  <si>
    <t>ΑΠΕΡΙ ΚΑΡΠΑΘΟΥ</t>
  </si>
  <si>
    <t>ΔΗΜΟΤΙΚΟ ΣΧΟΛΕΙΟ ΑΠΕΡΙ ΚΑΡΠΑΘΟΥ</t>
  </si>
  <si>
    <t>ΕΣΠΕΡΙΝΟ ΓΕΝΙΚΟ ΛΥΚΕΙΟ ΡΟΔΟΥ - ΒΕΝΕΤΟΚΛΕΙΟ</t>
  </si>
  <si>
    <t>lykespro@sch.gr</t>
  </si>
  <si>
    <t xml:space="preserve">ΡΟΔΟΣ </t>
  </si>
  <si>
    <t>Κ. ΠΑΛΑΙΟΛΟΓΟΥ 11</t>
  </si>
  <si>
    <t>3ο ΔΗΜΟΤΙΚΟ ΣΧΟΛΕΙΟ ΡΟΔΟΥ</t>
  </si>
  <si>
    <t>ΕΕΕΕΚ ΡΟΔΟΣ - ΕΕΕΕΚ ΡΟΔΟΥ</t>
  </si>
  <si>
    <t>mail@eeeek-rodou.dod.sch.gr</t>
  </si>
  <si>
    <t>ΡΟΔΟΣ</t>
  </si>
  <si>
    <t>ΑΝΤΙΒΑΣΙΛΕΩΣ ΔΑΜΑΣΚΗΝΟΥ  102Β</t>
  </si>
  <si>
    <t>6ο ΔΗΜΟΤΙΚΟ ΣΧΟΛΕΙΟ ΠΟΛΕΩΣ ΡΟΔΟΥ</t>
  </si>
  <si>
    <t>ΣΥΜΗΣ</t>
  </si>
  <si>
    <t>1ο ΗΜΕΡΗΣΙΟ ΕΠΑΛ ΣΥΜΗΣ - ΕΠΑΛ ΣΥΜΗΣ</t>
  </si>
  <si>
    <t>mail@1epal-symis.dod.sch.gr</t>
  </si>
  <si>
    <t>ΑΝΔΡΕΑ ΔΙΑΚΟΜΙΧΑΛΗ</t>
  </si>
  <si>
    <t>1ο ΔΗΜΟΤΙΚΟ ΣΧΟΛΕΙΟ ΣΥΜΗΣ</t>
  </si>
  <si>
    <t>ΛΕΙΨΩΝ</t>
  </si>
  <si>
    <t>ΗΜΕΡΗΣΙΟ ΓΥΜΝΑΣΙΟ ΛΕΙΨΩΝ - ΓΥΜΝΑΣΙΟ Λ.Τ ΛΕΙΨΩΝ</t>
  </si>
  <si>
    <t>mail@gym-leips.dod.sch.gr</t>
  </si>
  <si>
    <t>ΛΕΙΨΟΙ</t>
  </si>
  <si>
    <t>ΟΛΟΗΜΕΡΟ ΔΗΜΟΤΙΚΟ ΣΧΟΛΕΙΟ ΛΕΙΨΩΝ - ΕΞΑΘΕΣΙΟ ΔΗΜΟΤΙΚΟ ΣΧΟΛΕΙΟ</t>
  </si>
  <si>
    <t>1ο ΗΜΕΡΗΣΙΟ ΓΕΝΙΚΟ ΛΥΚΕΙΟ ΚΩ  "ΙΠΠΟΚΡΑΤΕΙΟ"</t>
  </si>
  <si>
    <t>mail@1lyk-ko.dod.sch.gr</t>
  </si>
  <si>
    <t>ΚΩΣ</t>
  </si>
  <si>
    <t>ΙΠΠΟΚΡΑΤΟΥΣ 36</t>
  </si>
  <si>
    <t>7ο ΔΗΜΟΤΙΚΟ ΣΧΟΛΕΙΟ ΚΩ</t>
  </si>
  <si>
    <t>ΠΕΤΑΛΟΥΔΩΝ</t>
  </si>
  <si>
    <t>ΠΑΡΑΔΕΙΣΙΟΥ</t>
  </si>
  <si>
    <t>ΗΜΕΡΗΣΙΟ ΕΠΑΛ ΠΑΡΑΔΕΙΣΙΟΥ ΡΟΔΟΥ - ΕΠΑ.Λ ΠΑΡΑΔΕΙΣΙΟΥ</t>
  </si>
  <si>
    <t>mail@epal-parad.dod.sch.gr</t>
  </si>
  <si>
    <t>ΠΑΡΑΔΕΙΣΙ</t>
  </si>
  <si>
    <t>Ν. ΠΛΑΣΤΗΡΑ</t>
  </si>
  <si>
    <t>Παραδείσι</t>
  </si>
  <si>
    <t>ΔΗΜΟΤΙΚΟ ΣΧΟΛΕΙΟ ΠΑΡΑΔΕΙΣΙΟΥ ΡΟΔΟΥ</t>
  </si>
  <si>
    <t>ΛΕΡΟΥ</t>
  </si>
  <si>
    <t>1ο ΗΜΕΡΗΣΙΟ ΕΠΑΛ ΛΕΡΟΥ</t>
  </si>
  <si>
    <t>mail@1epal-lerou.dod.sch.gr</t>
  </si>
  <si>
    <t>ΛΕΡΟΣ</t>
  </si>
  <si>
    <t>ΝΑΥΑΡΧΟΥ ΕΥΑΓΓ ΔΑΝΙΗΛ ΛΑΚΚΙ ΛΕΡΟΣ</t>
  </si>
  <si>
    <t>ΔΗΜΟΤΙΚΟ ΣΧΟΛΕΙΟ ΛΑΚΚΙΟΥ ΛΕΡΟΥ</t>
  </si>
  <si>
    <t>ΙΑΛΥΣΟΥ</t>
  </si>
  <si>
    <t>ΙΑΛΥΣΟΥ (ΤΡΙΑΝΤΑ)</t>
  </si>
  <si>
    <t>ΗΜΕΡΗΣΙΟ ΓΕΝΙΚΟ ΛΥΚΕΙΟ ΙΑΛΥΣΟΥ ΡΟΔΟΥ</t>
  </si>
  <si>
    <t>mail@lyk-ialys.dod.sch.gr</t>
  </si>
  <si>
    <t>ΙΑΛΥΣΟΣ ΡΟΔΟΥ</t>
  </si>
  <si>
    <t>ΠΑΡΟΔΟΣ ΔΗΜΟΚΡΑΤΙΑΣ</t>
  </si>
  <si>
    <t>1ο ΔΗΜΟΤΙΚΟ ΣΧΟΛΕΙΟ ΙΑΛΥΣΟΣ ΡΟΔΟΥ</t>
  </si>
  <si>
    <t>2ο ΗΜΕΡΗΣΙΟ ΕΠΑΛ ΡΟΔΟΥ</t>
  </si>
  <si>
    <t>mail@2epal-rodou.dod.sch.gr</t>
  </si>
  <si>
    <t>ΑΓΙΟΙ ΑΠΟΣΤΟΛΟΙ</t>
  </si>
  <si>
    <t>17ο ΔΗΜΟΤΙΚΟ ΣΧΟΛΕΙΟ ΡΟΔΟΥ</t>
  </si>
  <si>
    <t>ΑΦΑΝΤΟΥ</t>
  </si>
  <si>
    <t>ΗΜΕΡΗΣΙΟ ΓΕΝΙΚΟ ΛΥΚΕΙΟ ΑΦΑΝΤΟΥ ΡΟΔΟΥ</t>
  </si>
  <si>
    <t>mail@lyk-afant.dod.sch.gr</t>
  </si>
  <si>
    <t>ΑΦΑΝΤΟΥ ΡΟΔΟΥ</t>
  </si>
  <si>
    <t>2ο ΔΗΜΟΤΙΚΟ ΣΧΟΛΕΙΟ ΑΦΑΝΤΟΥ ΡΟΔΟΥ</t>
  </si>
  <si>
    <t>ΑΠΕΡΙΟΥ</t>
  </si>
  <si>
    <t>ΗΜΕΡΗΣΙΟ ΓΕΝΙΚΟ ΛΥΚΕΙΟ ΑΠΕΡΙΟΥ</t>
  </si>
  <si>
    <t>mail@lyk-aperiou.dod.sch.gr</t>
  </si>
  <si>
    <t>ΚΑΡΠΑΘΟΣ</t>
  </si>
  <si>
    <t>ΑΠΕΡΙ</t>
  </si>
  <si>
    <t>ΚΡΕΜΑΣΤΗΣ</t>
  </si>
  <si>
    <t>ΗΜΕΡΗΣΙΟ ΓΕΝΙΚΟ ΛΥΚΕΙΟ ΚΡΕΜΑΣΤΗΣ ΡΟΔΟΥ - ΓΕΝΙΚΟ ΛΥΚΕΙΟ ΚΡΕΜΑΣΤΗΣ</t>
  </si>
  <si>
    <t>mail@lyk-kremast.dod.sch.gr</t>
  </si>
  <si>
    <t>ΚΡΕΜΑΣΤΗ ΡΟΔΟΥ</t>
  </si>
  <si>
    <t>ΠΑΠΑΓΙΑΝΝΗ 91</t>
  </si>
  <si>
    <t>1ο ΔΗΜΟΤΙΚΟ ΣΧΟΛΕΙΟ ΚΡΕΜΑΣΤΗΣ ΡΟΔΟΥ</t>
  </si>
  <si>
    <t>ΠΑΤΜΟΥ</t>
  </si>
  <si>
    <t>ΗΜΕΡΗΣΙΟ ΓΕΝΙΚΟ ΛΥΚΕΙΟ ΠΑΤΜΟΥ - ΓΕΝΝΕΙΟ</t>
  </si>
  <si>
    <t>mail@lyk-patmou.dod.sch.gr</t>
  </si>
  <si>
    <t>ΠΑΤΜΟΣ</t>
  </si>
  <si>
    <t>ΣΚΑΛΑ ΠΑΤΜΟΥ</t>
  </si>
  <si>
    <t>7/ΘΕΣΙΟ ΔΗΜΟΤΙΚΟ ΣΧΟΛΕΙΟ ΣΚΑΛΑΣ ΠΑΤΜΟΥ</t>
  </si>
  <si>
    <t>2ο ΗΜΕΡΗΣΙΟ ΓΕΝΙΚΟ ΛΥΚΕΙΟ ΚΑΛΥΜΝΟΥ</t>
  </si>
  <si>
    <t>mail@2lyk-kalymn.dod.sch.gr</t>
  </si>
  <si>
    <t>ΕΝΟΡΙΑ   ΑΝΑΣΤΑΣΕΩΣ    ΚΑΛΥΜΝΟΣ</t>
  </si>
  <si>
    <t>2ο ΔΗΜΟΤΙΚΟ ΣΧΟΛΕΙΟ ΧΩΡΑΣ ΚΑΛΥΜΝΟΥ</t>
  </si>
  <si>
    <t>2ο ΓΕΝΙΚΟ ΛΥΚΕΙΟ ΡΟΔΟΥ</t>
  </si>
  <si>
    <t>mail@2lyk-rodou.dod.sch.gr</t>
  </si>
  <si>
    <t>ΒΕΝΕΤΟΚΛΕΩΝ 51</t>
  </si>
  <si>
    <t>2ο ΔΗΜΟΤΙΚΟ ΣΧΟΛΕΙΟ ΠΟΛΕΩΣ ΡΟΔΟΥ</t>
  </si>
  <si>
    <t>ΗΡΑΚΛΕΙΔΩΝ</t>
  </si>
  <si>
    <t>ΑΝΤΙΜΑΧΕΙΑΣ</t>
  </si>
  <si>
    <t>ΗΜΕΡΗΣΙΟ ΓΕΝΙΚΟ ΛΥΚΕΙΟ ΑΝΤΙΜΑΧΕΙΑΣ ΚΩ</t>
  </si>
  <si>
    <t>mail@lyk-antim.dod.sch.gr</t>
  </si>
  <si>
    <t>ΑΝΤΙΜΑΧΕΙΑ ΚΩΣ</t>
  </si>
  <si>
    <t>ΑΝΤΙΜΑΧΕΙΑ</t>
  </si>
  <si>
    <t>ΑΝΤΙΜΑΧΕΙΑ ΚΩ</t>
  </si>
  <si>
    <t>ΔΗΜΟΤΙΚΟ ΣΧΟΛΕΙΟ ΑΝΤΙΜΑΧΕΙΑΣ ΚΩ</t>
  </si>
  <si>
    <t>ΚΑΜΕΙΡΟΥ</t>
  </si>
  <si>
    <t>ΣΟΡΩΝΗΣ</t>
  </si>
  <si>
    <t>ΗΜΕΡΗΣΙΟ ΓΕΝΙΚΟ ΛΥΚΕΙΟ ΣΟΡΩΝΗΣ ΡΟΔΟΥ</t>
  </si>
  <si>
    <t>mail@lyk-soron.dod.sch.gr</t>
  </si>
  <si>
    <t>ΣΟΡΩΝΗΣ ΡΟΔΟΥ</t>
  </si>
  <si>
    <t>ΣΟΡΩΝΗ</t>
  </si>
  <si>
    <t>ΔΗΜΟΤΙΚΟ ΣΧΟΛΕΙΟ ΣΟΡΩΝΗΣ</t>
  </si>
  <si>
    <t>1ο ΗΜΕΡΗΣΙΟ ΓΕΝΙΚΟ ΛΥΚΕΙΟ ΚΑΛΥΜΝΟΥ - ΝΙΚΗΦΟΡΕΙΟ</t>
  </si>
  <si>
    <t>mail@1lyk-kalymn.dod.sch.gr</t>
  </si>
  <si>
    <t>ΑΝΑΣΤΑΣΗ</t>
  </si>
  <si>
    <t>ΕΝΟΡΙΑ ΑΝΑΣΤΑΣΕΩΣ - ΚΑΛΥΜΝΟΣ</t>
  </si>
  <si>
    <t>6ο ΔΗΜΟΤΙΚΟ ΣΧΟΛΕΙΟ ΚΑΛΥΜΝΟΣ - ΜΑΝΙΑΕΙΟ</t>
  </si>
  <si>
    <t>3ο ΗΜΕΡΗΣΙΟ ΓΕΝΙΚΟ ΛΥΚΕΙΟ ΡΟΔΟΥ</t>
  </si>
  <si>
    <t>mail@3lyk-rodou.dod.sch.gr</t>
  </si>
  <si>
    <t>ΚΟΜΝΗΝΩΝ 1</t>
  </si>
  <si>
    <t>11ο ΔΗΜΟΤΙΚΟ ΣΧΟΛΕΙΟ ΡΟΔΟΥ</t>
  </si>
  <si>
    <t>2ο ΗΜΕΡΗΣΙΟ ΓΕΝΙΚΟ ΛΥΚΕΙΟ ΚΩ - "ΟΔΥΣΣΕΑΣ ΕΛΥΤΗΣ"</t>
  </si>
  <si>
    <t>mail@2lyk-ko.dod.sch.gr</t>
  </si>
  <si>
    <t>4ο ΔΗΜΟΤΙΚΟ ΣΧΟΛΕΙΟ ΚΩ</t>
  </si>
  <si>
    <t>1ο ΗΜΕΡΗΣΙΟ ΓΕΝΙΚΟ ΛΥΚΕΙΟ ΡΟΔΟΥ - ΒΕΝΕΤΟΚΛΕΙΟ</t>
  </si>
  <si>
    <t>mail@1lyk-rodou.dod.sch.gr</t>
  </si>
  <si>
    <t>ΗΜΕΡΗΣΙΟ ΓΕΝΙΚΟ ΛΥΚΕΙΟ ΛΕΡΟΥ - ΜΠΟΥΛΑΦΕΝΤΕΙΟ</t>
  </si>
  <si>
    <t>mail@lyk-lerou.dod.sch.gr</t>
  </si>
  <si>
    <t>ΔΗΜΟΤΙΚΟ ΣΧΟΛΕΙΟ ΑΓΙΑΣ ΜΑΡΙΝΑΣ ΛΕΡΟΥ</t>
  </si>
  <si>
    <t>2ο ΗΜΕΡΗΣΙΟ ΓΥΜΝΑΣΙΟ ΡΟΔΟΥ</t>
  </si>
  <si>
    <t>mail@2gym-rodou.dod.sch.gr</t>
  </si>
  <si>
    <t>ΛΙΝΔΟΥ 121</t>
  </si>
  <si>
    <t>13ο ΔΗΜΟΤΙΚΟ ΣΧΟΛΕΙΟ ΠΟΛΕΩΣ ΡΟΔΟΥ</t>
  </si>
  <si>
    <t>ΗΜΕΡΗΣΙΟ ΓΥΜΝΑΣΙΟ ΑΝΤΙΜΑΧΕΙΑΣ</t>
  </si>
  <si>
    <t>mail@gym-antim.dod.sch.gr</t>
  </si>
  <si>
    <t>ΑΝΤΙΜΑΧΕΙΑ - ΗΡΑΚΛΕΙΔΩΝ - ΚΩΣ</t>
  </si>
  <si>
    <t>ΝΟΤΙΑΣ ΡΟΔΟΥ</t>
  </si>
  <si>
    <t>ΓΕΝΝΑΔΙΟΥ</t>
  </si>
  <si>
    <t>ΗΜΕΡΗΣΙΟ ΓΥΜΝΑΣΙΟ ΓΕΝΝΑΔΙΟΥ ΡΟΔΟΥ</t>
  </si>
  <si>
    <t>mail@gym-gennad.dod.sch.gr</t>
  </si>
  <si>
    <t>ΓΕΝΝΑΔΙΟΥ ΡΟΔΟΥ</t>
  </si>
  <si>
    <t>ΓΕΝΝΑΔΙ</t>
  </si>
  <si>
    <t>ΟΛΟΗΜΕΡΟ ΔΗΜΟΤΙΚΟ ΣΧΟΛΕΙΟ ΓΕΝΝΑΔΙ ΡΟΔΟΥ</t>
  </si>
  <si>
    <t>4ο ΗΜΕΡΗΣΙΟ ΓΥΜΝΑΣΙΟ ΡΟΔΟΥ - ΚΑΖΟΥΛΛΕΙΟ</t>
  </si>
  <si>
    <t>mail@4gym-rodou.dod.sch.gr</t>
  </si>
  <si>
    <t>ΒΕΝΕΤΟΚΛΕΩΝ 35</t>
  </si>
  <si>
    <t>14ο ΔΗΜΟΤΙΚΟ ΣΧΟΛΕΙΟ ΠΟΛΕΩΣ ΡΟΔΟΥ</t>
  </si>
  <si>
    <t>ΗΜΕΡΗΣΙΟ ΓΥΜΝΑΣΙΟ ΣΟΡΩΝΗΣ ΡΟΔΟΥ</t>
  </si>
  <si>
    <t>mail@gym-soron.dod.sch.gr</t>
  </si>
  <si>
    <t>ΣΟΡΩΝΗ ΡΟΔΟΥ</t>
  </si>
  <si>
    <t>Σορωνή</t>
  </si>
  <si>
    <t>ΗΜΕΡΗΣΙΟ ΓΥΜΝΑΣΙΟ ΑΡΧΑΓΓΕΛΟΥ</t>
  </si>
  <si>
    <t>mail@gym-archag.dod.sch.gr</t>
  </si>
  <si>
    <t>ΠΑΝΟΡΜΙΤΕΙΟ ΓΥΜΝΑΣΙΟ ΚΑΙ ΛΥΚΕΙΑΚΕΣ ΤΑΞΕΙΣ ΣΥΜΗΣ</t>
  </si>
  <si>
    <t>mail@gym-symis.dod.sch.gr</t>
  </si>
  <si>
    <t>ΣΥΜΗ</t>
  </si>
  <si>
    <t>ΣΥΜΗ  ΔΩΔΕΚΑΝΗΣΟΥ</t>
  </si>
  <si>
    <t>2ο ΔΗΜΟΤΙΚΟ ΣΧΟΛΕΙΟ ΣΥΜΗΣ</t>
  </si>
  <si>
    <t>6ο ΗΜΕΡΗΣΙΟ ΓΥΜΝΑΣΙΟ ΡΟΔΟΥ</t>
  </si>
  <si>
    <t>mail@6gym-rodou.dod.sch.gr</t>
  </si>
  <si>
    <t>Ρόδος</t>
  </si>
  <si>
    <t>ΑΛΕΞΑΝΔΡΟΥ ΔΙΑΚΟΥ 56</t>
  </si>
  <si>
    <t>8ο ΔΗΜΟΤΙΚΟ ΣΧΟΛΕΙΟ ΡΟΔΟΥ</t>
  </si>
  <si>
    <t>ΗΜΕΡΗΣΙΟ ΓΥΜΝΑΣΙΟ ΠΑΡΑΔΕΙΣΙΟΥ ΡΟΔΟΥ</t>
  </si>
  <si>
    <t>mail@gym-parad.dod.sch.gr</t>
  </si>
  <si>
    <t>ΠΑΡΑΔΕΙΣΙ ΡΟΔΟΥ</t>
  </si>
  <si>
    <t>ΛΕΩΦ.  ΔΗΜΟΚΡΑΤΙΑΣ 104</t>
  </si>
  <si>
    <t>ΗΜΕΡΗΣΙΟ ΓΥΜΝΑΣΙΟ ΚΡΕΜΑΣΤΗΣ ΡΟΔΟΥ</t>
  </si>
  <si>
    <t>mail@gym-kremast.dod.sch.gr</t>
  </si>
  <si>
    <t>ΚΡΕΜΑΣΤΗΣ ΡΟΔΟΥ</t>
  </si>
  <si>
    <t>ΠΕΡΙΓΙΑΛΕΝΗΣ 4</t>
  </si>
  <si>
    <t>ΗΜΕΡΗΣΙΟ ΓΥΜΝΑΣΙΟ ΑΦΑΝΤΟΥ ΡΟΔΟΥ</t>
  </si>
  <si>
    <t>mail@gym-afant.dod.sch.gr</t>
  </si>
  <si>
    <t>ΔΙΠΛΑ ΣΤΟ ΔΗΜΟΤΙΚΟ ΓΗΠΕΔΟ ΑΦΑΝΤΟΥ</t>
  </si>
  <si>
    <t>ΚΑΛΥΘΙΩΝ</t>
  </si>
  <si>
    <t>ΗΜΕΡΗΣΙΟ ΓΥΜΝΑΣΙΟ ΚΑΛΥΘΙΩΝ ΡΟΔΟΥ</t>
  </si>
  <si>
    <t>mail@gym-kalyth.dod.sch.gr</t>
  </si>
  <si>
    <t>ΚΑΛΥΘΙΕΣ</t>
  </si>
  <si>
    <t>1ο ΔΗΜΟΤΙΚΟ ΣΧΟΛΕΙΟ ΚΑΛΥΘΙΩΝ ΡΟΔΟΥ</t>
  </si>
  <si>
    <t>ΗΡΩΙΚΗΣ ΝΗΣΟΥ ΚΑΣΟΥ</t>
  </si>
  <si>
    <t>ΚΑΣΟΥ</t>
  </si>
  <si>
    <t>ΗΜΕΡΗΣΙΟ ΓΥΜΝΑΣΙΟ ΚΑΣΟΥ - ΓΥΜΝΑΣΙΟ ΚΑΙ Λ.Τ. ΚΑΣΟΥ</t>
  </si>
  <si>
    <t>mail@gym-kasou.dod.sch.gr</t>
  </si>
  <si>
    <t>ΚΑΣΟΣ</t>
  </si>
  <si>
    <t>ΔΗΜΟΤΙΚΟ ΣΧΟΛΕΙΟ ΚΑΣΟΥ</t>
  </si>
  <si>
    <t>ΜΕΓΙΣΤΗΣ</t>
  </si>
  <si>
    <t>ΗΜΕΡΗΣΙΟ ΓΥΜΝΑΣΙΟ ΜΕ ΛΥΚΕΙΑΚΕΣ ΤΑΞΕΙΣ ΚΑΣΤΕΛΛΟΡΙΖΟΥ (ΜΕΓΙΣΤΗΣ)</t>
  </si>
  <si>
    <t>mail@gym-kastel.dod.sch.gr</t>
  </si>
  <si>
    <t>ΔΗΜΟΤΙΚΗ ΟΔΟΣ</t>
  </si>
  <si>
    <t>ΜΕΓΙΣΤΗ</t>
  </si>
  <si>
    <t>ΔΗΜΟΤΙΚΟ ΣΧΟΛΕΙΟ ΜΕΓΙΣΤΗΣ</t>
  </si>
  <si>
    <t>ΗΜΕΡΗΣΙΟ ΓΥΜΝΑΣΙΟ ΧΑΛΚΗΣ - ΓΥΜΝΑΣΙΟ Λ.Τ ΧΑΛΚΗΣ ''ΣΩΚΡΑΤΗΣ ΦΑΝΟΥΡΑΚΗΣ''</t>
  </si>
  <si>
    <t>mail@gym-chalk.dod.sch.gr</t>
  </si>
  <si>
    <t>ΔΗΜΟΤΙΚΟ ΣΧΟΛΕΙΟ ΧΑΛΚΗΣ</t>
  </si>
  <si>
    <t>ΕΣΠΕΡΙΝΟ ΓΥΜΝΑΣΙΟ Λ.Τ. ΚΩ</t>
  </si>
  <si>
    <t>mail@gym-esp-ko.dod.sch.gr</t>
  </si>
  <si>
    <t>ΠΥΛΙ -  ΚΩΣ</t>
  </si>
  <si>
    <t>ΠΥΛΙ ΚΩ</t>
  </si>
  <si>
    <t>ΔΗΜΟΤΙΚΟ ΣΧΟΛΕΙΟ ΠΥΛΙΟΥ ΚΩ</t>
  </si>
  <si>
    <t>1ο ΗΜΕΡΗΣΙΟ ΕΠΑΛ ΡΟΔΟΥ</t>
  </si>
  <si>
    <t>mail@1epal-rodou.dod.sch.gr</t>
  </si>
  <si>
    <t>ΚΛΑΥΔΙΟΥ ΠΕΠΕΡ 1</t>
  </si>
  <si>
    <t>1ο ΔΗΜΟΤΙΚΟ ΣΧΟΛΕΙΟ ΡΟΔΟΣ - ΖΕΦΥΡΟΣ</t>
  </si>
  <si>
    <t>ΗΜΕΡΗΣΙΟ ΓΥΜΝΑΣΙΟ ΠΑΤΜΟΣ - ΓΕΝΝΕΙΟ</t>
  </si>
  <si>
    <t>mail@gym-patmou.dod.sch.gr</t>
  </si>
  <si>
    <t>1ο ΗΜΕΡΗΣΙΟ ΓΥΜΝΑΣΙΟ ΚΩ - ΙΠΠΟΚΡΑΤΕΙΟ</t>
  </si>
  <si>
    <t>mail@1gym-ko.dod.sch.gr</t>
  </si>
  <si>
    <t>ΑΓ. ΜΑΡΙΝΑ-ΚΩΣ</t>
  </si>
  <si>
    <t>ΜΑΣΑΡΩΝ</t>
  </si>
  <si>
    <t>ΗΜΕΡΗΣΙΟ ΓΥΜΝΑΣΙΟ ΜΑΣΑΡΩΝ ΡΟΔΟΥ</t>
  </si>
  <si>
    <t>mail@gym-masar.dod.sch.gr</t>
  </si>
  <si>
    <t>ΜΑΣΑΡΗ ΡΟΔΟΥ</t>
  </si>
  <si>
    <t>ΟΛΟΗΜΕΡΟ ΔΗΜΟΤΙΚΟ ΣΧΟΛΕΙΟ ΜΑΣΑΡΩΝ  ΡΟΔΟΥ</t>
  </si>
  <si>
    <t>ΓΥΜΝΑΣΙΟ ΙΑΛΥΣΟΥ «ΚΑΛΛΙΠΑΤΕΙΡΑ» - ΗΜΕΡΗΣΙΟ ΓΥΜΝΑΣΙΟ ΙΑΛΥΣΟΥ ΡΟΔΟΥ</t>
  </si>
  <si>
    <t>mail@gym-ialys.dod.sch.gr</t>
  </si>
  <si>
    <t>ΗΜΕΡΗΣΙΟ ΓΥΜΝΑΣΙΟ ΠΗΓΑΔΙΩΝ ΚΑΡΠΑΘΟΥ</t>
  </si>
  <si>
    <t>mail@gym-pigad.dod.sch.gr</t>
  </si>
  <si>
    <t>ΠΗΓΑΔΙΩΝ ΚΑΡΠΑΘΟΥ</t>
  </si>
  <si>
    <t>ΠΗΓΑΔΙΑ ΚΑΡΠΑΘΟΥ</t>
  </si>
  <si>
    <t>1ο ΔΗΜΟΤΙΚΟ ΣΧΟΛΕΙΟ ΚΑΡΠΑΘΟΥ - ΠΟΤΙΔΑΙΟΝ</t>
  </si>
  <si>
    <t>2ο Ε.Κ ΡΟΔΟΥ</t>
  </si>
  <si>
    <t>mail@2sek-rodou.dod.sch.gr</t>
  </si>
  <si>
    <t>ΑΣΤΥΠΑΛΑΙΑΣ</t>
  </si>
  <si>
    <t>ΗΜΕΡΗΣΙΟ ΓΥΜΝΑΣΙΟ ΑΣΤΥΠΑΛΑΙΑΣ</t>
  </si>
  <si>
    <t>mail@gym-astyp.dod.sch.gr</t>
  </si>
  <si>
    <t>ΑΣΤΥΠΑΛΑΙΑ</t>
  </si>
  <si>
    <t>ΧΩΡΑ ΑΣΤΥΠΑΛΑΙΑΣ</t>
  </si>
  <si>
    <t>ΔΗΜΟΤΙΚΟ ΣΧΟΛΕΙΟ ΑΣΤΥΠΑΛΑΙΑΣ</t>
  </si>
  <si>
    <t>5ο ΗΜΕΡΗΣΙΟ ΓΥΜΝΑΣΙΟ ΡΟΔΟΥ - ΚΑΖΟΥΛΛΕΙΟ ΠΑΡΘΕΝΑΓΩΓΕΙΟ</t>
  </si>
  <si>
    <t>mail@5gym-rodou.dod.sch.gr</t>
  </si>
  <si>
    <t>ΛΟΝΔΙΝΟΥ &amp; ΜΟΣΧΑΣ</t>
  </si>
  <si>
    <t>15ο ΔΗΜΟΤΙΚΟ ΣΧΟΛΕΙΟ ΡΟΔΟΥ</t>
  </si>
  <si>
    <t>ΕΣΠΕΡΙΝΟ ΓΥΜΝΑΣΙΟ ΡΟΔΟΥ - ΒΕΝΕΤΟΚΛΕΙΟ</t>
  </si>
  <si>
    <t>mail@gym-esp-rodou.dod.sch.gr</t>
  </si>
  <si>
    <t>ΚΩΝ. ΠΑΛΑΙΟΛΟΓΟΥ 11</t>
  </si>
  <si>
    <t>ΕΣΠΕΡΙΝΟ ΓΥΜΝΑΣΙΟ Λ.Τ. ΑΡΧΑΓΓΕΛΟΥ</t>
  </si>
  <si>
    <t>mail@gym-esp-archang.dod.sch.gr</t>
  </si>
  <si>
    <t>ΑΡΧΑΓΓΕΛΟΣ-ΡΟΔΟΣ</t>
  </si>
  <si>
    <t>2ο ΗΜΕΡΗΣΙΟ ΓΥΜΝΑΣΙΟ ΚΑΛΥΜΝΟΥ</t>
  </si>
  <si>
    <t>mail@2gym-kalymn.dod.sch.gr</t>
  </si>
  <si>
    <t>ΨΙΛΙΑΝΗ</t>
  </si>
  <si>
    <t>5ο ΔΗΜΟΤΙΚΟ ΣΧΟΛΕΙΟ ΚΑΛΥΜΝΟΥ</t>
  </si>
  <si>
    <t>3ο ΗΜΕΡΗΣΙΟ ΓΥΜΝΑΣΙΟ ΡΟΔΟΥ - ΒΕΝΕΤΟΚΛΕΙΟ</t>
  </si>
  <si>
    <t>mail@3gym-rodou.dod.sch.gr</t>
  </si>
  <si>
    <t>ΚΕΦΑΛΟΥ</t>
  </si>
  <si>
    <t>ΗΜΕΡΗΣΙΟ ΓΥΜΝΑΣΙΟ ΚΕΦΑΛΟΥ</t>
  </si>
  <si>
    <t>mail@gym-kefal.dod.sch.gr</t>
  </si>
  <si>
    <t>ΚΕΦΑΛΟΣ-ΚΩΣ</t>
  </si>
  <si>
    <t>ΔΗΜΟΤΙΚΟ ΣΧΟΛΕΙΟ ΚΕΦΑΛΟΥ ΚΩ</t>
  </si>
  <si>
    <t>1ο ΕΡΓΑΣΤΗΡΙΑΚΟ ΚΕΝΤΡΟ(ΕΚ) ΡΟΔΟΥ</t>
  </si>
  <si>
    <t>mail@1sek-rodou.dod.sch.gr</t>
  </si>
  <si>
    <t>1ο ΗΜΕΡΗΣΙΟ ΓΥΜΝΑΣΙΟ ΛΕΡΟΥ - ΜΠΕΛΛΕΝΕΙΟ</t>
  </si>
  <si>
    <t>mail@gym-lerou.dod.sch.gr</t>
  </si>
  <si>
    <t>ΠΛΑΤΑΝΟΣ  ΛΕΡΟΣ</t>
  </si>
  <si>
    <t>ΛΑΚΚΙ ΛΕΡΟΣ</t>
  </si>
  <si>
    <t>ΗΜΕΡΗΣΙΟ ΓΥΜΝΑΣΙΟ ΖΗΠΑΡΙΟΥ</t>
  </si>
  <si>
    <t>mail@gym-zipar.dod.sch.gr</t>
  </si>
  <si>
    <t>Ζηπάρι, ΚΩΣ</t>
  </si>
  <si>
    <t>Πλάτωνος &amp; Αγ. Σπυρίδωνος</t>
  </si>
  <si>
    <t>ΔΗΜΟΤΙΚΟ ΣΧΟΛΕΙΟ ΖΗΠΑΡΙΟΥ ΚΩ "ΙΑΚΩΒΟΣ ΖΑΡΡΑΦΤΗΣ"</t>
  </si>
  <si>
    <t>2ο ΓΥΜΝΑΣΙΟ ΛΕΡΟΥ - «ΑΠΟΣΤΟΛΟΣ ΚΑΙ ΕΛΕΥΘΕΡΙΟΣ ΕΥΑΓΓΕΛΟΥ»</t>
  </si>
  <si>
    <t>mail@2gym-lerou.dod.sch.gr</t>
  </si>
  <si>
    <t>ΛΑΚΚΙ</t>
  </si>
  <si>
    <t>7ο ΗΜΕΡΗΣΙΟ ΓΥΜΝΑΣΙΟ ΡΟΔΟΥ</t>
  </si>
  <si>
    <t>mail@7gym-rodou.dod.sch.gr</t>
  </si>
  <si>
    <t>ΜΙΧΑΗΛ ΠΕΤΡΙΔΗ 29</t>
  </si>
  <si>
    <t>16ο ΔΗΜΟΤΙΚΟ ΣΧΟΛΕΙΟ ΡΟΔΟΥ</t>
  </si>
  <si>
    <t>ΤΗΛΟΥ</t>
  </si>
  <si>
    <t>ΜΕΓΑΛΟΥ ΧΩΡΙΟΥ</t>
  </si>
  <si>
    <t>ΗΜΕΡΗΣΙΟ ΓΥΜΝΑΣΙΟ - ΛΥΚΕΙΑΚΕΣ ΤΑΞΕΙΣ ΤΗΛΟΥ</t>
  </si>
  <si>
    <t>mail@gym-tilou.dod.sch.gr</t>
  </si>
  <si>
    <t>Τήλος</t>
  </si>
  <si>
    <t>Μεγάλο Χωριό</t>
  </si>
  <si>
    <t>ΔΗΜΟΤΙΚΟ ΣΧΟΛΕΙΟ ΤΗΛΟΣ</t>
  </si>
  <si>
    <t>1ο ΗΜΕΡΗΣΙΟ ΓΥΜΝΑΣΙΟ ΡΟΔΟΥ</t>
  </si>
  <si>
    <t>mail@1gym-rodou.dod.sch.gr</t>
  </si>
  <si>
    <t>ΑΤΑΒΥΡΟΥ</t>
  </si>
  <si>
    <t>ΕΜΠΩΝΑ</t>
  </si>
  <si>
    <t>1ο ΗΜΕΡΗΣΙΟ ΓΥΜΝΑΣΙΟ ΕΜΠΩΝΑ - ΓΥΜΝΑΣΙΟ ΕΜΠΩΝΑΣ</t>
  </si>
  <si>
    <t>mail@gym-empon.dod.sch.gr</t>
  </si>
  <si>
    <t>Πλησίον Επαρχιακής Οδού Καλαβάρδα-Έμπωνα και Πλατείας Έμπωνα</t>
  </si>
  <si>
    <t>ΔΗΜΟΤΙΚΟ ΣΧΟΛΕΙΟ ΕΜΠΩΝΑ ΡΟΔΟΥ</t>
  </si>
  <si>
    <t>2ο ΗΜΕΡΗΣΙΟ ΓΥΜΝΑΣΙΟ ΚΩ - ΙΠΠΟΚΡΑΤΕΙΟ</t>
  </si>
  <si>
    <t>mail@2gym-ko.dod.sch.gr</t>
  </si>
  <si>
    <t>Ν.ΑΛΙΚΑΡΝΑΣΣΟΣ</t>
  </si>
  <si>
    <t>2ο ΔΗΜΟΤΙΚΟ ΣΧΟΛΕΙΟ ΚΩ</t>
  </si>
  <si>
    <t>4ο ΗΜΕΡΗΣΙΟ ΓΕΝΙΚΟ ΛΥΚΕΙΟ ΡΟΔΟΥ</t>
  </si>
  <si>
    <t>mail@4lyk-rodou.dod.sch.gr</t>
  </si>
  <si>
    <t>ΜΙΧΑΗΛ ΜΠΟΝΗ, ΡΟΔΟΠΟΥΛΑ</t>
  </si>
  <si>
    <t>18ο ΔΗΜΟΤΙΚΟ ΣΧΟΛΕΙΟ ΡΟΔΟΥ</t>
  </si>
  <si>
    <t>ΗΜΕΡΗΣΙΟ ΓΥΜΝΑΣΙΟ Λ.Τ. ΟΛΥΜΠΟΥ ΚΑΡΠΑΘΟΥ</t>
  </si>
  <si>
    <t>mail@gym-olymp.dod.sch.gr</t>
  </si>
  <si>
    <t>ΟΛΥΜΠΟΥ ΚΑΡΠΑΘΟΥ</t>
  </si>
  <si>
    <t>ΟΛΥΜΠΟΣ</t>
  </si>
  <si>
    <t>ΔΗΜΟΤΙΚΟ ΣΧΟΛΕΙΟ ΔΙΑΦΑΝΙOY ΚΑΡΠΑΘΟΥ</t>
  </si>
  <si>
    <t>ΜΟΥΣΙΚΟ ΓΥΜΝΑΣΙΟ ΡΟΔΟΥ - ΜΟΥΣΙΚΟ ΣΧΟΛΕΙΟ ΡΟΔΟΥ</t>
  </si>
  <si>
    <t>mail@gym-mous-rodou.dod.sch.gr</t>
  </si>
  <si>
    <t>ΚΟΣΚΙΝΟΥ - ΡΟΔΟΣ</t>
  </si>
  <si>
    <t>ΔΗΜΟΤΙΚΟ ΣΧΟΛΕΙΟ ΚΟΣΚΙΝΟΥ ΡΟΔΟΥ</t>
  </si>
  <si>
    <t>1ο ΗΜΕΡΗΣΙΟ ΕΠΑΛ ΚΑΡΠΑΘΟΥ</t>
  </si>
  <si>
    <t>mail@1epal-karpath.dod.sch.gr</t>
  </si>
  <si>
    <t>ΗΜΕΡΗΣΙΟ ΕΠΑΛ ΑΡΧΑΓΓΕΛΟΥ ΡΟΔΟΥ</t>
  </si>
  <si>
    <t>mail@epal-archang.dod.sch.gr</t>
  </si>
  <si>
    <t>ΑΡΧΑΓΓΕΛΟΣ ΡΟΔΟΥ</t>
  </si>
  <si>
    <t>ΠΛΑΤΕΙΑ  ΗΡΩΩΝ</t>
  </si>
  <si>
    <t>ΕΣΠΕΡΙΝΟ ΓΥΜΝΑΣΙΟ - ΛΥΚΕΙΑΚΕΣ ΤΑΞΕΙΣ ΚΑΛΥΜΝΟΥ</t>
  </si>
  <si>
    <t>mail@gym-esp-kalymn.dod.sch.gr</t>
  </si>
  <si>
    <t>1ο ΗΜΕΡΗΣΙΟ ΕΠΑΛ ΚΑΛΥΜΝΟΥ - ΕΠΑΛ ΚΑΛΥΜΝΟΥ</t>
  </si>
  <si>
    <t>mail@1epal-kalymn.dod.sch.gr</t>
  </si>
  <si>
    <t>ΕΝΟΡΙΑ ΑΝΑΛΗΨΗΣ - ΠΟΤΑΜΟΙ</t>
  </si>
  <si>
    <t>1ο ΗΜΕΡΗΣΙΟ ΕΠΑΛ ΚΩ</t>
  </si>
  <si>
    <t>mail@1epal-ko.dod.sch.gr</t>
  </si>
  <si>
    <t>ΕΘΝΙΚΗΣ ΑΝΤΙΣΤΑΣΕΩΣ ΚΑΙ ΠΟΡΦΥΡΙΟΥ</t>
  </si>
  <si>
    <t>1ο ΗΜΕΡΗΣΙΟ ΕΠΑΛ ΠΑΤΜΟΥ</t>
  </si>
  <si>
    <t>mail@1epal-patmou.dod.sch.gr</t>
  </si>
  <si>
    <t>1ο ΗΜΕΡΗΣΙΟ ΓΥΜΝΑΣΙΟ ΚΑΛΥΜΝΟΥ -  ΝΙΚΗΦΟΡΕΙΟ</t>
  </si>
  <si>
    <t>1gymkaly@sch.gr</t>
  </si>
  <si>
    <t>ΔΙΕΥΘΥΝΣΗ Β/ΘΜΙΑΣ ΕΚΠΑΙΔΕΥΣΗΣ ΔΩΔΕΚΑΝΗΣΟΥ-ΕΕΕΕΚ ΚΑΛΥΜΝΟΣ-ΕΕΕΕΚ ΚΑΛΥΜΝΟΥ</t>
  </si>
  <si>
    <t>mail@eeek-kalymn.dod.sch.gr</t>
  </si>
  <si>
    <t>ΕΝΟΡΙΑ ΑΝΑΣΤΑΣΕΩΣ</t>
  </si>
  <si>
    <t>ΕΣΠΕΡΙΝΟ ΓΥΜΝΑΣΙΟ ΛΕΡΟΥ</t>
  </si>
  <si>
    <t>mail@gym-esp-lerou.dod.sch.gr</t>
  </si>
  <si>
    <t>ΑΓΑΘΟΝΗΣΙΟΥ</t>
  </si>
  <si>
    <t>ΗΜΕΡΗΣΙΟ ΓΥΜΝΑΣΙΟ Λ.Τ. ΑΓΑΘΟΝΗΣΙΟΥ</t>
  </si>
  <si>
    <t>mail@gym-agathonisiou.dod.sch.gr</t>
  </si>
  <si>
    <t>ΑΓΑΘΟΝΗΣΙ</t>
  </si>
  <si>
    <t>ΔΗΜΟΤΙΚΟ ΣΧΟΛΕΙΟ ΑΓΑΘΟΝΗΣΙΟΥ</t>
  </si>
  <si>
    <t>1ο ΕΣΠΕΡΙΝΟ ΕΠΑΛ ΡΟΔΟΥ</t>
  </si>
  <si>
    <t>mail@epal-esp-rodou.dod.sch.gr</t>
  </si>
  <si>
    <t>ΚΛΑΥΔΙΟΥ ΠΕΠΠΕΡ 1</t>
  </si>
  <si>
    <t>Ε.Ε.Ε.ΕΚ ΚΩ</t>
  </si>
  <si>
    <t>mail@eeeek-ko.dod.sch.gr</t>
  </si>
  <si>
    <t>ΠΛΑΤΑΝΙ ΚΩΣ</t>
  </si>
  <si>
    <t>ΚΕΡΑΜΟΥ &amp; ΘΡΑΚΗΣ</t>
  </si>
  <si>
    <t>ΕΝΙΑΙΟ ΕΙΔΙΚΟ ΕΠΑΓΓΕΛΜΑΤΙΚΟ ΓΥΜΝΑΣΙΟ-ΛΥΚΕΙΟ ΡΟΔΟΥ</t>
  </si>
  <si>
    <t>mail@gym-ee-rodou.dod.sch.gr</t>
  </si>
  <si>
    <t>ΠΛΑΤΕΙΑ ΒΡΟΥΧΟΥ  1</t>
  </si>
  <si>
    <t>ΗΜΕΡΗΣΙΟ ΓΕΝΙΚΟ ΛΥΚΕΙΟ ΖΗΠΑΡΙΟΥ</t>
  </si>
  <si>
    <t>mail@lyk-zipar.dod.sch.gr</t>
  </si>
  <si>
    <t>Ζηπάρι, Κως</t>
  </si>
  <si>
    <t>ΑΓ. ΙΩΑΝΝΟΥ ΧΩΣΤΟΥ</t>
  </si>
  <si>
    <t>ΔΙΕΥΘΥΝΣΗ Δ.Ε. ΚΥΚΛΑΔΩΝ</t>
  </si>
  <si>
    <t>ΘΗΡΑΣ</t>
  </si>
  <si>
    <t>ΦΟΛΕΓΑΝΔΡΟΥ</t>
  </si>
  <si>
    <t>ΓΥΜΝΑΣΙΟ με Λ.Τ. ΦΟΛΕΓΑΝΔΡΟΥ</t>
  </si>
  <si>
    <t>mail@gym-foleg.kyk.sch.gr</t>
  </si>
  <si>
    <t>ΦΟΛΕΓΑΝΔΡΟΣ</t>
  </si>
  <si>
    <t>ΦΟΛΕΓΑΝΔΡΟΣ ΚΥΚΛΑΔΕΣ</t>
  </si>
  <si>
    <t>ΔΗΜΟΤΙΚΟ ΣΧΟΛΕΙΟ ΧΩΡΑΣ ΦΟΛΕΓΑΝΔΡΟΥ</t>
  </si>
  <si>
    <t>ΜΗΛΟΥ</t>
  </si>
  <si>
    <t>ΣΕΡΙΦΟΥ</t>
  </si>
  <si>
    <t>ΓΥΜΝΑΣΙΟ με Λ.Τ. ΣΕΡΙΦΟΥ</t>
  </si>
  <si>
    <t>mail@gym-serif.kyk.sch.gr</t>
  </si>
  <si>
    <t>ΣΕΡΙΦΟΣ</t>
  </si>
  <si>
    <t>ΛΙΒΑΔΙ ΣΕΡΙΦΟΥ</t>
  </si>
  <si>
    <t>ΔΗΜΟΤΙΚΟ ΣΧΟΛΕΙΟ ΣΕΡΙΦΟΥ</t>
  </si>
  <si>
    <t>ΒΙΒΛΟΥ</t>
  </si>
  <si>
    <t>ΓΥΜΝΑΣΙΟ ΒΙΒΛΟΥ</t>
  </si>
  <si>
    <t>mail@gym-vivlou.kyk.sch.gr</t>
  </si>
  <si>
    <t>ΒΙΒΛΟΣ ΝΑΞΟΥ</t>
  </si>
  <si>
    <t>ΒΙΒΛΟΣ - ΝΑΞΟΥ</t>
  </si>
  <si>
    <t>ΔΗΜΟΤΙΚΟ ΣΧΟΛΕΙΟ ΒΙΒΛΟΥ ΝΑΞΟΥ</t>
  </si>
  <si>
    <t>ΤΗΝΟΥ</t>
  </si>
  <si>
    <t>ΓΕΝΙΚΟ ΛΥΚΕΙΟ ΤΗΝΟΥ</t>
  </si>
  <si>
    <t>mail@lyk-tinou.kyk.sch.gr</t>
  </si>
  <si>
    <t>ΤΗΝΟΣ</t>
  </si>
  <si>
    <t>ΑΓΙΑΣ ΠΑΡΑΣΚΕΥΗΣ 5</t>
  </si>
  <si>
    <t>2ο ΔΗΜΟΤΙΚΟ ΣΧΟΛΕΙΟ ΤΗΝΟΥ</t>
  </si>
  <si>
    <t>ΜΕΣΑΡΙΑΣ</t>
  </si>
  <si>
    <t>ΓΥΜΝΑΣΙΟ ΜΕΣΑΡΙΑΣ</t>
  </si>
  <si>
    <t>mail@gym-messar.kyk.sch.gr</t>
  </si>
  <si>
    <t>ΜΕΣΑΡΙΑ</t>
  </si>
  <si>
    <t>ΜΕΣΑΡΙΑ ΘΗΡΑΣ</t>
  </si>
  <si>
    <t>ΔΗΜΟΤΙΚΟ ΣΧΟΛΕΙΟ ΜΕΣΑΡΙΑΣ-ΒΟΘΩΝΑ ΘΗΡΑΣ</t>
  </si>
  <si>
    <t>ΓΥΜΝΑΣΙΟ με Λ.Τ. ΗΡΑΚΛΕΙΑΣ</t>
  </si>
  <si>
    <t>mail@gym-irakl.kyk.sch.gr</t>
  </si>
  <si>
    <t>ΗΡΑΚΛΕΙΑ ΚΥΚΛΑΔΩΝ</t>
  </si>
  <si>
    <t>ΔΗΜΟΤΙΚΟ ΣΧΟΛΕΙΟ ΠΑΝΑΓΙΑΣ ΗΡΑΚΛΕΙΑΣ</t>
  </si>
  <si>
    <t>ΜΥΚΟΝΟΥ</t>
  </si>
  <si>
    <t>ΜΥΚΟΝΙΩΝ</t>
  </si>
  <si>
    <t>ΕΠΑ.Λ. ΜΥΚΟΝΟΥ</t>
  </si>
  <si>
    <t>mail@1epal-mykon.kyk.sch.gr</t>
  </si>
  <si>
    <t>ΜΥΚΟΝΟΣ</t>
  </si>
  <si>
    <t>ΠΕΤΕΙΝΑΡΟΣ ΜΥΚΟΝΟΥ</t>
  </si>
  <si>
    <t>2ο ΔΗΜΟΤΙΚΟ ΣΧΟΛΕΙΟ ΜΥΚΟΝΟΥ</t>
  </si>
  <si>
    <t>ΚΕΑΣ-ΚΥΘΝΟΥ</t>
  </si>
  <si>
    <t>ΚΕΑΣ</t>
  </si>
  <si>
    <t>ΙΟΥΛΙΔΟΣ</t>
  </si>
  <si>
    <t>ΕΠΑ.Λ. ΚΕΑΣ</t>
  </si>
  <si>
    <t>mail@1epal-keas.kyk.sch.gr</t>
  </si>
  <si>
    <t>ΚΕΑ</t>
  </si>
  <si>
    <t>ΙΟΥΛΙΔΑ</t>
  </si>
  <si>
    <t>ΙΟΥΛΙΔΑ ΚΕΑΣ</t>
  </si>
  <si>
    <t>6/Θ ΔΗΜΟΤΙΚΟ ΣΧΟΛΕΙΟ ΙΟΥΛΙΔΑΣ ΚΕΑΣ</t>
  </si>
  <si>
    <t>ΔΡΥΜΑΛΙΑΣ</t>
  </si>
  <si>
    <t>ΦΙΛΟΤΙΟΥ</t>
  </si>
  <si>
    <t>ΕΝΙΑΙΟ ΕΙΔΙΚΟ ΕΠΑΓΓΕΛΜΑΤΙΚΟ ΓΥΜΝΑΣΙΟ - ΛΥΚΕΙΟ ΝΑΞΟΥ</t>
  </si>
  <si>
    <t>mail@tee-eid-agogis-filot.kyk.sch.gr</t>
  </si>
  <si>
    <t>ΝΑΞΟΣ</t>
  </si>
  <si>
    <t>ΦΙΛΩΤΙ</t>
  </si>
  <si>
    <t>ΔΗΜΟΤΙΚΟ ΣΧΟΛΕΙΟ ΦΙΛΩΤΙΟΥ ΝΑΞΟΥ</t>
  </si>
  <si>
    <t>ΕΕΕΕΚ ΝΑΞΟΣ</t>
  </si>
  <si>
    <t>mail@eeeek-naxou.kyk.sch.gr</t>
  </si>
  <si>
    <t>ΧΩΡΑ ΝΑΞΟΥ</t>
  </si>
  <si>
    <t>2/Θ ΔΗΜΟΤΙΚΟ ΣΧΟΛΕΙΟ ΚΟΥΦΟΝΗΣΙΩΝ</t>
  </si>
  <si>
    <t>ΣΙΦΝΟΥ</t>
  </si>
  <si>
    <t>ΕΠΑ.Λ. ΣΙΦΝΟΥ</t>
  </si>
  <si>
    <t>mail@1epal-sifnou.kyk.sch.gr</t>
  </si>
  <si>
    <t>ΣΙΦΝΟΣ</t>
  </si>
  <si>
    <t>ΑΠΟΛΛΩΝΙΑ ΣΙΦΝΟΥ</t>
  </si>
  <si>
    <t>ΔΗΜΟΤΙΚΟ ΣΧΟΛΕΙΟ ΣΙΦΝΟΥ</t>
  </si>
  <si>
    <t>ΑΜΟΡΓΟΥ</t>
  </si>
  <si>
    <t>ΕΠΑ.Λ ΑΜΟΡΓΟΥ</t>
  </si>
  <si>
    <t>mail@1epal-amorg.kyk.sch.gr</t>
  </si>
  <si>
    <t>ΑΜΟΡΓΟΣ</t>
  </si>
  <si>
    <t>ΔΗΜΟΤΙΚΟ ΣΧΟΛΕΙΟ ΧΩΡΑΣ ΑΜΟΡΓΟΥ</t>
  </si>
  <si>
    <t>ΑΝΔΡΟΥ</t>
  </si>
  <si>
    <t>ΕΠΑ.Λ. ΑΝΔΡΟΥ-ΝΙΚΟΛΑΟΣ ΑΛΕΞΑΝΔΡΟΥ ΚΑΪΡΗΣ</t>
  </si>
  <si>
    <t>mail@1epal-androu.kyk.sch.gr</t>
  </si>
  <si>
    <t>ΑΝΔΡΟΣ</t>
  </si>
  <si>
    <t>ΑΝΔΡΟΣ ΧΩΡΑ</t>
  </si>
  <si>
    <t>ΧΩΡΑ ΑΝΔΡΟΥ</t>
  </si>
  <si>
    <t>ΔΗΜΟΤΙΚΟ ΣΧΟΛΕΙΟ ΑΝΔΡΟΥ ΧΩΡΑΣ</t>
  </si>
  <si>
    <t>ΙΗΤΩΝ</t>
  </si>
  <si>
    <t>ΕΠΑ.Λ. ΙΟΥ</t>
  </si>
  <si>
    <t>mail@1epal-iou.kyk.sch.gr</t>
  </si>
  <si>
    <t>ΙΟΣ</t>
  </si>
  <si>
    <t>ΔΗΜΟΤΙΚΟ ΣΧΟΛΕΙΟ ΙΟΥ</t>
  </si>
  <si>
    <t>ΚΟΡΘΙΟΥ</t>
  </si>
  <si>
    <t>ΟΡΜΟΥ ΚΟΡΘΙΟΥ</t>
  </si>
  <si>
    <t>ΓΥΜΝΑΣΙΟ με Λ.Τ. ΚΟΡΘΙΟΥ</t>
  </si>
  <si>
    <t>mail@gym-korth.kyk.sch.gr</t>
  </si>
  <si>
    <t>ΚΟΡΘΙ</t>
  </si>
  <si>
    <t>ΟΡΜΟΣ ΚΟΡΘΙΟΥ - ΑΝΔΡΟΣ</t>
  </si>
  <si>
    <t>ΟΡΜΟΣ ΚΟΡΘΙΟΥ</t>
  </si>
  <si>
    <t>6/Θ ΔΗΜΟΤΙΚΟ ΣΧΟΛΕΙΟ ΟΡΜΟΥ ΚΟΡΘΙΟΥ ΑΝΔΡΟΥ</t>
  </si>
  <si>
    <t>ΕΠΑ.Λ. ΜΗΛΟΥ</t>
  </si>
  <si>
    <t>mail@1epal-milou.kyk.sch.gr</t>
  </si>
  <si>
    <t>ΜΗΛΟΣ</t>
  </si>
  <si>
    <t>ΒΟΛΑΔΑΚΙΑ ΤΡΥΠΗΤΗΣ</t>
  </si>
  <si>
    <t>10/θ ΔΗΜΟΤΙΚΟ ΣΧΟΛΕΙΟ ΜΗΛΟΥ</t>
  </si>
  <si>
    <t>ΕΠΑ.Λ. ΘΗΡΑΣ</t>
  </si>
  <si>
    <t>mail@1epal-thiras.kyk.sch.gr</t>
  </si>
  <si>
    <t>ΘΗΡΑ</t>
  </si>
  <si>
    <t>ΠΥΡΓΟΣ ΘΗΡΑΣ</t>
  </si>
  <si>
    <t>ΔΗΜΟΤΙΚΟ ΣΧΟΛΕΙΟ ΠΥΡΓΟΥ-ΜΕΓΑΛΟΧΩΡΙΟΥ ΘΗΡΑΣ</t>
  </si>
  <si>
    <t>ΕΠΑ.Λ. ΤΗΝΟΥ</t>
  </si>
  <si>
    <t>mail@1epal-tinou.kyk.sch.gr</t>
  </si>
  <si>
    <t>ΑΓΙΑ ΠΑΡΑΣΚΕΥΗ 5</t>
  </si>
  <si>
    <t>ΜΑΝΝΑ</t>
  </si>
  <si>
    <t>ΗΜΕΡΗΣΙΟ ΕΠΑΛ ΣΥΡΟΥ</t>
  </si>
  <si>
    <t>mail@1epal-syrou.kyk.sch.gr</t>
  </si>
  <si>
    <t>ΛΙΒΑΔΙΑ  ΜΑΝΝΑ  ΣΥΡΟΥ</t>
  </si>
  <si>
    <t>5ο ΔΗΜΟΤΙΚΟ ΣΧΟΛΕΙΟ ΕΡΜΟΥΠΟΛΗΣ ΣΥΡΟΥ</t>
  </si>
  <si>
    <t>ΠΑΡΟΥ</t>
  </si>
  <si>
    <t>ΕΠΑ.Λ. ΠΑΡΟΥ</t>
  </si>
  <si>
    <t>mail@1epal-parou.kyk.sch.gr</t>
  </si>
  <si>
    <t>ΠΑΡΟΣ</t>
  </si>
  <si>
    <t>ΦΙΛΟΘΕΟΥ ΖΕΡΒΑΚΟΥ 32</t>
  </si>
  <si>
    <t>1ο ΔΗΜΟΤΙΚΟ ΣΧΟΛΕΙΟ ΠΑΡΟΙΚΙΑΣ ΠΑΡΟΥ</t>
  </si>
  <si>
    <t>ΓΕ.Λ. ΝΑΞΟΥ - "ΜΑΝΩΛΗΣ ΓΛΕΖΟΣ"</t>
  </si>
  <si>
    <t>mail@lyk-naxou.kyk.sch.gr</t>
  </si>
  <si>
    <t>2ο ΔΗΜΟΤΙΚΟ ΣΧΟΛΕΙΟ ΧΩΡΑΣ ΝΑΞΟΥ</t>
  </si>
  <si>
    <t>ΓΕ.Λ. ΑΝΔΡΟΥ</t>
  </si>
  <si>
    <t>mail@lyk-androu.kyk.sch.gr</t>
  </si>
  <si>
    <t>ΧΩΡΑ ΑΝΔΡΟΣ</t>
  </si>
  <si>
    <t>ΓΕ.Λ. ΜΥΚΟΝΟΥ</t>
  </si>
  <si>
    <t>mail@lyk-mykon.kyk.sch.gr</t>
  </si>
  <si>
    <t>ΤΘ 6248, ΠΕΤΕΙΝΑΡΟΣ</t>
  </si>
  <si>
    <t>ΗΜΕΡΗΣΙΟ ΓΕ.Λ. ΣΥΡΟΥ</t>
  </si>
  <si>
    <t>mail@1lyk-syrou.kyk.sch.gr</t>
  </si>
  <si>
    <t>ΛΙΒΑΔΙΑ ΜΑΝΝΑ</t>
  </si>
  <si>
    <t>ΓΕΝΙΚΟ ΛΥΚΕΙΟ ΘΗΡΑΣ</t>
  </si>
  <si>
    <t>mail@lyk-thiras.kyk.sch.gr</t>
  </si>
  <si>
    <t>ΦΗΡΑ</t>
  </si>
  <si>
    <t>ΔΗΜΟΤΙΚΟ ΣΧΟΛΕΙΟ ΚΑΡΤΕΡΑΔΟΥ ΘΗΡΑΣ</t>
  </si>
  <si>
    <t>ΓΕΝΙΚΟ ΛΥΚΕΙΟ ΤΡΑΓΑΙΑΣ</t>
  </si>
  <si>
    <t>mail@lyk-tragaias.kyk.sch.gr</t>
  </si>
  <si>
    <t>ΧΑΛΚΙ</t>
  </si>
  <si>
    <t>ΧΑΛΚΙ ΝΑΞΟΣ</t>
  </si>
  <si>
    <t>ΧΑΛΚΙ ΝΑΞΟΥ</t>
  </si>
  <si>
    <t>ΔΗΜΟΤΙΚΟ ΣΧΟΛΕΙΟ ΧΑΛΚΕΙΟΥ ΝΑΞΟΥ</t>
  </si>
  <si>
    <t>ΓΥΜΝΑΣΙΟ ΜΥΚΟΝΟΥ</t>
  </si>
  <si>
    <t>mail@gym-mykon.kyk.sch.gr</t>
  </si>
  <si>
    <t>ΒΡΥΣΗ ΜΥΚΟΝΟΥ</t>
  </si>
  <si>
    <t>1ο ΔΗΜΟΤΙΚΟ ΣΧΟΛΕΙΟ ΧΩΡΑΣ ΜΥΚΟΝΟΥ</t>
  </si>
  <si>
    <t>Ε.Κ ΣΥΡΟΥ</t>
  </si>
  <si>
    <t>mail@sek-syrou.kyk.sch.gr</t>
  </si>
  <si>
    <t>ΛΙΒΑΔΙΑ ΜΑΝΝΑ ΣΥΡΟΥ</t>
  </si>
  <si>
    <t>ΓΥΜΝΑΣΙΟ ΤΗΝΟΥ</t>
  </si>
  <si>
    <t>mail@gym-tinou.kyk.sch.gr</t>
  </si>
  <si>
    <t>ΜΕΓΑΛΟΧΑΡΗΣ 42</t>
  </si>
  <si>
    <t>1ο ΔΗΜΟΤΙΚΟ ΣΧΟΛΕΙΟ ΤΗΝΟΥ</t>
  </si>
  <si>
    <t>ΕΜΠΟΡΕΙΟΥ</t>
  </si>
  <si>
    <t>ΓΥΜΝΑΣΙΟ ΕΜΠΟΡΕΙΟΥ</t>
  </si>
  <si>
    <t>mail@gym-empor.kyk.sch.gr</t>
  </si>
  <si>
    <t>ΕΜΠΟΡΕΙΟ</t>
  </si>
  <si>
    <t>ΔΗΜΟΤΙΚΟ ΣΧΟΛΕΙΟ ΕΜΠΟΡΕΙΟΥ ΘΗΡΑΣ</t>
  </si>
  <si>
    <t>ΓΑΥΡΙΟΥ</t>
  </si>
  <si>
    <t>ΓΥΜΝΑΣΙΟ ΜΕ Λ.Τ. ΓΑΥΡΙΟΥ</t>
  </si>
  <si>
    <t>mail@gym-gavriou.kyk.sch.gr</t>
  </si>
  <si>
    <t>ΓΑΥΡΙΟ  ΑΝΔΡΟΣ</t>
  </si>
  <si>
    <t>ΓΑΥΡΙΟΝ-ΑΝΔΡΟΥ-ΚΥΚΛΑΔΕΣ</t>
  </si>
  <si>
    <t>ΔΗΜΟΤΙΚΟ ΣΧΟΛΕΙΟ ΜΠΑΤΣΙΟΥ ΑΝΔΡΟΥ</t>
  </si>
  <si>
    <t>ΣΧΟΙΝΟΥΣΣΗΣ</t>
  </si>
  <si>
    <t>ΓΥΜΝΑΣΙΟ με Λ.Τ. ΣΧΟΙΝΟΥΣΑΣ</t>
  </si>
  <si>
    <t>mail@gym-schoin.kyk.sch.gr</t>
  </si>
  <si>
    <t>Κυκλάδες</t>
  </si>
  <si>
    <t>Σχοινούσα</t>
  </si>
  <si>
    <t>ΔΗΜΟΤΙΚΟ ΣΧΟΛΕΙΟ ΣΧΟΙΝΟΥΣΑΣ</t>
  </si>
  <si>
    <t>ΚΟΥΦΟΝΗΣΙΩΝ</t>
  </si>
  <si>
    <t>ΓΥΜΝΑΣΙΟ με Λ.Τ. ΚΟΥΦΟΝΗΣΙΩΝ</t>
  </si>
  <si>
    <t>mail@gym-koyfon.kyk.sch.gr</t>
  </si>
  <si>
    <t>ΚΟΥΦΟΝΗΣΙΑ</t>
  </si>
  <si>
    <t>ΓΥΜΝΑΣΙΟ ΘΗΡΑΣ</t>
  </si>
  <si>
    <t>mail@gym-thiras.kyk.sch.gr</t>
  </si>
  <si>
    <t>ΦΗΡΑ ΘΗΡΑΣ</t>
  </si>
  <si>
    <t>2ο ΓΥΜΝΑΣΙΟ ΣΥΡΟΥ</t>
  </si>
  <si>
    <t>mail@2gym-syrou.kyk.sch.gr</t>
  </si>
  <si>
    <t>ΞΗΡΟΚΑΜΠΟΣ - ΣΥΡΟΥ</t>
  </si>
  <si>
    <t>Δημοτικό Σχολείο ʼνω Σύρου</t>
  </si>
  <si>
    <t>1ο ΓΥΜΝΑΣΙΟ ΣΥΡΟΥ</t>
  </si>
  <si>
    <t>mail@1gym-syrou.kyk.sch.gr</t>
  </si>
  <si>
    <t>ΑΛΕΚΟΥ ΠΑΝΑΓΟΥΛΗ 3</t>
  </si>
  <si>
    <t>ΓΥΜΝΑΣΙΟ ΤΡΑΓΑΙΑΣ</t>
  </si>
  <si>
    <t>mail@gym-tragaias.kyk.sch.gr</t>
  </si>
  <si>
    <t>ΓΥΜΝΑΣΙΟ ΜΕ Λ.Τ. ΙΟΥ- ΒΑΛΕΤΕΙΟ</t>
  </si>
  <si>
    <t>mail@gym-iou.kyk.sch.gr</t>
  </si>
  <si>
    <t xml:space="preserve">ΙΟΣ, </t>
  </si>
  <si>
    <t>ΕΜΠΕΙΡΙΚΕΙΟ ΓΥΜΝΑΣΙΟ ΑΝΔΡΟΥ</t>
  </si>
  <si>
    <t>mail@gym-androu.kyk.sch.gr</t>
  </si>
  <si>
    <t>ΓΕΩΡΓΙΟΥ ΕΜΠΕΙΡΙΚΟΥ 7</t>
  </si>
  <si>
    <t>ΔΟΝΟΥΣΗΣ</t>
  </si>
  <si>
    <t>ΓΥΜΝΑΣΙΟ ΜΕ Λ.Τ. ΔΟΝΟΥΣΑΣ</t>
  </si>
  <si>
    <t>mail@gym-donous.kyk.sch.gr</t>
  </si>
  <si>
    <t>ΔΟΝΟΥΣΑ</t>
  </si>
  <si>
    <t>ΔΗΜΟΤΙΚΟ ΣΧΟΛΕΙΟ ΔΟΝΟΥΣΑΣ</t>
  </si>
  <si>
    <t>3ο ΓΥΜΝΑΣΙΟ ΣΥΡΟΥ</t>
  </si>
  <si>
    <t>mail@3gym-syrou.kyk.sch.gr</t>
  </si>
  <si>
    <t>ΑΛ.ΠΑΝΑΓΟΥΛΗ- ΞΗΡΟΚΑΜΠΟΣ 3</t>
  </si>
  <si>
    <t>ΚΥΘΝΟΥ</t>
  </si>
  <si>
    <t>ΓΥΜΝΑΣΙΟ με Λ.Τ. ΚΥΘΝΟΥ</t>
  </si>
  <si>
    <t>mail@gym-kythn.kyk.sch.gr</t>
  </si>
  <si>
    <t>ΚΥΘΝΟΣ</t>
  </si>
  <si>
    <t>ΜΕΡΙΧΑΣ ΚΥΘΝΟΣ</t>
  </si>
  <si>
    <t>7/θ ΔΗΜΟΤΙΚΟ ΣΧΟΛΕΙΟ ΚΥΘΝΟΥ</t>
  </si>
  <si>
    <t>ΑΝΑΦΗΣ</t>
  </si>
  <si>
    <t>ΓΥΜΝʼΣΙΟ ΜΕ Λ.Τ. ΑΝΑΦΗΣ - "Μανώλης Γλέζος"</t>
  </si>
  <si>
    <t>mail@gym-anafis.kyk.sch.gr</t>
  </si>
  <si>
    <t>ΑΝΑΦΗ</t>
  </si>
  <si>
    <t>ΔΗΜΟΤΙΚΟ ΣΧΟΛΕΙΟ ΑΝΑΦΗΣ</t>
  </si>
  <si>
    <t>ΣΙΚΙΝΟΥ</t>
  </si>
  <si>
    <t>ΓΥΜΝΑΣΙΟ με Λ.Τ. ΣΙΚΙΝΟΥ</t>
  </si>
  <si>
    <t>mail@gym-sikin.kyk.sch.gr</t>
  </si>
  <si>
    <t>ΝΗΣΟΣ ΣΙΚΙΝΟΣ</t>
  </si>
  <si>
    <t>ΚΑΣΤΡΟ ΣΙΚΙΝΟΥ</t>
  </si>
  <si>
    <t>ΔΗΜΟΤΙΚΟ ΣΧΟΛΕΙΟ ΣΙΚΙΝΟΥ</t>
  </si>
  <si>
    <t>1ο ΓΥΜΝΑΣΙΟ ΝΑΞΟΥ</t>
  </si>
  <si>
    <t>mail@1gym-naxou.kyk.sch.gr</t>
  </si>
  <si>
    <t>ΠΑΠΑΒΑΣΙΛΕΙΟΥ</t>
  </si>
  <si>
    <t>ΓΥΜΝΑΣΙΟ ΜΕ Λ.Τ. ΚΕΑΣ</t>
  </si>
  <si>
    <t>mail@gym-keas.kyk.sch.gr</t>
  </si>
  <si>
    <t>ΓΥΜΝΑΣΙΟ με Λ.Τ. ΑΜΟΡΓΟΥ</t>
  </si>
  <si>
    <t>mail@gym-amorg.kyk.sch.gr</t>
  </si>
  <si>
    <t>ΧΩΡΑ ΑΜΟΡΓΟΥ</t>
  </si>
  <si>
    <t>ΟΙΑΣ</t>
  </si>
  <si>
    <t>ΘΗΡΑΣΙΑΣ</t>
  </si>
  <si>
    <t>ΓΥΜΝΑΣΙΟ με Λ.Τ. ΘΗΡΑΣΙΑΣ</t>
  </si>
  <si>
    <t>mail@gym-thirasias.kyk.sch.gr</t>
  </si>
  <si>
    <t>ΘΗΡΑΣΙΑ</t>
  </si>
  <si>
    <t>ΜΑΝΩΛΑΣ ΘΗΡΑΣΙΑΣ</t>
  </si>
  <si>
    <t>ΔΗΜΟΤΙΚΟ ΣΧΟΛΕΙΟ ΘΗΡΑΣΙΑΣ</t>
  </si>
  <si>
    <t>ΑΡΧΙΛΟΧΟΥ</t>
  </si>
  <si>
    <t>ΓΥΜΝΑΣΙΟ ΑΡΧΙΛΟΧΟΥ ΠΑΡΟΥ</t>
  </si>
  <si>
    <t>mail@gym-archil.kyk.sch.gr</t>
  </si>
  <si>
    <t>ΑΡΧΙΛΟΧΟΥ ΠΑΡΟΥ</t>
  </si>
  <si>
    <t>ΜΑΡΜΑΡΑ  - ΠΑΡΟΥ</t>
  </si>
  <si>
    <t>ΔΗΜΟΤΙΚΟ ΣΧΟΛΕΙΟ ΑΡΧΙΛΟΧΟΥ-ΜΑΡΠΗΣΣΑΣ ΠΑΡΟΥ</t>
  </si>
  <si>
    <t>ΝΑΟΥΣΗΣ</t>
  </si>
  <si>
    <t>ΓΕ.Λ. ΝΑΟΥΣΑΣ ΠΑΡΟΥ</t>
  </si>
  <si>
    <t>mail@lyk-naous.kyk.sch.gr</t>
  </si>
  <si>
    <t>ΝΑΟΥΣΑ ΠΑΡΟΥ</t>
  </si>
  <si>
    <t>ΔΗΜΟΤΙΚΟ ΣΧΟΛΕΙΟ ΝΑΟΥΣΑΣ ΠΑΡΟΥ</t>
  </si>
  <si>
    <t>ΑΝΤΙΠΑΡΟΥ</t>
  </si>
  <si>
    <t>ΓΥΜΝΑΣΙΟ Λ.Τ. ΑΝΤΙΠΑΡΟΥ</t>
  </si>
  <si>
    <t>mail@gym-antip.kyk.sch.gr</t>
  </si>
  <si>
    <t>ΑΝΤΙΠΑΡΟΣ</t>
  </si>
  <si>
    <t>ΔΗΜΟΤΙΚΟ ΣΧΟΛΕΙΟ ΑΝΤΙΠΑΡΟΥ</t>
  </si>
  <si>
    <t>ΓΥΜΝΑΣΙΟ ΝΑΟΥΣΑΣ ΠΑΡΟΥ</t>
  </si>
  <si>
    <t>mail@gym-naous.kyk.sch.gr</t>
  </si>
  <si>
    <t>ΝΑΟΥΣΑ - ΠΑΡΟΣ</t>
  </si>
  <si>
    <t>ΓΕ.Λ.  ΠΑΡΟΥ</t>
  </si>
  <si>
    <t>mail@lyk-parou.kyk.sch.gr</t>
  </si>
  <si>
    <t>ΠΑΡΟΙΚΙΑ ΠΑΡΟΣ</t>
  </si>
  <si>
    <t>ΓΥΜΝΑΣΙΟ ΠΑΡΟΥ</t>
  </si>
  <si>
    <t>mail@gym-parou.kyk.sch.gr</t>
  </si>
  <si>
    <t>ΣΚΑΔΟΥ</t>
  </si>
  <si>
    <t>ΓΥΜΝΑΣΙΟ ΣΚΑΔΟΥ</t>
  </si>
  <si>
    <t>mail@lyk-skadou.kyk.sch.gr</t>
  </si>
  <si>
    <t>ΣΚΑΔΟ</t>
  </si>
  <si>
    <t>ΣΚΑΔΟ ΔΡΥΜΑΛΙΑΣ ΝΑΞΟΥ</t>
  </si>
  <si>
    <t>ΔΗΜΟΤΙΚΟ ΣΧΟΛΕΙΟ ΚΟΡΩΝΟΥ ΝΑΞΟΥ</t>
  </si>
  <si>
    <t>ΓΥΜΝΑΣΙΟ ΜΗΛΟΥ</t>
  </si>
  <si>
    <t>mail@gym-milou.kyk.sch.gr</t>
  </si>
  <si>
    <t>ΕΕΕΕΚ ΣΥΡΟΥ</t>
  </si>
  <si>
    <t>mail@eeeek.kyk.sch.gr</t>
  </si>
  <si>
    <t>ΣΧΟΛΙΚΟ  ΣΥΓΚΡΟΤΗΜΑ  ΞΗΡΟΚΑΜΠΟΥ</t>
  </si>
  <si>
    <t>ΕΠΑ.Λ ΝΑΞΟΥ</t>
  </si>
  <si>
    <t>mail@1epal-naxou.kyk.sch.gr</t>
  </si>
  <si>
    <t>ΑΝΩ ΣΥΡΟΥ</t>
  </si>
  <si>
    <t>ΠΑΓΟΥ</t>
  </si>
  <si>
    <t>ΕΣΠΕΡΙΝΟ ΓΥΜΝΑΣΙΟ με Λ.Τ. ΣΥΡΟΥ</t>
  </si>
  <si>
    <t>mail@gym-esp-syrou.kyk.sch.gr</t>
  </si>
  <si>
    <t>ΓΕ.Λ. ΜΗΛΟΥ</t>
  </si>
  <si>
    <t>mail@lyk-milou.kyk.sch.gr</t>
  </si>
  <si>
    <t>Πλάκα</t>
  </si>
  <si>
    <t>2ο ΓΥΜΝΑΣΙΟ ΝΑΞΟΥ</t>
  </si>
  <si>
    <t>mail@2gym-naxou.kyk.sch.gr</t>
  </si>
  <si>
    <t>ΓΥΜΝΑΣΙΟ ΜΕ ΛΥΚΕΙΑΚΕΣ ΤΑΞΕΙΣ ΣΙΦΝΟΥ - "ΝΙΚΟΛΑΟΣ Γ. ΠΡΟΜΠΟΝΑΣ"</t>
  </si>
  <si>
    <t>mail@gym-sifnou.kyk.sch.gr</t>
  </si>
  <si>
    <t>ΑΠΟΛΛΩΝΙΑ</t>
  </si>
  <si>
    <t>ΚΙΜΩΛΟΥ</t>
  </si>
  <si>
    <t>ΓΥΜΝΑΣΙΟ ΜΕ Λ.Τ. ΚΙΜΩΛΟΥ</t>
  </si>
  <si>
    <t>mail@gym-kimol.kyk.sch.gr</t>
  </si>
  <si>
    <t>ΚΙΜΩΛΟΣ</t>
  </si>
  <si>
    <t>ΔΗΜΟΤΙΚΟ ΣΧΟΛΕΙΟ ΚΙΜΩΛΟΥ</t>
  </si>
  <si>
    <t>ΕΚ ΝΑΞΟΥ</t>
  </si>
  <si>
    <t>mail@sek-naxou.kyk.sch.gr</t>
  </si>
  <si>
    <t>ΦΙΛΟΤΙ</t>
  </si>
  <si>
    <t>ΕΝΙΑΙΟ ΕΙΔΙΚΟ ΕΠΑΓΓΕΛΜΑΤΙΚΟ ΓΥΜΝΑΣΙΟ - ΛΥΚΕΙΟ (ΕΝ.Ε.Ε.ΓΥ.-Λ.) ΣΥΡΟΥ</t>
  </si>
  <si>
    <t>mail@tee-eid-agogis.kyk.sch.gr</t>
  </si>
  <si>
    <t>ΕΣΠΕΡΙΝΟ ΕΠΑΛ ΣΥΡΟΥ - ΣΧΟΛΗ ΜΗΧΑΝΙΚΩΝ ΕΜΠΟΡΙΚΟΥ ΝΑΥΤΙΚΟΥ</t>
  </si>
  <si>
    <t>mail@epal-esp-syrou.kyk.sch.gr</t>
  </si>
  <si>
    <t>ΕΣΠΕΡΙΝΟ ΕΠΑ.Λ. ΘΗΡΑΣ</t>
  </si>
  <si>
    <t>mail@epal-esp-thiras.kyk.sch.gr</t>
  </si>
  <si>
    <t>ΘΗΡΑ,  ΚΥΚΛΑΔΕΣ</t>
  </si>
  <si>
    <t>Ε.Ε.Ε.ΕΚ ΘΗΡΑΣ</t>
  </si>
  <si>
    <t>mail@eeeek-thiras.kyk.sch.gr</t>
  </si>
  <si>
    <t>Γυμνάσιο Μεσαριάς - Μεσαριά Θήρας - Ταχ. Θυρίδα: 1333</t>
  </si>
  <si>
    <t>ΑΝΩ ΜΕΡΑΣ</t>
  </si>
  <si>
    <t>ΗΜΕΡΗΣΙΟ ΓΥΜΝΑΣΙΟ ΑΝΩ ΜΕΡΑΣ ΜΥΚΟΝΟΥ</t>
  </si>
  <si>
    <t>mail@gym-an-meras-mykon.kyk.sch.gr</t>
  </si>
  <si>
    <t>ΑΝΩ ΜΕΡΑ</t>
  </si>
  <si>
    <t>ΑΝΩ ΜΕΡΑ ΜΥΚΟΝΟΥ</t>
  </si>
  <si>
    <t>Ενιαίο Ειδικό Επαγγελματικό Γυμνάσιο- Λύκειο (ΕΝ.Ε.Ε.ΓΥ.-Λ.) Πάρου</t>
  </si>
  <si>
    <t>mail@eneegyl-parou.kyk.sch.gr</t>
  </si>
  <si>
    <t>Εσπερινό ΕΠΑ.Λ. Νάξου</t>
  </si>
  <si>
    <t>mail@epal-esp-naxou.kyk.sch.gr</t>
  </si>
  <si>
    <t>ΔΡΥΜΑΛΙΑ</t>
  </si>
  <si>
    <t>ΦΙΛΟΤΙ ΝΑΞΟΥ</t>
  </si>
  <si>
    <t>ΠΥΡΓΟΥ ΚΑΛΛΙΣΤΗΣ</t>
  </si>
  <si>
    <t>Ε.Κ. ΘΗΡΑΣ</t>
  </si>
  <si>
    <t>ekthiras@sch.gr</t>
  </si>
  <si>
    <t>ΕΣΠΕΡΙΝΟ ΓΕΝΙΚΟ ΛΥΚΕΙΟ ΝΑΞΟΥ</t>
  </si>
  <si>
    <t>mail@lyk-esp-naxou.kyk.sch.gr</t>
  </si>
  <si>
    <t>ΔΙΕΥΘΥΝΣΗ Π.Ε. ΔΩΔΕΚΑΝΗΣΟΥ</t>
  </si>
  <si>
    <t>mail@6dim-kalymn.dod.sch.gr</t>
  </si>
  <si>
    <t>mail@dim-chalk.dod.sch.gr</t>
  </si>
  <si>
    <t>3ο ΝΗΠΙΑΓΩΓΕΙΟ ΑΦΑΝΤΟΥ ΡΟΔΟΥ</t>
  </si>
  <si>
    <t>mail@3nip-afant.dod.sch.gr</t>
  </si>
  <si>
    <t>ΛΥΚΕΙΟ ΑΦΑΝΤΟΥ</t>
  </si>
  <si>
    <t>mail@dim-megist.dod.sch.gr</t>
  </si>
  <si>
    <t xml:space="preserve">ΜΕΓΙΣΤΗ </t>
  </si>
  <si>
    <t>3ο ΝΗΠΙΑΓΩΓΕΙΟ ΡΟΔΟΣ</t>
  </si>
  <si>
    <t>mail@3nip-rodou.dod.sch.gr</t>
  </si>
  <si>
    <t>ΥΨΗΛΑΝΤΟΥ 42</t>
  </si>
  <si>
    <t>mail@11dim-rodou.dod.sch.gr</t>
  </si>
  <si>
    <t>ΑΓ. ΙΩΑΝΝΟΥ 54</t>
  </si>
  <si>
    <t>3ο ΟΛΟΗΜΕΡΟ ΔΗΜΟΤΙΚΟ ΣΧΟΛΕΙΟ ΚΑΛΥΜΝΟΥ</t>
  </si>
  <si>
    <t>mail@3dim-kalymn.dod.sch.gr</t>
  </si>
  <si>
    <t>ΑΓΙΟΣ ΘΕΟΛΟΓΟΣ</t>
  </si>
  <si>
    <t>8ο ΝΗΠΙΑΓΩΓΕΙΟ ΡΟΔΟΣ - ΟΡΦΕΑΣ</t>
  </si>
  <si>
    <t>mail@8nip-rodou.dod.sch.gr</t>
  </si>
  <si>
    <t>ΘΕΜ. ΣΟΦΟΥΛΗ-ΟΥΡΑΝΙΑΣ 2</t>
  </si>
  <si>
    <t>ΔΗΜΟΤΙΚΟ ΣΧΟΛΕΙΟ ΚΑΜΠΟΥ ΠΑΤΜΟΥ</t>
  </si>
  <si>
    <t>mail@dim-kampou.dod.sch.gr</t>
  </si>
  <si>
    <t>ΚΑΜΠΟΥ ΠΑΤΜΟΥ</t>
  </si>
  <si>
    <t>ΔΗΜΟΤΙΚΟ ΣΧΟΛΕΙΟ ΤΕΛΕΝΔΟΥ</t>
  </si>
  <si>
    <t>mail@dim-telend.dod.sch.gr</t>
  </si>
  <si>
    <t>ΤΕΛΕΝΔΟΣ</t>
  </si>
  <si>
    <t>2ο ΝΗΠΙΑΓΩΓΕΙΟ ΚΕΦΑΛΟΣ ΚΩ</t>
  </si>
  <si>
    <t>mail@2nip-kefal.dod.sch.gr</t>
  </si>
  <si>
    <t>ΚΕΦΑΛΟΣ ΚΩ</t>
  </si>
  <si>
    <t>mail@1dim-rodou.dod.sch.gr</t>
  </si>
  <si>
    <t>ΜΗΤΡΟΠΟΛΕΩΣ ΚΑΙ ΧΑΤΖΗΓΕΩΡΓΙΟΥ</t>
  </si>
  <si>
    <t>mail@16dim-rodou.dod.sch.gr</t>
  </si>
  <si>
    <t>ΑΝΔΡΕΑ ΜΟΣΧΟΒΗ 1</t>
  </si>
  <si>
    <t>3dimrodou@sch.gr</t>
  </si>
  <si>
    <t>ΚΩΝΣΤΑΝΤΙΝΟΥ  ΠΑΛΑΙΟΛΟΓΟΥ 4</t>
  </si>
  <si>
    <t>ΚΩΝΣΤΑΝΤΙΝΟΥ ΠΑΛΑΙΟΛΟΓΟΥ 4</t>
  </si>
  <si>
    <t>16ο ΝΗΠΙΑΓΩΓΕΙΟ ΡΟΔΟΣ</t>
  </si>
  <si>
    <t>mail@16nip-rodou.dod.sch.gr</t>
  </si>
  <si>
    <t>mail@dim-skalas.dod.sch.gr</t>
  </si>
  <si>
    <t>mail@2dim-choras.dod.sch.gr</t>
  </si>
  <si>
    <t>ΧΩΡΑ ΚΑΛΥΜΝΟΥ</t>
  </si>
  <si>
    <t>ΔΗΜΟΤΙΚΟ ΣΧΟΛΕΙΟ ΑΛΙΝΤΩΝ ΛΕΡΟΥ</t>
  </si>
  <si>
    <t>mail@dim-alint.dod.sch.gr</t>
  </si>
  <si>
    <t>ΑΛΙΝΤΑ</t>
  </si>
  <si>
    <t>ΑΛΙΝΤΑ ΛΕΡΟΥ</t>
  </si>
  <si>
    <t>ΣΑΛΑΚΟΥ</t>
  </si>
  <si>
    <t>ΔΗΜΟΤΙΚΟ ΣΧΟΛΕΙΟ ΣΑΛΑΚΟΣ ΡΟΔΟΥ</t>
  </si>
  <si>
    <t>mail@dim-salak.dod.sch.gr</t>
  </si>
  <si>
    <t>ΣΑΛΑΚΟΣ ΡΟΔΟΥ</t>
  </si>
  <si>
    <t>ΟΛΟΗΜΕΡΟ ΔΗΜΟΤΙΚΟ ΣΧΟΛΕΙΟ ΧΩΡΑ ΠΑΤΜΟΥ</t>
  </si>
  <si>
    <t>mail@dim-choras.dod.sch.gr</t>
  </si>
  <si>
    <t>ΧΩΡΑ ΠΑΤΜΟΥ</t>
  </si>
  <si>
    <t>17ο ΝΗΠΙΑΓΩΓΕΙΟ ΡΟΔΟΥ</t>
  </si>
  <si>
    <t>mail@17nip-rodou.dod.sch.gr</t>
  </si>
  <si>
    <t>ΦΙΛ. ΓΙΑΜΑΛΗ</t>
  </si>
  <si>
    <t>ΛΙΝΔΙΩΝ</t>
  </si>
  <si>
    <t>ΛΑΡΔΟΥ</t>
  </si>
  <si>
    <t>ΝΗΠΙΑΓΩΓΕΙΟ ΛΑΡΔΟΣ ΡΟΔΟΥ</t>
  </si>
  <si>
    <t>mail@nip-lardou.dod.sch.gr</t>
  </si>
  <si>
    <t>ΛΑΡΔΟΣ ΡΟΔΟΥ</t>
  </si>
  <si>
    <t>ΔΙΜΥΛΙΑΣ</t>
  </si>
  <si>
    <t>ΔΗΜΟΤΙΚΟ ΣΧΟΛΕΙΟ ΔΙΜΥΛΙΑΣ ΡΟΔΟΥ</t>
  </si>
  <si>
    <t>mail@dim-dimyl.dod.sch.gr</t>
  </si>
  <si>
    <t>ΔΙΜΥΛΙΑ ΡΟΔΟΥ</t>
  </si>
  <si>
    <t>ΠΥΛΙΟΥ</t>
  </si>
  <si>
    <t>1ο ΝΗΠΙΑΓΩΓΕΙΟ ΠΥΛΙΟΥ ΚΩ</t>
  </si>
  <si>
    <t>mail@nip-pyliou.dod.sch.gr</t>
  </si>
  <si>
    <t>ΠΥΛΙ</t>
  </si>
  <si>
    <t>Ολοήμερο Πειραματικό Δημοτικό Σχολείο Ειδικής Αγωγής (ενταγμένο στο Πανεπιστήμιο)</t>
  </si>
  <si>
    <t>ΕΙΔΙΚΟ ΠΕΙΡΑΜΑΤΙΚΟ ΔΗΜΟΤΙΚΟ ΣΧΟΛΕΙΟ ΡΟΔΟΣ (ΕΝΤΑΓΜΕΝΟ ΣΤΟ ΠΑΝ. ΑΙΓΑΙΟΥ)</t>
  </si>
  <si>
    <t>mail@dim-eid-peir-rodou.dod.sch.gr</t>
  </si>
  <si>
    <t>ΠΛΑΤΕΙΑ Ι. ΖΙΓΔΗ</t>
  </si>
  <si>
    <t>1ο ΟΛΟΗΜΕΡΟ ΝΗΠΙΑΓΩΓΕΙΟ ΚΩ</t>
  </si>
  <si>
    <t>mail@1nip-ko.dod.sch.gr</t>
  </si>
  <si>
    <t>ΚΑΡΑΪΣΚΑΚΗ 12</t>
  </si>
  <si>
    <t>mail@2dim-rodou.dod.sch.gr</t>
  </si>
  <si>
    <t>ΒΕΝΕΤΟΚΛΕΩΝ 33</t>
  </si>
  <si>
    <t>mail@2dim-symis.dod.sch.gr</t>
  </si>
  <si>
    <t>ΠΛΑΤΕΙΑ ΒΟΛΟΝΑΚΗ</t>
  </si>
  <si>
    <t>14ο ΝΗΠΙΑΓΩΓΕΙΟ ΡΟΔΟΣ</t>
  </si>
  <si>
    <t>mail@14nip-rodou.dod.sch.gr</t>
  </si>
  <si>
    <t>2ο ΟΛΟΗΜΕΡΟ ΝΗΠΙΑΓΩΓΕΙΟ ΚΩ</t>
  </si>
  <si>
    <t>mail@2nip-ko.dod.sch.gr</t>
  </si>
  <si>
    <t>ΣΚΕΥΟΥ ΖΕΡΒΟΥ</t>
  </si>
  <si>
    <t>12ο ΝΗΠΙΑΓΩΓΕΙΟ ΡΟΔΟΣ</t>
  </si>
  <si>
    <t>mail@12nip-rodou.dod.sch.gr</t>
  </si>
  <si>
    <t>ΒΑΣΙΛΕΩΣ ΗΡΑΚΛΕΙΟΥ 77</t>
  </si>
  <si>
    <t>mail@7dim-ko.dod.sch.gr</t>
  </si>
  <si>
    <t>ΚΟΡΑΗ 4</t>
  </si>
  <si>
    <t>6ο ΔΗΜΟΤΙΚΟ ΣΧΟΛΕΙΟ ΚΩ</t>
  </si>
  <si>
    <t>mail@6dim-ko.dod.sch.gr</t>
  </si>
  <si>
    <t>3ο ΝΗΠΙΑΓΩΓΕΙΟ ΚΩ</t>
  </si>
  <si>
    <t>mail@3nip-ko.dod.sch.gr</t>
  </si>
  <si>
    <t>ΚΟΡΑΗ 24</t>
  </si>
  <si>
    <t>10ο ΝΗΠΙΑΓΩΓΕΙΟ ΡΟΔΟΥ</t>
  </si>
  <si>
    <t>mail@10nip-rodou.dod.sch.gr</t>
  </si>
  <si>
    <t>Ν. ΠΑΠΑΘΑΝΑΣΗ</t>
  </si>
  <si>
    <t>5ο ΝΗΠΙΑΓΩΓΕΙΟ ΚΩ</t>
  </si>
  <si>
    <t>mail@5nip-ko.dod.sch.gr</t>
  </si>
  <si>
    <t>ΑΓΙΟΣ ΓΑΒΡΙΗΛ</t>
  </si>
  <si>
    <t>ΝΗΠΙΑΓΩΓΕΙΟ ΤΗΛΟΥ</t>
  </si>
  <si>
    <t>mail@nip-tilou.dod.sch.gr</t>
  </si>
  <si>
    <t>ΛΙΒΑΔΙΑ ΤΗΛΟΣ</t>
  </si>
  <si>
    <t>Λιβάδια ΤΗΛΟΣ</t>
  </si>
  <si>
    <t>6ο ΝΗΠΙΑΓΩΓΕΙΟ ΚΩ</t>
  </si>
  <si>
    <t>mail@6nip-ko.dod.sch.gr</t>
  </si>
  <si>
    <t>ΜΥΛΟΣ-ΛΑΜΠΗ</t>
  </si>
  <si>
    <t>15ο ΝΗΠΙΑΓΩΓΕΙΟ ΡΟΔΟΥ</t>
  </si>
  <si>
    <t>mail@15nip-rodou.dod.sch.gr</t>
  </si>
  <si>
    <t>ΚΥΡΑ ΤΗΣ ΡΩ 40</t>
  </si>
  <si>
    <t>7ο ΝΗΠΙΑΓΩΓΕΙΟ ΚΩ</t>
  </si>
  <si>
    <t>mail@7nip-ko.dod.sch.gr</t>
  </si>
  <si>
    <t>1ο ΝΗΠΙΑΓΩΓΕΙΟ ΖΗΠΑΡΙΟΥ ΚΩ</t>
  </si>
  <si>
    <t>mail@1nip-zipar.dod.sch.gr</t>
  </si>
  <si>
    <t>ΖΗΠΑΡΙ, ΚΩΣ</t>
  </si>
  <si>
    <t>ΜΠΟΥΜΠΟΥΛΙΝΑΣ @ ΕΦΕΣΟΥ</t>
  </si>
  <si>
    <t>1ο  ΝΗΠΙΑΓΩΓΕΙΟ ΧΩΡΑΣ ΚΑΛΥΜΝΟΥ</t>
  </si>
  <si>
    <t>mail@1nip-choras.dod.sch.gr</t>
  </si>
  <si>
    <t>ΕΝΟΡΙΑ ΠΡΟΔΡΟΜΟΥ ΧΩΡΑΣ</t>
  </si>
  <si>
    <t>2ο ΝΗΠΙΑΓΩΓΕΙΟ ΖΗΠΑΡΙΟΥ ΚΩ</t>
  </si>
  <si>
    <t>mail@2nip-zipar.dod.sch.gr</t>
  </si>
  <si>
    <t>ΖΗΠΑΡΙ ΚΩ</t>
  </si>
  <si>
    <t>1ο ΝΗΠΙΑΓΩΓΕΙΟ ΑΝΤΙΜΑΧΕΙΑΣ</t>
  </si>
  <si>
    <t>mail@1nip-antim.dod.sch.gr</t>
  </si>
  <si>
    <t>2ο ΝΗΠΙΑΓΩΓΕΙΟ ΑΡΧΑΓΓΕΛΟΣ ΡΟΔΟΥ</t>
  </si>
  <si>
    <t>mail@2nip-archang.dod.sch.gr</t>
  </si>
  <si>
    <t>ΚΑΡΔΑΜΑΙΝΗΣ</t>
  </si>
  <si>
    <t>2ο ΝΗΠΙΑΓΩΓΕΙΟ ΚΑΡΔΑΜΑΙΝΑ ΚΩ</t>
  </si>
  <si>
    <t>mail@2nip-kardam.dod.sch.gr</t>
  </si>
  <si>
    <t>ΚΑΡΔΑΜΑΙΝΑ ΚΩ</t>
  </si>
  <si>
    <t>5ο ΔΗΜΟΤΙΚΟ ΣΧΟΛΕΙΟ ΚΩ</t>
  </si>
  <si>
    <t>mail@5dim-ko.dod.sch.gr</t>
  </si>
  <si>
    <t>ΗΡΑΚΛΗΣ ΚΩ</t>
  </si>
  <si>
    <t>ΟΛΟΗΜΕΡΟ ΝΗΠΙΑΓΩΓΕΙΟ ΑΡΓΟΥΣ ΚΑΛΥΜΝΟΥ</t>
  </si>
  <si>
    <t>mail@nip-argous-kalymn.dod.sch.gr</t>
  </si>
  <si>
    <t>ΑΡΓΟΣ ΚΑΛΥΜΝΟΣ</t>
  </si>
  <si>
    <t>ΑΡΓΟΣ ΚΑΛΥΜΝΟΥ</t>
  </si>
  <si>
    <t>ΝΗΠΙΑΓΩΓΕΙΟ ΚΑΜΠΟΥ ΠΑΤΜΟΥ - ΜΟΝΟΘΕΣΙΟ ΝΗΠΙΑΓΩΓΕΙΟ ΚΑΜΠΟΥ ΠΑΤΜΟΥ</t>
  </si>
  <si>
    <t>mail@nip-kampou.dod.sch.gr</t>
  </si>
  <si>
    <t>ΚΑΜΠΟΣ ΠΑΤΜΟΥ</t>
  </si>
  <si>
    <t>ΝΗΠΙΑΓΩΓΕΙΟ ΣΚΑΛΑΣ ΠΑΤΜΟΥ</t>
  </si>
  <si>
    <t>mail@nip-skalas.dod.sch.gr</t>
  </si>
  <si>
    <t>ΣΚΑΛΑΣ ΠΑΤΜΟΥ</t>
  </si>
  <si>
    <t>ΝΗΠΙΑΓΩΓΕΙΟ ΧΩΡΑΣ ΠΑΤΜΟΥ</t>
  </si>
  <si>
    <t>mail@nip-choras.dod.sch.gr</t>
  </si>
  <si>
    <t>ΧΩΡΑΣ ΠΑΤΜΟΥ</t>
  </si>
  <si>
    <t>2/Θ ΝΗΠΙΑΓΩΓΕΙΟ ΑΣΤΥΠΑΛΑΙΑΣ</t>
  </si>
  <si>
    <t>mail@nip-astyp.dod.sch.gr</t>
  </si>
  <si>
    <t>ΝΗΠΙΑΓΩΓΕΙΟ ΞΗΡΟΚΑΜΠΟΥ ΛΕΡΟΥ</t>
  </si>
  <si>
    <t>mail@nip-xirok.dod.sch.gr</t>
  </si>
  <si>
    <t>ΞΗΡΟΚΑΜΠΟΥ ΛΕΡΟΥ</t>
  </si>
  <si>
    <t>ΞΗΡΟΚΑΜΠΟΣ ΛΕΡΟΥ</t>
  </si>
  <si>
    <t>1/θ ΝΗΠΙΑΓΩΓΕΙΟ ΒΑΘΕΟΣ ΚΑΛΥΜΝΟΥ</t>
  </si>
  <si>
    <t>mail@nip-vathis.dod.sch.gr</t>
  </si>
  <si>
    <t>ΒΑΘΕΟΣ ΚΑΛΥΜΝΟΥ</t>
  </si>
  <si>
    <t>ΒΑΘΥΣ ΚΑΛΥΜΝΟΣ</t>
  </si>
  <si>
    <t>2/ΘΕΣΙΟ ΝΗΠΙΑΓΩΓΕΙΟ ΠΑΝΟΡΜΟΥ ΚΑΛΥΜΝΟΥ</t>
  </si>
  <si>
    <t>mail@nip-panorm.dod.sch.gr</t>
  </si>
  <si>
    <t>ΠΑΝΟΡΜΟΥ ΚΑΛΥΜΝΟΥ</t>
  </si>
  <si>
    <t>ΠΑΝΟΡΜΟΣ ΚΑΛΥΜΝΟΣ</t>
  </si>
  <si>
    <t>ΝΗΠΙΑΓΩΓΕΙΟ ΛΕΙΨΩΝ - ΝΙΚΗΦΟΡΕΙΟ</t>
  </si>
  <si>
    <t>mail@nip-leips.dod.sch.gr</t>
  </si>
  <si>
    <t>ΝΗΠΙΑΓΩΓΕΙΟ ΑΛΙΝΤΩΝ ΛΕΡΟΥ</t>
  </si>
  <si>
    <t>mail@nip-alint.dod.sch.gr</t>
  </si>
  <si>
    <t>1ο 2/Θ ΝΗΠΙΑΓΩΓΕΙΟ ΛΑΚΚΙΟΥ ΛΕΡΟΥ</t>
  </si>
  <si>
    <t>mail@nip-lakkiou.dod.sch.gr</t>
  </si>
  <si>
    <t>ΛΑΚΚΙ ΛΕΡΟΥ</t>
  </si>
  <si>
    <t>ΝΗΠΙΑΓΩΓΕΙΟ ΑΓΙΑΣ ΜΑΡΙΝΑΣ ΛΕΡΟΥ</t>
  </si>
  <si>
    <t>mail@nip-ag-marin.dod.sch.gr</t>
  </si>
  <si>
    <t>ΑΓΙΑ  ΜΑΡΙΝΑ  ΛΕΡΟΥ</t>
  </si>
  <si>
    <t>ΑΓΙΑ ΜΑΡΙΝΑ ΛΕΡΟΥ</t>
  </si>
  <si>
    <t>1ο2/Θ ΝΗΠΙΑΓΩΓΕΙΟ ΠΟΛΕΩΣ ΚΑΛΥΜΝΟΥ</t>
  </si>
  <si>
    <t>mail@1nip-kalymn.dod.sch.gr</t>
  </si>
  <si>
    <t>ΠΟΛΕΩΣ ΚΑΛΥΜΝΟΥ</t>
  </si>
  <si>
    <t>ΕΝ. ΚΑΛΑΜΙΩΤΙΣΣΑΣ ΚΑΛΥΜΝΟΣ</t>
  </si>
  <si>
    <t>3ο ΝΗΠΙΑΓΩΓΕΙΟ ΧΩΡΑΣ ΚΑΛΥΜΝΟΥ</t>
  </si>
  <si>
    <t>mail@3nip-choras.dod.sch.gr</t>
  </si>
  <si>
    <t>ΧΩΡΑΣ ΚΑΛΥΜΝΟΥ</t>
  </si>
  <si>
    <t>ΑΓΙΟΣ ΧΑΡΑΛΑΜΠΟΣ</t>
  </si>
  <si>
    <t>2ο ΝΗΠΙΑΓΩΓΕΙΟ ΠΟΛΕΩΣ ΚΑΛΥΜΝΟΥ</t>
  </si>
  <si>
    <t>mail@2nip-kalymn.dod.sch.gr</t>
  </si>
  <si>
    <t>1ο ΝΗΠΙΑΓΩΓΕΙΟ ΚΑΡΔΑΜΑΙΝΑ ΚΩ</t>
  </si>
  <si>
    <t>mail@1nip-kardam.dod.sch.gr</t>
  </si>
  <si>
    <t>ΚΑΡΔΑΜΑΙΝΑ</t>
  </si>
  <si>
    <t>18ο ΝΗΠΙΑΓΩΓΕΙΟ ΡΟΔΟΣ</t>
  </si>
  <si>
    <t>mail@18nip-rodou.dod.sch.gr</t>
  </si>
  <si>
    <t>mail@2dim-ko.dod.sch.gr</t>
  </si>
  <si>
    <t>Κ. ΚΑΝΑΡΗ 56</t>
  </si>
  <si>
    <t>2ο ΝΗΠΙΑΓΩΓΕΙΟ ΧΩΡΑΣ ΚΑΛΥΜΝΟΥ</t>
  </si>
  <si>
    <t>mail@2nip-choras.dod.sch.gr</t>
  </si>
  <si>
    <t>21ο ΝΗΠΙΑΓΩΓΕΙΟ ΡΟΔΟΣ</t>
  </si>
  <si>
    <t>mail@21nip-rodou.dod.sch.gr</t>
  </si>
  <si>
    <t>3ο ΝΗΠΙΑΓΩΓΕΙΟ ΠΟΛΕΩΣ ΚΑΛΥΜΝΟΥ</t>
  </si>
  <si>
    <t>mail@3nip-kalymn.dod.sch.gr</t>
  </si>
  <si>
    <t>ΕΥΑΓΓΕΛΙΣΤΡΙΑ ΚΑΛΥΜΝΟΣ</t>
  </si>
  <si>
    <t>19ο ΝΗΠΙΑΓΩΓΕΙΟ ΡΟΔΟΥ - ΑΓΙΟΙ ΑΠΟΣΤΟΛΟΙ</t>
  </si>
  <si>
    <t>mail@19nip-rodou.dod.sch.gr</t>
  </si>
  <si>
    <t>Α ΑΠΟΣΤΟΛΟΙ-Κ. ΒΑΡΝΑΛΗ</t>
  </si>
  <si>
    <t>10ο ΔΗΜΟΤΙΚΟ ΣΧΟΛΕΙΟ ΡΟΔΟΥ</t>
  </si>
  <si>
    <t>mail@10dim-rodou.dod.sch.gr</t>
  </si>
  <si>
    <t>ΡΟΔΟΣ  ΠΑΛΙΑ ΠΟΛΗ</t>
  </si>
  <si>
    <t>ΚΙΣΘΙΝΙΟΥ 10</t>
  </si>
  <si>
    <t>mail@17dim-rodou.dod.sch.gr</t>
  </si>
  <si>
    <t>4ο 2/θ ΝΗΠΙΑΓΩΓΕΙΟ ΠΟΛΕΩΣ ΚΑΛΥΜΝΟΥ</t>
  </si>
  <si>
    <t>mail@4nip-kalymn.dod.sch.gr</t>
  </si>
  <si>
    <t>ΑΝΑΣΤΑΣΗ ΚΑΛΥΜΝΟΥ</t>
  </si>
  <si>
    <t>5ο ΝΗΠΙΑΓΩΓΕΙΟ ΠΟΛΕΩΣ ΚΑΛΥΜΝΟΥ</t>
  </si>
  <si>
    <t>mail@5nip-kalymn.dod.sch.gr</t>
  </si>
  <si>
    <t>ΑΓΙΟΣ ΣΤΕΦΑΝΟΣ ΚΑΛΥΜΝΟΣ</t>
  </si>
  <si>
    <t>7ο ΔΗΜΟΤΙΚΟ ΣΧΟΛΕΙΟ ΠΟΛΕΩΣ ΡΟΔΟΥ</t>
  </si>
  <si>
    <t>mail@7dim-rodou.dod.sch.gr</t>
  </si>
  <si>
    <t>ΑΜΑΡΑΝΤΟΥ 47</t>
  </si>
  <si>
    <t>20ο ΝΗΠΙΑΓΩΓΕΙΟ ΡΟΔΟΣ</t>
  </si>
  <si>
    <t>mail@20nip-rodou.dod.sch.gr</t>
  </si>
  <si>
    <t>Περιοχή Βάκχος</t>
  </si>
  <si>
    <t>6ο ΝΗΠΙΑΓΩΓΕΙΟ ΠΟΛΕΩΣ ΚΑΛΥΜΝΟΥ</t>
  </si>
  <si>
    <t>mail@6nip-kalymn.dod.sch.gr</t>
  </si>
  <si>
    <t>ΕΝΟΡΙΑ ΑΝΑΣΤΑΣΗΣ ΚΑΛΥΜΝΟΣ</t>
  </si>
  <si>
    <t>7ο ΝΗΠΙΑΓΩΓΕΙΟ ΠΟΛΕΩΣ ΚΑΛΥΜΝΟΥ</t>
  </si>
  <si>
    <t>mail@7nip-kalymn.dod.sch.gr</t>
  </si>
  <si>
    <t>ΓΕΦΥΡΑ ΚΑΛΥΜΝΟΣ</t>
  </si>
  <si>
    <t>7ο ΝΗΠΙΑΓΩΓΕΙΟ ΡΟΔΟΥ</t>
  </si>
  <si>
    <t>mail@7nip-rodou.dod.sch.gr</t>
  </si>
  <si>
    <t>ΧΡ. ΤΣΙΓΑΝΤΕ</t>
  </si>
  <si>
    <t>ΝΗΠΙΑΓΩΓΕΙΟ ΜΕΓΙΣΤΗΣ</t>
  </si>
  <si>
    <t>mail@nip-kastell.dod.sch.gr</t>
  </si>
  <si>
    <t>ΜΕΓΙΣΤΗ ΚΑΣΤΕΛΛΟΡΙΖΟ</t>
  </si>
  <si>
    <t>1ο ΝΗΠΙΑΓΩΓΕΙΟ ΡΟΔΟΥ</t>
  </si>
  <si>
    <t>mail@1nip-rodou.dod.sch.gr</t>
  </si>
  <si>
    <t>ΔΗΜΟΤΙΚΟ ΣΧΟΛΕΙΟ ΑΡΚΙΩΝ</t>
  </si>
  <si>
    <t>mail@dim-arkion.dod.sch.gr</t>
  </si>
  <si>
    <t>ΑΡΚΙΩΝ</t>
  </si>
  <si>
    <t>ΑΡΚΙΟΙ</t>
  </si>
  <si>
    <t>mail@dim-agath.dod.sch.gr</t>
  </si>
  <si>
    <t>2ο ΝΗΠΙΑΓΩΓΕΙΟ ΡΟΔΟΣ - ΧΡΙΣΤΟΔΟΥΛΕΙΟ</t>
  </si>
  <si>
    <t>mail@2nip-rodou.dod.sch.gr</t>
  </si>
  <si>
    <t>22ο ΝΗΠΙΑΓΩΓΕΙΟ ΡΟΔΟΣ</t>
  </si>
  <si>
    <t>mail@22nip-rodou.dod.sch.gr</t>
  </si>
  <si>
    <t>ΔΗΜΟΤΙΚΟ ΣΧΟΛΕΙΟ ΑΡΓΟΥΣ ΚΑΛΥΜΝΟΥ</t>
  </si>
  <si>
    <t>mail@dim-argous.dod.sch.gr</t>
  </si>
  <si>
    <t>ʼργος Καλύμνου</t>
  </si>
  <si>
    <t>4ο ΝΗΠΙΑΓΩΓΕΙΟ ΡΟΔΟΣ</t>
  </si>
  <si>
    <t>mail@4nip-rodou.dod.sch.gr</t>
  </si>
  <si>
    <t>5ο ΝΗΠΙΑΓΩΓΕΙΟ ΡΟΔΟΣ - ΒΕΝΕΤΟΚΛΕΙΟ</t>
  </si>
  <si>
    <t>mail@5nip-rodou.dod.sch.gr</t>
  </si>
  <si>
    <t>Κ. ΠΑΛΑΙΟΛΟΓΟΥ 4</t>
  </si>
  <si>
    <t>6ο ΝΗΠΙΑΓΩΓΕΙΟ ΡΟΔΟΣ - ΒΕΝΕΤΟΚΛΕΙΟ</t>
  </si>
  <si>
    <t>mail@6nip-rodou.dod.sch.gr</t>
  </si>
  <si>
    <t>mail@6dim-rodou.dod.sch.gr</t>
  </si>
  <si>
    <t>ΥΨΗΛΑΝΤΗ 42</t>
  </si>
  <si>
    <t>2/Θ ΝΗΠΙΑΓΩΓΕΙΟ ΣΓΟΥΡΟΥ ΡΟΔΟΥ - ΣΓΟΥΡΟΥ</t>
  </si>
  <si>
    <t>mail@1nip-sgour.dod.sch.gr</t>
  </si>
  <si>
    <t>ΣΓΟΥΡΟΥ ΡΟΔΟΥ</t>
  </si>
  <si>
    <t>Α. ΠΑΠΑΝΑΣΤΑΣΙΟΥ 5</t>
  </si>
  <si>
    <t>ΝΗΠΙΑΓΩΓΕΙΟ ΘΕΟΛΟΓΟΣ ΡΟΔΟΥ - ΝΗΠΙΑΓΩΓΕΙΟ ΘΕΟΛΟΓΟΥ</t>
  </si>
  <si>
    <t>mail@nip-theol.dod.sch.gr</t>
  </si>
  <si>
    <t>ΘΕΟΛΟΓΟΣ ΡΟΔΟΥ</t>
  </si>
  <si>
    <t>11ο ΝΗΠΙΑΓΩΓΕΙΟ ΡΟΔΟΥ</t>
  </si>
  <si>
    <t>mail@11nip-rodou.dod.sch.gr</t>
  </si>
  <si>
    <t>ΠΛΑΤΕΙΑ ΒΡΟΥΧΟΥ 5</t>
  </si>
  <si>
    <t>1/Θ ΝΗΠΙΑΓΩΓΕΙΟ ΧΑΛΚΗΣ</t>
  </si>
  <si>
    <t>mail@1nip-chalkis.dod.sch.gr</t>
  </si>
  <si>
    <t>ΔΗΜΟΤΙΚΟ ΣΧΟΛΕΙΟ ΠΑΝΟΡΜΟΥ</t>
  </si>
  <si>
    <t>mail@dim-panorm.dod.sch.gr</t>
  </si>
  <si>
    <t>ΠΑΝΟΡΜΟΣ ΚΑΛΥΜΝΟΥ</t>
  </si>
  <si>
    <t>ΔΗΜΟΤΙΚΟ ΣΧΟΛΕΙΟ ΒΑΘΕΟΣ ΚΑΛΥΜΝΟΥ</t>
  </si>
  <si>
    <t>mail@dim-vatheos.dod.sch.gr</t>
  </si>
  <si>
    <t>ΒΑΘΥ  ΚΑΛΥΜΝΟΥ</t>
  </si>
  <si>
    <t>ΕΙΔΙΚΟ ΔΗΜΟΤΙΚΟ ΣΧΟΛΕΙΟ ΡΟΔΟΥ - ΚΩΦΩΝ ΒΑΡΗΚΟΩΝ</t>
  </si>
  <si>
    <t>mail@dim-ekv-rodou.dod.sch.gr</t>
  </si>
  <si>
    <t>mail@14dim-rodou.dod.sch.gr</t>
  </si>
  <si>
    <t>ΠΛ. ΜΙΧΑΗΛ ΒΡΟΥΧΟΥ 5</t>
  </si>
  <si>
    <t>mail@4dim-ko.dod.sch.gr</t>
  </si>
  <si>
    <t>ΕΘΝΙΚΗΣ ΑΝΤΙΣΤΑΣΕΩΣ 18</t>
  </si>
  <si>
    <t>5ο ΔΗΜΟΤΙΚΟ ΣΧΟΛΕΙΟ ΡΟΔΟΥ</t>
  </si>
  <si>
    <t>mail@5dim-rodou.dod.sch.gr</t>
  </si>
  <si>
    <t>ΨΙΝΘΟΥ</t>
  </si>
  <si>
    <t>ΔΗΜΟΤΙΚΟ ΣΧΟΛΕΙΟ ΨΙΝΘΟΥ ΡΟΔΟΥ</t>
  </si>
  <si>
    <t>mail@dim-psinth.dod.sch.gr</t>
  </si>
  <si>
    <t>ΨΙΝΘΟΣ ΡΟΔΟΥ</t>
  </si>
  <si>
    <t>1ο ΟΛΟΗΜΕΡΟ ΔΗΜΟΤΙΚΟ ΣΧΟΛΕΙΟ ΛΑΡΔΟΣ ΡΟΔΟΥ - ΔΗΜ.ΣΧ.ΛΑΡΔΟΥ</t>
  </si>
  <si>
    <t>mail@dim-lardou.dod.sch.gr</t>
  </si>
  <si>
    <t>ΚΡΗΤΗΝΙΑΣ</t>
  </si>
  <si>
    <t>ΔΗΜΟΤΙΚΟ ΣΧΟΛΕΙΟ ΚΡΗΤΗΝΙΑΣ ΡΟΔΟΥ</t>
  </si>
  <si>
    <t>mail@dim-kritin.dod.sch.gr</t>
  </si>
  <si>
    <t>ΚΡΗΤΗΝΙΑ ΡΟΔΟΥ</t>
  </si>
  <si>
    <t>ΔΑΜΑΤΡΙΑΣ</t>
  </si>
  <si>
    <t>ΔΗΜΟΤΙΚΟ ΣΧΟΛΕΙΟ ΔΑΜΑΤΡΙΑΣ ΡΟΔΟΥ</t>
  </si>
  <si>
    <t>mail@dim-damatr.dod.sch.gr</t>
  </si>
  <si>
    <t>ΔΑΜΑΤΡΙΑ ΡΟΔΟΥ</t>
  </si>
  <si>
    <t>ΜΑΡΙΤΣΩΝ</t>
  </si>
  <si>
    <t>ΟΛΟΗΜΕΡΟ ΔΗΜΟΤΙΚΟ ΣΧΟΛΕΙΟ ΜΑΡΙΤΣΩΝ</t>
  </si>
  <si>
    <t>mail@dim-marits.dod.sch.gr</t>
  </si>
  <si>
    <t>ΜΑΡΙΤΣΑ</t>
  </si>
  <si>
    <t>ΝΗΠΙΑΓΩΓΕΙΟ ΕΜΠΩΝΑ ΡΟΔΟΥ</t>
  </si>
  <si>
    <t>mail@nip-empon.dod.sch.gr</t>
  </si>
  <si>
    <t>ΕΜΠΩΝΑΣ ΡΟΔΟΥ</t>
  </si>
  <si>
    <t>ΕΜΠΩΝΑΣ</t>
  </si>
  <si>
    <t>ΜΟΝΟΘΕΣΙΟ ΝΗΠΙΑΓΩΓΕΙΟ ΟΘΟΥΣ ΚΑΡΠΑΘΟΥ</t>
  </si>
  <si>
    <t>mail@nip-othous.dod.sch.gr</t>
  </si>
  <si>
    <t>ΟΘΟΣ ΚΑΡΠΑΘΟΥ</t>
  </si>
  <si>
    <t>ΟΘΟΣ ΚΑΡΠΑΘΟΥ 85700</t>
  </si>
  <si>
    <t>ΦΑΝΩΝ</t>
  </si>
  <si>
    <t>ΝΗΠΙΑΓΩΓΕΙΟ ΦΑΝΩΝ - ΑΓΙΟΣ ΙΩΑΝΝΗΣ Ο ΠΡΟΔΡΟΜΟΣ</t>
  </si>
  <si>
    <t>mail@nip-fanon.dod.sch.gr</t>
  </si>
  <si>
    <t>ΦΑΝΕΣ</t>
  </si>
  <si>
    <t>ΦΑΝΕΣ ΡΟΔΟΥ</t>
  </si>
  <si>
    <t>ΝΗΠΙΑΓΩΓΕΙΟ ΨΙΝΘΟΣ</t>
  </si>
  <si>
    <t>mail@nip-psinth.dod.sch.gr</t>
  </si>
  <si>
    <t>ΨΙΝΘΟΣ</t>
  </si>
  <si>
    <t>1ο ΝΗΠΙΑΓΩΓΕΙΟ ΣΥΜΗΣ</t>
  </si>
  <si>
    <t>mail@1nip-symis.dod.sch.gr</t>
  </si>
  <si>
    <t>1ο ΔΗΜΟΤΙΚΟ ΣΧΟΛΕΙΟ ΣΓΟΥΡΟΥ - ΡΟΔΟΣ</t>
  </si>
  <si>
    <t>mail@1dim-sgour.dod.sch.gr</t>
  </si>
  <si>
    <t>ΣΓΟΥΡΟΥ</t>
  </si>
  <si>
    <t>ΑΛΕΞΑΝΔΡΟΥ ΠΑΠΑΝΑΣΤΑΣΙΟΥ  5</t>
  </si>
  <si>
    <t>ΝΗΠΙΑΓΩΓΕΙΟ ΑΠΕΡΙΟΥ ΚΑΡΠΑΘΟΥ</t>
  </si>
  <si>
    <t>mail@nip-aperiou.dod.sch.gr</t>
  </si>
  <si>
    <t>ΔΗΜΟΤΙΚΟ ΣΧΟΛΕΙΟ ΦΑΝΩΝ ΡΟΔΟΥ - ΦΑΝΑΙΟ</t>
  </si>
  <si>
    <t>mail@dim-fanon.dod.sch.gr</t>
  </si>
  <si>
    <t>Φάνες</t>
  </si>
  <si>
    <t>ΔΗΜΟΤΙΚΟ ΣΧΟΛΕΙΟ ΞΗΡΟΚΑΜΠΟΥ ΛΕΡΟΥ</t>
  </si>
  <si>
    <t>mail@dim-xirok.dod.sch.gr</t>
  </si>
  <si>
    <t>2ο ΔΗΜΟΤΙΚΟ ΣΧΟΛΕΙΟ ΠΟΛΕΩΣ ΚΑΛΥΜΝΟΥ</t>
  </si>
  <si>
    <t>2dimkalymn@sch.gr</t>
  </si>
  <si>
    <t>mail@5dim-kalymn.dod.sch.gr</t>
  </si>
  <si>
    <t xml:space="preserve"> ΚΑΛΥΜΝΟΣ</t>
  </si>
  <si>
    <t>ΕΝΟΡΙΑ ΑΝΑΣΤΑΣΗΣ</t>
  </si>
  <si>
    <t>2ο ΝΗΠΙΑΓΩΓΕΙΟ ΣΥΜΗΣ</t>
  </si>
  <si>
    <t>mail@2nip-symis.dod.sch.gr</t>
  </si>
  <si>
    <t>mail@dim-ag-marin-lerou.dod.sch.gr</t>
  </si>
  <si>
    <t>1dimchoras@sch.gr</t>
  </si>
  <si>
    <t>1ο ΟΛΟΗΜΕΡΟ ΔΗΜΟΤΙΚΟ ΣΧΟΛΕΙΟ ΠΟΛΕΩΣ ΚΑΛΥΜΝΟΥ - ΠΡΩΤΟ ΔΩΔΕΚΑΘΕΣΙΟ ΔΗΜΟΤΙΚΟ ΣΧΟΛΕΙΟ ΠΟΛΕΩΣ ΚΑΛΥΜΝΟΥ</t>
  </si>
  <si>
    <t>mail@1dim-kalymn.dod.sch.gr</t>
  </si>
  <si>
    <t>1o ΠΟΛΕΩΣ ΚΑΛΥΜΝΟΥ</t>
  </si>
  <si>
    <t>ΕΝΟΡΙΑ ΚΑΛΑΜΙΩΤΙΣΣΑΣ</t>
  </si>
  <si>
    <t>ΑΠΟΛΛΩΝΑ</t>
  </si>
  <si>
    <t>1/Θ ΝΗΠΙΑΓΩΓΕΙΟ ΑΠΟΛΛΩΝΩΝ ΡΟΔΟΥ</t>
  </si>
  <si>
    <t>mail@nip-apoll.dod.sch.gr</t>
  </si>
  <si>
    <t>ΑΠΟΛΛΩΝΑ ΡΟΔΟΥ</t>
  </si>
  <si>
    <t>mail@dim-gennad.dod.sch.gr</t>
  </si>
  <si>
    <t>ΓΕΝΝΑΔΙ ΡΟΔΟΥ</t>
  </si>
  <si>
    <t>mail@dim-masar.dod.sch.gr</t>
  </si>
  <si>
    <t>2ο ΝΗΠΙΑΓΩΓΕΙΟ ΚΑΛΥΘΙΕΣ ΡΟΔΟΥ</t>
  </si>
  <si>
    <t>mail@2nip-kalyth.dod.sch.gr</t>
  </si>
  <si>
    <t>ΚΑΛΥΘΙΕΣ ΡΟΔΟΥ</t>
  </si>
  <si>
    <t>2ο 4/θ ΝΗΠΙΑΓΩΓΕΙΟ ΙΑΛΥΣΟΥ - ΠΕΡΔΙΚΑΚΕΙΟ</t>
  </si>
  <si>
    <t>mail@2nip-ialys.dod.sch.gr</t>
  </si>
  <si>
    <t>ΙΑΛΥΣΟΣ</t>
  </si>
  <si>
    <t>1ο ΝΗΠΙΑΓΩΓΕΙΟ ΙΑΛΥΣΟΥ</t>
  </si>
  <si>
    <t>mail@1nip-ialys.dod.sch.gr</t>
  </si>
  <si>
    <t>ΝΗΠΙΑΓΩΓΕΙΟ ΣΟΡΩΝΗΣ ΡΟΔΟΥ</t>
  </si>
  <si>
    <t>mail@nip-soron.dod.sch.gr</t>
  </si>
  <si>
    <t>Ρόδος-Δωδεκάνησα</t>
  </si>
  <si>
    <t>ΝΗΠΙΑΓΩΓΕΙΟ ΔΙΑΦΑΝΙ ΚΑΡΠΑΘΟΥ</t>
  </si>
  <si>
    <t>mail@nip-diafan.dod.sch.gr</t>
  </si>
  <si>
    <t>ΔΙΑΦΑΝΙ ΚΑΡΠΑΘΟΥ</t>
  </si>
  <si>
    <t>mail@dim-diafan.dod.sch.gr</t>
  </si>
  <si>
    <t>1ο ΟΛΟΗΜΕΡΟ ΝΗΠΙΑΓΩΓΕΙΟ ΚΕΦΑΛΟΣ ΚΩ</t>
  </si>
  <si>
    <t>mail@1nip-kefal.dod.sch.gr</t>
  </si>
  <si>
    <t>ΠΥΛΩΝΟΣ</t>
  </si>
  <si>
    <t>4/ΘΕΣΙΟ ΟΛΟΗΜΕΡΟ ΔΗΜΟΤΙΚΟ ΣΧΟΛΕΙΟ ΠΥΛΩΝΑ ΡΟΔΟΥ</t>
  </si>
  <si>
    <t>mail@dim-pylonos.dod.sch.gr</t>
  </si>
  <si>
    <t>ΠΥΛΩΝΑΣ ΡΟΔΟΥ</t>
  </si>
  <si>
    <t>3ο ΟΛΟΗΜΕΡΟ ΔΗΜΟΤΙΚΟ ΣΧΟΛΕΙΟ ΑΦΑΝΤΟΥ ΡΟΔΟΥ</t>
  </si>
  <si>
    <t>3dimafant@sch.gr</t>
  </si>
  <si>
    <t>ΠΛΑΤΕΙΑ ΑΦΑΝΤΟΥ</t>
  </si>
  <si>
    <t>2ο ΝΗΠΙΑΓΩΓΕΙΟ ΛΑΚΚΙΟΥ ΛΕΡΟΥ</t>
  </si>
  <si>
    <t>mail@2nip-lakkiou.dod.sch.gr</t>
  </si>
  <si>
    <t>ΛΑΚΚΙΟΥ ΛΕΡΟΥ</t>
  </si>
  <si>
    <t>mail@1dim-astyp.dod.sch.gr</t>
  </si>
  <si>
    <t>Αστυπάλαια</t>
  </si>
  <si>
    <t>Πέρα Γιαλός</t>
  </si>
  <si>
    <t>mail@dim-lakkiou.dod.sch.gr</t>
  </si>
  <si>
    <t>1ο ΔΗΜΟΤΙΚΟ ΣΧΟΛΕΙΟ ΚΩΑΝΑΣΤΑΣΙΟΣ ΚΑΡΑΝΑΣΤΑΣΗΣ</t>
  </si>
  <si>
    <t>mail@1dim-ko.dod.sch.gr</t>
  </si>
  <si>
    <t>ΚΑΚΟ ΠΡΙΝΑΡΙ</t>
  </si>
  <si>
    <t>mail@dim-leips.dod.sch.gr</t>
  </si>
  <si>
    <t>1ο 4/Θ ΕΙΔΙΚΟ ΔΗΜΟΤΙΚΟ ΣΧΟΛΕΙΟ ΚΑΛΥΜΝΟΥ</t>
  </si>
  <si>
    <t>dimeidkalymn@sch.gr</t>
  </si>
  <si>
    <t>ΛΙΝΔΟΥ</t>
  </si>
  <si>
    <t>5/ Θ ΔΗΜΟΤΙΚΟ ΣΧΟΛΕΙΟ ΛΙΝΔΟΥ</t>
  </si>
  <si>
    <t>mail@dim-lindou.dod.sch.gr</t>
  </si>
  <si>
    <t>ΛΙΝΔΟΣ ΡΟΔΟΥ</t>
  </si>
  <si>
    <t>3ο 6/Θ ΔΗΜΟΤΙΚΟ ΣΧΟΛΕΙΟ ΚΩ</t>
  </si>
  <si>
    <t>mail@3dim-ko.dod.sch.gr</t>
  </si>
  <si>
    <t>Κως</t>
  </si>
  <si>
    <t>ΚΑΝΑΡΗ 2</t>
  </si>
  <si>
    <t>1ο ΟΛΟΗΜΕΡΟ ΝΗΠΙΑΓΩΓΕΙΟ ΠΑΡΑΔΕΙΣΙ ΡΟΔΟΥ</t>
  </si>
  <si>
    <t>mail@nip-parad.dod.sch.gr</t>
  </si>
  <si>
    <t>Γ. ΠΑΠΑΝΔΡΕΟΥ 1</t>
  </si>
  <si>
    <t>ΚΑΛΑΒΑΡΔΑ</t>
  </si>
  <si>
    <t>ΝΗΠΙΑΓΩΓΕΙΟ ΚΑΛΑΒΑΡΔΩΝ ΡΟΔΟΥ</t>
  </si>
  <si>
    <t>mail@nip-kalav.dod.sch.gr</t>
  </si>
  <si>
    <t>ΚΑΛΑΒΑΡΔΑ ΡΟΔΟΥ</t>
  </si>
  <si>
    <t>ΑΡΧΙΠΟΛΕΩΣ</t>
  </si>
  <si>
    <t>ΝΗΠΙΑΓΩΓΕΙΟ ΑΡΧΙΠΟΛΗ ΡΟΔΟΥ</t>
  </si>
  <si>
    <t>mail@nip-archip.dod.sch.gr</t>
  </si>
  <si>
    <t>ΑΡΧΙΠΟΛΗ ΡΟΔΟΥ</t>
  </si>
  <si>
    <t>ΑΡΧΙΠΟΛΗ</t>
  </si>
  <si>
    <t>ΝΗΠΙΑΓΩΓΕΙΟ ΜΑΡΙΤΣΩΝ</t>
  </si>
  <si>
    <t>mail@nip-marits.dod.sch.gr</t>
  </si>
  <si>
    <t>ΜΑΡΙΤΣΑ ΡΟΔΟΥ</t>
  </si>
  <si>
    <t>3ο ΝΗΠΙΑΓΩΓΕΙΟ ΑΡΧΑΓΓΕΛΟΣ ΡΟΔΟΥ - ΑΓΙΟΣ ΣΤΕΦΑΝΟΣ</t>
  </si>
  <si>
    <t>mail@3nip-archang.dod.sch.gr</t>
  </si>
  <si>
    <t>8dimrodou@sch.gr</t>
  </si>
  <si>
    <t>ΠΛ. ΙΩΑΝΝΗ ΖΙΓΔΗ (ΑΚΑΔΗΜΙΑΣ)</t>
  </si>
  <si>
    <t>3ο ΔΗΜΟΤΙΚΟ ΣΧΟΛΕΙΟ ΙΑΛΥΣΟΣ ΡΟΔΟΥ</t>
  </si>
  <si>
    <t>mail@3dim-ialys.dod.sch.gr</t>
  </si>
  <si>
    <t>ΣΩΤΗΡΟΣ ΚΑΙ ΑΠ. ΡΟΔΙΟΥ</t>
  </si>
  <si>
    <t>1ο ΝΗΠΙΑΓΩΓΕΙΟ ΑΦΑΝΤΟΥ ΡΟΔΟΥ</t>
  </si>
  <si>
    <t>mail@1nip-afant.dod.sch.gr</t>
  </si>
  <si>
    <t>ΠΛΑΤΕΙΑ ΕΛΕΥΘΕΡΙΑΣ</t>
  </si>
  <si>
    <t>ΝΗΠΙΑΓΩΓΕΙΟ ΦΡΥ ΚΑΣΟΥ - ΝΗΠΙΑΓΩΓΕΙΟ ΦΡΥ ΚΑΣΟΥ</t>
  </si>
  <si>
    <t>mail@nip-fry.dod.sch.gr</t>
  </si>
  <si>
    <t>ΦΡΥ ΚΑΣΟΥ</t>
  </si>
  <si>
    <t>ΜΑΛΩΝΟΣ</t>
  </si>
  <si>
    <t>ΟΛΟΗΜΕΡΟ ΔΗΜΟΤΙΚΟ ΣΧΟΛΕΙΟ ΜΑΛΩΝΑΣ- ΡΟΔΟΥ</t>
  </si>
  <si>
    <t>mail@dim-malon.dod.sch.gr</t>
  </si>
  <si>
    <t>ΜΑΛΩΝΑ-ΡΟΔΟΥ</t>
  </si>
  <si>
    <t>ΜΑΛΩΝΑ ΡΟΔΟΥ</t>
  </si>
  <si>
    <t>mail@dim-kasou.dod.sch.gr</t>
  </si>
  <si>
    <t>ΗΡΩΙΚΗ ΝΗΣΟΣ ΚΑΣΟΣ</t>
  </si>
  <si>
    <t>ΑΡΚΑΣΑΣ</t>
  </si>
  <si>
    <t>ΝΗΠΙΑΓΩΓΕΙΟ ΑΡΚΑΣΑ ΚΑΡΠΑΘΟΥ</t>
  </si>
  <si>
    <t>mail@nip-arkas.dod.sch.gr</t>
  </si>
  <si>
    <t>ΑΡΚΑΣΑ ΚΑΡΠΑΘΟΥ</t>
  </si>
  <si>
    <t>mail@dim-parad.dod.sch.gr</t>
  </si>
  <si>
    <t>mail@dim-zipar.dod.sch.gr</t>
  </si>
  <si>
    <t>ΖΗΠΑΡΙ</t>
  </si>
  <si>
    <t>mail@dim-kremast.dod.sch.gr</t>
  </si>
  <si>
    <t>ΠΑΡΟΔΟΣ ΙΚΑΡΩΝ 1</t>
  </si>
  <si>
    <t>mail@dim-kalyth.dod.sch.gr</t>
  </si>
  <si>
    <t>Καλυθιές Ρόδου</t>
  </si>
  <si>
    <t>Καλυθιές</t>
  </si>
  <si>
    <t>ΟΛΟΗΜΕΡΟ ΔΗΜΟΤΙΚΟ ΣΧΟΛΕΙΟ ΚΑΛΑΒΑΡΔΑ ΡΟΔΟΥ</t>
  </si>
  <si>
    <t>mail@dim-kalav.dod.sch.gr</t>
  </si>
  <si>
    <t>ΔΗΜΟΤΙΚΟ ΣΧΟΛΕΙΟ ΚΡΗΤΙΚΩΝ ΡΟΔΟΥ</t>
  </si>
  <si>
    <t>mail@dim-kritik.dod.sch.gr</t>
  </si>
  <si>
    <t>ΤΡΙΤΟ ΧΛΜ ΡΟΔΟΥ-ΙΑΛΥΣΟΥ</t>
  </si>
  <si>
    <t>12ο ΔΗΜΟΤΙΚΟ ΣΧΟΛΕΙΟ ΡΟΔΟΥ</t>
  </si>
  <si>
    <t>mail@12dim-rodou.dod.sch.gr</t>
  </si>
  <si>
    <t>mail@15dim-rodou.dod.sch.gr</t>
  </si>
  <si>
    <t>ΚΩΝΣΤΑΝΤΙΝΟΥΠΟΛΕΩΣ 38</t>
  </si>
  <si>
    <t>mail@18dim-rodou.dod.sch.gr</t>
  </si>
  <si>
    <t>Φ. ΓΙΑΜΑΛΗ</t>
  </si>
  <si>
    <t>9ο ΝΗΠΙΑΓΩΓΕΙΟ ΡΟΔΟΣ - ΒΕΝΕΤΟΚΛΕΙΟ</t>
  </si>
  <si>
    <t>mail@9nip-rodou.dod.sch.gr</t>
  </si>
  <si>
    <t>ΚΟΣΚΙΝΟΥ</t>
  </si>
  <si>
    <t>mail@dim-koskin.dod.sch.gr</t>
  </si>
  <si>
    <t>ΚΟΣΚΙΝΟΥ ΡΟΔΟΣ</t>
  </si>
  <si>
    <t>mail@1dim-karpath.dod.sch.gr</t>
  </si>
  <si>
    <t>ΠΗΓΑΔΙΑ, ΚΑΡΠΑΘΟΣ, ΔΩΔΕΚΑΝΗΣΑ</t>
  </si>
  <si>
    <t>mail@1dim-symis.dod.sch.gr</t>
  </si>
  <si>
    <t>2ο ΔΗΜΟΤΙΚΟ ΣΧΟΛΕΙΟ ΚΑΡΠΑΘΟΥ</t>
  </si>
  <si>
    <t>mail@2dim-karpath.dod.sch.gr</t>
  </si>
  <si>
    <t>ΠΗΓΑΔΙΑ ΚΑΡΠΑΘΟΣ</t>
  </si>
  <si>
    <t>mail@dim-aperiou.dod.sch.gr</t>
  </si>
  <si>
    <t>ΔΗΜΟΤΙΚΟ ΣΧΟΛΕΙΟ ΑΠΟΛΛΩΝΑ ΡΟΔΟΥ</t>
  </si>
  <si>
    <t>mail@dim-apoll.dod.sch.gr</t>
  </si>
  <si>
    <t>ΔΗΜΟΤΙΚΟ ΣΧΟΛΕΙΟ ΑΡΚΑΣΑΣ ΚΑΡΠΑΘΟΥ</t>
  </si>
  <si>
    <t>mail@dim-arkas.dod.sch.gr</t>
  </si>
  <si>
    <t>1ο ΔΗΜΟΤΙΚΟ ΣΧΟΛΕΙΟ ΑΡΧΑΓΓΕΛΟΥ</t>
  </si>
  <si>
    <t>mail@1dim-archang.dod.sch.gr</t>
  </si>
  <si>
    <t>mail@2dim-archang.dod.sch.gr</t>
  </si>
  <si>
    <t>ΔΗΜΟΤΙΚΟ ΣΧΟΛΕΙΟ ΑΡΧΙΠΟΛΗΣ ΡΟΔΟΥ</t>
  </si>
  <si>
    <t>mail@dim-archip.dod.sch.gr</t>
  </si>
  <si>
    <t>mail@2dim-afant.dod.sch.gr</t>
  </si>
  <si>
    <t>ΠΛΑΤΕΙΑ ΕΛΕΥΘΕΡΙΑΣ -ΑΦΑΝΤΟΥ</t>
  </si>
  <si>
    <t>1ο ΔΗΜΟΤΙΚΟ ΣΧΟΛΕΙΟ ΑΦΑΝΤΟΥ ΡΟΔΟΥ</t>
  </si>
  <si>
    <t>mail@1dim-afant.dod.sch.gr</t>
  </si>
  <si>
    <t>ΕΙΚΟΣΤΗΣ ΠΕΜΠΤΗΣ ΜΑΡΤΙΟΥ 83</t>
  </si>
  <si>
    <t>mail@dim-empon.dod.sch.gr</t>
  </si>
  <si>
    <t>ΟΛΟΗΜΕΡΟ ΔΗΜΟΤΙΚΟ ΣΧΟΛΕΙΟ ΘΕΟΛΟΓΟΣ ΡΟΔΟΥ</t>
  </si>
  <si>
    <t>mail@dim-theol.dod.sch.gr</t>
  </si>
  <si>
    <t>mail@1dim-ialys.dod.sch.gr</t>
  </si>
  <si>
    <t>ΠΑΡΟΔΟΣ ΔΗΜΟΚΡΑΤΙΑΣ- ΑΓ. ΙΩΑΝΝΟΥ</t>
  </si>
  <si>
    <t>mail@1dim-pyliou.dod.sch.gr</t>
  </si>
  <si>
    <t>2ο ΔΗΜΟΤΙΚΟ ΣΧΟΛΕΙΟ ΙΑΛΥΣΟΥ</t>
  </si>
  <si>
    <t>mail@2dim-ialys.dod.sch.gr</t>
  </si>
  <si>
    <t>Ιαλυσός</t>
  </si>
  <si>
    <t>ΦΙΛΕΡΗΜΟΥ 8</t>
  </si>
  <si>
    <t>ΟΛΟΗΜΕΡΟ ΝΗΠΙΑΓΩΓΕΙΟ ΚΡΗΤΗΝΙΑΣ ΡΟΔΟΥ - ΝΗΠΙΑΓΩΓΕΙΟ ΚΡΗΤΗΝΙΑΣ</t>
  </si>
  <si>
    <t>mail@nip-kritin.dod.sch.gr</t>
  </si>
  <si>
    <t>ΔΗΜΟΤΙΚΟ ΣΧΟΛΕΙΟ ΚΑΡΔΑΜΑΙΝΑΣ- ΚΩ</t>
  </si>
  <si>
    <t>mail@dim-kardam.dod.sch.gr</t>
  </si>
  <si>
    <t>mail@dim-antim.dod.sch.gr</t>
  </si>
  <si>
    <t>mail@dim-mandr.dod.sch.gr</t>
  </si>
  <si>
    <t>ΟΛΟΗΜΕΡΟ ΔΗΜΟΤΙΚΟ ΣΧΟΛΕΙΟ ΜΕΣΟΧΩΡΙ ΚΑΡΠΑΘΟΥ</t>
  </si>
  <si>
    <t>mail@dim-mesoch.dod.sch.gr</t>
  </si>
  <si>
    <t>ΜΕΣΟΧΩΡΙ ΚΑΡΠΑΘΟΥ</t>
  </si>
  <si>
    <t>mail@dim-kefal.dod.sch.gr</t>
  </si>
  <si>
    <t>4ο ΝΗΠΙΑΓΩΓΕΙΟ ΚΩ</t>
  </si>
  <si>
    <t>mail@4nip-ko.dod.sch.gr</t>
  </si>
  <si>
    <t>Αθηνάς,Τ.Θ. 430</t>
  </si>
  <si>
    <t>ΣΙΑΝΩΝ</t>
  </si>
  <si>
    <t>ΔΗΜΟΤΙΚΟ ΣΧΟΛΕΙΟ ΣΙΑΝΝΩΝ ΡΟΔΟΥ</t>
  </si>
  <si>
    <t>ΣΙΑΝΝΩΝ ΡΟΔΟΥ</t>
  </si>
  <si>
    <t>ΣΙΑΝΝΑ ΡΟΔΟΥ</t>
  </si>
  <si>
    <t>mail@dim-soron.dod.sch.gr</t>
  </si>
  <si>
    <t>2ο ΝΗΠΙΑΓΩΓΕΙΟ ΑΝΤΙΜΑΧΕΙΑ</t>
  </si>
  <si>
    <t>mail@2nip-antim.dod.sch.gr</t>
  </si>
  <si>
    <t>mail@dim-tilou.dod.sch.gr</t>
  </si>
  <si>
    <t>ΤΗΛΟΣ</t>
  </si>
  <si>
    <t>8ο ΝΗΠΙΑΓΩΓΕΙΟ ΚΩ</t>
  </si>
  <si>
    <t>mail@8nip-ko.dod.sch.gr</t>
  </si>
  <si>
    <t>Μαρμαρωτό</t>
  </si>
  <si>
    <t>ΝΗΠΙΑΓΩΓΕΙΟ ΑΓΙΑΣ ΜΑΡΙΝΑΣ ΗΡΩΙΚΗΣ ΝΗΣΟΥ ΚΑΣΟΥ</t>
  </si>
  <si>
    <t>mail@nip-ag-marin-kasou.dod.sch.gr</t>
  </si>
  <si>
    <t>ΑΓΙΑ ΜΑΡΙΝΑ ΗΡΩΙΚΗΣ ΝΗΣΟΥ ΚΑΣΟΥ</t>
  </si>
  <si>
    <t>ΑΓ. ΜΑΡΙΝΑ ΗΡΩΙΚΗΣ ΝΗΣΟΥ ΚΑΣΟΥ</t>
  </si>
  <si>
    <t>1ο ΝΗΠΙΑΓΩΓΕΙΟ ΑΡΧΑΓΓΕΛΟΥ ΡΟΔΟΥ</t>
  </si>
  <si>
    <t>mail@1nip-archang.dod.sch.gr</t>
  </si>
  <si>
    <t>2ο 2/ΘΕΣΙΟ ΝΗΠΙΑΓΩΓΕΙΟ ΑΦΑΝΤΟΥ ΡΟΔΟΣ</t>
  </si>
  <si>
    <t>mail@2nip-afant.dod.sch.gr</t>
  </si>
  <si>
    <t>ΑΦΑΝΤΟΥ ΡΟΔΟΣ</t>
  </si>
  <si>
    <t>Καποδιστρίου 1</t>
  </si>
  <si>
    <t>ΝΗΠΙΑΓΩΓΕΙΟ ΓΕΝΝΑΔΙΟΥ</t>
  </si>
  <si>
    <t>mail@nip-gennad.dod.sch.gr</t>
  </si>
  <si>
    <t>ΝΗΠΙΑΓΩΓΕΙΟ ΔΑΜΑΤΡΙΑΣ ΡΟΔΟΥ</t>
  </si>
  <si>
    <t>mail@nip-damatr.dod.sch.gr</t>
  </si>
  <si>
    <t>1/ΘΕΣΙΟ ΝΗΠΙΑΓΩΓΕΙΟ ΕΛΕΟΥΣΑΣ</t>
  </si>
  <si>
    <t>mail@nip-eleous.dod.sch.gr</t>
  </si>
  <si>
    <t>ΕΛΕΟΥΣΑ ΡΟΔΟΥ</t>
  </si>
  <si>
    <t>3ο ΝΗΠΙΑΓΩΓΕΙΟ ΙΑΛΥΣΟΣ - ΓΙΑΛΛΟΥΣΕΙΟ</t>
  </si>
  <si>
    <t>mail@3nip-ialys.dod.sch.gr</t>
  </si>
  <si>
    <t>ΑΠ. ΡΟΔΙΟΥ &amp; ΣΩΤΗΡΟΣ ΙΞΙΑ ΡΟΔΟΥ</t>
  </si>
  <si>
    <t>ΚΑΛΑΘΟΥ</t>
  </si>
  <si>
    <t>ΝΗΠΙΑΓΩΓΕΙΟ ΚΑΛΑΘΟΣ ΡΟΔΟΥ</t>
  </si>
  <si>
    <t>mail@nip-kalathou.dod.sch.gr</t>
  </si>
  <si>
    <t>ΚΑΛΑΘΟΣ ΡΟΔΟΥ</t>
  </si>
  <si>
    <t>1ο ΝΗΠΙΑΓΩΓΕΙΟ ΚΑΛΥΘΙΕΣ - ΣΤΕΦΑΝΕΙΟ-ΠΕΡΙΒΛΕΠΤΟ</t>
  </si>
  <si>
    <t>mail@1nip-kalyth.dod.sch.gr</t>
  </si>
  <si>
    <t>3ο ΝΗΠΙΑΓΩΓΕΙΟ ΚΑΛΥΘΙΕΣ ΡΟΔΟΥ</t>
  </si>
  <si>
    <t>mail@3nip-kalyth.dod.sch.gr</t>
  </si>
  <si>
    <t>1ο ΝΗΠΙΑΓΩΓΕΙΟ ΚΑΡΠΑΘΟΣ</t>
  </si>
  <si>
    <t>mail@1nip-karpath.dod.sch.gr</t>
  </si>
  <si>
    <t>2ο ΝΗΠΙΑΓΩΓΕΙΟ ΚΑΡΠΑΘΟΣ</t>
  </si>
  <si>
    <t>mail@2nip-karpath.dod.sch.gr</t>
  </si>
  <si>
    <t>1ο ΝΗΠΙΑΓΩΓΕΙΟ ΚΟΣΚΙΝΟΥ ΡΟΔΟΣ - ΠΡΩΤΟ ΝΗΠΙΑΓΩΓΕΙΟ ΚΟΣΚΙΝΟΥ</t>
  </si>
  <si>
    <t>mail@1nip-koskin.dod.sch.gr</t>
  </si>
  <si>
    <t>ΓΕΩΡΓΙΟΥ ΜΠΑΡΔΟΥ</t>
  </si>
  <si>
    <t>2ο ,2/Θ ΝΗΠΙΑΓΩΓΕΙΟ ΚΟΣΚΙΝΟΥ ΡΟΔΟΣ - ΔΕΥΤΕΡΟ ΔΙΘΕΣΙΟ ΝΗΠΙΑΓΩΓΕΙΟ ΚΟΣΚΙΝΟΥ</t>
  </si>
  <si>
    <t>mail@2nip-koskin.dod.sch.gr</t>
  </si>
  <si>
    <t>1ο ΝΗΠΙΑΓΩΓΕΙΟ ΚΡΕΜΑΣΤΗ ΡΟΔΟΥ</t>
  </si>
  <si>
    <t>mail@1nip-kremast.dod.sch.gr</t>
  </si>
  <si>
    <t>ΑΘΑΝΑΣΙΟΥ ΔΙΑΚΟΥ 5</t>
  </si>
  <si>
    <t>2ο ΝΗΠΙΑΓΩΓΕΙΟ ΚΡΕΜΑΣΤΗΣ ΡΟΔΟΥ</t>
  </si>
  <si>
    <t>mail@2nip-kremast.dod.sch.gr</t>
  </si>
  <si>
    <t>ΝΗΠΙΑΓΩΓΕΙΟ ΛΙΝΔΟΣ ΡΟΔΟΥ</t>
  </si>
  <si>
    <t>mail@nip-lindou.dod.sch.gr</t>
  </si>
  <si>
    <t>ΝΗΠΙΑΓΩΓΕΙΟ ΜΑΛΩΝΑ ΡΟΔΟΥ</t>
  </si>
  <si>
    <t>mail@nip-malon.dod.sch.gr</t>
  </si>
  <si>
    <t>ΔΙΘΕΣΙΟ ΝΗΠΙΑΓΩΓΕΙΟ ΜΑΣΑΡΩΝ ΡΟΔΟΥ</t>
  </si>
  <si>
    <t>mail@nip-masar.dod.sch.gr</t>
  </si>
  <si>
    <t>ΝΗΠΙΑΓΩΓΕΙΟ ΜΑΝΔΡΑΚΙΟΥ ΝΙΣΥΡΟΣ</t>
  </si>
  <si>
    <t>mail@nip-mandr.dod.sch.gr</t>
  </si>
  <si>
    <t>ΜΑΝΔΡΑΚΙΟΥ ΝΙΣΥΡΟΣ</t>
  </si>
  <si>
    <t>2ο ΝΗΠΙΑΓΩΓΕΙΟ ΠΥΛΙ ΚΩ</t>
  </si>
  <si>
    <t>mail@2nip-pyliou.dod.sch.gr</t>
  </si>
  <si>
    <t>ΠΑΣΤΙΔΑΣ</t>
  </si>
  <si>
    <t>3/Θ  ΝΗΠΙΑΓΩΓΕΙΟ ΠΑΣΤΙΔΑΣ  ΡΟΔΟΥ</t>
  </si>
  <si>
    <t>mail@nip-pastid.dod.sch.gr</t>
  </si>
  <si>
    <t>ΠΑΣΤΙΔΑ ΡΟΔΟΥ</t>
  </si>
  <si>
    <t>ΝΗΠΙΑΓΩΓΕΙΟ ΣΑΛΑΚΟΥ ΡΟΔΟΥ</t>
  </si>
  <si>
    <t>mail@nip-salak.dod.sch.gr</t>
  </si>
  <si>
    <t>ΣΑΛΑΚΟΣ  ΡΟΔΟΥ</t>
  </si>
  <si>
    <t>ΔΗΜΟΤΙΚΟ ΣΧΟΛΕΙΟ ΠΑΣΤΙΔΑΣ</t>
  </si>
  <si>
    <t>mail@dim-pastid.dod.sch.gr</t>
  </si>
  <si>
    <t>ΠΑΣΤΙΔΑ</t>
  </si>
  <si>
    <t>2ο ΠΕΙΡΑΜΑΤΙΚΟ ΔΗΜΟΤΙΚΟ ΣΧΟΛΕΙΟ ΠΟΛΕΩΣ ΡΟΔΟΥ (ΕΝΤΑΓΜΕΝΟ ΣΤΟ ΠΑΝΕΠΙΣΤΗΜΙΟ ΑΙΓΑΙΟΥ)</t>
  </si>
  <si>
    <t>mail@2dim-peir-rodou.dod.sch.gr</t>
  </si>
  <si>
    <t>ΜΕΓΑΡΟ ΑΚΑΔΗΜΙΑΣ</t>
  </si>
  <si>
    <t>1ο  ΠΕΙΡΑΜΑΤΙΚΟ ΔΗΜΟΤΙΚΟ ΣΧΟΛΕΙΟ ΡΟΔΟΥ(ΕΝΤΑΓΜΕΝΟ ΣΤΟ ΠΑΝΕΠΙΣΤΗΜΙΟ) ΠΑΝΑΓΙΩΤΗΣ ΡΟΔΙΟΣ</t>
  </si>
  <si>
    <t>mail@1dim-peir-rodou.dod.sch.gr</t>
  </si>
  <si>
    <t>ΠΛ. Ι. ΖΙΓΔΗ</t>
  </si>
  <si>
    <t>13dimrodou@sch.gr</t>
  </si>
  <si>
    <t>ΑΤΤΑΒΥΡΟΥ &amp; ΑΚΡΑΜΙΤΟΥ</t>
  </si>
  <si>
    <t>1ο ΕΙΔΙΚΟ ΔΗΜΟΤΙΚΟ ΣΧΟΛΕΙΟ ΡΟΔΟΣ</t>
  </si>
  <si>
    <t>mail@1dim-eid-rodou.dod.sch.gr</t>
  </si>
  <si>
    <t>Β. ΗΡΑΚΛΕΙΟΥ 77</t>
  </si>
  <si>
    <t>ΕΙΔΙΚΟ ΝΗΠΙΑΓΩΓΕΙΟ ΡΟΔΟΥ</t>
  </si>
  <si>
    <t>mail@nip-eid-rodou.dod.sch.gr</t>
  </si>
  <si>
    <t>Β.ΗΡΑΚΛΕΙΟΥ 77</t>
  </si>
  <si>
    <t>ΕΙΔΙΚΟ ΝΗΠΙΑΓΩΓΕΙΟ ΚΑΛΥΜΝΟΥ</t>
  </si>
  <si>
    <t>mail@nip-eid-kalymn.dod.sch.gr</t>
  </si>
  <si>
    <t>ΕΙΔΙΚΟ ΔΗΜΟΤΙΚΟ ΣΧΟΛΕΙΟ ΚΑΡΠΑΘΟΥ</t>
  </si>
  <si>
    <t>mail@dim-eid-karpath.dod.sch.gr</t>
  </si>
  <si>
    <t>ΕΙΔΙΚΟ ΔΗΜΟΤΙΚΟ ΣΧΟΛΕΙΟ ΚΩ</t>
  </si>
  <si>
    <t>mail@dim-eid-ko.dod.sch.gr</t>
  </si>
  <si>
    <t>ΚΩΣ-ΠΛΑΤΑΝΙ</t>
  </si>
  <si>
    <t>ΚΕΡΑΜΟΥ ΚΑΙ ΘΡΑΚΗΣ</t>
  </si>
  <si>
    <t>ΕΙΔΙΚΟ ΝΗΠΙΑΓΩΓΕΙΟ ΚΩ</t>
  </si>
  <si>
    <t>mail@nip-eid-ko.dod.sch.gr</t>
  </si>
  <si>
    <t>ΦΙΛΙΝΟΥ - ΤΡΙΟΠΟΝ</t>
  </si>
  <si>
    <t>2ο ΕΙΔΙΚΟ ΔΗΜΟΤΙΚΟ ΣΧΟΛΕΙΟ ΡΟΔΟΣ</t>
  </si>
  <si>
    <t>2ο ΔΗΜΟΤΙΚΟ ΣΧΟΛΕΙΟ ΚΑΛΥΘΙΩΝ ΡΟΔΟΥ</t>
  </si>
  <si>
    <t>mail@2dim-kalyth.dod.sch.gr</t>
  </si>
  <si>
    <t>ΚΑΛΥΘΙEΣ ΡΟΔΟΥ</t>
  </si>
  <si>
    <t>Θ. ΚΟΛΟΚΟΤΡΩΝΗ 21</t>
  </si>
  <si>
    <t>8ο ΝΗΠΙΑΓΩΓΕΙΟ ΠΟΛΕΩΣ ΚΑΛΥΜΝΟΥ</t>
  </si>
  <si>
    <t>mail@8nip-kalymn.dod.sch.gr</t>
  </si>
  <si>
    <t>ΦΛΑΣΚΑΣ</t>
  </si>
  <si>
    <t>ΕΙΔΙΚΟ ΔΗΜΟΤΙΚΟ ΣΧΟΛΕΙΟ ΛΙΝΔΟΥ</t>
  </si>
  <si>
    <t>mail@dim-eid-lindou.dod.sch.gr</t>
  </si>
  <si>
    <t>ΛΑΡΔΟΣ</t>
  </si>
  <si>
    <t>2/Θ ΝΗΠΙΑΓΩΓΕΙΟ ΠΑΝΤΕΛΙΟΥ ΛΕΡΟΥ</t>
  </si>
  <si>
    <t>mail@nip-pantel.dod.sch.gr</t>
  </si>
  <si>
    <t>ΠΑΝΤΕΛΙ ΛΕΡΟΥ</t>
  </si>
  <si>
    <t>ΠΑΝΤΕΛΙ</t>
  </si>
  <si>
    <t>1/Θ ΝΗΠΙΑΓΩΓΕΙΟ ΑΓΑΘΟΝΗΣΙΟΥ</t>
  </si>
  <si>
    <t>mail@nip-agath.dod.sch.gr</t>
  </si>
  <si>
    <t>23ο ΝΗΠΙΑΓΩΓΕΙΟ ΡΟΔΟΥ</t>
  </si>
  <si>
    <t>ΔΙΕΥΘΥΝΣΗ Π.Ε. ΚΥΚΛΑΔΩΝ</t>
  </si>
  <si>
    <t>ΜΑΡΠΗΣΣΗΣ</t>
  </si>
  <si>
    <t>mail@dim-archil.kyk.sch.gr</t>
  </si>
  <si>
    <t>ΜΑΡΠΗΣΣΑ ΠΑΡΟΥ</t>
  </si>
  <si>
    <t>ΚΟΡΩΝΟΥ</t>
  </si>
  <si>
    <t>mail@dim-koronou.kyk.sch.gr</t>
  </si>
  <si>
    <t>ΚΟΡΩΝΟΣ</t>
  </si>
  <si>
    <t>ΚΟΡΩΝΟΣ ΝΑΞΟΥ</t>
  </si>
  <si>
    <t>ΝΗΠΙΑΓΩΓΕΙΟ ΚΟΡΩΝΟΥ ΝΑΞΟΥ</t>
  </si>
  <si>
    <t>mail@nip-koronou.kyk.sch.gr</t>
  </si>
  <si>
    <t>ΚΟΡΩΝΟΥ ΝΑΞΟΥ</t>
  </si>
  <si>
    <t>ΜΕΛΑΝΩΝ</t>
  </si>
  <si>
    <t>ΝΗΠΙΑΓΩΓΕΙΟ ΜΕΛΑΝΩΝ ΝΑΞΟΥ</t>
  </si>
  <si>
    <t>mail@nip-melan.kyk.sch.gr</t>
  </si>
  <si>
    <t>ΜΕΛΑΝΩΝ ΝΑΞΟΥ</t>
  </si>
  <si>
    <t>ΜΕΛΑΝΕΣ ΝΑΞΟΥ</t>
  </si>
  <si>
    <t>1ο  ΝΗΠΙΑΓΩΓΕΙΟ ΧΩΡΑΣ ΝΑΞΟΥ</t>
  </si>
  <si>
    <t>mail@1nip-naxou.kyk.sch.gr</t>
  </si>
  <si>
    <t>ΧΩΡΑΣ ΝΑΞΟΥ</t>
  </si>
  <si>
    <t>ΑΙΓΙΑΛΗΣ</t>
  </si>
  <si>
    <t>ΝΗΠΙΑΓΩΓΕΙΟ ΑΙΓΙΑΛΗΣ ΑΜΟΡΓΟΥ</t>
  </si>
  <si>
    <t>mail@nip-aigial.kyk.sch.gr</t>
  </si>
  <si>
    <t>ΑΙΓΙΑΛΗΣ ΑΜΟΡΓΟΥ</t>
  </si>
  <si>
    <t>ΟΡΜΟΣ ΑΙΓΙΑΛΗΣ</t>
  </si>
  <si>
    <t>ΑΓΙΟΥ ΑΡΣΕΝΙΟΥ</t>
  </si>
  <si>
    <t>ΝΗΠΙΑΓΩΓΕΙΟ ΑΓΙΟΥ ΑΡΣΕΝΙΟΥ ΝΑΞΟΥ</t>
  </si>
  <si>
    <t>mail@nip-ag-arsen.kyk.sch.gr</t>
  </si>
  <si>
    <t>ΑΓΙΟΥ ΑΡΣΕΝΙΟΥ ΝΑΞΟΥ</t>
  </si>
  <si>
    <t>ΑΓΙΟΣ ΑΡΣΕΝΙΟΣ ΝΑΞΟΥ</t>
  </si>
  <si>
    <t>ΑΠΕΡΑΘΟΥ</t>
  </si>
  <si>
    <t>ΔΗΜΟΤΙΚΟ ΣΧΟΛΕΙΟ ΑΠΕΡΑΘΟΥ ΝΑΞΟΥ</t>
  </si>
  <si>
    <t>mail@dim-aperath.kyk.sch.gr</t>
  </si>
  <si>
    <t>ΑΠΕΡΑΘΟΥ ΝΑΞΟΥ</t>
  </si>
  <si>
    <t>ΚΑΤΑΠΟΛΩΝ (ΑΜΟΡΓΟΥ)</t>
  </si>
  <si>
    <t>ΔΗΜΟΤΙΚΟ ΣΧΟΛΕΙΟ ΚΑΤΑΠΟΛΩΝ ΑΜΟΡΓΟΥ</t>
  </si>
  <si>
    <t>mail@dim-katap.kyk.sch.gr</t>
  </si>
  <si>
    <t>ΚΑΤΑΠΟΛΑ ΑΜΟΡΓΟΥ</t>
  </si>
  <si>
    <t>Δ.Σ. ΚΑΤΑΠΟΛΩΝ ΑΜΟΡΓΟΥ</t>
  </si>
  <si>
    <t>ΑΡΚΕΣΙΝΗΣ</t>
  </si>
  <si>
    <t>ΔΗΜΟΤΙΚΟ ΣΧΟΛΕΙΟ ΑΡΚΕΣΙΝΗΣ</t>
  </si>
  <si>
    <t>mail@dim-arkes.kyk.sch.gr</t>
  </si>
  <si>
    <t>ΑΡΚΕΣΙΝΗΣ ΑΜΟΡΓΟΥ</t>
  </si>
  <si>
    <t>ΑΡΚΕΣΙΝΗ ΑΜΟΡΓΟΥ</t>
  </si>
  <si>
    <t>mail@dim-donous.kyk.sch.gr</t>
  </si>
  <si>
    <t>ΔΟΝΟΥΣΑ ΚΥΚΛΑΔΩΝ</t>
  </si>
  <si>
    <t>ΓΑΛΑΝΑΔΟΥ</t>
  </si>
  <si>
    <t>ΝΗΠΙΑΓΩΓΕΙΟ ΓΑΛΑΝΑΔΟΥ ΝΑΞΟΥ</t>
  </si>
  <si>
    <t>mail@nip-galan.kyk.sch.gr</t>
  </si>
  <si>
    <t>ΓΑΛΑΝΑΔΟΥ ΝΑΞΟΥ</t>
  </si>
  <si>
    <t>ΓΑΛΑΝΑΔΟ ΝΑΞΟΣ</t>
  </si>
  <si>
    <t>ΝΗΠΙΑΓΩΓΕΙΟ ΧΑΛΚΕΙΟΥ ΝΑΞΟΥ</t>
  </si>
  <si>
    <t>mail@nip-chalk.kyk.sch.gr</t>
  </si>
  <si>
    <t>ΧΑΛΚΕΙΟΥ ΝΑΞΟΥ</t>
  </si>
  <si>
    <t>2ο  ΔΗΜΟΤΙΚΟ ΣΧΟΛΕΙΟ ΕΡΜΟΥΠΟΛΗΣ</t>
  </si>
  <si>
    <t>mail@2dim-ermoup.kyk.sch.gr</t>
  </si>
  <si>
    <t>ΕΡΜΟΥΠΟΛΗ</t>
  </si>
  <si>
    <t>ΠΛΑΤΕΙΑ ΜΟΥΣΤΑΚΛΗ</t>
  </si>
  <si>
    <t>ΚΟΡΩΝΙΔΟΣ</t>
  </si>
  <si>
    <t>1/Θ ΝΗΠΙΑΓΩΓΕΙΟ ΚΟΡΩΝΙΔΑΣ ΝΑΞΟΥ</t>
  </si>
  <si>
    <t>mail@nip-koron.kyk.sch.gr</t>
  </si>
  <si>
    <t>ΚΟΡΩΝΙΔΑΣ ΝΑΞΟΥ</t>
  </si>
  <si>
    <t>ΚΟΡΩΝΙΔΑ ΝΑΞΟΥ</t>
  </si>
  <si>
    <t>ΝΗΠΙΑΓΩΓΕΙΟ ΜΑΝΝΑ ΣΥΡΟΥ</t>
  </si>
  <si>
    <t>mail@nip-manna.kyk.sch.gr</t>
  </si>
  <si>
    <t>ΜΑΝΝΑ ΣΥΡΟΥ</t>
  </si>
  <si>
    <t>ΠΟΡΤΑΡΑ ΜΑΝΝΑ</t>
  </si>
  <si>
    <t>ΝΗΠΙΑΓΩΓΕΙΟ ΑΝΩ ΣΥΡΟΥ</t>
  </si>
  <si>
    <t>mail@nip-an-syrou.kyk.sch.gr</t>
  </si>
  <si>
    <t>ΑΝΩ ΣΥΡΟΣ</t>
  </si>
  <si>
    <t>ΑΓΙΟΥ ΣΕΒΑΣΤΙΑΝΟΥ 52</t>
  </si>
  <si>
    <t>mail@dim-milou.kyk.sch.gr</t>
  </si>
  <si>
    <t>ΤΡΙΟΒΑΣΑΛΟΣ</t>
  </si>
  <si>
    <t>1ο ΝΗΠΙΑΓΩΓΕΙΟ ΤΗΝΟΥ</t>
  </si>
  <si>
    <t>mail@1nip-tinou.kyk.sch.gr</t>
  </si>
  <si>
    <t>ΣΠΙΤΑΛΙΑ</t>
  </si>
  <si>
    <t>2ο 2/Θ ΝΗΠΙΑΓΩΓΕΙΟ ΤΗΝΟΥ</t>
  </si>
  <si>
    <t>mail@2nip-tinou.kyk.sch.gr</t>
  </si>
  <si>
    <t>ΠΟΣΕΙΔΩΝΙΑΣ</t>
  </si>
  <si>
    <t>ΝΗΠΙΑΓΩΓΕΙΟ ΠΟΣΕΙΔΩΝΙΑΣ ΣΥΡΟΥ</t>
  </si>
  <si>
    <t>mail@nip-poseid.kyk.sch.gr</t>
  </si>
  <si>
    <t>ΠΟΣΕΙΔΩΝΙΑΣ ΣΥΡΟΥ</t>
  </si>
  <si>
    <t>ΠΟΣΕΙΔΩΝΙΑ ΣΥΡΟΥ</t>
  </si>
  <si>
    <t>ΚΙΝΙΔΑΡΟΥ</t>
  </si>
  <si>
    <t>ΔΗΜΟΤΙΚΟ ΣΧΟΛΕΙΟ ΚΙΝΙΔΑΡΟΥ ΝΑΞΟΥ</t>
  </si>
  <si>
    <t>mail@dim-kinid.kyk.sch.gr</t>
  </si>
  <si>
    <t>ΚΙΝΙΔΑΡΟΣ ΝΑΞΟΥ</t>
  </si>
  <si>
    <t>mail@dim-ioulid.kyk.sch.gr</t>
  </si>
  <si>
    <t>ΑΓΙΟΣ ΑΡΤΕΜΙΟΣ ΙΟΥΛΙΔΑΣ ΚΕΑΣ</t>
  </si>
  <si>
    <t>ΚΟΡΗΣΣΙΑΣ</t>
  </si>
  <si>
    <t>ΔΗΜΟΤΙΚΟ ΣΧΟΛΕΙΟ ΚΟΡΗΣΣΙΑΣ ΚΕΑΣ</t>
  </si>
  <si>
    <t>mail@dim-koriss.kyk.sch.gr</t>
  </si>
  <si>
    <t>ΚΟΡΗΣΣΙΑΣ ΚΕΑΣ</t>
  </si>
  <si>
    <t>ΚΟΡΗΣΣΙΑ ΚΕΑΣ</t>
  </si>
  <si>
    <t>ΕΠΙΣΚΟΠΗΣ ΓΩΝΙΑΣ</t>
  </si>
  <si>
    <t>ΔΗΜΟΤΙΚΟ ΣΧΟΛΕΙΟ ΕΠΙΣΚΟΠΗΣ ΓΩΝΙΑΣ ΘΗΡΑΣ</t>
  </si>
  <si>
    <t>mail@dim-episk.kyk.sch.gr</t>
  </si>
  <si>
    <t>ΕΠΙΣΚΟΠΗ ΘΗΡΑΣ</t>
  </si>
  <si>
    <t>ΚΑΜΑΡΙ</t>
  </si>
  <si>
    <t>mail@dim-schoin.kyk.sch.gr</t>
  </si>
  <si>
    <t>ΣΧΟΙΝΟΥΣΑ</t>
  </si>
  <si>
    <t>ΣΧΟΙΝΟΥΣΑ ΝΑΞΟΥ</t>
  </si>
  <si>
    <t>1ο ΔΗΜΟΤΙΚΟ ΣΧΟΛΕΙΟ ΕΡΜΟΥΠΟΛΗΣ ΣΥΡΟΥ</t>
  </si>
  <si>
    <t>mail@1dim-ermoup.kyk.sch.gr</t>
  </si>
  <si>
    <t>ΚΑΡΑΟΛΗ-ΔΗΜΗΤΡΙΟΥ 16</t>
  </si>
  <si>
    <t>ΔΗΜΟΤΙΚΟ ΣΧΟΛΕΙΟ ΓΑΥΡΙΟΥ ΑΝΔΡΟΥ</t>
  </si>
  <si>
    <t>mail@dim-gavriou.kyk.sch.gr</t>
  </si>
  <si>
    <t>ΓΑΥΡΙΟ ΑΝΔΡΟΥ</t>
  </si>
  <si>
    <t>ΑΡΤΕΜΩΝΟΣ</t>
  </si>
  <si>
    <t>2/Θ ΝΗΠΙΑΓΩΓΕΙΟ ΑΡΤΕΜΩΝΑ ΣΙΦΝΟΥ</t>
  </si>
  <si>
    <t>mail@nip-artem.kyk.sch.gr</t>
  </si>
  <si>
    <t>ΑΡΤΕΜΩΝΑΣ ΣΙΦΝΟΥ</t>
  </si>
  <si>
    <t>mail@dim-choras.kyk.sch.gr</t>
  </si>
  <si>
    <t>ʼνδρος</t>
  </si>
  <si>
    <t>ΝΗΠΙΑΓΩΓΕΙΟ ΜΑΡΑΘΙΟΥ ΜΥΚΟΝΟΥ</t>
  </si>
  <si>
    <t>mail@nip-marath.kyk.sch.gr</t>
  </si>
  <si>
    <t>ΜΑΡΑΘΙΟΥ ΜΥΚΟΝΟΥ</t>
  </si>
  <si>
    <t>ΜΥΚΟΝΟΣ   Τ.Θ. 6014</t>
  </si>
  <si>
    <t>mail@dim-vivlou.kyk.sch.gr</t>
  </si>
  <si>
    <t>Βίβλος Νάξου,</t>
  </si>
  <si>
    <t>mail@1dim-mykon.kyk.sch.gr</t>
  </si>
  <si>
    <t>Μύκονος</t>
  </si>
  <si>
    <t>Λάκκα - Χώρα</t>
  </si>
  <si>
    <t>ΔΗΜΟΤΙΚΟ ΣΧΟΛΕΙΟ ΜΕΣΑΡΙΑΣ ΑΝΔΡΟΥ</t>
  </si>
  <si>
    <t>mail@dim-mesar.kyk.sch.gr</t>
  </si>
  <si>
    <t>ΜΕΣΑΡΙΑΣ ΑΝΔΡΟΥ</t>
  </si>
  <si>
    <t>ΜΕΣΑΡΙΑ-ΑΝΔΡΟΣ</t>
  </si>
  <si>
    <t>mail@dim-sifnou.kyk.sch.gr</t>
  </si>
  <si>
    <t>ΦΥΡΟΓΙΑ ΣΙΦΝΟΥ</t>
  </si>
  <si>
    <t>mail@5dim-ermoup.kyk.sch.gr</t>
  </si>
  <si>
    <t>ΗΡΩΩΝ ΠΟΛΥΤΕΧΝΕΙΟΥ 52</t>
  </si>
  <si>
    <t>mail@2dim-mykon.kyk.sch.gr</t>
  </si>
  <si>
    <t>ΠΕΤΕΙΝΑΡΟΣ ΜΥΚΟΝΟΣ</t>
  </si>
  <si>
    <t>ΠΕΤΕΙΝΑΡΟΣ</t>
  </si>
  <si>
    <t>ΔΗΜΟΤΙΚΟ ΣΧΟΛΕΙΟ ΟΠΙΣΩ ΜΕΡΟΥΣ ΑΝΔΡΟΥ</t>
  </si>
  <si>
    <t>mail@dim-op-merous.kyk.sch.gr</t>
  </si>
  <si>
    <t>ΟΠΙΣΩ ΜΕΡΟΣ</t>
  </si>
  <si>
    <t>4ο ΔΗΜΟΤΙΚΟ ΣΧΟΛΕΙΟ ΕΡΜΟΥΠΟΛΗΣ ΣΥΡΟΥ</t>
  </si>
  <si>
    <t>4dimermo@sch.gr</t>
  </si>
  <si>
    <t>ΝΙΚΗΦ. ΜΑΝΔΗΛΑΡΑ 22</t>
  </si>
  <si>
    <t>mail@dim-amorg.kyk.sch.gr</t>
  </si>
  <si>
    <t>ΧΩΡΑΣ ΑΜΟΡΓΟΥ</t>
  </si>
  <si>
    <t>ΔΗΜΟΤΙΚΟ ΣΧΟΛΕΙΟ ΠΟΣΕΙΔΩΝΙΑΣ ΣΥΡΟΥ</t>
  </si>
  <si>
    <t>mail@dim-poseidon.kyk.sch.gr</t>
  </si>
  <si>
    <t>ΜΟΝΗΣ</t>
  </si>
  <si>
    <t>ΔΗΜΟΤΙΚΟ ΣΧΟΛΕΙΟ ΜΟΝΗΣ ΝΑΞΟΥ</t>
  </si>
  <si>
    <t>mail@dim-monis.kyk.sch.gr</t>
  </si>
  <si>
    <t>ΜΟΝΗΣ ΝΑΞΟΥ</t>
  </si>
  <si>
    <t>ΜΟΝΗ ΝΑΞΟΥ</t>
  </si>
  <si>
    <t>ΔΗΜΟΤΙΚΟ ΣΧΟΛΕΙΟ ΜΕΛΑΝΩΝ ΝΑΞΟΥ</t>
  </si>
  <si>
    <t>mail@dim-melan.kyk.sch.gr</t>
  </si>
  <si>
    <t>ΜΕΛΑΝΕΣ</t>
  </si>
  <si>
    <t>ΜΕΛΑΝΕΣ-ΝΑΞΟΣ</t>
  </si>
  <si>
    <t>ΔΗΜΟΤΙΚΟ ΣΧΟΛΕΙΟ ΒΑΡΗΣ ΜΑΝΝΑ ΣΥΡΟΥ</t>
  </si>
  <si>
    <t>mail@dim-varis.kyk.sch.gr</t>
  </si>
  <si>
    <t>ΤΡΥΠΗΤΗΣ</t>
  </si>
  <si>
    <t>ΝΗΠΙΑΓΩΓΕΙΟ ΤΡΥΠΗΤΗΣ ΜΗΛΟΥ</t>
  </si>
  <si>
    <t>mail@nip-tripit.kyk.sch.gr</t>
  </si>
  <si>
    <t>ΜΗΛΟΣ-ΚΥΚΛΑΔΕΣ</t>
  </si>
  <si>
    <t>ΤΡΥΠΗΤΗ ΜΗΛΟΥ</t>
  </si>
  <si>
    <t>ΝΗΠΙΑΓΩΓΕΙΟ ΜΕΣΑΡΙΑΣ ΑΝΔΡΟΥ</t>
  </si>
  <si>
    <t>mail@nip-mesar.kyk.sch.gr</t>
  </si>
  <si>
    <t>ΜΕΣΣΑΡΙΑΣ ΑΝΔΡΟΥ</t>
  </si>
  <si>
    <t>ΜΕΣΣΑΡΙΑ</t>
  </si>
  <si>
    <t>ΤΡΙΟΒΑΣΑΛΟΥ</t>
  </si>
  <si>
    <t>ΝΗΠΙΑΓΩΓΕΙΟ ΠΛΑΚΑΣ ΜΗΛΟΥ</t>
  </si>
  <si>
    <t>mail@nip-plakas.kyk.sch.gr</t>
  </si>
  <si>
    <t>ΠΛΑΚΑ ΜΗΛΟΥ</t>
  </si>
  <si>
    <t>1/Θ ΝΗΠΙΑΓΩΓΕΙΟ ΣΙΚΙΝΟΥ</t>
  </si>
  <si>
    <t>mail@nip-sikin.kyk.sch.gr</t>
  </si>
  <si>
    <t>ΣΙΚΙΝΟΣ</t>
  </si>
  <si>
    <t>ΝΗΠΙΑΓΩΓΕΙΟ ΑΓΙΟΥ ΝΙΚΟΛΑΟΥ ΚΕΑΣ</t>
  </si>
  <si>
    <t>mail@nip-ag-nikol.kyk.sch.gr</t>
  </si>
  <si>
    <t>ΑΓ.ΝΙΚΟΛΑΟΣ ΚΕΑΣ</t>
  </si>
  <si>
    <t>ΝΗΠΙΑΓΩΓΕΙΟ ΜΑΡΜΑΡΩΝ ΠΑΡΟΥ</t>
  </si>
  <si>
    <t>mail@nip-marmar.kyk.sch.gr</t>
  </si>
  <si>
    <t>ΜΑΡΜΑΡΑ ΠΑΡΟΥ</t>
  </si>
  <si>
    <t>mail@dim-panag.kyk.sch.gr</t>
  </si>
  <si>
    <t>ΠΑΝΑΓΙΑ ΗΡΑΚΛΕΙΑΣ</t>
  </si>
  <si>
    <t>ΝΗΠΙΑΓΩΓΕΙΟ ΠΥΡΓΟΥ ΘΗΡΑΣ</t>
  </si>
  <si>
    <t>mail@nip-pyrgou-thiras.kyk.sch.gr</t>
  </si>
  <si>
    <t>ΠΥΡΓΟΥ ΘΗΡΑΣ</t>
  </si>
  <si>
    <t>ΑΔΑΜΑΝΤΟΣ</t>
  </si>
  <si>
    <t>ΝΗΠΙΑΓΩΓΕΙΟ ΑΔΑΜΑΝΤΑ ΜΗΛΟΥ</t>
  </si>
  <si>
    <t>mail@nip-adamant.kyk.sch.gr</t>
  </si>
  <si>
    <t>ΑΔΑΜΑΝΤΑΣ  ΜΗΛΟΣ</t>
  </si>
  <si>
    <t>ΑΔΑΜΑΝΤΑΣ ΜΗΛΟΥ</t>
  </si>
  <si>
    <t>ΝΗΠΙΑΓΩΓΕΙΟ ΒΑΡΗΣ ΣΥΡΟΥ</t>
  </si>
  <si>
    <t>mail@nip-varis.kyk.sch.gr</t>
  </si>
  <si>
    <t>ΠΛΑΤΕΙΑ ΠΑΝΑΧΡΑΝΤΟΥ,ΒΑΡΗ-ΣΥΡΟΣ</t>
  </si>
  <si>
    <t>5ο ΝΗΠΙΑΓΩΓΕΙΟ ΕΡΜΟΥΠΟΛΗΣ ΣΥΡΟΥ</t>
  </si>
  <si>
    <t>mail@5nip-ermoup.kyk.sch.gr</t>
  </si>
  <si>
    <t>ΕΡΜΟΥΠΟΛΗΣ</t>
  </si>
  <si>
    <t>mail@dim-iou.kyk.sch.gr</t>
  </si>
  <si>
    <t>ΧΩΡΑ ΙΟΥ</t>
  </si>
  <si>
    <t>ΝΗΠΙΑΓΩΓΕΙΟ ΣΕΡΙΦΟΥ</t>
  </si>
  <si>
    <t>mail@nip-serif.kyk.sch.gr</t>
  </si>
  <si>
    <t xml:space="preserve"> ΠΑΝΑΓΙΑ ΣΕΡΙΦΟΥ</t>
  </si>
  <si>
    <t>ΠΑΝΑΓΙΑ ΣΕΡΙΦΟΥ</t>
  </si>
  <si>
    <t>ΝΗΠΙΑΓΩΓΕΙΟ ΚΟΡΗΣΣΙΑΣ ΚΕΑΣ</t>
  </si>
  <si>
    <t>mail@nip-koriss.kyk.sch.gr</t>
  </si>
  <si>
    <t>dimansyr@sch.gr</t>
  </si>
  <si>
    <t>ʼνω Σύρος</t>
  </si>
  <si>
    <t>Α.Κάργα 5</t>
  </si>
  <si>
    <t>ΚΩΣΤΟΥ</t>
  </si>
  <si>
    <t>ΝΗΠΙΑΓΩΓΕΙΟ ΚΩΣΤΟΥ ΠΑΡΟΥ</t>
  </si>
  <si>
    <t>mail@nip-kostou.kyk.sch.gr</t>
  </si>
  <si>
    <t>ΚΩΣΤΟΥ ΠΑΡΟΥ</t>
  </si>
  <si>
    <t>ΚΩΣΤΟΣ ΠΑΡΟΥ</t>
  </si>
  <si>
    <t>1ο ΝΗΠΙΑΓΩΓΕΙΟ ΧΩΡΑΣ ΜΥΚΟΝΟΥ</t>
  </si>
  <si>
    <t>mail@1nip-mykon.kyk.sch.gr</t>
  </si>
  <si>
    <t>ΧΩΡΑΣ ΜΥΚΟΝΟΥ</t>
  </si>
  <si>
    <t>ΛΑΚΚΑ-ΧΩΡΑ ΜΥΚΟΝΟΥ</t>
  </si>
  <si>
    <t>ΝΗΠΙΑΓΩΓΕΙΟ ΠΥΡΓΟΥ ΤΗΝΟΥ</t>
  </si>
  <si>
    <t>mail@nip-pyrgou.kyk.sch.gr</t>
  </si>
  <si>
    <t>ΠΥΡΓΟΥ ΤΗΝΟΥ</t>
  </si>
  <si>
    <t>ΠΥΡΓΟΣ ΤΗΝΟΥ</t>
  </si>
  <si>
    <t>ΕΞΩΜΒΟΥΡΓΟΥ</t>
  </si>
  <si>
    <t>ΝΗΠΙΑΓΩΓΕΙΟ ΕΞΩΜΒΟΥΡΓΟΥ ΤΗΝΟΥ</t>
  </si>
  <si>
    <t>mail@nip-exomv.kyk.sch.gr</t>
  </si>
  <si>
    <t>ΤΗΝΟΣ ΚΥΚΛΑΔΩΝ</t>
  </si>
  <si>
    <t>ΚΑΛΛΟΝΗ ΤΗΝΟΥ</t>
  </si>
  <si>
    <t>ΣΤΕΝΗΣ</t>
  </si>
  <si>
    <t>ΝΗΠΙΑΓΩΓΕΙΟ ΣΤΕΝΗΣ ΤΗΝΟΥ</t>
  </si>
  <si>
    <t>mail@nip-stenis.kyk.sch.gr</t>
  </si>
  <si>
    <t>ΣΤΕΝΗΣ ΤΗΝΟΥ</t>
  </si>
  <si>
    <t>ΣΤΕΝΗ ΤΗΝΟΥ</t>
  </si>
  <si>
    <t>ΝΗΠΙΑΓΩΓΕΙΟ ΙΟΥΛΙΔΑΣ ΚΕΑΣ</t>
  </si>
  <si>
    <t>mail@nip-ioulid.kyk.sch.gr</t>
  </si>
  <si>
    <t>ΙΟΥΛΙΔΑΣ ΚΕΑΣ</t>
  </si>
  <si>
    <t>3ο ΝΗΠΙΑΓΩΓΕΙΟ ΤΗΝΟΥ</t>
  </si>
  <si>
    <t>mail@3nip-tinou.kyk.sch.gr</t>
  </si>
  <si>
    <t>ΠΑΣΑΚΡΩΤΗΡΙ</t>
  </si>
  <si>
    <t>ΔΗΜΟΤΙΚΟ ΣΧΟΛΕΙΟ ΑΔΑΜΑΝΤΑ ΜΗΛΟΥ</t>
  </si>
  <si>
    <t>mail@dim-adamant.kyk.sch.gr</t>
  </si>
  <si>
    <t>ΑΔΑΜΑΝΤΑΣ ΜΗΛΟΥ ΚΥΚΛΑΔΕΣ</t>
  </si>
  <si>
    <t>mail@dim-messar.kyk.sch.gr</t>
  </si>
  <si>
    <t>3ο  ΔΗΜΟΤΙΚΟ ΣΧΟΛΕΙΟ ΧΩΡΑΣ ΝΑΞΟΥ</t>
  </si>
  <si>
    <t>mail@3dim-naxou.kyk.sch.gr</t>
  </si>
  <si>
    <t>ΔΗΜΟΤΙΚΟ ΣΧΟΛΕΙΟ ΕΞΩΜΒΟΥΡΓΟΥ- ΤΗΝΟΥ</t>
  </si>
  <si>
    <t>mail@dim-exomv.kyk.sch.gr</t>
  </si>
  <si>
    <t>ΛΟΥΤΡΑ - ΤΗΝΟΣ</t>
  </si>
  <si>
    <t>ΛΟΥΤΡΑ ΤΗΝΟΥ</t>
  </si>
  <si>
    <t>mail@dim-kimol.kyk.sch.gr</t>
  </si>
  <si>
    <t>mail@dim-filot.kyk.sch.gr</t>
  </si>
  <si>
    <t xml:space="preserve">ΦΙΛΩΤΙ </t>
  </si>
  <si>
    <t>ΦΙΛΩΤΙ-ΝΑΞΟΥ</t>
  </si>
  <si>
    <t>ΝΗΠΙΑΓΩΓΕΙΟ ΚΙΜΩΛΟΥ</t>
  </si>
  <si>
    <t>mail@nip-kimol.kyk.sch.gr</t>
  </si>
  <si>
    <t>ΔΗΜΟΤΙΚΟ ΣΧΟΛΕΙΟ ΑΓΙΟΥ ΑΡΣΕΝΙΟΥ ΝΑΞΟΥ</t>
  </si>
  <si>
    <t>mail@dim-ag-arsen.kyk.sch.gr</t>
  </si>
  <si>
    <t>ΑΓ. ΑΡΣΕΝΙΟΣ ΝΑΞΟΥ</t>
  </si>
  <si>
    <t>mail@dim-korth.kyk.sch.gr</t>
  </si>
  <si>
    <t>ΔΗΜΟΤΙΚΟ ΣΧΟΛΕΙΟ ΠΟΛΛΩΝΙΩΝ ΜΗΛΟΥ</t>
  </si>
  <si>
    <t>mail@dim-pollon.kyk.sch.gr</t>
  </si>
  <si>
    <t>ΠΟΛΛΩΝΙΑ</t>
  </si>
  <si>
    <t>6ο ΔΗΜΟΤΙΚΟ ΣΧΟΛΕΙΟ ΕΡΜΟΥΠΟΛΗΣ</t>
  </si>
  <si>
    <t>mail@6dim-ermoup.kyk.sch.gr</t>
  </si>
  <si>
    <t>ΕΡΜΟΥΠΟΛΗ,</t>
  </si>
  <si>
    <t>ΕΥΓΕΝΙΑΣ ΛΑΖΑΡΟΓΛΟΥ ΚΑΙ ΤΑΞΙΑΡΧΩΝ,</t>
  </si>
  <si>
    <t>ΝΗΠΙΑΓΩΓΕΙΟ ΠΟΛΛΩΝΙΩΝ ΜΗΛΟΥ</t>
  </si>
  <si>
    <t>mail@nip-pollon.kyk.sch.gr</t>
  </si>
  <si>
    <t>ΠΟΛΛΩΝΙΑ ΜΗΛΟΥ</t>
  </si>
  <si>
    <t>1/Θ ΔΗΜΟΤΙΚΟ ΣΧΟΛΕΙΟ ΚΟΡΩΝΙΔΑΣ ΝΑΞΟΥ</t>
  </si>
  <si>
    <t>mail@dim-koron.kyk.sch.gr</t>
  </si>
  <si>
    <t>ΝΗΠΙΑΓΩΓΕΙΟ ΧΩΡΑΣ ΚΥΘΝΟΥ</t>
  </si>
  <si>
    <t>mail@nip-kythn.kyk.sch.gr</t>
  </si>
  <si>
    <t>ΧΩΡΑΣ ΚΥΘΝΟΥ</t>
  </si>
  <si>
    <t>ΧΩΡΑ ΚΥΘΝΟΥ</t>
  </si>
  <si>
    <t>ΔΡΥΟΠΙΔΟΣ</t>
  </si>
  <si>
    <t>ΝΗΠΙΑΓΩΓΕΙΟ ΔΡΥΟΠΙΔΑΣ ΚΥΘΝΟΥ</t>
  </si>
  <si>
    <t>mail@nip-dryop.kyk.sch.gr</t>
  </si>
  <si>
    <t>ΔΡΥΟΠΙΔΑΣ ΚΥΘΝΟΥ</t>
  </si>
  <si>
    <t>ΔΡΥΟΠΙΔΑ - ΚΥΘΝΟΣ</t>
  </si>
  <si>
    <t>ΝΗΠΙΑΓΩΓΕΙΟ ΜΕΓΑΛΟΧΩΡΙΟΥ ΘΗΡΑΣ</t>
  </si>
  <si>
    <t>mail@nip-megal.kyk.sch.gr</t>
  </si>
  <si>
    <t>ΜΕΓΑΛΟΧΩΡΙΟΥ ΘΗΡΑΣ</t>
  </si>
  <si>
    <t>mail@dim-naous.kyk.sch.gr</t>
  </si>
  <si>
    <t>ΑΓΚΑΙΡΙΑΣ</t>
  </si>
  <si>
    <t>ΝΗΠΙΑΓΩΓΕΙΟ ΑΓΚΑΙΡΙΑΣ ΠΑΡΟΥ</t>
  </si>
  <si>
    <t>mail@nip-agkair.kyk.sch.gr</t>
  </si>
  <si>
    <t>ΑΓΚΑΙΡΙΑΣ ΠΑΡΟΥ</t>
  </si>
  <si>
    <t>ΑΛΥΚΗ ΠΑΡΟΥ</t>
  </si>
  <si>
    <t>ΝΗΠΙΑΓΩΓΕΙΟ ΕΠΙΣΚΟΠΗΣ ΘΗΡΑΣ</t>
  </si>
  <si>
    <t>mail@nip-episk.kyk.sch.gr</t>
  </si>
  <si>
    <t>ΕΠΙΣΚΟΠΗΣ ΘΗΡΑΣ</t>
  </si>
  <si>
    <t>ΕΠΙΣΚΟΠΗ ΘΗΡΑΣ - ΚΑΜΑΡΙ ΘΗΡΑΣ</t>
  </si>
  <si>
    <t>ΕΙΔΙΚΟ ΔΗΜΟΤΙΚΟ ΣΧΟΛΕΙΟ ΕΡΜΟΥΠΟΛΗΣ ΣΥΡΟΥ</t>
  </si>
  <si>
    <t>mail@dim-eid-ermoup.kyk.sch.gr</t>
  </si>
  <si>
    <t>ΤΑΞΙΑΡΧΩΝ ΚΑΙ ΕΥΓΕΝΙΑΣ ΛΑΖΑΡΟΓΛΟΥ</t>
  </si>
  <si>
    <t>mail@1dim-tinou.kyk.sch.gr</t>
  </si>
  <si>
    <t>Ι.ΜΕΤΑΞΑ 2</t>
  </si>
  <si>
    <t>mail@2dim-tinou.kyk.sch.gr</t>
  </si>
  <si>
    <t>Τήνος</t>
  </si>
  <si>
    <t>ΜΑΡΤΙΝΟΥ ΝΟΡΔΕΣΤΡΟΜ 4</t>
  </si>
  <si>
    <t>ΝΗΠΙΑΓΩΓΕΙΟ ΔΡΥΟΥ ΠΑΡΟΥ</t>
  </si>
  <si>
    <t>mail@nip-dryou.kyk.sch.gr</t>
  </si>
  <si>
    <t>ΔΡΥΟΥ ΠΑΡΟΥ</t>
  </si>
  <si>
    <t>ΔΡΥΟΣ ΠΑΡΟΥ</t>
  </si>
  <si>
    <t>ΔΗΜΟΤΙΚΟ ΣΧΟΛΕΙΟ ΑΓΚΑΙΡΙΑΣ ΠΑΡΟΥ</t>
  </si>
  <si>
    <t>mail@dim-agkair.kyk.sch.gr</t>
  </si>
  <si>
    <t>ΑΓΚΑΙΡΙΑ ΠΑΡΟΥ</t>
  </si>
  <si>
    <t>ΚΑΡΤΕΡΑΔΟΥ</t>
  </si>
  <si>
    <t>mail@dim-karter.kyk.sch.gr</t>
  </si>
  <si>
    <t>Καρτεράδος</t>
  </si>
  <si>
    <t>ΚΑΡΤΕΡΑΔΟΣ ΘΗΡΑΣ</t>
  </si>
  <si>
    <t>mail@dim-empor.kyk.sch.gr</t>
  </si>
  <si>
    <t>ΕΜΠΟΡΕΙΟ ΘΗΡΑΣ</t>
  </si>
  <si>
    <t>1ο ΝΗΠΙΑΓΩΓΕΙΟ ΠΑΡΟΙΚΙΑΣ ΠΑΡΟΥ</t>
  </si>
  <si>
    <t>mail@1nip-paroik.kyk.sch.gr</t>
  </si>
  <si>
    <t>ΠΡΟΔΡΟΜΟΥ 1 ΛΙΑΡΟΚΟΠΙ ΠΑΡΟΙΚΙΑΣ ΠΑΡΟΥ</t>
  </si>
  <si>
    <t>mail@dim-sikin.kyk.sch.gr</t>
  </si>
  <si>
    <t>mail@1dim-paroik.kyk.sch.gr</t>
  </si>
  <si>
    <t>ΠΑΡΟΙΚΙΑ ΠΑΡΟΥ</t>
  </si>
  <si>
    <t>4ο ΝΗΠΙΑΓΩΓΕΙΟ ΕΡΜΟΥΠΟΛΗΣ ΣΥΡΟΥ</t>
  </si>
  <si>
    <t>mail@4nip-ermoup.kyk.sch.gr</t>
  </si>
  <si>
    <t>ΕΡΜΟΥΠΟΛΗΣ ΣΥΡΟΥ</t>
  </si>
  <si>
    <t>mail@dim-serif.kyk.sch.gr</t>
  </si>
  <si>
    <t xml:space="preserve"> ΣΕΡΙΦΟΣ</t>
  </si>
  <si>
    <t>ΚΑΤΩ  ΧΩΡΑ</t>
  </si>
  <si>
    <t>1/Θ ΝΗΠΙΑΓΩΓΕΙΟ ΑΝΤΙΠΑΡΟΥ</t>
  </si>
  <si>
    <t>mail@nip-antip.kyk.sch.gr</t>
  </si>
  <si>
    <t>2ο ΝΗΠΙΑΓΩΓΕΙΟ ΠΑΡΟΙΚΙΑΣ ΠΑΡΟΥ</t>
  </si>
  <si>
    <t>mail@2nip-paroik.kyk.sch.gr</t>
  </si>
  <si>
    <t>ΠΑΡΟΙΚΙΑΣ ΠΑΡΟΥ</t>
  </si>
  <si>
    <t>ΜΠΑΤΣΙΟΥ</t>
  </si>
  <si>
    <t>ΝΗΠΙΑΓΩΓΕΙΟ ΜΠΑΤΣΙΟΥ ΑΝΔΡΟΥ</t>
  </si>
  <si>
    <t>mail@nip-mpatsiou.kyk.sch.gr</t>
  </si>
  <si>
    <t>ΜΠΑΤΣΙ ΑΝΔΡΟΥ</t>
  </si>
  <si>
    <t>ΜΠΑΤΣΙ - ΑΝΔΡΟΣ</t>
  </si>
  <si>
    <t>ΔΗΜΟΤΙΚΟ ΣΧΟΛΕΙΟ ΑΝΩ ΜΕΡΑΣ ΜΥΚΟΝΟΥ</t>
  </si>
  <si>
    <t>mail@dim-an-meras-mykon.kyk.sch.gr</t>
  </si>
  <si>
    <t>ΝΗΠΙΑΓΩΓΕΙΟ ΠΡΟΔΡΟΜΟΥ ΠΑΡΟΥ</t>
  </si>
  <si>
    <t>mail@nip-prodrom.kyk.sch.gr</t>
  </si>
  <si>
    <t>ΠΡΟΔΡΟΜΟΣ ΠΑΡΟΥ</t>
  </si>
  <si>
    <t>ΝΗΠΙΑΓΩΓΕΙΟ ΝΑΟΥΣΑΣ ΠΑΡΟΥ</t>
  </si>
  <si>
    <t>mail@nip-naous.kyk.sch.gr</t>
  </si>
  <si>
    <t>ΝΑΟΥΣΑΣ ΠΑΡΟΥ</t>
  </si>
  <si>
    <t>mail@dim-antip.kyk.sch.gr</t>
  </si>
  <si>
    <t>ΔΗΜΟΤΙΚΟ ΣΧΟΛΕΙΟ ΑΓΙΟΥ ΝΙΚΟΛΑΟΥ ΚΕΑΣ</t>
  </si>
  <si>
    <t>mail@dim-ag-nikol.kyk.sch.gr</t>
  </si>
  <si>
    <t>ΑΓ. ΝΙΚΟΛΑΟΣ ΚΕΑΣ</t>
  </si>
  <si>
    <t>ΚΑΤΩ ΜΕΡΙΑ ΚΕΑΣ</t>
  </si>
  <si>
    <t>ΝΗΠΙΑΓΩΓΕΙΟ ΚΑΡΤΕΡΑΔΟΥ ΘΗΡΑΣ</t>
  </si>
  <si>
    <t>mail@nip-karter.kyk.sch.gr</t>
  </si>
  <si>
    <t>ΚΑΡΤΕΡΑΔΟΥ ΘΗΡΑΣ</t>
  </si>
  <si>
    <t>ΔΗΜΟΤΙΚΟ ΣΧΟΛΕΙΟ ΟΙΑΣ ΘΗΡΑΣ</t>
  </si>
  <si>
    <t>mail@dim-oias.kyk.sch.gr</t>
  </si>
  <si>
    <t>ΟΙΑ ΘΗΡΑΣ</t>
  </si>
  <si>
    <t>ΟΙΑ  ΘΗΡΑΣ</t>
  </si>
  <si>
    <t>ΦΟΙΝΙΚΟΣ</t>
  </si>
  <si>
    <t>ΝΗΠΙΑΓΩΓΕΙΟ ΦΟΙΝΙΚΑ ΣΥΡΟΥ</t>
  </si>
  <si>
    <t>mail@nip-foinik.kyk.sch.gr</t>
  </si>
  <si>
    <t>ΦΟΙΝΙΚΑΣ ΣΥΡΟΥ</t>
  </si>
  <si>
    <t>2ο ΔΗΜΟΤΙΚΟ ΣΧΟΛΕΙΟ ΠΑΡΟΙΚΙΑΣ ΠΑΡΟΥ</t>
  </si>
  <si>
    <t>mail@2dim-paroik.kyk.sch.gr</t>
  </si>
  <si>
    <t>ΠΑΡΟΙΚΙΑ</t>
  </si>
  <si>
    <t>ΝΗΠΙΑΓΩΓΕΙΟ ΓΑΥΡΙΟΥ ΑΝΔΡΟΥ</t>
  </si>
  <si>
    <t>mail@nip-gavriou.kyk.sch.gr</t>
  </si>
  <si>
    <t>ΓΑΥΡΙΟ</t>
  </si>
  <si>
    <t>mail@dim-anafis.kyk.sch.gr</t>
  </si>
  <si>
    <t>6ο  ΝΗΠΙΑΓΩΓΕΙΟ ΕΡΜΟΥΠΟΛΗΣ ΣΥΡΟΥ</t>
  </si>
  <si>
    <t>mail@6nip-ermoup.kyk.sch.gr</t>
  </si>
  <si>
    <t>Ν.ΜΑΝΔΗΛΑΡΑ 22</t>
  </si>
  <si>
    <t>2ο  ΝΗΠΙΑΓΩΓΕΙΟ ΜΥΚΟΝΟΥ</t>
  </si>
  <si>
    <t>mail@2nip-mykon.kyk.sch.gr</t>
  </si>
  <si>
    <t>Τ.Θ.6014-</t>
  </si>
  <si>
    <t>ΔΑΜΑΡΙΩΝΟΣ</t>
  </si>
  <si>
    <t>ΝΗΠΙΑΓΩΓΕΙΟ ΔΑΜΑΡΙΩΝΑ ΝΑΞΟΥ</t>
  </si>
  <si>
    <t>mail@nip-damar.kyk.sch.gr</t>
  </si>
  <si>
    <t>ΔΑΜΑΡΙΩΝΑΣ ΝΑΞΟΥ</t>
  </si>
  <si>
    <t>2ο ΝΗΠΙΑΓΩΓΕΙΟ ΧΩΡΑΣ ΝΑΞΟΥ</t>
  </si>
  <si>
    <t>mail@2nip-naxou.kyk.sch.gr</t>
  </si>
  <si>
    <t>3ο 2/Θ ΝΗΠΙΑΓΩΓΕΙΟ ΧΩΡΑΣ ΝΑΞΟΥ</t>
  </si>
  <si>
    <t>mail@3nip-naxou.kyk.sch.gr</t>
  </si>
  <si>
    <t>ΕΙΔΙΚΟ ΔΗΜΟΤΙΚΟ ΣΧΟΛΕΙΟ ΝΑΞΟΣ</t>
  </si>
  <si>
    <t>mail@dim-eid-naxou.kyk.sch.gr</t>
  </si>
  <si>
    <t>ΑΓΙΟΣ ΘΑΛΛΕΛΑΙΟΣ ΝΑΞΟΥ</t>
  </si>
  <si>
    <t>ΝΗΠΙΑΓΩΓΕΙΟ ΑΝΔΡΟΥ ΧΩΡΑΣ</t>
  </si>
  <si>
    <t>mail@nip-androu.kyk.sch.gr</t>
  </si>
  <si>
    <t>ΑΝΔΡΟΥ ΧΩΡΑΣ</t>
  </si>
  <si>
    <t>mail@dim-kythn.kyk.sch.gr</t>
  </si>
  <si>
    <t>Κύθνος</t>
  </si>
  <si>
    <t>2ο  ΝΗΠΙΑΓΩΓΕΙΟ ΕΜΠΟΡΕΙΟΥ ΘΗΡΑΣ</t>
  </si>
  <si>
    <t>mail@2nip-empor.kyk.sch.gr</t>
  </si>
  <si>
    <t>ΠΕΡΙΣΣΑ ΘΗΡΑΣ</t>
  </si>
  <si>
    <t>1ο ΔΗΜΟΤΙΚΟ ΣΧΟΛΕΙΟ ΝΑΞΟΥ</t>
  </si>
  <si>
    <t>mail@1dim-naxou.kyk.sch.gr</t>
  </si>
  <si>
    <t>ΚΟΝΤΟΛΕΟΝΤΟΣ</t>
  </si>
  <si>
    <t>ΔΗΜΟΤΙΚΟ ΣΧΟΛΕΙΟ ΔΑΜΑΡΙΩΝΑ ΝΑΞΟΥ</t>
  </si>
  <si>
    <t>mail@dim-damar.kyk.sch.gr</t>
  </si>
  <si>
    <t>ΔΗΜΟΤΙΚΟ ΣΧΟΛΕΙΟ ΑΠΟΛΛΩΝΑ ΝΑΞΟΥ</t>
  </si>
  <si>
    <t>mail@dim-apoll.kyk.sch.gr</t>
  </si>
  <si>
    <t>ΑΠΟΛΛΩΝΑΣ ΝΑΞΟΥ</t>
  </si>
  <si>
    <t>ΝΗΠΙΑΓΩΓΕΙΟ ΑΚΡΩΤΗΡΙΟΥ ΘΗΡΑΣ</t>
  </si>
  <si>
    <t>mail@nip-akrot.kyk.sch.gr</t>
  </si>
  <si>
    <t>ΑΚΡΩΤΗΡΙΟΥ ΘΗΡΑΣ</t>
  </si>
  <si>
    <t>ΑΚΡΩΤΗΡΙ ΘΗΡΑΣ</t>
  </si>
  <si>
    <t>mail@dim-thirasias.kyk.sch.gr</t>
  </si>
  <si>
    <t>ΒΟΥΡΒΟΥΛΟΥ</t>
  </si>
  <si>
    <t>ΝΗΠΙΑΓΩΓΕΙΟ ΒΟΥΡΒΟΥΛΟΥ ΘΗΡΑΣ</t>
  </si>
  <si>
    <t>mail@nip-vourvoul.kyk.sch.gr</t>
  </si>
  <si>
    <t>ΒΟΥΡΒΟΥΛΟΣ ΘΗΡΑΣ</t>
  </si>
  <si>
    <t>ΒΟΥΡΒΟΥΛΟΣ</t>
  </si>
  <si>
    <t>1ο ΝΗΠΙΑΓΩΓΕΙΟ ΦΗΡΩΝ ΘΗΡΑΣ</t>
  </si>
  <si>
    <t>mail@1nip-firon.kyk.sch.gr</t>
  </si>
  <si>
    <t>ΦΗΡΩΝ ΘΗΡΑΣ</t>
  </si>
  <si>
    <t>ΝΗΠΙΑΓΩΓΕΙΟ ΜΕΣΑΡΙΑΣ ΘΗΡΑΣ</t>
  </si>
  <si>
    <t>mail@nip-messar.kyk.sch.gr</t>
  </si>
  <si>
    <t>ΜΕΣΑΡΙΑΣ ΘΗΡΑΣ</t>
  </si>
  <si>
    <t>mail@dim-chalk.kyk.sch.gr</t>
  </si>
  <si>
    <t>3ο ΔΗΜΟΤΙΚΟ ΣΧΟΛΕΙΟ ΕΡΜΟΥΠΟΛΗΣ ΣΥΡΟΥ</t>
  </si>
  <si>
    <t>mail@3dim-ermoup.kyk.sch.gr</t>
  </si>
  <si>
    <t>ΕΡΜΟΥΠΟΛΗ ΣΥΡΟΥ</t>
  </si>
  <si>
    <t>ΣΩΚΡΑΤΟΥΣ 2</t>
  </si>
  <si>
    <t>3ο  ΝΗΠΙΑΓΩΓΕΙΟ ΕΡΜΟΥΠΟΛΗΣ ΣΥΡΟΥ</t>
  </si>
  <si>
    <t>mail@3nip-ermoup.kyk.sch.gr</t>
  </si>
  <si>
    <t>ΓΛΙΝΑΔΟΥ</t>
  </si>
  <si>
    <t>ΝΗΠΙΑΓΩΓΕΙΟ ΓΛΙΝΑΔΟΥ ΝΑΞΟΥ</t>
  </si>
  <si>
    <t>mail@nip-glinad.kyk.sch.gr</t>
  </si>
  <si>
    <t>ΓΛΙΝΑΔΟ</t>
  </si>
  <si>
    <t>ΓΛΙΝΑΔΟ ΝΑΞΟΥ</t>
  </si>
  <si>
    <t>ΔΗΜΟΤΙΚΟ ΣΧΟΛΕΙΟ ΦΗΡΩΝ</t>
  </si>
  <si>
    <t>mail@dim-firon.kyk.sch.gr</t>
  </si>
  <si>
    <t>1/Θ ΝΗΠΙΑΓΩΓΕΙΟ ΜΟΝΗΣ ΝΑΞΟΥ</t>
  </si>
  <si>
    <t>mail@nip-monis.kyk.sch.gr</t>
  </si>
  <si>
    <t>ΜΟΝΗ</t>
  </si>
  <si>
    <t>ΝΗΠΙΑΓΩΓΕΙΟ ΑΠΟΛΛΩΝΑ ΝΑΞΟΥ</t>
  </si>
  <si>
    <t>ΝΗΠΙΑΓΩΓΕΙΟ ΔΟΝΟΥΣΑΣ</t>
  </si>
  <si>
    <t>mail@nip-donous.kyk.sch.gr</t>
  </si>
  <si>
    <t>ΔΟΝΟΥΣΑ Ν. ΚΥΚΛΑΔΩΝ</t>
  </si>
  <si>
    <t>ΝΗΠΙΑΓΩΓΕΙΟ ΟΡΜΟΥ ΚΟΡΘΙΟΥ ΑΝΔΡΟΥ</t>
  </si>
  <si>
    <t>mail@nip-ormou.kyk.sch.gr</t>
  </si>
  <si>
    <t>ΕΠΑΡΧΙΑΚΗ ΟΔΟΣ ΚΟΡΘΙΟΥ-ΓΑΥΡΙΟΥ</t>
  </si>
  <si>
    <t>2/θ ΝΗΠΙΑΓΩΓΕΙΟ ΙΟΥ</t>
  </si>
  <si>
    <t>mail@1nip-iou.kyk.sch.gr</t>
  </si>
  <si>
    <t>ΙΟΥ</t>
  </si>
  <si>
    <t>ΔΑΝΑΚΟΥ</t>
  </si>
  <si>
    <t>ΔΗΜΟΤΙΚΟ ΣΧΟΛΕΙΟ ΔΑΝΑΚΟΥ ΝΑΞΟΥ</t>
  </si>
  <si>
    <t>mail@dim-danak.kyk.sch.gr</t>
  </si>
  <si>
    <t>ΔΑΝΑΚΟΣ ΝΑΞΟΥ</t>
  </si>
  <si>
    <t>ΛΕΥΚΩΝ</t>
  </si>
  <si>
    <t>ΝΗΠΙΑΓΩΓΕΙΟ ΛΕΥΚΩΝ</t>
  </si>
  <si>
    <t>mail@nip-lefkon.kyk.sch.gr</t>
  </si>
  <si>
    <t>ΛΕΥΚΕΣ ΠΑΡΟΥ</t>
  </si>
  <si>
    <t>ΛΕΥΚΕΣ</t>
  </si>
  <si>
    <t>ΝΗΠΙΑΓΩΓΕΙΟ ΜΑΡΠΗΣΣΑΣ ΠΑΡΟΥ</t>
  </si>
  <si>
    <t>mail@nip-marpiss.kyk.sch.gr</t>
  </si>
  <si>
    <t>ΜΑΡΠΗΣΣΑΣ ΠΑΡΟΥ</t>
  </si>
  <si>
    <t>ΔΗΜΟΤΙΚΟ ΣΧΟΛΕΙΟ ΠΥΡΓΟΥ ΤΗΝΟΥ</t>
  </si>
  <si>
    <t>mail@dim-pyrgou.kyk.sch.gr</t>
  </si>
  <si>
    <t>ΠΥΡΓΟΣ - ΤΗΝΟΣ</t>
  </si>
  <si>
    <t>ΑΝΩ ΜΕΡΙΑΣ</t>
  </si>
  <si>
    <t>1/Θ ΝΗΠΙΑΓΩΓΕΙΟ ΑΝΩ ΜΕΡΑΣ ΦΟΛΕΓΑΝΔΡΟΥ</t>
  </si>
  <si>
    <t>mail@nip-an-meras.kyk.sch.gr</t>
  </si>
  <si>
    <t>ΑΝΩ ΜΕΡΑΣ ΦΟΛΕΓΑΝΔΡΟΥ</t>
  </si>
  <si>
    <t>ΑΝΩ ΜΕΡΑ ΦΟΛΕΓΑΝΔΡΟΥ</t>
  </si>
  <si>
    <t>2ο ΝΗΠΙΑΓΩΓΕΙΟ ΕΡΜΟΥΠΟΛΗΣ ΣΥΡΟΥ</t>
  </si>
  <si>
    <t>mail@2nip-ermoup.kyk.sch.gr</t>
  </si>
  <si>
    <t>Ερμούπολη Σύρου</t>
  </si>
  <si>
    <t>Ευγενίας Λαζάρογλου &amp; Ταξιαρχών</t>
  </si>
  <si>
    <t>1ο ΝΗΠΙΑΓΩΓΕΙΟ ΕΡΜΟΥΠΟΛΗΣ ΣΥΡΟΥ</t>
  </si>
  <si>
    <t>mail@1nip-ermoup.kyk.sch.gr</t>
  </si>
  <si>
    <t>ΝΗΠΙΑΓΩΓΕΙΟ ΚΑΤΑΠΟΛΩΝ ΑΜΟΡΓΟΥ</t>
  </si>
  <si>
    <t>mail@nip-katap.kyk.sch.gr</t>
  </si>
  <si>
    <t>ΚΑΤΑΠΟΛΩΝ ΑΜΟΡΓΟΥ</t>
  </si>
  <si>
    <t>ΡΑΧΙΔΙ</t>
  </si>
  <si>
    <t>ΝΗΠΙΑΓΩΓΕΙΟ ΑΠΕΙΡΑΝΘΟΥ ΝΑΞΟΥ</t>
  </si>
  <si>
    <t>mail@nip-aperath.kyk.sch.gr</t>
  </si>
  <si>
    <t>ΑΠΕΙΡΑΝΘΟΣ ΝΑΞΟΥ</t>
  </si>
  <si>
    <t>1/Θ ΝΗΠΙΑΓΩΓΕΙΟ ΣΧΟΙΝΟΥΣΑΣ</t>
  </si>
  <si>
    <t>mail@nip-schoin.kyk.sch.gr</t>
  </si>
  <si>
    <t>ΣΧΟΙΝΟΥΣΑΣ ΝΑΞΟΥ</t>
  </si>
  <si>
    <t>ΔΗΜΟΤΙΚΟ ΣΧΟΛΕΙΟ ΠΟΤΑΜΙΑΣ ΝΑΞΟΥ</t>
  </si>
  <si>
    <t>mail@dim-potam.kyk.sch.gr</t>
  </si>
  <si>
    <t>Μέση Ποταμιά Νάξου</t>
  </si>
  <si>
    <t>ΠΟΤΑΜΙΑ ΝΑΞΟΥ</t>
  </si>
  <si>
    <t>ΔΗΜΟΤΙΚΟ ΣΧΟΛΕΙΟ ΧΕΙΜΑΡΡΟΣ ΝΑΞΟΥ</t>
  </si>
  <si>
    <t>mail@dim-cheim.kyk.sch.gr</t>
  </si>
  <si>
    <t>ΧΕΙΜΑΡΡΟΣ ΝΑΞΟΥ</t>
  </si>
  <si>
    <t>ΣΑΓΚΡΙΟΥ</t>
  </si>
  <si>
    <t>ΔΗΜΟΤΙΚΟ ΣΧΟΛΕΙΟ ΣΑΓΚΡΙΟΥ ΝΑΞΟΥ</t>
  </si>
  <si>
    <t>mail@dim-sagkr.kyk.sch.gr</t>
  </si>
  <si>
    <t>ΣΑΓΚΡΙ ΝΑΞΟΥ</t>
  </si>
  <si>
    <t>ΔΗΜΟΤΙΚΟ ΣΧΟΛΕΙΟ ΓΛΙΝΑΔΟΥ ΝΑΞΟΥ</t>
  </si>
  <si>
    <t>mail@dim-glinad.kyk.sch.gr</t>
  </si>
  <si>
    <t>mail@dim-koufon.kyk.sch.gr</t>
  </si>
  <si>
    <t>mail@2dim-naxou.kyk.sch.gr</t>
  </si>
  <si>
    <t>ΔΗΜΟΤΙΚΟ ΣΧΟΛΕΙΟ ΑΙΓΙΑΛΗΣ-ΘΟΛΑΡΙΩΝ ΑΜΟΡΓΟΥ</t>
  </si>
  <si>
    <t>mail@dim-aigial.kyk.sch.gr</t>
  </si>
  <si>
    <t>ΑΙΓΙΑΛΗ  ΑΜΟΡΓΟΥ</t>
  </si>
  <si>
    <t>ΑΙΓΙΑΛΗ</t>
  </si>
  <si>
    <t>ΝΗΠΙΑΓΩΓΕΙΟ ΑΠΟΛΛΩΝΙΑΣ ΣΙΦΝΟΥ</t>
  </si>
  <si>
    <t>mail@nip-apollon.kyk.sch.gr</t>
  </si>
  <si>
    <t>ΝΗΠΙΑΓΩΓΕΙΟ ΚΟΥΦΟΝΗΣΙΩΝ</t>
  </si>
  <si>
    <t>mail@nip-koufon.kyk.sch.gr</t>
  </si>
  <si>
    <t>2/ΘΕΣΙΟ ΝΗΠΙΑΓΩΓΕΙΟ ΦΙΛΩΤΙΟΥ ΝΑΞΟΥ</t>
  </si>
  <si>
    <t>mail@nip-filot.kyk.sch.gr</t>
  </si>
  <si>
    <t>ΦΙΛΩΤΙ ΝΑΞΟΥ</t>
  </si>
  <si>
    <t>mail@dim-foleg.kyk.sch.gr</t>
  </si>
  <si>
    <t>ΧΩΡΑ ΦΟΛΕΓΑΝΔΡΟΥ</t>
  </si>
  <si>
    <t>mail@dim-mpatsiou.kyk.sch.gr</t>
  </si>
  <si>
    <t>ΜΠΑΤΣΙ ΑΝΔΡΟΣ</t>
  </si>
  <si>
    <t>ΜΠΑΤΣΙ-ΑΝΔΡΟΣ</t>
  </si>
  <si>
    <t>ΔΗΜΟΤΙΚΟ ΣΧΟΛΕΙΟ ΑΚΡΩΤΗΡΙΟΥ ΘΗΡΑΣ</t>
  </si>
  <si>
    <t>mail@dim-akrot.kyk.sch.gr</t>
  </si>
  <si>
    <t>Ακρωτήρι Θήρας</t>
  </si>
  <si>
    <t>ΝΗΠΙΑΓΩΓΕΙΟ ΒΙΒΛΟΥ ΝΑΞΟΥ</t>
  </si>
  <si>
    <t>mail@nip-vivlou.kyk.sch.gr</t>
  </si>
  <si>
    <t>ΒΟΘΩΝΟΣ</t>
  </si>
  <si>
    <t>ΝΗΠΙΑΓΩΓΕΙΟ ΒΟΘΩΝΑ ΘΗΡΑΣ</t>
  </si>
  <si>
    <t>mail@nip-vothon.kyk.sch.gr</t>
  </si>
  <si>
    <t>ΒΟΘΩΝΑΣ ΘΗΡΑΣ</t>
  </si>
  <si>
    <t>ΝΗΠΙΑΓΩΓΕΙΟ ΟΙΑΣ ΘΗΡΑΣ</t>
  </si>
  <si>
    <t>mail@nip-oias.kyk.sch.gr</t>
  </si>
  <si>
    <t>ΟΙΑΣ ΘΗΡΑΣ</t>
  </si>
  <si>
    <t>1ο ΝΗΠΙΑΓΩΓΕΙΟ ΕΜΠΟΡΕΙΟΥ ΘΗΡΑΣ</t>
  </si>
  <si>
    <t>mail@1nip-empor.kyk.sch.gr</t>
  </si>
  <si>
    <t>ΕΜΠΟΡΕΙΟΥ ΘΗΡΑΣ</t>
  </si>
  <si>
    <t>ΝΗΠΙΑΓΩΓΕΙΟ ΧΩΡΑΣ ΑΜΟΡΓΟΥ</t>
  </si>
  <si>
    <t>mail@nip-amorg.kyk.sch.gr</t>
  </si>
  <si>
    <t>ΝΗΠΙΑΓΩΓΕΙΟ ΑΡΚΕΣΙΝΗΣ ΑΜΟΡΓΟΥ</t>
  </si>
  <si>
    <t>mail@nip-arkes.kyk.sch.gr</t>
  </si>
  <si>
    <t>ΑΡΚΕΣΙΝΗ - ΑΜΟΡΓΟΣ</t>
  </si>
  <si>
    <t>ΝΗΠΙΑΓΩΓΕΙΟ ΚΙΝΙΔΑΡΟΥ ΝΑΞΟΥ</t>
  </si>
  <si>
    <t>mail@nip-kinid.kyk.sch.gr</t>
  </si>
  <si>
    <t>ΚΙΝΙΔΑΡΟΣ</t>
  </si>
  <si>
    <t>mail@dim-pyrgou-thiras.kyk.sch.gr</t>
  </si>
  <si>
    <t>ΠΥΡΓΟΥ-ΜΕΓΑΛΟΧΩΡΙΟΥ</t>
  </si>
  <si>
    <t>ΔΗΜΟΤΙΚΟ ΣΧΟΛΕΙΟ ΛΕΥΚΩΝ-ΚΩΣΤΟΥ ΠΑΡΟΥ</t>
  </si>
  <si>
    <t>mail@dim-lefkon.kyk.sch.gr</t>
  </si>
  <si>
    <t>ΛΕΥΚΕΣ  ΠΑΡΟΥ</t>
  </si>
  <si>
    <t>ΝΗΠΙΑΓΩΓΕΙΟ ΑΝΑΦΗΣ</t>
  </si>
  <si>
    <t>mail@nip-anafis.kyk.sch.gr</t>
  </si>
  <si>
    <t>1/θ ΝΗΠΙΑΓΩΓΕΙΟ ΘΗΡΑΣΙΑΣ</t>
  </si>
  <si>
    <t>mail@nip-thirasias.kyk.sch.gr</t>
  </si>
  <si>
    <t>2/Θ ΝΗΠΙΑΓΩΓΕΙΟ ΑΝΩ ΜΕΡΑΣ ΜΥΚΟΝΟΥ</t>
  </si>
  <si>
    <t>mail@nip-an-meras-mykon.kyk.sch.gr</t>
  </si>
  <si>
    <t>ΑΝΩ ΜΕΡΑ  ΜΥΚΟΝΟΥ</t>
  </si>
  <si>
    <t>ΑΝΩ ΜΕΡΑ ΜΥΚΟΝΟΥ Τ.Θ.1140</t>
  </si>
  <si>
    <t>ΝΗΠΙΑΓΩΓΕΙΟ ΣΑΓΚΡΙΟΥ ΝΑΞΟΥ</t>
  </si>
  <si>
    <t>mail@nip-sagkr.kyk.sch.gr</t>
  </si>
  <si>
    <t>ΕΙΔΙΚΟ ΔΗΜΟΤΙΚΟ ΣΧΟΛΕΙΟ ΦΗΡΑ ΘΗΡΑΣ - ΕΙΔΙΚΟ ΔΗΜ. ΣΧ. ΘΗΡΑΣ</t>
  </si>
  <si>
    <t>mail@dim-eid-thiras.kyk.sch.gr</t>
  </si>
  <si>
    <t>4ο ΝΗΠΙΑΓΩΓΕΙΟ ΧΩΡΑΣ ΝΑΞΟΥ</t>
  </si>
  <si>
    <t>mail@4nip-naxou.kyk.sch.gr</t>
  </si>
  <si>
    <t xml:space="preserve"> ΧΩΡΑ-ΝΑΞΟΥ</t>
  </si>
  <si>
    <t>ΝΙΚΟΛΑΟΥ ΣΚΟΥΦΑ ΦΙΛΙΚΟΥ</t>
  </si>
  <si>
    <t>4ο  ΝΗΠΙΑΓΩΓΕΙΟ ΠΑΡΟΙΚΙΑΣ ΠΑΡΟΥ</t>
  </si>
  <si>
    <t>mail@4nip-paroik.kyk.sch.gr</t>
  </si>
  <si>
    <t>ΚΑΤΩ ΓΙΑΛΟΣ</t>
  </si>
  <si>
    <t>ΝΗΠΙΑΓΩΓΕΙΟ ΕΞΩ ΓΩΝΙΑΣ ΘΗΡΑΣ</t>
  </si>
  <si>
    <t>mail@nip-exogon.kyk.sch.gr</t>
  </si>
  <si>
    <t>ΕΞΩ ΓΩΝΙΑ</t>
  </si>
  <si>
    <t>3ο ΝΗΠΙΑΓΩΓΕΙΟ ΠΑΡΟΙΚΙΑΣ ΠΑΡΟΥ</t>
  </si>
  <si>
    <t>mail@3nip-parou.kyk.sch.gr</t>
  </si>
  <si>
    <t>5ο ΝΗΠΙΑΓΩΓΕΙΟ ΝΑΞΟΥ-ΑΓΓΙΔΙΑ</t>
  </si>
  <si>
    <t>mail@5nip-naxou.kyk.sch.gr</t>
  </si>
  <si>
    <t xml:space="preserve"> ΧΩΡΑΣ ΝΑΞΟΥ</t>
  </si>
  <si>
    <t>ΑΓΓΙΔΙΑ</t>
  </si>
  <si>
    <t>6ο ΝΗΠΙΑΓΩΓΕΙΟ ΝΑΞΟΥ</t>
  </si>
  <si>
    <t>mail@6nip-naxou.kyk.sch.gr</t>
  </si>
  <si>
    <t>7ο  ΝΗΠΙΑΓΩΓΕΙΟ ΧΩΡΑΣ ΝΑΞΟΥ</t>
  </si>
  <si>
    <t>mail@7nip-naxou.kyk.sch.gr</t>
  </si>
  <si>
    <t>1/Θ ΝΗΠΙΑΓΩΓΕΙΟ ΗΡΑΚΛΕΙΑΣ</t>
  </si>
  <si>
    <t>mail@nip-irakl.kyk.sch.gr</t>
  </si>
  <si>
    <t>ΗΜΕΡΟΒΙΓΛΙΟΥ</t>
  </si>
  <si>
    <t>ΝΗΠΙΑΓΩΓΕΙΟ ΗΜΕΡΟΒΙΓΛΙΟΥ ΘΗΡΑΣ</t>
  </si>
  <si>
    <t>mail@nip-imerov.kyk.sch.gr</t>
  </si>
  <si>
    <t>ΗΜΕΡΟΒΙΓΛΙ</t>
  </si>
  <si>
    <t>ΗΜΕΡΟΒΙΓΛΙ ΘΗΡΑΣ</t>
  </si>
  <si>
    <t>4ο ΔΗΜΟΤΙΚΟ ΣΧΟΛΕΙΟ ΝΑΞΟΥ</t>
  </si>
  <si>
    <t>mail@4dim-naxou.kyk.sch.gr</t>
  </si>
  <si>
    <t>ΕΙΔΙΚΟ ΝΗΠΙΑΓΩΓΕΙΟ ΕΡΜΟΥΠΟΛΗΣ ΣΥΡΟΥ</t>
  </si>
  <si>
    <t>mail@nip-eid-syrou.kyk.sch.gr</t>
  </si>
  <si>
    <t>ΕΙΔΙΚΟ ΝΗΠΙΑΓΩΓΕΙΟ ΝΑΞΟΥ</t>
  </si>
  <si>
    <t>mail@nip-eid-naxou.kyk.sch.gr</t>
  </si>
  <si>
    <t>ΑΓΙΟΣ ΘΑΛΕΛΑΙΟΣ</t>
  </si>
  <si>
    <t>3ο ΔΗΜΟΤΙΚΟ ΣΧΟΛΕΙΟ ΤΗΝΟΥ</t>
  </si>
  <si>
    <t>mail@3dim-tinou.kyk.sch.gr</t>
  </si>
  <si>
    <t>ΝΗΠΙΑΓΩΓΕΙΟ ΤΡΙΟΒΑΣΑΛΩΝ ΜΗΛΟΥ</t>
  </si>
  <si>
    <t>mail@nip-triov.kyk.sch.gr</t>
  </si>
  <si>
    <t>ΧΑΛΙΚΙΑ ΜΗΛΟΥ</t>
  </si>
  <si>
    <t>ΠΕΡΑ ΤΡΙΟΒΑΣΑΛΟΣ ΜΗΛΟΥ</t>
  </si>
  <si>
    <t>ΠΕΡΙΦΕΡΕΙΑΚΗ Δ/ΝΣΗ Α/ΘΜΙΑΣ ΚΑΙ Β/ΘΜΙΑΣ ΕΚΠ/ΣΗΣ ΠΕΛΟΠΟΝΝΗΣΟΥ</t>
  </si>
  <si>
    <t>ΑΡΓΟΛΙΔΑΣ</t>
  </si>
  <si>
    <t>ΝΑΥΠΛΙΕΩΝ</t>
  </si>
  <si>
    <t>ΝΑΥΠΛΙΟΥ</t>
  </si>
  <si>
    <t>Κ.Ε.Σ.Υ.ΑΡΓΟΛΙΔΑΣ</t>
  </si>
  <si>
    <t>mail@kesy.arg.sch.gr</t>
  </si>
  <si>
    <t>ΝΑΥΠΛΙΟ</t>
  </si>
  <si>
    <t>ΑΝΔΡΙΑΝΟΥΠΟΛΕΩΣ 14 &amp; ΘΕΡΜΟΓΙΑΝΝΗ</t>
  </si>
  <si>
    <t>ΑΡΚΑΔΙΑΣ</t>
  </si>
  <si>
    <t>ΤΡΙΠΟΛΗΣ</t>
  </si>
  <si>
    <t>ΤΡΙΠΟΛΕΩΣ</t>
  </si>
  <si>
    <t>ΚΕΣΥ ΑΡΚΑΔΙΑΣ</t>
  </si>
  <si>
    <t>mail@kesy.ark.sch.gr</t>
  </si>
  <si>
    <t>ΤΡΙΠΟΛΗ</t>
  </si>
  <si>
    <t>ΚΥΠΡΟΥ 40-44</t>
  </si>
  <si>
    <t>ΚΟΡΙΝΘΙΑΣ</t>
  </si>
  <si>
    <t>ΚΟΡΙΝΘΙΩΝ</t>
  </si>
  <si>
    <t>ΚΟΡΙΝΘΟΥ</t>
  </si>
  <si>
    <t>ΚΕΣΥ ΚΟΡΙΝΘΙΑΣ</t>
  </si>
  <si>
    <t>mail@kesy.kor.sch.gr</t>
  </si>
  <si>
    <t>ΚΟΡΙΝΘΙΑ</t>
  </si>
  <si>
    <t>ΚΟΛΙΑΤΣΟΥ 20</t>
  </si>
  <si>
    <t>ΛΑΚΩΝΙΑΣ</t>
  </si>
  <si>
    <t>ΣΠΑΡΤΗΣ</t>
  </si>
  <si>
    <t>ΣΠΑΡΤΙΑΤΩΝ</t>
  </si>
  <si>
    <t>ΚΕΔΔΥ ΛΑΚΩΝΙΑΣ</t>
  </si>
  <si>
    <t>mail@kesy.lak.sch.gr</t>
  </si>
  <si>
    <t>ΣΠΑΡΤΗ</t>
  </si>
  <si>
    <t>2ο χλμ.Ε.Ο. ΣΠΑΡΤΗΣ - ΓΥΘΕΙΟΥ</t>
  </si>
  <si>
    <t>ΜΕΣΣΗΝΙΑΣ</t>
  </si>
  <si>
    <t>ΚΑΛΑΜΑΤΑΣ</t>
  </si>
  <si>
    <t>Κ.Ε.Σ.Υ. ΜΕΣΣΗΝΙΑΣ</t>
  </si>
  <si>
    <t>mail@kday.mes.sch.gr</t>
  </si>
  <si>
    <t>ΚΑΛΑΜΑΤΑ</t>
  </si>
  <si>
    <t>ΔΙΟΙΚΗΤΗΡΙΟ Β ΟΡΟΦΟΣ</t>
  </si>
  <si>
    <t>ΔΙΕΥΘΥΝΣΗ Δ.Ε. ΑΡΓΟΛΙΔΑΣ</t>
  </si>
  <si>
    <t>ΕΡΜΙΟΝΙΔΑΣ</t>
  </si>
  <si>
    <t>ΕΡΜΙΟΝΗΣ</t>
  </si>
  <si>
    <t>ΓΥΜΝΑΣΙΟ ΕΡΜΙΟΝΗΣ</t>
  </si>
  <si>
    <t>mail@gym-ermion.arg.sch.gr</t>
  </si>
  <si>
    <t>ΕΡΜΙΟΝΗ</t>
  </si>
  <si>
    <t>ΚΡΑΝΙΔΙΟΥ</t>
  </si>
  <si>
    <t>ΔΗΜΟΤΙΚΟ ΣΧΟΛΕΙΟ ΕΡΜΙΟΝΗΣ</t>
  </si>
  <si>
    <t>ΑΡΓΟΥΣ-ΜΥΚΗΝΩΝ</t>
  </si>
  <si>
    <t>ΑΡΓΟΥΣ</t>
  </si>
  <si>
    <t>ΠΥΡΓΕΛΛΑΣ</t>
  </si>
  <si>
    <t>ΕΕΕΕΚ ΑΡΓΟΣ - ΕΕΕΕΚ ΑΡΓΟΛΙΔΑΣ</t>
  </si>
  <si>
    <t>mail@eeeek.arg.sch.gr</t>
  </si>
  <si>
    <t>ΑΡΓΟΣ</t>
  </si>
  <si>
    <t>ΠΥΡΓΕΛΛΑ</t>
  </si>
  <si>
    <t>ΔΗΜΟΤΙΚΟ ΣΧΟΛΕΙΟ ΔΑΛΑΜΑΝΑΡΑΣ</t>
  </si>
  <si>
    <t>1ο ΗΜΕΡΗΣΙΟ ΕΠΑΛ ΑΡΓΟΥΣ ΑΡΓΟΛΙΔΑΣ</t>
  </si>
  <si>
    <t>mail@1epal-argous.arg.sch.gr</t>
  </si>
  <si>
    <t>3ο ΧΛΜ ΑΡΓΟΥΣ ΝΑΥΠΛΙΟΥ</t>
  </si>
  <si>
    <t>4ο ΔΗΜΟΤΙΚΟ ΣΧΟΛΕΙΟ ΑΡΓΟΥΣ</t>
  </si>
  <si>
    <t>ΗΜΕΡΗΣΙΟ ΓΕΝΙΚΟ ΛΥΚΕΙΟ ΕΡΜΙΟΝΗΣ - ΠΑΠΑΒΑΣΙΛΕΙΟΥ</t>
  </si>
  <si>
    <t>mail@lyk-ermion.arg.sch.gr</t>
  </si>
  <si>
    <t>ΕΡΜΙΟΝΗ ΑΡΓΟΛΙΔΑΣ</t>
  </si>
  <si>
    <t>2ο ΗΜΕΡΗΣΙΟ ΓΕΝΙΚΟ ΛΥΚΕΙΟ ΑΡΓΟΥΣ ΑΡΓΟΛΙΔΑΣ</t>
  </si>
  <si>
    <t>mail@2lyk-argous.arg.sch.gr</t>
  </si>
  <si>
    <t>ΑΡΓΟΣ  ΑΡΓΟΛΙΔΑΣ</t>
  </si>
  <si>
    <t>ΤΕΡΜΑ ΟΔΟΥ ΣΤΑΔΙΟΥ</t>
  </si>
  <si>
    <t>5ο ΔΗΜΟΤΙΚΟ ΣΧΟΛΕΙΟ ΑΡΓΟΥΣ</t>
  </si>
  <si>
    <t>2ο ΗΜΕΡΗΣΙΟ ΓΕΝΙΚΟ ΛΥΚΕΙΟ ΝΑΥΠΛΙΟΥ ΑΡΓΟΛΙΔΑΣ</t>
  </si>
  <si>
    <t>mail@2lyk-nafpl.arg.sch.gr</t>
  </si>
  <si>
    <t>ΝΑΥΠΛΙΟ ΑΡΓΟΛΙΔΑΣ</t>
  </si>
  <si>
    <t>ΑΜΑΛΙΑΣ 25</t>
  </si>
  <si>
    <t>1ο ΔΗΜΟΤΙΚΟ ΣΧΟΛΕΙΟ ΝΑΥΠΛΙΟΥ</t>
  </si>
  <si>
    <t>ΗΜΕΡΗΣΙΟ ΓΕΝΙΚΟ ΛΥΚΕΙΟ ΚΡΑΝΙΔΙΟΥ ΑΡΓΟΛΙΔΑΣ</t>
  </si>
  <si>
    <t>mail@1lyk-kranid.arg.sch.gr</t>
  </si>
  <si>
    <t>ΚΡΑΝΙΔΙΟΥ ΑΡΓΟΛΙΔΑΣ</t>
  </si>
  <si>
    <t>ΛΟΦΟΣ ΕΛΠΙΔΑΣ</t>
  </si>
  <si>
    <t>1ο  ΔΗΜΟΤΙΚΟ ΣΧΟΛΕΙΟ ΚΡΑΝΙΔΙΟΥ</t>
  </si>
  <si>
    <t>ΕΣΠΕΡΙΝΟ ΓΕΝΙΚΟ ΛΥΚΕΙΟ ΝΑΥΠΛΙΟΥ ΑΡΓΟΛΙΔΑΣ</t>
  </si>
  <si>
    <t>mail@lyk-esp-nafpl.arg.sch.gr</t>
  </si>
  <si>
    <t>ΕΠΙΔΑΥΡΟΥ</t>
  </si>
  <si>
    <t>ΑΣΚΛΗΠΙΕΙΟΥ</t>
  </si>
  <si>
    <t>ΗΜΕΡΗΣΙΟ ΓΕΝΙΚΟ ΛΥΚΕΙΟ ΛΥΓΟΥΡΙΟΥ ΑΡΓΟΛΙΔΑΣ</t>
  </si>
  <si>
    <t>mail@lyk-asklip.arg.sch.gr</t>
  </si>
  <si>
    <t>ΛΥΓΟΥΡΙΟ ΑΡΓΟΛΙΔΑΣ</t>
  </si>
  <si>
    <t>ΑΣΚΛΗΠΙΟΥ 127</t>
  </si>
  <si>
    <t>ΔΗΜΟΤΙΚΟ ΣΧΟΛΕΙΟ ΛΥΓΟΥΡΙΟΥ</t>
  </si>
  <si>
    <t>ΑΡΙΑΣ</t>
  </si>
  <si>
    <t>1ο ΗΜΕΡΗΣΙΟ ΕΠΑΛ ΝΑΥΠΛΙΟΥ ΑΡΓΟΛΙΔΑΣ</t>
  </si>
  <si>
    <t>mail@1epal-nafpl.arg.sch.gr</t>
  </si>
  <si>
    <t>ΑΡΙΑ -ΝΑΥΠΛΙΟΥ</t>
  </si>
  <si>
    <t>6ο ΔΗΜΟΤΙΚΟ ΣΧΟΛΕΙΟ ΝΑΥΠΛΙΟΥ</t>
  </si>
  <si>
    <t>1ο ΗΜΕΡΗΣΙΟ ΓΕΝΙΚΟ ΛΥΚΕΙΟ ΝΑΥΠΛΙΟΥ ΑΡΓΟΛΙΔΑΣ</t>
  </si>
  <si>
    <t>mail@1lyk-nafpl.arg.sch.gr</t>
  </si>
  <si>
    <t>3ο ΗΜΕΡΗΣΙΟ ΓΕΝΙΚΟ ΛΥΚΕΙΟ ΑΡΓΟΥΣ ΑΡΓΟΛΙΔΑΣ - ΣΠΥΡΙΔΩΝ ΤΡΙΚΟΥΠΗΣ</t>
  </si>
  <si>
    <t>mail@3lyk-argous.arg.sch.gr</t>
  </si>
  <si>
    <t>2o ΧΛΜ ΑΡΓΟΥΣ - ΝΑΥΠΛΙΟΥ</t>
  </si>
  <si>
    <t>1ο ΗΜΕΡΗΣΙΟ ΓΕΝΙΚΟ ΛΥΚΕΙΟ ΑΡΓΟΥΣ ΑΡΓΟΛΙΔΑΣ</t>
  </si>
  <si>
    <t>mail@1lyk-argous.arg.sch.gr</t>
  </si>
  <si>
    <t xml:space="preserve">ΑΡΓΟΣ </t>
  </si>
  <si>
    <t>Γ.Δ. ΜΑΡΙΝΟΥ 58</t>
  </si>
  <si>
    <t>6ο ΔΗΜΟΤΙΚΟ ΣΧΟΛΕΙΟ ΑΡΓΟΥΣ</t>
  </si>
  <si>
    <t>1ο ΗΜΕΡΗΣΙΟ ΕΠΑ.Λ. ΚΡΑΝΙΔΙΟΥ</t>
  </si>
  <si>
    <t>mail@1epal-kranid.arg.sch.gr</t>
  </si>
  <si>
    <t>ΚΡΑΝΙΔΙ ΑΡΓΟΛΙΔΑΣ</t>
  </si>
  <si>
    <t>ΗΜΕΡΗΣΙΟ ΓΥΜΝΑΣΙΟ ΚΡΑΝΙΔΙΟΥ ΑΡΓΟΛΙΔΑΣ</t>
  </si>
  <si>
    <t>mail@gym-kranid.arg.sch.gr</t>
  </si>
  <si>
    <t>ΠΑΝΤΑΝΑΣΣΗΣ 24</t>
  </si>
  <si>
    <t>2ο ΗΜΕΡΗΣΙΟ ΓΥΜΝΑΣΙΟ ΑΡΓΟΥΣ ΑΡΓΟΛΙΔΑΣ</t>
  </si>
  <si>
    <t>mail@2gym-argous.arg.sch.gr</t>
  </si>
  <si>
    <t xml:space="preserve">ʼργος </t>
  </si>
  <si>
    <t>4ο ΗΜΕΡΗΣΙΟ ΓΥΜΝΑΣΙΟ ΑΡΓΟΥΣ ΑΡΓΟΛΙΔΑΣ - ΠΟΛΥΚΛΕΙΤΕΙΟ ΓΥΜΝΑΣΙΟ ΑΡΓΟΥΣ</t>
  </si>
  <si>
    <t>mail@4gym-argous.arg.sch.gr</t>
  </si>
  <si>
    <t>ΑΡΓΟΣ ΑΡΓΟΛΙΔΑΣ</t>
  </si>
  <si>
    <t>ΖΩΓΡΑΦΟΥ 9</t>
  </si>
  <si>
    <t>3ο ΔΗΜΟΤΙΚΟ ΣΧΟΛΕΙΟ ΑΡΓΟΥΣ</t>
  </si>
  <si>
    <t>1ο ΗΜΕΡΗΣΙΟ ΓΥΜΝΑΣΙΟ ΝΑΥΠΛΙΟΥ ΑΡΓΟΛΙΔΑΣ</t>
  </si>
  <si>
    <t>1gymnafl@sch.gr</t>
  </si>
  <si>
    <t>ΠΑΠΑΚΩΝΣΤΑΝΤΙΝΟΥ &amp; ΠΑΡΑΛΙΑΚΗΣ ΝΑΥΠΛΙΟΥ- Ν. ΚΙΟΥ</t>
  </si>
  <si>
    <t>2ο ΗΜΕΡΗΣΙΟ ΓΥΜΝΑΣΙΟ ΝΑΥΠΛΙΟΥ ΑΡΓΟΛΙΔΑΣ</t>
  </si>
  <si>
    <t>mail@2gym-nafpl.arg.sch.gr</t>
  </si>
  <si>
    <t>ΣΚΟΥΜΠΗ ΚΑΙ ΚΩΣΤΑ</t>
  </si>
  <si>
    <t>ΜΙΔΕΑΣ</t>
  </si>
  <si>
    <t>ΗΜΕΡΗΣΙΟ ΓΕΝΙΚΟ ΛΥΚΕΙΟ ΑΓΙΑΣ ΤΡΙΑΔΑΣ ΑΡΓΟΛΙΔΑΣ</t>
  </si>
  <si>
    <t>mail@lyk-ag-triad.arg.sch.gr</t>
  </si>
  <si>
    <t>ΑΓΙΑ ΤΡΙΑΔΑ, ΝΑΥΠΛΙΟΥ</t>
  </si>
  <si>
    <t>ΟΔΟΣ ΑΡΑΧΝΑΙΟΥ</t>
  </si>
  <si>
    <t>ΔΗΜΟΤΙΚΟ ΣΧΟΛΕΙΟ ΑΓΙΑΣ ΤΡΙΑΔΑΣ ΑΡΓΟΛΙΔΑΣ</t>
  </si>
  <si>
    <t>1ο ΓΥΜΝΑΣΙΟ ΑΡΓΟΥΣ - ΜΠΟΥΣΟΥΛΟΠΟΥΛΕΙΟ</t>
  </si>
  <si>
    <t>1gymargo@sch.gr</t>
  </si>
  <si>
    <t>ΔΑΝΑΟΥ 26</t>
  </si>
  <si>
    <t>1ο ΔΗΜΟΤΙΚΟ ΣΧΟΛΕΙΟ ΑΡΓΟΥΣ</t>
  </si>
  <si>
    <t>ΑΣΙΝΗΣ</t>
  </si>
  <si>
    <t>ΗΜΕΡΗΣΙΟ ΓΥΜΝΑΣΙΟ ΔΡΕΠΑΝΟ ΑΡΓΟΛΙΔΑΣ</t>
  </si>
  <si>
    <t>mail@gym-drepan.arg.sch.gr</t>
  </si>
  <si>
    <t>ΔΡΕΠΑΝΟ ΑΡΓΟΛΙΔΑΣ</t>
  </si>
  <si>
    <t>ΔΡΕΠΑΝΟ - ΑΡΓΟΛΙΔΑΣ</t>
  </si>
  <si>
    <t>ΔΗΜΟΤΙΚΟ ΣΧΟΛΕΙΟ  ΔΡΕΠΑΝΟΥ</t>
  </si>
  <si>
    <t>ΗΜΕΡΗΣΙΟ ΓΥΜΝΑΣΙΟ ΛΥΓΟΥΡΙΟΥ</t>
  </si>
  <si>
    <t>mail@gym-lygour.arg.sch.gr</t>
  </si>
  <si>
    <t>ΝΕΑΣ ΚΙΟΥ</t>
  </si>
  <si>
    <t>ΗΜΕΡΗΣΙΟ ΓΥΜΝΑΣΙΟ ΝΕΑΣ ΚΙΟΥ ΑΡΓΟΛΙΔΑΣ</t>
  </si>
  <si>
    <t>mail@gym-n-kiou.arg.sch.gr</t>
  </si>
  <si>
    <t>Νέα Κίος</t>
  </si>
  <si>
    <t>Ε. ΛΑΣΚΑΡΙΔΗ</t>
  </si>
  <si>
    <t>ΔΗΜΟΤΙΚΟ ΣΧΟΛΕΙΟ ΝΕΑΣ ΚΙΟΥ-ΑΠΟΣΤΟΛΟΣ ΠΕΖΑΣ</t>
  </si>
  <si>
    <t>3ο ΗΜΕΡΗΣΙΟ ΓΥΜΝΑΣΙΟ ΑΡΓΟΥΣ ΑΡΓΟΛΙΔΑΣ</t>
  </si>
  <si>
    <t>mail@3gym-argous.arg.sch.gr</t>
  </si>
  <si>
    <t>2ο ΔΗΜΟΤΙΚΟ ΣΧΟΛΕΙΟ ΑΡΓΟΥΣ</t>
  </si>
  <si>
    <t>ΚΟΥΤΣΟΠΟΔΙΟΥ</t>
  </si>
  <si>
    <t>ΗΜΕΡΗΣΙΟ ΓΥΜΝΑΣΙΟ ΚΟΥΤΣΟΠΟΔΙ ΑΡΓΟΛΙΔΑΣ</t>
  </si>
  <si>
    <t>mail@gym-kouts.arg.sch.gr</t>
  </si>
  <si>
    <t xml:space="preserve"> ΑΡΓΟΛΙΔΑΣ</t>
  </si>
  <si>
    <t>ΚΟΥΤΣΟΠΟΔΙ</t>
  </si>
  <si>
    <t>ΔΗΜΟΤΙΚΟ ΣΧΟΛΕΙΟ ΚΟΥΤΣΟΠΟΔΙΟΥ</t>
  </si>
  <si>
    <t>ΓΥΜΝΑΣΙΟ ΑΓΙΑΣ ΤΡΙΑΔΑΣ ΑΡΓΟΛΙΔΑΣ</t>
  </si>
  <si>
    <t>mail@gym-ag-triad.arg.sch.gr</t>
  </si>
  <si>
    <t>ΑΓΙΑ ΤΡΙΑΔΑ ΑΡΓΟΛΙΔΑΣ</t>
  </si>
  <si>
    <t>ΔΑΛΑΜΑΝΑΡΑ</t>
  </si>
  <si>
    <t>ΜΥΚΗΝΑΙΩΝ</t>
  </si>
  <si>
    <t>ΠΡΟΣΥΜΝΗΣ</t>
  </si>
  <si>
    <t>ΜΟΥΣΙΚΟ ΓΥΜΝΑΣΙΟ ΠΡΟΣΥΜΝΗ - ΜΟΥΣΙΚΟ ΣΧΟΛΕΙΟ ΑΡΓΟΛΙΔΑΣ</t>
  </si>
  <si>
    <t>mail@gym-mous-argol.arg.sch.gr</t>
  </si>
  <si>
    <t xml:space="preserve">ΠΡΟΣΥΜΝΗ </t>
  </si>
  <si>
    <t>ΠΡΟΣΥΜΝΑ</t>
  </si>
  <si>
    <t>ΔΗΜΟΤΙΚΟ ΣΧΟΛΕΙΟ ΛΙΜΝΩΝ ΑΡΓΟΥΣ  ΜΥΚΗΝΩΝ</t>
  </si>
  <si>
    <t>ΛΕΥΚΑΚΙΩΝ</t>
  </si>
  <si>
    <t>ΕΝΙΑΙΟ ΕΙΔΙΚΟ ΕΠΑΓΓΕΛΜΑΤΙΚΟ ΓΥΜΝΑΣΙΟ - ΛΥΚΕΙΟ ΑΡΓΟΛΙΔΑΣ</t>
  </si>
  <si>
    <t>mail@eneegyl-argol.arg.sch.gr</t>
  </si>
  <si>
    <t>ΛΕΥΚΑΚΙΑ</t>
  </si>
  <si>
    <t>ΚΟΙΝΟΤΙΚΗ ΛΕΥΚΑΚΙΑ</t>
  </si>
  <si>
    <t>1ο ΕΚ ΑΡΓΟΥΣ</t>
  </si>
  <si>
    <t>mail@1sek-argol.arg.sch.gr</t>
  </si>
  <si>
    <t>2o ΧΛΜ ΑΡΓΟΥΣ-ΝΑΥΠΛΙΟΥ</t>
  </si>
  <si>
    <t>Εργαστήριο Ειδικής Επαγγελματικής Εκπαίδευσης (Ε.Ε.Ε.ΕΚ.) Ερμιονίδας</t>
  </si>
  <si>
    <t>mail@eeeek-ermion.arg.sch.gr</t>
  </si>
  <si>
    <t>Κρανίδι Ερμιονίδας</t>
  </si>
  <si>
    <t>Λόφος Ελπίδα, Αναπαύσεως Κρανίδι  21300</t>
  </si>
  <si>
    <t>ΔΙΕΥΘΥΝΣΗ Δ.Ε. ΑΡΚΑΔΙΑΣ</t>
  </si>
  <si>
    <t>4ο ΗΜΕΡΗΣΙΟ ΓΕΝΙΚΟ ΛΥΚΕΙΟ ΤΡΙΠΟΛΗΣ</t>
  </si>
  <si>
    <t>mail@4lyk-tripol.ark.sch.gr</t>
  </si>
  <si>
    <t>ΑΚΑΔΗΜΙΑΣ 12</t>
  </si>
  <si>
    <t>11ο ΔΗΜΟΤΙΚΟ ΣΧΟΛΕΙΟ ΤΡΙΠΟΛΗΣ</t>
  </si>
  <si>
    <t>ΕΣΠΕΡΙΝΟ ΓΕΝΙΚΟ ΛΥΚΕΙΟ ΤΡΙΠΟΛΗΣ</t>
  </si>
  <si>
    <t>mail@lyk-esp-tripol.ark.sch.gr</t>
  </si>
  <si>
    <t>ΤΕΡΜΑ ΤΕΓΕΑΣ</t>
  </si>
  <si>
    <t>10ο ΔΗΜΟΤΙΚΟ ΣΧΟΛΕΙΟ ΤΡΙΠΟΛΗΣ</t>
  </si>
  <si>
    <t>ΜΑΝΤΙΝΕΙΑΣ</t>
  </si>
  <si>
    <t>ΚΑΨΑ</t>
  </si>
  <si>
    <t>ΕΕΕΕΚ ΑΡΚΑΔΙΑ - ΕΕΕΕΚ ΜΑΝΤΙΝΕΙΑΣ</t>
  </si>
  <si>
    <t>mail@eeeek.ark.sch.gr</t>
  </si>
  <si>
    <t>ΑΡΚΑΔΙΑ</t>
  </si>
  <si>
    <t>ΔΗΜΟΤΙΚΟ ΣΧΟΛΕΙΟ ΛΕΒΙΔΙΟΥ</t>
  </si>
  <si>
    <t>ΜΕΓΑΛΟΠΟΛΗΣ</t>
  </si>
  <si>
    <t>ΜΕΓΑΛΟΠΟΛΕΩΣ</t>
  </si>
  <si>
    <t>1ο ΗΜΕΡΗΣΙΟ ΕΠΑΛ ΜΕΓΑΛΟΠΟΛΗΣ</t>
  </si>
  <si>
    <t>mail@1epal-megal.ark.sch.gr</t>
  </si>
  <si>
    <t>ΜΕΓΑΛΟΠΟΛΗ</t>
  </si>
  <si>
    <t>ΛΕΩΦ.  ΕΚΤΕΛΕΣΘΕΝΤΩΝ 2</t>
  </si>
  <si>
    <t>1ο ΔΗΜΟΤΙΚΟ ΣΧΟΛΕΙΟ ΜΕΓΑΛΟΠΟΛΗΣ</t>
  </si>
  <si>
    <t>1ο ΕΚ ΤΡΙΠΟΛΗΣ</t>
  </si>
  <si>
    <t>mail@1sek-tripol.ark.sch.gr</t>
  </si>
  <si>
    <t>ΒΟΡΕΙΑΣ ΚΥΝΟΥΡΙΑΣ</t>
  </si>
  <si>
    <t>ΑΣΤΡΟΥΣ</t>
  </si>
  <si>
    <t>1ο ΗΜΕΡΗΣΙΟ ΕΠΑΛ ΑΣΤΡΟΣ</t>
  </si>
  <si>
    <t>mail@1epal-astrous.ark.sch.gr</t>
  </si>
  <si>
    <t>ΑΣΤΡΟΣ</t>
  </si>
  <si>
    <t>ΑΣΤΡΟΣ ΚΥΝΟΥΡΙΑΣ</t>
  </si>
  <si>
    <t>ΔΗΜΟΤΙΚΟ ΣΧΟΛΕΙΟ ΑΣΤΡΟΥΣ</t>
  </si>
  <si>
    <t>ΛΕΒΙΔΙΟΥ</t>
  </si>
  <si>
    <t>ΓΕΝΙΚΟ ΛΥΚΕΙΟ ΛΕΒΙΔΙΟΥ</t>
  </si>
  <si>
    <t>mail@lyk-levid.ark.sch.gr</t>
  </si>
  <si>
    <t>ΛΕΒΙΔΙ ΑΡΚΑΔΙΑΣ</t>
  </si>
  <si>
    <t>2ο ΗΜΕΡΗΣΙΟ ΓΕΝΙΚΟ ΛΥΚΕΙΟ ΤΡΙΠΟΛΗΣ</t>
  </si>
  <si>
    <t>mail@2lyk-tripol.ark.sch.gr</t>
  </si>
  <si>
    <t>ΠΕΛΑΓΟΥΣ ΤΕΡΜΑ</t>
  </si>
  <si>
    <t>ΔΗΜΟΤΙΚΟ ΣΧΟΛΕΙΟ ΤΕΓΕΑΣ</t>
  </si>
  <si>
    <t>3ο ΗΜΕΡΗΣΙΟ ΓΕΝΙΚΟ ΛΥΚΕΙΟ ΤΡΙΠΟΛΗΣ</t>
  </si>
  <si>
    <t>mail@3lyk-tripol.ark.sch.gr</t>
  </si>
  <si>
    <t>ΠΕΛΑΓΟΥΣ 1</t>
  </si>
  <si>
    <t>4ο  ΔΗΜΟΤΙΚΟ ΣΧΟΛΕΙΟ ΤΡΙΠΟΛΗΣ</t>
  </si>
  <si>
    <t>ΤΕΓΕΑΣ</t>
  </si>
  <si>
    <t>ΑΛΕΑΣ</t>
  </si>
  <si>
    <t>ΗΜΕΡΗΣΙΟ ΓΕΝΙΚΟ ΛΥΚΕΙΟ ΤΕΓΕΑΣ</t>
  </si>
  <si>
    <t>mail@lyk-aleas.ark.sch.gr</t>
  </si>
  <si>
    <t>ΤΕΓΕΑ</t>
  </si>
  <si>
    <t>ΑΛΕΑ</t>
  </si>
  <si>
    <t>ΗΜΕΡΗΣΙΟ ΓΕΝΙΚΟ ΛΥΚΕΙΟ ΜΕΓΑΛΟΠΟΛΗΣ</t>
  </si>
  <si>
    <t>mail@1lyk-megal.ark.sch.gr</t>
  </si>
  <si>
    <t>ΝΟΤΙΑΣ ΚΥΝΟΥΡΙΑΣ</t>
  </si>
  <si>
    <t>ΛΕΩΝΙΔΙΟΥ</t>
  </si>
  <si>
    <t>ΕΠΑ.Λ ΛΕΩΝΙΔΙΟΥ</t>
  </si>
  <si>
    <t>mail@epal-leonid.ark.sch.gr</t>
  </si>
  <si>
    <t>ΛΕΩΝΙΔΙΟ</t>
  </si>
  <si>
    <t>ΠΡΑΣΙΩΝ</t>
  </si>
  <si>
    <t>ΔΗΜΟΤΙΚΟ ΣΧΟΛΕΙΟ ΛΕΩΝΙΔΙΟΥ</t>
  </si>
  <si>
    <t>ΓΟΡΤΥΝΙΑΣ</t>
  </si>
  <si>
    <t>ΤΡΟΠΑΙΩΝ</t>
  </si>
  <si>
    <t>ΗΜΕΡΗΣΙΟ ΓΕΝΙΚΟ ΛΥΚΕΙΟ ΤΡΟΠΑΙΩΝ ΑΡΚΑΔΙΑΣ</t>
  </si>
  <si>
    <t>mail@lyk-tropaion.ark.sch.gr</t>
  </si>
  <si>
    <t>ΤΡΟΠΑΙΑ</t>
  </si>
  <si>
    <t>ΔΗΜΟΤΙΚΟ ΣΧΟΛΕΙΟ ΤΡΟΠΑΙΩΝ</t>
  </si>
  <si>
    <t>ΓΕΝΙΚΟ ΛΥΚΕΙΟ ΛΕΩΝΙΔΙΟΥ</t>
  </si>
  <si>
    <t>mail@lyk-leonid.ark.sch.gr</t>
  </si>
  <si>
    <t>ΗΜΕΡΗΣΙΟ ΓΕΝΙΚΟ ΛΥΚΕΙΟ ΑΣΤΡΟΥΣ - ΔΗΜ.Θ.ΣΑΚΑΛΗΣ</t>
  </si>
  <si>
    <t>mail@lyk-astrous.ark.sch.gr</t>
  </si>
  <si>
    <t>ΑΣΤΡΟΣ ΑΡΚΑΔΙΑΣ</t>
  </si>
  <si>
    <t>3ο ΕΣΠΕΡΙΝΟ ΕΠΑΛ ΤΡΙΠΟΛΗΣ</t>
  </si>
  <si>
    <t>mail@3epal-esp-tripol.ark.sch.gr</t>
  </si>
  <si>
    <t>ΤΕΓΕΑΣ ΤΕΡΜΑ</t>
  </si>
  <si>
    <t>ΤΥΡΟΥ</t>
  </si>
  <si>
    <t>ΗΜΕΡΗΣΙΟ ΓΥΜΝΑΣΙΟ ΠΑΡΑΛΙΑΣ ΤΥΡΟΥ</t>
  </si>
  <si>
    <t>mail@gym-paral.ark.sch.gr</t>
  </si>
  <si>
    <t>ΤΥΡΟΣ</t>
  </si>
  <si>
    <t>ΔΗΜΟΤΙΚΟ ΣΧΟΛΕΙΟ ΤΥΡΟΣΑΠΟΥΝΑΚΑΙΪΚΩΝ</t>
  </si>
  <si>
    <t>ΗΜΕΡΗΣΙΟ ΓΥΜΝΑΣΙΟ ΜΕΓΑΛΟΠΟΛΗΣ</t>
  </si>
  <si>
    <t>mail@gym-megal.ark.sch.gr</t>
  </si>
  <si>
    <t>ΗΜΕΡΗΣΙΟ ΓΥΜΝΑΣΙΟ ΛΕΩΝΙΔΙΟΥ</t>
  </si>
  <si>
    <t>mail@gym-leonid.ark.sch.gr</t>
  </si>
  <si>
    <t>ΗΜΕΡΗΣΙΟ ΓΥΜΝΑΣΙΟ ΑΣΤΡΟΥΣ ΚΥΝΟΥΡΙΑΣ</t>
  </si>
  <si>
    <t>mail@gym-astrous.ark.sch.gr</t>
  </si>
  <si>
    <t>ʼστρος</t>
  </si>
  <si>
    <t>1ο ΗΜΕΡΗΣΙΟ ΓΥΜΝΑΣΙΟ ΤΡΙΠΟΛΗΣ</t>
  </si>
  <si>
    <t>mail@1gym-tripol.ark.sch.gr</t>
  </si>
  <si>
    <t>ΚΑΛΑΜΑΤΑΣ 70</t>
  </si>
  <si>
    <t>5ο ΔΗΜΟΤΙΚΟ ΣΧΟΛΕΙΟ ΤΡΙΠΟΛΗΣ</t>
  </si>
  <si>
    <t>4ο ΗΜΕΡΗΣΙΟ ΓΥΜΝΑΣΙΟ ΤΡΙΠΟΛΗΣ</t>
  </si>
  <si>
    <t>mail@4gym-tripol.ark.sch.gr</t>
  </si>
  <si>
    <t>ΑΝΤΙΓΟΝΗΣ (ΟΠΙΣΘΕΝ ΔΑΚ ΤΡΙΠΟΛΗΣ)</t>
  </si>
  <si>
    <t>1ο ΔΗΜΟΤΙΚΟ ΣΧΟΛΕΙΟ ΤΡΙΠΟΛΗΣ</t>
  </si>
  <si>
    <t>3ο ΗΜΕΡΗΣΙΟ ΓΥΜΝΑΣΙΟ ΤΡΙΠΟΛΗΣ</t>
  </si>
  <si>
    <t>mail@3gym-tripol.ark.sch.gr</t>
  </si>
  <si>
    <t>1ο ΗΜΕΡΗΣΙΟ ΕΠΑ.Λ ΤΡΙΠΟΛΗΣ</t>
  </si>
  <si>
    <t>mail@1epal-tripol.ark.sch.gr</t>
  </si>
  <si>
    <t>ΚΟΝΤΟΒΑΖΑΙΝΗΣ</t>
  </si>
  <si>
    <t>ΗΜΕΡΗΣΙΟ ΓΥΜΝΑΣΙΟ ΚΟΝΤΟΒΑΖΑΙΝΑΣ</t>
  </si>
  <si>
    <t>mail@gym-kontov.ark.sch.gr</t>
  </si>
  <si>
    <t>ΚΟΝΤΟΒΑΖΑΙΝΑ</t>
  </si>
  <si>
    <t>ΔΗΜΟΤΙΚΟ ΣΧΟΛΕΙΟ ΚΟΝΤΟΒΑΖΑΙΝΑΣ</t>
  </si>
  <si>
    <t>ΗΜΕΡΗΣΙΟ ΓΥΜΝΑΣΙΟ ΑΓΙΟΥ ΑΝΔΡΕΑ - ΚΥΝΟΥΡΙΑΣ</t>
  </si>
  <si>
    <t>mail@gym-ag-andrea.ark.sch.gr</t>
  </si>
  <si>
    <t>ΑΓΙΟΣ ΑΝΔΡΕΑΣ - ΚΥΝΟΥΡΙΑΣ</t>
  </si>
  <si>
    <t>ΑΓ.ΑΝΔΡΕΑΣ ΚΥΝΟΥΡΙΑΣ</t>
  </si>
  <si>
    <t>ΔΗΜΟΤΙΚΟ ΣΧΟΛΕΙΟ ΑΓ.ΑΝΔΡΕΑ-ΠΡΑΣΤΟΥ</t>
  </si>
  <si>
    <t>ΒΥΤΙΝΑΣ</t>
  </si>
  <si>
    <t>ΗΜΕΡΗΣΙΟ ΓΥΜΝΑΣΙΟ ΒΥΤΙΝΑΣ ΑΡΚΑΔΙΑΣ</t>
  </si>
  <si>
    <t>mail@gym-vytin.ark.sch.gr</t>
  </si>
  <si>
    <t>ΒΥΤΙΝΑ ΑΡΚΑΔΙΑΣ</t>
  </si>
  <si>
    <t>ΒΥΤΙΝΑ</t>
  </si>
  <si>
    <t>ΔΗΜΟΤΙΚΟ ΣΧΟΛΕΙΟ ΒΥΤΙΝΑΣ</t>
  </si>
  <si>
    <t>2ο ΓΥΜΝΑΣΙΟ ΤΡΙΠΟΛΗΣ</t>
  </si>
  <si>
    <t>mail@2gym-tripol.ark.sch.gr</t>
  </si>
  <si>
    <t>ΤΕΡΜΑ ΠΕΛΑΓΟΥΣ</t>
  </si>
  <si>
    <t>ΓΥΜΝΑΣΙΟ ΛΕΒΙΔΙΟΥ</t>
  </si>
  <si>
    <t>mail@gym-levid.ark.sch.gr</t>
  </si>
  <si>
    <t>ΛΕΒΙΔΙ</t>
  </si>
  <si>
    <t>ΛΕΒΙΔΙ -ΑΡΚΑΔΙΑΣ</t>
  </si>
  <si>
    <t>ΜΟΥΣΙΚΟ ΣΧΟΛΕΙΟ ΤΡΙΠΟΛΗΣ (ΜΟΥΣΙΚΟ ΓΥΜΝΑΣΙΟ ΜΕ ΛΥΚΕΙΑΚΕΣ ΤΑΞΕΙΣ)</t>
  </si>
  <si>
    <t>mail@gym-mous-tripol.ark.sch.gr</t>
  </si>
  <si>
    <t>ΝΙΚΟΥ ΓΚΑΤΣΟΥ</t>
  </si>
  <si>
    <t>ΗΜΕΡΗΣΙΟ ΓΥΜΝΑΣΙΟ ΤΡΟΠΑΙΩΝ ΑΡΚΑΔΙΑΣ</t>
  </si>
  <si>
    <t>mail@gym-tropaion.ark.sch.gr</t>
  </si>
  <si>
    <t>ΤΡΟΠΑΙΑ  ΑΡΚΑΔΙΑΣ</t>
  </si>
  <si>
    <t>ΗΜΕΡΗΣΙΟ ΓΥΜΝΑΣΙΟ ΤΡΟΠΑΙΩΝ  ΑΡΚΑΔΙΑΣ</t>
  </si>
  <si>
    <t>1ο ΗΜΕΡΗΣΙΟ ΓΕΝΙΚΟ ΛΥΚΕΙΟ ΤΡΙΠΟΛΗΣ - ΜΙΣΤΡΙΩΤΕΙΟ</t>
  </si>
  <si>
    <t>mail@1lyk-tripol.ark.sch.gr</t>
  </si>
  <si>
    <t>ΗΜΕΡΗΣΙΟ ΓΥΜΝΑΣΙΟ ΤΕΓΕΑΣ</t>
  </si>
  <si>
    <t>mail@gym-tegeas.ark.sch.gr</t>
  </si>
  <si>
    <t>ΑΛΕΑ ΤΕΓΕΑ</t>
  </si>
  <si>
    <t>ΕΕΕΕΚ ΛΕΩΝΙΔΙΟ - Ε.Ε.Ε.Ε.Κ ΛΕΩΝΙΔΙΟΥ</t>
  </si>
  <si>
    <t>mail@eeeek-leonid.ark.sch.gr</t>
  </si>
  <si>
    <t>ΗΜΕΡΗΣΙΟ ΓΕΝΙΚΟ ΛΥΚΕΙΟ ΒΥΤΙΝΑΣ</t>
  </si>
  <si>
    <t>mail@lyk-vytin.ark.sch.gr</t>
  </si>
  <si>
    <t>ΤΡΙΚΟΛΩΝΩΝ</t>
  </si>
  <si>
    <t>ΣΤΕΜΝΙΤΣΗΣ</t>
  </si>
  <si>
    <t>ΗΜΕΡΗΣΙΟ ΕΠΑ.Λ. ΓΟΡΤΥΝΙΑΣ</t>
  </si>
  <si>
    <t>mail@epal-gortyn.ark.sch.gr</t>
  </si>
  <si>
    <t>ΣΤΕΜΝΙΤΣΑ</t>
  </si>
  <si>
    <t>Ενιαίο Ειδικό Επαγγελματικό Γυμνάσιο-Λύκειο (ΕΝ.Ε.Ε.ΓΥ.-Λ.) Τρίπολης</t>
  </si>
  <si>
    <t>mail@eneegyl-tripol.ark.sch.gr</t>
  </si>
  <si>
    <t>ΔΙΕΥΘΥΝΣΗ Δ.Ε. ΚΟΡΙΝΘΙΑΣ</t>
  </si>
  <si>
    <t>ΛΟΥΤΡΑΚΙΟΥ-ΠΕΡΑΧΩΡΑΣ-ΑΓΙΩΝ ΘΕΟΔΩΡΩΝ</t>
  </si>
  <si>
    <t>ΛΟΥΤΡΑΚΙΟΥ-ΠΕΡΑΧΩΡΑΣ</t>
  </si>
  <si>
    <t>ΛΟΥΤΡΑΚΙΟΥ ΠΕΡΑΧΩΡΑΣ</t>
  </si>
  <si>
    <t>ΗΜΕΡΗΣΙΟ ΓΥΜΝΑΣΙΟ ΠΕΡΑΧΩΡΑΣ ΚΟΡΙΝΘΙΑΣ</t>
  </si>
  <si>
    <t>mail@gym-perach.kor.sch.gr</t>
  </si>
  <si>
    <t>ΠΕΡΑΧΩΡΑΣ ΚΟΡΙΝΘΙΑΣ</t>
  </si>
  <si>
    <t>ΠΕΡΑΧΩΡΑ ΚΟΡΙΝΘΙΑΣ</t>
  </si>
  <si>
    <t>ΔΗΜΟΤΙΚΟ ΣΧΟΛΕΙΟ ΠΕΡΑΧΩΡΑΣ</t>
  </si>
  <si>
    <t>ΕΣΠΕΡΙΝΟ ΓΥΜΝΑΣΙΟ ΚΟΡΙΝΘΟΥ</t>
  </si>
  <si>
    <t>mail@gym-esp-korinth.kor.sch.gr</t>
  </si>
  <si>
    <t>ΚΟΡΙΝΘΟΣ</t>
  </si>
  <si>
    <t>ΕΡΜΟΥ ΤΕΡΜΑ ΚΑΙ ΑΡΓΟΥΣ 17</t>
  </si>
  <si>
    <t>2ο ΔΗΜΟΤΙΚΟ ΣΧΟΛΕΙΟ ΚΟΡΙΝΘΟΥ</t>
  </si>
  <si>
    <t>ΤΕΝΕΑΣ</t>
  </si>
  <si>
    <t>ΧΙΛΙΟΜΟΔΙΟΥ</t>
  </si>
  <si>
    <t>ΗΜΕΡΗΣΙΟ ΓΕΝΙΚΟ ΛΥΚΕΙΟ ΧΙΛΙΟΜΟΔΙΟΥ ΚΟΡΙΝΘΟΥ</t>
  </si>
  <si>
    <t>mail@lyk-chiliom.kor.sch.gr</t>
  </si>
  <si>
    <t>ΧΙΛΙΟΜΟΔΙΟΥ ΚΟΡΙΝΘΟΥ</t>
  </si>
  <si>
    <t>ΑΘ.ΚΑΛΑΡΑ 8</t>
  </si>
  <si>
    <t>ΔΗΜΟΤΙΚΟ ΣΧΟΛΕΙΟ ΧΙΛΙΟΜΟΔΙΟΥ</t>
  </si>
  <si>
    <t>ΓΕΝΙΚΟ ΛΥΚΕΙΟ ΑΓΙΩΝ ΘΕΟΔΩΡΩΝ</t>
  </si>
  <si>
    <t>lykagthe@sch.gr</t>
  </si>
  <si>
    <t>ΑΓΙΟΙ ΘΕΟΔΩΡΟΙ N. ΚΟΡΙΝΘΙΑΣ</t>
  </si>
  <si>
    <t>2ο ΔΗΜΟΤΙΚΟ ΣΧΟΛΕΙΟ ΑΓΙΩΝ ΘΕΟΔΩΡΩΝ</t>
  </si>
  <si>
    <t>ΝΕΜΕΑΣ</t>
  </si>
  <si>
    <t>1ο ΗΜΕΡΗΣΙΟ ΕΠΑΛ ΝΕΜΕΑΣ</t>
  </si>
  <si>
    <t>1epal-nemeas@sch.gr</t>
  </si>
  <si>
    <t>ΝΕΜΕΑ</t>
  </si>
  <si>
    <t>ΜΑΘΗΤΙΚΗ ΕΣΤΙΑ</t>
  </si>
  <si>
    <t>2ο ΔΗΜΟΤΙΚΟ ΣΧΟΛΕΙΟ ΝΕΜΕΑΣ</t>
  </si>
  <si>
    <t>ΞΥΛΟΚΑΣΤΡΟΥ-ΕΥΡΩΣΤΙΝΗΣ</t>
  </si>
  <si>
    <t>ΞΥΛΟΚΑΣΤΡΟΥ</t>
  </si>
  <si>
    <t>1ο ΗΜΕΡΗΣΙΟ ΕΠΑΛ ΞΥΛΟΚΑΣΤΡΟΥ - ΕΠΑ.Λ. ΞΥΛΟΚΑΣΤΡΟΥ</t>
  </si>
  <si>
    <t>mail@1epal-xylok.kor.sch.gr</t>
  </si>
  <si>
    <t>ΞΥΛΟΚΑΣΤΡΟ</t>
  </si>
  <si>
    <t>ΠΕΡΙΟΧΗ ΣΥΘΑ</t>
  </si>
  <si>
    <t>2ο ΔΗΜΟΤΙΚΟ ΣΧΟΛΕΙΟ ΞΥΛΟΚΑΣΤΡΟΥ</t>
  </si>
  <si>
    <t>ΗΜΕΡΗΣΙΟ ΓΕΝΙΚΟ ΛΥΚΕΙΟ ΝΕΜΕΑΣ</t>
  </si>
  <si>
    <t>mail@lyk-nemeas.kor.sch.gr</t>
  </si>
  <si>
    <t>Ι.Μ. ΒΡΑΧΟΥ 27</t>
  </si>
  <si>
    <t>ΑΘΙΚΙΩΝ</t>
  </si>
  <si>
    <t>ΗΜΕΡΗΣΙΟ ΓΥΜΝΑΣΙΟ ΑΘΙΚΙΩΝ ΚΟΡΙΝΘΟΥ</t>
  </si>
  <si>
    <t>mail@gym-athik.kor.sch.gr</t>
  </si>
  <si>
    <t>ΑΘΙΚΙΩΝ ΚΟΡΙΝΘΟΥ</t>
  </si>
  <si>
    <t>ΑΘΙΚΙΑ ΚΟΡΙΝΘΙΑΣ</t>
  </si>
  <si>
    <t>ΔΗΜΟΤΙΚΟ ΣΧΟΛΕΙΟ ΑΘΙΚΙΩΝ</t>
  </si>
  <si>
    <t>ΗΜΕΡΗΣΙΟ ΓΕΝΙΚΟ ΛΥΚΕΙΟ ΛΟΥΤΡΑΚΙΟΥ</t>
  </si>
  <si>
    <t>mail@lyk-loutr.kor.sch.gr</t>
  </si>
  <si>
    <t>ΛΕΩΦΟΡΟΣ ΑΘΗΝΩΝ 284</t>
  </si>
  <si>
    <t>2ο ΔΗΜΟΤΙΚΟ ΣΧΟΛΕΙΟ ΛΟΥΤΡΑΚΙΟΥ</t>
  </si>
  <si>
    <t>ΒΕΛΟΥ-ΒΟΧΑΣ</t>
  </si>
  <si>
    <t>ΒΟΧΑΣ</t>
  </si>
  <si>
    <t>ΒΡΑΧΑΤΙΟΥ</t>
  </si>
  <si>
    <t>ΗΜΕΡΗΣΙΟ ΓΕΝΙΚΟ ΛΥΚΕΙΟ ΒΡΑΧΑΤΙ ΚΟΡΙΝΘΙΑΣ - ΓΕΝΙΚΟ ΛΥΚΕΙΟ ΒΡΑΧΑΤΙΟΥ</t>
  </si>
  <si>
    <t>mail@lyk-vrach.kor.sch.gr</t>
  </si>
  <si>
    <t>ΒΡΑΧΑΤΙ ΚΟΡΙΝΘΙΑΣ</t>
  </si>
  <si>
    <t>ΚΟΛΟΚΟΤΡΩΝΗ 8</t>
  </si>
  <si>
    <t>ΔΗΜΟΤΙΚΟ ΣΧΟΛΕΙΟ ΒΡΑΧΑΤΙΟΥ</t>
  </si>
  <si>
    <t>3ο ΗΜΕΡΗΣΙΟ ΓΕΝΙΚΟ ΛΥΚΕΙΟ ΚΟΡΙΝΘΟΥ</t>
  </si>
  <si>
    <t>mail@3lyk-korinth.kor.sch.gr</t>
  </si>
  <si>
    <t>ΑΪΔΙΝΙΟΥ 7</t>
  </si>
  <si>
    <t>12ο ΔΗΜΟΤΙΚΟ ΣΧΟΛΕΙΟ ΚΟΡΙΝΘΟΥ</t>
  </si>
  <si>
    <t>2ο ΗΜΕΡΗΣΙΟ ΓΕΝΙΚΟ ΛΥΚΕΙΟ ΚΟΡΙΝΘΟΥ</t>
  </si>
  <si>
    <t>mail@2lyk-korinth.kor.sch.gr</t>
  </si>
  <si>
    <t>ΕΡΜΟΥ ΤΕΡΜΑ</t>
  </si>
  <si>
    <t>ΕΣΠΕΡΙΝΟ ΕΠΑΛ ΚΟΡΙΝΘΟΥ</t>
  </si>
  <si>
    <t>mail@1epal-esp-korinth.kor.sch.gr</t>
  </si>
  <si>
    <t>4ο ΗΜΕΡΗΣΙΟ ΓΕΝΙΚΟ ΛΥΚΕΙΟ ΚΟΡΙΝΘΟΥ</t>
  </si>
  <si>
    <t>mail@4lyk-korinth.kor.sch.gr</t>
  </si>
  <si>
    <t>ΠΕΡΙΟΧΗ ΑΓ. ΓΕΩΡΓΙΟΥ</t>
  </si>
  <si>
    <t>10ο ΔΗΜΟΤΙΚΟ ΣΧΟΛΕΙΟ ΚΟΡΙΝΘΟΥ</t>
  </si>
  <si>
    <t>1ο ΗΜΕΡΗΣΙΟ ΓΕΝΙΚΟ ΛΥΚΕΙΟ ΚΟΡΙΝΘΟΥ</t>
  </si>
  <si>
    <t>mail@1lyk-korinth.kor.sch.gr</t>
  </si>
  <si>
    <t>ΑΡΓΟΥΣ 17-19</t>
  </si>
  <si>
    <t>ΓΕΝΙΚΟ ΛΥΚΕΙΟ ΞΥΛΟΚΑΣΤΡΟΥ</t>
  </si>
  <si>
    <t>mail@lyk-xylok.kor.sch.gr</t>
  </si>
  <si>
    <t>ΠΕΡΙΟΧΗ ΣΥΘΑ ΞΥΛΟΚΑΣΤΡΟΥ</t>
  </si>
  <si>
    <t>ΣΙΚΥΩΝΙΩΝ</t>
  </si>
  <si>
    <t>ΣΙΚΥΩΝΟΣ</t>
  </si>
  <si>
    <t>1ο ΗΜΕΡΗΣΙΟ ΕΠΑΛ ΚΙΑΤΟΥ</t>
  </si>
  <si>
    <t>mail@1epal-kiatou.kor.sch.gr</t>
  </si>
  <si>
    <t>ΚΙΑΤΟ</t>
  </si>
  <si>
    <t>ΠΕΡΙΟΧΗ ΑΓ. ΝΙΚΟΛΑΟΥ</t>
  </si>
  <si>
    <t>2ο ΔΗΜΟΤΙΚΟ ΣΧΟΛΕΙΟ ΚΙΑΤΟΥ</t>
  </si>
  <si>
    <t>ΕΥΡΩΣΤΙΝΗΣ</t>
  </si>
  <si>
    <t>ΔΕΡΒΕΝΙΟΥ</t>
  </si>
  <si>
    <t>ΗΜΕΡΗΣΙΟ ΓΕΝΙΚΟ ΛΥΚΕΙΟ ΔΕΡΒΕΝΙΟΥ</t>
  </si>
  <si>
    <t>mail@lyk-derven.kor.sch.gr</t>
  </si>
  <si>
    <t>ΔΕΡΒΕΝΙ ΚΟΡΙΝΘΙΑΣ</t>
  </si>
  <si>
    <t>ΓΕΩΡΓΙΟΥ ΜΠΑΛΗ 1</t>
  </si>
  <si>
    <t>ΔΗΜΟΤΙΚΟ ΣΧΟΛΕΙΟ ΔΕΡΒΕΝΙΟΥ</t>
  </si>
  <si>
    <t>2ο ΗΜΕΡΗΣΙΟ ΓΕΝΙΚΟ ΛΥΚΕΙΟ ΚΙΑΤΟΥ</t>
  </si>
  <si>
    <t>mail@2lyk-kiatou.kor.sch.gr</t>
  </si>
  <si>
    <t>ΠΕΡΙΟΧΗ ΑΓ.ΝΙΚΟΛΑΟΥ</t>
  </si>
  <si>
    <t>ΒΕΛΟΥ</t>
  </si>
  <si>
    <t>ΓΕΝΙΚΟ ΛΥΚΕΙΟ ΒΕΛΟΥ ΚΟΡΙΝΘΙΑΣ</t>
  </si>
  <si>
    <t>mail@lyk-velou.kor.sch.gr</t>
  </si>
  <si>
    <t>ΒΕΛΟ ΚΟΡΙΝΘΙΑΣ</t>
  </si>
  <si>
    <t>ΑΧΕΠΑΝΣ 28</t>
  </si>
  <si>
    <t>ΔΗΜΟΤΙΚΟ ΣΧΟΛΕΙΟ ΒΕΛΟΥ</t>
  </si>
  <si>
    <t>ΖΕΥΓΟΛΑΤΕΙΟΥ</t>
  </si>
  <si>
    <t>ΗΜΕΡΗΣΙΟ ΓΥΜΝΑΣΙΟ ΖΕΥΓΟΛΑΤΙΟΥ ΚΟΡΙΝΘΙΑΣ</t>
  </si>
  <si>
    <t>mail@gym-zevgol.kor.sch.gr</t>
  </si>
  <si>
    <t>ΖΕΥΓΟΛΑΤΙΟ ΚΟΡΙΝΘΙΑΣ</t>
  </si>
  <si>
    <t>ΑΣΗΜΟΥΛΑΣ ΒΟΥΔΟΥΡΗ</t>
  </si>
  <si>
    <t>1ο ΔΗΜΟΤΙΚΟ ΣΧΟΛΕΙΟ ΖΕΥΓΟΛΑΤΙΟΥ</t>
  </si>
  <si>
    <t>ΗΜΕΡΗΣΙΟ ΓΥΜΝΑΣΙΟ ΔΕΡΒΕΝΙΟΥ ΚΟΡΙΝΘΙΑΣ - ΓΥΜΝΑΣΙΟ ΔΕΡΒΕΝΙΟΥ</t>
  </si>
  <si>
    <t>mail@gym-derven.kor.sch.gr</t>
  </si>
  <si>
    <t>ΙΣΘΜΙΑΣ</t>
  </si>
  <si>
    <t>ΗΜΕΡΗΣΙΟ ΓΥΜΝΑΣΙΟ ΚΥΡΑΣ-ΒΡΥΣΗ - ΓΥΜΝΑΣΙΟ ΙΣΘΜΙΑΣ</t>
  </si>
  <si>
    <t>mail@gym-isthm.kor.sch.gr</t>
  </si>
  <si>
    <t>ΚΥΡΑΣ-ΒΡΥΣΗ</t>
  </si>
  <si>
    <t>ΔΗΜΟΤΙΚΟ ΣΧΟΛΕΙΟ ΙΣΘΜΙΑΣ</t>
  </si>
  <si>
    <t>1ο ΕΡΓΑΣΤΗΡΙΑΚΟ ΚΕΝΤΡΟ ΚΙΑΤΟΥ</t>
  </si>
  <si>
    <t>1sekkiat@sch.gr</t>
  </si>
  <si>
    <t>ΚΙΑΤΟΥ</t>
  </si>
  <si>
    <t>ΠΕΡΙΟΧΗ ΑΓΙΟΥ ΝΙΚΟΛΑΟΥ</t>
  </si>
  <si>
    <t>ΦΕΝΕΟΥ</t>
  </si>
  <si>
    <t>ΓΚΟΥΡΑΣ</t>
  </si>
  <si>
    <t>ΓΥΜΝΑΣΙΟ - ΛΥΚΕΙΑΚΕΣ ΤΑΞΕΙΣ ΓΚΟΥΡΑΣ</t>
  </si>
  <si>
    <t>mail@gym-gkouras.kor.sch.gr</t>
  </si>
  <si>
    <t>ΓΚΟΥΡΑ</t>
  </si>
  <si>
    <t>ΓΚΟΥΡΑ ΚΟΡΙΝΘΙΑΣ</t>
  </si>
  <si>
    <t>ΔΗΜΟΤΙΚΟ ΣΧΟΛΕΙΟ ΦΕΝΕΟΥ ΚΟΡΙΝΘΙΑΣ</t>
  </si>
  <si>
    <t>ΗΜΕΡΗΣΙΟ ΓΥΜΝΑΣΙΟ ΝΕΜΕΑΣ</t>
  </si>
  <si>
    <t>mail@gym-nemeas.kor.sch.gr</t>
  </si>
  <si>
    <t>ΙΕΡΑΣ ΜΟΝΗΣ ΒΡΑΧΟΥ</t>
  </si>
  <si>
    <t>1ο ΕΣΠΕΡΙΝΟ ΓΥΜΝΑΣΙΟ ΚΙΑΤΟΥ</t>
  </si>
  <si>
    <t>mail@gym-esp-kiatou.kor.sch.gr</t>
  </si>
  <si>
    <t>ΒΑΣ. ΠΑΠΑΒΑΣΙΛΕΙΟΥ 12</t>
  </si>
  <si>
    <t>3ο ΔΗΜΟΤΙΚΟ ΣΧΟΛΕΙΟ ΚΙΑΤΟΥ</t>
  </si>
  <si>
    <t>2ο ΗΜΕΡΗΣΙΟ ΓΥΜΝΑΣΙΟ ΞΥΛΟΚΑΣΤΡΟΥ</t>
  </si>
  <si>
    <t>mail@2gym-xylok.kor.sch.gr</t>
  </si>
  <si>
    <t>ΝΟΤΑΡΑ 34</t>
  </si>
  <si>
    <t>3ο ΔΗΜΟΤΙΚΟ ΣΧΟΛΕΙΟ ΞΥΛΟΚΑΣΤΡΟΥ - ΒΑΡΔΑΒΕΙΟ</t>
  </si>
  <si>
    <t>ΑΣΣΟΥ-ΛΕΧΑΙΟΥ</t>
  </si>
  <si>
    <t>ΛΕΧΑΙΟΥ</t>
  </si>
  <si>
    <t>ΗΜΕΡΗΣΙΟ ΓΥΜΝΑΣΙΟ ΚΑΙ ΛΥΚΕΙΑΚΕΣ ΤΑΞΕΙΣ ΛΕΧΑΙΟΥ</t>
  </si>
  <si>
    <t>mail@gym-lechaiou.kor.sch.gr</t>
  </si>
  <si>
    <t>ΛΕΧΑΙΟ</t>
  </si>
  <si>
    <t>ΠΑΛΑΙΑ ΕΘΝΙΚΗ ΟΔΟΣ ΚΟΡΙΝΘΟΥ-ΠΑΤΡΩΝ-ΠΑΤΡΩΝ 141</t>
  </si>
  <si>
    <t>ΔΗΜΟΤΙΚΟ ΣΧΟΛΕΙΟ ΛΕΧΑΙΟΥ</t>
  </si>
  <si>
    <t>2ο ΗΜΕΡΗΣΙΟ ΓΥΜΝΑΣΙΟ ΚΟΡΙΝΘΟΥ</t>
  </si>
  <si>
    <t>mail@2gym-korinth.kor.sch.gr</t>
  </si>
  <si>
    <t>ΗΜΕΡΗΣΙΟ ΓΥΜΝΑΣΙΟ ΚΡΥΟΝΕΡΙΟΥ ΚΟΡΙΝΘΙΑΣ</t>
  </si>
  <si>
    <t>mail@gym-kryon.kor.sch.gr</t>
  </si>
  <si>
    <t>ΚΡΥΟΝΕΡΙ ΚΟΡΙΝΘΙΑΣ</t>
  </si>
  <si>
    <t>ΚΩΔΙΚΟΣ ΣΧΟΛΕΙΟΥ 2802010</t>
  </si>
  <si>
    <t>ΔΗΜΟΤΙΚΟ ΣΧΟΛΕΙΟ ΚΡΥΟΝΕΡΙΟΥ ΚΟΡΙΝΘΙΑΣ</t>
  </si>
  <si>
    <t>2ο ΗΜΕΡΗΣΙΟ ΓΥΜΝΑΣΙΟ ΚΙΑΤΟΥ</t>
  </si>
  <si>
    <t>mail@2gym-kiatou.kor.sch.gr</t>
  </si>
  <si>
    <t>Β. ΠΑΠΑΒΑΣΙΛΕΙΟΥ 12</t>
  </si>
  <si>
    <t>1ο ΗΜΕΡΗΣΙΟ ΓΥΜΝΑΣΙΟ ΚΟΡΙΝΘΟΥ</t>
  </si>
  <si>
    <t>mail@1gym-korinth.kor.sch.gr</t>
  </si>
  <si>
    <t>ΑΡΓΟΥΣ 17</t>
  </si>
  <si>
    <t>1ο ΗΜΕΡΗΣΙΟ ΓΥΜΝΑΣΙΟ ΒΡΑΧΑΤΙΟΥ ΚΟΡΙΝΘΙΑΣ</t>
  </si>
  <si>
    <t>mail@gym-vrach.kor.sch.gr</t>
  </si>
  <si>
    <t>ΚΟΛΟΚΟΤΡΩΝΗ  8 ΒΡΑΧΑΤΙ</t>
  </si>
  <si>
    <t>1ο ΗΜΕΡΗΣΙΟ ΕΠΑΛ ΚΟΡΙΝΘΟΥ</t>
  </si>
  <si>
    <t>mail@1epal-korinth.kor.sch.gr</t>
  </si>
  <si>
    <t>ΑΔΕΙΜΑΝΤΟΥ 81</t>
  </si>
  <si>
    <t>1ο ΔΗΜΟΤΙΚΟ ΣΧΟΛΕΙΟ ΚΟΡΙΝΘΟΥ</t>
  </si>
  <si>
    <t>4ο ΗΜΕΡΗΣΙΟ ΓΥΜΝΑΣΙΟ ΚΟΡΙΝΘΟΥ</t>
  </si>
  <si>
    <t>mail@4gym-korinth.kor.sch.gr</t>
  </si>
  <si>
    <t>1ο ΕΚ ΛΟΥΤΡΑΚΙΟΥ</t>
  </si>
  <si>
    <t>mail@1sek-korinth.kor.sch.gr</t>
  </si>
  <si>
    <t>ΠΑΛΑΙΑ ΕΘΝ. ΟΔΟΣ ΕΠΙΔΑΥΡΟΥ</t>
  </si>
  <si>
    <t>11ο ΔΗΜΟΤΙΚΟ ΣΧΟΛΕΙΟ ΚΟΡΙΝΘΟΥ</t>
  </si>
  <si>
    <t>ΗΜΕΡΗΣΙΟ ΓΥΜΝΑΣΙΟ ΛΟΥΤΡΑΚΙΟΥ</t>
  </si>
  <si>
    <t>mail@gym-loutr.kor.sch.gr</t>
  </si>
  <si>
    <t>ΤΕΡΜΑ ΔΕΞΑΜΕΝΗΣ</t>
  </si>
  <si>
    <t>ΗΜΕΡΗΣΙΟ ΓΥΜΝΑΣΙΟ ΧΙΛΙΟΜΟΔΙΟΥ ΚΟΡΙΝΘΙΑΣ</t>
  </si>
  <si>
    <t>mail@gym-chiliom.kor.sch.gr</t>
  </si>
  <si>
    <t>ΧΙΛΙΟΜΟΔΙ ΚΟΡΙΝΘΙΑΣ</t>
  </si>
  <si>
    <t>ΓΥΜΝΑΣΙΟ ΑΓΙΩΝ ΘΕΟΔΩΡΩΝ</t>
  </si>
  <si>
    <t>mail@gym-ag-theod.kor.sch.gr</t>
  </si>
  <si>
    <t>ΠΑΝΑΡΙΤΙΟΥ</t>
  </si>
  <si>
    <t>ΓΥΜΝΑΣΙΟ ΠΑΝΑΡΙΤΙΟΥ</t>
  </si>
  <si>
    <t>mail@gym-panar.kor.sch.gr</t>
  </si>
  <si>
    <t>ΠΑΝΑΡΙΤΙ</t>
  </si>
  <si>
    <t>ΠΑΝΑΡΙΤΙ ΚΟΡΙΝΘΙΑΣ</t>
  </si>
  <si>
    <t>ΟΛΟΗΜΕΡΟ ΔΗΜΟΤΙΚΟ ΣΧΟΛΕΙΟ ΜΑΝΝΑΣ</t>
  </si>
  <si>
    <t>ΣΟΛΥΓΕΙΑΣ</t>
  </si>
  <si>
    <t>ΣΟΦΙΚΟΥ</t>
  </si>
  <si>
    <t>ΗΜΕΡΗΣΙΟ ΓΥΜΝΑΣΙΟ ΣΟΦΙΚΟΥ ΚΟΡΙΝΘΙΑΣ</t>
  </si>
  <si>
    <t>mail@gym-sofik.kor.sch.gr</t>
  </si>
  <si>
    <t>ΣΟΦΙΚΟ ΚΟΡΙΝΘΙΑΣ</t>
  </si>
  <si>
    <t>ΔΗΜΟΤΙΚΟ ΣΧΟΛΕΙΟ ΣΟΦΙΚΟ ΚΟΡΙΝΘΙΑΣ</t>
  </si>
  <si>
    <t>1ο ΗΜΕΡΗΣΙΟ ΓΥΜΝΑΣΙΟ ΚΙΑΤΟΥ</t>
  </si>
  <si>
    <t>mail@1gym-kiatou.kor.sch.gr</t>
  </si>
  <si>
    <t>ΕΙΚΟΣΤΗΣ ΠΕΜΠΤΗΣ ΜΑΡΤΙΟΥ 37</t>
  </si>
  <si>
    <t>4ο ΔΗΜΟΤΙΚΟ ΣΧΟΛΕΙΟ ΚΙΑΤΟΥ</t>
  </si>
  <si>
    <t>ΓΥΜΝΑΣΙΟ ΒΕΛΟΥ ΚΟΡΙΝΘΙΑΣ</t>
  </si>
  <si>
    <t>mail@gym-velou.kor.sch.gr</t>
  </si>
  <si>
    <t>ΣΤΥΜΦΑΛΙΑΣ</t>
  </si>
  <si>
    <t>ΚΑΛΙΑΝΩΝ</t>
  </si>
  <si>
    <t>ΗΜΕΡΗΣΙΟ ΓΥΜΝΑΣΙΟ ΚΑΛΛΙΑΝΩΝ - ΓΥΜΝΑΣΙΟ ΚΑΛΛΙΑΝΩΝ</t>
  </si>
  <si>
    <t>mail@gym-kalian.kor.sch.gr</t>
  </si>
  <si>
    <t>ΚΑΛΛΙΑΝΟΙ</t>
  </si>
  <si>
    <t>ΚΑΛΛΙΑΝΟΙ ΚΟΡΙΝΘΙΑΣ</t>
  </si>
  <si>
    <t>ΔΗΜΟΤΙΚΟ ΣΧΟΛΕΙΟ ΚΑΛΛΙΑΝΩΝ  ΚΟΡΙΝΘΙΑΣ</t>
  </si>
  <si>
    <t>1ο ΗΜΕΡΗΣΙΟ ΕΠΑΛ ΛΟΥΤΡΑΚΙΟΥ ΦΕΚ 1336/31/12/1998 ( τ. Β)</t>
  </si>
  <si>
    <t>mail@1epal-loutr.kor.sch.gr</t>
  </si>
  <si>
    <t>ΠΑΛ. ΕΘΝ. ΟΔΟΣ ΚΟΡΙΝΘΟΥ- ΕΠΙΔΑΥΡΟΥ</t>
  </si>
  <si>
    <t>1ο ΗΜΕΡΗΣΙΟ ΓΥΜΝΑΣΙΟ ΞΥΛΟΚΑΣΤΡΟΥ</t>
  </si>
  <si>
    <t>mail@1gym-xylok.kor.sch.gr</t>
  </si>
  <si>
    <t>Ι. ΙΩΑΝΝΟΥ 67</t>
  </si>
  <si>
    <t>1ο ΔΗΜΟΤΙΚΟ ΣΧΟΛΕΙΟ ΞΥΛΟΚΑΣΤΡΟΥ - ΙΩΑΝΝΕΙΟ</t>
  </si>
  <si>
    <t>1ο ΓΕΝΙΚΟ ΛΥΚΕΙΟ ΚΙΑΤΟΥ</t>
  </si>
  <si>
    <t>mail@1lyk-kiatou.kor.sch.gr</t>
  </si>
  <si>
    <t>ΠΑΠΑΒΑΣΙΛΕΙΟΥ 12</t>
  </si>
  <si>
    <t>2ο ΗΜΕΡΗΣΙΟ ΕΠΑΛ ΛΟΥΤΡΑΚΙΟΥ</t>
  </si>
  <si>
    <t>mail@2epal-loutr.kor.sch.gr</t>
  </si>
  <si>
    <t>ΠΑΛ. ΕΘΝ. ΟΔΟΣ ΕΠΙΔΑΥΡΟΥ</t>
  </si>
  <si>
    <t>3ο ΗΜΕΡΗΣΙΟ ΓΥΜΝΑΣΙΟ ΚΟΡΙΝΘΟΥ</t>
  </si>
  <si>
    <t>mail@3gym-korinth.kor.sch.gr</t>
  </si>
  <si>
    <t>ΣΤΕΦΑΝΟΥ 78</t>
  </si>
  <si>
    <t>ΕΕΕΕΚ ΚΟΡΙΝΘΟΣ - ΕΕΕΕΚ ΚΟΡΙΝΘΟΣ</t>
  </si>
  <si>
    <t>mail@eeeek.kor.sch.gr</t>
  </si>
  <si>
    <t>ΙΣΘΜΙΑ ΚΟΡΙΝΘΙΑΣ</t>
  </si>
  <si>
    <t>ΗΜΕΡΗΣΙΟ ΓΕΝΙΚΟ ΛΥΚΕΙΟ ΖΕΥΓΟΛΑΤΙΟΥ</t>
  </si>
  <si>
    <t>mail@lyk-zevgol.kor.sch.gr</t>
  </si>
  <si>
    <t>ΖΕΥΓΟΛΑΤΙΟ</t>
  </si>
  <si>
    <t>ΑΣΗΜΟΥΛΑΣ  ΒΟΥΔΟΥΡΗ</t>
  </si>
  <si>
    <t>ΜΟΥΣΙΚΟ ΓΥΜΝΑΣΙΟ ΚΟΡΙΝΘΟΥ ΜΕ Μ.Λ.Τ.</t>
  </si>
  <si>
    <t>mail@gym-mous-korinth.kor.sch.gr</t>
  </si>
  <si>
    <t>Μπουμπουλίνας 94 Ποσειδωνία Κόρινθος</t>
  </si>
  <si>
    <t>ΑΡΧΑΙΑΣ ΚΟΡΙΝΘΟΥ</t>
  </si>
  <si>
    <t>ΕΝΙΑΙΟ ΕΙΔΙΚΟ ΕΠΑΓΓΕΛΜΑΤΙΚΟ ΓΥΜΝΑΣΙΟ -ΛΥΚΕΙΟ ΛΟΥΤΡΑΚΙΟΥ-ΠΕΡΑΧΩΡΑΣ-ΑΓ. ΘΕΟΔΩΡΩΝ</t>
  </si>
  <si>
    <t>mail@eneegyl-loutr.kor.sch.gr</t>
  </si>
  <si>
    <t>ΙΣΘΜΙΑ</t>
  </si>
  <si>
    <t>ΠΕΡΙΟΧΗ ΑΡΗ</t>
  </si>
  <si>
    <t>ΔΙΕΥΘΥΝΣΗ Δ.Ε. ΛΑΚΩΝΙΑΣ</t>
  </si>
  <si>
    <t>ΜΟΝΕΜΒΑΣΙΑΣ</t>
  </si>
  <si>
    <t>ΗΜΕΡΗΣΙΟ ΓΕΝΙΚΟ ΛΥΚΕΙΟ ΜΟΝΕΜΒΑΣΙΑΣ ΛΑΚΩΝΙΑΣ</t>
  </si>
  <si>
    <t>mail@lyk-monemv.lak.sch.gr</t>
  </si>
  <si>
    <t>ΜΟΝΕΜΒΑΣΙΑ ΛΑΚΩΝΙΑΣ</t>
  </si>
  <si>
    <t>ΜΑΝΟΥΗΛ ΠΑΛΑΙΟΛΟΓΟΥ 30 ΜΟΝΕΜΒΑΣΙΑ</t>
  </si>
  <si>
    <t>ΔΗΜΟΤΙΚΟ ΣΧΟΛΕΙΟ ΜΟΝΕΜΒΑΣΙΑΣ</t>
  </si>
  <si>
    <t>ΕΕΕΕΚ ΜΥΣΤΡΑ ΛΑΚΩΝΙΑΣ</t>
  </si>
  <si>
    <t>mail@eeeek.lak.sch.gr</t>
  </si>
  <si>
    <t>ΛΑΚΩΝΙΑ</t>
  </si>
  <si>
    <t>ΚΑΡΑΒΑΣ</t>
  </si>
  <si>
    <t>9ο ΔΗΜΟΤΙΚΟ ΣΧΟΛΕΙΟ ΣΠΑΡΤΗΣ</t>
  </si>
  <si>
    <t>ΑΝΑΤΟΛΙΚΗΣ ΜΑΝΗΣ</t>
  </si>
  <si>
    <t>ΓΥΘΕΙΟΥ</t>
  </si>
  <si>
    <t>ΑΙΓΙΩΝ</t>
  </si>
  <si>
    <t>ΗΜΕΡΗΣΙΟ ΕΠΑΛ ΓΥΘΕΙΟΥ</t>
  </si>
  <si>
    <t>mail@epal-gytheiou.lak.sch.gr</t>
  </si>
  <si>
    <t>ΓΥΘΕΙΟ</t>
  </si>
  <si>
    <t>ΑΙΓΙΕΣ Δ.Δ. ΓΥΘΕΙΟΥ</t>
  </si>
  <si>
    <t>2ο ΔΗΜΟΤΙΚΟ ΣΧΟΛΕΙΟ ΓΥΘΕΙΟΥ</t>
  </si>
  <si>
    <t>ΕΥΡΩΤΑ</t>
  </si>
  <si>
    <t>ΓΕΡΟΝΘΡΩΝ</t>
  </si>
  <si>
    <t>ΗΜΕΡΗΣΙΟ ΓΥΜΝΑΣΙΟ ΓΕΡΑΚΙΟΥ - ΠΟΥΛΗΜΕΝΑΚΕΙΟΝ ΓΥΜΝΑΣΙΟ ΓΕΡΑΚΙΟΥ</t>
  </si>
  <si>
    <t>mail@gym-gerak.lak.sch.gr</t>
  </si>
  <si>
    <t>ΓΕΡΑΚΙ ΛΑΚΩΝΙΑΣ</t>
  </si>
  <si>
    <t>ΔΗΜΟΤΙΚΟ ΣΧΟΛΕΙΟ ΓΕΡΑΚΙΟΥ ΛΑΚΩΝΙΑΣ</t>
  </si>
  <si>
    <t>ΒΟΙΩΝ</t>
  </si>
  <si>
    <t>1ο ΗΜΕΡΗΣΙΟ ΕΠΑΛ ΒΟΙΩΝ</t>
  </si>
  <si>
    <t>mail@1epal-voion.lak.sch.gr</t>
  </si>
  <si>
    <t>ΝΕΑΠΟΛΗ ΒΟΙΩΝ ΛΑΚΩΝΙΑΣ</t>
  </si>
  <si>
    <t>ΑΡΤΕΜΙΔΟΣ ΤΕΡΜΑ</t>
  </si>
  <si>
    <t>ΔΗΜΟΤΙΚΟ ΣΧΟΛΕΙΟ ΕΛΙΚΑΣ</t>
  </si>
  <si>
    <t>ΑΣΩΠΟΥ</t>
  </si>
  <si>
    <t>ΠΑΠΑΔΙΑΝΙΚΩΝ</t>
  </si>
  <si>
    <t>ΗΜΕΡΗΣΙΟ ΓΥΜΝΑΣΙΟ ΠΑΠΑΔΙΑΝΙΚΩΝ ΛΑΚΩΝΙΑΣ</t>
  </si>
  <si>
    <t>gympapad@sch.gr</t>
  </si>
  <si>
    <t>ΠΑΠΑΔΙΑΝΙΚΩΝ ΛΑΚΩΝΙΑΣ</t>
  </si>
  <si>
    <t>ΠΑΠΑΔΙΑΝΙΚΑ</t>
  </si>
  <si>
    <t>ΔΗΜΟΤΙΚΟ ΣΧΟΛΕΙΟ ΠΑΠΑΔΙΑΝΙΚΩΝ</t>
  </si>
  <si>
    <t>ΜΟΛΑΩΝ</t>
  </si>
  <si>
    <t>1ο ΗΜΕΡΗΣΙΟ ΕΠΑΛ ΜΟΛΑΩΝ</t>
  </si>
  <si>
    <t>mail@1epal-molaon.lak.sch.gr</t>
  </si>
  <si>
    <t>ΜΟΛΑΟΙ</t>
  </si>
  <si>
    <t>ΜΟΛΑΟΙ ΛΑΚΩΝΙΑΣ</t>
  </si>
  <si>
    <t>ΔΗΜΟΤΙΚΟ ΣΧΟΛΕΙΟ ΜΟΛΑΩΝ</t>
  </si>
  <si>
    <t>ΕΣΠΕΡΙΝΟ ΓΕΝΙΚΟ ΛΥΚΕΙΟ ΣΠΑΡΤΗΣ</t>
  </si>
  <si>
    <t>mail@lyk-esp-spartis.lak.sch.gr</t>
  </si>
  <si>
    <t>ΑΓ.ΝΙΚΩΝΟΣ 19</t>
  </si>
  <si>
    <t>3ο ΔΗΜΟΤΙΚΟ ΣΧΟΛΕΙΟ ΣΠΑΡΤΗΣ</t>
  </si>
  <si>
    <t>1ο ΕΠΑΛ ΣΠΑΡΤΗΣ</t>
  </si>
  <si>
    <t>1epal-spart@sch.gr</t>
  </si>
  <si>
    <t>ΠΑΡΟΔΟΣ ΓΥΘΕΙΟΥ ΑΓΙΑ ΒΑΡΒΑΡΑ</t>
  </si>
  <si>
    <t>ΗΜΕΡΗΣΙΟ ΓΕΝΙΚΟ ΛΥΚΕΙΟ ΓΕΡΑΚΙΟΥ ΛΑΚΩΝΙΑΣ</t>
  </si>
  <si>
    <t>mail@lyk-gerak.lak.sch.gr</t>
  </si>
  <si>
    <t>ΗΜΕΡΗΣΙΟ ΓΕΝΙΚΟ ΛΥΚΕΙΟ ΝΕΑΠΟΛΗΣ ΛΑΚΩΝΙΑΣ</t>
  </si>
  <si>
    <t>mail@lyk-neapol.lak.sch.gr</t>
  </si>
  <si>
    <t>ΝΕΑΠΟΛΗ ΛΑΚΩΝΙΑΣ</t>
  </si>
  <si>
    <t>ΤΕΡΜΑ ΑΡΤΕΜΙΔΟΣ</t>
  </si>
  <si>
    <t>ΔΗΜΟΤΙΚΟ ΣΧΟΛΕΙΟ ΝΕΑΠΟΛΗΣ</t>
  </si>
  <si>
    <t>1ο ΗΜΕΡΗΣΙΟ ΓΕΝΙΚΟ ΛΥΚΕΙΟ ΣΠΑΡΤΗΣ</t>
  </si>
  <si>
    <t>mail@1lyk-spart.lak.sch.gr</t>
  </si>
  <si>
    <t>ΚΩΝΣΤΑΝΤΙΝΟΥ ΠΑΛΑΙΟΛΟΓΟΥ 2</t>
  </si>
  <si>
    <t>ΚΡΟΚΕΩΝ</t>
  </si>
  <si>
    <t>ΗΜΕΡΗΣΙΟ ΓΕΝΙΚΟ ΛΥΚΕΙΟ ΚΡΟΚΕΩΝ "ΝΙΚΗΦΟΡΟΣ ΒΡΕΤΤΑΚΟΣ"</t>
  </si>
  <si>
    <t>mail@lyk-krokeon.lak.sch.gr</t>
  </si>
  <si>
    <t>ΔΗΜΟΣ ΕΥΡΩΤΑ, ΛΑΚΩΝΙΑΣ</t>
  </si>
  <si>
    <t>ΚΡΟΚΕΕΣ</t>
  </si>
  <si>
    <t>ΔΗΜΟΤΙΚΟ ΣΧΟΛΕΙΟ ΚΡΟΚΕΩΝ</t>
  </si>
  <si>
    <t>3ο ΗΜΕΡΗΣΙΟ ΓΕΝΙΚΟ ΛΥΚΕΙΟ ΣΠΑΡΤΗΣ</t>
  </si>
  <si>
    <t>mail@3lyk-spart.lak.sch.gr</t>
  </si>
  <si>
    <t>ΑΛΚΜΑΝΟΣ</t>
  </si>
  <si>
    <t>1ο ΔΗΜΟΤΙΚΟ ΣΧΟΛΕΙΟ ΣΠΑΡΤΗΣ</t>
  </si>
  <si>
    <t>ΗΜΕΡΗΣΙΟ ΓΕΝΙΚΟ ΛΥΚΕΙΟ ΣΚΑΛΑΣ ΛΑΚΩΝΙΑΣ</t>
  </si>
  <si>
    <t>mail@lyk-skalas.lak.sch.gr</t>
  </si>
  <si>
    <t>ΣΚΑΛΑ ΛΑΚΩΝΙΑΣ</t>
  </si>
  <si>
    <t>Ε.Ο. ΓΥΘΕΙΟΥ - ΣΚΑΛΑΣ</t>
  </si>
  <si>
    <t>1ο ΔΗΜΟΤΙΚΟ ΣΧΟΛΕΙΟ ΣΚΑΛΑΣ</t>
  </si>
  <si>
    <t>ΗΜΕΡΗΣΙΟ ΓΕΝΙΚΟ ΛΥΚΕΙΟ ΜΟΛΑΩΝ "ΘΟΔΩΡΗΣ ΚΑΛΛΙΦΑΤΙΔΗΣ"</t>
  </si>
  <si>
    <t>mail@lyk-molaon.lak.sch.gr</t>
  </si>
  <si>
    <t>ΟΙΤΥΛΟΥ</t>
  </si>
  <si>
    <t>ΑΡΕΟΠΟΛΕΩΣ</t>
  </si>
  <si>
    <t>ΓΕΝΙΚΟ ΛΥΚΕΙΟ ΑΡΕΟΠΟΛΗΣ</t>
  </si>
  <si>
    <t>mail@lyk-areop.lak.sch.gr</t>
  </si>
  <si>
    <t>ΑΡΕΟΠΟΛΗ ΛΑΚΩΝΙΑΣ</t>
  </si>
  <si>
    <t>ΔΗΜΟΤΙΚΟ ΣΧΟΛΕΙΟ ΑΡΕΟΠΟΛΗΣ</t>
  </si>
  <si>
    <t>2ο ΗΜΕΡΗΣΙΟ ΓΕΝΙΚΟ ΛΥΚΕΙΟ ΣΠΑΡΤΗΣ</t>
  </si>
  <si>
    <t>mail@2lyk-spart.lak.sch.gr</t>
  </si>
  <si>
    <t>ΚΩΝΣΤΑΝΤΙΝΟΥ ΠΑΛΑΙΟΛΟΓΟΥ 1</t>
  </si>
  <si>
    <t>ΠΕΛΛΑΝΑΣ</t>
  </si>
  <si>
    <t>ΚΑΣΤΟΡΕΙΟΥ</t>
  </si>
  <si>
    <t>ΗΜΕΡΗΣΙΟ ΓΕΝΙΚΟ ΛΥΚΕΙΟ ΚΑΣΤΟΡΕΙΟΥ ΛΑΚΩΝΙΑΣ</t>
  </si>
  <si>
    <t>mail@lyk-kastor.lak.sch.gr</t>
  </si>
  <si>
    <t>ΚΑΣΤΟΡΙ</t>
  </si>
  <si>
    <t>ΚΑΣΤΟΡΕΙΟ  ΛΑΚΩΝΙΑΣ</t>
  </si>
  <si>
    <t>ΔΗΜΟΤΙΚΟ ΣΧΟΛΕΙΟ ΚΑΣΤΟΡΕΙΟΥ</t>
  </si>
  <si>
    <t>ΓΕΝΙΚΟ ΛΥΚΕΙΟ ΓΥΘΕΙΟΥ</t>
  </si>
  <si>
    <t>mail@lyk-gytheiou.lak.sch.gr</t>
  </si>
  <si>
    <t xml:space="preserve">ΓΥΘΕΙΟ </t>
  </si>
  <si>
    <t>ΕΛΕΥΘΕΡΟΛΑΚΩΝΩΝ ΚΑΙ ΓΕΡΑΣ.ΚΑΨΑΛΗ</t>
  </si>
  <si>
    <t>1ο ΔΗΜΟΤΙΚΟ ΣΧΟΛΕΙΟ ΓΥΘΕΙΟΥ</t>
  </si>
  <si>
    <t>ΒΛΑΧΙΩΤΗ</t>
  </si>
  <si>
    <t>ΗΜΕΡΗΣΙΟ ΓΕΝΙΚΟ ΛΥΚΕΙΟ ΕΛΟΥΣ</t>
  </si>
  <si>
    <t>mail@lyk-elous.lak.sch.gr</t>
  </si>
  <si>
    <t>ΔΗΜΟΣ ΕΥΡΩΤΑ</t>
  </si>
  <si>
    <t>ΒΛΑΧΙΩΤΗ ΛΑΚΩΝΙΑΣ</t>
  </si>
  <si>
    <t>ΔΗΜΟΤΙΚΟ ΣΧΟΛΕΙΟ ΒΛΑΧΙΩΤΗ</t>
  </si>
  <si>
    <t>1ο ΗΜΕΡΗΣΙΟ ΓΥΜΝΑΣΙΟ ΣΠΑΡΤΗΣ</t>
  </si>
  <si>
    <t>mail@1gym-spartis.lak.sch.gr</t>
  </si>
  <si>
    <t>ΗΜΕΡΗΣΙΟ ΓΥΜΝΑΣΙΟ ΜΟΝΕΜΒΑΣΙΑΣ ΛΑΚΩΝΙΑΣ "Γιάννης Ρίτσος"</t>
  </si>
  <si>
    <t>nikvlax1959@gmail.com</t>
  </si>
  <si>
    <t>ΜΟΝΕΜΒΑΣΙΑ  ΛΑΚΩΝΙΑΣ</t>
  </si>
  <si>
    <t>ΜΑΝΟΥΗΛ  ΠΑΛΑΙΟΛΟΓΟΥ  30</t>
  </si>
  <si>
    <t>ΦΑΡΙΔΟΣ</t>
  </si>
  <si>
    <t>ΞΗΡΟΚΑΜΠΙΟΥ</t>
  </si>
  <si>
    <t>ΓΥΜΝΑΣΙΟ- ΜΕ ΛΥΚΕΙΑΚΕΣ ΤΑΞΕΙΣ ΞΗΡΟΚΑΜΠΙΟΥ -ΛΑΚΩΝΙΑΣ</t>
  </si>
  <si>
    <t>mail@gym-xirok.lak.sch.gr</t>
  </si>
  <si>
    <t>ΞΗΡΟΚΑΜΠΙ ΛΑΚΩΝΙΑΣ</t>
  </si>
  <si>
    <t>ΔΗΜΟΤΙΚΟ ΣΧΟΛΕΙΟ ΞΗΡΟΚΑΜΠΙΟΥ</t>
  </si>
  <si>
    <t>1ο ΕΡΓΑΣΤΗΡΙΑΚΟ ΚΕΝΤΡΟ ΣΠΑΡΤΗΣ</t>
  </si>
  <si>
    <t>mail@1sek-spart.lak.sch.gr</t>
  </si>
  <si>
    <t>ΠΑΡΟΔΟΣ ΓΥΘΕΙΟΥ  ΑΓ. ΒΑΡΒΑΡΑ</t>
  </si>
  <si>
    <t>7ο ΔΗΜΟΤΙΚΟ ΣΧΟΛΕΙΟ ΣΠΑΡΤΗΣ</t>
  </si>
  <si>
    <t>ΗΜΕΡΗΣΙΟ ΓΥΜΝΑΣΙΟ ΣΚΑΛΑΣ ΛΑΚΩΝΙΑΣ</t>
  </si>
  <si>
    <t>mail@gym-skalas.lak.sch.gr</t>
  </si>
  <si>
    <t>Σκάλα,</t>
  </si>
  <si>
    <t>1ο ΗΜΕΡΗΣΙΟ ΓΥΜΝΑΣΙΟ ΜΟΛΑΩΝ ΛΑΚΩΝΙΑΣ</t>
  </si>
  <si>
    <t>mail@gym-molaon.lak.sch.gr</t>
  </si>
  <si>
    <t>ΠΑΠΑΜΙΧΑΛΟΠΟΥΛΟΥ  67</t>
  </si>
  <si>
    <t>ΗΜΕΡΗΣΙΟ ΓΥΜΝΑΣΙΟ ΑΡΕΟΠΟΛΗΣ ΛΑΚΩΝΙΑΣ</t>
  </si>
  <si>
    <t>mail@gym-aerop.lak.sch.gr</t>
  </si>
  <si>
    <t>ΑΡΕΟΠΟΛΗ</t>
  </si>
  <si>
    <t>ΑΡΕΟΠΟΛΗΣ</t>
  </si>
  <si>
    <t>ΗΜΕΡΗΣΙΟ ΓΥΜΝΑΣΙΟ ΚΡΟΚΕΩΝ ΛΑΚΩΝΙΑΣ</t>
  </si>
  <si>
    <t>mail@gym-krokeon.lak.sch.gr</t>
  </si>
  <si>
    <t>ΚΡΟΚΕΕΣ ΛΑΚΩΝΙΑΣ</t>
  </si>
  <si>
    <t>1ο ΗΜΕΡΗΣΙΟ ΓΥΜΝΑΣΙΟ ΝΕΑΠΟΛΗΣ ΛΑΚΩΝΙΑΣ</t>
  </si>
  <si>
    <t>mail@gym-neapol.lak.sch.gr</t>
  </si>
  <si>
    <t>ΝΕΑΠΟΛΗ  ΛΑΚΩΝΙΑΣ</t>
  </si>
  <si>
    <t>ΑΚΤΗ ΒΟΙΩΝ 52</t>
  </si>
  <si>
    <t>ΗΜΕΡΗΣΙΟ ΓΥΜΝΑΣΙΟ ΒΛΑΧΙΩΤΗ</t>
  </si>
  <si>
    <t>mail@gym-vlach.lak.sch.gr</t>
  </si>
  <si>
    <t>ΒΛΑΧΙΩΤΗΣ</t>
  </si>
  <si>
    <t>3ο ΗΜΕΡΗΣΙΟ ΓΥΜΝΑΣΙΟ ΣΠΑΡΤΗΣ "ΤΥΡΤΑΙΟΣ"</t>
  </si>
  <si>
    <t>mail@3gym-spartis.lak.sch.gr</t>
  </si>
  <si>
    <t>ΗΛΙΑ ΓΚΟΡΤΣΟΛΟΓΟΥ 2</t>
  </si>
  <si>
    <t>ΗΜΕΡΗΣΙΟ ΓΥΜΝΑΣΙΟ ΚΑΣΤΟΡΕΙΟΥ</t>
  </si>
  <si>
    <t>mail@gym-kastor.lak.sch.gr</t>
  </si>
  <si>
    <t>ΚΑΣΤΟΡΙ ΔΗΜΟΥ ΣΠΑΡΤΗΣ</t>
  </si>
  <si>
    <t>ΚΑΣΤΟΡΙ ΛΑΚΩΝΙΑΣ</t>
  </si>
  <si>
    <t>ΜΟΥΣΙΚΟ ΓΥΜΝΑΣΙΟ ΣΠΑΡΤΗΣ με Λυκειακές Τάξεις Α', Β' και Γ'</t>
  </si>
  <si>
    <t>mail@gym-mous-spart.lak.sch.gr</t>
  </si>
  <si>
    <t>ΚΛΑΔΑΣ</t>
  </si>
  <si>
    <t>4ο ΓΥΜΝΑΣΙΟ ΣΠΑΡΤΗΣ - ΓΙΑΝΝΗΣ ΡΙΤΣΟΣ</t>
  </si>
  <si>
    <t>mail@gym-peir-spartis.lak.sch.gr</t>
  </si>
  <si>
    <t>ΕΛΑΦΟΝΗΣΟΥ</t>
  </si>
  <si>
    <t>ΗΜΕΡΗΣΙΟ ΓΥΜΝΑΣΙΟ ΕΛΑΦΟΝΗΣΟΥ ΛΑΚΩΝΙΑΣ ΜΕ ΠΡΟΣΑΡΤΗΜΕΝΗ Α΄ ΛΥΚΕΙΑΚΗ ΤΑΞΗ</t>
  </si>
  <si>
    <t>mail@gym-elafon.lak.sch.gr</t>
  </si>
  <si>
    <t>ΕΛΑΦΟΝΗΣΟΣ ΛΑΚΩΝΙΑΣ</t>
  </si>
  <si>
    <t>ΕΛΑΦΟΝΗΣΟΣ</t>
  </si>
  <si>
    <t>ΔΗΜΟΤΙΚΟ ΣΧΟΛΕΙΟ ΕΛΑΦΟΝΗΣΟΥ</t>
  </si>
  <si>
    <t>1ο ΗΜΕΡΗΣΙΟ ΓΥΜΝΑΣΙΟ ΓΥΘΕΙΟΥ ΛΑΚΩΝΙΑΣ</t>
  </si>
  <si>
    <t>mail@1gym-gytheiou.lak.sch.gr</t>
  </si>
  <si>
    <t>ΓΥΘΕΙΟ ΛΑΚΩΝΙΑΣ</t>
  </si>
  <si>
    <t>ΓΥΘΕΙΟ ΝΕΕΣ ΕΡΓΑΤΙΚΕΣ ΚΑΤΟΙΚΙΕΣ</t>
  </si>
  <si>
    <t>2ο ΗΜΕΡΗΣΙΟ ΓΥΜΝΑΣΙΟ ΣΠΑΡΤΗΣ</t>
  </si>
  <si>
    <t>mail@2gym-spartis.lak.sch.gr</t>
  </si>
  <si>
    <t>Ε.Ε.Ε.Ε.Κ. ΔΗΜΟΥ ΕΥΡΩΤΑ</t>
  </si>
  <si>
    <t>mail@eeeek-evrot.lak.sch.gr</t>
  </si>
  <si>
    <t>Εσπερινό ΕΠΑ.Λ. Σπάρτης</t>
  </si>
  <si>
    <t>mail@epal-esp-spart.lak.sch.gr</t>
  </si>
  <si>
    <t>ΔΙΕΥΘΥΝΣΗ Δ.Ε. ΜΕΣΣΗΝΙΑΣ</t>
  </si>
  <si>
    <t>ΜΟΥΣΙΚΟ ΣΧΟΛΕΙΟ ΚΑΛΑΜΑΤΑΣ " ΜΑΡΙΑ ΚΑΛΛΑΣ" ΓΥΜΝΑΣΙΟ - ΓΕΝΙΚΟ ΛΥΚΕΙΟ</t>
  </si>
  <si>
    <t>mail@gym-mous-kalam.mes.sch.gr</t>
  </si>
  <si>
    <t>ΓΕΩΡΓΙΟΥ ΚΑΡΕΛΙΑ &amp; ΣΙΜΩΝΟΣ ΚΑΡΑ (ΑΝΑΤΟΛΙΚΗ ΠΑΡΑΛΙΑ)</t>
  </si>
  <si>
    <t>22ο ΔΗΜΟΤΙΚΟ ΣΧΟΛΕΙΟ ΚΑΛΑΜΑΤΑΣ</t>
  </si>
  <si>
    <t>ΠΥΛΟΥ-ΝΕΣΤΟΡΟΣ</t>
  </si>
  <si>
    <t>ΚΟΡΩΝΗΣ</t>
  </si>
  <si>
    <t>ΗΜΕΡΗΣΙΟ ΓΥΜΝΑΣΙΟ ΚΟΡΩΝΗΣ ΜΕΣΣΗΝΙΑΣ</t>
  </si>
  <si>
    <t>mail@gym-koron.mes.sch.gr</t>
  </si>
  <si>
    <t>ΚΟΡΩΝΗ ΜΕΣΣΗΝΙΑΣ</t>
  </si>
  <si>
    <t>ΚΟΡΩΝΗ</t>
  </si>
  <si>
    <t>ΠΥΛΟΥ</t>
  </si>
  <si>
    <t>ΔΗΜΟΤΙΚΟ ΣΧΟΛΕΙΟ ΚΟΡΩΝΗΣ</t>
  </si>
  <si>
    <t>ΜΕΣΣΗΝΗΣ</t>
  </si>
  <si>
    <t>ΑΝΔΡΟΥΣΑΣ</t>
  </si>
  <si>
    <t>ΑΝΔΡΟΥΣΗΣ</t>
  </si>
  <si>
    <t>ΗΜΕΡΗΣΙΟ ΓΥΜΝΑΣΙΟ ΑΝΔΡΟΥΣΑΣ ΜΕΣΣΗΝΙΑΣ</t>
  </si>
  <si>
    <t>mail@gym-androus.mes.sch.gr</t>
  </si>
  <si>
    <t>ΑΝΔΡΟΥΣΑ ΜΕΣΣΗΝΙΑΣ</t>
  </si>
  <si>
    <t>ΑΝΔΡΟΥΣΑ</t>
  </si>
  <si>
    <t>ΔΗΜΟΤΙΚΟ ΣΧΟΛΕΙΟ ΕΥΑΣ ΑΝΔΡΟΥΣΑΣ</t>
  </si>
  <si>
    <t>ΔΥΤΙΚΗΣ ΜΑΝΗΣ</t>
  </si>
  <si>
    <t>ΛΕΥΚΤΡΟΥ</t>
  </si>
  <si>
    <t>ΚΑΡΔΑΜΥΛΗΣ</t>
  </si>
  <si>
    <t>ΓΥΜΝΑΣΙΟ ΚΑΡΔΑΜΥΛΗΣ</t>
  </si>
  <si>
    <t>mail@gym-kardam.mes.sch.gr</t>
  </si>
  <si>
    <t>ΚΑΡΔΑΜΥΛΗ</t>
  </si>
  <si>
    <t>ΚΑΡΔΑΜΥΛΗ ΜΕΣΣΗΝΙΑΣ</t>
  </si>
  <si>
    <t>ΔΗΜΟΤΙΚΟ ΣΧΟΛΕΙΟ ΚΑΜΠΟΥ ΔΥΤ ΜΑΝΗΣ</t>
  </si>
  <si>
    <t>1ο ΗΜΕΡΗΣΙΟ ΓΕΝΙΚΟ ΛΥΚΕΙΟ ΜΕΣΣΗΝΗΣ</t>
  </si>
  <si>
    <t>mail@1lyk-messin.mes.sch.gr</t>
  </si>
  <si>
    <t>ΣΤΑΔΙΟΥ 48</t>
  </si>
  <si>
    <t>3ο ΔΗΜΟΤΙΚΟ ΣΧΟΛΕΙΟ ΜΕΣΣΗΝΗΣ</t>
  </si>
  <si>
    <t>ΑΡΦΑΡΩΝ</t>
  </si>
  <si>
    <t>ΗΜΕΡΗΣΙΟ ΓΕΝΙΚΟ ΛΥΚΕΙΟ ΑΡΦΑΡΩΝ - ΑΡΜΕΝΕΙΟ ΛΥΚΕΙΟ ΑΡΦΑΡΩΝ</t>
  </si>
  <si>
    <t>mail@lyk-arfar.mes.sch.gr</t>
  </si>
  <si>
    <t>ΑΡΦΑΡΑ</t>
  </si>
  <si>
    <t>Γ. ΑΡΜΕΝΗ</t>
  </si>
  <si>
    <t>ΔΗΜΟΤΙΚΟ ΣΧΟΛΕΙΟ ΑΡΦΑΡΩΝ</t>
  </si>
  <si>
    <t>ΤΡΙΦΥΛΙΑΣ</t>
  </si>
  <si>
    <t>ΦΙΛΙΑΤΡΩΝ</t>
  </si>
  <si>
    <t>1ο ΗΜΕΡΗΣΙΟ ΓΥΜΝΑΣΙΟ ΦΙΛΙΑΤΡΩΝ ΜΕΣΣΗΝΙΑΣ</t>
  </si>
  <si>
    <t>mail@gym-filiatr.mes.sch.gr</t>
  </si>
  <si>
    <t>ΦΙΛΙΑΤΡΩΝ ΜΕΣΣΗΝΙΑΣ</t>
  </si>
  <si>
    <t>ΒΕΛΙΣΣΑΡΙΟΥ 1</t>
  </si>
  <si>
    <t>1ο ΔΗΜΟΤΙΚΟ ΣΧΟΛΕΙΟ ΦΙΛΙΑΤΡΩΝ</t>
  </si>
  <si>
    <t>ΔΩΡΙΟΥ</t>
  </si>
  <si>
    <t>ΗΜΕΡΗΣΙΟ ΓΥΜΝΑΣΙΟ ΔΩΡΙΟΥ ΜΕΣΣΗΝΙΑΣ</t>
  </si>
  <si>
    <t>mail@gym-doriou.mes.sch.gr</t>
  </si>
  <si>
    <t>ΔΩΡΙΟΥ ΜΕΣΣΗΝΙΑΣ</t>
  </si>
  <si>
    <t>ΔΩΡΙΟ</t>
  </si>
  <si>
    <t>ΔΗΜΟΤΙΚΟ ΣΧΟΛΕΙΟ ΔΩΡΙΟΥ</t>
  </si>
  <si>
    <t>ΗΜΕΡΗΣΙΟ ΓΕΝΙΚΟ ΛΥΚΕΙΟ ΚΟΡΩΝΗΣ</t>
  </si>
  <si>
    <t>mail@lyk-koron.mes.sch.gr</t>
  </si>
  <si>
    <t>1ο ΗΜΕΡΗΣΙΟ ΕΠΑΛ ΚΑΛΑΜΑΤΑΣ</t>
  </si>
  <si>
    <t>mail@1epal-kalam.mes.sch.gr</t>
  </si>
  <si>
    <t>ΡΗΓΑ ΦΕΡΑΙΟΥ ΚΑΙ ΚΡΗΤΗΣ</t>
  </si>
  <si>
    <t>10ο ΔΗΜΟΤΙΚΟ ΣΧΟΛΕΙΟ ΚΑΛΑΜΑΤΑΣ</t>
  </si>
  <si>
    <t>ΕΕΕΕΚ ΚΑΛΑΜΑΤΑΣ</t>
  </si>
  <si>
    <t>mail@eeeek.mes.sch.gr</t>
  </si>
  <si>
    <t>ΑΓΙΑ ΚΥΡΙΑΚΗ - ΑΚΟΒΙΤΙΚΑ</t>
  </si>
  <si>
    <t>16ο ΔΗΜΟΤΙΚΟ ΣΧΟΛΕΙΟ ΚΑΛΑΜΑΤΑΣ</t>
  </si>
  <si>
    <t>ΕΠΑ.Λ. ΜΕΣΣΗΝΗΣ</t>
  </si>
  <si>
    <t>mail@epal-messin.mes.sch.gr</t>
  </si>
  <si>
    <t>ΜΕΣΣΗΝΗ</t>
  </si>
  <si>
    <t>Ρήγα Φεραίου και Κρήτης</t>
  </si>
  <si>
    <t>ΚΥΠΑΡΙΣΣΙΑΣ</t>
  </si>
  <si>
    <t>1ο ΗΜΕΡΗΣΙΟ ΕΠΑΛ ΚΥΠΑΡΙΣΣΙΑΣ</t>
  </si>
  <si>
    <t>mail@1epal-kypar.mes.sch.gr</t>
  </si>
  <si>
    <t>ΚΥΠΑΡΙΣΣΙΑ</t>
  </si>
  <si>
    <t>ΠΟΝΗΡΟΠΟΥΛΟΥ  ΤΕΡΜΑ</t>
  </si>
  <si>
    <t>ΠΟΝΗΡΟΠΟΥΛΟΥ ΤΕΡΜΑ</t>
  </si>
  <si>
    <t>3ο ΔΗΜΟΤΙΚΟ ΣΧΟΛΕΙΟ ΚΥΠΑΡΙΣΣΙΑΣ</t>
  </si>
  <si>
    <t>1ο Ε.Κ ΚΑΛΑΜΑΤΑΣ</t>
  </si>
  <si>
    <t>mail@1sek-messin.mes.sch.gr</t>
  </si>
  <si>
    <t>7ο ΔΗΜΟΤΙΚΟ ΣΧΟΛΕΙΟ ΚΑΛΑΜΑΤΑΣ</t>
  </si>
  <si>
    <t>5ο ΗΜΕΡΗΣΙΟ ΓΕΝΙΚΟ ΛΥΚΕΙΟ ΚΑΛΑΜΑΤΑΣ</t>
  </si>
  <si>
    <t>mail@5lyk-kalam.mes.sch.gr</t>
  </si>
  <si>
    <t>ΒΑΣΙΛΕΩΣ ΓΕΩΡΓΙΟΥ-ΛΑΚΩΝΙΚΗΣ</t>
  </si>
  <si>
    <t>18ο ΔΗΜΟΤΙΚΟ ΣΧΟΛΕΙΟ ΚΑΛΑΜΑΤΑΣ</t>
  </si>
  <si>
    <t>2ο ΗΜΕΡΗΣΙΟ ΕΠΑΛ ΚΑΛΑΜΑΤΑΣ</t>
  </si>
  <si>
    <t>mail@2epal-kalam.mes.sch.gr</t>
  </si>
  <si>
    <t>ΗΜΕΡΗΣΙΟ ΓΕΝΙΚΟ ΛΥΚΕΙΟ ΜΕΘΩΝΗΣ</t>
  </si>
  <si>
    <t>mail@lyk-methon.mes.sch.gr</t>
  </si>
  <si>
    <t>ΠΑΥΣΑΝΙΟΥ 5</t>
  </si>
  <si>
    <t>ΔΗΜΟΤΙΚΟ ΣΧΟΛΕΙΟ ΜΕΘΩΝΗΣ - ΓΕΩΡΓΑΚΟΠΟΥΛΕΙΟ</t>
  </si>
  <si>
    <t>ΘΟΥΡΙΑΣ</t>
  </si>
  <si>
    <t>ΓΕΝΙΚΟ ΛΥΚΕΙΟ ΘΟΥΡΙΑΣ - ΗΜΕΡΗΣΙΟ</t>
  </si>
  <si>
    <t>mail@lyk-thour.mes.sch.gr</t>
  </si>
  <si>
    <t>ΘΟΥΡΙΑ</t>
  </si>
  <si>
    <t>ΔΗΜΟΤΙΚΟ ΣΧΟΛΕΙΟ ΘΟΥΡΙΑΣ</t>
  </si>
  <si>
    <t>ΗΜΕΡΗΣΙΟ ΓΕΝΙΚΟ ΛΥΚΕΙΟ ΔΩΡΙΟΥ - ΓΕΝΙΚΟ ΛΥΚΕΙΟ ΔΩΡΙΟΥ</t>
  </si>
  <si>
    <t>mail@lyk-doriou.mes.sch.gr</t>
  </si>
  <si>
    <t>ΝΕΣΤΟΡΟΣ</t>
  </si>
  <si>
    <t>ΗΜΕΡΗΣΙΟ ΓΕΝΙΚΟ ΛΥΚΕΙΟ ΧΩΡΑΣ ΜΕΣΣΗΝΙΑΣ</t>
  </si>
  <si>
    <t>mail@lyk-choras.mes.sch.gr</t>
  </si>
  <si>
    <t>ΧΩΡΑΣ ΜΕΣΣΗΝΙΑΣ</t>
  </si>
  <si>
    <t>ΠΡΟΦΗΤΗ ΗΛΙΑ 2</t>
  </si>
  <si>
    <t>2ο ΔΗΜΟΤΙΚΟ ΣΧΟΛΕΙΟ ΧΩΡΑΣ</t>
  </si>
  <si>
    <t>ΑΡΙΣΤΟΜΕΝΟΥΣ</t>
  </si>
  <si>
    <t>ΗΜΕΡΗΣΙΟ ΓΕΝΙΚΟ ΛΥΚΕΙΟ ΑΡΙΣΤΟΜΕΝΗ</t>
  </si>
  <si>
    <t>mail@lyk-arist.mes.sch.gr</t>
  </si>
  <si>
    <t xml:space="preserve">ΑΡΙΣΤΟΜΕΝΗΣ </t>
  </si>
  <si>
    <t>ΑΡΙΣΤΟΜΕΝΗΣ</t>
  </si>
  <si>
    <t>ΔΗΜΟΤΙΚΟ ΣΧΟΛΕΙΟ ΑΡΙΣΤΟΜΕΝΗ</t>
  </si>
  <si>
    <t>ΗΜΕΡΗΣΙΟ ΓΕΝΙΚΟ ΛΥΚΕΙΟ ΠΥΛΟΥ</t>
  </si>
  <si>
    <t>mail@lyk-pylou.mes.sch.gr</t>
  </si>
  <si>
    <t>ΠΥΛΟΣ</t>
  </si>
  <si>
    <t>ΜΕΘΩΝΗΣ ΚΑΙ ΣΑΜΑΡΑΚΗ</t>
  </si>
  <si>
    <t>1ο ΔΗΜΟΤΙΚΟ ΣΧΟΛΕΙΟ ΠΥΛΟΥ</t>
  </si>
  <si>
    <t>ΓΑΡΓΑΛΙΑΝΩΝ</t>
  </si>
  <si>
    <t>ΗΜΕΡΗΣΙΟ ΓΕΝΙΚΟ ΛΥΚΕΙΟ ΓΑΡΓΑΛΙΑΝΩΝ</t>
  </si>
  <si>
    <t>mail@lyk-gargal.mes.sch.gr</t>
  </si>
  <si>
    <t>ΠΑΝΑΓΟΠΟΥΛΟΥ 1</t>
  </si>
  <si>
    <t>2ο ΔΗΜΟΤΙΚΟ ΣΧΟΛΕΙΟ ΓΑΡΓΑΛΙΑΝΩΝ</t>
  </si>
  <si>
    <t>2ο ΗΜΕΡΗΣΙΟ ΓΕΝΙΚΟ ΛΥΚΕΙΟ ΚΑΛΑΜΑΤΑΣ</t>
  </si>
  <si>
    <t>mail@2lyk-kalam.mes.sch.gr</t>
  </si>
  <si>
    <t>ΗΜΕΡΗΣΙΟ ΓΕΝΙΚΟ ΛΥΚΕΙΟ ΑΝΔΡΟΥΣΑΣ</t>
  </si>
  <si>
    <t>mail@lyk-androus.mes.sch.gr</t>
  </si>
  <si>
    <t>Ανδρούσα  Μεσσηνίας</t>
  </si>
  <si>
    <t>ΗΜΕΡΗΣΙΟ ΓΕΝΙΚΟ ΛΥΚΕΙΟ ΚΥΠΑΡΙΣΣΙΑΣ</t>
  </si>
  <si>
    <t>mail@lyk-kypar.mes.sch.gr</t>
  </si>
  <si>
    <t>ΧΡΙΣΤΙΑΝΟΥΠΟΛΕΩΣ 57</t>
  </si>
  <si>
    <t>3ο ΗΜΕΡΗΣΙΟ ΓΕΝΙΚΟ ΛΥΚΕΙΟ ΚΑΛΑΜΑΤΑΣ</t>
  </si>
  <si>
    <t>mail@3lyk-kalam.mes.sch.gr</t>
  </si>
  <si>
    <t>ΠΡΑΞΙΤΕΛΟΥΣ ΤΕΡΜΑ</t>
  </si>
  <si>
    <t>4ο ΗΜΕΡΗΣΙΟ ΓΕΝΙΚΟ ΛΥΚΕΙΟ ΚΑΛΑΜΑΤΑΣ</t>
  </si>
  <si>
    <t>mail@4lyk-kalam.mes.sch.gr</t>
  </si>
  <si>
    <t>ΑΡΤΕΜΙΔΟΣ 125</t>
  </si>
  <si>
    <t>ΔΗΜΟΤΙΚΟ ΣΧΟΛΕΙΟ ΑΣΠΡΟΧΩΜΑΤΟΣ</t>
  </si>
  <si>
    <t>ΕΣΠΕΡΙΝΟ ΓΕΝΙΚΟ ΛΥΚΕΙΟ ΚΑΛΑΜΑΤΑΣ</t>
  </si>
  <si>
    <t>mail@lyk-esp-kalam.mes.sch.gr</t>
  </si>
  <si>
    <t>ΦΑΡΩΝ ΚΑΙ ΒΑΣ. ΚΩΝΣΤΑΝΤΙΝΟΥ  25</t>
  </si>
  <si>
    <t>21ο ΔΗΜΟΤΙΚΟ ΣΧΟΛΕΙΟ ΚΑΛΑΜΑΤΑΣ</t>
  </si>
  <si>
    <t>ΜΕΛΙΓΑΛΑ</t>
  </si>
  <si>
    <t>ΗΜΕΡΗΣΙΟ ΓΕΝΙΚΟ ΛΥΚΕΙΟ ΜΕΛΙΓΑΛΑ</t>
  </si>
  <si>
    <t>mail@lyk-melig.mes.sch.gr</t>
  </si>
  <si>
    <t>ΜΕΛΙΓΑΛΑΣ</t>
  </si>
  <si>
    <t>ΔΗΜΟΤΙΚΟ ΣΧΟΛΕΙΟ ΜΕΛΙΓΑΛΑ</t>
  </si>
  <si>
    <t>6ο ΗΜΕΡΗΣΙΟ ΓΕΝΙΚΟ ΛΥΚΕΙΟ ΚΑΛΑΜΑΤΑΣ</t>
  </si>
  <si>
    <t>mail@6lyk-kalam.mes.sch.gr</t>
  </si>
  <si>
    <t>ΑΘΗΝΩΝ 170</t>
  </si>
  <si>
    <t>1ο ΗΜΕΡΗΣΙΟ ΓΕΝΙΚΟ ΛΥΚΕΙΟ ΚΑΛΑΜΑΤΑΣ</t>
  </si>
  <si>
    <t>mail@1lyk-kalam.mes.sch.gr</t>
  </si>
  <si>
    <t>Καλαμάτα</t>
  </si>
  <si>
    <t>Λυκούργου και Σπετσών</t>
  </si>
  <si>
    <t>8ο ΔΗΜΟΤΙΚΟ ΣΧΟΛΕΙΟ ΚΑΛΑΜΑΤΑΣ</t>
  </si>
  <si>
    <t>2ο ΕΡΓΑΣΤΗΡΙΑΚΟ ΚΕΝΤΡΟ ΜΕΣΣΗΝΙΑΣ</t>
  </si>
  <si>
    <t>mail@2sek-messin.mes.sch.gr</t>
  </si>
  <si>
    <t>ΗΜΕΡΗΣΙΟ ΓΥΜΝΑΣΙΟ ΠΥΛΟΥ ΜΕΣΣΗΝΙΑΣ</t>
  </si>
  <si>
    <t>mail@gym-pylou.mes.sch.gr</t>
  </si>
  <si>
    <t>ΠΥΛΟΣ ΜΕΣΣΗΝΙΑΣ</t>
  </si>
  <si>
    <t>ΗΜΕΡΗΣΙΟ ΓΥΜΝΑΣΙΟ ΜΕΘΩΝΗΣ ΜΕΣΣΗΝΙΑΣ</t>
  </si>
  <si>
    <t>mail@gym-methon.mes.sch.gr</t>
  </si>
  <si>
    <t>ΜΕΘΩΝΗ ΜΕΣΣΗΝΙΑΣ</t>
  </si>
  <si>
    <t>ΑΝΔΑΝΙΑΣ</t>
  </si>
  <si>
    <t>ΔΙΑΒΟΛΙΤΣΙΟΥ</t>
  </si>
  <si>
    <t>ΗΜΕΡΗΣΙΟ ΓΥΜΝΑΣΙΟ ΔΙΑΒΟΛΙΤΣΙΟΥ ΜΕΣΣΗΝΙΑΣ</t>
  </si>
  <si>
    <t>mail@gym-diavol.mes.sch.gr</t>
  </si>
  <si>
    <t>Διαβολίτσι Μεσσηνίας</t>
  </si>
  <si>
    <t>ΔΗΜΟΤΙΚΟ ΣΧΟΛΕΙΟ ΔΙΑΒΟΛΙΤΣΙΟΥ</t>
  </si>
  <si>
    <t>ΗΜΕΡΗΣΙΟ ΓΥΜΝΑΣΙΟ ΓΑΡΓΑΛΙΑΝΩΝ ΜΕΣΣΗΝΙΑΣ</t>
  </si>
  <si>
    <t>mail@gym-gargal.mes.sch.gr</t>
  </si>
  <si>
    <t>ΓΑΡΓΑΛΙΑΝΟΙ ΜΕΣΣΗΝΙΑΣ</t>
  </si>
  <si>
    <t>ΕΛ. ΒΕΝΙΖΕΛΟΥ 26</t>
  </si>
  <si>
    <t>ΗΜΕΡΗΣΙΟ ΓΥΜΝΑΣΙΟ ΑΡΙΣΤΟΜΕΝΟΥΣ ΜΕΣΣΗΝΙΑΣ</t>
  </si>
  <si>
    <t>mail@gym-arist.mes.sch.gr</t>
  </si>
  <si>
    <t>ΑΡΙΣΤΟΜΕΝΗΣ ΜΕΣΣΗΝΙΑΣ</t>
  </si>
  <si>
    <t>2ο ΗΜΕΡΗΣΙΟ ΓΥΜΝΑΣΙΟ ΜΕΣΣΗΝΗΣ</t>
  </si>
  <si>
    <t>mail@2gym-messin.mes.sch.gr</t>
  </si>
  <si>
    <t>ΜΗΤΡΟΠΕΤΡΟΒΑ 50</t>
  </si>
  <si>
    <t>1ο ΗΜΕΡΗΣΙΟ ΓΥΜΝΑΣΙΟ ΜΕΣΣΗΝΗΣ</t>
  </si>
  <si>
    <t>mail@1gym-messin.mes.sch.gr</t>
  </si>
  <si>
    <t>ΠΑΤΣΙΩΤΗ</t>
  </si>
  <si>
    <t>6ο ΗΜΕΡΗΣΙΟ ΓΥΜΝΑΣΙΟ ΚΑΛΑΜΑΤΑΣ</t>
  </si>
  <si>
    <t>mail@6gym-kalam.mes.sch.gr</t>
  </si>
  <si>
    <t>ΓΥΜΝΑΣΙΟ ΧΩΡΑΣ ΜΕΣΣΗΝΙΑΣ</t>
  </si>
  <si>
    <t>mail@gym-choras.mes.sch.gr</t>
  </si>
  <si>
    <t>ΧΩΡΑ ΜΕΣΣΗΝΙΑΣ</t>
  </si>
  <si>
    <t>ΠΡΟΦ.ΗΛΙΑ 2</t>
  </si>
  <si>
    <t>1ο ΗΜΕΡΗΣΙΟ ΓΥΜΝΑΣΙΟ ΚΑΛΑΜΑΤΑΣ</t>
  </si>
  <si>
    <t>mail@1gym-kalam.mes.sch.gr</t>
  </si>
  <si>
    <t>ΦΑΡΩΝ ΚΑΙ ΒΑΣ. ΚΩΝΣΤΑΝΤΙΝΟΥ 25</t>
  </si>
  <si>
    <t>ΗΜΕΡΗΣΙΟ ΓΥΜΝΑΣΙΟ ΘΟΥΡΙΑΣ ΜΕΣΣΗΝΙΑΣ</t>
  </si>
  <si>
    <t>mail@gym-thour.mes.sch.gr</t>
  </si>
  <si>
    <t>ΘΟΥΡΙΑ ΜΕΣΣΗΝΙΑΣ</t>
  </si>
  <si>
    <t>ΘΟΥΡΙΑ ΜΕΣΣΗΝΙΑΣ 1</t>
  </si>
  <si>
    <t>ΓΥΜΝΑΣΙΟ ΑΡΦΑΡΩΝ ΜΕΣΣΗΝΙΑΣ</t>
  </si>
  <si>
    <t>mail@gym-arfar.mes.sch.gr</t>
  </si>
  <si>
    <t>ΑΡΦΑΡΑ  ΜΕΣΣΗΝΙΑΣ</t>
  </si>
  <si>
    <t>ΠΕΤΑΛΙΔΙΟΥ</t>
  </si>
  <si>
    <t>ΗΜΕΡΗΣΙΟ ΓΥΜΝΑΣΙΟ ΠΕΤΑΛΙΔΙΟΥ ΜΕΣΣΗΝΙΑΣ</t>
  </si>
  <si>
    <t>mail@gym-petal.mes.sch.gr</t>
  </si>
  <si>
    <t>ΠΕΤΑΛΙΔΙ ΜΕΣΣΗΝΙΑΣ</t>
  </si>
  <si>
    <t>ΠΕΤΑΛΙΔΙ</t>
  </si>
  <si>
    <t>ΔΗΜΟΤΙΚΟ ΣΧΟΛΕΙΟ ΠΕΤΑΛΙΔΙΟΥ</t>
  </si>
  <si>
    <t>2ο ΗΜΕΡΗΣΙΟ ΓΥΜΝΑΣΙΟ ΚΑΛΑΜΑΤΑΣ</t>
  </si>
  <si>
    <t>mail@2gym-kalam.mes.sch.gr</t>
  </si>
  <si>
    <t>ΣΥΓΚΡΟΤΗΜΑ ΒΑΣΙΛΕΩΣ ΓΕΩΡΓΙΟΥ</t>
  </si>
  <si>
    <t>5ο ΗΜΕΡΗΣΙΟ ΓΥΜΝΑΣΙΟ ΚΑΛΑΜΑΤΑΣ</t>
  </si>
  <si>
    <t>mail@5gym-kalam.mes.sch.gr</t>
  </si>
  <si>
    <t>ΑΘΗΝΩΝ 182-194</t>
  </si>
  <si>
    <t>ΗΜΕΡΗΣΙΟ ΓΥΜΝΑΣΙΟ ΠΑΡΑΛΙΑΣ ΚΑΛΑΜΑΤΑΣ</t>
  </si>
  <si>
    <t>mail@gym-par-kalam.mes.sch.gr</t>
  </si>
  <si>
    <t xml:space="preserve"> ΚΑΛΑΜΑΤΑ</t>
  </si>
  <si>
    <t>ΒΟΥΛΓΑΡΟΚΤΟΝΟΥ ΚΑΙ ΠΡΑΞΙΤΕΛΟΥΣ</t>
  </si>
  <si>
    <t>ΑΙΠΕΙΑΣ</t>
  </si>
  <si>
    <t>ΛΟΓΓΑΣ</t>
  </si>
  <si>
    <t>ΗΜΕΡΗΣΙΟ ΓΥΜΝΑΣΙΟ ΛΟΓΓΑΣ ΜΕΣΣΗΝΙΑΣ</t>
  </si>
  <si>
    <t>mail@gym-loggas.mes.sch.gr</t>
  </si>
  <si>
    <t>ΛΟΓΓΑ ΜΕΣΣΗΝΙΑΣ</t>
  </si>
  <si>
    <t>ΛΟΓΓΑ</t>
  </si>
  <si>
    <t>ΔΗΜΟΤΙΚΟ ΣΧΟΛΕΙΟ ΛΟΓΓΑΣ</t>
  </si>
  <si>
    <t>3ο ΗΜΕΡΗΣΙΟ ΓΥΜΝΑΣΙΟ ΚΑΛΑΜΑΤΑΣ</t>
  </si>
  <si>
    <t>mail@3gym-kalam.mes.sch.gr</t>
  </si>
  <si>
    <t>Βασιλέως Γεωργίου - Σχολικό Συγκρότημα - Φαρές</t>
  </si>
  <si>
    <t>4ο ΗΜΕΡΗΣΙΟ ΓΥΜΝΑΣΙΟ ΚΑΛΑΜΑΤΑΣ</t>
  </si>
  <si>
    <t>mail@4gym-kalam.mes.sch.gr</t>
  </si>
  <si>
    <t>ΗΜΕΡΗΣΙΟ ΓΥΜΝΑΣΙΟ ΚΥΠΑΡΙΣΣΙΑΣ</t>
  </si>
  <si>
    <t>mail@gym-kypar.mes.sch.gr</t>
  </si>
  <si>
    <t>ΓΕΡΜΑΝΟΥ ΧΡΙΣΤΙΑΝΟΥΠΟΛΕΩΣ 57</t>
  </si>
  <si>
    <t>1ο ΔΗΜΟΤΙΚΟ ΣΧΟΛΕΙΟ ΚΥΠΑΡΙΣΣΙΑΣ</t>
  </si>
  <si>
    <t>ΒΟΥΦΡΑΔΟΣ</t>
  </si>
  <si>
    <t>ΧΑΤΖΗ</t>
  </si>
  <si>
    <t>ΗΜΕΡΗΣΙΟ ΓΥΜΝΑΣΙΟ ΧΑΤΖΗ ΜΕΣΣΗΝΙΑΣ</t>
  </si>
  <si>
    <t>mail@gym-chatz.mes.sch.gr</t>
  </si>
  <si>
    <t>Χατζής Μεσσηνίας</t>
  </si>
  <si>
    <t>ΧΑΤΖΗΣ</t>
  </si>
  <si>
    <t>ΔΗΜΟΤΙΚΟ ΣΧΟΛΕΙΟ ΒΛΑΧΟΠΟΥΛΟΥ</t>
  </si>
  <si>
    <t>7ο ΗΜΕΡΗΣΙΟ ΓΥΜΝΑΣΙΟ ΚΑΛΑΜΑΤΑΣ</t>
  </si>
  <si>
    <t>mail@7gym-kalam.mes.sch.gr</t>
  </si>
  <si>
    <t>ΠΑΡ.ΑΓΙΩΝ ΑΝΑΡΓΥΡΩΝ ΠΕΤΑΛΟ</t>
  </si>
  <si>
    <t>5ο ΔΗΜΟΤΙΚΟ ΣΧΟΛΕΙΟ ΚΑΛΑΜΑΤΑΣ -ΜΠΕΝΑΚΕΙΟ</t>
  </si>
  <si>
    <t>4ο ΗΜΕΡΗΣΙΟ ΕΠΑΛ ΚΑΛΑΜΑΤΑΣ</t>
  </si>
  <si>
    <t>mail@4epal-kalam.mes.sch.gr</t>
  </si>
  <si>
    <t>ΕΣΠΕΡΙΝΟ ΓΥΜΝΑΣΙΟ ΚΑΛΑΜΑΤΑΣ</t>
  </si>
  <si>
    <t>mail@gym-esp-kalam.mes.sch.gr</t>
  </si>
  <si>
    <t>Λεωφόρος  Αθηνών 182-194</t>
  </si>
  <si>
    <t>ΑΒΙΑΣ</t>
  </si>
  <si>
    <t>ΓΥΜΝΑΣΙΟ ΚΑΜΠΟΥ ΜΕΣΣΗΝΙΑΣ</t>
  </si>
  <si>
    <t>mail@gym-kampou.mes.sch.gr</t>
  </si>
  <si>
    <t>ΚΑΜΠΟΣ ΑΒΙΑΣ</t>
  </si>
  <si>
    <t>ΗΜΕΡΗΣΙΟ ΓΕΝΙΚΟ ΛΥΚΕΙΟ ΠΕΤΑΛΙΔΙΟΥ</t>
  </si>
  <si>
    <t>mail@lyk-petal.mes.sch.gr</t>
  </si>
  <si>
    <t>ΓΥΜΝΑΣΙΟ ΜΕΛΙΓΑΛΑ ΜΕΣΣΗΝΙΑΣ</t>
  </si>
  <si>
    <t>mail@gym-melig.mes.sch.gr</t>
  </si>
  <si>
    <t>ΜΕΛΙΓΑΛΑΣ ΜΕΣΣΗΝΙΑΣ</t>
  </si>
  <si>
    <t>ΕΠΑΡΧΙΑΚΗ ΟΔΟΣ ΜΕΛΙΓΑΛΑ-ΜΕΣΣΗΝΗΣ</t>
  </si>
  <si>
    <t>ΗΜΕΡΗΣΙΟ ΓΕΝΙΚΟ ΛΥΚΕΙΟ ΦΙΛΙΑΤΡΩΝ</t>
  </si>
  <si>
    <t>mail@lyk-filiatr.mes.sch.gr</t>
  </si>
  <si>
    <t>ΦΙΛΙΑΤΡΑ</t>
  </si>
  <si>
    <t>ΗΜΕΡΗΣΙΟ ΓΕΝΙΚΟ ΛΥΚΕΙΟ ΚΑΡΔΑΜΥΛΗΣ</t>
  </si>
  <si>
    <t>mail@lyk-kardam.mes.sch.gr</t>
  </si>
  <si>
    <t>1ο ΔΗΜΟΤΙΚΟ ΣΧΟΛΕΙΟ ΔΥΤΙΚΗΣ ΜΑΝΗΣ "ΠΑΝΑΓΙΩΤΗΣ ΦΩΤΕΑΣ"</t>
  </si>
  <si>
    <t>Ε.Ε.Ε.Ε.Κ ΦΙΛΙΑΤΡΩΝ</t>
  </si>
  <si>
    <t>mail@eeeek-filiatr.mes.sch.gr</t>
  </si>
  <si>
    <t>ΛΕΛΩΝΗ  10</t>
  </si>
  <si>
    <t>ΕΣΠΕΡΙΝΟ ΕΠΑ.Λ. ΚΑΛΑΜΑΤΑΣ</t>
  </si>
  <si>
    <t>mail@epal-esp-kalam.mes.sch.gr</t>
  </si>
  <si>
    <t>ΕΝΙΑΙΟ ΕΙΔΙΚΟ ΕΠΑΓΓΕΛΜΑΤΙΚΟ ΓΥΜΝΑΣΙΟ-ΛΥΚΕΙΟ ΚΑΛΑΜΑΤΑΣ</t>
  </si>
  <si>
    <t>mail@gym-ee-kalam.mes.sch.gr</t>
  </si>
  <si>
    <t>Αθηνών 170</t>
  </si>
  <si>
    <t>ΔΙΕΥΘΥΝΣΗ Π.Ε. ΑΡΓΟΛΙΔΑΣ</t>
  </si>
  <si>
    <t>ΣΚΟΤΕΙΝΗΣ</t>
  </si>
  <si>
    <t>ΝΗΠΙΑΓΩΓΕΙΟ ΣΚΟΤΕΙΝΗΣ</t>
  </si>
  <si>
    <t>mail@nip-skotein.arg.sch.gr</t>
  </si>
  <si>
    <t>ΣΚΟΤΕΙΝΗ</t>
  </si>
  <si>
    <t>ΑΡΧΑΙΑΣ ΕΠΙΔΑΥΡΟΥ</t>
  </si>
  <si>
    <t>ΔΗΜΟΤΙΚΟ ΣΧΟΛΕΙΟ ΑΡΧΑΙΑΣ ΕΠΙΔΑΥΡΟΥ</t>
  </si>
  <si>
    <t>mail@dim-a-epidavr.arg.sch.gr</t>
  </si>
  <si>
    <t>ΝΕΟΥ ΗΡΑΙΟΥ</t>
  </si>
  <si>
    <t>ΝΗΠΙΑΓΩΓΕΙΟ ΝΕΟΥ ΗΡΑΙΟΥ</t>
  </si>
  <si>
    <t>mail@nip-n-iraiou.arg.sch.gr</t>
  </si>
  <si>
    <t>ΝΕΟ ΗΡΑΙΟ</t>
  </si>
  <si>
    <t>ΘΕΡΜΗΣΙΑΣ</t>
  </si>
  <si>
    <t>ΝΗΠΙΑΓΩΓΕΙΟ ΘΕΡΜΗΣΙΑΣ</t>
  </si>
  <si>
    <t>mail@nip-therm.arg.sch.gr</t>
  </si>
  <si>
    <t>ΘΕΡΜΗΣΙΑ</t>
  </si>
  <si>
    <t>ΗΛΙΟΚΑΣΤΡΟΥ</t>
  </si>
  <si>
    <t>ΝΗΠΙΑΓΩΓΕΙΟ ΗΛΙΟΚΑΣΤΡΟΥ</t>
  </si>
  <si>
    <t>mail@nip-iliok.arg.sch.gr</t>
  </si>
  <si>
    <t>ΗΛΙΟΚΑΣΤΡΟ</t>
  </si>
  <si>
    <t>mail@1dim-argous.arg.sch.gr</t>
  </si>
  <si>
    <t>ʼργος</t>
  </si>
  <si>
    <t>ΚΑΠΟΔΙΣΤΡΙΟΥ 18</t>
  </si>
  <si>
    <t>ΠΟΡΤΟΧΕΛΙΟΥ</t>
  </si>
  <si>
    <t>1ο  ΝΗΠΙΑΓΩΓΕΙΟ ΠΟΡΤΟΧΕΛΙΟΥ</t>
  </si>
  <si>
    <t>mail@nip-port-cheliou.arg.sch.gr</t>
  </si>
  <si>
    <t>ΠΟΡΤΟΧΕΛΙ</t>
  </si>
  <si>
    <t>ΔΗΜΟΤΙΚΟ ΣΧΟΛΕΙΟ ΑΓΙΟΣ ΔΗΜΗΤΡΙΟΣ</t>
  </si>
  <si>
    <t>mail@dim-ag-dimitr.arg.sch.gr</t>
  </si>
  <si>
    <t>ΝΗΠΙΑΓΩΓΕΙΟ ΑΣΙΝΗΣ</t>
  </si>
  <si>
    <t>mail@nip-asinis.arg.sch.gr</t>
  </si>
  <si>
    <t>ΑΣΙΝΗ</t>
  </si>
  <si>
    <t>5ο ΔΗΜΟΤΙΚΟ ΣΧΟΛΕΙΟ ΝΑΥΠΛΙΟΥ</t>
  </si>
  <si>
    <t>mail@5dim-nafpl.arg.sch.gr</t>
  </si>
  <si>
    <t>ΧΡΥΣΟΣΤΟΜΟΥ ΣΜΥΡΝΗΣ 29</t>
  </si>
  <si>
    <t>ΑΝΥΦΙΟΥ</t>
  </si>
  <si>
    <t>ΔΗΜΟΤΙΚΟ ΣΧΟΛΕΙΟ ΑΝΥΦΙ - ΑΓΓΕΛΟΠΟΥΛΕΙΟ</t>
  </si>
  <si>
    <t>dimanyfi@sch.gr</t>
  </si>
  <si>
    <t>ΑΝΥΦΙ</t>
  </si>
  <si>
    <t>ΑΝΥΦΙ-  ΑΓΓΕΛΟΠΟΥΛΕΙΟ   ΔΗΜΟΤΙΚΟ ΣΧΟΛΕΙΟ ΑΝΥΦΙΟΥ</t>
  </si>
  <si>
    <t>mail@dim-ag-triad.arg.sch.gr</t>
  </si>
  <si>
    <t>mail@4dim-argous.arg.sch.gr</t>
  </si>
  <si>
    <t>ΒΛΑΣΣΗ 22</t>
  </si>
  <si>
    <t>ΤΟΛΟΥ</t>
  </si>
  <si>
    <t>ΔΗΜΟΤΙΚΟ ΣΧΟΛΕΙΟ ΤΟΛΟΥ</t>
  </si>
  <si>
    <t>mail@dim-tolou.arg.sch.gr</t>
  </si>
  <si>
    <t>ΤΟΛΟ</t>
  </si>
  <si>
    <t>4ο ΝΗΠΙΑΓΩΓΕΙΟ ΑΡΓΟΥΣ</t>
  </si>
  <si>
    <t>mail@4nip-argous.arg.sch.gr</t>
  </si>
  <si>
    <t>ΟΜΗΡΟΥ 10</t>
  </si>
  <si>
    <t>ΑΡΑΧΝΑΙΟΥ</t>
  </si>
  <si>
    <t>ΔΗΜΟΤΙΚΟ ΣΧΟΛΕΙΟ ΑΡΑΧΝΑΙΟΥ</t>
  </si>
  <si>
    <t>mail@dim-arachn.arg.sch.gr</t>
  </si>
  <si>
    <t>ΑΡΑΧΝΑΙΟ</t>
  </si>
  <si>
    <t>4ο ΔΗΜΟΤΙΚΟ ΣΧΟΛΕΙΟ ΝΑΥΠΛΙΟΥ</t>
  </si>
  <si>
    <t>mail@4dim-nafpl.arg.sch.gr</t>
  </si>
  <si>
    <t>ΕΛΕΝΗΣ ΠΑΠΑΔΑΚΗ ΚΑΙ ΝΑΙΛΣ</t>
  </si>
  <si>
    <t>ΙΡΙΩΝ</t>
  </si>
  <si>
    <t>ΔΗΜΟΤΙΚΟ ΣΧΟΛΕΙΟ ΑΝΩ ΙΡΙΩΝ</t>
  </si>
  <si>
    <t>mail@dim-an-irion.arg.sch.gr</t>
  </si>
  <si>
    <t>ΑΝΩ ΙΡΙΑ</t>
  </si>
  <si>
    <t>ΙΡΙΑ</t>
  </si>
  <si>
    <t>6ο  ΝΗΠΙΑΓΩΓΕΙΟ ΝΑΥΠΛΙΟΥ</t>
  </si>
  <si>
    <t>mail@nip-arias.arg.sch.gr</t>
  </si>
  <si>
    <t>ΚΟΙΜΗΣΕΩΣ ΘΕΟΤΟΚΟΥ, ΑΡΙΑ</t>
  </si>
  <si>
    <t>2ο ΝΗΠΙΑΓΩΓΕΙΟ ΝΑΥΠΛΙΟ - ΝΑΥΠΛΙΟΥ</t>
  </si>
  <si>
    <t>mail@2nip-nafp.arg.sch.gr</t>
  </si>
  <si>
    <t>Ασκληπιού 66</t>
  </si>
  <si>
    <t>4ο ΝΗΠΙΑΓΩΓΕΙΟ ΝΑΥΠΛΙΟΥ</t>
  </si>
  <si>
    <t>mail@4nip-nafpl.arg.sch.gr</t>
  </si>
  <si>
    <t>N. ΕΡΓΑΤΙΚΕΣ ΚΑΤΟΙΚΙΕΣ ΝΑΥΠΛΙΟΥ</t>
  </si>
  <si>
    <t>ΝΗΠΙΑΓΩΓΕΙΟ ΑΡΑΧΝΑΙΟΥ</t>
  </si>
  <si>
    <t>mail@nip-arachn.arg.sch.gr</t>
  </si>
  <si>
    <t>ΝΕΑΣ ΤΙΡΥΝΘΑΣ</t>
  </si>
  <si>
    <t>ΝΕΟΥ ΡΟΕΙΝΟΥ</t>
  </si>
  <si>
    <t>ΝΗΠΙΑΓΩΓΕΙΟ ΝΕΟΥ ΡΟΕΙΝΟΥ</t>
  </si>
  <si>
    <t>mail@nip-n-roiniou.arg.sch.gr</t>
  </si>
  <si>
    <t>ΝΕΟ ΡΟΕΙΝΟ</t>
  </si>
  <si>
    <t>ΝΗΠΙΑΓΩΓΕΙΟ ΚΟΥΤΣΟΠΟΔΙΟΥ</t>
  </si>
  <si>
    <t>mail@nip-kouts.arg.sch.gr</t>
  </si>
  <si>
    <t>Ο</t>
  </si>
  <si>
    <t>2ο ΝΗΠΙΑΓΩΓΕΙΟ ΑΡΓΟΥΣ</t>
  </si>
  <si>
    <t>mail@2nip-argous.arg.sch.gr</t>
  </si>
  <si>
    <t>mail@1dim-kranid.arg.sch.gr</t>
  </si>
  <si>
    <t>ΚΡΑΝΙΔΙ</t>
  </si>
  <si>
    <t>ΠΛΑΤΕΙΑ ΚΥΠΡΟΥ</t>
  </si>
  <si>
    <t>mail@dim-ermion.arg.sch.gr</t>
  </si>
  <si>
    <t>ΛΕΡΝΑΣ</t>
  </si>
  <si>
    <t>ΜΥΛΩΝ</t>
  </si>
  <si>
    <t>ΝΗΠΙΑΓΩΓΕΙΟ ΜΥΛΩΝ</t>
  </si>
  <si>
    <t>mail@nip-mylon.arg.sch.gr</t>
  </si>
  <si>
    <t>ΜΥΛΟΙ</t>
  </si>
  <si>
    <t>ΛΑΛΟΥΚΑ</t>
  </si>
  <si>
    <t>ΝΗΠΙΑΓΩΓΕΙΟ ΛΑΛΟΥΚΑ</t>
  </si>
  <si>
    <t>mail@nip-lalouk.arg.sch.gr</t>
  </si>
  <si>
    <t>ΛΑΛΟΥΚΑΣ</t>
  </si>
  <si>
    <t>ΠΟΥΛΛΑΚΙΔΑΣ</t>
  </si>
  <si>
    <t>ΝΗΠΙΑΓΩΓΕΙΟ ΠΟΥΛΛΑΚΙΔΑΣ</t>
  </si>
  <si>
    <t>mail@nip-poull.arg.sch.gr</t>
  </si>
  <si>
    <t>ΠΟΥΛΛΑΚΙΔΑ</t>
  </si>
  <si>
    <t>1ο  ΝΗΠΙΑΓΩΓΕΙΟ ΚΡΑΝΙΔΙΟΥ</t>
  </si>
  <si>
    <t>mail@1nip-kranid.arg.sch.gr</t>
  </si>
  <si>
    <t>5ο ΝΗΠΙΑΓΩΓΕΙΟ ΝΑΥΠΛΙΟΥ</t>
  </si>
  <si>
    <t>mail@5nip-nafpl.arg.sch.gr</t>
  </si>
  <si>
    <t>ΕΙΡΗΝΗΣ ΠΕΡΙΟΧΗ ΡΟΔΙΟΥ</t>
  </si>
  <si>
    <t>3ο ΔΗΜΟΤΙΚΟ ΣΧΟΛΕΙΟ ΝΑΥΠΛΙΟΥ</t>
  </si>
  <si>
    <t>mail@3dim-nafpl.arg.sch.gr</t>
  </si>
  <si>
    <t>ΠΛΑΤΕΙΑ ΕΘΝΟΣΥΝΕΛΕΥΣΕΩΣ</t>
  </si>
  <si>
    <t>1ο ΝΗΠΙΑΓΩΓΕΙΟ ΑΡΓΟΥΣ</t>
  </si>
  <si>
    <t>mail@1nip-argous.arg.sch.gr</t>
  </si>
  <si>
    <t>ΚΑΛΛΕΡΓΗ ΚΑΙ ΕΜΜΑΝΟΥΗΛ ΡΟΥΣΣΟΥ  1</t>
  </si>
  <si>
    <t>ΔΗΜΟΤΙΚΟ ΣΧΟΛΕΙΟ ΘΕΡΜΗΣΙΑΣ</t>
  </si>
  <si>
    <t>mail@dim-therm.arg.sch.gr</t>
  </si>
  <si>
    <t>ΘΕΡΜΗΣΙΑ ΕΡΜΙΟΝΗΣ</t>
  </si>
  <si>
    <t>ΚΙΒΕΡΙΟΥ</t>
  </si>
  <si>
    <t>ΝΗΠΙΑΓΩΓΕΙΟ ΚΙΒΕΡΙΟΥ</t>
  </si>
  <si>
    <t>mail@nip-kiver.arg.sch.gr</t>
  </si>
  <si>
    <t>ΚΙΒΕΡΙ</t>
  </si>
  <si>
    <t>1ο  ΝΗΠΙΑΓΩΓΕΙΟ ΛΥΓΟΥΡΙΟΥ</t>
  </si>
  <si>
    <t>mail@1nip-lygour.arg.sch.gr</t>
  </si>
  <si>
    <t>ΑΣΚΛΗΠΙΕΙΟ</t>
  </si>
  <si>
    <t>mail@6dim-nafpl.arg.sch.gr</t>
  </si>
  <si>
    <t>ΑΡΙΑ ΝΑΥΠΛΙΟΥ</t>
  </si>
  <si>
    <t>ΑΓΙΟΥ ΑΔΡΙΑΝΟΥ</t>
  </si>
  <si>
    <t>ΔΗΜΟΤΙΚΟ ΣΧΟΛΕΙΟ ΑΓΙΟΥ ΑΔΡΙΑΝΟΥ</t>
  </si>
  <si>
    <t>mail@dim-ag-andrian.arg.sch.gr</t>
  </si>
  <si>
    <t>ΑΓΙΟΣ ΑΔΡΙΑΝΟΣ</t>
  </si>
  <si>
    <t>ΔΗΜΟΤΙΚΟ ΣΧΟΛΕΙΟ ΝΕΑΣ ΤΙΡΥΝΘΑΣ</t>
  </si>
  <si>
    <t>mail@dim-n-tirynth.arg.sch.gr</t>
  </si>
  <si>
    <t>ΝΕΑ ΤΙΡΥΝΘΑ</t>
  </si>
  <si>
    <t>ΝΗΠΙΑΓΩΓΕΙΟ ΝΕΑΣ ΤΙΡΥΝΘΑΣ ΑΡΓΟΛΙΔΑΣ</t>
  </si>
  <si>
    <t>mail@nip-n-tirynth.arg.sch.gr</t>
  </si>
  <si>
    <t>ΝΗΠΙΑΓΩΓΕΙΟ ΤΟΛΟΥ</t>
  </si>
  <si>
    <t>mail@nip-tolou.arg.sch.gr</t>
  </si>
  <si>
    <t>ΚΟΔΕΛΑ 1</t>
  </si>
  <si>
    <t>1ο ΝΗΠΙΑΓΩΓΕΙΟ ΝΑΥΠΛΙΟΥ</t>
  </si>
  <si>
    <t>mail@nip-nafp.arg.sch.gr</t>
  </si>
  <si>
    <t>Ναυπλίου</t>
  </si>
  <si>
    <t>Περικλέους</t>
  </si>
  <si>
    <t>ΔΗΜΟΤΙΚΟ ΣΧΟΛΕΙΟ ΗΛΙΟΚΑΣΤΡΟΥ</t>
  </si>
  <si>
    <t>mail@dim-iliok.arg.sch.gr</t>
  </si>
  <si>
    <t>ΝΗΠΙΑΓΩΓΕΙΟ ΔΡΕΠΑΝΟΥ ΑΡΓΟΛΙΔΑΣ</t>
  </si>
  <si>
    <t>mail@nip-drepan.arg.sch.gr</t>
  </si>
  <si>
    <t>mail@dim-koilad.arg.sch.gr</t>
  </si>
  <si>
    <t>Κοιλάδα</t>
  </si>
  <si>
    <t>ΚΟΙΛΑΔΑ ΑΡΓΟΛΙΔΑΣ</t>
  </si>
  <si>
    <t>ΝΗΠΙΑΓΩΓΕΙΟ ΚΟΙΛΑΔΑΣ ΕΡΜΙΟΝΙΔΑΣ</t>
  </si>
  <si>
    <t>mail@nip-koilad.arg.sch.gr</t>
  </si>
  <si>
    <t>ΝΗΠΙΑΓΩΓΕΙΟ ΑΝΥΦΙ</t>
  </si>
  <si>
    <t>mail@nip-anyfi.arg.sch.gr</t>
  </si>
  <si>
    <t>dimlygour@sch.gr</t>
  </si>
  <si>
    <t>ΛΥΓΟΥΡΙΟ</t>
  </si>
  <si>
    <t>ΣΥΓΓΡΟΥ 2</t>
  </si>
  <si>
    <t>8ο ΝΗΠΙΑΓΩΓΕΙΟ ΑΡΓΟΥΣ</t>
  </si>
  <si>
    <t>mail@8nip-argous.arg.sch.gr</t>
  </si>
  <si>
    <t>Α. ΓΕΩΡΓΑΝΤΑ 55</t>
  </si>
  <si>
    <t>5ο ΝΗΠΙΑΓΩΓΕΙΟ ΑΡΓΟΣ</t>
  </si>
  <si>
    <t>mail@5nip-argous.arg.sch.gr</t>
  </si>
  <si>
    <t>ΝΗΠΙΑΓΩΓΕΙΟ ΑΓΙΟΥ ΑΔΡΙΑΝΟΥ</t>
  </si>
  <si>
    <t>mail@nip-ag-andrian.arg.sch.gr</t>
  </si>
  <si>
    <t>ΔΙΔΥΜΩΝ</t>
  </si>
  <si>
    <t>ΔΗΜΟΤΙΚΟ ΣΧΟΛΕΙΟ ΔΙΔΥΜΩΝ</t>
  </si>
  <si>
    <t>mail@dim-didym.arg.sch.gr</t>
  </si>
  <si>
    <t xml:space="preserve">ΔΙΔΥΜΑ  </t>
  </si>
  <si>
    <t>ΔΙΔΥΜΑ  ΑΡΓΟΛΙΔΑΣ</t>
  </si>
  <si>
    <t>7ο ΝΗΠΙΑΓΩΓΕΙΟ ΑΡΓΟΥΣ</t>
  </si>
  <si>
    <t>mail@7nip-argous.arg.sch.gr</t>
  </si>
  <si>
    <t>ΑΝΤ. ΧΑΤΖΗ 20</t>
  </si>
  <si>
    <t>6ο  ΝΗΠΙΑΓΩΓΕΙΟ ΑΡΓΟΥΣ</t>
  </si>
  <si>
    <t>mail@6nip-argous.arg.sch.gr</t>
  </si>
  <si>
    <t>ΠΑΡΟΔΟΣ ΗΡΑΚΛΕΟΥΣ 137</t>
  </si>
  <si>
    <t>10ο ΝΗΠΙΑΓΩΓΕΙΟ ΑΡΓΟΥΣ</t>
  </si>
  <si>
    <t>mail@10nip-argous.arg.sch.gr</t>
  </si>
  <si>
    <t>ΦΙΧΤΙΟΥ</t>
  </si>
  <si>
    <t>ΝΗΠΙΑΓΩΓΕΙΟ ΦΙΧΤΙΟΥ</t>
  </si>
  <si>
    <t>mail@nip-ficht.arg.sch.gr</t>
  </si>
  <si>
    <t>Φίχτι</t>
  </si>
  <si>
    <t>ΛΥΡΚΕΙΑΣ</t>
  </si>
  <si>
    <t>ΝΗΠΙΑΓΩΓΕΙΟ ΛΥΡΚΕΙΑΣ</t>
  </si>
  <si>
    <t>mail@nip-lyrkeias.arg.sch.gr</t>
  </si>
  <si>
    <t>ΛΥΡΚΕΙΑ</t>
  </si>
  <si>
    <t>ΝΗΠΙΑΓΩΓΕΙΟ  ΚΕΦΑΛΑΡΙΟΥ  ΑΡΓΟΛΙΔΑΣ</t>
  </si>
  <si>
    <t>mail@nip-kefal.arg.sch.gr</t>
  </si>
  <si>
    <t>ΔΑΛΑΜΑΝΑΡΑΣ</t>
  </si>
  <si>
    <t>ΝΗΠΙΑΓΩΓΕΙΟ ΔΑΛΑΜΑΝΑΡΑΣ</t>
  </si>
  <si>
    <t>mail@nip-dalam.arg.sch.gr</t>
  </si>
  <si>
    <t>ΑΡΓΟΥΣ-ΝΑΥΠΛΙΟΥ</t>
  </si>
  <si>
    <t>9ο ΝΗΠΙΑΓΩΓΕΙΟ ΑΡΓΟΥΣ</t>
  </si>
  <si>
    <t>mail@9nip-argous.arg.sch.gr</t>
  </si>
  <si>
    <t>ΧΑΛΕΠΑ 62</t>
  </si>
  <si>
    <t>1/ΘΕΣΙΟ ΝΗΠΙΑΓΩΓΕΙΟ ΑΓΡΙΛΙΤΣΑΣ</t>
  </si>
  <si>
    <t>mail@nip-agril.arg.sch.gr</t>
  </si>
  <si>
    <t>ΑΓΡΙΛΙΤΣΑ</t>
  </si>
  <si>
    <t>mail@1dim-nafpl.arg.sch.gr</t>
  </si>
  <si>
    <t>ΑΜΑΛΙΑΣ 1</t>
  </si>
  <si>
    <t>ΝΗΠΙΑΓΩΓΕΙΟ ΙΝΑΧΟΥ</t>
  </si>
  <si>
    <t>mail@nip-inach.arg.sch.gr</t>
  </si>
  <si>
    <t>ΙΝΑΧΟΣ, ΑΡΓΟΣ</t>
  </si>
  <si>
    <t>ΣΚΑΦΙΔΑΚΙΟΥ</t>
  </si>
  <si>
    <t>ΝΗΠΙΑΓΩΓΕΙΟ ΣΚΑΦΙΔΑΚΙΟΥ</t>
  </si>
  <si>
    <t>mail@nip-skafid.arg.sch.gr</t>
  </si>
  <si>
    <t>ΣΚΑΦΙΔΑΚΙ</t>
  </si>
  <si>
    <t>ΔΗΜΟΤΙΚΟ ΣΧΟΛΕΙΟ ΣΚΑΦΙΔΑΚΙΟΥ</t>
  </si>
  <si>
    <t>mail@dim-skafid.arg.sch.gr</t>
  </si>
  <si>
    <t>2ο ΔΗΜΟΤΙΚΟ ΣΧΟΛΕΙΟ ΝΑΥΠΛΙΟΥ</t>
  </si>
  <si>
    <t>mail@2dim-nafpl.arg.sch.gr</t>
  </si>
  <si>
    <t>ΔΗΜΟΤΙΚΟ ΣΧΟΛΕΙΟ ΛΥΡΚΕΙΑΣ</t>
  </si>
  <si>
    <t>mail@dim-lyrkeias.arg.sch.gr</t>
  </si>
  <si>
    <t>2ο  ΝΗΠΙΑΓΩΓΕΙΟ ΚΡΑΝΙΔΙΟΥ</t>
  </si>
  <si>
    <t>mail@2nip-kranid.arg.sch.gr</t>
  </si>
  <si>
    <t>ΔΗΜΟΤΙΚΟ ΣΧΟΛΕΙΟ ΠΟΡΤΟΧΕΛΙΟΥ</t>
  </si>
  <si>
    <t>mail@dim-portoch.arg.sch.gr</t>
  </si>
  <si>
    <t>ΠΑΥΛΟΥ  ΜΕΛΑ    15</t>
  </si>
  <si>
    <t>ΝΕΑΣ ΕΠΙΔΑΥΡΟΥ</t>
  </si>
  <si>
    <t>ΝΗΠΙΑΓΩΓΕΙΟ ΝΕΑΣ ΕΠΙΔΑΥΡΟΥ</t>
  </si>
  <si>
    <t>mail@nip-n-epidavr.arg.sch.gr</t>
  </si>
  <si>
    <t>ΝΕΑ ΕΠΙΔΑΥΡΟΣ</t>
  </si>
  <si>
    <t>ΔΗΜΟΤΙΚΟ ΣΧΟΛΕΙΟ ΝΕΑΣ ΕΠΙΔΑΥΡΟΥ</t>
  </si>
  <si>
    <t>mail@dim-n-epidavr.arg.sch.gr</t>
  </si>
  <si>
    <t>ΔΗΜΟΤΙΚΟ ΣΧΟΛΕΙΟ ΚΕΦΑΛΑΡΙΟΥ</t>
  </si>
  <si>
    <t>mail@dim-kefal.arg.sch.gr</t>
  </si>
  <si>
    <t>ΔΗΜΑΙΝΗΣ</t>
  </si>
  <si>
    <t>ΔΗΜΟΤΙΚΟ ΣΧΟΛΕΙΟ ΔΗΜΑΙΝΑΣ</t>
  </si>
  <si>
    <t>mail@dim-dimain.arg.sch.gr</t>
  </si>
  <si>
    <t>ΔΗΜΑΙΝΑ</t>
  </si>
  <si>
    <t>ΝΗΠΙΑΓΩΓΕΙΟ ΔΗΜΑΙΝΑΣ</t>
  </si>
  <si>
    <t>mail@nip-dimain.arg.sch.gr</t>
  </si>
  <si>
    <t>ΔΗΜΟΤΙΚΟ ΣΧΟΛΕΙΟ ΣΚΟΤΕΙΝΗΣ</t>
  </si>
  <si>
    <t>mail@dim-skotein.arg.sch.gr</t>
  </si>
  <si>
    <t>ΠΑΠΑΔΗΜΗΤΡΙΟΥ 9</t>
  </si>
  <si>
    <t>3ο ΝΗΠΙΑΓΩΓΕΙΟ ΝΑΥΠΛΙΟΥ - ΠΡΟΝΟΙΑΣ</t>
  </si>
  <si>
    <t>mail@nip-pronoias.arg.sch.gr</t>
  </si>
  <si>
    <t>ΝΗΠΙΑΓΩΓΕΙΟ ΑΓΙΟΥ ΠΡΟΚΟΠΙΟΥ</t>
  </si>
  <si>
    <t>mail@nip-ag-prokop.arg.sch.gr</t>
  </si>
  <si>
    <t>ΑΓ. ΠΡΟΚΟΠΙΟΣ ΑΡΓΟΥΣ</t>
  </si>
  <si>
    <t>ΑΓΙΟΣ ΠΡΟΚΟΠΙΟΣ</t>
  </si>
  <si>
    <t>ΝΗΠΙΑΓΩΓΕΙΟ ΝΕΑΣ ΚΙΟΥ</t>
  </si>
  <si>
    <t>mail@nip-n-kiou.arg.sch.gr</t>
  </si>
  <si>
    <t>ΝΕΑ ΚΙΟΣ</t>
  </si>
  <si>
    <t>ΚΟΥΛΙΓΚΑ  4</t>
  </si>
  <si>
    <t>ΕΙΔΙΚΟ ΔΗΜΟΤΙΚΟ ΣΧΟΛΕΙΟ ΑΡΓΟΥΣ</t>
  </si>
  <si>
    <t>mail@dim-eid-argous.arg.sch.gr</t>
  </si>
  <si>
    <t>ΚΟΥΡΤΑΚΙΟΥ 4</t>
  </si>
  <si>
    <t>mail@dim-dalam.arg.sch.gr</t>
  </si>
  <si>
    <t>ΔΑΛΑΜΑΝΑΡΑ ΑΡΓΟΛΙΔΑΣ</t>
  </si>
  <si>
    <t>2ο    ΔΗΜΟΤΙΚΟ    ΣΧΟΛΕΙΟ    ΚΡΑΝΙΔΙΟΥ</t>
  </si>
  <si>
    <t>mail@2dim-kranid.arg.sch.gr</t>
  </si>
  <si>
    <t>ΔΗΜΟΤΙΚΟ ΣΧΟΛΕΙΟ ΦΙΧΤΙΟΥ</t>
  </si>
  <si>
    <t>mail@dim-ficht.arg.sch.gr</t>
  </si>
  <si>
    <t>ΦΙΧΤΙΑ</t>
  </si>
  <si>
    <t>1ο     ΝΗΠΙΑΓΩΓΕΙΟ ΕΡΜΙΟΝΗΣ</t>
  </si>
  <si>
    <t>mail@nip-ermion.arg.sch.gr</t>
  </si>
  <si>
    <t>ΛΙΜΝΩΝ</t>
  </si>
  <si>
    <t>mail@dim-limnon.arg.sch.gr</t>
  </si>
  <si>
    <t>ΛΙΜΝΕΣ</t>
  </si>
  <si>
    <t>ΝΗΠΙΑΓΩΓΕΙΟ ΑΡΧΑΙΑΣ ΕΠΙΔΑΥΡΟΥ</t>
  </si>
  <si>
    <t>mail@nip-a-epidavr.arg.sch.gr</t>
  </si>
  <si>
    <t>ΔΗΜΟΤΙΚΗ</t>
  </si>
  <si>
    <t>ΑΧΛΑΔΟΚΑΜΠΟΥ</t>
  </si>
  <si>
    <t>ΔΗΜΟΤΙΚΟ ΣΧΟΛΕΙΟ ΑΧΛΑΔΟΚΑΜΠΟΥ</t>
  </si>
  <si>
    <t>mail@dim-achlad.arg.sch.gr</t>
  </si>
  <si>
    <t xml:space="preserve">Δήμος ʼργους-Μυκηνών </t>
  </si>
  <si>
    <t>Αχλαδόκαμπος</t>
  </si>
  <si>
    <t>ΔΗΜΟΤΙΚΟ ΣΧΟΛΕΙΟ ΙΝΑΧΟΥ</t>
  </si>
  <si>
    <t>mail@dim-inach.arg.sch.gr</t>
  </si>
  <si>
    <t>ΙΝΑΧΟΣ-ΑΡΓΟΥΣ</t>
  </si>
  <si>
    <t>ΝΗΠΙΑΓΩΓΕΙΟ ΔΙΔΥΜΩΝ</t>
  </si>
  <si>
    <t>mail@nip-didym.arg.sch.gr</t>
  </si>
  <si>
    <t>ΔΙΔΥΜΑ</t>
  </si>
  <si>
    <t>ΔΗΜΟΤΙΚΟ ΣΧΟΛΕΙΟ ΑΓΡΙΛΙΤΣΑΣ</t>
  </si>
  <si>
    <t>mail@dim-agril.arg.sch.gr</t>
  </si>
  <si>
    <t>Ν.ΑΡΓΟΛΙΔΑΣ</t>
  </si>
  <si>
    <t>7ο ΔΗΜΟΤΙΚΟ ΣΧΟΛΕΙΟ ΑΡΓΟΥΣ</t>
  </si>
  <si>
    <t>mail@7dim-argous.arg.sch.gr</t>
  </si>
  <si>
    <t>ΚΑΠΟΔΙΣΤΡΙΑ 18</t>
  </si>
  <si>
    <t>mail@2dim-argous.arg.sch.gr</t>
  </si>
  <si>
    <t>ΗΡΑΣ 6</t>
  </si>
  <si>
    <t>ΝΗΠΙΑΓΩΓΕΙΟ ΠΑΡ. ΙΡΙΩΝ</t>
  </si>
  <si>
    <t>mail@nip-irion.arg.sch.gr</t>
  </si>
  <si>
    <t>ΠΑΡ. ΙΡΙΩΝ</t>
  </si>
  <si>
    <t>mail@3dim-argous.arg.sch.gr</t>
  </si>
  <si>
    <t>ΦΟΡΩΝΕΩΣ 357</t>
  </si>
  <si>
    <t>mail@5dim-argous.arg.sch.gr</t>
  </si>
  <si>
    <t>ΤΕΡΜΑ ΑΓΙΟΥ ΓΕΩΡΓΙΟΥ</t>
  </si>
  <si>
    <t>mail@6dim-argous.arg.sch.gr</t>
  </si>
  <si>
    <t>ΗΡΑΚΛΕΟΥΣ 137</t>
  </si>
  <si>
    <t>mail@dim-n-kiou.arg.sch.gr</t>
  </si>
  <si>
    <t>Ι. ΧΑΤΖΗΜΑΝΩΛΗ 1 - ΝΕΑ ΚΙΟΣ</t>
  </si>
  <si>
    <t>mail@dim-kouts.arg.sch.gr</t>
  </si>
  <si>
    <t>Κουτσοπόδι, Αργολίδας</t>
  </si>
  <si>
    <t>3ο ΝΗΠΙΑΓΩΓΕΙΟ ΑΡΓΟΥΣ</t>
  </si>
  <si>
    <t>mail@3nip-argous.arg.sch.gr</t>
  </si>
  <si>
    <t>ΚΑΡΑΤΖΑ 18</t>
  </si>
  <si>
    <t>ΔΗΜΟΤΙΚΟ ΣΧΟΛΕΙΟ ΚΙΒΕΡΙΟΥ</t>
  </si>
  <si>
    <t>mail@dim-kiver.arg.sch.gr</t>
  </si>
  <si>
    <t>2ο ΝΗΠΙΑΓΩΓΕΙΟ ΠΟΡΤΟΧΕΛΙ</t>
  </si>
  <si>
    <t>mail@2nip-port-cheliou.arg.sch.gr</t>
  </si>
  <si>
    <t>2ο ΝΗΠΙΑΓΩΓΕΙΟ ΛΥΓΟΥΡΙΟΥ</t>
  </si>
  <si>
    <t>mail@2nip-asklip.arg.sch.gr</t>
  </si>
  <si>
    <t>ΣΥΓΓΡΟΥ 7</t>
  </si>
  <si>
    <t>7ο ΝΗΠΙΑΓΩΓΕΙΟ ΝΑΥΠΛΙΟΥ</t>
  </si>
  <si>
    <t>mail@7nip-nafpl.arg.sch.gr</t>
  </si>
  <si>
    <t>ΚΩΝΣΤΑΝΤΙΝΟΥ ΠΑΛΑΙΟΛΟΓΟΥ ΚΑΙ ΠΕΖΟΔΡΟΜΟΥ  1</t>
  </si>
  <si>
    <t>3ο ΝΗΠΙΑΓΩΓΕΙΟ ΚΡΑΝΙΔΙΟΥ</t>
  </si>
  <si>
    <t>mail@3nip-kranid.arg.sch.gr</t>
  </si>
  <si>
    <t>ΑΝΟΔΟΣ ΜΙΧΑΛΗ ΧΑΣΠΑΡΗ</t>
  </si>
  <si>
    <t>ΕΙΔΙΚΟ ΝΗΠΙΑΓΩΓΕΙΟ ΝΑΥΠΛΙΟΥ</t>
  </si>
  <si>
    <t>mail@nip-eid-nafpl.arg.sch.gr</t>
  </si>
  <si>
    <t>mail@dim-drepan.arg.sch.gr</t>
  </si>
  <si>
    <t>ΔΡΕΠΑΝΟ  Δ. ΝΑΥΠΛΙΕΩΝ</t>
  </si>
  <si>
    <t>ΝΗΠΙΑΓΩΓΕΙΟ ΑΓΙΟΥ ΔΗΜΗΤΡΙΟΥ ΑΡΓΟΛΙΔΑΣ</t>
  </si>
  <si>
    <t>mail@nip-ag-dimitr.arg.sch.gr</t>
  </si>
  <si>
    <t>ΠΥΡΓΙΩΤΙΚΩΝ</t>
  </si>
  <si>
    <t>ΝΗΠΙΑΓΩΓΕΙΟ ΠΥΡΓΙΩΤΙΚΩΝ</t>
  </si>
  <si>
    <t>mail@nip-pyrgiot.arg.sch.gr</t>
  </si>
  <si>
    <t>ΠΥΡΓΙΩΤΙΚΑ</t>
  </si>
  <si>
    <t>ΝΗΠΙΑΓΩΓΕΙΟ ΑΓΙΑΣ ΤΡΙΑΔΑΣ Ν. ΑΡΓΟΛΙΔΑΣ</t>
  </si>
  <si>
    <t>mail@nip-ag-triad.arg.sch.gr</t>
  </si>
  <si>
    <t>ΜΙΔΕΑΣ 40, ΑΓΙΑ ΤΡΙΑΔΑ</t>
  </si>
  <si>
    <t>2ο ΝΗΠΙΑΓΩΓΕΙΟ ΕΡΜΙΟΝΗΣ</t>
  </si>
  <si>
    <t>mail@2nip-ermion.arg.sch.gr</t>
  </si>
  <si>
    <t>ερμιονη</t>
  </si>
  <si>
    <t>ΕΙΔΙΚΟ ΔΗΜΟΤΙΚΟ ΣΧΟΛΕΙΟ ΕΡΜΙΟΝΙΔΑΣ</t>
  </si>
  <si>
    <t>mail@dim-eid-ermion.arg.sch.gr</t>
  </si>
  <si>
    <t>ΚΑΤΩ ΠΛΑΤΕΙΑ</t>
  </si>
  <si>
    <t>ΔΙΕΥΘΥΝΣΗ Π.Ε. ΑΡΚΑΔΙΑΣ</t>
  </si>
  <si>
    <t>9ο ΔΗΜΟΤΙΚΟ ΣΧΟΛΕΙΟ ΤΡΙΠΟΛΗΣ</t>
  </si>
  <si>
    <t>mail@9dim-tripol.ark.sch.gr</t>
  </si>
  <si>
    <t>ΧΑΤΖΗΧΡΗΣΤΟΥ 27</t>
  </si>
  <si>
    <t>ΣΚΙΡΙΤΙΔΑΣ</t>
  </si>
  <si>
    <t>ΒΛΑΧΟΚΕΡΑΣΕΑΣ</t>
  </si>
  <si>
    <t>ΔΗΜΟΤΙΚΟ ΣΧΟΛΕΙΟ ΒΛΑΧΟΚΕΡΑΣΙΑΣ</t>
  </si>
  <si>
    <t>mail@dim-vlach.ark.sch.gr</t>
  </si>
  <si>
    <t>ΒΛΑΧΟΚΕΡΑΣΙΑ</t>
  </si>
  <si>
    <t>ΝΗΠΙΑΓΩΓΕΙΟ ΒΛΑΧΟΚΕΡΑΣΙΑΣ</t>
  </si>
  <si>
    <t>mail@nip-vlach.ark.sch.gr</t>
  </si>
  <si>
    <t>ΒΛΑΧΟΚΕΡΑΣΙΑΣ</t>
  </si>
  <si>
    <t>4ο ΝΗΠΙΑΓΩΓΕΙΟ ΜΕΓΑΛΟΠΟΛΗΣ</t>
  </si>
  <si>
    <t>mail@4nip-megal.ark.sch.gr</t>
  </si>
  <si>
    <t>ΛΥΚΑΙΟΥ 31</t>
  </si>
  <si>
    <t>ΝΗΠΙΑΓΩΓΕΙΟ ΛΕΒΙΔΙΟΥ</t>
  </si>
  <si>
    <t>mail@nip-levid.ark.sch.gr</t>
  </si>
  <si>
    <t>14ο ΝΗΠΙΑΓΩΓΕΙΟ ΤΡΙΠΟΛΗΣ</t>
  </si>
  <si>
    <t>mail@14nip-tripol.ark.sch.gr</t>
  </si>
  <si>
    <t>ΑΤΑΛΑΝΤΗΣ 32</t>
  </si>
  <si>
    <t>13ο ΝΗΠΙΑΓΩΓΕΙΟ ΤΡΙΠΟΛΗΣ</t>
  </si>
  <si>
    <t>mail@13nip-tripol.ark.sch.gr</t>
  </si>
  <si>
    <t>ΑΓΙΟΥ ΤΡΥΦΩΝΟΣ 18</t>
  </si>
  <si>
    <t>3ο ΝΗΠΙΑΓΩΓΕΙΟ ΜΕΓΑΛΟΠΟΛΗΣ</t>
  </si>
  <si>
    <t>mail@3nip-megal.ark.sch.gr</t>
  </si>
  <si>
    <t>ΠΑΠΑΝΑΣΤΑΣΙΟΥ 48</t>
  </si>
  <si>
    <t>15ο ΝΗΠΙΑΓΩΓΕΙΟ ΤΡΙΠΟΛΗΣ</t>
  </si>
  <si>
    <t>mail@15nip-tripol.ark.sch.gr</t>
  </si>
  <si>
    <t>ΛΕΩΦΟΡΟΣ ΜΙΚΗ ΘΕΟΔΩΡΑΚΗ</t>
  </si>
  <si>
    <t>9ο ΝΗΠΙΑΓΩΓΕΙΟ ΤΡΙΠΟΛΗΣ</t>
  </si>
  <si>
    <t>mail@9nip-tripol.ark.sch.gr</t>
  </si>
  <si>
    <t>ΑΡΑΚΛΟΒΟΥ 12</t>
  </si>
  <si>
    <t>11ο ΝΗΠΙΑΓΩΓΕΙΟ ΤΡΙΠΟΛΗΣ</t>
  </si>
  <si>
    <t>mail@11nip-tripol.ark.sch.gr</t>
  </si>
  <si>
    <t>ΔΕΡΒΕΝΑΚΙΩΝ  2</t>
  </si>
  <si>
    <t>12ο ΝΗΠΙΑΓΩΓΕΙΟ ΤΡΙΠΟΛΗΣ</t>
  </si>
  <si>
    <t>mail@12nip-tripol.ark.sch.gr</t>
  </si>
  <si>
    <t>ΛΥΚΑΙΟΥ ΤΕΡΜΑ</t>
  </si>
  <si>
    <t>6ο ΝΗΠΙΑΓΩΓΕΙΟ ΤΡΙΠΟΛΗΣ</t>
  </si>
  <si>
    <t>mail@6nip-tripol.ark.sch.gr</t>
  </si>
  <si>
    <t>ΑΤΑΛΑΝΤΗΣ 42</t>
  </si>
  <si>
    <t>ΡΙΖΩΝ</t>
  </si>
  <si>
    <t>ΝΗΠΙΑΓΩΓΕΙΟ ΤΕΓΕΑΣ</t>
  </si>
  <si>
    <t>mail@nip-tegeas.ark.sch.gr</t>
  </si>
  <si>
    <t>ΡΙΖΕΣ</t>
  </si>
  <si>
    <t>4ο ΝΗΠΙΑΓΩΓΕΙΟ ΤΡΙΠΟΛΗΣ</t>
  </si>
  <si>
    <t>mail@4nip-tripol.ark.sch.gr</t>
  </si>
  <si>
    <t>ΝΤΑΡΑ Φ.  ΚΑΙ ΔΕΥΚΑΛΙΩΝΟΣ ΠΕΡΙΟΧΗ ΦΙΛΙΚΩΝ</t>
  </si>
  <si>
    <t>ΚΟΡΥΘΙΟΥ</t>
  </si>
  <si>
    <t>ΝΗΠΙΑΓΩΓΕΙΟ ΖΕΥΓΟΛΑΤΙΟΥ</t>
  </si>
  <si>
    <t>mail@nip-zevgol.ark.sch.gr</t>
  </si>
  <si>
    <t>ΖΕΥΓΟΛΑΤΙΟΥ</t>
  </si>
  <si>
    <t>7ο ΝΗΠΙΑΓΩΓΕΙΟ ΤΡΙΠΟΛΗΣ</t>
  </si>
  <si>
    <t>mail@7nip-tripol.ark.sch.gr</t>
  </si>
  <si>
    <t>ΜΟΥΤΖΟΥΡΟΠΟΥΛΟΥ 67</t>
  </si>
  <si>
    <t>ΝΕΣΤΑΝΗΣ</t>
  </si>
  <si>
    <t>ΝΗΠΙΑΓΩΓΕΙΟ ΝΕΣΤΑΝΗΣ</t>
  </si>
  <si>
    <t>mail@nip-nestan.ark.sch.gr</t>
  </si>
  <si>
    <t>ΝΕΣΤΑΝΗ</t>
  </si>
  <si>
    <t>1ο ΝΗΠΙΑΓΩΓΕΙΟ ΤΡΙΠΟΛΗΣ</t>
  </si>
  <si>
    <t>mail@1nip-tripol.ark.sch.gr</t>
  </si>
  <si>
    <t>ΠΑΤΡΙΑΡΧΟΥ ΓΡΗΓΟΡΙΟΥ E' 24</t>
  </si>
  <si>
    <t>3ο ΝΗΠΙΑΓΩΓΕΙΟ ΤΡΙΠΟΛΗΣ</t>
  </si>
  <si>
    <t>mail@3nip-tripol.ark.sch.gr</t>
  </si>
  <si>
    <t>ΑΡΑΚΛΟΒΟΥ   12</t>
  </si>
  <si>
    <t>1ο  ΝΗΠΙΑΓΩΓΕΙΟ ΜΕΓΑΛΟΠΟΛΗΣ</t>
  </si>
  <si>
    <t>mail@1nip-megal.ark.sch.gr</t>
  </si>
  <si>
    <t>ΣΩΚΡΑΤΗ  ΚΑΙ ΕΥΡΙΠΙΔΗ</t>
  </si>
  <si>
    <t>8ο ΝΗΠΙΑΓΩΓΕΙΟ ΤΡΙΠΟΛΗΣ</t>
  </si>
  <si>
    <t>mail@8nip-tripol.ark.sch.gr</t>
  </si>
  <si>
    <t>ΚΑΡΑΊΣΚΑΚΗ 69</t>
  </si>
  <si>
    <t>ΝΕΟΧΩΡΙΟΥ ΓΟΡΤΥΝΙΑΣ</t>
  </si>
  <si>
    <t>ΔΗΜΟΤΙΚΟ ΣΧΟΛΕΙΟ ΝΕΟΧΩΡΙΟΥ ΑΡΚΑΔΙΑΣ</t>
  </si>
  <si>
    <t>mail@dim-neoch.ark.sch.gr</t>
  </si>
  <si>
    <t>ΝΕΟΧΩΡΙ ΓΟΡΤΥΝΙΑΣ</t>
  </si>
  <si>
    <t>ΝΗΠΙΑΓΩΓΕΙΟ ΚΑΣΤΡΙΟΥ</t>
  </si>
  <si>
    <t>mail@nip-kastr.ark.sch.gr</t>
  </si>
  <si>
    <t>ΚΑΣΤΡΙ ΚΥΝΟΥΡΙΑΣ (ΠΑΡΑΡΤΗΜΑ ΑΓΙΟΥ ΠΕΤΡΟΥ)</t>
  </si>
  <si>
    <t>ΠΑΡΑΛΙΟΥ ΑΣΤΡΟΥΣ</t>
  </si>
  <si>
    <t>ΝΗΠΙΑΓΩΓΕΙΟ ΠΑΡΑΛΙΟΥ ΑΣΤΡΟΥΣ</t>
  </si>
  <si>
    <t>mail@nip-p-astrous.ark.sch.gr</t>
  </si>
  <si>
    <t>ΠΑΡΑΛΙΟ ΑΣΤΡΟΣ</t>
  </si>
  <si>
    <t>ΣΑΠΟΥΝΑΚΑΙΙΚΩΝ</t>
  </si>
  <si>
    <t>ΝΗΠΙΑΓΩΓΕΙΟ ΤΥΡΟΣΑΠΟΥΝΑΚΑΙΪΚΩΝ</t>
  </si>
  <si>
    <t>mail@nip-tyros.ark.sch.gr</t>
  </si>
  <si>
    <t>ΤΥΡΟΣΑΠΟΥΝΑΚΑΙΪΚΩΝ</t>
  </si>
  <si>
    <t>ΤΥΡΟΣΑΠΟΥΝΑΚΑΙΪΚΑ</t>
  </si>
  <si>
    <t>ΒΕΡΒΕΝΩΝ</t>
  </si>
  <si>
    <t>ΝΗΠΙΑΓΩΓΕΙΟ ΒΕΡΒΕΝΩΝ</t>
  </si>
  <si>
    <t>mail@nip-verven.ark.sch.gr</t>
  </si>
  <si>
    <t>ΝΗΠΙΑΓΩΓΕΙΟ ΑΓΙΟΥ ΑΝΔΡΕΑ-ΠΡΑΣΤΟΥ</t>
  </si>
  <si>
    <t>mail@nip-ag-andrea.ark.sch.gr</t>
  </si>
  <si>
    <t>ΑΓΙΟΥ ΑΝΔΡΕΑ-ΠΡΑΣΤΟΥ</t>
  </si>
  <si>
    <t>ΑΓΙΟΣ ΑΝΔΡΕΑΣ-ΚΥΝΟΥΡΙΑΣ</t>
  </si>
  <si>
    <t>1ο ΝΗΠΙΑΓΩΓΕΙΟ ΑΣΤΡΟΥΣ</t>
  </si>
  <si>
    <t>mail@1nip-astrous.ark.sch.gr</t>
  </si>
  <si>
    <t>2ο ΝΗΠΙΑΓΩΓΕΙΟ ΑΣΤΡΟΥΣ</t>
  </si>
  <si>
    <t>mail@2nip-astrous.ark.sch.gr</t>
  </si>
  <si>
    <t>1ο ΝΗΠΙΑΓΩΓΕΙΟ ΛΕΩΝΙΔΙΟΥ</t>
  </si>
  <si>
    <t>mail@nip-leonid.ark.sch.gr</t>
  </si>
  <si>
    <t>2ο  ΝΗΠΙΑΓΩΓΕΙΟ ΛΕΩΝΙΔΙΟΥ</t>
  </si>
  <si>
    <t>mail@nip-olohm.ark.sch.gr</t>
  </si>
  <si>
    <t>ΠΕΛΕΤΩΝ</t>
  </si>
  <si>
    <t>ΔΗΜΟΤΙΚΟ ΣΧΟΛΕΙΟ ΠΕΛΕΤΩΝ</t>
  </si>
  <si>
    <t>mail@dim-pelet.ark.sch.gr</t>
  </si>
  <si>
    <t>ΠΕΛΕΤΑ</t>
  </si>
  <si>
    <t>ΠΕΛΕΤΑ ΚΥΝΟΥΡΙΑΣ</t>
  </si>
  <si>
    <t>mail@11dim-tripol.ark.sch.gr</t>
  </si>
  <si>
    <t>ΑΚΑΔΗΜΙΑΣ 10</t>
  </si>
  <si>
    <t>ΝΗΠΙΑΓΩΓΕΙΟ ΝΕΟΧΩΡΙΟΥ ΑΡΚΑΔΙΑΣ</t>
  </si>
  <si>
    <t>mail@nip-neoch.ark.sch.gr</t>
  </si>
  <si>
    <t>mail@dim-levid.ark.sch.gr</t>
  </si>
  <si>
    <t>Λεβίδι</t>
  </si>
  <si>
    <t>ΝΗΠΙΑΓΩΓΕΙΟ ΤΡΟΠΑΙΩΝ</t>
  </si>
  <si>
    <t>mail@nip-tropaion.ark.sch.gr</t>
  </si>
  <si>
    <t>ΔΗΜΗΤΣΑΝΗΣ</t>
  </si>
  <si>
    <t>ΝΗΠΙΑΓΩΓΕΙΟ ΔΗΜΗΤΣΑΝΑΣ</t>
  </si>
  <si>
    <t>mail@nip-dimits.ark.sch.gr</t>
  </si>
  <si>
    <t>ΔΗΜΗΤΣΑΝΑ</t>
  </si>
  <si>
    <t>ΝΗΠΙΑΓΩΓΕΙΟ ΚΟΝΤΟΒΑΖΑΙΝΑΣ</t>
  </si>
  <si>
    <t>mail@nip-kontov.ark.sch.gr</t>
  </si>
  <si>
    <t>ΚΟΝΤΟΒΑΖΑΙΝΑΣ</t>
  </si>
  <si>
    <t>ΛΑΓΚΑΔΙΩΝ</t>
  </si>
  <si>
    <t>ΔΗΜΟΤΙΚΟ ΣΧΟΛΕΙΟ ΛΑΓΚΑΔΙΩΝ</t>
  </si>
  <si>
    <t>mail@dim-lagkad.ark.sch.gr</t>
  </si>
  <si>
    <t>ΛΑΓΚΑΔΙΑ</t>
  </si>
  <si>
    <t>mail@dim-kontov.ark.sch.gr</t>
  </si>
  <si>
    <t>mail@4dim-tripol.ark.sch.gr</t>
  </si>
  <si>
    <t>ΔΗΜΗΤΡΟΣ 27</t>
  </si>
  <si>
    <t>7ο ΔΗΜΟΤΙΚΟ ΣΧΟΛΕΙΟ ΤΡΙΠΟΛΗΣ</t>
  </si>
  <si>
    <t>mail@7dim-tripol.ark.sch.gr</t>
  </si>
  <si>
    <t>mail@dim-vytin.ark.sch.gr</t>
  </si>
  <si>
    <t>Βυτίνα Αρκαδίας</t>
  </si>
  <si>
    <t>Βυτίνα</t>
  </si>
  <si>
    <t>2ο ΝΗΠΙΑΓΩΓΕΙΟ ΤΡΙΠΟΛΗΣ</t>
  </si>
  <si>
    <t>mail@2nip-tripol.ark.sch.gr</t>
  </si>
  <si>
    <t>2ο ΝΗΠΙΑΓΩΓΕΙΟ ΜΕΓΑΛΟΠΟΛΗΣ</t>
  </si>
  <si>
    <t>mail@2nip-megal.ark.sch.gr</t>
  </si>
  <si>
    <t>ΟΙΚΙΣΜΟΣ ΔΕΗ</t>
  </si>
  <si>
    <t>ΚΛΕΙΤΟΡΟΣ</t>
  </si>
  <si>
    <t>ΒΑΛΤΕΣΙΝΙΚΟΥ</t>
  </si>
  <si>
    <t>ΔΗΜΟΤΙΚΟ ΣΧΟΛΕΙΟ ΒΑΛΤΕΣΙΝΙΚΟΥ</t>
  </si>
  <si>
    <t>mail@dim-valtes.ark.sch.gr</t>
  </si>
  <si>
    <t>ΒΑΛΤΕΣΙΝΙΚΟ</t>
  </si>
  <si>
    <t>mail@dim-tyros.ark.sch.gr</t>
  </si>
  <si>
    <t>mail@dim-tropaion.ark.sch.gr</t>
  </si>
  <si>
    <t>ΤΡΟΠΑΙA</t>
  </si>
  <si>
    <t>ΕΙΔΙΚΟ ΝΗΠΙΑΓΩΓΕΙΟ ΛΕΩΝΙΔΙΟΥ</t>
  </si>
  <si>
    <t>ΕΙΔΙΚΟ ΔΗΜΟΤΙΚΟ ΣΧΟΛΕΙΟ ΛΕΩΝΙΔΙΟΥ</t>
  </si>
  <si>
    <t>mail@dim-eid-leonid.ark.sch.gr</t>
  </si>
  <si>
    <t>ΔΗΜΟΤΙΚΟ ΣΧΟΛΕΙΟ ΠΑΡΑΛΙΟΥ ΑΣΤΡΟΥΣ</t>
  </si>
  <si>
    <t>mail@dim-p-astrous.ark.sch.gr</t>
  </si>
  <si>
    <t>ΣΩΚΡΑΤΗ ΚΑΛΛΙΤΣΗ</t>
  </si>
  <si>
    <t>ΔΗΜΟΤΙΚΟ ΣΧΟΛΕΙΟ ΒΕΡΒΕΝΩΝ</t>
  </si>
  <si>
    <t>mail@dim-verven.ark.sch.gr</t>
  </si>
  <si>
    <t xml:space="preserve">ʼστρος  </t>
  </si>
  <si>
    <t>mail@dim-ag-andrea.ark.sch.gr</t>
  </si>
  <si>
    <t>ΑΓ.ΑΝΔΡΕΑΣ</t>
  </si>
  <si>
    <t>ΝΗΠΙΑΓΩΓΕΙΟ ΒΥΤΙΝΑΣ</t>
  </si>
  <si>
    <t>mail@nip-vytin.ark.sch.gr</t>
  </si>
  <si>
    <t>ΝΗΠΙΑΓΩΓΕΙΟ ΒΑΛΤΕΣΙΝΙΚΟΥ</t>
  </si>
  <si>
    <t>mail@nip-valtes.ark.sch.gr</t>
  </si>
  <si>
    <t>3/Θ ΔΗΜΟΤΙΚΟ ΣΧΟΛΕΙΟ ΔΗΜΗΤΣΑΝΑΣ</t>
  </si>
  <si>
    <t>mail@dim-dimits.ark.sch.gr</t>
  </si>
  <si>
    <t>Δημητσάνα</t>
  </si>
  <si>
    <t>ΔΗΜΟΤΙΚΟ ΣΧΟΛΕΙΟ ΝΕΣΤΑΝΗΣ</t>
  </si>
  <si>
    <t>mail@dim-nestan.ark.sch.gr</t>
  </si>
  <si>
    <t>Νεστάνη</t>
  </si>
  <si>
    <t>mail@dim-tegeas.ark.sch.gr</t>
  </si>
  <si>
    <t>Στάδιο</t>
  </si>
  <si>
    <t>Στάδιο Τεγέας - Ν. Αρκαδίας</t>
  </si>
  <si>
    <t>ΓΟΡΤΥΝΟΣ</t>
  </si>
  <si>
    <t>ΚΑΡΙΤΑΙΝΗΣ</t>
  </si>
  <si>
    <t>ΔΗΜΟΤΙΚΟ ΣΧΟΛΕΙΟ ΚΑΡΙΤΑΙΝΑΣ</t>
  </si>
  <si>
    <t>mail@dim-karit.ark.sch.gr</t>
  </si>
  <si>
    <t>ΚΑΡΙΤΑΙΝΑ</t>
  </si>
  <si>
    <t>mail@dim-leonid.ark.sch.gr</t>
  </si>
  <si>
    <t>Λεωνίδιο</t>
  </si>
  <si>
    <t>mail@1dim-megal.ark.sch.gr</t>
  </si>
  <si>
    <t>5ο ΝΗΠΙΑΓΩΓΕΙΟ ΤΡΙΠΟΛΗΣ</t>
  </si>
  <si>
    <t>mail@5nip-tripol.ark.sch.gr</t>
  </si>
  <si>
    <t>ΑΧΑΙΟΥ 2</t>
  </si>
  <si>
    <t>3ο ΔΗΜΟΤΙΚΟ ΣΧΟΛΕΙΟ ΜΕΓΑΛΟΠΟΛΗΣ</t>
  </si>
  <si>
    <t>3dimmeg@sch.gr</t>
  </si>
  <si>
    <t>mail@dim-astrous.ark.sch.gr</t>
  </si>
  <si>
    <t>ΝΗΠΙΑΓΩΓΕΙΟ ΛΑΓΚΑΔΙΩΝ</t>
  </si>
  <si>
    <t>mail@nip-lagkad.ark.sch.gr</t>
  </si>
  <si>
    <t>ΕΙΔΙΚΟ ΔΗΜΟΤΙΚΟ ΣΧΟΛΕΙΟ ΤΡΙΠΟΛΗΣ</t>
  </si>
  <si>
    <t>mail@dim-eid-tripol.ark.sch.gr</t>
  </si>
  <si>
    <t>4ο ΔΗΜΟΤΙΚΟ ΣΧΟΛΕΙΟ ΜΕΓΑΛΟΠΟΛΗΣ</t>
  </si>
  <si>
    <t>mail@4dim-megal.ark.sch.gr</t>
  </si>
  <si>
    <t>Μεγαλόπολη</t>
  </si>
  <si>
    <t>Α.ΛΑΜΠΡΟΥ</t>
  </si>
  <si>
    <t>mail@10dim-tripol.ark.sch.gr</t>
  </si>
  <si>
    <t>3ο ΔΗΜΟΤΙΚΟ ΣΧΟΛΕΙΟ ΤΡΙΠΟΛΗΣ</t>
  </si>
  <si>
    <t>mail@3dim-tripol.ark.sch.gr</t>
  </si>
  <si>
    <t>ΑΓ.ΤΡΥΦΩΝΟΣ 18</t>
  </si>
  <si>
    <t>6ο ΔΗΜΟΤΙΚΟ ΣΧΟΛΕΙΟ ΤΡΙΠΟΛΗΣ</t>
  </si>
  <si>
    <t>mail@6dim-tripol.ark.sch.gr</t>
  </si>
  <si>
    <t>8ο ΔΗΜΟΤΙΚΟ ΣΧΟΛΕΙΟ ΤΡΙΠΟΛΗΣ</t>
  </si>
  <si>
    <t>mail@8dim-tripol.ark.sch.gr</t>
  </si>
  <si>
    <t>ΣΑΒΒΑ ΚΟΥΝΑ 8</t>
  </si>
  <si>
    <t>ΔΗΜΟΤΙΚΟ ΣΧΟΛΕΙΟ ΚΑΝΔΗΛΑΣ ΑΡΚΑΔΙΑΣ</t>
  </si>
  <si>
    <t>mail@dim-kandil.ark.sch.gr</t>
  </si>
  <si>
    <t>2ο ΔΗΜΟΤΙΚΟ ΣΧΟΛΕΙΟ ΤΡΙΠΟΛΗΣ</t>
  </si>
  <si>
    <t>mail@2dim-tripol.ark.sch.gr</t>
  </si>
  <si>
    <t>ΠΑΝΟΣ 16</t>
  </si>
  <si>
    <t>10ο ΝΗΠΙΑΓΩΓΕΙΟ ΤΡΙΠΟΛΗΣ</t>
  </si>
  <si>
    <t>mail@10nip-tripol.ark.sch.gr</t>
  </si>
  <si>
    <t>mail@5dim-tripol.ark.sch.gr</t>
  </si>
  <si>
    <t>2ο ΔΗΜΟΤΙΚΟ ΣΧΟΛΕΙΟ ΜΕΓΑΛΟΠΟΛΗΣ</t>
  </si>
  <si>
    <t>mail@2dim-megal.ark.sch.gr</t>
  </si>
  <si>
    <t>mail@1dim-tripol.ark.sch.gr</t>
  </si>
  <si>
    <t>Τρίπολη</t>
  </si>
  <si>
    <t>12ο   ΔΗΜΟΤΙΚΟ ΣΧΟΛΕΙΟ ΤΡΙΠΟΛΗΣ</t>
  </si>
  <si>
    <t>mail@12dim-tripol.ark.sch.gr</t>
  </si>
  <si>
    <t>ΕΠΙ ΤΗΣ ΛΕΩΦΟΡΟΥ ΘΕΟΔΩΡΑΚΗ ΜΙΚΗ</t>
  </si>
  <si>
    <t>ΕΙΔΙΚΟ ΝΗΠΙΑΓΩΓΕΙΟ ΤΡΙΠΟΛΗΣ</t>
  </si>
  <si>
    <t>mail@nip-eid-tripol.ark.sch.gr</t>
  </si>
  <si>
    <t>ΝΗΠΙΑΓΩΓΕΙΟ ΚΑΡΙΤΑΙΝΑΣ</t>
  </si>
  <si>
    <t>mail@nip-karit.ark.sch.gr</t>
  </si>
  <si>
    <t>ΝΗΠΙΑΓΩΓΕΙΟ ΚΑΝΔΗΛΑΣ</t>
  </si>
  <si>
    <t>mail@nip-kandil.ark.sch.gr</t>
  </si>
  <si>
    <t>ΔΟΛΙΑΝΩΝ</t>
  </si>
  <si>
    <t>ΝΗΠΙΑΓΩΓΕΙΟ ΔΟΛΙΑΝΩΝ</t>
  </si>
  <si>
    <t>mail@nip-dolian.ark.sch.gr</t>
  </si>
  <si>
    <t>ΔΗΜΟΤΙΚΟ ΣΧΟΛΕΙΟ ΚΑΣΤΡΙΟΥ</t>
  </si>
  <si>
    <t>mail@dim-kastr.ark.sch.gr</t>
  </si>
  <si>
    <t>ΔΗΜΟΤΙΚΟ ΣΧΟΛΕΙΟ ΑΓΙΟΥ ΠΕΤΡΟΥ ΑΡΚΑΔΙΑΣ</t>
  </si>
  <si>
    <t>mail@dim-ag-petrou.ark.sch.gr</t>
  </si>
  <si>
    <t>ΑΓΙΟΣ ΠΕΤΡΟΣ ΑΡΚΑΔΙΑΣ</t>
  </si>
  <si>
    <t>ΔΗΜΟΤΙΚΟ ΣΧΟΛΕΙΟ ΔΟΛΙΑΝΩΝ</t>
  </si>
  <si>
    <t>mail@dim-dolian.ark.sch.gr</t>
  </si>
  <si>
    <t>ΚΑΤΩ ΔΟΛΙΑΝΑ</t>
  </si>
  <si>
    <t>ΚΑΤΩ ΔΟΛΙΑΝΑ ΑΡΚΑΔΙΑΣ</t>
  </si>
  <si>
    <t>ΜΕΡΚΟΒΟΥΝΙΟΥ</t>
  </si>
  <si>
    <t>ΝΗΠΙΑΓΩΓΕΙΟ ΜΕΡΚΟΒΟΥΝΙΟΥ</t>
  </si>
  <si>
    <t>mail@nip-merkov.ark.sch.gr</t>
  </si>
  <si>
    <t>ΜΕΡΚΟΒΟΥΝΙ ΑΡΚΑΔΙΑΣ</t>
  </si>
  <si>
    <t>1/θ Ειδικό Δημοτικό Σχολείο ʼστρους</t>
  </si>
  <si>
    <t>ΔΗΜΟΤΙΚΟ ΣΧΟΛΕΙΟ ΠΑΝΑΡΚΑΔΙΚΟΥ ΓΕΝΙΚΟΥ ΝΟΣΟΚΟΜΕΙΟΥ ΤΡΙΠΟΛΗΣ "Η ΕΥΑΓΓΕΛΙΣΤΡΙΑ"</t>
  </si>
  <si>
    <t>ΝΗΠΙΑΓΩΓΕΙΟ ΠΑΝΑΡΚΑΔΙΚΟΥ ΓΕΝΙΚΟΥ ΝΟΣΟΚΟΜΕΙΟΥ ΤΡΙΠΟΛΗΣ "Η ΕΥΑΓΓΕΛΙΣΤΡΙΑ"</t>
  </si>
  <si>
    <t>ΔΙΕΥΘΥΝΣΗ Π.Ε. ΚΟΡΙΝΘΙΑΣ</t>
  </si>
  <si>
    <t>1ο ΝΗΠΙΑΓΩΓΕΙΟ ΚΟΡΙΝΘΟΥ</t>
  </si>
  <si>
    <t>mail@1nip-korinth.kor.sch.gr</t>
  </si>
  <si>
    <t>ΚΟΛΟΚΟΤΡΩΝΗ ΚΑΙ ΠΗΓΑΣOY</t>
  </si>
  <si>
    <t>2ο ΝΗΠΙΑΓΩΓΕΙΟ ΚΟΡΙΝΘΟΥ</t>
  </si>
  <si>
    <t>mail@2nip-korinth.kor.sch.gr</t>
  </si>
  <si>
    <t>3ο ΝΗΠΙΑΓΩΓΕΙΟ ΚΟΡΙΝΘΟΥ</t>
  </si>
  <si>
    <t>mail@3nip-korinth.kor.sch.gr</t>
  </si>
  <si>
    <t>ΚΟΛΙΑΤΣΟΥ 111</t>
  </si>
  <si>
    <t>5ο ΝΗΠΙΑΓΩΓΕΙΟ ΚΟΡΙΝΘΟΥ</t>
  </si>
  <si>
    <t>mail@5nip-korinth.kor.sch.gr</t>
  </si>
  <si>
    <t>ΝΕΟ ΠΟΛΥΔΥΝΑΜΟ ΝΗΠΙΑΓΩΓΕΙΟ ΑΓ.ΑΝΝΗΣ</t>
  </si>
  <si>
    <t>6ο ΝΗΠΙΑΓΩΓΕΙΟ ΚΟΡΙΝΘΟΥ</t>
  </si>
  <si>
    <t>mail@6nip-korinth.kor.sch.gr</t>
  </si>
  <si>
    <t>ΠΕΙΡΗΝΗΣ 38</t>
  </si>
  <si>
    <t>3ο ΝΗΠΙΑΓΩΓΕΙΟ ΚΙΑΤΟΥ</t>
  </si>
  <si>
    <t>mail@3nip-kiatou.kor.sch.gr</t>
  </si>
  <si>
    <t>ΣΟΛΩΝΟΣ 24</t>
  </si>
  <si>
    <t>7ο ΝΗΠΙΑΓΩΓΕΙΟ ΚΟΡΙΝΘΟΥ</t>
  </si>
  <si>
    <t>mail@7nip-korinth.kor.sch.gr</t>
  </si>
  <si>
    <t>ΠΑΤΡΩΝ 101</t>
  </si>
  <si>
    <t>8ο ΝΗΠΙΑΓΩΓΕΙΟ ΚΟΡΙΝΘΟΥ</t>
  </si>
  <si>
    <t>mail@8nip-korinth.kor.sch.gr</t>
  </si>
  <si>
    <t xml:space="preserve"> ΑΓΙΑ-ΑΝΝΑ -ΚΟΡΙΝΘΟΥ</t>
  </si>
  <si>
    <t>ΠΟΛΥΔΥΝΑΜΟ  ΝΗΠΙΑΓΩΓΕΙΟ-ΠΕΡΙΟΧΗ ΑΓΙΑΣ-ΑΝΝΗΣ</t>
  </si>
  <si>
    <t>ΞΥΛΟΚΕΡΙΖΗΣ</t>
  </si>
  <si>
    <t>ΝΗΠΙΑΓΩΓΕΙΟ ΞΥΛΟΚΕΡΙΖΑΣ</t>
  </si>
  <si>
    <t>mail@nip-xyloker.kor.sch.gr</t>
  </si>
  <si>
    <t xml:space="preserve">ΞΥΛΟΚΕΡΙΖΑ </t>
  </si>
  <si>
    <t>ΞΥΛΟΚΕΡΙΖΑ</t>
  </si>
  <si>
    <t>9ο ΝΗΠΙΑΓΩΓΕΙΟ ΚΟΡΙΝΘΟΥ</t>
  </si>
  <si>
    <t>mail@9nip-korinth.kor.sch.gr</t>
  </si>
  <si>
    <t>ΧΡ. ΤΣΑΜΑΝΤΑ 21</t>
  </si>
  <si>
    <t>10ο ΝΗΠΙΑΓΩΓΕΙΟ ΚΟΡΙΝΘΟΥ</t>
  </si>
  <si>
    <t>mail@10nip-korinth.kor.sch.gr</t>
  </si>
  <si>
    <t>ΣΩΚΡΑΤΟΥΣ 31</t>
  </si>
  <si>
    <t>4ο  ΝΗΠΙΑΓΩΓΕΙΟ ΚΟΡΙΝΘΟΥ</t>
  </si>
  <si>
    <t>mail@4nip-korinth.kor.sch.gr</t>
  </si>
  <si>
    <t>ΑΓΙΟΥ ΟΡΟΥΣ 24</t>
  </si>
  <si>
    <t>12ο ΝΗΠΙΑΓΩΓΕΙΟ ΚΟΡΙΝΘΟΥ</t>
  </si>
  <si>
    <t>mail@12nip-korinth.kor.sch.gr</t>
  </si>
  <si>
    <t>ΙΠΠΟΚΡΑΤΟΥΣ ΚΑΙ ΟΥΡΑΝΟΥ</t>
  </si>
  <si>
    <t>13ο ΝΗΠΙΑΓΩΓΕΙΟ ΚΟΡΙΝΘΟΥ</t>
  </si>
  <si>
    <t>mail@13nip-korinth.kor.sch.gr</t>
  </si>
  <si>
    <t>ΑΔΕΙΜΑΝΤΟΥ 57α</t>
  </si>
  <si>
    <t>14ο ΝΗΠΙΑΓΩΓΕΙΟ ΚΟΡΙΝΘΟΥ</t>
  </si>
  <si>
    <t>mail@14nip-korinth.kor.sch.gr</t>
  </si>
  <si>
    <t>ΛΟΥΤΡΑΚΙΟΥ 10</t>
  </si>
  <si>
    <t>15ο ΝΗΠΙΑΓΩΓΕΙΟ ΚΟΡΙΝΘΟΥ</t>
  </si>
  <si>
    <t>mail@15nip-korinth.kor.sch.gr</t>
  </si>
  <si>
    <t>ΚΡΟΚΙΔΑ 110</t>
  </si>
  <si>
    <t>16ο ΝΗΠΙΑΓΩΓΕΙΟ ΚΟΡΙΝΘΟΥ</t>
  </si>
  <si>
    <t>mail@16nip-korinth.kor.sch.gr</t>
  </si>
  <si>
    <t>17ο ΝΗΠΙΑΓΩΓΕΙΟ ΚΟΡΙΝΘΟΥ</t>
  </si>
  <si>
    <t>mail@17nip-korinth.kor.sch.gr</t>
  </si>
  <si>
    <t>ΣΙΣΥΦΟΥ 14</t>
  </si>
  <si>
    <t>ΕΞΑΜΙΛΙΩΝ</t>
  </si>
  <si>
    <t>ΝΗΠΙΑΓΩΓΕΙΟ ΕΞΑΜΙΛΙΩΝ</t>
  </si>
  <si>
    <t>mail@nip-examil.kor.sch.gr</t>
  </si>
  <si>
    <t>ΕΞΑΜΙΛΙΑ</t>
  </si>
  <si>
    <t>ΣΟΛΟΜΟΥ</t>
  </si>
  <si>
    <t>ΝΗΠΙΑΓΩΓΕΙΟ ΣΟΛΟΜΟΥ</t>
  </si>
  <si>
    <t>mail@nip-solom.kor.sch.gr</t>
  </si>
  <si>
    <t>ΣΟΛΟΜΟΣ ΚΟΡΙΝΘΙΑΣ</t>
  </si>
  <si>
    <t>ΝΗΠΙΑΓΩΓΕΙΟ ΑΡΧΑΙΑΣ ΚΟΡΙΝΘΟΥ - ΚΟΝΔΥΛΕΙΟ</t>
  </si>
  <si>
    <t>mail@nip-a-korinth.kor.sch.gr</t>
  </si>
  <si>
    <t>ΑΡΧΑΙΑ ΚΟΡΙΝΘΟΣ</t>
  </si>
  <si>
    <t>ΔΗΜΟΤΙΚΟ ΣΧΟΛΕΙΟ ΑΓΙΟΥ ΒΑΣΙΛΕΙΟΥ ΚΟΡΙΝΘΙΑΣ</t>
  </si>
  <si>
    <t>mail@dim-ag-vasil.kor.sch.gr</t>
  </si>
  <si>
    <t>11ο ΝΗΠΙΑΓΩΓΕΙΟ ΚΟΡΙΝΘΟΥ</t>
  </si>
  <si>
    <t>mail@11nip-korinth.kor.sch.gr</t>
  </si>
  <si>
    <t>ΔΗΜΟΤΙΚΟ ΣΧΟΛΕΙΟ ΕΞΑΜΙΛΙΩΝ</t>
  </si>
  <si>
    <t>mail@dim-examil.kor.sch.gr</t>
  </si>
  <si>
    <t>ΕΞΑΜΙΛΙΑ ΚΟΡΙΝΘΙΑΣ</t>
  </si>
  <si>
    <t>ΠΕΡΙΓΙΑΛΙΟΥ</t>
  </si>
  <si>
    <t>ΝΗΠΙΑΓΩΓΕΙΟ ΠΕΡΙΓΙΑΛΙΟΥ</t>
  </si>
  <si>
    <t>mail@nip-perig.kor.sch.gr</t>
  </si>
  <si>
    <t>8ο ΔΗΜΟΤΙΚΟ ΣΧΟΛΕΙΟ ΚΟΡΙΝΘΟΥ</t>
  </si>
  <si>
    <t>mail@8dim-korinth.kor.sch.gr</t>
  </si>
  <si>
    <t>ΕΦΥΡΑΣ 44</t>
  </si>
  <si>
    <t>ΚΛΕΝΙΑΣ</t>
  </si>
  <si>
    <t>ΝΗΠΙΑΓΩΓΕΙΟ ΚΛΕΝΙΑΣ</t>
  </si>
  <si>
    <t>mail@nip-klenias.kor.sch.gr</t>
  </si>
  <si>
    <t>ΚΛΕΝΙΑ</t>
  </si>
  <si>
    <t>ΚΛΕΝΙΑ ΚΟΡΙΝΘΙΑΣ</t>
  </si>
  <si>
    <t>ΝΗΠΙΑΓΩΓΕΙΟ ΑΓ. ΒΑΣΙΛΕΙΟΣ</t>
  </si>
  <si>
    <t>mail@nip-ag-vasil.kor.sch.gr</t>
  </si>
  <si>
    <t>ΑΓ. ΒΑΣΙΛΕΙΟΣ</t>
  </si>
  <si>
    <t>ΑΓ. ΒΑΣΙΛΕΙΟΣ Δ.ΚΟΡΙΝΘΙΩΝ</t>
  </si>
  <si>
    <t>ΝΗΠΙΑΓΩΓΕΙΟ ΑΘΙΚΙΩΝ</t>
  </si>
  <si>
    <t>mail@nip-athik.kor.sch.gr</t>
  </si>
  <si>
    <t>ΝΗΠΙΑΓΩΓΕΙΟ ΚΥΡΑΣ- ΒΡΥΣΗΣ</t>
  </si>
  <si>
    <t>mail@nip-kyra.kor.sch.gr</t>
  </si>
  <si>
    <t>ΚΥΡΑΣ ΒΡΥΣΗΣ</t>
  </si>
  <si>
    <t>ΚΥΡΑ ΒΡΥΣΗ</t>
  </si>
  <si>
    <t>ΑΣΣΟΥ</t>
  </si>
  <si>
    <t>ΝΗΠΙΑΓΩΓΕΙΟ ΑΣΣΟΥ</t>
  </si>
  <si>
    <t>mail@nip-assou.kor.sch.gr</t>
  </si>
  <si>
    <t>ΑΣΣΟΣ ΚΟΡΙΝΘΙΑΣ</t>
  </si>
  <si>
    <t>ΝΗΠΙΑΓΩΓΕΙΟ ΣΟΦΙΚΟΥ</t>
  </si>
  <si>
    <t>mail@nip-sofik.kor.sch.gr</t>
  </si>
  <si>
    <t>3ο ΝΗΠΙΑΓΩΓΕΙΟ ΛΟΥΤΡΑΚΙΟΥ</t>
  </si>
  <si>
    <t>mail@3nip-loutr.kor.sch.gr</t>
  </si>
  <si>
    <t>ΑΘΑΝΑΣΙΟΥ ΟΙΚΟΝΟΜΟΥ ΚΑΙ ΝΟΤΑΡΑ 1</t>
  </si>
  <si>
    <t>ΝΗΠΙΑΓΩΓΕΙΟ ΠΕΡΑΧΩΡΑΣ</t>
  </si>
  <si>
    <t>mail@nip-perach.kor.sch.gr</t>
  </si>
  <si>
    <t>ΠΕΡΑΧΩΡΑΣ</t>
  </si>
  <si>
    <t>2ο ΝΗΠΙΑΓΩΓΕΙΟ ΛΟΥΤΡΑΚΙΟΥ</t>
  </si>
  <si>
    <t>mail@2nip-loutr.kor.sch.gr</t>
  </si>
  <si>
    <t>ΑΝΔΡΟΥΤΣΟΥ 68</t>
  </si>
  <si>
    <t>4ο ΝΗΠΙΑΓΩΓΕΙΟ ΛΟΥΤΡΑΚΙΟΥ</t>
  </si>
  <si>
    <t>mail@4nip-loutr.kor.sch.gr</t>
  </si>
  <si>
    <t>ΠΕΡΙΑΝΔΡΟΥ 49A</t>
  </si>
  <si>
    <t>1ο ΝΗΠΙΑΓΩΓΕΙΟ ΛΟΥΤΡΑΚΙΟΥ</t>
  </si>
  <si>
    <t>mail@1nip-loutr.kor.sch.gr</t>
  </si>
  <si>
    <t>ΜΑΡΚΟΥ ΜΠΟΤΣΑΡΗ 30</t>
  </si>
  <si>
    <t>ΓΑΛΑΤΑΚΙΟΥ</t>
  </si>
  <si>
    <t>ΝΗΠΙΑΓΩΓΕΙΟ ΑΛΜΥΡΗΣ</t>
  </si>
  <si>
    <t>mail@nip-almyr.kor.sch.gr</t>
  </si>
  <si>
    <t>ΑΛΜΥΡΗΣ</t>
  </si>
  <si>
    <t>ΑΛΜΥΡΗ</t>
  </si>
  <si>
    <t>ΒΟΧΑΪΚΟΥ</t>
  </si>
  <si>
    <t>ΝΗΠΙΑΓΩΓΕΙΟ ΒΟΧΑΪΚΟΥ</t>
  </si>
  <si>
    <t>mail@nip-vochaik.kor.sch.gr</t>
  </si>
  <si>
    <t>ΒΟΧΑΪΚΟ</t>
  </si>
  <si>
    <t>ΒΟΧΑΪΚΟ ΚΟΡΙΝΘΙΑΣ</t>
  </si>
  <si>
    <t>ΝΗΠΙΑΓΩΓΕΙΟ ΒΡΑΧΑΤΙΟΥ</t>
  </si>
  <si>
    <t>mail@nip-vrach.kor.sch.gr</t>
  </si>
  <si>
    <t>ΕΛΕΥΘΕΡΙΟΥ ΒΕΝΙΖΕΛΟΥ 100</t>
  </si>
  <si>
    <t>1ο ΝΗΠΙΑΓΩΓΕΙΟ ΑΓΙΩΝ ΘΕΟΔΩΡΩΝ</t>
  </si>
  <si>
    <t>mail@1nip-ag-theod.kor.sch.gr</t>
  </si>
  <si>
    <t>ΑΓ. ΘΕΟΔΩΡΩΝ</t>
  </si>
  <si>
    <t>ΚΡΟΜΜΥΩΝΟΣ</t>
  </si>
  <si>
    <t>2ο ΝΗΠΙΑΓΩΓΕΙΟ ΑΓΙΩΝ ΘΕΟΔΩΡΩΝ</t>
  </si>
  <si>
    <t>mail@2nip-ag-theod.kor.sch.gr</t>
  </si>
  <si>
    <t>ΠΡΑΘΙΟΥ</t>
  </si>
  <si>
    <t>1°  ΝΗΠΙΑΓΩΓΕΙΟ  ΝΕΜΕΑΣ</t>
  </si>
  <si>
    <t>mail@1nip-nemeas.kor.sch.gr</t>
  </si>
  <si>
    <t>ΕΥΑΓΓΕΛΙΣΤΡΙΑΣ 21</t>
  </si>
  <si>
    <t>mail@dim-isthm.kor.sch.gr</t>
  </si>
  <si>
    <t>2ο ΝΗΠΙΑΓΩΓΕΙΟ ΝΕΜΕΑΣ</t>
  </si>
  <si>
    <t>mail@2nip-nemeas.kor.sch.gr</t>
  </si>
  <si>
    <t>ΠΑΠΑΚΩΝΣΤΑΝΤΙΝΟΥ ΚΑΙ ΑΛΕΑΣ 14</t>
  </si>
  <si>
    <t>1ο ΝΗΠΙΑΓΩΓΕΙΟ ΖΕΥΓΟΛΑΤΕΙΟΥ</t>
  </si>
  <si>
    <t>mail@1nip-zevgol.kor.sch.gr</t>
  </si>
  <si>
    <t>2ο ΝΗΠΙΑΓΩΓΕΙΟ ΖΕΥΓΟΛΑΤΙΟΥ</t>
  </si>
  <si>
    <t>mail@2nip-zevgol.kor.sch.gr</t>
  </si>
  <si>
    <t>ΝΗΠΙΑΓΩΓΕΙΟ ΛΕΧΑΙΟΥ - ΑΝΔΡΙΚΟΠΟΥΛΕΙΟΝ</t>
  </si>
  <si>
    <t>mail@nip-lechaiou.kor.sch.gr</t>
  </si>
  <si>
    <t>ΠΑΛΑΙΑ  Ε.Ο. ΚΟΡΙΝΘΟΥ-ΠΑΤΡΩΝ  530</t>
  </si>
  <si>
    <t>ΑΡΧΑΙΩΝ ΚΛΕΩΝΩΝ</t>
  </si>
  <si>
    <t>ΔΗΜΟΤΙΚΟ ΣΧΟΛΕΙΟ ΑΡΧΑΙΩΝ ΚΛΕΩΝΩΝ</t>
  </si>
  <si>
    <t>mail@dim-kleon.kor.sch.gr</t>
  </si>
  <si>
    <t>ΑΡΧΑΙΕΣ ΚΛΕΩΝΕΣ</t>
  </si>
  <si>
    <t>ΔΗΜΟΤΙΚΟ ΣΧΟΛΕΙΟ ΑΣΣΟΥ</t>
  </si>
  <si>
    <t>mail@dim-assou.kor.sch.gr</t>
  </si>
  <si>
    <t>ΑΣΣΟΣ</t>
  </si>
  <si>
    <t>Π. ΠΑΠΑΛΗΓΟΥΡΑ 32</t>
  </si>
  <si>
    <t>mail@dim-vrach.kor.sch.gr</t>
  </si>
  <si>
    <t>Βραχάτι</t>
  </si>
  <si>
    <t>Κ.Παλαμα 33</t>
  </si>
  <si>
    <t>6ο ΔΗΜΟΤΙΚΟ ΣΧΟΛΕΙΟ ΚΟΡΙΝΘΟΥ</t>
  </si>
  <si>
    <t>mail@6dim-korinth.kor.sch.gr</t>
  </si>
  <si>
    <t>ΕΘΝΙΚΗΣ ΑΝΕΞΑΡΤΗΣΙΑΣ 27-29</t>
  </si>
  <si>
    <t>mail@dim-sofik.kor.sch.gr</t>
  </si>
  <si>
    <t>mail@12dim-korinth.kor.sch.gr</t>
  </si>
  <si>
    <t>ΑΠΟΣΤΟΛΟΥ ΠΑΥΛΟΥ 18</t>
  </si>
  <si>
    <t>ΔΗΜΟΤΙΚΟ ΣΧΟΛΕΙΟ ΠΕΡΙΓΙΑΛΙΟΥ</t>
  </si>
  <si>
    <t>mail@dim-perig.kor.sch.gr</t>
  </si>
  <si>
    <t>ΠΕΡΙΓΙΑΛΙ ΚΟΡΙΝΘΙΑΣ</t>
  </si>
  <si>
    <t>1ο ΔΗΜΟΤΙΚΟ ΣΧΟΛΕΙΟ ΛΟΥΤΡΑΚΙΟΥ</t>
  </si>
  <si>
    <t>mail@1dim-loutr.kor.sch.gr</t>
  </si>
  <si>
    <t>ΤΕΡΜΑ ΜΠΟΛΕΤΗ</t>
  </si>
  <si>
    <t>2ο ΔΗΜΟΤΙΚΟ ΣΧΟΛΕΙΟ ΖΕΥΓΟΛΑΤΙΟ</t>
  </si>
  <si>
    <t>mail@2dim-zevgol.kor.sch.gr</t>
  </si>
  <si>
    <t>ΚΟΥΤΑΛΑ</t>
  </si>
  <si>
    <t>ΝΗΠΙΑΓΩΓΕΙΟ ΣΠΑΘΟΒΟΥΝΙ</t>
  </si>
  <si>
    <t>mail@nip-spath.kor.sch.gr</t>
  </si>
  <si>
    <t>ΣΠΑΘΟΒΟΥΝΙ</t>
  </si>
  <si>
    <t>mail@dim-chiliom.kor.sch.gr</t>
  </si>
  <si>
    <t>ΧΙΛΙΟΜΟΔΙ</t>
  </si>
  <si>
    <t>ΑΘ. ΚΑΛΑΡΑ 6</t>
  </si>
  <si>
    <t>mail@dim-derven.kor.sch.gr</t>
  </si>
  <si>
    <t>ΔΕΡΒΕΝΙ</t>
  </si>
  <si>
    <t>ΔΗΜΟΤΙΚΟ ΣΧΟΛΕΙΟ ΑΡΧΑΙΑΣ ΚΟΡΙΝΘΟΥ</t>
  </si>
  <si>
    <t>mail@dim-a-korinth.kor.sch.gr</t>
  </si>
  <si>
    <t>ΔΗΜΟΤΙΚΟ ΣΧΟΛΕΙΟ ΞΥΛΟΚΕΡΙΖΑΣ</t>
  </si>
  <si>
    <t>mail@dim-xyloker.kor.sch.gr</t>
  </si>
  <si>
    <t>ΞΥΛΟΚΕΡΙΖΑ ΚΟΡΙΝΘΙΑΣ</t>
  </si>
  <si>
    <t>ΔΗΜΟΤΙΚΟ ΣΧΟΛΕΙΟ ΣΟΛΟΜΟΥ</t>
  </si>
  <si>
    <t>mail@dim-solom.kor.sch.gr</t>
  </si>
  <si>
    <t>ΣΟΛΟΜΟΣ</t>
  </si>
  <si>
    <t>mail@1dim-korinth.kor.sch.gr</t>
  </si>
  <si>
    <t>ΚΟΛΟΚΟΤΡΩΝΗ ΚΑΙ ΚΟΛΙΑΤΣΟΥ</t>
  </si>
  <si>
    <t>mail@dim-zevgol.kor.sch.gr</t>
  </si>
  <si>
    <t>25ΗΣ  ΜΑΡΤΙΟΥ 5</t>
  </si>
  <si>
    <t>ΔΗΜΟΤΙΚΟ ΣΧΟΛΕΙΟ ΒΟΧΑΪΚΟΥ</t>
  </si>
  <si>
    <t>mail@dim-vochaik.kor.sch.gr</t>
  </si>
  <si>
    <t>mail@2dim-korinth.kor.sch.gr</t>
  </si>
  <si>
    <t>Γ. ΠΑΠΑΝΔΡΕΟΥ ΚΑΙ ΠΕΡΙΑΝΔΡΟΥ</t>
  </si>
  <si>
    <t>ΔΗΜΟΤΙΚΟ ΣΧΟΛΕΙΟ ΑΛΜΥΡΗΣ</t>
  </si>
  <si>
    <t>mail@dim-peir-almyr.kor.sch.gr</t>
  </si>
  <si>
    <t>ΑΛΜΥΡΗ ΚΟΡΙΝΘΙΑΣ</t>
  </si>
  <si>
    <t>1ο ΔΗΜΟΤΙΚΟ ΣΧΟΛΕΙΟ ΑΓΙΩΝ ΘΕΟΔΩΡΩΝ</t>
  </si>
  <si>
    <t>mail@dim-ag-theod.kor.sch.gr</t>
  </si>
  <si>
    <t>ΔΗΜΟΤΙΚΟ ΣΧΟΛΕΙΟ ΚΛΕΝΙΑΣ ΚΟΡΙΝΘΙΑΣ</t>
  </si>
  <si>
    <t>mail@dim-klenias.kor.sch.gr</t>
  </si>
  <si>
    <t>mail@dim-lechaiou.kor.sch.gr</t>
  </si>
  <si>
    <t>3ο ΔΗΜΟΤΙΚΟ ΣΧΟΛΕΙΟ ΚΟΡΙΝΘΟΥ</t>
  </si>
  <si>
    <t>mail@3dim-korinth.kor.sch.gr</t>
  </si>
  <si>
    <t>ΚΥΠΡΟΥ 119</t>
  </si>
  <si>
    <t>4ο ΔΗΜΟΤΙΚΟ ΣΧΟΛΕΙΟ ΚΟΡΙΝΘΟΥ</t>
  </si>
  <si>
    <t>mail@4dim-korinth.kor.sch.gr</t>
  </si>
  <si>
    <t>ΑΠ. ΠΑΥΛΟΥ 18</t>
  </si>
  <si>
    <t>mail@dim-athik.kor.sch.gr</t>
  </si>
  <si>
    <t>ΑΘΙΚΙΑ</t>
  </si>
  <si>
    <t>ΑΘΙΚΙΑ ΝΟΜΟΥ ΚΟΡΙΝΘΙΑΣ</t>
  </si>
  <si>
    <t>1ο ΔΗΜΟΤΙΚΟ ΣΧΟΛΕΙΟ ΝΕΜΕΑΣ</t>
  </si>
  <si>
    <t>mail@1dim-nemeas.kor.sch.gr</t>
  </si>
  <si>
    <t>Νεμέα</t>
  </si>
  <si>
    <t>ΣΥΓΓΡΟΥ 3</t>
  </si>
  <si>
    <t>mail@2dim-nemeas.kor.sch.gr</t>
  </si>
  <si>
    <t>ΠΑΠΑΚΩΝΣΤΑΝΤΙΝΟΥ 84</t>
  </si>
  <si>
    <t>mail@2dim-loutr.kor.sch.gr</t>
  </si>
  <si>
    <t>Λουτράκι</t>
  </si>
  <si>
    <t>Οδυσσέα Ανδρούτσου 70</t>
  </si>
  <si>
    <t>5ο  ΔΗΜΟΤΙΚΟ ΣΧΟΛΕΙΟ ΚΟΡΙΝΘΟΥ</t>
  </si>
  <si>
    <t>mail@5dim-korinth.kor.sch.gr</t>
  </si>
  <si>
    <t>ΠΕΛΛΗΝΗΣ ΤΕΡΜΑ</t>
  </si>
  <si>
    <t>mail@dim-perach.kor.sch.gr</t>
  </si>
  <si>
    <t>Περαχώρα</t>
  </si>
  <si>
    <t>2ο ΝΗΠΙΑΓΩΓΕΙΟ ΒΕΛΟΥ</t>
  </si>
  <si>
    <t>mail@2nip-velou.kor.sch.gr</t>
  </si>
  <si>
    <t>ΑΝΑΓΕΝΝΗΣΕΩΣ</t>
  </si>
  <si>
    <t>2ο ΝΗΠΙΑΓΩΓΕΙΟ ΚΙΑΤΟΥ</t>
  </si>
  <si>
    <t>mail@2nip-kiatou.kor.sch.gr</t>
  </si>
  <si>
    <t>ΙΩΑΝΝΟΥ ΠΟΛΕΜΗ 6</t>
  </si>
  <si>
    <t>3ο ΝΗΠΙΑΓΩΓΕΙΟ ΞΥΛΟΚΑΣΤΡΟΥ</t>
  </si>
  <si>
    <t>mail@3nip-xylok.kor.sch.gr</t>
  </si>
  <si>
    <t>ΝΙΚΟΛΟΠΟΥΛΟΥ 30</t>
  </si>
  <si>
    <t>4ο ΝΗΠΙΑΓΩΓΕΙΟ ΚΙΑΤΟΥ</t>
  </si>
  <si>
    <t>mail@4nip-kiatou.kor.sch.gr</t>
  </si>
  <si>
    <t>5ο ΝΗΠΙΑΓΩΓΕΙΟ ΚΙΑΤΟΥ</t>
  </si>
  <si>
    <t>mail@5nip-kiatou.kor.sch.gr</t>
  </si>
  <si>
    <t>ΠΑΠΑΦΛΕΣΣΑ 26</t>
  </si>
  <si>
    <t>6ο ΝΗΠΙΑΓΩΓΕΙΟ ΚΙΑΤΟΥ</t>
  </si>
  <si>
    <t>mail@6nip-kiatou.kor.sch.gr</t>
  </si>
  <si>
    <t>ΕΠΙΓΕΝΟΥΣ   19(ΠΛΑΤΕΙΑ  ΕΡΓΑΤΙΚΕΣ ΚΑΤΟΙΚΙΕΣ)</t>
  </si>
  <si>
    <t>2ο ΝΗΠΙΑΓΩΓΕΙΟ ΞΥΛΟΚΑΣΤΡΟΥ</t>
  </si>
  <si>
    <t>mail@2nip-xylok.kor.sch.gr</t>
  </si>
  <si>
    <t>ΠΑΤΡΩΝ 50</t>
  </si>
  <si>
    <t>1ο ΝΗΠΙΑΓΩΓΕΙΟ ΚΙΑΤΟΥ</t>
  </si>
  <si>
    <t>mail@1nip-kiatou.kor.sch.gr</t>
  </si>
  <si>
    <t>ΟΠΙΣΘΕΝ  ΓΗΠΕΔΟΥ</t>
  </si>
  <si>
    <t>1ο ΝΗΠΙΑΓΩΓΕΙΟ ΒΕΛΟΥ</t>
  </si>
  <si>
    <t>mail@1nip-velou.kor.sch.gr</t>
  </si>
  <si>
    <t>ΚΡΗΝΩΝ 1</t>
  </si>
  <si>
    <t>mail@10dim-korinth.kor.sch.gr</t>
  </si>
  <si>
    <t>ΣΤΕΦΑΝΟΥ ΤΕΡΜΑ</t>
  </si>
  <si>
    <t>ΠΙΤΣΩΝ</t>
  </si>
  <si>
    <t>ΝΗΠΙΑΓΩΓΕΙΟ ΠΙΤΣΩΝ</t>
  </si>
  <si>
    <t>mail@nip-pitson.kor.sch.gr</t>
  </si>
  <si>
    <t>ΠΙΤΣΑ</t>
  </si>
  <si>
    <t>ΜΕΓΑΛΟΥ ΒΑΛΤΟΥ</t>
  </si>
  <si>
    <t>ΝΗΠΙΑΓΩΓΕΙΟ ΜΕΓΑΛΟΥ ΒΑΛΤΟΥ</t>
  </si>
  <si>
    <t>mail@nip-meg-valtou.kor.sch.gr</t>
  </si>
  <si>
    <t>ΜΕΓΑΛΟΣ ΒΑΛΤΟΣ</t>
  </si>
  <si>
    <t>ΡΙΖΗΣ</t>
  </si>
  <si>
    <t>ΝΗΠΙΑΓΩΓΕΙΟ ΡΙΖΑΣ</t>
  </si>
  <si>
    <t>mail@nip-rizas.kor.sch.gr</t>
  </si>
  <si>
    <t>ΡΙΖΑΣ</t>
  </si>
  <si>
    <t>ΡΙΖΑ</t>
  </si>
  <si>
    <t>ΚΟΚΚΩΝΙΟΥ</t>
  </si>
  <si>
    <t>1/θέσιο Νηπιαγωγείο Κοκκωνίου</t>
  </si>
  <si>
    <t>mail@nip-kokkon.kor.sch.gr</t>
  </si>
  <si>
    <t>ΚΟΚΚΩΝΙ</t>
  </si>
  <si>
    <t>ΨΑΡΙΟΥ</t>
  </si>
  <si>
    <t>ΝΗΠΙΑΓΩΓΕΙΟ ΨΑΡΙΟΥ</t>
  </si>
  <si>
    <t>mail@nip-psariou.kor.sch.gr</t>
  </si>
  <si>
    <t>ΨΑΡΙ</t>
  </si>
  <si>
    <t>ΛΥΚΟΠΟΡΙΑΣ</t>
  </si>
  <si>
    <t>ΝΗΠΙΑΓΩΓΕΙΟ ΛΥΚΟΠΟΡΙΑΣ</t>
  </si>
  <si>
    <t>mail@nip-lykop.kor.sch.gr</t>
  </si>
  <si>
    <t>ΛΥΚΟΠΟΡΙΑ</t>
  </si>
  <si>
    <t>ΕΥΡΩΣΤΙΝΗΣ-ΡΟΖΕΝΩΝ</t>
  </si>
  <si>
    <t>ΝΗΠΙΑΓΩΓΕΙΟ ΡΟΖΕΝΩΝ</t>
  </si>
  <si>
    <t>mail@nip-rozen.kor.sch.gr</t>
  </si>
  <si>
    <t>ΡΟΖΕΝΩΝ</t>
  </si>
  <si>
    <t>ΡΟΖΕΝΑ    ΚΟΡΙΝΘΙΑΣ</t>
  </si>
  <si>
    <t>ΤΑΡΣΙΝΩΝ</t>
  </si>
  <si>
    <t>ΟΛΟΗΜΕΡΟ ΝΗΠΙΑΓΩΓΕΙΟ ΤΑΡΣΙΝΩΝ</t>
  </si>
  <si>
    <t>mail@nip-tarsin.kor.sch.gr</t>
  </si>
  <si>
    <t>ΤΑΡΣΙΝΑ</t>
  </si>
  <si>
    <t>ΠΑΣΙΟΥ</t>
  </si>
  <si>
    <t>ΝΗΠΙΑΓΩΓΕΙΟ ΠΑΣΙΟΥ</t>
  </si>
  <si>
    <t>mail@nip-pasiou.kor.sch.gr</t>
  </si>
  <si>
    <t>ΠΑΣΙΟ</t>
  </si>
  <si>
    <t>ΝΗΠΙΑΓΩΓΕΙΟ ΔΕΡΒΕΝΙΟΥ</t>
  </si>
  <si>
    <t>mail@nip-derven.kor.sch.gr</t>
  </si>
  <si>
    <t>Π.Ε.Ο ΑΘΗΝΩΝ-ΠΑΤΡΩΝ</t>
  </si>
  <si>
    <t>ΠΟΥΛΛΙΤΣΗΣ</t>
  </si>
  <si>
    <t>ΝΗΠΙΑΓΩΓΕΙΟ ΠΟΥΛΙΤΣΑΣ</t>
  </si>
  <si>
    <t>mail@nip-poulits.kor.sch.gr</t>
  </si>
  <si>
    <t>ΠΟΥΛΙΤΣΑΣ</t>
  </si>
  <si>
    <t>ΔΑΦΝΩΝΟΣ 60</t>
  </si>
  <si>
    <t>ΣΤΙΜΑΓΚΑΣ</t>
  </si>
  <si>
    <t>ΝΗΠΙΑΓΩΓΕΙΟ ΣΤΙΜΑΓΚΑΣ</t>
  </si>
  <si>
    <t>mail@nip-stimag.kor.sch.gr</t>
  </si>
  <si>
    <t>ΣΤΙΜΑΓΚΑ</t>
  </si>
  <si>
    <t>ΝΗΠΙΑΓΩΓΕΙΟ ΑΡΧΑΙΩΝ ΚΛΕΩΝΩΝ</t>
  </si>
  <si>
    <t>mail@nip-kleon.kor.sch.gr</t>
  </si>
  <si>
    <t>ΝΗΠΙΑΓΩΓΕΙΟ ΙΣΘΜΙΑΣ</t>
  </si>
  <si>
    <t>mail@nip-isthm.kor.sch.gr</t>
  </si>
  <si>
    <t>ΙΣΘΜΙΑ-ΚΟΡΙΝΘΙΑΣ</t>
  </si>
  <si>
    <t>ΝΗΠΙΑΓΩΓΕΙΟ ΚΑΡΥΩΤΙΚΑ</t>
  </si>
  <si>
    <t>mail@nip-karyot.kor.sch.gr</t>
  </si>
  <si>
    <t>ΚΑΡΥΩΤΙΚΑ</t>
  </si>
  <si>
    <t>ΜΑΝΝΑΣ</t>
  </si>
  <si>
    <t>ΟΛΟΗΜΕΡΟ ΝΗΠΙΑΓΩΓΕΙΟ ΜΑΝΝΑΣ</t>
  </si>
  <si>
    <t>mail@nip-mannas.kor.sch.gr</t>
  </si>
  <si>
    <t>1ο ΝΗΠΙΑΓΩΓΕΙΟ ΞΥΛΟΚΑΣΤΡΟΥ - ΒΟΥΔΟΥΡΕΙΟ</t>
  </si>
  <si>
    <t>mail@1nip-xylok.kor.sch.gr</t>
  </si>
  <si>
    <t>Π. ΤΣΑΛΔΑΡΗ 2</t>
  </si>
  <si>
    <t>ΝΗΠΙΑΓΩΓΕΙΟ ΧΙΛΙΟΜΟΔΙΟΥ</t>
  </si>
  <si>
    <t>mail@nip-chiliom.kor.sch.gr</t>
  </si>
  <si>
    <t>ΔΗΜΟΤΙΚΟ ΣΧΟΛΕΙΟ ΣΤΙΜΑΓΚΑΣ</t>
  </si>
  <si>
    <t>mail@dim-stimag.kor.sch.gr</t>
  </si>
  <si>
    <t>ΟΛΟΗΜΕΡΟ ΔΗΜΟΤΙΚΟ ΣΧΟΛΕΙΟ ΜΕΓΑΛΟΥ ΒΑΛΤΟΥ</t>
  </si>
  <si>
    <t>mail@dim-meg-valtou.kor.sch.gr</t>
  </si>
  <si>
    <t>ΣΙΚΥΩΝΙΩΝ ΚΟΡΙΝΘΙΑΣ</t>
  </si>
  <si>
    <t>ΔΗΜΟΤΙΚΟ ΣΧΟΛΕΙΟ ΛΥΚΟΠΟΡΙΑΣ</t>
  </si>
  <si>
    <t>mail@dim-lykop.kor.sch.gr</t>
  </si>
  <si>
    <t>ΛΥΚΟΠΟΡΙΑ (ΠΕΟ ΚΟΡΙΝΘΟΥ-ΠΑΤΡΩΝ)</t>
  </si>
  <si>
    <t>6ο ΔΗΜΟΤΙΚΟ ΣΧΟΛΕΙΟ ΚΙΑΤΟΥ</t>
  </si>
  <si>
    <t>mail@6dim-kiatou.kor.sch.gr</t>
  </si>
  <si>
    <t>ΠΑΡΟΔΟΣ ΣΟΦΟΚΛΕΟΥΣ</t>
  </si>
  <si>
    <t>ΕΙΔΙΚΟ ΔΗΜΟΤΙΚΟ ΣΧΟΛΕΙΟ ΚΟΡΙΝΘΟΥ</t>
  </si>
  <si>
    <t>mail@dim-eid-korinth.kor.sch.gr</t>
  </si>
  <si>
    <t>Γ. ΠΑΠΑΝΔΡΕΟΥ - ΚΟΛΟΚΟΤΡΩΝΗ</t>
  </si>
  <si>
    <t>ΔΗΜΟΤΙΚΟ ΣΧΟΛΕΙΟ ΡΙΖΑΣ</t>
  </si>
  <si>
    <t>mail@dim-rizis.kor.sch.gr</t>
  </si>
  <si>
    <t>MAIL@DIM-VELOU.KOR.SCH.GR</t>
  </si>
  <si>
    <t>ΒΕΛΟ</t>
  </si>
  <si>
    <t>ΕΙΚΟΣΤΗΣ ΟΓΔΟΗΣ ΟΚΤΩΒΡΙΟΥ 10</t>
  </si>
  <si>
    <t>ΚΑΜΑΡΙΟΥ</t>
  </si>
  <si>
    <t>ΔΗΜΟΤΙΚΟ ΣΧΟΛΕΙΟ ΚΑΜΑΡΙΟΥ</t>
  </si>
  <si>
    <t>mail@dim-kamar.kor.sch.gr</t>
  </si>
  <si>
    <t>ΚΑΜΑΡΙ ΚΟΡΙΝΘΙΑΣ</t>
  </si>
  <si>
    <t>7ο ΔΗΜΟΤΙΚΟ ΣΧΟΛΕΙΟ ΚΙΑΤΟΥ</t>
  </si>
  <si>
    <t>mail@7dim-kiatou.kor.sch.gr</t>
  </si>
  <si>
    <t>ΟΠΙΣΘΕΝ ΓΗΠΕΔΟΥ</t>
  </si>
  <si>
    <t>mail@2dim-kiatou.kor.sch.gr</t>
  </si>
  <si>
    <t>mail@3dim-kiatou.kor.sch.gr</t>
  </si>
  <si>
    <t>Κιάτο</t>
  </si>
  <si>
    <t>ΠΑΠΑΝΙΚΟΛΗ 27</t>
  </si>
  <si>
    <t>mail@3dim-xylok.kor.sch.gr</t>
  </si>
  <si>
    <t>Ξυλόκαστρο</t>
  </si>
  <si>
    <t>ΝΟΤΑΡΑ 95</t>
  </si>
  <si>
    <t>ΔΗΜΟΤΙΚΟ ΣΧΟΛΕΙΟ ΠΑΣΙΟΥ</t>
  </si>
  <si>
    <t>mail@dim-pasiou.kor.sch.gr</t>
  </si>
  <si>
    <t>ΜΟΥΛΚΙΟΥ</t>
  </si>
  <si>
    <t>ΔΗΜΟΤΙΚΟ ΣΧΟΛΕΙΟ ΜΟΥΛΚΙΟΥ</t>
  </si>
  <si>
    <t>mail@dim-moulk.kor.sch.gr</t>
  </si>
  <si>
    <t>ΜΟΥΛΚΙ</t>
  </si>
  <si>
    <t>mail@dim-mannas.kor.sch.gr</t>
  </si>
  <si>
    <t>ΜΑΝΝΑ ΚΟΡΙΝΘΙΑΣ</t>
  </si>
  <si>
    <t>ΔΗΜΟΤΙΚΟ ΣΧΟΛΕΙΟ ΚΟΚΚΩΝΙΟΥ-ΠΟΥΛΙΤΣΑΣ</t>
  </si>
  <si>
    <t>mail@dim-kokkon.kor.sch.gr</t>
  </si>
  <si>
    <t>ΚΟΚΚΩΝΙΟΥ-ΠΟΥΛΙΤΣΑΣ</t>
  </si>
  <si>
    <t>ΠΟΥΛΙΤΣΑ</t>
  </si>
  <si>
    <t>1ο ΔΗΜΟΤΙΚΟ ΣΧΟΛΕΙΟ ΚΙΑΤΟΥ</t>
  </si>
  <si>
    <t>mail@1dim-kiatou.kor.sch.gr</t>
  </si>
  <si>
    <t>ΕΘΝΙΚΗΣ ΑΝΤΙΣΤΑΣΗΣ 19</t>
  </si>
  <si>
    <t>mail@dim-xylok.kor.sch.gr</t>
  </si>
  <si>
    <t>ΡΩΜΕΣΗ 2</t>
  </si>
  <si>
    <t>mail@2dim-xylok.kor.sch.gr</t>
  </si>
  <si>
    <t>mail@4dim-kiatou.kor.sch.gr</t>
  </si>
  <si>
    <t>ΠΕΡΙΑΝΔΡΟΥ 71</t>
  </si>
  <si>
    <t>mail@11dim-korinth.kor.sch.gr</t>
  </si>
  <si>
    <t xml:space="preserve"> (ΚΑΛΛΙΘΕΑ) ΚΟΡΙΝΘΟΣ</t>
  </si>
  <si>
    <t>ΧΡ. ΤΣΑΜΑΝΤΑ 19</t>
  </si>
  <si>
    <t>ΜΕΣΙΝΟΥ</t>
  </si>
  <si>
    <t>ΝΗΠΙΑΓΩΓΕΙΟ ΜΕΣΙΝΟΥ</t>
  </si>
  <si>
    <t>mail@nip-messin.kor.sch.gr</t>
  </si>
  <si>
    <t>ΜΕΣΣΙΝΟΥ</t>
  </si>
  <si>
    <t>ΜΕΣΣΙΝΟ</t>
  </si>
  <si>
    <t>ΣΙΚΥΩΝΟΣ (Τοπ.Κοιν.)</t>
  </si>
  <si>
    <t>ΝΗΠΙΑΓΩΓΕΙΟ ΑΡΧΑΙΑΣ ΣΙΚΥΩΝΑΣ</t>
  </si>
  <si>
    <t>mail@nip-sikyon.kor.sch.gr</t>
  </si>
  <si>
    <t>ΣΙΚΥΩΝΑΣ</t>
  </si>
  <si>
    <t>ΣΙΚΥΩΝΑ</t>
  </si>
  <si>
    <t>ΕΙΔΙΚΟ ΝΗΠΙΑΓΩΓΕΙΟ ΚΟΡΙΝΘΟΣ</t>
  </si>
  <si>
    <t>mail@nip-eid-korinth.kor.sch.gr</t>
  </si>
  <si>
    <t>Γ.ΠΑΠΑΝΔΡΕΟΥ Κ ΚΟΛΟΚΟΤΡΩΝΗ</t>
  </si>
  <si>
    <t>ΕΙΔΙΚΟ ΔΗΜΟΤΙΚΟ ΣΧΟΛΕΙΟ ΞΥΛΟΚΑΣΤΡΟΥ</t>
  </si>
  <si>
    <t>mail@dim-eid-xylok.kor.sch.gr</t>
  </si>
  <si>
    <t>ΣΥΚΙΑ ΞΥΛΟΚΑΣΤΡΟΥ</t>
  </si>
  <si>
    <t>mail@dim-kryon.kor.sch.gr</t>
  </si>
  <si>
    <t>ΚΡΥΟΝΕΡΙ, ΚΟΡΙΝΘΙΑΣ</t>
  </si>
  <si>
    <t>ΔΗΜΟΤΙΚΟ ΣΧΟΛΕΙΟ ΠΥΡΓΟΥ ΚΟΡΙΝΘΙΑΣ</t>
  </si>
  <si>
    <t>mail@dim-pyrgou.kor.sch.gr</t>
  </si>
  <si>
    <t>3ο ΔΗΜΟΤΙΚΟ ΣΧΟΛΕΙΟ ΛΟΥΤΡΑΚΙΟΥ</t>
  </si>
  <si>
    <t>mail@3dim-loutr.kor.sch.gr</t>
  </si>
  <si>
    <t>ΛΕΙΒΑΔΑΚΙ</t>
  </si>
  <si>
    <t>mail@2dim-ag-theod.kor.sch.gr</t>
  </si>
  <si>
    <t>3ο ΝΗΠΙΑΓΩΓΕΙΟ ΑΓΙΩΝ ΘΕΟΔΩΡΩΝ</t>
  </si>
  <si>
    <t>mail@3nip-ag-theod.kor.sch.gr</t>
  </si>
  <si>
    <t>3ο ΝΗΠΙΑΓΩΓΕΙΟ ΖΕΥΓΟΛΑΤΙΟΥ</t>
  </si>
  <si>
    <t>mail@3nip-zevgol.kor.sch.gr</t>
  </si>
  <si>
    <t>5ο ΝΗΠΙΑΓΩΓΕΙΟ ΛΟΥΤΡΑΚΙΟΥ</t>
  </si>
  <si>
    <t>mail@5nip-loutr.kor.sch.gr</t>
  </si>
  <si>
    <t>ΛΙΒΑΔΑΚΙ</t>
  </si>
  <si>
    <t>ΚΑΤΩ ΔΙΜΗΝΙΟΥ</t>
  </si>
  <si>
    <t>ΝΗΠΙΑΓΩΓΕΙΟ ΚΑΤΩ ΔΙΜΗΝΙΟΥ</t>
  </si>
  <si>
    <t>mail@nip-kat-dimin.kor.sch.gr</t>
  </si>
  <si>
    <t>ΚΑΤΩ ΔΙΜΗΝΙΟ</t>
  </si>
  <si>
    <t>ΝΗΠΙΑΓΩΓΕΙΟ ΚΡΥΟΝΕΡΙΟΥ ΚΟΡΙΝΘΙΑΣ</t>
  </si>
  <si>
    <t>mail@nip-kryon.kor.sch.gr</t>
  </si>
  <si>
    <t>ΟΛΟΗΜΕΡΟ ΝΗΠΙΑΓΩΓΕΙΟ ΜΕΛΙΣΣΙΟΥ</t>
  </si>
  <si>
    <t>MAIL@NIP-MELISS.KOR.SCH.GR</t>
  </si>
  <si>
    <t>7ο ΝΗΠΙΑΓΩΓΕΙΟ ΚΙΑΤΟΥ</t>
  </si>
  <si>
    <t>mail@7nip-kiatou.kor.sch.gr</t>
  </si>
  <si>
    <t>ΠΕΡΙΑΝΔΡΟΥ&amp;ΙΠΠΟΚΡΑΤΟΥΣ</t>
  </si>
  <si>
    <t>14ο ΔΗΜΟΤΙΚΟ ΣΧΟΛΕΙΟ ΚΟΡΙΝΘΟΥ</t>
  </si>
  <si>
    <t>mail@14dim-korinth.kor.sch.gr</t>
  </si>
  <si>
    <t xml:space="preserve">ΚΟΡΙΝΘΟΣ </t>
  </si>
  <si>
    <t>ΙΠΠΟΚΡΑΤΟΥΣ ΚΑΙ ΡΕΑΣ</t>
  </si>
  <si>
    <t>ΝΗΠΙΑΓΩΓΕΙΟ ΣΤΥΜΦΑΛΙΑΣ</t>
  </si>
  <si>
    <t>mail@nip-stymf.kor.sch.gr</t>
  </si>
  <si>
    <t>ΣΤΥΜΦΑΛΙΑ</t>
  </si>
  <si>
    <t>4ο ΔΗΜΟΤΙΚΟ ΣΧΟΛΕΙΟ ΞΥΛΟΚΑΣΤΡΟΥ</t>
  </si>
  <si>
    <t>mail@dim-kalian.kor.sch.gr</t>
  </si>
  <si>
    <t>mail@dim-feneou.kor.sch.gr</t>
  </si>
  <si>
    <t>Μεσινό</t>
  </si>
  <si>
    <t>ΜΕΣΙΝΟ ΦΕΝΕΟΥ ΚΟΡΙΝΘΙΑΣ</t>
  </si>
  <si>
    <t>3ο ΝΗΠΙΑΓΩΓΕΙΟ ΝΕΜΕΑΣ</t>
  </si>
  <si>
    <t>ΔΙΕΥΘΥΝΣΗ Π.Ε. ΛΑΚΩΝΙΑΣ</t>
  </si>
  <si>
    <t>ΜΥΣΤΡΑ</t>
  </si>
  <si>
    <t>ΔΗΜΟΤΙΚΟ ΣΧΟΛΕΙΟ ΜΑΓΟΥΛΑΣ ΣΠΑΡΤΗΣ</t>
  </si>
  <si>
    <t>dimagou@sch.gr</t>
  </si>
  <si>
    <t>ΠΛΑΤΕΙΑ ΜΑΓΟΥΛΑΣ</t>
  </si>
  <si>
    <t>ΒΕΛΙΩΝ</t>
  </si>
  <si>
    <t>ΝΗΠΙΑΓΩΓΕΙΟ ΒΕΛΙΩΝ</t>
  </si>
  <si>
    <t>mail@nip-velion.lak.sch.gr</t>
  </si>
  <si>
    <t>ΒΕΛΙΕΣ</t>
  </si>
  <si>
    <t>ΝΗΠΙΑΓΩΓΕΙΟ ΠΑΠΑΔΙΑΝΙΚΩΝ</t>
  </si>
  <si>
    <t>mail@nip-papad.lak.sch.gr</t>
  </si>
  <si>
    <t>ΔΑΦΝΙΟΥ</t>
  </si>
  <si>
    <t>ΝΗΠΙΑΓΩΓΕΙΟ ΔΑΦΝΙΟΥ</t>
  </si>
  <si>
    <t>mail@nip-dafniou.lak.sch.gr</t>
  </si>
  <si>
    <t>ΔΑΦΝΙ ΛΑΚΩΝΙΑΣ</t>
  </si>
  <si>
    <t>5ο 2/ΘΕΣΙΟ ΝΗΠΙΑΓΩΓΕΙΟ ΣΠΑΡΤΗΣ</t>
  </si>
  <si>
    <t>mail@5nip-spart.lak.sch.gr</t>
  </si>
  <si>
    <t>ΠΑΝ. ΧΡΥΣΙΚΟΥ  ΣΠΑΡΤΗ 32</t>
  </si>
  <si>
    <t>6ο ΝΗΠΙΑΓΩΓΕΙΟ ΣΠΑΡΤΗΣ</t>
  </si>
  <si>
    <t>mail@6nip-spart.lak.sch.gr</t>
  </si>
  <si>
    <t>ΛΕΩΝΙΔΟΥ ΣΠΑΡΤΗ 111</t>
  </si>
  <si>
    <t>10ο ΝΗΠΙΑΓΩΓΕΙΟ ΣΠΑΡΤΗΣ</t>
  </si>
  <si>
    <t>mail@10nip-spart.lak.sch.gr</t>
  </si>
  <si>
    <t>ΔΙΟΣΚΟΥΡΩΝ 53</t>
  </si>
  <si>
    <t>ΝΙΑΤΩΝ</t>
  </si>
  <si>
    <t>ΔΗΜΟΤΙΚΟ ΣΧΟΛΕΙΟ ΝΙΑΤΩΝ-ΑΓΙΟΥ ΔΗΜΗΤΡΙΟΥ</t>
  </si>
  <si>
    <t>mail@dim-niaton.lak.sch.gr</t>
  </si>
  <si>
    <t>ΝΙΑΤΑ- ΑΓΙΟΣ  ΔΗΜΗΤΡΙΟΣ</t>
  </si>
  <si>
    <t>ΝΙΑΤΑ ΛΑΚΩΝΙΑΣ</t>
  </si>
  <si>
    <t>ΖΑΡΑΚΑ</t>
  </si>
  <si>
    <t>ΚΥΠΑΡΙΣΣΙΟΥ</t>
  </si>
  <si>
    <t>ΔΗΜΟΤΙΚΟ ΣΧΟΛΕΙΟ ΚΥΠΑΡΙΣΣΙΟΥ</t>
  </si>
  <si>
    <t>mail@dim-kypar.lak.sch.gr</t>
  </si>
  <si>
    <t>ΚΥΠΑΡΙΣΣΙ ΛΑΚΩΝΙΑΣ</t>
  </si>
  <si>
    <t>8ο ΝΗΠΙΑΓΩΓΕΙΟ ΣΠΑΡΤΗΣ</t>
  </si>
  <si>
    <t>mail@8nip-spart.lak.sch.gr</t>
  </si>
  <si>
    <t>ΤΡΙΑΚΟΣΙΩΝ  ΚΑΙ ΘΙΒΡΩΝΟΣ  ΣΠΑΡΤΗ 105</t>
  </si>
  <si>
    <t>ΝΗΠΙΑΓΩΓΕΙΟ ΚΑΜΠΟΥ ΒΟΙΩΝ</t>
  </si>
  <si>
    <t>mail@nip-kampou.lak.sch.gr</t>
  </si>
  <si>
    <t>ΚΑΜΠΟΥ ΒΟΙΩΝ</t>
  </si>
  <si>
    <t>ΚΑΜΠΟΣ ΒΟΙΩΝ ΝΕΑΠΟΛΗ ΛΑΚΩΝΙΑΣ</t>
  </si>
  <si>
    <t>ΝΗΠΙΑΓΩΓΕΙΟ ΚΑΣΤΟΡΕΙΟΥ</t>
  </si>
  <si>
    <t>mail@nip-kastor.lak.sch.gr</t>
  </si>
  <si>
    <t>ΚΑΣΤΟΡΕΙΟ ΛΑΚΩΝΙΑΣ</t>
  </si>
  <si>
    <t>ΝΗΠΙΑΓΩΓΕΙΟ ΑΝΩΓΕΙΩΝ - ΠΑΛΑΙΟΠΑΝΑΓΙΑΣ</t>
  </si>
  <si>
    <t>mail@nip-anogeion.lak.sch.gr</t>
  </si>
  <si>
    <t>ΑΝΩΓΕΙΩΝ - ΠΑΛΑΙΟΠΑΝΑΓΙΑΣ</t>
  </si>
  <si>
    <t>ΑΝΩΓΕΙΑ  ΛΑΚΩΝΙΑΣ</t>
  </si>
  <si>
    <t>3ο ΔΗΜΟΤΙΚΟ ΣΧΟΛΕΙΟ ΓΥΘΕΙΟΥ</t>
  </si>
  <si>
    <t>mail@dim-mavrov.lak.sch.gr</t>
  </si>
  <si>
    <t>ΑΛΙΚΩΝ</t>
  </si>
  <si>
    <t>ΔΗΜΟΤΙΚΟ ΣΧΟΛΕΙΟ ΑΛΙΚΩΝ</t>
  </si>
  <si>
    <t>mail@dim-alikon.lak.sch.gr</t>
  </si>
  <si>
    <t>ΑΛΙΚΑ</t>
  </si>
  <si>
    <t>ΒΡΟΝΤΑΜΑ</t>
  </si>
  <si>
    <t>ΝΗΠΙΑΓΩΓΕΙΟ ΒΡΟΝΤΑΜΑ</t>
  </si>
  <si>
    <t>mail@nip-vront.lak.sch.gr</t>
  </si>
  <si>
    <t>ΒΡΟΝΤΑΜΑΣ ΛΑΚΩΝΙΑΣ</t>
  </si>
  <si>
    <t>ΝΗΠΙΑΓΩΓΕΙΟ ΜΑΥΡΟΒΟΥΝΙΟΥ</t>
  </si>
  <si>
    <t>mail@nip-mavrov.lak.sch.gr</t>
  </si>
  <si>
    <t>ΜΑΥΡΟΒΟΥΝΙ  ΓΥΘΕΙΟΥ</t>
  </si>
  <si>
    <t>2ο ΝΗΠΙΑΓΩΓΕΙΟ ΣΚΑΛΑΣ</t>
  </si>
  <si>
    <t>mail@2nip-skalas.lak.sch.gr</t>
  </si>
  <si>
    <t>ΝΗΠΙΑΓΩΓΕΙΟ  ΕΛΟΥΣ</t>
  </si>
  <si>
    <t>mail@nip-elous.lak.sch.gr</t>
  </si>
  <si>
    <t>ΕΛΟΣ ΛΑΚΩΝΙΑΣ</t>
  </si>
  <si>
    <t>ΚΟΤΡΩΝΑ</t>
  </si>
  <si>
    <t>ΔΗΜΟΤΙΚΟ ΣΧΟΛΕΙΟ ΦΛΟΜΟΧΩΡΙΟΥ-ΚΟΤΡΩΝΑ</t>
  </si>
  <si>
    <t>mail@dim-flom.lak.sch.gr</t>
  </si>
  <si>
    <t>Φλομοχώρι</t>
  </si>
  <si>
    <t>ΦΛΟΜΟΧΩΡΙ ΛΑΚΩΝΙΑΣ</t>
  </si>
  <si>
    <t>mail@dim-skalas.lak.sch.gr</t>
  </si>
  <si>
    <t>3ο ΝΗΠΙΑΓΩΓΕΙΟ ΣΚΑΛΑΣ</t>
  </si>
  <si>
    <t>mail@3nip-skalas.lak.sch.gr</t>
  </si>
  <si>
    <t>ΝΗΠΙΑΓΩΓΕΙΟ ΚΡΟΚΕΩΝ</t>
  </si>
  <si>
    <t>mail@nip-krokeon.lak.sch.gr</t>
  </si>
  <si>
    <t>ΑΜΥΚΛΩΝ</t>
  </si>
  <si>
    <t>ΝΗΠΙΑΓΩΓΕΙΟ ΑΜΥΚΛΩΝ</t>
  </si>
  <si>
    <t>mail@nip-amykl.lak.sch.gr</t>
  </si>
  <si>
    <t>ΑΜΥΚΛΕΣ  ΣΠΑΡΤΗΣ</t>
  </si>
  <si>
    <t>ΣΜΥΝΟΥΣ</t>
  </si>
  <si>
    <t>ΠΕΤΡΙΝΑΣ</t>
  </si>
  <si>
    <t>1/Θ ΝΗΠΙΑΓΩΓΕΙΟ ΠΕΤΡΙΝΑΣ</t>
  </si>
  <si>
    <t>mail@nip-petrin.lak.sch.gr</t>
  </si>
  <si>
    <t>ΠΕΤΡΙΝΑ ΛΑΚΩΝΙΑΣ</t>
  </si>
  <si>
    <t>3ο  ΝΗΠΙΑΓΩΓΕΙΟ ΓΥΘΕΙΟΥ</t>
  </si>
  <si>
    <t>mail@3nip-gytheiou.lak.sch.gr</t>
  </si>
  <si>
    <t>Π. ΕΡΓΑΤΙΚΕΣ ΚΑΤΟΙΚΙΕΣ ΓΥΘΕΙΟΥ</t>
  </si>
  <si>
    <t>1ο ΝΗΠΙΑΓΩΓΕΙΟ ΓΥΘΕΙΟΥ</t>
  </si>
  <si>
    <t>mail@1nip-gytheiou.lak.sch.gr</t>
  </si>
  <si>
    <t>ΜΩΡΕΤΤΙ</t>
  </si>
  <si>
    <t>ΠΥΡΓΟΥ ΔΙΡΟΥ</t>
  </si>
  <si>
    <t>ΝΗΠΙΑΓΩΓΕΙΟ ΠΥΡΓΟΥ ΔΙΡΟΥ</t>
  </si>
  <si>
    <t>mail@nip-pyrgou.lak.sch.gr</t>
  </si>
  <si>
    <t>ΠΥΡΓΟΣ ΔΙΡΟΥ ΛΑΚΩΝΙΑΣ</t>
  </si>
  <si>
    <t>mail@1dim-spart.lak.sch.gr</t>
  </si>
  <si>
    <t>ΠΛΑΤΑΝΙΣΤΑ 21</t>
  </si>
  <si>
    <t>ΝΗΠΙΑΓΩΓΕΙΟ ΜΑΓΟΥΛΑΣ</t>
  </si>
  <si>
    <t>mail@nip-magoul.lak.sch.gr</t>
  </si>
  <si>
    <t>ΜΑΓΟΥΛΑ   ΛΑΚΩΝΙΑΣ</t>
  </si>
  <si>
    <t>ΟΙΝΟΥΝΤΟΣ</t>
  </si>
  <si>
    <t>ΣΕΛΛΑΣΙΑΣ</t>
  </si>
  <si>
    <t>ΔΗΜΟΤΙΚΟ ΣΧΟΛΕΙΟ ΣΕΛΛΑΣΙΑΣ-ΘΕΟΛΟΓΟΥ-ΒΟΥΤΙΑΝΩΝ</t>
  </si>
  <si>
    <t>mail@dim-sellas.lak.sch.gr</t>
  </si>
  <si>
    <t>ΣΕΛΛΑΣΙΑ</t>
  </si>
  <si>
    <t>ΣΕΛΛΑΣΙΑ ΛΑΚΩΝΙΑΣ</t>
  </si>
  <si>
    <t>ΟΛΟΗΜΕΡΟ ΔΗΜΟΤΙΚΟ ΣΧΟΛΕΙΟ ΚΑΛΛΙΘΕΑΣ ΛΑΚΩΝΙΑΣ</t>
  </si>
  <si>
    <t>mail@dim-kallith.lak.sch.gr</t>
  </si>
  <si>
    <t>1ο ΝΗΠΙΑΓΩΓΕΙΟ ΣΚΑΛΑΣ</t>
  </si>
  <si>
    <t>mail@1nip-skalas.lak.sch.gr</t>
  </si>
  <si>
    <t>ΣΚΑΛΑ  ΛΑΚΩΝΙΑΣ</t>
  </si>
  <si>
    <t>ΝΗΠΙΑΓΩΓΕΙΟ  ΜΕΤΑΜΟΡΦΩΣΗΣ</t>
  </si>
  <si>
    <t>mail@nip-metam.lak.sch.gr</t>
  </si>
  <si>
    <t>ΜΕΤΑΜΟΡΦΩΣΗ ΜΟΛΑΩΝ ΛΑΚΩΝΙΑΣ</t>
  </si>
  <si>
    <t>ΔΗΜΟΤΙΚΟ ΣΧΟΛΕΙΟ ΠΥΡΓΟΥ ΔΙΡΟΥ</t>
  </si>
  <si>
    <t>mail@dim-pyrgou.lak.sch.gr</t>
  </si>
  <si>
    <t>ΠΥΡΓΟΣ ΔΙΡΟΥ</t>
  </si>
  <si>
    <t>ΔΗΜΟΤΙΚΟ ΣΧΟΛΕΙΟ ΑΜΥΚΛΩΝ</t>
  </si>
  <si>
    <t>mail@dim-amykl.lak.sch.gr</t>
  </si>
  <si>
    <t>ΑΜΥΚΛΕΣ</t>
  </si>
  <si>
    <t>ΑΜΥΚΛΕΣ ΛΑΚΩΝΙΑΣ</t>
  </si>
  <si>
    <t>1ο ΝΗΠΙΑΓΩΓΕΙΟ ΜΟΛΑΩΝ</t>
  </si>
  <si>
    <t>mail@1nip-molaon.lak.sch.gr</t>
  </si>
  <si>
    <t>ΔΗΜΟΤΙΚΟ ΣΧΟΛΕΙΟ ΠΕΤΡΙΝΑΣ</t>
  </si>
  <si>
    <t>mail@dim-petrin.lak.sch.gr</t>
  </si>
  <si>
    <t>ΠΕΤΡΙΝΑ</t>
  </si>
  <si>
    <t>ΔΗΜΟΤΙΚΟ ΣΧΟΛΕΙΟ ΔΑΦΝΙΟΥ</t>
  </si>
  <si>
    <t>mail@dim-dafniou.lak.sch.gr</t>
  </si>
  <si>
    <t>ΔΑΦΝΙ</t>
  </si>
  <si>
    <t>ΔΑΦΝΙ  ΛΑΚΩΝΙΑΣ</t>
  </si>
  <si>
    <t>2ο ΔΗΜΟΤΙΚΟ ΣΧΟΛΕΙΟ ΣΚΑΛΑΣ</t>
  </si>
  <si>
    <t>mail@2dim-skalas.lak.sch.gr</t>
  </si>
  <si>
    <t>ΔΗΜΟΤΙΚΟ ΣΧΟΛΕΙΟ  ΜΥΣΤΡΑ - ΑΓ. ΙΩΑΝΝΗ</t>
  </si>
  <si>
    <t>mail@dim-mystra.lak.sch.gr</t>
  </si>
  <si>
    <t>ΑΓ. ΙΩΑΝΝΗΣ</t>
  </si>
  <si>
    <t>ΑΓΙΟΣ  ΙΩΑΝΝΗΣ / ΣΠΑΡΤΗΣ ΛΑΚΩΝΙΑΣ</t>
  </si>
  <si>
    <t>9dimspar@sch.gr</t>
  </si>
  <si>
    <t>ΚΟΚΚΙΝΟΡΑΧΗ</t>
  </si>
  <si>
    <t>ΣΠΑΡΤΗ-ΛΑΚΩΝΙΑ</t>
  </si>
  <si>
    <t>ΔΗΜΟΤΙΚΟ ΣΧΟΛΕΙΟ ΚΑΡΥΩΝ</t>
  </si>
  <si>
    <t>mail@dim-karyon.lak.sch.gr</t>
  </si>
  <si>
    <t>ΚΑΡΥΕΣ ΛΑΚΩΝΙΑΣ</t>
  </si>
  <si>
    <t>ΝΗΠΙΑΓΩΓΕΙΟ ΦΛΟΜΟΧΩΡΙΟΥ</t>
  </si>
  <si>
    <t>mail@nip-flom.lak.sch.gr</t>
  </si>
  <si>
    <t>ΦΛΟΜΟΧΩΡΙΟΥ</t>
  </si>
  <si>
    <t>ΚΟΤΡΩΝΑΣ ΛΑΚΩΝΙΑΣ</t>
  </si>
  <si>
    <t>ΝΗΠΙΑΓΩΓΕΙΟ ΒΛΑΧΙΩΤΗ</t>
  </si>
  <si>
    <t>mail@nip-vlach.lak.sch.gr</t>
  </si>
  <si>
    <t>ΒΛΑΧΙΩΤΗΣ ΛΑΚΩΝΙΑΣ</t>
  </si>
  <si>
    <t>ΣΠΑΡΤΙΑΣ</t>
  </si>
  <si>
    <t>6ο ΔΗΜΟΤΙΚΟ ΣΧΟΛΕΙΟ ΣΠΑΡΤΗΣ</t>
  </si>
  <si>
    <t>ΝΗΠΙΑΓΩΓΕΙΟ ΑΡΕΟΠΟΛΗΣ</t>
  </si>
  <si>
    <t>mail@1nip-areop.lak.sch.gr</t>
  </si>
  <si>
    <t>5ο ΔΗΜΟΤΙΚΟ ΣΧΟΛΕΙΟ ΣΠΑΡΤΗΣ</t>
  </si>
  <si>
    <t>mail@5dim-spart.lak.sch.gr</t>
  </si>
  <si>
    <t>ΤΡΙΑΚΟΣΙΩΝ  ΚΑΙ  ΘΙΒΡΩΝΟΣ 105</t>
  </si>
  <si>
    <t>mail@dim-kalog.lak.sch.gr</t>
  </si>
  <si>
    <t>ΚΑΛΟΓΩΝΙΑ-ΣΠΑΡΤΗΣ</t>
  </si>
  <si>
    <t>mail@dim-krokeon.lak.sch.gr</t>
  </si>
  <si>
    <t>1ο ΝΗΠΙΑΓΩΓΕΙΟ ΣΠΑΡΤΗΣ</t>
  </si>
  <si>
    <t>mail@1nip-spart.lak.sch.gr</t>
  </si>
  <si>
    <t>ΒΡΑΣΙΔΟΥ  151</t>
  </si>
  <si>
    <t>mail@2dim-gytheiou.lak.sch.gr</t>
  </si>
  <si>
    <t>ΕΡΜΟΥ ΚΑΙ ΗΡΑΚΛΕΟΥΣ  ΓΥΘΕΙΟ</t>
  </si>
  <si>
    <t>ΝΗΠΙΑΓΩΓΕΙΟ ΓΕΡΑΚΙΟΥ ΛΑΚΩΝΙΑΣ</t>
  </si>
  <si>
    <t>mail@nip-gerak.lak.sch.gr</t>
  </si>
  <si>
    <t>ΝΗΠΙΑΓΩΓΕΙΟ ΣΥΚΕΑΣ</t>
  </si>
  <si>
    <t>mail@nip-sykeas.lak.sch.gr</t>
  </si>
  <si>
    <t>ΣΥΚΕΑ ΛΑΚΩΝΙΑΣ</t>
  </si>
  <si>
    <t>ΔΗΜΟΤΙΚΟ ΣΧΟΛΕΙΟ ΒΡΟΝΤΑΜΑ</t>
  </si>
  <si>
    <t>mail@dim-vront.lak.sch.gr</t>
  </si>
  <si>
    <t>ΒΡΟΝΤΑΜΑΣ</t>
  </si>
  <si>
    <t>ΝΗΠΙΑΓΩΓΕΙΟ ΜΟΝΕΜΒΑΣΙΑΣ</t>
  </si>
  <si>
    <t>mail@nip-monemv.lak.sch.gr</t>
  </si>
  <si>
    <t>11ο ΝΗΠΙΑΓΩΓΕΙΟ ΣΠΑΡΤΗΣ</t>
  </si>
  <si>
    <t>mail@nip-kalog.lak.sch.gr</t>
  </si>
  <si>
    <t>ΚΑΛΟΓΩΝΙΑ</t>
  </si>
  <si>
    <t>ΝΗΠΙΑΓΩΓΕΙΟ ΝΙΑΤΩΝ</t>
  </si>
  <si>
    <t>mail@nip-niaton.lak.sch.gr</t>
  </si>
  <si>
    <t>ΝΙΑΤΑ</t>
  </si>
  <si>
    <t>mail@dim-areop.lak.sch.gr</t>
  </si>
  <si>
    <t>mail@dim-vlach.lak.sch.gr</t>
  </si>
  <si>
    <t>ΘΕΡΑΠΝΩΝ</t>
  </si>
  <si>
    <t>ΓΚΟΡΙΤΣΑΣ</t>
  </si>
  <si>
    <t>ΔΗΜΟΤΙΚΟ ΣΧΟΛΕΙΟ ΓΚΟΡΙΤΣΑΣ - ΣΚΟΥΡΑΣ</t>
  </si>
  <si>
    <t>mail@dim-gorits.lak.sch.gr</t>
  </si>
  <si>
    <t>Γκοριτσά Σπάρτης</t>
  </si>
  <si>
    <t>ΓΚΟΡΙΤΣΑ  ΛΑΚΩΝΙΑΣ</t>
  </si>
  <si>
    <t>ΓΚΟΡΙΤΣΑ ΛΑΚΩΝΙΑΣ</t>
  </si>
  <si>
    <t>ΑΓΓΕΛΩΝΑΣ</t>
  </si>
  <si>
    <t>ΝΗΠΙΑΓΩΓΕΙΟ ΑΓΓΕΛΩΝΑΣ</t>
  </si>
  <si>
    <t>mail@nip-angel.lak.sch.gr</t>
  </si>
  <si>
    <t>ΑΓΓΕΛΩΝΑ ΜΟΝΕΜΒΑΣΙΑΣ</t>
  </si>
  <si>
    <t>ΡΕΙΧΕΑΣ</t>
  </si>
  <si>
    <t>ΝΗΠΙΑΓΩΓΕΙΟ ΡΕΙΧΕΑΣ</t>
  </si>
  <si>
    <t>mail@nip-reich.lak.sch.gr</t>
  </si>
  <si>
    <t>ΡΕΙΧΕΑ  ΛΑΚΩΝΙΑΣ</t>
  </si>
  <si>
    <t>mail@dim-kastor.lak.sch.gr</t>
  </si>
  <si>
    <t>mail@dim-xirok.lak.sch.gr</t>
  </si>
  <si>
    <t>ΞΗΡΟΚΑΜΠΙ   ΛΑΚΩΝΙΑΣ</t>
  </si>
  <si>
    <t>2ο ΔΗΜΟΤΙΚΟ ΣΧΟΛΕΙΟ ΣΠΑΡΤΗΣ</t>
  </si>
  <si>
    <t>mail@2dim-spart.lak.sch.gr</t>
  </si>
  <si>
    <t>ΚΩΝΣΤΑΝΤΙΝΟΥ ΠΑΛΑΙΟΛΟΓΟΥ 136</t>
  </si>
  <si>
    <t>mail@3dim-spart.lak.sch.gr</t>
  </si>
  <si>
    <t>ΓΚΟΡΤΣΟΛΟΓΟΥ 4</t>
  </si>
  <si>
    <t>4ο ΔΗΜΟΤΙΚΟ ΣΧΟΛΕΙΟ ΣΠΑΡΤΗΣ</t>
  </si>
  <si>
    <t>mail@4dim-spart.lak.sch.gr</t>
  </si>
  <si>
    <t>ΕΥΡΥΒΙΑΔΟΥ 25</t>
  </si>
  <si>
    <t>ΝΗΠΙΑΓΩΓΕΙΟ ΑΓΙΩΝ ΑΠΟΣΤΟΛΩΝ ΜΟΝΕΜΒΑΣΙΑΣ</t>
  </si>
  <si>
    <t>mail@nip-ag-apost.lak.sch.gr</t>
  </si>
  <si>
    <t>ΑΓΙΩΝ ΑΠΟΣΤΟΛΩΝ ΔΗΜΟΥ ΜΟΝΕΜΒΑΣΙΑΣ</t>
  </si>
  <si>
    <t>ΑΓΙΟΙ ΑΠΟΣΤΟΛΟΙ ΔΗΜΟΥ ΜΟΝΕΜΒΑΣΙΑΣ</t>
  </si>
  <si>
    <t>ΝΗΠΙΑΓΩΓΕΙΟ ΕΛΑΦΟΝΗΣΟΥ</t>
  </si>
  <si>
    <t>mail@nip-elafon.lak.sch.gr</t>
  </si>
  <si>
    <t>ΝΗΠΙΑΓΩΓΕΙΟ ΑΣΩΠΟΥ</t>
  </si>
  <si>
    <t>mail@nip-asopou.lak.sch.gr</t>
  </si>
  <si>
    <t>ΑΣΩΠΟΣ ΛΑΚΩΝΙΑΣ</t>
  </si>
  <si>
    <t>ΓΛΥΚΟΒΡΥΣΗΣ</t>
  </si>
  <si>
    <t>ΝΗΠΙΑΓΩΓΕΙΟ ΓΛΥΚΟΒΡΥΣΗΣ</t>
  </si>
  <si>
    <t>mail@nip-glykovr.lak.sch.gr</t>
  </si>
  <si>
    <t>ΓΛΥΚΟΒΡΥΣΗ ΛΑΚΩΝΙΑΣ</t>
  </si>
  <si>
    <t>ΝΗΠΙΑΓΩΓΕΙΟ ΑΦΥΣΣΟΥ- ΚΟΚΚΙΝΟΡΡΑΧΗΣ</t>
  </si>
  <si>
    <t>mail@nip-kokkin.lak.sch.gr</t>
  </si>
  <si>
    <t>ΚΟΚΚΙΝΟΡΡΑΧΗ</t>
  </si>
  <si>
    <t>ΚΟΚΚΙΝΟΡΡΑΧΗ ΣΠΑΡΤΗΣ</t>
  </si>
  <si>
    <t>ΝΗΠΙΑΓΩΓΕΙΟ ΓΚΟΡΙΤΣΑΣ</t>
  </si>
  <si>
    <t>mail@nip-gorits.lak.sch.gr</t>
  </si>
  <si>
    <t>ΝΗΠΙΑΓΩΓΕΙΟ ΞΗΡΟΚΑΜΠΙΟΥ</t>
  </si>
  <si>
    <t>mail@nip-xirok.lak.sch.gr</t>
  </si>
  <si>
    <t>ΞΗΡΟΚΑΜΠΙ</t>
  </si>
  <si>
    <t>ΣΚΟΥΡΑΣ</t>
  </si>
  <si>
    <t>ΝΗΠΙΑΓΩΓΕΙΟ ΣΚΟΥΡΑΣ</t>
  </si>
  <si>
    <t>mail@nip-skour.lak.sch.gr</t>
  </si>
  <si>
    <t>ΣΚΟΥΡΑ ΛΑΚΩΝΙΑΣ</t>
  </si>
  <si>
    <t>mail@dim-elafon.lak.sch.gr</t>
  </si>
  <si>
    <t>ΔΗΜΟΤΙΚΟ ΣΧΟΛΕΙΟ ΣΥΚΕΑΣ - ΜΕΤΑΜΟΡΦΩΣΗΣ</t>
  </si>
  <si>
    <t>mail@dim-sykeas.lak.sch.gr</t>
  </si>
  <si>
    <t>ΣΥΚΕΑ - ΜΕΤΑΜΟΡΦΩΣΗ</t>
  </si>
  <si>
    <t>mail@dim-papad.lak.sch.gr</t>
  </si>
  <si>
    <t>ΠΑΠΑΔΙΑΝΙΚΑ ΛΑΚΩΝΙΑΣ</t>
  </si>
  <si>
    <t>ΝΗΠΙΑΓΩΓΕΙΟ ΣΕΛΛΑΣΙΑΣ</t>
  </si>
  <si>
    <t>mail@nip-sellas.lak.sch.gr</t>
  </si>
  <si>
    <t>ΔΗΜΟΤΙΚΟ ΣΧΟΛΕΙΟ ΑΣΩΠΟΥ-ΦΟΙΝΙΚΙΟΥ</t>
  </si>
  <si>
    <t>mail@dim-asopou.lak.sch.gr</t>
  </si>
  <si>
    <t>ΑΣΩΠΟΣ</t>
  </si>
  <si>
    <t>3ο ΝΗΠΙΑΓΩΓΕΙΟ ΣΠΑΡΤΗΣ</t>
  </si>
  <si>
    <t>mail@3nip-spart.lak.sch.gr</t>
  </si>
  <si>
    <t>ΜΕΝΕΛΑΟΥ 161</t>
  </si>
  <si>
    <t>4ο ΝΗΠΙΑΓΩΓΕΙΟ ΣΠΑΡΤΗΣ</t>
  </si>
  <si>
    <t>mail@4nip-spart.lak.sch.gr</t>
  </si>
  <si>
    <t>ΛΥΚΟΥΡΓΟΥ 18</t>
  </si>
  <si>
    <t>mail@dim-monemv.lak.sch.gr</t>
  </si>
  <si>
    <t>ΜΟΝΕΜΒΑΣΙΑ</t>
  </si>
  <si>
    <t>7ο ΝΗΠΙΑΓΩΓΕΙΟ ΣΠΑΡΤΗΣ</t>
  </si>
  <si>
    <t>mail@nip-spart.lak.sch.gr</t>
  </si>
  <si>
    <t>ΕΥΑΓΓΕΛΙΣΤΡΙΑΣ 16</t>
  </si>
  <si>
    <t>ΔΗΜΟΤΙΚΟ ΣΧΟΛΕΙΟ ΡΕΙΧΕΑΣ</t>
  </si>
  <si>
    <t>mail@dim-reich.lak.sch.gr</t>
  </si>
  <si>
    <t>ΡΕΙΧΙΑ</t>
  </si>
  <si>
    <t>ΡΕΙΧΕΑ</t>
  </si>
  <si>
    <t>ΔΗΜΟΤΙΚΟ ΣΧΟΛΕΙΟ ΚΑΜΠΟΥ ΒΟΙΩΝ</t>
  </si>
  <si>
    <t>mail@dim-kampou.lak.sch.gr</t>
  </si>
  <si>
    <t>ΚΑΜΠΟΣ  ΒΟΙΩΝ ΛΑΚΩΝΙΑΣ</t>
  </si>
  <si>
    <t>ΚΑΜΠΟΣ ΒΟΙΩΝ ΛΑΚΩΝΙΑΣ</t>
  </si>
  <si>
    <t>ΛΟΓΚΑΝΙΚΟΥ</t>
  </si>
  <si>
    <t>ΝΗΠΙΑΓΩΓΕΙΟ ΛΟΓΚΑΝΙΚΟΥ</t>
  </si>
  <si>
    <t>mail@nip-logkan.lak.sch.gr</t>
  </si>
  <si>
    <t>ΛΟΓΚΑΝΙΚΟΣ  ΛΑΚΩΝΙΑΣ</t>
  </si>
  <si>
    <t>mail@dim-gerak.lak.sch.gr</t>
  </si>
  <si>
    <t>ΓΕΡΑΚΙ  ΛΑΚΩΝΙΑΣ</t>
  </si>
  <si>
    <t>ΔΗΜΟΤΙΚΟ ΣΧΟΛΕΙΟ ΛΟΓΚΑΝΙΚΟΥ</t>
  </si>
  <si>
    <t>mail@dim-logan.lak.sch.gr</t>
  </si>
  <si>
    <t>mail@dim-neapol.lak.sch.gr</t>
  </si>
  <si>
    <t>ΦΛΕΜΙΓΚ ΚΑΙ ΑΓΙΟΥ ΝΙΚΟΛΑΟΥ 1</t>
  </si>
  <si>
    <t>mail@1dim-gytheiou.lak.sch.gr</t>
  </si>
  <si>
    <t>ΛΑΡΥΣΙΟΥ ΚΑΙ ΓΡΗΓΟΡΑΚΗ</t>
  </si>
  <si>
    <t>mail@dim-molaon.lak.sch.gr</t>
  </si>
  <si>
    <t>ΔΗΜΟΤΙΚΟ ΣΧΟΛΕΙΟ ΓΛΥΚΟΒΡΥΣΗΣ</t>
  </si>
  <si>
    <t>mail@dim-glykovr.lak.sch.gr</t>
  </si>
  <si>
    <t>ΓΛΥΚΟΒΡΥΣΗ</t>
  </si>
  <si>
    <t>ΓΛΥΚΟΒΡΥΣΗ  ΛΑΚΩΝΙΑΣ</t>
  </si>
  <si>
    <t>ΕΛΙΚΑΣ</t>
  </si>
  <si>
    <t>mail@dim-elika.lak.sch.gr</t>
  </si>
  <si>
    <t>ΕΛΙΚΑ</t>
  </si>
  <si>
    <t>ΑΓΙΟΥ ΝΙΚΟΛΑΟΥ ΒΟΙΩΝ</t>
  </si>
  <si>
    <t>ΝΗΠΙΑΓΩΓΕΙΟ ΑΓΙΟΥ ΝΙΚΟΛΑΟΥ ΒΟΙΩΝ</t>
  </si>
  <si>
    <t>mail@nip-ag-nikol-voion.lak.sch.gr</t>
  </si>
  <si>
    <t>ΑΓΙΟΣ ΝΙΚΟΛΑΟΣ ΒΟΙΩΝ ΛΑΚΩΝΙΑΣ</t>
  </si>
  <si>
    <t>ΑΠΙΔΕΑ</t>
  </si>
  <si>
    <t>ΟΛΟΗΜΕΡΟ ΝΗΠΙΑΓΩΓΕΙΟ ΑΠΙΔΕΑΣ - ΟΛΟΗΜΕΡΟ</t>
  </si>
  <si>
    <t>mail@nip-apideas.lak.sch.gr</t>
  </si>
  <si>
    <t>ΑΠΙΔΕΑΣ</t>
  </si>
  <si>
    <t>ΑΠΙΔΙΑ ΛΑΚΩΝΙΑΣ</t>
  </si>
  <si>
    <t>ΕΙΔΙΚΟ ΔΗΜΟΤΙΚΟ ΣΧΟΛΕΙΟ ΣΥΚΑΡΑΚΙ ΣΠΑΡΤΗΣ</t>
  </si>
  <si>
    <t>mail@dim-eid-spart.lak.sch.gr</t>
  </si>
  <si>
    <t>ΣΥΚΑΡΑΚΙ ΣΠΑΡΤΗΣ</t>
  </si>
  <si>
    <t>ΣΥΚΑΡΑΚΙ</t>
  </si>
  <si>
    <t>ΟΛΟΗΜΕΡΟ ΝΗΠΙΑΓΩΓΕΙΟ ΕΛΙΚΑΣ</t>
  </si>
  <si>
    <t>mail@nip-elikas.lak.sch.gr</t>
  </si>
  <si>
    <t>ΕΛΙΚΑ ΜΟΝΕΜΒΑΣΙΑΣ ΛΑΚΩΝΙΑΣ</t>
  </si>
  <si>
    <t>ΝΗΠΙΑΓΩΓΕΙΟ ΚΥΠΑΡΙΣΣΙΟΥ</t>
  </si>
  <si>
    <t>mail@nip-kypar.lak.sch.gr</t>
  </si>
  <si>
    <t>2ο ΝΗΠΙΑΓΩΓΕΙΟ ΜΟΛΑΩΝ</t>
  </si>
  <si>
    <t>mail@2nip-molaon.lak.sch.gr</t>
  </si>
  <si>
    <t>ΒΑΣΙΛΕΙΟΥ ΜΕΛΑ 2</t>
  </si>
  <si>
    <t>9ο ΝΗΠΙΑΓΩΓΕΙΟ ΣΠΑΡΤΗΣ</t>
  </si>
  <si>
    <t>mail@9nip-spart.lak.sch.gr</t>
  </si>
  <si>
    <t>ΠΛΟΥΤΩΝΟΣ 1 - ΝΕΕΣ ΕΡΓΑΤΙΚΕΣ ΚΑΤΟΙΚΙΕΣ</t>
  </si>
  <si>
    <t>2ο ΝΗΠΙΑΓΩΓΕΙΟ ΓΥΘΕΙΟΥ</t>
  </si>
  <si>
    <t>mail@2nip-gytheiou.lak.sch.gr</t>
  </si>
  <si>
    <t>ΗΡΑΚΛΕΟΥΣ</t>
  </si>
  <si>
    <t>1ο  ΝΗΠΙΑΓΩΓΕΙΟ ΝΕΑΠΟΛΗΣ</t>
  </si>
  <si>
    <t>mail@1nip-neapol.lak.sch.gr</t>
  </si>
  <si>
    <t>ΝΕΑΠΟΛΗ ΔΗΜΟΥ ΜΟΝΕΜΒΑΣΙΑΣ</t>
  </si>
  <si>
    <t>ΟΔΟΣ ΑΡΧΙΜΗΔΟΥΣ</t>
  </si>
  <si>
    <t>1/ΘΕΣΙΟ ΝΗΠΙΑΓΩΓΕΙΟ ΚΑΡΥΩΝ ΛΑΚΩΝΙΑΣ</t>
  </si>
  <si>
    <t>mail@nip-karyon.lak.sch.gr</t>
  </si>
  <si>
    <t>ΕΙΔΙΚΟ ΔΗΜΟΤΙΚΟ ΣΧΟΛΕΙΟ ΓΥΘΕΙΟΥ</t>
  </si>
  <si>
    <t>ΠΑΚΙΩΝ</t>
  </si>
  <si>
    <t>ΕΙΔΙΚΟ ΔΗΜΟΤΙΚΟ ΣΧΟΛΕΙΟ ΜΟΛΑΩΝ</t>
  </si>
  <si>
    <t>mail@dim-eid-molaon.lak.sch.gr</t>
  </si>
  <si>
    <t>ΠΑΚΙΑ ΛΑΚΩΝΙΑΣ</t>
  </si>
  <si>
    <t>ΕΙΔΙΚΟ ΝΗΠΙΑΓΩΓΕΙΟ ΣΠΑΡΤΗΣ</t>
  </si>
  <si>
    <t>mail@nip-eid-spart.lak.sch.gr</t>
  </si>
  <si>
    <t>ΝΗΠΙΑΓΩΓΕΙΟ ΑΓΙΟΥ ΙΩΑΝΝΗ ΣΠΑΡΤΗΣ</t>
  </si>
  <si>
    <t>mail@nip-ag-ioann-lak.lak.sch.gr</t>
  </si>
  <si>
    <t>ΑΓΙΟΥ ΔΗΜΗΤΡΙΟΥ ΖΑΡΑΚΟΣ</t>
  </si>
  <si>
    <t>ΝΗΠΙΑΓΩΓΕΙΟ ΑΓΙΟΥ ΔΗΜΗΤΡΙΟΥ ΝΙΑΤΩΝ</t>
  </si>
  <si>
    <t>mail@nip-ag-dimitr.lak.sch.gr</t>
  </si>
  <si>
    <t>ΑΓΙΟΣ ΔΗΜΗΤΡΙΟΣ ΕΥΡΩΤΑ</t>
  </si>
  <si>
    <t>12ο ΝΗΠΙΑΓΩΓΕΙΟ ΣΠΑΡΤΗΣ</t>
  </si>
  <si>
    <t>mail@12nip-spart.lak.sch.gr</t>
  </si>
  <si>
    <t>2ο χλμ. Ε.Ο. Σπάρτης - Γυθείου</t>
  </si>
  <si>
    <t>2ο  ΝΗΠΙΑΓΩΓΕΙΟ ΝΕΑΠΟΛΗΣ</t>
  </si>
  <si>
    <t>mail@2nip-neapol.lak.sch.gr</t>
  </si>
  <si>
    <t>ΑΡΧΙΜΗΔΟΥΣ -</t>
  </si>
  <si>
    <t>ΔΙΕΥΘΥΝΣΗ Π.Ε. ΜΕΣΣΗΝΙΑΣ</t>
  </si>
  <si>
    <t>1ο ΔΗΜΟΤΙΚΟ ΣΧΟΛΕΙΟ ΜΕΣΣΗΝΗΣ</t>
  </si>
  <si>
    <t>mail@1dim-messin.mes.sch.gr</t>
  </si>
  <si>
    <t>ΕΥΞΕΙΝΟΥ ΠΟΝΤΟΥ 2</t>
  </si>
  <si>
    <t>26ο ΝΗΠΙΑΓΩΓΕΙΟ ΚΑΛΑΜΑΤΑΣ</t>
  </si>
  <si>
    <t>mail@26nip-kalam.mes.sch.gr</t>
  </si>
  <si>
    <t>1η ΠΑΡΟΔΟΣ ΑΥΡΑΣ</t>
  </si>
  <si>
    <t>8ο ΝΗΠΙΑΓΩΓΕΙΟ ΚΑΛΑΜΑΤΑΣ</t>
  </si>
  <si>
    <t>mail@8nip-kalam.mes.sch.gr</t>
  </si>
  <si>
    <t>ΚΡΗΤΗΣ   48</t>
  </si>
  <si>
    <t>mail@16dim-kalam.mes.sch.gr</t>
  </si>
  <si>
    <t>ΚΑΡΚΑΛΗ  &amp; ΔΕΛΜΟΥΖΟΥ ΑΓΙΑ ΤΡΙΑΔΑ</t>
  </si>
  <si>
    <t>1ο ΔΗΜΟΤΙΚΟ ΣΧΟΛΕΙΟ ΚΑΛΑΜΑΤΑΣ</t>
  </si>
  <si>
    <t>mail@1dim-kalam.mes.sch.gr</t>
  </si>
  <si>
    <t>ΠΑΛΑΙΟΛΟΓΟΥ ΚΑΙ ΚΑΛΛΙΠΑΤΕΙΡΑΣ</t>
  </si>
  <si>
    <t>12ο ΝΗΠΙΑΓΩΓΕΙΟ ΚΑΛΑΜΑΤΑΣ</t>
  </si>
  <si>
    <t>mail@12nip-kalam.mes.sch.gr</t>
  </si>
  <si>
    <t>Δ ΠΑΡΟΔΟΣ ΠΛΕΥΝΑΣ</t>
  </si>
  <si>
    <t>3ο ΝΗΠΙΑΓΩΓΕΙΟ ΚΥΠΑΡΙΣΣΙΑΣ</t>
  </si>
  <si>
    <t>mail@3nip-kypar.mes.sch.gr</t>
  </si>
  <si>
    <t>2ο ΔΗΜΟΤΙΚΟ ΣΧΟΛΕΙΟ ΚΑΛΑΜΑΤΑΣ</t>
  </si>
  <si>
    <t>mail@2dim-kalam.mes.sch.gr</t>
  </si>
  <si>
    <t>mail@dim-melig.mes.sch.gr</t>
  </si>
  <si>
    <t>mail@dim-arist.mes.sch.gr</t>
  </si>
  <si>
    <t>ΚΟΠΑΝΑΚΙΟΥ</t>
  </si>
  <si>
    <t>ΝΗΠΙΑΓΩΓΕΙΟ ΚΟΠΑΝΑΚΙΟΥ</t>
  </si>
  <si>
    <t>mail@nip-kopan.mes.sch.gr</t>
  </si>
  <si>
    <t>ΚΟΠΑΝΑΚΙ</t>
  </si>
  <si>
    <t>ΝΗΠΙΑΓΩΓΕΙΟ ΠΥΡΓΟΥ ΤΡΙΦΥΛΙΑΣ</t>
  </si>
  <si>
    <t>mail@nip-pyrgou.mes.sch.gr</t>
  </si>
  <si>
    <t>ΠΥΡΓΟΣ ΤΡΙΦΥΛΙΑΣ</t>
  </si>
  <si>
    <t>mail@3dim-messin.mes.sch.gr</t>
  </si>
  <si>
    <t>ΣΤΑΔΙΟΥ 45</t>
  </si>
  <si>
    <t>ΜΑΡΑΘΟΠΟΛΕΩΣ</t>
  </si>
  <si>
    <t>ΝΗΠΙΑΓΩΓΕΙΟ ΜΑΡΑΘΟΠΟΛΗΣ</t>
  </si>
  <si>
    <t>mail@nip-marath.mes.sch.gr</t>
  </si>
  <si>
    <t>ΜΑΡΑΘΟΠΟΛΗ</t>
  </si>
  <si>
    <t>1ο ΝΗΠΙΑΓΩΓΕΙΟ ΦΙΛΙΑΤΡΩΝ</t>
  </si>
  <si>
    <t>mail@1nip-filiatr.mes.sch.gr</t>
  </si>
  <si>
    <t>ΑΝΑΠΑΥΣΕΩΣ 2</t>
  </si>
  <si>
    <t>19ο ΔΗΜΟΤΙΚΟ ΣΧΟΛΕΙΟ ΚΑΛΑΜΑΤΑΣ</t>
  </si>
  <si>
    <t>mail@19dim-kalam.mes.sch.gr</t>
  </si>
  <si>
    <t>ΗΡΟΔΟΤΟΥ 2 &amp; ΑΡΙΣΤΟΜΕΝΟΥΣ</t>
  </si>
  <si>
    <t>2ο ΝΗΠΙΑΓΩΓΕΙΟ ΠΥΛΟΥ</t>
  </si>
  <si>
    <t>mail@2nip-pylou.mes.sch.gr</t>
  </si>
  <si>
    <t>ΒΕΡΓΑΣ</t>
  </si>
  <si>
    <t>ΔΗΜΟΤΙΚΟ ΣΧΟΛΕΙΟ ΠΑΡΑΛΙΑΣ ΒΕΡΓΑΣ</t>
  </si>
  <si>
    <t>mail@dim-paral.mes.sch.gr</t>
  </si>
  <si>
    <t>ΠΑΡΑΛΙΑ ΒΕΡΓΑΣ</t>
  </si>
  <si>
    <t>mail@dim-doriou.mes.sch.gr</t>
  </si>
  <si>
    <t>mail@2dim-choras.mes.sch.gr</t>
  </si>
  <si>
    <t>Χώρα</t>
  </si>
  <si>
    <t>ΝΙΚΟΛΑΟΥ ΒΕΛΕ 8</t>
  </si>
  <si>
    <t>ΑΣΠΡΟΧΩΜΑΤΟΣ</t>
  </si>
  <si>
    <t>mail@dim-asproch.mes.sch.gr</t>
  </si>
  <si>
    <t>ΑΣΠΡΟΧΩΜΑ</t>
  </si>
  <si>
    <t>ΑΘΗΝΩΝ 55</t>
  </si>
  <si>
    <t>mail@5dim-kalam.mes.sch.gr</t>
  </si>
  <si>
    <t>ΑΡΤΕΜΙΔΟΣ 82</t>
  </si>
  <si>
    <t>3ο ΔΗΜΟΤΙΚΟ ΣΧΟΛΕΙΟ ΦΙΛΙΑΤΡΩΝ</t>
  </si>
  <si>
    <t>mail@3dim-filiatr.mes.sch.gr</t>
  </si>
  <si>
    <t>Φιλιατρά</t>
  </si>
  <si>
    <t>ΤΑΓΜΑΤΑΡΧΗ ΓΑΛΑΝΟΠΟΥΛΟΥ</t>
  </si>
  <si>
    <t>ΝΗΠΙΑΓΩΓΕΙΟ ΜΕΘΩΝΗΣ ΜΕΣΣΗΝΙΑΣ</t>
  </si>
  <si>
    <t>mail@nip-methon.mes.sch.gr</t>
  </si>
  <si>
    <t>ΝΗΠΙΑΓΩΓΕΙΟ ΚΑΡΔΑΜΥΛΗΣ</t>
  </si>
  <si>
    <t>mail@nip-kardam.mes.sch.gr</t>
  </si>
  <si>
    <t>24ο ΝΗΠΙΑΓΩΓΕΙΟ ΚΑΛΑΜΑΤΑΣ</t>
  </si>
  <si>
    <t>mail@24nip-kalam.mes.sch.gr</t>
  </si>
  <si>
    <t>ΛΙΛΗΣ ΖΩΓΡΑΦΟΥ 8</t>
  </si>
  <si>
    <t>2ο ΔΗΜΟΤΙΚΟ ΣΧΟΛΕΙΟ ΦΙΛΙΑΤΡΩΝ</t>
  </si>
  <si>
    <t>2dimfil@sch.gr</t>
  </si>
  <si>
    <t>ΒΟΡΕΙΟΥ ΗΠΕΙΡΟΥ 2</t>
  </si>
  <si>
    <t>ΣΠΕΡΧΟΓΕΙΑΣ</t>
  </si>
  <si>
    <t>ΝΗΠΙΑΓΩΓΕΙΟ ΣΠΕΡΧΟΓΕΙΑΣ</t>
  </si>
  <si>
    <t>mail@nip-sperch.mes.sch.gr</t>
  </si>
  <si>
    <t>ΣΠΕΡΧΟΓΕΙΑ</t>
  </si>
  <si>
    <t>mail@dim-thourias.mes.sch.gr</t>
  </si>
  <si>
    <t>14ο ΔΗΜΟΤΙΚΟ ΣΧΟΛΕΙΟ ΚΑΛΑΜΑΤΑΣ</t>
  </si>
  <si>
    <t>mail@14dim-kalam.mes.sch.gr</t>
  </si>
  <si>
    <t>ΔΗΜΗΤΡΑΣ 53</t>
  </si>
  <si>
    <t>5ο ΝΗΠΙΑΓΩΓΕΙΟ ΚΑΛΑΜΑΤΑΣ</t>
  </si>
  <si>
    <t>mail@5nip-kalam.mes.sch.gr</t>
  </si>
  <si>
    <t>ΘΟΥΚΥΔΙΔΟΥ 13</t>
  </si>
  <si>
    <t>mail@1dim-filiatr.mes.sch.gr</t>
  </si>
  <si>
    <t>1ο ΝΗΠΙΑΓΩΓΕΙΟ ΧΩΡΑΣ</t>
  </si>
  <si>
    <t>mail@1nip-choras.mes.sch.gr</t>
  </si>
  <si>
    <t>18ο ΝΗΠΙΑΓΩΓΕΙΟ ΚΑΛΑΜΑΤΑΣ</t>
  </si>
  <si>
    <t>mail@18nip-kalam.mes.sch.gr</t>
  </si>
  <si>
    <t>Γ. ΤΑΒΟΥΛΑΡΕΑ - ΚΗΠΟΣ ΑΛΑΧ 8</t>
  </si>
  <si>
    <t>3ο ΔΗΜΟΤΙΚΟ ΣΧΟΛΕΙΟ ΚΑΛΑΜΑΤΑΣ</t>
  </si>
  <si>
    <t>mail@3dim-kalam.mes.sch.gr</t>
  </si>
  <si>
    <t>ΑΚΡΙΤΑ 4</t>
  </si>
  <si>
    <t>mail@10dim-kalam.mes.sch.gr</t>
  </si>
  <si>
    <t>Κρήτης 46</t>
  </si>
  <si>
    <t>21ο ΝΗΠΙΑΓΩΓΕΙΟ ΚΑΛΑΜΑΤΑΣ</t>
  </si>
  <si>
    <t>mail@21nip-kalam.mes.sch.gr</t>
  </si>
  <si>
    <t>ΣΩΚΡΑΤΟΥΣ ΚΑΙ ΜΕΓΑΛΟΥ ΑΛΕΞΑΝΔΡΟΥ</t>
  </si>
  <si>
    <t>9ο ΝΗΠΙΑΓΩΓΕΙΟ ΚΑΛΑΜΑΤΑΣ</t>
  </si>
  <si>
    <t>mail@9nip-kalam.mes.sch.gr</t>
  </si>
  <si>
    <t>ΣΩΚΡΑΤΟΥΣ ΚΑΙ ΜΕΓΑΛΟΥ ΑΛΕΞΑΝΔΡΟΥ ΚΑΛΑΜΑΤΑ</t>
  </si>
  <si>
    <t>ΝΗΠΙΑΓΩΓΕΙΟ ΠΑΡΑΛΙΑΣ ΒΕΡΓΑΣ</t>
  </si>
  <si>
    <t>mail@nip-paral.mes.sch.gr</t>
  </si>
  <si>
    <t>ΔΗΜΟΤΙΚΟ ΣΧΟΛΕΙΟ ΠΛΑΤΕΟΣ ΜΕΣΣΗΝΙΑΣ</t>
  </si>
  <si>
    <t>mail@dim-plateos.mes.sch.gr</t>
  </si>
  <si>
    <t>ΠΛΑΤΥ ΜΕΣΣΗΝΙΑΣ</t>
  </si>
  <si>
    <t>mail@7dim-kalam.mes.sch.gr</t>
  </si>
  <si>
    <t>ΑΚΡΙΤΑ 118</t>
  </si>
  <si>
    <t>24ο ΔΗΜΟΤΙΚΟ ΣΧΟΛΕΙΟ ΚΑΛΑΜΑΤΑΣ</t>
  </si>
  <si>
    <t>mail@24dim-kalam.mes.sch.gr</t>
  </si>
  <si>
    <t>ΨΑΡΩΝ ΚΑΙ ΜΑΚΕΔΟΝΙΑΣ</t>
  </si>
  <si>
    <t>6ο ΔΗΜΟΤΙΚΟ ΣΧΟΛΕΙΟ ΚΑΛΑΜΑΤΑΣ</t>
  </si>
  <si>
    <t>mail@6dim-kalam.mes.sch.gr</t>
  </si>
  <si>
    <t>ΕΛΕΑΒΟΥΛΚΟΥ 24</t>
  </si>
  <si>
    <t>2ο ΔΗΜΟΤΙΚΟ ΣΧΟΛΕΙΟ ΚΥΠΑΡΙΣΣΙΑΣ</t>
  </si>
  <si>
    <t>mail@2dim-kypar.mes.sch.gr</t>
  </si>
  <si>
    <t>ΑΝΩ ΠΟΛΗ</t>
  </si>
  <si>
    <t>20ο ΝΗΠΙΑΓΩΓΕΙΟ ΚΑΛΑΜΑΤΑΣ</t>
  </si>
  <si>
    <t>mail@20nip-kalam.mes.sch.gr</t>
  </si>
  <si>
    <t>ΦΙΛΛΕΛΛΗΝΩΝ ΚΑΙ ΣΟΦΟΚΛΕΟΥΣ 1</t>
  </si>
  <si>
    <t>ΝΗΠΙΑΓΩΓΕΙΟ ΠΕΤΑΛΙΔΙΟΥ</t>
  </si>
  <si>
    <t>mail@nip-petal.mes.sch.gr</t>
  </si>
  <si>
    <t>1ο ΝΗΠΙΑΓΩΓΕΙΟ ΠΥΛΟΥ</t>
  </si>
  <si>
    <t>mail@1nip-pylou.mes.sch.gr</t>
  </si>
  <si>
    <t>ΔΗΜΟΤΙΚΟ ΣΧΟΛΕΙΟ ΚΟΠΑΝΑΚΙΟΥ</t>
  </si>
  <si>
    <t>mail@dim-kopan.mes.sch.gr</t>
  </si>
  <si>
    <t>ΦΟΙΝΙΚΟΥΝΤΟΣ</t>
  </si>
  <si>
    <t>ΝΗΠΙΑΓΩΓΕΙΟ ΦΟΙΝΙΚΟΥΝΤΑΣ</t>
  </si>
  <si>
    <t>mail@nip-foinik.mes.sch.gr</t>
  </si>
  <si>
    <t>ΦΟΙΝΙΚΟΥΝΤΑ</t>
  </si>
  <si>
    <t>mail@3dim-kypar.mes.sch.gr</t>
  </si>
  <si>
    <t>ΛΑΜΠΡΟΠΟΥΛΟΥ 17</t>
  </si>
  <si>
    <t>12ο ΔΗΜΟΤΙΚΟ ΣΧΟΛΕΙΟ ΚΑΛΑΜΑΤΑΣ</t>
  </si>
  <si>
    <t>mail@12dim-kalam.mes.sch.gr</t>
  </si>
  <si>
    <t>ΑΛΑΜΑΝΑΣ 10</t>
  </si>
  <si>
    <t>ΝΗΠΙΑΓΩΓΕΙΟ ΛΟΓΓΑ</t>
  </si>
  <si>
    <t>mail@nip-loggas.mes.sch.gr</t>
  </si>
  <si>
    <t>ΝΗΠΙΑΓΩΓΕΙΟ ΔΩΡΙΟΥ</t>
  </si>
  <si>
    <t>mail@nip-doriou.mes.sch.gr</t>
  </si>
  <si>
    <t>ΧΑΡΟΚΟΠΙΟΥ</t>
  </si>
  <si>
    <t>ΝΗΠΙΑΓΩΓΕΙΟ ΧΑΡΑΚΟΠΙΟΥ</t>
  </si>
  <si>
    <t>mail@nip-charok.mes.sch.gr</t>
  </si>
  <si>
    <t>ΧΑΡΑΚΟΠΙΟ</t>
  </si>
  <si>
    <t>1ο ΝΗΠΙΑΓΩΓΕΙΟ ΚΥΠΑΡΙΣΣΙΑΣ</t>
  </si>
  <si>
    <t>mail@1nip-kypar.mes.sch.gr</t>
  </si>
  <si>
    <t>ΔΗΜ. ΖΗΡΑ</t>
  </si>
  <si>
    <t>ΜΕΡΟΠΗΣ</t>
  </si>
  <si>
    <t>ΝΗΠΙΑΓΩΓΕΙΟ ΜΕΡΟΠΗΣ</t>
  </si>
  <si>
    <t>mail@nip-merop.mes.sch.gr</t>
  </si>
  <si>
    <t>2ο ΝΗΠΙΑΓΩΓΕΙΟ ΚΥΠΑΡΙΣΣΙΑΣ</t>
  </si>
  <si>
    <t>mail@2nip-kypar.mes.sch.gr</t>
  </si>
  <si>
    <t>ΕΙΣΟΔΙΑ-ΑΝΩ ΠΟΛΗ</t>
  </si>
  <si>
    <t>ΝΗΠΙΑΓΩΓΕΙΟ ΤΡΙΚΟΡΦΟΥ</t>
  </si>
  <si>
    <t>mail@nip-trikorf.mes.sch.gr</t>
  </si>
  <si>
    <t>ΧΙΛΙΟΧΩΡΙΩΝ</t>
  </si>
  <si>
    <t>ΣΟΥΛΗΝΑΡΙΟΥ</t>
  </si>
  <si>
    <t>ΝΗΠΙΑΓΩΓΕΙΟ ΣΟΥΛΗΝΑΡΙΟΥ</t>
  </si>
  <si>
    <t>mail@nip-soulin.mes.sch.gr</t>
  </si>
  <si>
    <t>ΣΟΥΛΗΝΑΡΙ</t>
  </si>
  <si>
    <t>3ο ΝΗΠΙΑΓΩΓΕΙΟ ΚΑΛΑΜΑΤΑΣ</t>
  </si>
  <si>
    <t>mail@3nip-kalam.mes.sch.gr</t>
  </si>
  <si>
    <t>ΜΕΓΑΛΟΥ ΑΛΕΞΑΝΔΡΟΥ ΚΑΙ ΣΟΦΟΚΛΕΟΥΣ</t>
  </si>
  <si>
    <t>mail@1dim-kypar.mes.sch.gr</t>
  </si>
  <si>
    <t>mail@dim-methon.mes.sch.gr</t>
  </si>
  <si>
    <t>ΠΑΠΑΦΛΕΣΣΑ</t>
  </si>
  <si>
    <t>ΒΛΑΧΟΠΟΥΛΟΥ</t>
  </si>
  <si>
    <t>ΝΗΠΙΑΓΩΓΕΙΟ ΒΛΑΧΟΠΟΥΛΟΥ</t>
  </si>
  <si>
    <t>mail@nip-vlach.mes.sch.gr</t>
  </si>
  <si>
    <t>ΒΛΑΧΟΠΟΥΛΟ</t>
  </si>
  <si>
    <t>mail@dim-kampou.mes.sch.gr</t>
  </si>
  <si>
    <t>1ο ΕΙΔΙΚΟ ΔΗΜΟΤΙΚΟ ΣΧΟΛΕΙΟ ΚΑΛΑΜΑΤΑΣ</t>
  </si>
  <si>
    <t>mail@1dim-eid-kalam.mes.sch.gr</t>
  </si>
  <si>
    <t>ΣΧΟΛΙΚΟ ΣΥΓΚΡΟΤΗΜΑ ΛΑΚΩΝΙΚΗΣ - ΦΑΡΕΣ</t>
  </si>
  <si>
    <t>1ο ΔΗΜΟΤΙΚΟ ΣΧΟΛΕΙΟ ΓΑΡΓΑΛΙΑΝΩΝ</t>
  </si>
  <si>
    <t>mail@1dim-gargal.mes.sch.gr</t>
  </si>
  <si>
    <t>ΓΑΡΓΑΛΙΑΝΟΙ</t>
  </si>
  <si>
    <t>ΚΥΡΗΝΕΙΑΣ 2</t>
  </si>
  <si>
    <t>1dsdm@sch.gr</t>
  </si>
  <si>
    <t>ΣΤΟΥΠΑ</t>
  </si>
  <si>
    <t>5ο ΝΗΠΙΑΓΩΓΕΙΟ ΜΕΣΣΗΝΗΣ</t>
  </si>
  <si>
    <t>mail@5nip-messin.mes.sch.gr</t>
  </si>
  <si>
    <t>ΑΪΔΙΝΙΟΥ 14</t>
  </si>
  <si>
    <t>13ο ΝΗΠΙΑΓΩΓΕΙΟ ΚΑΛΑΜΑΤΑΣ</t>
  </si>
  <si>
    <t>mail@13nip-kalam.mes.sch.gr</t>
  </si>
  <si>
    <t>Ομήρου και Μαιζώνος</t>
  </si>
  <si>
    <t>mail@2dim-gargal.mes.sch.gr</t>
  </si>
  <si>
    <t>4ο ΝΗΠΙΑΓΩΓΕΙΟ ΜΕΣΣΗΝΗΣ</t>
  </si>
  <si>
    <t>mail@4nip-messin.mes.sch.gr</t>
  </si>
  <si>
    <t>ΟΥΛΟΦ ΠΑΛΜΕ</t>
  </si>
  <si>
    <t>ΝΗΠΙΑΓΩΓΕΙΟ ΘΟΥΡΙΑΣ</t>
  </si>
  <si>
    <t>mail@nip-thourias.mes.sch.gr</t>
  </si>
  <si>
    <t>ΑΡΙΟΣ</t>
  </si>
  <si>
    <t>ΝΗΠΙΑΓΩΓΕΙΟ ΑΡΙΟΣ</t>
  </si>
  <si>
    <t>mail@nip-arios.mes.sch.gr</t>
  </si>
  <si>
    <t>ΑΡΙΣ</t>
  </si>
  <si>
    <t>ΝΗΠΙΑΓΩΓΕΙΟ ΕΥΑΣ</t>
  </si>
  <si>
    <t>mail@nip-evas.mes.sch.gr</t>
  </si>
  <si>
    <t>ΕΥΑ ΑΝΔΡΟΥΣΑΣ</t>
  </si>
  <si>
    <t>ΝΗΠΙΑΓΩΓΕΙΟ ΑΣΠΡΟΧΩΜΑΤΟΣ</t>
  </si>
  <si>
    <t>mail@nip-asproch.mes.sch.gr</t>
  </si>
  <si>
    <t>mail@dim-koron.mes.sch.gr</t>
  </si>
  <si>
    <t>ΚΟΡΩΝΗ-ΜΕΣΣΗΝΙΑΣ</t>
  </si>
  <si>
    <t>1ο ΝΗΠΙΑΓΩΓΕΙΟ ΜΕΣΣΗΝΗΣ</t>
  </si>
  <si>
    <t>mail@1nip-messin.mes.sch.gr</t>
  </si>
  <si>
    <t>ΝΗΠΙΑΓΩΓΕΙΟ ΔΙΑΒΟΛΙΤΣΙΟΥ</t>
  </si>
  <si>
    <t>mail@nip-diavol.mes.sch.gr</t>
  </si>
  <si>
    <t>ΔΙΑΒΟΛΙΤΣΙ</t>
  </si>
  <si>
    <t>mail@8dim-kalam.mes.sch.gr</t>
  </si>
  <si>
    <t>ΧΙΟΥ ΚΑΙ ΙΕΡΟΛΟΧΙΤΩΝ</t>
  </si>
  <si>
    <t>10ο ΝΗΠΙΑΓΩΓΕΙΟ ΚΑΛΑΜΑΤΑΣ</t>
  </si>
  <si>
    <t>mail@10nip-kalam.mes.sch.gr</t>
  </si>
  <si>
    <t>ΠΑΡΟΔΟΣ ΜΑΚΕΔΟΝΙΑΣ 1</t>
  </si>
  <si>
    <t>17ο ΝΗΠΙΑΓΩΓΕΙΟ ΚΑΛΑΜΑΤΑΣ</t>
  </si>
  <si>
    <t>mail@17nip-kalam.mes.sch.gr</t>
  </si>
  <si>
    <t>ΣΑΛΑΜΙΝΟΜΑΧΩΝ 30</t>
  </si>
  <si>
    <t>ΔΗΜΟΤΙΚΟ ΣΧΟΛΕΙΟ ΜΕΡΟΠΗΣ</t>
  </si>
  <si>
    <t>dimmer@sch.gr</t>
  </si>
  <si>
    <t>ΜΕΡΟΠΗ</t>
  </si>
  <si>
    <t>ΜΕΡΟΠΗ ΜΕΣΣΗΝΙΑ</t>
  </si>
  <si>
    <t>11ο ΔΗΜΟΤΙΚΟ ΣΧΟΛΕΙΟ ΚΑΛΑΜΑΤΑΣ</t>
  </si>
  <si>
    <t>mail@11dim-kalam.mes.sch.gr</t>
  </si>
  <si>
    <t>ΗΠΕΙΡΟΥ 16</t>
  </si>
  <si>
    <t>dimdia@sch.gr</t>
  </si>
  <si>
    <t>2ο ΝΗΠΙΑΓΩΓΕΙΟ ΜΕΣΣΗΝΗΣ</t>
  </si>
  <si>
    <t>mail@2nip-messin.mes.sch.gr</t>
  </si>
  <si>
    <t>ΟΥΛΩΦ ΠΑΛΜΕ</t>
  </si>
  <si>
    <t>ΕΥΑΣ</t>
  </si>
  <si>
    <t>dimeva@sch.gr</t>
  </si>
  <si>
    <t>ΕΥΑ  ΜΕΣΣΗΝΙΑΣ</t>
  </si>
  <si>
    <t>2ο ΝΗΠΙΑΓΩΓΕΙΟ ΧΩΡΑΣ</t>
  </si>
  <si>
    <t>mail@2nip-choras.mes.sch.gr</t>
  </si>
  <si>
    <t>ΝΙΚΟΥ ΒΕΛΕ 8</t>
  </si>
  <si>
    <t>3ο ΝΗΠΙΑΓΩΓΕΙΟ ΜΕΣΣΗΝΗΣ</t>
  </si>
  <si>
    <t>mail@3nip-messin.mes.sch.gr</t>
  </si>
  <si>
    <t>ΑΒΕΡΩΦ 12</t>
  </si>
  <si>
    <t>ΛΑΙΙΚΩΝ</t>
  </si>
  <si>
    <t>ΔΗΜΟΤΙΚΟ ΣΧΟΛΕΙΟ ΛΕΪΚΩΝ</t>
  </si>
  <si>
    <t>mail@dim-leikon.mes.sch.gr</t>
  </si>
  <si>
    <t>ΛΕΪΚΑ</t>
  </si>
  <si>
    <t xml:space="preserve">ΙΘΩΜΗΣ                      </t>
  </si>
  <si>
    <t>ΒΑΛΥΡΑΣ</t>
  </si>
  <si>
    <t>ΝΗΠΙΑΓΩΓΕΙΟ ΒΑΛΥΡΑΣ</t>
  </si>
  <si>
    <t>mail@nip-valyr.mes.sch.gr</t>
  </si>
  <si>
    <t>ΒΑΛΥΡΑ</t>
  </si>
  <si>
    <t>7ο ΝΗΠΙΑΓΩΓΕΙΟ ΚΑΛΑΜΑΤΑΣ</t>
  </si>
  <si>
    <t>mail@7nip-kalam.mes.sch.gr</t>
  </si>
  <si>
    <t>ΠΑΡΟΔΟΣ ΑΘΗΝΩΝ - ΤΕΡΜΑ ΤΡΟΙΑΣ</t>
  </si>
  <si>
    <t>11ο ΝΗΠΙΑΓΩΓΕΙΟ ΚΑΛΑΜΑΤΑΣ</t>
  </si>
  <si>
    <t>mail@11nip-kalam.mes.sch.gr</t>
  </si>
  <si>
    <t>ΛΕΪΚΩΝ 25</t>
  </si>
  <si>
    <t>4ο ΝΗΠΙΑΓΩΓΕΙΟ ΚΑΛΑΜΑΤΑΣ</t>
  </si>
  <si>
    <t>mail@4nip-kalam.mes.sch.gr</t>
  </si>
  <si>
    <t>ΕΛΕΑΒΟΥΛΚΟΥ  24</t>
  </si>
  <si>
    <t>ΝΗΠΙΑΓΩΓΕΙΟ ΜΕΛΙΓΑΛΑ</t>
  </si>
  <si>
    <t>mail@nip-melig.mes.sch.gr</t>
  </si>
  <si>
    <t>23ο ΝΗΠΙΑΓΩΓΕΙΟ ΚΑΛΑΜΑΤΑΣ</t>
  </si>
  <si>
    <t>mail@23nip-kalam.mes.sch.gr</t>
  </si>
  <si>
    <t>ΟΜΗΡΟΥ ΚΑΙ ΜΑΙΖΩΝΟΣ</t>
  </si>
  <si>
    <t>2ο ΔΗΜΟΤΙΚΟ ΣΧΟΛΕΙΟ ΜΕΣΣΗΝΗΣ</t>
  </si>
  <si>
    <t>mail@2dim-messin.mes.sch.gr</t>
  </si>
  <si>
    <t>ΜΕΤΑΜΟΡΦΩΣΗ ΣΩΤΗΡΟΣ</t>
  </si>
  <si>
    <t>15ο ΝΗΠΙΑΓΩΓΕΙΟ ΚΑΛΑΜΑΤΑΣ</t>
  </si>
  <si>
    <t>mail@15nip-kalam.mes.sch.gr</t>
  </si>
  <si>
    <t>ΛΕΪΚΩΝ 24</t>
  </si>
  <si>
    <t>ΝΗΠΙΑΓΩΓΕΙΟ ΑΡΦΑΡΩΝ</t>
  </si>
  <si>
    <t>mail@nip-arfar.mes.sch.gr</t>
  </si>
  <si>
    <t>ΔΗΜΟΤΙΚΟ ΣΧΟΛΕΙΟ ΑΡΙΟΣ</t>
  </si>
  <si>
    <t>mail@dim-arios.mes.sch.gr</t>
  </si>
  <si>
    <t>1ο ΝΗΠΙΑΓΩΓΕΙΟ ΚΑΛΑΜΑΤΑΣ</t>
  </si>
  <si>
    <t>mail@1nip-kalam.mes.sch.gr</t>
  </si>
  <si>
    <t>ΝΙΚΟΛΑΟΥ ΜΕΘΩΝΗΣ 28</t>
  </si>
  <si>
    <t>ΚΟΡΥΦΑΣΙΟΥ</t>
  </si>
  <si>
    <t>ΝΗΠΙΑΓΩΓΕΙΟ ΚΟΡΥΦΑΣΙΟΥ</t>
  </si>
  <si>
    <t>mail@nip-koryf.mes.sch.gr</t>
  </si>
  <si>
    <t>ΚΟΡΥΦΑΣΙΟ</t>
  </si>
  <si>
    <t>13ο ΔΗΜΟΤΙΚΟ ΣΧΟΛΕΙΟ ΚΑΛΑΜΑΤΑΣ</t>
  </si>
  <si>
    <t>mail@13dim-kalam.mes.sch.gr</t>
  </si>
  <si>
    <t>ΝΗΠΙΑΓΩΓΕΙΟ ΑΝΘΕΙΑΣ</t>
  </si>
  <si>
    <t>mail@nip-antheias.mes.sch.gr</t>
  </si>
  <si>
    <t>19ο ΝΗΠΙΑΓΩΓΕΙΟ ΚΑΛΑΜΑΤΑΣ</t>
  </si>
  <si>
    <t>mail@19nip-kalam.mes.sch.gr</t>
  </si>
  <si>
    <t>ΛΑΚΩΝΙΚΗΣ &amp; Ι. ΖΑΡΚΟΥ  ΦΑΡΑΙ</t>
  </si>
  <si>
    <t>ΝΗΠΙΑΓΩΓΕΙΟ ΣΤΟΥΠΑΣ</t>
  </si>
  <si>
    <t>mail@nip-stoupas.mes.sch.gr</t>
  </si>
  <si>
    <t>2ο ΝΗΠΙΑΓΩΓΕΙΟ ΚΑΛΑΜΑΤΑΣ</t>
  </si>
  <si>
    <t>mail@2nip-kalam.mes.sch.gr</t>
  </si>
  <si>
    <t>ΠΑΛΑΙΟΛΟΓΟΥ ΚΑΙ ΔΗΜΑΚΟΠΟΥΛΟΥ</t>
  </si>
  <si>
    <t>14ο ΝΗΠΙΑΓΩΓΕΙΟ ΚΑΛΑΜΑΤΑΣ</t>
  </si>
  <si>
    <t>mail@14nip-kalam.mes.sch.gr</t>
  </si>
  <si>
    <t>ΗΡΩΩΝ ΚΑΙ ΚΡΗΤΗΣ 41</t>
  </si>
  <si>
    <t>6ο ΝΗΠΙΑΓΩΓΕΙΟ ΚΑΛΑΜΑΤΑΣ</t>
  </si>
  <si>
    <t>mail@6nip-kalam.mes.sch.gr</t>
  </si>
  <si>
    <t>ΚΑΤΑΥΛΙΣΜΟΣ ΒΑΓΙΑ</t>
  </si>
  <si>
    <t>1ο  ΝΗΠΙΑΓΩΓΕΙΟ ΓΑΡΓΑΛΙΑΝΩΝ</t>
  </si>
  <si>
    <t>mail@1nip-gargal.mes.sch.gr</t>
  </si>
  <si>
    <t>ΚΑΛΟΥ ΝΕΡΟΥ</t>
  </si>
  <si>
    <t>ΝΗΠΙΑΓΩΓΕΙΟ ΣΤΑΘΜΟΥ ΚΑΛΟΥ ΝΕΡΟΥ</t>
  </si>
  <si>
    <t>mail@nip-stathm.mes.sch.gr</t>
  </si>
  <si>
    <t>ΚΑΛΟ ΝΕΡΟ</t>
  </si>
  <si>
    <t>ΚΑΛΟ ΝΕΡΟ ΜΕΣΣΗΝΙΑΣ</t>
  </si>
  <si>
    <t>ΔΗΜΟΤΙΚΟ ΣΧΟΛΕΙΟ ΠΥΡΓΟΥ ΤΡΙΦΥΛΙΑΣ</t>
  </si>
  <si>
    <t>mail@dim-pyrgou.mes.sch.gr</t>
  </si>
  <si>
    <t>2ο ΝΗΠΙΑΓΩΓΕΙΟ ΓΑΡΓΑΛΙΑΝΩΝ</t>
  </si>
  <si>
    <t>mail@2nip-gargal.mes.sch.gr</t>
  </si>
  <si>
    <t>3ο ΝΗΠΙΑΓΩΓΕΙΟ ΦΙΛΙΑΤΡΩΝ</t>
  </si>
  <si>
    <t>mail@3nip-filiatr.mes.sch.gr</t>
  </si>
  <si>
    <t>ΕΥΣ. ΘΕΟΔΩΡΑΚΟΠΟΥΛΟΥ</t>
  </si>
  <si>
    <t>2ο ΝΗΠΙΑΓΩΓΕΙΟ ΦΙΛΙΑΤΡΩΝ</t>
  </si>
  <si>
    <t>mail@2nip-filiatr.mes.sch.gr</t>
  </si>
  <si>
    <t>ΠΑΝΑΓΙΑ ΦΙΛΙΑΤΡΩΝ 1</t>
  </si>
  <si>
    <t>ΝΗΠΙΑΓΩΓΕΙΟ ΛΕΪΚΩΝ</t>
  </si>
  <si>
    <t>mail@nip-leikon.mes.sch.gr</t>
  </si>
  <si>
    <t>ΔΗΜΟΤΙΚΟ ΣΧΟΛΕΙΟ ΤΡΙΚΟΡΦΟΥ ΜΕΣΣΗΝΙΑΣ</t>
  </si>
  <si>
    <t>mail@dim-trikorf.mes.sch.gr</t>
  </si>
  <si>
    <t>mail@dim-arfar.mes.sch.gr</t>
  </si>
  <si>
    <t>ΠΑΠΑΦΛΕΣΣΑ 50</t>
  </si>
  <si>
    <t>ΔΗΜΟΤΙΚΟ ΣΧΟΛΕΙΟ ΧΑΤΖΗΣ</t>
  </si>
  <si>
    <t>mail@dim-chatz.mes.sch.gr</t>
  </si>
  <si>
    <t>mail@dim-vlach.mes.sch.gr</t>
  </si>
  <si>
    <t>mail@1dim-pylou.mes.sch.gr</t>
  </si>
  <si>
    <t>ΔΗΜΟΤΙΚΟ ΣΧΟΛΕΙΟ ΒΑΛΥΡΑΣ</t>
  </si>
  <si>
    <t>mail@dim-valyr.mes.sch.gr</t>
  </si>
  <si>
    <t>2ο ΔΗΜΟΤΙΚΟ ΣΧΟΛΕΙΟ ΠΥΛΟΥ</t>
  </si>
  <si>
    <t>mail@2dim-pylou.mes.sch.gr</t>
  </si>
  <si>
    <t>ΝΗΠΙΑΓΩΓΕΙΟ ΠΛΑΤΥ</t>
  </si>
  <si>
    <t>mail@nip-plateos.mes.sch.gr</t>
  </si>
  <si>
    <t>1ο ΔΗΜΟΤΙΚΟ ΣΧΟΛΕΙΟ ΧΩΡΑΣ</t>
  </si>
  <si>
    <t>mail@1dim-choras.mes.sch.gr</t>
  </si>
  <si>
    <t>ΛΑΣΚΟΥ ΔΟΥΡΟΥ - ΒΑΣΙΛΙΚΗΣ 2</t>
  </si>
  <si>
    <t>mail@dim-loggas.mes.sch.gr</t>
  </si>
  <si>
    <t>16ο ΝΗΠΙΑΓΩΓΕΙΟ ΚΑΛΑΜΑΤΑΣ</t>
  </si>
  <si>
    <t>mail@16nip-kalam.mes.sch.gr</t>
  </si>
  <si>
    <t>ΠΑΠΑΝΟΥΤΣΟΥ  8</t>
  </si>
  <si>
    <t>ΝΗΠΙΑΓΩΓΕΙΟ ΚΟΡΩΝΗΣ</t>
  </si>
  <si>
    <t>mail@nip-koron.mes.sch.gr</t>
  </si>
  <si>
    <t>mail@dim-petal.mes.sch.gr</t>
  </si>
  <si>
    <t>17ο ΔΗΜΟΤΙΚΟ ΣΧΟΛΕΙΟ ΚΑΛΑΜΑΤΑΣ</t>
  </si>
  <si>
    <t>mail@17dim-kalam.mes.sch.gr</t>
  </si>
  <si>
    <t>Ε.Ο.ΣΠΑΡΤΗΣ</t>
  </si>
  <si>
    <t>ΔΗΜΟΤΙΚΟ ΣΧΟΛΕΙΟ ΦΟΙΝΙΚΟΥΝΤΑΣ</t>
  </si>
  <si>
    <t>mail@dim-foinik.mes.sch.gr</t>
  </si>
  <si>
    <t>ΧΑΝΔΡΙΝΟΥ</t>
  </si>
  <si>
    <t>ΔΗΜΟΤΙΚΟ ΣΧΟΛΕΙΟ ΧΑΝΔΡΙΝΟΥ</t>
  </si>
  <si>
    <t>mail@dim-chandr.mes.sch.gr</t>
  </si>
  <si>
    <t>ΧΑΝΔΡΙΝΟΣ</t>
  </si>
  <si>
    <t>ΔΗΜΟΤΙΚΟ ΣΧΟΛΕΙΟ ΧΑΡΑΚΟΠΙΟΥ</t>
  </si>
  <si>
    <t>mail@dim-charok.mes.sch.gr</t>
  </si>
  <si>
    <t>mail@18dim-kalam.mes.sch.gr</t>
  </si>
  <si>
    <t>Α ΣΧΟΛΙΚΟ ΣΥΓΚΡΟΤΗΜΑ</t>
  </si>
  <si>
    <t>mail@21dim-kalam.mes.sch.gr</t>
  </si>
  <si>
    <t>ΠΛΑΤΕΙΑ ΤΑΞΙΑΡΧΩΝ</t>
  </si>
  <si>
    <t>ΔΗΜΟΤΙΚΟ ΣΧΟΛΕΙΟ ΣΠΕΡΧΟΓΕΙΑΣ</t>
  </si>
  <si>
    <t>mail@dim-sperch.mes.sch.gr</t>
  </si>
  <si>
    <t>ΣΠΕΡΧΟΓΕΙΑ ΜΕΣΣΗΝΙΑΣ</t>
  </si>
  <si>
    <t>4ο ΔΗΜΟΤΙΚΟ ΣΧΟΛΕΙΟ ΚΑΛΑΜΑΤΑΣ</t>
  </si>
  <si>
    <t>mail@4dim-kalam.mes.sch.gr</t>
  </si>
  <si>
    <t>ΚΑΝΑΡΗ 53</t>
  </si>
  <si>
    <t>9ο ΔΗΜΟΤΙΚΟ ΣΧΟΛΕΙΟ ΚΑΛΑΜΑΤΑΣ</t>
  </si>
  <si>
    <t>mail@9dim-kalam.mes.sch.gr</t>
  </si>
  <si>
    <t>ΛΙΛΗΣ ΖΩΓΡΑΦΟΥ 3</t>
  </si>
  <si>
    <t>mail@22dim-kalam.mes.sch.gr</t>
  </si>
  <si>
    <t>ΠΑΝΕΠΙΣΤΗΜΙΟΥ ΠΕΛΟΠΟΝΝΗΣΟΥ ΦΑΡΕΣ</t>
  </si>
  <si>
    <t>ΣΤΑΥΡΟΠΗΓΙΟΥ</t>
  </si>
  <si>
    <t>ΝΗΠΙΑΓΩΓΕΙΟ ΣΤΑΥΡΟΠΗΓΙΟΥ</t>
  </si>
  <si>
    <t>mail@nip-stavr.mes.sch.gr</t>
  </si>
  <si>
    <t>ΣΤΑΥΡΟΠΗΓΙΟ</t>
  </si>
  <si>
    <t>ΕΙΔΙΚΟ ΔΗΜΟΤΙΚΟ ΣΧΟΛΕΙΟ ΦΙΛΙΑΤΡΩΝ</t>
  </si>
  <si>
    <t>mail@dim-eid-filiatr.mes.sch.gr</t>
  </si>
  <si>
    <t>ΕΝΑΝΤΙ ΑΘΛΗΤΙΚΟΥ ΚΕΝΤΡΟΥ</t>
  </si>
  <si>
    <t>ΝΗΠΙΑΓΩΓΕΙΟ ΔΙΑΣΠΟΡΑΣ</t>
  </si>
  <si>
    <t>mail@nip-diasp-kalam.mes.sch.gr</t>
  </si>
  <si>
    <t>ΔΙΑΣΠΟΡΑ</t>
  </si>
  <si>
    <t>ΔΙΑΣΠΟΡΑ 120 Π.Ε.Α.</t>
  </si>
  <si>
    <t>ΕΙΔΙΚΟ ΝΗΠΙΑΓΩΓΕΙΟ ΦΙΛΙΑΤΡΑ - ΕΙΔ. ΝΗΓΕΙΟ ΦΙΛΙΑΤΡΩΝ</t>
  </si>
  <si>
    <t>mail@nip-eid-filiatr.mes.sch.gr</t>
  </si>
  <si>
    <t>ΕΙΔΙΚΟ ΝΗΠΙΑΓΩΓΕΙΟ ΚΑΛΑΜΑΤΑΣ</t>
  </si>
  <si>
    <t>mail@nip-eid-kalam.mes.sch.gr</t>
  </si>
  <si>
    <t>ΚΑΛΑΜΑΤΑ ΜΕΣΣΗΝΙΑΣ</t>
  </si>
  <si>
    <t>ΣΧΟΛΙΚΟ ΣΥΓΚΡΟΤΗΜΑ ΛΑΚΩΝΙΚΗΣ (ΦΑΡΕΣ)</t>
  </si>
  <si>
    <t>ΝΗΠΙΑΓΩΓΕΙΟ ΑΓΙΟΥ ΝΙΚΟΛΑΟΥ ΜΕΣΣΗΝΙΑΣ</t>
  </si>
  <si>
    <t>mail@dim-ag-nikol.mes.sch.gr</t>
  </si>
  <si>
    <t>ΑΓΙΟΣ ΝΙΚΟΛΑΟΣ ΜΕΣΣΗΝΙΑΣ</t>
  </si>
  <si>
    <t>ΝΗΠΙΑΓΩΓΕΙΟ ΑΜΦΙΘΕΑ</t>
  </si>
  <si>
    <t>mail@nip-amfith.mes.sch.gr</t>
  </si>
  <si>
    <t>ΣΤΡΕΦΙΟΥ</t>
  </si>
  <si>
    <t>ΝΗΠΙΑΓΩΓΕΙΟ ΣΤΡΕΦΙΟΥ</t>
  </si>
  <si>
    <t>mail@nip-stref.mes.sch.gr</t>
  </si>
  <si>
    <t>ΣΤΡΕΦΙ</t>
  </si>
  <si>
    <t>ΝΗΠΙΑΓΩΓΕΙΟ ΚΑΛΛΙΘΕΑΣ ΜΕΣΣΗΝΙΑΣ</t>
  </si>
  <si>
    <t>ΚΑΛΛΙΘΕΑ ΜΕΣΣΗΝΙΑΣ</t>
  </si>
  <si>
    <t>ΔΗΜΟΤΙΚΟ ΣΧΟΛΕΙΟ ΚΑΛΛΙΘΕΑΣ ΠΥΛΙΑΣ</t>
  </si>
  <si>
    <t>mail@dim-kallith.mes.sch.gr</t>
  </si>
  <si>
    <t>ΠΕΡΙΦΕΡΕΙΑΚΗ Δ/ΝΣΗ Α/ΘΜΙΑΣ ΚΑΙ Β/ΘΜΙΑΣ ΕΚΠ/ΣΗΣ ΣΤΕΡΕΑΣ ΕΛΛΑΔΑΣ</t>
  </si>
  <si>
    <t>ΒΟΙΩΤΙΑΣ</t>
  </si>
  <si>
    <t>ΛΕΒΑΔΕΩΝ</t>
  </si>
  <si>
    <t>Κ.Ε.Σ.Υ. ΒΟΙΩΤΙΑΣ</t>
  </si>
  <si>
    <t>mail@kesy.voi.sch.gr</t>
  </si>
  <si>
    <t>ΛΙΒΑΔΕΙΑ ΒΟΙΩΤΙΑΣ</t>
  </si>
  <si>
    <t>Φίλωνος 35-39</t>
  </si>
  <si>
    <t>ΕΥΒΟΙΑΣ</t>
  </si>
  <si>
    <t>ΧΑΛΚΙΔΕΩΝ</t>
  </si>
  <si>
    <t>ΝΕΑΣ ΑΡΤΑΚΗΣ</t>
  </si>
  <si>
    <t>ΚΕΝΤΡΟ ΕΚΠΑΙΔΕΥΤΙΚΗΣ ΚΑΙ ΣΥΜΒΟΥΛΕΥΤΙΚΗΣ ΥΠΟΣΤΗΡΙΞΗΣ ΕΥΒΟΙΑΣ- ΚΕΣΥ ΕΥΒΟΙΑΣ</t>
  </si>
  <si>
    <t>mail@kesy.eyv.sch.gr</t>
  </si>
  <si>
    <t>ΝΕΑ ΑΡΤΑΚΗ</t>
  </si>
  <si>
    <t>9ο χλμ. ΧΑΛΚΙΔΑΣ - ΨΑΧΝΩΝ</t>
  </si>
  <si>
    <t>ΕΥΡΥΤΑΝΙΑΣ</t>
  </si>
  <si>
    <t>ΚΑΡΠΕΝΗΣΙΟΥ</t>
  </si>
  <si>
    <t>Κ.Ε.Σ.Υ ΕΥΡΥΤΑΝΙΑΣ</t>
  </si>
  <si>
    <t>mail@kesy.eyr.sch.gr</t>
  </si>
  <si>
    <t>ΚΑΡΠΕΝΗΣΙ</t>
  </si>
  <si>
    <t>Κτίρια ΟΑΕΔ, περιοχή Προφήτη Ηλία</t>
  </si>
  <si>
    <t>ΦΘΙΩΤΙΔΑΣ</t>
  </si>
  <si>
    <t>ΛΑΜΙΕΩΝ</t>
  </si>
  <si>
    <t>Κ.Ε.Σ.Υ. ΦΘΙΩΤΙΔΑΣ</t>
  </si>
  <si>
    <t>mail@kesy.fth.sch.gr</t>
  </si>
  <si>
    <t>ΛΑΜΙΑ</t>
  </si>
  <si>
    <t>ΠΑΥΛΟΥ ΜΠΑΚΟΓΙΑΝΝΗ 2</t>
  </si>
  <si>
    <t>ΦΩΚΙΔΑΣ</t>
  </si>
  <si>
    <t>ΔΕΛΦΩΝ</t>
  </si>
  <si>
    <t>ΑΜΦΙΣΣΗΣ</t>
  </si>
  <si>
    <t>ΚΕΣΥ ΦΩΚΙΔΑΣ</t>
  </si>
  <si>
    <t>mail@kesy.fok.sch.gr</t>
  </si>
  <si>
    <t>ΑΜΦΙΣΣΑ</t>
  </si>
  <si>
    <t>ΣΤΑΛΛΟΥ ΚΑΙ ΜΑΡΚΙΔΟΥ</t>
  </si>
  <si>
    <t>ΔΙΕΥΘΥΝΣΗ Δ.Ε. ΒΟΙΩΤΙΑΣ</t>
  </si>
  <si>
    <t>1ο ΗΜΕΡΗΣΙΟ ΓΥΜΝΑΣΙΟ ΛΙΒΑΔΕΙΑΣ</t>
  </si>
  <si>
    <t>mail@1gym-livad.voi.sch.gr</t>
  </si>
  <si>
    <t>ΛΙΒΑΔΕΙΑΣ</t>
  </si>
  <si>
    <t>ΓΙΑΝΝΟΥΤΣΟΥ 25</t>
  </si>
  <si>
    <t>4ο ΔΗΜΟΤΙΚΟ ΣΧΟΛΕΙΟ ΛΙΒΑΔΕΙΑΣ</t>
  </si>
  <si>
    <t>ΕΣΠΕΡΙΝΟ ΓΥΜΝΑΣΙΟ ΜΕ ΛΥΚΕΙΑΚΕΣ ΤΑΞΕΙΣ ΛΙΒΑΔΕΙΑΣ</t>
  </si>
  <si>
    <t>mail@gym-esp-livad.voi.sch.gr</t>
  </si>
  <si>
    <t>ΛΙΒΑΔΕΙΑ</t>
  </si>
  <si>
    <t>7ο ΔΗΜΟΤΙΚΟ ΣΧΟΛΕΙΟ ΛΙΒΑΔΕΙΑΣ</t>
  </si>
  <si>
    <t>ΔΑΥΛΕΙΑΣ</t>
  </si>
  <si>
    <t>ΗΜΕΡΗΣΙΟ ΓΥΜΝΑΣΙΟ ΚΑΙ ΛΥΚΕΙΑΚΕΣ ΤΑΞΕΙΣ ΔΑΥΛΕΙΑΣ ΒΟΙΩΤΙΑΣ</t>
  </si>
  <si>
    <t>mail@gym-davleias.voi.sch.gr</t>
  </si>
  <si>
    <t>ΔΑΥΛΕΙΑ ΒΟΙΩΤΙΑΣ</t>
  </si>
  <si>
    <t>ΔΑΥΛΕΙΑ</t>
  </si>
  <si>
    <t>ΔΗΜΟΤΙΚΟ ΣΧΟΛΕΙΟ ΔΑΥΛΕΙΑΣ</t>
  </si>
  <si>
    <t>ΤΑΝΑΓΡΑΣ</t>
  </si>
  <si>
    <t>ΟΙΝΟΦΥΤΩΝ</t>
  </si>
  <si>
    <t>ΗΜΕΡΗΣΙΟ ΓΕΝΙΚΟ ΛΥΚΕΙΟ ΟΙΝΟΦΥΤΩΝ ΒΟΙΩΤΙΑΣ</t>
  </si>
  <si>
    <t>mail@lyk-oinof.voi.sch.gr</t>
  </si>
  <si>
    <t>ΟΙΝΟΦΥΤΩΝ ΒΟΙΩΤΙΑΣ</t>
  </si>
  <si>
    <t>ΜΠΟΥΜΠΟΥΛΙΝΑΣ 17</t>
  </si>
  <si>
    <t>ΘΗΒΑΣ</t>
  </si>
  <si>
    <t>ΔΗΜΟΤΙΚΟ ΣΧΟΛΕΙΟ ΟΙΝΟΦΥΤΩΝ</t>
  </si>
  <si>
    <t>ΣΧΗΜΑΤΑΡΙΟΥ</t>
  </si>
  <si>
    <t>ΗΜΕΡΗΣΙΟ ΓΕΝΙΚΟ ΛΥΚΕΙΟ ΣΧΗΜΑΤΑΡΙΟΥ ΒΟΙΩΤΙΑΣ</t>
  </si>
  <si>
    <t>mail@lyk-schim.voi.sch.gr</t>
  </si>
  <si>
    <t>ΣΧΗΜΑΤΑΡΙ ΒΟΙΩΤΙΑΣ</t>
  </si>
  <si>
    <t>ΑΝΟΙΞΕΩΣ 33</t>
  </si>
  <si>
    <t>3ο ΔΗΜΟΤΙΚΟ ΣΧΟΛΕΙΟ ΣΧΗΜΑΤΑΡΙΟΥ</t>
  </si>
  <si>
    <t>ΘΗΒΑΙΩΝ</t>
  </si>
  <si>
    <t>ΕΣΠΕΡΙΝΟ ΓΥΜΝΑΣΙΟ ΜΕ Λ.Τ. ΘΗΒΑΣ</t>
  </si>
  <si>
    <t>mail@gym-esp-thivas.voi.sch.gr</t>
  </si>
  <si>
    <t>ΘΗΒΑ</t>
  </si>
  <si>
    <t>ΑΥΛΙΔΟΣ 1</t>
  </si>
  <si>
    <t>1ο ΔΗΜΟΤΙΚΟ ΣΧΟΛΕΙΟ ΘΗΒΑΣ</t>
  </si>
  <si>
    <t>3ο ΗΜΕΡΗΣΙΟ ΓΕΝΙΚΟ ΛΥΚΕΙΟ ΘΗΒΑΣ</t>
  </si>
  <si>
    <t>mail@3lyk-thivas.voi.sch.gr</t>
  </si>
  <si>
    <t>ΚΑΠΟΔΙΣΤΡΙΟΥ 7</t>
  </si>
  <si>
    <t>4ο ΔΗΜΟΤΙΚΟ ΣΧΟΛΕΙΟ ΘΗΒΑΣ</t>
  </si>
  <si>
    <t>3ο ΗΜΕΡΗΣΙΟ ΓΥΜΝΑΣΙΟ ΘΗΒΩΝ</t>
  </si>
  <si>
    <t>mail@3gym-thivas.voi.sch.gr</t>
  </si>
  <si>
    <t>6ο ΔΗΜΟΤΙΚΟ ΣΧΟΛΕΙΟ ΘΗΒΑΣ</t>
  </si>
  <si>
    <t>1ο ΗΜΕΡΗΣΙΟ ΕΠΑΓΓΕΛΜΑΤΙΚΟ ΛΥΚΕΙΟ ΛΙΒΑΔΕΙΑΣ</t>
  </si>
  <si>
    <t>mail@1epal-livad.voi.sch.gr</t>
  </si>
  <si>
    <t>ΔΕΛΦΩΝ 24-26</t>
  </si>
  <si>
    <t>1ο ΗΜΕΡΗΣΙΟ ΕΠΑΓΓΕΛΜΑΤΙΚΟ ΛΥΚΕΙΟ ΘΗΒΑΣ</t>
  </si>
  <si>
    <t>mail@1epal-thivas.voi.sch.gr</t>
  </si>
  <si>
    <t>2o ΧΛΜ ΘΗΒΩΝ - ΧΑΛΚΙΔΑΣ</t>
  </si>
  <si>
    <t>5ο ΔΗΜΟΤΙΚΟ ΣΧΟΛΕΙΟ ΘΗΒΑΣ</t>
  </si>
  <si>
    <t>1ο ΗΜΕΡΗΣΙΟ ΕΠΑΛ ΟΙΝΟΗΣ ΣΧΗΜΑΤΑΡΙΟΥ</t>
  </si>
  <si>
    <t>mail@1epal-schim.voi.sch.gr</t>
  </si>
  <si>
    <t>Σχηματάρι</t>
  </si>
  <si>
    <t>Ανοίξεως 33</t>
  </si>
  <si>
    <t>ΑΣΩΠΙΑΣ</t>
  </si>
  <si>
    <t>ΗΜΕΡΗΣΙΟ ΓΥΜΝΑΣΙΟ ΜΕ Λ.Τ. ΑΣΩΠΙΑΣ ΒΟΙΩΤΙΑΣ</t>
  </si>
  <si>
    <t>mail@gym-asopias.voi.sch.gr</t>
  </si>
  <si>
    <t>ΑΣΩΠΙΑ ΒΟΙΩΤΙΑΣ</t>
  </si>
  <si>
    <t>ΔΗΜΟΤΙΚΟ ΣΧΟΛΕΙΟ ΑΣΩΠΙΑΣ</t>
  </si>
  <si>
    <t>ΑΛΙΑΡΤΟΥ-ΘΕΣΠΙΕΩΝ</t>
  </si>
  <si>
    <t>ΑΛΙΑΡΤΟΥ</t>
  </si>
  <si>
    <t>ΗΜΕΡΗΣΙΟ ΓΕΝΙΚΟ ΛΥΚΕΙΟ ΑΛΙΑΡΤΟΥ ΒΟΙΩΤΙΑΣ</t>
  </si>
  <si>
    <t>mail@lyk-aliart.voi.sch.gr</t>
  </si>
  <si>
    <t>ΑΛΙΑΡΤΟΣ</t>
  </si>
  <si>
    <t>Λ. ΔΗΜΟΚΡΑΤΙΑΣ 6</t>
  </si>
  <si>
    <t>1ο ΔΗΜΟΤΙΚΟ ΣΧΟΛΕΙΟ ΑΛΙΑΡΤΟΥ</t>
  </si>
  <si>
    <t>ΟΡΧΟΜΕΝΟΥ</t>
  </si>
  <si>
    <t>ΗΜΕΡΗΣΙΟ ΓΕΝΙΚΟ ΛΥΚΕΙΟ ΟΡΧΟΜΕΝΟΥ ΒΟΙΩΤΙΑΣ</t>
  </si>
  <si>
    <t>mail@lyk-orchom.voi.sch.gr</t>
  </si>
  <si>
    <t>ΟΡΧΟΜΕΝΟΣ  ΒΟΙΩΤΙΑΣ</t>
  </si>
  <si>
    <t>2ο ΔΗΜΟΤΙΚΟ ΣΧΟΛΕΙΟ ΟΡΧΟΜΕΝΟΥ</t>
  </si>
  <si>
    <t>1ο ΗΜΕΡΗΣΙΟ ΓΕΝΙΚΟ ΛΥΚΕΙΟ ΘΗΒΑΣ-ΑΜΦΙΩΝ</t>
  </si>
  <si>
    <t>mail@1lyk-thivas.voi.sch.gr</t>
  </si>
  <si>
    <t>ΠΑΡΟΔΟΣ ΚΑΣΣΑΝΔΡΟΥ ΔΕΞΑΜΕΝΗ ΠΥΡΙ 1</t>
  </si>
  <si>
    <t>2ο ΔΗΜΟΤΙΚΟ ΣΧΟΛΕΙΟ ΘΗΒΑΣ</t>
  </si>
  <si>
    <t>ΘΕΣΠΙΕΩΝ</t>
  </si>
  <si>
    <t>ΘΕΣΠΙΩΝ</t>
  </si>
  <si>
    <t>ΗΣΙΟΔΕΙΟ ΓΕΝΙΚΟ ΛΥΚΕΙΟ ΘΕΣΠΙΩΝ</t>
  </si>
  <si>
    <t>mail@lyk-thesp.voi.sch.gr</t>
  </si>
  <si>
    <t>ΘΕΣΠΙΕΣ</t>
  </si>
  <si>
    <t>ΘΕΣΠΙΕΣ ΒΟΙΩΤΙΑΣ</t>
  </si>
  <si>
    <t>ΔΙΣΤΟΜΟΥ - ΑΡΑΧΟΒΑΣ - ΑΝΤΙΚΥΡΑΣ</t>
  </si>
  <si>
    <t>ΔΙΣΤΟΜΟΥ</t>
  </si>
  <si>
    <t>ΗΜΕΡΗΣΙΟ ΓΕΝΙΚΟ ΛΥΚΕΙΟ ΠΑΡΑΛΙΑΣ ΔΙΣΤΟΜΟΥ</t>
  </si>
  <si>
    <t>mail@lyk-par-distom.voi.sch.gr</t>
  </si>
  <si>
    <t>ΠΑΡΑΛΙΑ ΔΙΣΤΟΜΟΥ</t>
  </si>
  <si>
    <t>ΚΕΝΤΡΙΚΗ ΠΛΑΤΕΙΑ</t>
  </si>
  <si>
    <t>ΔΗΜΟΤΙΚΟ ΣΧΟΛΕΙΟ ΠΑΡΑΛΙΑΣ ΔΙΣΤΟΜΟΥ</t>
  </si>
  <si>
    <t>ΑΡΑΧΟΒΗΣ</t>
  </si>
  <si>
    <t>ΗΜΕΡΗΣΙΟ ΓΕΝΙΚΟ ΛΥΚΕΙΟ ΑΡΑΧΩΒΑΣ ΒΟΙΩΤΙΑΣ</t>
  </si>
  <si>
    <t>mail@lyk-arach.voi.sch.gr</t>
  </si>
  <si>
    <t>ΑΡΑΧΩΒΑ</t>
  </si>
  <si>
    <t>Ελ. Βενιζέλου &amp; Λαού</t>
  </si>
  <si>
    <t>ΔΗΜΟΤΙΚΟ ΣΧΟΛΕΙΟ ΑΡΑΧΩΒΑΣ</t>
  </si>
  <si>
    <t>2ο ΗΜΕΡΗΣΙΟ ΓΕΝΙΚΟ ΛΥΚΕΙΟ ΘΗΒΩΝ - ΚΑΔΜΕΙΟ</t>
  </si>
  <si>
    <t>mail@2lyk-thivas.voi.sch.gr</t>
  </si>
  <si>
    <t>3ο  ΔΗΜΟΤΙΚΟ ΣΧΟΛΕΙΟ ΘΗΒΑΣ</t>
  </si>
  <si>
    <t>ΒΑΓΙΩΝ</t>
  </si>
  <si>
    <t>ΗΜΕΡΗΣΙΟ ΓΕΝΙΚΟ ΛΥΚΕΙΟ ΒΑΓΙΩΝ ΒΟΙΩΤΙΑΣ - ΚΑΒΕΙΡΙΟ</t>
  </si>
  <si>
    <t>mail@lyk-vagion.voi.sch.gr</t>
  </si>
  <si>
    <t xml:space="preserve">ΒΑΓΙΑ </t>
  </si>
  <si>
    <t>2ο ΔΗΜΟΤΙΚΟ ΣΧΟΛΕΙΟ ΒΑΓΙΩΝ</t>
  </si>
  <si>
    <t>1ο ΗΜΕΡΗΣΙΟ ΓΕΝΙΚΟ ΛΥΚΕΙΟ ΛΙΒΑΔΕΙΑΣ</t>
  </si>
  <si>
    <t>mail@1lyk-livad.voi.sch.gr</t>
  </si>
  <si>
    <t>ΤΕΡΜΑ ΕΡΚΥΝΑΣ</t>
  </si>
  <si>
    <t>10ο ΔΗΜΟΤΙΚΟ ΣΧΟΛΕΙΟ ΛΙΒΑΔΕΙΑΣ</t>
  </si>
  <si>
    <t>ΗΜΕΡΗΣΙΟ ΓΕΝΙΚΟ ΛΥΚΕΙΟ ΔΙΣΤΟΜΟΥ ΒΟΙΩΤΙΑΣ</t>
  </si>
  <si>
    <t>mail@lyk-distom.voi.sch.gr</t>
  </si>
  <si>
    <t>ΔΙΣΤΟΜΟ ΒΟΙΩΤΙΑΣ</t>
  </si>
  <si>
    <t>ΤΑΚΗ ΛΑΠΠΑ</t>
  </si>
  <si>
    <t>ΔΗΜΟΤΙΚΟ ΣΧΟΛΕΙΟ ΔΙΣΤΟΜΟΥ</t>
  </si>
  <si>
    <t>ΑΚΡΑΙΦΝΙΑΣ</t>
  </si>
  <si>
    <t>ΑΚΡΑΙΦΝΙΟΥ</t>
  </si>
  <si>
    <t>ΓΥΜΝΑΣΙΟ ΜΕ ΛΥΚΕΙΑΚΕΣ ΤΑΞΕΙΣ ΑΚΡΑΙΦΝΙΟΥ</t>
  </si>
  <si>
    <t>mail@gym-akraifn.voi.sch.gr</t>
  </si>
  <si>
    <t>ΑΚΡΑΙΦΝΙΟ ΒΟΙΩΤΙΑΣ</t>
  </si>
  <si>
    <t>ΔΗΜΟΤΙΚΟ ΣΧΟΛΕΙΟ ΑΚΡΑΙΦΝΙΟΥ</t>
  </si>
  <si>
    <t>1ο ΗΜΕΡΗΣΙΟ ΓΥΜΝΑΣΙΟ ΟΡΧΟΜΕΝΟΥ ΒΟΙΩΤΙΑΣ</t>
  </si>
  <si>
    <t>mail@1gym-orchom.voi.sch.gr</t>
  </si>
  <si>
    <t>ΟΡΧΟΜΕΝΟΣ ΒΟΙΩΤΙΑΣ</t>
  </si>
  <si>
    <t>ΕΚ ΛΙΒΑΔΕΙΑΣ</t>
  </si>
  <si>
    <t>mail@1sek-livad.voi.sch.gr</t>
  </si>
  <si>
    <t>ΔΕΛΦΩΝ 24 -26</t>
  </si>
  <si>
    <t>ΔΕΡΒΕΝΟΧΩΡΙΩΝ</t>
  </si>
  <si>
    <t>ΗΜΕΡΗΣΙΟ ΓΥΜΝΑΣΙΟ ΠΥΛΗΣ ΒΟΙΩΤΙΑΣ - ΓΥΜΝΑΣΙΟ ΠΥΛΗΣ ΜΕ ΛΥΚΕΙΑΚΕΣ ΤΑΞΕΙΣ</t>
  </si>
  <si>
    <t>mail@gym-pylis.voi.sch.gr</t>
  </si>
  <si>
    <t>ΠΥΛΗΣ ΒΟΙΩΤΙΑΣ</t>
  </si>
  <si>
    <t>ΠΥΛΗ ΒΟΙΩΤΙΑΣ</t>
  </si>
  <si>
    <t>ΔΗΜΟΤΙΚΟ ΣΧΟΛΕΙΟ ΠΥΛΗΣ ΒΟΙΩΤΙΑΣ</t>
  </si>
  <si>
    <t>ΗΜΕΡΗΣΙΟ ΓΥΜΝΑΣΙΟ ΑΓΙΟΥ ΓΕΩΡΓΙΟΥ ΒΟΙΩΤΙΑΣ</t>
  </si>
  <si>
    <t>mail@gym-ag-georg.voi.sch.gr</t>
  </si>
  <si>
    <t>ΑΓΙΟΣ ΓΕΩΡΓΙΟΣ ΒΟΙΩΤΙΑΣ</t>
  </si>
  <si>
    <t>ΔΗΜΟΤΙΚΟ ΣΧΟΛΕΙΟ ΑΓΙΟΥ ΓΕΩΡΓΙΟΥ ΒΟΙΩΤΙΑΣ</t>
  </si>
  <si>
    <t>2ο ΗΜΕΡΗΣΙΟ ΓΥΜΝΑΣΙΟ ΛΙΒΑΔΕΙΑΣ</t>
  </si>
  <si>
    <t>mail@2gym-livad.voi.sch.gr</t>
  </si>
  <si>
    <t>Λιβαδειά</t>
  </si>
  <si>
    <t>ΡΟΥΜΕΛΗΣ ΚΑΙ ΠΛΑΤΑΙΩΝ</t>
  </si>
  <si>
    <t>6ο ΔΗΜΟΤΙΚΟ ΣΧΟΛΕΙΟ ΛΙΒΑΔΕΙΑΣ</t>
  </si>
  <si>
    <t>1ο ΕΣΠΕΡΙΝΟ ΕΠΑΛ ΑΛΙΑΡΤΟΣ</t>
  </si>
  <si>
    <t>mail@1epal-esp-aliart.voi.sch.gr</t>
  </si>
  <si>
    <t>Λ.ΔΗΜΟΚΡΑΤΙΑΣ 15</t>
  </si>
  <si>
    <t>ΗΜΕΡΗΣΙΟ ΓΥΜΝΑΣΙΟ ΘΕΣΠΙΩΝ</t>
  </si>
  <si>
    <t>mail@gym-thesp.voi.sch.gr</t>
  </si>
  <si>
    <t>3ο ΗΜΕΡΗΣΙΟ ΓΥΜΝΑΣΙΟ ΛΙΒΑΔΕΙΑΣ</t>
  </si>
  <si>
    <t>mail@3gym-livad.voi.sch.gr</t>
  </si>
  <si>
    <t>1ο ΗΜΕΡΗΣΙΟ ΓΥΜΝΑΣΙΟ ΘΗΒΑΣ- ΙΣΜΗΝΙΟ</t>
  </si>
  <si>
    <t>mail@1gym-thivas.voi.sch.gr</t>
  </si>
  <si>
    <t>ΠΕΡΙΦΕΡΕΙΑΚΟΣ ΑΓ.ΤΡΙΑΔΟΣ</t>
  </si>
  <si>
    <t>1ο ΗΜΕΡΗΣΙΟ ΓΥΜΝΑΣΙΟ ΑΛΙΑΡΤΟΥ - ΕΛΙΚΩΝΙΔΕΣ ΜΟΥΣΕΣ</t>
  </si>
  <si>
    <t>mail@gym-aliart.voi.sch.gr</t>
  </si>
  <si>
    <t xml:space="preserve">ΑΛΙΑΡΤΟΣ -ΒΟΙΩΤΙΑΣ </t>
  </si>
  <si>
    <t>Λ. ΔΗΜΟΚΡΑΤΙΑΣ ΚΑΙ ΔΙΟΜΗΔΗ ΚΟΜΝΗΝΟΥ</t>
  </si>
  <si>
    <t>ΠΛΑΤΑΙΩΝ</t>
  </si>
  <si>
    <t>ΚΑΠΑΡΕΛΛΙΟΥ</t>
  </si>
  <si>
    <t>1ο ΗΜΕΡΗΣΙΟ ΓΥΜΝΑΣΙΟ ΚΑΠΑΡΕΛΛΙΟΥ ΒΟΙΩΤΙΑΣ - ΧΡΗΣΤΟΣ ΠΑΠΑΘΑΝΑΣΙΟΥ</t>
  </si>
  <si>
    <t>mail@gym-kapar.voi.sch.gr</t>
  </si>
  <si>
    <t>ΚΑΠΑΡΕΛΛΙΟΥ ΒΟΙΩΤΙΑΣ</t>
  </si>
  <si>
    <t>ΚΑΠΑΡΕΛΛΙ</t>
  </si>
  <si>
    <t>ΔΗΜΟΤΙΚΟ ΣΧΟΛΕΙΟ ΚΑΠΑΡΕΛΛΙΟΥ</t>
  </si>
  <si>
    <t>5ο ΗΜΕΡΗΣΙΟ ΓΥΜΝΑΣΙΟ ΘΗΒΑΣ - ΠΕΛΟΠΙΔΕΙΟ</t>
  </si>
  <si>
    <t>mail@5gym-thivas.voi.sch.gr</t>
  </si>
  <si>
    <t>ΠΕΡΓΑΜΟΥ 37</t>
  </si>
  <si>
    <t>9ο ΔΗΜΟΤΙΚΟ ΣΧΟΛΕΙΟ ΘΗΒΑΣ</t>
  </si>
  <si>
    <t>ΘΙΣΒΗΣ</t>
  </si>
  <si>
    <t>ΔΟΜΒΡΑΙΝΗΣ</t>
  </si>
  <si>
    <t>ΓΥΜΝΑΣΙΟ ΚΑΙ ΛΥΚΕΙΑΚΕΣ ΤΑΞΕΙΣ ΔΟΜΒΡΑΙΝΑΣ</t>
  </si>
  <si>
    <t>mail@gym-domvr.voi.sch.gr</t>
  </si>
  <si>
    <t>ΒΟΙΩΤΙΑ</t>
  </si>
  <si>
    <t>ΔΟΜΒΡΑΙΝΑ</t>
  </si>
  <si>
    <t>ΔΗΜΟΤΙΚΟ ΣΧΟΛΕΙΟ ΔΟΜΒΡΑΙΝΑΣ</t>
  </si>
  <si>
    <t>ΗΜΕΡΗΣΙΟ ΓΥΜΝΑΣΙΟ ΟΙΝΟΦΥΤΩΝ ΒΟΙΩΤΙΑΣ</t>
  </si>
  <si>
    <t>mail@gym-oinof.voi.sch.gr</t>
  </si>
  <si>
    <t>ΟΙΝΟΦΥΤΑ ΒΟΙΩΤΙΑΣ</t>
  </si>
  <si>
    <t>ΜΠΟΥΜΠΟΥΛΙΝΑΣ 28</t>
  </si>
  <si>
    <t>4ο ΗΜΕΡΗΣΙΟ ΓΥΜΝΑΣΙΟ ΛΙΒΑΔΕΙΑΣ - ΠΛΟΥΤΑΡΧΕΙΟ</t>
  </si>
  <si>
    <t>mail@4gym-livad.voi.sch.gr</t>
  </si>
  <si>
    <t>ΔΙΑΓΟΡΑ 2</t>
  </si>
  <si>
    <t>1ο ΔΗΜΟΤΙΚΟ ΣΧΟΛΕΙΟ ΛΙΒΑΔΕΙΑΣ</t>
  </si>
  <si>
    <t>4ο ΗΜΕΡΗΣΙΟ ΓΥΜΝΑΣΙΟ ΘΗΒΑΣ "ΗΡΑΚΛΕΙΟ"</t>
  </si>
  <si>
    <t>mail@4gym-thivas.voi.sch.gr</t>
  </si>
  <si>
    <t>ΑΙΣΧΥΛΟΥ 12</t>
  </si>
  <si>
    <t>7ο ΔΗΜΟΤΙΚΟ ΣΧΟΛΕΙΟ ΘΗΒΑΣ</t>
  </si>
  <si>
    <t>2ο ΗΜΕΡΗΣΙΟ ΓΥΜΝΑΣΙΟ ΘΗΒΑΣ - ΠΙΝΔΑΡΕΙΟ ΓΥΜΝΑΣΙΟ ΘΗΒΑΣ</t>
  </si>
  <si>
    <t>mail@2gym-thivas.voi.sch.gr</t>
  </si>
  <si>
    <t>2ο ΗΜΕΡΗΣΙΟ ΓΥΜΝΑΣΙΟ ΟΡΧΟΜΕΝΟΥ ΒΟΙΩΤΙΑΣ</t>
  </si>
  <si>
    <t>mail@2gym-orchom.voi.sch.gr</t>
  </si>
  <si>
    <t>ΤΕΡΜΑ ΓΥΜΝΑΣΤΗΡΙΟΥ</t>
  </si>
  <si>
    <t>ΗΜΕΡΗΣΙΟ ΓΥΜΝΑΣΙΟ ΑΡΑΧΟΒΑΣ ΒΟΙΩΤΙΑΣ - ΚΑΡΑΪΣΚΑΚΕΙΟ</t>
  </si>
  <si>
    <t>gymarach@sch.gr</t>
  </si>
  <si>
    <t>ΑΡΑΧΟΒΑ</t>
  </si>
  <si>
    <t>ΓΥΜΝΑΣΙΟ ΑΡΑΧΟΒΑΣ</t>
  </si>
  <si>
    <t>ΑΝΤΙΚΥΡΑΣ</t>
  </si>
  <si>
    <t>ΓΥΜΝΑΣΙΟ ΑΝΤΙΚΥΡΑΣ</t>
  </si>
  <si>
    <t>mail@gym-antik.voi.sch.gr</t>
  </si>
  <si>
    <t>ΑΝΤΙΚΥΡΑ ΒΟΙΩΤΙΑΣ</t>
  </si>
  <si>
    <t>ΑΝΤΙΚΥΡΑ</t>
  </si>
  <si>
    <t>ΔΗΜΟΤΙΚΟ ΣΧΟΛΕΙΟ ΑΝΤΙΚΥΡΑΣ</t>
  </si>
  <si>
    <t>ΗΜΕΡΗΣΙΟ ΓΥΜΝΑΣΙΟ ΣΧΗΜΑΤΑΡΙ - ΓΥΜΝΑΣΙΟ ΣΧΗΜΑΤΑΡΙΟΥ</t>
  </si>
  <si>
    <t>mail@gym-schim.voi.sch.gr</t>
  </si>
  <si>
    <t>ΣΧΗΜΑΤΑΡΙ</t>
  </si>
  <si>
    <t>1ο ΔΗΜΟΤΙΚΟ ΣΧΟΛΕΙΟ ΣΧΗΜΑΤΑΡΙΟΥ</t>
  </si>
  <si>
    <t>ΗΜΕΡΗΣΙΟ ΓΥΜΝΑΣΙΟ ΔΙΣΤΟΜΟΥ ΒΟΙΩΤΙΑΣ</t>
  </si>
  <si>
    <t>mail@gym-distom.voi.sch.gr</t>
  </si>
  <si>
    <t>ΙΩΑΝΝΟΥ ΜΠΑΡΛΟΥ 1</t>
  </si>
  <si>
    <t>ΚΥΡΙΑΚΙΟΥ</t>
  </si>
  <si>
    <t>ΗΜΕΡΗΣΙΟ ΓΥΜΝΑΣΙΟ - Λ.Τ. ΚΥΡΙΑΚΙΟΥ</t>
  </si>
  <si>
    <t>mail@gym-kyriak.voi.sch.gr</t>
  </si>
  <si>
    <t>ΚΥΡΙΑΚΙ</t>
  </si>
  <si>
    <t>ΔΗΜΟΤΙΚΟ ΣΧΟΛΕΙΟ ΚΥΡΙΑΚΙΟΥ</t>
  </si>
  <si>
    <t>2ο ΗΜΕΡΗΣΙΟ ΓΕΝΙΚΟ ΛΥΚΕΙΟ ΛΙΒΑΔΕΙΑΣ</t>
  </si>
  <si>
    <t>mail@2lyk-livad.voi.sch.gr</t>
  </si>
  <si>
    <t>ΗΜΕΡΗΣΙΟ ΓΥΜΝΑΣΙΟ ΒΑΓΙΩΝ ΒΟΙΩΤΙΑΣ - ΜΗΤΡΟΣ ΜΠΙΝΙΑΡΗΣ</t>
  </si>
  <si>
    <t>mail@gym-vagion.voi.sch.gr</t>
  </si>
  <si>
    <t>ΒΑΓΙΑ</t>
  </si>
  <si>
    <t>ΕΚ ΘΗΒΑΣ - ΕΡΓΑΣΤΗΡΙΑΚΟ ΚΕΝΤΡΟ</t>
  </si>
  <si>
    <t>mail@sek-thivas.voi.sch.gr</t>
  </si>
  <si>
    <t>ΑΓΙΟΙ ΘΕΟΔΩΡΟΙ  2ο χλμ Θηβών - Χαλκίδας</t>
  </si>
  <si>
    <t>ΛΟΥΤΟΥΦΙΟΥ</t>
  </si>
  <si>
    <t>ΕΕΕΕΚ ΘΗΒΑ - ΕΕΕΕΚ ΘΗΒΑΣ</t>
  </si>
  <si>
    <t>mail@eeeek-thivas.voi.sch.gr</t>
  </si>
  <si>
    <t>ΛΟΥΤΟΥΦΙ</t>
  </si>
  <si>
    <t>ΧΑΙΡΩΝΕΙΑΣ</t>
  </si>
  <si>
    <t>Ε.Ε.Ε.ΕΚ ΛΙΒΑΔΕΙΑΣ</t>
  </si>
  <si>
    <t>eeeekliv@sch.gr</t>
  </si>
  <si>
    <t>ΛΕΙΒΑΔΙΑ</t>
  </si>
  <si>
    <t>Χαιρώνεια</t>
  </si>
  <si>
    <t>ΔΗΜΟΤΙΚΟ ΣΧΟΛΕΙΟ ΧΑΙΡΩΝΕΙΑΣ</t>
  </si>
  <si>
    <t>ΕΣΠΕΡΙΝΟ ΕΠΑΛ ΛΙΒΑΔΕΙΑΣ</t>
  </si>
  <si>
    <t>mail@epal-esp-livad.voi.sch.gr</t>
  </si>
  <si>
    <t>ΜΟΥΣΙΚΟ ΓΥΜΝΑΣΙΟ ΛΙΒΑΔΕΙΑΣ</t>
  </si>
  <si>
    <t>mail@gym-mous-livad.voi.sch.gr</t>
  </si>
  <si>
    <t>ΑΓΙΟΣ ΓΕΩΡΓΙΟΣ  BΟΙΩΤΙΑΣ</t>
  </si>
  <si>
    <t>ΔΙΕΥΘΥΝΣΗ Δ.Ε. ΕΥΒΟΙΑΣ</t>
  </si>
  <si>
    <t>ΚΑΡΥΣΤΟΥ</t>
  </si>
  <si>
    <t>ΣΤΥΡΕΩΝ</t>
  </si>
  <si>
    <t>ΣΤΥΡΩΝ</t>
  </si>
  <si>
    <t>ΗΜΕΡΗΣΙΟ ΓΥΜΝΑΣΙΟ - ΛΥΚΕΙΑΚΕΣ ΤΑΞΕΙΣ ΣΤΥΡΩΝ ΕΥΒΟΙΑΣ</t>
  </si>
  <si>
    <t>mail@gym-styron.eyv.sch.gr</t>
  </si>
  <si>
    <t>ΣΤΥΡΑ ΕΥΒΟΙΑΣ</t>
  </si>
  <si>
    <t>ΕΠΑΡΧΙΑΚΗ ΟΔΟΣ ΛΕΠΟΥΡΩΝ-ΚΑΡΥΣΤΟΥ</t>
  </si>
  <si>
    <t>ΔΗΜΟΤΙΚΟ ΣΧΟΛΕΙΟ ΣΤΥΡΩΝ</t>
  </si>
  <si>
    <t>ΛΗΛΑΝΤΙΩΝ</t>
  </si>
  <si>
    <t>ΗΜΕΡΗΣΙΟ ΓΕΝΙΚΟ ΛΥΚΕΙΟ ΒΑΣΙΛΙΚΟΥ ΕΥΒΟΙΑΣ</t>
  </si>
  <si>
    <t>mail@lyk-vasil.eyv.sch.gr</t>
  </si>
  <si>
    <t>ΒΑΣΙΛΙΚΟ ΕΥΒΟΙΑΣ</t>
  </si>
  <si>
    <t>ΚΑΡΑΙΣΚΑΚΗ 3</t>
  </si>
  <si>
    <t>ΧΑΛΚΙΔΑΣ</t>
  </si>
  <si>
    <t>1ο ΔΗΜΟΤΙΚΟ ΣΧΟΛΕΙΟ ΒΑΣΙΛΙΚΟΥ</t>
  </si>
  <si>
    <t>ΣΚΥΡΟΥ</t>
  </si>
  <si>
    <t>ΗΜΕΡΗΣΙΟ ΓΥΜΝΑΣΙΟ ΣΚΥΡΟΥ</t>
  </si>
  <si>
    <t>mail@gym-skyrou.eyv.sch.gr</t>
  </si>
  <si>
    <t>ΣΚΥΡΟΣ</t>
  </si>
  <si>
    <t>ΔΗΜΟΤΙΚΟ ΣΧΟΛΕΙΟ ΣΚΥΡΟΥ</t>
  </si>
  <si>
    <t>ΔΙΡΦΥΩΝ-ΜΕΣΣΑΠΙΩΝ</t>
  </si>
  <si>
    <t>ΜΕΣΣΑΠΙΩΝ</t>
  </si>
  <si>
    <t>ΨΑΧΝΩΝ</t>
  </si>
  <si>
    <t>ΗΜΕΡΗΣΙΟ ΓΕΝΙΚΟ ΛΥΚΕΙΟ ΨΑΧΝΑ ΕΥΒΟΙΑΣ</t>
  </si>
  <si>
    <t>mail@lyk-psachn.eyv.sch.gr</t>
  </si>
  <si>
    <t>ΨΑΧΝΑ ΕΥΒΟΙΑΣ</t>
  </si>
  <si>
    <t>ΠΑΠΑΔΙΑΜΑΝΤΗ</t>
  </si>
  <si>
    <t>3ο ΔΗΜΟΤΙΚΟ ΣΧΟΛΕΙΟ ΨΑΧΝΩΝ</t>
  </si>
  <si>
    <t>1ο ΕΣΠΕΡΙΝΟ ΓΕΝΙΚΟ ΛΥΚΕΙΟ ΧΑΛΚΙΔΑΣ</t>
  </si>
  <si>
    <t>mail@lyk-esp-chalk.eyv.sch.gr</t>
  </si>
  <si>
    <t>ΧΑΛΚΙΔΑ</t>
  </si>
  <si>
    <t>28ης ΟΚΤΩΒΡΙΟΥ 1</t>
  </si>
  <si>
    <t>2ο ΔΗΜΟΤΙΚΟ ΣΧΟΛΕΙΟ ΧΑΛΚΙΔΑΣ</t>
  </si>
  <si>
    <t>ΜΑΝΤΟΥΔΙΟΥ-ΛΙΜΝΗΣ-ΑΓΙΑΣ ΑΝΝΑΣ</t>
  </si>
  <si>
    <t>ΝΗΛΕΩΣ</t>
  </si>
  <si>
    <t>ΑΓΙΑΣ ΑΝΝΗΣ</t>
  </si>
  <si>
    <t>ΗΜΕΡΗΣΙΟ ΓΥΜΝΑΣΙΟ ΜΕ ΛΥΚΕΙΑΚΕΣ ΤΑΞΕΙΣ ΑΓΙΑΣ ΑΝΝΑΣ</t>
  </si>
  <si>
    <t>mail@gym-ag-annas.eyv.sch.gr</t>
  </si>
  <si>
    <t>ΑΓΙΑ ΑΝΝΑ ΕΥΒΟΙΑΣ</t>
  </si>
  <si>
    <t>ΑΓΙΑ ΑΝΝΑ</t>
  </si>
  <si>
    <t>ΔΗΜΟΤΙΚΟ ΣΧΟΛΕΙΟ ΑΓΙΑΣ ΑΝΝΑΣ</t>
  </si>
  <si>
    <t>4ο ΗΜΕΡΗΣΙΟ ΓΥΜΝΑΣΙΟ ΧΑΛΚΙΔΑΣ</t>
  </si>
  <si>
    <t>mail@4gym-chalk.eyv.sch.gr</t>
  </si>
  <si>
    <t>1ο ΗΜΕΡΗΣΙΟ ΕΠΑΛ ΚΑΡΥΣΤΟΥ</t>
  </si>
  <si>
    <t>mail@1epal-karyst.eyv.sch.gr</t>
  </si>
  <si>
    <t>ΚΑΡΥΣΤΟΣ</t>
  </si>
  <si>
    <t>ΤΕΡΜΑ ΑΙΟΛΟΥ</t>
  </si>
  <si>
    <t>1ο ΔΗΜΟΤΙΚΟ ΣΧΟΛΕΙΟ ΚΑΡΥΣΤΟΥ - ΚΟΤΣΙΚΕΙΟ</t>
  </si>
  <si>
    <t>2ο ΗΜΕΡΗΣΙΟ ΕΠΑΛ ΧΑΛΚΙΔΑΣ</t>
  </si>
  <si>
    <t>mail@2epal-chalk.eyv.sch.gr</t>
  </si>
  <si>
    <t>ΚΑΡΑΓΙΑΝΝΗ &amp; ΑΝΤΙΓΟΝΟΥ 2</t>
  </si>
  <si>
    <t>26ο ΔΗΜΟΤΙΚΟ ΣΧΟΛΕΙΟ ΧΑΛΚΙΔΑΣ</t>
  </si>
  <si>
    <t>ΚΗΡΕΩΣ</t>
  </si>
  <si>
    <t>ΜΑΝΤΟΥΔΙΟΥ</t>
  </si>
  <si>
    <t>1ο ΗΜΕΡΗΣΙΟ ΕΠΑΛ ΜΑΝΤΟΥΔΙΟΥ ΕΥΒΟΙΑΣ</t>
  </si>
  <si>
    <t>mail@1epal-mantoud.eyv.sch.gr</t>
  </si>
  <si>
    <t>ΜΑΝΤΟΥΔΙ ΕΥΒΟΙΑΣ</t>
  </si>
  <si>
    <t>ΜΑΝΤΟΥΔΙ</t>
  </si>
  <si>
    <t>ΛΙΜΝΗΣ</t>
  </si>
  <si>
    <t>ΔΗΜΟΤΙΚΟ ΣΧΟΛΕΙΟ  ΜΑΝΤΟΥΔΙΟΥ</t>
  </si>
  <si>
    <t>ΙΣΤΙΑΙΑΣ-ΑΙΔΗΨΟΥ</t>
  </si>
  <si>
    <t>ΙΣΤΙΑΙΑΣ</t>
  </si>
  <si>
    <t>1ο ΗΜΕΡΗΣΙΟ ΕΠΑΛ ΙΣΤΙΑΙΑΣ - ΤΕΕ-ΕΠΑΛ ΙΣΤΙΑΙΑΣ</t>
  </si>
  <si>
    <t>mail@1epal-istiaias.eyv.sch.gr</t>
  </si>
  <si>
    <t>ΙΣΤΙΑΙΑ</t>
  </si>
  <si>
    <t>1ο ΔΗΜΟΤΙΚΟ ΣΧΟΛΕΙΟ ΙΣΤΙΑΙΑΣ</t>
  </si>
  <si>
    <t>3ο ΗΜΕΡΗΣΙΟ ΓΕΝΙΚΟ ΛΥΚΕΙΟ ΧΑΛΚΙΔΑΣ ΕΥΒΟΙΑΣ</t>
  </si>
  <si>
    <t>mail@3lyk-chalk.eyv.sch.gr</t>
  </si>
  <si>
    <t>ΧΑΛΚΙΔΑ ΕΥΒΟΙΑΣ</t>
  </si>
  <si>
    <t>11ο ΔΗΜΟΤΙΚΟ ΣΧΟΛΕΙΟ ΧΑΛΚΙΔΑΣ</t>
  </si>
  <si>
    <t>3ο ΕΣΠΕΡΙΝΟ ΕΠΑΛ ΧΑΛΚΙΔΑΣ</t>
  </si>
  <si>
    <t>mail@3epal-esp-chalk.eyv.sch.gr</t>
  </si>
  <si>
    <t>ΚΑΡΑΓΙΑΝΝΗ ΚΑΙ ΑΝΤΙΓΟΝΟΥ 2</t>
  </si>
  <si>
    <t>2ο ΗΜΕΡΗΣΙΟ ΓΕΝΙΚΟ ΛΥΚΕΙΟ ΧΑΛΚΙΔΑΣ κωδικός σχολείου 1251020</t>
  </si>
  <si>
    <t>mail@2lyk-chalk.eyv.sch.gr</t>
  </si>
  <si>
    <t>ΑΥΛΙΔΑΣ 1-ΧΑΛΚΙΔΑ</t>
  </si>
  <si>
    <t>ΑΙΔΗΨΟΥ</t>
  </si>
  <si>
    <t>ΛΟΥΤΡΩΝ ΑΙΔΗΨΟΥ</t>
  </si>
  <si>
    <t>ΗΜΕΡΗΣΙΟ ΓΕΝΙΚΟ ΛΥΚΕΙΟ ΛΟΥΤΡΩΝ ΑΙΔΗΨΟΥ ΕΥΒΟΙΑΣ</t>
  </si>
  <si>
    <t>mail@lyk-loutr.eyv.sch.gr</t>
  </si>
  <si>
    <t>ΛΟΥΤΡΩΝ ΑΙΔΗΨΟΥ ΕΥΒΟΙΑΣ</t>
  </si>
  <si>
    <t>ΗΡΩΩΝ  ΠΟΛΥΤΕΧΝΕΙΟΥ ΤΕΡΜΑ - ΛΟΥΤΡΑ ΑΙΔΗΨΟΥ</t>
  </si>
  <si>
    <t>ΔΗΜΟΤΙΚΟ ΣΧΟΛΕΙΟ ΛΟΥΤΡΩΝ ΑΙΔΗΨΟΥ</t>
  </si>
  <si>
    <t>ΚΥΜΗΣ-ΑΛΙΒΕΡΙΟΥ</t>
  </si>
  <si>
    <t>ΑΥΛΩΝΑΡΙΟΥ</t>
  </si>
  <si>
    <t>ΗΜΕΡΗΣΙΟ ΓΕΝΙΚΟ ΛΥΚΕΙΟ ΑΥΛΩΝΑΡΙΟΥ</t>
  </si>
  <si>
    <t>mail@lyk-avlon.eyv.sch.gr</t>
  </si>
  <si>
    <t>ΑΥΛΩΝΑΡΙ</t>
  </si>
  <si>
    <t>ΧΑΝΙΑ ΑΥΛΩΝΑΡΙΟΥ</t>
  </si>
  <si>
    <t>ΔΗΜΟΤΙΚΟ ΣΧΟΛΕΙΟ ΑΥΛΩΝΑΡΙΟΥ</t>
  </si>
  <si>
    <t>ΑΥΛΙΔΟΣ</t>
  </si>
  <si>
    <t>ΗΜΕΡΗΣΙΟ ΓΕΝΙΚΟ ΛΥΚΕΙΟ ΒΑΘΕΟΣ ΑΥΛΙΔΑΣ</t>
  </si>
  <si>
    <t>mail@lyk-vatheos.eyv.sch.gr</t>
  </si>
  <si>
    <t>ΑΥΛΙΔΑ</t>
  </si>
  <si>
    <t>ΒΑΘΥ ΑΥΛΙΔΑΣ</t>
  </si>
  <si>
    <t>ΔΗΜΟΤΙΚΟ ΣΧΟΛΕΙΟ ΒΑΘΕΟΣ ΑΥΛΙΔΟΣ</t>
  </si>
  <si>
    <t>ΗΜΕΡΗΣΙΟ ΓΕΝΙΚΟ ΛΥΚΕΙΟ ΚΥΜΗΣ ΕΥΒΟΙΑΣ</t>
  </si>
  <si>
    <t>mail@lyk-kymis.eyv.sch.gr</t>
  </si>
  <si>
    <t>ΚΥΜΗΣ ΕΥΒΟΙΑΣ</t>
  </si>
  <si>
    <t>ΑΡΙΣΤΕΙΔΟΥ 13</t>
  </si>
  <si>
    <t>1ο ΔΗΜΟΤΙΚΟ ΣΧΟΛΕΙΟ ΚΥΜΗΣ</t>
  </si>
  <si>
    <t>ΗΜΕΡΗΣΙΟ ΓΕΝΙΚΟ ΛΥΚΕΙΟ ΜΑΝΤΟΥΔΙΟΥ ΕΥΒΟΙΑΣ</t>
  </si>
  <si>
    <t>mail@lyk-mantoud.eyv.sch.gr</t>
  </si>
  <si>
    <t>ΜΑΝΤΟΥΔΙ  ΕΥΒΟΙΑΣ</t>
  </si>
  <si>
    <t>ΑΜΑΡΥΝΘΙΩΝ</t>
  </si>
  <si>
    <t>ΑΜΑΡΥΝΘΟΥ</t>
  </si>
  <si>
    <t>ΓΕΝΙΚΟ ΛΥΚΕΙΟ ΑΜΑΡΥΝΘΟΥ ΕΥΒΟΙΑΣ</t>
  </si>
  <si>
    <t>mail@lyk-amarynth.eyv.sch.gr</t>
  </si>
  <si>
    <t>ΑΜΑΡΥΝΘΟΣ ΕΥΒΟΙΑΣ</t>
  </si>
  <si>
    <t>ΚΩΝΣΤΑΝΤΙΝΟΥ ΤΣΙΛΙΚΟΥΝΑ 25</t>
  </si>
  <si>
    <t>1ο ΔΗΜΟΤΙΚΟ ΣΧΟΛΕΙΟ ΑΜΑΡΥΝΘΟΥ</t>
  </si>
  <si>
    <t>ΕΛΥΜΝΙΩΝ</t>
  </si>
  <si>
    <t>ΗΜΕΡΗΣΙΟ ΓΕΝΙΚΟ ΛΥΚΕΙΟ ΛΙΜΝΗ ΕΥΒΟΙΑΣ</t>
  </si>
  <si>
    <t>mail@lyk-limnis.eyv.sch.gr</t>
  </si>
  <si>
    <t>ΛΙΜΝΗ ΕΥΒΟΙΑΣ</t>
  </si>
  <si>
    <t>ΔΗΜΟΤΙΚΟ ΣΧΟΛΕΙΟ ΛΙΜΝΗΣ</t>
  </si>
  <si>
    <t>ΗΜΕΡΗΣΙΟ ΓΕΝΙΚΟ ΛΥΚΕΙΟ ΕΡΕΤΡΙΑΣ</t>
  </si>
  <si>
    <t>mail@lyk-eretr.eyv.sch.gr</t>
  </si>
  <si>
    <t>2ο ΔΗΜΟΤΙΚΟ ΣΧΟΛΕΙΟ ΕΡΕΤΡΙΑΣ</t>
  </si>
  <si>
    <t>ΗΜΕΡΗΣΙΟ ΓΕΝΙΚΟ ΛΥΚΕΙΟ ΚΑΝΗΘΟΥ - ΧΑΛΚΙΔΑ</t>
  </si>
  <si>
    <t>mail@lyk-kanith.eyv.sch.gr</t>
  </si>
  <si>
    <t>ΚΑΝΗΘΟΥ - ΧΑΛΚΙΔΑ</t>
  </si>
  <si>
    <t>21ο ΔΗΜΟΤΙΚΟ ΣΧΟΛΕΙΟ ΧΑΛΚΙΔΑΣ</t>
  </si>
  <si>
    <t>ΚΟΝΙΣΤΡΩΝ</t>
  </si>
  <si>
    <t>1ο ΗΜΕΡΗΣΙΟ ΕΠΑΛ ΚΟΝΙΣΤΡΩΝ - ΕΠΑΛ ΚΟΝΙΣΤΡΩΝ</t>
  </si>
  <si>
    <t>mail@1epal-konistr.eyv.sch.gr</t>
  </si>
  <si>
    <t>ΚΟΝΙΣΤΡΕΣ - ΕΥΒΟΙΑΣ</t>
  </si>
  <si>
    <t>ΛΙΑΝΟΠΟΥΛΟΥ 5</t>
  </si>
  <si>
    <t>ΔΗΜΟΤΙΚΟ ΣΧΟΛΕΙΟ ΚΟΝΙΣΤΡΩΝ</t>
  </si>
  <si>
    <t>ΗΜΕΡΗΣΙΟ ΓΕΝΙΚΟ ΛΥΚΕΙΟ ΝΕΑΣ ΑΡΤΑΚΗΣ ΕΥΒΟΙΑΣ</t>
  </si>
  <si>
    <t>mail@lyk-n-artak.eyv.sch.gr</t>
  </si>
  <si>
    <t>ΝΕΑ ΑΡΤΑΚΗ ΕΥΒΟΙΑΣ</t>
  </si>
  <si>
    <t>ΠΕΡΙΟΧΗ Ν. ΚΥΖΙΚΟΣ</t>
  </si>
  <si>
    <t>1ο ΔΗΜΟΤΙΚΟ ΣΧΟΛΕΙΟ ΝΕΑΣ ΑΡΤΑΚΗΣ</t>
  </si>
  <si>
    <t>1ο ΗΜΕΡΗΣΙΟ ΓΕΝΙΚΟ ΛΥΚΕΙΟ ΧΑΛΚΙΔΑΣ ΕΥΒΟΙΑΣ</t>
  </si>
  <si>
    <t>mail@1lyk-chalk.eyv.sch.gr</t>
  </si>
  <si>
    <t>ΚΑΤΣΙΚΟΓΙΑΝΝΗ 14Α</t>
  </si>
  <si>
    <t>4ο ΔΗΜΟΤΙΚΟ ΣΧΟΛΕΙΟ ΧΑΛΚΙΔΑΣ</t>
  </si>
  <si>
    <t>ΓΕΝΙΚΟ ΛΥΚΕΙΟ ΚΑΡΥΣΤΟΥ</t>
  </si>
  <si>
    <t>mail@lyk-karyst.eyv.sch.gr</t>
  </si>
  <si>
    <t>ΚΑΡΥΣΤΟΣ ΕΥΒΟΙΑΣ</t>
  </si>
  <si>
    <t>ΚΑΤΑΣΚΗΝΩΣΕΙΣ</t>
  </si>
  <si>
    <t>4ο ΗΜΕΡΗΣΙΟ ΓΕΝΙΚΟ ΛΥΚΕΙΟ ΧΑΛΚΙΔΑΣ</t>
  </si>
  <si>
    <t>mail@4lyk-chalk.eyv.sch.gr</t>
  </si>
  <si>
    <t>ΜΟΝΗΣ ΕΡΙΩΝ ΠΕΙΡΑΪΚΗ ΠΑΤΡΑΪΚΗ</t>
  </si>
  <si>
    <t>25ο ΔΗΜΟΤΙΚΟ ΣΧΟΛΕΙΟ ΧΑΛΚΙΔΑΣ - ΚΩΣΤΗΣ ΣΤΕΦΑΝΟΠΟΥΛΟΣ</t>
  </si>
  <si>
    <t>ΗΜΕΡΗΣΙΟ ΓΕΝΙΚΟ ΛΥΚΕΙΟ ΣΚΥΡΟΥ</t>
  </si>
  <si>
    <t>mail@lyk-skyrou.eyv.sch.gr</t>
  </si>
  <si>
    <t>ΓΕΝΙΚΟ ΛΥΚΕΙΟ ΙΣΤΙΑΙΑΣ</t>
  </si>
  <si>
    <t>mail@lyk-istiaias.eyv.sch.gr</t>
  </si>
  <si>
    <t>1ο ΗΜΕΡΗΣΙΟ ΕΠΑΛ ΧΑΛΚΙΔΑΣ</t>
  </si>
  <si>
    <t>mail@1epal-chalk.eyv.sch.gr</t>
  </si>
  <si>
    <t>1ο ΗΜΕΡΗΣΙΟ ΕΠΑΛ ΨΑΧΝΩΝ</t>
  </si>
  <si>
    <t>mail@1epal-psachn.eyv.sch.gr</t>
  </si>
  <si>
    <t>ΨΑΧΝΑ</t>
  </si>
  <si>
    <t>ΣΤΑΔΙΟΥ 17</t>
  </si>
  <si>
    <t>1ο ΔΗΜΟΤΙΚΟ ΣΧΟΛΕΙΟ ΨΑΧΝΩΝ</t>
  </si>
  <si>
    <t>1ο ΗΜΕΡΗΣΙΟ ΓΥΜΝΑΣΙΟ ΙΣΤΙΑΙΑΣ ΕΥΒΟΙΑΣ</t>
  </si>
  <si>
    <t>mail@gym-istiaias.eyv.sch.gr</t>
  </si>
  <si>
    <t>ΗΜΕΡΗΣΙΟ ΓΥΜΝΑΣΙΟ ΑΥΛΩΝΑΡΙΟΥ</t>
  </si>
  <si>
    <t>mail@gym-avlon.eyv.sch.gr</t>
  </si>
  <si>
    <t>ΤΑΜΥΝΕΩΝ</t>
  </si>
  <si>
    <t>ΑΛΙΒΕΡΙΟΥ</t>
  </si>
  <si>
    <t>ΗΜΕΡΗΣΙΟ ΓΥΜΝΑΣΙΟ ΑΛΙΒΕΡΙΟΥ</t>
  </si>
  <si>
    <t>mail@gym-aliver.eyv.sch.gr</t>
  </si>
  <si>
    <t>ΑΛΙΒΕΡΙ</t>
  </si>
  <si>
    <t>ΙΣΙΝΑΙΩΝ 48</t>
  </si>
  <si>
    <t>1ο ΔΗΜΟΤΙΚΟ ΣΧΟΛΕΙΟ ΑΛΙΒΕΡΙΟΥ</t>
  </si>
  <si>
    <t>ΗΜΕΡΗΣΙΟ ΓΥΜΝΑΣΙΟ ΛΟΥΤΡΩΝ ΑΙΔΗΨΟΥ ΕΥΒΟΙΑΣ</t>
  </si>
  <si>
    <t>mail@gym-loutr.eyv.sch.gr</t>
  </si>
  <si>
    <t>Λ. ΑΙΔΗΨΟΥ ΕΥΒΟΙΑΣ</t>
  </si>
  <si>
    <t>ΤΕΡΜΑ ΗΡΩΩΝ ΠΟΛΥΤΕΧΝΕΙΟΥ</t>
  </si>
  <si>
    <t>ΔΗΜΟΤΙΚΟ ΣΧΟΛΕΙΟ ΑΓΙΟΥ ΓΕΩΡΓΙΟΥ ΛΙΧΑΔΟΣ</t>
  </si>
  <si>
    <t>2ο ΗΜΕΡΗΣΙΟ ΓΥΜΝΑΣΙΟ ΧΑΛΚΙΔΑΣ ΕΥΒΟΙΑΣ</t>
  </si>
  <si>
    <t>mail@2gym-chalk.eyv.sch.gr</t>
  </si>
  <si>
    <t>ΑΥΛΙΔΑΣ - ΕΥΒΟΙΑΣ</t>
  </si>
  <si>
    <t>ΑΡΤΕΜΙΣΙΟΥ</t>
  </si>
  <si>
    <t>ΗΜΕΡΗΣΙΟ ΓΥΜΝΑΣΙΟ ΚΑΙ ΤΡΕΙΣ ΛΥΚΕΙΑΚΕΣ ΤΑΞΕΙΣ ΓΟΥΒΩΝ ΕΥΒΟΙΑΣ - «ΓΕΩΡΓΙΟΣ ΔΡΟΣΙΝΗΣ»</t>
  </si>
  <si>
    <t>mail@gym-gouvon.eyv.sch.gr</t>
  </si>
  <si>
    <t>ΓΟΥΒΩΝ ΕΥΒΟΙΑΣ</t>
  </si>
  <si>
    <t>ΓΟΥΒΕΣ ΕΥΒΟΙΑΣ</t>
  </si>
  <si>
    <t>ΔΗΜΟΤΙΚΟ ΣΧΟΛΕΙΟ ΓΟΥΒΩΝ</t>
  </si>
  <si>
    <t>ΗΜΕΡΗΣΙΟ ΓΥΜΝΑΣΙΟ ΛΙΜΝΗΣ ΕΥΒΟΙΑΣ</t>
  </si>
  <si>
    <t>mail@gym-limnis.eyv.sch.gr</t>
  </si>
  <si>
    <t>ΛΙΜΝΗ</t>
  </si>
  <si>
    <t>ΑΔΕΛΦΩΝ  Κ. ΚΑΛΙΝΤΕΡΗ</t>
  </si>
  <si>
    <t>ΗΜΕΡΗΣΙΟ ΓΥΜΝΑΣΙΟ ΨΑΧΝΩΝ ΕΥΒΟΙΑΣ</t>
  </si>
  <si>
    <t>mail@gym-psachn.eyv.sch.gr</t>
  </si>
  <si>
    <t>ΓΥΜΝΟΥ</t>
  </si>
  <si>
    <t>ΗΜΕΡΗΣΙΟ ΓΥΜΝΑΣΙΟ ΓΥΜΝΟΥ ΕΥΒΟΙΑΣ</t>
  </si>
  <si>
    <t>mail@gym-gymnou.eyv.sch.gr</t>
  </si>
  <si>
    <t>ΓΥΜΝΟ ΕΥΒΟΙΑΣ</t>
  </si>
  <si>
    <t>ΔΗΜΟΤΙΚΟ ΣΧΟΛΕΙΟ ΓΥΜΝΟΥ</t>
  </si>
  <si>
    <t>1ο ΣΕΚ ΑΛΙΒΕΡΙΟΥ</t>
  </si>
  <si>
    <t>mail@1sek-aliver.eyv.sch.gr</t>
  </si>
  <si>
    <t>ΠΛΑΤΩΜΑ ΑΛΙΒΕΡΙΟΥ</t>
  </si>
  <si>
    <t>ΜΑΚΡΥΚΑΠΑΣ</t>
  </si>
  <si>
    <t>ΗΜΕΡΗΣΙΟ ΓΥΜΝΑΣΙΟ ΜΑΚΡΥΚΑΠΑΣ ΕΥΒΟΙΑΣ</t>
  </si>
  <si>
    <t>mail@gym-makryk.eyv.sch.gr</t>
  </si>
  <si>
    <t>ΜΑΚΡΥΚΑΠΑ</t>
  </si>
  <si>
    <t>ΜΑΚΡΥΚΑΠΑ - ΔΗΜΟΣ  ΔΙΡΦΥΩΝ - ΜΕΣΣΑΠΙΩΝ</t>
  </si>
  <si>
    <t>ΔΗΜΟΤΙΚΟ ΣΧΟΛΕΙΟ ΜΑΚΡΥΚΑΠΑΣ</t>
  </si>
  <si>
    <t>ΗΜΕΡΗΣΙΟ ΓΥΜΝΑΣΙΟ ΒΑΣΙΛΙΚΟΥ ΕΥΒΟΙΑΣ</t>
  </si>
  <si>
    <t>gymvasey@sch.gr</t>
  </si>
  <si>
    <t>Χαλκίδα, Εύβοιας</t>
  </si>
  <si>
    <t>ΝΕΟΦΥΤΟΥ 80, ΒΑΣΙΛΙΚΟ, ΔΗΜΟΣ ΧΑΛΚΙΔΕΩΝ</t>
  </si>
  <si>
    <t>ΗΜΕΡΗΣΙΟ ΓΥΜΝΑΣΙΟ ΑΜΑΡΥΝΘΟΥ ΕΥΒΟΙΑΣ</t>
  </si>
  <si>
    <t>mail@gym-amarynth.eyv.sch.gr</t>
  </si>
  <si>
    <t>ΠΡΟΚΟΠΙΟΥ</t>
  </si>
  <si>
    <t>ΗΜΕΡΗΣΙΟ ΓΥΜΝΑΣΙΟ ΠΡΟΚΟΠΙΟΥ ΕΥΒΟΙΑΣ</t>
  </si>
  <si>
    <t>mail@gym-prokop.eyv.sch.gr</t>
  </si>
  <si>
    <t>ΠΡΟΚΟΠΙ ΕΥΒΟΙΑΣ</t>
  </si>
  <si>
    <t>ΠΡΟΚΟΠΙ</t>
  </si>
  <si>
    <t>ΔΗΜΟΤΙΚΟ ΣΧΟΛΕΙΟ ΠΡΟΚΟΠΙΟΥ</t>
  </si>
  <si>
    <t>5ο ΗΜΕΡΗΣΙΟ ΓΥΜΝΑΣΙΟ ΧΑΛΚΙΔΑΣ ΕΥΒΟΙΑΣ</t>
  </si>
  <si>
    <t>mail@5gym-chalk.eyv.sch.gr</t>
  </si>
  <si>
    <t>ΜΑΡΙΟΥ ΔΟΞΑΚΗ ΚΑΙ ΜΟΝΗΣ ΕΡΙΩΝ</t>
  </si>
  <si>
    <t>3ο ΗΜΕΡΗΣΙΟ ΓΥΜΝΑΣΙΟ ΧΑΛΚΙΔΑΣ ΕΥΒΟΙΑΣ</t>
  </si>
  <si>
    <t>mail@3gym-chalk.eyv.sch.gr</t>
  </si>
  <si>
    <t>ΠΡΟΑΣΤΙΟΥ 26</t>
  </si>
  <si>
    <t>ΔΗΜΟΤΙΚΟ ΣΧΟΛΕΙΟ ΝΕΑΣ ΛΑΜΨΑΚΟΥ</t>
  </si>
  <si>
    <t>1ο ΗΜΕΡΗΣΙΟ ΓΥΜΝΑΣΙΟ ΧΑΛΚΙΔΑΣ ΕΥΒΟΙΑΣ</t>
  </si>
  <si>
    <t>mail@1gym-chalk.eyv.sch.gr</t>
  </si>
  <si>
    <t>ΧΑΛΚΙΔΑΣ ΕΥΒΟΙΑΣ</t>
  </si>
  <si>
    <t>ΣΑΜΑΡΤΖΗ 27</t>
  </si>
  <si>
    <t>ΓΥΜΝΑΣΙΟ ΚΑΝΗΘΟΥ ΧΑΛΚΙΔΑΣ</t>
  </si>
  <si>
    <t>mail@gym-kanith.eyv.sch.gr</t>
  </si>
  <si>
    <t>ΚΕΦΑΛΑ 64</t>
  </si>
  <si>
    <t>7ο ΗΜΕΡΗΣΙΟ ΓΥΜΝΑΣΙΟ ΧΑΛΚΙΔΑΣ ΕΥΒΟΙΑΣ</t>
  </si>
  <si>
    <t>mail@7gym-chalk.eyv.sch.gr</t>
  </si>
  <si>
    <t>ΗΜΕΡΗΣΙΟ ΓΥΜΝΑΣΙΟ ΚΥΜΗΣ ΕΥΒΟΙΑΣ</t>
  </si>
  <si>
    <t>mail@gym-kymis.eyv.sch.gr</t>
  </si>
  <si>
    <t>ΚΥΜΗ  ΕΥΒΟΙΑΣ</t>
  </si>
  <si>
    <t>ΜΑΡΜΑΡΙΟΥ</t>
  </si>
  <si>
    <t>ΗΜΕΡΗΣΙΟ ΓΥΜΝΑΣΙΟ ΜΑΡΜΑΡΙΟΥ ΕΥΒΟΙΑΣ</t>
  </si>
  <si>
    <t>mail@gym-marmar.eyv.sch.gr</t>
  </si>
  <si>
    <t>ΜΑΡΜΑΡΙ ΕΥΒΟΙΑΣ</t>
  </si>
  <si>
    <t>ΜΑΡΜΑΡΙ</t>
  </si>
  <si>
    <t>ΔΗΜΟΤΙΚΟ ΣΧΟΛΕΙΟ ΜΑΡΜΑΡΙΟΥ</t>
  </si>
  <si>
    <t>6ο ΗΜΕΡΗΣΙΟ ΓΥΜΝΑΣΙΟ ΧΑΛΚΙΔΑΣ ΕΥΒΟΙΑΣ</t>
  </si>
  <si>
    <t>mail@6gym-chalk.eyv.sch.gr</t>
  </si>
  <si>
    <t xml:space="preserve">ΧΑΛΚΙΔΑ </t>
  </si>
  <si>
    <t>ΔΥΣΤΙΩΝ</t>
  </si>
  <si>
    <t>ΚΡΙΕΖΩΝ</t>
  </si>
  <si>
    <t>ΗΜΕΡΗΣΙΟ ΓΥΜΝΑΣΙΟ ΚΡΙΕΖΩΝ</t>
  </si>
  <si>
    <t>mail@gym-kriez.eyv.sch.gr</t>
  </si>
  <si>
    <t>ΚΡΙΕΖΑ</t>
  </si>
  <si>
    <t>ΔΗΜΟΤΙΚΟ ΣΧΟΛΕΙΟ ΚΡΙΕΖΩΝ</t>
  </si>
  <si>
    <t>ΗΜΕΡΗΣΙΟ ΓΥΜΝΑΣΙΟ ΒΑΘΕΟΣ ΑΥΛΙΔΑΣ</t>
  </si>
  <si>
    <t>mail@gym-vatheos.eyv.sch.gr</t>
  </si>
  <si>
    <t>ΒΑΘΥ ΑΥΛΙΔΟΣ</t>
  </si>
  <si>
    <t>ΝΕΑΣ ΛΑΜΨΑΚΟΥ</t>
  </si>
  <si>
    <t>ΗΜΕΡΗΣΙΟ ΓΥΜΝΑΣΙΟ ΝΕΑΣ ΛΑΜΨΑΚΟΥ - ΑΝΑΞΑΓΟΡΕΙΟ</t>
  </si>
  <si>
    <t>mail@gym-n-lamps.eyv.sch.gr</t>
  </si>
  <si>
    <t>ΝΕΑ ΛΑΜΨΑΚΟΣ</t>
  </si>
  <si>
    <t>ΔΗΜΟΤΙΚΟ ΣΧΟΛΕΙΟ ΦΑΡΟΥ ΑΥΛΙΔΑΣ</t>
  </si>
  <si>
    <t>ΔΙΡΦΥΩΝ</t>
  </si>
  <si>
    <t>ΣΤΕΝΗΣ ΔΙΡΦΥΟΣ</t>
  </si>
  <si>
    <t>ΗΜΕΡΗΣΙΟ ΓΥΜΝΑΣΙΟ ΣΤΕΝΗΣ ΕΥΒΟΙΑΣ</t>
  </si>
  <si>
    <t>mail@gym-stenis.eyv.sch.gr</t>
  </si>
  <si>
    <t>ΣΤΕΝΗ ΕΥΒΟΙΑΣ</t>
  </si>
  <si>
    <t>ΔΗΜΟΤΙΚΟ ΣΧΟΛΕΙΟ ΑΝΩ ΣΤΕΝΗΣ ΕΥΒΟΙΑΣ</t>
  </si>
  <si>
    <t>ΗΜΕΡΗΣΙΟ ΓΥΜΝΑΣΙΟ ΚΑΡΥΣΤΟΥ ΕΥΒΟΙΑΣ</t>
  </si>
  <si>
    <t>mail@gym-karyst.eyv.sch.gr</t>
  </si>
  <si>
    <t>ΤΕΡΜΑ  ΑΙΟΛΟΥ</t>
  </si>
  <si>
    <t>1ο ΗΜΕΡΗΣΙΟ ΓΥΜΝΑΣΙΟ ΕΡΕΤΡΙΑΣ ΕΥΒΟΙΑΣ</t>
  </si>
  <si>
    <t>mail@gym-eretr.eyv.sch.gr</t>
  </si>
  <si>
    <t>ΑΡΧΑΙΟΥ ΘΕΑΤΡΟΥ - ΕΡΕΤΡΙΑ</t>
  </si>
  <si>
    <t>ΚΑΘΕΝΩΝ</t>
  </si>
  <si>
    <t>ΗΜΕΡΗΣΙΟ ΓΥΜΝΑΣΙΟ ΚΑΘΕΝΩΝ ΕΥΒΟΙΑΣ</t>
  </si>
  <si>
    <t>mail@gym-kathen.eyv.sch.gr</t>
  </si>
  <si>
    <t>ΚΑΘΕΝΟΙ ΕΥΒΟΙΑΣ</t>
  </si>
  <si>
    <t>ΚΑΘΕΝΟΙ</t>
  </si>
  <si>
    <t>ΔΗΜΟΤΙΚΟ ΣΧΟΛΕΙΟ ΣΤΡΟΠΩΝΩΝ</t>
  </si>
  <si>
    <t>ΕΣΠΕΡΙΝΟ ΓΥΜΝΑΣΙΟ ΧΑΛΚΙΔΑΣ</t>
  </si>
  <si>
    <t>mail@gym-esp-chalk.eyv.sch.gr</t>
  </si>
  <si>
    <t>ΓΥΜΝΑΣΙΟ ΝΕΑΣ ΑΡΤΑΚΗΣ</t>
  </si>
  <si>
    <t>mail@gym-n-artak.eyv.sch.gr</t>
  </si>
  <si>
    <t>ΤΕΡΜΑ ΕΛΛΗΣΠΟΝΤΟΥ</t>
  </si>
  <si>
    <t>2ο ΗΜΕΡΗΣΙΟ ΓΕΝΙΚΟ ΛΥΚΕΙΟ ΑΛΙΒΕΡΙΟΥ Ν. ΕΥΒΟΙΑΣ</t>
  </si>
  <si>
    <t>mail@2lyk-aliver.eyv.sch.gr</t>
  </si>
  <si>
    <t>ΗΜΕΡΗΣΙΟ ΓΥΜΝΑΣΙΟ ΜΑΝΤΟΥΔΙΟΥ</t>
  </si>
  <si>
    <t>mail@gym-mantoud.eyv.sch.gr</t>
  </si>
  <si>
    <t>ΗΜΕΡΗΣΙΟ ΓΥΜΝΑΣΙΟ ΚΟΝΙΣΤΡΩΝ</t>
  </si>
  <si>
    <t>mail@gym-konistr.eyv.sch.gr</t>
  </si>
  <si>
    <t>ΚΟΝΙΣΤΡΕΣ</t>
  </si>
  <si>
    <t>ΛΙΑΝΟΠΟΥΛΟΥ 150</t>
  </si>
  <si>
    <t>1ο ΗΜΕΡΗΣΙΟ ΓΕΝΙΚΟ ΛΥΚΕΙΟ ΑΛΙΒΕΡΙΟΥ ΕΥΒΟΙΑΣ</t>
  </si>
  <si>
    <t>mail@1lyk-aliver.eyv.sch.gr</t>
  </si>
  <si>
    <t>ΛΕΒΕΝΤΗ 2</t>
  </si>
  <si>
    <t>ΗΜΕΡΗΣΙΟ ΓΕΝΙΚΟ ΛΥΚΕΙΟ ΚΟΝΙΣΤΡΕΣ ΕΥΒΟΙΑΣ - ΓΕΝΙΚΟ ΛΥΚΕΙΟ ΚΟΝΙΣΤΡΩΝ</t>
  </si>
  <si>
    <t>mail@lyk-konistr.eyv.sch.gr</t>
  </si>
  <si>
    <t>ΚΟΝΙΣΤΡΕΣ ΕΥΒΟΙΑΣ</t>
  </si>
  <si>
    <t>1ο ΗΜΕΡΗΣΙΟ ΓΥΜΝΑΣΙΟ ΩΡΕΩΝ ΑΓΙΟΣ ΙΑΚΩΒΟΣ Ο ΕΝ ΕΥΒΟΙΑ</t>
  </si>
  <si>
    <t>mail@gym-oreon.eyv.sch.gr</t>
  </si>
  <si>
    <t>ΩΡΕΟΙ</t>
  </si>
  <si>
    <t>ΔΗΜΟΤΙΚΟ ΣΧΟΛΕΙΟ ΩΡΕΩΝ</t>
  </si>
  <si>
    <t>1ο ΕΚ ΧΑΛΚΙΔΑΣ</t>
  </si>
  <si>
    <t>mail@1sek-eyvoias.eyv.sch.gr</t>
  </si>
  <si>
    <t>ΚΑΡΑΓΙΑΝΝΗ - ΑΝΤΙΓΟΝΟΥ 2</t>
  </si>
  <si>
    <t>ΕΕΕΕΚ ΧΑΛΚΙΔΑ - ΝΟΜΟΥ ΕΥΒΟΙΑΣ</t>
  </si>
  <si>
    <t>mail@eeeek.eyv.sch.gr</t>
  </si>
  <si>
    <t>ΟΔΟΣ ΔΥΟ ΔΕΝΤΡΩΝ ΒΑΘΡΟΒΟΥΝΙ ΧΑΛΚΙΔΑ</t>
  </si>
  <si>
    <t>ΑΝΘΗΔΩΝΟΣ</t>
  </si>
  <si>
    <t>ΓΥΜΝΑΣΙΟ ΔΡΟΣΙΑΣ ΕΥΒΟΙΑΣ</t>
  </si>
  <si>
    <t>mail@gym-drosias.eyv.sch.gr</t>
  </si>
  <si>
    <t>Θ. ΚΟΛΟΚΟΤΡΩΝΗ 10</t>
  </si>
  <si>
    <t>ΔΗΜΟΤΙΚΟ ΣΧΟΛΕΙΟ ΚΑΛΟΧΩΡΙΟΥ-ΠΑΝΤΕΙΧΙΟΥ</t>
  </si>
  <si>
    <t>ΕΝΙΑΙΟ ΕΙΔΙΚΟ ΕΠΑΓΓΕΛΜΑΤΙΚΟ ΓΥΜΝΑΣΙΟ - ΛΥΚΕΙΟ ΕΥΒΟΙΑΣ</t>
  </si>
  <si>
    <t>mail@gym-ee-chalk.eyv.sch.gr</t>
  </si>
  <si>
    <t>ΡΙΤΣΩΝΑ</t>
  </si>
  <si>
    <t>3ο ΧΛΜ ΚΟΜΒΟΣ ΡΙΤΣΩΝΑΣ - ΒΑΘΥ ΑΥΛΙΔΟΣ (ΘΕΣΗ ΜΥΡΤΕΖΑ)</t>
  </si>
  <si>
    <t>ΔΗΜΟΤΙΚΟ ΣΧΟΛΕΙΟ ΔΡΟΣΙΑΣ ΧΑΛΚΙΔΑΣ</t>
  </si>
  <si>
    <t>1ο ΗΜΕΡΗΣΙΟ ΕΠΑΛ ΑΛΙΒΕΡΙ ΕΥΒΟΙΑΣ</t>
  </si>
  <si>
    <t>mail@1epal-aliver.eyv.sch.gr</t>
  </si>
  <si>
    <t>ΑΛΙΒΕΡΙ ΕΥΒΟΙΑΣ</t>
  </si>
  <si>
    <t>ΚΑΛΟΧΩΡΙΟΥ-ΠΑΝΤΕΙΧΙΟΥ</t>
  </si>
  <si>
    <t>ΜΟΥΣΙΚΟ ΓΥΜΝΑΣΙΟ ΧΑΛΚΙΔΑΣ ΜΕ Λ.Τ. "ΝΙΚΟΣ ΣΚΑΛΚΩΤΑΣ"</t>
  </si>
  <si>
    <t>mail@gym-mous-chalk.eyv.sch.gr</t>
  </si>
  <si>
    <t>ΠΑΝΤΕΙΧΙ</t>
  </si>
  <si>
    <t>ΚΑΛΟΧΩΡΙ ΠΑΝΤΕΙΧΙ</t>
  </si>
  <si>
    <t>ΓΕΛ Δροσιάς</t>
  </si>
  <si>
    <t>mail@lyk-drosias.eyv.sch.gr</t>
  </si>
  <si>
    <t>ΔΡΟΣΙΑ ΧΑΛΚΙΔΑΣ</t>
  </si>
  <si>
    <t>ΚΑΜΑΡΙΩΝ</t>
  </si>
  <si>
    <t>Ε.Ε.Ε.Ε.Κ. ΚΑΜΑΡΙΩΝ</t>
  </si>
  <si>
    <t>mail@eeeek-kamarion.eyv.sch.gr</t>
  </si>
  <si>
    <t>ΚΑΜΑΡΙΑ</t>
  </si>
  <si>
    <t>ΚΑΜΑΡΙΑ ΙΣΤΙΑΙΑΣ ΕΥΒΟΙΑΣ</t>
  </si>
  <si>
    <t>ΔΙΕΥΘΥΝΣΗ Δ.Ε. ΕΥΡΥΤΑΝΙΑΣ</t>
  </si>
  <si>
    <t>ΦΟΥΡΝΑ</t>
  </si>
  <si>
    <t>ΦΟΥΡΝΑΣ</t>
  </si>
  <si>
    <t>ΑΛΚΙΒΙΑΔΕΙΟ ΓΥΜΝΑΣΙΟ &amp; ΛΥΚΕΙΑΚΕΣ ΤΑΞΕΙΣ ΓΥΜΝΑΣΙΟΥ ΦΟΥΡΝΑ</t>
  </si>
  <si>
    <t>mail@gym-fourna.eyr.sch.gr</t>
  </si>
  <si>
    <t>ΦΟΥΡΝΑ ΕΥΡΥΤΑΝΙΑΣ</t>
  </si>
  <si>
    <t>ΔΗΜΟΤΙΚΟ ΣΧΟΛΕΙΟ ΦΟΥΡΝΑΣ</t>
  </si>
  <si>
    <t>ΑΓΡΑΦΩΝ</t>
  </si>
  <si>
    <t>ΑΠΕΡΑΝΤΙΩΝ</t>
  </si>
  <si>
    <t>ΓΡΑΝΙΤΣΗΣ</t>
  </si>
  <si>
    <t>ΗΜΕΡΗΣΙΟ ΓΥΜΝΑΣΙΟ ΛΥΚΕΙΑΚΕΣ ΤΑΞΕΙΣ ΓΡΑΝΙΤΣΑΣ- ΓΥΜΝΑΣΙΟ ΛΥΚΕΙΑΚΕΣ ΤΑΞΕΙΣ ΓΡΑΝΙΤΣΑΣ</t>
  </si>
  <si>
    <t>mail@gym-granits.eyr.sch.gr</t>
  </si>
  <si>
    <t>ΓΡΑΝΙΤΣΑ ΕΥΡΥΤΑΝΙΑΣ</t>
  </si>
  <si>
    <t>ΔΗΜΟΤΙΚΟ ΣΧΟΛΕΙΟ ΓΡΑΝΙΤΣΑΣ</t>
  </si>
  <si>
    <t>ΦΡΑΓΚΙΣΤΑΣ</t>
  </si>
  <si>
    <t>ΔΥΤΙΚΗΣ ΦΡΑΓΚΙΣΤΑΣ</t>
  </si>
  <si>
    <t>1ο ΗΜΕΡΗΣΙΟ ΕΠΑΛ ΔΥΤΙΚΗ ΦΡΑΓΚΙΣΤΑ - ΕΠΑ.Λ. ΔΥΤΙΚΗΣ ΦΡΑΓΚΙΣΤΑΣ</t>
  </si>
  <si>
    <t>mail@1epal-fragk.eyr.sch.gr</t>
  </si>
  <si>
    <t>ΔΥΤΙΚΗ ΦΡΑΓΚΙΣΤΑ</t>
  </si>
  <si>
    <t>ΔΗΜΟΤΙΚΟ ΣΧΟΛΕΙΟ ΔΥΤΙΚΗΣ ΦΡΑΓΚΙΣΤΑΣ</t>
  </si>
  <si>
    <t>1ο ΗΜΕΡΗΣΙΟ ΕΠΑΛ ΚΑΡΠΕΝΗΣΙΟΥ - ΕΠΑΛ ΚΑΡΠΕΝΗΣΙΟΥ</t>
  </si>
  <si>
    <t>mail@1epal-karpen.eyr.sch.gr</t>
  </si>
  <si>
    <t>ΕΘΝ. ΟΔΟΣ ΚΑΡΠΕΝΗΣΙΟΥ - ΑΓΡΙΝΙΟΥ</t>
  </si>
  <si>
    <t>1ο ΔΗΜΟΤΙΚΟ ΣΧΟΛΕΙΟ ΚΑΡΠΕΝΗΣΙΟΥ</t>
  </si>
  <si>
    <t>1ο ΗΜΕΡΗΣΙΟ ΓΕΝΙΚΟ ΛΥΚΕΙΟ ΚΑΡΠΕΝΗΣΙΟΥ</t>
  </si>
  <si>
    <t>mail@1lyk-karpen.eyr.sch.gr</t>
  </si>
  <si>
    <t>2ο  ΔΗΜΟΤΙΚΟ ΣΧΟΛΕΙΟ ΚΑΡΠΕΝΗΣΙΟΥ</t>
  </si>
  <si>
    <t>ΑΣΠΡΟΠΟΤΑΜΟΥ</t>
  </si>
  <si>
    <t>ΡΑΠΤΟΠΟΥΛΟΥ</t>
  </si>
  <si>
    <t>ΓΥΜΝΑΣΙΟ-Λ.Τ. ΡΑΠΤΟΠΟΥΛΟΥ ΕΥΡΥΤΑΝΙΑΣ</t>
  </si>
  <si>
    <t>mail@gym-raptop.eyr.sch.gr</t>
  </si>
  <si>
    <t>ΡΑΠΤΟΠΟΥΛΟ  ΕΥΡΥΤΑΝΙΑΣ</t>
  </si>
  <si>
    <t>ΡΑΠΤΟΠΟΥΛΟ ΕΥΡΥΤΑΝΙΑΣ</t>
  </si>
  <si>
    <t>ΔΗΜΟΤΙΚΟ ΣΧΟΛΕΙΟ ΡΑΠΤΟΠΟΥΛΟΥ</t>
  </si>
  <si>
    <t>ΒΙΝΙΑΝΗΣ</t>
  </si>
  <si>
    <t>ΚΕΡΑΣΟΧΩΡΙΟΥ</t>
  </si>
  <si>
    <t>ΗΜΕΡΗΣΙΟ ΓΥΜΝΑΣΙΟ ΛΥΚΕΙΑΚΕΣ ΤΑΞΕΙΣ ΚΕΡΑΣΟΧΩΡΙΟΥ ΕΥΡΥΤΑΝΙΑΣ</t>
  </si>
  <si>
    <t>mail@gym-keras.eyr.sch.gr</t>
  </si>
  <si>
    <t>ΚΕΡΑΣΟΧΩΡΙ ΕΥΡΥΤΑΝΙΑΣ</t>
  </si>
  <si>
    <t>ΔΗΜΟΤΙΚΟ ΣΧΟΛΕΙΟ ΚΡΕΝΤΗΣ</t>
  </si>
  <si>
    <t>ΓΥΜΝΑΣΙΟ ΔΥΤΙΚΗΣ ΦΡΑΓΚΙΣΤΑΣ</t>
  </si>
  <si>
    <t>mail@gym-dyt-fragk.eyr.sch.gr</t>
  </si>
  <si>
    <t>ΔΥΤΙΚΗ  ΦΡΑΓΚΙΣΤΑ</t>
  </si>
  <si>
    <t>1ο ΗΜΕΡΗΣΙΟ ΓΥΜΝΑΣΙΟ ΚΑΡΠΕΝΗΣΙΟΥ</t>
  </si>
  <si>
    <t>mail@gym-karpen.eyr.sch.gr</t>
  </si>
  <si>
    <t>ΠΑΛΑΙΟΚΑΤΟΥΝΑΣ</t>
  </si>
  <si>
    <t>1ο ΗΜΕΡΗΣΙΟ ΓΥΜΝΑΣΙΟ ΠΑΛΑΙΟΚΑΤΟΥΝΑΣ ΕΥΡΥΤΑΝΙΑΣ</t>
  </si>
  <si>
    <t>mail@gym-palaiok.eyr.sch.gr</t>
  </si>
  <si>
    <t>ΠΑΛΑΙΟΚΑΤΟΥΝΑ ΕΥΡΥΤΑΝΙΑΣ</t>
  </si>
  <si>
    <t>1ο ΕΕΕΕΚ ΚΑΡΠΕΝΗΣΙΟΥ</t>
  </si>
  <si>
    <t>mail@eeeek.eyr.sch.gr</t>
  </si>
  <si>
    <t>ΡΟΔΟΥ  6</t>
  </si>
  <si>
    <t>3ο ΔΗΜΟΤΙΚΟ ΣΧΟΛΕΙΟ ΚΑΡΠΕΝΗΣΙΟΥ</t>
  </si>
  <si>
    <t>2ο ΗΜΕΡΗΣΙΟ ΓΥΜΝΑΣΙΟ ΚΑΡΠΕΝΗΣΙΟΥ</t>
  </si>
  <si>
    <t>mail@2gym-karpen.eyr.sch.gr</t>
  </si>
  <si>
    <t>ΑΜΟΡΓΟΥ  6</t>
  </si>
  <si>
    <t>ΔΙΕΥΘΥΝΣΗ Δ.Ε. ΦΘΙΩΤΙΔΑΣ</t>
  </si>
  <si>
    <t>3ο ΗΜΕΡΗΣΙΟ ΓΥΜΝΑΣΙΟ ΛΑΜΙΑΣ - ΜΟΥΣΤΑΚΕΙΟ</t>
  </si>
  <si>
    <t>mail@3gym-lamias.fth.sch.gr</t>
  </si>
  <si>
    <t>ΛΑΜΙΑΣ</t>
  </si>
  <si>
    <t>Σ. ΜΟΥΣΤΑΚΛΗ 6 ΑΦΑΝΟΣ</t>
  </si>
  <si>
    <t>10ο ΔΗΜΟΤΙΚΟ ΣΧΟΛΕΙΟ ΛΑΜΙΑΣ</t>
  </si>
  <si>
    <t>ΑΜΦΙΚΛΕΙΑΣ - ΕΛΑΤΕΙΑΣ</t>
  </si>
  <si>
    <t>ΑΜΦΙΚΛΕΙΑΣ</t>
  </si>
  <si>
    <t>ΗΜΕΡΗΣΙΟ ΓΥΜΝΑΣΙΟ ΑΜΦΙΚΛΕΙΑΣ ΦΘΙΩΤΙΔΑΣ</t>
  </si>
  <si>
    <t>mail@gym-amfikl.fth.sch.gr</t>
  </si>
  <si>
    <t>ΑΜΦΙΚΛΕΙΑ ΦΘΙΩΤΙΔΑΣ</t>
  </si>
  <si>
    <t>ΠΛΑΓΙΑΝΑΚΟΥ ΚΑΙ ΑΓΙΑΣ ΤΡΙΑΔΑΣ</t>
  </si>
  <si>
    <t>ΔΗΜΟΤΙΚΟ ΣΧΟΛΕΙΟ ΑΜΦΙΚΛΕΙΑΣ</t>
  </si>
  <si>
    <t>ΜΑΚΡΑΚΩΜΗΣ</t>
  </si>
  <si>
    <t>ΣΠΕΡΧΕΙΑΔΟΣ</t>
  </si>
  <si>
    <t>ΗΜΕΡΗΣΙΟ ΓΥΜΝΑΣΙΟ ΣΠΕΡΧΕΙΑΔΑΣ ΦΘΙΩΤΙΔΑΣ</t>
  </si>
  <si>
    <t>mail@gym-sperch.fth.sch.gr</t>
  </si>
  <si>
    <t>ΣΠΕΡΧΕΙΑΔΑ ΦΘΙΩΤΙΔΑΣ</t>
  </si>
  <si>
    <t>1ο ΔΗΜΟΤΙΚΟ ΣΧΟΛΕΙΟ ΣΠΕΡΧΕΙΑΔΑΣ</t>
  </si>
  <si>
    <t>ΕΛΑΤΕΙΑΣ</t>
  </si>
  <si>
    <t>ΗΜΕΡΗΣΙΟ ΓΥΜΝΑΣΙΟ ΕΛΑΤΕΙΑΣ ΦΘΙΩΤΙΔΑΣ</t>
  </si>
  <si>
    <t>mail@gym-elateias.fth.sch.gr</t>
  </si>
  <si>
    <t>ΕΛΑΤΕΙΑ  ΦΘΙΩΤΙΔΑΣ</t>
  </si>
  <si>
    <t>ΒΟΡΕΙΟΥ ΗΠΕΙΡΟΥ και ΓΥΜΝΑΣΤΗΡΙΟΥ</t>
  </si>
  <si>
    <t>ΔΗΜΟΤΙΚΟ ΣΧΟΛΕΙΟ ΕΛΑΤΕΙΑΣ</t>
  </si>
  <si>
    <t>ΓΟΡΓΟΠΟΤΑΜΟΥ</t>
  </si>
  <si>
    <t>ΗΜΕΡΗΣΙΟ ΓΥΜΝΑΣΙΟ ΜΟΣΧΟΧΩΡΙΟΥ ΦΘΙΩΤΙΔΑΣ - ΓΥΜΝΑΣΙΟ ΜΟΣΧΟΧΩΡΙΟΥ ΚΑΙ ΛΥΚΕΙΑΚΕΣ ΤΑΞΕΙΣ</t>
  </si>
  <si>
    <t>mail@gym-mosch.fth.sch.gr</t>
  </si>
  <si>
    <t>ΜΟΣΧΟΧΩΡΙΟΥ ΦΘΙΩΤΙΔΑΣ</t>
  </si>
  <si>
    <t>ΜΟΣΧΟΧΩΡΙ ΦΘΙΩΤΙΔΑΣ</t>
  </si>
  <si>
    <t>1ο ΔΗΜΟΤΙΚΟ ΣΧΟΛΕΙΟ ΓΟΡΓΟΠΟΤΑΜΟΥ</t>
  </si>
  <si>
    <t>ΛΟΚΡΩΝ</t>
  </si>
  <si>
    <t>ΜΑΛΕΣΙΝΗΣ</t>
  </si>
  <si>
    <t>ΗΜΕΡΗΣΙΟ ΓΕΝΙΚΟ ΛΥΚΕΙΟ ΜΑΛΕΣΙΝΑΣ ΦΘΙΩΤΙΔΑΣ</t>
  </si>
  <si>
    <t>mail@lyk-males.fth.sch.gr</t>
  </si>
  <si>
    <t>ΜΑΛΕΣΙΝΑΣ ΦΘΙΩΤΙΔΑΣ</t>
  </si>
  <si>
    <t>ΜΑΛΕΣΙΝΑ</t>
  </si>
  <si>
    <t>ΑΤΑΛΑΝΤΗΣ</t>
  </si>
  <si>
    <t>2ο ΔΗΜΟΤΙΚΟ ΣΧΟΛΕΙΟ ΜΑΛΕΣΙΝΑΣ</t>
  </si>
  <si>
    <t>9ο ΗΜΕΡΗΣΙΟ ΓΥΜΝΑΣΙΟ ΛΑΜΙΑΣ</t>
  </si>
  <si>
    <t>mail@9gym-lamias.fth.sch.gr</t>
  </si>
  <si>
    <t>ΤΑΝΑΓΡΑΣ 30 &amp; ΜΗΤΡΟΠΟΛΙΤΟΥ ΑΜΒΡΟΣΙΟΥ</t>
  </si>
  <si>
    <t>ΕΕΕΕΚ ΦΘΙΩΤΙΔΑΣ</t>
  </si>
  <si>
    <t>mail@eeeek.fth.sch.gr</t>
  </si>
  <si>
    <t>ΤΑΝΑΓΡΑΣ-ΜΗΤΡΟΠΟΛΙΤΟΥ ΑΜΒΡΟΣΙΟΥ</t>
  </si>
  <si>
    <t>23ο ΔΗΜΟΤΙΚΟ ΣΧΟΛΕΙΟ ΛΑΜΙΑΣ-ΜΕΓΑΛΗ ΒΡΥΣΗ</t>
  </si>
  <si>
    <t>1ο ΗΜΕΡΗΣΙΟ ΕΠΑΛ ΜΑΚΡΑΚΩΜΗΣ ΦΘΙΩΤΙΔΑΣ</t>
  </si>
  <si>
    <t>mail@1epal-makrak.fth.sch.gr</t>
  </si>
  <si>
    <t>ΜΑΚΡΑΚΩΜΗ ΦΘΙΩΤΙΔΑΣ</t>
  </si>
  <si>
    <t>ΔΗΜΟΤΙΚΟ ΣΧΟΛΕΙΟ ΜΑΚΡΑΚΩΜΗΣ</t>
  </si>
  <si>
    <t>3ο ΕΣΠΕΡΙΝΟ ΕΠΑΛ ΛΑΜΙΑΣ</t>
  </si>
  <si>
    <t>mail@3epal-esp-lamias.fth.sch.gr</t>
  </si>
  <si>
    <t>ΤΕΡΜΑ ΛΑΡΙΣΗΣ-ΓΑΛΑΝΕΪΚΑ</t>
  </si>
  <si>
    <t>17ο ΔΗΜΟΤΙΚΟ ΣΧΟΛΕΙΟ ΛΑΜΙΑΣ</t>
  </si>
  <si>
    <t>1ο ΗΜΕΡΗΣΙΟ ΕΠΑΛ ΑΤΑΛΑΝΤΗΣ</t>
  </si>
  <si>
    <t>mail@1epal-atalant.fth.sch.gr</t>
  </si>
  <si>
    <t>ΑΤΑΛΑΝΤΗ</t>
  </si>
  <si>
    <t>ΣΤΡΑΤΗΓΟΥ  ΔΟΥΜΠΙΩΤΗ   6Α</t>
  </si>
  <si>
    <t>1ο ΔΗΜΟΤΙΚΟ ΣΧΟΛΕΙΟ ΑΤΑΛΑΝΤΗΣ</t>
  </si>
  <si>
    <t>2ο ΗΜΕΡΗΣΙΟ ΕΠΑΛ ΛΑΜΙΑΣ</t>
  </si>
  <si>
    <t>mail@2epal-lamias.fth.sch.gr</t>
  </si>
  <si>
    <t>ΚΑΠΟΔΙΣΤΡΙΟΥ 27</t>
  </si>
  <si>
    <t>1ο Ε.Κ. ΛΑΜΙΑΣ (πρώην ΣΕΚ Λαμίας)</t>
  </si>
  <si>
    <t>mail@1sek-lamias.fth.sch.gr</t>
  </si>
  <si>
    <t>ΤΕΡΜΑ ΛΑΡΙΣΗΣ - ΓΑΛΑΝΕΪΚΑ</t>
  </si>
  <si>
    <t>ΗΜΕΡΗΣΙΟ ΓΕΝΙΚΟ ΛΥΚΕΙΟ ΜΑΚΡΑΚΩΜΗΣ</t>
  </si>
  <si>
    <t>mail@lyk-makrak.fth.sch.gr</t>
  </si>
  <si>
    <t>ΜΑΚΡΑΚΩΜΗ</t>
  </si>
  <si>
    <t>ΕΥΑΓΓΕΛΟΥ ΚΑΛΑΝΤΖΗ 25</t>
  </si>
  <si>
    <t>ΗΜΕΡΗΣΙΟ ΓΕΝΙΚΟ ΛΥΚΕΙΟ ΑΜΦΙΚΛΕΙΑΣ ΦΘΙΩΤΙΔΑΣ</t>
  </si>
  <si>
    <t>mail@lyk-amfikl.fth.sch.gr</t>
  </si>
  <si>
    <t>ΑΜΦΙΚΛΕΙΑ  ΦΘΙΩΤΙΔΑΣ</t>
  </si>
  <si>
    <t>ΠΛΑΓΙΑΝΑΚΟΥ</t>
  </si>
  <si>
    <t>2ο ΗΜΕΡΗΣΙΟ ΓΕΝΙΚΟ ΛΥΚΕΙΟ ΛΑΜΙΑΣ   ΚΩΔ. ΣΧΟΛΕΙΟΥ: 4651020</t>
  </si>
  <si>
    <t>mail@2lyk-lamias.fth.sch.gr</t>
  </si>
  <si>
    <t>ΠΑΠΑΒΑΣΙΛΕΙΟΥ 2</t>
  </si>
  <si>
    <t>11ο ΔΗΜΟΤΙΚΟ ΣΧΟΛΕΙΟ ΛΑΜΙΑΣ</t>
  </si>
  <si>
    <t>1ο ΗΜΕΡΗΣΙΟ ΓΕΝΙΚΟ ΛΥΚΕΙΟ ΛΑΜΙΑΣ</t>
  </si>
  <si>
    <t>mail@1lyk-lamias.fth.sch.gr</t>
  </si>
  <si>
    <t>ΚΩΣΤΗ ΠΑΛΑΜΑ 6</t>
  </si>
  <si>
    <t>16ο ΔΗΜΟΤΙΚΟ ΣΧΟΛΕΙΟ ΛΑΜΙΑΣ</t>
  </si>
  <si>
    <t>5ο ΗΜΕΡΗΣΙΟ ΓΕΝΙΚΟ ΛΥΚΕΙΟ ΛΑΜΙΑΣ</t>
  </si>
  <si>
    <t>mail@5lyk-lamias.fth.sch.gr</t>
  </si>
  <si>
    <t>ΘΡΑΚΗΣ</t>
  </si>
  <si>
    <t>ΥΠΑΤΗΣ</t>
  </si>
  <si>
    <t>ΗΜΕΡΗΣΙΟ ΓΕΝΙΚΟ ΛΥΚΕΙΟ ΥΠΑΤΗΣ ΦΘΙΩΤΙΔΑΣ</t>
  </si>
  <si>
    <t>mail@lyk-ypatis.fth.sch.gr</t>
  </si>
  <si>
    <t>ΥΠΑΤΗΣ ΦΘΙΩΤΙΔΑΣ</t>
  </si>
  <si>
    <t>ΥΠΑΤΗ</t>
  </si>
  <si>
    <t>ΔΗΜΟΤΙΚΟ ΣΧΟΛΕΙΟ ΛΟΥΤΡΩΝ ΥΠΑΤΗΣ</t>
  </si>
  <si>
    <t>3ο ΗΜΕΡΗΣΙΟ ΓΕΝΙΚΟ ΛΥΚΕΙΟ ΛΑΜΙΑΣ - ΜΟΥΣΤΑΚΕΙΟ ΛΥΚΕΙΟ</t>
  </si>
  <si>
    <t>mail@3lyk-lamias.fth.sch.gr</t>
  </si>
  <si>
    <t>ΣΠΥΡΟΥ ΜΟΥΣΤΑΚΛΗ  6  - ΑΦΑΝΟΣ</t>
  </si>
  <si>
    <t>ΕΣΠΕΡΙΝΟ ΓΕΝΙΚΟ ΛΥΚΕΙΟ ΛΑΜΙΑΣ</t>
  </si>
  <si>
    <t>mail@lyk-esp-lamias.fth.sch.gr</t>
  </si>
  <si>
    <t>1ο ΗΜΕΡΗΣΙΟ ΕΠΑΛ ΛΑΜΙΑΣ</t>
  </si>
  <si>
    <t>mail@1epal-lamias.fth.sch.gr</t>
  </si>
  <si>
    <t>ΤΕΡΜΑ ΛΑΡΙΣΗΣ ΓΑΛΑΝΕΙΚΑ</t>
  </si>
  <si>
    <t>ΟΠΟΥΝΤΙΩΝ</t>
  </si>
  <si>
    <t>ΜΑΡΤΙΝΟΥ</t>
  </si>
  <si>
    <t>ΗΜΕΡΗΣΙΟ ΓΕΝΙΚΟ ΛΥΚΕΙΟ ΜΑΡΤΙΝΟΥ ΦΘΙΩΤΙΔΑΣ</t>
  </si>
  <si>
    <t>mail@lyk-martin.fth.sch.gr</t>
  </si>
  <si>
    <t>ΜΑΡΤΙΝΟ ΦΘΙΩΤΙΔΑΣ</t>
  </si>
  <si>
    <t>ΠΛ. Β. ΜΑΥΡΟΒΟΥΝΙΩΤΗ</t>
  </si>
  <si>
    <t>ΔΗΜΟΤΙΚΟ ΣΧΟΛΕΙΟ ΜΑΡΤΙΝΟ</t>
  </si>
  <si>
    <t>4ο ΗΜΕΡΗΣΙΟ ΓΕΝΙΚΟ ΛΥΚΕΙΟ ΛΑΜΙΑΣ</t>
  </si>
  <si>
    <t>mail@4lyk-lamias.fth.sch.gr</t>
  </si>
  <si>
    <t>ΠΑΡΔΑΛΗ 4</t>
  </si>
  <si>
    <t>ΗΜΕΡΗΣΙΟ ΓΕΝΙΚΟ ΛΥΚΕΙΟ ΕΛΑΤΕΙΑΣ</t>
  </si>
  <si>
    <t>mail@lyk-elateias.fth.sch.gr</t>
  </si>
  <si>
    <t>ΕΛΑΤΕΙΑ ΦΘΙΩΤΙΔΑΣ</t>
  </si>
  <si>
    <t>ΒΟΡΕΙΟΥ ΗΠΕΙΡΟΥ</t>
  </si>
  <si>
    <t>ΚΑΜΕΝΩΝ ΒΟΥΡΛΩΝ</t>
  </si>
  <si>
    <t>ΜΩΛΟΥ</t>
  </si>
  <si>
    <t>ΗΜΕΡΗΣΙΟ ΓΕΝΙΚΟ ΛΥΚΕΙΟ ΜΩΛΟΥ ΦΘΙΩΤΙΔΟΣ</t>
  </si>
  <si>
    <t>mail@lyk-molou.fth.sch.gr</t>
  </si>
  <si>
    <t>ΜΩΛΟΣ ΦΘΙΩΤΙΔΟΣ</t>
  </si>
  <si>
    <t>ΘΕΡΜΟΠΥΛΩΝ 30</t>
  </si>
  <si>
    <t>ΔΗΜΟΤΙΚΟ ΣΧΟΛΕΙΟ ΜΩΛΟΥ</t>
  </si>
  <si>
    <t>ΔΑΦΝΟΥΣΙΩΝ</t>
  </si>
  <si>
    <t>ΛΙΒΑΝΑΤΩΝ</t>
  </si>
  <si>
    <t>ΗΜΕΡΗΣΙΟ ΓΕΝΙΚΟ ΛΥΚΕΙΟ ΛΙΒΑΝΑΤΩΝ</t>
  </si>
  <si>
    <t>mail@lyk-livan.fth.sch.gr</t>
  </si>
  <si>
    <t>ΛΙΒΑΝΑΤΕΣ</t>
  </si>
  <si>
    <t>ΛΙΒΑΝΑΤΕΣ ΛΟΚΡΙΔΟΣ</t>
  </si>
  <si>
    <t>ΔΗΜΟΤΙΚΟ ΣΧΟΛΕΙΟ ΛΙΒΑΝΑΤΩΝ</t>
  </si>
  <si>
    <t>ΤΙΘΟΡΕΑΣ</t>
  </si>
  <si>
    <t>ΚΑΤΩ ΤΙΘΟΡΕΑΣ</t>
  </si>
  <si>
    <t>ΗΜΕΡΗΣΙΟ ΓΕΝΙΚΟ ΛΥΚΕΙΟ ΚΑΤΩ ΤΙΘΟΡΕΑΣ ΦΘΙΩΤΙΔΑΣ</t>
  </si>
  <si>
    <t>mail@lyk-kat-tithor.fth.sch.gr</t>
  </si>
  <si>
    <t xml:space="preserve"> ΚΑΤΩ  ΤΙΘΟΡΕΑ  ΦΘΙΩΤΙΔΑΣ</t>
  </si>
  <si>
    <t>ΚΑΤΩ ΤΙΘΟΡΕΑ</t>
  </si>
  <si>
    <t>ΔΗΜΟΤΙΚΟ ΣΧΟΛΕΙΟ ΚΑΤΩ ΤΙΘΟΡΕΑΣ</t>
  </si>
  <si>
    <t>ΗΜΕΡΗΣΙΟ ΓΕΝΙΚΟ ΛΥΚΕΙΟ ΣΠΕΡΧΕΙΑΔΑΣ ΦΘΙΩΤΙΔΑΣ</t>
  </si>
  <si>
    <t>mail@lyk-sperch.fth.sch.gr</t>
  </si>
  <si>
    <t>ΣΠΥΡΙΔΩΝΟΣ ΔΗΜΗΤΡΑΚΟΥ</t>
  </si>
  <si>
    <t>ΗΜΕΡΗΣΙΟ ΓΕΝΙΚΟ ΛΥΚΕΙΟ ΚΑΜΕΝΑ ΒΟΥΡΛΑ ΦΘΙΩΤΙΔΑΣ</t>
  </si>
  <si>
    <t>mail@lyk-kam-vourl.fth.sch.gr</t>
  </si>
  <si>
    <t>ΚΑΜΕΝΑ ΒΟΥΡΛΑ ΦΘΙΩΤΙΔΑΣ</t>
  </si>
  <si>
    <t>ΕΙΚΟΣΤΗΣ ΠΕΜΠΤΗΣ ΜΑΡΤΙΟΥ 1</t>
  </si>
  <si>
    <t>ΔΗΜΟΤΙΚΟ ΣΧΟΛΕΙΟ ΚΑΜΕΝΩΝ ΒΟΥΡΛΩΝ</t>
  </si>
  <si>
    <t>ΔΟΜΟΚΟΥ</t>
  </si>
  <si>
    <t>ΗΜΕΡΗΣΙΟ ΓΕΝΙΚΟ ΛΥΚΕΙΟ ΔΟΜΟΚΟΥ ΦΘΙΩΤΙΔΑΣ</t>
  </si>
  <si>
    <t>mail@lyk-domok.fth.sch.gr</t>
  </si>
  <si>
    <t>ΔΟΜΟΚΟΣ ΦΘΙΩΤΙΔΑΣ</t>
  </si>
  <si>
    <t>ΔΟΜΟΚΟΣ</t>
  </si>
  <si>
    <t>ΔΗΜΟΤΙΚΟ ΣΧΟΛΕΙΟ ΔΟΜΟΚΟΥ</t>
  </si>
  <si>
    <t>ΣΤΥΛΙΔΟΣ</t>
  </si>
  <si>
    <t>ΠΕΛΑΣΓΙΑΣ</t>
  </si>
  <si>
    <t>ΗΜΕΡΗΣΙΟ ΓΕΝΙΚΟ ΛΥΚΕΙΟ ΠΕΛΑΣΓΙΑΣ ΦΘΙΩΤΙΔΑΣ</t>
  </si>
  <si>
    <t>mail@lyk-pelasg.fth.sch.gr</t>
  </si>
  <si>
    <t>ΠΕΛΑΣΓΙΑ</t>
  </si>
  <si>
    <t>ΠΕΛΑΣΓΙΑ ΦΘΙΩΤΙΔΑΣ</t>
  </si>
  <si>
    <t>ΔΗΜΟΤΙΚΟ ΣΧΟΛΕΙΟ ΠΕΛΑΣΓΙΑΣ</t>
  </si>
  <si>
    <t>ΗΜΕΡΗΣΙΟ ΓΕΝΙΚΟ ΛΥΚΕΙΟ ΑΤΑΛΑΝΤΗΣ ΦΘΙΩΤΙΔΑΣ</t>
  </si>
  <si>
    <t>mail@lyk-atalant.fth.sch.gr</t>
  </si>
  <si>
    <t>ΑΤΑΛΑΝΤΗ, ΦΘΙΩΤΙΔΑΣ</t>
  </si>
  <si>
    <t>ΠΑΥΛΟΥ ΜΠΑΚΟΓΙΑΝΝΗ 4</t>
  </si>
  <si>
    <t>ΗΜΕΡΗΣΙΟ ΓΥΜΝΑΣΙΟ ΣΤΥΛΙΔΑΣ</t>
  </si>
  <si>
    <t>mail@gym-stylid.fth.sch.gr</t>
  </si>
  <si>
    <t>ΣΤΥΛΙΔΑ</t>
  </si>
  <si>
    <t>ΑΡΗ ΒΕΛΟΥΧΙΩΤΗ</t>
  </si>
  <si>
    <t>1ο ΔΗΜΟΤΙΚΟ ΣΧΟΛΕΙΟ ΣΤΥΛΙΔΑΣ</t>
  </si>
  <si>
    <t>ΜΟΥΣΙΚΟ ΓΥΜΝΑΣΙΟ ΛΑΜΙΑΣ ΜΕ ΛΥΚΕΙΑΚΕΣ ΤΑΞΕΙΣ</t>
  </si>
  <si>
    <t>mail@gym-mous-lamias.fth.sch.gr</t>
  </si>
  <si>
    <t>ΛΕΩΦΟΡΟΣ ΚΑΛΥΒΙΩΝ 154</t>
  </si>
  <si>
    <t>8ο ΔΗΜΟΤΙΚΟ ΣΧΟΛΕΙΟ ΛΑΜΙΑΣ</t>
  </si>
  <si>
    <t>ΗΜΕΡΗΣΙΟ ΓΥΜΝΑΣΙΟ ΜΑΚΡΑΚΩΜΗΣ</t>
  </si>
  <si>
    <t>mail@gym-makrak.fth.sch.gr</t>
  </si>
  <si>
    <t>ΗΜΕΡΗΣΙΟ ΓΕΝΙΚΟ ΛΥΚΕΙΟ ΣΤΥΛΙΔΑΣ</t>
  </si>
  <si>
    <t>mail@lyk-stylid.fth.sch.gr</t>
  </si>
  <si>
    <t>ΣΤΥΛΙΔΑΣ</t>
  </si>
  <si>
    <t>2ο ΔΗΜΟΤΙΚΟ ΣΧΟΛΕΙΟ ΣΤΥΛΙΔΑΣ</t>
  </si>
  <si>
    <t>6ο ΗΜΕΡΗΣΙΟ ΓΥΜΝΑΣΙΟ ΛΑΜΙΑΣ</t>
  </si>
  <si>
    <t>mail@6gym-lamias.fth.sch.gr</t>
  </si>
  <si>
    <t>ΥΨΗΛΑΝΤΗ &amp; ΤΣΙΡΙΜΩΚΟΥ 2</t>
  </si>
  <si>
    <t>2ο ΔΗΜΟΤΙΚΟ ΣΧΟΛΕΙΟ ΛΑΜΙΑΣ</t>
  </si>
  <si>
    <t>ΗΜΕΡΗΣΙΟ ΓΥΜΝΑΣΙΟ ΑΤΑΛΑΝΤΗΣ  ΦΘΙΩΤΙΔΑΣ</t>
  </si>
  <si>
    <t>mail@gym-atalant.fth.sch.gr</t>
  </si>
  <si>
    <t>ΑΤΑΛΑΝΤΗ ΦΘΙΩΤΙΔΑΣ</t>
  </si>
  <si>
    <t>4ο ΗΜΕΡΗΣΙΟ ΓΥΜΝΑΣΙΟ ΛΑΜΙΑΣ</t>
  </si>
  <si>
    <t>mail@4gym-lamias.fth.sch.gr</t>
  </si>
  <si>
    <t>ΚΩΣΤΗ ΠΑΛΑΜΑ &amp; ΠΑΡΔΑΛΗ 6</t>
  </si>
  <si>
    <t>ΗΜΕΡΗΣΙΟ ΓΥΜΝΑΣΙΟ ΜΑΡΤΙΝΟΥ</t>
  </si>
  <si>
    <t>mail@gym-martin.fth.sch.gr</t>
  </si>
  <si>
    <t>ΜΑΡΤΙΝΟ</t>
  </si>
  <si>
    <t>Πλ. Βάσσου Μαυροβουνιώτη</t>
  </si>
  <si>
    <t>ΡΟΔΙΤΣΗΣ</t>
  </si>
  <si>
    <t>8ο ΗΜΕΡΗΣΙΟ ΓΥΜΝΑΣΙΟ ΛΑΜΙΑΣ</t>
  </si>
  <si>
    <t>mail@8gym-lamias.fth.sch.gr</t>
  </si>
  <si>
    <t>ΡΟΔΙΤΣΑ</t>
  </si>
  <si>
    <t>ΡΟΔΙΤΣΑ ΛΑΜΙΑΣ</t>
  </si>
  <si>
    <t>22ο ΔΗΜΟΤΙΚΟ ΣΧΟΛΕΙΟ ΛΑΜΙΑΣ-ΡΟΔΙΤΣΑ</t>
  </si>
  <si>
    <t>1ο ΗΜΕΡΗΣΙΟ ΓΥΜΝΑΣΙΟ ΥΠΑΤΗΣ ΦΘΙΩΤΙΔΑΣ</t>
  </si>
  <si>
    <t>mail@gym-ypatis.fth.sch.gr</t>
  </si>
  <si>
    <t>ΗΜΕΡΗΣΙΟ ΓΥΜΝΑΣΙΟ ΜΩΛΟΣ ΦΘΙΩΤΙΔΑΣ - ΓΥΜΝΑΣΙΟ ΜΩΛΟΥ</t>
  </si>
  <si>
    <t>mail@gym-molou.fth.sch.gr</t>
  </si>
  <si>
    <t>ΜΩΛΟΣ ΦΘΙΩΤΙΔΑΣ</t>
  </si>
  <si>
    <t>ΗΜΕΡΗΣΙΟ ΓΥΜΝΑΣΙΟ ΠΕΛΑΣΓΙΑΣ ΦΘΙΩΤΙΔΑΣ</t>
  </si>
  <si>
    <t>mail@gym-pelasg.fth.sch.gr</t>
  </si>
  <si>
    <t>ΣΤΥΛΙΔΑ ΦΘΙΩΤΙΔΑΣ</t>
  </si>
  <si>
    <t>ΕΣΠΕΡΙΝΟ ΓΥΜΝΑΣΙΟ ΛΑΜΙΑΣ - ΕΥΑΓΟΡΑΣ ΠΑΛΛΗΚΑΡΙΔΗΣ</t>
  </si>
  <si>
    <t>mail@gym-esp-lamias.fth.sch.gr</t>
  </si>
  <si>
    <t>ΞΥΝΙΑΔΟΣ</t>
  </si>
  <si>
    <t>ΟΜΒΡΙΑΚΗΣ</t>
  </si>
  <si>
    <t>ΗΜΕΡΗΣΙΟ ΓΥΜΝΑΣΙΟ ΟΜΒΡΙΑΚΗΣ ΦΘΙΩΤΙΔΑΣ</t>
  </si>
  <si>
    <t>mail@gym-omvriak.fth.sch.gr</t>
  </si>
  <si>
    <t>ΟΜΒΡΙΑΚΗΣ ΦΘΙΩΤΙΔΑΣ</t>
  </si>
  <si>
    <t>ΟΜΒΡΙΑΚΗ</t>
  </si>
  <si>
    <t>ΔΗΜΟΤΙΚΟ ΣΧΟΛΕΙΟ ΟΜΒΡΙΑΚΗΣ</t>
  </si>
  <si>
    <t>ΗΜΕΡΗΣΙΟ ΓΥΜΝΑΣΙΟ ΔΟΜΟΚΟΥ ΦΘΙΩΤΙΔΑΣ</t>
  </si>
  <si>
    <t>mail@gym-domok.fth.sch.gr</t>
  </si>
  <si>
    <t>ΛΑΡΥΜΝΗΣ</t>
  </si>
  <si>
    <t>ΗΜΕΡΗΣΙΟ ΓΥΜΝΑΣΙΟ ΛΑΡΥΜΝΑΣ</t>
  </si>
  <si>
    <t>mail@gym-larymn.fth.sch.gr</t>
  </si>
  <si>
    <t>ΛΑΡΥΜΝΑ</t>
  </si>
  <si>
    <t>ΜΠΟΔΟΣΑΚΗ 10</t>
  </si>
  <si>
    <t>ΔΗΜΟΤΙΚΟ ΣΧΟΛΕΙΟ ΛΑΡΥΜΝΑΣ</t>
  </si>
  <si>
    <t>2ο ΗΜΕΡΗΣΙΟ ΓΥΜΝΑΣΙΟ ΛΑΜΙΑΣ</t>
  </si>
  <si>
    <t>mail@2gym-lamias.fth.sch.gr</t>
  </si>
  <si>
    <t>ΠΑΠΑΒΑΣΙΛΕΙΟΥ 4</t>
  </si>
  <si>
    <t>ΗΜΕΡΗΣΙΟ ΓΥΜΝΑΣΙΟ ΚΑΤΩ ΤΙΘΟΡΕΑΣ ΦΘΙΩΤΙΔΑΣ</t>
  </si>
  <si>
    <t>mail@gym-kat-tithor.fth.sch.gr</t>
  </si>
  <si>
    <t>ΚΑΤΩ ΤΙΘΟΡΕΑ ΦΘΙΩΤΙΔΑΣ</t>
  </si>
  <si>
    <t>ΗΜΕΡΗΣΙΟ ΓΥΜΝΑΣΙΟ ΜΑΛΕΣΙΝΑΣ ΦΘΙΩΤΙΔΑΣ</t>
  </si>
  <si>
    <t>mail@gym-males.fth.sch.gr</t>
  </si>
  <si>
    <t>1ο ΔΗΜΟΤΙΚΟ ΣΧΟΛΕΙΟ ΜΑΛΕΣΙΝΑΣ</t>
  </si>
  <si>
    <t>7ο ΗΜΕΡΗΣΙΟ ΓΥΜΝΑΣΙΟ ΛΑΜΙΑΣ</t>
  </si>
  <si>
    <t>mail@7gym-lamias.fth.sch.gr</t>
  </si>
  <si>
    <t>ΤΑΥΓΕΤΟΥ 13</t>
  </si>
  <si>
    <t>6ο ΔΗΜΟΤΙΚΟ ΣΧΟΛΕΙΟ ΛΑΜΙΑΣ</t>
  </si>
  <si>
    <t>5ο ΗΜΕΡΗΣΙΟ ΓΥΜΝΑΣΙΟ ΛΑΜΙΑΣ</t>
  </si>
  <si>
    <t>mail@5gym-lamias.fth.sch.gr</t>
  </si>
  <si>
    <t>ΑΜΠΛΙΑΝΙΤΗ 20-22</t>
  </si>
  <si>
    <t>12ο ΔΗΜΟΤΙΚΟ ΣΧΟΛΕΙΟ ΛΑΜΙΑΣ</t>
  </si>
  <si>
    <t>1ο ΗΜΕΡΗΣΙΟ ΓΥΜΝΑΣΙΟ ΛΑΜΙΑΣ</t>
  </si>
  <si>
    <t>mail@1gym-lamias.fth.sch.gr</t>
  </si>
  <si>
    <t>ΛΕΙΑΝΟΚΛΑΔΙΟΥ</t>
  </si>
  <si>
    <t>ΗΜΕΡΗΣΙΟ ΓΥΜΝΑΣΙΟ ΛΙΑΝΟΚΛΑΔΙΟΥ ΦΘΙΩΤΙΔΑΣ</t>
  </si>
  <si>
    <t>mail@gym-lianokl.fth.sch.gr</t>
  </si>
  <si>
    <t>Λιανοκλάδι Φθιώτιδας</t>
  </si>
  <si>
    <t>ΕΟ Λαμίας Καρπενησίου</t>
  </si>
  <si>
    <t>ΔΗΜΟΤΙΚΟ ΣΧΟΛΕΙΟ ΛΙΑΝΟΚΛΑΔΙΟΥ</t>
  </si>
  <si>
    <t>ΑΓΙΟΥ ΚΩΝΣΤΑΝΤΙΝΟΥ ΛΟΚΡΙΔΟΣ</t>
  </si>
  <si>
    <t>ΗΜΕΡΗΣΙΟ ΓΥΜΝΑΣΙΟ ΑΓΙΟΥ ΚΩΝΣΤΑΝΤΙΝΟΥ ΦΘΙΩΤΙΔΑΣ</t>
  </si>
  <si>
    <t>mail@gym-ag-konst.fth.sch.gr</t>
  </si>
  <si>
    <t>ΑΓΙΟΣ ΚΩΝΣΤΑΝΤΙΝΟΣ ΦΘΙΩΤΙΔΑΣ</t>
  </si>
  <si>
    <t>ΣΟΛΩΜΟΥ ΚΑΙ ΠΑΠΑΔΙΑΜΑΝΤΗ</t>
  </si>
  <si>
    <t>ΔΗΜΟΤΙΚΟ ΣΧΟΛΕΙΟ ΑΓΙΟΥ ΚΩΝΣΤΑΝΤΙΝΟΥ</t>
  </si>
  <si>
    <t>ΘΕΣΣΑΛΙΩΤΙΔΟΣ</t>
  </si>
  <si>
    <t>ΝΕΟΥ ΜΟΝΑΣΤΗΡΙΟΥ</t>
  </si>
  <si>
    <t>ΗΜΕΡΗΣΙΟ ΓΥΜΝΑΣΙΟ - Λ. Τ. ΝΕΟΥ ΜΟΝΑΣΤΗΡΙΟΥ ΦΘΙΩΤΙΔΑΣ</t>
  </si>
  <si>
    <t>mail@gym-n-monast.fth.sch.gr</t>
  </si>
  <si>
    <t>ΝΕΟ ΜΟΝΑΣΤΗΡΙ ΦΘΙΩΤΙΔΑΣ</t>
  </si>
  <si>
    <t>ΝΕΟ ΜΟΝΑΣΤΗΡΙ</t>
  </si>
  <si>
    <t>ΗΜΕΡΗΣΙΟ ΓΥΜΝΑΣΙΟ ΚΑΜΕΝΩΝ ΒΟΥΡΛΩΝ ΦΘΙΩΤΙΔΑΣ</t>
  </si>
  <si>
    <t>mail@gym-kam-vourl.fth.sch.gr</t>
  </si>
  <si>
    <t>ΗΜΕΡΗΣΙΟ ΓΥΜΝΑΣΙΟ ΛΙΒΑΝΑΤΩΝ ΦΘΙΩΤΙΔΑΣ</t>
  </si>
  <si>
    <t>mail@gym-livan.fth.sch.gr</t>
  </si>
  <si>
    <t>ΛΙΒΑΝΑΤΕΣ ΦΘΙΩΤΙΔΑΣ</t>
  </si>
  <si>
    <t>ΕΧΙΝΑΙΩΝ</t>
  </si>
  <si>
    <t>ΗΜΕΡΗΣΙΟ ΓΥΜΝΑΣΙΟ ΡΑΧΩΝ ΦΘΙΩΤΙΔΑΣ</t>
  </si>
  <si>
    <t>mail@gym-rachon.fth.sch.gr</t>
  </si>
  <si>
    <t>ΡΑΧΕΣ ΦΘΙΩΤΙΔΑΣ</t>
  </si>
  <si>
    <t>ΡΑΧΕΣ</t>
  </si>
  <si>
    <t>6ο ΗΜΕΡΗΣΙΟ ΓΕΝΙΚΟ ΛΥΚΕΙΟ ΛΑΜΙΑΣ</t>
  </si>
  <si>
    <t>mail@6lyk-lamias.fth.sch.gr</t>
  </si>
  <si>
    <t>ΣΟΛΩΝΟΣ 53</t>
  </si>
  <si>
    <t>20ο ΔΗΜΟΤΙΚΟ ΣΧΟΛΕΙΟ ΛΑΜΙΑΣ</t>
  </si>
  <si>
    <t>ΕΝΙΑΙΟ ΕΙΔΙΚΟ ΕΠΑΓΓΕΛΜΑΤΙΚΟ ΓΥΜΝΑΣΙΟ-ΛΥΚΕΙΟ ΛΑΜΙΑΣ</t>
  </si>
  <si>
    <t>mail@gym-eid-lamias.fth.sch.gr</t>
  </si>
  <si>
    <t>ΛΙΑΝΟΚΛΑΔΙ</t>
  </si>
  <si>
    <t>ΓΥΜΝΑΣΙΟ ΛΙΑΝΟΚΛΑΔΙΟΥ-ΛΙΑΝΟΚΛΑΔΙ</t>
  </si>
  <si>
    <t>7ο ΔΗΜΟΤΙΚΟ ΣΧΟΛΕΙΟ ΛΑΜΙΑΣ</t>
  </si>
  <si>
    <t>ΔΙΕΥΘΥΝΣΗ Δ.Ε. ΦΩΚΙΔΑΣ</t>
  </si>
  <si>
    <t>ΔΩΡΙΔΟΣ</t>
  </si>
  <si>
    <t>ΕΥΠΑΛΙΟΥ</t>
  </si>
  <si>
    <t>ΓΕΝΙΚΟ ΛΥΚΕΙΟ ΕΥΠΑΛΙΟΥ</t>
  </si>
  <si>
    <t>mail@lyk-efpal.fok.sch.gr</t>
  </si>
  <si>
    <t>ΕΥΠΑΛΙΟ</t>
  </si>
  <si>
    <t>ΕΥΠΑΛΙΟ ΔΩΡΙΔΟΣ</t>
  </si>
  <si>
    <t>ΑΜΦΙΣΣΑΣ</t>
  </si>
  <si>
    <t>ΔΗΜΟΤΙΚΟ ΣΧΟΛΕΙΟ ΕΥΠΑΛΙΟΥ</t>
  </si>
  <si>
    <t>ΗΜΕΡΗΣΙΟ ΕΠΑ.Λ. ΑΜΦΙΣΣΑΣ</t>
  </si>
  <si>
    <t>mail@epal-amfiss.fok.sch.gr</t>
  </si>
  <si>
    <t>ΛΕΩΦΟΡΟΣ ΣΑΛΩΝΩΝ 48</t>
  </si>
  <si>
    <t>3ο  ΔΗΜΟΤΙΚΟ ΣΧΟΛΕΙΟ ΑΜΦΙΣΣΑΣ</t>
  </si>
  <si>
    <t>ΓΡΑΒΙΑΣ</t>
  </si>
  <si>
    <t>ΗΜΕΡΗΣΙΟ ΓΕΝΙΚΟ ΛΥΚΕΙΟ ΓΡΑΒΙΑΣ ΦΩΚΙΔΑΣ</t>
  </si>
  <si>
    <t>mail@lyk-gravias.fok.sch.gr</t>
  </si>
  <si>
    <t>ΓΡΑΒΙΑ</t>
  </si>
  <si>
    <t>ΔΗΜΟΤΙΚΟ ΣΧΟΛΕΙΟ ΓΡΑΒΙΑΣ</t>
  </si>
  <si>
    <t>ΓΑΛΑΞΙΔΙΟΥ</t>
  </si>
  <si>
    <t>ΗΜΕΡΗΣΙΟ ΓΕΝΙΚΟ ΛΥΚΕΙΟ ΓΑΛΑΞΙΔΙΟΥ ΦΩΚΙΔΑΣ</t>
  </si>
  <si>
    <t>mail@lyk-galax.fok.sch.gr</t>
  </si>
  <si>
    <t>ΓΑΛΑΞΙΔΙΟΥ ΦΩΚΙΔΑΣ</t>
  </si>
  <si>
    <t>ΓΑΛΑΡΙΑΣ 31</t>
  </si>
  <si>
    <t>ΔΗΜΟΤΙΚΟ ΣΧΟΛΕΙΟ ΓΑΛΑΞΙΔΙΟΥ</t>
  </si>
  <si>
    <t>1ο ΗΜΕΡΗΣΙΟ ΓΕΝΙΚΟ ΛΥΚΕΙΟ ΑΜΦΙΣΣΑΣ ΦΩΚΙΔΑΣ</t>
  </si>
  <si>
    <t>mail@1lyk-amfiss.fok.sch.gr</t>
  </si>
  <si>
    <t>Κ. ΚΑΡΑΜΑΝΛΗ 1</t>
  </si>
  <si>
    <t>1ο  ΔΗΜΟΤΙΚΟ ΣΧΟΛΕΙΟ ΑΜΦΙΣΣΑΣ</t>
  </si>
  <si>
    <t>ΛΙΔΩΡΙΚΙΟΥ</t>
  </si>
  <si>
    <t>ΗΜΕΡΗΣΙΟ ΓΕΝΙΚΟ ΛΥΚΕΙΟ ΛΙΔΩΡΙΚΙΟΥ ΦΩΚΙΔΑΣ</t>
  </si>
  <si>
    <t>mail@lyk-lidor.fok.sch.gr</t>
  </si>
  <si>
    <t>ΛΙΔΩΡΙΚΙ ΦΩΚΙΔΑΣ</t>
  </si>
  <si>
    <t>ΛΙΔΩΡΙΚΙ</t>
  </si>
  <si>
    <t>ΔΗΜΟΤΙΚΟ ΣΧΟΛΕΙΟ ΛΙΔΟΡΙΚΙΟΥ</t>
  </si>
  <si>
    <t>1ο ΕΚ ΑΜΦΙΣΣΑΣ</t>
  </si>
  <si>
    <t>mail@1sek-amfiss.fok.sch.gr</t>
  </si>
  <si>
    <t>Λ. ΣΑΛΩΝΩΝ 48</t>
  </si>
  <si>
    <t>ΗΜΕΡΗΣΙΟ ΓΥΜΝΑΣΙΟ ΛΙΔΩΡΙΚΙΟΥ ΦΩΚΙΔΑΣ</t>
  </si>
  <si>
    <t>mail@gym-lidor.fok.sch.gr</t>
  </si>
  <si>
    <t>ΗΜΕΡΗΣΙΟ ΓΥΜΝΑΣΙΟ ΔΕΛΦΩΝ ΦΩΚΙΔΑΣ</t>
  </si>
  <si>
    <t>mail@gym-delfon.fok.sch.gr</t>
  </si>
  <si>
    <t>ΔΕΛΦΟΙ ΦΩΚΙΔΑΣ</t>
  </si>
  <si>
    <t>ΑΓΓ. &amp;  ΕΥΑΣ ΣΙΚΕΛΙΑΝΟΥ 1</t>
  </si>
  <si>
    <t>ΔΗΜΟΤΙΚΟ ΣΧΟΛΕΙΟ ΔΕΛΦΩΝ</t>
  </si>
  <si>
    <t>ΔΕΣΦΙΝΑΣ</t>
  </si>
  <si>
    <t>ΔΕΣΦΙΝΗΣ</t>
  </si>
  <si>
    <t>ΜΕΛΕΤΕΙΟ ΓΥΜΝΑΣΙΟ ΚΑΙ ΛΥΚΕΙΑΚΕΣ ΤΑΞΕΙΣ ΔΕΣΦΙΝΑΣ</t>
  </si>
  <si>
    <t>mail@gym-desf.fok.sch.gr</t>
  </si>
  <si>
    <t>ΔΕΣΦΙΝΑΣ ΦΩΚΙΔΑΣ</t>
  </si>
  <si>
    <t>ΔΕΣΦΙΝΑ ΦΩΚΙΔΑΣ</t>
  </si>
  <si>
    <t>ΔΗΜΟΤΙΚΟ ΣΧΟΛΕΙΟ ΔΕΣΦΙΝΑΣ</t>
  </si>
  <si>
    <t>ΗΜΕΡΗΣΙΟ ΓΥΜΝΑΣΙΟ ΕΥΠΑΛΙΟΥ ΦΩΚΙΔΑΣ</t>
  </si>
  <si>
    <t>mail@gym-efpal.fok.sch.gr</t>
  </si>
  <si>
    <t>ΗΜΕΡΗΣΙΟ ΓΥΜΝΑΣΙΟ ΑΜΦΙΣΣΑΣ ΦΩΚΙΔΑΣ</t>
  </si>
  <si>
    <t>mail@gym-amfiss.fok.sch.gr</t>
  </si>
  <si>
    <t xml:space="preserve">ΑΜΦΙΣΣΑ  </t>
  </si>
  <si>
    <t>Ι. ΓΙΔΟΓΙΑΝΝΟΥ 16</t>
  </si>
  <si>
    <t>ΗΜΕΡΗΣΙΟ ΓΥΜΝΑΣΙΟ ΓΑΛΑΞΙΔΙΟΥ ΦΩΚΙΔΑΣ</t>
  </si>
  <si>
    <t>mail@gym-galax.fok.sch.gr</t>
  </si>
  <si>
    <t>ΕΣΠΕΡΙΝΟ ΓΥΜΝΑΣΙΟ ΑΜΦΙΣΣΑΣ Λ.Τ.</t>
  </si>
  <si>
    <t>mail@gym-esp-amfiss.fok.sch.gr</t>
  </si>
  <si>
    <t>Ι.  ΓΙΔΟΓΙΑΝΝΟΥ 16</t>
  </si>
  <si>
    <t>ΤΟΛΟΦΩΝΟΣ</t>
  </si>
  <si>
    <t>ΕΡΑΤΕΙΝΗΣ</t>
  </si>
  <si>
    <t>ΗΜΕΡΗΣΙΟ ΓΥΜΝΑΣΙΟ ΕΡΑΤΕΙΝΗΣ ΦΩΚΙΔΑΣ - ΓΥΜΝΑΣΙΟ ΕΡΑΤΕΙΝΗΣ ΜΕ ΛΥΚΕΙΑΚΕΣ ΤΑΞΕΙΣ</t>
  </si>
  <si>
    <t>mail@gym-eratein.fok.sch.gr</t>
  </si>
  <si>
    <t>ΕΡΑΤΕΙΝΗΣ ΦΩΚΙΔΑΣ</t>
  </si>
  <si>
    <t>ΕΡΑΤΕΙΝΗ</t>
  </si>
  <si>
    <t>ΔΗΜΟΤΙΚΟ ΣΧΟΛΕΙΟ ΕΡΑΤΕΙΝΗΣ</t>
  </si>
  <si>
    <t>ΗΜΕΡΗΣΙΟ ΓΥΜΝΑΣΙΟ ΓΡΑΒΙΑΣ ΦΩΚΙΔΑΣ</t>
  </si>
  <si>
    <t>mail@gym-gravias.fok.sch.gr</t>
  </si>
  <si>
    <t>ΗΜΕΡΗΣΙΟ ΓΕΝΙΚΟ ΛΥΚΕΙΟ ΙΤΕΑΣ ΦΩΚΙΔΑΣ - ΓΕΝΙΚΟ ΛΥΚΕΙΟ ΙΤΕΑΣ</t>
  </si>
  <si>
    <t>mail@lyk-iteas.fok.sch.gr</t>
  </si>
  <si>
    <t>ΙΤΕΑ ΦΩΚΙΔΑΣ</t>
  </si>
  <si>
    <t>ΙΤΕΑ, 1ο ΧΛΜ ΙΤΕΑΣ-ΑΜΦΙΣΣΑΣ</t>
  </si>
  <si>
    <t>3ο ΔΗΜΟΤΙΚΟ ΣΧΟΛΕΙΟ ΙΤΕΑΣ</t>
  </si>
  <si>
    <t>ΗΜΕΡΗΣΙΟ ΓΥΜΝΑΣΙΟ ΙΤΕΑΣ ΦΩΚΙΔΑΣ</t>
  </si>
  <si>
    <t>mail@gym-iteas.fok.sch.gr</t>
  </si>
  <si>
    <t>ΕΘΝΙΚΗ ΟΔΟΣ ΙΤΕΑΣ-ΓΑΛΑΞΙΔΙΟΥ 1</t>
  </si>
  <si>
    <t>ΕΕΕΕΚ ΑΜΦΙΣΣΑΣ</t>
  </si>
  <si>
    <t>mail@eeeek.fok.sch.gr</t>
  </si>
  <si>
    <t>ΧΡ. ΜΑΧΑΙΡΑ 36</t>
  </si>
  <si>
    <t>4ο  ΔΗΜΟΤΙΚΟ ΣΧΟΛΕΙΟ ΑΜΦΙΣΣΑΣ</t>
  </si>
  <si>
    <t>ΜΟΥΣΙΚΟ ΓΥΜΝΑΣΙΟ ΑΜΦΙΣΣΑΣ - ΜΟΥΣΙΚΟ ΣΧΟΛΕΙΟ ΑΜΦΙΣΣΑΣ</t>
  </si>
  <si>
    <t>mail@gym-mous-amfiss.fok.sch.gr</t>
  </si>
  <si>
    <t>ΓΚΕΛΕΣΤΑΘΗ 13</t>
  </si>
  <si>
    <t>Ενιαίο Ειδικό Επαγγελματικό Γυμνάσιο-Λύκειο (ΕΝ.Ε.Ε.ΓΥ.-Λ.) ʼμφισσας</t>
  </si>
  <si>
    <t>mail@eneegyl-amfiss.fok.sch.gr</t>
  </si>
  <si>
    <t>ΣΑΛΩΝΩΝ 48</t>
  </si>
  <si>
    <t>ΔΙΕΥΘΥΝΣΗ Π.Ε. ΒΟΙΩΤΙΑΣ</t>
  </si>
  <si>
    <t>5ο ΝΗΠΙΑΓΩΓΕΙΟ ΛΙΒΑΔΕΙΑΣ</t>
  </si>
  <si>
    <t>mail@5nip-livad.voi.sch.gr</t>
  </si>
  <si>
    <t>ʼγιος Μελέτιος</t>
  </si>
  <si>
    <t>8ο ΝΗΠΙΑΓΩΓΕΙΟ ΛΙΒΑΔΕΙΑΣ</t>
  </si>
  <si>
    <t>mail@8nip-livad.voi.sch.gr</t>
  </si>
  <si>
    <t>ΑΧΙΛΛΕΩΣ 16</t>
  </si>
  <si>
    <t>11ο ΝΗΠΙΑΓΩΓΕΙΟ ΛΙΒΑΔΕΙΑΣ</t>
  </si>
  <si>
    <t>mail@11nip-livad.voi.sch.gr</t>
  </si>
  <si>
    <t>ΡΟΥΜΕΛΗΣ 3</t>
  </si>
  <si>
    <t>6ο  ΝΗΠΙΑΓΩΓΕΙΟ ΛΙΒΑΔΕΙΑΣ</t>
  </si>
  <si>
    <t>mail@6nip-livad.voi.sch.gr</t>
  </si>
  <si>
    <t>ΦΕΙΔΙΠΠΙΔΟΥ 1</t>
  </si>
  <si>
    <t>ΝΗΠΙΑΓΩΓΕΙΟ ΟΡΧΟΜΕΝΟΥ</t>
  </si>
  <si>
    <t>mail@1nip-orchom.voi.sch.gr</t>
  </si>
  <si>
    <t>ΣΥΝΟΙΚΙΣΜΟΣ</t>
  </si>
  <si>
    <t>mail@3dim-thivas.voi.sch.gr</t>
  </si>
  <si>
    <t>ΠΑΡΟΔΟΣ ΑΓΙΟΥ ΚΩΝΣΤΑΝΤΙΝΟΥ 3</t>
  </si>
  <si>
    <t>ΞΗΡΟΝΟΜΗΣ</t>
  </si>
  <si>
    <t>ΔΗΜΟΤΙΚΟ ΣΧΟΛΕΙΟ ΞΗΡΟΝΟΜΗΣ</t>
  </si>
  <si>
    <t>mail@dim-xiron.voi.sch.gr</t>
  </si>
  <si>
    <t>ΞΗΡΟΝΟΜΗ</t>
  </si>
  <si>
    <t>3ο ΔΗΜΟΤΙΚΟ ΣΧΟΛΕΙΟ ΛΙΒΑΔΕΙΑΣ</t>
  </si>
  <si>
    <t>mail@3dim-livad.voi.sch.gr</t>
  </si>
  <si>
    <t>ΑΝΑΛΗΨΕΩΣ 23</t>
  </si>
  <si>
    <t>mail@7dim-thivas.voi.sch.gr</t>
  </si>
  <si>
    <t>Θήβα</t>
  </si>
  <si>
    <t>ΟΠΛΑΡΧΗΓΟΥ ΒΟΓΚΛΗ</t>
  </si>
  <si>
    <t>mail@1dim-schim.voi.sch.gr</t>
  </si>
  <si>
    <t>ΚΟΣΜΑ ΑΙΤΩΛΟΥ ΚΑΙ ΤΡΙΩΝ ΙΕΡΑΡΧΩΝ</t>
  </si>
  <si>
    <t>mail@dim-pylis.voi.sch.gr</t>
  </si>
  <si>
    <t>ΝΗΠΙΑΓΩΓΕΙΟ ΠΥΛΗΣ</t>
  </si>
  <si>
    <t>mail@nip-pylis.voi.sch.gr</t>
  </si>
  <si>
    <t>6ο  ΝΗΠΙΑΓΩΓΕΙΟ ΘΗΒΑΣ</t>
  </si>
  <si>
    <t>mail@6nip-thivas.voi.sch.gr</t>
  </si>
  <si>
    <t>4ο ΝΗΠΙΑΓΩΓΕΙΟ ΛΙΒΑΔΕΙΑΣ</t>
  </si>
  <si>
    <t>mail@4nip-livad.voi.sch.gr</t>
  </si>
  <si>
    <t>ΧΑΙΡΩΝΕΙΑΣ  27</t>
  </si>
  <si>
    <t>2ο ΝΗΠΙΑΓΩΓΕΙΟ ΛΙΒΑΔΕΙΑΣ</t>
  </si>
  <si>
    <t>mail@2nip-livad.voi.sch.gr</t>
  </si>
  <si>
    <t>ΚΑΤΣΙΩΤΟΥ 5</t>
  </si>
  <si>
    <t>ΣΚΟΥΡΤΩΝ</t>
  </si>
  <si>
    <t>ΔΗΜΟΤΙΚΟ ΣΧΟΛΕΙΟ ΣΚΟΥΡΤΩΝ</t>
  </si>
  <si>
    <t>mail@dim-skourt.voi.sch.gr</t>
  </si>
  <si>
    <t>ΣΚΟΥΡΤΑ</t>
  </si>
  <si>
    <t>mail@4dim-thivas.voi.sch.gr</t>
  </si>
  <si>
    <t>ΑΓΙΟΥ ΑΘΑΝΑΣΙΟΥ 40</t>
  </si>
  <si>
    <t>8ο ΔΗΜΟΤΙΚΟ ΣΧΟΛΕΙΟ ΘΗΒΑΣ</t>
  </si>
  <si>
    <t>mail@8dim-thivas.voi.sch.gr</t>
  </si>
  <si>
    <t>5ο ΔΗΜΟΤΙΚΟ ΣΧΟΛΕΙΟ ΛΙΒΑΔΕΙΑΣ</t>
  </si>
  <si>
    <t>mail@5dim-livad.voi.sch.gr</t>
  </si>
  <si>
    <t>Μ. ΑΣΙΑΣ 11</t>
  </si>
  <si>
    <t>mail@4dim-livad.voi.sch.gr</t>
  </si>
  <si>
    <t>ΧΑΙΡΩΝΕΙΑΣ ΚΑΙ ΚΥΡΙΑΚΙΟΥ</t>
  </si>
  <si>
    <t>4ο ΝΗΠΙΑΓΩΓΕΙΟ ΘΗΒΑΣ</t>
  </si>
  <si>
    <t>mail@4nip-thivas.voi.sch.gr</t>
  </si>
  <si>
    <t>ΑΓΙΟΥ ΑΘΑΝΑΣΙΟΥ 42</t>
  </si>
  <si>
    <t>9ο  ΔΗΜΟΤΙΚΟ ΣΧΟΛΕΙΟ ΛΙΒΑΔΕΙΑΣ</t>
  </si>
  <si>
    <t>mail@9dim-livad.voi.sch.gr</t>
  </si>
  <si>
    <t>ΤΕΡΜΑ ΔΙΣΤΟΜΟΥ-ΙΣΙΩΜΑΤΑ</t>
  </si>
  <si>
    <t>ΕΙΔΙΚΟ ΔΗΜΟΤΙΚΟ ΣΧΟΛΕΙΟ ΘΗΒΑΣ</t>
  </si>
  <si>
    <t>mail@dim-eid-thivas.voi.sch.gr</t>
  </si>
  <si>
    <t>ΤΣΑΚΑΛΩΦ 2</t>
  </si>
  <si>
    <t>ΠΑΥΛΟΥ</t>
  </si>
  <si>
    <t>ΔΗΜΟΤΙΚΟ ΣΧΟΛΕΙΟ ΠΑΥΛΟΥ</t>
  </si>
  <si>
    <t>mail@dim-pavlou.voi.sch.gr</t>
  </si>
  <si>
    <t>ΠΑΥΛΟΣ</t>
  </si>
  <si>
    <t>ΔΗΜΟΤΙΚΟ ΣΧΟΛΕΙΟ ΠΑΥΛΟΥ - ΠΑΥΛΟΣ</t>
  </si>
  <si>
    <t>ΔΗΜΟΤΙΚΟ ΣΧΟΛΕΙΟ ΜΑΥΡΟΜΜΑΤΙΟΥ</t>
  </si>
  <si>
    <t>mail@dim-mavrom.voi.sch.gr</t>
  </si>
  <si>
    <t>mail@2dim-orchom.voi.sch.gr</t>
  </si>
  <si>
    <t>ΟΡΧΟΜΕΝΟΣ</t>
  </si>
  <si>
    <t>5ο ΝΗΠΙΑΓΩΓΕΙΟ ΘΗΒΑΣ</t>
  </si>
  <si>
    <t>mail@5nip-thivas.voi.sch.gr</t>
  </si>
  <si>
    <t>ΦΙΛΟΛΑΟΥ 4</t>
  </si>
  <si>
    <t>ΝΗΠΙΑΓΩΓΕΙΟ ΜΑΥΡΟΜΜΑΤΙΟΥ ΘΗΒΑΣ</t>
  </si>
  <si>
    <t>mail@nip-mavrom.voi.sch.gr</t>
  </si>
  <si>
    <t>ΜΑΥΡΟΜΜΑΤΙΟΥ/ΑΛΙΑΡΤΟΥ</t>
  </si>
  <si>
    <t>ΕΙΔΙΚΟ ΝΗΠΙΑΓΩΓΕΙΟ ΘΗΒΑΣ</t>
  </si>
  <si>
    <t>mail@nip-eid-thivas.voi.sch.gr</t>
  </si>
  <si>
    <t>ΔΗΜΟΤΙΚΟ ΣΧΟΛΕΙΟ ΔΙΟΝΥΣΟΥ</t>
  </si>
  <si>
    <t>mail@dim-dionys.voi.sch.gr</t>
  </si>
  <si>
    <t>mail@6dim-thivas.voi.sch.gr</t>
  </si>
  <si>
    <t>ΠΑΡΟΔΟΣ ΠΟΤΝΙΩΝ</t>
  </si>
  <si>
    <t>3ο ΝΗΠΙΑΓΩΓΕΙΟ ΛΙΒΑΔΕΙΑΣ</t>
  </si>
  <si>
    <t>mail@3nip-livad.voi.sch.gr</t>
  </si>
  <si>
    <t>7ο ΝΗΠΙΑΓΩΓΕΙΟ ΛΙΒΑΔΕΙΑΣ</t>
  </si>
  <si>
    <t>mail@7nip-livad.voi.sch.gr</t>
  </si>
  <si>
    <t>ΠΑΡΟΔΟΣ ΑΝΑΛΗΨΕΩΣ</t>
  </si>
  <si>
    <t>ΑΡΜΑΤΟΣ</t>
  </si>
  <si>
    <t>ΔΗΜΟΤΙΚΟ ΣΧΟΛΕΙΟ ΑΡΜΑΤΟΣ</t>
  </si>
  <si>
    <t>mail@dim-armat.voi.sch.gr</t>
  </si>
  <si>
    <t>ΑΡΜΑ   ΒΟΙΩΤΙΑΣ</t>
  </si>
  <si>
    <t>9ο ΝΗΠΙΑΓΩΓΕΙΟ ΛΙΒΑΔΕΙΑΣ</t>
  </si>
  <si>
    <t>mail@9nip-livad.voi.sch.gr</t>
  </si>
  <si>
    <t>10ο ΝΗΠΙΑΓΩΓΕΙΟ ΛΙΒΑΔΕΙΑΣ</t>
  </si>
  <si>
    <t>mail@10nip-livad.voi.sch.gr</t>
  </si>
  <si>
    <t>ΤΕΡΜΑ ΣΟΥΛΙΟΥ</t>
  </si>
  <si>
    <t>mail@10dim-livad.voi.sch.gr</t>
  </si>
  <si>
    <t>ΧΑΙΡΩΝΕΙΑΣ &amp; ΚΥΡΙΑΚΙΟΥ</t>
  </si>
  <si>
    <t>1ο ΝΗΠΙΑΓΩΓΕΙΟ ΛΙΒΑΔΕΙΑΣ</t>
  </si>
  <si>
    <t>mail@1nip-livad.voi.sch.gr</t>
  </si>
  <si>
    <t>ΤΕΡΜΑ ΣΠΥΡΟΥ ΛΟΥΗ</t>
  </si>
  <si>
    <t>1ο   ΝΗΠΙΑΓΩΓΕΙΟ ΘΗΒΑΣ</t>
  </si>
  <si>
    <t>mail@1nip-thivas.voi.sch.gr</t>
  </si>
  <si>
    <t>ΚΤΙΡΙΟ ΚΗΦΗ  ΣΙΔΗΡΟΔΡΟΜΙΚΟΣ ΣΤΑΘΜΟΣ ΘΗΒΑΣ</t>
  </si>
  <si>
    <t>8ο ΔΗΜΟΤΙΚΟ ΣΧΟΛΕΙΟ ΛΙΒΑΔΕΙΑΣ</t>
  </si>
  <si>
    <t>mail@8dim-livad.voi.sch.gr</t>
  </si>
  <si>
    <t>ΦΕΙΔΙΠΠΙΔΟΥ</t>
  </si>
  <si>
    <t>ΕΛΕΩΝΟΣ</t>
  </si>
  <si>
    <t>ΔΗΜΟΤΙΚΟ ΣΧΟΛΕΙΟ ΕΛΕΩΝΑ</t>
  </si>
  <si>
    <t>mail@dim-eleon.voi.sch.gr</t>
  </si>
  <si>
    <t>ΕΛΕΩΝΑΣ</t>
  </si>
  <si>
    <t>mail@dim-arach.voi.sch.gr</t>
  </si>
  <si>
    <t>ΑΡΑΧΩΒΑ ΒΟΙΩΤΙΑΣ</t>
  </si>
  <si>
    <t>ΝΗΠΙΑΓΩΓΕΙΟ ΑΚΡΑΙΦΝΙΟΥ</t>
  </si>
  <si>
    <t>mail@nip-akraifn.voi.sch.gr</t>
  </si>
  <si>
    <t>ΑΚΡΑΙΦΝΙΟ</t>
  </si>
  <si>
    <t>8ο ΝΗΠΙΑΓΩΓΕΙΟ ΘΗΒΑΣ</t>
  </si>
  <si>
    <t>mail@8nip-thivas.voi.sch.gr</t>
  </si>
  <si>
    <t>1ο ΝΗΠΙΑΓΩΓΕΙΟ ΣΧΗΜΑΤΑΡΙΟΥ</t>
  </si>
  <si>
    <t>mail@1nip-schim.voi.sch.gr</t>
  </si>
  <si>
    <t>ΓΕΩΡΓΙΟΥ ΚΑΡΑΙΣΚΑΚΗ 24</t>
  </si>
  <si>
    <t>1ο ΔΗΜΟΤΙΚΟ ΣΧΟΛΕΙΟ ΟΡΧΟΜΕΝΟΥ</t>
  </si>
  <si>
    <t>mail@1dim-orchom.voi.sch.gr</t>
  </si>
  <si>
    <t>mail@dim-davleias.voi.sch.gr</t>
  </si>
  <si>
    <t>ΝΗΠΙΑΓΩΓΕΙΟ ΠΑΡΑΛΙΑΣ ΔΙΣΤΟΜΟΥ</t>
  </si>
  <si>
    <t>mail@nip-par-distom.voi.sch.gr</t>
  </si>
  <si>
    <t>ΠΑΡΑΛΙΑΣ ΔΙΣΤΟΜΟΥ</t>
  </si>
  <si>
    <t>ΑΠΟΛΛΩΝΟΣ 47</t>
  </si>
  <si>
    <t>3ο ΝΗΠΙΑΓΩΓΕΙΟ ΣΧΗΜΑΤΑΡΙΟΥ</t>
  </si>
  <si>
    <t>mail@3nip-schim.voi.sch.gr</t>
  </si>
  <si>
    <t>ΤΕΡΜΑ ΑΓΡΑΦΩΝ</t>
  </si>
  <si>
    <t>ΝΗΠΙΑΓΩΓΕΙΟ  ΒΑΓΙΩΝ</t>
  </si>
  <si>
    <t>mail@1nip-vagion.voi.sch.gr</t>
  </si>
  <si>
    <t>3ο ΝΗΠΙΑΓΩΓΕΙΟ ΘΗΒΩΝ</t>
  </si>
  <si>
    <t>mail@3nip-thivas.voi.sch.gr</t>
  </si>
  <si>
    <t>ΘΗΒΩΝ</t>
  </si>
  <si>
    <t>ΠΑΡΟΔΟΣ ΑΓ.ΚΩΝΣΤΑΝΤΙΝΟΥ 3</t>
  </si>
  <si>
    <t>ΛΕΥΚΤΡΩΝ</t>
  </si>
  <si>
    <t>ΔΗΜΟΤΙΚΟ ΣΧΟΛΕΙΟ ΛΕΥΚΤΡΩΝ</t>
  </si>
  <si>
    <t>mail@dim-lefkt.voi.sch.gr</t>
  </si>
  <si>
    <t>ΛΕΥΚΤΡΑ</t>
  </si>
  <si>
    <t>mail@1dim-thivas.voi.sch.gr</t>
  </si>
  <si>
    <t>ΔΙΡΚΗΣ 18</t>
  </si>
  <si>
    <t>mail@dim-kyriak.voi.sch.gr</t>
  </si>
  <si>
    <t>Κυριάκι Βοιωτίας</t>
  </si>
  <si>
    <t>mail@dim-chair.voi.sch.gr</t>
  </si>
  <si>
    <t>ΧΑΙΡΩΝΕΙΑ</t>
  </si>
  <si>
    <t>ΣΩΛΗΝΑΡΙΟΥ</t>
  </si>
  <si>
    <t>ΔΗΜΟΤΙΚΟ ΣΧΟΛΕΙΟ ΣΩΛΗΝΑΡΙΟΥ</t>
  </si>
  <si>
    <t>mail@dim-solin.voi.sch.gr</t>
  </si>
  <si>
    <t>ΣΩΛΗΝΑΡΙ</t>
  </si>
  <si>
    <t>ΣΩΛΗΝΑΡΙ ΒΟΙΩΤΙΑΣ</t>
  </si>
  <si>
    <t>ΔΗΜΟΤΙΚΟ ΣΧΟΛΕΙΟ ΑΓΙΑΣ ΤΡΙΑΔΑΣ</t>
  </si>
  <si>
    <t>mail@dim-ag-triad.voi.sch.gr</t>
  </si>
  <si>
    <t>ΑΓΙΑ  ΤΡΙΑΔΑ</t>
  </si>
  <si>
    <t>mail@dim-antik.voi.sch.gr</t>
  </si>
  <si>
    <t>mail@dim-distom.sch.gr</t>
  </si>
  <si>
    <t>Δίστομο</t>
  </si>
  <si>
    <t>ΝΗΠΙΑΓΩΓΕΙΟ ΟΙΝΟΦΥΤΩΝ</t>
  </si>
  <si>
    <t>mail@nip-oinof.voi.sch.gr</t>
  </si>
  <si>
    <t>ΚΟΛΟΚΟΤΡΩΝΗ 9</t>
  </si>
  <si>
    <t>mail@1dim-asprov.voi.sch.gr</t>
  </si>
  <si>
    <t>ΠΑΡΑΛΙΑ  ΔΙΣΤΟΜΟΥ</t>
  </si>
  <si>
    <t>ΑΠΟΛΛΩΝΟΣ  47</t>
  </si>
  <si>
    <t>ΝΗΠΙΑΓΩΓΕΙΟ ΑΣΩΠΙΑΣ</t>
  </si>
  <si>
    <t>mail@nip-asopias.voi.sch.gr</t>
  </si>
  <si>
    <t>ΑΣΩΠΙΑ</t>
  </si>
  <si>
    <t>ΝΗΠΙΑΓΩΓΕΙΟ ΑΡΜΑΤΟΣ</t>
  </si>
  <si>
    <t>mail@nip-armat.voi.sch.gr</t>
  </si>
  <si>
    <t>ΑΡΜΑ</t>
  </si>
  <si>
    <t>ΥΠΑΤΟΥ</t>
  </si>
  <si>
    <t>ΝΗΠΙΑΓΩΓΕΙΟ ΥΠΑΤΟΥ</t>
  </si>
  <si>
    <t>mail@nip-ypatou.voi.sch.gr</t>
  </si>
  <si>
    <t>ΥΠΑΤΟ</t>
  </si>
  <si>
    <t>ΝΗΠΙΑΓΩΓΕΙΟ ΕΛΕΩΝΑ</t>
  </si>
  <si>
    <t>mail@nip-elaion.voi.sch.gr</t>
  </si>
  <si>
    <t>ΕΛΕΩΝΑ</t>
  </si>
  <si>
    <t>ΝΗΠΙΑΓΩΓΕΙΟ ΚΑΣΤΡΟΥ</t>
  </si>
  <si>
    <t>mail@nip-kastr.voi.sch.gr</t>
  </si>
  <si>
    <t>ΝΗΠΙΑΓΩΓΕΙΟ ΤΑΝΑΓΡΑΣ</t>
  </si>
  <si>
    <t>mail@nip-tanagr.voi.sch.gr</t>
  </si>
  <si>
    <t>ΤΑΝΑΓΡΑ</t>
  </si>
  <si>
    <t>ΝΗΠΙΑΓΩΓΕΙΟ ΑΕΡΟΔΡΟΜΙΟΥ ΤΑΝΑΓΡΑΣ</t>
  </si>
  <si>
    <t>mail@nip-aer-tanagr.voi.sch.gr</t>
  </si>
  <si>
    <t>ΑΕΡΟΔΡΟΜΙΟΥ ΤΑΝΑΓΡΑΣ</t>
  </si>
  <si>
    <t>ΑΕΡΟΔΡΟΜΙΟ ΤΑΝΑΓΡΑΣ</t>
  </si>
  <si>
    <t>ΝΗΠΙΑΓΩΓΕΙΟ ΔΗΛΕΣΙΟΥ</t>
  </si>
  <si>
    <t>mail@nip-diles.voi.sch.gr</t>
  </si>
  <si>
    <t>ΔΗΛΕΣΙΟΥ</t>
  </si>
  <si>
    <t>Λ. ΣΧΗΜΑΤΑΡΙΟΥ 31</t>
  </si>
  <si>
    <t>ΕΙΔΙΚΟ ΔΗΜΟΤΙΚΟ ΣΧΟΛΕΙΟ ΛΙΒΑΔΕΙΑΣ</t>
  </si>
  <si>
    <t>mail@1dim-eid-livad.voi.sch.gr</t>
  </si>
  <si>
    <t>ΚΑΡΑΓΙΑΝΝΟΠΟΥΛΟΥ 62</t>
  </si>
  <si>
    <t>2ο ΝΗΠΙΑΓΩΓΕΙΟ ΣΧΗΜΑΤΑΡΙΟΥ</t>
  </si>
  <si>
    <t>mail@2nip-schim.voi.sch.gr</t>
  </si>
  <si>
    <t>ΓΥΜΝΑΣΤΗΡΙΟΥ 7</t>
  </si>
  <si>
    <t>mail@1dim-livad.voi.sch.gr</t>
  </si>
  <si>
    <t>2ο ΔΗΜΟΤΙΚΟ ΣΧΟΛΕΙΟ ΛΙΒΑΔΕΙΑΣ</t>
  </si>
  <si>
    <t>mail@2dim-livad.voi.sch.gr</t>
  </si>
  <si>
    <t>ΕΛ.  ΒΕΝΙΖΕΛΟΥ 24</t>
  </si>
  <si>
    <t>ΝΗΠΙΑΓΩΓΕΙΟ ΚΑΠΑΡΕΛΛΙΟΥ</t>
  </si>
  <si>
    <t>mail@nip-kapar.voi.sch.gr</t>
  </si>
  <si>
    <t>mail@6dim-livad.voi.sch.gr</t>
  </si>
  <si>
    <t>ΒΑΓΙΩΝ ΚΑΙ ΣΚΟΥΡΤΩΝ</t>
  </si>
  <si>
    <t>2ο ΝΗΠΙΑΓΩΓΕΙΟ ΑΛΙΑΡΤΟΥ</t>
  </si>
  <si>
    <t>mail@2nip-aliart.voi.sch.gr</t>
  </si>
  <si>
    <t>mail@7dim-livad.voi.sch.gr</t>
  </si>
  <si>
    <t>ΑΓ ΦΑΝΟΥΡΙΟΥ 33</t>
  </si>
  <si>
    <t>1ο ΝΗΠΙΑΓΩΓΕΙΟ ΑΛΙΑΡΤΟΥ</t>
  </si>
  <si>
    <t>mail@1nip-aliart.voi.sch.gr</t>
  </si>
  <si>
    <t>ΑΘΑΝΑΣΙΟΥ ΣΚΟΥΡΤΑΝΙΩΤΗ 13(25ΗΣ ΜΑΡΤΙΟΥ)</t>
  </si>
  <si>
    <t>2ο ΝΗΠΙΑΓΩΓΕΙΟ ΘΗΒΑΣ</t>
  </si>
  <si>
    <t>mail@2nip-thivas.voi.sch.gr</t>
  </si>
  <si>
    <t>ΗΛΕΚΤΡΑΣ 43</t>
  </si>
  <si>
    <t>mail@1dim-aliart.voi.sch.gr</t>
  </si>
  <si>
    <t>ΔΗΜΟΤΙΚΟ ΣΧΟΛΕΙΟ ΘΕΣΠΙΩΝ</t>
  </si>
  <si>
    <t>mail@dim-thesp.voi.sch.gr</t>
  </si>
  <si>
    <t>ΝΗΠΙΑΓΩΓΕΙΟ ΘΕΣΠΙΩΝ</t>
  </si>
  <si>
    <t>mail@nip-thesp.voi.sch.gr</t>
  </si>
  <si>
    <t>ΔΗΜΟΤΙΚΟ ΣΧΟΛΕΙΟ ΔΗΛΕΣΙΟΥ</t>
  </si>
  <si>
    <t>mail@dim-diles.voi.sch.gr</t>
  </si>
  <si>
    <t>ΔΗΛΕΣΙ</t>
  </si>
  <si>
    <t>Λ.ΣΧΗΜΑΤΑΡΙΟΥ-ΦΙΛΙΑΣ</t>
  </si>
  <si>
    <t>9ο ΝΗΠΙΑΓΩΓΕΙΟ ΘΗΒΑ</t>
  </si>
  <si>
    <t>mail@9nip-thivas.voi.sch.gr</t>
  </si>
  <si>
    <t>ΟΠΛΑΡΧΗΓΟΥ ΒΟΓΚΛΗ 55</t>
  </si>
  <si>
    <t>mail@5dim-thivas.voi.sch.gr</t>
  </si>
  <si>
    <t>ΔΗΜΟΤΙΚΟ ΣΧΟΛΕΙΟ ΤΑΝΑΓΡΑΣ</t>
  </si>
  <si>
    <t>mail@dim-tanagr.voi.sch.gr</t>
  </si>
  <si>
    <t>ΔΗΜΟΤΙΚΟ ΣΧΟΛΕΙΟ ΟΙΝΟΗΣ ΒΟΙΩΤΙΑΣ</t>
  </si>
  <si>
    <t>mail@dim-oinois.voi.sch.gr</t>
  </si>
  <si>
    <t>Σ.Σ. ΟΙΝΟΗΣ</t>
  </si>
  <si>
    <t>mail@dim-kapar.voi.sch.gr</t>
  </si>
  <si>
    <t>mail@dim-asopias.voi.sch.gr</t>
  </si>
  <si>
    <t>ΚΟΚΚΙΝΟΥ</t>
  </si>
  <si>
    <t>ΔΗΜΟΤΙΚΟ ΣΧΟΛΕΙΟ ΚΟΚΚΙΝΟΥ</t>
  </si>
  <si>
    <t>mail@dim-kokkin.voi.sch.gr</t>
  </si>
  <si>
    <t>ΚΟΚΚΙΝΟ</t>
  </si>
  <si>
    <t>ΝΗΠΙΑΓΩΓΕΙΟ ΔΑΥΛΕΙΑΣ</t>
  </si>
  <si>
    <t>mail@nip-davleias.voi.sch.gr</t>
  </si>
  <si>
    <t>ΝΗΠΙΑΓΩΓΕΙΟ ΧΑΙΡΩΝΕΙΑΣ</t>
  </si>
  <si>
    <t>mail@nip-chair.voi.sch.gr</t>
  </si>
  <si>
    <t>ΝΗΠΙΑΓΩΓΕΙΟ ΚΥΡΙΑΚΙΟΥ</t>
  </si>
  <si>
    <t>mail@nip-kyriak.voi.sch.gr</t>
  </si>
  <si>
    <t>ΝΗΠΙΑΓΩΓΕΙΟ ΔΙΣΤΟΜΟΥ</t>
  </si>
  <si>
    <t>mail@nip-distom.voi.sch.gr</t>
  </si>
  <si>
    <t>Διστόμου</t>
  </si>
  <si>
    <t>ΝΗΠΙΑΓΩΓΕΙΟ ΑΝΤΙΚΥΡΑΣ</t>
  </si>
  <si>
    <t>mail@nip-antik.voi.sch.gr</t>
  </si>
  <si>
    <t>ΚΤΙΡΙΟ ΙΕΚ</t>
  </si>
  <si>
    <t>ΝΗΠΙΑΓΩΓΕΙΟ ΠΑΥΛΟΥ</t>
  </si>
  <si>
    <t>mail@nip-pavlou.voi.sch.gr</t>
  </si>
  <si>
    <t>ΝΗΠΙΑΓΩΓΕΙΟ ΔΙΟΝΥΣΟΥ</t>
  </si>
  <si>
    <t>mail@nip-dionys.voi.sch.gr</t>
  </si>
  <si>
    <t>ΝΗΠΙΑΓΩΓΕΙΟ ΑΡΑΧΟΒΑΣ</t>
  </si>
  <si>
    <t>mail@nip-arach.voi.sch.gr</t>
  </si>
  <si>
    <t>ΑΡΑΧΟΒΑΣ</t>
  </si>
  <si>
    <t>ΣΤΕΙΡΙΟΥ</t>
  </si>
  <si>
    <t>ΝΗΠΙΑΓΩΓΕΙΟ ΣΤΕΙΡΙΟΥ</t>
  </si>
  <si>
    <t>mail@nip-steir.voi.sch.gr</t>
  </si>
  <si>
    <t>ΣΤΕΙΡΙ</t>
  </si>
  <si>
    <t>1ο  ΔΗΜΟΤΙΚΟ ΣΧΟΛΕΙΟ ΒΑΓΙΩΝ</t>
  </si>
  <si>
    <t>mail@1dim-vagias.voi.sch.gr</t>
  </si>
  <si>
    <t>2ο ΔΗΜΟΤΙΚΟ ΣΧΟΛΕΙΟ ΑΛΙΑΡΤΟΥ</t>
  </si>
  <si>
    <t>mail@2dim-aliart.voi.sch.gr</t>
  </si>
  <si>
    <t>mail@2dim-vagion.voi.sch.gr</t>
  </si>
  <si>
    <t>ΔΗΜΟΤΙΚΟ ΣΧΟΛΕΙΟ ΠΛΑΤΑΙΩΝ</t>
  </si>
  <si>
    <t>mail@dim-plataion.voi.sch.gr</t>
  </si>
  <si>
    <t>ΠΛΑΤΑΙΕΣ</t>
  </si>
  <si>
    <t>2ο ΔΗΜΟΤΙΚΟ ΣΧΟΛΕΙΟ ΣΧΗΜΑΤΑΡΙΟΥ</t>
  </si>
  <si>
    <t>2dimsch@sch.gr</t>
  </si>
  <si>
    <t>ΙΩΑΝΝΗ ΡΙΤΣΟΥ 23</t>
  </si>
  <si>
    <t>mail@3dim-schim.voi.sch.gr</t>
  </si>
  <si>
    <t>mail@dim-akraifn.voi.sch.gr</t>
  </si>
  <si>
    <t>mail@9dim-thivas.voi.sch.gr</t>
  </si>
  <si>
    <t>ΑΥΛΙΔΟΣ 67</t>
  </si>
  <si>
    <t>mail@dim-domvr.voi.sch.gr</t>
  </si>
  <si>
    <t>ΝΗΠΙΑΓΩΓΕΙΟ ΔΟΜΒΡΑΙΝΑΣ</t>
  </si>
  <si>
    <t>mail@nip-domvr.voi.sch.gr</t>
  </si>
  <si>
    <t>ΔΟΜΒΡΑΙΝΑΣ</t>
  </si>
  <si>
    <t>7ο ΝΗΠΙΑΓΩΓΕΙΟ ΘΗΒΑΣ</t>
  </si>
  <si>
    <t>mail@7nip-thivas.voi.sch.gr</t>
  </si>
  <si>
    <t>ΤΑΧΙ</t>
  </si>
  <si>
    <t>ΝΗΠΙΑΓΩΓΕΙΟ ΠΛΑΤΑΙΩΝ</t>
  </si>
  <si>
    <t>mail@nip-plataion.voi.sch.gr</t>
  </si>
  <si>
    <t>mail@dim-oinof.voi.sch.gr</t>
  </si>
  <si>
    <t>ΟΙΝΟΦΥΤΑ</t>
  </si>
  <si>
    <t>ΠΥΡΓΟΥ 1</t>
  </si>
  <si>
    <t>10ο ΝΗΠΙΑΓΩΓΕΙΟ ΘΗΒΑ</t>
  </si>
  <si>
    <t>mail@10nip-thivas.voi.sch.gr</t>
  </si>
  <si>
    <t>ΠΟΥΛΙΟΠΟΥΛΟΥ 8</t>
  </si>
  <si>
    <t>ΔΗΜΟΤΙΚΟ ΣΧΟΛΕΙΟ ΥΠΑΤΟΥ</t>
  </si>
  <si>
    <t>mail@dim-ypatou.voi.sch.gr</t>
  </si>
  <si>
    <t>ΥΠΑΤΟ ΒΟΙΩΤΙΑΣ</t>
  </si>
  <si>
    <t>mail@2dim-thivas.voi.sch.gr</t>
  </si>
  <si>
    <t>ΚΑΣΣΑΝΔΡΟΥ &amp; ΣΠΑΡΤΩΝ</t>
  </si>
  <si>
    <t>ΝΗΠΙΑΓΩΓΕΙΟ ΚΟΚΚΙΝΟΥ</t>
  </si>
  <si>
    <t>mail@nip-kokkin.voi.sch.gr</t>
  </si>
  <si>
    <t>12ο ΝΗΠΙΑΓΩΓΕΙΟ ΛΙΒΑΔΕΙΑΣ</t>
  </si>
  <si>
    <t>mail@12nip-livad.voi.sch.gr</t>
  </si>
  <si>
    <t>ΑΡΙΣΤΟΦΑΝΟΥΣ ΚΑΙ ΧΑΙΡΩΝΕΙΑΣ</t>
  </si>
  <si>
    <t>ΔΗΜΟΤΙΚΟ ΣΧΟΛΕΙΟ ΚΑΛΛΙΘΕΑΣ ΔΗΜΟΥ ΤΑΝΑΓΡΑΣ</t>
  </si>
  <si>
    <t>mail@dim-kallith.voi.sch.gr</t>
  </si>
  <si>
    <t>ΔΗΜΟΤΙΚΟ ΣΧΟΛΕΙΟ ΚΑΣΤΡΟΥ ΒΟΙΩΤΙΑΣ</t>
  </si>
  <si>
    <t>mail@dim-kastr.voi.sch.gr</t>
  </si>
  <si>
    <t>ΔΗΜΟΤΙΚΟ ΣΧΟΛΕΙΟ ΑΓΙΟΥ ΘΩΜΑ ΒΟΙΩΤΙΑΣ</t>
  </si>
  <si>
    <t>mail@dim-ag-thoma.voi.sch.gr</t>
  </si>
  <si>
    <t>ΑΓ. ΘΩΜΑΣ ΤΑΝΑΓΡΑΣ ΒΟΙΩΤΙΑΣ</t>
  </si>
  <si>
    <t>ΝΗΠΙΑΓΩΓΕΙΟ ΑΓΙΟΥ ΘΩΜΑ ΒΟΙΩΤΙΑΣ</t>
  </si>
  <si>
    <t>mail@nip-ag-thoma.voi.sch.gr</t>
  </si>
  <si>
    <t>ΑΓΙΟΣ ΘΩΜΑΣ 0</t>
  </si>
  <si>
    <t>ΝΗΠΙΑΓΩΓΕΙΟ ΚΑΛΛΙΘΕΑΣ ΒΟΙΩΤΙΑΣ</t>
  </si>
  <si>
    <t>mail@nip-kallith.voi.sch.gr</t>
  </si>
  <si>
    <t>ΝΗΠΙΑΓΩΓΕΙΟ ΜΕΛΛΙΣΟΧΩΡΙΟΥ</t>
  </si>
  <si>
    <t>mail@nip-meliss.voi.sch.gr</t>
  </si>
  <si>
    <t>ΝΗΠΙΑΓΩΓΕΙΟ ΣΚΟΥΡΤΩΝ</t>
  </si>
  <si>
    <t>mail@nip-skourt.voi.sch.gr</t>
  </si>
  <si>
    <t>ΝΗΠΙΑΓΩΓΕΙΟ ΟΙΝΟΗΣ</t>
  </si>
  <si>
    <t>mail@nip-oinois.voi.sch.gr</t>
  </si>
  <si>
    <t>ΝΗΠΙΑΓΩΓΕΙΟ ΑΓΙΟΥ ΔΗΜΗΤΡΙΟΥ ΒΟΙΩΤΙΑΣ</t>
  </si>
  <si>
    <t>mail@nip-ag-dimitr.voi.sch.gr</t>
  </si>
  <si>
    <t>ΝΗΠΙΑΓΩΓΕΙΟ ΑΓΙΟΥ ΓΕΩΡΓΙΟΥ ΒΟΙΩΤΙΑΣ</t>
  </si>
  <si>
    <t>mail@nip-ag-georg.voi.sch.gr</t>
  </si>
  <si>
    <t>ΕΙΔΙΚΟ ΝΗΠΙΑΓΩΓΕΙΟ ΛΙΒΑΔΕΙΑΣ</t>
  </si>
  <si>
    <t>mail@nip-eid-livad.voi.sch.gr</t>
  </si>
  <si>
    <t>ΙΤΕΑΣ ΚΑΙ ΕΡΚΥΝΑΣ</t>
  </si>
  <si>
    <t>13ο ΝΗΠΙΑΓΩΓΕΙΟ ΛΙΒΑΔΕΙΑΣ</t>
  </si>
  <si>
    <t>mail@13nip-livad.voi.sch.gr</t>
  </si>
  <si>
    <t>mail@dim-ag-georg.voi.sch.gr</t>
  </si>
  <si>
    <t>ΔΗΜΟΤΙΚΟ ΣΧΟΛΕΙΟ ΑΓΙΟΥ ΔΗΜΗΤΡΙΟΥ ΒΟΙΩΤΙΑΣ</t>
  </si>
  <si>
    <t>mail@dim-ag-dimitr.voi.sch.gr</t>
  </si>
  <si>
    <t>ΝΗΠΙΑΓΩΓΕΙΟ ΑΓΙΑΣ ΤΡΙΑΔΑΣ ΚΟΡΩΝΕΙΑΣ</t>
  </si>
  <si>
    <t>mail@nip-ag-triad.voi.sch.gr</t>
  </si>
  <si>
    <t>2ο ΝΗΠΙΑΓΩΓΕΙΟ ΟΙΝΟΦΥΤΩΝ</t>
  </si>
  <si>
    <t>mail@2nip-oinof.voi.sch.gr</t>
  </si>
  <si>
    <t>ΚΑΛΗΣ ΘΕΛΗΣΕΩΣ 2</t>
  </si>
  <si>
    <t>2ο ΔΗΜΟΤΙΚΟ ΣΧΟΛΕΙΟ ΕΛΕΩΝΑ (Κατάστημα Κράτησης Γυναικών)</t>
  </si>
  <si>
    <t>mail@dim-kkg-Elaion.voi.sch.gr</t>
  </si>
  <si>
    <t>Ελεώνας</t>
  </si>
  <si>
    <t>Κατάστημα Κράτησης Γυναικών Ελεώνα Θήβας</t>
  </si>
  <si>
    <t>ΔΙΕΥΘΥΝΣΗ Π.Ε. ΕΥΒΟΙΑΣ</t>
  </si>
  <si>
    <t>1ο ΝΗΠΙΑΓΩΓΕΙΟ ΕΡΕΤΡΙΑΣ</t>
  </si>
  <si>
    <t>mail@1nip-eretr.eyv.sch.gr</t>
  </si>
  <si>
    <t>ΠΛΑΤΕΙΑ  ΛΑΪΚΗΣ</t>
  </si>
  <si>
    <t>1ο ΝΗΠΙΑΓΩΓΕΙΟ ΨΑΧΝΩΝ</t>
  </si>
  <si>
    <t>mail@1nip-psachn.eyv.sch.gr</t>
  </si>
  <si>
    <t>ΙΩΑΝΝΗ ΜΕΤΑΞΑ 3</t>
  </si>
  <si>
    <t>2ο ΝΗΠΙΑΓΩΓΕΙΟ ΝΕΑΣ ΛΑΜΨΑΚΟΥ</t>
  </si>
  <si>
    <t>mail@2nip-n-lamps.eyv.sch.gr</t>
  </si>
  <si>
    <t>ΛΟΧΙΑ ΣΠ. ΡΩΜΙΟΠΟΥΛΟΥ</t>
  </si>
  <si>
    <t>1ο ΝΗΠΙΑΓΩΓΕΙΟ ΝΕΑΣ ΛΑΜΨΑΚΟΥ</t>
  </si>
  <si>
    <t>mail@1nip-n-lamps.eyv.sch.gr</t>
  </si>
  <si>
    <t>1ο ΝΗΠΙΑΓΩΓΕΙΟ ΑΓ. ΝΙΚΟΛΑΟΥ ΧΑΛΚΙΔΑΣ</t>
  </si>
  <si>
    <t>mail@nip-ag-nikol.eyv.sch.gr</t>
  </si>
  <si>
    <t>ΑΓ. ΝΙΚΟΛΑΟΥ ΧΑΛΚΙΔΑΣ</t>
  </si>
  <si>
    <t>ΖΩΟΔΟΧΟΥ ΠΗΓΗΣ</t>
  </si>
  <si>
    <t>ΦΥΛΛΩΝ</t>
  </si>
  <si>
    <t>ΔΗΜΟΤΙΚΟ ΣΧΟΛΕΙΟ ΦΥΛΛΩΝ</t>
  </si>
  <si>
    <t>dimfyll@sch.gr</t>
  </si>
  <si>
    <t>ΦΥΛΛΑ ΧΑΛΚΙΔΑΣ</t>
  </si>
  <si>
    <t>3ο ΝΗΠΙΑΓΩΓΕΙΟ ΝΕΑΣ ΑΡΤΑΚΗΣ</t>
  </si>
  <si>
    <t>mail@3nip-n-artak.eyv.sch.gr</t>
  </si>
  <si>
    <t>ΑΥΞΕΝΤΙΟΥ 23</t>
  </si>
  <si>
    <t>2ο ΝΗΠΙΑΓΩΓΕΙΟ ΔΡΟΣΙΑΣ ΕΥΒΟΙΑΣ</t>
  </si>
  <si>
    <t>mail@2nip-drosias.eyv.sch.gr</t>
  </si>
  <si>
    <t>ΙΠΠΟΚΡΑΤΟΥΣ 6</t>
  </si>
  <si>
    <t>5ο ΔΗΜΟΤΙΚΟ ΣΧΟΛΕΙΟ ΧΑΛΚΙΔΑΣ</t>
  </si>
  <si>
    <t>mail@5dim-chalk.eyv.sch.gr</t>
  </si>
  <si>
    <t>ΤΡΑΛΛΕΩΝ 57</t>
  </si>
  <si>
    <t>18ο ΔΗΜΟΤΙΚΟ ΣΧΟΛΕΙΟ ΧΑΛΚΙΔΑΣ</t>
  </si>
  <si>
    <t>18dimchalk@sch.gr</t>
  </si>
  <si>
    <t>Χαλκίδα</t>
  </si>
  <si>
    <t>Πάροδος Ορέστη Μακρή, 0000</t>
  </si>
  <si>
    <t>mail@1dim-vasil.eyv.sch.gr</t>
  </si>
  <si>
    <t>ΑΓ. ΓΕΩΡΓΙΟΥ 48</t>
  </si>
  <si>
    <t>2ο ΔΗΜΟΤΙΚΟ ΣΧΟΛΕΙΟ ΒΑΣΙΛΙΚΟΥ</t>
  </si>
  <si>
    <t>mail@2dim-vasil.eyv.sch.gr</t>
  </si>
  <si>
    <t>ΒΑΣΙΛΙΚΟ ΧΑΛΚΙΔΑΣ</t>
  </si>
  <si>
    <t>ΠΑΝΤΕΛΕΗΜΟΝΟΣ 36</t>
  </si>
  <si>
    <t>ΔΗΜΟΤΙΚΟ ΣΧΟΛΕΙΟ ΑΓΙΟΥ ΝΙΚΟΛΑΟΥ ΕΥΒΟΙΑΣ</t>
  </si>
  <si>
    <t>mail@dim-ag-nikol.eyv.sch.gr</t>
  </si>
  <si>
    <t>ʼγιος  Νικόλαος</t>
  </si>
  <si>
    <t>ΛΕΩΦΟΡΟΣ  28ης ΟΚΤΩΒΡΙΟΥ</t>
  </si>
  <si>
    <t>3ο ΔΗΜΟΤΙΚΟ ΣΧΟΛΕΙΟ ΒΑΣΙΛΙΚΟΥ</t>
  </si>
  <si>
    <t>mail@3dim-vasil.eyv.sch.gr</t>
  </si>
  <si>
    <t xml:space="preserve">Βασιλικό  </t>
  </si>
  <si>
    <t>ΛΕΥΚΑΝΤΙΟΥ 10</t>
  </si>
  <si>
    <t>mail@dim-kaloch.eyv.sch.gr</t>
  </si>
  <si>
    <t>ΚΑΛΟΧΩΡΙ-ΠΑΝΤΕΙΧΙ</t>
  </si>
  <si>
    <t>ΑΦΡΑΤΙΟΥ</t>
  </si>
  <si>
    <t>ΔΗΜΟΤΙΚΟ ΣΧΟΛΕΙΟ ΑΦΡΑΤΙΟΥ</t>
  </si>
  <si>
    <t>dimafrat@sch.gr</t>
  </si>
  <si>
    <t>ΑΦΡΑΤΙ</t>
  </si>
  <si>
    <t>ΑΦΡΑΤΙ - ΧΑΛΚΙΔΑΣ</t>
  </si>
  <si>
    <t>ΔΗΜΟΤΙΚΟ ΣΧΟΛΕΙΟ ΕΛΛΗΝΙΚΩΝ</t>
  </si>
  <si>
    <t>mail@dim-ellin.eyv.sch.gr</t>
  </si>
  <si>
    <t>ΕΛΛΗΝΙΚΑ  ΑΡΤΕΜΙΣΙΟΥ</t>
  </si>
  <si>
    <t>ΕΛΛΗΝΙΚΑ ΑΡΤΕΜΙΣΙΟΥ</t>
  </si>
  <si>
    <t>mail@dim-prokop.eyv.sch.gr</t>
  </si>
  <si>
    <t>7ο ΔΗΜΟΤΙΚΟ ΣΧΟΛΕΙΟ ΧΑΛΚΙΔΑΣ</t>
  </si>
  <si>
    <t>mail@7dim-chalk.eyv.sch.gr</t>
  </si>
  <si>
    <t>ΑΠΟΣΤΟΛΗ 46</t>
  </si>
  <si>
    <t>mail@3dim-psachn.eyv.sch.gr</t>
  </si>
  <si>
    <t xml:space="preserve">Ψαχνά, </t>
  </si>
  <si>
    <t>ΑΓΓΕΛΗ ΓΟΒΙΟΥ 75</t>
  </si>
  <si>
    <t>mail@dim-ag-annas.eyv.sch.gr</t>
  </si>
  <si>
    <t>ΔΗΜΟΤΙΚΟ ΣΧΟΛΕΙΟ ΜΥΤΙΚΑ ΧΑΛΚΙΔΑΣ</t>
  </si>
  <si>
    <t>mail@dim-mytik.eyv.sch.gr</t>
  </si>
  <si>
    <t>Μύτικας</t>
  </si>
  <si>
    <t>ΤΡΙΑΔΟΣ</t>
  </si>
  <si>
    <t>ΔΗΜΟΤΙΚΟ ΣΧΟΛΕΙΟ ΤΡΙΑΔΑΣ</t>
  </si>
  <si>
    <t>mail@dim-triad.eyv.sch.gr</t>
  </si>
  <si>
    <t>ΤΡΙΑΔΑ</t>
  </si>
  <si>
    <t>ΝΗΠΙΑΓΩΓΕΙΟ ΒΑΤΩΝΤΑ</t>
  </si>
  <si>
    <t>mail@nip-vatont.eyv.sch.gr</t>
  </si>
  <si>
    <t>ΒΑΤΩΝΤΑΣ</t>
  </si>
  <si>
    <t>mail@1dim-istiaias.eyv.sch.gr</t>
  </si>
  <si>
    <t>Γ.ΧΑΛΚΙΑ - Π. ΣΦΑΚΙΑΝΟΥ</t>
  </si>
  <si>
    <t>mail@dim-n-lamps.eyv.sch.gr</t>
  </si>
  <si>
    <t>25Η  ΜΑΡΤΙΟΥ</t>
  </si>
  <si>
    <t>17ο ΔΗΜΟΤΙΚΟ ΣΧΟΛΕΙΟ ΧΑΛΚΙΔΑΣ</t>
  </si>
  <si>
    <t>mail@17dim-chalk.eyv.sch.gr</t>
  </si>
  <si>
    <t>mail@26dim-chalk.eyv.sch.gr</t>
  </si>
  <si>
    <t>ΖΑΧΑΡΟΠΟΥΛΟΥ 18</t>
  </si>
  <si>
    <t>ΝΗΠΙΑΓΩΓΕΙΟ ΜΑΛΑΚΩΝΤΑΣ</t>
  </si>
  <si>
    <t>mail@nip-malakont.eyv.sch.gr</t>
  </si>
  <si>
    <t>ΜΑΛΑΚΩΝΤΑΣ</t>
  </si>
  <si>
    <t>ΖΑΡΑΚΩΝ</t>
  </si>
  <si>
    <t>ΔΗΜΟΤΙΚΟ ΣΧΟΛΕΙΟ ΖΑΡΑΚΩΝ</t>
  </si>
  <si>
    <t>mail@dim-zarak.eyv.sch.gr</t>
  </si>
  <si>
    <t>ΖΑΡΑΚΕΣ</t>
  </si>
  <si>
    <t>ΔΗΜΟΤΙΚΟ ΣΧΟΛΕΙΟ ΝΕΩΝ ΣΤΥΡΩΝ</t>
  </si>
  <si>
    <t>ΝΗΠΙΑΓΩΓΕΙΟ ΜΥΤΙΚΑ</t>
  </si>
  <si>
    <t>mail@nip-mytik.eyv.sch.gr</t>
  </si>
  <si>
    <t>ΜΥΤΙΚΑΣ  ΛΗΛΑΝΤΙΩΝ  ΧΑΛΚΙΔΑΣ</t>
  </si>
  <si>
    <t>ΝΕΡΟΤΡΙΒΙΑΣ</t>
  </si>
  <si>
    <t>ΝΗΠΙΑΓΩΓΕΙΟ ΝΕΡΟΤΡΙΒΙΑΣ</t>
  </si>
  <si>
    <t>mail@nip-nerotr.eyv.sch.gr</t>
  </si>
  <si>
    <t>ΝΕΡΟΤΡΙΒΙΑ</t>
  </si>
  <si>
    <t>23ο ΔΗΜΟΤΙΚΟ ΣΧΟΛΕΙΟ ΧΑΛΚΙΔΑΣ  "ΓΕΩΡΓΙΟΣ ΟΙΚΟΝΟΜΙΔΗΣ"</t>
  </si>
  <si>
    <t>mail@23dim-chalk.eyv.sch.gr</t>
  </si>
  <si>
    <t>ΒΟΥΖΟΠΟΥΛΟΥ - ΔΥΟ ΔΕΝΔΡΑ</t>
  </si>
  <si>
    <t>ΑΣΜΗΝΙΟΥ</t>
  </si>
  <si>
    <t>ΔΗΜΟΤΙΚΟ ΣΧΟΛΕΙΟ ΑΣΜΗΝΙΟΥ</t>
  </si>
  <si>
    <t>mail@dim-asmin.eyv.sch.gr</t>
  </si>
  <si>
    <t>ΑΣΜΗΝΙΟ</t>
  </si>
  <si>
    <t>mail@1dim-psachn.eyv.sch.gr</t>
  </si>
  <si>
    <t>ΑΒΑΝΤΩΝ 15, ΠΛΑΤΕΙΑ ΚΥΠΡΟΥ</t>
  </si>
  <si>
    <t>ΔΗΜΟΤΙΚΟ ΣΧΟΛΕΙΟ ΠΕΥΚΙΟΥ</t>
  </si>
  <si>
    <t>mail@dim-pefkiou.eyv.sch.gr</t>
  </si>
  <si>
    <t>ΠΕΥΚΙ</t>
  </si>
  <si>
    <t>mail@dim-drosias.eyv.sch.gr</t>
  </si>
  <si>
    <t>28 ΟΚΤΩΒΡΙΟΥ 20</t>
  </si>
  <si>
    <t>ΚΑΦΗΡΕΩΣ</t>
  </si>
  <si>
    <t>ΚΟΜΙΤΟΥ</t>
  </si>
  <si>
    <t>ΔΗΜΟΤΙΚΟ ΣΧΟΛΕΙΟ ΚΟΜΗΤΟΥ</t>
  </si>
  <si>
    <t>mail@dim-komit.eyv.sch.gr</t>
  </si>
  <si>
    <t>ΚΟΜΗΤΟ</t>
  </si>
  <si>
    <t>2ο ΝΗΠΙΑΓΩΓΕΙΟ ΕΡΕΤΡΙΑΣ</t>
  </si>
  <si>
    <t>mail@2nip-eretr.eyv.sch.gr</t>
  </si>
  <si>
    <t>ΚΡΥΟΝΕΡΙΤΗ</t>
  </si>
  <si>
    <t>ΔΗΜΟΤΙΚΟ ΣΧΟΛΕΙΟ ΚΡΥΟΝΕΡΙΤΗ</t>
  </si>
  <si>
    <t>mail@dim-kryon.eyv.sch.gr</t>
  </si>
  <si>
    <t>ΚΡΥΟΝΕΡΙΤΗΣ</t>
  </si>
  <si>
    <t>ΔΗΜΟΤΙΚΟ ΣΧΟΛΕΙΟ ΜΑΛΑΚΩΝΤΑ ΕΡΕΤΡΙΑΣ</t>
  </si>
  <si>
    <t>mail@dim-malakontos.eyv.sch.gr</t>
  </si>
  <si>
    <t>Μαλακώντας Ερέτριας</t>
  </si>
  <si>
    <t>mail@25dim-chalk.eyv.sch.gr</t>
  </si>
  <si>
    <t>ΜΕΓΑΣΘΕΝΟΥΣ  28</t>
  </si>
  <si>
    <t>2ο ΝΗΠΙΑΓΩΓΕΙΟ ΝΕΑΣ ΑΡΤΑΚΗΣ</t>
  </si>
  <si>
    <t>mail@2nip-n-artak.eyv.sch.gr</t>
  </si>
  <si>
    <t>ΣΙΚΕΛΙΑΝΟΥ 9</t>
  </si>
  <si>
    <t>ΝΗΠΙΑΓΩΓΕΙΟ ΦΥΛΛΩΝ</t>
  </si>
  <si>
    <t>mail@nip-fyllon.eyv.sch.gr</t>
  </si>
  <si>
    <t>ΦΥΛΛΑ</t>
  </si>
  <si>
    <t>2ο ΝΗΠΙΑΓΩΓΕΙΟ ΧΑΛΚΙΔΑΣ</t>
  </si>
  <si>
    <t>mail@2nip-chalk.eyv.sch.gr</t>
  </si>
  <si>
    <t>ΑΓΓΕΛΕΤΟΥ 21</t>
  </si>
  <si>
    <t>4ο ΝΗΠΙΑΓΩΓΕΙΟ ΧΑΛΚΙΔΑΣ</t>
  </si>
  <si>
    <t>mail@4nip-chalk.eyv.sch.gr</t>
  </si>
  <si>
    <t>ΘΕΣΠΡΩΤΙΑΣ 34</t>
  </si>
  <si>
    <t>3ο ΔΗΜΟΤΙΚΟ ΣΧΟΛΕΙΟ ΝΕΑΣ ΑΡΤΑΚΗΣ</t>
  </si>
  <si>
    <t>mail@3dim-n-artak.eyv.sch.gr</t>
  </si>
  <si>
    <t>Δ.ΚΕΛΑΪΔΙΤΗ</t>
  </si>
  <si>
    <t>ΩΡΕΩΝ</t>
  </si>
  <si>
    <t>ΔΗΜΟΤΙΚΟ ΣΧΟΛΕΙΟ ΤΑΞΙΑΡΧΗΣ ΩΡΕΩΝ</t>
  </si>
  <si>
    <t>mail@dim-taxiarch.eyv.sch.gr</t>
  </si>
  <si>
    <t>ΤΑΞΙΑΡΧΗΣ  ΕΥΒΟΙΑΣ</t>
  </si>
  <si>
    <t>9ο ΔΗΜΟΤΙΚΟ ΣΧΟΛΕΙΟ ΧΑΛΚΙΔΑΣ - ΓΙΑΝΝΗΣ ΣΚΑΡΙΜΠΑΣ</t>
  </si>
  <si>
    <t>mail@9dim-chalk.eyv.sch.gr</t>
  </si>
  <si>
    <t>ΧΕΙΜΑΡΑΣ 14</t>
  </si>
  <si>
    <t>10ο ΔΗΜΟΤΙΚΟ ΣΧΟΛΕΙΟ ΧΑΛΚΙΔΑΣ</t>
  </si>
  <si>
    <t>mail@10dim-chalk.eyv.sch.gr</t>
  </si>
  <si>
    <t>ΑΓΔΙΝΩΝ</t>
  </si>
  <si>
    <t>ΔΗΜΟΤΙΚΟ ΣΧΟΛΕΙΟ ΑΓΔΙΝΩΝ</t>
  </si>
  <si>
    <t>mail@dim-agdin.eyv.sch.gr</t>
  </si>
  <si>
    <t>ΑΓΔΙΝΕΣ</t>
  </si>
  <si>
    <t>ΑΓΔΙΝΕΣ-ΙΣΤΙΑΙΑΣ</t>
  </si>
  <si>
    <t>16ο ΝΗΠΙΑΓΩΓΕΙΟ ΧΑΛΚΙΔΑΣ</t>
  </si>
  <si>
    <t>mail@16nip-chalk.eyv.sch.gr</t>
  </si>
  <si>
    <t>ΛΕΛΑΣ ΚΑΡΑΓΙΑΝΝΗ 25</t>
  </si>
  <si>
    <t>ΝΗΠΙΑΓΩΓΕΙΟ ΑΥΛΩΝΑΡΙΟΥ</t>
  </si>
  <si>
    <t>mail@nip-avlon.eyv.sch.gr</t>
  </si>
  <si>
    <t>ΑΥΛΩΝΑΡΙ ΕΥΒΟΙΑΣ</t>
  </si>
  <si>
    <t>ΝΗΠΙΑΓΩΓΕΙΟ ΜΑΡΜΑΡΙΟΥ</t>
  </si>
  <si>
    <t>mail@nip-marmar.eyv.sch.gr</t>
  </si>
  <si>
    <t>ΛΙΧΑΔΟΣ</t>
  </si>
  <si>
    <t>mail@dim-ag-georg.eyv.sch.gr</t>
  </si>
  <si>
    <t>ΑΓΙΟΣ ΓΕΩΡΓΙΟΣ ΛΙΧΑΔΑΣ</t>
  </si>
  <si>
    <t>ΚΑΣΤΕΛΛΑΣ</t>
  </si>
  <si>
    <t>1ο ΔΗΜΟΤΙΚΟ ΣΧΟΛΕΙΟ ΚΑΣΤΕΛΛΑΣ</t>
  </si>
  <si>
    <t>mail@1dim-kastell.eyv.sch.gr</t>
  </si>
  <si>
    <t>Καστέλλα</t>
  </si>
  <si>
    <t>ΝΗΠΙΑΓΩΓΕΙΟ ΣΤΥΡΩΝ</t>
  </si>
  <si>
    <t>mail@nip-styron.eyv.sch.gr</t>
  </si>
  <si>
    <t>ΣΤΥΡΑ</t>
  </si>
  <si>
    <t>4ο ΔΗΜΟΤΙΚΟ ΣΧΟΛΕΙΟ ΝΕΑΣ ΑΡΤΑΚΗΣ</t>
  </si>
  <si>
    <t>mail@4dim-n-artak.eyv.sch.gr</t>
  </si>
  <si>
    <t>Ν. ΑΡΤΑΚΗ</t>
  </si>
  <si>
    <t>Λ. ΒΟΥΔΟΥΡΗ 38</t>
  </si>
  <si>
    <t>19ο ΝΗΠΙΑΓΩΓΕΙΟ ΧΑΛΚΙΔΑΣ</t>
  </si>
  <si>
    <t>mail@19nip-chalk.eyv.sch.gr</t>
  </si>
  <si>
    <t>ΑΜΦΙΔΑΜΑΝΤΟΣ ΚΑΙ ΠΟΣΕΙΔΩΝΟΣ</t>
  </si>
  <si>
    <t>ΜΙΣΤΡΟΥ</t>
  </si>
  <si>
    <t>ΝΗΠΙΑΓΩΓΕΙΟ ΜΙΣΤΡΟΥ</t>
  </si>
  <si>
    <t>mail@nip-mistr.eyv.sch.gr</t>
  </si>
  <si>
    <t>ΜΙΣΤΡΟΣ</t>
  </si>
  <si>
    <t>ΛΟΥΚΙΣΙΩΝ</t>
  </si>
  <si>
    <t>ΝΗΠΙΑΓΩΓΕΙΟ ΑΝΘΗΔΟΝΑΣ</t>
  </si>
  <si>
    <t>mail@nip-anthid.eyv.sch.gr</t>
  </si>
  <si>
    <t>ΑΝΘΗΔΟΝΑΣ</t>
  </si>
  <si>
    <t>ΑΝΘΗΔΟΝΑ</t>
  </si>
  <si>
    <t>mail@dim-marmar.eyv.sch.gr</t>
  </si>
  <si>
    <t>ΝΗΠΙΑΓΩΓΕΙΟ ΚΡΙΕΖΩΝ</t>
  </si>
  <si>
    <t>mail@nip-kriez.eyv.sch.gr</t>
  </si>
  <si>
    <t>ΔΡΟΣΙΑ ΚΡΙΕΖΩΝ</t>
  </si>
  <si>
    <t>3ο ΝΗΠΙΑΓΩΓΕΙΟ ΧΑΛΚΙΔΑΣ</t>
  </si>
  <si>
    <t>mail@3nip-chalk.eyv.sch.gr</t>
  </si>
  <si>
    <t>ΧΡΗΣΤΟΥ ΚΑΨΑΛΗ 42</t>
  </si>
  <si>
    <t>ΝΗΠΙΑΓΩΓΕΙΟ ΠΡΟΚΟΠΙΟΥ</t>
  </si>
  <si>
    <t>mail@nip-prokop.eyv.sch.gr</t>
  </si>
  <si>
    <t>21ο ΝΗΠΙΑΓΩΓΕΙΟ ΧΑΛΚΙΔΑΣ</t>
  </si>
  <si>
    <t>mail@21nip-chalk.eyv.sch.gr</t>
  </si>
  <si>
    <t>ΛΟΦΟΣ ΑΓΙΟΥ ΚΩΝΣΤΑΝΤΙΝΟΥ ΟΔΟΣ ΛΑΜΠΟΥΣΑΣ</t>
  </si>
  <si>
    <t>ΔΗΜΟΤΙΚΟ ΣΧΟΛΕΙΟ ΣΙΝΑΣΟΥ</t>
  </si>
  <si>
    <t>mail@dim-sinas.eyv.sch.gr</t>
  </si>
  <si>
    <t>ΣΙΝΑΣΟΣ</t>
  </si>
  <si>
    <t>ΠΟΛΙΤΙΚΩΝ</t>
  </si>
  <si>
    <t>ΔΗΜΟΤΙΚΟ ΣΧΟΛΕΙΟ ΠΟΛΙΤΙΚΩΝ</t>
  </si>
  <si>
    <t>mail@dim-polit.eyv.sch.gr</t>
  </si>
  <si>
    <t>ΠΟΛΙΤΙΚΑ</t>
  </si>
  <si>
    <t>ΑΓΙΟΥ</t>
  </si>
  <si>
    <t>ΝΗΠΙΑΓΩΓΕΙΟ ΑΓΙΟΥ ΕΥΒΟΙΑΣ</t>
  </si>
  <si>
    <t>mail@nip-agiou.eyv.sch.gr</t>
  </si>
  <si>
    <t>ΑΓΙΟΥ ΕΥΒΟΙΑΣ</t>
  </si>
  <si>
    <t>ΑΓΙΟΣ ΛΟΥΤΡΩΝ ΑΙΔΗΨΟΥ</t>
  </si>
  <si>
    <t>ΝΗΠΙΑΓΩΓΕΙΟ ΠΟΛΙΤΙΚΩΝ</t>
  </si>
  <si>
    <t>mail@nip-polit.eyv.sch.gr</t>
  </si>
  <si>
    <t>ΠΟΛΙΤΙΚΑ Δ. ΜΕΣΣΑΠΙΩΝ</t>
  </si>
  <si>
    <t>ΝΗΠΙΑΓΩΓΕΙΟ ΑΓΙΑΣ ΑΝΝΑΣ</t>
  </si>
  <si>
    <t>mail@nip-ag-annas.eyv.sch.gr</t>
  </si>
  <si>
    <t>ΚΗΡΙΝΘΟΥ</t>
  </si>
  <si>
    <t>ΔΗΜΟΤΙΚΟ ΣΧΟΛΕΙΟ ΚΗΡΙΝΘΟΥ</t>
  </si>
  <si>
    <t>mail@dim-kirinth.eyv.sch.gr</t>
  </si>
  <si>
    <t>ΚΗΡΙΝΘΟΣ</t>
  </si>
  <si>
    <t>ΝΗΠΙΑΓΩΓΕΙΟ ΚΗΡΙΝΘΟΥ</t>
  </si>
  <si>
    <t>mail@nip-kirinth.eyv.sch.gr</t>
  </si>
  <si>
    <t>ΑΓΙΟΥ ΙΩΑΝΝΟΥ ΡΩΣΟΥ</t>
  </si>
  <si>
    <t>ΝΗΠΙΑΓΩΓΕΙΟ ΑΝΩ ΣΤΕΝΗΣ</t>
  </si>
  <si>
    <t>mail@nip-an-stenis.eyv.sch.gr</t>
  </si>
  <si>
    <t>ΑΝΩ ΣΤΕΝΗΣ</t>
  </si>
  <si>
    <t>ΑΝΩ ΣΤΕΝΗ</t>
  </si>
  <si>
    <t>ΔΗΜΟΤΙΚΟ ΣΧΟΛΕΙΟ ΒΑΤΩΝΤΑ</t>
  </si>
  <si>
    <t>mail@dim-vatont.eyv.sch.gr</t>
  </si>
  <si>
    <t>ΝΗΠΙΑΓΩΓΕΙΟ ΖΑΡΑΚΩΝ</t>
  </si>
  <si>
    <t>mail@nip-zarak.eyv.sch.gr</t>
  </si>
  <si>
    <t>ΔΗΜΟΤΙΚΟ ΣΧΟΛΕΙΟ ΜΙΣΤΡΟΥ</t>
  </si>
  <si>
    <t>mail@dim-mistr.eyv.sch.gr</t>
  </si>
  <si>
    <t>ΔΗΜΟΤΙΚΟ ΣΧΟΛΕΙΟ ΑΓΙΟΥ ΑΙΔΗΨΟΥ</t>
  </si>
  <si>
    <t>mail@dim-ag-istiaias.eyv.sch.gr</t>
  </si>
  <si>
    <t>ΑΓΙΟΣ ΑΙΔΗΨΟΥ</t>
  </si>
  <si>
    <t>ΡΟΒΙΩΝ</t>
  </si>
  <si>
    <t>ΔΗΜΟΤΙΚΟ ΣΧΟΛΕΙΟ ΡΟΒΙΩΝ</t>
  </si>
  <si>
    <t>mail@dim-rovion.eyv.sch.gr</t>
  </si>
  <si>
    <t>ΡΟΒΙΕΣ</t>
  </si>
  <si>
    <t>ΠΗΛΙΟΥ</t>
  </si>
  <si>
    <t>ΝΗΠΙΑΓΩΓΕΙΟ ΠΗΛΙΟΥ</t>
  </si>
  <si>
    <t>mail@nip-piliou.eyv.sch.gr</t>
  </si>
  <si>
    <t>ΠΗΛΙ</t>
  </si>
  <si>
    <t>ΠΟΥΡΝΟΥ</t>
  </si>
  <si>
    <t>ΔΗΜΟΤΙΚΟ ΣΧΟΛΕΙΟ ΠΟΥΡΝΟΥ</t>
  </si>
  <si>
    <t>mail@dim-pourn.eyv.sch.gr</t>
  </si>
  <si>
    <t>ΠΟΥΡΝΟΣ</t>
  </si>
  <si>
    <t>1ο ΕΙΔΙΚΟ ΝΗΠΙΑΓΩΓΕΙΟ ΧΑΛΚΙΔΑ - ΚΩΦΩΝ ΚΑΙ ΒΑΡΗΚΟΩΝ</t>
  </si>
  <si>
    <t>ΝΕΟΦΥΤΟΥ 29</t>
  </si>
  <si>
    <t>ΣΤΡΟΠΩΝΩΝ</t>
  </si>
  <si>
    <t>mail@dim-strop.eyv.sch.gr</t>
  </si>
  <si>
    <t>ΣΤΡΟΠΩΝΕΣ</t>
  </si>
  <si>
    <t>ΝΗΠΙΑΓΩΓΕΙΟ ΛΙΜΝΗΣ</t>
  </si>
  <si>
    <t>mail@nip-limnis.eyv.sch.gr</t>
  </si>
  <si>
    <t>mail@dim-an-stenis.eyv.sch.gr</t>
  </si>
  <si>
    <t>ΑΝΩ ΣΤΕΝΗ ΕΥΒΟΙΑΣ</t>
  </si>
  <si>
    <t>ΣΤΕΝΗ</t>
  </si>
  <si>
    <t>ΝΗΠΙΑΓΩΓΕΙΟ ΑΓΙΟΥ ΓΕΩΡΓΙΟΥ ΛΙΧΑΔΟΣ</t>
  </si>
  <si>
    <t>mail@nip-ag-georg.eyv.sch.gr</t>
  </si>
  <si>
    <t>ΑΓΙΟΥ ΓΕΩΡΓΙΟΥ ΛΙΧΑΔΟΣ</t>
  </si>
  <si>
    <t>ΑΓΙΟΣ ΓΕΩΡΓΙΟΣ ΛΙΧΑΔΟΣ</t>
  </si>
  <si>
    <t>ΑΜΥΓΔΑΛΕΑΣ</t>
  </si>
  <si>
    <t>ΔΗΜΟΤΙΚΟ ΣΧΟΛΕΙΟ ΑΜΥΓΔΑΛΙΑΣ</t>
  </si>
  <si>
    <t>mail@dim-amygd.eyv.sch.gr</t>
  </si>
  <si>
    <t>ΑΜΥΓΔΑΛΙΑ</t>
  </si>
  <si>
    <t>ΔΗΜΟΤΙΚΟ ΣΧΟΛΕΙΟ ΑΙΔΗΨΟΥ</t>
  </si>
  <si>
    <t>mail@dim-aidips.eyv.sch.gr</t>
  </si>
  <si>
    <t>ΑΙΔΗΨΟΣ</t>
  </si>
  <si>
    <t>1ο ΝΗΠΙΑΓΩΓΕΙΟ ΙΣΤΙΑΙΑΣ</t>
  </si>
  <si>
    <t>mail@1nip-istiaias.eyv.sch.gr</t>
  </si>
  <si>
    <t>ΤΣΙΤΣΑΡΑ 9</t>
  </si>
  <si>
    <t>ΝΗΠΙΑΓΩΓΕΙΟ ΜΑΚΡΥΚΑΠΑΣ</t>
  </si>
  <si>
    <t>mail@nip-makryk.eyv.sch.gr</t>
  </si>
  <si>
    <t>ΠΙΣΣΩΝΟΣ</t>
  </si>
  <si>
    <t>ΔΗΜΟΤΙΚΟ ΣΧΟΛΕΙΟ ΠΙΣΣΩΝΑ</t>
  </si>
  <si>
    <t>mail@dim-pisson.eyv.sch.gr</t>
  </si>
  <si>
    <t>ΠΙΣΣΩΝΑΣ</t>
  </si>
  <si>
    <t>ΔΗΜΟΤΙΚΟ ΣΧΟΛΕΙΟ ΑΝΘΗΔΟΝΑΣ</t>
  </si>
  <si>
    <t>mail@dim-anthid.eyv.sch.gr</t>
  </si>
  <si>
    <t>ΑΝΘΗΔΟΝΑ ΕΥΒΟΙΑΣ</t>
  </si>
  <si>
    <t>Λουκίσια ΕΥΒΟΙΑΣ</t>
  </si>
  <si>
    <t>mail@1dim-amarynth.eyv.sch.gr</t>
  </si>
  <si>
    <t>ΑΜΑΡΥΝΘΟΣ</t>
  </si>
  <si>
    <t>ΚΟΚΟΝΙΚΟΥ 5</t>
  </si>
  <si>
    <t>1ο ΔΗΜΟΤΙΚΟ ΣΧΟΛΕΙΟ ΕΡΕΤΡΙΑΣ</t>
  </si>
  <si>
    <t>mail@1dim-eretr.eyv.sch.gr</t>
  </si>
  <si>
    <t>ΑΜΑΡΥΣΙΑΣ ΑΡΤΕΜΙΔΟΣ</t>
  </si>
  <si>
    <t>mail@dim-makryk.eyv.sch.gr</t>
  </si>
  <si>
    <t>6ο ΝΗΠΙΑΓΩΓΕΙΟ ΧΑΛΚΙΔΑΣ</t>
  </si>
  <si>
    <t>mail@6nip-chalk.eyv.sch.gr</t>
  </si>
  <si>
    <t>ΣΑΒΒΑ 11</t>
  </si>
  <si>
    <t>13ο ΝΗΠΙΑΓΩΓΕΙΟ ΧΑΛΚΙΔΑΣ</t>
  </si>
  <si>
    <t>mail@13nip-chalk.eyv.sch.gr</t>
  </si>
  <si>
    <t>ΘΗΒΩΝ 7</t>
  </si>
  <si>
    <t>mail@dim-vatheos.eyv.sch.gr</t>
  </si>
  <si>
    <t>ΒΑΘΕΟΣ ΑΥΛΙΔΑΣ</t>
  </si>
  <si>
    <t>ΠΑΡΑΛΙΑΣ ΑΥΛΙΔΟΣ</t>
  </si>
  <si>
    <t>ΔΗΜΟΤΙΚΟ ΣΧΟΛΕΙΟ ΠΑΡΑΛΙΑΣ ΑΥΛΙΔΑΣ</t>
  </si>
  <si>
    <t>mail@dim-paral.eyv.sch.gr</t>
  </si>
  <si>
    <t>ΠΑΡΑΛΙΑ ΑΥΛΙΔΑΣ</t>
  </si>
  <si>
    <t>1ο ΔΗΜΟΤΙΚΟ ΣΧΟΛΕΙΟ ΧΑΛΚΙΔΑΣ</t>
  </si>
  <si>
    <t>mail@1dim-chalk.eyv.sch.gr</t>
  </si>
  <si>
    <t>ΠΑΠΑΛΟΥΚΑ 8</t>
  </si>
  <si>
    <t>mail@2dim-chalk.eyv.sch.gr</t>
  </si>
  <si>
    <t>ΕΥΒΟΙΑΣ 1</t>
  </si>
  <si>
    <t>mail@4dim-chalk.eyv.sch.gr</t>
  </si>
  <si>
    <t>6ο ΔΗΜΟΤΙΚΟ ΣΧΟΛΕΙΟ ΧΑΛΚΙΔΑΣ</t>
  </si>
  <si>
    <t>mail@6dim-chalk.eyv.sch.gr</t>
  </si>
  <si>
    <t>ΕΛΛΟΠΟΣ 20</t>
  </si>
  <si>
    <t>12ο ΔΗΜΟΤΙΚΟ ΣΧΟΛΕΙΟ ΧΑΛΚΙΔΑΣ</t>
  </si>
  <si>
    <t>mail@12dim-chalk.eyv.sch.gr</t>
  </si>
  <si>
    <t>ΚΑΛΛΙΘΕΑΣ 9</t>
  </si>
  <si>
    <t>14ο ΔΗΜΟΤΙΚΟ ΣΧΟΛΕΙΟ ΧΑΛΚΙΔΑΣ</t>
  </si>
  <si>
    <t>mail@14dim-chalk.eyv.sch.gr</t>
  </si>
  <si>
    <t>ΛΟΦΟΣ ΑΓ. ΚΩΝΣΤΑΝΤΙΝΟΥ</t>
  </si>
  <si>
    <t>15ο ΔΗΜΟΤΙΚΟ ΣΧΟΛΕΙΟ ΧΑΛΚΙΔΑΣ</t>
  </si>
  <si>
    <t>mail@15dim-chalk.eyv.sch.gr</t>
  </si>
  <si>
    <t>Θηβών 6</t>
  </si>
  <si>
    <t>20ο ΔΗΜΟΤΙΚΟ ΣΧΟΛΕΙΟ ΧΑΛΚΙΔΑΣ</t>
  </si>
  <si>
    <t>mail@20dim-chalk.eyv.sch.gr</t>
  </si>
  <si>
    <t>ΣΤΟΑ ΧΑΛΚΙΔΙΚΗΣ 7</t>
  </si>
  <si>
    <t>mail@21dim-chalk.eyv.sch.gr</t>
  </si>
  <si>
    <t>Δ.ΣΟΛΩΜΟΥ - ΚΑΨΑΛΗ</t>
  </si>
  <si>
    <t>1ο ΝΗΠΙΑΓΩΓΕΙΟ ΠΑΡΑΛΙΑΣ ΑΥΛΙΔΟΣ</t>
  </si>
  <si>
    <t>mail@nip-paral.eyv.sch.gr</t>
  </si>
  <si>
    <t>ΠΑΡΑΛΙΑ ΑΥΛΙΔΟΣ</t>
  </si>
  <si>
    <t>ΦΑΡΟΥ</t>
  </si>
  <si>
    <t>ΝΗΠΙΑΓΩΓΕΙΟ ΦΑΡΟΥ ΑΥΛΙΔΟΣ</t>
  </si>
  <si>
    <t>mail@nip-farou.eyv.sch.gr</t>
  </si>
  <si>
    <t>ΦΑΡΟΥ ΑΥΛΙΔΟΣ</t>
  </si>
  <si>
    <t>ΦΑΡΟΣ ΑΥΛΙΔΟΣ</t>
  </si>
  <si>
    <t>1ο ΝΗΠΙΑΓΩΓΕΙΟ ΒΑΘΕΟΣ ΑΥΛΙΔΟΣ</t>
  </si>
  <si>
    <t>mail@nip-vatheos.eyv.sch.gr</t>
  </si>
  <si>
    <t>ΒΑΘΕΟΣ ΑΥΛΙΔΟΣ</t>
  </si>
  <si>
    <t>ΤΣΕΛΛΑ ΚΑΙ ΛΕΙΒΑΔΙΤΗ</t>
  </si>
  <si>
    <t>1ο ΝΗΠΙΑΓΩΓΕΙΟ ΧΑΛΚΙΔΑΣ</t>
  </si>
  <si>
    <t>mail@1nip-chalk.eyv.sch.gr</t>
  </si>
  <si>
    <t>ΟΣΙΟΥ ΝΙΚΩΝΟΣ 7</t>
  </si>
  <si>
    <t>5ο ΝΗΠΙΑΓΩΓΕΙΟ ΧΑΛΚΙΔΑΣ</t>
  </si>
  <si>
    <t>mail@5nip-chalk.eyv.sch.gr</t>
  </si>
  <si>
    <t>ΕΛ. ΒΕΝΙΖΕΛΟΥ 73</t>
  </si>
  <si>
    <t>7ο ΝΗΠΙΑΓΩΓΕΙΟ ΧΑΛΚΙΔΑΣ</t>
  </si>
  <si>
    <t>mail@7nip-chalk.eyv.sch.gr</t>
  </si>
  <si>
    <t>ΠΑΝΙΩΝΙΩΝ ΚΑΙ ΑΓΑΠΗΣ</t>
  </si>
  <si>
    <t>9ο ΝΗΠΙΑΓΩΓΕΙΟ ΧΑΛΚΙΔΑΣ</t>
  </si>
  <si>
    <t>mail@9nip-chalk.eyv.sch.gr</t>
  </si>
  <si>
    <t>ΛΙΚΑΡΙΟΥ 15</t>
  </si>
  <si>
    <t>14ο ΝΗΠΙΑΓΩΓΕΙΟ ΧΑΛΚΙΔΑΣ</t>
  </si>
  <si>
    <t>mail@14nip-chalk.eyv.sch.gr</t>
  </si>
  <si>
    <t>ΕΥΒΟΙΑΣ 56</t>
  </si>
  <si>
    <t>17ο  ΝΗΠΙΑΓΩΓΕΙΟ ΧΑΛΚΙΔΑΣ</t>
  </si>
  <si>
    <t>mail@17nip-chalk.eyv.sch.gr</t>
  </si>
  <si>
    <t>ΖΑΧΑΡΟΠΟΥΛΟΥ ΚΑΙ ΤΑΣΟΥ ΠΑΠΑΠΟΣΤΟΛΟΥ</t>
  </si>
  <si>
    <t>29ο ΝΗΠΙΑΓΩΓΕΙΟ ΧΑΛΚΙΔΑΣ</t>
  </si>
  <si>
    <t>mail@29nip-chalk.eyv.sch.gr</t>
  </si>
  <si>
    <t>ΝΙΚΟΔΗΜΟΥ ΚΑΙ ΑΠΟΛΛΩΝΟΣ  ΚΑΝΗΘΟΣ</t>
  </si>
  <si>
    <t>2ο ΝΗΠΙΑΓΩΓΕΙΟ ΙΣΤΙΑΙΑΣ</t>
  </si>
  <si>
    <t>mail@2nip-istiaias.eyv.sch.gr</t>
  </si>
  <si>
    <t>ΤΣΑΚΑΛΟΥ</t>
  </si>
  <si>
    <t>1ο ΝΗΠΙΑΓΩΓΕΙΟ ΚΥΜΗΣ</t>
  </si>
  <si>
    <t>mail@1nip-kymis.eyv.sch.gr</t>
  </si>
  <si>
    <t>ΠΑΛΙΟΥΡΑ</t>
  </si>
  <si>
    <t>ΝΗΠΙΑΓΩΓΕΙΟ ΠΑΛΙΟΥΡΑ</t>
  </si>
  <si>
    <t>mail@nip-paliour.eyv.sch.gr</t>
  </si>
  <si>
    <t>ΠΑΛΙΟΥΡΑΣ</t>
  </si>
  <si>
    <t>ΝΗΠΙΑΓΩΓΕΙΟ ΠΙΣΣΩΝΑ</t>
  </si>
  <si>
    <t>mail@nip-pisson.eyv.sch.gr</t>
  </si>
  <si>
    <t>ΟΛΟΗΜΕΡΟ ΝΗΠΙΑΓΩΓΕΙΟ ΣΤΡΟΠΩΝΩΝ</t>
  </si>
  <si>
    <t>mail@nipstrop.eyv.sch.gr</t>
  </si>
  <si>
    <t>mail@dim-farou.eyv.sch.gr</t>
  </si>
  <si>
    <t>ΦΑΡΟΣ  ΑΥΛΙΔΑΣ</t>
  </si>
  <si>
    <t>28ΗΣ  ΟΚΤΩΒΡΙΟΥ ΦΑΡΟΣ ΑΥΛΙΔΑΣ</t>
  </si>
  <si>
    <t>ΝΗΠΙΑΓΩΓΕΙΟ ΤΡΙΑΔΑΣ</t>
  </si>
  <si>
    <t>mail@nip-triad.eyv.sch.gr</t>
  </si>
  <si>
    <t>ΤΡΙΑΔΑΣ</t>
  </si>
  <si>
    <t>16ο ΔΗΜΟΤΙΚΟ ΣΧΟΛΕΙΟ ΧΑΛΚΙΔΑΣ</t>
  </si>
  <si>
    <t>mail@16dim-chalk.eyv.sch.gr</t>
  </si>
  <si>
    <t>ΑΓΙΑ ΕΛΕΟΥΣΑ</t>
  </si>
  <si>
    <t>20ο ΝΗΠΙΑΓΩΓΕΙΟ ΧΑΛΚΙΔΑΣ</t>
  </si>
  <si>
    <t>mail@20nip-chalk.eyv.sch.gr</t>
  </si>
  <si>
    <t>23ο ΝΗΠΙΑΓΩΓΕΙΟ ΧΑΛΚΙΔΑ</t>
  </si>
  <si>
    <t>mail@23nip-chalk.eyv.sch.gr</t>
  </si>
  <si>
    <t>ΔΥΟ ΔΕΝΤΡΑ ΧΑΛΚΙΔΑΣ</t>
  </si>
  <si>
    <t>24ο ΝΗΠΙΑΓΩΓΕΙΟ ΧΑΛΚΙΔΑΣ</t>
  </si>
  <si>
    <t>mail@24nip-chalk.eyv.sch.gr</t>
  </si>
  <si>
    <t>ΜΑΝΤΑΡΙΝΙΑΣ &amp; ΙΟΛΑΟΥ</t>
  </si>
  <si>
    <t>25ο ΝΗΠΙΑΓΩΓΕΙΟ ΧΑΛΚΙΔΑΣ</t>
  </si>
  <si>
    <t>mail@25nip-chalk.eyv.sch.gr</t>
  </si>
  <si>
    <t>ΜΕΓΑΣΘΕΝΟΥΣ ΚΑΙ ΜΑΚΡΙΔΟΣ</t>
  </si>
  <si>
    <t>26ο ΝΗΠΙΑΓΩΓΕΙΟ ΧΑΛΚΙΔΑΣ</t>
  </si>
  <si>
    <t>mail@26nip-chalk.eyv.sch.gr</t>
  </si>
  <si>
    <t>ΠΑΡΟΔΟΣ ΟΡΕΣΤΗ ΜΑΚΡΗ</t>
  </si>
  <si>
    <t>28ο ΝΗΠΙΑΓΩΓΕΙΟ ΧΑΛΚΙΔΑ</t>
  </si>
  <si>
    <t>mail@28nip-chalk.eyv.sch.gr</t>
  </si>
  <si>
    <t>ΜΟΝΗΣ ΕΡΙΩΝ 25</t>
  </si>
  <si>
    <t>2ο ΝΗΠΙΑΓΩΓΕΙΟ ΑΜΑΡΥΝΘΟΥ</t>
  </si>
  <si>
    <t>mail@2nip-amarynth.eyv.sch.gr</t>
  </si>
  <si>
    <t>ΚΟΚΟΝΙΚΟΥ &amp; ΠΑΥΛΟΥ ΜΕΛΑ</t>
  </si>
  <si>
    <t>ΝΗΠΙΑΓΩΓΕΙΟ ΑΦΡΑΤΙΟΥ</t>
  </si>
  <si>
    <t>mail@nip-afrat.eyv.sch.gr</t>
  </si>
  <si>
    <t>1ο ΝΗΠΙΑΓΩΓΕΙΟ ΒΑΣΙΛΙΚΟΥ</t>
  </si>
  <si>
    <t>mail@1nip-vasil.eyv.sch.gr</t>
  </si>
  <si>
    <t>25 ΜΑΡΤΙΟΥ Κ. ΣΟΛΩΜΟΥ</t>
  </si>
  <si>
    <t>2ο ΝΗΠΙΑΓΩΓΕΙΟ ΒΑΣΙΛΙΚΟΥ</t>
  </si>
  <si>
    <t>mail@2nip-vasil.eyv.sch.gr</t>
  </si>
  <si>
    <t>3ο ΝΗΠΙΑΓΩΓΕΙΟ ΒΑΣΙΛΙΚΟΥ</t>
  </si>
  <si>
    <t>mail@3nip-vasil.eyv.sch.gr</t>
  </si>
  <si>
    <t>ΗΡΟΔΟΤΟΥ ΚΑΙ ΙΠΠΟΚΡΑΤΟΥΣ</t>
  </si>
  <si>
    <t>4ο ΝΗΠΙΑΓΩΓΕΙΟ ΒΑΣΙΛΙΚΟΥ</t>
  </si>
  <si>
    <t>mail@4nip-vasil.eyv.sch.gr</t>
  </si>
  <si>
    <t>ΝΕΟΦΥΤΟΥ 69</t>
  </si>
  <si>
    <t>1ο ΝΗΠΙΑΓΩΓΕΙΟ ΔΡΟΣΙΑΣ</t>
  </si>
  <si>
    <t>mail@1nip-drosias.eyv.sch.gr</t>
  </si>
  <si>
    <t>1ο ΝΗΠΙΑΓΩΓΕΙΟ ΑΜΑΡΥΝΘΟΥ</t>
  </si>
  <si>
    <t>mail@1nip-amarynth.eyv.sch.gr</t>
  </si>
  <si>
    <t>ΑΓ. ΑΝΝΗΣ</t>
  </si>
  <si>
    <t>ΝΗΠΙΑΓΩΓΕΙΟ ΑΣΜΗΝΙΟΥ ΕΥΒΟΙΑΣ</t>
  </si>
  <si>
    <t>mail@nip-asmin.eyv.sch.gr</t>
  </si>
  <si>
    <t>ΑΣΜΗΝΙΟΥ ΕΥΒΟΙΑΣ</t>
  </si>
  <si>
    <t>ΑΣΜΗΝΙΟ ΕΥΒΟΙΑΣ</t>
  </si>
  <si>
    <t>mail@dim-loutr.eyv.sch.gr</t>
  </si>
  <si>
    <t>ΛΟΥΤΡΑ  ΑΙΔΗΨΟΥ</t>
  </si>
  <si>
    <t>ΕΙΚΟΣΤΗΣ ΠΕΜΠΤΗΣ ΜΑΡΤΙΟΥ</t>
  </si>
  <si>
    <t>1ο ΝΗΠΙΑΓΩΓΕΙΟ ΝΕΑΣ ΑΡΤΑΚΗΣ</t>
  </si>
  <si>
    <t>mail@1nip-n-artak.eyv.sch.gr</t>
  </si>
  <si>
    <t>ΔΗΜΑΡΧΕΙΟ Ν. ΑΡΤΑΚΗΣ</t>
  </si>
  <si>
    <t>ΝΗΠΙΑΓΩΓΕΙΟ ΑΙΔΗΨΟΥ</t>
  </si>
  <si>
    <t>mail@nip-aidips.eyv.sch.gr</t>
  </si>
  <si>
    <t>10ο ΝΗΠΙΑΓΩΓΕΙΟ ΧΑΛΚΙΔΑΣ</t>
  </si>
  <si>
    <t>mail@10nip-chalk.eyv.sch.gr</t>
  </si>
  <si>
    <t>ΒΩΚΟΥ 53</t>
  </si>
  <si>
    <t>3ο ΔΗΜΟΤΙΚΟ ΣΧΟΛΕΙΟ ΧΑΛΚΙΔΑΣ - ΕΥΑΓΟΡΑΣ ΠΑΛΛΗΚΑΡΙΔΗΣ</t>
  </si>
  <si>
    <t>mail@3dim-chalk.eyv.sch.gr</t>
  </si>
  <si>
    <t>ΤΖΙΑΡΝΤΙΝΙ 4-6</t>
  </si>
  <si>
    <t>11ο ΝΗΠΙΑΓΩΓΕΙΟ ΧΑΛΚΙΔΑΣ</t>
  </si>
  <si>
    <t>mail@11nip-chalk.eyv.sch.gr</t>
  </si>
  <si>
    <t>ΚΗΡΕΩΣ 1</t>
  </si>
  <si>
    <t>12ο ΝΗΠΙΑΓΩΓΕΙΟ ΧΑΛΚΙΔΑΣ</t>
  </si>
  <si>
    <t>mail@12nip-chalk.eyv.sch.gr</t>
  </si>
  <si>
    <t>ΕΞΩ ΠΑΝΑΓΙΤΣΑ-Γ.ΠΑΠΑΝΔΡΕΟΥ</t>
  </si>
  <si>
    <t>15ο ΝΗΠΙΑΓΩΓΕΙΟ ΧΑΛΚΙΔΑΣ</t>
  </si>
  <si>
    <t>mail@15nip-chalk.eyv.sch.gr</t>
  </si>
  <si>
    <t>ΚΡΗΤΗΣ 25 Λ.ΑΜΜΟΣ</t>
  </si>
  <si>
    <t>ΔΗΜΟΤΙΚΟ ΣΧΟΛΕΙΟ ΑΓΙΟΥ ΔΗΜΗΤΡΙΟΥ ΕΥΒΟΙΑΣ</t>
  </si>
  <si>
    <t>mail@dim-ag-dimitr.eyv.sch.gr</t>
  </si>
  <si>
    <t>18ο ΝΗΠΙΑΓΩΓΕΙΟ ΧΑΛΚΙΔΑΣ</t>
  </si>
  <si>
    <t>mail@18nip-chalk.eyv.sch.gr</t>
  </si>
  <si>
    <t>ΑΓΙΑ ΕΛΕΟΥΣΑ ΧΑΛΚΙΔΑΣ</t>
  </si>
  <si>
    <t>ΝΗΠΙΑΓΩΓΕΙΟ ΠΟΥΡΝΟΥ</t>
  </si>
  <si>
    <t>mail@nip-pourn.eyv.sch.gr</t>
  </si>
  <si>
    <t>ΝΗΠΙΑΓΩΓΕΙΟ ΚΑΣΤΕΛΛΑΣ</t>
  </si>
  <si>
    <t>mail@nip-kastell.eyv.sch.gr</t>
  </si>
  <si>
    <t>ΚΑΣΤΕΛΛΑ</t>
  </si>
  <si>
    <t>ΝΗΠΙΑΓΩΓΕΙΟ ΚΑΘΕΝΩΝ</t>
  </si>
  <si>
    <t>mail@nip-kathen.eyv.sch.gr</t>
  </si>
  <si>
    <t>2ο ΝΗΠΙΑΓΩΓΕΙΟ ΨΑΧΝΩΝ</t>
  </si>
  <si>
    <t>mail@2nip-psachn.eyv.sch.gr</t>
  </si>
  <si>
    <t>ΔΑΒΑΚΗ ΚΑΙ ΙΩΑΝΝΗ ΜΕΤΑΞΑ 15</t>
  </si>
  <si>
    <t>3ο ΝΗΠΙΑΓΩΓΕΙΟ ΨΑΧΝΩΝ</t>
  </si>
  <si>
    <t>mail@3nip-psachn.eyv.sch.gr</t>
  </si>
  <si>
    <t>ΑΓΓΕΛΗ ΓΟΒΙΟΥ</t>
  </si>
  <si>
    <t>2ο ΔΗΜΟΤΙΚΟ ΣΧΟΛΕΙΟ ΚΑΡΥΣΤΟΥ</t>
  </si>
  <si>
    <t>mail@2dim-karyst.eyv.sch.gr</t>
  </si>
  <si>
    <t>ΣΑΧΤΟΥΡΗ &amp; Π. ΚΟΤΣΙΚΑ</t>
  </si>
  <si>
    <t>2ο ΔΗΜΟΤΙΚΟ ΣΧΟΛΕΙΟ ΙΣΤΙΑΙΑΣ</t>
  </si>
  <si>
    <t>mail@2dim-istiaias.eyv.sch.gr</t>
  </si>
  <si>
    <t>ΒΕΛΟΥΣ</t>
  </si>
  <si>
    <t>ΝΗΠΙΑΓΩΓΕΙΟ ΒΕΛΟΥΣ</t>
  </si>
  <si>
    <t>mail@nip-velous.eyv.sch.gr</t>
  </si>
  <si>
    <t>ΒΕΛΟΣ</t>
  </si>
  <si>
    <t>ΣΤΟΥΠΠΑΙΩΝ</t>
  </si>
  <si>
    <t>ΔΗΜΟΤΙΚΟ ΣΧΟΛΕΙΟ ΣΤΟΥΠΠΑΙΩΝ</t>
  </si>
  <si>
    <t>mail@dim-stoupp.eyv.sch.gr</t>
  </si>
  <si>
    <t>ΣΤΟΥΠΠΑΙΟΙ</t>
  </si>
  <si>
    <t>mail@dim-karyst.eyv.sch.gr</t>
  </si>
  <si>
    <t>ΘΕΟΧΑΡΗ ΚΟΤΣΙΚΑ 57</t>
  </si>
  <si>
    <t>2ο ΔΗΜΟΤΙΚΟ ΣΧΟΛΕΙΟ ΨΑΧΝΩΝ</t>
  </si>
  <si>
    <t>mail@2dim-psachn.eyv.sch.gr</t>
  </si>
  <si>
    <t>ΣΚΛΗΡΟ - ΨΑΧΝΑ ΕΥΒΟΙΑΣ</t>
  </si>
  <si>
    <t>3ο ΝΗΠΙΑΓΩΓΕΙΟ ΚΑΡΥΣΤΟΥ</t>
  </si>
  <si>
    <t>mail@3nip-karyst.eyv.sch.gr</t>
  </si>
  <si>
    <t>KONTOΡEMATA  ΚΑΡΥΣΤΟΥ</t>
  </si>
  <si>
    <t>2ο ΝΗΠΙΑΓΩΓΕΙΟ ΚΑΡΥΣΤΟΥ</t>
  </si>
  <si>
    <t>mail@2nip-karyst.eyv.sch.gr</t>
  </si>
  <si>
    <t>ΟΔΥΣΣΕΩΣ 100</t>
  </si>
  <si>
    <t>13ο ΔΗΜΟΤΙΚΟ ΣΧΟΛΕΙΟ ΧΑΛΚΙΔΑΣ</t>
  </si>
  <si>
    <t>mail@13dim-chalk.eyv.sch.gr</t>
  </si>
  <si>
    <t>ΝΗΛΕΩΣ 1</t>
  </si>
  <si>
    <t>ΑΡΓΥΡΟΥ</t>
  </si>
  <si>
    <t>ΝΗΠΙΑΓΩΓΕΙΟ ΑΡΓΥΡΟΥ</t>
  </si>
  <si>
    <t>mail@nip-argyr.eyv.sch.gr</t>
  </si>
  <si>
    <t>ΑΡΓΥΡΟ</t>
  </si>
  <si>
    <t>ΑΛΜΥΡΟΠΟΤΑΜΟΥ</t>
  </si>
  <si>
    <t>ΔΗΜΟΤΙΚΟ ΣΧΟΛΕΙΟ ΑΛΜΥΡΟΠΟΤΑΜΟΥ</t>
  </si>
  <si>
    <t>mail@dim-almyr.eyv.sch.gr</t>
  </si>
  <si>
    <t>ΑΛΜΥΡΟΠΟΤΑΜΟΣ</t>
  </si>
  <si>
    <t>ΚΟΣΚΙΝΩΝ</t>
  </si>
  <si>
    <t>ΔΗΜΟΤΙΚΟ ΣΧΟΛΕΙΟ ΚΟΣΚΙΝΩΝ</t>
  </si>
  <si>
    <t>mail@dim-koskin.eyv.sch.gr</t>
  </si>
  <si>
    <t>mail@1dim-n-artak.eyv.sch.gr</t>
  </si>
  <si>
    <t xml:space="preserve">ΝΕΑ ΑΡΤΑΚΗ </t>
  </si>
  <si>
    <t>ΚΥΖΙΚΟΥ 26</t>
  </si>
  <si>
    <t>ΝΗΠΙΑΓΩΓΕΙΟ ΜΑΝΤΟΥΔΙΟΥ</t>
  </si>
  <si>
    <t>mail@nip-mantoud.eyv.sch.gr</t>
  </si>
  <si>
    <t>ΚΑΛΛΙΑΝΟΥ</t>
  </si>
  <si>
    <t>ΔΗΜΟΤΙΚΟ ΣΧΟΛΕΙΟ ΚΑΛΛΙΑΝΩΝ</t>
  </si>
  <si>
    <t>mail@dim-kallian.eyv.sch.gr</t>
  </si>
  <si>
    <t>2ο ΔΗΜΟΤΙΚΟ ΣΧΟΛΕΙΟ ΝΕΑΣ ΑΡΤΑΚΗΣ</t>
  </si>
  <si>
    <t>mail@2dim-n-artak.eyv.sch.gr</t>
  </si>
  <si>
    <t>ΠΑΝΑΓΙΑΣ ΦΑΝΕΡΩΜΕΝΗΣ</t>
  </si>
  <si>
    <t>mail@11dim-chalk.eyv.sch.gr</t>
  </si>
  <si>
    <t>ΚΡΙΝΩΝ 2, ΕΞΩ ΠΑΝΑΓΙΤΣΑ</t>
  </si>
  <si>
    <t>mail@2dim-eretr.eyv.sch.gr</t>
  </si>
  <si>
    <t>ΤΙΜΟΚΡΑΤΟΥΣ ΦΑΝΟΚΛΕΟΥΣ &amp; ΚΑΝΑΡΗ</t>
  </si>
  <si>
    <t>ΚΕΧΡΙΩΝ</t>
  </si>
  <si>
    <t>ΔΗΜΟΤΙΚΟ ΣΧΟΛΕΙΟ ΚΕΧΡΙΩΝ</t>
  </si>
  <si>
    <t>mail@dim-kechr.eyv.sch.gr</t>
  </si>
  <si>
    <t>ΚΕΧΡΙΕΣ</t>
  </si>
  <si>
    <t>1ο ΝΗΠΙΑΓΩΓΕΙΟ ΛΟΥΤΡΩΝ ΑΙΔΗΨΟΥ</t>
  </si>
  <si>
    <t>mail@nip-loutr.eyv.sch.gr</t>
  </si>
  <si>
    <t>ΛΟΥΤΡΑ ΑΙΔΗΨΟΥ</t>
  </si>
  <si>
    <t>ΘΕΡΜΟΠΟΤΑΜΟΥ 21</t>
  </si>
  <si>
    <t>24ο ΔΗΜΟΤΙΚΟ ΣΧΟΛΕΙΟ ΧΑΛΚΙΔΑΣ</t>
  </si>
  <si>
    <t>mail@24dim-chalk.eyv.sch.gr</t>
  </si>
  <si>
    <t>ΤΕΡΜΑ ΟΔΟΥ ΜΑΝΤΑΡΙΝΙΑΣ-ΑΓ. ΑΝΑΡΓΥΡΟΙ- ΕΞΩ ΠΑΝΑΓΙΤΣΑ -ΧΑΛΚΙΔΑ</t>
  </si>
  <si>
    <t>ΔΗΜΟΤΙΚΟ ΣΧΟΛΕΙΟ ΑΡΓΥΡΟΥ</t>
  </si>
  <si>
    <t>mail@dim-argyr.eyv.sch.gr</t>
  </si>
  <si>
    <t>3ο ΔΗΜΟΤΙΚΟ ΣΧΟΛΕΙΟ ΑΛΙΒΕΡΙΟΥ</t>
  </si>
  <si>
    <t>mail@3dim-aliver.eyv.sch.gr</t>
  </si>
  <si>
    <t>Αλιβέρι,</t>
  </si>
  <si>
    <t>ΚΑΡΑΒΟΣ</t>
  </si>
  <si>
    <t>ΜΕΤΟΧΙΟΥ ΔΙΡΦΥΩΝ</t>
  </si>
  <si>
    <t>ΔΗΜΟΤΙΚΟ ΣΧΟΛΕΙΟ ΜΕΤΟΧΙΟΥ ΔΙΡΦΥΟΣ</t>
  </si>
  <si>
    <t>mail@dim-metoch.eyv.sch.gr</t>
  </si>
  <si>
    <t>ΜΕΤΟΧΙΟΥ ΔΙΡΦΥΟΣ</t>
  </si>
  <si>
    <t>ΜΕΤΟΧΙ ΔΙΡΦΥΟΣ</t>
  </si>
  <si>
    <t>2ο ΔΗΜΟΤΙΚΟ ΣΧΟΛΕΙΟ ΚΥΜΗΣ</t>
  </si>
  <si>
    <t>8ο ΔΗΜΟΤΙΚΟ ΣΧΟΛΕΙΟ ΧΑΛΚΙΔΑΣ</t>
  </si>
  <si>
    <t>mail@8dim-chalk.eyv.sch.gr</t>
  </si>
  <si>
    <t>ΑΝΘΕΩΝ</t>
  </si>
  <si>
    <t>22ο ΔΗΜΟΤΙΚΟ ΣΧΟΛΕΙΟ ΧΑΛΚΙΔΑΣ</t>
  </si>
  <si>
    <t>mail@22dim-chalk.eyv.sch.gr</t>
  </si>
  <si>
    <t>Εμμανουήλ Ξάνθου 2</t>
  </si>
  <si>
    <t>1ο ΕΙΔΙΚΟ ΔΗΜΟΤΙΚΟ ΣΧΟΛΕΙΟ ΧΑΛΚΙΔΑΣ</t>
  </si>
  <si>
    <t>mail@1dim-eid-chalk.eyv.sch.gr</t>
  </si>
  <si>
    <t>ΜΠΑΛΑΛΑΙΩΝ 47</t>
  </si>
  <si>
    <t>1ο ΕΙΔΙΚΟ ΔΗΜΟΤΙΚΟ ΣΧΟΛΕΙΟ ΚΩΦΩΝ ΚΑΙ ΒΑΡΗΚΟΩΝ ΧΑΛΚΙΔΑΣ</t>
  </si>
  <si>
    <t>mail@dim-ekv-chalk.eyv.sch.gr</t>
  </si>
  <si>
    <t>ΈΛΛΟΠΟΣ 20</t>
  </si>
  <si>
    <t>ΝΕΩΝ ΣΤΥΡΩΝ</t>
  </si>
  <si>
    <t>ΝΗΠΙΑΓΩΓΕΙΟ ΝΕΩΝ ΣΤΥΡΩΝ</t>
  </si>
  <si>
    <t>mail@nip-n-styron.eyv.sch.gr</t>
  </si>
  <si>
    <t>ΝΕΑ ΣΤΥΡΑ</t>
  </si>
  <si>
    <t>mail@dim-n-styron.eyv.sch.gr</t>
  </si>
  <si>
    <t>mail@dim-styron.eyv.sch.gr</t>
  </si>
  <si>
    <t>ΟΛΟΗΜΕΡΟ ΝΗΠΙΑΓΩΓΕΙΟ ΜΕΤΟΧΙΟΥ ΔΙΡΦΥΟΣ</t>
  </si>
  <si>
    <t>mail@nip-metoch.eyv.sch.gr</t>
  </si>
  <si>
    <t>1ο ΝΗΠΙΑΓΩΓΕΙΟ ΚΑΡΥΣΤΟΥ</t>
  </si>
  <si>
    <t>mail@1nip-karyst.eyv.sch.gr</t>
  </si>
  <si>
    <t>ΙΩΑΝΝΗ ΚΟΤΣΙΚΑ 48</t>
  </si>
  <si>
    <t>mail@dim-gymnou.eyv.sch.gr</t>
  </si>
  <si>
    <t>ΜΟΝΟΔΡΥΟΥ</t>
  </si>
  <si>
    <t>ΝΗΠΙΑΓΩΓΕΙΟ ΜΟΝΟΔΡΙΟΥ</t>
  </si>
  <si>
    <t>mail@nip-monodr.eyv.sch.gr</t>
  </si>
  <si>
    <t>ΜΟΝΟΔΡΙΟΥ</t>
  </si>
  <si>
    <t>ΜΟΝΟΔΡΥ ΚΟΝΙΣΤΡΕΣ</t>
  </si>
  <si>
    <t>ΟΚΤΩΝΙΑΣ</t>
  </si>
  <si>
    <t>ΝΗΠΙΑΓΩΓΕΙΟ ΟΚΤΩΝΙΑΣ</t>
  </si>
  <si>
    <t>mail@nip-okton.eyv.sch.gr</t>
  </si>
  <si>
    <t>ΟΚΤΩΝΙΑ</t>
  </si>
  <si>
    <t>mail@1dim-mantoud.eyv.sch.gr</t>
  </si>
  <si>
    <t>ΒΙΤΑΛΩΝ</t>
  </si>
  <si>
    <t>ΝΗΠΙΑΓΩΓΕΙΟ ΒΙΤΑΛΩΝ ΚΥΜΗΣ</t>
  </si>
  <si>
    <t>mail@nip-vital.eyv.sch.gr</t>
  </si>
  <si>
    <t>ΒΙΤΑΛΩΝ ΚΥΜΗΣ</t>
  </si>
  <si>
    <t>ΒΙΤΑΛΑ ΕΥΒΟΙΑΣ</t>
  </si>
  <si>
    <t>ΔΥΣΤΟΥ</t>
  </si>
  <si>
    <t>ΝΗΠΙΑΓΩΓΕΙΟ ΔΥΣΤΟΥ</t>
  </si>
  <si>
    <t>mail@nip-dystou.eyv.sch.gr</t>
  </si>
  <si>
    <t>ΔΥΣΤΟΣ</t>
  </si>
  <si>
    <t>ΝΗΠΙΑΓΩΓΕΙΟ ΓΟΥΒΩΝ</t>
  </si>
  <si>
    <t>mail@nip-gouvon.eyv.sch.gr</t>
  </si>
  <si>
    <t>ΓΟΥΒΕΣ ΙΣΤΙΑΙΑΣ</t>
  </si>
  <si>
    <t>2ο ΝΗΠΙΑΓΩΓΕΙΟ ΑΛΙΒΕΡΙΟΥ</t>
  </si>
  <si>
    <t>mail@2nip-aliver.eyv.sch.gr</t>
  </si>
  <si>
    <t>ΣΑΜΑΡΑ</t>
  </si>
  <si>
    <t>1ο ΝΗΠΙΑΓΩΓΕΙΟ ΑΛΙΒΕΡΙΟΥ</t>
  </si>
  <si>
    <t>mail@1nip-aliver.eyv.sch.gr</t>
  </si>
  <si>
    <t>ΣΤΕΝΟ ΑΛΙΒΕΡΙΟΥ</t>
  </si>
  <si>
    <t>ΝΗΠΙΑΓΩΓΕΙΟ ΠΕΥΚΙΟΥ ΕΥΒΟΙΑΣ</t>
  </si>
  <si>
    <t>mail@nip-pefkiou.eyv.sch.gr</t>
  </si>
  <si>
    <t>ΠΕΥΚΙΟΥ ΕΥΒΟΙΑΣ</t>
  </si>
  <si>
    <t>ΝΗΠΙΑΓΩΓΕΙΟ ΚΑΡΑΒΟΥ</t>
  </si>
  <si>
    <t>mail@nip-karav.eyv.sch.gr</t>
  </si>
  <si>
    <t xml:space="preserve"> ΑΛΙΒΕΡΙ</t>
  </si>
  <si>
    <t>ΝΗΠΙΑΓΩΓΕΙΟ ΩΡΕΩΝ</t>
  </si>
  <si>
    <t>mail@nip-oreon.eyv.sch.gr</t>
  </si>
  <si>
    <t>ΔΗΜΟΤΙΚΟ ΣΧΟΛΕΙΟ ΝΕΡΟΤΡΙΒΙΑΣ</t>
  </si>
  <si>
    <t>mail@dim-nerotr.eyv.sch.gr</t>
  </si>
  <si>
    <t>mail@2dim-kymis.eyv.sch.gr</t>
  </si>
  <si>
    <t>mail@1dim-kymis.eyv.sch.gr</t>
  </si>
  <si>
    <t>ΚΥΜΗ 34003</t>
  </si>
  <si>
    <t>ΑΧΛΑΔΕΡΗΣ</t>
  </si>
  <si>
    <t>ΔΗΜΟΤΙΚΟ ΣΧΟΛΕΙΟ ΣΥΚΙΩΝ</t>
  </si>
  <si>
    <t>mail@dim-sykion.eyv.sch.gr</t>
  </si>
  <si>
    <t>2ο  ΝΗΠΙΑΓΩΓΕΙΟ ΚΥΜΗΣ</t>
  </si>
  <si>
    <t>mail@2nip-kymis.eyv.sch.gr</t>
  </si>
  <si>
    <t>ΔΗΜΟΤΙΚΟ ΣΧΟΛΕΙΟ ΒΑΣΙΛΙΚΩΝ ΕΥΒΟΙΑΣ</t>
  </si>
  <si>
    <t>mail@dim-vasil.eyv.sch.gr</t>
  </si>
  <si>
    <t>ΒΑΣΙΛΙΚΑ ΙΣΤΙΑΙΑΣ ΕΥΒΟΙΑΣ</t>
  </si>
  <si>
    <t>ΝΗΠΙΑΓΩΓΕΙΟ ΒΑΣΙΛΙΚΩΝ ΕΥΒΟΙΑΣ</t>
  </si>
  <si>
    <t>mail@nip-vasil.eyv.sch.gr</t>
  </si>
  <si>
    <t>ΒΑΣΙΛΙΚΩΝ ΕΥΒΟΙΑΣ</t>
  </si>
  <si>
    <t>ΒΑΣΙΛΙΚΑ ΕΥΒΟΙΑΣ</t>
  </si>
  <si>
    <t>ΓΙΑΛΤΡΩΝ</t>
  </si>
  <si>
    <t>ΔΗΜΟΤΙΚΟ ΣΧΟΛΕΙΟ ΓΙΑΛΤΡΩΝ</t>
  </si>
  <si>
    <t>mail@dim-gialtr.eyv.sch.gr</t>
  </si>
  <si>
    <t>ΓΙΑΛΤΡΑ</t>
  </si>
  <si>
    <t>ΓΙΑΛΤΡΑ ΑΙΔΗΨΟΥ</t>
  </si>
  <si>
    <t>8ο ΝΗΠΙΑΓΩΓΕΙΟ ΧΑΛΚΙΔΑΣ</t>
  </si>
  <si>
    <t>mail@8nip-chalk.eyv.sch.gr</t>
  </si>
  <si>
    <t>Μιχαήλ Κακαρά 48</t>
  </si>
  <si>
    <t>ΝΗΠΙΑΓΩΓΕΙΟ ΚΑΛΟΧΩΡΙΟΥ - ΠΑΝΤΕΙΧΙΟΥ</t>
  </si>
  <si>
    <t>mail@nip-panteich.eyv.sch.gr</t>
  </si>
  <si>
    <t>ΚΑΛΟΧΩΡΙΟΥ ΠΑΝΤΕΙΧΙΟΥ</t>
  </si>
  <si>
    <t>ΝΗΠΙΑΓΩΓΕΙΟ ΓΙΑΛΤΡΩΝ</t>
  </si>
  <si>
    <t>mail@nip-gialtr.eyv.sch.gr</t>
  </si>
  <si>
    <t>ΝΗΠΙΑΓΩΓΕΙΟ ΚΕΧΡΙΕΣ</t>
  </si>
  <si>
    <t>mail@nip-kechr.eyv.sch.gr</t>
  </si>
  <si>
    <t>mail@dim-oreon.eyv.sch.gr</t>
  </si>
  <si>
    <t>Ωρεοί</t>
  </si>
  <si>
    <t>Ωρεοί  Εύβοιας</t>
  </si>
  <si>
    <t>ΝΗΠΙΑΓΩΓΕΙΟ ΕΛΛΗΝΙΚΩΝ</t>
  </si>
  <si>
    <t>mail@nip-ellin.eyv.sch.gr</t>
  </si>
  <si>
    <t>ΔΗΜΟΤΙΚΟ ΣΧΟΛΕΙΟ ΑΓ. ΙΩΑΝΝΗ</t>
  </si>
  <si>
    <t>mail@dim-ag-ioann.eyv.sch.gr</t>
  </si>
  <si>
    <t>ΔΗΜΟΤΙΚΟ ΣΧΟΛΕΙΟ ΔΥΣΤΟΥ</t>
  </si>
  <si>
    <t>mail@dim-dystou.eyv.sch.gr</t>
  </si>
  <si>
    <t>mail@dim-konistr.eyv.sch.gr</t>
  </si>
  <si>
    <t>mail@dim-avlon.eyv.sch.gr</t>
  </si>
  <si>
    <t>mail@dim-kriez.eyv.sch.gr</t>
  </si>
  <si>
    <t>ΚΡΙΕΖΑ ΕΥΒΟΙΑΣ</t>
  </si>
  <si>
    <t>ΔΗΜΟΤΙΚΟ ΣΧΟΛΕΙΟ ΟΚΤΩΝΙΑΣ</t>
  </si>
  <si>
    <t>mail@dim-okton.eyv.sch.gr</t>
  </si>
  <si>
    <t>ΟΚΤΩΝΙΑ ΕΥΒΟΙΑΣ</t>
  </si>
  <si>
    <t>ΠΕΤΡΙΩΝ</t>
  </si>
  <si>
    <t>ΔΗΜΟΤΙΚΟ ΣΧΟΛΕΙΟ ΑΓ. ΑΠΟΣΤΟΛΩΝ</t>
  </si>
  <si>
    <t>mail@dim-ag-apost.eyv.sch.gr</t>
  </si>
  <si>
    <t>ΑΓ. ΑΠΟΣΤΟΛΩΝ</t>
  </si>
  <si>
    <t>ΔΗΜΟΤΙΚΟ ΣΧΟΛΕΙΟ ΜΟΝΟΔΡΙΟΥ</t>
  </si>
  <si>
    <t>mail@dim-monodr.eyv.sch.gr</t>
  </si>
  <si>
    <t>ΜΟΝΟΔΡΙ</t>
  </si>
  <si>
    <t>mail@dim-limnis.eyv.sch.gr</t>
  </si>
  <si>
    <t>ΔΗΜΟΤΙΚΟ ΣΧΟΛΕΙΟ ΒΙΤΑΛΩΝ</t>
  </si>
  <si>
    <t>mail@dim-vital.eyv.sch.gr</t>
  </si>
  <si>
    <t>ΒΙΤΑΛΑ</t>
  </si>
  <si>
    <t>ΔΗΜΟΤΙΚΟ ΣΧΟΛΕΙΟ ΒΕΛΟΥΣ</t>
  </si>
  <si>
    <t>mail@dim-velous.eyv.sch.gr</t>
  </si>
  <si>
    <t>mail@1dim-aliver.eyv.sch.gr</t>
  </si>
  <si>
    <t>Γ. ΠΑΠΑΝΙΚΟΛΑΟΥ 34</t>
  </si>
  <si>
    <t>mail@dim-skyrou.eyv.sch.gr</t>
  </si>
  <si>
    <t>2ο ΔΗΜΟΤΙΚΟ ΣΧΟΛΕΙΟ ΑΛΙΒΕΡΙΟΥ</t>
  </si>
  <si>
    <t>2dimalive@sch.gr</t>
  </si>
  <si>
    <t>ΚΟΚΚΙΝΟΓΕΙΑ</t>
  </si>
  <si>
    <t>ΝΗΠΙΑΓΩΓΕΙΟ ΡΟΒΙΩΝ</t>
  </si>
  <si>
    <t>mail@nip-rovion.eyv.sch.gr</t>
  </si>
  <si>
    <t>ΔΗΜΟΤΙΚΟ ΣΧΟΛΕΙΟ ΠΗΛΙΟΥ</t>
  </si>
  <si>
    <t>mail@dim-piliou.eyv.sch.gr</t>
  </si>
  <si>
    <t>ΑΝΔΡΩΝΙΑΝΩΝ</t>
  </si>
  <si>
    <t>ΝΗΠΙΑΓΩΓΕΙΟ ΑΝΔΡΟΝΙΑΝΩΝ ΚΥΜΗΣ</t>
  </si>
  <si>
    <t>mail@nip-andron.eyv.sch.gr</t>
  </si>
  <si>
    <t>ΑΝΔΡΟΝΙΑΝOI</t>
  </si>
  <si>
    <t>ΑΝΔΡΟΝΙΑΝΟΙ ΚΥΜΗΣ</t>
  </si>
  <si>
    <t>ΝΗΠΙΑΓΩΓΕΙΟ ΚΟΝΙΣΤΡΩΝ</t>
  </si>
  <si>
    <t>mail@nip-konistr.eyv.sch.gr</t>
  </si>
  <si>
    <t>ΟΞΥΛΙΘΟΥ</t>
  </si>
  <si>
    <t>ΝΗΠΙΑΓΩΓΕΙΟ ΟΞΥΛΙΘΟΥ</t>
  </si>
  <si>
    <t>mail@nip-oxylith.eyv.sch.gr</t>
  </si>
  <si>
    <t>ΟΞΥΛΙΘΟΣ</t>
  </si>
  <si>
    <t>2ο ΝΗΠΙΑΓΩΓΕΙΟ ΣΚΥΡΟΥ</t>
  </si>
  <si>
    <t>mail@2nip-skyrou.eyv.sch.gr</t>
  </si>
  <si>
    <t>19ο ΔΗΜΟΤΙΚΟ ΣΧΟΛΕΙΟ ΧΑΛΚΙΔΑΣ</t>
  </si>
  <si>
    <t>mail@19dim-chalk.eyv.sch.gr</t>
  </si>
  <si>
    <t>ΔΗΜΟΚΡΙΤΟΥ 16</t>
  </si>
  <si>
    <t>ΝΗΠΙΑΓΩΓΕΙΟ ΤΑΞΙΑΡΧΗ ΕΥΒΟΙΑΣ</t>
  </si>
  <si>
    <t>mail@nip-taxiarch.eyv.sch.gr</t>
  </si>
  <si>
    <t>ΤΑΞΙΑΡΧΗΣ ΕΥΒΟΙΑΣ</t>
  </si>
  <si>
    <t>ΔΗΜΟΤΙΚΟ ΣΧΟΛΕΙΟ ΟΞΥΛΙΘΟΥ</t>
  </si>
  <si>
    <t>mail@dim-oxylith.eyv.sch.gr</t>
  </si>
  <si>
    <t>30ο ΝΗΠΙΑΓΩΓΕΙΟ ΧΑΛΚΙΔΑΣ</t>
  </si>
  <si>
    <t>mail@30nip-chalk.eyv.sch.gr</t>
  </si>
  <si>
    <t>ΓΙΑΝΝΙΤΣΗ 36</t>
  </si>
  <si>
    <t>ΕΙΔΙΚΟ ΝΗΠΙΑΓΩΓΕΙΟ ΧΑΛΚΙΔΑΣ</t>
  </si>
  <si>
    <t>mail@nip-eid-chalk.eyv.sch.gr</t>
  </si>
  <si>
    <t>28ΗΣ ΟΚΤΩΒΡΙΟΥ - ΑΓ. ΝΙΚΟΛΑΟΣ ΧΑΛΚΙΔΑΣ</t>
  </si>
  <si>
    <t>3ο ΝΗΠΙΑΓΩΓΕΙΟ ΔΡΟΣΙΑΣ</t>
  </si>
  <si>
    <t>mail@3nip-drosias.eyv.sch.gr</t>
  </si>
  <si>
    <t>ΚΑΛΛΙΘΕΑΣ    2</t>
  </si>
  <si>
    <t>4ο ΝΗΠΙΑΓΩΓΕΙΟ ΝΕΑΣ ΑΡΤΑΚΗΣ</t>
  </si>
  <si>
    <t>mail@4nip-n-artak.eyv.sch.gr</t>
  </si>
  <si>
    <t>ΠΕΡΙΟΧΗ ΒΟΛΕΡΙ</t>
  </si>
  <si>
    <t>3ο ΝΗΠΙΑΓΩΓΕΙΟ ΣΚΥΡΟΥ</t>
  </si>
  <si>
    <t>mail@3nip-skyrou.eyv.sch.gr</t>
  </si>
  <si>
    <t>2ο ΝΗΠΙΑΓΩΓΕΙΟ ΛΟΥΤΡΩΝ ΑΙΔΗΨΟΥ</t>
  </si>
  <si>
    <t>mail@2nip-loutr.eyv.sch.gr</t>
  </si>
  <si>
    <t>ΕΡΓΑΤΙΚΕΣ ΚΑΤΟΙΚΙΕΣ ΛΟΥΤΡΩΝ ΑΙΔΗΨΟΥ</t>
  </si>
  <si>
    <t>ΔΗΜΟΤΙΚΟ ΣΧΟΛΕΙΟ ΣΚΕΠΑΣΤΗΣ</t>
  </si>
  <si>
    <t>mail@dim-skepast.eyv.sch.gr</t>
  </si>
  <si>
    <t>ΝΗΠΙΑΓΩΓΕΙΟ ΓΥΜΝΟΥ</t>
  </si>
  <si>
    <t>mail@nip-gymnou.eyv.sch.gr</t>
  </si>
  <si>
    <t>ΓΥΜΝΟ ΑΜΑΡΥΝΘ0Σ</t>
  </si>
  <si>
    <t>3ο ΝΗΠΙΑΓΩΓΕΙΟ ΕΡΕΤΡΙΑΣ</t>
  </si>
  <si>
    <t>mail@3nip-eretr.eyv.sch.gr</t>
  </si>
  <si>
    <t>ΦΑΝΟΚΛΕΟΥΣ ΤΙΜΟΚΡΑΤΟΥΣ</t>
  </si>
  <si>
    <t>mail@dim-gouvon.eyv.sch.gr</t>
  </si>
  <si>
    <t>ΚΕΡΑΣΕΑΣ</t>
  </si>
  <si>
    <t>ΔΗΜΟΤΙΚΟ ΣΧΟΛΕΙΟ ΚΕΡΑΣΙΑΣ</t>
  </si>
  <si>
    <t>mail@dim-keras.eyv.sch.gr</t>
  </si>
  <si>
    <t>ΝΗΠΙΑΓΩΓΕΙΟ ΑΓΙΟΥ ΙΩΑΝΝΗ</t>
  </si>
  <si>
    <t>mail@nip-ag-ioann.eyv.sch.gr</t>
  </si>
  <si>
    <t>ΝΗΠΙΑΓΩΓΕΙΟ ΑΓΙΟΥ ΛΟΥΚΑ</t>
  </si>
  <si>
    <t>mail@nip-ag-louka.eyv.sch.gr</t>
  </si>
  <si>
    <t>ΝΗΠΙΑΓΩΓΕΙΟ ΑΓΙΩΝ ΑΠΟΣΤΟΛΩΝ</t>
  </si>
  <si>
    <t>mail@nip-ag-apost.eyv.sch.gr</t>
  </si>
  <si>
    <t>ΝΗΠΙΑΓΩΓΕΙΟ ΝΕΟΧΩΡΙΟΥ ΕΥΒΟΙΑΣ</t>
  </si>
  <si>
    <t>mail@nip-neoch.eyv.sch.gr</t>
  </si>
  <si>
    <t>mail@dim-ag-louka.eyv.sch.gr</t>
  </si>
  <si>
    <t>ΑΓΙΟΣ ΛΟΥΚΑΣ ΕΥΒΟΙΑΣ</t>
  </si>
  <si>
    <t>ΔΗΜΟΤΙΚΟ ΣΧΟΛΕΙΟ ΝΕΟΧΩΡΙΟΥ ΕΥΒΟΙΑΣ</t>
  </si>
  <si>
    <t>mail@dim-neoch.eyv.sch.gr</t>
  </si>
  <si>
    <t>ΕΙΔΙΚΟ ΔΗΜΟΤΙΚΟ ΣΧΟΛΕΙΟ ΑΛΙΒΕΡΙΟΥ</t>
  </si>
  <si>
    <t>dimeidaliver@sch.gr</t>
  </si>
  <si>
    <t>Λέπουρα Εύβοιας</t>
  </si>
  <si>
    <t>Λέπουρα</t>
  </si>
  <si>
    <t>5ο ΝΗΠΙΑΓΩΓΕΙΟ ΒΑΣΙΛΙΚΟΥ</t>
  </si>
  <si>
    <t>mail@5nip-vasil.eyv.sch.gr</t>
  </si>
  <si>
    <t>Μ.ΑΛΕΞΑΝΔΡΟΥ 5</t>
  </si>
  <si>
    <t>ΕΙΔΙΚΟ ΔΗΜΟΤΙΚΟ ΣΧΟΛΕΙΟ ΚΥΜΗ</t>
  </si>
  <si>
    <t>2ο ΝΗΠΙΑΓΩΓΕΙΟ ΒΑΘΕΩΣ ΑΥΛΙΔΑ</t>
  </si>
  <si>
    <t>ΒΑΘΕΩΣ ΑΥΛΙΔΑ</t>
  </si>
  <si>
    <t>33ο ΝΗΠΙΑΓΩΓΕΙΟ ΧΑΛΚΙΔΑΣ</t>
  </si>
  <si>
    <t>mail@33nip-chalk.eyv.sch.gr</t>
  </si>
  <si>
    <t>ΕΜΜ. ΞΑΝΘΟΥ 2- ΤΕΡΜΑ ΑΘΑΝΑΣΙΟΥ ΔΙΑΚΟΥ</t>
  </si>
  <si>
    <t>ΔΗΜΟΤΙΚΟ ΣΧΟΛΕΙΟ ΔΙΡΦΥΩΝ</t>
  </si>
  <si>
    <t>mail@dim-dirf.eyv.sch.gr</t>
  </si>
  <si>
    <t>ΝΕΟΥ ΠΥΡΓΟΥ</t>
  </si>
  <si>
    <t>ΕΙΔΙΚΟ ΝΗΠΙΑΓΩΓΕΙΟ ΝΕΟΥ ΠΥΡΓΟΥ</t>
  </si>
  <si>
    <t>ΕΙΔΙΚΟ ΔΗΜΟΤΙΚΟ ΝΕΟΥ ΠΥΡΓΟΥ</t>
  </si>
  <si>
    <t>mail@dim-eid-n-pyrgou.eyv.sch.gr</t>
  </si>
  <si>
    <t>ΝΕΟΣ ΠΥΡΓΟΣ ΙΣΤΙΑΙΑΣ</t>
  </si>
  <si>
    <t>ΝΕΟΣ ΠΥΡΓΟΣ</t>
  </si>
  <si>
    <t>ΔΙΕΥΘΥΝΣΗ Π.Ε. ΕΥΡΥΤΑΝΙΑΣ</t>
  </si>
  <si>
    <t>1/θ ΔΗΜΟΤΙΚΟ ΣΧΟΛΕΙΟ ΑΓΙΟΥ ΓΕΩΡΓΙΟΥ ΠΑΛΑΙΟΧΩΡΙΟΥ</t>
  </si>
  <si>
    <t>mail@dim-ag-georg.eyr.sch.gr</t>
  </si>
  <si>
    <t>ΑΓΙΟΥ ΓΕΩΡΓΙΟΥ ΠΑΛΑΙΟΧΩΡΙΟΥ</t>
  </si>
  <si>
    <t>ΑΓΙΟΣ ΓΕΩΡΓΙΟΣ ΠΑΛΑΙΟΧΩΡΙΟΥ</t>
  </si>
  <si>
    <t>mail@dim-krent.eyr.sch.gr</t>
  </si>
  <si>
    <t>ΚΡΕΝΤΗΣ</t>
  </si>
  <si>
    <t>ΝΗΠΙΑΓΩΓΕΙΟ ΦΟΥΡΝΑΣ</t>
  </si>
  <si>
    <t>mail@nip-fourn.eyr.sch.gr</t>
  </si>
  <si>
    <t>ΝΕΟΥ ΑΡΓΥΡΙΟΥ</t>
  </si>
  <si>
    <t>ΝΗΠΙΑΓΩΓΕΙΟ ΔΑΦΝΟΥΛΑΣ</t>
  </si>
  <si>
    <t>mail@nip-dafnoul.eyr.sch.gr</t>
  </si>
  <si>
    <t>ΔΑΦΝΟΥΛΑΣ</t>
  </si>
  <si>
    <t>ΔΑΦΝΟΥΛΑ ΝΕΟΥ ΑΡΓΥΡΙΟΥ</t>
  </si>
  <si>
    <t>4ο ΔΗΜΟΤΙΚΟ ΣΧΟΛΕΙΟ ΚΑΡΠΕΝΗΣΙΟΥ</t>
  </si>
  <si>
    <t>mail@4dim-karpen.eyr.sch.gr</t>
  </si>
  <si>
    <t>ΑΘΑΝΑΣΙΟΥ ΚΑΡΠΕΝΗΣΙΩΤΗ 103</t>
  </si>
  <si>
    <t>ΚΛΕΙΣΤΟΥ</t>
  </si>
  <si>
    <t>ΔΗΜΟΤΙΚΟ ΣΧΟΛΕΙΟ ΜΕΣΟΧΩΡΙΟΥ - ΠΛΑΤΑΝΟΥ</t>
  </si>
  <si>
    <t>mail@dim-kleist.eyr.sch.gr</t>
  </si>
  <si>
    <t>ΜΕΣΟΧΩΡΙΟΥ - ΠΛΑΤΑΝΟΥ</t>
  </si>
  <si>
    <t>ΜΕΣΟΧΩΡΙ  ΚΛΕΙΣΤΟΥ</t>
  </si>
  <si>
    <t>ΝΗΠΙΑΓΩΓΕΙΟ ΓΡΑΝΙΤΣΑΣ</t>
  </si>
  <si>
    <t>mail@nip-granits.eyr.sch.gr</t>
  </si>
  <si>
    <t>ΓΡΑΝΙΤΣΑΣ</t>
  </si>
  <si>
    <t>ΒΑΛΑΩΡΑΣ (ΒΕΛΑΟΡΑΣ)</t>
  </si>
  <si>
    <t>ΔΗΜΟΤΙΚΟ ΣΧΟΛΕΙΟ ΒΑΛΑΩΡΑΣ</t>
  </si>
  <si>
    <t>mail@dim-valaor.eyr.sch.gr</t>
  </si>
  <si>
    <t>ΒΑΛΑΩΡΑ</t>
  </si>
  <si>
    <t>ΒΑΛΑΩΡΑ ΕΥΡΥΤΑΝΙΑΣ</t>
  </si>
  <si>
    <t>ΝΗΠΙΑΓΩΓΕΙΟ ΡΑΠΤΟΠΟΥΛΟΥ</t>
  </si>
  <si>
    <t>mail@nip-raptop.eyr.sch.gr</t>
  </si>
  <si>
    <t>mail@dim-raptop.eyr.sch.gr</t>
  </si>
  <si>
    <t>ΡΑΠΤΟΠΟΥΛΟ</t>
  </si>
  <si>
    <t>ΝΗΠΙΑΓΩΓΕΙΟ ΔΥΤΙΚΗΣ ΦΡΑΓΚΙΣΤΑΣ</t>
  </si>
  <si>
    <t>mail@nip-dytik-fragk.eyr.sch.gr</t>
  </si>
  <si>
    <t>ΔΥΤΙΚΗ ΦΡΑΓΚΙΣΤΑ ΕΥΡΥΤΑΝΙΑΣ</t>
  </si>
  <si>
    <t>mail@dim-granits.eyr.sch.gr</t>
  </si>
  <si>
    <t>ΓΡΑΝΙΤΣΑ</t>
  </si>
  <si>
    <t>ΔΗΜΟΤΙΚΟ ΣΧΟΛΕΙΟ ΠΑΛΑΙΟΚΑΤΟΥΝΑΣ</t>
  </si>
  <si>
    <t>mail@dim-palaiok.eyr.sch.gr</t>
  </si>
  <si>
    <t>ΠΑΛΑΙΟΚΑΤΟΥΝΑ</t>
  </si>
  <si>
    <t>mail@3dim-karpen.eyr.sch.gr</t>
  </si>
  <si>
    <t>Καρπενήσι</t>
  </si>
  <si>
    <t>Αμοργού 6</t>
  </si>
  <si>
    <t>1ο  ΝΗΠΙΑΓΩΓΕΙΟ ΚΑΡΠΕΝΗΣΙΟΥ</t>
  </si>
  <si>
    <t>mail@1nip-karpen.eyr.sch.gr</t>
  </si>
  <si>
    <t>ΚΑΡΑΪΣΚΑΚΗ 26</t>
  </si>
  <si>
    <t>ΝΗΠΙΑΓΩΓΕΙΟ ΠΑΛΑΙΟΚΑΤΟΥΝΑΣ</t>
  </si>
  <si>
    <t>mail@nip-palaiok.eyr.sch.gr</t>
  </si>
  <si>
    <t>ΝΗΠΙΑΓΩΓΕΙΟ ΒΑΛΑΩΡΑΣ</t>
  </si>
  <si>
    <t>mail@nip-valaor.eyr.sch.gr</t>
  </si>
  <si>
    <t>ΒΑΛΑΩΡΑΣ</t>
  </si>
  <si>
    <t>3ο ΝΗΠΙΑΓΩΓΕΙΟ ΚΑΡΠΕΝΗΣΙΟΥ</t>
  </si>
  <si>
    <t>mail@3nip-karpen.eyr.sch.gr</t>
  </si>
  <si>
    <t>ΡΟΔΟΥ 6</t>
  </si>
  <si>
    <t>ΔΗΜΟΤΙΚΟ ΣΧΟΛΕΙΟ ΔΑΦΝΟΥΛΑΣ ΕΥΡΥΤΑΝΙΑΣ</t>
  </si>
  <si>
    <t>mail@dim-dafnoul.eyr.sch.gr</t>
  </si>
  <si>
    <t>ΔΑΦΝΟΥΛΑ</t>
  </si>
  <si>
    <t>ΔΑΦΝΟΥΛΑ ΕΥΡΥΤΑΝΙΑΣ</t>
  </si>
  <si>
    <t>ΝΗΠΙΑΓΩΓΕΙΟ ΚΡΕΝΤΗΣ</t>
  </si>
  <si>
    <t>mail@nip-krent.eyr.sch.gr</t>
  </si>
  <si>
    <t>ΚΡΕΝΤΗ ΕΥΡΥΤΑΝΙΑΣ</t>
  </si>
  <si>
    <t>ΔΗΜΟΤΙΚΟ ΣΧΟΛΕΙΟ ΜΕΓΑΛΟΥ ΧΩΡΙΟΥ</t>
  </si>
  <si>
    <t>mail@dim-meg-choriou.eyr.sch.gr</t>
  </si>
  <si>
    <t>ΝΗΠΙΑΓΩΓΕΙΟ ΜΕΓΑΛΟΥ ΧΩΡΙΟΥ</t>
  </si>
  <si>
    <t>mail@nip-meg-choriou.eyr.sch.gr</t>
  </si>
  <si>
    <t>ΜΕΓΑΛΟ ΧΩΡΙΟ ΕΥΡΥΤΑΝΙΑΣ</t>
  </si>
  <si>
    <t>4ο  ΝΗΠΙΑΓΩΓΕΙΟ ΚΑΡΠΕΝΗΣΙΟΥ</t>
  </si>
  <si>
    <t>mail@4nip-karpen.eyr.sch.gr</t>
  </si>
  <si>
    <t>mail@dim-fourn.eyr.sch.gr</t>
  </si>
  <si>
    <t>2ο ΝΗΠΙΑΓΩΓΕΙΟ ΚΑΡΠΕΝΗΣΙΟΥ</t>
  </si>
  <si>
    <t>mail@2nip-karpen.eyr.sch.gr</t>
  </si>
  <si>
    <t>ΑΘΑΝΑΣΙΟΥ ΚΑΡΠΕΝΗΣΙΩΤΗ 59</t>
  </si>
  <si>
    <t>1dimkarpen@sch.gr</t>
  </si>
  <si>
    <t>Γεωργίου Καραϊσκάκη  26</t>
  </si>
  <si>
    <t>mail@2dim-karpen.eyr.sch.gr</t>
  </si>
  <si>
    <t>mail@dim-dyt-fragk.eyr.sch.gr</t>
  </si>
  <si>
    <t>ΔΗΜΟΤΙΚΟ ΣΧΟΛΕΙΟ ΑΓΡΑΦΩΝ</t>
  </si>
  <si>
    <t>mail@dim-agraf.eyr.sch.gr</t>
  </si>
  <si>
    <t>ΑΓΡΑΦΑ</t>
  </si>
  <si>
    <t>ΑΓΡΑΦΑ ΕΥΡΥΤΑΝΙΑΣ</t>
  </si>
  <si>
    <t>ΣΤΕΝΩΜΑΤΟΣ</t>
  </si>
  <si>
    <t>ΔΗΜΟΤΙΚΟ ΣΧΟΛΕΙΟ ΣΤΕΝΩΜΑΤΟΣ</t>
  </si>
  <si>
    <t>mail@dim-stenom.eyr.sch.gr</t>
  </si>
  <si>
    <t>ΣΤΕΝΩΜΑ</t>
  </si>
  <si>
    <t>ΕΙΔΙΚΟ ΔΗΜΟΤΙΚΟ ΣΧΟΛΕΙΟ ΚΑΡΠΕΝΗΣΙΟΥ</t>
  </si>
  <si>
    <t>mail@dim-eid-karpen.eyr.sch.gr</t>
  </si>
  <si>
    <t>ΑΜΟΡΓΟΥ 6</t>
  </si>
  <si>
    <t>ΔΗΜΟΤΙΚΟ ΔΑΦΝΗΣ</t>
  </si>
  <si>
    <t>mail@dim-dafnis.eyr.sch.gr</t>
  </si>
  <si>
    <t>ΕΙΔΙΚΟ ΝΗΠΙΑΓΩΓΕΙΟ ΚΑΡΠΕΝΗΣΙΟΥ</t>
  </si>
  <si>
    <t>mail@nip-eid-karpen.eyr.sch.gr</t>
  </si>
  <si>
    <t>ΝΗΠΙΑΓΩΓΕΙΟ ΑΓΡΑΦΩΝ</t>
  </si>
  <si>
    <t>mail@nip-agraf.eyr.sch.gr</t>
  </si>
  <si>
    <t>ΔΙΕΥΘΥΝΣΗ Π.Ε. ΦΘΙΩΤΙΔΑΣ</t>
  </si>
  <si>
    <t>mail@dim-k-vourl.fth.sch.gr</t>
  </si>
  <si>
    <t>ΚΑΜΕΝΑ ΒΟΥΡΛΑ</t>
  </si>
  <si>
    <t>ΕΙΚΟΣΤΗ ΠΕΜΠΤΗ ΜΑΡΤΙΟΥ 7</t>
  </si>
  <si>
    <t>25ης Μαρτίου 7</t>
  </si>
  <si>
    <t>2ο ΝΗΠΙΑΓΩΓΕΙΟ ΚΑΜΕΝΩΝ ΒΟΥΡΛΩΝ</t>
  </si>
  <si>
    <t>mail@2nip-kam-vourl.fth.sch.gr</t>
  </si>
  <si>
    <t>ΚΑΜ.ΒΟΥΡΛΩΝ</t>
  </si>
  <si>
    <t>ΚΥΠΡΟΥ 4</t>
  </si>
  <si>
    <t>3ο ΔΗΜΟΤΙΚΟ ΣΧΟΛΕΙΟ ΛΑΜΙΑΣ</t>
  </si>
  <si>
    <t>mail@3dim-lamias.fth.sch.gr</t>
  </si>
  <si>
    <t>ΑΙΝΙΑΝΩΝ 15</t>
  </si>
  <si>
    <t>4ο ΔΗΜΟΤΙΚΟ ΣΧΟΛΕΙΟ ΛΑΜΙΑΣ</t>
  </si>
  <si>
    <t>mail@4dim-lamias.fth.sch.gr</t>
  </si>
  <si>
    <t>ΛΑΜΙΑ  ΑΒΕΡΩΦ 1</t>
  </si>
  <si>
    <t>ΑΒΕΡΩΦ 1</t>
  </si>
  <si>
    <t>ΕΙΔΙΚΟ ΔΗΜΟΤΙΚΟ ΣΧΟΛΕΙΟ ΛΑΜΙΑΣ</t>
  </si>
  <si>
    <t>mail@1dim-eid-lamias.fth.sch.gr</t>
  </si>
  <si>
    <t>ΓΡΕΒΕΝΩΝ ΚΑΙ ΜΠΕΛΟΓΙΑΝΝΗ</t>
  </si>
  <si>
    <t>9ο ΔΗΜΟΤΙΚΟ ΣΧΟΛΕΙΟ ΛΑΜΙΑΣ</t>
  </si>
  <si>
    <t>mail@9dim-lamias.fth.sch.gr</t>
  </si>
  <si>
    <t>mail@7dim-lamias.fth.sch.gr</t>
  </si>
  <si>
    <t>ΠΡΕΒΕΖΗΣ 22</t>
  </si>
  <si>
    <t>mail@dim-m-vryshs.fth.sch.gr</t>
  </si>
  <si>
    <t>ΛΑΜΙΑ- ΜΕΓ.ΒΡΥΣΗ</t>
  </si>
  <si>
    <t>Γ.ΣΕΦΕΡΗ ΜΕΓ.ΒΡΥΣΗ ΛΑΜΙΑΣ 1</t>
  </si>
  <si>
    <t>ΤΡΑΓΑΝΑΣ</t>
  </si>
  <si>
    <t>ΔΗΜΟΤΙΚΟ ΣΧΟΛΕΙΟ ΤΡΑΓΑΝΑΣ</t>
  </si>
  <si>
    <t>mail@dim-tragan.fth.sch.gr</t>
  </si>
  <si>
    <t>ΤΡΑΓΑΝΑ ΛΟΚΡΙΔΑΣ</t>
  </si>
  <si>
    <t>Δ.Δ. ΤΡΑΓΑΝΑΣ</t>
  </si>
  <si>
    <t>21ο ΔΗΜΟΤΙΚΟ ΣΧΟΛΕΙΟ ΛΑΜΙΑΣ - ΣΤΑΥΡΟΥ</t>
  </si>
  <si>
    <t>mail@21dim-stavr.fth.sch.gr</t>
  </si>
  <si>
    <t>ΣΤΑΥΡΟΣ   ΛΑΜΙΑΣ</t>
  </si>
  <si>
    <t>21ο ΝΗΠΙΑΓΩΓΕΙΟ ΛΑΜΙΑΣ</t>
  </si>
  <si>
    <t>mail@21nip-lamias.fth.sch.gr</t>
  </si>
  <si>
    <t>ΛΑΜΙΑΣ  ΣΤΑΥΡΟΥ</t>
  </si>
  <si>
    <t>ΣΤΑΥΡΟΣ ΛΑΜΙΑΣ</t>
  </si>
  <si>
    <t>mail@dim-larymn.fth.sch.gr</t>
  </si>
  <si>
    <t>25ης  ΜΑΡΤΙΟΥ</t>
  </si>
  <si>
    <t>mail@dim-amfikl.fth.sch.gr</t>
  </si>
  <si>
    <t>ΑΜΦΙΚΛΕΙΑ  ΜΟΥΣΩΝ 14</t>
  </si>
  <si>
    <t>mail@dim-domok.fth.sch.gr</t>
  </si>
  <si>
    <t>1ο Δημοτικό Σχολείο Λαμίας</t>
  </si>
  <si>
    <t>mail@1dim-lamias.fth.sch.gr</t>
  </si>
  <si>
    <t>Σίφνου &amp; Αιγίνης</t>
  </si>
  <si>
    <t>ΦΡΑΝΤΖΗ</t>
  </si>
  <si>
    <t>ΔΗΜΟΤΙΚΟ ΣΧΟΛΕΙΟ ΦΡΑΝΤΖΗ</t>
  </si>
  <si>
    <t>mail@dim-frantz.fth.sch.gr</t>
  </si>
  <si>
    <t>ΦΡΑΝΤΖΗΣ</t>
  </si>
  <si>
    <t>mail@1dim-stylid.fth.sch.gr</t>
  </si>
  <si>
    <t>ΤΕΡΜΑ ΤΡΙΑΝΤΑΦΥΛΛΟΥ</t>
  </si>
  <si>
    <t>mail@2dim-lamias.fth.sch.gr</t>
  </si>
  <si>
    <t>ΛΑΜΙΑ ΥΨΗΛΑΝΤΗ 31</t>
  </si>
  <si>
    <t>5ο ΔΗΜΟΤΙΚΟ ΣΧΟΛΕΙΟ ΛΑΜΙΑΣ</t>
  </si>
  <si>
    <t>mail@5dim-lamias.fth.sch.gr</t>
  </si>
  <si>
    <t>ΛΑΜΙΑ           ΡΑΙΔΕΣΤΟΥ 1</t>
  </si>
  <si>
    <t>mail@dim-lianokl.fth.sch.gr</t>
  </si>
  <si>
    <t>ΛΕΙΑΝΟΚΛΑΔΙ</t>
  </si>
  <si>
    <t>ΛΕΙΑΝΟΚΛΑΔΙ ΦΘΙΩΤΙΔΑΣ</t>
  </si>
  <si>
    <t>15ο ΔΗΜΟΤΙΚΟ ΣΧΟΛΕΙΟ ΛΑΜΙΑΣ</t>
  </si>
  <si>
    <t>mail@15dim-lamias.fth.sch.gr</t>
  </si>
  <si>
    <t>ΒΛΑΧΑΚΟΥ  -ΑΦΑΝΟΣ ΛΑΜΙΑΣ</t>
  </si>
  <si>
    <t>29ο ΝΗΠΙΑΓΩΓΕΙΟ ΛΑΜΙΑΣ</t>
  </si>
  <si>
    <t>mail@29nip-lamias.fth.sch.gr</t>
  </si>
  <si>
    <t>ΤΕΡΜΑ ΚΑΡΠΑΘΟΥ</t>
  </si>
  <si>
    <t>17ο ΝΗΠΙΑΓΩΓΕΙΟ ΛΑΜΙΑΣ</t>
  </si>
  <si>
    <t>mail@17nip-lamias.fth.sch.gr</t>
  </si>
  <si>
    <t>ΣΙΦΝΟΥ ΚΑΙ ΑΙΓΙΝΗΣ</t>
  </si>
  <si>
    <t>22ο ΝΗΠΙΑΓΩΓΕΙΟ ΛΑΜΙΑΣ - ΡΟΔΙΤΣΑ</t>
  </si>
  <si>
    <t>mail@22nip-lamias.fth.sch.gr</t>
  </si>
  <si>
    <t>mail@dim-pelasg.fth.sch.gr</t>
  </si>
  <si>
    <t>mail@dim-martin.fth.sch.gr</t>
  </si>
  <si>
    <t>ΜΑΡΤΙΝΟ ΛΟΚΡΙΔΑΣ 1</t>
  </si>
  <si>
    <t>mail@dim-males.fth.sch.gr</t>
  </si>
  <si>
    <t>Μαλεσίνα,</t>
  </si>
  <si>
    <t>ΜΠΙΚΑ 2</t>
  </si>
  <si>
    <t>ΤΥΜΦΡΗΣΤΟΥ</t>
  </si>
  <si>
    <t>ΔΗΜΟΤΙΚΟ ΣΧΟΛΕΙΟ ΤΥΜΦΡΗΣΤΟΥ</t>
  </si>
  <si>
    <t>mail@dim-tymfr.fth.sch.gr</t>
  </si>
  <si>
    <t>ΤΥΜΦΡΗΣΤΟΣ</t>
  </si>
  <si>
    <t>ΤΥΜΦΡΗΣΤΟΣ ΦΘΙΩΤΙΔΑΣ</t>
  </si>
  <si>
    <t>ΑΡΚΙΤΣΑΣ</t>
  </si>
  <si>
    <t>ΔΗΜΟΤΙΚΟ ΣΧΟΛΕΙΟ ΑΡΚΙΤΣΑΣ</t>
  </si>
  <si>
    <t>mail@dim-arkits.fth.sch.gr</t>
  </si>
  <si>
    <t>ΑΡΚΙΤΣΑ ΦΘΙΩΤΙΔΑΣ</t>
  </si>
  <si>
    <t>mail@2dim-males.fth.sch.gr</t>
  </si>
  <si>
    <t>Δ. ΨΩΡΟΜΙΤΑ 7</t>
  </si>
  <si>
    <t>12dimlam@sch.gr</t>
  </si>
  <si>
    <t>Λαμία</t>
  </si>
  <si>
    <t>Αμπλιανίτη 20-22</t>
  </si>
  <si>
    <t>ΝΗΠΙΑΓΩΓΕΙΟ ΗΡΑΚΛΕΙΑΣ</t>
  </si>
  <si>
    <t>mail@nip-irakl.fth.sch.gr</t>
  </si>
  <si>
    <t>ΗΡΑΚΛΕΙΑ ΦΘΙΩΤΙΔΑΣ</t>
  </si>
  <si>
    <t>1ο ΝΗΠΙΑΓΩΓΕΙΟ ΣΤΥΛΙΔΑΣ</t>
  </si>
  <si>
    <t>mail@1nip-stylid.fth.sch.gr</t>
  </si>
  <si>
    <t>mail@dim-kat-tiroth.fth.sch.gr</t>
  </si>
  <si>
    <t>ΑΝΘΗΛΗΣ</t>
  </si>
  <si>
    <t>25ο ΝΗΠΙΑΓΩΓΕΙΟ ΛΑΜΙΑΣ - ΑΝΘΗΛΗ</t>
  </si>
  <si>
    <t>mail@25nip-lamias.fth.sch.gr</t>
  </si>
  <si>
    <t>ΛΑΜΙΑΣ ΑΝΘΗΛΗΣ</t>
  </si>
  <si>
    <t>ΑΝΘΗΛΗ ΛΑΜΙΑΣ</t>
  </si>
  <si>
    <t>mail@dim-molou.fth.sch.gr</t>
  </si>
  <si>
    <t>ΜΩΛΟΣ</t>
  </si>
  <si>
    <t>ΘΕΡΜΟΠΥΛΩΝ  32</t>
  </si>
  <si>
    <t>13ο ΝΗΠΙΑΓΩΓΕΙΟ ΛΑΜΙΑΣ</t>
  </si>
  <si>
    <t>mail@13nip-lamias.fth.sch.gr</t>
  </si>
  <si>
    <t>ΥΨΗΛΑΝΤΗ ΚΑΙ ΙΩΑΝΝΙΝΩΝ 68</t>
  </si>
  <si>
    <t>ΔΗΜΟΤΙΚΟ ΣΧΟΛΕΙΟ ΝΕΟΥ ΜΟΝΑΣΤΗΡΙΟΥ</t>
  </si>
  <si>
    <t>mail@dim-n-monast.fth.sch.gr</t>
  </si>
  <si>
    <t>ΝΕΟ  ΜΟΝΑΣΤΗΡΙ</t>
  </si>
  <si>
    <t>mail@11dim-lamias.fth.sch.gr</t>
  </si>
  <si>
    <t>ΛΑΜΙΑ                 ΟΔΥΣΣΕΑ ΕΛΥΤΗ 2</t>
  </si>
  <si>
    <t>ΝΗΠΙΑΓΩΓΕΙΟ ΔΟΜΟΚΟΥ</t>
  </si>
  <si>
    <t>mail@nip-domok.fth.sch.gr</t>
  </si>
  <si>
    <t>ΕΚΚΑΡΑΣ</t>
  </si>
  <si>
    <t>ΔΗΜΟΤΙΚΟ ΣΧΟΛΕΙΟ ΕΚΚΑΡΑΣ</t>
  </si>
  <si>
    <t>mail@dim-ekkar.fth.sch.gr</t>
  </si>
  <si>
    <t>ΕΚΚΑΡΑ</t>
  </si>
  <si>
    <t>ΕΚΚΑΡΑ ΦΘΙΩΤΙΔΑΣ</t>
  </si>
  <si>
    <t>ΕΚΚΑΡΑ ΔΟΜΟΚΟΥ</t>
  </si>
  <si>
    <t>1ο ΝΗΠΙΑΓΩΓΕΙΟ ΛΑΜΙΑΣ</t>
  </si>
  <si>
    <t>mail@1nip-lamias.fth.sch.gr</t>
  </si>
  <si>
    <t>mail@1dim-atalant.fth.sch.gr</t>
  </si>
  <si>
    <t>ΑΤΑΛΑΝΤΗ ΓΕΡ.ΒΑΣΙΛΕΙΑΔΗ 1</t>
  </si>
  <si>
    <t>ΝΗΠΙΑΓΩΓΕΙΟ ΜΑΚΡΑΚΩΜΗΣ</t>
  </si>
  <si>
    <t>mail@nip-makrak.fth.sch.gr</t>
  </si>
  <si>
    <t>23ο ΝΗΠΙΑΓΩΓΕΙΟ ΛΑΜΙΑΣ</t>
  </si>
  <si>
    <t>mail@23nip-lamias.fth.sch.gr</t>
  </si>
  <si>
    <t>ΜΕΓΑΛΗ ΒΡΥΣΗ ΛΑΜΙΑΣ</t>
  </si>
  <si>
    <t>14ο ΝΗΠΙΑΓΩΓΕΙΟ ΛΑΜΙΑΣ</t>
  </si>
  <si>
    <t>mail@14nip-lamias.fth.sch.gr</t>
  </si>
  <si>
    <t>ΛΑΜΙΑ  ΚΥΠΡΟΥ 61</t>
  </si>
  <si>
    <t>13ο ΔΗΜΟΤΙΚΟ ΣΧΟΛΕΙΟ ΛΑΜΙΑΣ</t>
  </si>
  <si>
    <t>mail@13dim-lamias.fth.sch.gr</t>
  </si>
  <si>
    <t>ΤΕΡΜΑ ΚΑΛΒΟΥ</t>
  </si>
  <si>
    <t>mail@10dim-lamias.fth.sch.gr</t>
  </si>
  <si>
    <t>ΟΘΩΝΟΣ 40</t>
  </si>
  <si>
    <t>8ο ΝΗΠΙΑΓΩΓΕΙΟ ΛΑΜΙΑΣ</t>
  </si>
  <si>
    <t>mail@8nip-lamias.fth.sch.gr</t>
  </si>
  <si>
    <t>ΚΑΛΥΒΙΑ ΛΑΜΙΑΣ</t>
  </si>
  <si>
    <t>ΛΑΜΙΑ    ΔΑΒΑΚΗ 6</t>
  </si>
  <si>
    <t>11ο ΝΗΠΙΑΓΩΓΕΙΟ ΛΑΜΙΑΣ</t>
  </si>
  <si>
    <t>mail@11nip-lamias.fth.sch.gr</t>
  </si>
  <si>
    <t>ΑΦΑΝΟΣ ΛΑΜΙΑΣ</t>
  </si>
  <si>
    <t>9ο ΝΗΠΙΑΓΩΓΕΙΟ ΛΑΜΙΑΣ</t>
  </si>
  <si>
    <t>mail@9nip-lamias.fth.sch.gr</t>
  </si>
  <si>
    <t>ΝΙΚΗΦΟΡΟΥ ΟΥΡΑΝΟΥ 1</t>
  </si>
  <si>
    <t>mail@2dim-stylid.fth.sch.gr</t>
  </si>
  <si>
    <t>ΣΤΥΛΙΔΑ  ΜΕΓΑΛΟΥ ΑΛΕΞΑΝΔΡΟΥ  12</t>
  </si>
  <si>
    <t>6ο ΝΗΠΙΑΓΩΓΕΙΟ ΛΑΜΙΑΣ</t>
  </si>
  <si>
    <t>mail@6nip-lamias.fth.sch.gr</t>
  </si>
  <si>
    <t>ΚΑΒΑΦΗ ΚΑΙ ΤΣΙΤΣΑΝΗ 30</t>
  </si>
  <si>
    <t>ΛΟΥΤΡΩΝ ΥΠΑΤΗΣ</t>
  </si>
  <si>
    <t>ΝΗΠΙΑΓΩΓΕΙΟ ΛΟΥΤΡΩΝ ΥΠΑΤΗΣ</t>
  </si>
  <si>
    <t>mail@nip-loutr.fth.sch.gr</t>
  </si>
  <si>
    <t>ΛΟΥΤΡΑ ΥΠΑΤΗΣ ΦΘΙΩΤΙΔΑΣ</t>
  </si>
  <si>
    <t>ΛΟΥΤΡΑ ΥΠΑΤΗΣ</t>
  </si>
  <si>
    <t>ΡΕΓΚΙΝΙΟΥ</t>
  </si>
  <si>
    <t>ΝΗΠΙΑΓΩΓΕΙΟ ΡΕΓΚΙΝΙΟΥ</t>
  </si>
  <si>
    <t>mail@nip-reggin.fth.sch.gr</t>
  </si>
  <si>
    <t>ΡΕΓΚΙΝΙ</t>
  </si>
  <si>
    <t>ΝΗΠΙΑΓΩΓΕΙΟ ΚΑΤΩ ΤΙΘΟΡΕΑΣ</t>
  </si>
  <si>
    <t>mail@nip-kat-tiroth.fth.sch.gr</t>
  </si>
  <si>
    <t>κάτω Τιθορέα</t>
  </si>
  <si>
    <t>27ο ΝΗΠΙΑΓΩΓΕΙΟ ΛΑΜΙΑΣ</t>
  </si>
  <si>
    <t>mail@27nip-lamias.fth.sch.gr</t>
  </si>
  <si>
    <t>ΠΡΕΒΕΖΗΣ 29</t>
  </si>
  <si>
    <t>1ο ΔΗΜΟΤΙΚΟ ΣΧΟΛΕΙΟ ΕΧΙΝΑΙΩΝ</t>
  </si>
  <si>
    <t>mail@1dim-echin.fth.sch.gr</t>
  </si>
  <si>
    <t>1ο ΔΗΜ.ΣΧΟΛΕΙΟ ΕΧΙΝΑΙΩΝ</t>
  </si>
  <si>
    <t>2ο ΔΗΜΟΤΙΚΟ ΣΧΟΛΕΙΟ ΕΧΙΝΑΙΩΝ</t>
  </si>
  <si>
    <t>mail@2dim-echin.fth.sch.gr</t>
  </si>
  <si>
    <t>Ν. ΦΘΙΩΤΙΔΑΣ</t>
  </si>
  <si>
    <t>Π.Ε.Ο. ΛΑΜΙΑΣ-ΒΟΛΟΥ, ΑΧΙΝΟΣ ΣΤΥΛΙΔΑΣ</t>
  </si>
  <si>
    <t>ΝΗΠΙΑΓΩΓΕΙΟ ΡΑΧΩΝ</t>
  </si>
  <si>
    <t>mail@nip-rachon.fth.sch.gr</t>
  </si>
  <si>
    <t>2ο ΝΗΠΙΑΓΩΓΕΙΟ ΛΑΜΙΑΣ</t>
  </si>
  <si>
    <t>mail@2nip-lamias.fth.sch.gr</t>
  </si>
  <si>
    <t>ΠΑΠΑΛΟΥΚΑ 1</t>
  </si>
  <si>
    <t>5ο ΝΗΠΙΑΓΩΓΕΙΟ ΛΑΜΙΑΣ</t>
  </si>
  <si>
    <t>mail@5nip-lamias.fth.sch.gr</t>
  </si>
  <si>
    <t>ΠΙΣΤΟΛΗ 10</t>
  </si>
  <si>
    <t>ΕΞΑΡΧΟΥ</t>
  </si>
  <si>
    <t>ΔΗΜΟΤΙΚΟ ΣΧΟΛΕΙΟ ΕΞΑΡΧΟΥ</t>
  </si>
  <si>
    <t>mail@dim-exarch.fth.sch.gr</t>
  </si>
  <si>
    <t>ΕΞΑΡΧΟΣ</t>
  </si>
  <si>
    <t>ΕΞΑΡΧΟΣ ΦΘΙΩΤΙΔΑΣ</t>
  </si>
  <si>
    <t>ΝΗΠΙΑΓΩΓΕΙΟ ΚΑΙΝΟΥΡΙΟΥ</t>
  </si>
  <si>
    <t>mail@nip-kainourg.fth.sch.gr</t>
  </si>
  <si>
    <t>ΚΑΙΝΟΥΡΓΙΟ ΛΟΚΡΙΔΑΣ</t>
  </si>
  <si>
    <t>ΝΗΠΙΑΓΩΓΕΙΟ ΛΙΑΝΟΚΛΑΔΙΟΥ</t>
  </si>
  <si>
    <t>mail@nip-lianokl.fth.sch.gr</t>
  </si>
  <si>
    <t>2ο ΝΗΠΙΑΓΩΓΕΙΟ ΣΤΥΛΙΔΑΣ</t>
  </si>
  <si>
    <t>mail@2nip-stylid.fth.sch.gr</t>
  </si>
  <si>
    <t>ΚΡΥΣΤΑΛΛΗ 24</t>
  </si>
  <si>
    <t>20ο ΝΗΠΙΑΓΩΓΕΙΟ ΛΑΜΙΑΣ</t>
  </si>
  <si>
    <t>mail@20nip-lamias.fth.sch.gr</t>
  </si>
  <si>
    <t>ΚΙΣΣΑΒΟΥ ΚΑΙ ΔΗΜΗΤΡΙΑΔΟΣ</t>
  </si>
  <si>
    <t>1ο ΝΗΠΙΑΓΩΓΕΙΟ ΑΤΑΛΑΝΤΗΣ - ΞΕΝΙΑ</t>
  </si>
  <si>
    <t>mail@1nip-atalant.fth.sch.gr</t>
  </si>
  <si>
    <t>ΟΔΥΣΣΕΩΣ ΑΝΔΡΟΥΤΣΟΥ 31</t>
  </si>
  <si>
    <t>ΝΗΠΙΑΓΩΓΕΙΟ ΟΜΒΡΙΑΚΗΣ</t>
  </si>
  <si>
    <t>mail@nip-omvriak.fth.sch.gr</t>
  </si>
  <si>
    <t>ΟΜΒΡΙΑΚΗ -ΔΗΜΟΥ ΔΟΜΟΚΟΥ</t>
  </si>
  <si>
    <t>ΝΗΠΙΑΓΩΓΕΙΟ ΕΚΚΑΡΑΣ</t>
  </si>
  <si>
    <t>mail@nip-ekkar.fth.sch.gr</t>
  </si>
  <si>
    <t>ΝΗΠΙΑΓΩΓΕΙΟ ΓΟΡΓΟΠΟΤΑΜΟΥ</t>
  </si>
  <si>
    <t>mail@nip-gorgop.fth.sch.gr</t>
  </si>
  <si>
    <t>ΓΟΡΓΟΠΟΤΑΜΟΣ</t>
  </si>
  <si>
    <t>2ο ΝΗΠΙΑΓΩΓΕΙΟ ΣΠΕΡΧΕΙΑΔΑΣ</t>
  </si>
  <si>
    <t>mail@2nip-sperch.fth.sch.gr</t>
  </si>
  <si>
    <t>ΣΠΕΡΧΕΙΑΔΑΣ</t>
  </si>
  <si>
    <t>Β. ΒΟΥΛΓΑΡΟΚΤΟΝΟΥ 3</t>
  </si>
  <si>
    <t>14ο ΔΗΜΟΤΙΚΟ ΣΧΟΛΕΙΟ ΛΑΜΙΑΣ</t>
  </si>
  <si>
    <t>mail@14dim-lamias.fth.sch.gr</t>
  </si>
  <si>
    <t>ΑΜΦΙΚΤΥΟΝΩΝ 42</t>
  </si>
  <si>
    <t>10ο ΝΗΠΙΑΓΩΓΕΙΟ ΛΑΜΙΑΣ</t>
  </si>
  <si>
    <t>mail@10nip-lamias.fth.sch.gr</t>
  </si>
  <si>
    <t>ΟΘΩΝΟΣ 67</t>
  </si>
  <si>
    <t>mail@20dim-lamias.fth.sch.gr</t>
  </si>
  <si>
    <t>1ο ΝΗΠΙΑΓΩΓΕΙΟ ΛΑΡΥΜΝΑΣ</t>
  </si>
  <si>
    <t>mail@1nip-larymn.fth.sch.gr</t>
  </si>
  <si>
    <t>ΛΑΡΥΜΝΑ ΛΟΚΡΙΔΑΣ 1</t>
  </si>
  <si>
    <t>ΝΕΟΥ ΚΡΙΚΕΛΛΟΥ</t>
  </si>
  <si>
    <t>ΝΗΠΙΑΓΩΓΕΙΟ ΝΕΟΥ ΚΡΙΚΕΛΛΟΥ</t>
  </si>
  <si>
    <t>mail@nip-krikel.fth.sch.gr</t>
  </si>
  <si>
    <t>Ν. ΚΡΙΚΕΛΛΟΥ</t>
  </si>
  <si>
    <t>Ν. ΚΡΙΚΕΛΛΟ ΦΘΙΩΤΙΔΑΣ</t>
  </si>
  <si>
    <t>ΝΗΠΙΑΓΩΓΕΙΟ ΜΑΡΤΙΝΟΥ</t>
  </si>
  <si>
    <t>mail@nip-martin.fth.sch.gr</t>
  </si>
  <si>
    <t>ΜΑΡΤΙΝΟ ΛΟΚΡΙΔΑΣ</t>
  </si>
  <si>
    <t>ΝΗΠΙΑΓΩΓΕΙΟ ΝΕΟΥ ΜΟΝΑΣΤΗΡΙΟΥ</t>
  </si>
  <si>
    <t>mail@nip-n-monast.fth.sch.gr</t>
  </si>
  <si>
    <t>ΝΕΟ ΜΟΝΑΣΤΗΡΙ ΔΟΜΟΚΟΥ</t>
  </si>
  <si>
    <t>mail@dim-ag-konst.fth.sch.gr</t>
  </si>
  <si>
    <t>ΑΓ. ΚΩΝΣΤΑΝΤΙΝΟΣ  ΑΝΔΡΟΥΤΣΟΥ ΚΑΙ ΕΙΚΟΣΤΗΣ ΟΓΔΟΗΣ Ο</t>
  </si>
  <si>
    <t>26ο ΝΗΠΙΑΓΩΓΕΙΟ ΛΑΜΙΑΣ</t>
  </si>
  <si>
    <t>mail@26nip-lamias.fth.sch.gr</t>
  </si>
  <si>
    <t>ΤΑΝΑΓΡΑΣ &amp; ΟΙΝΟΦΥΤΩΝ</t>
  </si>
  <si>
    <t>12ο ΝΗΠΙΑΓΩΓΕΙΟ ΛΑΜΙΑΣ</t>
  </si>
  <si>
    <t>mail@12nip-lamias.fth.sch.gr</t>
  </si>
  <si>
    <t>ΑΜΠΛΙΑΝΙΤΗ 20</t>
  </si>
  <si>
    <t>mail@8dim-lamias.fth.sch.gr</t>
  </si>
  <si>
    <t>ΛΑΜΙΑ    ΔΑΒΑΚΗ 11</t>
  </si>
  <si>
    <t>ΓΛΥΦΑΣ</t>
  </si>
  <si>
    <t>ΔΗΜΟΤΙΚΟ ΣΧΟΛΕΙΟ ΓΛΥΦΑΣ</t>
  </si>
  <si>
    <t>mail@dim-glyfas.fth.sch.gr</t>
  </si>
  <si>
    <t>ΓΛΥΦΑ</t>
  </si>
  <si>
    <t>ΓΛΥΦΑ ΦΘΙΩΤΙΔΑΣ</t>
  </si>
  <si>
    <t>16ο ΝΗΠΙΑΓΩΓΕΙΟ ΛΑΜΙΑΣ</t>
  </si>
  <si>
    <t>mail@16nip-lamias.fth.sch.gr</t>
  </si>
  <si>
    <t>ΟΔΥΣΣΕΑ ΕΛΥΤΗ 2  ΛΑΜΙΑ</t>
  </si>
  <si>
    <t>24ο ΝΗΠΙΑΓΩΓΕΙΟ ΛΑΜΙΑΣ</t>
  </si>
  <si>
    <t>mail@24nip-lamias.fth.sch.gr</t>
  </si>
  <si>
    <t>ΑΓΙΑ ΠΑΡΑΣΚΕΥΗ ΛΑΜΙΑΣ</t>
  </si>
  <si>
    <t>ΝΗΠΙΑΓΩΓΕΙΟ ΦΡΑΝΤΖΗ</t>
  </si>
  <si>
    <t>mail@nip-frantz.fth.sch.gr</t>
  </si>
  <si>
    <t>ΦΡΑΝΤΖΗ ΛΑΜΙΑΣ</t>
  </si>
  <si>
    <t>ΝΗΠΙΑΓΩΓΕΙΟ ΑΡΚΙΤΣΑΣ</t>
  </si>
  <si>
    <t>mail@nip-arkits.fth.sch.gr</t>
  </si>
  <si>
    <t>ΔΗΜΟΤΙΚΟ ΣΧΟΛΕΙΟ ΡΕΓΚΙΝΙΟΥ</t>
  </si>
  <si>
    <t>mail@dim-regkin.fth.sch.gr</t>
  </si>
  <si>
    <t>ΡΕΓΚΙΝΙ ΦΘΙΩΤΙΔΑΣ</t>
  </si>
  <si>
    <t>4ο ΝΗΠΙΑΓΩΓΕΙΟ ΛΑΜΙΑΣ</t>
  </si>
  <si>
    <t>mail@4nip-lamias.fth.sch.gr</t>
  </si>
  <si>
    <t>ΛΑΜΙΑ  ΠΑΤΡΟΚΛΟΥ 32</t>
  </si>
  <si>
    <t>ΓΡΑΜΜΕΝΗΣ</t>
  </si>
  <si>
    <t>ΝΗΠΙΑΓΩΓΕΙΟ ΓΡΑΜΜΕΝΗΣ</t>
  </si>
  <si>
    <t>mail@nip-gramm.fth.sch.gr</t>
  </si>
  <si>
    <t>ΜΑΚΡΑΚΩΜΗΣ ΦΘΙΩΤΙΔΑΣ</t>
  </si>
  <si>
    <t>ΓΡΑΜΜΕΝΗ</t>
  </si>
  <si>
    <t>mail@dim-rodits.fth.sch.gr</t>
  </si>
  <si>
    <t>ΑΓ.ΑΘΑΝΑΣΙΟΥ 1</t>
  </si>
  <si>
    <t>18ο ΝΗΠΙΑΓΩΓΕΙΟ ΛΑΜΙΑΣ</t>
  </si>
  <si>
    <t>mail@18nip-lamias.fth.sch.gr</t>
  </si>
  <si>
    <t>Ν.ΕΡΓΑΤΙΚΕΣ ΚΑΤΟΙΚΙΕΣ</t>
  </si>
  <si>
    <t>ΝΗΠΙΑΓΩΓΕΙΟ ΠΕΛΑΣΓΙΑΣ</t>
  </si>
  <si>
    <t>mail@nip-pelasg.fth.sch.gr</t>
  </si>
  <si>
    <t>ΝΗΠΙΑΓΩΓΕΙΟ ΑΜΦΙΚΛΕΙΑΣ</t>
  </si>
  <si>
    <t>mail@nip-amfikl.fth.sch.gr</t>
  </si>
  <si>
    <t>2ο ΔΗΜΟΤΙΚΟ ΣΧΟΛΕΙΟ ΑΤΑΛΑΝΤΗΣ - Η ΜΑΚΕΔΟΝΙΑ</t>
  </si>
  <si>
    <t>mail@2dim-atalant.fth.sch.gr</t>
  </si>
  <si>
    <t>ΑΤΑΛΑΝΤΗ   ΧΡΗΣΤΟΥ ΛΙΓΔΗ 1</t>
  </si>
  <si>
    <t>2ο ΝΗΠΙΑΓΩΓΕΙΟ ΑΤΑΛΑΝΤΗΣ</t>
  </si>
  <si>
    <t>mail@2nip-atalant.fth.sch.gr</t>
  </si>
  <si>
    <t>ΓΕΡΑΣΙΜΟΥ ΒΑΣΙΛΕΙΑΔΗ 1</t>
  </si>
  <si>
    <t>ΝΗΠΙΑΓΩΓΕΙΟ ΓΛΥΦΑΣ</t>
  </si>
  <si>
    <t>mail@nip-glyfas.fth.sch.gr</t>
  </si>
  <si>
    <t>ΜΕΞΙΑΤΩΝ</t>
  </si>
  <si>
    <t>ΝΗΠΙΑΓΩΓΕΙΟ ΜΕΞΙΑΤΩΝ</t>
  </si>
  <si>
    <t>mail@nip-mexiat.fth.sch.gr</t>
  </si>
  <si>
    <t>ΜΕΞΙΑΤΕΣ ΦΘΙΩΤΙΔΑΣ</t>
  </si>
  <si>
    <t>3ο ΝΗΠΙΑΓΩΓΕΙΟ ΑΤΑΛΑΝΤΗΣ</t>
  </si>
  <si>
    <t>mail@3nip-atalant.fth.sch.gr</t>
  </si>
  <si>
    <t>ΕΠΙΣΚΟΠΟΥ ΝΕΟΦΥΤΟΥ ΜΕΤΑΞΑ 9 ΑΤΑΛΑΝΤΗ</t>
  </si>
  <si>
    <t>ΝΗΠΙΑΓΩΓΕΙΟ ΑΓΙΟΥ ΚΩΝΣΤΑΝΤΙΝΟΥ</t>
  </si>
  <si>
    <t>mail@nip-ag-konst.fth.sch.gr</t>
  </si>
  <si>
    <t>ΑΓΙΟΥ ΚΩΝΣΤΑΝΤΙΝΟΥ ΛΟΚΡΙΔΑΣ</t>
  </si>
  <si>
    <t>ΑΝΔΡΟΥΤΣΟΥ</t>
  </si>
  <si>
    <t>ΝΗΠΙΑΓΩΓΕΙΟ ΕΛΑΤΕΙΑΣ</t>
  </si>
  <si>
    <t>mail@nip-elateias.fth.sch.gr</t>
  </si>
  <si>
    <t>ΝΗΠΙΑΓΩΓΕΙΟ ΕΞΑΡΧΟΥ</t>
  </si>
  <si>
    <t>mail@nip-exarch.fth.sch.gr</t>
  </si>
  <si>
    <t>ΕΞΑΡΧΟΣ ΛΟΚΡΙΔΑΣ</t>
  </si>
  <si>
    <t>mail@17dim-lamias.fth.sch.gr</t>
  </si>
  <si>
    <t>mail@dim-livan.fth.sch.gr</t>
  </si>
  <si>
    <t>7ο ΝΗΠΙΑΓΩΓΕΙΟ ΛΑΜΙΑΣ</t>
  </si>
  <si>
    <t>mail@7nip-lamias.fth.sch.gr</t>
  </si>
  <si>
    <t>ΛΑΜΙΑ  ΦΡΑΝΤΖΗ 42</t>
  </si>
  <si>
    <t>1ο ΝΗΠΙΑΓΩΓΕΙΟ ΚΑΜΕΝΩΝ ΒΟΥΡΛΩΝ</t>
  </si>
  <si>
    <t>mail@nip-kam-vourl.fth.sch.gr</t>
  </si>
  <si>
    <t>ΑΓΙΟΥ ΣΕΡΑΦΕΙΜ</t>
  </si>
  <si>
    <t>ΝΗΠΙΑΓΩΓΕΙΟ ΑΓΙΟΥ ΣΕΡΑΦΕΙΜ</t>
  </si>
  <si>
    <t>mail@nip-ag-seraf.fth.sch.gr</t>
  </si>
  <si>
    <t>ΑΓΙΟΣ ΣΕΡΑΦΕΙΜ-ΜΩΛΟΥ</t>
  </si>
  <si>
    <t>ΝΗΠΙΑΓΩΓΕΙΟ ΛΙΒΑΝΑΤΩΝ</t>
  </si>
  <si>
    <t>mail@nip-livan.fth.sch.gr</t>
  </si>
  <si>
    <t>1ο ΝΗΠΙΑΓΩΓΕΙΟ ΜΑΛΕΣΙΝΑΣ</t>
  </si>
  <si>
    <t>mail@nip-males.fth.sch.gr</t>
  </si>
  <si>
    <t>ΜΑΛΕΣΙΝΑΣ</t>
  </si>
  <si>
    <t>ΜΑΛΕΣΙΝΑ . ΜΠΙΚΑ 1 Α</t>
  </si>
  <si>
    <t>2ο ΝΗΠΙΑΓΩΓΕΙΟ ΜΑΛΕΣΙΝΑΣ</t>
  </si>
  <si>
    <t>mail@2nip-males.fth.sch.gr</t>
  </si>
  <si>
    <t>ΔΗΜΟΤΙΚΟ ΣΧΟΛΕΙΟ ΚΑΙΝΟΥΡΓΙΟΥ</t>
  </si>
  <si>
    <t>mail@dim-kainourg.fth.sch.gr</t>
  </si>
  <si>
    <t>ΝΗΠΙΑΓΩΓΕΙΟ ΜΩΛΟΥ</t>
  </si>
  <si>
    <t>mail@nip-molou.fth.sch.gr</t>
  </si>
  <si>
    <t>ΛΕΩΝΙΔΟΥ</t>
  </si>
  <si>
    <t>mail@16dim-lamias.fth.sch.gr</t>
  </si>
  <si>
    <t>ΠΑΠΑΣΙΟΠΟΥΛΟΥ 2</t>
  </si>
  <si>
    <t>ΝΗΠΙΑΓΩΓΕΙΟ ΑΧΙΝΟΥ</t>
  </si>
  <si>
    <t>mail@nip-achinou.fth.sch.gr</t>
  </si>
  <si>
    <t>ΑΧΙΝΟΣ ΣΤΥΛΙΔΑΣ 35300</t>
  </si>
  <si>
    <t>mail@dim-elateias.fth.sch.gr</t>
  </si>
  <si>
    <t>ΕΛΑΤΕΙΑ</t>
  </si>
  <si>
    <t>mail@1dim-gorgop.fth.sch.gr</t>
  </si>
  <si>
    <t>Μοσχοχώρι</t>
  </si>
  <si>
    <t>ΚΑΡΑΒΟΜΥΛΟΥ</t>
  </si>
  <si>
    <t>ΝΗΠΙΑΓΩΓΕΙΟ ΚΑΡΑΒΟΜΥΛΟΥ</t>
  </si>
  <si>
    <t>mail@nip-karavo.fth.sch.gr</t>
  </si>
  <si>
    <t>ΚΑΡΑΒΟΜΥΛΟΣ ΣΤΥΛΙΔΑΣ</t>
  </si>
  <si>
    <t>18ο ΔΗΜΟΤΙΚΟ ΣΧΟΛΕΙΟ ΛΑΜΙΑΣ</t>
  </si>
  <si>
    <t>mail@18dim-lamias.fth.sch.gr</t>
  </si>
  <si>
    <t>ΤΕΡΜΑ ΚΑΡΠΑΘΟΥ-ΓΑΛΑΝΕΪΚΑ</t>
  </si>
  <si>
    <t>1ο ΝΗΠΙΑΓΩΓΕΙΟ ΣΠΕΡΧΕΙΑΔΑΣ</t>
  </si>
  <si>
    <t>mail@1nip-sperch.fth.sch.gr</t>
  </si>
  <si>
    <t>15ο ΝΗΠΙΑΓΩΓΕΙΟ ΛΑΜΙΑΣ</t>
  </si>
  <si>
    <t>mail@15nip-lamias.fth.sch.gr</t>
  </si>
  <si>
    <t>ΛΑΜΙΑ  ΚΑΔΜΟΥ 1</t>
  </si>
  <si>
    <t>28ο ΝΗΠΙΑΓΩΓΕΙΟ ΛΑΜΙΑΣ</t>
  </si>
  <si>
    <t>mail@28nip-lamias.fth.sch.gr</t>
  </si>
  <si>
    <t>ΨΗΛΟΡΕΙΤΗ ΚΑΙ ΕΛΙΚΩΝΟΣ</t>
  </si>
  <si>
    <t>mail@dim-makrak.fth.sch.gr</t>
  </si>
  <si>
    <t>19ο ΔΗΜΟΤΙΚΟ ΣΧΟΛΕΙΟ ΛΑΜΙΑΣ</t>
  </si>
  <si>
    <t>mail@19dim-lamias.fth.sch.gr</t>
  </si>
  <si>
    <t>ΜΑΡΑΘΟΥ 1</t>
  </si>
  <si>
    <t>25ο ΔΗΜΟΤΙΚΟ ΣΧΟΛΕΙΟ ΛΑΜΙΑΣ ΑΝΘΗΛΗΣ</t>
  </si>
  <si>
    <t>mail@25dim-lamias.fth.sch.gr</t>
  </si>
  <si>
    <t>ΑΝΘΗΛΗ</t>
  </si>
  <si>
    <t>mail@1dim-sperch.fth.sch.gr</t>
  </si>
  <si>
    <t>ΣΠΕΡΧΕΙΑΔΑ</t>
  </si>
  <si>
    <t>ΛΕΩΦΟΡΟΣ ΚΡΙΚΟΥ 1</t>
  </si>
  <si>
    <t>ΔΗΜΟΤΙΚΟ ΣΧΟΛΕΙΟ ΛΕΥΚΑΔΑΣ</t>
  </si>
  <si>
    <t>mail@dim-lefkad.fth.sch.gr</t>
  </si>
  <si>
    <t>ΛΕΥΚΑΔΑ ΦΘΙΩΤΙΔΑΣ</t>
  </si>
  <si>
    <t>ΚΟΜΠΟΤΑΔΩΝ</t>
  </si>
  <si>
    <t>ΔΗΜΟΤΙΚΟ ΣΧΟΛΕΙΟ ΚΟΜΠΟΤΑΔΩΝ-ΜΕΞΙΑΤΩΝ</t>
  </si>
  <si>
    <t>mail@dim-kompot-mexiat.fth.sch.gr</t>
  </si>
  <si>
    <t>Κομποτάδες</t>
  </si>
  <si>
    <t>ΚΟΜΠΟΤΑΔΕΣ ΦΘΙΩΤΙΔΑΣ</t>
  </si>
  <si>
    <t>24ο ΔΗΜΟΤΙΚΟ ΣΧΟΛΕΙΟ ΛΑΜΙΑΣ</t>
  </si>
  <si>
    <t>mail@24dim-lamias.fth.sch.gr</t>
  </si>
  <si>
    <t>mail@6dim-lamias.fth.sch.gr</t>
  </si>
  <si>
    <t>ΛΑΜΙΑ  ΚΑΒΑΦΗ 30</t>
  </si>
  <si>
    <t>mail@dim-loutr.fth.sch.gr</t>
  </si>
  <si>
    <t>Λουτρά  Υπάτης</t>
  </si>
  <si>
    <t>2ο ΔΗΜΟΤΙΚΟ ΣΧΟΛΕΙΟ ΣΠΕΡΧΕΙΑΔΑΣ - ΠΑΠΠΕΙΟΝ</t>
  </si>
  <si>
    <t>mail@2dim-sperch.fth.sch.gr</t>
  </si>
  <si>
    <t>mail@dim-omvriak.fth.sch.gr</t>
  </si>
  <si>
    <t>ΑΓΙΟΥ ΑΘΑΝΑΣΙΟΥ 31</t>
  </si>
  <si>
    <t>19ο ΝΗΠΙΑΓΩΓΕΙΟ ΛΑΜΙΑΣ</t>
  </si>
  <si>
    <t>mail@19nip-lamias.fth.sch.gr</t>
  </si>
  <si>
    <t>ΣΥΝΟΙΚΙΣΜΟΣ ΕΥΡΥΤΑΝΩΝ</t>
  </si>
  <si>
    <t>ΝΗΠΙΑΓΩΓΕΙΟ ΤΡΑΓΑΝΑΣ</t>
  </si>
  <si>
    <t>mail@nip-tragan.fth.sch.gr</t>
  </si>
  <si>
    <t>ΤΡΑΓΑΝΑ</t>
  </si>
  <si>
    <t>30ο ΝΗΠΙΑΓΩΓΕΙΟ ΛΑΜΙΑΣ</t>
  </si>
  <si>
    <t>mail@30nip-lamias.fth.sch.gr</t>
  </si>
  <si>
    <t>ΥΨΗΛΑΝΤΗ ΚΑΙ ΦΟΙΝΙΚΟΣ 24</t>
  </si>
  <si>
    <t>ΕΙΔΙΚΟ ΔΗΜΟΤΙΚΟ ΣΧΟΛΕΙΟ ΑΤΑΛΑΝΤΗΣ</t>
  </si>
  <si>
    <t>mail@dim-eid-atalant.fth.sch.gr</t>
  </si>
  <si>
    <t>ΧΡ.ΛΥΓΔΗ 1</t>
  </si>
  <si>
    <t>31ο ΝΗΠΙΑΓΩΓΕΙΟ ΛΑΜΙΑΣ</t>
  </si>
  <si>
    <t>mail@31nip-lamias.fth.sch.gr</t>
  </si>
  <si>
    <t>ΑΓ.ΠΑΡΑΣΚΕΥΗΣ 36-ΓΑΛΑΝΕΪΚΑ</t>
  </si>
  <si>
    <t>ΔΗΜΟΤΙΚΟ ΣΧΟΛΕΙΟ ΚΑΣΤΡΙΟΥ ΦΘΙΩΤΙΔΑΣ</t>
  </si>
  <si>
    <t>mail@dim-kastr.fth.sch.gr</t>
  </si>
  <si>
    <t>ΚΑΣΤΡΙ ΦΘΙΩΤΙΔΑΣ</t>
  </si>
  <si>
    <t>ΑΓΙΟΥ ΓΕΩΡΓΙΟΥ ΤΥΜΦΡΗΣΤΟΥ</t>
  </si>
  <si>
    <t>ΑΓΙΟΥ ΓΕΩΡΓΙΟΥ ΦΘΙΩΤΙΔΑΣ</t>
  </si>
  <si>
    <t>ΔΗΜΟΤΙΚΟ ΣΧΟΛΕΙΟ ΑΓΙΟΥ ΓΕΩΡΓΙΟΥ ΦΘΙΩΤΙΔΑΣ</t>
  </si>
  <si>
    <t>mail@dim-ag-georg.fth.sch.gr</t>
  </si>
  <si>
    <t>ΝΗΠΙΑΓΩΓΕΙΟ ΑΓΙΟΥ ΓΕΩΡΓΙΟΥ</t>
  </si>
  <si>
    <t>mail@nip-ag-georg-tymfr.fth.sch.gr</t>
  </si>
  <si>
    <t>ΕΙΔΙΚΟ ΝΗΠΙΑΓΩΓΕΙΟ ΛΑΜΙΑΣ</t>
  </si>
  <si>
    <t>mail@nip-eid-lamias.fth.sch.gr</t>
  </si>
  <si>
    <t>ΔΙΕΥΘΥΝΣΗ Π.Ε. ΦΩΚΙΔΑΣ</t>
  </si>
  <si>
    <t>ΠΑΡΝΑΣΣΟΥ</t>
  </si>
  <si>
    <t>ΝΗΠΙΑΓΩΓΕΙΟ ΠΟΛΥΔΡΟΣΟΥ</t>
  </si>
  <si>
    <t>mail@nip-polydr.fok.sch.gr</t>
  </si>
  <si>
    <t>ΠΟΛΥΔΡΟΣΟΣ</t>
  </si>
  <si>
    <t>4ο ΝΗΠΙΑΓΩΓΕΙΟ ΑΜΦΙΣΣΑΣ</t>
  </si>
  <si>
    <t>mail@4nip-amfiss.fok.sch.gr</t>
  </si>
  <si>
    <t>Κ. ΤΡΑΚΑ 24</t>
  </si>
  <si>
    <t>3ο  ΝΗΠΙΑΓΩΓΕΙΟ ΑΜΦΙΣΣΑΣ</t>
  </si>
  <si>
    <t>mail@3nip-amfiss.fok.sch.gr</t>
  </si>
  <si>
    <t>Μ. ΚΑΘΑΡΙΟΥ 30</t>
  </si>
  <si>
    <t>1ο  ΝΗΠΙΑΓΩΓΕΙΟ ΑΜΦΙΣΣΑ</t>
  </si>
  <si>
    <t>mail@1nip-amfiss.fok.sch.gr</t>
  </si>
  <si>
    <t>ΑΘΑΝΑΣΙΟΥ  ΓΚΕΛΕΣΤΑΘΗ 1</t>
  </si>
  <si>
    <t>mail@1dim-amfiss.fok.sch.gr</t>
  </si>
  <si>
    <t>ΜΑΡΚΙΔΟΥ 6</t>
  </si>
  <si>
    <t>mail@dim-galax.fok.sch.gr</t>
  </si>
  <si>
    <t>ΓΑΛΑΞΙΔΙ</t>
  </si>
  <si>
    <t>ΝΙΚΟΛΑΟΥ ΓΟΥΡΓΟΥΡΗ 22</t>
  </si>
  <si>
    <t>mail@dim-delfon.fok.sch.gr</t>
  </si>
  <si>
    <t>ΔΕΛΦΟΙ</t>
  </si>
  <si>
    <t>ΕΥΑΣ ΚΑΙ ΑΓΓΕΛΟΥ ΣΙΚΕΛΙΑΝΟΥ 1</t>
  </si>
  <si>
    <t>mail@dim-desfin.fok.sch.gr</t>
  </si>
  <si>
    <t>Δεσφίνα,</t>
  </si>
  <si>
    <t>ΕΘΝΙΚΗΣ ΑΝΤΙΣΤΑΣΕΩΣ 10</t>
  </si>
  <si>
    <t>ΧΡΙΣΣΟΥ</t>
  </si>
  <si>
    <t>ΔΗΜΟΤΙΚΟ ΣΧΟΛΕΙΟ ΧΡΙΣΣΟΥ</t>
  </si>
  <si>
    <t>mail@dim-chriss.fok.sch.gr</t>
  </si>
  <si>
    <t>ΧΡΙΣΣΟ</t>
  </si>
  <si>
    <t>mail@dim-gravias.fok.sch.gr</t>
  </si>
  <si>
    <t>mail@dim-eratein.fok.sch.gr</t>
  </si>
  <si>
    <t>ΜΑΡΑΘΙΑ</t>
  </si>
  <si>
    <t>ΔΗΜΟΤΙΚΟ ΣΧΟΛΕΙΟ ΜΑΡΑΘΙΑ</t>
  </si>
  <si>
    <t>mail@dim-marath.fok.sch.gr</t>
  </si>
  <si>
    <t>ΜΑΡΑΘΙΑΣ</t>
  </si>
  <si>
    <t>ΔΗΜΟΤΙΚΟ ΣΧΟΛΕΙΟ ΕΠΤΑΛΟΦΟΣ</t>
  </si>
  <si>
    <t>mail@dim-eptal.fok.sch.gr</t>
  </si>
  <si>
    <t>mail@4dim-amfiss.fok.sch.gr</t>
  </si>
  <si>
    <t>ΦΡΟΥΡΙΟΥ 81</t>
  </si>
  <si>
    <t>mail@3dim-iteas.fok.sch.gr</t>
  </si>
  <si>
    <t>ΠΑΝΑΓΙΩΤΗ ΚΑΙ ΑΦΡΟΔΙΤΗΣ ΚΑΨΑΛΗ 20</t>
  </si>
  <si>
    <t>2ο  ΝΗΠΙΑΓΩΓΕΙΟ ΙΤΕΑΣ</t>
  </si>
  <si>
    <t>mail@2nip-iteas.fok.sch.gr</t>
  </si>
  <si>
    <t>ΕΙΚΟΣΤΗΣ ΟΓΔΟΗΣ ΟΚΤΩΒΡΙΟΥ 183</t>
  </si>
  <si>
    <t>3ο ΝΗΠΙΑΓΩΓΕΙΟ ΙΤΕΑΣ</t>
  </si>
  <si>
    <t>mail@3nip-iteas.fok.sch.gr</t>
  </si>
  <si>
    <t>ΗΛΙΑ ΤΡΙΓΚΑ 9</t>
  </si>
  <si>
    <t>ΚΙΡΡΑΣ</t>
  </si>
  <si>
    <t>ΝΗΠΙΑΓΩΓΕΙΟ  ΚΙΡΡΑΣ</t>
  </si>
  <si>
    <t>mail@nip-kirras.fok.sch.gr</t>
  </si>
  <si>
    <t xml:space="preserve">ΚΙΡΡΑ </t>
  </si>
  <si>
    <t>Ε.ΔΕΔΟΥΣΗ  99</t>
  </si>
  <si>
    <t>ΝΗΠΙΑΓΩΓΕΙΟ ΧΡΙΣΣΟΥ</t>
  </si>
  <si>
    <t>mail@nip-chriss.fok.sch.gr</t>
  </si>
  <si>
    <t>ΝΗΠΙΑΓΩΓΕΙΟ ΕΠΤΑΛΟΦΟΥ</t>
  </si>
  <si>
    <t>mail@nip-eptal.fok.sch.gr</t>
  </si>
  <si>
    <t>mail@3dim-amfiss.fok.sch.gr</t>
  </si>
  <si>
    <t>ΡΗΓΑ ΚΟΝΤΟΡΗΓΑ 11</t>
  </si>
  <si>
    <t>1ο ΔΗΜΟΤΙΚΟ ΣΧΟΛΕΙΟ ΙΤΕΑΣ</t>
  </si>
  <si>
    <t>mail@1dim-iteas.fok.sch.gr</t>
  </si>
  <si>
    <t>ΑΓΟΥΡΟΠΟΥΛΟΥ 10</t>
  </si>
  <si>
    <t>ΝΗΠΙΑΓΩΓΕΙΟ ΕΡΑΤΕΙΝΗΣ</t>
  </si>
  <si>
    <t>mail@nip-eratein.fok.sch.gr</t>
  </si>
  <si>
    <t>ΕΡΑΤΕΙΝΗ ΔΩΡΙΔΑΣ</t>
  </si>
  <si>
    <t>mail@dim-efpal.fok.sch.gr</t>
  </si>
  <si>
    <t>ΕΥΠΑΛΙΟ ΔΩΡΙΔΑΣ</t>
  </si>
  <si>
    <t>ΝΗΠΙΑΓΩΓΕΙΟ ΓΑΛΑΞΙΔΙΟΥ</t>
  </si>
  <si>
    <t>mail@nip-galax.fok.sch.gr</t>
  </si>
  <si>
    <t>Ν.ΓΟΥΡΓΟΥΡΗ 22</t>
  </si>
  <si>
    <t>ΝΗΠΙΑΓΩΓΕΙΟ ΜΑΡΑΘΙΑ</t>
  </si>
  <si>
    <t>mail@nip-marath.fok.sch.gr</t>
  </si>
  <si>
    <t>ΜΑΛΑΜΑΤΩΝ</t>
  </si>
  <si>
    <t>ΝΗΠΙΑΓΩΓΕΙΟ ΜΑΛΑΜΑΤΩΝ</t>
  </si>
  <si>
    <t>mail@nip-malam.fok.sch.gr</t>
  </si>
  <si>
    <t>ΜΑΛΑΜΑΤΑ</t>
  </si>
  <si>
    <t>ΔΗΜΟΤΙΚΟ ΣΧΟΛΕΙΟ ΜΑΛΑΜΑΤΩΝ</t>
  </si>
  <si>
    <t>mail@dim-malam.fok.sch.gr</t>
  </si>
  <si>
    <t>mail@dim-lidor.fok.sch.gr</t>
  </si>
  <si>
    <t>ΛΙΔΟΡΙΚΙ</t>
  </si>
  <si>
    <t>ΝΗΠΙΑΓΩΓΕΙΟ ΛΙΔΩΡΙΚΙΟΥ</t>
  </si>
  <si>
    <t>mail@nip-lidor.fok.sch.gr</t>
  </si>
  <si>
    <t>ΔΗΜΟΤΙΚΟ ΣΧΟΛΕΙΟ ΠΟΛΥΔΡΟΣΟΣ</t>
  </si>
  <si>
    <t>mail@dim-polydr.fok.sch.gr</t>
  </si>
  <si>
    <t>ΝΗΠΙΑΓΩΓΕΙΟ ΓΡΑΒΙΑΣ</t>
  </si>
  <si>
    <t>mail@nip-gravias.fok.sch.gr</t>
  </si>
  <si>
    <t>ΝΗΠΙΑΓΩΓΕΙΟ ΔΕΣΦΙΝΑΣ</t>
  </si>
  <si>
    <t>mail@nip-desfin.fok.sch.gr</t>
  </si>
  <si>
    <t>ΔΕΣΦΙΝΑ</t>
  </si>
  <si>
    <t>2ο ΝΗΠΙΑΓΩΓΕΙΟ ΑΜΦΙΣΣΑ</t>
  </si>
  <si>
    <t>mail@2nip-amfiss.fok.sch.gr</t>
  </si>
  <si>
    <t>ΙΠΠΟΚΡΑΤΟΥΣ 4</t>
  </si>
  <si>
    <t>1ο ΝΗΠΙΑΓΩΓΕΙΟ ΙΤΕΑΣ</t>
  </si>
  <si>
    <t>mail@1nip-iteas.fok.sch.gr</t>
  </si>
  <si>
    <t>ΚΑΡΑΪΣΚΑΚΗ 113</t>
  </si>
  <si>
    <t>ΝΗΠΙΑΓΩΓΕΙΟ ΕΥΠΑΛΙΟΥ</t>
  </si>
  <si>
    <t>mail@nip-efpal.fok.sch.gr</t>
  </si>
  <si>
    <t>ΝΗΠΙΑΓΩΓΕΙΟ ΓΛΥΦΑΔΑΣ</t>
  </si>
  <si>
    <t>mail@nip-glyfad.fok.sch.gr</t>
  </si>
  <si>
    <t>ΔΩΡΙΔΟΣ/ΦΩΚΙΔΑΣ</t>
  </si>
  <si>
    <t>ΔΙΑΚΟΠΙΟΥ</t>
  </si>
  <si>
    <t>ΔΗΜΟΤΙΚΟ ΣΧΟΛΕΙΟ ΔΙΑΚΟΠΙΟΥ</t>
  </si>
  <si>
    <t>mail@dim-diakop.fok.sch.gr</t>
  </si>
  <si>
    <t>ΔΙΑΚΟΠΙ</t>
  </si>
  <si>
    <t>ΔΙΑΚΟΠΙ ΦΩΚΙΔΑΣ</t>
  </si>
  <si>
    <t>2ο  ΔΗΜΟΤΙΚΟ ΣΧΟΛΕΙΟ ΑΜΦΙΣΣΑΣ</t>
  </si>
  <si>
    <t>mail@2dim-amfiss.fok.sch.gr</t>
  </si>
  <si>
    <t>ΠΑΝΟΥΡΓΙΑ 27</t>
  </si>
  <si>
    <t>ΕΙΔΙΚΟ ΔΗΜΟΤΙΚΟ ΣΧΟΛΕΙΟ ΑΜΦΙΣΣΑΣ</t>
  </si>
  <si>
    <t>mail@dim-eid-amfiss.fok.sch.gr</t>
  </si>
  <si>
    <t>ΛΙΑΝΟΥΛΟΠΟΥΛΟΥ  ΚΑΙ ΓΙΔΟΓΙΑΝΝΟΥ</t>
  </si>
  <si>
    <t>ΔΗΜΟΤΙΚΟ ΣΧΟΛΕΙΟ ΓΛΥΦΑΔΑΣ</t>
  </si>
  <si>
    <t>mail@dim-glyfad.fok.sch.gr</t>
  </si>
  <si>
    <t>ΔΗΜΟΤΙΚΟ ΣΧΟΛΕΙΟ ΚΙΡΡΑΣ</t>
  </si>
  <si>
    <t>mail@dim-kirras.fok.sch.gr</t>
  </si>
  <si>
    <t>ΑΓΙΟΥ ΙΩΑΝΝΟΥ 57</t>
  </si>
  <si>
    <t>ΝΗΠΙΑΓΩΓΕΙΟ ΔΕΛΦΩΝ</t>
  </si>
  <si>
    <t>mail@nip-delfon.fok.sch.gr</t>
  </si>
  <si>
    <t>ΕΙΔΙΚΟ ΝΗΠΙΑΓΩΓΕΙΟ ΑΜΦΙΣΣΑ</t>
  </si>
  <si>
    <t>mail@nip-eid-amfiss.fok.sch.gr</t>
  </si>
  <si>
    <t>ΣΙΒΙΤΑΝΙΔΕΙΟΣ ΔΗΜΟΣΙΑ ΣΧΟΛΗ ΤΕΧΝΩΝ ΚΑΙ ΕΠΑΓΓΕΛΜΑΤΩΝ</t>
  </si>
  <si>
    <t>1ο ΗΜΕΡΗΣΙΟ ΕΠΑΛ ΣΙΒΙΤΑΝΙΔΕΙΟΥ - ΒΑΣΙΛΕΙΟΣ ΣΙΒΙΤΑΝΙΔΗΣ</t>
  </si>
  <si>
    <t>1epal@sivitanidios.edu.gr</t>
  </si>
  <si>
    <t>ΘΕΣΣΑΛΟΝΙΚΗΣ 151</t>
  </si>
  <si>
    <t>ΘΕΣΣΑΛΟΝΙΚΗΣ  151</t>
  </si>
  <si>
    <t>2ο ΗΜΕΡΗΣΙΟ ΕΠΑΛ ΣΙΒΙΤΑΝΙΔΕΙΟΥ - ΛΟΥΪΖΟΣ ΣΙΒΙΤΑΝΙΔΗΣ</t>
  </si>
  <si>
    <t>2epal@sivitanidios.edu.gr</t>
  </si>
  <si>
    <t>3ο ΗΜΕΡΗΣΙΟ ΕΠΑΛ ΣΙΒΙΤΑΝΙΔΕΙΟΥ - ΚΩΝΣΤΑΝΤΙΝΟΣ ΚΑΡΑΘΕΟΔΩΡΗ</t>
  </si>
  <si>
    <t>mail@3epal-sivit.att.sch.gr</t>
  </si>
  <si>
    <t>4ο ΗΜΕΡΗΣΙΟ ΕΠΑΛ ΣΙΒΙΤΑΝΙΔΕΙΟΥ - ΑΝΑΡΓΥΡΟΣ ΗΛΙΑΔΗΣ</t>
  </si>
  <si>
    <t>4epal@sivitanidios.edu.gr</t>
  </si>
  <si>
    <t>ΕΚ ΣΙΒΙΤΑΝΙΔΕΙΟΥ</t>
  </si>
  <si>
    <t>ek@sivitanidios.edu.gr</t>
  </si>
  <si>
    <t>ΓΕΝΙΚΗ ΓΡΑΜΜΑΤΕΙΑ ΘΡΗΣΚΕΥΜΑΤΩΝ</t>
  </si>
  <si>
    <t>ΔΙΕΥΘΥΝΣΗ ΘΡΗΣΚΕΥΤΙΚΗΣ ΕΚΠΑΙΔΕΥΣΗΣ και ΔΙΑΘΡΗΣΚΕΥΤΙΚΩΝ ΣΧΕΣΕΩΝ</t>
  </si>
  <si>
    <t>ΝΕΓΡΑΔΩΝ</t>
  </si>
  <si>
    <t>Εκκλησιαστικό Γενικό Λύκειο</t>
  </si>
  <si>
    <t>ΓΕΝΙΚΟ ΕΚΚΛΗΣΙΑΣΤΙΚΟ ΛΥΚΕΙΟ ΒΕΛΛΑΣ ΙΩΑΝΝΙΝΩΝ</t>
  </si>
  <si>
    <t>mail@lyk-ekkl-vellas.ioa.sch.gr</t>
  </si>
  <si>
    <t>Βελλά</t>
  </si>
  <si>
    <t>Ιερά Μονή - Σχολή Βελλάς Ιωαννίνων</t>
  </si>
  <si>
    <t>Γενικό Εκκλησιαστικό Λύκειο - Γυμνάσιο</t>
  </si>
  <si>
    <t>ΕΚΚΛΗΣΙΑΣΤΙΚΟ ΓΥΜΝΑΣΙΟ-ΓΕΝΙΚΟ ΕΚΚΛΗΣΙΑΣΤΙΚΟ ΛΥΚΕΙΟ ΦΛΩΡΙΝΑΣ</t>
  </si>
  <si>
    <t>mail@lyk-ekkl-florin.flo.sch.gr</t>
  </si>
  <si>
    <t>ΕΚΚΛΗΣΙΑΣΤΙΚΟ ΓΕΝΙΚΟ ΛΥΚΕΙΟ ΠΑΤΡΩΝ</t>
  </si>
  <si>
    <t>lykekklpatron@sch.gr</t>
  </si>
  <si>
    <t>ΠΑΤΡΩΝ - ΠΥΡΓΟΥ  85</t>
  </si>
  <si>
    <t>ΓΕΝΙΚΟ ΕΚΚΛΗΣΙΑΣΤΙΚΟ ΛΥΚΕΙΟ - ΕΚΚΛΗΣΙΑΣΤΙΚΟ ΓΥΜΝΑΣΙΟ ΞΑΝΘΗΣ " ΑΓΙΟΙ ΠΕΝΤΕ ΝΕΟΜΑΡΤΥΡΕΣ ΟΙ ΕΚ ΣΑΜΟΘΡΑΚΗΣ "</t>
  </si>
  <si>
    <t>mail@gym-ekkl-xanth.xan.sch.gr</t>
  </si>
  <si>
    <t>ΙΕΡΑ ΜΟΝΗ ΤΑΞΙΑΡΧΩΝ</t>
  </si>
  <si>
    <t>ΓΕΝΙΚΟ ΕΚΚΛΗΣΙΑΣΤΙΚΟ ΛΥΚΕΙΟ-ΓΥΜΝΑΣΙΟ ΤΗΣ ΠΑΤΜΙΑΔΟΣ ΕΚΚΛΗΣΙΑΣΤΙΚΗΣ ΣΧΟΛΗΣ</t>
  </si>
  <si>
    <t>lykekklp@sch.gr</t>
  </si>
  <si>
    <t>ΓΕΝΙΚΟ ΕΚΚΛΗΣΙΑΣΤΙΚΟ ΛΥΚΕΙΟ ΡΙΖΑΡΕΙΟΥ ΣΧΟΛΗΣ</t>
  </si>
  <si>
    <t>mail@lyk-rizar.att.sch.gr</t>
  </si>
  <si>
    <t>ΡΙΖΑΡΕΙΟΥ 1</t>
  </si>
  <si>
    <t>ΓΕΝΙΚΟ ΕΚΚΛΗΣΙΑΣΤΙΚΟ ΛΥΚΕΙΟ-ΓΥΜΝΑΣΙΟ ΑΘΩΝΙΑΔΟΣ ΕΚΚΛΗΣΙΑΣΤΙΚΗΣ ΑΚΑΔΗΜΙΑΣ</t>
  </si>
  <si>
    <t>Athoniada@sch.gr</t>
  </si>
  <si>
    <t>ΑΘΩΝΙΑΔA</t>
  </si>
  <si>
    <t>ΑΓΙΟΝ ΟΡΟΣ ΚΑΡΥΕΣ</t>
  </si>
  <si>
    <t>ΠΑΤΡΙΑΡΧΙΚΗ ΕΚΚΛΗΣΙΑΣΤΙΚΗ ΣΧΟΛΗ ΚΡΗΤΗΣ/ ΓΕΝΙΚΟ ΕΚΚΛΗΣΙΑΣΤΙΚΟ ΛΥΚΕΙΟ-ΓΥΜΝΑΣΙΟ ΧΑΝΙΩΝ</t>
  </si>
  <si>
    <t>mail@gym-ekkl-chanion.chan.sch.gr</t>
  </si>
  <si>
    <t>ΓΕΝΙΚΟ ΕΚΚΛΗΣΙΑΣΤΙΚΟ ΛΥΚΕΙΟ - ΓΥΜΝΑΣΙΟ ΝΕΑΠΟΛΗΣ «ΑΓΙΟΣ ΓΕΩΡΓΙΟΣ Ο ΝΕΑΠΟΛΙΤΗΣ»</t>
  </si>
  <si>
    <t>mail@lyk-ekkl-neapol.thess.sch.gr</t>
  </si>
  <si>
    <t>ΝΙΚΟΛΑΟΥ ΚΑΠΑΤΟΥ 6</t>
  </si>
  <si>
    <t>ΓΕΝΙΚΟ ΕΚΚΛΗΣΙΑΣΤΙΚΟ ΛΥΚΕΙΟ-ΓΥΜΝΑΣΙΟ  ΛΑΜΙΑΣ</t>
  </si>
  <si>
    <t>mail@lyk-ekkl-lamias.fth.sch.gr</t>
  </si>
  <si>
    <t>ΣΙΝΩΠΗΣ 1 ΝΕΑ ΜΑΓΝΗΣΙΑ</t>
  </si>
  <si>
    <t>ΔΙΠΟΔΕ</t>
  </si>
  <si>
    <t>Συντονιστικό γραφείο ΒΕΡΟΛΙΝΟΥ</t>
  </si>
  <si>
    <t>Ελληνικό Λύκειο Εξωτερικού</t>
  </si>
  <si>
    <t>ΕΛΛΗΝΙΚΟ ΛΥΚΕΙΟ ΑΝΟΒΕΡΟΥ</t>
  </si>
  <si>
    <t>Συντονιστικό γραφείο ΒΡΥΞΕΛΛΩΝ</t>
  </si>
  <si>
    <t>Ελληνικό Δημοτικό Εξωτερικού</t>
  </si>
  <si>
    <t>ΕΛΛΗΝΙΚΟ ΔΗΜΟΤΙΚΟ ΣΧΟΛΕΙΟ ΒΡΥΞΕΛΛΩΝ</t>
  </si>
  <si>
    <t>ΕΛΛΗΝΙΚΟ ΔΗΜΟΤΙΚΟ ΣΧΟΛΕΙΟ (ΝΑΤΟ) ΝΕΑΠΟΛΕΩΣ ΙΤΑΛΙΑΣ</t>
  </si>
  <si>
    <t>Ελληνικό Νηπιαγωγείο Εξωτερικού</t>
  </si>
  <si>
    <t>ΕΛΛΗΝΙΚΟ ΝΗΠΙΑΓΩΓΕΙΟ ΒΡΥΞΕΛΛΩΝ</t>
  </si>
  <si>
    <t>Ελληνικό Γυμνάσιο-Λύκειο Εξωτερικού</t>
  </si>
  <si>
    <t>ΕΛΛΗΝΙΚΟ ΓΥΜΝΑΣΙΟ - ΛΥΚΕΙΟ ΒΡΥΞΕΛΛΩΝ</t>
  </si>
  <si>
    <t>Συντονιστικό γραφείο ΓΙΟΧΑΝΕΣΜΠΟΥΡΓΚ</t>
  </si>
  <si>
    <t>ΖΕΚΕΙΟΣ ΔΗΜΟΤΙΚΗ ΣΧΟΛΗ</t>
  </si>
  <si>
    <t>ΕΛΛΗΝΙΚΟ ΔΗΜΟΤΙΚΟ ΚΟΙΝΟΤΗΤΑΣ ΚΙΝΣΑΣΑΣ</t>
  </si>
  <si>
    <t>ΔΗΜΟΤΙΚΟ ΣΧΟΛΕΙΟ ΛΟΥΜΠΟΥΜΠΑΣΙ</t>
  </si>
  <si>
    <t>ΕΛΛΗΝΙΚΟ ΝΗΠΙΑΓΩΓΕΙΟ ΚΟΙΝΟΤΗΤΑΣ ΚΙΝΣΑΣΑΣ</t>
  </si>
  <si>
    <t>ΝΗΠΙΑΓΩΓΕΙΟ ΛΟΥΜΠΟΥΜΠΑΣΙ</t>
  </si>
  <si>
    <t>ΜΙΧΕΙΟ ΓΥΜΝΑΣΙΟ - ΛΥΚΕΙΟ</t>
  </si>
  <si>
    <t>ΕΛΛΗΝΙΚΟ ΓΥΜΝΑΣΙΟ - ΛΥΚΕΙΟ ΚΟΙΝΟΤΗΤΑΣ ΚΙΝΣΑΣΑΣ</t>
  </si>
  <si>
    <t>ΓΥΜΝΑΣΙΟ - ΛΥΚΕΙΟ ΛΟΥΜΠΟΥΜΠΑΣΙ</t>
  </si>
  <si>
    <t>Συντονιστικό γραφείο ΚΑΪΡΟΥ</t>
  </si>
  <si>
    <t>ΑΧΙΛΛΟΠΟΥΛΕΙΟΣ ΣΧΟΛΗ ΚΑΪΡΟΥ</t>
  </si>
  <si>
    <t>00202-2415988</t>
  </si>
  <si>
    <t>achillopouleio@hotmail.com</t>
  </si>
  <si>
    <t xml:space="preserve"> OSMAN IBN AFFAN STR HELIOPOLIS CAIRO EGYPT 22A</t>
  </si>
  <si>
    <t>ΤΟΣΙΤΣΑΙΟ-ΠΡΑΤΣΙΚΕΙΟ ΔΗΜΟΤΙΚΟ ΣΧΟΛΕΙΟ ΑΛΕΞΑΝΔΡΕΙΑΣ</t>
  </si>
  <si>
    <t>ΑΒΕΡΩΦΕΙΟ ΓΥΜΝΑΣΙΟ-ΛΥΚΕΙΟ ΑΛΕΞΑΝΔΡΕΙΑΣ</t>
  </si>
  <si>
    <t>ΑΜΠΕΤΕΙΟΣ ΣΧΟΛΗ ΚΑΪΡΟΥ (ΓΥΜΝΑΣΙΟ - ΛΥΚΕΙΟ)</t>
  </si>
  <si>
    <t>ΓΥΜΝΑΣΙΟ - ΛΥΚΕΙΟ ΙΕΡΟΥ ΚΟΙΝΟΥ ΤΟΥ ΠΑΝΑΓΙΟΥ ΤΑΦΟΥ</t>
  </si>
  <si>
    <t>Συντονιστικό γραφείο ΛΟΝΔΙΝΟΥ</t>
  </si>
  <si>
    <t>ΕΛΛΗΝΙΚΟ ΔΗΜΟΤΙΚΟ ΣΧΟΛΕΙΟ ΛΟΝΔΙΝΟΥ</t>
  </si>
  <si>
    <t>ΕΛΛΗΝΙΚΟ ΝΗΠΙΑΓΩΓΕΙΟ ΛΟΝΔΙΝΟΥ</t>
  </si>
  <si>
    <t>ΕΛΛΗΝΙΚΟ ΓΥΜΝΑΣΙΟ - ΛΥΚΕΙΟ ΛΟΝΔΙΝΟΥ</t>
  </si>
  <si>
    <t>Συντονιστικό γραφείο ΜΑΡΙΟΥΠΟΛΗΣ</t>
  </si>
  <si>
    <t>ΕΛΛΗΝΙΚΟ ΔΗΜΟΤΙΚΟ ΣΧΟΛΕΙΟ "ΑΘΗΝΑ" ΒΟΥΚΟΥΡΕΣΤΙΟΥ</t>
  </si>
  <si>
    <t>ΕΛΛΗΝΙΚΟ ΝΗΠΙΑΓΩΓΕΙΟ "ΑΘΗΝΑ" ΒΟΥΚΟΥΡΕΣΤΙΟΥ</t>
  </si>
  <si>
    <t>ΕΛΛΗΝΙΚΟ ΓΥΜΝΑΣΙΟ - ΛΥΚΕΙΟ "ΑΘΗΝΑ" ΒΟΥΚΟΥΡΕΣΤΙΟΥ</t>
  </si>
  <si>
    <t>Συντονιστικό γραφείο ΜΟΝΑΧΟΥ</t>
  </si>
  <si>
    <t>1ο ΔΗΜΟΤΙΚΟ ΣΧΟΛΕΙΟ ΜΟΝΑΧΟΥ</t>
  </si>
  <si>
    <t>2ο ΔΗΜΟΤΙΚΟ ΣΧΟΛΕΙΟ ΜΟΝΑΧΟΥ</t>
  </si>
  <si>
    <t>4ο ΔΗΜΟΤΙΚΟ ΣΧΟΛΕΙΟ ΜΟΝΑΧΟΥ</t>
  </si>
  <si>
    <t>5ο ΔΗΜΟΤΙΚΟ ΣΧΟΛΕΙΟ ΜΟΝΑΧΟΥ</t>
  </si>
  <si>
    <t>1ο ΔΗΜΟΤΙΚΟ ΣΧΟΛΕΙΟ ΝΥΡΕΜΒΕΡΓΗΣ</t>
  </si>
  <si>
    <t>2ο ΔΗΜΟΤΙΚΟ ΣΧΟΛΕΙΟ ΝΥΡΕΜΒΕΡΓΗΣ</t>
  </si>
  <si>
    <t>Ελληνικό Γυμνάσιο Εξωτερικού</t>
  </si>
  <si>
    <t>1ο ΓΥΜΝΑΣΙΟ ΜΟΝΑΧΟΥ</t>
  </si>
  <si>
    <t>2ο ΓΥΜΝΑΣΙΟ ΜΟΝΑΧΟΥ</t>
  </si>
  <si>
    <t>ΓΥΜΝΑΣΙΟ ΝΥΡΕΜΒΕΡΓΗΣ</t>
  </si>
  <si>
    <t>ΓΕΛ ΜΟΝΑΧΟΥ</t>
  </si>
  <si>
    <t>ΓΕΛ ΝΥΡΕΜΒΕΡΓΗΣ</t>
  </si>
  <si>
    <t>Συντονιστικό γραφείο ΝΤΥΣΕΛΝΤΟΡΦ</t>
  </si>
  <si>
    <t>ΔΗΜΟΤΙΚΟ ΣΧΟΛΕΙΟ ΜΠΙΛΕΦΕΛΝΤ</t>
  </si>
  <si>
    <t>ΔΗΜΟΤΙΚΟ ΣΧΟΛΕΙΟ ΝΤΟΡΤΜΟΥΝΤ</t>
  </si>
  <si>
    <t>ΔΗΜΟΤΙΚΟ ΣΧΟΛΕΙΟ ΝΤΥΣΕΛΝΤΟΡΦ</t>
  </si>
  <si>
    <t>ΔΗΜΟΤΙΚΟ ΣΧΟΛΕΙΟ ΒΟΥΠΕΡΤΑΛ</t>
  </si>
  <si>
    <t>ΓΥΜΝΑΣΙΟ - ΛΥΚΕΙΟ ΜΠΙΛΕΦΕΛΝΤ</t>
  </si>
  <si>
    <t>ΓΥΜΝΑΣΙΟ - ΛΥΚΕΙΟ ΚΟΛΩΝΙΑΣ</t>
  </si>
  <si>
    <t>ΓΥΜΝΑΣΙΟ - ΛΥΚΕΙΟ ΝΤΟΡΤΜΟΥΝΤ</t>
  </si>
  <si>
    <t>ΓΥΜΝΑΣΙΟ - ΛΥΚΕΙΟ ΝΤΥΣΕΛΝΤΟΡΦ</t>
  </si>
  <si>
    <t>ΓΥΜΝΑΣΙΟ - ΛΥΚΕΙΟ ΒΟΥΠΕΡΤΑΛ</t>
  </si>
  <si>
    <t>Συντονιστικό γραφείο ΣΤΟΥΤΓΚΑΡΔΗΣ</t>
  </si>
  <si>
    <t>ΔΗΜΟΤΙΚΟ ΣΧΟΛΕΙΟ ΦΡΑΝΚΦΟΥΡΤΗΣ</t>
  </si>
  <si>
    <t>ΓΕΛ ΣΤΟΥΤΓΑΡΔΗΣ</t>
  </si>
  <si>
    <t>ΓΥΜΝΑΣΙΟ - ΛΥΚΕΙΟ ΦΡΑΝΚΦΟΥΡΤΗΣ</t>
  </si>
  <si>
    <t>65110</t>
  </si>
  <si>
    <t>47100</t>
  </si>
  <si>
    <t>29100</t>
  </si>
  <si>
    <t>28100</t>
  </si>
  <si>
    <t>22132</t>
  </si>
  <si>
    <t>ΑΝΔΡΕΑ ΠΑΠΑΝΔΡΕΟΥ 37</t>
  </si>
  <si>
    <t>15180</t>
  </si>
  <si>
    <t>9905301</t>
  </si>
  <si>
    <t>2131600827</t>
  </si>
  <si>
    <t>2131600847</t>
  </si>
  <si>
    <t>mail@dipe-dytik.att.sch.gr</t>
  </si>
  <si>
    <t>ΕΛΕΥΘΕΡΙΟΥ ΒΕΝΙΖΕΛΟΥ 82</t>
  </si>
  <si>
    <t>19200</t>
  </si>
  <si>
    <t>11521</t>
  </si>
  <si>
    <t>9929101</t>
  </si>
  <si>
    <t>2281082226</t>
  </si>
  <si>
    <t>2281079229</t>
  </si>
  <si>
    <t>mail@dipe.kyk.sch.gr</t>
  </si>
  <si>
    <t>Ι. ΛΑΥΡΕΝΤΙΟΥ-ΡΑΛΛΗ 6</t>
  </si>
  <si>
    <t>84100</t>
  </si>
  <si>
    <t>diekek</t>
  </si>
  <si>
    <t>2103442172</t>
  </si>
  <si>
    <t>2103442365</t>
  </si>
  <si>
    <t>deektha@minedu.gov.gr</t>
  </si>
  <si>
    <t>2800105</t>
  </si>
  <si>
    <t>2741077000</t>
  </si>
  <si>
    <t>2741077021</t>
  </si>
  <si>
    <t>mail@dide.kor.sch.gr</t>
  </si>
  <si>
    <t>ΝΟΤΑΡΑ 123</t>
  </si>
  <si>
    <t>20100</t>
  </si>
  <si>
    <t>0500305</t>
  </si>
  <si>
    <t>2105549321</t>
  </si>
  <si>
    <t>2105549406</t>
  </si>
  <si>
    <t>mail@dide-dytik.att.sch.gr</t>
  </si>
  <si>
    <t>0900115</t>
  </si>
  <si>
    <t>2521351225</t>
  </si>
  <si>
    <t>2521351293</t>
  </si>
  <si>
    <t>mail@dide.dra.sch.gr</t>
  </si>
  <si>
    <t>ΔΙΟΙΚΗΤΗΡΙΟ ΔΡΑΜΑΣ</t>
  </si>
  <si>
    <t>66133</t>
  </si>
  <si>
    <t>9999905</t>
  </si>
  <si>
    <t>2410539210</t>
  </si>
  <si>
    <t>2410538611</t>
  </si>
  <si>
    <t>mail@thess.pde.sch.gr</t>
  </si>
  <si>
    <t>ΜΑΝΔΗΛΑΡΑ 23</t>
  </si>
  <si>
    <t>41222</t>
  </si>
  <si>
    <t>1900145</t>
  </si>
  <si>
    <t>2310605703</t>
  </si>
  <si>
    <t>2310640265</t>
  </si>
  <si>
    <t>mail@dide-v.thess.sch.gr</t>
  </si>
  <si>
    <t>56430</t>
  </si>
  <si>
    <t>4400105</t>
  </si>
  <si>
    <t>2321047532</t>
  </si>
  <si>
    <t>2321047531</t>
  </si>
  <si>
    <t>mail@dide.ser.sch.gr</t>
  </si>
  <si>
    <t>62110</t>
  </si>
  <si>
    <t>9999909</t>
  </si>
  <si>
    <t>2651083891</t>
  </si>
  <si>
    <t>2651075605</t>
  </si>
  <si>
    <t>mail@ipeir.pde.sch.gr</t>
  </si>
  <si>
    <t>ΑΝΕΞΑΡΤΗΣΙΑΣ 146</t>
  </si>
  <si>
    <t>45444</t>
  </si>
  <si>
    <t>5000105</t>
  </si>
  <si>
    <t>2821047144</t>
  </si>
  <si>
    <t>2821047137</t>
  </si>
  <si>
    <t>mail@dide.chan.sch.gr</t>
  </si>
  <si>
    <t>ΓΚΕΡΟΛΑ 48 Β</t>
  </si>
  <si>
    <t>73132</t>
  </si>
  <si>
    <t>0400115</t>
  </si>
  <si>
    <t>2681028566</t>
  </si>
  <si>
    <t>2681027415</t>
  </si>
  <si>
    <t>mail@dide.art.sch.gr</t>
  </si>
  <si>
    <t>ΤΑΓΜΑΤΑΡΧΗ ΠΑΠΑΚΩΣΤΑ 6</t>
  </si>
  <si>
    <t>47132</t>
  </si>
  <si>
    <t>3800105</t>
  </si>
  <si>
    <t>2381351413</t>
  </si>
  <si>
    <t>2381026414</t>
  </si>
  <si>
    <t>mail@dide.pel.sch.gr</t>
  </si>
  <si>
    <t>58200</t>
  </si>
  <si>
    <t>0500205</t>
  </si>
  <si>
    <t>2103576001</t>
  </si>
  <si>
    <t>2103576093</t>
  </si>
  <si>
    <t>mail@dide-anatol.att.sch.gr</t>
  </si>
  <si>
    <t>ΗΡΩΩΝ ΠΟΛΥΤΕΧΝΕΙΟΥ 9-11</t>
  </si>
  <si>
    <t>15344</t>
  </si>
  <si>
    <t>0200115</t>
  </si>
  <si>
    <t>2752027294</t>
  </si>
  <si>
    <t>2752099213</t>
  </si>
  <si>
    <t>mail@dide.arg.sch.gr</t>
  </si>
  <si>
    <t>ΑΜΥΜΩΝΗΣ 7</t>
  </si>
  <si>
    <t>21100</t>
  </si>
  <si>
    <t>4800115</t>
  </si>
  <si>
    <t>2265028524</t>
  </si>
  <si>
    <t>2265028338</t>
  </si>
  <si>
    <t>mail@dide.fok.sch.gr</t>
  </si>
  <si>
    <t>Ι. ΓΙΔΟΓΙΑΝΝΟΥ 31</t>
  </si>
  <si>
    <t>33100</t>
  </si>
  <si>
    <t>1800115</t>
  </si>
  <si>
    <t>2665024562</t>
  </si>
  <si>
    <t>2665023777</t>
  </si>
  <si>
    <t>mail@dide.thesp.sch.gr</t>
  </si>
  <si>
    <t>ΕΥΡΟΙΑΣ 1</t>
  </si>
  <si>
    <t>46100</t>
  </si>
  <si>
    <t>4900115</t>
  </si>
  <si>
    <t>2371022134</t>
  </si>
  <si>
    <t>2371022600</t>
  </si>
  <si>
    <t>mail@dide.chal.sch.gr</t>
  </si>
  <si>
    <t>22ας Απριλίου &amp; Μακεδονίας</t>
  </si>
  <si>
    <t>63100</t>
  </si>
  <si>
    <t>4500105</t>
  </si>
  <si>
    <t>2431046455</t>
  </si>
  <si>
    <t>2431046470</t>
  </si>
  <si>
    <t>mail@dide.tri.sch.gr</t>
  </si>
  <si>
    <t>ΜΑΡΚΟΥ ΜΠΟΤΣΑΡΗ 2</t>
  </si>
  <si>
    <t>42100</t>
  </si>
  <si>
    <t>1900105</t>
  </si>
  <si>
    <t>2310503901</t>
  </si>
  <si>
    <t>2310503705</t>
  </si>
  <si>
    <t>mail@dide-a.thess.sch.gr</t>
  </si>
  <si>
    <t>ΣΑΠΦΟΥΣ 44</t>
  </si>
  <si>
    <t>54627</t>
  </si>
  <si>
    <t>2000105</t>
  </si>
  <si>
    <t>2651035788</t>
  </si>
  <si>
    <t>2651026297</t>
  </si>
  <si>
    <t>mail@dide.ioa.sch.gr</t>
  </si>
  <si>
    <t>Ανεξαρτησίας 146Α &amp; Φιλικής Εταιρείας</t>
  </si>
  <si>
    <t>2900105</t>
  </si>
  <si>
    <t>2281088019</t>
  </si>
  <si>
    <t>2281088376</t>
  </si>
  <si>
    <t>mail@dide.kyk.sch.gr</t>
  </si>
  <si>
    <t>1200105</t>
  </si>
  <si>
    <t>2221352934</t>
  </si>
  <si>
    <t>2221075235</t>
  </si>
  <si>
    <t>mail@dide.eyv.sch.gr</t>
  </si>
  <si>
    <t>ΚΡΙΕΖΗ 16</t>
  </si>
  <si>
    <t>34100</t>
  </si>
  <si>
    <t>0500108</t>
  </si>
  <si>
    <t>2131617344</t>
  </si>
  <si>
    <t>2131617360</t>
  </si>
  <si>
    <t>mail@dide-d-ath.att.sch.gr</t>
  </si>
  <si>
    <t>Λεωφόρος Συγγρού 165</t>
  </si>
  <si>
    <t>17121</t>
  </si>
  <si>
    <t>0500105</t>
  </si>
  <si>
    <t>2105236837</t>
  </si>
  <si>
    <t>2105248948</t>
  </si>
  <si>
    <t>mail@dide-a-ath.att.sch.gr</t>
  </si>
  <si>
    <t>10438</t>
  </si>
  <si>
    <t>4600105</t>
  </si>
  <si>
    <t>2231352840</t>
  </si>
  <si>
    <t>2231352815</t>
  </si>
  <si>
    <t>mail@dide.fth.sch.gr</t>
  </si>
  <si>
    <t>ΚΥΠΡΟΥ 85</t>
  </si>
  <si>
    <t>35100</t>
  </si>
  <si>
    <t>1300115</t>
  </si>
  <si>
    <t>2237080245</t>
  </si>
  <si>
    <t>2237080247</t>
  </si>
  <si>
    <t>mail@dide.eyr.sch.gr</t>
  </si>
  <si>
    <t>ΚΤΗΡΙΟ ΟΑΕΔ, ΠΡΟΦΗΤΗΣ ΗΛΙΑΣ</t>
  </si>
  <si>
    <t>36100</t>
  </si>
  <si>
    <t>2100105</t>
  </si>
  <si>
    <t>2513503530</t>
  </si>
  <si>
    <t>2513503502</t>
  </si>
  <si>
    <t>mail@dide.kav.sch.gr</t>
  </si>
  <si>
    <t>ΕΘΝΙΚΗΣ ΑΝΤΙΣΤΑΣΗΣ 20</t>
  </si>
  <si>
    <t>0500106</t>
  </si>
  <si>
    <t>2106399915</t>
  </si>
  <si>
    <t>2106000870</t>
  </si>
  <si>
    <t>mail@dide-v-ath.att.sch.gr</t>
  </si>
  <si>
    <t>ΜΕΣΟΓΕΙΩΝ 324</t>
  </si>
  <si>
    <t>15341</t>
  </si>
  <si>
    <t>5100115</t>
  </si>
  <si>
    <t>2271044816</t>
  </si>
  <si>
    <t>2271044228</t>
  </si>
  <si>
    <t>mail@dide.chi.sch.gr</t>
  </si>
  <si>
    <t>CHIOS</t>
  </si>
  <si>
    <t>KAΛΟΥΤΑ   2</t>
  </si>
  <si>
    <t>82131</t>
  </si>
  <si>
    <t>9999907</t>
  </si>
  <si>
    <t>2461049963</t>
  </si>
  <si>
    <t>2461049962</t>
  </si>
  <si>
    <t>mail@dmaked.pde.sch.gr</t>
  </si>
  <si>
    <t>ΜΑΚΡΥΓΙΑΝΝΗ 5</t>
  </si>
  <si>
    <t>50100</t>
  </si>
  <si>
    <t>3000115</t>
  </si>
  <si>
    <t>2731363481</t>
  </si>
  <si>
    <t>2731363477</t>
  </si>
  <si>
    <t>mail@dide.lak.sch.gr</t>
  </si>
  <si>
    <t>2ο ΧΜ ΕΠΑΡΧΙΑΚΗΣ ΟΔΟΥ ΣΠΑΡΤΗΣ-ΓΥΘΕΙΟΥ</t>
  </si>
  <si>
    <t>23100</t>
  </si>
  <si>
    <t>3500105</t>
  </si>
  <si>
    <t>2421047386</t>
  </si>
  <si>
    <t>2421050364</t>
  </si>
  <si>
    <t>mail@dide.mag.sch.gr</t>
  </si>
  <si>
    <t>ΕΠΤΑ ΠΛΑΤΑΝΙΩΝ 16</t>
  </si>
  <si>
    <t>38333</t>
  </si>
  <si>
    <t>0500107</t>
  </si>
  <si>
    <t>2144040220</t>
  </si>
  <si>
    <t>2144040239</t>
  </si>
  <si>
    <t>protokollo@cdseda.att.sch.gr</t>
  </si>
  <si>
    <t>ΑΡΚΑΔΙΑΣ 22</t>
  </si>
  <si>
    <t>12132</t>
  </si>
  <si>
    <t>3400115</t>
  </si>
  <si>
    <t>2645362215</t>
  </si>
  <si>
    <t>2645362208</t>
  </si>
  <si>
    <t>mail@dide.lef.sch.gr</t>
  </si>
  <si>
    <t>ΚΑΡΑΒΕΛΑ 11</t>
  </si>
  <si>
    <t>31100</t>
  </si>
  <si>
    <t>3900105</t>
  </si>
  <si>
    <t>2351049900</t>
  </si>
  <si>
    <t>2351049910</t>
  </si>
  <si>
    <t>mail@dide.pie.sch.gr</t>
  </si>
  <si>
    <t>ΚΩΝ. ΚΑΡΥΩΤΑΚΗ 2</t>
  </si>
  <si>
    <t>60132</t>
  </si>
  <si>
    <t>5200105</t>
  </si>
  <si>
    <t>2104173940</t>
  </si>
  <si>
    <t>2104179780</t>
  </si>
  <si>
    <t>mail@dide-peiraia.att.sch.gr</t>
  </si>
  <si>
    <t>ΕΛ. ΒΕΝΙΖΕΛΟΥ 35</t>
  </si>
  <si>
    <t>18532</t>
  </si>
  <si>
    <t>9999910</t>
  </si>
  <si>
    <t>2810302440</t>
  </si>
  <si>
    <t>2810301103</t>
  </si>
  <si>
    <t>mail@kritis.pde.sch.gr</t>
  </si>
  <si>
    <t>ΚΝΩΣΟΥ 6</t>
  </si>
  <si>
    <t>71306</t>
  </si>
  <si>
    <t>3300115</t>
  </si>
  <si>
    <t>2251048240</t>
  </si>
  <si>
    <t>2251046112</t>
  </si>
  <si>
    <t>mail@dide.les.sch.gr</t>
  </si>
  <si>
    <t>81100</t>
  </si>
  <si>
    <t>1400115</t>
  </si>
  <si>
    <t>2695044981</t>
  </si>
  <si>
    <t>2695044552</t>
  </si>
  <si>
    <t>mail@dide.zak.sch.gr</t>
  </si>
  <si>
    <t>ΦΙΛΙΚΩΝ 1</t>
  </si>
  <si>
    <t>9999901</t>
  </si>
  <si>
    <t>2106450204</t>
  </si>
  <si>
    <t>2106450609</t>
  </si>
  <si>
    <t>mail@attik.pde.sch.gr</t>
  </si>
  <si>
    <t>ΑΝΑΣΤΑΣΙΟΥ ΤΣΟΧΑ 15-17</t>
  </si>
  <si>
    <t>52100</t>
  </si>
  <si>
    <t>0100105</t>
  </si>
  <si>
    <t>2631050042</t>
  </si>
  <si>
    <t>2631024895</t>
  </si>
  <si>
    <t>mail@dide.ait.sch.gr</t>
  </si>
  <si>
    <t>ΚΥΠΡΟΥ 20</t>
  </si>
  <si>
    <t>30200</t>
  </si>
  <si>
    <t>1000105</t>
  </si>
  <si>
    <t>2241364826</t>
  </si>
  <si>
    <t>2241364827</t>
  </si>
  <si>
    <t>mail@dide.dod.sch.gr</t>
  </si>
  <si>
    <t>Γ. ΜΑΥΡΟΥ 2</t>
  </si>
  <si>
    <t>85100</t>
  </si>
  <si>
    <t>4700115</t>
  </si>
  <si>
    <t>2385054574</t>
  </si>
  <si>
    <t>2385054578</t>
  </si>
  <si>
    <t>mail@dide.flo.sch.gr</t>
  </si>
  <si>
    <t>ΔΙΟΙΚΗΤΗΡΙΟ</t>
  </si>
  <si>
    <t>53100</t>
  </si>
  <si>
    <t>2300115</t>
  </si>
  <si>
    <t>2467055216</t>
  </si>
  <si>
    <t>2467055210</t>
  </si>
  <si>
    <t>mail@dide.kas.sch.gr</t>
  </si>
  <si>
    <t>ΚΑΡΑΟΛΗ 10</t>
  </si>
  <si>
    <t>3700115</t>
  </si>
  <si>
    <t>2541350293</t>
  </si>
  <si>
    <t>2541022860</t>
  </si>
  <si>
    <t>mail@dide.xan.sch.gr</t>
  </si>
  <si>
    <t>67133</t>
  </si>
  <si>
    <t>1500115</t>
  </si>
  <si>
    <t>2621360560</t>
  </si>
  <si>
    <t>2621360563</t>
  </si>
  <si>
    <t>dideilei@sch.gr</t>
  </si>
  <si>
    <t>ΜΑΝΩΛΟΠΟΥΛΟΥ 31 (Διοικητήριο)</t>
  </si>
  <si>
    <t>27131</t>
  </si>
  <si>
    <t>2400115</t>
  </si>
  <si>
    <t>2661048877</t>
  </si>
  <si>
    <t>2661038119</t>
  </si>
  <si>
    <t>mail@dide.ker.sch.gr</t>
  </si>
  <si>
    <t>ΑΛΥΚΕΣ ΠΟΤΑΜΟΥ</t>
  </si>
  <si>
    <t>49100</t>
  </si>
  <si>
    <t>4200115</t>
  </si>
  <si>
    <t>2531084381</t>
  </si>
  <si>
    <t>2531028469</t>
  </si>
  <si>
    <t>mail@dide.rod.sch.gr</t>
  </si>
  <si>
    <t>ΣΤ. ΚΥΡΙΑΚΙΔΗ 91</t>
  </si>
  <si>
    <t>69132</t>
  </si>
  <si>
    <t>3100105</t>
  </si>
  <si>
    <t>2414400002</t>
  </si>
  <si>
    <t>2414400001</t>
  </si>
  <si>
    <t>mail@dide.lar.sch.gr</t>
  </si>
  <si>
    <t>ΤΑΚΗ ΤΣΙΟΓΚΑ 11</t>
  </si>
  <si>
    <t>1100115</t>
  </si>
  <si>
    <t>2551355379</t>
  </si>
  <si>
    <t>2551088987</t>
  </si>
  <si>
    <t>mail@dide.evr.sch.gr</t>
  </si>
  <si>
    <t>ΔΗΜΗΤΡΑΣ 19</t>
  </si>
  <si>
    <t>68132</t>
  </si>
  <si>
    <t>0700105</t>
  </si>
  <si>
    <t>2261350380</t>
  </si>
  <si>
    <t>2261029970</t>
  </si>
  <si>
    <t>mail@dide.voi.sch.gr</t>
  </si>
  <si>
    <t>ΦΙΛΩΝΟΣ 35-39, ΔΙΟΙΚΗΤΗΡΙΟ</t>
  </si>
  <si>
    <t>32100</t>
  </si>
  <si>
    <t>2500115</t>
  </si>
  <si>
    <t>2671027022</t>
  </si>
  <si>
    <t>2671022025</t>
  </si>
  <si>
    <t>mail@dide.kef.sch.gr</t>
  </si>
  <si>
    <t>ΜΟΜΦΕΡΑΤΟΥ &amp; ΑΡΓΟΝΑΥΤΩΝ 1</t>
  </si>
  <si>
    <t>0800115</t>
  </si>
  <si>
    <t>2462353296</t>
  </si>
  <si>
    <t>2462353161</t>
  </si>
  <si>
    <t>mail@dide.gre.sch.gr</t>
  </si>
  <si>
    <t>ΤΕΡΜΑ Κ. ΤΑΛΙΑΔΟΥΡΗ - ΔΙΟΙΚΗΤΗΡΙΟ</t>
  </si>
  <si>
    <t>51100</t>
  </si>
  <si>
    <t>1700105</t>
  </si>
  <si>
    <t>2810333720</t>
  </si>
  <si>
    <t>2810224210</t>
  </si>
  <si>
    <t>mail@dide.ira.sch.gr</t>
  </si>
  <si>
    <t>ΜΟΝΟΦΑΤΣΙΟΥ 8</t>
  </si>
  <si>
    <t>71201</t>
  </si>
  <si>
    <t>4100115</t>
  </si>
  <si>
    <t>2831029397</t>
  </si>
  <si>
    <t>mail@dide.reth.sch.gr</t>
  </si>
  <si>
    <t>ΚΑΛΙΡΡΟΗΣ ΠΑΡΡΕΝ-ΣΙΓΑΝΟΥ 4</t>
  </si>
  <si>
    <t>74100</t>
  </si>
  <si>
    <t>2700105</t>
  </si>
  <si>
    <t>2461351316</t>
  </si>
  <si>
    <t>2461028332</t>
  </si>
  <si>
    <t>mail@dide.koz.sch.gr</t>
  </si>
  <si>
    <t>ΔΗΜΟΚΡΑΤΙΑΣ  27- ΔΙΟΙΚΗΤΗΡΙΟ</t>
  </si>
  <si>
    <t>4000115</t>
  </si>
  <si>
    <t>2682024135</t>
  </si>
  <si>
    <t>2682089792</t>
  </si>
  <si>
    <t>mail@dide.pre.sch.gr</t>
  </si>
  <si>
    <t>ΑΜΥΝΤΑ 9-ΠΕΡΙΟΧΗ ΝΟΣΟΚΟΜΕΙΟΥ</t>
  </si>
  <si>
    <t>48100</t>
  </si>
  <si>
    <t>1600105</t>
  </si>
  <si>
    <t>2331078900</t>
  </si>
  <si>
    <t>2331078912</t>
  </si>
  <si>
    <t>mail@dide.ima.sch.gr</t>
  </si>
  <si>
    <t>ΔΗΜ. ΜΟΥΜΟΓΛΟΥ 1</t>
  </si>
  <si>
    <t>59132</t>
  </si>
  <si>
    <t>20131</t>
  </si>
  <si>
    <t>3200115</t>
  </si>
  <si>
    <t>2841340470</t>
  </si>
  <si>
    <t>2841027228</t>
  </si>
  <si>
    <t>mail@dide.las.sch.gr</t>
  </si>
  <si>
    <t>72100</t>
  </si>
  <si>
    <t>4300115</t>
  </si>
  <si>
    <t>2273021340</t>
  </si>
  <si>
    <t>2273081356</t>
  </si>
  <si>
    <t>mail@dide.sam.sch.gr</t>
  </si>
  <si>
    <t>83100</t>
  </si>
  <si>
    <t>3600115</t>
  </si>
  <si>
    <t>2721095815</t>
  </si>
  <si>
    <t>2721095808</t>
  </si>
  <si>
    <t>mail@dide.mes.sch.gr</t>
  </si>
  <si>
    <t>ΔΙΟΙΚΗΤΗΡΙΟ ΜΕΣΣΗΝΙΑΣ - 6ος Όροφος</t>
  </si>
  <si>
    <t>24131</t>
  </si>
  <si>
    <t>2200105</t>
  </si>
  <si>
    <t>2441080303</t>
  </si>
  <si>
    <t>2441080305</t>
  </si>
  <si>
    <t>mail@dide.kar.sch.gr</t>
  </si>
  <si>
    <t>ΔΙΑΚΟΥ 15</t>
  </si>
  <si>
    <t>43132</t>
  </si>
  <si>
    <t>2600115</t>
  </si>
  <si>
    <t>2341335321</t>
  </si>
  <si>
    <t>2341022339</t>
  </si>
  <si>
    <t>mail@dide.kil.sch.gr</t>
  </si>
  <si>
    <t>ΑΝΔΡΕΑ ΠΑΠΑΝΔΡΕΟΥ 3</t>
  </si>
  <si>
    <t>61100</t>
  </si>
  <si>
    <t>12241</t>
  </si>
  <si>
    <t>9951101</t>
  </si>
  <si>
    <t>2271044235</t>
  </si>
  <si>
    <t>2271044233</t>
  </si>
  <si>
    <t>mail@dipe.chi.sch.gr</t>
  </si>
  <si>
    <t>ΟΙΝΟΠΙΩΝΟΣ 1</t>
  </si>
  <si>
    <t>82100</t>
  </si>
  <si>
    <t>9924101</t>
  </si>
  <si>
    <t>2661046774</t>
  </si>
  <si>
    <t>2661047202</t>
  </si>
  <si>
    <t>mail@dipe.ker.sch.gr</t>
  </si>
  <si>
    <t>Αλυκές Ποταμού</t>
  </si>
  <si>
    <t>9999902</t>
  </si>
  <si>
    <t>2231066151</t>
  </si>
  <si>
    <t>2231066167</t>
  </si>
  <si>
    <t>mail@stellad.pde.sch.gr</t>
  </si>
  <si>
    <t>ΦΘΙΩΤΙΔΑ</t>
  </si>
  <si>
    <t>ΑΡΚΑΔΙΟΥ 8</t>
  </si>
  <si>
    <t>35131</t>
  </si>
  <si>
    <t>9933101</t>
  </si>
  <si>
    <t>2251047439</t>
  </si>
  <si>
    <t>2251047438</t>
  </si>
  <si>
    <t>mail@dipe.les.sch.gr</t>
  </si>
  <si>
    <t>ΑΓΙΟΥ ΣΥΜΕΩΝ 17</t>
  </si>
  <si>
    <t>9999906</t>
  </si>
  <si>
    <t>2310474810</t>
  </si>
  <si>
    <t>2310474328</t>
  </si>
  <si>
    <t>mail@kmaked.pde.sch.gr</t>
  </si>
  <si>
    <t>ΛΕΩΦΟΡΟΣ ΓΕΩΡΓΙΚΗΣ ΣΧΟΛΗΣ 65</t>
  </si>
  <si>
    <t>57001</t>
  </si>
  <si>
    <t>9999912</t>
  </si>
  <si>
    <t>2281079615</t>
  </si>
  <si>
    <t>2281079635</t>
  </si>
  <si>
    <t>mail@naigaiou.pde.sch.gr</t>
  </si>
  <si>
    <t>Ηρώων Πολυτεχνείου 32</t>
  </si>
  <si>
    <t>9930101</t>
  </si>
  <si>
    <t>2731363401</t>
  </si>
  <si>
    <t>2731363419</t>
  </si>
  <si>
    <t>dipelak@sch.gr</t>
  </si>
  <si>
    <t>ΔΙΟΙΚΗΤΗΡΙΟ ΝΑ ΛΑΚΩΝΙΑΣ 2ο ΧΛΜ ΕΟ ΣΠΑΡΤΗΣ ΓΥΘΕΙΟΥ</t>
  </si>
  <si>
    <t>9905101</t>
  </si>
  <si>
    <t>2105243835</t>
  </si>
  <si>
    <t>2105243980</t>
  </si>
  <si>
    <t>mail@dipe-a-athin.att.sch.gr</t>
  </si>
  <si>
    <t>Χίου 16-18</t>
  </si>
  <si>
    <t>9944101</t>
  </si>
  <si>
    <t>2321047503</t>
  </si>
  <si>
    <t>2321047504</t>
  </si>
  <si>
    <t>mail@dipe.ser.sch.gr</t>
  </si>
  <si>
    <t>66100</t>
  </si>
  <si>
    <t>9940101</t>
  </si>
  <si>
    <t>2682362118</t>
  </si>
  <si>
    <t>2682362151</t>
  </si>
  <si>
    <t>mail@dipe.pre.sch.gr</t>
  </si>
  <si>
    <t>32131</t>
  </si>
  <si>
    <t>9936101</t>
  </si>
  <si>
    <t>2721361552</t>
  </si>
  <si>
    <t>2721361481</t>
  </si>
  <si>
    <t>mail@dipe.mes.sch.gr</t>
  </si>
  <si>
    <t>ΔΙΟΙΚΗΤΗΡΙΟ (6ος Όροφος)</t>
  </si>
  <si>
    <t>24100</t>
  </si>
  <si>
    <t>9939101</t>
  </si>
  <si>
    <t>2351351173</t>
  </si>
  <si>
    <t>2351351175</t>
  </si>
  <si>
    <t>mail@dipe.pie.sch.gr</t>
  </si>
  <si>
    <t>28ης Οκτωβρίου 40</t>
  </si>
  <si>
    <t>9912101</t>
  </si>
  <si>
    <t>2221022986</t>
  </si>
  <si>
    <t>2221077012</t>
  </si>
  <si>
    <t>mail@dipe.eyv.sch.gr</t>
  </si>
  <si>
    <t>ΙΑΤΡΙΔΟΥ 8</t>
  </si>
  <si>
    <t>9947101</t>
  </si>
  <si>
    <t>2385054584</t>
  </si>
  <si>
    <t>2385054582</t>
  </si>
  <si>
    <t>mail@dipe.flo.sch.gr</t>
  </si>
  <si>
    <t>9910101</t>
  </si>
  <si>
    <t>2241364808</t>
  </si>
  <si>
    <t>2241364821</t>
  </si>
  <si>
    <t>mail@dipe.dod.sch.gr</t>
  </si>
  <si>
    <t>9949101</t>
  </si>
  <si>
    <t>2371021207</t>
  </si>
  <si>
    <t>2371024235</t>
  </si>
  <si>
    <t>mail@dipe.chal.sch.gr</t>
  </si>
  <si>
    <t>22ας  ΑΠΡΙΛΙΟΥ 6β</t>
  </si>
  <si>
    <t>9934101</t>
  </si>
  <si>
    <t>2645362235</t>
  </si>
  <si>
    <t>2645362245</t>
  </si>
  <si>
    <t>mail@dipe.lef.sch.gr</t>
  </si>
  <si>
    <t>9935101</t>
  </si>
  <si>
    <t>2421039668</t>
  </si>
  <si>
    <t>2421039069</t>
  </si>
  <si>
    <t>mail@dipe.mag.sch.gr</t>
  </si>
  <si>
    <t>ΑΝ. ΓΑΖΗ 164</t>
  </si>
  <si>
    <t>38221</t>
  </si>
  <si>
    <t>9908101</t>
  </si>
  <si>
    <t>2462353127</t>
  </si>
  <si>
    <t>2462353126</t>
  </si>
  <si>
    <t>mail@dipe.gre.sch.gr</t>
  </si>
  <si>
    <t>9999903</t>
  </si>
  <si>
    <t>2610362400</t>
  </si>
  <si>
    <t>2610362411</t>
  </si>
  <si>
    <t>mail@dellad.pde.sch.gr</t>
  </si>
  <si>
    <t>Ακτή Δυμαίων 25Α</t>
  </si>
  <si>
    <t>26222</t>
  </si>
  <si>
    <t>9999908</t>
  </si>
  <si>
    <t>2531083510</t>
  </si>
  <si>
    <t>2531083555</t>
  </si>
  <si>
    <t>pdeamthr@sch.gr</t>
  </si>
  <si>
    <t>69100</t>
  </si>
  <si>
    <t>9942101</t>
  </si>
  <si>
    <t>2531035718</t>
  </si>
  <si>
    <t>2531035719</t>
  </si>
  <si>
    <t>mail@dipe.rod.sch.gr</t>
  </si>
  <si>
    <t>9905501</t>
  </si>
  <si>
    <t>2132105748</t>
  </si>
  <si>
    <t>mail@dipe-v-ath.att.sch.gr</t>
  </si>
  <si>
    <t>ΛΕΩΦΟΡΟΣ ΚΗΦΙΣΙΑΣ 20</t>
  </si>
  <si>
    <t>15125</t>
  </si>
  <si>
    <t>9937101</t>
  </si>
  <si>
    <t>2541350382</t>
  </si>
  <si>
    <t>2541350385</t>
  </si>
  <si>
    <t>mail@dipe.xan.sch.gr</t>
  </si>
  <si>
    <t>ΔΙΟΙΚΗΤΗΡΙΟ-5ος Όροφος   Τ.Θ.145</t>
  </si>
  <si>
    <t>9926101</t>
  </si>
  <si>
    <t>2341024628</t>
  </si>
  <si>
    <t>2341022439</t>
  </si>
  <si>
    <t>mail@dipe.kil.sch.gr</t>
  </si>
  <si>
    <t>ΑΓΙΟΥ ΓΕΩΡΓΙΟΥ 1</t>
  </si>
  <si>
    <t>9925101</t>
  </si>
  <si>
    <t>2671022212</t>
  </si>
  <si>
    <t>2671022214</t>
  </si>
  <si>
    <t>mail@dipe.kef.sch.gr</t>
  </si>
  <si>
    <t>Μπάμπη Άννινου 1</t>
  </si>
  <si>
    <t>9914101</t>
  </si>
  <si>
    <t>2695045091</t>
  </si>
  <si>
    <t>2695029955</t>
  </si>
  <si>
    <t>dipezak@sch.gr</t>
  </si>
  <si>
    <t>Κ. ΛΟΜΒΑΡΔΟΥ 78</t>
  </si>
  <si>
    <t>9917101</t>
  </si>
  <si>
    <t>2810529300</t>
  </si>
  <si>
    <t>2810372644</t>
  </si>
  <si>
    <t>mail@dipe.ira.sch.gr</t>
  </si>
  <si>
    <t>9948101</t>
  </si>
  <si>
    <t>2265029403</t>
  </si>
  <si>
    <t>2265029482</t>
  </si>
  <si>
    <t>mail@dipe.fok.sch.gr</t>
  </si>
  <si>
    <t>Ι. ΓΙΔΟΓΙΑΝΝΟΥ  31</t>
  </si>
  <si>
    <t>9915101</t>
  </si>
  <si>
    <t>2621040287</t>
  </si>
  <si>
    <t>2621022403</t>
  </si>
  <si>
    <t>mail@dipe.ilei.sch.gr</t>
  </si>
  <si>
    <t>ΕΘΝΙΚΗΣ ΑΝΤΙΣΤΑΣΕΩΣ 21</t>
  </si>
  <si>
    <t>27100</t>
  </si>
  <si>
    <t>9905601</t>
  </si>
  <si>
    <t>2105315374</t>
  </si>
  <si>
    <t>2105620037</t>
  </si>
  <si>
    <t>mail@dipe-g-athin.att.sch.gr</t>
  </si>
  <si>
    <t>ΜΑΚΡΗΣ  3</t>
  </si>
  <si>
    <t>9919201</t>
  </si>
  <si>
    <t>2310643041</t>
  </si>
  <si>
    <t>2310643046</t>
  </si>
  <si>
    <t>mail@dipe-v-thess.thess.sch.gr</t>
  </si>
  <si>
    <t>9911101</t>
  </si>
  <si>
    <t>2551355344</t>
  </si>
  <si>
    <t>2551355316</t>
  </si>
  <si>
    <t>mail@dipe.evr.sch.gr</t>
  </si>
  <si>
    <t>68131</t>
  </si>
  <si>
    <t>9943101</t>
  </si>
  <si>
    <t>2273021339</t>
  </si>
  <si>
    <t>2273021330</t>
  </si>
  <si>
    <t>mail@dipe.sam.sch.gr</t>
  </si>
  <si>
    <t>ΚΑΝΑΡΗ  14</t>
  </si>
  <si>
    <t>9950101</t>
  </si>
  <si>
    <t>2821047300</t>
  </si>
  <si>
    <t>2821047301</t>
  </si>
  <si>
    <t>mail@dipe.chan.sch.gr</t>
  </si>
  <si>
    <t>9905401</t>
  </si>
  <si>
    <t>2104113725</t>
  </si>
  <si>
    <t>2104117818</t>
  </si>
  <si>
    <t>mail@dipe-peiraia.att.sch.gr</t>
  </si>
  <si>
    <t>ΚΑΡΑΟΛΗ - ΔΗΜΗΤΡΙΟΥ 50</t>
  </si>
  <si>
    <t>9907101</t>
  </si>
  <si>
    <t>2261350327</t>
  </si>
  <si>
    <t>2261350313</t>
  </si>
  <si>
    <t>mail@dipe.voi.sch.gr</t>
  </si>
  <si>
    <t>Φίλωνος 35-39, Διοικητήριο</t>
  </si>
  <si>
    <t>9927101</t>
  </si>
  <si>
    <t>2461351278</t>
  </si>
  <si>
    <t>2461047233</t>
  </si>
  <si>
    <t>mail@dipe.koz.sch.gr</t>
  </si>
  <si>
    <t>50131</t>
  </si>
  <si>
    <t>9999904</t>
  </si>
  <si>
    <t>2710230110</t>
  </si>
  <si>
    <t>2710230118</t>
  </si>
  <si>
    <t>mail@pelop.pde.sch.gr</t>
  </si>
  <si>
    <t>ΚΕΝΕΝΤΥ 38-40</t>
  </si>
  <si>
    <t>9918101</t>
  </si>
  <si>
    <t>2665022291</t>
  </si>
  <si>
    <t>2665026098</t>
  </si>
  <si>
    <t>mail@dipe.thesp.sch.gr</t>
  </si>
  <si>
    <t>9906101</t>
  </si>
  <si>
    <t>2610229200</t>
  </si>
  <si>
    <t>2610229255</t>
  </si>
  <si>
    <t>mail@dipe.ach.sch.gr</t>
  </si>
  <si>
    <t>ΕΡΜΟΥ 70</t>
  </si>
  <si>
    <t>26223</t>
  </si>
  <si>
    <t>9921101</t>
  </si>
  <si>
    <t>2510291520</t>
  </si>
  <si>
    <t>2510291504</t>
  </si>
  <si>
    <t>mail@dipe.kav.sch.gr</t>
  </si>
  <si>
    <t>9903101</t>
  </si>
  <si>
    <t>2710222596</t>
  </si>
  <si>
    <t>2710225311</t>
  </si>
  <si>
    <t>mail@dipe.ark.sch.gr</t>
  </si>
  <si>
    <t>ΠΛ.ΑΓ.ΔΗΜΗΤΡΙΟΥ 4</t>
  </si>
  <si>
    <t>9932101</t>
  </si>
  <si>
    <t>2841340400</t>
  </si>
  <si>
    <t>2841027226</t>
  </si>
  <si>
    <t>mail@dipe.las.sch.gr</t>
  </si>
  <si>
    <t>ΔΙΟΙΚΗΤΗΡΙΟ 1</t>
  </si>
  <si>
    <t>9941101</t>
  </si>
  <si>
    <t>2831022325</t>
  </si>
  <si>
    <t>2831027747</t>
  </si>
  <si>
    <t>mail@dipe.reth.sch.gr</t>
  </si>
  <si>
    <t>Γ. ΧΑΤΖΗΔΑΚΗ 23</t>
  </si>
  <si>
    <t>9922101</t>
  </si>
  <si>
    <t>2441079370</t>
  </si>
  <si>
    <t>2441354516</t>
  </si>
  <si>
    <t>dipekar@sch.gr</t>
  </si>
  <si>
    <t>ΠΛΑΣΤΗΡΑ 56</t>
  </si>
  <si>
    <t>9946101</t>
  </si>
  <si>
    <t>2231352719</t>
  </si>
  <si>
    <t>mail@dipe.fth.sch.gr</t>
  </si>
  <si>
    <t>ΘΕΡΜΟΠΥΛΩΝ 60 &amp; ΚΥΠΡΟΥ</t>
  </si>
  <si>
    <t>35133</t>
  </si>
  <si>
    <t>9919101</t>
  </si>
  <si>
    <t>2310954100</t>
  </si>
  <si>
    <t>2310915042</t>
  </si>
  <si>
    <t>54638</t>
  </si>
  <si>
    <t>9999913</t>
  </si>
  <si>
    <t>2661082194</t>
  </si>
  <si>
    <t>2661048135</t>
  </si>
  <si>
    <t>mail@ionion.pde.sch.gr</t>
  </si>
  <si>
    <t>9938101</t>
  </si>
  <si>
    <t>2381351453</t>
  </si>
  <si>
    <t>2381023257</t>
  </si>
  <si>
    <t>mail@dipe.pel.sch.gr</t>
  </si>
  <si>
    <t>9931101</t>
  </si>
  <si>
    <t>2414409801</t>
  </si>
  <si>
    <t>2414409870</t>
  </si>
  <si>
    <t>dipelar@sch.gr</t>
  </si>
  <si>
    <t>Δ.ΤΣΑΤΣΟΥ 2 &amp; ΦΑΡΣΑΛΩΝ</t>
  </si>
  <si>
    <t>41335</t>
  </si>
  <si>
    <t>9909101</t>
  </si>
  <si>
    <t>2521351426</t>
  </si>
  <si>
    <t>2521062397</t>
  </si>
  <si>
    <t>mail@dipe.dra.sch.gr</t>
  </si>
  <si>
    <t>9905201</t>
  </si>
  <si>
    <t>2106654139</t>
  </si>
  <si>
    <t>2106618440</t>
  </si>
  <si>
    <t>mail@dipe-anatol.att.sch.gr</t>
  </si>
  <si>
    <t>Λ. ΛΑΥΡΙΟΥ 150 &amp; ΑΝΔΡΙΚΟΥ 4</t>
  </si>
  <si>
    <t>15354</t>
  </si>
  <si>
    <t>9904101</t>
  </si>
  <si>
    <t>2681027550</t>
  </si>
  <si>
    <t>2681027557</t>
  </si>
  <si>
    <t>mail@dipe.art.sch.gr</t>
  </si>
  <si>
    <t>9916101</t>
  </si>
  <si>
    <t>2331024588</t>
  </si>
  <si>
    <t>2331024047</t>
  </si>
  <si>
    <t>mail@dipe.ima.sch.gr</t>
  </si>
  <si>
    <t>ΜΗΤΡΟΠΟΛΕΩΣ 44</t>
  </si>
  <si>
    <t>9902101</t>
  </si>
  <si>
    <t>2752027491</t>
  </si>
  <si>
    <t>2752025685</t>
  </si>
  <si>
    <t>mail@dipe.arg.sch.gr</t>
  </si>
  <si>
    <t>ΑΜΥΜΩΝΗΣ 7Β</t>
  </si>
  <si>
    <t>9923101</t>
  </si>
  <si>
    <t>2467055251</t>
  </si>
  <si>
    <t>2467055275</t>
  </si>
  <si>
    <t>mail@dipe.kas.sch.gr</t>
  </si>
  <si>
    <t>9920101</t>
  </si>
  <si>
    <t>2651029783</t>
  </si>
  <si>
    <t>2651024846</t>
  </si>
  <si>
    <t>mail@dipe.ioa.sch.gr</t>
  </si>
  <si>
    <t>ΛΟΥΚΗ ΑΚΡΙΤΑ &amp; ΦΙΛΙΚΗΣ ΕΤΑΙΡΕΙΑΣ 15Α</t>
  </si>
  <si>
    <t>9913101</t>
  </si>
  <si>
    <t>2237080241</t>
  </si>
  <si>
    <t>2237080242</t>
  </si>
  <si>
    <t>mail@dipe.eyr.sch.gr</t>
  </si>
  <si>
    <t>ΚΤΙΡΙΑ ΟΑΕΔ - ΠΕΡΙΟΧΗ ΠΡΟΦΗΤΗΣ ΗΛΙΑΣ</t>
  </si>
  <si>
    <t>9905701</t>
  </si>
  <si>
    <t>2131617402</t>
  </si>
  <si>
    <t>2131617420</t>
  </si>
  <si>
    <t>mail@dipe-d-athin.att.sch.gr</t>
  </si>
  <si>
    <t>Λ. ΣΥΓΓΡΟΥ 165</t>
  </si>
  <si>
    <t>9901101</t>
  </si>
  <si>
    <t>2631024775</t>
  </si>
  <si>
    <t>2631027315</t>
  </si>
  <si>
    <t>mail@dipe.ait.sch.gr</t>
  </si>
  <si>
    <t>ΤΡΑΥΛΑΝΤΩΝΗ 2</t>
  </si>
  <si>
    <t>9945101</t>
  </si>
  <si>
    <t>2431046475</t>
  </si>
  <si>
    <t>2431046476</t>
  </si>
  <si>
    <t>mail@dipe.tri.sch.gr</t>
  </si>
  <si>
    <t>0300105</t>
  </si>
  <si>
    <t>2710230800</t>
  </si>
  <si>
    <t>2710230804</t>
  </si>
  <si>
    <t>mail@dide.ark.sch.gr</t>
  </si>
  <si>
    <t>ΠΛΑΤΕΙΑ ΑΓΙΟΥ ΔΗΜΗΤΡΙΟΥ 4</t>
  </si>
  <si>
    <t>22100</t>
  </si>
  <si>
    <t>0600105</t>
  </si>
  <si>
    <t>2610465800</t>
  </si>
  <si>
    <t>2610465860</t>
  </si>
  <si>
    <t>mail@dide.ach.sch.gr</t>
  </si>
  <si>
    <t>ΓΙΑΝΝΙΤΣΩΝ 5</t>
  </si>
  <si>
    <t>9928101</t>
  </si>
  <si>
    <t>2741363408</t>
  </si>
  <si>
    <t>2741085891</t>
  </si>
  <si>
    <t>mail@dipe.kor.sch.gr</t>
  </si>
  <si>
    <t>ΚΟΛIAΤΣΟΥ 44</t>
  </si>
  <si>
    <t>9999911</t>
  </si>
  <si>
    <t>2251048165</t>
  </si>
  <si>
    <t>2251048155</t>
  </si>
  <si>
    <t>mail@vaigaiou.pde.sch.gr</t>
  </si>
  <si>
    <t>81132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</si>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</sst>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SV_2021-04-05-100429" connectionId="1" xr16:uid="{C6A0AF0E-FA22-4908-ACD6-095FBB12D66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3611"/>
  <sheetViews>
    <sheetView topLeftCell="C1" workbookViewId="0">
      <pane ySplit="1" topLeftCell="A2" activePane="bottomLeft" state="frozen"/>
      <selection pane="bottomLeft" activeCell="E16" sqref="E16"/>
    </sheetView>
  </sheetViews>
  <sheetFormatPr defaultColWidth="21.109375" defaultRowHeight="14.4" x14ac:dyDescent="0.3"/>
  <cols>
    <col min="3" max="3" width="50.5546875" customWidth="1"/>
    <col min="8" max="8" width="34.21875" customWidth="1"/>
  </cols>
  <sheetData>
    <row r="1" spans="1:19" s="1" customFormat="1" x14ac:dyDescent="0.3">
      <c r="A1" s="1" t="s">
        <v>0</v>
      </c>
      <c r="B1" s="1" t="s">
        <v>1</v>
      </c>
      <c r="C1" s="1" t="s">
        <v>9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 spans="1:19" x14ac:dyDescent="0.3">
      <c r="A2" t="s">
        <v>19</v>
      </c>
      <c r="B2" t="s">
        <v>49</v>
      </c>
      <c r="C2" t="s">
        <v>53</v>
      </c>
      <c r="D2" t="s">
        <v>21</v>
      </c>
      <c r="E2" t="s">
        <v>50</v>
      </c>
      <c r="F2" t="s">
        <v>50</v>
      </c>
      <c r="G2" t="s">
        <v>50</v>
      </c>
      <c r="H2" t="s">
        <v>51</v>
      </c>
      <c r="I2" t="s">
        <v>52</v>
      </c>
      <c r="J2" t="str">
        <f>"0903010"</f>
        <v>0903010</v>
      </c>
      <c r="K2">
        <v>2523022502</v>
      </c>
      <c r="L2">
        <v>2523022502</v>
      </c>
      <c r="M2" t="s">
        <v>54</v>
      </c>
      <c r="N2" t="s">
        <v>55</v>
      </c>
      <c r="O2" t="s">
        <v>56</v>
      </c>
      <c r="P2">
        <v>66033</v>
      </c>
      <c r="Q2" t="str">
        <f>"41.340871"</f>
        <v>41.340871</v>
      </c>
      <c r="R2" t="str">
        <f>"23.867196"</f>
        <v>23.867196</v>
      </c>
      <c r="S2" t="s">
        <v>26</v>
      </c>
    </row>
    <row r="3" spans="1:19" x14ac:dyDescent="0.3">
      <c r="A3" t="s">
        <v>19</v>
      </c>
      <c r="B3" t="s">
        <v>49</v>
      </c>
      <c r="C3" t="s">
        <v>61</v>
      </c>
      <c r="D3" t="s">
        <v>21</v>
      </c>
      <c r="E3" t="s">
        <v>59</v>
      </c>
      <c r="F3" t="s">
        <v>59</v>
      </c>
      <c r="G3" t="s">
        <v>60</v>
      </c>
      <c r="H3" t="s">
        <v>51</v>
      </c>
      <c r="I3" t="s">
        <v>52</v>
      </c>
      <c r="J3" t="str">
        <f>"0901060"</f>
        <v>0901060</v>
      </c>
      <c r="K3">
        <v>2521066330</v>
      </c>
      <c r="L3">
        <v>2521066330</v>
      </c>
      <c r="M3" t="s">
        <v>62</v>
      </c>
      <c r="N3" t="s">
        <v>63</v>
      </c>
      <c r="O3" t="s">
        <v>64</v>
      </c>
      <c r="P3">
        <v>66300</v>
      </c>
      <c r="Q3" t="str">
        <f>"41.073576"</f>
        <v>41.073576</v>
      </c>
      <c r="R3" t="str">
        <f>"24.238330"</f>
        <v>24.238330</v>
      </c>
      <c r="S3" t="s">
        <v>26</v>
      </c>
    </row>
    <row r="4" spans="1:19" x14ac:dyDescent="0.3">
      <c r="A4" t="s">
        <v>19</v>
      </c>
      <c r="B4" t="s">
        <v>49</v>
      </c>
      <c r="C4" t="s">
        <v>67</v>
      </c>
      <c r="D4" t="s">
        <v>21</v>
      </c>
      <c r="E4" t="s">
        <v>66</v>
      </c>
      <c r="F4" t="s">
        <v>66</v>
      </c>
      <c r="G4" t="s">
        <v>66</v>
      </c>
      <c r="H4" t="s">
        <v>51</v>
      </c>
      <c r="I4" t="s">
        <v>52</v>
      </c>
      <c r="J4" t="str">
        <f>"0904010"</f>
        <v>0904010</v>
      </c>
      <c r="K4">
        <v>2522022273</v>
      </c>
      <c r="L4">
        <v>2522023623</v>
      </c>
      <c r="M4" t="s">
        <v>68</v>
      </c>
      <c r="N4" t="s">
        <v>69</v>
      </c>
      <c r="O4" t="s">
        <v>70</v>
      </c>
      <c r="P4">
        <v>66200</v>
      </c>
      <c r="Q4" t="str">
        <f>"41.182699"</f>
        <v>41.182699</v>
      </c>
      <c r="R4" t="str">
        <f>"23.977375"</f>
        <v>23.977375</v>
      </c>
      <c r="S4" t="s">
        <v>26</v>
      </c>
    </row>
    <row r="5" spans="1:19" x14ac:dyDescent="0.3">
      <c r="A5" t="s">
        <v>19</v>
      </c>
      <c r="B5" t="s">
        <v>49</v>
      </c>
      <c r="C5" t="s">
        <v>90</v>
      </c>
      <c r="D5" t="s">
        <v>21</v>
      </c>
      <c r="E5" t="s">
        <v>88</v>
      </c>
      <c r="F5" t="s">
        <v>88</v>
      </c>
      <c r="G5" t="s">
        <v>88</v>
      </c>
      <c r="H5" t="s">
        <v>51</v>
      </c>
      <c r="I5" t="s">
        <v>89</v>
      </c>
      <c r="J5" t="str">
        <f>"0902010"</f>
        <v>0902010</v>
      </c>
      <c r="K5">
        <v>2524022142</v>
      </c>
      <c r="L5">
        <v>2524022466</v>
      </c>
      <c r="M5" t="s">
        <v>91</v>
      </c>
      <c r="N5" t="s">
        <v>92</v>
      </c>
      <c r="O5" t="s">
        <v>93</v>
      </c>
      <c r="P5">
        <v>66035</v>
      </c>
      <c r="Q5" t="str">
        <f>"41.267008"</f>
        <v>41.267008</v>
      </c>
      <c r="R5" t="str">
        <f>"24.499322"</f>
        <v>24.499322</v>
      </c>
      <c r="S5" t="s">
        <v>26</v>
      </c>
    </row>
    <row r="6" spans="1:19" x14ac:dyDescent="0.3">
      <c r="A6" t="s">
        <v>19</v>
      </c>
      <c r="B6" t="s">
        <v>49</v>
      </c>
      <c r="C6" t="s">
        <v>140</v>
      </c>
      <c r="D6" t="s">
        <v>21</v>
      </c>
      <c r="E6" t="s">
        <v>21</v>
      </c>
      <c r="F6" t="s">
        <v>21</v>
      </c>
      <c r="G6" t="s">
        <v>21</v>
      </c>
      <c r="H6" t="s">
        <v>51</v>
      </c>
      <c r="I6" t="s">
        <v>52</v>
      </c>
      <c r="J6" t="str">
        <f>"0901038"</f>
        <v>0901038</v>
      </c>
      <c r="K6">
        <v>2521033475</v>
      </c>
      <c r="L6">
        <v>2521058062</v>
      </c>
      <c r="M6" t="s">
        <v>141</v>
      </c>
      <c r="N6" t="s">
        <v>24</v>
      </c>
      <c r="O6" t="s">
        <v>142</v>
      </c>
      <c r="P6">
        <v>66132</v>
      </c>
      <c r="Q6" t="str">
        <f>"41.150539"</f>
        <v>41.150539</v>
      </c>
      <c r="R6" t="str">
        <f>"24.164958"</f>
        <v>24.164958</v>
      </c>
      <c r="S6" t="s">
        <v>26</v>
      </c>
    </row>
    <row r="7" spans="1:19" x14ac:dyDescent="0.3">
      <c r="A7" t="s">
        <v>19</v>
      </c>
      <c r="B7" t="s">
        <v>49</v>
      </c>
      <c r="C7" t="s">
        <v>145</v>
      </c>
      <c r="D7" t="s">
        <v>21</v>
      </c>
      <c r="E7" t="s">
        <v>59</v>
      </c>
      <c r="F7" t="s">
        <v>59</v>
      </c>
      <c r="G7" t="s">
        <v>144</v>
      </c>
      <c r="H7" t="s">
        <v>51</v>
      </c>
      <c r="I7" t="s">
        <v>52</v>
      </c>
      <c r="J7" t="str">
        <f>"0905010"</f>
        <v>0905010</v>
      </c>
      <c r="K7">
        <v>2521071245</v>
      </c>
      <c r="L7">
        <v>2521071245</v>
      </c>
      <c r="M7" t="s">
        <v>146</v>
      </c>
      <c r="N7" t="s">
        <v>147</v>
      </c>
      <c r="O7" t="s">
        <v>147</v>
      </c>
      <c r="P7">
        <v>66032</v>
      </c>
      <c r="Q7" t="str">
        <f>"41.098290"</f>
        <v>41.098290</v>
      </c>
      <c r="R7" t="str">
        <f>"24.283770"</f>
        <v>24.283770</v>
      </c>
      <c r="S7" t="s">
        <v>26</v>
      </c>
    </row>
    <row r="8" spans="1:19" x14ac:dyDescent="0.3">
      <c r="A8" t="s">
        <v>19</v>
      </c>
      <c r="B8" t="s">
        <v>49</v>
      </c>
      <c r="C8" t="s">
        <v>149</v>
      </c>
      <c r="D8" t="s">
        <v>21</v>
      </c>
      <c r="E8" t="s">
        <v>21</v>
      </c>
      <c r="F8" t="s">
        <v>21</v>
      </c>
      <c r="G8" t="s">
        <v>21</v>
      </c>
      <c r="H8" t="s">
        <v>51</v>
      </c>
      <c r="I8" t="s">
        <v>52</v>
      </c>
      <c r="J8" t="str">
        <f>"0901037"</f>
        <v>0901037</v>
      </c>
      <c r="K8">
        <v>2521032327</v>
      </c>
      <c r="L8">
        <v>2521034726</v>
      </c>
      <c r="M8" t="s">
        <v>150</v>
      </c>
      <c r="N8" t="s">
        <v>24</v>
      </c>
      <c r="O8" t="s">
        <v>151</v>
      </c>
      <c r="P8">
        <v>66100</v>
      </c>
      <c r="Q8" t="str">
        <f>"41.136595"</f>
        <v>41.136595</v>
      </c>
      <c r="R8" t="str">
        <f>"24.147462"</f>
        <v>24.147462</v>
      </c>
      <c r="S8" t="s">
        <v>26</v>
      </c>
    </row>
    <row r="9" spans="1:19" x14ac:dyDescent="0.3">
      <c r="A9" t="s">
        <v>19</v>
      </c>
      <c r="B9" t="s">
        <v>49</v>
      </c>
      <c r="C9" t="s">
        <v>153</v>
      </c>
      <c r="D9" t="s">
        <v>21</v>
      </c>
      <c r="E9" t="s">
        <v>59</v>
      </c>
      <c r="F9" t="s">
        <v>110</v>
      </c>
      <c r="G9" t="s">
        <v>152</v>
      </c>
      <c r="H9" t="s">
        <v>51</v>
      </c>
      <c r="I9" t="s">
        <v>52</v>
      </c>
      <c r="J9" t="str">
        <f>"0906010"</f>
        <v>0906010</v>
      </c>
      <c r="K9">
        <v>2521051150</v>
      </c>
      <c r="L9">
        <v>2521051150</v>
      </c>
      <c r="M9" t="s">
        <v>154</v>
      </c>
      <c r="O9" t="s">
        <v>155</v>
      </c>
      <c r="P9">
        <v>66031</v>
      </c>
      <c r="Q9" t="str">
        <f>"41.057821"</f>
        <v>41.057821</v>
      </c>
      <c r="R9" t="str">
        <f>"24.186123"</f>
        <v>24.186123</v>
      </c>
      <c r="S9" t="s">
        <v>26</v>
      </c>
    </row>
    <row r="10" spans="1:19" x14ac:dyDescent="0.3">
      <c r="A10" t="s">
        <v>19</v>
      </c>
      <c r="B10" t="s">
        <v>49</v>
      </c>
      <c r="C10" t="s">
        <v>156</v>
      </c>
      <c r="D10" t="s">
        <v>21</v>
      </c>
      <c r="E10" t="s">
        <v>21</v>
      </c>
      <c r="F10" t="s">
        <v>21</v>
      </c>
      <c r="G10" t="s">
        <v>21</v>
      </c>
      <c r="H10" t="s">
        <v>51</v>
      </c>
      <c r="I10" t="s">
        <v>52</v>
      </c>
      <c r="J10" t="str">
        <f>"0901039"</f>
        <v>0901039</v>
      </c>
      <c r="K10">
        <v>2521025936</v>
      </c>
      <c r="L10">
        <v>2521025936</v>
      </c>
      <c r="M10" t="s">
        <v>157</v>
      </c>
      <c r="N10" t="s">
        <v>24</v>
      </c>
      <c r="O10" t="s">
        <v>158</v>
      </c>
      <c r="P10">
        <v>66132</v>
      </c>
      <c r="Q10" t="str">
        <f>"41.159738"</f>
        <v>41.159738</v>
      </c>
      <c r="R10" t="str">
        <f>"24.153077"</f>
        <v>24.153077</v>
      </c>
      <c r="S10" t="s">
        <v>26</v>
      </c>
    </row>
    <row r="11" spans="1:19" x14ac:dyDescent="0.3">
      <c r="A11" t="s">
        <v>19</v>
      </c>
      <c r="B11" t="s">
        <v>49</v>
      </c>
      <c r="C11" t="s">
        <v>161</v>
      </c>
      <c r="D11" t="s">
        <v>21</v>
      </c>
      <c r="E11" t="s">
        <v>88</v>
      </c>
      <c r="F11" t="s">
        <v>160</v>
      </c>
      <c r="G11" t="s">
        <v>160</v>
      </c>
      <c r="H11" t="s">
        <v>51</v>
      </c>
      <c r="I11" t="s">
        <v>89</v>
      </c>
      <c r="J11" t="str">
        <f>"0907010"</f>
        <v>0907010</v>
      </c>
      <c r="K11">
        <v>2521090218</v>
      </c>
      <c r="L11">
        <v>2521090221</v>
      </c>
      <c r="M11" t="s">
        <v>162</v>
      </c>
      <c r="N11" t="s">
        <v>163</v>
      </c>
      <c r="O11" t="s">
        <v>163</v>
      </c>
      <c r="P11">
        <v>66100</v>
      </c>
      <c r="Q11" t="str">
        <f>"41.160997"</f>
        <v>41.160997</v>
      </c>
      <c r="R11" t="str">
        <f>"24.300105"</f>
        <v>24.300105</v>
      </c>
      <c r="S11" t="s">
        <v>26</v>
      </c>
    </row>
    <row r="12" spans="1:19" x14ac:dyDescent="0.3">
      <c r="A12" t="s">
        <v>19</v>
      </c>
      <c r="B12" t="s">
        <v>49</v>
      </c>
      <c r="C12" t="s">
        <v>165</v>
      </c>
      <c r="D12" t="s">
        <v>21</v>
      </c>
      <c r="E12" t="s">
        <v>21</v>
      </c>
      <c r="F12" t="s">
        <v>21</v>
      </c>
      <c r="G12" t="s">
        <v>21</v>
      </c>
      <c r="H12" t="s">
        <v>51</v>
      </c>
      <c r="I12" t="s">
        <v>52</v>
      </c>
      <c r="J12" t="str">
        <f>"0901020"</f>
        <v>0901020</v>
      </c>
      <c r="K12">
        <v>2521033411</v>
      </c>
      <c r="L12">
        <v>2521058126</v>
      </c>
      <c r="M12" t="s">
        <v>166</v>
      </c>
      <c r="N12" t="s">
        <v>24</v>
      </c>
      <c r="O12" t="s">
        <v>167</v>
      </c>
      <c r="P12">
        <v>66131</v>
      </c>
      <c r="Q12" t="str">
        <f>"41.152483"</f>
        <v>41.152483</v>
      </c>
      <c r="R12" t="str">
        <f>"24.134902"</f>
        <v>24.134902</v>
      </c>
      <c r="S12" t="s">
        <v>26</v>
      </c>
    </row>
    <row r="13" spans="1:19" x14ac:dyDescent="0.3">
      <c r="A13" t="s">
        <v>19</v>
      </c>
      <c r="B13" t="s">
        <v>49</v>
      </c>
      <c r="C13" t="s">
        <v>170</v>
      </c>
      <c r="D13" t="s">
        <v>21</v>
      </c>
      <c r="E13" t="s">
        <v>66</v>
      </c>
      <c r="F13" t="s">
        <v>168</v>
      </c>
      <c r="G13" t="s">
        <v>169</v>
      </c>
      <c r="H13" t="s">
        <v>51</v>
      </c>
      <c r="I13" t="s">
        <v>52</v>
      </c>
      <c r="J13" t="str">
        <f>"0910010"</f>
        <v>0910010</v>
      </c>
      <c r="K13">
        <v>2521093343</v>
      </c>
      <c r="L13">
        <v>2521093343</v>
      </c>
      <c r="M13" t="s">
        <v>171</v>
      </c>
      <c r="N13" t="s">
        <v>172</v>
      </c>
      <c r="O13" t="s">
        <v>173</v>
      </c>
      <c r="P13">
        <v>66034</v>
      </c>
      <c r="Q13" t="str">
        <f>"41.058525"</f>
        <v>41.058525</v>
      </c>
      <c r="R13" t="str">
        <f>"24.051482"</f>
        <v>24.051482</v>
      </c>
      <c r="S13" t="s">
        <v>26</v>
      </c>
    </row>
    <row r="14" spans="1:19" x14ac:dyDescent="0.3">
      <c r="A14" t="s">
        <v>19</v>
      </c>
      <c r="B14" t="s">
        <v>49</v>
      </c>
      <c r="C14" t="s">
        <v>175</v>
      </c>
      <c r="D14" t="s">
        <v>21</v>
      </c>
      <c r="E14" t="s">
        <v>21</v>
      </c>
      <c r="F14" t="s">
        <v>21</v>
      </c>
      <c r="G14" t="s">
        <v>21</v>
      </c>
      <c r="H14" t="s">
        <v>51</v>
      </c>
      <c r="I14" t="s">
        <v>52</v>
      </c>
      <c r="J14" t="str">
        <f>"0901010"</f>
        <v>0901010</v>
      </c>
      <c r="K14">
        <v>2521032137</v>
      </c>
      <c r="L14">
        <v>2521058259</v>
      </c>
      <c r="M14" t="s">
        <v>176</v>
      </c>
      <c r="N14" t="s">
        <v>21</v>
      </c>
      <c r="O14" t="s">
        <v>101</v>
      </c>
      <c r="P14">
        <v>66131</v>
      </c>
      <c r="Q14" t="str">
        <f>"41.156623"</f>
        <v>41.156623</v>
      </c>
      <c r="R14" t="str">
        <f>"24.139426"</f>
        <v>24.139426</v>
      </c>
      <c r="S14" t="s">
        <v>26</v>
      </c>
    </row>
    <row r="15" spans="1:19" x14ac:dyDescent="0.3">
      <c r="A15" t="s">
        <v>19</v>
      </c>
      <c r="B15" t="s">
        <v>49</v>
      </c>
      <c r="C15" t="s">
        <v>177</v>
      </c>
      <c r="D15" t="s">
        <v>21</v>
      </c>
      <c r="E15" t="s">
        <v>21</v>
      </c>
      <c r="F15" t="s">
        <v>21</v>
      </c>
      <c r="G15" t="s">
        <v>21</v>
      </c>
      <c r="H15" t="s">
        <v>51</v>
      </c>
      <c r="I15" t="s">
        <v>52</v>
      </c>
      <c r="J15" t="str">
        <f>"0901030"</f>
        <v>0901030</v>
      </c>
      <c r="K15">
        <v>2521036715</v>
      </c>
      <c r="L15">
        <v>2521045170</v>
      </c>
      <c r="M15" t="s">
        <v>178</v>
      </c>
      <c r="N15" t="s">
        <v>24</v>
      </c>
      <c r="O15" t="s">
        <v>179</v>
      </c>
      <c r="P15">
        <v>66100</v>
      </c>
      <c r="Q15" t="str">
        <f>"41.133954"</f>
        <v>41.133954</v>
      </c>
      <c r="R15" t="str">
        <f>"24.120228"</f>
        <v>24.120228</v>
      </c>
      <c r="S15" t="s">
        <v>26</v>
      </c>
    </row>
    <row r="16" spans="1:19" x14ac:dyDescent="0.3">
      <c r="A16" t="s">
        <v>19</v>
      </c>
      <c r="B16" t="s">
        <v>49</v>
      </c>
      <c r="C16" t="s">
        <v>181</v>
      </c>
      <c r="D16" t="s">
        <v>21</v>
      </c>
      <c r="E16" t="s">
        <v>59</v>
      </c>
      <c r="F16" t="s">
        <v>59</v>
      </c>
      <c r="G16" t="s">
        <v>59</v>
      </c>
      <c r="H16" t="s">
        <v>51</v>
      </c>
      <c r="I16" t="s">
        <v>52</v>
      </c>
      <c r="J16" t="str">
        <f>"0901040"</f>
        <v>0901040</v>
      </c>
      <c r="K16">
        <v>2521066931</v>
      </c>
      <c r="L16">
        <v>2521066933</v>
      </c>
      <c r="M16" t="s">
        <v>182</v>
      </c>
      <c r="N16" t="s">
        <v>82</v>
      </c>
      <c r="O16" t="s">
        <v>183</v>
      </c>
      <c r="P16">
        <v>66300</v>
      </c>
      <c r="Q16" t="str">
        <f>"41.096022"</f>
        <v>41.096022</v>
      </c>
      <c r="R16" t="str">
        <f>"24.231353"</f>
        <v>24.231353</v>
      </c>
      <c r="S16" t="s">
        <v>26</v>
      </c>
    </row>
    <row r="17" spans="1:19" x14ac:dyDescent="0.3">
      <c r="A17" t="s">
        <v>19</v>
      </c>
      <c r="B17" t="s">
        <v>49</v>
      </c>
      <c r="C17" t="s">
        <v>185</v>
      </c>
      <c r="D17" t="s">
        <v>21</v>
      </c>
      <c r="E17" t="s">
        <v>21</v>
      </c>
      <c r="F17" t="s">
        <v>21</v>
      </c>
      <c r="G17" t="s">
        <v>21</v>
      </c>
      <c r="H17" t="s">
        <v>51</v>
      </c>
      <c r="I17" t="s">
        <v>184</v>
      </c>
      <c r="J17" t="str">
        <f>"0901066"</f>
        <v>0901066</v>
      </c>
      <c r="K17">
        <v>2521039910</v>
      </c>
      <c r="L17">
        <v>2521039910</v>
      </c>
      <c r="M17" t="s">
        <v>186</v>
      </c>
      <c r="N17" t="s">
        <v>24</v>
      </c>
      <c r="O17" t="s">
        <v>187</v>
      </c>
      <c r="P17">
        <v>66132</v>
      </c>
      <c r="Q17" t="str">
        <f>"41.151818"</f>
        <v>41.151818</v>
      </c>
      <c r="R17" t="str">
        <f>"24.134729"</f>
        <v>24.134729</v>
      </c>
      <c r="S17" t="s">
        <v>26</v>
      </c>
    </row>
    <row r="18" spans="1:19" x14ac:dyDescent="0.3">
      <c r="A18" t="s">
        <v>19</v>
      </c>
      <c r="B18" t="s">
        <v>49</v>
      </c>
      <c r="C18" t="s">
        <v>191</v>
      </c>
      <c r="D18" t="s">
        <v>21</v>
      </c>
      <c r="E18" t="s">
        <v>21</v>
      </c>
      <c r="F18" t="s">
        <v>21</v>
      </c>
      <c r="G18" t="s">
        <v>21</v>
      </c>
      <c r="H18" t="s">
        <v>51</v>
      </c>
      <c r="I18" t="s">
        <v>190</v>
      </c>
      <c r="J18" t="str">
        <f>"0901065"</f>
        <v>0901065</v>
      </c>
      <c r="K18">
        <v>2521028191</v>
      </c>
      <c r="L18">
        <v>2521028190</v>
      </c>
      <c r="M18" t="s">
        <v>192</v>
      </c>
      <c r="N18" t="s">
        <v>24</v>
      </c>
      <c r="O18" t="s">
        <v>193</v>
      </c>
      <c r="P18">
        <v>66100</v>
      </c>
      <c r="Q18" t="str">
        <f>"41.139554"</f>
        <v>41.139554</v>
      </c>
      <c r="R18" t="str">
        <f>"24.180080"</f>
        <v>24.180080</v>
      </c>
      <c r="S18" t="s">
        <v>26</v>
      </c>
    </row>
    <row r="19" spans="1:19" x14ac:dyDescent="0.3">
      <c r="A19" t="s">
        <v>19</v>
      </c>
      <c r="B19" t="s">
        <v>49</v>
      </c>
      <c r="C19" t="s">
        <v>200</v>
      </c>
      <c r="D19" t="s">
        <v>21</v>
      </c>
      <c r="E19" t="s">
        <v>21</v>
      </c>
      <c r="F19" t="s">
        <v>21</v>
      </c>
      <c r="G19" t="s">
        <v>21</v>
      </c>
      <c r="H19" t="s">
        <v>51</v>
      </c>
      <c r="I19" t="s">
        <v>199</v>
      </c>
      <c r="J19" t="str">
        <f>"0940045"</f>
        <v>0940045</v>
      </c>
      <c r="K19">
        <v>2521095457</v>
      </c>
      <c r="L19">
        <v>2521095479</v>
      </c>
      <c r="M19" t="s">
        <v>201</v>
      </c>
      <c r="N19" t="s">
        <v>24</v>
      </c>
      <c r="O19" t="s">
        <v>187</v>
      </c>
      <c r="P19">
        <v>66100</v>
      </c>
      <c r="Q19" t="str">
        <f>"41.152015"</f>
        <v>41.152015</v>
      </c>
      <c r="R19" t="str">
        <f>"24.134763"</f>
        <v>24.134763</v>
      </c>
      <c r="S19" t="s">
        <v>26</v>
      </c>
    </row>
    <row r="20" spans="1:19" x14ac:dyDescent="0.3">
      <c r="A20" t="s">
        <v>19</v>
      </c>
      <c r="B20" t="s">
        <v>202</v>
      </c>
      <c r="C20" t="s">
        <v>209</v>
      </c>
      <c r="D20" t="s">
        <v>27</v>
      </c>
      <c r="E20" t="s">
        <v>28</v>
      </c>
      <c r="F20" t="s">
        <v>28</v>
      </c>
      <c r="G20" t="s">
        <v>28</v>
      </c>
      <c r="H20" t="s">
        <v>51</v>
      </c>
      <c r="I20" t="s">
        <v>184</v>
      </c>
      <c r="J20" t="str">
        <f>"1101005"</f>
        <v>1101005</v>
      </c>
      <c r="K20">
        <v>2551082082</v>
      </c>
      <c r="L20">
        <v>2551082082</v>
      </c>
      <c r="M20" t="s">
        <v>210</v>
      </c>
      <c r="N20" t="s">
        <v>31</v>
      </c>
      <c r="O20" t="s">
        <v>211</v>
      </c>
      <c r="P20">
        <v>68100</v>
      </c>
      <c r="Q20" t="str">
        <f>"40.852275"</f>
        <v>40.852275</v>
      </c>
      <c r="R20" t="str">
        <f>"25.871753"</f>
        <v>25.871753</v>
      </c>
      <c r="S20" t="s">
        <v>26</v>
      </c>
    </row>
    <row r="21" spans="1:19" x14ac:dyDescent="0.3">
      <c r="A21" t="s">
        <v>19</v>
      </c>
      <c r="B21" t="s">
        <v>202</v>
      </c>
      <c r="C21" t="s">
        <v>213</v>
      </c>
      <c r="D21" t="s">
        <v>27</v>
      </c>
      <c r="E21" t="s">
        <v>28</v>
      </c>
      <c r="F21" t="s">
        <v>28</v>
      </c>
      <c r="G21" t="s">
        <v>28</v>
      </c>
      <c r="H21" t="s">
        <v>51</v>
      </c>
      <c r="I21" t="s">
        <v>199</v>
      </c>
      <c r="J21" t="str">
        <f>"1150085"</f>
        <v>1150085</v>
      </c>
      <c r="K21">
        <v>2551029845</v>
      </c>
      <c r="L21">
        <v>2551023108</v>
      </c>
      <c r="M21" t="s">
        <v>214</v>
      </c>
      <c r="N21" t="s">
        <v>28</v>
      </c>
      <c r="O21" t="s">
        <v>215</v>
      </c>
      <c r="P21">
        <v>68100</v>
      </c>
      <c r="Q21" t="str">
        <f>"40.867429"</f>
        <v>40.867429</v>
      </c>
      <c r="R21" t="str">
        <f>"25.869819"</f>
        <v>25.869819</v>
      </c>
      <c r="S21" t="s">
        <v>26</v>
      </c>
    </row>
    <row r="22" spans="1:19" x14ac:dyDescent="0.3">
      <c r="A22" t="s">
        <v>19</v>
      </c>
      <c r="B22" t="s">
        <v>202</v>
      </c>
      <c r="C22" t="s">
        <v>222</v>
      </c>
      <c r="D22" t="s">
        <v>27</v>
      </c>
      <c r="E22" t="s">
        <v>221</v>
      </c>
      <c r="F22" t="s">
        <v>221</v>
      </c>
      <c r="G22" t="s">
        <v>221</v>
      </c>
      <c r="H22" t="s">
        <v>51</v>
      </c>
      <c r="I22" t="s">
        <v>184</v>
      </c>
      <c r="J22" t="str">
        <f>"1104015"</f>
        <v>1104015</v>
      </c>
      <c r="K22">
        <v>2552081797</v>
      </c>
      <c r="L22">
        <v>2552081797</v>
      </c>
      <c r="M22" t="s">
        <v>223</v>
      </c>
      <c r="N22" t="s">
        <v>224</v>
      </c>
      <c r="O22" t="s">
        <v>225</v>
      </c>
      <c r="P22">
        <v>68200</v>
      </c>
      <c r="Q22" t="str">
        <f>"41.501402"</f>
        <v>41.501402</v>
      </c>
      <c r="R22" t="str">
        <f>"26.531080"</f>
        <v>26.531080</v>
      </c>
      <c r="S22" t="s">
        <v>26</v>
      </c>
    </row>
    <row r="23" spans="1:19" x14ac:dyDescent="0.3">
      <c r="A23" t="s">
        <v>19</v>
      </c>
      <c r="B23" t="s">
        <v>202</v>
      </c>
      <c r="C23" t="s">
        <v>297</v>
      </c>
      <c r="D23" t="s">
        <v>27</v>
      </c>
      <c r="E23" t="s">
        <v>221</v>
      </c>
      <c r="F23" t="s">
        <v>221</v>
      </c>
      <c r="G23" t="s">
        <v>221</v>
      </c>
      <c r="H23" t="s">
        <v>51</v>
      </c>
      <c r="I23" t="s">
        <v>52</v>
      </c>
      <c r="J23" t="str">
        <f>"1104010"</f>
        <v>1104010</v>
      </c>
      <c r="K23">
        <v>2552022477</v>
      </c>
      <c r="L23">
        <v>2552022825</v>
      </c>
      <c r="M23" t="s">
        <v>298</v>
      </c>
      <c r="N23" t="s">
        <v>224</v>
      </c>
      <c r="O23" t="s">
        <v>299</v>
      </c>
      <c r="P23">
        <v>68200</v>
      </c>
      <c r="Q23" t="str">
        <f>"41.504530"</f>
        <v>41.504530</v>
      </c>
      <c r="R23" t="str">
        <f>"26.523789"</f>
        <v>26.523789</v>
      </c>
      <c r="S23" t="s">
        <v>26</v>
      </c>
    </row>
    <row r="24" spans="1:19" x14ac:dyDescent="0.3">
      <c r="A24" t="s">
        <v>19</v>
      </c>
      <c r="B24" t="s">
        <v>202</v>
      </c>
      <c r="C24" t="s">
        <v>300</v>
      </c>
      <c r="D24" t="s">
        <v>27</v>
      </c>
      <c r="E24" t="s">
        <v>248</v>
      </c>
      <c r="F24" t="s">
        <v>248</v>
      </c>
      <c r="G24" t="s">
        <v>248</v>
      </c>
      <c r="H24" t="s">
        <v>51</v>
      </c>
      <c r="I24" t="s">
        <v>52</v>
      </c>
      <c r="J24" t="str">
        <f>"1102010"</f>
        <v>1102010</v>
      </c>
      <c r="K24">
        <v>2553022265</v>
      </c>
      <c r="L24">
        <v>2553022265</v>
      </c>
      <c r="M24" t="s">
        <v>301</v>
      </c>
      <c r="N24" t="s">
        <v>302</v>
      </c>
      <c r="O24" t="s">
        <v>303</v>
      </c>
      <c r="P24">
        <v>68300</v>
      </c>
      <c r="Q24" t="str">
        <f>"41.348760"</f>
        <v>41.348760</v>
      </c>
      <c r="R24" t="str">
        <f>"26.496662"</f>
        <v>26.496662</v>
      </c>
      <c r="S24" t="s">
        <v>26</v>
      </c>
    </row>
    <row r="25" spans="1:19" x14ac:dyDescent="0.3">
      <c r="A25" t="s">
        <v>19</v>
      </c>
      <c r="B25" t="s">
        <v>202</v>
      </c>
      <c r="C25" t="s">
        <v>305</v>
      </c>
      <c r="D25" t="s">
        <v>27</v>
      </c>
      <c r="E25" t="s">
        <v>289</v>
      </c>
      <c r="F25" t="s">
        <v>289</v>
      </c>
      <c r="G25" t="s">
        <v>289</v>
      </c>
      <c r="H25" t="s">
        <v>51</v>
      </c>
      <c r="I25" t="s">
        <v>52</v>
      </c>
      <c r="J25" t="str">
        <f>"1105010"</f>
        <v>1105010</v>
      </c>
      <c r="K25">
        <v>2551041216</v>
      </c>
      <c r="L25">
        <v>2551041582</v>
      </c>
      <c r="M25" t="s">
        <v>306</v>
      </c>
      <c r="N25" t="s">
        <v>307</v>
      </c>
      <c r="O25" t="s">
        <v>308</v>
      </c>
      <c r="P25">
        <v>68002</v>
      </c>
      <c r="Q25" t="str">
        <f>"40.473742"</f>
        <v>40.473742</v>
      </c>
      <c r="R25" t="str">
        <f>"25.495841"</f>
        <v>25.495841</v>
      </c>
      <c r="S25" t="s">
        <v>57</v>
      </c>
    </row>
    <row r="26" spans="1:19" x14ac:dyDescent="0.3">
      <c r="A26" t="s">
        <v>19</v>
      </c>
      <c r="B26" t="s">
        <v>202</v>
      </c>
      <c r="C26" t="s">
        <v>309</v>
      </c>
      <c r="D26" t="s">
        <v>27</v>
      </c>
      <c r="E26" t="s">
        <v>28</v>
      </c>
      <c r="F26" t="s">
        <v>28</v>
      </c>
      <c r="G26" t="s">
        <v>28</v>
      </c>
      <c r="H26" t="s">
        <v>51</v>
      </c>
      <c r="I26" t="s">
        <v>52</v>
      </c>
      <c r="J26" t="str">
        <f>"1101040"</f>
        <v>1101040</v>
      </c>
      <c r="K26">
        <v>2551024346</v>
      </c>
      <c r="L26">
        <v>2551084124</v>
      </c>
      <c r="M26" t="s">
        <v>310</v>
      </c>
      <c r="N26" t="s">
        <v>31</v>
      </c>
      <c r="O26" t="s">
        <v>311</v>
      </c>
      <c r="P26">
        <v>68100</v>
      </c>
      <c r="Q26" t="str">
        <f>"40.852880"</f>
        <v>40.852880</v>
      </c>
      <c r="R26" t="str">
        <f>"25.872604"</f>
        <v>25.872604</v>
      </c>
      <c r="S26" t="s">
        <v>26</v>
      </c>
    </row>
    <row r="27" spans="1:19" x14ac:dyDescent="0.3">
      <c r="A27" t="s">
        <v>19</v>
      </c>
      <c r="B27" t="s">
        <v>202</v>
      </c>
      <c r="C27" t="s">
        <v>314</v>
      </c>
      <c r="D27" t="s">
        <v>27</v>
      </c>
      <c r="E27" t="s">
        <v>221</v>
      </c>
      <c r="F27" t="s">
        <v>312</v>
      </c>
      <c r="G27" t="s">
        <v>313</v>
      </c>
      <c r="H27" t="s">
        <v>51</v>
      </c>
      <c r="I27" t="s">
        <v>52</v>
      </c>
      <c r="J27" t="str">
        <f>"1111010"</f>
        <v>1111010</v>
      </c>
      <c r="K27">
        <v>2552094228</v>
      </c>
      <c r="M27" t="s">
        <v>315</v>
      </c>
      <c r="N27" t="s">
        <v>316</v>
      </c>
      <c r="O27" t="s">
        <v>317</v>
      </c>
      <c r="P27">
        <v>68014</v>
      </c>
      <c r="Q27" t="str">
        <f>"41.620626"</f>
        <v>41.620626</v>
      </c>
      <c r="R27" t="str">
        <f>"26.426257"</f>
        <v>26.426257</v>
      </c>
      <c r="S27" t="s">
        <v>57</v>
      </c>
    </row>
    <row r="28" spans="1:19" x14ac:dyDescent="0.3">
      <c r="A28" t="s">
        <v>19</v>
      </c>
      <c r="B28" t="s">
        <v>202</v>
      </c>
      <c r="C28" t="s">
        <v>319</v>
      </c>
      <c r="D28" t="s">
        <v>27</v>
      </c>
      <c r="E28" t="s">
        <v>28</v>
      </c>
      <c r="F28" t="s">
        <v>28</v>
      </c>
      <c r="G28" t="s">
        <v>28</v>
      </c>
      <c r="H28" t="s">
        <v>51</v>
      </c>
      <c r="I28" t="s">
        <v>52</v>
      </c>
      <c r="J28" t="str">
        <f>"1101020"</f>
        <v>1101020</v>
      </c>
      <c r="K28">
        <v>2551028461</v>
      </c>
      <c r="L28">
        <v>2551033735</v>
      </c>
      <c r="M28" t="s">
        <v>320</v>
      </c>
      <c r="N28" t="s">
        <v>31</v>
      </c>
      <c r="O28" t="s">
        <v>321</v>
      </c>
      <c r="P28">
        <v>68131</v>
      </c>
      <c r="Q28" t="str">
        <f>"40.849040"</f>
        <v>40.849040</v>
      </c>
      <c r="R28" t="str">
        <f>"25.858964"</f>
        <v>25.858964</v>
      </c>
      <c r="S28" t="s">
        <v>26</v>
      </c>
    </row>
    <row r="29" spans="1:19" x14ac:dyDescent="0.3">
      <c r="A29" t="s">
        <v>19</v>
      </c>
      <c r="B29" t="s">
        <v>202</v>
      </c>
      <c r="C29" t="s">
        <v>322</v>
      </c>
      <c r="D29" t="s">
        <v>27</v>
      </c>
      <c r="E29" t="s">
        <v>221</v>
      </c>
      <c r="F29" t="s">
        <v>221</v>
      </c>
      <c r="G29" t="s">
        <v>221</v>
      </c>
      <c r="H29" t="s">
        <v>51</v>
      </c>
      <c r="I29" t="s">
        <v>52</v>
      </c>
      <c r="J29" t="str">
        <f>"1104011"</f>
        <v>1104011</v>
      </c>
      <c r="K29">
        <v>2552029187</v>
      </c>
      <c r="L29">
        <v>2552029187</v>
      </c>
      <c r="M29" t="s">
        <v>323</v>
      </c>
      <c r="N29" t="s">
        <v>224</v>
      </c>
      <c r="O29" t="s">
        <v>324</v>
      </c>
      <c r="P29">
        <v>68200</v>
      </c>
      <c r="Q29" t="str">
        <f>"41.499826"</f>
        <v>41.499826</v>
      </c>
      <c r="R29" t="str">
        <f>"26.521523"</f>
        <v>26.521523</v>
      </c>
      <c r="S29" t="s">
        <v>26</v>
      </c>
    </row>
    <row r="30" spans="1:19" x14ac:dyDescent="0.3">
      <c r="A30" t="s">
        <v>19</v>
      </c>
      <c r="B30" t="s">
        <v>202</v>
      </c>
      <c r="C30" t="s">
        <v>325</v>
      </c>
      <c r="D30" t="s">
        <v>27</v>
      </c>
      <c r="E30" t="s">
        <v>264</v>
      </c>
      <c r="F30" t="s">
        <v>264</v>
      </c>
      <c r="G30" t="s">
        <v>264</v>
      </c>
      <c r="H30" t="s">
        <v>51</v>
      </c>
      <c r="I30" t="s">
        <v>52</v>
      </c>
      <c r="J30" t="str">
        <f>"1106010"</f>
        <v>1106010</v>
      </c>
      <c r="K30">
        <v>2554022281</v>
      </c>
      <c r="L30">
        <v>2554022281</v>
      </c>
      <c r="M30" t="s">
        <v>326</v>
      </c>
      <c r="N30" t="s">
        <v>327</v>
      </c>
      <c r="O30" t="s">
        <v>268</v>
      </c>
      <c r="P30">
        <v>68400</v>
      </c>
      <c r="Q30" t="str">
        <f>"41.131280"</f>
        <v>41.131280</v>
      </c>
      <c r="R30" t="str">
        <f>"26.299370"</f>
        <v>26.299370</v>
      </c>
      <c r="S30" t="s">
        <v>26</v>
      </c>
    </row>
    <row r="31" spans="1:19" x14ac:dyDescent="0.3">
      <c r="A31" t="s">
        <v>19</v>
      </c>
      <c r="B31" t="s">
        <v>202</v>
      </c>
      <c r="C31" t="s">
        <v>330</v>
      </c>
      <c r="D31" t="s">
        <v>27</v>
      </c>
      <c r="E31" t="s">
        <v>248</v>
      </c>
      <c r="F31" t="s">
        <v>329</v>
      </c>
      <c r="G31" t="s">
        <v>329</v>
      </c>
      <c r="H31" t="s">
        <v>51</v>
      </c>
      <c r="I31" t="s">
        <v>89</v>
      </c>
      <c r="J31" t="str">
        <f>"1109010"</f>
        <v>1109010</v>
      </c>
      <c r="K31">
        <v>2553051294</v>
      </c>
      <c r="L31">
        <v>2553051294</v>
      </c>
      <c r="M31" t="s">
        <v>331</v>
      </c>
      <c r="N31" t="s">
        <v>332</v>
      </c>
      <c r="O31" t="s">
        <v>332</v>
      </c>
      <c r="P31">
        <v>68010</v>
      </c>
      <c r="Q31" t="str">
        <f>"41.417116"</f>
        <v>41.417116</v>
      </c>
      <c r="R31" t="str">
        <f>"26.222331"</f>
        <v>26.222331</v>
      </c>
      <c r="S31" t="s">
        <v>57</v>
      </c>
    </row>
    <row r="32" spans="1:19" x14ac:dyDescent="0.3">
      <c r="A32" t="s">
        <v>19</v>
      </c>
      <c r="B32" t="s">
        <v>202</v>
      </c>
      <c r="C32" t="s">
        <v>334</v>
      </c>
      <c r="D32" t="s">
        <v>27</v>
      </c>
      <c r="E32" t="s">
        <v>221</v>
      </c>
      <c r="F32" t="s">
        <v>221</v>
      </c>
      <c r="G32" t="s">
        <v>221</v>
      </c>
      <c r="H32" t="s">
        <v>51</v>
      </c>
      <c r="I32" t="s">
        <v>52</v>
      </c>
      <c r="J32" t="str">
        <f>"1104012"</f>
        <v>1104012</v>
      </c>
      <c r="K32">
        <v>2552024267</v>
      </c>
      <c r="L32">
        <v>2552024267</v>
      </c>
      <c r="M32" t="s">
        <v>335</v>
      </c>
      <c r="N32" t="s">
        <v>336</v>
      </c>
      <c r="O32" t="s">
        <v>337</v>
      </c>
      <c r="P32">
        <v>68200</v>
      </c>
      <c r="Q32" t="str">
        <f>"41.496310"</f>
        <v>41.496310</v>
      </c>
      <c r="R32" t="str">
        <f>"26.534779"</f>
        <v>26.534779</v>
      </c>
      <c r="S32" t="s">
        <v>26</v>
      </c>
    </row>
    <row r="33" spans="1:19" x14ac:dyDescent="0.3">
      <c r="A33" t="s">
        <v>19</v>
      </c>
      <c r="B33" t="s">
        <v>202</v>
      </c>
      <c r="C33" t="s">
        <v>338</v>
      </c>
      <c r="D33" t="s">
        <v>27</v>
      </c>
      <c r="E33" t="s">
        <v>28</v>
      </c>
      <c r="F33" t="s">
        <v>28</v>
      </c>
      <c r="G33" t="s">
        <v>28</v>
      </c>
      <c r="H33" t="s">
        <v>51</v>
      </c>
      <c r="I33" t="s">
        <v>52</v>
      </c>
      <c r="J33" t="str">
        <f>"1101045"</f>
        <v>1101045</v>
      </c>
      <c r="K33">
        <v>2551031447</v>
      </c>
      <c r="L33">
        <v>2551080411</v>
      </c>
      <c r="M33" t="s">
        <v>339</v>
      </c>
      <c r="N33" t="s">
        <v>31</v>
      </c>
      <c r="O33" t="s">
        <v>340</v>
      </c>
      <c r="P33">
        <v>68100</v>
      </c>
      <c r="Q33" t="str">
        <f>"40.856266"</f>
        <v>40.856266</v>
      </c>
      <c r="R33" t="str">
        <f>"25.879867"</f>
        <v>25.879867</v>
      </c>
      <c r="S33" t="s">
        <v>26</v>
      </c>
    </row>
    <row r="34" spans="1:19" x14ac:dyDescent="0.3">
      <c r="A34" t="s">
        <v>19</v>
      </c>
      <c r="B34" t="s">
        <v>202</v>
      </c>
      <c r="C34" t="s">
        <v>344</v>
      </c>
      <c r="D34" t="s">
        <v>27</v>
      </c>
      <c r="E34" t="s">
        <v>264</v>
      </c>
      <c r="F34" t="s">
        <v>342</v>
      </c>
      <c r="G34" t="s">
        <v>343</v>
      </c>
      <c r="H34" t="s">
        <v>51</v>
      </c>
      <c r="I34" t="s">
        <v>52</v>
      </c>
      <c r="J34" t="str">
        <f>"1114010"</f>
        <v>1114010</v>
      </c>
      <c r="K34">
        <v>2553031226</v>
      </c>
      <c r="L34">
        <v>2553031226</v>
      </c>
      <c r="M34" t="s">
        <v>345</v>
      </c>
      <c r="N34" t="s">
        <v>346</v>
      </c>
      <c r="O34" t="s">
        <v>347</v>
      </c>
      <c r="P34">
        <v>68004</v>
      </c>
      <c r="Q34" t="str">
        <f>"41.269870"</f>
        <v>41.269870</v>
      </c>
      <c r="R34" t="str">
        <f>"26.383096"</f>
        <v>26.383096</v>
      </c>
      <c r="S34" t="s">
        <v>26</v>
      </c>
    </row>
    <row r="35" spans="1:19" x14ac:dyDescent="0.3">
      <c r="A35" t="s">
        <v>19</v>
      </c>
      <c r="B35" t="s">
        <v>202</v>
      </c>
      <c r="C35" t="s">
        <v>351</v>
      </c>
      <c r="D35" t="s">
        <v>27</v>
      </c>
      <c r="E35" t="s">
        <v>28</v>
      </c>
      <c r="F35" t="s">
        <v>349</v>
      </c>
      <c r="G35" t="s">
        <v>350</v>
      </c>
      <c r="H35" t="s">
        <v>51</v>
      </c>
      <c r="I35" t="s">
        <v>52</v>
      </c>
      <c r="J35" t="str">
        <f>"1112010"</f>
        <v>1112010</v>
      </c>
      <c r="K35">
        <v>2551051242</v>
      </c>
      <c r="L35">
        <v>2551051242</v>
      </c>
      <c r="M35" t="s">
        <v>352</v>
      </c>
      <c r="N35" t="s">
        <v>353</v>
      </c>
      <c r="O35" t="s">
        <v>354</v>
      </c>
      <c r="P35">
        <v>68100</v>
      </c>
      <c r="Q35" t="str">
        <f>"40.869626"</f>
        <v>40.869626</v>
      </c>
      <c r="R35" t="str">
        <f>"25.988208"</f>
        <v>25.988208</v>
      </c>
      <c r="S35" t="s">
        <v>26</v>
      </c>
    </row>
    <row r="36" spans="1:19" x14ac:dyDescent="0.3">
      <c r="A36" t="s">
        <v>19</v>
      </c>
      <c r="B36" t="s">
        <v>202</v>
      </c>
      <c r="C36" t="s">
        <v>357</v>
      </c>
      <c r="D36" t="s">
        <v>27</v>
      </c>
      <c r="E36" t="s">
        <v>221</v>
      </c>
      <c r="F36" t="s">
        <v>312</v>
      </c>
      <c r="G36" t="s">
        <v>356</v>
      </c>
      <c r="H36" t="s">
        <v>51</v>
      </c>
      <c r="I36" t="s">
        <v>52</v>
      </c>
      <c r="J36" t="str">
        <f>"1108010"</f>
        <v>1108010</v>
      </c>
      <c r="K36">
        <v>2552071290</v>
      </c>
      <c r="L36">
        <v>2552071290</v>
      </c>
      <c r="M36" t="s">
        <v>358</v>
      </c>
      <c r="N36" t="s">
        <v>359</v>
      </c>
      <c r="O36" t="s">
        <v>360</v>
      </c>
      <c r="P36">
        <v>68001</v>
      </c>
      <c r="Q36" t="str">
        <f>"41.576193"</f>
        <v>41.576193</v>
      </c>
      <c r="R36" t="str">
        <f>"26.530130"</f>
        <v>26.530130</v>
      </c>
      <c r="S36" t="s">
        <v>26</v>
      </c>
    </row>
    <row r="37" spans="1:19" x14ac:dyDescent="0.3">
      <c r="A37" t="s">
        <v>19</v>
      </c>
      <c r="B37" t="s">
        <v>202</v>
      </c>
      <c r="C37" t="s">
        <v>362</v>
      </c>
      <c r="D37" t="s">
        <v>27</v>
      </c>
      <c r="E37" t="s">
        <v>221</v>
      </c>
      <c r="F37" t="s">
        <v>277</v>
      </c>
      <c r="G37" t="s">
        <v>278</v>
      </c>
      <c r="H37" t="s">
        <v>51</v>
      </c>
      <c r="I37" t="s">
        <v>52</v>
      </c>
      <c r="J37" t="str">
        <f>"1103010"</f>
        <v>1103010</v>
      </c>
      <c r="K37">
        <v>2556031586</v>
      </c>
      <c r="L37">
        <v>2556031586</v>
      </c>
      <c r="M37" t="s">
        <v>363</v>
      </c>
      <c r="N37" t="s">
        <v>364</v>
      </c>
      <c r="O37" t="s">
        <v>364</v>
      </c>
      <c r="P37">
        <v>68007</v>
      </c>
      <c r="Q37" t="str">
        <f>"41.702817"</f>
        <v>41.702817</v>
      </c>
      <c r="R37" t="str">
        <f>"26.297412"</f>
        <v>26.297412</v>
      </c>
      <c r="S37" t="s">
        <v>57</v>
      </c>
    </row>
    <row r="38" spans="1:19" x14ac:dyDescent="0.3">
      <c r="A38" t="s">
        <v>19</v>
      </c>
      <c r="B38" t="s">
        <v>202</v>
      </c>
      <c r="C38" t="s">
        <v>365</v>
      </c>
      <c r="D38" t="s">
        <v>27</v>
      </c>
      <c r="E38" t="s">
        <v>28</v>
      </c>
      <c r="F38" t="s">
        <v>203</v>
      </c>
      <c r="G38" t="s">
        <v>203</v>
      </c>
      <c r="H38" t="s">
        <v>51</v>
      </c>
      <c r="I38" t="s">
        <v>52</v>
      </c>
      <c r="J38" t="str">
        <f>"1107010"</f>
        <v>1107010</v>
      </c>
      <c r="K38">
        <v>2555022269</v>
      </c>
      <c r="L38">
        <v>2555022269</v>
      </c>
      <c r="M38" t="s">
        <v>366</v>
      </c>
      <c r="N38" t="s">
        <v>206</v>
      </c>
      <c r="O38" t="s">
        <v>207</v>
      </c>
      <c r="P38">
        <v>68500</v>
      </c>
      <c r="Q38" t="str">
        <f>"40.892897"</f>
        <v>40.892897</v>
      </c>
      <c r="R38" t="str">
        <f>"26.168643"</f>
        <v>26.168643</v>
      </c>
      <c r="S38" t="s">
        <v>26</v>
      </c>
    </row>
    <row r="39" spans="1:19" x14ac:dyDescent="0.3">
      <c r="A39" t="s">
        <v>19</v>
      </c>
      <c r="B39" t="s">
        <v>202</v>
      </c>
      <c r="C39" t="s">
        <v>369</v>
      </c>
      <c r="D39" t="s">
        <v>27</v>
      </c>
      <c r="E39" t="s">
        <v>221</v>
      </c>
      <c r="F39" t="s">
        <v>367</v>
      </c>
      <c r="G39" t="s">
        <v>368</v>
      </c>
      <c r="H39" t="s">
        <v>51</v>
      </c>
      <c r="I39" t="s">
        <v>52</v>
      </c>
      <c r="J39" t="str">
        <f>"1113010"</f>
        <v>1113010</v>
      </c>
      <c r="K39">
        <v>2556022362</v>
      </c>
      <c r="L39">
        <v>2556022362</v>
      </c>
      <c r="M39" t="s">
        <v>370</v>
      </c>
      <c r="N39" t="s">
        <v>368</v>
      </c>
      <c r="O39" t="s">
        <v>368</v>
      </c>
      <c r="P39">
        <v>68006</v>
      </c>
      <c r="Q39" t="str">
        <f>"41.573309"</f>
        <v>41.573309</v>
      </c>
      <c r="R39" t="str">
        <f>"26.220380"</f>
        <v>26.220380</v>
      </c>
      <c r="S39" t="s">
        <v>57</v>
      </c>
    </row>
    <row r="40" spans="1:19" x14ac:dyDescent="0.3">
      <c r="A40" t="s">
        <v>19</v>
      </c>
      <c r="B40" t="s">
        <v>202</v>
      </c>
      <c r="C40" t="s">
        <v>372</v>
      </c>
      <c r="D40" t="s">
        <v>27</v>
      </c>
      <c r="E40" t="s">
        <v>28</v>
      </c>
      <c r="F40" t="s">
        <v>28</v>
      </c>
      <c r="G40" t="s">
        <v>28</v>
      </c>
      <c r="H40" t="s">
        <v>51</v>
      </c>
      <c r="I40" t="s">
        <v>52</v>
      </c>
      <c r="J40" t="str">
        <f>"1101010"</f>
        <v>1101010</v>
      </c>
      <c r="K40">
        <v>2551028343</v>
      </c>
      <c r="L40">
        <v>2551038046</v>
      </c>
      <c r="M40" t="s">
        <v>373</v>
      </c>
      <c r="N40" t="s">
        <v>31</v>
      </c>
      <c r="O40" t="s">
        <v>374</v>
      </c>
      <c r="P40">
        <v>68100</v>
      </c>
      <c r="Q40" t="str">
        <f>"40.852184"</f>
        <v>40.852184</v>
      </c>
      <c r="R40" t="str">
        <f>"25.871767"</f>
        <v>25.871767</v>
      </c>
      <c r="S40" t="s">
        <v>26</v>
      </c>
    </row>
    <row r="41" spans="1:19" x14ac:dyDescent="0.3">
      <c r="A41" t="s">
        <v>19</v>
      </c>
      <c r="B41" t="s">
        <v>202</v>
      </c>
      <c r="C41" t="s">
        <v>377</v>
      </c>
      <c r="D41" t="s">
        <v>27</v>
      </c>
      <c r="E41" t="s">
        <v>28</v>
      </c>
      <c r="F41" t="s">
        <v>28</v>
      </c>
      <c r="G41" t="s">
        <v>28</v>
      </c>
      <c r="H41" t="s">
        <v>51</v>
      </c>
      <c r="I41" t="s">
        <v>52</v>
      </c>
      <c r="J41" t="str">
        <f>"1101030"</f>
        <v>1101030</v>
      </c>
      <c r="K41">
        <v>2551028063</v>
      </c>
      <c r="L41">
        <v>2551082563</v>
      </c>
      <c r="M41" t="s">
        <v>378</v>
      </c>
      <c r="N41" t="s">
        <v>31</v>
      </c>
      <c r="O41" t="s">
        <v>379</v>
      </c>
      <c r="P41">
        <v>68100</v>
      </c>
      <c r="Q41" t="str">
        <f>"40.852322"</f>
        <v>40.852322</v>
      </c>
      <c r="R41" t="str">
        <f>"25.872506"</f>
        <v>25.872506</v>
      </c>
      <c r="S41" t="s">
        <v>26</v>
      </c>
    </row>
    <row r="42" spans="1:19" x14ac:dyDescent="0.3">
      <c r="A42" t="s">
        <v>19</v>
      </c>
      <c r="B42" t="s">
        <v>202</v>
      </c>
      <c r="C42" t="s">
        <v>385</v>
      </c>
      <c r="D42" t="s">
        <v>27</v>
      </c>
      <c r="E42" t="s">
        <v>264</v>
      </c>
      <c r="F42" t="s">
        <v>384</v>
      </c>
      <c r="G42" t="s">
        <v>384</v>
      </c>
      <c r="H42" t="s">
        <v>51</v>
      </c>
      <c r="I42" t="s">
        <v>52</v>
      </c>
      <c r="J42" t="str">
        <f>"1110010"</f>
        <v>1110010</v>
      </c>
      <c r="K42">
        <v>2554041349</v>
      </c>
      <c r="L42">
        <v>2554041349</v>
      </c>
      <c r="M42" t="s">
        <v>386</v>
      </c>
      <c r="N42" t="s">
        <v>387</v>
      </c>
      <c r="O42" t="s">
        <v>387</v>
      </c>
      <c r="P42">
        <v>68003</v>
      </c>
      <c r="Q42" t="str">
        <f>"41.027293"</f>
        <v>41.027293</v>
      </c>
      <c r="R42" t="str">
        <f>"26.288319"</f>
        <v>26.288319</v>
      </c>
      <c r="S42" t="s">
        <v>26</v>
      </c>
    </row>
    <row r="43" spans="1:19" x14ac:dyDescent="0.3">
      <c r="A43" t="s">
        <v>19</v>
      </c>
      <c r="B43" t="s">
        <v>202</v>
      </c>
      <c r="C43" t="s">
        <v>389</v>
      </c>
      <c r="D43" t="s">
        <v>27</v>
      </c>
      <c r="E43" t="s">
        <v>248</v>
      </c>
      <c r="F43" t="s">
        <v>248</v>
      </c>
      <c r="G43" t="s">
        <v>248</v>
      </c>
      <c r="H43" t="s">
        <v>51</v>
      </c>
      <c r="I43" t="s">
        <v>52</v>
      </c>
      <c r="J43" t="str">
        <f>"1102011"</f>
        <v>1102011</v>
      </c>
      <c r="K43">
        <v>2553023165</v>
      </c>
      <c r="L43">
        <v>2553023165</v>
      </c>
      <c r="M43" t="s">
        <v>390</v>
      </c>
      <c r="N43" t="s">
        <v>302</v>
      </c>
      <c r="O43" t="s">
        <v>391</v>
      </c>
      <c r="P43">
        <v>68300</v>
      </c>
      <c r="Q43" t="str">
        <f>"41.348462"</f>
        <v>41.348462</v>
      </c>
      <c r="R43" t="str">
        <f>"26.497786"</f>
        <v>26.497786</v>
      </c>
      <c r="S43" t="s">
        <v>26</v>
      </c>
    </row>
    <row r="44" spans="1:19" x14ac:dyDescent="0.3">
      <c r="A44" t="s">
        <v>19</v>
      </c>
      <c r="B44" t="s">
        <v>202</v>
      </c>
      <c r="C44" t="s">
        <v>398</v>
      </c>
      <c r="D44" t="s">
        <v>27</v>
      </c>
      <c r="E44" t="s">
        <v>28</v>
      </c>
      <c r="F44" t="s">
        <v>28</v>
      </c>
      <c r="G44" t="s">
        <v>28</v>
      </c>
      <c r="H44" t="s">
        <v>51</v>
      </c>
      <c r="I44" t="s">
        <v>190</v>
      </c>
      <c r="J44" t="str">
        <f>"1139001"</f>
        <v>1139001</v>
      </c>
      <c r="K44">
        <v>2551026448</v>
      </c>
      <c r="M44" t="s">
        <v>399</v>
      </c>
      <c r="N44" t="s">
        <v>31</v>
      </c>
      <c r="O44" t="s">
        <v>400</v>
      </c>
      <c r="P44">
        <v>68131</v>
      </c>
      <c r="Q44" t="str">
        <f>"40.852861"</f>
        <v>40.852861</v>
      </c>
      <c r="R44" t="str">
        <f>"25.869782"</f>
        <v>25.869782</v>
      </c>
      <c r="S44" t="s">
        <v>26</v>
      </c>
    </row>
    <row r="45" spans="1:19" x14ac:dyDescent="0.3">
      <c r="A45" t="s">
        <v>19</v>
      </c>
      <c r="B45" t="s">
        <v>202</v>
      </c>
      <c r="C45" t="s">
        <v>401</v>
      </c>
      <c r="D45" t="s">
        <v>27</v>
      </c>
      <c r="E45" t="s">
        <v>221</v>
      </c>
      <c r="F45" t="s">
        <v>221</v>
      </c>
      <c r="G45" t="s">
        <v>221</v>
      </c>
      <c r="H45" t="s">
        <v>51</v>
      </c>
      <c r="I45" t="s">
        <v>199</v>
      </c>
      <c r="J45" t="str">
        <f>"1111001"</f>
        <v>1111001</v>
      </c>
      <c r="K45">
        <v>2552301851</v>
      </c>
      <c r="L45">
        <v>2552301851</v>
      </c>
      <c r="M45" t="s">
        <v>402</v>
      </c>
      <c r="N45" t="s">
        <v>224</v>
      </c>
      <c r="O45" t="s">
        <v>403</v>
      </c>
      <c r="P45">
        <v>68200</v>
      </c>
      <c r="Q45" t="str">
        <f>"41.498155"</f>
        <v>41.498155</v>
      </c>
      <c r="R45" t="str">
        <f>"26.534966"</f>
        <v>26.534966</v>
      </c>
      <c r="S45" t="s">
        <v>26</v>
      </c>
    </row>
    <row r="46" spans="1:19" x14ac:dyDescent="0.3">
      <c r="A46" t="s">
        <v>19</v>
      </c>
      <c r="B46" t="s">
        <v>202</v>
      </c>
      <c r="C46" t="s">
        <v>408</v>
      </c>
      <c r="D46" t="s">
        <v>27</v>
      </c>
      <c r="E46" t="s">
        <v>28</v>
      </c>
      <c r="F46" t="s">
        <v>28</v>
      </c>
      <c r="G46" t="s">
        <v>28</v>
      </c>
      <c r="H46" t="s">
        <v>51</v>
      </c>
      <c r="I46" t="s">
        <v>52</v>
      </c>
      <c r="J46" t="str">
        <f>"1101000"</f>
        <v>1101000</v>
      </c>
      <c r="K46">
        <v>2551053366</v>
      </c>
      <c r="M46" t="s">
        <v>409</v>
      </c>
      <c r="N46" t="s">
        <v>28</v>
      </c>
      <c r="O46" t="s">
        <v>379</v>
      </c>
      <c r="Q46" t="str">
        <f>"40.851645"</f>
        <v>40.851645</v>
      </c>
      <c r="R46" t="str">
        <f>"25.871947"</f>
        <v>25.871947</v>
      </c>
      <c r="S46" t="s">
        <v>26</v>
      </c>
    </row>
    <row r="47" spans="1:19" x14ac:dyDescent="0.3">
      <c r="A47" t="s">
        <v>19</v>
      </c>
      <c r="B47" t="s">
        <v>410</v>
      </c>
      <c r="C47" t="s">
        <v>413</v>
      </c>
      <c r="D47" t="s">
        <v>33</v>
      </c>
      <c r="E47" t="s">
        <v>411</v>
      </c>
      <c r="F47" t="s">
        <v>411</v>
      </c>
      <c r="G47" t="s">
        <v>412</v>
      </c>
      <c r="H47" t="s">
        <v>51</v>
      </c>
      <c r="I47" t="s">
        <v>52</v>
      </c>
      <c r="J47" t="str">
        <f>"2106010"</f>
        <v>2106010</v>
      </c>
      <c r="K47">
        <v>2592061333</v>
      </c>
      <c r="L47">
        <v>2592061333</v>
      </c>
      <c r="M47" t="s">
        <v>414</v>
      </c>
      <c r="N47" t="s">
        <v>415</v>
      </c>
      <c r="O47" t="s">
        <v>416</v>
      </c>
      <c r="P47">
        <v>64001</v>
      </c>
      <c r="Q47" t="str">
        <f>"40.952854"</f>
        <v>40.952854</v>
      </c>
      <c r="R47" t="str">
        <f>"24.143552"</f>
        <v>24.143552</v>
      </c>
      <c r="S47" t="s">
        <v>26</v>
      </c>
    </row>
    <row r="48" spans="1:19" x14ac:dyDescent="0.3">
      <c r="A48" t="s">
        <v>19</v>
      </c>
      <c r="B48" t="s">
        <v>410</v>
      </c>
      <c r="C48" t="s">
        <v>420</v>
      </c>
      <c r="D48" t="s">
        <v>33</v>
      </c>
      <c r="E48" t="s">
        <v>411</v>
      </c>
      <c r="F48" t="s">
        <v>418</v>
      </c>
      <c r="G48" t="s">
        <v>419</v>
      </c>
      <c r="H48" t="s">
        <v>51</v>
      </c>
      <c r="I48" t="s">
        <v>52</v>
      </c>
      <c r="J48" t="str">
        <f>"2105010"</f>
        <v>2105010</v>
      </c>
      <c r="K48">
        <v>2592044101</v>
      </c>
      <c r="L48">
        <v>2592044215</v>
      </c>
      <c r="M48" t="s">
        <v>421</v>
      </c>
      <c r="N48" t="s">
        <v>422</v>
      </c>
      <c r="O48" t="s">
        <v>423</v>
      </c>
      <c r="P48">
        <v>64008</v>
      </c>
      <c r="Q48" t="str">
        <f>"40.830380"</f>
        <v>40.830380</v>
      </c>
      <c r="R48" t="str">
        <f>"24.024641"</f>
        <v>24.024641</v>
      </c>
      <c r="S48" t="s">
        <v>26</v>
      </c>
    </row>
    <row r="49" spans="1:19" x14ac:dyDescent="0.3">
      <c r="A49" t="s">
        <v>19</v>
      </c>
      <c r="B49" t="s">
        <v>410</v>
      </c>
      <c r="C49" t="s">
        <v>432</v>
      </c>
      <c r="D49" t="s">
        <v>426</v>
      </c>
      <c r="E49" t="s">
        <v>426</v>
      </c>
      <c r="F49" t="s">
        <v>426</v>
      </c>
      <c r="G49" t="s">
        <v>426</v>
      </c>
      <c r="H49" t="s">
        <v>51</v>
      </c>
      <c r="I49" t="s">
        <v>52</v>
      </c>
      <c r="J49" t="str">
        <f>"2104010"</f>
        <v>2104010</v>
      </c>
      <c r="K49">
        <v>2593022196</v>
      </c>
      <c r="L49">
        <v>2593023708</v>
      </c>
      <c r="M49" t="s">
        <v>433</v>
      </c>
      <c r="N49" t="s">
        <v>434</v>
      </c>
      <c r="O49" t="s">
        <v>430</v>
      </c>
      <c r="P49">
        <v>64004</v>
      </c>
      <c r="Q49" t="str">
        <f>"40.777112"</f>
        <v>40.777112</v>
      </c>
      <c r="R49" t="str">
        <f>"24.702018"</f>
        <v>24.702018</v>
      </c>
      <c r="S49" t="s">
        <v>26</v>
      </c>
    </row>
    <row r="50" spans="1:19" x14ac:dyDescent="0.3">
      <c r="A50" t="s">
        <v>19</v>
      </c>
      <c r="B50" t="s">
        <v>410</v>
      </c>
      <c r="C50" t="s">
        <v>487</v>
      </c>
      <c r="D50" t="s">
        <v>426</v>
      </c>
      <c r="E50" t="s">
        <v>426</v>
      </c>
      <c r="F50" t="s">
        <v>426</v>
      </c>
      <c r="G50" t="s">
        <v>445</v>
      </c>
      <c r="H50" t="s">
        <v>51</v>
      </c>
      <c r="I50" t="s">
        <v>52</v>
      </c>
      <c r="J50" t="str">
        <f>"2108010"</f>
        <v>2108010</v>
      </c>
      <c r="K50">
        <v>2593051586</v>
      </c>
      <c r="L50">
        <v>2593051236</v>
      </c>
      <c r="M50" t="s">
        <v>488</v>
      </c>
      <c r="N50" t="s">
        <v>489</v>
      </c>
      <c r="O50" t="s">
        <v>449</v>
      </c>
      <c r="P50">
        <v>64002</v>
      </c>
      <c r="Q50" t="str">
        <f>"40.631155"</f>
        <v>40.631155</v>
      </c>
      <c r="R50" t="str">
        <f>"24.573223"</f>
        <v>24.573223</v>
      </c>
      <c r="S50" t="s">
        <v>26</v>
      </c>
    </row>
    <row r="51" spans="1:19" x14ac:dyDescent="0.3">
      <c r="A51" t="s">
        <v>19</v>
      </c>
      <c r="B51" t="s">
        <v>410</v>
      </c>
      <c r="C51" t="s">
        <v>490</v>
      </c>
      <c r="D51" t="s">
        <v>33</v>
      </c>
      <c r="E51" t="s">
        <v>33</v>
      </c>
      <c r="F51" t="s">
        <v>33</v>
      </c>
      <c r="G51" t="s">
        <v>33</v>
      </c>
      <c r="H51" t="s">
        <v>51</v>
      </c>
      <c r="I51" t="s">
        <v>52</v>
      </c>
      <c r="J51" t="str">
        <f>"2101021"</f>
        <v>2101021</v>
      </c>
      <c r="K51">
        <v>2510225501</v>
      </c>
      <c r="L51">
        <v>2510229556</v>
      </c>
      <c r="M51" t="s">
        <v>491</v>
      </c>
      <c r="N51" t="s">
        <v>36</v>
      </c>
      <c r="O51" t="s">
        <v>492</v>
      </c>
      <c r="P51">
        <v>65201</v>
      </c>
      <c r="Q51" t="str">
        <f>"40.939646"</f>
        <v>40.939646</v>
      </c>
      <c r="R51" t="str">
        <f>"24.417075"</f>
        <v>24.417075</v>
      </c>
      <c r="S51" t="s">
        <v>26</v>
      </c>
    </row>
    <row r="52" spans="1:19" x14ac:dyDescent="0.3">
      <c r="A52" t="s">
        <v>19</v>
      </c>
      <c r="B52" t="s">
        <v>410</v>
      </c>
      <c r="C52" t="s">
        <v>493</v>
      </c>
      <c r="D52" t="s">
        <v>33</v>
      </c>
      <c r="E52" t="s">
        <v>33</v>
      </c>
      <c r="F52" t="s">
        <v>33</v>
      </c>
      <c r="G52" t="s">
        <v>33</v>
      </c>
      <c r="H52" t="s">
        <v>51</v>
      </c>
      <c r="I52" t="s">
        <v>52</v>
      </c>
      <c r="J52" t="str">
        <f>"2101020"</f>
        <v>2101020</v>
      </c>
      <c r="K52">
        <v>2510223697</v>
      </c>
      <c r="L52">
        <v>2510620845</v>
      </c>
      <c r="M52" t="s">
        <v>494</v>
      </c>
      <c r="N52" t="s">
        <v>36</v>
      </c>
      <c r="O52" t="s">
        <v>495</v>
      </c>
      <c r="P52">
        <v>65403</v>
      </c>
      <c r="Q52" t="str">
        <f>"40.938476"</f>
        <v>40.938476</v>
      </c>
      <c r="R52" t="str">
        <f>"24.402939"</f>
        <v>24.402939</v>
      </c>
      <c r="S52" t="s">
        <v>26</v>
      </c>
    </row>
    <row r="53" spans="1:19" x14ac:dyDescent="0.3">
      <c r="A53" t="s">
        <v>19</v>
      </c>
      <c r="B53" t="s">
        <v>410</v>
      </c>
      <c r="C53" t="s">
        <v>497</v>
      </c>
      <c r="D53" t="s">
        <v>33</v>
      </c>
      <c r="E53" t="s">
        <v>33</v>
      </c>
      <c r="F53" t="s">
        <v>33</v>
      </c>
      <c r="G53" t="s">
        <v>33</v>
      </c>
      <c r="H53" t="s">
        <v>51</v>
      </c>
      <c r="I53" t="s">
        <v>52</v>
      </c>
      <c r="J53" t="str">
        <f>"2101010"</f>
        <v>2101010</v>
      </c>
      <c r="K53">
        <v>2510224843</v>
      </c>
      <c r="L53">
        <v>2510224843</v>
      </c>
      <c r="M53" t="s">
        <v>498</v>
      </c>
      <c r="N53" t="s">
        <v>36</v>
      </c>
      <c r="O53" t="s">
        <v>499</v>
      </c>
      <c r="P53">
        <v>65201</v>
      </c>
      <c r="Q53" t="str">
        <f>"40.938258"</f>
        <v>40.938258</v>
      </c>
      <c r="R53" t="str">
        <f>"24.416238"</f>
        <v>24.416238</v>
      </c>
      <c r="S53" t="s">
        <v>26</v>
      </c>
    </row>
    <row r="54" spans="1:19" x14ac:dyDescent="0.3">
      <c r="A54" t="s">
        <v>19</v>
      </c>
      <c r="B54" t="s">
        <v>410</v>
      </c>
      <c r="C54" t="s">
        <v>500</v>
      </c>
      <c r="D54" t="s">
        <v>33</v>
      </c>
      <c r="E54" t="s">
        <v>33</v>
      </c>
      <c r="F54" t="s">
        <v>33</v>
      </c>
      <c r="G54" t="s">
        <v>33</v>
      </c>
      <c r="H54" t="s">
        <v>51</v>
      </c>
      <c r="I54" t="s">
        <v>52</v>
      </c>
      <c r="J54" t="str">
        <f>"2101011"</f>
        <v>2101011</v>
      </c>
      <c r="K54">
        <v>2510240184</v>
      </c>
      <c r="L54">
        <v>2510240123</v>
      </c>
      <c r="M54" t="s">
        <v>501</v>
      </c>
      <c r="N54" t="s">
        <v>36</v>
      </c>
      <c r="O54" t="s">
        <v>502</v>
      </c>
      <c r="P54">
        <v>65404</v>
      </c>
      <c r="Q54" t="str">
        <f>"40.936748"</f>
        <v>40.936748</v>
      </c>
      <c r="R54" t="str">
        <f>"24.394795"</f>
        <v>24.394795</v>
      </c>
      <c r="S54" t="s">
        <v>26</v>
      </c>
    </row>
    <row r="55" spans="1:19" x14ac:dyDescent="0.3">
      <c r="A55" t="s">
        <v>19</v>
      </c>
      <c r="B55" t="s">
        <v>410</v>
      </c>
      <c r="C55" t="s">
        <v>504</v>
      </c>
      <c r="D55" t="s">
        <v>33</v>
      </c>
      <c r="E55" t="s">
        <v>411</v>
      </c>
      <c r="F55" t="s">
        <v>461</v>
      </c>
      <c r="G55" t="s">
        <v>461</v>
      </c>
      <c r="H55" t="s">
        <v>51</v>
      </c>
      <c r="I55" t="s">
        <v>52</v>
      </c>
      <c r="J55" t="str">
        <f>"2102010"</f>
        <v>2102010</v>
      </c>
      <c r="K55">
        <v>2592022677</v>
      </c>
      <c r="L55">
        <v>2592023734</v>
      </c>
      <c r="M55" t="s">
        <v>505</v>
      </c>
      <c r="N55" t="s">
        <v>506</v>
      </c>
      <c r="O55" t="s">
        <v>507</v>
      </c>
      <c r="P55">
        <v>64100</v>
      </c>
      <c r="Q55" t="str">
        <f>"40.920525"</f>
        <v>40.920525</v>
      </c>
      <c r="R55" t="str">
        <f>"24.257928"</f>
        <v>24.257928</v>
      </c>
      <c r="S55" t="s">
        <v>26</v>
      </c>
    </row>
    <row r="56" spans="1:19" x14ac:dyDescent="0.3">
      <c r="A56" t="s">
        <v>19</v>
      </c>
      <c r="B56" t="s">
        <v>410</v>
      </c>
      <c r="C56" t="s">
        <v>511</v>
      </c>
      <c r="D56" t="s">
        <v>33</v>
      </c>
      <c r="E56" t="s">
        <v>469</v>
      </c>
      <c r="F56" t="s">
        <v>470</v>
      </c>
      <c r="G56" t="s">
        <v>470</v>
      </c>
      <c r="H56" t="s">
        <v>51</v>
      </c>
      <c r="I56" t="s">
        <v>52</v>
      </c>
      <c r="J56" t="str">
        <f>"2103010"</f>
        <v>2103010</v>
      </c>
      <c r="K56">
        <v>2591022207</v>
      </c>
      <c r="L56">
        <v>2591025207</v>
      </c>
      <c r="M56" t="s">
        <v>512</v>
      </c>
      <c r="N56" t="s">
        <v>513</v>
      </c>
      <c r="O56" t="s">
        <v>473</v>
      </c>
      <c r="P56">
        <v>64200</v>
      </c>
      <c r="Q56" t="str">
        <f>"40.987682"</f>
        <v>40.987682</v>
      </c>
      <c r="R56" t="str">
        <f>"24.704868"</f>
        <v>24.704868</v>
      </c>
      <c r="S56" t="s">
        <v>26</v>
      </c>
    </row>
    <row r="57" spans="1:19" x14ac:dyDescent="0.3">
      <c r="A57" t="s">
        <v>19</v>
      </c>
      <c r="B57" t="s">
        <v>410</v>
      </c>
      <c r="C57" t="s">
        <v>515</v>
      </c>
      <c r="D57" t="s">
        <v>33</v>
      </c>
      <c r="E57" t="s">
        <v>469</v>
      </c>
      <c r="F57" t="s">
        <v>514</v>
      </c>
      <c r="G57" t="s">
        <v>514</v>
      </c>
      <c r="H57" t="s">
        <v>51</v>
      </c>
      <c r="I57" t="s">
        <v>52</v>
      </c>
      <c r="J57" t="str">
        <f>"2109010"</f>
        <v>2109010</v>
      </c>
      <c r="K57">
        <v>2591051298</v>
      </c>
      <c r="L57">
        <v>2591051298</v>
      </c>
      <c r="M57" t="s">
        <v>516</v>
      </c>
      <c r="N57" t="s">
        <v>517</v>
      </c>
      <c r="O57" t="s">
        <v>518</v>
      </c>
      <c r="P57">
        <v>64200</v>
      </c>
      <c r="Q57" t="str">
        <f>"40.857667"</f>
        <v>40.857667</v>
      </c>
      <c r="R57" t="str">
        <f>"24.708881"</f>
        <v>24.708881</v>
      </c>
      <c r="S57" t="s">
        <v>26</v>
      </c>
    </row>
    <row r="58" spans="1:19" x14ac:dyDescent="0.3">
      <c r="A58" t="s">
        <v>19</v>
      </c>
      <c r="B58" t="s">
        <v>410</v>
      </c>
      <c r="C58" t="s">
        <v>522</v>
      </c>
      <c r="D58" t="s">
        <v>33</v>
      </c>
      <c r="E58" t="s">
        <v>33</v>
      </c>
      <c r="F58" t="s">
        <v>520</v>
      </c>
      <c r="G58" t="s">
        <v>521</v>
      </c>
      <c r="H58" t="s">
        <v>51</v>
      </c>
      <c r="I58" t="s">
        <v>52</v>
      </c>
      <c r="J58" t="str">
        <f>"2111010"</f>
        <v>2111010</v>
      </c>
      <c r="K58">
        <v>2510391455</v>
      </c>
      <c r="L58">
        <v>2510391455</v>
      </c>
      <c r="M58" t="s">
        <v>523</v>
      </c>
      <c r="N58" t="s">
        <v>33</v>
      </c>
      <c r="O58" t="s">
        <v>524</v>
      </c>
      <c r="P58">
        <v>64012</v>
      </c>
      <c r="Q58" t="str">
        <f>"40.962551"</f>
        <v>40.962551</v>
      </c>
      <c r="R58" t="str">
        <f>"24.358795"</f>
        <v>24.358795</v>
      </c>
      <c r="S58" t="s">
        <v>26</v>
      </c>
    </row>
    <row r="59" spans="1:19" x14ac:dyDescent="0.3">
      <c r="A59" t="s">
        <v>19</v>
      </c>
      <c r="B59" t="s">
        <v>410</v>
      </c>
      <c r="C59" t="s">
        <v>526</v>
      </c>
      <c r="D59" t="s">
        <v>33</v>
      </c>
      <c r="E59" t="s">
        <v>33</v>
      </c>
      <c r="F59" t="s">
        <v>33</v>
      </c>
      <c r="G59" t="s">
        <v>33</v>
      </c>
      <c r="H59" t="s">
        <v>51</v>
      </c>
      <c r="I59" t="s">
        <v>52</v>
      </c>
      <c r="J59" t="str">
        <f>"2101032"</f>
        <v>2101032</v>
      </c>
      <c r="K59">
        <v>2510242220</v>
      </c>
      <c r="M59" t="s">
        <v>527</v>
      </c>
      <c r="N59" t="s">
        <v>36</v>
      </c>
      <c r="O59" t="s">
        <v>481</v>
      </c>
      <c r="P59">
        <v>65404</v>
      </c>
      <c r="Q59" t="str">
        <f>"40.938496"</f>
        <v>40.938496</v>
      </c>
      <c r="R59" t="str">
        <f>"24.388560"</f>
        <v>24.388560</v>
      </c>
      <c r="S59" t="s">
        <v>26</v>
      </c>
    </row>
    <row r="60" spans="1:19" x14ac:dyDescent="0.3">
      <c r="A60" t="s">
        <v>19</v>
      </c>
      <c r="B60" t="s">
        <v>410</v>
      </c>
      <c r="C60" t="s">
        <v>528</v>
      </c>
      <c r="D60" t="s">
        <v>33</v>
      </c>
      <c r="E60" t="s">
        <v>411</v>
      </c>
      <c r="F60" t="s">
        <v>455</v>
      </c>
      <c r="G60" t="s">
        <v>456</v>
      </c>
      <c r="H60" t="s">
        <v>51</v>
      </c>
      <c r="I60" t="s">
        <v>52</v>
      </c>
      <c r="J60" t="str">
        <f>"2110010"</f>
        <v>2110010</v>
      </c>
      <c r="K60">
        <v>2594021201</v>
      </c>
      <c r="L60">
        <v>2594021112</v>
      </c>
      <c r="M60" t="s">
        <v>529</v>
      </c>
      <c r="N60" t="s">
        <v>530</v>
      </c>
      <c r="O60" t="s">
        <v>460</v>
      </c>
      <c r="P60">
        <v>64007</v>
      </c>
      <c r="Q60" t="str">
        <f>"40.839012"</f>
        <v>40.839012</v>
      </c>
      <c r="R60" t="str">
        <f>"24.297714"</f>
        <v>24.297714</v>
      </c>
      <c r="S60" t="s">
        <v>26</v>
      </c>
    </row>
    <row r="61" spans="1:19" x14ac:dyDescent="0.3">
      <c r="A61" t="s">
        <v>19</v>
      </c>
      <c r="B61" t="s">
        <v>410</v>
      </c>
      <c r="C61" t="s">
        <v>532</v>
      </c>
      <c r="D61" t="s">
        <v>33</v>
      </c>
      <c r="E61" t="s">
        <v>33</v>
      </c>
      <c r="F61" t="s">
        <v>33</v>
      </c>
      <c r="G61" t="s">
        <v>435</v>
      </c>
      <c r="H61" t="s">
        <v>51</v>
      </c>
      <c r="I61" t="s">
        <v>52</v>
      </c>
      <c r="J61" t="str">
        <f>"2103050"</f>
        <v>2103050</v>
      </c>
      <c r="K61">
        <v>2510316500</v>
      </c>
      <c r="L61">
        <v>2510620853</v>
      </c>
      <c r="M61" t="s">
        <v>533</v>
      </c>
      <c r="N61" t="s">
        <v>439</v>
      </c>
      <c r="O61" t="s">
        <v>534</v>
      </c>
      <c r="P61">
        <v>64006</v>
      </c>
      <c r="Q61" t="str">
        <f>"40.964448"</f>
        <v>40.964448</v>
      </c>
      <c r="R61" t="str">
        <f>"24.513004"</f>
        <v>24.513004</v>
      </c>
      <c r="S61" t="s">
        <v>26</v>
      </c>
    </row>
    <row r="62" spans="1:19" x14ac:dyDescent="0.3">
      <c r="A62" t="s">
        <v>19</v>
      </c>
      <c r="B62" t="s">
        <v>410</v>
      </c>
      <c r="C62" t="s">
        <v>536</v>
      </c>
      <c r="D62" t="s">
        <v>33</v>
      </c>
      <c r="E62" t="s">
        <v>33</v>
      </c>
      <c r="F62" t="s">
        <v>520</v>
      </c>
      <c r="G62" t="s">
        <v>535</v>
      </c>
      <c r="H62" t="s">
        <v>51</v>
      </c>
      <c r="I62" t="s">
        <v>52</v>
      </c>
      <c r="J62" t="str">
        <f>"2107010"</f>
        <v>2107010</v>
      </c>
      <c r="K62">
        <v>2510622813</v>
      </c>
      <c r="L62">
        <v>2510516333</v>
      </c>
      <c r="M62" t="s">
        <v>537</v>
      </c>
      <c r="N62" t="s">
        <v>538</v>
      </c>
      <c r="O62" t="s">
        <v>539</v>
      </c>
      <c r="P62">
        <v>64003</v>
      </c>
      <c r="Q62" t="str">
        <f>"41.012657"</f>
        <v>41.012657</v>
      </c>
      <c r="R62" t="str">
        <f>"24.295309"</f>
        <v>24.295309</v>
      </c>
      <c r="S62" t="s">
        <v>26</v>
      </c>
    </row>
    <row r="63" spans="1:19" x14ac:dyDescent="0.3">
      <c r="A63" t="s">
        <v>19</v>
      </c>
      <c r="B63" t="s">
        <v>410</v>
      </c>
      <c r="C63" t="s">
        <v>545</v>
      </c>
      <c r="D63" t="s">
        <v>33</v>
      </c>
      <c r="E63" t="s">
        <v>33</v>
      </c>
      <c r="F63" t="s">
        <v>33</v>
      </c>
      <c r="G63" t="s">
        <v>33</v>
      </c>
      <c r="H63" t="s">
        <v>51</v>
      </c>
      <c r="I63" t="s">
        <v>52</v>
      </c>
      <c r="J63" t="str">
        <f>"2101030"</f>
        <v>2101030</v>
      </c>
      <c r="K63">
        <v>2510222148</v>
      </c>
      <c r="L63">
        <v>2510838822</v>
      </c>
      <c r="M63" t="s">
        <v>546</v>
      </c>
      <c r="N63" t="s">
        <v>36</v>
      </c>
      <c r="O63" t="s">
        <v>547</v>
      </c>
      <c r="P63">
        <v>65201</v>
      </c>
      <c r="Q63" t="str">
        <f>"40.934913"</f>
        <v>40.934913</v>
      </c>
      <c r="R63" t="str">
        <f>"24.413307"</f>
        <v>24.413307</v>
      </c>
      <c r="S63" t="s">
        <v>26</v>
      </c>
    </row>
    <row r="64" spans="1:19" x14ac:dyDescent="0.3">
      <c r="A64" t="s">
        <v>19</v>
      </c>
      <c r="B64" t="s">
        <v>410</v>
      </c>
      <c r="C64" t="s">
        <v>550</v>
      </c>
      <c r="D64" t="s">
        <v>426</v>
      </c>
      <c r="E64" t="s">
        <v>426</v>
      </c>
      <c r="F64" t="s">
        <v>426</v>
      </c>
      <c r="G64" t="s">
        <v>549</v>
      </c>
      <c r="H64" t="s">
        <v>51</v>
      </c>
      <c r="I64" t="s">
        <v>52</v>
      </c>
      <c r="J64" t="str">
        <f>"2111015"</f>
        <v>2111015</v>
      </c>
      <c r="K64">
        <v>2593071418</v>
      </c>
      <c r="L64">
        <v>2593071415</v>
      </c>
      <c r="M64" t="s">
        <v>551</v>
      </c>
      <c r="N64" t="s">
        <v>552</v>
      </c>
      <c r="O64" t="s">
        <v>553</v>
      </c>
      <c r="P64">
        <v>64010</v>
      </c>
      <c r="Q64" t="str">
        <f>"40.740813"</f>
        <v>40.740813</v>
      </c>
      <c r="R64" t="str">
        <f>"24.577435"</f>
        <v>24.577435</v>
      </c>
      <c r="S64" t="s">
        <v>26</v>
      </c>
    </row>
    <row r="65" spans="1:19" x14ac:dyDescent="0.3">
      <c r="A65" t="s">
        <v>19</v>
      </c>
      <c r="B65" t="s">
        <v>410</v>
      </c>
      <c r="C65" t="s">
        <v>560</v>
      </c>
      <c r="D65" t="s">
        <v>33</v>
      </c>
      <c r="E65" t="s">
        <v>33</v>
      </c>
      <c r="F65" t="s">
        <v>33</v>
      </c>
      <c r="G65" t="s">
        <v>33</v>
      </c>
      <c r="H65" t="s">
        <v>51</v>
      </c>
      <c r="I65" t="s">
        <v>52</v>
      </c>
      <c r="J65" t="str">
        <f>"2101031"</f>
        <v>2101031</v>
      </c>
      <c r="K65">
        <v>2510243887</v>
      </c>
      <c r="L65">
        <v>2510243829</v>
      </c>
      <c r="M65" t="s">
        <v>561</v>
      </c>
      <c r="N65" t="s">
        <v>36</v>
      </c>
      <c r="O65" t="s">
        <v>562</v>
      </c>
      <c r="P65">
        <v>65404</v>
      </c>
      <c r="Q65" t="str">
        <f>"40.937607"</f>
        <v>40.937607</v>
      </c>
      <c r="R65" t="str">
        <f>"24.412866"</f>
        <v>24.412866</v>
      </c>
      <c r="S65" t="s">
        <v>26</v>
      </c>
    </row>
    <row r="66" spans="1:19" x14ac:dyDescent="0.3">
      <c r="A66" t="s">
        <v>19</v>
      </c>
      <c r="B66" t="s">
        <v>410</v>
      </c>
      <c r="C66" t="s">
        <v>565</v>
      </c>
      <c r="D66" t="s">
        <v>33</v>
      </c>
      <c r="E66" t="s">
        <v>33</v>
      </c>
      <c r="F66" t="s">
        <v>33</v>
      </c>
      <c r="G66" t="s">
        <v>33</v>
      </c>
      <c r="H66" t="s">
        <v>51</v>
      </c>
      <c r="I66" t="s">
        <v>190</v>
      </c>
      <c r="J66" t="str">
        <f>"2101035"</f>
        <v>2101035</v>
      </c>
      <c r="K66">
        <v>2510247190</v>
      </c>
      <c r="L66">
        <v>2510247195</v>
      </c>
      <c r="M66" t="s">
        <v>566</v>
      </c>
      <c r="N66" t="s">
        <v>567</v>
      </c>
      <c r="O66" t="s">
        <v>568</v>
      </c>
      <c r="P66">
        <v>65403</v>
      </c>
      <c r="Q66" t="str">
        <f>"40.935210"</f>
        <v>40.935210</v>
      </c>
      <c r="R66" t="str">
        <f>"24.398040"</f>
        <v>24.398040</v>
      </c>
      <c r="S66" t="s">
        <v>26</v>
      </c>
    </row>
    <row r="67" spans="1:19" x14ac:dyDescent="0.3">
      <c r="A67" t="s">
        <v>19</v>
      </c>
      <c r="B67" t="s">
        <v>410</v>
      </c>
      <c r="C67" t="s">
        <v>569</v>
      </c>
      <c r="D67" t="s">
        <v>33</v>
      </c>
      <c r="E67" t="s">
        <v>33</v>
      </c>
      <c r="F67" t="s">
        <v>33</v>
      </c>
      <c r="G67" t="s">
        <v>33</v>
      </c>
      <c r="H67" t="s">
        <v>51</v>
      </c>
      <c r="I67" t="s">
        <v>184</v>
      </c>
      <c r="J67" t="str">
        <f>"2101040"</f>
        <v>2101040</v>
      </c>
      <c r="K67">
        <v>2510223797</v>
      </c>
      <c r="L67">
        <v>2510223797</v>
      </c>
      <c r="M67" t="s">
        <v>570</v>
      </c>
      <c r="N67" t="s">
        <v>36</v>
      </c>
      <c r="O67" t="s">
        <v>571</v>
      </c>
      <c r="P67">
        <v>65201</v>
      </c>
      <c r="Q67" t="str">
        <f>"40.944205"</f>
        <v>40.944205</v>
      </c>
      <c r="R67" t="str">
        <f>"24.424345"</f>
        <v>24.424345</v>
      </c>
      <c r="S67" t="s">
        <v>26</v>
      </c>
    </row>
    <row r="68" spans="1:19" x14ac:dyDescent="0.3">
      <c r="A68" t="s">
        <v>19</v>
      </c>
      <c r="B68" t="s">
        <v>410</v>
      </c>
      <c r="C68" t="s">
        <v>586</v>
      </c>
      <c r="D68" t="s">
        <v>33</v>
      </c>
      <c r="E68" t="s">
        <v>469</v>
      </c>
      <c r="F68" t="s">
        <v>470</v>
      </c>
      <c r="G68" t="s">
        <v>470</v>
      </c>
      <c r="H68" t="s">
        <v>51</v>
      </c>
      <c r="I68" t="s">
        <v>52</v>
      </c>
      <c r="J68" t="str">
        <f>"2135001"</f>
        <v>2135001</v>
      </c>
      <c r="K68">
        <v>2591024967</v>
      </c>
      <c r="L68">
        <v>2591024967</v>
      </c>
      <c r="M68" t="s">
        <v>587</v>
      </c>
      <c r="N68" t="s">
        <v>588</v>
      </c>
      <c r="O68" t="s">
        <v>589</v>
      </c>
      <c r="P68">
        <v>64200</v>
      </c>
      <c r="Q68" t="str">
        <f>"40.978927"</f>
        <v>40.978927</v>
      </c>
      <c r="R68" t="str">
        <f>"24.701251"</f>
        <v>24.701251</v>
      </c>
      <c r="S68" t="s">
        <v>26</v>
      </c>
    </row>
    <row r="69" spans="1:19" x14ac:dyDescent="0.3">
      <c r="A69" t="s">
        <v>19</v>
      </c>
      <c r="B69" t="s">
        <v>410</v>
      </c>
      <c r="C69" t="s">
        <v>590</v>
      </c>
      <c r="D69" t="s">
        <v>33</v>
      </c>
      <c r="E69" t="s">
        <v>33</v>
      </c>
      <c r="F69" t="s">
        <v>33</v>
      </c>
      <c r="G69" t="s">
        <v>33</v>
      </c>
      <c r="H69" t="s">
        <v>51</v>
      </c>
      <c r="I69" t="s">
        <v>199</v>
      </c>
      <c r="J69" t="str">
        <f>"2111001"</f>
        <v>2111001</v>
      </c>
      <c r="K69">
        <v>2512512700</v>
      </c>
      <c r="L69">
        <v>2512512700</v>
      </c>
      <c r="M69" t="s">
        <v>591</v>
      </c>
      <c r="N69" t="s">
        <v>36</v>
      </c>
      <c r="O69" t="s">
        <v>592</v>
      </c>
      <c r="P69">
        <v>65201</v>
      </c>
      <c r="Q69" t="str">
        <f>"40.939705"</f>
        <v>40.939705</v>
      </c>
      <c r="R69" t="str">
        <f>"24.417627"</f>
        <v>24.417627</v>
      </c>
      <c r="S69" t="s">
        <v>26</v>
      </c>
    </row>
    <row r="70" spans="1:19" x14ac:dyDescent="0.3">
      <c r="A70" t="s">
        <v>19</v>
      </c>
      <c r="B70" t="s">
        <v>593</v>
      </c>
      <c r="C70" t="s">
        <v>596</v>
      </c>
      <c r="D70" t="s">
        <v>38</v>
      </c>
      <c r="E70" t="s">
        <v>38</v>
      </c>
      <c r="F70" t="s">
        <v>594</v>
      </c>
      <c r="G70" t="s">
        <v>595</v>
      </c>
      <c r="H70" t="s">
        <v>51</v>
      </c>
      <c r="I70" t="s">
        <v>89</v>
      </c>
      <c r="J70" t="str">
        <f>"3702010"</f>
        <v>3702010</v>
      </c>
      <c r="K70">
        <v>2542022022</v>
      </c>
      <c r="L70">
        <v>2542022022</v>
      </c>
      <c r="M70" t="s">
        <v>597</v>
      </c>
      <c r="N70" t="s">
        <v>598</v>
      </c>
      <c r="O70" t="s">
        <v>598</v>
      </c>
      <c r="P70">
        <v>67062</v>
      </c>
      <c r="Q70" t="str">
        <f>"41.194819"</f>
        <v>41.194819</v>
      </c>
      <c r="R70" t="str">
        <f>"24.705611"</f>
        <v>24.705611</v>
      </c>
      <c r="S70" t="s">
        <v>26</v>
      </c>
    </row>
    <row r="71" spans="1:19" x14ac:dyDescent="0.3">
      <c r="A71" t="s">
        <v>19</v>
      </c>
      <c r="B71" t="s">
        <v>593</v>
      </c>
      <c r="C71" t="s">
        <v>607</v>
      </c>
      <c r="D71" t="s">
        <v>38</v>
      </c>
      <c r="E71" t="s">
        <v>604</v>
      </c>
      <c r="F71" t="s">
        <v>605</v>
      </c>
      <c r="G71" t="s">
        <v>606</v>
      </c>
      <c r="H71" t="s">
        <v>51</v>
      </c>
      <c r="I71" t="s">
        <v>190</v>
      </c>
      <c r="J71" t="str">
        <f>"3701049"</f>
        <v>3701049</v>
      </c>
      <c r="K71">
        <v>2541092212</v>
      </c>
      <c r="L71">
        <v>2541092256</v>
      </c>
      <c r="M71" t="s">
        <v>608</v>
      </c>
      <c r="N71" t="s">
        <v>609</v>
      </c>
      <c r="O71" t="s">
        <v>609</v>
      </c>
      <c r="P71">
        <v>67100</v>
      </c>
      <c r="Q71" t="str">
        <f>"41.088301"</f>
        <v>41.088301</v>
      </c>
      <c r="R71" t="str">
        <f>"24.901741"</f>
        <v>24.901741</v>
      </c>
      <c r="S71" t="s">
        <v>26</v>
      </c>
    </row>
    <row r="72" spans="1:19" x14ac:dyDescent="0.3">
      <c r="A72" t="s">
        <v>19</v>
      </c>
      <c r="B72" t="s">
        <v>593</v>
      </c>
      <c r="C72" t="s">
        <v>622</v>
      </c>
      <c r="D72" t="s">
        <v>38</v>
      </c>
      <c r="E72" t="s">
        <v>38</v>
      </c>
      <c r="F72" t="s">
        <v>38</v>
      </c>
      <c r="G72" t="s">
        <v>38</v>
      </c>
      <c r="H72" t="s">
        <v>51</v>
      </c>
      <c r="I72" t="s">
        <v>621</v>
      </c>
      <c r="J72" t="str">
        <f>"3790005"</f>
        <v>3790005</v>
      </c>
      <c r="K72">
        <v>2541024328</v>
      </c>
      <c r="L72">
        <v>2541024328</v>
      </c>
      <c r="M72" t="s">
        <v>623</v>
      </c>
      <c r="N72" t="s">
        <v>41</v>
      </c>
      <c r="O72" t="s">
        <v>624</v>
      </c>
      <c r="P72">
        <v>67133</v>
      </c>
      <c r="Q72" t="str">
        <f>"41.135139"</f>
        <v>41.135139</v>
      </c>
      <c r="R72" t="str">
        <f>"24.886826"</f>
        <v>24.886826</v>
      </c>
      <c r="S72" t="s">
        <v>26</v>
      </c>
    </row>
    <row r="73" spans="1:19" x14ac:dyDescent="0.3">
      <c r="A73" t="s">
        <v>19</v>
      </c>
      <c r="B73" t="s">
        <v>593</v>
      </c>
      <c r="C73" t="s">
        <v>656</v>
      </c>
      <c r="D73" t="s">
        <v>38</v>
      </c>
      <c r="E73" t="s">
        <v>604</v>
      </c>
      <c r="F73" t="s">
        <v>605</v>
      </c>
      <c r="G73" t="s">
        <v>616</v>
      </c>
      <c r="H73" t="s">
        <v>51</v>
      </c>
      <c r="I73" t="s">
        <v>52</v>
      </c>
      <c r="J73" t="str">
        <f>"3707010"</f>
        <v>3707010</v>
      </c>
      <c r="K73">
        <v>2541081477</v>
      </c>
      <c r="L73">
        <v>2541081477</v>
      </c>
      <c r="M73" t="s">
        <v>657</v>
      </c>
      <c r="O73" t="s">
        <v>619</v>
      </c>
      <c r="P73">
        <v>67064</v>
      </c>
      <c r="Q73" t="str">
        <f>"41.058740"</f>
        <v>41.058740</v>
      </c>
      <c r="R73" t="str">
        <f>"24.958191"</f>
        <v>24.958191</v>
      </c>
      <c r="S73" t="s">
        <v>26</v>
      </c>
    </row>
    <row r="74" spans="1:19" x14ac:dyDescent="0.3">
      <c r="A74" t="s">
        <v>19</v>
      </c>
      <c r="B74" t="s">
        <v>593</v>
      </c>
      <c r="C74" t="s">
        <v>659</v>
      </c>
      <c r="D74" t="s">
        <v>38</v>
      </c>
      <c r="E74" t="s">
        <v>38</v>
      </c>
      <c r="F74" t="s">
        <v>38</v>
      </c>
      <c r="G74" t="s">
        <v>38</v>
      </c>
      <c r="H74" t="s">
        <v>51</v>
      </c>
      <c r="I74" t="s">
        <v>52</v>
      </c>
      <c r="J74" t="str">
        <f>"3701010"</f>
        <v>3701010</v>
      </c>
      <c r="K74">
        <v>2541022487</v>
      </c>
      <c r="L74">
        <v>2541062546</v>
      </c>
      <c r="M74" t="s">
        <v>660</v>
      </c>
      <c r="N74" t="s">
        <v>41</v>
      </c>
      <c r="O74" t="s">
        <v>661</v>
      </c>
      <c r="P74">
        <v>67133</v>
      </c>
      <c r="Q74" t="str">
        <f>"41.133171"</f>
        <v>41.133171</v>
      </c>
      <c r="R74" t="str">
        <f>"24.884946"</f>
        <v>24.884946</v>
      </c>
      <c r="S74" t="s">
        <v>26</v>
      </c>
    </row>
    <row r="75" spans="1:19" x14ac:dyDescent="0.3">
      <c r="A75" t="s">
        <v>19</v>
      </c>
      <c r="B75" t="s">
        <v>593</v>
      </c>
      <c r="C75" t="s">
        <v>665</v>
      </c>
      <c r="D75" t="s">
        <v>38</v>
      </c>
      <c r="E75" t="s">
        <v>663</v>
      </c>
      <c r="F75" t="s">
        <v>663</v>
      </c>
      <c r="G75" t="s">
        <v>664</v>
      </c>
      <c r="H75" t="s">
        <v>51</v>
      </c>
      <c r="I75" t="s">
        <v>52</v>
      </c>
      <c r="J75" t="str">
        <f>"3709010"</f>
        <v>3709010</v>
      </c>
      <c r="K75">
        <v>2541093300</v>
      </c>
      <c r="L75">
        <v>2541093300</v>
      </c>
      <c r="M75" t="s">
        <v>666</v>
      </c>
      <c r="N75" t="s">
        <v>667</v>
      </c>
      <c r="O75" t="s">
        <v>668</v>
      </c>
      <c r="P75">
        <v>67100</v>
      </c>
      <c r="Q75" t="str">
        <f>"41.084925"</f>
        <v>41.084925</v>
      </c>
      <c r="R75" t="str">
        <f>"24.782280"</f>
        <v>24.782280</v>
      </c>
      <c r="S75" t="s">
        <v>26</v>
      </c>
    </row>
    <row r="76" spans="1:19" x14ac:dyDescent="0.3">
      <c r="A76" t="s">
        <v>19</v>
      </c>
      <c r="B76" t="s">
        <v>593</v>
      </c>
      <c r="C76" t="s">
        <v>670</v>
      </c>
      <c r="D76" t="s">
        <v>38</v>
      </c>
      <c r="E76" t="s">
        <v>38</v>
      </c>
      <c r="F76" t="s">
        <v>38</v>
      </c>
      <c r="G76" t="s">
        <v>38</v>
      </c>
      <c r="H76" t="s">
        <v>51</v>
      </c>
      <c r="I76" t="s">
        <v>52</v>
      </c>
      <c r="J76" t="str">
        <f>"3701030"</f>
        <v>3701030</v>
      </c>
      <c r="K76">
        <v>2541027346</v>
      </c>
      <c r="L76">
        <v>2541062691</v>
      </c>
      <c r="M76" t="s">
        <v>671</v>
      </c>
      <c r="N76" t="s">
        <v>38</v>
      </c>
      <c r="O76" t="s">
        <v>672</v>
      </c>
      <c r="P76">
        <v>67131</v>
      </c>
      <c r="Q76" t="str">
        <f>"41.137051"</f>
        <v>41.137051</v>
      </c>
      <c r="R76" t="str">
        <f>"24.891326"</f>
        <v>24.891326</v>
      </c>
      <c r="S76" t="s">
        <v>26</v>
      </c>
    </row>
    <row r="77" spans="1:19" x14ac:dyDescent="0.3">
      <c r="A77" t="s">
        <v>19</v>
      </c>
      <c r="B77" t="s">
        <v>593</v>
      </c>
      <c r="C77" t="s">
        <v>674</v>
      </c>
      <c r="D77" t="s">
        <v>38</v>
      </c>
      <c r="E77" t="s">
        <v>38</v>
      </c>
      <c r="F77" t="s">
        <v>38</v>
      </c>
      <c r="G77" t="s">
        <v>38</v>
      </c>
      <c r="H77" t="s">
        <v>51</v>
      </c>
      <c r="I77" t="s">
        <v>52</v>
      </c>
      <c r="J77" t="str">
        <f>"3701040"</f>
        <v>3701040</v>
      </c>
      <c r="K77">
        <v>2541020320</v>
      </c>
      <c r="L77">
        <v>2541020320</v>
      </c>
      <c r="M77" t="s">
        <v>675</v>
      </c>
      <c r="N77" t="s">
        <v>41</v>
      </c>
      <c r="O77" t="s">
        <v>676</v>
      </c>
      <c r="P77">
        <v>67100</v>
      </c>
      <c r="Q77" t="str">
        <f>"41.137888"</f>
        <v>41.137888</v>
      </c>
      <c r="R77" t="str">
        <f>"24.877659"</f>
        <v>24.877659</v>
      </c>
      <c r="S77" t="s">
        <v>26</v>
      </c>
    </row>
    <row r="78" spans="1:19" x14ac:dyDescent="0.3">
      <c r="A78" t="s">
        <v>19</v>
      </c>
      <c r="B78" t="s">
        <v>593</v>
      </c>
      <c r="C78" t="s">
        <v>679</v>
      </c>
      <c r="D78" t="s">
        <v>38</v>
      </c>
      <c r="E78" t="s">
        <v>663</v>
      </c>
      <c r="F78" t="s">
        <v>663</v>
      </c>
      <c r="G78" t="s">
        <v>678</v>
      </c>
      <c r="H78" t="s">
        <v>51</v>
      </c>
      <c r="I78" t="s">
        <v>52</v>
      </c>
      <c r="J78" t="str">
        <f>"3706010"</f>
        <v>3706010</v>
      </c>
      <c r="K78">
        <v>2541061477</v>
      </c>
      <c r="L78">
        <v>2541061300</v>
      </c>
      <c r="M78" t="s">
        <v>680</v>
      </c>
      <c r="N78" t="s">
        <v>681</v>
      </c>
      <c r="O78" t="s">
        <v>681</v>
      </c>
      <c r="P78">
        <v>67200</v>
      </c>
      <c r="Q78" t="str">
        <f>"40.932662"</f>
        <v>40.932662</v>
      </c>
      <c r="R78" t="str">
        <f>"24.825396"</f>
        <v>24.825396</v>
      </c>
      <c r="S78" t="s">
        <v>26</v>
      </c>
    </row>
    <row r="79" spans="1:19" x14ac:dyDescent="0.3">
      <c r="A79" t="s">
        <v>19</v>
      </c>
      <c r="B79" t="s">
        <v>593</v>
      </c>
      <c r="C79" t="s">
        <v>683</v>
      </c>
      <c r="D79" t="s">
        <v>38</v>
      </c>
      <c r="E79" t="s">
        <v>38</v>
      </c>
      <c r="F79" t="s">
        <v>38</v>
      </c>
      <c r="G79" t="s">
        <v>38</v>
      </c>
      <c r="H79" t="s">
        <v>51</v>
      </c>
      <c r="I79" t="s">
        <v>184</v>
      </c>
      <c r="J79" t="str">
        <f>"3701048"</f>
        <v>3701048</v>
      </c>
      <c r="K79">
        <v>2541075070</v>
      </c>
      <c r="L79">
        <v>2541075070</v>
      </c>
      <c r="M79" t="s">
        <v>684</v>
      </c>
      <c r="N79" t="s">
        <v>41</v>
      </c>
      <c r="O79" t="s">
        <v>602</v>
      </c>
      <c r="P79">
        <v>67131</v>
      </c>
      <c r="Q79" t="str">
        <f>"41.133524"</f>
        <v>41.133524</v>
      </c>
      <c r="R79" t="str">
        <f>"24.893406"</f>
        <v>24.893406</v>
      </c>
      <c r="S79" t="s">
        <v>26</v>
      </c>
    </row>
    <row r="80" spans="1:19" x14ac:dyDescent="0.3">
      <c r="A80" t="s">
        <v>19</v>
      </c>
      <c r="B80" t="s">
        <v>593</v>
      </c>
      <c r="C80" t="s">
        <v>686</v>
      </c>
      <c r="D80" t="s">
        <v>38</v>
      </c>
      <c r="E80" t="s">
        <v>663</v>
      </c>
      <c r="F80" t="s">
        <v>663</v>
      </c>
      <c r="G80" t="s">
        <v>685</v>
      </c>
      <c r="H80" t="s">
        <v>51</v>
      </c>
      <c r="I80" t="s">
        <v>52</v>
      </c>
      <c r="J80" t="str">
        <f>"3708010"</f>
        <v>3708010</v>
      </c>
      <c r="K80">
        <v>2541095231</v>
      </c>
      <c r="L80">
        <v>2541095231</v>
      </c>
      <c r="M80" t="s">
        <v>687</v>
      </c>
      <c r="N80" t="s">
        <v>688</v>
      </c>
      <c r="O80" t="s">
        <v>689</v>
      </c>
      <c r="P80">
        <v>67200</v>
      </c>
      <c r="Q80" t="str">
        <f>"41.027076"</f>
        <v>41.027076</v>
      </c>
      <c r="R80" t="str">
        <f>"24.801166"</f>
        <v>24.801166</v>
      </c>
      <c r="S80" t="s">
        <v>26</v>
      </c>
    </row>
    <row r="81" spans="1:19" x14ac:dyDescent="0.3">
      <c r="A81" t="s">
        <v>19</v>
      </c>
      <c r="B81" t="s">
        <v>593</v>
      </c>
      <c r="C81" t="s">
        <v>694</v>
      </c>
      <c r="D81" t="s">
        <v>38</v>
      </c>
      <c r="E81" t="s">
        <v>638</v>
      </c>
      <c r="F81" t="s">
        <v>638</v>
      </c>
      <c r="G81" t="s">
        <v>638</v>
      </c>
      <c r="H81" t="s">
        <v>51</v>
      </c>
      <c r="I81" t="s">
        <v>52</v>
      </c>
      <c r="J81" t="str">
        <f>"3704090"</f>
        <v>3704090</v>
      </c>
      <c r="K81">
        <v>2544022218</v>
      </c>
      <c r="L81">
        <v>2544022218</v>
      </c>
      <c r="M81" t="s">
        <v>695</v>
      </c>
      <c r="N81" t="s">
        <v>647</v>
      </c>
      <c r="O81" t="s">
        <v>647</v>
      </c>
      <c r="P81">
        <v>67300</v>
      </c>
      <c r="Q81" t="str">
        <f>"41.259095"</f>
        <v>41.259095</v>
      </c>
      <c r="R81" t="str">
        <f>"24.929355"</f>
        <v>24.929355</v>
      </c>
      <c r="S81" t="s">
        <v>26</v>
      </c>
    </row>
    <row r="82" spans="1:19" x14ac:dyDescent="0.3">
      <c r="A82" t="s">
        <v>19</v>
      </c>
      <c r="B82" t="s">
        <v>593</v>
      </c>
      <c r="C82" t="s">
        <v>697</v>
      </c>
      <c r="D82" t="s">
        <v>38</v>
      </c>
      <c r="E82" t="s">
        <v>604</v>
      </c>
      <c r="F82" t="s">
        <v>605</v>
      </c>
      <c r="G82" t="s">
        <v>696</v>
      </c>
      <c r="H82" t="s">
        <v>51</v>
      </c>
      <c r="I82" t="s">
        <v>52</v>
      </c>
      <c r="J82" t="str">
        <f>"3701060"</f>
        <v>3701060</v>
      </c>
      <c r="K82">
        <v>2541031272</v>
      </c>
      <c r="L82">
        <v>2541031272</v>
      </c>
      <c r="M82" t="s">
        <v>698</v>
      </c>
      <c r="N82" t="s">
        <v>699</v>
      </c>
      <c r="O82" t="s">
        <v>699</v>
      </c>
      <c r="P82">
        <v>67064</v>
      </c>
      <c r="Q82" t="str">
        <f>"41.109198"</f>
        <v>41.109198</v>
      </c>
      <c r="R82" t="str">
        <f>"25.027072"</f>
        <v>25.027072</v>
      </c>
      <c r="S82" t="s">
        <v>26</v>
      </c>
    </row>
    <row r="83" spans="1:19" x14ac:dyDescent="0.3">
      <c r="A83" t="s">
        <v>19</v>
      </c>
      <c r="B83" t="s">
        <v>593</v>
      </c>
      <c r="C83" t="s">
        <v>702</v>
      </c>
      <c r="D83" t="s">
        <v>38</v>
      </c>
      <c r="E83" t="s">
        <v>638</v>
      </c>
      <c r="F83" t="s">
        <v>638</v>
      </c>
      <c r="G83" t="s">
        <v>701</v>
      </c>
      <c r="H83" t="s">
        <v>51</v>
      </c>
      <c r="I83" t="s">
        <v>52</v>
      </c>
      <c r="J83" t="str">
        <f>"3704010"</f>
        <v>3704010</v>
      </c>
      <c r="K83">
        <v>2544022136</v>
      </c>
      <c r="L83">
        <v>2544024100</v>
      </c>
      <c r="M83" t="s">
        <v>703</v>
      </c>
      <c r="N83" t="s">
        <v>704</v>
      </c>
      <c r="O83" t="s">
        <v>705</v>
      </c>
      <c r="P83">
        <v>67300</v>
      </c>
      <c r="Q83" t="str">
        <f>"41.277961"</f>
        <v>41.277961</v>
      </c>
      <c r="R83" t="str">
        <f>"24.969906"</f>
        <v>24.969906</v>
      </c>
      <c r="S83" t="s">
        <v>26</v>
      </c>
    </row>
    <row r="84" spans="1:19" x14ac:dyDescent="0.3">
      <c r="A84" t="s">
        <v>19</v>
      </c>
      <c r="B84" t="s">
        <v>593</v>
      </c>
      <c r="C84" t="s">
        <v>707</v>
      </c>
      <c r="D84" t="s">
        <v>38</v>
      </c>
      <c r="E84" t="s">
        <v>604</v>
      </c>
      <c r="F84" t="s">
        <v>604</v>
      </c>
      <c r="G84" t="s">
        <v>604</v>
      </c>
      <c r="H84" t="s">
        <v>51</v>
      </c>
      <c r="I84" t="s">
        <v>52</v>
      </c>
      <c r="J84" t="str">
        <f>"3703010"</f>
        <v>3703010</v>
      </c>
      <c r="K84">
        <v>2541051234</v>
      </c>
      <c r="L84">
        <v>2541051381</v>
      </c>
      <c r="M84" t="s">
        <v>708</v>
      </c>
      <c r="N84" t="s">
        <v>629</v>
      </c>
      <c r="O84" t="s">
        <v>628</v>
      </c>
      <c r="P84">
        <v>67064</v>
      </c>
      <c r="Q84" t="str">
        <f>"40.979193"</f>
        <v>40.979193</v>
      </c>
      <c r="R84" t="str">
        <f>"24.951975"</f>
        <v>24.951975</v>
      </c>
      <c r="S84" t="s">
        <v>26</v>
      </c>
    </row>
    <row r="85" spans="1:19" x14ac:dyDescent="0.3">
      <c r="A85" t="s">
        <v>19</v>
      </c>
      <c r="B85" t="s">
        <v>593</v>
      </c>
      <c r="C85" t="s">
        <v>709</v>
      </c>
      <c r="D85" t="s">
        <v>38</v>
      </c>
      <c r="E85" t="s">
        <v>38</v>
      </c>
      <c r="F85" t="s">
        <v>38</v>
      </c>
      <c r="G85" t="s">
        <v>38</v>
      </c>
      <c r="H85" t="s">
        <v>51</v>
      </c>
      <c r="I85" t="s">
        <v>52</v>
      </c>
      <c r="J85" t="str">
        <f>"3701046"</f>
        <v>3701046</v>
      </c>
      <c r="K85">
        <v>2541072974</v>
      </c>
      <c r="L85">
        <v>2541072974</v>
      </c>
      <c r="M85" t="s">
        <v>710</v>
      </c>
      <c r="N85" t="s">
        <v>41</v>
      </c>
      <c r="O85" t="s">
        <v>676</v>
      </c>
      <c r="P85">
        <v>67100</v>
      </c>
      <c r="Q85" t="str">
        <f>"41.137903"</f>
        <v>41.137903</v>
      </c>
      <c r="R85" t="str">
        <f>"24.877659"</f>
        <v>24.877659</v>
      </c>
      <c r="S85" t="s">
        <v>26</v>
      </c>
    </row>
    <row r="86" spans="1:19" x14ac:dyDescent="0.3">
      <c r="A86" t="s">
        <v>19</v>
      </c>
      <c r="B86" t="s">
        <v>593</v>
      </c>
      <c r="C86" t="s">
        <v>711</v>
      </c>
      <c r="D86" t="s">
        <v>38</v>
      </c>
      <c r="E86" t="s">
        <v>38</v>
      </c>
      <c r="F86" t="s">
        <v>38</v>
      </c>
      <c r="G86" t="s">
        <v>38</v>
      </c>
      <c r="H86" t="s">
        <v>51</v>
      </c>
      <c r="I86" t="s">
        <v>52</v>
      </c>
      <c r="J86" t="str">
        <f>"3701020"</f>
        <v>3701020</v>
      </c>
      <c r="K86">
        <v>2541023639</v>
      </c>
      <c r="L86">
        <v>2541067624</v>
      </c>
      <c r="M86" t="s">
        <v>712</v>
      </c>
      <c r="N86" t="s">
        <v>41</v>
      </c>
      <c r="O86" t="s">
        <v>713</v>
      </c>
      <c r="P86">
        <v>67131</v>
      </c>
      <c r="Q86" t="str">
        <f>"41.137027"</f>
        <v>41.137027</v>
      </c>
      <c r="R86" t="str">
        <f>"24.891723"</f>
        <v>24.891723</v>
      </c>
      <c r="S86" t="s">
        <v>26</v>
      </c>
    </row>
    <row r="87" spans="1:19" x14ac:dyDescent="0.3">
      <c r="A87" t="s">
        <v>19</v>
      </c>
      <c r="B87" t="s">
        <v>593</v>
      </c>
      <c r="C87" t="s">
        <v>714</v>
      </c>
      <c r="D87" t="s">
        <v>38</v>
      </c>
      <c r="E87" t="s">
        <v>38</v>
      </c>
      <c r="F87" t="s">
        <v>38</v>
      </c>
      <c r="G87" t="s">
        <v>38</v>
      </c>
      <c r="H87" t="s">
        <v>51</v>
      </c>
      <c r="I87" t="s">
        <v>52</v>
      </c>
      <c r="J87" t="str">
        <f>"3701045"</f>
        <v>3701045</v>
      </c>
      <c r="K87">
        <v>2541071818</v>
      </c>
      <c r="L87">
        <v>2541067625</v>
      </c>
      <c r="M87" t="s">
        <v>715</v>
      </c>
      <c r="N87" t="s">
        <v>41</v>
      </c>
      <c r="O87" t="s">
        <v>614</v>
      </c>
      <c r="P87">
        <v>67100</v>
      </c>
      <c r="Q87" t="str">
        <f>"41.124144"</f>
        <v>41.124144</v>
      </c>
      <c r="R87" t="str">
        <f>"24.876706"</f>
        <v>24.876706</v>
      </c>
      <c r="S87" t="s">
        <v>26</v>
      </c>
    </row>
    <row r="88" spans="1:19" x14ac:dyDescent="0.3">
      <c r="A88" t="s">
        <v>19</v>
      </c>
      <c r="B88" t="s">
        <v>593</v>
      </c>
      <c r="C88" t="s">
        <v>716</v>
      </c>
      <c r="D88" t="s">
        <v>38</v>
      </c>
      <c r="E88" t="s">
        <v>638</v>
      </c>
      <c r="F88" t="s">
        <v>638</v>
      </c>
      <c r="G88" t="s">
        <v>638</v>
      </c>
      <c r="H88" t="s">
        <v>51</v>
      </c>
      <c r="I88" t="s">
        <v>52</v>
      </c>
      <c r="J88" t="str">
        <f>"3705010"</f>
        <v>3705010</v>
      </c>
      <c r="K88">
        <v>2541077551</v>
      </c>
      <c r="L88">
        <v>2541077551</v>
      </c>
      <c r="M88" t="s">
        <v>717</v>
      </c>
      <c r="N88" t="s">
        <v>718</v>
      </c>
      <c r="O88" t="s">
        <v>719</v>
      </c>
      <c r="P88">
        <v>67150</v>
      </c>
      <c r="Q88" t="str">
        <f>"41.229047"</f>
        <v>41.229047</v>
      </c>
      <c r="R88" t="str">
        <f>"24.881675"</f>
        <v>24.881675</v>
      </c>
      <c r="S88" t="s">
        <v>26</v>
      </c>
    </row>
    <row r="89" spans="1:19" x14ac:dyDescent="0.3">
      <c r="A89" t="s">
        <v>19</v>
      </c>
      <c r="B89" t="s">
        <v>593</v>
      </c>
      <c r="C89" t="s">
        <v>722</v>
      </c>
      <c r="D89" t="s">
        <v>38</v>
      </c>
      <c r="E89" t="s">
        <v>38</v>
      </c>
      <c r="F89" t="s">
        <v>38</v>
      </c>
      <c r="G89" t="s">
        <v>38</v>
      </c>
      <c r="H89" t="s">
        <v>51</v>
      </c>
      <c r="I89" t="s">
        <v>721</v>
      </c>
      <c r="J89" t="str">
        <f>"3704015"</f>
        <v>3704015</v>
      </c>
      <c r="K89">
        <v>2541070670</v>
      </c>
      <c r="L89">
        <v>2541070670</v>
      </c>
      <c r="M89" t="s">
        <v>723</v>
      </c>
      <c r="N89" t="s">
        <v>724</v>
      </c>
      <c r="O89" t="s">
        <v>725</v>
      </c>
      <c r="P89">
        <v>67133</v>
      </c>
      <c r="Q89" t="str">
        <f>"41.135484"</f>
        <v>41.135484</v>
      </c>
      <c r="R89" t="str">
        <f>"24.890628"</f>
        <v>24.890628</v>
      </c>
      <c r="S89" t="s">
        <v>26</v>
      </c>
    </row>
    <row r="90" spans="1:19" x14ac:dyDescent="0.3">
      <c r="A90" t="s">
        <v>19</v>
      </c>
      <c r="B90" t="s">
        <v>593</v>
      </c>
      <c r="C90" t="s">
        <v>726</v>
      </c>
      <c r="D90" t="s">
        <v>38</v>
      </c>
      <c r="E90" t="s">
        <v>38</v>
      </c>
      <c r="F90" t="s">
        <v>38</v>
      </c>
      <c r="G90" t="s">
        <v>38</v>
      </c>
      <c r="H90" t="s">
        <v>51</v>
      </c>
      <c r="I90" t="s">
        <v>52</v>
      </c>
      <c r="J90" t="str">
        <f>"3701047"</f>
        <v>3701047</v>
      </c>
      <c r="K90">
        <v>2541084186</v>
      </c>
      <c r="L90">
        <v>2541084186</v>
      </c>
      <c r="M90" t="s">
        <v>727</v>
      </c>
      <c r="N90" t="s">
        <v>41</v>
      </c>
      <c r="O90" t="s">
        <v>728</v>
      </c>
      <c r="P90">
        <v>67131</v>
      </c>
      <c r="Q90" t="str">
        <f>"41.130739"</f>
        <v>41.130739</v>
      </c>
      <c r="R90" t="str">
        <f>"24.893071"</f>
        <v>24.893071</v>
      </c>
      <c r="S90" t="s">
        <v>26</v>
      </c>
    </row>
    <row r="91" spans="1:19" x14ac:dyDescent="0.3">
      <c r="A91" t="s">
        <v>19</v>
      </c>
      <c r="B91" t="s">
        <v>593</v>
      </c>
      <c r="C91" t="s">
        <v>729</v>
      </c>
      <c r="D91" t="s">
        <v>38</v>
      </c>
      <c r="E91" t="s">
        <v>38</v>
      </c>
      <c r="F91" t="s">
        <v>38</v>
      </c>
      <c r="G91" t="s">
        <v>38</v>
      </c>
      <c r="H91" t="s">
        <v>51</v>
      </c>
      <c r="I91" t="s">
        <v>52</v>
      </c>
      <c r="J91" t="str">
        <f>"3701050"</f>
        <v>3701050</v>
      </c>
      <c r="K91">
        <v>2541075744</v>
      </c>
      <c r="L91">
        <v>2541083665</v>
      </c>
      <c r="M91" t="s">
        <v>730</v>
      </c>
      <c r="N91" t="s">
        <v>41</v>
      </c>
      <c r="O91" t="s">
        <v>731</v>
      </c>
      <c r="P91">
        <v>67100</v>
      </c>
      <c r="Q91" t="str">
        <f>"41.134238"</f>
        <v>41.134238</v>
      </c>
      <c r="R91" t="str">
        <f>"24.903286"</f>
        <v>24.903286</v>
      </c>
      <c r="S91" t="s">
        <v>26</v>
      </c>
    </row>
    <row r="92" spans="1:19" x14ac:dyDescent="0.3">
      <c r="A92" t="s">
        <v>19</v>
      </c>
      <c r="B92" t="s">
        <v>593</v>
      </c>
      <c r="C92" t="s">
        <v>736</v>
      </c>
      <c r="D92" t="s">
        <v>38</v>
      </c>
      <c r="E92" t="s">
        <v>663</v>
      </c>
      <c r="F92" t="s">
        <v>663</v>
      </c>
      <c r="G92" t="s">
        <v>735</v>
      </c>
      <c r="H92" t="s">
        <v>51</v>
      </c>
      <c r="I92" t="s">
        <v>199</v>
      </c>
      <c r="J92" t="str">
        <f>"3711201"</f>
        <v>3711201</v>
      </c>
      <c r="K92">
        <v>2541093643</v>
      </c>
      <c r="L92">
        <v>2541093643</v>
      </c>
      <c r="M92" t="s">
        <v>737</v>
      </c>
      <c r="N92" t="s">
        <v>738</v>
      </c>
      <c r="O92" t="s">
        <v>739</v>
      </c>
      <c r="P92">
        <v>67200</v>
      </c>
      <c r="Q92" t="str">
        <f>"40.953374"</f>
        <v>40.953374</v>
      </c>
      <c r="R92" t="str">
        <f>"24.840813"</f>
        <v>24.840813</v>
      </c>
      <c r="S92" t="s">
        <v>26</v>
      </c>
    </row>
    <row r="93" spans="1:19" x14ac:dyDescent="0.3">
      <c r="A93" t="s">
        <v>19</v>
      </c>
      <c r="B93" t="s">
        <v>740</v>
      </c>
      <c r="C93" t="s">
        <v>784</v>
      </c>
      <c r="D93" t="s">
        <v>43</v>
      </c>
      <c r="E93" t="s">
        <v>44</v>
      </c>
      <c r="F93" t="s">
        <v>44</v>
      </c>
      <c r="G93" t="s">
        <v>44</v>
      </c>
      <c r="H93" t="s">
        <v>51</v>
      </c>
      <c r="I93" t="s">
        <v>52</v>
      </c>
      <c r="J93" t="str">
        <f>"4201010"</f>
        <v>4201010</v>
      </c>
      <c r="K93">
        <v>2531026842</v>
      </c>
      <c r="L93">
        <v>2531083102</v>
      </c>
      <c r="M93" t="s">
        <v>785</v>
      </c>
      <c r="N93" t="s">
        <v>786</v>
      </c>
      <c r="O93" t="s">
        <v>787</v>
      </c>
      <c r="P93">
        <v>69132</v>
      </c>
      <c r="Q93" t="str">
        <f>"41.114865"</f>
        <v>41.114865</v>
      </c>
      <c r="R93" t="str">
        <f>"25.398995"</f>
        <v>25.398995</v>
      </c>
      <c r="S93" t="s">
        <v>26</v>
      </c>
    </row>
    <row r="94" spans="1:19" x14ac:dyDescent="0.3">
      <c r="A94" t="s">
        <v>19</v>
      </c>
      <c r="B94" t="s">
        <v>740</v>
      </c>
      <c r="C94" t="s">
        <v>789</v>
      </c>
      <c r="D94" t="s">
        <v>43</v>
      </c>
      <c r="E94" t="s">
        <v>746</v>
      </c>
      <c r="F94" t="s">
        <v>747</v>
      </c>
      <c r="G94" t="s">
        <v>748</v>
      </c>
      <c r="H94" t="s">
        <v>51</v>
      </c>
      <c r="I94" t="s">
        <v>52</v>
      </c>
      <c r="J94" t="str">
        <f>"4204010"</f>
        <v>4204010</v>
      </c>
      <c r="K94">
        <v>2533022490</v>
      </c>
      <c r="L94">
        <v>2533022490</v>
      </c>
      <c r="M94" t="s">
        <v>790</v>
      </c>
      <c r="N94" t="s">
        <v>751</v>
      </c>
      <c r="O94" t="s">
        <v>751</v>
      </c>
      <c r="P94">
        <v>69400</v>
      </c>
      <c r="Q94" t="str">
        <f>"40.971827"</f>
        <v>40.971827</v>
      </c>
      <c r="R94" t="str">
        <f>"25.427669"</f>
        <v>25.427669</v>
      </c>
      <c r="S94" t="s">
        <v>26</v>
      </c>
    </row>
    <row r="95" spans="1:19" x14ac:dyDescent="0.3">
      <c r="A95" t="s">
        <v>19</v>
      </c>
      <c r="B95" t="s">
        <v>740</v>
      </c>
      <c r="C95" t="s">
        <v>793</v>
      </c>
      <c r="D95" t="s">
        <v>43</v>
      </c>
      <c r="E95" t="s">
        <v>791</v>
      </c>
      <c r="F95" t="s">
        <v>792</v>
      </c>
      <c r="G95" t="s">
        <v>792</v>
      </c>
      <c r="H95" t="s">
        <v>51</v>
      </c>
      <c r="I95" t="s">
        <v>89</v>
      </c>
      <c r="J95" t="str">
        <f>"4206010"</f>
        <v>4206010</v>
      </c>
      <c r="K95">
        <v>2531030862</v>
      </c>
      <c r="L95">
        <v>2531030862</v>
      </c>
      <c r="M95" t="s">
        <v>794</v>
      </c>
      <c r="N95" t="s">
        <v>795</v>
      </c>
      <c r="O95" t="s">
        <v>796</v>
      </c>
      <c r="P95">
        <v>69500</v>
      </c>
      <c r="Q95" t="str">
        <f>"41.253327"</f>
        <v>41.253327</v>
      </c>
      <c r="R95" t="str">
        <f>"25.684797"</f>
        <v>25.684797</v>
      </c>
      <c r="S95" t="s">
        <v>57</v>
      </c>
    </row>
    <row r="96" spans="1:19" x14ac:dyDescent="0.3">
      <c r="A96" t="s">
        <v>19</v>
      </c>
      <c r="B96" t="s">
        <v>740</v>
      </c>
      <c r="C96" t="s">
        <v>798</v>
      </c>
      <c r="D96" t="s">
        <v>43</v>
      </c>
      <c r="E96" t="s">
        <v>44</v>
      </c>
      <c r="F96" t="s">
        <v>44</v>
      </c>
      <c r="G96" t="s">
        <v>44</v>
      </c>
      <c r="H96" t="s">
        <v>51</v>
      </c>
      <c r="I96" t="s">
        <v>52</v>
      </c>
      <c r="J96" t="str">
        <f>"4201020"</f>
        <v>4201020</v>
      </c>
      <c r="K96">
        <v>2531023263</v>
      </c>
      <c r="L96">
        <v>2531030010</v>
      </c>
      <c r="M96" t="s">
        <v>799</v>
      </c>
      <c r="N96" t="s">
        <v>47</v>
      </c>
      <c r="O96" t="s">
        <v>800</v>
      </c>
      <c r="P96">
        <v>69133</v>
      </c>
      <c r="Q96" t="str">
        <f>"41.108846"</f>
        <v>41.108846</v>
      </c>
      <c r="R96" t="str">
        <f>"25.406614"</f>
        <v>25.406614</v>
      </c>
      <c r="S96" t="s">
        <v>26</v>
      </c>
    </row>
    <row r="97" spans="1:19" x14ac:dyDescent="0.3">
      <c r="A97" t="s">
        <v>19</v>
      </c>
      <c r="B97" t="s">
        <v>740</v>
      </c>
      <c r="C97" t="s">
        <v>802</v>
      </c>
      <c r="D97" t="s">
        <v>43</v>
      </c>
      <c r="E97" t="s">
        <v>44</v>
      </c>
      <c r="F97" t="s">
        <v>44</v>
      </c>
      <c r="G97" t="s">
        <v>44</v>
      </c>
      <c r="H97" t="s">
        <v>51</v>
      </c>
      <c r="I97" t="s">
        <v>52</v>
      </c>
      <c r="J97" t="str">
        <f>"4201040"</f>
        <v>4201040</v>
      </c>
      <c r="K97">
        <v>2531021992</v>
      </c>
      <c r="L97">
        <v>2531081297</v>
      </c>
      <c r="M97" t="s">
        <v>803</v>
      </c>
      <c r="N97" t="s">
        <v>47</v>
      </c>
      <c r="O97" t="s">
        <v>804</v>
      </c>
      <c r="P97">
        <v>69131</v>
      </c>
      <c r="Q97" t="str">
        <f>"41.129533"</f>
        <v>41.129533</v>
      </c>
      <c r="R97" t="str">
        <f>"25.407332"</f>
        <v>25.407332</v>
      </c>
      <c r="S97" t="s">
        <v>26</v>
      </c>
    </row>
    <row r="98" spans="1:19" x14ac:dyDescent="0.3">
      <c r="A98" t="s">
        <v>19</v>
      </c>
      <c r="B98" t="s">
        <v>740</v>
      </c>
      <c r="C98" t="s">
        <v>808</v>
      </c>
      <c r="D98" t="s">
        <v>43</v>
      </c>
      <c r="E98" t="s">
        <v>746</v>
      </c>
      <c r="F98" t="s">
        <v>771</v>
      </c>
      <c r="G98" t="s">
        <v>771</v>
      </c>
      <c r="H98" t="s">
        <v>51</v>
      </c>
      <c r="I98" t="s">
        <v>807</v>
      </c>
      <c r="J98" t="str">
        <f>"4202010"</f>
        <v>4202010</v>
      </c>
      <c r="K98">
        <v>2532022041</v>
      </c>
      <c r="L98">
        <v>2532022153</v>
      </c>
      <c r="M98" t="s">
        <v>809</v>
      </c>
      <c r="N98" t="s">
        <v>810</v>
      </c>
      <c r="O98" t="s">
        <v>811</v>
      </c>
      <c r="P98">
        <v>69300</v>
      </c>
      <c r="Q98" t="str">
        <f>"41.022125"</f>
        <v>41.022125</v>
      </c>
      <c r="R98" t="str">
        <f>"25.702823"</f>
        <v>25.702823</v>
      </c>
      <c r="S98" t="s">
        <v>26</v>
      </c>
    </row>
    <row r="99" spans="1:19" x14ac:dyDescent="0.3">
      <c r="A99" t="s">
        <v>19</v>
      </c>
      <c r="B99" t="s">
        <v>740</v>
      </c>
      <c r="C99" t="s">
        <v>812</v>
      </c>
      <c r="D99" t="s">
        <v>43</v>
      </c>
      <c r="E99" t="s">
        <v>778</v>
      </c>
      <c r="F99" t="s">
        <v>778</v>
      </c>
      <c r="G99" t="s">
        <v>778</v>
      </c>
      <c r="H99" t="s">
        <v>51</v>
      </c>
      <c r="I99" t="s">
        <v>52</v>
      </c>
      <c r="J99" t="str">
        <f>"4203010"</f>
        <v>4203010</v>
      </c>
      <c r="K99">
        <v>2534022316</v>
      </c>
      <c r="L99">
        <v>2534022316</v>
      </c>
      <c r="M99" t="s">
        <v>813</v>
      </c>
      <c r="N99" t="s">
        <v>781</v>
      </c>
      <c r="O99" t="s">
        <v>782</v>
      </c>
      <c r="P99">
        <v>69200</v>
      </c>
      <c r="Q99" t="str">
        <f>"41.124953"</f>
        <v>41.124953</v>
      </c>
      <c r="R99" t="str">
        <f>"25.178018"</f>
        <v>25.178018</v>
      </c>
      <c r="S99" t="s">
        <v>26</v>
      </c>
    </row>
    <row r="100" spans="1:19" x14ac:dyDescent="0.3">
      <c r="A100" t="s">
        <v>19</v>
      </c>
      <c r="B100" t="s">
        <v>740</v>
      </c>
      <c r="C100" t="s">
        <v>816</v>
      </c>
      <c r="D100" t="s">
        <v>43</v>
      </c>
      <c r="E100" t="s">
        <v>44</v>
      </c>
      <c r="F100" t="s">
        <v>814</v>
      </c>
      <c r="G100" t="s">
        <v>815</v>
      </c>
      <c r="H100" t="s">
        <v>51</v>
      </c>
      <c r="I100" t="s">
        <v>52</v>
      </c>
      <c r="J100" t="str">
        <f>"4205010"</f>
        <v>4205010</v>
      </c>
      <c r="K100">
        <v>2535021203</v>
      </c>
      <c r="L100">
        <v>2535021295</v>
      </c>
      <c r="M100" t="s">
        <v>817</v>
      </c>
      <c r="N100" t="s">
        <v>818</v>
      </c>
      <c r="O100" t="s">
        <v>819</v>
      </c>
      <c r="P100">
        <v>69150</v>
      </c>
      <c r="Q100" t="str">
        <f>"41.031879"</f>
        <v>41.031879</v>
      </c>
      <c r="R100" t="str">
        <f>"25.214695"</f>
        <v>25.214695</v>
      </c>
      <c r="S100" t="s">
        <v>26</v>
      </c>
    </row>
    <row r="101" spans="1:19" x14ac:dyDescent="0.3">
      <c r="A101" t="s">
        <v>19</v>
      </c>
      <c r="B101" t="s">
        <v>740</v>
      </c>
      <c r="C101" t="s">
        <v>821</v>
      </c>
      <c r="D101" t="s">
        <v>43</v>
      </c>
      <c r="E101" t="s">
        <v>44</v>
      </c>
      <c r="F101" t="s">
        <v>44</v>
      </c>
      <c r="G101" t="s">
        <v>44</v>
      </c>
      <c r="H101" t="s">
        <v>51</v>
      </c>
      <c r="I101" t="s">
        <v>184</v>
      </c>
      <c r="J101" t="str">
        <f>"4201050"</f>
        <v>4201050</v>
      </c>
      <c r="K101">
        <v>2531028844</v>
      </c>
      <c r="L101">
        <v>2531028380</v>
      </c>
      <c r="M101" t="s">
        <v>822</v>
      </c>
      <c r="N101" t="s">
        <v>47</v>
      </c>
      <c r="O101" t="s">
        <v>744</v>
      </c>
      <c r="P101">
        <v>69100</v>
      </c>
      <c r="Q101" t="str">
        <f>"41.122072"</f>
        <v>41.122072</v>
      </c>
      <c r="R101" t="str">
        <f>"25.397155"</f>
        <v>25.397155</v>
      </c>
      <c r="S101" t="s">
        <v>26</v>
      </c>
    </row>
    <row r="102" spans="1:19" x14ac:dyDescent="0.3">
      <c r="A102" t="s">
        <v>19</v>
      </c>
      <c r="B102" t="s">
        <v>740</v>
      </c>
      <c r="C102" t="s">
        <v>823</v>
      </c>
      <c r="D102" t="s">
        <v>43</v>
      </c>
      <c r="E102" t="s">
        <v>44</v>
      </c>
      <c r="F102" t="s">
        <v>44</v>
      </c>
      <c r="G102" t="s">
        <v>44</v>
      </c>
      <c r="H102" t="s">
        <v>51</v>
      </c>
      <c r="I102" t="s">
        <v>190</v>
      </c>
      <c r="J102" t="str">
        <f>"4201045"</f>
        <v>4201045</v>
      </c>
      <c r="K102">
        <v>2531037236</v>
      </c>
      <c r="L102">
        <v>2531037211</v>
      </c>
      <c r="M102" t="s">
        <v>824</v>
      </c>
      <c r="N102" t="s">
        <v>756</v>
      </c>
      <c r="O102" t="s">
        <v>825</v>
      </c>
      <c r="P102">
        <v>69100</v>
      </c>
      <c r="Q102" t="str">
        <f>"41.122688"</f>
        <v>41.122688</v>
      </c>
      <c r="R102" t="str">
        <f>"25.393116"</f>
        <v>25.393116</v>
      </c>
      <c r="S102" t="s">
        <v>26</v>
      </c>
    </row>
    <row r="103" spans="1:19" x14ac:dyDescent="0.3">
      <c r="A103" t="s">
        <v>19</v>
      </c>
      <c r="B103" t="s">
        <v>740</v>
      </c>
      <c r="C103" t="s">
        <v>826</v>
      </c>
      <c r="D103" t="s">
        <v>43</v>
      </c>
      <c r="E103" t="s">
        <v>44</v>
      </c>
      <c r="F103" t="s">
        <v>44</v>
      </c>
      <c r="G103" t="s">
        <v>44</v>
      </c>
      <c r="H103" t="s">
        <v>51</v>
      </c>
      <c r="I103" t="s">
        <v>52</v>
      </c>
      <c r="J103" t="str">
        <f>"4201030"</f>
        <v>4201030</v>
      </c>
      <c r="K103">
        <v>2531022600</v>
      </c>
      <c r="M103" t="s">
        <v>827</v>
      </c>
      <c r="N103" t="s">
        <v>756</v>
      </c>
      <c r="O103" t="s">
        <v>828</v>
      </c>
      <c r="P103">
        <v>69100</v>
      </c>
      <c r="Q103" t="str">
        <f>"41.120683"</f>
        <v>41.120683</v>
      </c>
      <c r="R103" t="str">
        <f>"25.394614"</f>
        <v>25.394614</v>
      </c>
      <c r="S103" t="s">
        <v>26</v>
      </c>
    </row>
    <row r="104" spans="1:19" x14ac:dyDescent="0.3">
      <c r="A104" t="s">
        <v>19</v>
      </c>
      <c r="B104" t="s">
        <v>740</v>
      </c>
      <c r="C104" t="s">
        <v>830</v>
      </c>
      <c r="D104" t="s">
        <v>43</v>
      </c>
      <c r="E104" t="s">
        <v>44</v>
      </c>
      <c r="F104" t="s">
        <v>829</v>
      </c>
      <c r="G104" t="s">
        <v>829</v>
      </c>
      <c r="H104" t="s">
        <v>51</v>
      </c>
      <c r="I104" t="s">
        <v>52</v>
      </c>
      <c r="J104" t="str">
        <f>"4201060"</f>
        <v>4201060</v>
      </c>
      <c r="K104">
        <v>2531051247</v>
      </c>
      <c r="L104">
        <v>2531089001</v>
      </c>
      <c r="M104" t="s">
        <v>831</v>
      </c>
      <c r="N104" t="s">
        <v>832</v>
      </c>
      <c r="O104" t="s">
        <v>833</v>
      </c>
      <c r="P104">
        <v>69100</v>
      </c>
      <c r="Q104" t="str">
        <f>"41.024619"</f>
        <v>41.024619</v>
      </c>
      <c r="R104" t="str">
        <f>"25.357539"</f>
        <v>25.357539</v>
      </c>
      <c r="S104" t="s">
        <v>26</v>
      </c>
    </row>
    <row r="105" spans="1:19" x14ac:dyDescent="0.3">
      <c r="A105" t="s">
        <v>19</v>
      </c>
      <c r="B105" t="s">
        <v>740</v>
      </c>
      <c r="C105" t="s">
        <v>835</v>
      </c>
      <c r="D105" t="s">
        <v>43</v>
      </c>
      <c r="E105" t="s">
        <v>44</v>
      </c>
      <c r="F105" t="s">
        <v>44</v>
      </c>
      <c r="G105" t="s">
        <v>44</v>
      </c>
      <c r="H105" t="s">
        <v>51</v>
      </c>
      <c r="I105" t="s">
        <v>621</v>
      </c>
      <c r="J105" t="str">
        <f>"4290005"</f>
        <v>4290005</v>
      </c>
      <c r="K105">
        <v>2531022900</v>
      </c>
      <c r="L105">
        <v>2531022900</v>
      </c>
      <c r="M105" t="s">
        <v>836</v>
      </c>
      <c r="N105" t="s">
        <v>47</v>
      </c>
      <c r="O105" t="s">
        <v>837</v>
      </c>
      <c r="P105">
        <v>69133</v>
      </c>
      <c r="Q105" t="str">
        <f>"41.122713"</f>
        <v>41.122713</v>
      </c>
      <c r="R105" t="str">
        <f>"25.410542"</f>
        <v>25.410542</v>
      </c>
      <c r="S105" t="s">
        <v>26</v>
      </c>
    </row>
    <row r="106" spans="1:19" x14ac:dyDescent="0.3">
      <c r="A106" t="s">
        <v>19</v>
      </c>
      <c r="B106" t="s">
        <v>740</v>
      </c>
      <c r="C106" t="s">
        <v>839</v>
      </c>
      <c r="D106" t="s">
        <v>43</v>
      </c>
      <c r="E106" t="s">
        <v>44</v>
      </c>
      <c r="F106" t="s">
        <v>44</v>
      </c>
      <c r="G106" t="s">
        <v>44</v>
      </c>
      <c r="H106" t="s">
        <v>51</v>
      </c>
      <c r="I106" t="s">
        <v>721</v>
      </c>
      <c r="J106" t="str">
        <f>"4201055"</f>
        <v>4201055</v>
      </c>
      <c r="K106">
        <v>2531023330</v>
      </c>
      <c r="L106">
        <v>2531083972</v>
      </c>
      <c r="M106" t="s">
        <v>840</v>
      </c>
      <c r="N106" t="s">
        <v>47</v>
      </c>
      <c r="O106" t="s">
        <v>841</v>
      </c>
      <c r="P106">
        <v>69132</v>
      </c>
      <c r="Q106" t="str">
        <f>"41.119738"</f>
        <v>41.119738</v>
      </c>
      <c r="R106" t="str">
        <f>"25.403104"</f>
        <v>25.403104</v>
      </c>
      <c r="S106" t="s">
        <v>26</v>
      </c>
    </row>
    <row r="107" spans="1:19" x14ac:dyDescent="0.3">
      <c r="A107" t="s">
        <v>19</v>
      </c>
      <c r="B107" t="s">
        <v>740</v>
      </c>
      <c r="C107" t="s">
        <v>851</v>
      </c>
      <c r="D107" t="s">
        <v>43</v>
      </c>
      <c r="E107" t="s">
        <v>44</v>
      </c>
      <c r="F107" t="s">
        <v>44</v>
      </c>
      <c r="G107" t="s">
        <v>44</v>
      </c>
      <c r="H107" t="s">
        <v>51</v>
      </c>
      <c r="I107" t="s">
        <v>199</v>
      </c>
      <c r="J107" t="str">
        <f>"4211201"</f>
        <v>4211201</v>
      </c>
      <c r="K107">
        <v>2531089088</v>
      </c>
      <c r="M107" t="s">
        <v>852</v>
      </c>
      <c r="N107" t="s">
        <v>853</v>
      </c>
      <c r="O107" t="s">
        <v>854</v>
      </c>
      <c r="P107">
        <v>69100</v>
      </c>
      <c r="Q107" t="str">
        <f>"41.112345"</f>
        <v>41.112345</v>
      </c>
      <c r="R107" t="str">
        <f>"25.300101"</f>
        <v>25.300101</v>
      </c>
      <c r="S107" t="s">
        <v>26</v>
      </c>
    </row>
    <row r="108" spans="1:19" x14ac:dyDescent="0.3">
      <c r="A108" t="s">
        <v>19</v>
      </c>
      <c r="B108" t="s">
        <v>740</v>
      </c>
      <c r="C108" t="s">
        <v>855</v>
      </c>
      <c r="D108" t="s">
        <v>43</v>
      </c>
      <c r="E108" t="s">
        <v>44</v>
      </c>
      <c r="F108" t="s">
        <v>44</v>
      </c>
      <c r="G108" t="s">
        <v>44</v>
      </c>
      <c r="H108" t="s">
        <v>51</v>
      </c>
      <c r="I108" t="s">
        <v>52</v>
      </c>
      <c r="J108" t="str">
        <f>"4201000"</f>
        <v>4201000</v>
      </c>
      <c r="K108">
        <v>2531031973</v>
      </c>
      <c r="M108" t="s">
        <v>856</v>
      </c>
      <c r="N108" t="s">
        <v>47</v>
      </c>
      <c r="O108" t="s">
        <v>857</v>
      </c>
      <c r="P108">
        <v>69133</v>
      </c>
      <c r="Q108" t="str">
        <f>"41.115166"</f>
        <v>41.115166</v>
      </c>
      <c r="R108" t="str">
        <f>"25.405735"</f>
        <v>25.405735</v>
      </c>
      <c r="S108" t="s">
        <v>26</v>
      </c>
    </row>
    <row r="109" spans="1:19" x14ac:dyDescent="0.3">
      <c r="A109" t="s">
        <v>3237</v>
      </c>
      <c r="B109" t="s">
        <v>3307</v>
      </c>
      <c r="C109" t="s">
        <v>3313</v>
      </c>
      <c r="D109" t="s">
        <v>3238</v>
      </c>
      <c r="E109" t="s">
        <v>3239</v>
      </c>
      <c r="F109" t="s">
        <v>3239</v>
      </c>
      <c r="G109" t="s">
        <v>3312</v>
      </c>
      <c r="H109" t="s">
        <v>51</v>
      </c>
      <c r="I109" t="s">
        <v>52</v>
      </c>
      <c r="J109" t="str">
        <f>"0501110"</f>
        <v>0501110</v>
      </c>
      <c r="K109">
        <v>2108670658</v>
      </c>
      <c r="L109">
        <v>2108670658</v>
      </c>
      <c r="M109" t="s">
        <v>3314</v>
      </c>
      <c r="N109" t="s">
        <v>3284</v>
      </c>
      <c r="O109" t="s">
        <v>3315</v>
      </c>
      <c r="P109">
        <v>11253</v>
      </c>
      <c r="Q109" t="str">
        <f>"38.008626"</f>
        <v>38.008626</v>
      </c>
      <c r="R109" t="str">
        <f>"23.731648"</f>
        <v>23.731648</v>
      </c>
      <c r="S109" t="s">
        <v>26</v>
      </c>
    </row>
    <row r="110" spans="1:19" x14ac:dyDescent="0.3">
      <c r="A110" t="s">
        <v>3237</v>
      </c>
      <c r="B110" t="s">
        <v>3307</v>
      </c>
      <c r="C110" t="s">
        <v>3318</v>
      </c>
      <c r="D110" t="s">
        <v>3238</v>
      </c>
      <c r="E110" t="s">
        <v>3317</v>
      </c>
      <c r="F110" t="s">
        <v>3317</v>
      </c>
      <c r="G110" t="s">
        <v>3317</v>
      </c>
      <c r="H110" t="s">
        <v>51</v>
      </c>
      <c r="I110" t="s">
        <v>52</v>
      </c>
      <c r="J110" t="str">
        <f>"0501552"</f>
        <v>0501552</v>
      </c>
      <c r="K110">
        <v>2107788877</v>
      </c>
      <c r="L110">
        <v>2107788877</v>
      </c>
      <c r="M110" t="s">
        <v>3319</v>
      </c>
      <c r="N110" t="s">
        <v>3317</v>
      </c>
      <c r="O110" t="s">
        <v>3320</v>
      </c>
      <c r="P110">
        <v>15773</v>
      </c>
      <c r="Q110" t="str">
        <f>"37.983503"</f>
        <v>37.983503</v>
      </c>
      <c r="R110" t="str">
        <f>"23.774930"</f>
        <v>23.774930</v>
      </c>
      <c r="S110" t="s">
        <v>26</v>
      </c>
    </row>
    <row r="111" spans="1:19" x14ac:dyDescent="0.3">
      <c r="A111" t="s">
        <v>3237</v>
      </c>
      <c r="B111" t="s">
        <v>3307</v>
      </c>
      <c r="C111" t="s">
        <v>3323</v>
      </c>
      <c r="D111" t="s">
        <v>3238</v>
      </c>
      <c r="E111" t="s">
        <v>3239</v>
      </c>
      <c r="F111" t="s">
        <v>3239</v>
      </c>
      <c r="G111" t="s">
        <v>3322</v>
      </c>
      <c r="H111" t="s">
        <v>51</v>
      </c>
      <c r="I111" t="s">
        <v>52</v>
      </c>
      <c r="J111" t="str">
        <f>"0501120"</f>
        <v>0501120</v>
      </c>
      <c r="K111">
        <v>2103469391</v>
      </c>
      <c r="L111">
        <v>2103460660</v>
      </c>
      <c r="M111" t="s">
        <v>3324</v>
      </c>
      <c r="N111" t="s">
        <v>3325</v>
      </c>
      <c r="O111" t="s">
        <v>3326</v>
      </c>
      <c r="P111">
        <v>11851</v>
      </c>
      <c r="Q111" t="str">
        <f>"37.970692"</f>
        <v>37.970692</v>
      </c>
      <c r="R111" t="str">
        <f>"23.713657"</f>
        <v>23.713657</v>
      </c>
      <c r="S111" t="s">
        <v>26</v>
      </c>
    </row>
    <row r="112" spans="1:19" x14ac:dyDescent="0.3">
      <c r="A112" t="s">
        <v>3237</v>
      </c>
      <c r="B112" t="s">
        <v>3307</v>
      </c>
      <c r="C112" t="s">
        <v>3351</v>
      </c>
      <c r="D112" t="s">
        <v>3238</v>
      </c>
      <c r="E112" t="s">
        <v>3239</v>
      </c>
      <c r="F112" t="s">
        <v>3239</v>
      </c>
      <c r="G112" t="s">
        <v>3312</v>
      </c>
      <c r="H112" t="s">
        <v>51</v>
      </c>
      <c r="I112" t="s">
        <v>52</v>
      </c>
      <c r="J112" t="str">
        <f>"0501220"</f>
        <v>0501220</v>
      </c>
      <c r="K112">
        <v>2108673932</v>
      </c>
      <c r="L112">
        <v>2108673932</v>
      </c>
      <c r="M112" t="s">
        <v>3352</v>
      </c>
      <c r="N112" t="s">
        <v>3284</v>
      </c>
      <c r="O112" t="s">
        <v>3353</v>
      </c>
      <c r="P112">
        <v>11251</v>
      </c>
      <c r="Q112" t="str">
        <f>"38.000656"</f>
        <v>38.000656</v>
      </c>
      <c r="R112" t="str">
        <f>"23.728518"</f>
        <v>23.728518</v>
      </c>
      <c r="S112" t="s">
        <v>26</v>
      </c>
    </row>
    <row r="113" spans="1:19" x14ac:dyDescent="0.3">
      <c r="A113" t="s">
        <v>3237</v>
      </c>
      <c r="B113" t="s">
        <v>3307</v>
      </c>
      <c r="C113" t="s">
        <v>3354</v>
      </c>
      <c r="D113" t="s">
        <v>3238</v>
      </c>
      <c r="E113" t="s">
        <v>3239</v>
      </c>
      <c r="F113" t="s">
        <v>3239</v>
      </c>
      <c r="G113" t="s">
        <v>3340</v>
      </c>
      <c r="H113" t="s">
        <v>51</v>
      </c>
      <c r="I113" t="s">
        <v>89</v>
      </c>
      <c r="J113" t="str">
        <f>"0501535"</f>
        <v>0501535</v>
      </c>
      <c r="K113">
        <v>2107717346</v>
      </c>
      <c r="L113">
        <v>2107717545</v>
      </c>
      <c r="M113" t="s">
        <v>3355</v>
      </c>
      <c r="N113" t="s">
        <v>3356</v>
      </c>
      <c r="O113" t="s">
        <v>3357</v>
      </c>
      <c r="P113">
        <v>11527</v>
      </c>
      <c r="Q113" t="str">
        <f>"38.037864"</f>
        <v>38.037864</v>
      </c>
      <c r="R113" t="str">
        <f>"23.687198"</f>
        <v>23.687198</v>
      </c>
      <c r="S113" t="s">
        <v>26</v>
      </c>
    </row>
    <row r="114" spans="1:19" x14ac:dyDescent="0.3">
      <c r="A114" t="s">
        <v>3237</v>
      </c>
      <c r="B114" t="s">
        <v>3307</v>
      </c>
      <c r="C114" t="s">
        <v>3359</v>
      </c>
      <c r="D114" t="s">
        <v>3238</v>
      </c>
      <c r="E114" t="s">
        <v>3358</v>
      </c>
      <c r="F114" t="s">
        <v>3358</v>
      </c>
      <c r="G114" t="s">
        <v>3358</v>
      </c>
      <c r="H114" t="s">
        <v>51</v>
      </c>
      <c r="I114" t="s">
        <v>52</v>
      </c>
      <c r="J114" t="str">
        <f>"0501630"</f>
        <v>0501630</v>
      </c>
      <c r="K114">
        <v>2107654411</v>
      </c>
      <c r="L114">
        <v>2107654441</v>
      </c>
      <c r="M114" t="s">
        <v>3360</v>
      </c>
      <c r="N114" t="s">
        <v>3361</v>
      </c>
      <c r="O114" t="s">
        <v>3362</v>
      </c>
      <c r="P114">
        <v>16121</v>
      </c>
      <c r="Q114" t="str">
        <f>"37.963891"</f>
        <v>37.963891</v>
      </c>
      <c r="R114" t="str">
        <f>"23.760953"</f>
        <v>23.760953</v>
      </c>
      <c r="S114" t="s">
        <v>26</v>
      </c>
    </row>
    <row r="115" spans="1:19" x14ac:dyDescent="0.3">
      <c r="A115" t="s">
        <v>3237</v>
      </c>
      <c r="B115" t="s">
        <v>3307</v>
      </c>
      <c r="C115" t="s">
        <v>3365</v>
      </c>
      <c r="D115" t="s">
        <v>3238</v>
      </c>
      <c r="E115" t="s">
        <v>3358</v>
      </c>
      <c r="F115" t="s">
        <v>3358</v>
      </c>
      <c r="G115" t="s">
        <v>3358</v>
      </c>
      <c r="H115" t="s">
        <v>51</v>
      </c>
      <c r="I115" t="s">
        <v>52</v>
      </c>
      <c r="J115" t="str">
        <f>"0501637"</f>
        <v>0501637</v>
      </c>
      <c r="K115">
        <v>2107650522</v>
      </c>
      <c r="L115">
        <v>2107609077</v>
      </c>
      <c r="M115" t="s">
        <v>3366</v>
      </c>
      <c r="N115" t="s">
        <v>3361</v>
      </c>
      <c r="O115" t="s">
        <v>3367</v>
      </c>
      <c r="P115">
        <v>16121</v>
      </c>
      <c r="Q115" t="str">
        <f>"37.963646"</f>
        <v>37.963646</v>
      </c>
      <c r="R115" t="str">
        <f>"23.760324"</f>
        <v>23.760324</v>
      </c>
      <c r="S115" t="s">
        <v>26</v>
      </c>
    </row>
    <row r="116" spans="1:19" x14ac:dyDescent="0.3">
      <c r="A116" t="s">
        <v>3237</v>
      </c>
      <c r="B116" t="s">
        <v>3307</v>
      </c>
      <c r="C116" t="s">
        <v>3668</v>
      </c>
      <c r="D116" t="s">
        <v>3238</v>
      </c>
      <c r="E116" t="s">
        <v>3443</v>
      </c>
      <c r="F116" t="s">
        <v>3443</v>
      </c>
      <c r="G116" t="s">
        <v>3443</v>
      </c>
      <c r="H116" t="s">
        <v>51</v>
      </c>
      <c r="I116" t="s">
        <v>52</v>
      </c>
      <c r="J116" t="str">
        <f>"0501408"</f>
        <v>0501408</v>
      </c>
      <c r="K116">
        <v>2102915494</v>
      </c>
      <c r="L116">
        <v>2102915494</v>
      </c>
      <c r="M116" t="s">
        <v>3669</v>
      </c>
      <c r="N116" t="s">
        <v>3446</v>
      </c>
      <c r="O116" t="s">
        <v>3670</v>
      </c>
      <c r="P116">
        <v>11147</v>
      </c>
      <c r="Q116" t="str">
        <f>"38.019981"</f>
        <v>38.019981</v>
      </c>
      <c r="R116" t="str">
        <f>"23.758112"</f>
        <v>23.758112</v>
      </c>
      <c r="S116" t="s">
        <v>26</v>
      </c>
    </row>
    <row r="117" spans="1:19" x14ac:dyDescent="0.3">
      <c r="A117" t="s">
        <v>3237</v>
      </c>
      <c r="B117" t="s">
        <v>3307</v>
      </c>
      <c r="C117" t="s">
        <v>3672</v>
      </c>
      <c r="D117" t="s">
        <v>3238</v>
      </c>
      <c r="E117" t="s">
        <v>3443</v>
      </c>
      <c r="F117" t="s">
        <v>3443</v>
      </c>
      <c r="G117" t="s">
        <v>3443</v>
      </c>
      <c r="H117" t="s">
        <v>51</v>
      </c>
      <c r="I117" t="s">
        <v>52</v>
      </c>
      <c r="J117" t="str">
        <f>"0501411"</f>
        <v>0501411</v>
      </c>
      <c r="K117">
        <v>2102921965</v>
      </c>
      <c r="L117">
        <v>2102132564</v>
      </c>
      <c r="M117" t="s">
        <v>3673</v>
      </c>
      <c r="N117" t="s">
        <v>3446</v>
      </c>
      <c r="O117" t="s">
        <v>3674</v>
      </c>
      <c r="P117">
        <v>11146</v>
      </c>
      <c r="Q117" t="str">
        <f>"38.023367"</f>
        <v>38.023367</v>
      </c>
      <c r="R117" t="str">
        <f>"23.757204"</f>
        <v>23.757204</v>
      </c>
      <c r="S117" t="s">
        <v>26</v>
      </c>
    </row>
    <row r="118" spans="1:19" x14ac:dyDescent="0.3">
      <c r="A118" t="s">
        <v>3237</v>
      </c>
      <c r="B118" t="s">
        <v>3307</v>
      </c>
      <c r="C118" t="s">
        <v>3675</v>
      </c>
      <c r="D118" t="s">
        <v>3238</v>
      </c>
      <c r="E118" t="s">
        <v>3239</v>
      </c>
      <c r="F118" t="s">
        <v>3239</v>
      </c>
      <c r="G118" t="s">
        <v>3312</v>
      </c>
      <c r="H118" t="s">
        <v>51</v>
      </c>
      <c r="I118" t="s">
        <v>52</v>
      </c>
      <c r="J118" t="str">
        <f>"0501180"</f>
        <v>0501180</v>
      </c>
      <c r="K118">
        <v>2108224084</v>
      </c>
      <c r="L118">
        <v>2108224084</v>
      </c>
      <c r="M118" t="s">
        <v>3676</v>
      </c>
      <c r="N118" t="s">
        <v>3284</v>
      </c>
      <c r="O118" t="s">
        <v>3677</v>
      </c>
      <c r="P118">
        <v>11362</v>
      </c>
      <c r="Q118" t="str">
        <f>"37.998587"</f>
        <v>37.998587</v>
      </c>
      <c r="R118" t="str">
        <f>"23.739035"</f>
        <v>23.739035</v>
      </c>
      <c r="S118" t="s">
        <v>26</v>
      </c>
    </row>
    <row r="119" spans="1:19" x14ac:dyDescent="0.3">
      <c r="A119" t="s">
        <v>3237</v>
      </c>
      <c r="B119" t="s">
        <v>3307</v>
      </c>
      <c r="C119" t="s">
        <v>3678</v>
      </c>
      <c r="D119" t="s">
        <v>3238</v>
      </c>
      <c r="E119" t="s">
        <v>3506</v>
      </c>
      <c r="F119" t="s">
        <v>3506</v>
      </c>
      <c r="G119" t="s">
        <v>3506</v>
      </c>
      <c r="H119" t="s">
        <v>51</v>
      </c>
      <c r="I119" t="s">
        <v>52</v>
      </c>
      <c r="J119" t="str">
        <f>"0501506"</f>
        <v>0501506</v>
      </c>
      <c r="K119">
        <v>2107651596</v>
      </c>
      <c r="L119">
        <v>2107651292</v>
      </c>
      <c r="M119" t="s">
        <v>3679</v>
      </c>
      <c r="N119" t="s">
        <v>3509</v>
      </c>
      <c r="O119" t="s">
        <v>3680</v>
      </c>
      <c r="P119">
        <v>16233</v>
      </c>
      <c r="Q119" t="str">
        <f>"37.947566"</f>
        <v>37.947566</v>
      </c>
      <c r="R119" t="str">
        <f>"23.767088"</f>
        <v>23.767088</v>
      </c>
      <c r="S119" t="s">
        <v>26</v>
      </c>
    </row>
    <row r="120" spans="1:19" x14ac:dyDescent="0.3">
      <c r="A120" t="s">
        <v>3237</v>
      </c>
      <c r="B120" t="s">
        <v>3307</v>
      </c>
      <c r="C120" t="s">
        <v>3681</v>
      </c>
      <c r="D120" t="s">
        <v>3238</v>
      </c>
      <c r="E120" t="s">
        <v>3239</v>
      </c>
      <c r="F120" t="s">
        <v>3239</v>
      </c>
      <c r="G120" t="s">
        <v>3382</v>
      </c>
      <c r="H120" t="s">
        <v>51</v>
      </c>
      <c r="I120" t="s">
        <v>52</v>
      </c>
      <c r="J120" t="str">
        <f>"0501072"</f>
        <v>0501072</v>
      </c>
      <c r="K120">
        <v>2105122698</v>
      </c>
      <c r="L120">
        <v>2105122698</v>
      </c>
      <c r="M120" t="s">
        <v>3682</v>
      </c>
      <c r="N120" t="s">
        <v>3284</v>
      </c>
      <c r="O120" t="s">
        <v>3683</v>
      </c>
      <c r="P120">
        <v>10444</v>
      </c>
      <c r="Q120" t="str">
        <f>"37.997671"</f>
        <v>37.997671</v>
      </c>
      <c r="R120" t="str">
        <f>"23.717241"</f>
        <v>23.717241</v>
      </c>
      <c r="S120" t="s">
        <v>26</v>
      </c>
    </row>
    <row r="121" spans="1:19" x14ac:dyDescent="0.3">
      <c r="A121" t="s">
        <v>3237</v>
      </c>
      <c r="B121" t="s">
        <v>3307</v>
      </c>
      <c r="C121" t="s">
        <v>3685</v>
      </c>
      <c r="D121" t="s">
        <v>3238</v>
      </c>
      <c r="E121" t="s">
        <v>3239</v>
      </c>
      <c r="F121" t="s">
        <v>3239</v>
      </c>
      <c r="G121" t="s">
        <v>3346</v>
      </c>
      <c r="H121" t="s">
        <v>51</v>
      </c>
      <c r="I121" t="s">
        <v>52</v>
      </c>
      <c r="J121" t="str">
        <f>"0501181"</f>
        <v>0501181</v>
      </c>
      <c r="K121">
        <v>2102020028</v>
      </c>
      <c r="L121">
        <v>2102020028</v>
      </c>
      <c r="M121" t="s">
        <v>3686</v>
      </c>
      <c r="N121" t="s">
        <v>3284</v>
      </c>
      <c r="O121" t="s">
        <v>3448</v>
      </c>
      <c r="P121">
        <v>11255</v>
      </c>
      <c r="Q121" t="str">
        <f>"38.012904"</f>
        <v>38.012904</v>
      </c>
      <c r="R121" t="str">
        <f>"23.740163"</f>
        <v>23.740163</v>
      </c>
      <c r="S121" t="s">
        <v>26</v>
      </c>
    </row>
    <row r="122" spans="1:19" x14ac:dyDescent="0.3">
      <c r="A122" t="s">
        <v>3237</v>
      </c>
      <c r="B122" t="s">
        <v>3307</v>
      </c>
      <c r="C122" t="s">
        <v>3688</v>
      </c>
      <c r="D122" t="s">
        <v>3238</v>
      </c>
      <c r="E122" t="s">
        <v>3443</v>
      </c>
      <c r="F122" t="s">
        <v>3443</v>
      </c>
      <c r="G122" t="s">
        <v>3443</v>
      </c>
      <c r="H122" t="s">
        <v>51</v>
      </c>
      <c r="I122" t="s">
        <v>52</v>
      </c>
      <c r="J122" t="str">
        <f>"0501407"</f>
        <v>0501407</v>
      </c>
      <c r="K122">
        <v>2102931014</v>
      </c>
      <c r="L122">
        <v>2102931012</v>
      </c>
      <c r="M122" t="s">
        <v>3689</v>
      </c>
      <c r="N122" t="s">
        <v>3446</v>
      </c>
      <c r="O122" t="s">
        <v>3670</v>
      </c>
      <c r="P122">
        <v>11147</v>
      </c>
      <c r="Q122" t="str">
        <f>"38.019969"</f>
        <v>38.019969</v>
      </c>
      <c r="R122" t="str">
        <f>"23.758189"</f>
        <v>23.758189</v>
      </c>
      <c r="S122" t="s">
        <v>26</v>
      </c>
    </row>
    <row r="123" spans="1:19" x14ac:dyDescent="0.3">
      <c r="A123" t="s">
        <v>3237</v>
      </c>
      <c r="B123" t="s">
        <v>3307</v>
      </c>
      <c r="C123" t="s">
        <v>3690</v>
      </c>
      <c r="D123" t="s">
        <v>3238</v>
      </c>
      <c r="E123" t="s">
        <v>3239</v>
      </c>
      <c r="F123" t="s">
        <v>3239</v>
      </c>
      <c r="G123" t="s">
        <v>3382</v>
      </c>
      <c r="H123" t="s">
        <v>51</v>
      </c>
      <c r="I123" t="s">
        <v>52</v>
      </c>
      <c r="J123" t="str">
        <f>"0501198"</f>
        <v>0501198</v>
      </c>
      <c r="K123">
        <v>2108310330</v>
      </c>
      <c r="L123">
        <v>2108310330</v>
      </c>
      <c r="M123" t="s">
        <v>3691</v>
      </c>
      <c r="N123" t="s">
        <v>3284</v>
      </c>
      <c r="O123" t="s">
        <v>3692</v>
      </c>
      <c r="P123">
        <v>10445</v>
      </c>
      <c r="Q123" t="str">
        <f>"38.002658"</f>
        <v>38.002658</v>
      </c>
      <c r="R123" t="str">
        <f>"23.721857"</f>
        <v>23.721857</v>
      </c>
      <c r="S123" t="s">
        <v>26</v>
      </c>
    </row>
    <row r="124" spans="1:19" x14ac:dyDescent="0.3">
      <c r="A124" t="s">
        <v>3237</v>
      </c>
      <c r="B124" t="s">
        <v>3307</v>
      </c>
      <c r="C124" t="s">
        <v>3694</v>
      </c>
      <c r="D124" t="s">
        <v>3238</v>
      </c>
      <c r="E124" t="s">
        <v>3239</v>
      </c>
      <c r="F124" t="s">
        <v>3239</v>
      </c>
      <c r="G124" t="s">
        <v>3382</v>
      </c>
      <c r="H124" t="s">
        <v>51</v>
      </c>
      <c r="I124" t="s">
        <v>52</v>
      </c>
      <c r="J124" t="str">
        <f>"0501195"</f>
        <v>0501195</v>
      </c>
      <c r="K124">
        <v>2105155892</v>
      </c>
      <c r="L124">
        <v>2105155892</v>
      </c>
      <c r="M124" t="s">
        <v>3695</v>
      </c>
      <c r="N124" t="s">
        <v>3696</v>
      </c>
      <c r="O124" t="s">
        <v>3697</v>
      </c>
      <c r="P124">
        <v>10442</v>
      </c>
      <c r="Q124" t="str">
        <f>"37.994623"</f>
        <v>37.994623</v>
      </c>
      <c r="R124" t="str">
        <f>"23.703098"</f>
        <v>23.703098</v>
      </c>
      <c r="S124" t="s">
        <v>26</v>
      </c>
    </row>
    <row r="125" spans="1:19" x14ac:dyDescent="0.3">
      <c r="A125" t="s">
        <v>3237</v>
      </c>
      <c r="B125" t="s">
        <v>3307</v>
      </c>
      <c r="C125" t="s">
        <v>3699</v>
      </c>
      <c r="D125" t="s">
        <v>3238</v>
      </c>
      <c r="E125" t="s">
        <v>3239</v>
      </c>
      <c r="F125" t="s">
        <v>3239</v>
      </c>
      <c r="G125" t="s">
        <v>3382</v>
      </c>
      <c r="H125" t="s">
        <v>51</v>
      </c>
      <c r="I125" t="s">
        <v>52</v>
      </c>
      <c r="J125" t="str">
        <f>"0501111"</f>
        <v>0501111</v>
      </c>
      <c r="K125">
        <v>2108325400</v>
      </c>
      <c r="L125">
        <v>2108325400</v>
      </c>
      <c r="M125" t="s">
        <v>3700</v>
      </c>
      <c r="N125" t="s">
        <v>3284</v>
      </c>
      <c r="O125" t="s">
        <v>3701</v>
      </c>
      <c r="P125">
        <v>10445</v>
      </c>
      <c r="Q125" t="str">
        <f>"38.008023"</f>
        <v>38.008023</v>
      </c>
      <c r="R125" t="str">
        <f>"23.726657"</f>
        <v>23.726657</v>
      </c>
      <c r="S125" t="s">
        <v>26</v>
      </c>
    </row>
    <row r="126" spans="1:19" x14ac:dyDescent="0.3">
      <c r="A126" t="s">
        <v>3237</v>
      </c>
      <c r="B126" t="s">
        <v>3307</v>
      </c>
      <c r="C126" t="s">
        <v>3702</v>
      </c>
      <c r="D126" t="s">
        <v>3238</v>
      </c>
      <c r="E126" t="s">
        <v>3432</v>
      </c>
      <c r="F126" t="s">
        <v>3432</v>
      </c>
      <c r="G126" t="s">
        <v>3432</v>
      </c>
      <c r="H126" t="s">
        <v>51</v>
      </c>
      <c r="I126" t="s">
        <v>52</v>
      </c>
      <c r="J126" t="str">
        <f>"0501629"</f>
        <v>0501629</v>
      </c>
      <c r="K126">
        <v>2109941728</v>
      </c>
      <c r="L126">
        <v>2109941722</v>
      </c>
      <c r="M126" t="s">
        <v>3703</v>
      </c>
      <c r="N126" t="s">
        <v>3435</v>
      </c>
      <c r="O126" t="s">
        <v>3704</v>
      </c>
      <c r="P126">
        <v>16341</v>
      </c>
      <c r="Q126" t="str">
        <f>"37.921411"</f>
        <v>37.921411</v>
      </c>
      <c r="R126" t="str">
        <f>"23.745388"</f>
        <v>23.745388</v>
      </c>
      <c r="S126" t="s">
        <v>26</v>
      </c>
    </row>
    <row r="127" spans="1:19" x14ac:dyDescent="0.3">
      <c r="A127" t="s">
        <v>3237</v>
      </c>
      <c r="B127" t="s">
        <v>3307</v>
      </c>
      <c r="C127" t="s">
        <v>3705</v>
      </c>
      <c r="D127" t="s">
        <v>3238</v>
      </c>
      <c r="E127" t="s">
        <v>3239</v>
      </c>
      <c r="F127" t="s">
        <v>3239</v>
      </c>
      <c r="G127" t="s">
        <v>3382</v>
      </c>
      <c r="H127" t="s">
        <v>51</v>
      </c>
      <c r="I127" t="s">
        <v>52</v>
      </c>
      <c r="J127" t="str">
        <f>"0501074"</f>
        <v>0501074</v>
      </c>
      <c r="K127">
        <v>2105136686</v>
      </c>
      <c r="L127">
        <v>2105136649</v>
      </c>
      <c r="M127" t="s">
        <v>3706</v>
      </c>
      <c r="N127" t="s">
        <v>3284</v>
      </c>
      <c r="O127" t="s">
        <v>3707</v>
      </c>
      <c r="P127">
        <v>10443</v>
      </c>
      <c r="Q127" t="str">
        <f>"38.004122"</f>
        <v>38.004122</v>
      </c>
      <c r="R127" t="str">
        <f>"23.712272"</f>
        <v>23.712272</v>
      </c>
      <c r="S127" t="s">
        <v>26</v>
      </c>
    </row>
    <row r="128" spans="1:19" x14ac:dyDescent="0.3">
      <c r="A128" t="s">
        <v>3237</v>
      </c>
      <c r="B128" t="s">
        <v>3307</v>
      </c>
      <c r="C128" t="s">
        <v>3709</v>
      </c>
      <c r="D128" t="s">
        <v>3238</v>
      </c>
      <c r="E128" t="s">
        <v>3239</v>
      </c>
      <c r="F128" t="s">
        <v>3239</v>
      </c>
      <c r="G128" t="s">
        <v>3340</v>
      </c>
      <c r="H128" t="s">
        <v>51</v>
      </c>
      <c r="I128" t="s">
        <v>3708</v>
      </c>
      <c r="J128" t="str">
        <f>"0501130"</f>
        <v>0501130</v>
      </c>
      <c r="K128">
        <v>2106426584</v>
      </c>
      <c r="L128">
        <v>2106459085</v>
      </c>
      <c r="M128" t="s">
        <v>3710</v>
      </c>
      <c r="N128" t="s">
        <v>3284</v>
      </c>
      <c r="O128" t="s">
        <v>3711</v>
      </c>
      <c r="P128">
        <v>11521</v>
      </c>
      <c r="Q128" t="str">
        <f>"37.986411"</f>
        <v>37.986411</v>
      </c>
      <c r="R128" t="str">
        <f>"23.754265"</f>
        <v>23.754265</v>
      </c>
      <c r="S128" t="s">
        <v>26</v>
      </c>
    </row>
    <row r="129" spans="1:19" x14ac:dyDescent="0.3">
      <c r="A129" t="s">
        <v>3237</v>
      </c>
      <c r="B129" t="s">
        <v>3307</v>
      </c>
      <c r="C129" t="s">
        <v>3713</v>
      </c>
      <c r="D129" t="s">
        <v>3238</v>
      </c>
      <c r="E129" t="s">
        <v>3239</v>
      </c>
      <c r="F129" t="s">
        <v>3239</v>
      </c>
      <c r="G129" t="s">
        <v>3382</v>
      </c>
      <c r="H129" t="s">
        <v>51</v>
      </c>
      <c r="I129" t="s">
        <v>52</v>
      </c>
      <c r="J129" t="str">
        <f>"0501073"</f>
        <v>0501073</v>
      </c>
      <c r="K129">
        <v>2105142038</v>
      </c>
      <c r="M129" t="s">
        <v>3714</v>
      </c>
      <c r="N129" t="s">
        <v>3284</v>
      </c>
      <c r="O129" t="s">
        <v>3715</v>
      </c>
      <c r="P129">
        <v>10443</v>
      </c>
      <c r="Q129" t="str">
        <f>"38.008217"</f>
        <v>38.008217</v>
      </c>
      <c r="R129" t="str">
        <f>"23.720179"</f>
        <v>23.720179</v>
      </c>
      <c r="S129" t="s">
        <v>26</v>
      </c>
    </row>
    <row r="130" spans="1:19" x14ac:dyDescent="0.3">
      <c r="A130" t="s">
        <v>3237</v>
      </c>
      <c r="B130" t="s">
        <v>3307</v>
      </c>
      <c r="C130" t="s">
        <v>3717</v>
      </c>
      <c r="D130" t="s">
        <v>3238</v>
      </c>
      <c r="E130" t="s">
        <v>3239</v>
      </c>
      <c r="F130" t="s">
        <v>3239</v>
      </c>
      <c r="G130" t="s">
        <v>3340</v>
      </c>
      <c r="H130" t="s">
        <v>51</v>
      </c>
      <c r="I130" t="s">
        <v>52</v>
      </c>
      <c r="J130" t="str">
        <f>"0501193"</f>
        <v>0501193</v>
      </c>
      <c r="K130">
        <v>2106918843</v>
      </c>
      <c r="L130">
        <v>2106994925</v>
      </c>
      <c r="M130" t="s">
        <v>3718</v>
      </c>
      <c r="N130" t="s">
        <v>3325</v>
      </c>
      <c r="O130" t="s">
        <v>3719</v>
      </c>
      <c r="P130">
        <v>11523</v>
      </c>
      <c r="Q130" t="str">
        <f>"37.990008"</f>
        <v>37.990008</v>
      </c>
      <c r="R130" t="str">
        <f>"23.764386"</f>
        <v>23.764386</v>
      </c>
      <c r="S130" t="s">
        <v>26</v>
      </c>
    </row>
    <row r="131" spans="1:19" x14ac:dyDescent="0.3">
      <c r="A131" t="s">
        <v>3237</v>
      </c>
      <c r="B131" t="s">
        <v>3307</v>
      </c>
      <c r="C131" t="s">
        <v>3723</v>
      </c>
      <c r="D131" t="s">
        <v>3238</v>
      </c>
      <c r="E131" t="s">
        <v>3468</v>
      </c>
      <c r="F131" t="s">
        <v>3541</v>
      </c>
      <c r="G131" t="s">
        <v>3541</v>
      </c>
      <c r="H131" t="s">
        <v>51</v>
      </c>
      <c r="I131" t="s">
        <v>52</v>
      </c>
      <c r="J131" t="str">
        <f>"0501164"</f>
        <v>0501164</v>
      </c>
      <c r="K131">
        <v>2107624223</v>
      </c>
      <c r="L131">
        <v>2107613084</v>
      </c>
      <c r="M131" t="s">
        <v>3724</v>
      </c>
      <c r="N131" t="s">
        <v>3589</v>
      </c>
      <c r="O131" t="s">
        <v>3725</v>
      </c>
      <c r="P131">
        <v>17237</v>
      </c>
      <c r="Q131" t="str">
        <f>"37.950531"</f>
        <v>37.950531</v>
      </c>
      <c r="R131" t="str">
        <f>"23.753459"</f>
        <v>23.753459</v>
      </c>
      <c r="S131" t="s">
        <v>26</v>
      </c>
    </row>
    <row r="132" spans="1:19" x14ac:dyDescent="0.3">
      <c r="A132" t="s">
        <v>3237</v>
      </c>
      <c r="B132" t="s">
        <v>3307</v>
      </c>
      <c r="C132" t="s">
        <v>3731</v>
      </c>
      <c r="D132" t="s">
        <v>3238</v>
      </c>
      <c r="E132" t="s">
        <v>3443</v>
      </c>
      <c r="F132" t="s">
        <v>3443</v>
      </c>
      <c r="G132" t="s">
        <v>3443</v>
      </c>
      <c r="H132" t="s">
        <v>51</v>
      </c>
      <c r="I132" t="s">
        <v>52</v>
      </c>
      <c r="J132" t="str">
        <f>"0501402"</f>
        <v>0501402</v>
      </c>
      <c r="K132">
        <v>2102284445</v>
      </c>
      <c r="L132">
        <v>2102284445</v>
      </c>
      <c r="M132" t="s">
        <v>3732</v>
      </c>
      <c r="N132" t="s">
        <v>3446</v>
      </c>
      <c r="O132" t="s">
        <v>3452</v>
      </c>
      <c r="P132">
        <v>11141</v>
      </c>
      <c r="Q132" t="str">
        <f>"38.013327"</f>
        <v>38.013327</v>
      </c>
      <c r="R132" t="str">
        <f>"23.742659"</f>
        <v>23.742659</v>
      </c>
      <c r="S132" t="s">
        <v>26</v>
      </c>
    </row>
    <row r="133" spans="1:19" x14ac:dyDescent="0.3">
      <c r="A133" t="s">
        <v>3237</v>
      </c>
      <c r="B133" t="s">
        <v>3307</v>
      </c>
      <c r="C133" t="s">
        <v>3733</v>
      </c>
      <c r="D133" t="s">
        <v>3238</v>
      </c>
      <c r="E133" t="s">
        <v>3432</v>
      </c>
      <c r="F133" t="s">
        <v>3432</v>
      </c>
      <c r="G133" t="s">
        <v>3432</v>
      </c>
      <c r="H133" t="s">
        <v>51</v>
      </c>
      <c r="I133" t="s">
        <v>52</v>
      </c>
      <c r="J133" t="str">
        <f>"0501625"</f>
        <v>0501625</v>
      </c>
      <c r="K133">
        <v>2109919581</v>
      </c>
      <c r="L133">
        <v>2109925755</v>
      </c>
      <c r="M133" t="s">
        <v>3734</v>
      </c>
      <c r="N133" t="s">
        <v>3435</v>
      </c>
      <c r="O133" t="s">
        <v>3735</v>
      </c>
      <c r="P133">
        <v>16346</v>
      </c>
      <c r="Q133" t="str">
        <f>"37.931777"</f>
        <v>37.931777</v>
      </c>
      <c r="R133" t="str">
        <f>"23.753645"</f>
        <v>23.753645</v>
      </c>
      <c r="S133" t="s">
        <v>26</v>
      </c>
    </row>
    <row r="134" spans="1:19" x14ac:dyDescent="0.3">
      <c r="A134" t="s">
        <v>3237</v>
      </c>
      <c r="B134" t="s">
        <v>3307</v>
      </c>
      <c r="C134" t="s">
        <v>3737</v>
      </c>
      <c r="D134" t="s">
        <v>3238</v>
      </c>
      <c r="E134" t="s">
        <v>3239</v>
      </c>
      <c r="F134" t="s">
        <v>3239</v>
      </c>
      <c r="G134" t="s">
        <v>3312</v>
      </c>
      <c r="H134" t="s">
        <v>51</v>
      </c>
      <c r="I134" t="s">
        <v>52</v>
      </c>
      <c r="J134" t="str">
        <f>"0502198"</f>
        <v>0502198</v>
      </c>
      <c r="K134">
        <v>2108655080</v>
      </c>
      <c r="L134">
        <v>2108655080</v>
      </c>
      <c r="M134" t="s">
        <v>3738</v>
      </c>
      <c r="N134" t="s">
        <v>3284</v>
      </c>
      <c r="O134" t="s">
        <v>3739</v>
      </c>
      <c r="P134">
        <v>11363</v>
      </c>
      <c r="Q134" t="str">
        <f>"38.008308"</f>
        <v>38.008308</v>
      </c>
      <c r="R134" t="str">
        <f>"23.751325"</f>
        <v>23.751325</v>
      </c>
      <c r="S134" t="s">
        <v>26</v>
      </c>
    </row>
    <row r="135" spans="1:19" x14ac:dyDescent="0.3">
      <c r="A135" t="s">
        <v>3237</v>
      </c>
      <c r="B135" t="s">
        <v>3307</v>
      </c>
      <c r="C135" t="s">
        <v>3741</v>
      </c>
      <c r="D135" t="s">
        <v>3238</v>
      </c>
      <c r="E135" t="s">
        <v>3404</v>
      </c>
      <c r="F135" t="s">
        <v>3405</v>
      </c>
      <c r="G135" t="s">
        <v>3405</v>
      </c>
      <c r="H135" t="s">
        <v>51</v>
      </c>
      <c r="I135" t="s">
        <v>52</v>
      </c>
      <c r="J135" t="str">
        <f>"0501690"</f>
        <v>0501690</v>
      </c>
      <c r="K135">
        <v>2102521775</v>
      </c>
      <c r="L135">
        <v>2102521775</v>
      </c>
      <c r="M135" t="s">
        <v>3742</v>
      </c>
      <c r="N135" t="s">
        <v>3743</v>
      </c>
      <c r="O135" t="s">
        <v>3744</v>
      </c>
      <c r="P135">
        <v>14342</v>
      </c>
      <c r="Q135" t="str">
        <f>"38.044396"</f>
        <v>38.044396</v>
      </c>
      <c r="R135" t="str">
        <f>"23.738551"</f>
        <v>23.738551</v>
      </c>
      <c r="S135" t="s">
        <v>26</v>
      </c>
    </row>
    <row r="136" spans="1:19" x14ac:dyDescent="0.3">
      <c r="A136" t="s">
        <v>3237</v>
      </c>
      <c r="B136" t="s">
        <v>3307</v>
      </c>
      <c r="C136" t="s">
        <v>3746</v>
      </c>
      <c r="D136" t="s">
        <v>3238</v>
      </c>
      <c r="E136" t="s">
        <v>3468</v>
      </c>
      <c r="F136" t="s">
        <v>3469</v>
      </c>
      <c r="G136" t="s">
        <v>3469</v>
      </c>
      <c r="H136" t="s">
        <v>51</v>
      </c>
      <c r="I136" t="s">
        <v>52</v>
      </c>
      <c r="J136" t="str">
        <f>"0501528"</f>
        <v>0501528</v>
      </c>
      <c r="K136">
        <v>2109712855</v>
      </c>
      <c r="L136">
        <v>2109712821</v>
      </c>
      <c r="M136" t="s">
        <v>3747</v>
      </c>
      <c r="N136" t="s">
        <v>3549</v>
      </c>
      <c r="O136" t="s">
        <v>3748</v>
      </c>
      <c r="P136">
        <v>17235</v>
      </c>
      <c r="Q136" t="str">
        <f>"37.946275"</f>
        <v>37.946275</v>
      </c>
      <c r="R136" t="str">
        <f>"23.728642"</f>
        <v>23.728642</v>
      </c>
      <c r="S136" t="s">
        <v>26</v>
      </c>
    </row>
    <row r="137" spans="1:19" x14ac:dyDescent="0.3">
      <c r="A137" t="s">
        <v>3237</v>
      </c>
      <c r="B137" t="s">
        <v>3307</v>
      </c>
      <c r="C137" t="s">
        <v>3749</v>
      </c>
      <c r="D137" t="s">
        <v>3238</v>
      </c>
      <c r="E137" t="s">
        <v>3239</v>
      </c>
      <c r="F137" t="s">
        <v>3239</v>
      </c>
      <c r="G137" t="s">
        <v>3312</v>
      </c>
      <c r="H137" t="s">
        <v>51</v>
      </c>
      <c r="I137" t="s">
        <v>52</v>
      </c>
      <c r="J137" t="str">
        <f>"0501390"</f>
        <v>0501390</v>
      </c>
      <c r="K137">
        <v>2108646960</v>
      </c>
      <c r="L137">
        <v>2108646960</v>
      </c>
      <c r="M137" t="s">
        <v>3750</v>
      </c>
      <c r="N137" t="s">
        <v>3284</v>
      </c>
      <c r="O137" t="s">
        <v>3604</v>
      </c>
      <c r="P137">
        <v>11364</v>
      </c>
      <c r="Q137" t="str">
        <f>"38.003897"</f>
        <v>38.003897</v>
      </c>
      <c r="R137" t="str">
        <f>"23.747303"</f>
        <v>23.747303</v>
      </c>
      <c r="S137" t="s">
        <v>26</v>
      </c>
    </row>
    <row r="138" spans="1:19" x14ac:dyDescent="0.3">
      <c r="A138" t="s">
        <v>3237</v>
      </c>
      <c r="B138" t="s">
        <v>3307</v>
      </c>
      <c r="C138" t="s">
        <v>3751</v>
      </c>
      <c r="D138" t="s">
        <v>3238</v>
      </c>
      <c r="E138" t="s">
        <v>3239</v>
      </c>
      <c r="F138" t="s">
        <v>3239</v>
      </c>
      <c r="G138" t="s">
        <v>3346</v>
      </c>
      <c r="H138" t="s">
        <v>51</v>
      </c>
      <c r="I138" t="s">
        <v>52</v>
      </c>
      <c r="J138" t="str">
        <f>"0501406"</f>
        <v>0501406</v>
      </c>
      <c r="K138">
        <v>2102528017</v>
      </c>
      <c r="L138">
        <v>2102528017</v>
      </c>
      <c r="M138" t="s">
        <v>3752</v>
      </c>
      <c r="N138" t="s">
        <v>3325</v>
      </c>
      <c r="O138" t="s">
        <v>3753</v>
      </c>
      <c r="P138">
        <v>11143</v>
      </c>
      <c r="Q138" t="str">
        <f>"38.026148"</f>
        <v>38.026148</v>
      </c>
      <c r="R138" t="str">
        <f>"23.739262"</f>
        <v>23.739262</v>
      </c>
      <c r="S138" t="s">
        <v>26</v>
      </c>
    </row>
    <row r="139" spans="1:19" x14ac:dyDescent="0.3">
      <c r="A139" t="s">
        <v>3237</v>
      </c>
      <c r="B139" t="s">
        <v>3307</v>
      </c>
      <c r="C139" t="s">
        <v>3754</v>
      </c>
      <c r="D139" t="s">
        <v>3238</v>
      </c>
      <c r="E139" t="s">
        <v>3506</v>
      </c>
      <c r="F139" t="s">
        <v>3506</v>
      </c>
      <c r="G139" t="s">
        <v>3506</v>
      </c>
      <c r="H139" t="s">
        <v>51</v>
      </c>
      <c r="I139" t="s">
        <v>52</v>
      </c>
      <c r="J139" t="str">
        <f>"0501501"</f>
        <v>0501501</v>
      </c>
      <c r="K139">
        <v>2107651501</v>
      </c>
      <c r="L139">
        <v>2107665845</v>
      </c>
      <c r="M139" t="s">
        <v>3755</v>
      </c>
      <c r="N139" t="s">
        <v>3756</v>
      </c>
      <c r="O139" t="s">
        <v>3561</v>
      </c>
      <c r="P139">
        <v>16232</v>
      </c>
      <c r="Q139" t="str">
        <f>"37.952422"</f>
        <v>37.952422</v>
      </c>
      <c r="R139" t="str">
        <f>"23.757093"</f>
        <v>23.757093</v>
      </c>
      <c r="S139" t="s">
        <v>26</v>
      </c>
    </row>
    <row r="140" spans="1:19" x14ac:dyDescent="0.3">
      <c r="A140" t="s">
        <v>3237</v>
      </c>
      <c r="B140" t="s">
        <v>3307</v>
      </c>
      <c r="C140" t="s">
        <v>3757</v>
      </c>
      <c r="D140" t="s">
        <v>3238</v>
      </c>
      <c r="E140" t="s">
        <v>3317</v>
      </c>
      <c r="F140" t="s">
        <v>3317</v>
      </c>
      <c r="G140" t="s">
        <v>3317</v>
      </c>
      <c r="H140" t="s">
        <v>51</v>
      </c>
      <c r="I140" t="s">
        <v>52</v>
      </c>
      <c r="J140" t="str">
        <f>"0501550"</f>
        <v>0501550</v>
      </c>
      <c r="K140">
        <v>2107705796</v>
      </c>
      <c r="L140">
        <v>2107705796</v>
      </c>
      <c r="M140" t="s">
        <v>3758</v>
      </c>
      <c r="N140" t="s">
        <v>3317</v>
      </c>
      <c r="O140" t="s">
        <v>3526</v>
      </c>
      <c r="P140">
        <v>15773</v>
      </c>
      <c r="Q140" t="str">
        <f>"37.978589"</f>
        <v>37.978589</v>
      </c>
      <c r="R140" t="str">
        <f>"23.772445"</f>
        <v>23.772445</v>
      </c>
      <c r="S140" t="s">
        <v>26</v>
      </c>
    </row>
    <row r="141" spans="1:19" x14ac:dyDescent="0.3">
      <c r="A141" t="s">
        <v>3237</v>
      </c>
      <c r="B141" t="s">
        <v>3307</v>
      </c>
      <c r="C141" t="s">
        <v>3759</v>
      </c>
      <c r="D141" t="s">
        <v>3238</v>
      </c>
      <c r="E141" t="s">
        <v>3443</v>
      </c>
      <c r="F141" t="s">
        <v>3443</v>
      </c>
      <c r="G141" t="s">
        <v>3443</v>
      </c>
      <c r="H141" t="s">
        <v>51</v>
      </c>
      <c r="I141" t="s">
        <v>52</v>
      </c>
      <c r="J141" t="str">
        <f>"0501404"</f>
        <v>0501404</v>
      </c>
      <c r="K141">
        <v>2102011020</v>
      </c>
      <c r="L141">
        <v>2102012066</v>
      </c>
      <c r="M141" t="s">
        <v>3760</v>
      </c>
      <c r="N141" t="s">
        <v>3761</v>
      </c>
      <c r="O141" t="s">
        <v>3762</v>
      </c>
      <c r="P141">
        <v>11146</v>
      </c>
      <c r="Q141" t="str">
        <f>"38.014313"</f>
        <v>38.014313</v>
      </c>
      <c r="R141" t="str">
        <f>"23.747442"</f>
        <v>23.747442</v>
      </c>
      <c r="S141" t="s">
        <v>26</v>
      </c>
    </row>
    <row r="142" spans="1:19" x14ac:dyDescent="0.3">
      <c r="A142" t="s">
        <v>3237</v>
      </c>
      <c r="B142" t="s">
        <v>3307</v>
      </c>
      <c r="C142" t="s">
        <v>3764</v>
      </c>
      <c r="D142" t="s">
        <v>3238</v>
      </c>
      <c r="E142" t="s">
        <v>3239</v>
      </c>
      <c r="F142" t="s">
        <v>3239</v>
      </c>
      <c r="G142" t="s">
        <v>3281</v>
      </c>
      <c r="H142" t="s">
        <v>51</v>
      </c>
      <c r="I142" t="s">
        <v>52</v>
      </c>
      <c r="J142" t="str">
        <f>"0501090"</f>
        <v>0501090</v>
      </c>
      <c r="K142">
        <v>2109221478</v>
      </c>
      <c r="L142">
        <v>2109221478</v>
      </c>
      <c r="M142" t="s">
        <v>3765</v>
      </c>
      <c r="N142" t="s">
        <v>3766</v>
      </c>
      <c r="O142" t="s">
        <v>3767</v>
      </c>
      <c r="P142">
        <v>11743</v>
      </c>
      <c r="Q142" t="str">
        <f>"37.963848"</f>
        <v>37.963848</v>
      </c>
      <c r="R142" t="str">
        <f>"23.731986"</f>
        <v>23.731986</v>
      </c>
      <c r="S142" t="s">
        <v>26</v>
      </c>
    </row>
    <row r="143" spans="1:19" x14ac:dyDescent="0.3">
      <c r="A143" t="s">
        <v>3237</v>
      </c>
      <c r="B143" t="s">
        <v>3307</v>
      </c>
      <c r="C143" t="s">
        <v>3772</v>
      </c>
      <c r="D143" t="s">
        <v>3238</v>
      </c>
      <c r="E143" t="s">
        <v>3239</v>
      </c>
      <c r="F143" t="s">
        <v>3239</v>
      </c>
      <c r="G143" t="s">
        <v>3346</v>
      </c>
      <c r="H143" t="s">
        <v>51</v>
      </c>
      <c r="I143" t="s">
        <v>52</v>
      </c>
      <c r="J143" t="str">
        <f>"0501697"</f>
        <v>0501697</v>
      </c>
      <c r="K143">
        <v>2102283150</v>
      </c>
      <c r="L143">
        <v>2102283150</v>
      </c>
      <c r="M143" t="s">
        <v>3773</v>
      </c>
      <c r="N143" t="s">
        <v>3774</v>
      </c>
      <c r="O143" t="s">
        <v>3775</v>
      </c>
      <c r="P143">
        <v>11143</v>
      </c>
      <c r="Q143" t="str">
        <f>"38.021400"</f>
        <v>38.021400</v>
      </c>
      <c r="R143" t="str">
        <f>"23.728696"</f>
        <v>23.728696</v>
      </c>
      <c r="S143" t="s">
        <v>26</v>
      </c>
    </row>
    <row r="144" spans="1:19" x14ac:dyDescent="0.3">
      <c r="A144" t="s">
        <v>3237</v>
      </c>
      <c r="B144" t="s">
        <v>3307</v>
      </c>
      <c r="C144" t="s">
        <v>3776</v>
      </c>
      <c r="D144" t="s">
        <v>3238</v>
      </c>
      <c r="E144" t="s">
        <v>3239</v>
      </c>
      <c r="F144" t="s">
        <v>3239</v>
      </c>
      <c r="G144" t="s">
        <v>3340</v>
      </c>
      <c r="H144" t="s">
        <v>51</v>
      </c>
      <c r="I144" t="s">
        <v>52</v>
      </c>
      <c r="J144" t="str">
        <f>"0501131"</f>
        <v>0501131</v>
      </c>
      <c r="K144">
        <v>2106468550</v>
      </c>
      <c r="L144">
        <v>2106470633</v>
      </c>
      <c r="M144" t="s">
        <v>3777</v>
      </c>
      <c r="N144" t="s">
        <v>3284</v>
      </c>
      <c r="O144" t="s">
        <v>3778</v>
      </c>
      <c r="P144">
        <v>11522</v>
      </c>
      <c r="Q144" t="str">
        <f>"37.991174"</f>
        <v>37.991174</v>
      </c>
      <c r="R144" t="str">
        <f>"23.754715"</f>
        <v>23.754715</v>
      </c>
      <c r="S144" t="s">
        <v>26</v>
      </c>
    </row>
    <row r="145" spans="1:19" x14ac:dyDescent="0.3">
      <c r="A145" t="s">
        <v>3237</v>
      </c>
      <c r="B145" t="s">
        <v>3307</v>
      </c>
      <c r="C145" t="s">
        <v>3780</v>
      </c>
      <c r="D145" t="s">
        <v>3238</v>
      </c>
      <c r="E145" t="s">
        <v>3432</v>
      </c>
      <c r="F145" t="s">
        <v>3432</v>
      </c>
      <c r="G145" t="s">
        <v>3432</v>
      </c>
      <c r="H145" t="s">
        <v>51</v>
      </c>
      <c r="I145" t="s">
        <v>52</v>
      </c>
      <c r="J145" t="str">
        <f>"0501610"</f>
        <v>0501610</v>
      </c>
      <c r="K145">
        <v>2109919553</v>
      </c>
      <c r="L145">
        <v>2109919556</v>
      </c>
      <c r="M145" t="s">
        <v>3781</v>
      </c>
      <c r="N145" t="s">
        <v>3435</v>
      </c>
      <c r="O145" t="s">
        <v>3782</v>
      </c>
      <c r="P145">
        <v>16343</v>
      </c>
      <c r="Q145" t="str">
        <f>"37.935637"</f>
        <v>37.935637</v>
      </c>
      <c r="R145" t="str">
        <f>"23.759851"</f>
        <v>23.759851</v>
      </c>
      <c r="S145" t="s">
        <v>26</v>
      </c>
    </row>
    <row r="146" spans="1:19" x14ac:dyDescent="0.3">
      <c r="A146" t="s">
        <v>3237</v>
      </c>
      <c r="B146" t="s">
        <v>3307</v>
      </c>
      <c r="C146" t="s">
        <v>3783</v>
      </c>
      <c r="D146" t="s">
        <v>3238</v>
      </c>
      <c r="E146" t="s">
        <v>3239</v>
      </c>
      <c r="F146" t="s">
        <v>3239</v>
      </c>
      <c r="G146" t="s">
        <v>3322</v>
      </c>
      <c r="H146" t="s">
        <v>51</v>
      </c>
      <c r="I146" t="s">
        <v>52</v>
      </c>
      <c r="J146" t="str">
        <f>"0501867"</f>
        <v>0501867</v>
      </c>
      <c r="K146">
        <v>2103471240</v>
      </c>
      <c r="L146">
        <v>2103463633</v>
      </c>
      <c r="M146" t="s">
        <v>3784</v>
      </c>
      <c r="N146" t="s">
        <v>3325</v>
      </c>
      <c r="O146" t="s">
        <v>3785</v>
      </c>
      <c r="P146">
        <v>11855</v>
      </c>
      <c r="Q146" t="str">
        <f>"37.976167"</f>
        <v>37.976167</v>
      </c>
      <c r="R146" t="str">
        <f>"23.704259"</f>
        <v>23.704259</v>
      </c>
      <c r="S146" t="s">
        <v>26</v>
      </c>
    </row>
    <row r="147" spans="1:19" x14ac:dyDescent="0.3">
      <c r="A147" t="s">
        <v>3237</v>
      </c>
      <c r="B147" t="s">
        <v>3307</v>
      </c>
      <c r="C147" t="s">
        <v>3787</v>
      </c>
      <c r="D147" t="s">
        <v>3238</v>
      </c>
      <c r="E147" t="s">
        <v>3239</v>
      </c>
      <c r="F147" t="s">
        <v>3239</v>
      </c>
      <c r="G147" t="s">
        <v>3281</v>
      </c>
      <c r="H147" t="s">
        <v>51</v>
      </c>
      <c r="I147" t="s">
        <v>52</v>
      </c>
      <c r="J147" t="str">
        <f>"0501100"</f>
        <v>0501100</v>
      </c>
      <c r="K147">
        <v>2107231013</v>
      </c>
      <c r="L147">
        <v>2107231013</v>
      </c>
      <c r="M147" t="s">
        <v>3788</v>
      </c>
      <c r="N147" t="s">
        <v>3584</v>
      </c>
      <c r="O147" t="s">
        <v>3514</v>
      </c>
      <c r="P147">
        <v>11634</v>
      </c>
      <c r="Q147" t="str">
        <f>"37.968893"</f>
        <v>37.968893</v>
      </c>
      <c r="R147" t="str">
        <f>"23.747996"</f>
        <v>23.747996</v>
      </c>
      <c r="S147" t="s">
        <v>26</v>
      </c>
    </row>
    <row r="148" spans="1:19" x14ac:dyDescent="0.3">
      <c r="A148" t="s">
        <v>3237</v>
      </c>
      <c r="B148" t="s">
        <v>3307</v>
      </c>
      <c r="C148" t="s">
        <v>3790</v>
      </c>
      <c r="D148" t="s">
        <v>3238</v>
      </c>
      <c r="E148" t="s">
        <v>3404</v>
      </c>
      <c r="F148" t="s">
        <v>3405</v>
      </c>
      <c r="G148" t="s">
        <v>3405</v>
      </c>
      <c r="H148" t="s">
        <v>51</v>
      </c>
      <c r="I148" t="s">
        <v>52</v>
      </c>
      <c r="J148" t="str">
        <f>"0501696"</f>
        <v>0501696</v>
      </c>
      <c r="K148">
        <v>2102519230</v>
      </c>
      <c r="L148">
        <v>2102589140</v>
      </c>
      <c r="M148" t="s">
        <v>3791</v>
      </c>
      <c r="N148" t="s">
        <v>3408</v>
      </c>
      <c r="O148" t="s">
        <v>3792</v>
      </c>
      <c r="P148">
        <v>14342</v>
      </c>
      <c r="Q148" t="str">
        <f>"38.047442"</f>
        <v>38.047442</v>
      </c>
      <c r="R148" t="str">
        <f>"23.741547"</f>
        <v>23.741547</v>
      </c>
      <c r="S148" t="s">
        <v>26</v>
      </c>
    </row>
    <row r="149" spans="1:19" x14ac:dyDescent="0.3">
      <c r="A149" t="s">
        <v>3237</v>
      </c>
      <c r="B149" t="s">
        <v>3307</v>
      </c>
      <c r="C149" t="s">
        <v>3793</v>
      </c>
      <c r="D149" t="s">
        <v>3238</v>
      </c>
      <c r="E149" t="s">
        <v>3239</v>
      </c>
      <c r="F149" t="s">
        <v>3239</v>
      </c>
      <c r="G149" t="s">
        <v>3346</v>
      </c>
      <c r="H149" t="s">
        <v>51</v>
      </c>
      <c r="I149" t="s">
        <v>52</v>
      </c>
      <c r="J149" t="str">
        <f>"0501210"</f>
        <v>0501210</v>
      </c>
      <c r="K149">
        <v>2102287573</v>
      </c>
      <c r="L149">
        <v>2102016606</v>
      </c>
      <c r="M149" t="s">
        <v>3794</v>
      </c>
      <c r="N149" t="s">
        <v>3284</v>
      </c>
      <c r="O149" t="s">
        <v>3795</v>
      </c>
      <c r="P149">
        <v>11144</v>
      </c>
      <c r="Q149" t="str">
        <f>"38.021887"</f>
        <v>38.021887</v>
      </c>
      <c r="R149" t="str">
        <f>"23.733562"</f>
        <v>23.733562</v>
      </c>
      <c r="S149" t="s">
        <v>26</v>
      </c>
    </row>
    <row r="150" spans="1:19" x14ac:dyDescent="0.3">
      <c r="A150" t="s">
        <v>3237</v>
      </c>
      <c r="B150" t="s">
        <v>3307</v>
      </c>
      <c r="C150" t="s">
        <v>3796</v>
      </c>
      <c r="D150" t="s">
        <v>3238</v>
      </c>
      <c r="E150" t="s">
        <v>3239</v>
      </c>
      <c r="F150" t="s">
        <v>3239</v>
      </c>
      <c r="G150" t="s">
        <v>3340</v>
      </c>
      <c r="H150" t="s">
        <v>51</v>
      </c>
      <c r="I150" t="s">
        <v>52</v>
      </c>
      <c r="J150" t="str">
        <f>"0501190"</f>
        <v>0501190</v>
      </c>
      <c r="K150">
        <v>2106914846</v>
      </c>
      <c r="L150">
        <v>2106914846</v>
      </c>
      <c r="M150" t="s">
        <v>3797</v>
      </c>
      <c r="N150" t="s">
        <v>3798</v>
      </c>
      <c r="O150" t="s">
        <v>3799</v>
      </c>
      <c r="P150">
        <v>11524</v>
      </c>
      <c r="Q150" t="str">
        <f>"37.993172"</f>
        <v>37.993172</v>
      </c>
      <c r="R150" t="str">
        <f>"23.762440"</f>
        <v>23.762440</v>
      </c>
      <c r="S150" t="s">
        <v>26</v>
      </c>
    </row>
    <row r="151" spans="1:19" x14ac:dyDescent="0.3">
      <c r="A151" t="s">
        <v>3237</v>
      </c>
      <c r="B151" t="s">
        <v>3307</v>
      </c>
      <c r="C151" t="s">
        <v>3800</v>
      </c>
      <c r="D151" t="s">
        <v>3238</v>
      </c>
      <c r="E151" t="s">
        <v>3239</v>
      </c>
      <c r="F151" t="s">
        <v>3239</v>
      </c>
      <c r="G151" t="s">
        <v>3340</v>
      </c>
      <c r="H151" t="s">
        <v>51</v>
      </c>
      <c r="I151" t="s">
        <v>52</v>
      </c>
      <c r="J151" t="str">
        <f>"0501380"</f>
        <v>0501380</v>
      </c>
      <c r="K151">
        <v>2108829517</v>
      </c>
      <c r="L151">
        <v>2108826434</v>
      </c>
      <c r="M151" t="s">
        <v>3801</v>
      </c>
      <c r="N151" t="s">
        <v>3284</v>
      </c>
      <c r="O151" t="s">
        <v>3402</v>
      </c>
      <c r="P151">
        <v>11362</v>
      </c>
      <c r="Q151" t="str">
        <f>"37.996401"</f>
        <v>37.996401</v>
      </c>
      <c r="R151" t="str">
        <f>"23.745077"</f>
        <v>23.745077</v>
      </c>
      <c r="S151" t="s">
        <v>26</v>
      </c>
    </row>
    <row r="152" spans="1:19" x14ac:dyDescent="0.3">
      <c r="A152" t="s">
        <v>3237</v>
      </c>
      <c r="B152" t="s">
        <v>3307</v>
      </c>
      <c r="C152" t="s">
        <v>3802</v>
      </c>
      <c r="D152" t="s">
        <v>3238</v>
      </c>
      <c r="E152" t="s">
        <v>3317</v>
      </c>
      <c r="F152" t="s">
        <v>3317</v>
      </c>
      <c r="G152" t="s">
        <v>3317</v>
      </c>
      <c r="H152" t="s">
        <v>51</v>
      </c>
      <c r="I152" t="s">
        <v>52</v>
      </c>
      <c r="J152" t="str">
        <f>"0501553"</f>
        <v>0501553</v>
      </c>
      <c r="K152">
        <v>2107799513</v>
      </c>
      <c r="L152">
        <v>2107799513</v>
      </c>
      <c r="M152" t="s">
        <v>3803</v>
      </c>
      <c r="N152" t="s">
        <v>3317</v>
      </c>
      <c r="O152" t="s">
        <v>3504</v>
      </c>
      <c r="P152">
        <v>15772</v>
      </c>
      <c r="Q152" t="str">
        <f>"37.971672"</f>
        <v>37.971672</v>
      </c>
      <c r="R152" t="str">
        <f>"23.767400"</f>
        <v>23.767400</v>
      </c>
      <c r="S152" t="s">
        <v>26</v>
      </c>
    </row>
    <row r="153" spans="1:19" x14ac:dyDescent="0.3">
      <c r="A153" t="s">
        <v>3237</v>
      </c>
      <c r="B153" t="s">
        <v>3307</v>
      </c>
      <c r="C153" t="s">
        <v>3805</v>
      </c>
      <c r="D153" t="s">
        <v>3238</v>
      </c>
      <c r="E153" t="s">
        <v>3239</v>
      </c>
      <c r="F153" t="s">
        <v>3239</v>
      </c>
      <c r="G153" t="s">
        <v>3281</v>
      </c>
      <c r="H153" t="s">
        <v>51</v>
      </c>
      <c r="I153" t="s">
        <v>52</v>
      </c>
      <c r="J153" t="str">
        <f>"0501361"</f>
        <v>0501361</v>
      </c>
      <c r="K153">
        <v>2109027571</v>
      </c>
      <c r="L153">
        <v>2109027571</v>
      </c>
      <c r="M153" t="s">
        <v>3806</v>
      </c>
      <c r="N153" t="s">
        <v>3284</v>
      </c>
      <c r="O153" t="s">
        <v>3500</v>
      </c>
      <c r="P153">
        <v>11744</v>
      </c>
      <c r="Q153" t="str">
        <f>"37.953828"</f>
        <v>37.953828</v>
      </c>
      <c r="R153" t="str">
        <f>"23.727937"</f>
        <v>23.727937</v>
      </c>
      <c r="S153" t="s">
        <v>26</v>
      </c>
    </row>
    <row r="154" spans="1:19" x14ac:dyDescent="0.3">
      <c r="A154" t="s">
        <v>3237</v>
      </c>
      <c r="B154" t="s">
        <v>3307</v>
      </c>
      <c r="C154" t="s">
        <v>3807</v>
      </c>
      <c r="D154" t="s">
        <v>3238</v>
      </c>
      <c r="E154" t="s">
        <v>3468</v>
      </c>
      <c r="F154" t="s">
        <v>3541</v>
      </c>
      <c r="G154" t="s">
        <v>3541</v>
      </c>
      <c r="H154" t="s">
        <v>51</v>
      </c>
      <c r="I154" t="s">
        <v>52</v>
      </c>
      <c r="J154" t="str">
        <f>"0501162"</f>
        <v>0501162</v>
      </c>
      <c r="K154">
        <v>2109730164</v>
      </c>
      <c r="L154">
        <v>2109764141</v>
      </c>
      <c r="M154" t="s">
        <v>3808</v>
      </c>
      <c r="N154" t="s">
        <v>3589</v>
      </c>
      <c r="O154" t="s">
        <v>3809</v>
      </c>
      <c r="P154">
        <v>17236</v>
      </c>
      <c r="Q154" t="str">
        <f>"37.947865"</f>
        <v>37.947865</v>
      </c>
      <c r="R154" t="str">
        <f>"23.748575"</f>
        <v>23.748575</v>
      </c>
      <c r="S154" t="s">
        <v>26</v>
      </c>
    </row>
    <row r="155" spans="1:19" x14ac:dyDescent="0.3">
      <c r="A155" t="s">
        <v>3237</v>
      </c>
      <c r="B155" t="s">
        <v>3307</v>
      </c>
      <c r="C155" t="s">
        <v>3810</v>
      </c>
      <c r="D155" t="s">
        <v>3238</v>
      </c>
      <c r="E155" t="s">
        <v>3443</v>
      </c>
      <c r="F155" t="s">
        <v>3443</v>
      </c>
      <c r="G155" t="s">
        <v>3443</v>
      </c>
      <c r="H155" t="s">
        <v>51</v>
      </c>
      <c r="I155" t="s">
        <v>52</v>
      </c>
      <c r="J155" t="str">
        <f>"0501409"</f>
        <v>0501409</v>
      </c>
      <c r="K155">
        <v>2102910222</v>
      </c>
      <c r="M155" t="s">
        <v>3811</v>
      </c>
      <c r="N155" t="s">
        <v>3446</v>
      </c>
      <c r="O155" t="s">
        <v>3812</v>
      </c>
      <c r="P155">
        <v>11146</v>
      </c>
      <c r="Q155" t="str">
        <f>"38.020376"</f>
        <v>38.020376</v>
      </c>
      <c r="R155" t="str">
        <f>"23.747785"</f>
        <v>23.747785</v>
      </c>
      <c r="S155" t="s">
        <v>26</v>
      </c>
    </row>
    <row r="156" spans="1:19" x14ac:dyDescent="0.3">
      <c r="A156" t="s">
        <v>3237</v>
      </c>
      <c r="B156" t="s">
        <v>3307</v>
      </c>
      <c r="C156" t="s">
        <v>3814</v>
      </c>
      <c r="D156" t="s">
        <v>3238</v>
      </c>
      <c r="E156" t="s">
        <v>3404</v>
      </c>
      <c r="F156" t="s">
        <v>3658</v>
      </c>
      <c r="G156" t="s">
        <v>3658</v>
      </c>
      <c r="H156" t="s">
        <v>51</v>
      </c>
      <c r="I156" t="s">
        <v>52</v>
      </c>
      <c r="J156" t="str">
        <f>"0501686"</f>
        <v>0501686</v>
      </c>
      <c r="K156">
        <v>2102515043</v>
      </c>
      <c r="L156">
        <v>2102515043</v>
      </c>
      <c r="M156" t="s">
        <v>3815</v>
      </c>
      <c r="N156" t="s">
        <v>3816</v>
      </c>
      <c r="O156" t="s">
        <v>3817</v>
      </c>
      <c r="P156">
        <v>14343</v>
      </c>
      <c r="Q156" t="str">
        <f>"38.024214"</f>
        <v>38.024214</v>
      </c>
      <c r="R156" t="str">
        <f>"23.726839"</f>
        <v>23.726839</v>
      </c>
      <c r="S156" t="s">
        <v>26</v>
      </c>
    </row>
    <row r="157" spans="1:19" x14ac:dyDescent="0.3">
      <c r="A157" t="s">
        <v>3237</v>
      </c>
      <c r="B157" t="s">
        <v>3307</v>
      </c>
      <c r="C157" t="s">
        <v>3818</v>
      </c>
      <c r="D157" t="s">
        <v>3238</v>
      </c>
      <c r="E157" t="s">
        <v>3239</v>
      </c>
      <c r="F157" t="s">
        <v>3239</v>
      </c>
      <c r="G157" t="s">
        <v>3312</v>
      </c>
      <c r="H157" t="s">
        <v>51</v>
      </c>
      <c r="I157" t="s">
        <v>52</v>
      </c>
      <c r="J157" t="str">
        <f>"0501400"</f>
        <v>0501400</v>
      </c>
      <c r="K157">
        <v>2102114145</v>
      </c>
      <c r="L157">
        <v>2102282924</v>
      </c>
      <c r="M157" t="s">
        <v>3819</v>
      </c>
      <c r="N157" t="s">
        <v>3461</v>
      </c>
      <c r="O157" t="s">
        <v>3820</v>
      </c>
      <c r="P157">
        <v>11255</v>
      </c>
      <c r="Q157" t="str">
        <f>"38.012125"</f>
        <v>38.012125</v>
      </c>
      <c r="R157" t="str">
        <f>"23.741141"</f>
        <v>23.741141</v>
      </c>
      <c r="S157" t="s">
        <v>26</v>
      </c>
    </row>
    <row r="158" spans="1:19" x14ac:dyDescent="0.3">
      <c r="A158" t="s">
        <v>3237</v>
      </c>
      <c r="B158" t="s">
        <v>3307</v>
      </c>
      <c r="C158" t="s">
        <v>3821</v>
      </c>
      <c r="D158" t="s">
        <v>3238</v>
      </c>
      <c r="E158" t="s">
        <v>3239</v>
      </c>
      <c r="F158" t="s">
        <v>3239</v>
      </c>
      <c r="G158" t="s">
        <v>3340</v>
      </c>
      <c r="H158" t="s">
        <v>51</v>
      </c>
      <c r="I158" t="s">
        <v>184</v>
      </c>
      <c r="J158" t="str">
        <f>"0501430"</f>
        <v>0501430</v>
      </c>
      <c r="K158">
        <v>2106443751</v>
      </c>
      <c r="L158">
        <v>2106443213</v>
      </c>
      <c r="M158" t="s">
        <v>3822</v>
      </c>
      <c r="N158" t="s">
        <v>3284</v>
      </c>
      <c r="O158" t="s">
        <v>3823</v>
      </c>
      <c r="P158">
        <v>11521</v>
      </c>
      <c r="Q158" t="str">
        <f>"37.984978"</f>
        <v>37.984978</v>
      </c>
      <c r="R158" t="str">
        <f>"23.753723"</f>
        <v>23.753723</v>
      </c>
      <c r="S158" t="s">
        <v>26</v>
      </c>
    </row>
    <row r="159" spans="1:19" x14ac:dyDescent="0.3">
      <c r="A159" t="s">
        <v>3237</v>
      </c>
      <c r="B159" t="s">
        <v>3307</v>
      </c>
      <c r="C159" t="s">
        <v>3824</v>
      </c>
      <c r="D159" t="s">
        <v>3238</v>
      </c>
      <c r="E159" t="s">
        <v>3239</v>
      </c>
      <c r="F159" t="s">
        <v>3239</v>
      </c>
      <c r="G159" t="s">
        <v>3340</v>
      </c>
      <c r="H159" t="s">
        <v>51</v>
      </c>
      <c r="I159" t="s">
        <v>52</v>
      </c>
      <c r="J159" t="str">
        <f>"0501196"</f>
        <v>0501196</v>
      </c>
      <c r="K159">
        <v>2106990225</v>
      </c>
      <c r="L159">
        <v>2106911892</v>
      </c>
      <c r="M159" t="s">
        <v>3825</v>
      </c>
      <c r="N159" t="s">
        <v>3325</v>
      </c>
      <c r="O159" t="s">
        <v>3577</v>
      </c>
      <c r="P159">
        <v>11526</v>
      </c>
      <c r="Q159" t="str">
        <f>"37.993605"</f>
        <v>37.993605</v>
      </c>
      <c r="R159" t="str">
        <f>"23.771020"</f>
        <v>23.771020</v>
      </c>
      <c r="S159" t="s">
        <v>26</v>
      </c>
    </row>
    <row r="160" spans="1:19" x14ac:dyDescent="0.3">
      <c r="A160" t="s">
        <v>3237</v>
      </c>
      <c r="B160" t="s">
        <v>3307</v>
      </c>
      <c r="C160" t="s">
        <v>3826</v>
      </c>
      <c r="D160" t="s">
        <v>3238</v>
      </c>
      <c r="E160" t="s">
        <v>3317</v>
      </c>
      <c r="F160" t="s">
        <v>3317</v>
      </c>
      <c r="G160" t="s">
        <v>3317</v>
      </c>
      <c r="H160" t="s">
        <v>51</v>
      </c>
      <c r="I160" t="s">
        <v>52</v>
      </c>
      <c r="J160" t="str">
        <f>"0501551"</f>
        <v>0501551</v>
      </c>
      <c r="K160">
        <v>2107756855</v>
      </c>
      <c r="L160">
        <v>2107702487</v>
      </c>
      <c r="M160" t="s">
        <v>3827</v>
      </c>
      <c r="N160" t="s">
        <v>3317</v>
      </c>
      <c r="O160" t="s">
        <v>3557</v>
      </c>
      <c r="P160">
        <v>15772</v>
      </c>
      <c r="Q160" t="str">
        <f>"37.971282"</f>
        <v>37.971282</v>
      </c>
      <c r="R160" t="str">
        <f>"23.773913"</f>
        <v>23.773913</v>
      </c>
      <c r="S160" t="s">
        <v>26</v>
      </c>
    </row>
    <row r="161" spans="1:19" x14ac:dyDescent="0.3">
      <c r="A161" t="s">
        <v>3237</v>
      </c>
      <c r="B161" t="s">
        <v>3307</v>
      </c>
      <c r="C161" t="s">
        <v>3829</v>
      </c>
      <c r="D161" t="s">
        <v>3238</v>
      </c>
      <c r="E161" t="s">
        <v>3239</v>
      </c>
      <c r="F161" t="s">
        <v>3239</v>
      </c>
      <c r="G161" t="s">
        <v>3240</v>
      </c>
      <c r="H161" t="s">
        <v>51</v>
      </c>
      <c r="I161" t="s">
        <v>807</v>
      </c>
      <c r="J161" t="str">
        <f>"0501050"</f>
        <v>0501050</v>
      </c>
      <c r="K161">
        <v>2105249574</v>
      </c>
      <c r="L161">
        <v>2105243873</v>
      </c>
      <c r="M161" t="s">
        <v>3830</v>
      </c>
      <c r="N161" t="s">
        <v>3284</v>
      </c>
      <c r="O161" t="s">
        <v>3831</v>
      </c>
      <c r="P161">
        <v>10433</v>
      </c>
      <c r="Q161" t="str">
        <f>"37.990138"</f>
        <v>37.990138</v>
      </c>
      <c r="R161" t="str">
        <f>"23.730318"</f>
        <v>23.730318</v>
      </c>
      <c r="S161" t="s">
        <v>26</v>
      </c>
    </row>
    <row r="162" spans="1:19" x14ac:dyDescent="0.3">
      <c r="A162" t="s">
        <v>3237</v>
      </c>
      <c r="B162" t="s">
        <v>3307</v>
      </c>
      <c r="C162" t="s">
        <v>3833</v>
      </c>
      <c r="D162" t="s">
        <v>3238</v>
      </c>
      <c r="E162" t="s">
        <v>3239</v>
      </c>
      <c r="F162" t="s">
        <v>3239</v>
      </c>
      <c r="G162" t="s">
        <v>3346</v>
      </c>
      <c r="H162" t="s">
        <v>51</v>
      </c>
      <c r="I162" t="s">
        <v>52</v>
      </c>
      <c r="J162" t="str">
        <f>"0501194"</f>
        <v>0501194</v>
      </c>
      <c r="K162">
        <v>2108322400</v>
      </c>
      <c r="M162" t="s">
        <v>3834</v>
      </c>
      <c r="N162" t="s">
        <v>3325</v>
      </c>
      <c r="O162" t="s">
        <v>3835</v>
      </c>
      <c r="P162">
        <v>11145</v>
      </c>
      <c r="Q162" t="str">
        <f>"38.016800"</f>
        <v>38.016800</v>
      </c>
      <c r="R162" t="str">
        <f>"23.721833"</f>
        <v>23.721833</v>
      </c>
      <c r="S162" t="s">
        <v>26</v>
      </c>
    </row>
    <row r="163" spans="1:19" x14ac:dyDescent="0.3">
      <c r="A163" t="s">
        <v>3237</v>
      </c>
      <c r="B163" t="s">
        <v>3307</v>
      </c>
      <c r="C163" t="s">
        <v>3837</v>
      </c>
      <c r="D163" t="s">
        <v>3238</v>
      </c>
      <c r="E163" t="s">
        <v>3239</v>
      </c>
      <c r="F163" t="s">
        <v>3239</v>
      </c>
      <c r="G163" t="s">
        <v>3322</v>
      </c>
      <c r="H163" t="s">
        <v>51</v>
      </c>
      <c r="I163" t="s">
        <v>52</v>
      </c>
      <c r="J163" t="str">
        <f>"0501150"</f>
        <v>0501150</v>
      </c>
      <c r="K163">
        <v>2103464974</v>
      </c>
      <c r="L163">
        <v>2103424096</v>
      </c>
      <c r="M163" t="s">
        <v>3838</v>
      </c>
      <c r="N163" t="s">
        <v>3284</v>
      </c>
      <c r="O163" t="s">
        <v>3839</v>
      </c>
      <c r="P163">
        <v>11854</v>
      </c>
      <c r="Q163" t="str">
        <f>"37.973924"</f>
        <v>37.973924</v>
      </c>
      <c r="R163" t="str">
        <f>"23.711711"</f>
        <v>23.711711</v>
      </c>
      <c r="S163" t="s">
        <v>26</v>
      </c>
    </row>
    <row r="164" spans="1:19" x14ac:dyDescent="0.3">
      <c r="A164" t="s">
        <v>3237</v>
      </c>
      <c r="B164" t="s">
        <v>3307</v>
      </c>
      <c r="C164" t="s">
        <v>3840</v>
      </c>
      <c r="D164" t="s">
        <v>3238</v>
      </c>
      <c r="E164" t="s">
        <v>3239</v>
      </c>
      <c r="F164" t="s">
        <v>3239</v>
      </c>
      <c r="G164" t="s">
        <v>3281</v>
      </c>
      <c r="H164" t="s">
        <v>51</v>
      </c>
      <c r="I164" t="s">
        <v>52</v>
      </c>
      <c r="J164" t="str">
        <f>"0501160"</f>
        <v>0501160</v>
      </c>
      <c r="K164">
        <v>2107624150</v>
      </c>
      <c r="L164">
        <v>2107621965</v>
      </c>
      <c r="M164" t="s">
        <v>3841</v>
      </c>
      <c r="N164" t="s">
        <v>3325</v>
      </c>
      <c r="O164" t="s">
        <v>3842</v>
      </c>
      <c r="P164">
        <v>11632</v>
      </c>
      <c r="Q164" t="str">
        <f>"37.957004"</f>
        <v>37.957004</v>
      </c>
      <c r="R164" t="str">
        <f>"23.744418"</f>
        <v>23.744418</v>
      </c>
      <c r="S164" t="s">
        <v>26</v>
      </c>
    </row>
    <row r="165" spans="1:19" x14ac:dyDescent="0.3">
      <c r="A165" t="s">
        <v>3237</v>
      </c>
      <c r="B165" t="s">
        <v>3307</v>
      </c>
      <c r="C165" t="s">
        <v>3843</v>
      </c>
      <c r="D165" t="s">
        <v>3238</v>
      </c>
      <c r="E165" t="s">
        <v>3432</v>
      </c>
      <c r="F165" t="s">
        <v>3432</v>
      </c>
      <c r="G165" t="s">
        <v>3432</v>
      </c>
      <c r="H165" t="s">
        <v>51</v>
      </c>
      <c r="I165" t="s">
        <v>52</v>
      </c>
      <c r="J165" t="str">
        <f>"0501620"</f>
        <v>0501620</v>
      </c>
      <c r="K165">
        <v>2109919551</v>
      </c>
      <c r="L165">
        <v>2109967506</v>
      </c>
      <c r="M165" t="s">
        <v>3844</v>
      </c>
      <c r="N165" t="s">
        <v>3845</v>
      </c>
      <c r="O165" t="s">
        <v>3846</v>
      </c>
      <c r="P165">
        <v>16342</v>
      </c>
      <c r="Q165" t="str">
        <f>"37.926084"</f>
        <v>37.926084</v>
      </c>
      <c r="R165" t="str">
        <f>"23.760451"</f>
        <v>23.760451</v>
      </c>
      <c r="S165" t="s">
        <v>26</v>
      </c>
    </row>
    <row r="166" spans="1:19" x14ac:dyDescent="0.3">
      <c r="A166" t="s">
        <v>3237</v>
      </c>
      <c r="B166" t="s">
        <v>3307</v>
      </c>
      <c r="C166" t="s">
        <v>3848</v>
      </c>
      <c r="D166" t="s">
        <v>3238</v>
      </c>
      <c r="E166" t="s">
        <v>3239</v>
      </c>
      <c r="F166" t="s">
        <v>3239</v>
      </c>
      <c r="G166" t="s">
        <v>3322</v>
      </c>
      <c r="H166" t="s">
        <v>51</v>
      </c>
      <c r="I166" t="s">
        <v>52</v>
      </c>
      <c r="J166" t="str">
        <f>"0501157"</f>
        <v>0501157</v>
      </c>
      <c r="K166">
        <v>2103478171</v>
      </c>
      <c r="L166">
        <v>2103478174</v>
      </c>
      <c r="M166" t="s">
        <v>3849</v>
      </c>
      <c r="N166" t="s">
        <v>3325</v>
      </c>
      <c r="O166" t="s">
        <v>3850</v>
      </c>
      <c r="P166">
        <v>11853</v>
      </c>
      <c r="Q166" t="str">
        <f>"37.967506"</f>
        <v>37.967506</v>
      </c>
      <c r="R166" t="str">
        <f>"23.704246"</f>
        <v>23.704246</v>
      </c>
      <c r="S166" t="s">
        <v>26</v>
      </c>
    </row>
    <row r="167" spans="1:19" x14ac:dyDescent="0.3">
      <c r="A167" t="s">
        <v>3237</v>
      </c>
      <c r="B167" t="s">
        <v>3307</v>
      </c>
      <c r="C167" t="s">
        <v>3852</v>
      </c>
      <c r="D167" t="s">
        <v>3238</v>
      </c>
      <c r="E167" t="s">
        <v>3239</v>
      </c>
      <c r="F167" t="s">
        <v>3239</v>
      </c>
      <c r="G167" t="s">
        <v>3281</v>
      </c>
      <c r="H167" t="s">
        <v>51</v>
      </c>
      <c r="I167" t="s">
        <v>52</v>
      </c>
      <c r="J167" t="str">
        <f>"0501200"</f>
        <v>0501200</v>
      </c>
      <c r="K167">
        <v>2107526910</v>
      </c>
      <c r="L167">
        <v>2107526517</v>
      </c>
      <c r="M167" t="s">
        <v>3853</v>
      </c>
      <c r="N167" t="s">
        <v>3284</v>
      </c>
      <c r="O167" t="s">
        <v>3334</v>
      </c>
      <c r="P167">
        <v>11636</v>
      </c>
      <c r="Q167" t="str">
        <f>"37.964415"</f>
        <v>37.964415</v>
      </c>
      <c r="R167" t="str">
        <f>"23.739989"</f>
        <v>23.739989</v>
      </c>
      <c r="S167" t="s">
        <v>26</v>
      </c>
    </row>
    <row r="168" spans="1:19" x14ac:dyDescent="0.3">
      <c r="A168" t="s">
        <v>3237</v>
      </c>
      <c r="B168" t="s">
        <v>3307</v>
      </c>
      <c r="C168" t="s">
        <v>3854</v>
      </c>
      <c r="D168" t="s">
        <v>3238</v>
      </c>
      <c r="E168" t="s">
        <v>3432</v>
      </c>
      <c r="F168" t="s">
        <v>3432</v>
      </c>
      <c r="G168" t="s">
        <v>3432</v>
      </c>
      <c r="H168" t="s">
        <v>51</v>
      </c>
      <c r="I168" t="s">
        <v>52</v>
      </c>
      <c r="J168" t="str">
        <f>"0501628"</f>
        <v>0501628</v>
      </c>
      <c r="K168">
        <v>2109708801</v>
      </c>
      <c r="L168">
        <v>2109708801</v>
      </c>
      <c r="M168" t="s">
        <v>3855</v>
      </c>
      <c r="N168" t="s">
        <v>3435</v>
      </c>
      <c r="O168" t="s">
        <v>3856</v>
      </c>
      <c r="P168">
        <v>16345</v>
      </c>
      <c r="Q168" t="str">
        <f>"37.942282"</f>
        <v>37.942282</v>
      </c>
      <c r="R168" t="str">
        <f>"23.752676"</f>
        <v>23.752676</v>
      </c>
      <c r="S168" t="s">
        <v>26</v>
      </c>
    </row>
    <row r="169" spans="1:19" x14ac:dyDescent="0.3">
      <c r="A169" t="s">
        <v>3237</v>
      </c>
      <c r="B169" t="s">
        <v>3307</v>
      </c>
      <c r="C169" t="s">
        <v>3857</v>
      </c>
      <c r="D169" t="s">
        <v>3238</v>
      </c>
      <c r="E169" t="s">
        <v>3239</v>
      </c>
      <c r="F169" t="s">
        <v>3239</v>
      </c>
      <c r="G169" t="s">
        <v>3340</v>
      </c>
      <c r="H169" t="s">
        <v>51</v>
      </c>
      <c r="I169" t="s">
        <v>52</v>
      </c>
      <c r="J169" t="str">
        <f>"0501230"</f>
        <v>0501230</v>
      </c>
      <c r="K169">
        <v>2106437923</v>
      </c>
      <c r="L169">
        <v>2106423244</v>
      </c>
      <c r="M169" t="s">
        <v>3858</v>
      </c>
      <c r="N169" t="s">
        <v>3284</v>
      </c>
      <c r="O169" t="s">
        <v>3859</v>
      </c>
      <c r="P169">
        <v>11471</v>
      </c>
      <c r="Q169" t="str">
        <f>"37.988296"</f>
        <v>37.988296</v>
      </c>
      <c r="R169" t="str">
        <f>"23.747674"</f>
        <v>23.747674</v>
      </c>
      <c r="S169" t="s">
        <v>26</v>
      </c>
    </row>
    <row r="170" spans="1:19" x14ac:dyDescent="0.3">
      <c r="A170" t="s">
        <v>3237</v>
      </c>
      <c r="B170" t="s">
        <v>3307</v>
      </c>
      <c r="C170" t="s">
        <v>3865</v>
      </c>
      <c r="D170" t="s">
        <v>3238</v>
      </c>
      <c r="E170" t="s">
        <v>3239</v>
      </c>
      <c r="F170" t="s">
        <v>3239</v>
      </c>
      <c r="G170" t="s">
        <v>3346</v>
      </c>
      <c r="H170" t="s">
        <v>51</v>
      </c>
      <c r="I170" t="s">
        <v>52</v>
      </c>
      <c r="J170" t="str">
        <f>"0501116"</f>
        <v>0501116</v>
      </c>
      <c r="K170">
        <v>2108320085</v>
      </c>
      <c r="L170">
        <v>2108320085</v>
      </c>
      <c r="M170" t="s">
        <v>3866</v>
      </c>
      <c r="N170" t="s">
        <v>3284</v>
      </c>
      <c r="O170" t="s">
        <v>3867</v>
      </c>
      <c r="P170">
        <v>10445</v>
      </c>
      <c r="Q170" t="str">
        <f>"38.007297"</f>
        <v>38.007297</v>
      </c>
      <c r="R170" t="str">
        <f>"23.724838"</f>
        <v>23.724838</v>
      </c>
      <c r="S170" t="s">
        <v>26</v>
      </c>
    </row>
    <row r="171" spans="1:19" x14ac:dyDescent="0.3">
      <c r="A171" t="s">
        <v>3237</v>
      </c>
      <c r="B171" t="s">
        <v>3307</v>
      </c>
      <c r="C171" t="s">
        <v>3869</v>
      </c>
      <c r="D171" t="s">
        <v>3238</v>
      </c>
      <c r="E171" t="s">
        <v>3468</v>
      </c>
      <c r="F171" t="s">
        <v>3469</v>
      </c>
      <c r="G171" t="s">
        <v>3469</v>
      </c>
      <c r="H171" t="s">
        <v>51</v>
      </c>
      <c r="I171" t="s">
        <v>52</v>
      </c>
      <c r="J171" t="str">
        <f>"0501510"</f>
        <v>0501510</v>
      </c>
      <c r="K171">
        <v>2109027545</v>
      </c>
      <c r="L171">
        <v>2109027384</v>
      </c>
      <c r="M171" t="s">
        <v>3870</v>
      </c>
      <c r="N171" t="s">
        <v>3549</v>
      </c>
      <c r="O171" t="s">
        <v>3550</v>
      </c>
      <c r="P171">
        <v>17234</v>
      </c>
      <c r="Q171" t="str">
        <f>"37.953125"</f>
        <v>37.953125</v>
      </c>
      <c r="R171" t="str">
        <f>"23.726964"</f>
        <v>23.726964</v>
      </c>
      <c r="S171" t="s">
        <v>26</v>
      </c>
    </row>
    <row r="172" spans="1:19" x14ac:dyDescent="0.3">
      <c r="A172" t="s">
        <v>3237</v>
      </c>
      <c r="B172" t="s">
        <v>3307</v>
      </c>
      <c r="C172" t="s">
        <v>3871</v>
      </c>
      <c r="D172" t="s">
        <v>3238</v>
      </c>
      <c r="E172" t="s">
        <v>3404</v>
      </c>
      <c r="F172" t="s">
        <v>3405</v>
      </c>
      <c r="G172" t="s">
        <v>3405</v>
      </c>
      <c r="H172" t="s">
        <v>51</v>
      </c>
      <c r="I172" t="s">
        <v>52</v>
      </c>
      <c r="J172" t="str">
        <f>"0501680"</f>
        <v>0501680</v>
      </c>
      <c r="K172">
        <v>2102510301</v>
      </c>
      <c r="L172">
        <v>2102510301</v>
      </c>
      <c r="M172" t="s">
        <v>3872</v>
      </c>
      <c r="N172" t="s">
        <v>3408</v>
      </c>
      <c r="O172" t="s">
        <v>3873</v>
      </c>
      <c r="P172">
        <v>14341</v>
      </c>
      <c r="Q172" t="str">
        <f>"38.037001"</f>
        <v>38.037001</v>
      </c>
      <c r="R172" t="str">
        <f>"23.737500"</f>
        <v>23.737500</v>
      </c>
      <c r="S172" t="s">
        <v>26</v>
      </c>
    </row>
    <row r="173" spans="1:19" x14ac:dyDescent="0.3">
      <c r="A173" t="s">
        <v>3237</v>
      </c>
      <c r="B173" t="s">
        <v>3307</v>
      </c>
      <c r="C173" t="s">
        <v>3874</v>
      </c>
      <c r="D173" t="s">
        <v>3238</v>
      </c>
      <c r="E173" t="s">
        <v>3239</v>
      </c>
      <c r="F173" t="s">
        <v>3239</v>
      </c>
      <c r="G173" t="s">
        <v>3346</v>
      </c>
      <c r="H173" t="s">
        <v>51</v>
      </c>
      <c r="I173" t="s">
        <v>52</v>
      </c>
      <c r="J173" t="str">
        <f>"0501199"</f>
        <v>0501199</v>
      </c>
      <c r="K173">
        <v>2102223572</v>
      </c>
      <c r="L173">
        <v>2102223572</v>
      </c>
      <c r="M173" t="s">
        <v>3875</v>
      </c>
      <c r="N173" t="s">
        <v>3284</v>
      </c>
      <c r="O173" t="s">
        <v>3876</v>
      </c>
      <c r="P173">
        <v>11142</v>
      </c>
      <c r="Q173" t="str">
        <f>"38.025329"</f>
        <v>38.025329</v>
      </c>
      <c r="R173" t="str">
        <f>"23.745121"</f>
        <v>23.745121</v>
      </c>
      <c r="S173" t="s">
        <v>26</v>
      </c>
    </row>
    <row r="174" spans="1:19" x14ac:dyDescent="0.3">
      <c r="A174" t="s">
        <v>3237</v>
      </c>
      <c r="B174" t="s">
        <v>3307</v>
      </c>
      <c r="C174" t="s">
        <v>3877</v>
      </c>
      <c r="D174" t="s">
        <v>3238</v>
      </c>
      <c r="E174" t="s">
        <v>3239</v>
      </c>
      <c r="F174" t="s">
        <v>3239</v>
      </c>
      <c r="G174" t="s">
        <v>3240</v>
      </c>
      <c r="H174" t="s">
        <v>51</v>
      </c>
      <c r="I174" t="s">
        <v>52</v>
      </c>
      <c r="J174" t="str">
        <f>"0501170"</f>
        <v>0501170</v>
      </c>
      <c r="K174">
        <v>2109227230</v>
      </c>
      <c r="L174">
        <v>2109236493</v>
      </c>
      <c r="M174" t="s">
        <v>3878</v>
      </c>
      <c r="N174" t="s">
        <v>3325</v>
      </c>
      <c r="O174" t="s">
        <v>3879</v>
      </c>
      <c r="P174">
        <v>11741</v>
      </c>
      <c r="Q174" t="str">
        <f>"37.963270"</f>
        <v>37.963270</v>
      </c>
      <c r="R174" t="str">
        <f>"23.723508"</f>
        <v>23.723508</v>
      </c>
      <c r="S174" t="s">
        <v>26</v>
      </c>
    </row>
    <row r="175" spans="1:19" x14ac:dyDescent="0.3">
      <c r="A175" t="s">
        <v>3237</v>
      </c>
      <c r="B175" t="s">
        <v>3307</v>
      </c>
      <c r="C175" t="s">
        <v>3881</v>
      </c>
      <c r="D175" t="s">
        <v>3238</v>
      </c>
      <c r="E175" t="s">
        <v>3506</v>
      </c>
      <c r="F175" t="s">
        <v>3506</v>
      </c>
      <c r="G175" t="s">
        <v>3506</v>
      </c>
      <c r="H175" t="s">
        <v>51</v>
      </c>
      <c r="I175" t="s">
        <v>52</v>
      </c>
      <c r="J175" t="str">
        <f>"0501502"</f>
        <v>0501502</v>
      </c>
      <c r="K175">
        <v>2107661551</v>
      </c>
      <c r="L175">
        <v>210766155</v>
      </c>
      <c r="M175" t="s">
        <v>3882</v>
      </c>
      <c r="N175" t="s">
        <v>3509</v>
      </c>
      <c r="O175" t="s">
        <v>3883</v>
      </c>
      <c r="P175">
        <v>16232</v>
      </c>
      <c r="Q175" t="str">
        <f>"37.952448"</f>
        <v>37.952448</v>
      </c>
      <c r="R175" t="str">
        <f>"23.756428"</f>
        <v>23.756428</v>
      </c>
      <c r="S175" t="s">
        <v>26</v>
      </c>
    </row>
    <row r="176" spans="1:19" x14ac:dyDescent="0.3">
      <c r="A176" t="s">
        <v>3237</v>
      </c>
      <c r="B176" t="s">
        <v>3307</v>
      </c>
      <c r="C176" t="s">
        <v>3884</v>
      </c>
      <c r="D176" t="s">
        <v>3238</v>
      </c>
      <c r="E176" t="s">
        <v>3506</v>
      </c>
      <c r="F176" t="s">
        <v>3506</v>
      </c>
      <c r="G176" t="s">
        <v>3506</v>
      </c>
      <c r="H176" t="s">
        <v>51</v>
      </c>
      <c r="I176" t="s">
        <v>52</v>
      </c>
      <c r="J176" t="str">
        <f>"0501490"</f>
        <v>0501490</v>
      </c>
      <c r="K176">
        <v>2107660105</v>
      </c>
      <c r="L176">
        <v>2107660105</v>
      </c>
      <c r="M176" t="s">
        <v>3885</v>
      </c>
      <c r="N176" t="s">
        <v>3509</v>
      </c>
      <c r="O176" t="s">
        <v>3886</v>
      </c>
      <c r="P176">
        <v>16231</v>
      </c>
      <c r="Q176" t="str">
        <f>"37.960927"</f>
        <v>37.960927</v>
      </c>
      <c r="R176" t="str">
        <f>"23.758899"</f>
        <v>23.758899</v>
      </c>
      <c r="S176" t="s">
        <v>26</v>
      </c>
    </row>
    <row r="177" spans="1:19" x14ac:dyDescent="0.3">
      <c r="A177" t="s">
        <v>3237</v>
      </c>
      <c r="B177" t="s">
        <v>3307</v>
      </c>
      <c r="C177" t="s">
        <v>3887</v>
      </c>
      <c r="D177" t="s">
        <v>3238</v>
      </c>
      <c r="E177" t="s">
        <v>3239</v>
      </c>
      <c r="F177" t="s">
        <v>3239</v>
      </c>
      <c r="G177" t="s">
        <v>3240</v>
      </c>
      <c r="H177" t="s">
        <v>51</v>
      </c>
      <c r="I177" t="s">
        <v>3708</v>
      </c>
      <c r="J177" t="str">
        <f>"0501040"</f>
        <v>0501040</v>
      </c>
      <c r="K177">
        <v>2103231788</v>
      </c>
      <c r="L177">
        <v>2103223296</v>
      </c>
      <c r="M177" t="s">
        <v>3888</v>
      </c>
      <c r="N177" t="s">
        <v>3284</v>
      </c>
      <c r="O177" t="s">
        <v>3889</v>
      </c>
      <c r="P177">
        <v>10557</v>
      </c>
      <c r="Q177" t="str">
        <f>"37.973178"</f>
        <v>37.973178</v>
      </c>
      <c r="R177" t="str">
        <f>"23.730114"</f>
        <v>23.730114</v>
      </c>
      <c r="S177" t="s">
        <v>26</v>
      </c>
    </row>
    <row r="178" spans="1:19" x14ac:dyDescent="0.3">
      <c r="A178" t="s">
        <v>3237</v>
      </c>
      <c r="B178" t="s">
        <v>3307</v>
      </c>
      <c r="C178" t="s">
        <v>3891</v>
      </c>
      <c r="D178" t="s">
        <v>3238</v>
      </c>
      <c r="E178" t="s">
        <v>3239</v>
      </c>
      <c r="F178" t="s">
        <v>3239</v>
      </c>
      <c r="G178" t="s">
        <v>3382</v>
      </c>
      <c r="H178" t="s">
        <v>51</v>
      </c>
      <c r="I178" t="s">
        <v>52</v>
      </c>
      <c r="J178" t="str">
        <f>"0501076"</f>
        <v>0501076</v>
      </c>
      <c r="K178">
        <v>2105124771</v>
      </c>
      <c r="L178">
        <v>2111822825</v>
      </c>
      <c r="M178" t="s">
        <v>3892</v>
      </c>
      <c r="N178" t="s">
        <v>3284</v>
      </c>
      <c r="O178" t="s">
        <v>3893</v>
      </c>
      <c r="P178">
        <v>10441</v>
      </c>
      <c r="Q178" t="str">
        <f>"37.987782"</f>
        <v>37.987782</v>
      </c>
      <c r="R178" t="str">
        <f>"23.711984"</f>
        <v>23.711984</v>
      </c>
      <c r="S178" t="s">
        <v>26</v>
      </c>
    </row>
    <row r="179" spans="1:19" x14ac:dyDescent="0.3">
      <c r="A179" t="s">
        <v>3237</v>
      </c>
      <c r="B179" t="s">
        <v>3307</v>
      </c>
      <c r="C179" t="s">
        <v>3894</v>
      </c>
      <c r="D179" t="s">
        <v>3238</v>
      </c>
      <c r="E179" t="s">
        <v>3239</v>
      </c>
      <c r="F179" t="s">
        <v>3239</v>
      </c>
      <c r="G179" t="s">
        <v>3240</v>
      </c>
      <c r="H179" t="s">
        <v>51</v>
      </c>
      <c r="I179" t="s">
        <v>184</v>
      </c>
      <c r="J179" t="str">
        <f>"0501420"</f>
        <v>0501420</v>
      </c>
      <c r="K179">
        <v>6932586855</v>
      </c>
      <c r="L179">
        <v>2108613050</v>
      </c>
      <c r="M179" t="s">
        <v>3895</v>
      </c>
      <c r="N179" t="s">
        <v>3896</v>
      </c>
      <c r="O179" t="s">
        <v>3897</v>
      </c>
      <c r="P179">
        <v>11257</v>
      </c>
      <c r="Q179" t="str">
        <f>"38.008761"</f>
        <v>38.008761</v>
      </c>
      <c r="R179" t="str">
        <f>"23.731949"</f>
        <v>23.731949</v>
      </c>
      <c r="S179" t="s">
        <v>26</v>
      </c>
    </row>
    <row r="180" spans="1:19" x14ac:dyDescent="0.3">
      <c r="A180" t="s">
        <v>3237</v>
      </c>
      <c r="B180" t="s">
        <v>3307</v>
      </c>
      <c r="C180" t="s">
        <v>3905</v>
      </c>
      <c r="D180" t="s">
        <v>3238</v>
      </c>
      <c r="E180" t="s">
        <v>3239</v>
      </c>
      <c r="F180" t="s">
        <v>3239</v>
      </c>
      <c r="G180" t="s">
        <v>3240</v>
      </c>
      <c r="H180" t="s">
        <v>51</v>
      </c>
      <c r="I180" t="s">
        <v>52</v>
      </c>
      <c r="J180" t="str">
        <f>"0501260"</f>
        <v>0501260</v>
      </c>
      <c r="K180">
        <v>2107210284</v>
      </c>
      <c r="L180">
        <v>2107245283</v>
      </c>
      <c r="M180" t="s">
        <v>3906</v>
      </c>
      <c r="N180" t="s">
        <v>3284</v>
      </c>
      <c r="O180" t="s">
        <v>3907</v>
      </c>
      <c r="P180">
        <v>10676</v>
      </c>
      <c r="Q180" t="str">
        <f>"37.978000"</f>
        <v>37.978000</v>
      </c>
      <c r="R180" t="str">
        <f>"23.746412"</f>
        <v>23.746412</v>
      </c>
      <c r="S180" t="s">
        <v>26</v>
      </c>
    </row>
    <row r="181" spans="1:19" x14ac:dyDescent="0.3">
      <c r="A181" t="s">
        <v>3237</v>
      </c>
      <c r="B181" t="s">
        <v>3307</v>
      </c>
      <c r="C181" t="s">
        <v>3908</v>
      </c>
      <c r="D181" t="s">
        <v>3238</v>
      </c>
      <c r="E181" t="s">
        <v>3239</v>
      </c>
      <c r="F181" t="s">
        <v>3239</v>
      </c>
      <c r="G181" t="s">
        <v>3312</v>
      </c>
      <c r="H181" t="s">
        <v>51</v>
      </c>
      <c r="I181" t="s">
        <v>52</v>
      </c>
      <c r="J181" t="str">
        <f>"0501321"</f>
        <v>0501321</v>
      </c>
      <c r="K181">
        <v>2108624588</v>
      </c>
      <c r="L181">
        <v>2108665542</v>
      </c>
      <c r="M181" t="s">
        <v>3909</v>
      </c>
      <c r="N181" t="s">
        <v>3284</v>
      </c>
      <c r="O181" t="s">
        <v>3910</v>
      </c>
      <c r="P181">
        <v>11253</v>
      </c>
      <c r="Q181" t="str">
        <f>"38.007002"</f>
        <v>38.007002</v>
      </c>
      <c r="R181" t="str">
        <f>"23.733154"</f>
        <v>23.733154</v>
      </c>
      <c r="S181" t="s">
        <v>26</v>
      </c>
    </row>
    <row r="182" spans="1:19" x14ac:dyDescent="0.3">
      <c r="A182" t="s">
        <v>3237</v>
      </c>
      <c r="B182" t="s">
        <v>3307</v>
      </c>
      <c r="C182" t="s">
        <v>3920</v>
      </c>
      <c r="D182" t="s">
        <v>3238</v>
      </c>
      <c r="E182" t="s">
        <v>3239</v>
      </c>
      <c r="F182" t="s">
        <v>3239</v>
      </c>
      <c r="G182" t="s">
        <v>3240</v>
      </c>
      <c r="H182" t="s">
        <v>51</v>
      </c>
      <c r="I182" t="s">
        <v>52</v>
      </c>
      <c r="J182" t="str">
        <f>"0501080"</f>
        <v>0501080</v>
      </c>
      <c r="K182">
        <v>2103817815</v>
      </c>
      <c r="L182">
        <v>2103817816</v>
      </c>
      <c r="M182" t="s">
        <v>3921</v>
      </c>
      <c r="N182" t="s">
        <v>3284</v>
      </c>
      <c r="O182" t="s">
        <v>3922</v>
      </c>
      <c r="P182">
        <v>10681</v>
      </c>
      <c r="Q182" t="str">
        <f>"37.986165"</f>
        <v>37.986165</v>
      </c>
      <c r="R182" t="str">
        <f>"23.735941"</f>
        <v>23.735941</v>
      </c>
      <c r="S182" t="s">
        <v>26</v>
      </c>
    </row>
    <row r="183" spans="1:19" x14ac:dyDescent="0.3">
      <c r="A183" t="s">
        <v>3237</v>
      </c>
      <c r="B183" t="s">
        <v>3307</v>
      </c>
      <c r="C183" t="s">
        <v>3923</v>
      </c>
      <c r="D183" t="s">
        <v>3238</v>
      </c>
      <c r="E183" t="s">
        <v>3239</v>
      </c>
      <c r="F183" t="s">
        <v>3239</v>
      </c>
      <c r="G183" t="s">
        <v>3240</v>
      </c>
      <c r="H183" t="s">
        <v>51</v>
      </c>
      <c r="I183" t="s">
        <v>52</v>
      </c>
      <c r="J183" t="str">
        <f>"0501331"</f>
        <v>0501331</v>
      </c>
      <c r="K183">
        <v>2108217761</v>
      </c>
      <c r="L183">
        <v>2108217761</v>
      </c>
      <c r="M183" t="s">
        <v>3924</v>
      </c>
      <c r="N183" t="s">
        <v>3284</v>
      </c>
      <c r="O183" t="s">
        <v>3925</v>
      </c>
      <c r="P183">
        <v>10439</v>
      </c>
      <c r="Q183" t="str">
        <f>"37.990124"</f>
        <v>37.990124</v>
      </c>
      <c r="R183" t="str">
        <f>"23.724950"</f>
        <v>23.724950</v>
      </c>
      <c r="S183" t="s">
        <v>26</v>
      </c>
    </row>
    <row r="184" spans="1:19" x14ac:dyDescent="0.3">
      <c r="A184" t="s">
        <v>3237</v>
      </c>
      <c r="B184" t="s">
        <v>3307</v>
      </c>
      <c r="C184" t="s">
        <v>3936</v>
      </c>
      <c r="D184" t="s">
        <v>3238</v>
      </c>
      <c r="E184" t="s">
        <v>3239</v>
      </c>
      <c r="F184" t="s">
        <v>3239</v>
      </c>
      <c r="G184" t="s">
        <v>3240</v>
      </c>
      <c r="H184" t="s">
        <v>51</v>
      </c>
      <c r="I184" t="s">
        <v>52</v>
      </c>
      <c r="J184" t="str">
        <f>"0501070"</f>
        <v>0501070</v>
      </c>
      <c r="K184">
        <v>2108830759</v>
      </c>
      <c r="L184">
        <v>2108830832</v>
      </c>
      <c r="M184" t="s">
        <v>3937</v>
      </c>
      <c r="N184" t="s">
        <v>3284</v>
      </c>
      <c r="O184" t="s">
        <v>3581</v>
      </c>
      <c r="P184">
        <v>10439</v>
      </c>
      <c r="Q184" t="str">
        <f>"37.990629"</f>
        <v>37.990629</v>
      </c>
      <c r="R184" t="str">
        <f>"23.721747"</f>
        <v>23.721747</v>
      </c>
      <c r="S184" t="s">
        <v>26</v>
      </c>
    </row>
    <row r="185" spans="1:19" x14ac:dyDescent="0.3">
      <c r="A185" t="s">
        <v>3237</v>
      </c>
      <c r="B185" t="s">
        <v>3307</v>
      </c>
      <c r="C185" t="s">
        <v>3952</v>
      </c>
      <c r="D185" t="s">
        <v>3238</v>
      </c>
      <c r="E185" t="s">
        <v>3432</v>
      </c>
      <c r="F185" t="s">
        <v>3432</v>
      </c>
      <c r="G185" t="s">
        <v>3432</v>
      </c>
      <c r="H185" t="s">
        <v>51</v>
      </c>
      <c r="I185" t="s">
        <v>3951</v>
      </c>
      <c r="J185" t="str">
        <f>"0501555"</f>
        <v>0501555</v>
      </c>
      <c r="K185">
        <v>2109964996</v>
      </c>
      <c r="L185">
        <v>2109964996</v>
      </c>
      <c r="M185" t="s">
        <v>3953</v>
      </c>
      <c r="N185" t="s">
        <v>3437</v>
      </c>
      <c r="O185" t="s">
        <v>3954</v>
      </c>
      <c r="P185">
        <v>16345</v>
      </c>
      <c r="Q185" t="str">
        <f>"37.936559"</f>
        <v>37.936559</v>
      </c>
      <c r="R185" t="str">
        <f>"23.754263"</f>
        <v>23.754263</v>
      </c>
      <c r="S185" t="s">
        <v>26</v>
      </c>
    </row>
    <row r="186" spans="1:19" x14ac:dyDescent="0.3">
      <c r="A186" t="s">
        <v>3237</v>
      </c>
      <c r="B186" t="s">
        <v>3307</v>
      </c>
      <c r="C186" t="s">
        <v>3955</v>
      </c>
      <c r="D186" t="s">
        <v>3238</v>
      </c>
      <c r="E186" t="s">
        <v>3239</v>
      </c>
      <c r="F186" t="s">
        <v>3239</v>
      </c>
      <c r="G186" t="s">
        <v>3312</v>
      </c>
      <c r="H186" t="s">
        <v>51</v>
      </c>
      <c r="I186" t="s">
        <v>52</v>
      </c>
      <c r="J186" t="str">
        <f>"0501191"</f>
        <v>0501191</v>
      </c>
      <c r="K186">
        <v>2108839959</v>
      </c>
      <c r="L186">
        <v>2108225570</v>
      </c>
      <c r="M186" t="s">
        <v>3956</v>
      </c>
      <c r="N186" t="s">
        <v>3284</v>
      </c>
      <c r="O186" t="s">
        <v>3957</v>
      </c>
      <c r="P186">
        <v>11362</v>
      </c>
      <c r="Q186" t="str">
        <f>"37.998770"</f>
        <v>37.998770</v>
      </c>
      <c r="R186" t="str">
        <f>"23.738703"</f>
        <v>23.738703</v>
      </c>
      <c r="S186" t="s">
        <v>26</v>
      </c>
    </row>
    <row r="187" spans="1:19" x14ac:dyDescent="0.3">
      <c r="A187" t="s">
        <v>3237</v>
      </c>
      <c r="B187" t="s">
        <v>3307</v>
      </c>
      <c r="C187" t="s">
        <v>3958</v>
      </c>
      <c r="D187" t="s">
        <v>3238</v>
      </c>
      <c r="E187" t="s">
        <v>3432</v>
      </c>
      <c r="F187" t="s">
        <v>3432</v>
      </c>
      <c r="G187" t="s">
        <v>3432</v>
      </c>
      <c r="H187" t="s">
        <v>51</v>
      </c>
      <c r="I187" t="s">
        <v>52</v>
      </c>
      <c r="J187" t="str">
        <f>"0501627"</f>
        <v>0501627</v>
      </c>
      <c r="K187">
        <v>2109919560</v>
      </c>
      <c r="M187" t="s">
        <v>3959</v>
      </c>
      <c r="N187" t="s">
        <v>3435</v>
      </c>
      <c r="O187" t="s">
        <v>3620</v>
      </c>
      <c r="P187">
        <v>16345</v>
      </c>
      <c r="Q187" t="str">
        <f>"37.936353"</f>
        <v>37.936353</v>
      </c>
      <c r="R187" t="str">
        <f>"23.753144"</f>
        <v>23.753144</v>
      </c>
      <c r="S187" t="s">
        <v>26</v>
      </c>
    </row>
    <row r="188" spans="1:19" x14ac:dyDescent="0.3">
      <c r="A188" t="s">
        <v>3237</v>
      </c>
      <c r="B188" t="s">
        <v>3307</v>
      </c>
      <c r="C188" t="s">
        <v>3960</v>
      </c>
      <c r="D188" t="s">
        <v>3238</v>
      </c>
      <c r="E188" t="s">
        <v>3239</v>
      </c>
      <c r="F188" t="s">
        <v>3239</v>
      </c>
      <c r="G188" t="s">
        <v>3340</v>
      </c>
      <c r="H188" t="s">
        <v>51</v>
      </c>
      <c r="I188" t="s">
        <v>52</v>
      </c>
      <c r="J188" t="str">
        <f>"0501132"</f>
        <v>0501132</v>
      </c>
      <c r="K188">
        <v>2106441569</v>
      </c>
      <c r="L188">
        <v>2106441569</v>
      </c>
      <c r="M188" t="s">
        <v>3961</v>
      </c>
      <c r="N188" t="s">
        <v>3325</v>
      </c>
      <c r="O188" t="s">
        <v>3962</v>
      </c>
      <c r="P188">
        <v>11522</v>
      </c>
      <c r="Q188" t="str">
        <f>"37.995276"</f>
        <v>37.995276</v>
      </c>
      <c r="R188" t="str">
        <f>"23.756447"</f>
        <v>23.756447</v>
      </c>
      <c r="S188" t="s">
        <v>26</v>
      </c>
    </row>
    <row r="189" spans="1:19" x14ac:dyDescent="0.3">
      <c r="A189" t="s">
        <v>3237</v>
      </c>
      <c r="B189" t="s">
        <v>3307</v>
      </c>
      <c r="C189" t="s">
        <v>3966</v>
      </c>
      <c r="D189" t="s">
        <v>3238</v>
      </c>
      <c r="E189" t="s">
        <v>3239</v>
      </c>
      <c r="F189" t="s">
        <v>3239</v>
      </c>
      <c r="G189" t="s">
        <v>3281</v>
      </c>
      <c r="H189" t="s">
        <v>51</v>
      </c>
      <c r="I189" t="s">
        <v>184</v>
      </c>
      <c r="J189" t="str">
        <f>"0501108"</f>
        <v>0501108</v>
      </c>
      <c r="K189">
        <v>2107290251</v>
      </c>
      <c r="L189">
        <v>2107290251</v>
      </c>
      <c r="M189" t="s">
        <v>3967</v>
      </c>
      <c r="N189" t="s">
        <v>3284</v>
      </c>
      <c r="O189" t="s">
        <v>3968</v>
      </c>
      <c r="P189">
        <v>11634</v>
      </c>
      <c r="Q189" t="str">
        <f>"37.969177"</f>
        <v>37.969177</v>
      </c>
      <c r="R189" t="str">
        <f>"23.747400"</f>
        <v>23.747400</v>
      </c>
      <c r="S189" t="s">
        <v>26</v>
      </c>
    </row>
    <row r="190" spans="1:19" x14ac:dyDescent="0.3">
      <c r="A190" t="s">
        <v>3237</v>
      </c>
      <c r="B190" t="s">
        <v>3307</v>
      </c>
      <c r="C190" t="s">
        <v>3969</v>
      </c>
      <c r="D190" t="s">
        <v>3238</v>
      </c>
      <c r="E190" t="s">
        <v>3317</v>
      </c>
      <c r="F190" t="s">
        <v>3317</v>
      </c>
      <c r="G190" t="s">
        <v>3317</v>
      </c>
      <c r="H190" t="s">
        <v>51</v>
      </c>
      <c r="I190" t="s">
        <v>52</v>
      </c>
      <c r="J190" t="str">
        <f>"0501540"</f>
        <v>0501540</v>
      </c>
      <c r="K190">
        <v>2107797052</v>
      </c>
      <c r="L190">
        <v>2107792646</v>
      </c>
      <c r="M190" t="s">
        <v>3970</v>
      </c>
      <c r="N190" t="s">
        <v>3317</v>
      </c>
      <c r="O190" t="s">
        <v>3330</v>
      </c>
      <c r="P190">
        <v>15772</v>
      </c>
      <c r="Q190" t="str">
        <f>"37.971520"</f>
        <v>37.971520</v>
      </c>
      <c r="R190" t="str">
        <f>"23.779954"</f>
        <v>23.779954</v>
      </c>
      <c r="S190" t="s">
        <v>26</v>
      </c>
    </row>
    <row r="191" spans="1:19" x14ac:dyDescent="0.3">
      <c r="A191" t="s">
        <v>3237</v>
      </c>
      <c r="B191" t="s">
        <v>3307</v>
      </c>
      <c r="C191" t="s">
        <v>3975</v>
      </c>
      <c r="D191" t="s">
        <v>3238</v>
      </c>
      <c r="E191" t="s">
        <v>3239</v>
      </c>
      <c r="F191" t="s">
        <v>3239</v>
      </c>
      <c r="G191" t="s">
        <v>3382</v>
      </c>
      <c r="H191" t="s">
        <v>51</v>
      </c>
      <c r="I191" t="s">
        <v>190</v>
      </c>
      <c r="J191" t="str">
        <f>"0539001"</f>
        <v>0539001</v>
      </c>
      <c r="K191">
        <v>2105130758</v>
      </c>
      <c r="M191" t="s">
        <v>3976</v>
      </c>
      <c r="N191" t="s">
        <v>3977</v>
      </c>
      <c r="O191" t="s">
        <v>3978</v>
      </c>
      <c r="P191">
        <v>10442</v>
      </c>
      <c r="Q191" t="str">
        <f>"37.984599"</f>
        <v>37.984599</v>
      </c>
      <c r="R191" t="str">
        <f>"23.718439"</f>
        <v>23.718439</v>
      </c>
      <c r="S191" t="s">
        <v>26</v>
      </c>
    </row>
    <row r="192" spans="1:19" x14ac:dyDescent="0.3">
      <c r="A192" t="s">
        <v>3237</v>
      </c>
      <c r="B192" t="s">
        <v>3307</v>
      </c>
      <c r="C192" t="s">
        <v>3980</v>
      </c>
      <c r="D192" t="s">
        <v>3238</v>
      </c>
      <c r="E192" t="s">
        <v>3239</v>
      </c>
      <c r="F192" t="s">
        <v>3239</v>
      </c>
      <c r="G192" t="s">
        <v>3240</v>
      </c>
      <c r="H192" t="s">
        <v>51</v>
      </c>
      <c r="I192" t="s">
        <v>3979</v>
      </c>
      <c r="J192" t="str">
        <f>"0501001"</f>
        <v>0501001</v>
      </c>
      <c r="K192">
        <v>2103612761</v>
      </c>
      <c r="L192">
        <v>2103611112</v>
      </c>
      <c r="M192" t="s">
        <v>3981</v>
      </c>
      <c r="N192" t="s">
        <v>3284</v>
      </c>
      <c r="O192" t="s">
        <v>3982</v>
      </c>
      <c r="P192">
        <v>10673</v>
      </c>
      <c r="Q192" t="str">
        <f>"37.979851"</f>
        <v>37.979851</v>
      </c>
      <c r="R192" t="str">
        <f>"23.738451"</f>
        <v>23.738451</v>
      </c>
      <c r="S192" t="s">
        <v>26</v>
      </c>
    </row>
    <row r="193" spans="1:19" x14ac:dyDescent="0.3">
      <c r="A193" t="s">
        <v>3237</v>
      </c>
      <c r="B193" t="s">
        <v>3307</v>
      </c>
      <c r="C193" t="s">
        <v>3989</v>
      </c>
      <c r="D193" t="s">
        <v>3238</v>
      </c>
      <c r="E193" t="s">
        <v>3239</v>
      </c>
      <c r="F193" t="s">
        <v>3239</v>
      </c>
      <c r="G193" t="s">
        <v>3322</v>
      </c>
      <c r="H193" t="s">
        <v>51</v>
      </c>
      <c r="I193" t="s">
        <v>199</v>
      </c>
      <c r="J193" t="str">
        <f>"0511002"</f>
        <v>0511002</v>
      </c>
      <c r="K193">
        <v>2103249385</v>
      </c>
      <c r="M193" t="s">
        <v>3990</v>
      </c>
      <c r="N193" t="s">
        <v>3284</v>
      </c>
      <c r="O193" t="s">
        <v>3991</v>
      </c>
      <c r="P193">
        <v>10553</v>
      </c>
      <c r="Q193" t="str">
        <f>"37.979004"</f>
        <v>37.979004</v>
      </c>
      <c r="R193" t="str">
        <f>"23.720314"</f>
        <v>23.720314</v>
      </c>
      <c r="S193" t="s">
        <v>26</v>
      </c>
    </row>
    <row r="194" spans="1:19" x14ac:dyDescent="0.3">
      <c r="A194" t="s">
        <v>3237</v>
      </c>
      <c r="B194" t="s">
        <v>3307</v>
      </c>
      <c r="C194" t="s">
        <v>3993</v>
      </c>
      <c r="D194" t="s">
        <v>3238</v>
      </c>
      <c r="E194" t="s">
        <v>3239</v>
      </c>
      <c r="F194" t="s">
        <v>3239</v>
      </c>
      <c r="G194" t="s">
        <v>3382</v>
      </c>
      <c r="H194" t="s">
        <v>51</v>
      </c>
      <c r="I194" t="s">
        <v>3992</v>
      </c>
      <c r="J194" t="str">
        <f>"0509000"</f>
        <v>0509000</v>
      </c>
      <c r="K194">
        <v>2114116131</v>
      </c>
      <c r="M194" t="s">
        <v>3994</v>
      </c>
      <c r="N194" t="s">
        <v>3461</v>
      </c>
      <c r="O194" t="s">
        <v>3978</v>
      </c>
      <c r="P194">
        <v>10442</v>
      </c>
      <c r="Q194" t="str">
        <f>"37.994926"</f>
        <v>37.994926</v>
      </c>
      <c r="R194" t="str">
        <f>"23.702497"</f>
        <v>23.702497</v>
      </c>
      <c r="S194" t="s">
        <v>26</v>
      </c>
    </row>
    <row r="195" spans="1:19" x14ac:dyDescent="0.3">
      <c r="A195" t="s">
        <v>3237</v>
      </c>
      <c r="B195" t="s">
        <v>3996</v>
      </c>
      <c r="C195" t="s">
        <v>3999</v>
      </c>
      <c r="D195" t="s">
        <v>3262</v>
      </c>
      <c r="E195" t="s">
        <v>3997</v>
      </c>
      <c r="F195" t="s">
        <v>3998</v>
      </c>
      <c r="G195" t="s">
        <v>3998</v>
      </c>
      <c r="H195" t="s">
        <v>51</v>
      </c>
      <c r="I195" t="s">
        <v>52</v>
      </c>
      <c r="J195" t="str">
        <f>"0502068"</f>
        <v>0502068</v>
      </c>
      <c r="K195">
        <v>2291026600</v>
      </c>
      <c r="L195">
        <v>2291079032</v>
      </c>
      <c r="M195" t="s">
        <v>4000</v>
      </c>
      <c r="N195" t="s">
        <v>4001</v>
      </c>
      <c r="O195" t="s">
        <v>4002</v>
      </c>
      <c r="P195">
        <v>19010</v>
      </c>
      <c r="Q195" t="str">
        <f>"37.782555"</f>
        <v>37.782555</v>
      </c>
      <c r="R195" t="str">
        <f>"23.897617"</f>
        <v>23.897617</v>
      </c>
      <c r="S195" t="s">
        <v>26</v>
      </c>
    </row>
    <row r="196" spans="1:19" x14ac:dyDescent="0.3">
      <c r="A196" t="s">
        <v>3237</v>
      </c>
      <c r="B196" t="s">
        <v>3996</v>
      </c>
      <c r="C196" t="s">
        <v>4013</v>
      </c>
      <c r="D196" t="s">
        <v>3262</v>
      </c>
      <c r="E196" t="s">
        <v>4011</v>
      </c>
      <c r="F196" t="s">
        <v>4012</v>
      </c>
      <c r="G196" t="s">
        <v>4012</v>
      </c>
      <c r="H196" t="s">
        <v>51</v>
      </c>
      <c r="I196" t="s">
        <v>52</v>
      </c>
      <c r="J196" t="str">
        <f>"0501857"</f>
        <v>0501857</v>
      </c>
      <c r="K196">
        <v>2108963264</v>
      </c>
      <c r="L196">
        <v>2108963264</v>
      </c>
      <c r="M196" t="s">
        <v>4014</v>
      </c>
      <c r="N196" t="s">
        <v>4015</v>
      </c>
      <c r="O196" t="s">
        <v>4016</v>
      </c>
      <c r="P196">
        <v>16671</v>
      </c>
      <c r="Q196" t="str">
        <f>"37.816794"</f>
        <v>37.816794</v>
      </c>
      <c r="R196" t="str">
        <f>"23.781506"</f>
        <v>23.781506</v>
      </c>
      <c r="S196" t="s">
        <v>26</v>
      </c>
    </row>
    <row r="197" spans="1:19" x14ac:dyDescent="0.3">
      <c r="A197" t="s">
        <v>3237</v>
      </c>
      <c r="B197" t="s">
        <v>3996</v>
      </c>
      <c r="C197" t="s">
        <v>4032</v>
      </c>
      <c r="D197" t="s">
        <v>3262</v>
      </c>
      <c r="E197" t="s">
        <v>4031</v>
      </c>
      <c r="F197" t="s">
        <v>4031</v>
      </c>
      <c r="G197" t="s">
        <v>4031</v>
      </c>
      <c r="H197" t="s">
        <v>51</v>
      </c>
      <c r="I197" t="s">
        <v>52</v>
      </c>
      <c r="J197" t="str">
        <f>"0502070"</f>
        <v>0502070</v>
      </c>
      <c r="K197">
        <v>2292060382</v>
      </c>
      <c r="L197">
        <v>2292025639</v>
      </c>
      <c r="M197" t="s">
        <v>4033</v>
      </c>
      <c r="N197" t="s">
        <v>4034</v>
      </c>
      <c r="O197" t="s">
        <v>4035</v>
      </c>
      <c r="P197">
        <v>19500</v>
      </c>
      <c r="Q197" t="str">
        <f>"37.717615"</f>
        <v>37.717615</v>
      </c>
      <c r="R197" t="str">
        <f>"24.053210"</f>
        <v>24.053210</v>
      </c>
      <c r="S197" t="s">
        <v>26</v>
      </c>
    </row>
    <row r="198" spans="1:19" x14ac:dyDescent="0.3">
      <c r="A198" t="s">
        <v>3237</v>
      </c>
      <c r="B198" t="s">
        <v>3996</v>
      </c>
      <c r="C198" t="s">
        <v>4045</v>
      </c>
      <c r="D198" t="s">
        <v>3262</v>
      </c>
      <c r="E198" t="s">
        <v>4043</v>
      </c>
      <c r="F198" t="s">
        <v>4044</v>
      </c>
      <c r="G198" t="s">
        <v>4044</v>
      </c>
      <c r="H198" t="s">
        <v>51</v>
      </c>
      <c r="I198" t="s">
        <v>52</v>
      </c>
      <c r="J198" t="str">
        <f>"0504012"</f>
        <v>0504012</v>
      </c>
      <c r="K198">
        <v>2108161112</v>
      </c>
      <c r="L198">
        <v>2108161808</v>
      </c>
      <c r="M198" t="s">
        <v>4046</v>
      </c>
      <c r="N198" t="s">
        <v>4044</v>
      </c>
      <c r="O198" t="s">
        <v>4047</v>
      </c>
      <c r="P198">
        <v>14568</v>
      </c>
      <c r="Q198" t="str">
        <f>"38.144533"</f>
        <v>38.144533</v>
      </c>
      <c r="R198" t="str">
        <f>"23.830707"</f>
        <v>23.830707</v>
      </c>
      <c r="S198" t="s">
        <v>26</v>
      </c>
    </row>
    <row r="199" spans="1:19" x14ac:dyDescent="0.3">
      <c r="A199" t="s">
        <v>3237</v>
      </c>
      <c r="B199" t="s">
        <v>3996</v>
      </c>
      <c r="C199" t="s">
        <v>4050</v>
      </c>
      <c r="D199" t="s">
        <v>3262</v>
      </c>
      <c r="E199" t="s">
        <v>3298</v>
      </c>
      <c r="F199" t="s">
        <v>3298</v>
      </c>
      <c r="G199" t="s">
        <v>3298</v>
      </c>
      <c r="H199" t="s">
        <v>51</v>
      </c>
      <c r="I199" t="s">
        <v>52</v>
      </c>
      <c r="J199" t="str">
        <f>"0502088"</f>
        <v>0502088</v>
      </c>
      <c r="K199">
        <v>2102461857</v>
      </c>
      <c r="L199">
        <v>2102461857</v>
      </c>
      <c r="M199" t="s">
        <v>4051</v>
      </c>
      <c r="N199" t="s">
        <v>4028</v>
      </c>
      <c r="O199" t="s">
        <v>4052</v>
      </c>
      <c r="P199">
        <v>13678</v>
      </c>
      <c r="Q199" t="str">
        <f>"38.091823"</f>
        <v>38.091823</v>
      </c>
      <c r="R199" t="str">
        <f>"23.739980"</f>
        <v>23.739980</v>
      </c>
      <c r="S199" t="s">
        <v>26</v>
      </c>
    </row>
    <row r="200" spans="1:19" x14ac:dyDescent="0.3">
      <c r="A200" t="s">
        <v>3237</v>
      </c>
      <c r="B200" t="s">
        <v>3996</v>
      </c>
      <c r="C200" t="s">
        <v>4069</v>
      </c>
      <c r="D200" t="s">
        <v>3262</v>
      </c>
      <c r="E200" t="s">
        <v>4067</v>
      </c>
      <c r="F200" t="s">
        <v>4068</v>
      </c>
      <c r="G200" t="s">
        <v>4068</v>
      </c>
      <c r="H200" t="s">
        <v>51</v>
      </c>
      <c r="I200" t="s">
        <v>89</v>
      </c>
      <c r="J200" t="str">
        <f>"0504013"</f>
        <v>0504013</v>
      </c>
      <c r="K200">
        <v>2295029926</v>
      </c>
      <c r="L200">
        <v>2295029926</v>
      </c>
      <c r="M200" t="s">
        <v>4070</v>
      </c>
      <c r="N200" t="s">
        <v>4071</v>
      </c>
      <c r="O200" t="s">
        <v>4072</v>
      </c>
      <c r="P200">
        <v>19011</v>
      </c>
      <c r="Q200" t="str">
        <f>"38.249157"</f>
        <v>38.249157</v>
      </c>
      <c r="R200" t="str">
        <f>"23.717588"</f>
        <v>23.717588</v>
      </c>
      <c r="S200" t="s">
        <v>26</v>
      </c>
    </row>
    <row r="201" spans="1:19" x14ac:dyDescent="0.3">
      <c r="A201" t="s">
        <v>3237</v>
      </c>
      <c r="B201" t="s">
        <v>3996</v>
      </c>
      <c r="C201" t="s">
        <v>4077</v>
      </c>
      <c r="D201" t="s">
        <v>3262</v>
      </c>
      <c r="E201" t="s">
        <v>4075</v>
      </c>
      <c r="F201" t="s">
        <v>4076</v>
      </c>
      <c r="G201" t="s">
        <v>4076</v>
      </c>
      <c r="H201" t="s">
        <v>51</v>
      </c>
      <c r="I201" t="s">
        <v>52</v>
      </c>
      <c r="J201" t="str">
        <f>"0502069"</f>
        <v>0502069</v>
      </c>
      <c r="K201">
        <v>2106615120</v>
      </c>
      <c r="L201">
        <v>2106615188</v>
      </c>
      <c r="M201" t="s">
        <v>4078</v>
      </c>
      <c r="N201" t="s">
        <v>4079</v>
      </c>
      <c r="O201" t="s">
        <v>4080</v>
      </c>
      <c r="P201">
        <v>15354</v>
      </c>
      <c r="Q201" t="str">
        <f>"38.005287"</f>
        <v>38.005287</v>
      </c>
      <c r="R201" t="str">
        <f>"23.852140"</f>
        <v>23.852140</v>
      </c>
      <c r="S201" t="s">
        <v>26</v>
      </c>
    </row>
    <row r="202" spans="1:19" x14ac:dyDescent="0.3">
      <c r="A202" t="s">
        <v>3237</v>
      </c>
      <c r="B202" t="s">
        <v>3996</v>
      </c>
      <c r="C202" t="s">
        <v>4083</v>
      </c>
      <c r="D202" t="s">
        <v>3262</v>
      </c>
      <c r="E202" t="s">
        <v>4060</v>
      </c>
      <c r="F202" t="s">
        <v>4082</v>
      </c>
      <c r="G202" t="s">
        <v>4082</v>
      </c>
      <c r="H202" t="s">
        <v>51</v>
      </c>
      <c r="I202" t="s">
        <v>52</v>
      </c>
      <c r="J202" t="str">
        <f>"0502072"</f>
        <v>0502072</v>
      </c>
      <c r="K202">
        <v>2106036340</v>
      </c>
      <c r="L202">
        <v>2106036341</v>
      </c>
      <c r="M202" t="s">
        <v>4084</v>
      </c>
      <c r="N202" t="s">
        <v>4085</v>
      </c>
      <c r="O202" t="s">
        <v>4086</v>
      </c>
      <c r="P202">
        <v>19009</v>
      </c>
      <c r="Q202" t="str">
        <f>"37.999036"</f>
        <v>37.999036</v>
      </c>
      <c r="R202" t="str">
        <f>"23.941666"</f>
        <v>23.941666</v>
      </c>
      <c r="S202" t="s">
        <v>26</v>
      </c>
    </row>
    <row r="203" spans="1:19" x14ac:dyDescent="0.3">
      <c r="A203" t="s">
        <v>3237</v>
      </c>
      <c r="B203" t="s">
        <v>3996</v>
      </c>
      <c r="C203" t="s">
        <v>4195</v>
      </c>
      <c r="D203" t="s">
        <v>3262</v>
      </c>
      <c r="E203" t="s">
        <v>4024</v>
      </c>
      <c r="F203" t="s">
        <v>2199</v>
      </c>
      <c r="G203" t="s">
        <v>2199</v>
      </c>
      <c r="H203" t="s">
        <v>51</v>
      </c>
      <c r="I203" t="s">
        <v>4194</v>
      </c>
      <c r="J203" t="str">
        <f>"0502039"</f>
        <v>0502039</v>
      </c>
      <c r="K203">
        <v>2106616130</v>
      </c>
      <c r="L203">
        <v>2106616130</v>
      </c>
      <c r="M203" t="s">
        <v>4196</v>
      </c>
      <c r="N203" t="s">
        <v>4172</v>
      </c>
      <c r="O203" t="s">
        <v>4197</v>
      </c>
      <c r="P203">
        <v>15344</v>
      </c>
      <c r="Q203" t="str">
        <f>"38.017649"</f>
        <v>38.017649</v>
      </c>
      <c r="R203" t="str">
        <f>"23.857649"</f>
        <v>23.857649</v>
      </c>
      <c r="S203" t="s">
        <v>26</v>
      </c>
    </row>
    <row r="204" spans="1:19" x14ac:dyDescent="0.3">
      <c r="A204" t="s">
        <v>3237</v>
      </c>
      <c r="B204" t="s">
        <v>3996</v>
      </c>
      <c r="C204" t="s">
        <v>4255</v>
      </c>
      <c r="D204" t="s">
        <v>3262</v>
      </c>
      <c r="E204" t="s">
        <v>4067</v>
      </c>
      <c r="F204" t="s">
        <v>4068</v>
      </c>
      <c r="G204" t="s">
        <v>4068</v>
      </c>
      <c r="H204" t="s">
        <v>51</v>
      </c>
      <c r="I204" t="s">
        <v>52</v>
      </c>
      <c r="J204" t="str">
        <f>"0504010"</f>
        <v>0504010</v>
      </c>
      <c r="K204">
        <v>2295041365</v>
      </c>
      <c r="L204">
        <v>2295042942</v>
      </c>
      <c r="M204" t="s">
        <v>4256</v>
      </c>
      <c r="N204" t="s">
        <v>4071</v>
      </c>
      <c r="O204" t="s">
        <v>4257</v>
      </c>
      <c r="P204">
        <v>19011</v>
      </c>
      <c r="Q204" t="str">
        <f>"38.257262"</f>
        <v>38.257262</v>
      </c>
      <c r="R204" t="str">
        <f>"23.688556"</f>
        <v>23.688556</v>
      </c>
      <c r="S204" t="s">
        <v>26</v>
      </c>
    </row>
    <row r="205" spans="1:19" x14ac:dyDescent="0.3">
      <c r="A205" t="s">
        <v>3237</v>
      </c>
      <c r="B205" t="s">
        <v>3996</v>
      </c>
      <c r="C205" t="s">
        <v>4258</v>
      </c>
      <c r="D205" t="s">
        <v>3262</v>
      </c>
      <c r="E205" t="s">
        <v>4043</v>
      </c>
      <c r="F205" t="s">
        <v>2808</v>
      </c>
      <c r="G205" t="s">
        <v>2808</v>
      </c>
      <c r="H205" t="s">
        <v>51</v>
      </c>
      <c r="I205" t="s">
        <v>52</v>
      </c>
      <c r="J205" t="str">
        <f>"0502046"</f>
        <v>0502046</v>
      </c>
      <c r="K205">
        <v>2106210998</v>
      </c>
      <c r="L205">
        <v>2106210998</v>
      </c>
      <c r="M205" t="s">
        <v>4259</v>
      </c>
      <c r="N205" t="s">
        <v>2805</v>
      </c>
      <c r="O205" t="s">
        <v>4260</v>
      </c>
      <c r="P205">
        <v>14572</v>
      </c>
      <c r="Q205" t="str">
        <f>"38.115974"</f>
        <v>38.115974</v>
      </c>
      <c r="R205" t="str">
        <f>"23.867458"</f>
        <v>23.867458</v>
      </c>
      <c r="S205" t="s">
        <v>26</v>
      </c>
    </row>
    <row r="206" spans="1:19" x14ac:dyDescent="0.3">
      <c r="A206" t="s">
        <v>3237</v>
      </c>
      <c r="B206" t="s">
        <v>3996</v>
      </c>
      <c r="C206" t="s">
        <v>4264</v>
      </c>
      <c r="D206" t="s">
        <v>3262</v>
      </c>
      <c r="E206" t="s">
        <v>4067</v>
      </c>
      <c r="F206" t="s">
        <v>4262</v>
      </c>
      <c r="G206" t="s">
        <v>4263</v>
      </c>
      <c r="H206" t="s">
        <v>51</v>
      </c>
      <c r="I206" t="s">
        <v>52</v>
      </c>
      <c r="J206" t="str">
        <f>"0502112"</f>
        <v>0502112</v>
      </c>
      <c r="K206">
        <v>2295073577</v>
      </c>
      <c r="L206">
        <v>2295073577</v>
      </c>
      <c r="M206" t="s">
        <v>4265</v>
      </c>
      <c r="N206" t="s">
        <v>4266</v>
      </c>
      <c r="O206" t="s">
        <v>4267</v>
      </c>
      <c r="P206">
        <v>19015</v>
      </c>
      <c r="Q206" t="str">
        <f>"38.334913"</f>
        <v>38.334913</v>
      </c>
      <c r="R206" t="str">
        <f>"23.728364"</f>
        <v>23.728364</v>
      </c>
      <c r="S206" t="s">
        <v>26</v>
      </c>
    </row>
    <row r="207" spans="1:19" x14ac:dyDescent="0.3">
      <c r="A207" t="s">
        <v>3237</v>
      </c>
      <c r="B207" t="s">
        <v>3996</v>
      </c>
      <c r="C207" t="s">
        <v>4269</v>
      </c>
      <c r="D207" t="s">
        <v>3262</v>
      </c>
      <c r="E207" t="s">
        <v>3298</v>
      </c>
      <c r="F207" t="s">
        <v>3298</v>
      </c>
      <c r="G207" t="s">
        <v>3298</v>
      </c>
      <c r="H207" t="s">
        <v>51</v>
      </c>
      <c r="I207" t="s">
        <v>52</v>
      </c>
      <c r="J207" t="str">
        <f>"0502089"</f>
        <v>0502089</v>
      </c>
      <c r="K207">
        <v>2102316718</v>
      </c>
      <c r="L207">
        <v>2102316718</v>
      </c>
      <c r="M207" t="s">
        <v>4270</v>
      </c>
      <c r="N207" t="s">
        <v>4028</v>
      </c>
      <c r="O207" t="s">
        <v>4271</v>
      </c>
      <c r="P207">
        <v>13671</v>
      </c>
      <c r="Q207" t="str">
        <f>"38.055257"</f>
        <v>38.055257</v>
      </c>
      <c r="R207" t="str">
        <f>"23.735128"</f>
        <v>23.735128</v>
      </c>
      <c r="S207" t="s">
        <v>26</v>
      </c>
    </row>
    <row r="208" spans="1:19" x14ac:dyDescent="0.3">
      <c r="A208" t="s">
        <v>3237</v>
      </c>
      <c r="B208" t="s">
        <v>3996</v>
      </c>
      <c r="C208" t="s">
        <v>4272</v>
      </c>
      <c r="D208" t="s">
        <v>3262</v>
      </c>
      <c r="E208" t="s">
        <v>4067</v>
      </c>
      <c r="F208" t="s">
        <v>4262</v>
      </c>
      <c r="G208" t="s">
        <v>4263</v>
      </c>
      <c r="H208" t="s">
        <v>51</v>
      </c>
      <c r="I208" t="s">
        <v>52</v>
      </c>
      <c r="J208" t="str">
        <f>"0502110"</f>
        <v>0502110</v>
      </c>
      <c r="K208">
        <v>2295032185</v>
      </c>
      <c r="L208">
        <v>2295032185</v>
      </c>
      <c r="M208" t="s">
        <v>4273</v>
      </c>
      <c r="N208" t="s">
        <v>4274</v>
      </c>
      <c r="O208" t="s">
        <v>4275</v>
      </c>
      <c r="P208">
        <v>19015</v>
      </c>
      <c r="Q208" t="str">
        <f>"38.328509"</f>
        <v>38.328509</v>
      </c>
      <c r="R208" t="str">
        <f>"23.775432"</f>
        <v>23.775432</v>
      </c>
      <c r="S208" t="s">
        <v>26</v>
      </c>
    </row>
    <row r="209" spans="1:19" x14ac:dyDescent="0.3">
      <c r="A209" t="s">
        <v>3237</v>
      </c>
      <c r="B209" t="s">
        <v>3996</v>
      </c>
      <c r="C209" t="s">
        <v>4280</v>
      </c>
      <c r="D209" t="s">
        <v>3262</v>
      </c>
      <c r="E209" t="s">
        <v>4019</v>
      </c>
      <c r="F209" t="s">
        <v>4054</v>
      </c>
      <c r="G209" t="s">
        <v>4054</v>
      </c>
      <c r="H209" t="s">
        <v>51</v>
      </c>
      <c r="I209" t="s">
        <v>52</v>
      </c>
      <c r="J209" t="str">
        <f>"0502057"</f>
        <v>0502057</v>
      </c>
      <c r="K209">
        <v>2294093701</v>
      </c>
      <c r="L209">
        <v>2294093701</v>
      </c>
      <c r="M209" t="s">
        <v>4281</v>
      </c>
      <c r="N209" t="s">
        <v>4177</v>
      </c>
      <c r="O209" t="s">
        <v>4282</v>
      </c>
      <c r="P209">
        <v>19005</v>
      </c>
      <c r="Q209" t="str">
        <f>"38.086277"</f>
        <v>38.086277</v>
      </c>
      <c r="R209" t="str">
        <f>"23.973872"</f>
        <v>23.973872</v>
      </c>
      <c r="S209" t="s">
        <v>26</v>
      </c>
    </row>
    <row r="210" spans="1:19" x14ac:dyDescent="0.3">
      <c r="A210" t="s">
        <v>3237</v>
      </c>
      <c r="B210" t="s">
        <v>3996</v>
      </c>
      <c r="C210" t="s">
        <v>4283</v>
      </c>
      <c r="D210" t="s">
        <v>3262</v>
      </c>
      <c r="E210" t="s">
        <v>4207</v>
      </c>
      <c r="F210" t="s">
        <v>4207</v>
      </c>
      <c r="G210" t="s">
        <v>4207</v>
      </c>
      <c r="H210" t="s">
        <v>51</v>
      </c>
      <c r="I210" t="s">
        <v>52</v>
      </c>
      <c r="J210" t="str">
        <f>"0502040"</f>
        <v>0502040</v>
      </c>
      <c r="K210">
        <v>2299025207</v>
      </c>
      <c r="L210">
        <v>2299025267</v>
      </c>
      <c r="M210" t="s">
        <v>4284</v>
      </c>
      <c r="N210" t="s">
        <v>4285</v>
      </c>
      <c r="O210" t="s">
        <v>4286</v>
      </c>
      <c r="P210">
        <v>19003</v>
      </c>
      <c r="Q210" t="str">
        <f>"37.885327"</f>
        <v>37.885327</v>
      </c>
      <c r="R210" t="str">
        <f>"23.933952"</f>
        <v>23.933952</v>
      </c>
      <c r="S210" t="s">
        <v>26</v>
      </c>
    </row>
    <row r="211" spans="1:19" x14ac:dyDescent="0.3">
      <c r="A211" t="s">
        <v>3237</v>
      </c>
      <c r="B211" t="s">
        <v>3996</v>
      </c>
      <c r="C211" t="s">
        <v>4288</v>
      </c>
      <c r="D211" t="s">
        <v>3262</v>
      </c>
      <c r="E211" t="s">
        <v>3298</v>
      </c>
      <c r="F211" t="s">
        <v>3298</v>
      </c>
      <c r="G211" t="s">
        <v>3298</v>
      </c>
      <c r="H211" t="s">
        <v>51</v>
      </c>
      <c r="I211" t="s">
        <v>52</v>
      </c>
      <c r="J211" t="str">
        <f>"0502080"</f>
        <v>0502080</v>
      </c>
      <c r="K211">
        <v>2102469072</v>
      </c>
      <c r="L211">
        <v>2102409398</v>
      </c>
      <c r="M211" t="s">
        <v>4289</v>
      </c>
      <c r="N211" t="s">
        <v>4028</v>
      </c>
      <c r="O211" t="s">
        <v>4224</v>
      </c>
      <c r="P211">
        <v>13674</v>
      </c>
      <c r="Q211" t="str">
        <f>"38.079766"</f>
        <v>38.079766</v>
      </c>
      <c r="R211" t="str">
        <f>"23.730537"</f>
        <v>23.730537</v>
      </c>
      <c r="S211" t="s">
        <v>26</v>
      </c>
    </row>
    <row r="212" spans="1:19" x14ac:dyDescent="0.3">
      <c r="A212" t="s">
        <v>3237</v>
      </c>
      <c r="B212" t="s">
        <v>3996</v>
      </c>
      <c r="C212" t="s">
        <v>4290</v>
      </c>
      <c r="D212" t="s">
        <v>3262</v>
      </c>
      <c r="E212" t="s">
        <v>4043</v>
      </c>
      <c r="F212" t="s">
        <v>4073</v>
      </c>
      <c r="G212" t="s">
        <v>4073</v>
      </c>
      <c r="H212" t="s">
        <v>51</v>
      </c>
      <c r="I212" t="s">
        <v>52</v>
      </c>
      <c r="J212" t="str">
        <f>"0502047"</f>
        <v>0502047</v>
      </c>
      <c r="K212">
        <v>2108140190</v>
      </c>
      <c r="L212">
        <v>2106219757</v>
      </c>
      <c r="M212" t="s">
        <v>4291</v>
      </c>
      <c r="N212" t="s">
        <v>4292</v>
      </c>
      <c r="O212" t="s">
        <v>4293</v>
      </c>
      <c r="P212">
        <v>14565</v>
      </c>
      <c r="Q212" t="str">
        <f>"38.143751"</f>
        <v>38.143751</v>
      </c>
      <c r="R212" t="str">
        <f>"23.856610"</f>
        <v>23.856610</v>
      </c>
      <c r="S212" t="s">
        <v>26</v>
      </c>
    </row>
    <row r="213" spans="1:19" x14ac:dyDescent="0.3">
      <c r="A213" t="s">
        <v>3237</v>
      </c>
      <c r="B213" t="s">
        <v>3996</v>
      </c>
      <c r="C213" t="s">
        <v>4294</v>
      </c>
      <c r="D213" t="s">
        <v>3262</v>
      </c>
      <c r="E213" t="s">
        <v>4043</v>
      </c>
      <c r="F213" t="s">
        <v>4043</v>
      </c>
      <c r="G213" t="s">
        <v>4043</v>
      </c>
      <c r="H213" t="s">
        <v>51</v>
      </c>
      <c r="I213" t="s">
        <v>52</v>
      </c>
      <c r="J213" t="str">
        <f>"0502048"</f>
        <v>0502048</v>
      </c>
      <c r="K213">
        <v>2106211200</v>
      </c>
      <c r="L213">
        <v>2106211200</v>
      </c>
      <c r="M213" t="s">
        <v>4295</v>
      </c>
      <c r="N213" t="s">
        <v>4157</v>
      </c>
      <c r="O213" t="s">
        <v>4296</v>
      </c>
      <c r="P213">
        <v>14576</v>
      </c>
      <c r="Q213" t="str">
        <f>"38.097692"</f>
        <v>38.097692</v>
      </c>
      <c r="R213" t="str">
        <f>"23.883773"</f>
        <v>23.883773</v>
      </c>
      <c r="S213" t="s">
        <v>26</v>
      </c>
    </row>
    <row r="214" spans="1:19" x14ac:dyDescent="0.3">
      <c r="A214" t="s">
        <v>3237</v>
      </c>
      <c r="B214" t="s">
        <v>3996</v>
      </c>
      <c r="C214" t="s">
        <v>4297</v>
      </c>
      <c r="D214" t="s">
        <v>3262</v>
      </c>
      <c r="E214" t="s">
        <v>4024</v>
      </c>
      <c r="F214" t="s">
        <v>2199</v>
      </c>
      <c r="G214" t="s">
        <v>2199</v>
      </c>
      <c r="H214" t="s">
        <v>51</v>
      </c>
      <c r="I214" t="s">
        <v>52</v>
      </c>
      <c r="J214" t="str">
        <f>"0502036"</f>
        <v>0502036</v>
      </c>
      <c r="K214">
        <v>2106613656</v>
      </c>
      <c r="L214">
        <v>2106613656</v>
      </c>
      <c r="M214" t="s">
        <v>4298</v>
      </c>
      <c r="N214" t="s">
        <v>2199</v>
      </c>
      <c r="O214" t="s">
        <v>4299</v>
      </c>
      <c r="P214">
        <v>15344</v>
      </c>
      <c r="Q214" t="str">
        <f>"38.016774"</f>
        <v>38.016774</v>
      </c>
      <c r="R214" t="str">
        <f>"23.848855"</f>
        <v>23.848855</v>
      </c>
      <c r="S214" t="s">
        <v>26</v>
      </c>
    </row>
    <row r="215" spans="1:19" x14ac:dyDescent="0.3">
      <c r="A215" t="s">
        <v>3237</v>
      </c>
      <c r="B215" t="s">
        <v>3996</v>
      </c>
      <c r="C215" t="s">
        <v>4304</v>
      </c>
      <c r="D215" t="s">
        <v>3262</v>
      </c>
      <c r="E215" t="s">
        <v>3298</v>
      </c>
      <c r="F215" t="s">
        <v>3298</v>
      </c>
      <c r="G215" t="s">
        <v>3298</v>
      </c>
      <c r="H215" t="s">
        <v>51</v>
      </c>
      <c r="I215" t="s">
        <v>52</v>
      </c>
      <c r="J215" t="str">
        <f>"0502086"</f>
        <v>0502086</v>
      </c>
      <c r="K215">
        <v>2102405177</v>
      </c>
      <c r="L215">
        <v>2102405177</v>
      </c>
      <c r="M215" t="s">
        <v>4305</v>
      </c>
      <c r="N215" t="s">
        <v>4028</v>
      </c>
      <c r="O215" t="s">
        <v>4306</v>
      </c>
      <c r="P215">
        <v>13672</v>
      </c>
      <c r="Q215" t="str">
        <f>"38.085704"</f>
        <v>38.085704</v>
      </c>
      <c r="R215" t="str">
        <f>"23.721636"</f>
        <v>23.721636</v>
      </c>
      <c r="S215" t="s">
        <v>26</v>
      </c>
    </row>
    <row r="216" spans="1:19" x14ac:dyDescent="0.3">
      <c r="A216" t="s">
        <v>3237</v>
      </c>
      <c r="B216" t="s">
        <v>3996</v>
      </c>
      <c r="C216" t="s">
        <v>4308</v>
      </c>
      <c r="D216" t="s">
        <v>3262</v>
      </c>
      <c r="E216" t="s">
        <v>4043</v>
      </c>
      <c r="F216" t="s">
        <v>4179</v>
      </c>
      <c r="G216" t="s">
        <v>4179</v>
      </c>
      <c r="H216" t="s">
        <v>51</v>
      </c>
      <c r="I216" t="s">
        <v>52</v>
      </c>
      <c r="J216" t="str">
        <f>"0502045"</f>
        <v>0502045</v>
      </c>
      <c r="K216">
        <v>2108140352</v>
      </c>
      <c r="L216">
        <v>2108140352</v>
      </c>
      <c r="M216" t="s">
        <v>4309</v>
      </c>
      <c r="N216" t="s">
        <v>4182</v>
      </c>
      <c r="O216" t="s">
        <v>4310</v>
      </c>
      <c r="P216">
        <v>14569</v>
      </c>
      <c r="Q216" t="str">
        <f>"38.133510"</f>
        <v>38.133510</v>
      </c>
      <c r="R216" t="str">
        <f>"23.860768"</f>
        <v>23.860768</v>
      </c>
      <c r="S216" t="s">
        <v>26</v>
      </c>
    </row>
    <row r="217" spans="1:19" x14ac:dyDescent="0.3">
      <c r="A217" t="s">
        <v>3237</v>
      </c>
      <c r="B217" t="s">
        <v>3996</v>
      </c>
      <c r="C217" t="s">
        <v>4312</v>
      </c>
      <c r="D217" t="s">
        <v>3262</v>
      </c>
      <c r="E217" t="s">
        <v>4075</v>
      </c>
      <c r="F217" t="s">
        <v>4076</v>
      </c>
      <c r="G217" t="s">
        <v>4076</v>
      </c>
      <c r="H217" t="s">
        <v>51</v>
      </c>
      <c r="I217" t="s">
        <v>52</v>
      </c>
      <c r="J217" t="str">
        <f>"0502067"</f>
        <v>0502067</v>
      </c>
      <c r="K217">
        <v>2106659461</v>
      </c>
      <c r="L217">
        <v>2106042372</v>
      </c>
      <c r="M217" t="s">
        <v>4313</v>
      </c>
      <c r="N217" t="s">
        <v>4079</v>
      </c>
      <c r="O217" t="s">
        <v>4314</v>
      </c>
      <c r="P217">
        <v>15354</v>
      </c>
      <c r="Q217" t="str">
        <f>"37.983512"</f>
        <v>37.983512</v>
      </c>
      <c r="R217" t="str">
        <f>"23.846148"</f>
        <v>23.846148</v>
      </c>
      <c r="S217" t="s">
        <v>26</v>
      </c>
    </row>
    <row r="218" spans="1:19" x14ac:dyDescent="0.3">
      <c r="A218" t="s">
        <v>3237</v>
      </c>
      <c r="B218" t="s">
        <v>3996</v>
      </c>
      <c r="C218" t="s">
        <v>4316</v>
      </c>
      <c r="D218" t="s">
        <v>3262</v>
      </c>
      <c r="E218" t="s">
        <v>3298</v>
      </c>
      <c r="F218" t="s">
        <v>3298</v>
      </c>
      <c r="G218" t="s">
        <v>3298</v>
      </c>
      <c r="H218" t="s">
        <v>51</v>
      </c>
      <c r="I218" t="s">
        <v>52</v>
      </c>
      <c r="J218" t="str">
        <f>"0502085"</f>
        <v>0502085</v>
      </c>
      <c r="K218">
        <v>2102447517</v>
      </c>
      <c r="L218">
        <v>2102447589</v>
      </c>
      <c r="M218" t="s">
        <v>4317</v>
      </c>
      <c r="N218" t="s">
        <v>4318</v>
      </c>
      <c r="O218" t="s">
        <v>4319</v>
      </c>
      <c r="P218">
        <v>13675</v>
      </c>
      <c r="Q218" t="str">
        <f>"38.099545"</f>
        <v>38.099545</v>
      </c>
      <c r="R218" t="str">
        <f>"23.739778"</f>
        <v>23.739778</v>
      </c>
      <c r="S218" t="s">
        <v>26</v>
      </c>
    </row>
    <row r="219" spans="1:19" x14ac:dyDescent="0.3">
      <c r="A219" t="s">
        <v>3237</v>
      </c>
      <c r="B219" t="s">
        <v>3996</v>
      </c>
      <c r="C219" t="s">
        <v>4320</v>
      </c>
      <c r="D219" t="s">
        <v>3262</v>
      </c>
      <c r="E219" t="s">
        <v>3298</v>
      </c>
      <c r="F219" t="s">
        <v>3298</v>
      </c>
      <c r="G219" t="s">
        <v>3298</v>
      </c>
      <c r="H219" t="s">
        <v>51</v>
      </c>
      <c r="I219" t="s">
        <v>52</v>
      </c>
      <c r="J219" t="str">
        <f>"0502093"</f>
        <v>0502093</v>
      </c>
      <c r="K219">
        <v>2102444321</v>
      </c>
      <c r="L219">
        <v>2102444321</v>
      </c>
      <c r="M219" t="s">
        <v>4321</v>
      </c>
      <c r="N219" t="s">
        <v>4318</v>
      </c>
      <c r="O219" t="s">
        <v>4322</v>
      </c>
      <c r="P219">
        <v>13675</v>
      </c>
      <c r="Q219" t="str">
        <f>"38.093805"</f>
        <v>38.093805</v>
      </c>
      <c r="R219" t="str">
        <f>"23.735138"</f>
        <v>23.735138</v>
      </c>
      <c r="S219" t="s">
        <v>26</v>
      </c>
    </row>
    <row r="220" spans="1:19" x14ac:dyDescent="0.3">
      <c r="A220" t="s">
        <v>3237</v>
      </c>
      <c r="B220" t="s">
        <v>3996</v>
      </c>
      <c r="C220" t="s">
        <v>4324</v>
      </c>
      <c r="D220" t="s">
        <v>3262</v>
      </c>
      <c r="E220" t="s">
        <v>4118</v>
      </c>
      <c r="F220" t="s">
        <v>4248</v>
      </c>
      <c r="G220" t="s">
        <v>4249</v>
      </c>
      <c r="H220" t="s">
        <v>51</v>
      </c>
      <c r="I220" t="s">
        <v>52</v>
      </c>
      <c r="J220" t="str">
        <f>"0502101"</f>
        <v>0502101</v>
      </c>
      <c r="K220">
        <v>2294085010</v>
      </c>
      <c r="L220">
        <v>2294085777</v>
      </c>
      <c r="M220" t="s">
        <v>4325</v>
      </c>
      <c r="N220" t="s">
        <v>4252</v>
      </c>
      <c r="O220" t="s">
        <v>4326</v>
      </c>
      <c r="P220">
        <v>19016</v>
      </c>
      <c r="Q220" t="str">
        <f>"37.972968"</f>
        <v>37.972968</v>
      </c>
      <c r="R220" t="str">
        <f>"24.003403"</f>
        <v>24.003403</v>
      </c>
      <c r="S220" t="s">
        <v>26</v>
      </c>
    </row>
    <row r="221" spans="1:19" x14ac:dyDescent="0.3">
      <c r="A221" t="s">
        <v>3237</v>
      </c>
      <c r="B221" t="s">
        <v>3996</v>
      </c>
      <c r="C221" t="s">
        <v>4327</v>
      </c>
      <c r="D221" t="s">
        <v>3262</v>
      </c>
      <c r="E221" t="s">
        <v>4118</v>
      </c>
      <c r="F221" t="s">
        <v>4119</v>
      </c>
      <c r="G221" t="s">
        <v>4119</v>
      </c>
      <c r="H221" t="s">
        <v>51</v>
      </c>
      <c r="I221" t="s">
        <v>52</v>
      </c>
      <c r="J221" t="str">
        <f>"0502030"</f>
        <v>0502030</v>
      </c>
      <c r="K221">
        <v>2106632355</v>
      </c>
      <c r="L221">
        <v>2106632949</v>
      </c>
      <c r="M221" t="s">
        <v>4328</v>
      </c>
      <c r="N221" t="s">
        <v>4122</v>
      </c>
      <c r="O221" t="s">
        <v>4329</v>
      </c>
      <c r="P221">
        <v>19004</v>
      </c>
      <c r="Q221" t="str">
        <f>"37.958587"</f>
        <v>37.958587</v>
      </c>
      <c r="R221" t="str">
        <f>"23.915014"</f>
        <v>23.915014</v>
      </c>
      <c r="S221" t="s">
        <v>26</v>
      </c>
    </row>
    <row r="222" spans="1:19" x14ac:dyDescent="0.3">
      <c r="A222" t="s">
        <v>3237</v>
      </c>
      <c r="B222" t="s">
        <v>3996</v>
      </c>
      <c r="C222" t="s">
        <v>4331</v>
      </c>
      <c r="D222" t="s">
        <v>3262</v>
      </c>
      <c r="E222" t="s">
        <v>4043</v>
      </c>
      <c r="F222" t="s">
        <v>4330</v>
      </c>
      <c r="G222" t="s">
        <v>4330</v>
      </c>
      <c r="H222" t="s">
        <v>51</v>
      </c>
      <c r="I222" t="s">
        <v>52</v>
      </c>
      <c r="J222" t="str">
        <f>"0504015"</f>
        <v>0504015</v>
      </c>
      <c r="K222">
        <v>2106212521</v>
      </c>
      <c r="L222">
        <v>2106212521</v>
      </c>
      <c r="M222" t="s">
        <v>4332</v>
      </c>
      <c r="N222" t="s">
        <v>4333</v>
      </c>
      <c r="O222" t="s">
        <v>4334</v>
      </c>
      <c r="P222">
        <v>14574</v>
      </c>
      <c r="Q222" t="str">
        <f>""</f>
        <v/>
      </c>
      <c r="R222" t="str">
        <f>""</f>
        <v/>
      </c>
      <c r="S222" t="s">
        <v>26</v>
      </c>
    </row>
    <row r="223" spans="1:19" x14ac:dyDescent="0.3">
      <c r="A223" t="s">
        <v>3237</v>
      </c>
      <c r="B223" t="s">
        <v>3996</v>
      </c>
      <c r="C223" t="s">
        <v>4337</v>
      </c>
      <c r="D223" t="s">
        <v>3262</v>
      </c>
      <c r="E223" t="s">
        <v>3298</v>
      </c>
      <c r="F223" t="s">
        <v>3298</v>
      </c>
      <c r="G223" t="s">
        <v>3298</v>
      </c>
      <c r="H223" t="s">
        <v>51</v>
      </c>
      <c r="I223" t="s">
        <v>807</v>
      </c>
      <c r="J223" t="str">
        <f>"0502053"</f>
        <v>0502053</v>
      </c>
      <c r="K223">
        <v>2102445416</v>
      </c>
      <c r="L223">
        <v>2102445416</v>
      </c>
      <c r="M223" t="s">
        <v>4338</v>
      </c>
      <c r="N223" t="s">
        <v>4318</v>
      </c>
      <c r="O223" t="s">
        <v>4339</v>
      </c>
      <c r="P223">
        <v>13675</v>
      </c>
      <c r="Q223" t="str">
        <f>"38.093768"</f>
        <v>38.093768</v>
      </c>
      <c r="R223" t="str">
        <f>"23.725148"</f>
        <v>23.725148</v>
      </c>
      <c r="S223" t="s">
        <v>26</v>
      </c>
    </row>
    <row r="224" spans="1:19" x14ac:dyDescent="0.3">
      <c r="A224" t="s">
        <v>3237</v>
      </c>
      <c r="B224" t="s">
        <v>3996</v>
      </c>
      <c r="C224" t="s">
        <v>4340</v>
      </c>
      <c r="D224" t="s">
        <v>3262</v>
      </c>
      <c r="E224" t="s">
        <v>3298</v>
      </c>
      <c r="F224" t="s">
        <v>3298</v>
      </c>
      <c r="G224" t="s">
        <v>3298</v>
      </c>
      <c r="H224" t="s">
        <v>51</v>
      </c>
      <c r="I224" t="s">
        <v>52</v>
      </c>
      <c r="J224" t="str">
        <f>"0502082"</f>
        <v>0502082</v>
      </c>
      <c r="K224">
        <v>2102311703</v>
      </c>
      <c r="L224">
        <v>2102311703</v>
      </c>
      <c r="M224" t="s">
        <v>4341</v>
      </c>
      <c r="N224" t="s">
        <v>4342</v>
      </c>
      <c r="O224" t="s">
        <v>4343</v>
      </c>
      <c r="P224">
        <v>13671</v>
      </c>
      <c r="Q224" t="str">
        <f>"38.061572"</f>
        <v>38.061572</v>
      </c>
      <c r="R224" t="str">
        <f>"23.726341"</f>
        <v>23.726341</v>
      </c>
      <c r="S224" t="s">
        <v>26</v>
      </c>
    </row>
    <row r="225" spans="1:19" x14ac:dyDescent="0.3">
      <c r="A225" t="s">
        <v>3237</v>
      </c>
      <c r="B225" t="s">
        <v>3996</v>
      </c>
      <c r="C225" t="s">
        <v>4345</v>
      </c>
      <c r="D225" t="s">
        <v>3262</v>
      </c>
      <c r="E225" t="s">
        <v>3263</v>
      </c>
      <c r="F225" t="s">
        <v>3263</v>
      </c>
      <c r="G225" t="s">
        <v>3263</v>
      </c>
      <c r="H225" t="s">
        <v>51</v>
      </c>
      <c r="I225" t="s">
        <v>52</v>
      </c>
      <c r="J225" t="str">
        <f>"0502010"</f>
        <v>0502010</v>
      </c>
      <c r="K225">
        <v>2106624170</v>
      </c>
      <c r="L225">
        <v>2106620388</v>
      </c>
      <c r="M225" t="s">
        <v>4346</v>
      </c>
      <c r="N225" t="s">
        <v>4003</v>
      </c>
      <c r="O225" t="s">
        <v>4187</v>
      </c>
      <c r="P225">
        <v>19441</v>
      </c>
      <c r="Q225" t="str">
        <f>"37.901868"</f>
        <v>37.901868</v>
      </c>
      <c r="R225" t="str">
        <f>"23.870439"</f>
        <v>23.870439</v>
      </c>
      <c r="S225" t="s">
        <v>26</v>
      </c>
    </row>
    <row r="226" spans="1:19" x14ac:dyDescent="0.3">
      <c r="A226" t="s">
        <v>3237</v>
      </c>
      <c r="B226" t="s">
        <v>3996</v>
      </c>
      <c r="C226" t="s">
        <v>4347</v>
      </c>
      <c r="D226" t="s">
        <v>3262</v>
      </c>
      <c r="E226" t="s">
        <v>3298</v>
      </c>
      <c r="F226" t="s">
        <v>3298</v>
      </c>
      <c r="G226" t="s">
        <v>3298</v>
      </c>
      <c r="H226" t="s">
        <v>51</v>
      </c>
      <c r="I226" t="s">
        <v>184</v>
      </c>
      <c r="J226" t="str">
        <f>"0502084"</f>
        <v>0502084</v>
      </c>
      <c r="K226">
        <v>2102409401</v>
      </c>
      <c r="M226" t="s">
        <v>4348</v>
      </c>
      <c r="N226" t="s">
        <v>3298</v>
      </c>
      <c r="O226" t="s">
        <v>4224</v>
      </c>
      <c r="P226">
        <v>13675</v>
      </c>
      <c r="Q226" t="str">
        <f>"38.079657"</f>
        <v>38.079657</v>
      </c>
      <c r="R226" t="str">
        <f>"23.731466"</f>
        <v>23.731466</v>
      </c>
      <c r="S226" t="s">
        <v>26</v>
      </c>
    </row>
    <row r="227" spans="1:19" x14ac:dyDescent="0.3">
      <c r="A227" t="s">
        <v>3237</v>
      </c>
      <c r="B227" t="s">
        <v>3996</v>
      </c>
      <c r="C227" t="s">
        <v>4350</v>
      </c>
      <c r="D227" t="s">
        <v>3262</v>
      </c>
      <c r="E227" t="s">
        <v>4024</v>
      </c>
      <c r="F227" t="s">
        <v>4024</v>
      </c>
      <c r="G227" t="s">
        <v>4024</v>
      </c>
      <c r="H227" t="s">
        <v>51</v>
      </c>
      <c r="I227" t="s">
        <v>4349</v>
      </c>
      <c r="J227" t="str">
        <f>"0502095"</f>
        <v>0502095</v>
      </c>
      <c r="K227">
        <v>2106668547</v>
      </c>
      <c r="L227">
        <v>2106664189</v>
      </c>
      <c r="M227" t="s">
        <v>4351</v>
      </c>
      <c r="N227" t="s">
        <v>4352</v>
      </c>
      <c r="O227" t="s">
        <v>4353</v>
      </c>
      <c r="P227">
        <v>15351</v>
      </c>
      <c r="Q227" t="str">
        <f>"38.009256"</f>
        <v>38.009256</v>
      </c>
      <c r="R227" t="str">
        <f>"23.900659"</f>
        <v>23.900659</v>
      </c>
      <c r="S227" t="s">
        <v>26</v>
      </c>
    </row>
    <row r="228" spans="1:19" x14ac:dyDescent="0.3">
      <c r="A228" t="s">
        <v>3237</v>
      </c>
      <c r="B228" t="s">
        <v>3996</v>
      </c>
      <c r="C228" t="s">
        <v>4355</v>
      </c>
      <c r="D228" t="s">
        <v>3262</v>
      </c>
      <c r="E228" t="s">
        <v>4075</v>
      </c>
      <c r="F228" t="s">
        <v>4075</v>
      </c>
      <c r="G228" t="s">
        <v>4075</v>
      </c>
      <c r="H228" t="s">
        <v>51</v>
      </c>
      <c r="I228" t="s">
        <v>52</v>
      </c>
      <c r="J228" t="str">
        <f>"0502020"</f>
        <v>0502020</v>
      </c>
      <c r="K228">
        <v>2106642788</v>
      </c>
      <c r="L228">
        <v>2106642788</v>
      </c>
      <c r="M228" t="s">
        <v>4356</v>
      </c>
      <c r="N228" t="s">
        <v>4139</v>
      </c>
      <c r="O228" t="s">
        <v>4357</v>
      </c>
      <c r="P228">
        <v>19002</v>
      </c>
      <c r="Q228" t="str">
        <f>"37.954307"</f>
        <v>37.954307</v>
      </c>
      <c r="R228" t="str">
        <f>"23.853674"</f>
        <v>23.853674</v>
      </c>
      <c r="S228" t="s">
        <v>26</v>
      </c>
    </row>
    <row r="229" spans="1:19" x14ac:dyDescent="0.3">
      <c r="A229" t="s">
        <v>3237</v>
      </c>
      <c r="B229" t="s">
        <v>3996</v>
      </c>
      <c r="C229" t="s">
        <v>4358</v>
      </c>
      <c r="D229" t="s">
        <v>3262</v>
      </c>
      <c r="E229" t="s">
        <v>4067</v>
      </c>
      <c r="F229" t="s">
        <v>4125</v>
      </c>
      <c r="G229" t="s">
        <v>4125</v>
      </c>
      <c r="H229" t="s">
        <v>51</v>
      </c>
      <c r="I229" t="s">
        <v>52</v>
      </c>
      <c r="J229" t="str">
        <f>"0502051"</f>
        <v>0502051</v>
      </c>
      <c r="K229">
        <v>2295052570</v>
      </c>
      <c r="L229">
        <v>2295052570</v>
      </c>
      <c r="M229" t="s">
        <v>4359</v>
      </c>
      <c r="N229" t="s">
        <v>4128</v>
      </c>
      <c r="O229" t="s">
        <v>4360</v>
      </c>
      <c r="P229">
        <v>19014</v>
      </c>
      <c r="Q229" t="str">
        <f>"38.215202"</f>
        <v>38.215202</v>
      </c>
      <c r="R229" t="str">
        <f>"23.883609"</f>
        <v>23.883609</v>
      </c>
      <c r="S229" t="s">
        <v>26</v>
      </c>
    </row>
    <row r="230" spans="1:19" x14ac:dyDescent="0.3">
      <c r="A230" t="s">
        <v>3237</v>
      </c>
      <c r="B230" t="s">
        <v>3996</v>
      </c>
      <c r="C230" t="s">
        <v>4361</v>
      </c>
      <c r="D230" t="s">
        <v>3262</v>
      </c>
      <c r="E230" t="s">
        <v>4031</v>
      </c>
      <c r="F230" t="s">
        <v>4037</v>
      </c>
      <c r="G230" t="s">
        <v>4037</v>
      </c>
      <c r="H230" t="s">
        <v>51</v>
      </c>
      <c r="I230" t="s">
        <v>52</v>
      </c>
      <c r="J230" t="str">
        <f>"0502060"</f>
        <v>0502060</v>
      </c>
      <c r="K230">
        <v>2299069440</v>
      </c>
      <c r="L230">
        <v>2299049610</v>
      </c>
      <c r="M230" t="s">
        <v>4362</v>
      </c>
      <c r="N230" t="s">
        <v>4040</v>
      </c>
      <c r="O230" t="s">
        <v>4363</v>
      </c>
      <c r="P230">
        <v>19001</v>
      </c>
      <c r="Q230" t="str">
        <f>"37.806013"</f>
        <v>37.806013</v>
      </c>
      <c r="R230" t="str">
        <f>"23.971076"</f>
        <v>23.971076</v>
      </c>
      <c r="S230" t="s">
        <v>26</v>
      </c>
    </row>
    <row r="231" spans="1:19" x14ac:dyDescent="0.3">
      <c r="A231" t="s">
        <v>3237</v>
      </c>
      <c r="B231" t="s">
        <v>3996</v>
      </c>
      <c r="C231" t="s">
        <v>4364</v>
      </c>
      <c r="D231" t="s">
        <v>3262</v>
      </c>
      <c r="E231" t="s">
        <v>3997</v>
      </c>
      <c r="F231" t="s">
        <v>3998</v>
      </c>
      <c r="G231" t="s">
        <v>3998</v>
      </c>
      <c r="H231" t="s">
        <v>51</v>
      </c>
      <c r="I231" t="s">
        <v>52</v>
      </c>
      <c r="J231" t="str">
        <f>"0502066"</f>
        <v>0502066</v>
      </c>
      <c r="K231">
        <v>2299048182</v>
      </c>
      <c r="L231">
        <v>2299049360</v>
      </c>
      <c r="M231" t="s">
        <v>4365</v>
      </c>
      <c r="N231" t="s">
        <v>4231</v>
      </c>
      <c r="O231" t="s">
        <v>4366</v>
      </c>
      <c r="P231">
        <v>19010</v>
      </c>
      <c r="Q231" t="str">
        <f>"37.835853"</f>
        <v>37.835853</v>
      </c>
      <c r="R231" t="str">
        <f>"23.932825"</f>
        <v>23.932825</v>
      </c>
      <c r="S231" t="s">
        <v>26</v>
      </c>
    </row>
    <row r="232" spans="1:19" x14ac:dyDescent="0.3">
      <c r="A232" t="s">
        <v>3237</v>
      </c>
      <c r="B232" t="s">
        <v>3996</v>
      </c>
      <c r="C232" t="s">
        <v>4367</v>
      </c>
      <c r="D232" t="s">
        <v>3262</v>
      </c>
      <c r="E232" t="s">
        <v>3298</v>
      </c>
      <c r="F232" t="s">
        <v>4005</v>
      </c>
      <c r="G232" t="s">
        <v>4005</v>
      </c>
      <c r="H232" t="s">
        <v>51</v>
      </c>
      <c r="I232" t="s">
        <v>52</v>
      </c>
      <c r="J232" t="str">
        <f>"0502079"</f>
        <v>0502079</v>
      </c>
      <c r="K232">
        <v>2102431694</v>
      </c>
      <c r="L232">
        <v>2102431694</v>
      </c>
      <c r="M232" t="s">
        <v>4368</v>
      </c>
      <c r="N232" t="s">
        <v>4008</v>
      </c>
      <c r="O232" t="s">
        <v>4369</v>
      </c>
      <c r="P232">
        <v>13676</v>
      </c>
      <c r="Q232" t="str">
        <f>"38.128658"</f>
        <v>38.128658</v>
      </c>
      <c r="R232" t="str">
        <f>"23.756806"</f>
        <v>23.756806</v>
      </c>
      <c r="S232" t="s">
        <v>26</v>
      </c>
    </row>
    <row r="233" spans="1:19" x14ac:dyDescent="0.3">
      <c r="A233" t="s">
        <v>3237</v>
      </c>
      <c r="B233" t="s">
        <v>3996</v>
      </c>
      <c r="C233" t="s">
        <v>4370</v>
      </c>
      <c r="D233" t="s">
        <v>3262</v>
      </c>
      <c r="E233" t="s">
        <v>3298</v>
      </c>
      <c r="F233" t="s">
        <v>3298</v>
      </c>
      <c r="G233" t="s">
        <v>3298</v>
      </c>
      <c r="H233" t="s">
        <v>51</v>
      </c>
      <c r="I233" t="s">
        <v>52</v>
      </c>
      <c r="J233" t="str">
        <f>"0502091"</f>
        <v>0502091</v>
      </c>
      <c r="K233">
        <v>2102463993</v>
      </c>
      <c r="L233">
        <v>2102463993</v>
      </c>
      <c r="M233" t="s">
        <v>4371</v>
      </c>
      <c r="N233" t="s">
        <v>4028</v>
      </c>
      <c r="O233" t="s">
        <v>4372</v>
      </c>
      <c r="P233">
        <v>13674</v>
      </c>
      <c r="Q233" t="str">
        <f>"38.084217"</f>
        <v>38.084217</v>
      </c>
      <c r="R233" t="str">
        <f>"23.744371"</f>
        <v>23.744371</v>
      </c>
      <c r="S233" t="s">
        <v>26</v>
      </c>
    </row>
    <row r="234" spans="1:19" x14ac:dyDescent="0.3">
      <c r="A234" t="s">
        <v>3237</v>
      </c>
      <c r="B234" t="s">
        <v>3996</v>
      </c>
      <c r="C234" t="s">
        <v>4374</v>
      </c>
      <c r="D234" t="s">
        <v>3262</v>
      </c>
      <c r="E234" t="s">
        <v>4011</v>
      </c>
      <c r="F234" t="s">
        <v>4160</v>
      </c>
      <c r="G234" t="s">
        <v>4160</v>
      </c>
      <c r="H234" t="s">
        <v>51</v>
      </c>
      <c r="I234" t="s">
        <v>52</v>
      </c>
      <c r="J234" t="str">
        <f>"0501855"</f>
        <v>0501855</v>
      </c>
      <c r="K234">
        <v>2108955228</v>
      </c>
      <c r="L234">
        <v>2109659955</v>
      </c>
      <c r="M234" t="s">
        <v>4375</v>
      </c>
      <c r="N234" t="s">
        <v>4163</v>
      </c>
      <c r="O234" t="s">
        <v>4376</v>
      </c>
      <c r="P234">
        <v>16673</v>
      </c>
      <c r="Q234" t="str">
        <f>"37.852118"</f>
        <v>37.852118</v>
      </c>
      <c r="R234" t="str">
        <f>"23.769122"</f>
        <v>23.769122</v>
      </c>
      <c r="S234" t="s">
        <v>26</v>
      </c>
    </row>
    <row r="235" spans="1:19" x14ac:dyDescent="0.3">
      <c r="A235" t="s">
        <v>3237</v>
      </c>
      <c r="B235" t="s">
        <v>3996</v>
      </c>
      <c r="C235" t="s">
        <v>4377</v>
      </c>
      <c r="D235" t="s">
        <v>3262</v>
      </c>
      <c r="E235" t="s">
        <v>4060</v>
      </c>
      <c r="F235" t="s">
        <v>4061</v>
      </c>
      <c r="G235" t="s">
        <v>4061</v>
      </c>
      <c r="H235" t="s">
        <v>51</v>
      </c>
      <c r="I235" t="s">
        <v>52</v>
      </c>
      <c r="J235" t="str">
        <f>"0502100"</f>
        <v>0502100</v>
      </c>
      <c r="K235">
        <v>2294024355</v>
      </c>
      <c r="L235">
        <v>2294026261</v>
      </c>
      <c r="M235" t="s">
        <v>4378</v>
      </c>
      <c r="N235" t="s">
        <v>4064</v>
      </c>
      <c r="O235" t="s">
        <v>4379</v>
      </c>
      <c r="P235">
        <v>19009</v>
      </c>
      <c r="Q235" t="str">
        <f>"38.015446"</f>
        <v>38.015446</v>
      </c>
      <c r="R235" t="str">
        <f>"24.011038"</f>
        <v>24.011038</v>
      </c>
      <c r="S235" t="s">
        <v>26</v>
      </c>
    </row>
    <row r="236" spans="1:19" x14ac:dyDescent="0.3">
      <c r="A236" t="s">
        <v>3237</v>
      </c>
      <c r="B236" t="s">
        <v>3996</v>
      </c>
      <c r="C236" t="s">
        <v>4381</v>
      </c>
      <c r="D236" t="s">
        <v>3262</v>
      </c>
      <c r="E236" t="s">
        <v>4011</v>
      </c>
      <c r="F236" t="s">
        <v>4112</v>
      </c>
      <c r="G236" t="s">
        <v>4112</v>
      </c>
      <c r="H236" t="s">
        <v>51</v>
      </c>
      <c r="I236" t="s">
        <v>52</v>
      </c>
      <c r="J236" t="str">
        <f>"0502035"</f>
        <v>0502035</v>
      </c>
      <c r="K236">
        <v>2108970503</v>
      </c>
      <c r="L236">
        <v>2108970503</v>
      </c>
      <c r="M236" t="s">
        <v>4382</v>
      </c>
      <c r="N236" t="s">
        <v>4144</v>
      </c>
      <c r="O236" t="s">
        <v>4383</v>
      </c>
      <c r="P236">
        <v>16672</v>
      </c>
      <c r="Q236" t="str">
        <f>"37.829907"</f>
        <v>37.829907</v>
      </c>
      <c r="R236" t="str">
        <f>"23.804577"</f>
        <v>23.804577</v>
      </c>
      <c r="S236" t="s">
        <v>26</v>
      </c>
    </row>
    <row r="237" spans="1:19" x14ac:dyDescent="0.3">
      <c r="A237" t="s">
        <v>3237</v>
      </c>
      <c r="B237" t="s">
        <v>3996</v>
      </c>
      <c r="C237" t="s">
        <v>4384</v>
      </c>
      <c r="D237" t="s">
        <v>3262</v>
      </c>
      <c r="E237" t="s">
        <v>3997</v>
      </c>
      <c r="F237" t="s">
        <v>4239</v>
      </c>
      <c r="G237" t="s">
        <v>4239</v>
      </c>
      <c r="H237" t="s">
        <v>51</v>
      </c>
      <c r="I237" t="s">
        <v>52</v>
      </c>
      <c r="J237" t="str">
        <f>"0502065"</f>
        <v>0502065</v>
      </c>
      <c r="K237">
        <v>2291037251</v>
      </c>
      <c r="L237">
        <v>2291037251</v>
      </c>
      <c r="M237" t="s">
        <v>4385</v>
      </c>
      <c r="N237" t="s">
        <v>4242</v>
      </c>
      <c r="O237" t="s">
        <v>4386</v>
      </c>
      <c r="P237">
        <v>19013</v>
      </c>
      <c r="Q237" t="str">
        <f>"37.737201"</f>
        <v>37.737201</v>
      </c>
      <c r="R237" t="str">
        <f>"23.939455"</f>
        <v>23.939455</v>
      </c>
      <c r="S237" t="s">
        <v>26</v>
      </c>
    </row>
    <row r="238" spans="1:19" x14ac:dyDescent="0.3">
      <c r="A238" t="s">
        <v>3237</v>
      </c>
      <c r="B238" t="s">
        <v>3996</v>
      </c>
      <c r="C238" t="s">
        <v>4387</v>
      </c>
      <c r="D238" t="s">
        <v>3262</v>
      </c>
      <c r="E238" t="s">
        <v>3263</v>
      </c>
      <c r="F238" t="s">
        <v>3263</v>
      </c>
      <c r="G238" t="s">
        <v>3263</v>
      </c>
      <c r="H238" t="s">
        <v>51</v>
      </c>
      <c r="I238" t="s">
        <v>52</v>
      </c>
      <c r="J238" t="str">
        <f>"0502011"</f>
        <v>0502011</v>
      </c>
      <c r="K238">
        <v>2106624662</v>
      </c>
      <c r="L238">
        <v>2106624662</v>
      </c>
      <c r="M238" t="s">
        <v>4388</v>
      </c>
      <c r="N238" t="s">
        <v>3266</v>
      </c>
      <c r="O238" t="s">
        <v>4389</v>
      </c>
      <c r="P238">
        <v>19400</v>
      </c>
      <c r="Q238" t="str">
        <f>"37.905470"</f>
        <v>37.905470</v>
      </c>
      <c r="R238" t="str">
        <f>"23.877167"</f>
        <v>23.877167</v>
      </c>
      <c r="S238" t="s">
        <v>26</v>
      </c>
    </row>
    <row r="239" spans="1:19" x14ac:dyDescent="0.3">
      <c r="A239" t="s">
        <v>3237</v>
      </c>
      <c r="B239" t="s">
        <v>3996</v>
      </c>
      <c r="C239" t="s">
        <v>4390</v>
      </c>
      <c r="D239" t="s">
        <v>3262</v>
      </c>
      <c r="E239" t="s">
        <v>4024</v>
      </c>
      <c r="F239" t="s">
        <v>4024</v>
      </c>
      <c r="G239" t="s">
        <v>4024</v>
      </c>
      <c r="H239" t="s">
        <v>51</v>
      </c>
      <c r="I239" t="s">
        <v>52</v>
      </c>
      <c r="J239" t="str">
        <f>"0502092"</f>
        <v>0502092</v>
      </c>
      <c r="K239">
        <v>2106042042</v>
      </c>
      <c r="L239">
        <v>2106655195</v>
      </c>
      <c r="M239" t="s">
        <v>4391</v>
      </c>
      <c r="N239" t="s">
        <v>4352</v>
      </c>
      <c r="O239" t="s">
        <v>4392</v>
      </c>
      <c r="P239">
        <v>15351</v>
      </c>
      <c r="Q239" t="str">
        <f>"37.985448"</f>
        <v>37.985448</v>
      </c>
      <c r="R239" t="str">
        <f>"23.864101"</f>
        <v>23.864101</v>
      </c>
      <c r="S239" t="s">
        <v>26</v>
      </c>
    </row>
    <row r="240" spans="1:19" x14ac:dyDescent="0.3">
      <c r="A240" t="s">
        <v>3237</v>
      </c>
      <c r="B240" t="s">
        <v>3996</v>
      </c>
      <c r="C240" t="s">
        <v>4394</v>
      </c>
      <c r="D240" t="s">
        <v>3262</v>
      </c>
      <c r="E240" t="s">
        <v>3298</v>
      </c>
      <c r="F240" t="s">
        <v>3298</v>
      </c>
      <c r="G240" t="s">
        <v>3298</v>
      </c>
      <c r="H240" t="s">
        <v>51</v>
      </c>
      <c r="I240" t="s">
        <v>52</v>
      </c>
      <c r="J240" t="str">
        <f>"0502083"</f>
        <v>0502083</v>
      </c>
      <c r="K240">
        <v>2102462232</v>
      </c>
      <c r="L240">
        <v>2102409382</v>
      </c>
      <c r="M240" t="s">
        <v>4395</v>
      </c>
      <c r="N240" t="s">
        <v>4028</v>
      </c>
      <c r="O240" t="s">
        <v>4396</v>
      </c>
      <c r="P240">
        <v>13671</v>
      </c>
      <c r="Q240" t="str">
        <f>"38.076382"</f>
        <v>38.076382</v>
      </c>
      <c r="R240" t="str">
        <f>"23.745337"</f>
        <v>23.745337</v>
      </c>
      <c r="S240" t="s">
        <v>26</v>
      </c>
    </row>
    <row r="241" spans="1:19" x14ac:dyDescent="0.3">
      <c r="A241" t="s">
        <v>3237</v>
      </c>
      <c r="B241" t="s">
        <v>3996</v>
      </c>
      <c r="C241" t="s">
        <v>4397</v>
      </c>
      <c r="D241" t="s">
        <v>3262</v>
      </c>
      <c r="E241" t="s">
        <v>4024</v>
      </c>
      <c r="F241" t="s">
        <v>2199</v>
      </c>
      <c r="G241" t="s">
        <v>2199</v>
      </c>
      <c r="H241" t="s">
        <v>51</v>
      </c>
      <c r="I241" t="s">
        <v>52</v>
      </c>
      <c r="J241" t="str">
        <f>"0502037"</f>
        <v>0502037</v>
      </c>
      <c r="K241">
        <v>2106047305</v>
      </c>
      <c r="L241">
        <v>2106047305</v>
      </c>
      <c r="M241" t="s">
        <v>4398</v>
      </c>
      <c r="N241" t="s">
        <v>4172</v>
      </c>
      <c r="O241" t="s">
        <v>4399</v>
      </c>
      <c r="P241">
        <v>15344</v>
      </c>
      <c r="Q241" t="str">
        <f>"38.023221"</f>
        <v>38.023221</v>
      </c>
      <c r="R241" t="str">
        <f>"23.853439"</f>
        <v>23.853439</v>
      </c>
      <c r="S241" t="s">
        <v>26</v>
      </c>
    </row>
    <row r="242" spans="1:19" x14ac:dyDescent="0.3">
      <c r="A242" t="s">
        <v>3237</v>
      </c>
      <c r="B242" t="s">
        <v>3996</v>
      </c>
      <c r="C242" t="s">
        <v>4401</v>
      </c>
      <c r="D242" t="s">
        <v>3262</v>
      </c>
      <c r="E242" t="s">
        <v>4019</v>
      </c>
      <c r="F242" t="s">
        <v>4019</v>
      </c>
      <c r="G242" t="s">
        <v>4019</v>
      </c>
      <c r="H242" t="s">
        <v>51</v>
      </c>
      <c r="I242" t="s">
        <v>52</v>
      </c>
      <c r="J242" t="str">
        <f>"0502050"</f>
        <v>0502050</v>
      </c>
      <c r="K242">
        <v>2294066221</v>
      </c>
      <c r="L242">
        <v>2294066221</v>
      </c>
      <c r="M242" t="s">
        <v>4402</v>
      </c>
      <c r="N242" t="s">
        <v>4022</v>
      </c>
      <c r="O242" t="s">
        <v>4403</v>
      </c>
      <c r="P242">
        <v>19007</v>
      </c>
      <c r="Q242" t="str">
        <f>"38.156563"</f>
        <v>38.156563</v>
      </c>
      <c r="R242" t="str">
        <f>"23.958282"</f>
        <v>23.958282</v>
      </c>
      <c r="S242" t="s">
        <v>26</v>
      </c>
    </row>
    <row r="243" spans="1:19" x14ac:dyDescent="0.3">
      <c r="A243" t="s">
        <v>3237</v>
      </c>
      <c r="B243" t="s">
        <v>3996</v>
      </c>
      <c r="C243" t="s">
        <v>4404</v>
      </c>
      <c r="D243" t="s">
        <v>3262</v>
      </c>
      <c r="E243" t="s">
        <v>4024</v>
      </c>
      <c r="F243" t="s">
        <v>4024</v>
      </c>
      <c r="G243" t="s">
        <v>4024</v>
      </c>
      <c r="H243" t="s">
        <v>51</v>
      </c>
      <c r="I243" t="s">
        <v>52</v>
      </c>
      <c r="J243" t="str">
        <f>"0502090"</f>
        <v>0502090</v>
      </c>
      <c r="K243">
        <v>2106665940</v>
      </c>
      <c r="L243">
        <v>2106666876</v>
      </c>
      <c r="M243" t="s">
        <v>4405</v>
      </c>
      <c r="N243" t="s">
        <v>4024</v>
      </c>
      <c r="O243" t="s">
        <v>4406</v>
      </c>
      <c r="P243">
        <v>15351</v>
      </c>
      <c r="Q243" t="str">
        <f>"38.004755"</f>
        <v>38.004755</v>
      </c>
      <c r="R243" t="str">
        <f>"23.889464"</f>
        <v>23.889464</v>
      </c>
      <c r="S243" t="s">
        <v>26</v>
      </c>
    </row>
    <row r="244" spans="1:19" x14ac:dyDescent="0.3">
      <c r="A244" t="s">
        <v>3237</v>
      </c>
      <c r="B244" t="s">
        <v>3996</v>
      </c>
      <c r="C244" t="s">
        <v>4407</v>
      </c>
      <c r="D244" t="s">
        <v>3262</v>
      </c>
      <c r="E244" t="s">
        <v>4075</v>
      </c>
      <c r="F244" t="s">
        <v>4075</v>
      </c>
      <c r="G244" t="s">
        <v>4075</v>
      </c>
      <c r="H244" t="s">
        <v>51</v>
      </c>
      <c r="I244" t="s">
        <v>52</v>
      </c>
      <c r="J244" t="str">
        <f>"0502025"</f>
        <v>0502025</v>
      </c>
      <c r="K244">
        <v>2106028830</v>
      </c>
      <c r="L244">
        <v>2106028830</v>
      </c>
      <c r="M244" t="s">
        <v>4408</v>
      </c>
      <c r="N244" t="s">
        <v>4139</v>
      </c>
      <c r="O244" t="s">
        <v>4409</v>
      </c>
      <c r="P244">
        <v>19002</v>
      </c>
      <c r="Q244" t="str">
        <f>"37.954307"</f>
        <v>37.954307</v>
      </c>
      <c r="R244" t="str">
        <f>"23.853674"</f>
        <v>23.853674</v>
      </c>
      <c r="S244" t="s">
        <v>26</v>
      </c>
    </row>
    <row r="245" spans="1:19" x14ac:dyDescent="0.3">
      <c r="A245" t="s">
        <v>3237</v>
      </c>
      <c r="B245" t="s">
        <v>3996</v>
      </c>
      <c r="C245" t="s">
        <v>4410</v>
      </c>
      <c r="D245" t="s">
        <v>3262</v>
      </c>
      <c r="E245" t="s">
        <v>4024</v>
      </c>
      <c r="F245" t="s">
        <v>4024</v>
      </c>
      <c r="G245" t="s">
        <v>4024</v>
      </c>
      <c r="H245" t="s">
        <v>51</v>
      </c>
      <c r="I245" t="s">
        <v>184</v>
      </c>
      <c r="J245" t="str">
        <f>"0502094"</f>
        <v>0502094</v>
      </c>
      <c r="K245">
        <v>2106666784</v>
      </c>
      <c r="L245">
        <v>2106666784</v>
      </c>
      <c r="M245" t="s">
        <v>4411</v>
      </c>
      <c r="N245" t="s">
        <v>4024</v>
      </c>
      <c r="O245" t="s">
        <v>4412</v>
      </c>
      <c r="P245">
        <v>15351</v>
      </c>
      <c r="Q245" t="str">
        <f>"38.005072"</f>
        <v>38.005072</v>
      </c>
      <c r="R245" t="str">
        <f>"23.888176"</f>
        <v>23.888176</v>
      </c>
      <c r="S245" t="s">
        <v>26</v>
      </c>
    </row>
    <row r="246" spans="1:19" x14ac:dyDescent="0.3">
      <c r="A246" t="s">
        <v>3237</v>
      </c>
      <c r="B246" t="s">
        <v>3996</v>
      </c>
      <c r="C246" t="s">
        <v>4416</v>
      </c>
      <c r="D246" t="s">
        <v>3262</v>
      </c>
      <c r="E246" t="s">
        <v>4011</v>
      </c>
      <c r="F246" t="s">
        <v>4160</v>
      </c>
      <c r="G246" t="s">
        <v>4160</v>
      </c>
      <c r="H246" t="s">
        <v>51</v>
      </c>
      <c r="I246" t="s">
        <v>52</v>
      </c>
      <c r="J246" t="str">
        <f>"0501856"</f>
        <v>0501856</v>
      </c>
      <c r="K246">
        <v>2108951830</v>
      </c>
      <c r="L246">
        <v>2108956089</v>
      </c>
      <c r="M246" t="s">
        <v>4417</v>
      </c>
      <c r="N246" t="s">
        <v>4418</v>
      </c>
      <c r="O246" t="s">
        <v>4419</v>
      </c>
      <c r="P246">
        <v>16673</v>
      </c>
      <c r="Q246" t="str">
        <f>"37.846339"</f>
        <v>37.846339</v>
      </c>
      <c r="R246" t="str">
        <f>"23.762469"</f>
        <v>23.762469</v>
      </c>
      <c r="S246" t="s">
        <v>26</v>
      </c>
    </row>
    <row r="247" spans="1:19" x14ac:dyDescent="0.3">
      <c r="A247" t="s">
        <v>3237</v>
      </c>
      <c r="B247" t="s">
        <v>3996</v>
      </c>
      <c r="C247" t="s">
        <v>4420</v>
      </c>
      <c r="D247" t="s">
        <v>3262</v>
      </c>
      <c r="E247" t="s">
        <v>4031</v>
      </c>
      <c r="F247" t="s">
        <v>4031</v>
      </c>
      <c r="G247" t="s">
        <v>4031</v>
      </c>
      <c r="H247" t="s">
        <v>51</v>
      </c>
      <c r="I247" t="s">
        <v>52</v>
      </c>
      <c r="J247" t="str">
        <f>"0502075"</f>
        <v>0502075</v>
      </c>
      <c r="K247">
        <v>2292069225</v>
      </c>
      <c r="M247" t="s">
        <v>4421</v>
      </c>
      <c r="N247" t="s">
        <v>4034</v>
      </c>
      <c r="O247" t="s">
        <v>4422</v>
      </c>
      <c r="P247">
        <v>19500</v>
      </c>
      <c r="Q247" t="str">
        <f>"37.710968"</f>
        <v>37.710968</v>
      </c>
      <c r="R247" t="str">
        <f>"24.051546"</f>
        <v>24.051546</v>
      </c>
      <c r="S247" t="s">
        <v>26</v>
      </c>
    </row>
    <row r="248" spans="1:19" x14ac:dyDescent="0.3">
      <c r="A248" t="s">
        <v>3237</v>
      </c>
      <c r="B248" t="s">
        <v>3996</v>
      </c>
      <c r="C248" t="s">
        <v>4430</v>
      </c>
      <c r="D248" t="s">
        <v>3262</v>
      </c>
      <c r="E248" t="s">
        <v>4024</v>
      </c>
      <c r="F248" t="s">
        <v>2199</v>
      </c>
      <c r="G248" t="s">
        <v>2199</v>
      </c>
      <c r="H248" t="s">
        <v>51</v>
      </c>
      <c r="I248" t="s">
        <v>52</v>
      </c>
      <c r="J248" t="str">
        <f>"0502038"</f>
        <v>0502038</v>
      </c>
      <c r="K248">
        <v>2106047568</v>
      </c>
      <c r="L248">
        <v>2106047568</v>
      </c>
      <c r="M248" t="s">
        <v>4431</v>
      </c>
      <c r="N248" t="s">
        <v>4432</v>
      </c>
      <c r="O248" t="s">
        <v>4433</v>
      </c>
      <c r="P248">
        <v>15344</v>
      </c>
      <c r="Q248" t="str">
        <f>"38.018390"</f>
        <v>38.018390</v>
      </c>
      <c r="R248" t="str">
        <f>"23.858111"</f>
        <v>23.858111</v>
      </c>
      <c r="S248" t="s">
        <v>26</v>
      </c>
    </row>
    <row r="249" spans="1:19" x14ac:dyDescent="0.3">
      <c r="A249" t="s">
        <v>3237</v>
      </c>
      <c r="B249" t="s">
        <v>3996</v>
      </c>
      <c r="C249" t="s">
        <v>4441</v>
      </c>
      <c r="D249" t="s">
        <v>3262</v>
      </c>
      <c r="E249" t="s">
        <v>4011</v>
      </c>
      <c r="F249" t="s">
        <v>4112</v>
      </c>
      <c r="G249" t="s">
        <v>4112</v>
      </c>
      <c r="H249" t="s">
        <v>51</v>
      </c>
      <c r="I249" t="s">
        <v>52</v>
      </c>
      <c r="J249" t="str">
        <f>"0502034"</f>
        <v>0502034</v>
      </c>
      <c r="K249">
        <v>2108952707</v>
      </c>
      <c r="L249">
        <v>2109689622</v>
      </c>
      <c r="M249" t="s">
        <v>4442</v>
      </c>
      <c r="N249" t="s">
        <v>4144</v>
      </c>
      <c r="O249" t="s">
        <v>4443</v>
      </c>
      <c r="P249">
        <v>16672</v>
      </c>
      <c r="Q249" t="str">
        <f>"37.834193"</f>
        <v>37.834193</v>
      </c>
      <c r="R249" t="str">
        <f>"23.795303"</f>
        <v>23.795303</v>
      </c>
      <c r="S249" t="s">
        <v>26</v>
      </c>
    </row>
    <row r="250" spans="1:19" x14ac:dyDescent="0.3">
      <c r="A250" t="s">
        <v>3237</v>
      </c>
      <c r="B250" t="s">
        <v>3996</v>
      </c>
      <c r="C250" t="s">
        <v>4455</v>
      </c>
      <c r="D250" t="s">
        <v>3262</v>
      </c>
      <c r="E250" t="s">
        <v>3298</v>
      </c>
      <c r="F250" t="s">
        <v>3298</v>
      </c>
      <c r="G250" t="s">
        <v>3298</v>
      </c>
      <c r="H250" t="s">
        <v>51</v>
      </c>
      <c r="I250" t="s">
        <v>52</v>
      </c>
      <c r="J250" t="str">
        <f>"0502087"</f>
        <v>0502087</v>
      </c>
      <c r="K250">
        <v>2102468229</v>
      </c>
      <c r="L250">
        <v>2102466671</v>
      </c>
      <c r="M250" t="s">
        <v>4456</v>
      </c>
      <c r="N250" t="s">
        <v>4028</v>
      </c>
      <c r="O250" t="s">
        <v>4457</v>
      </c>
      <c r="P250">
        <v>13671</v>
      </c>
      <c r="Q250" t="str">
        <f>"38.090813"</f>
        <v>38.090813</v>
      </c>
      <c r="R250" t="str">
        <f>"23.748503"</f>
        <v>23.748503</v>
      </c>
      <c r="S250" t="s">
        <v>26</v>
      </c>
    </row>
    <row r="251" spans="1:19" x14ac:dyDescent="0.3">
      <c r="A251" t="s">
        <v>3237</v>
      </c>
      <c r="B251" t="s">
        <v>3996</v>
      </c>
      <c r="C251" t="s">
        <v>4467</v>
      </c>
      <c r="D251" t="s">
        <v>3262</v>
      </c>
      <c r="E251" t="s">
        <v>3298</v>
      </c>
      <c r="F251" t="s">
        <v>3298</v>
      </c>
      <c r="G251" t="s">
        <v>3298</v>
      </c>
      <c r="H251" t="s">
        <v>51</v>
      </c>
      <c r="I251" t="s">
        <v>52</v>
      </c>
      <c r="J251" t="str">
        <f>"0502081"</f>
        <v>0502081</v>
      </c>
      <c r="K251">
        <v>2102466668</v>
      </c>
      <c r="L251">
        <v>2102466668</v>
      </c>
      <c r="M251" t="s">
        <v>4468</v>
      </c>
      <c r="N251" t="s">
        <v>4028</v>
      </c>
      <c r="O251" t="s">
        <v>4469</v>
      </c>
      <c r="P251">
        <v>13671</v>
      </c>
      <c r="Q251" t="str">
        <f>"38.090448"</f>
        <v>38.090448</v>
      </c>
      <c r="R251" t="str">
        <f>"23.724683"</f>
        <v>23.724683</v>
      </c>
      <c r="S251" t="s">
        <v>26</v>
      </c>
    </row>
    <row r="252" spans="1:19" x14ac:dyDescent="0.3">
      <c r="A252" t="s">
        <v>3237</v>
      </c>
      <c r="B252" t="s">
        <v>3996</v>
      </c>
      <c r="C252" t="s">
        <v>4471</v>
      </c>
      <c r="D252" t="s">
        <v>3262</v>
      </c>
      <c r="E252" t="s">
        <v>4067</v>
      </c>
      <c r="F252" t="s">
        <v>4470</v>
      </c>
      <c r="G252" t="s">
        <v>4470</v>
      </c>
      <c r="H252" t="s">
        <v>51</v>
      </c>
      <c r="I252" t="s">
        <v>52</v>
      </c>
      <c r="J252" t="str">
        <f>"0502052"</f>
        <v>0502052</v>
      </c>
      <c r="K252">
        <v>2295062497</v>
      </c>
      <c r="L252">
        <v>2295062497</v>
      </c>
      <c r="M252" t="s">
        <v>4472</v>
      </c>
      <c r="N252" t="s">
        <v>4473</v>
      </c>
      <c r="O252" t="s">
        <v>4474</v>
      </c>
      <c r="P252">
        <v>19014</v>
      </c>
      <c r="Q252" t="str">
        <f>"38.279445"</f>
        <v>38.279445</v>
      </c>
      <c r="R252" t="str">
        <f>"23.863637"</f>
        <v>23.863637</v>
      </c>
      <c r="S252" t="s">
        <v>26</v>
      </c>
    </row>
    <row r="253" spans="1:19" x14ac:dyDescent="0.3">
      <c r="A253" t="s">
        <v>3237</v>
      </c>
      <c r="B253" t="s">
        <v>3996</v>
      </c>
      <c r="C253" t="s">
        <v>4476</v>
      </c>
      <c r="D253" t="s">
        <v>3262</v>
      </c>
      <c r="E253" t="s">
        <v>4024</v>
      </c>
      <c r="F253" t="s">
        <v>4024</v>
      </c>
      <c r="G253" t="s">
        <v>4024</v>
      </c>
      <c r="H253" t="s">
        <v>51</v>
      </c>
      <c r="I253" t="s">
        <v>52</v>
      </c>
      <c r="J253" t="str">
        <f>"0502096"</f>
        <v>0502096</v>
      </c>
      <c r="K253">
        <v>2106666530</v>
      </c>
      <c r="L253">
        <v>2106665358</v>
      </c>
      <c r="M253" t="s">
        <v>4477</v>
      </c>
      <c r="N253" t="s">
        <v>4352</v>
      </c>
      <c r="O253" t="s">
        <v>4478</v>
      </c>
      <c r="P253">
        <v>15351</v>
      </c>
      <c r="Q253" t="str">
        <f>"38.001040"</f>
        <v>38.001040</v>
      </c>
      <c r="R253" t="str">
        <f>"23.905289"</f>
        <v>23.905289</v>
      </c>
      <c r="S253" t="s">
        <v>26</v>
      </c>
    </row>
    <row r="254" spans="1:19" x14ac:dyDescent="0.3">
      <c r="A254" t="s">
        <v>3237</v>
      </c>
      <c r="B254" t="s">
        <v>3996</v>
      </c>
      <c r="C254" t="s">
        <v>4483</v>
      </c>
      <c r="D254" t="s">
        <v>3262</v>
      </c>
      <c r="E254" t="s">
        <v>3298</v>
      </c>
      <c r="F254" t="s">
        <v>3298</v>
      </c>
      <c r="G254" t="s">
        <v>3298</v>
      </c>
      <c r="H254" t="s">
        <v>51</v>
      </c>
      <c r="I254" t="s">
        <v>199</v>
      </c>
      <c r="J254" t="str">
        <f>"0540208"</f>
        <v>0540208</v>
      </c>
      <c r="K254">
        <v>2102477195</v>
      </c>
      <c r="L254">
        <v>2102403943</v>
      </c>
      <c r="M254" t="s">
        <v>4484</v>
      </c>
      <c r="N254" t="s">
        <v>4028</v>
      </c>
      <c r="O254" t="s">
        <v>4485</v>
      </c>
      <c r="P254">
        <v>13671</v>
      </c>
      <c r="Q254" t="str">
        <f>"38.080690"</f>
        <v>38.080690</v>
      </c>
      <c r="R254" t="str">
        <f>"23.721947"</f>
        <v>23.721947</v>
      </c>
      <c r="S254" t="s">
        <v>26</v>
      </c>
    </row>
    <row r="255" spans="1:19" x14ac:dyDescent="0.3">
      <c r="A255" t="s">
        <v>3237</v>
      </c>
      <c r="B255" t="s">
        <v>3996</v>
      </c>
      <c r="C255" t="s">
        <v>4491</v>
      </c>
      <c r="D255" t="s">
        <v>3262</v>
      </c>
      <c r="E255" t="s">
        <v>4207</v>
      </c>
      <c r="F255" t="s">
        <v>4207</v>
      </c>
      <c r="G255" t="s">
        <v>4207</v>
      </c>
      <c r="H255" t="s">
        <v>51</v>
      </c>
      <c r="I255" t="s">
        <v>52</v>
      </c>
      <c r="J255" t="str">
        <f>"0502042"</f>
        <v>0502042</v>
      </c>
      <c r="K255">
        <v>2299075717</v>
      </c>
      <c r="L255">
        <v>2299075727</v>
      </c>
      <c r="M255" t="s">
        <v>4492</v>
      </c>
      <c r="N255" t="s">
        <v>4493</v>
      </c>
      <c r="O255" t="s">
        <v>4494</v>
      </c>
      <c r="P255">
        <v>19023</v>
      </c>
      <c r="Q255" t="str">
        <f>"37.872970"</f>
        <v>37.872970</v>
      </c>
      <c r="R255" t="str">
        <f>"24.017668"</f>
        <v>24.017668</v>
      </c>
      <c r="S255" t="s">
        <v>26</v>
      </c>
    </row>
    <row r="256" spans="1:19" x14ac:dyDescent="0.3">
      <c r="A256" t="s">
        <v>3237</v>
      </c>
      <c r="B256" t="s">
        <v>3996</v>
      </c>
      <c r="C256" t="s">
        <v>4497</v>
      </c>
      <c r="D256" t="s">
        <v>3262</v>
      </c>
      <c r="E256" t="s">
        <v>3997</v>
      </c>
      <c r="F256" t="s">
        <v>4496</v>
      </c>
      <c r="G256" t="s">
        <v>4496</v>
      </c>
      <c r="H256" t="s">
        <v>51</v>
      </c>
      <c r="I256" t="s">
        <v>52</v>
      </c>
      <c r="J256" t="str">
        <f>"0502076"</f>
        <v>0502076</v>
      </c>
      <c r="K256">
        <v>2299042388</v>
      </c>
      <c r="L256">
        <v>2299042388</v>
      </c>
      <c r="M256" t="s">
        <v>4498</v>
      </c>
      <c r="N256" t="s">
        <v>4499</v>
      </c>
      <c r="O256" t="s">
        <v>4500</v>
      </c>
      <c r="P256">
        <v>19001</v>
      </c>
      <c r="Q256" t="str">
        <f>"37.821777"</f>
        <v>37.821777</v>
      </c>
      <c r="R256" t="str">
        <f>"23.956546"</f>
        <v>23.956546</v>
      </c>
      <c r="S256" t="s">
        <v>26</v>
      </c>
    </row>
    <row r="257" spans="1:19" x14ac:dyDescent="0.3">
      <c r="A257" t="s">
        <v>3237</v>
      </c>
      <c r="B257" t="s">
        <v>3996</v>
      </c>
      <c r="C257" t="s">
        <v>4502</v>
      </c>
      <c r="D257" t="s">
        <v>3262</v>
      </c>
      <c r="E257" t="s">
        <v>4118</v>
      </c>
      <c r="F257" t="s">
        <v>4248</v>
      </c>
      <c r="G257" t="s">
        <v>4249</v>
      </c>
      <c r="H257" t="s">
        <v>51</v>
      </c>
      <c r="I257" t="s">
        <v>52</v>
      </c>
      <c r="J257" t="str">
        <f>"0502102"</f>
        <v>0502102</v>
      </c>
      <c r="K257">
        <v>2294087850</v>
      </c>
      <c r="L257">
        <v>2294087875</v>
      </c>
      <c r="M257" t="s">
        <v>4503</v>
      </c>
      <c r="N257" t="s">
        <v>4504</v>
      </c>
      <c r="O257" t="s">
        <v>4505</v>
      </c>
      <c r="P257">
        <v>19016</v>
      </c>
      <c r="Q257" t="str">
        <f>"37.973280"</f>
        <v>37.973280</v>
      </c>
      <c r="R257" t="str">
        <f>"24.003819"</f>
        <v>24.003819</v>
      </c>
      <c r="S257" t="s">
        <v>26</v>
      </c>
    </row>
    <row r="258" spans="1:19" x14ac:dyDescent="0.3">
      <c r="A258" t="s">
        <v>3237</v>
      </c>
      <c r="B258" t="s">
        <v>3996</v>
      </c>
      <c r="C258" t="s">
        <v>4517</v>
      </c>
      <c r="D258" t="s">
        <v>3262</v>
      </c>
      <c r="E258" t="s">
        <v>3997</v>
      </c>
      <c r="F258" t="s">
        <v>4516</v>
      </c>
      <c r="G258" t="s">
        <v>4516</v>
      </c>
      <c r="H258" t="s">
        <v>51</v>
      </c>
      <c r="I258" t="s">
        <v>52</v>
      </c>
      <c r="J258" t="str">
        <f>"0502077"</f>
        <v>0502077</v>
      </c>
      <c r="K258">
        <v>2291053373</v>
      </c>
      <c r="L258">
        <v>2291053160</v>
      </c>
      <c r="M258" t="s">
        <v>4518</v>
      </c>
      <c r="N258" t="s">
        <v>4519</v>
      </c>
      <c r="O258" t="s">
        <v>4520</v>
      </c>
      <c r="P258">
        <v>19013</v>
      </c>
      <c r="Q258" t="str">
        <f>"37.745747"</f>
        <v>37.745747</v>
      </c>
      <c r="R258" t="str">
        <f>"23.920568"</f>
        <v>23.920568</v>
      </c>
      <c r="S258" t="s">
        <v>26</v>
      </c>
    </row>
    <row r="259" spans="1:19" x14ac:dyDescent="0.3">
      <c r="A259" t="s">
        <v>3237</v>
      </c>
      <c r="B259" t="s">
        <v>3996</v>
      </c>
      <c r="C259" t="s">
        <v>4522</v>
      </c>
      <c r="D259" t="s">
        <v>3262</v>
      </c>
      <c r="E259" t="s">
        <v>3298</v>
      </c>
      <c r="F259" t="s">
        <v>3298</v>
      </c>
      <c r="G259" t="s">
        <v>3298</v>
      </c>
      <c r="H259" t="s">
        <v>51</v>
      </c>
      <c r="I259" t="s">
        <v>52</v>
      </c>
      <c r="J259" t="str">
        <f>"0502098"</f>
        <v>0502098</v>
      </c>
      <c r="K259">
        <v>2102477250</v>
      </c>
      <c r="L259">
        <v>2102477250</v>
      </c>
      <c r="M259" t="s">
        <v>4523</v>
      </c>
      <c r="N259" t="s">
        <v>4524</v>
      </c>
      <c r="O259" t="s">
        <v>4525</v>
      </c>
      <c r="P259">
        <v>13677</v>
      </c>
      <c r="Q259" t="str">
        <f>"38.107875"</f>
        <v>38.107875</v>
      </c>
      <c r="R259" t="str">
        <f>"23.765191"</f>
        <v>23.765191</v>
      </c>
      <c r="S259" t="s">
        <v>26</v>
      </c>
    </row>
    <row r="260" spans="1:19" x14ac:dyDescent="0.3">
      <c r="A260" t="s">
        <v>3237</v>
      </c>
      <c r="B260" t="s">
        <v>3996</v>
      </c>
      <c r="C260" t="s">
        <v>4528</v>
      </c>
      <c r="D260" t="s">
        <v>3262</v>
      </c>
      <c r="E260" t="s">
        <v>4024</v>
      </c>
      <c r="F260" t="s">
        <v>4526</v>
      </c>
      <c r="G260" t="s">
        <v>4527</v>
      </c>
      <c r="H260" t="s">
        <v>51</v>
      </c>
      <c r="I260" t="s">
        <v>52</v>
      </c>
      <c r="J260" t="str">
        <f>"0502097"</f>
        <v>0502097</v>
      </c>
      <c r="K260">
        <v>2106033974</v>
      </c>
      <c r="L260">
        <v>2106033973</v>
      </c>
      <c r="M260" t="s">
        <v>4529</v>
      </c>
      <c r="N260" t="s">
        <v>4530</v>
      </c>
      <c r="O260" t="s">
        <v>4531</v>
      </c>
      <c r="P260">
        <v>15349</v>
      </c>
      <c r="Q260" t="str">
        <f>"38.026028"</f>
        <v>38.026028</v>
      </c>
      <c r="R260" t="str">
        <f>"23.873921"</f>
        <v>23.873921</v>
      </c>
      <c r="S260" t="s">
        <v>26</v>
      </c>
    </row>
    <row r="261" spans="1:19" x14ac:dyDescent="0.3">
      <c r="A261" t="s">
        <v>3237</v>
      </c>
      <c r="B261" t="s">
        <v>3996</v>
      </c>
      <c r="C261" t="s">
        <v>4533</v>
      </c>
      <c r="D261" t="s">
        <v>3262</v>
      </c>
      <c r="E261" t="s">
        <v>4019</v>
      </c>
      <c r="F261" t="s">
        <v>4054</v>
      </c>
      <c r="G261" t="s">
        <v>4054</v>
      </c>
      <c r="H261" t="s">
        <v>51</v>
      </c>
      <c r="I261" t="s">
        <v>52</v>
      </c>
      <c r="J261" t="str">
        <f>"0502058"</f>
        <v>0502058</v>
      </c>
      <c r="K261">
        <v>2294079789</v>
      </c>
      <c r="L261">
        <v>2294079783</v>
      </c>
      <c r="M261" t="s">
        <v>4534</v>
      </c>
      <c r="N261" t="s">
        <v>4177</v>
      </c>
      <c r="O261" t="s">
        <v>4535</v>
      </c>
      <c r="P261">
        <v>19005</v>
      </c>
      <c r="Q261" t="str">
        <f>"38.040734"</f>
        <v>38.040734</v>
      </c>
      <c r="R261" t="str">
        <f>"23.978723"</f>
        <v>23.978723</v>
      </c>
      <c r="S261" t="s">
        <v>26</v>
      </c>
    </row>
    <row r="262" spans="1:19" x14ac:dyDescent="0.3">
      <c r="A262" t="s">
        <v>3237</v>
      </c>
      <c r="B262" t="s">
        <v>3996</v>
      </c>
      <c r="C262" t="s">
        <v>4548</v>
      </c>
      <c r="D262" t="s">
        <v>3262</v>
      </c>
      <c r="E262" t="s">
        <v>3263</v>
      </c>
      <c r="F262" t="s">
        <v>3263</v>
      </c>
      <c r="G262" t="s">
        <v>3263</v>
      </c>
      <c r="H262" t="s">
        <v>51</v>
      </c>
      <c r="I262" t="s">
        <v>199</v>
      </c>
      <c r="J262" t="str">
        <f>"0550960"</f>
        <v>0550960</v>
      </c>
      <c r="K262">
        <v>2106020630</v>
      </c>
      <c r="L262">
        <v>2106020630</v>
      </c>
      <c r="M262" t="s">
        <v>4549</v>
      </c>
      <c r="N262" t="s">
        <v>3266</v>
      </c>
      <c r="O262" t="s">
        <v>4550</v>
      </c>
      <c r="P262">
        <v>19400</v>
      </c>
      <c r="Q262" t="str">
        <f>"37.895645"</f>
        <v>37.895645</v>
      </c>
      <c r="R262" t="str">
        <f>"23.869074"</f>
        <v>23.869074</v>
      </c>
      <c r="S262" t="s">
        <v>26</v>
      </c>
    </row>
    <row r="263" spans="1:19" x14ac:dyDescent="0.3">
      <c r="A263" t="s">
        <v>3237</v>
      </c>
      <c r="B263" t="s">
        <v>3996</v>
      </c>
      <c r="C263" t="s">
        <v>4557</v>
      </c>
      <c r="D263" t="s">
        <v>3262</v>
      </c>
      <c r="E263" t="s">
        <v>4031</v>
      </c>
      <c r="F263" t="s">
        <v>4031</v>
      </c>
      <c r="G263" t="s">
        <v>4031</v>
      </c>
      <c r="H263" t="s">
        <v>51</v>
      </c>
      <c r="I263" t="s">
        <v>4556</v>
      </c>
      <c r="J263" t="str">
        <f>"0536001"</f>
        <v>0536001</v>
      </c>
      <c r="K263">
        <v>2292060382</v>
      </c>
      <c r="L263">
        <v>2292025639</v>
      </c>
      <c r="M263" t="s">
        <v>4558</v>
      </c>
      <c r="N263" t="s">
        <v>4034</v>
      </c>
      <c r="O263" t="s">
        <v>4035</v>
      </c>
      <c r="P263">
        <v>19500</v>
      </c>
      <c r="Q263" t="str">
        <f>"37.717293"</f>
        <v>37.717293</v>
      </c>
      <c r="R263" t="str">
        <f>"24.052920"</f>
        <v>24.052920</v>
      </c>
      <c r="S263" t="s">
        <v>26</v>
      </c>
    </row>
    <row r="264" spans="1:19" x14ac:dyDescent="0.3">
      <c r="A264" t="s">
        <v>3237</v>
      </c>
      <c r="B264" t="s">
        <v>3996</v>
      </c>
      <c r="C264" t="s">
        <v>4567</v>
      </c>
      <c r="D264" t="s">
        <v>3262</v>
      </c>
      <c r="E264" t="s">
        <v>3263</v>
      </c>
      <c r="F264" t="s">
        <v>3263</v>
      </c>
      <c r="G264" t="s">
        <v>3263</v>
      </c>
      <c r="H264" t="s">
        <v>51</v>
      </c>
      <c r="I264" t="s">
        <v>52</v>
      </c>
      <c r="J264" t="str">
        <f>"0535002"</f>
        <v>0535002</v>
      </c>
      <c r="K264">
        <v>2109656309</v>
      </c>
      <c r="L264">
        <v>2109656309</v>
      </c>
      <c r="M264" t="s">
        <v>4568</v>
      </c>
      <c r="N264" t="s">
        <v>4569</v>
      </c>
      <c r="O264" t="s">
        <v>4570</v>
      </c>
      <c r="P264">
        <v>19442</v>
      </c>
      <c r="Q264" t="str">
        <f>"37.848230"</f>
        <v>37.848230</v>
      </c>
      <c r="R264" t="str">
        <f>"23.836587"</f>
        <v>23.836587</v>
      </c>
      <c r="S264" t="s">
        <v>26</v>
      </c>
    </row>
    <row r="265" spans="1:19" x14ac:dyDescent="0.3">
      <c r="A265" t="s">
        <v>3237</v>
      </c>
      <c r="B265" t="s">
        <v>3996</v>
      </c>
      <c r="C265" t="s">
        <v>4573</v>
      </c>
      <c r="D265" t="s">
        <v>3262</v>
      </c>
      <c r="E265" t="s">
        <v>4019</v>
      </c>
      <c r="F265" t="s">
        <v>4054</v>
      </c>
      <c r="G265" t="s">
        <v>4054</v>
      </c>
      <c r="H265" t="s">
        <v>51</v>
      </c>
      <c r="I265" t="s">
        <v>52</v>
      </c>
      <c r="J265" t="str">
        <f>"0535003"</f>
        <v>0535003</v>
      </c>
      <c r="Q265" t="str">
        <f>""</f>
        <v/>
      </c>
      <c r="R265" t="str">
        <f>""</f>
        <v/>
      </c>
      <c r="S265" t="s">
        <v>26</v>
      </c>
    </row>
    <row r="266" spans="1:19" x14ac:dyDescent="0.3">
      <c r="A266" t="s">
        <v>3237</v>
      </c>
      <c r="B266" t="s">
        <v>3996</v>
      </c>
      <c r="C266" t="s">
        <v>4577</v>
      </c>
      <c r="D266" t="s">
        <v>3262</v>
      </c>
      <c r="E266" t="s">
        <v>4011</v>
      </c>
      <c r="F266" t="s">
        <v>4112</v>
      </c>
      <c r="G266" t="s">
        <v>4112</v>
      </c>
      <c r="H266" t="s">
        <v>51</v>
      </c>
      <c r="I266" t="s">
        <v>52</v>
      </c>
      <c r="J266" t="str">
        <f>"0535004"</f>
        <v>0535004</v>
      </c>
      <c r="Q266" t="str">
        <f>""</f>
        <v/>
      </c>
      <c r="R266" t="str">
        <f>""</f>
        <v/>
      </c>
      <c r="S266" t="s">
        <v>26</v>
      </c>
    </row>
    <row r="267" spans="1:19" x14ac:dyDescent="0.3">
      <c r="A267" t="s">
        <v>3237</v>
      </c>
      <c r="B267" t="s">
        <v>3996</v>
      </c>
      <c r="C267" t="s">
        <v>4579</v>
      </c>
      <c r="D267" t="s">
        <v>3262</v>
      </c>
      <c r="E267" t="s">
        <v>4118</v>
      </c>
      <c r="F267" t="s">
        <v>4248</v>
      </c>
      <c r="G267" t="s">
        <v>4249</v>
      </c>
      <c r="H267" t="s">
        <v>51</v>
      </c>
      <c r="I267" t="s">
        <v>52</v>
      </c>
      <c r="J267" t="str">
        <f>"0535005"</f>
        <v>0535005</v>
      </c>
      <c r="Q267" t="str">
        <f>""</f>
        <v/>
      </c>
      <c r="R267" t="str">
        <f>""</f>
        <v/>
      </c>
      <c r="S267" t="s">
        <v>26</v>
      </c>
    </row>
    <row r="268" spans="1:19" x14ac:dyDescent="0.3">
      <c r="A268" t="s">
        <v>3237</v>
      </c>
      <c r="B268" t="s">
        <v>3996</v>
      </c>
      <c r="C268" t="s">
        <v>4580</v>
      </c>
      <c r="D268" t="s">
        <v>3262</v>
      </c>
      <c r="E268" t="s">
        <v>4067</v>
      </c>
      <c r="F268" t="s">
        <v>4262</v>
      </c>
      <c r="G268" t="s">
        <v>4067</v>
      </c>
      <c r="H268" t="s">
        <v>51</v>
      </c>
      <c r="I268" t="s">
        <v>199</v>
      </c>
      <c r="J268" t="str">
        <f>"0511201"</f>
        <v>0511201</v>
      </c>
      <c r="K268">
        <v>2295034824</v>
      </c>
      <c r="L268">
        <v>2295037412</v>
      </c>
      <c r="M268" t="s">
        <v>4581</v>
      </c>
      <c r="N268" t="s">
        <v>4582</v>
      </c>
      <c r="O268" t="s">
        <v>4583</v>
      </c>
      <c r="P268">
        <v>19015</v>
      </c>
      <c r="Q268" t="str">
        <f>"38.319042"</f>
        <v>38.319042</v>
      </c>
      <c r="R268" t="str">
        <f>"23.783590"</f>
        <v>23.783590</v>
      </c>
      <c r="S268" t="s">
        <v>26</v>
      </c>
    </row>
    <row r="269" spans="1:19" x14ac:dyDescent="0.3">
      <c r="A269" t="s">
        <v>3237</v>
      </c>
      <c r="B269" t="s">
        <v>4585</v>
      </c>
      <c r="C269" t="s">
        <v>4587</v>
      </c>
      <c r="D269" t="s">
        <v>3245</v>
      </c>
      <c r="E269" t="s">
        <v>4586</v>
      </c>
      <c r="F269" t="s">
        <v>4586</v>
      </c>
      <c r="G269" t="s">
        <v>4586</v>
      </c>
      <c r="H269" t="s">
        <v>51</v>
      </c>
      <c r="I269" t="s">
        <v>52</v>
      </c>
      <c r="J269" t="str">
        <f>"0501487"</f>
        <v>0501487</v>
      </c>
      <c r="K269">
        <v>2108031524</v>
      </c>
      <c r="L269">
        <v>2108031524</v>
      </c>
      <c r="M269" t="s">
        <v>4588</v>
      </c>
      <c r="N269" t="s">
        <v>4589</v>
      </c>
      <c r="O269" t="s">
        <v>4590</v>
      </c>
      <c r="P269">
        <v>15236</v>
      </c>
      <c r="Q269" t="str">
        <f>"38.047823"</f>
        <v>38.047823</v>
      </c>
      <c r="R269" t="str">
        <f>"23.868375"</f>
        <v>23.868375</v>
      </c>
      <c r="S269" t="s">
        <v>26</v>
      </c>
    </row>
    <row r="270" spans="1:19" x14ac:dyDescent="0.3">
      <c r="A270" t="s">
        <v>3237</v>
      </c>
      <c r="B270" t="s">
        <v>4585</v>
      </c>
      <c r="C270" t="s">
        <v>4593</v>
      </c>
      <c r="D270" t="s">
        <v>3245</v>
      </c>
      <c r="E270" t="s">
        <v>4591</v>
      </c>
      <c r="F270" t="s">
        <v>4591</v>
      </c>
      <c r="G270" t="s">
        <v>4591</v>
      </c>
      <c r="H270" t="s">
        <v>51</v>
      </c>
      <c r="I270" t="s">
        <v>52</v>
      </c>
      <c r="J270" t="str">
        <f>"0501470"</f>
        <v>0501470</v>
      </c>
      <c r="K270">
        <v>2108027933</v>
      </c>
      <c r="L270">
        <v>2108027933</v>
      </c>
      <c r="M270" t="s">
        <v>4594</v>
      </c>
      <c r="N270" t="s">
        <v>4595</v>
      </c>
      <c r="O270" t="s">
        <v>4596</v>
      </c>
      <c r="P270">
        <v>15125</v>
      </c>
      <c r="Q270" t="str">
        <f>"38.049065"</f>
        <v>38.049065</v>
      </c>
      <c r="R270" t="str">
        <f>"23.815045"</f>
        <v>23.815045</v>
      </c>
      <c r="S270" t="s">
        <v>26</v>
      </c>
    </row>
    <row r="271" spans="1:19" x14ac:dyDescent="0.3">
      <c r="A271" t="s">
        <v>3237</v>
      </c>
      <c r="B271" t="s">
        <v>4585</v>
      </c>
      <c r="C271" t="s">
        <v>4598</v>
      </c>
      <c r="D271" t="s">
        <v>3245</v>
      </c>
      <c r="E271" t="s">
        <v>4591</v>
      </c>
      <c r="F271" t="s">
        <v>4591</v>
      </c>
      <c r="G271" t="s">
        <v>4591</v>
      </c>
      <c r="H271" t="s">
        <v>51</v>
      </c>
      <c r="I271" t="s">
        <v>52</v>
      </c>
      <c r="J271" t="str">
        <f>"0501471"</f>
        <v>0501471</v>
      </c>
      <c r="K271">
        <v>2106127266</v>
      </c>
      <c r="M271" t="s">
        <v>4599</v>
      </c>
      <c r="N271" t="s">
        <v>4600</v>
      </c>
      <c r="O271" t="s">
        <v>4601</v>
      </c>
      <c r="P271">
        <v>15122</v>
      </c>
      <c r="Q271" t="str">
        <f>"38.052433"</f>
        <v>38.052433</v>
      </c>
      <c r="R271" t="str">
        <f>"23.794713"</f>
        <v>23.794713</v>
      </c>
      <c r="S271" t="s">
        <v>26</v>
      </c>
    </row>
    <row r="272" spans="1:19" x14ac:dyDescent="0.3">
      <c r="A272" t="s">
        <v>3237</v>
      </c>
      <c r="B272" t="s">
        <v>4585</v>
      </c>
      <c r="C272" t="s">
        <v>4603</v>
      </c>
      <c r="D272" t="s">
        <v>3245</v>
      </c>
      <c r="E272" t="s">
        <v>4048</v>
      </c>
      <c r="F272" t="s">
        <v>4048</v>
      </c>
      <c r="G272" t="s">
        <v>4048</v>
      </c>
      <c r="H272" t="s">
        <v>51</v>
      </c>
      <c r="I272" t="s">
        <v>52</v>
      </c>
      <c r="J272" t="str">
        <f>"0501710"</f>
        <v>0501710</v>
      </c>
      <c r="K272">
        <v>2108015590</v>
      </c>
      <c r="L272">
        <v>2108084085</v>
      </c>
      <c r="M272" t="s">
        <v>4604</v>
      </c>
      <c r="N272" t="s">
        <v>4605</v>
      </c>
      <c r="O272" t="s">
        <v>4606</v>
      </c>
      <c r="P272">
        <v>14563</v>
      </c>
      <c r="Q272" t="str">
        <f>"38.078762"</f>
        <v>38.078762</v>
      </c>
      <c r="R272" t="str">
        <f>"23.818649"</f>
        <v>23.818649</v>
      </c>
      <c r="S272" t="s">
        <v>26</v>
      </c>
    </row>
    <row r="273" spans="1:19" x14ac:dyDescent="0.3">
      <c r="A273" t="s">
        <v>3237</v>
      </c>
      <c r="B273" t="s">
        <v>4585</v>
      </c>
      <c r="C273" t="s">
        <v>4608</v>
      </c>
      <c r="D273" t="s">
        <v>3245</v>
      </c>
      <c r="E273" t="s">
        <v>3246</v>
      </c>
      <c r="F273" t="s">
        <v>3246</v>
      </c>
      <c r="G273" t="s">
        <v>3246</v>
      </c>
      <c r="H273" t="s">
        <v>51</v>
      </c>
      <c r="I273" t="s">
        <v>184</v>
      </c>
      <c r="J273" t="str">
        <f>"0501750"</f>
        <v>0501750</v>
      </c>
      <c r="K273">
        <v>2102795716</v>
      </c>
      <c r="L273">
        <v>2102723153</v>
      </c>
      <c r="M273" t="s">
        <v>4609</v>
      </c>
      <c r="N273" t="s">
        <v>3249</v>
      </c>
      <c r="O273" t="s">
        <v>4610</v>
      </c>
      <c r="P273">
        <v>14232</v>
      </c>
      <c r="Q273" t="str">
        <f>"38.036249"</f>
        <v>38.036249</v>
      </c>
      <c r="R273" t="str">
        <f>"23.749900"</f>
        <v>23.749900</v>
      </c>
      <c r="S273" t="s">
        <v>26</v>
      </c>
    </row>
    <row r="274" spans="1:19" x14ac:dyDescent="0.3">
      <c r="A274" t="s">
        <v>3237</v>
      </c>
      <c r="B274" t="s">
        <v>4585</v>
      </c>
      <c r="C274" t="s">
        <v>4613</v>
      </c>
      <c r="D274" t="s">
        <v>3245</v>
      </c>
      <c r="E274" t="s">
        <v>4586</v>
      </c>
      <c r="F274" t="s">
        <v>4612</v>
      </c>
      <c r="G274" t="s">
        <v>4612</v>
      </c>
      <c r="H274" t="s">
        <v>51</v>
      </c>
      <c r="I274" t="s">
        <v>52</v>
      </c>
      <c r="J274" t="str">
        <f>"0501486"</f>
        <v>0501486</v>
      </c>
      <c r="K274">
        <v>2108043890</v>
      </c>
      <c r="L274">
        <v>2106138130</v>
      </c>
      <c r="M274" t="s">
        <v>4614</v>
      </c>
      <c r="N274" t="s">
        <v>4615</v>
      </c>
      <c r="O274" t="s">
        <v>4616</v>
      </c>
      <c r="P274">
        <v>15239</v>
      </c>
      <c r="Q274" t="str">
        <f>"38.053699"</f>
        <v>38.053699</v>
      </c>
      <c r="R274" t="str">
        <f>"23.855206"</f>
        <v>23.855206</v>
      </c>
      <c r="S274" t="s">
        <v>26</v>
      </c>
    </row>
    <row r="275" spans="1:19" x14ac:dyDescent="0.3">
      <c r="A275" t="s">
        <v>3237</v>
      </c>
      <c r="B275" t="s">
        <v>4585</v>
      </c>
      <c r="C275" t="s">
        <v>4640</v>
      </c>
      <c r="D275" t="s">
        <v>3245</v>
      </c>
      <c r="E275" t="s">
        <v>4618</v>
      </c>
      <c r="F275" t="s">
        <v>4618</v>
      </c>
      <c r="G275" t="s">
        <v>4618</v>
      </c>
      <c r="H275" t="s">
        <v>51</v>
      </c>
      <c r="I275" t="s">
        <v>52</v>
      </c>
      <c r="J275" t="str">
        <f>"0501708"</f>
        <v>0501708</v>
      </c>
      <c r="K275">
        <v>2102825545</v>
      </c>
      <c r="L275">
        <v>2102825545</v>
      </c>
      <c r="M275" t="s">
        <v>4641</v>
      </c>
      <c r="N275" t="s">
        <v>4642</v>
      </c>
      <c r="O275" t="s">
        <v>4643</v>
      </c>
      <c r="P275">
        <v>14122</v>
      </c>
      <c r="Q275" t="str">
        <f>"38.057151"</f>
        <v>38.057151</v>
      </c>
      <c r="R275" t="str">
        <f>"23.778674"</f>
        <v>23.778674</v>
      </c>
      <c r="S275" t="s">
        <v>26</v>
      </c>
    </row>
    <row r="276" spans="1:19" x14ac:dyDescent="0.3">
      <c r="A276" t="s">
        <v>3237</v>
      </c>
      <c r="B276" t="s">
        <v>4585</v>
      </c>
      <c r="C276" t="s">
        <v>4645</v>
      </c>
      <c r="D276" t="s">
        <v>3245</v>
      </c>
      <c r="E276" t="s">
        <v>4618</v>
      </c>
      <c r="F276" t="s">
        <v>4618</v>
      </c>
      <c r="G276" t="s">
        <v>4618</v>
      </c>
      <c r="H276" t="s">
        <v>51</v>
      </c>
      <c r="I276" t="s">
        <v>52</v>
      </c>
      <c r="J276" t="str">
        <f>"0501709"</f>
        <v>0501709</v>
      </c>
      <c r="K276">
        <v>2102829380</v>
      </c>
      <c r="L276">
        <v>2102826244</v>
      </c>
      <c r="M276" t="s">
        <v>4646</v>
      </c>
      <c r="N276" t="s">
        <v>4621</v>
      </c>
      <c r="O276" t="s">
        <v>4647</v>
      </c>
      <c r="P276">
        <v>14122</v>
      </c>
      <c r="Q276" t="str">
        <f>"38.049013"</f>
        <v>38.049013</v>
      </c>
      <c r="R276" t="str">
        <f>"23.760690"</f>
        <v>23.760690</v>
      </c>
      <c r="S276" t="s">
        <v>26</v>
      </c>
    </row>
    <row r="277" spans="1:19" x14ac:dyDescent="0.3">
      <c r="A277" t="s">
        <v>3237</v>
      </c>
      <c r="B277" t="s">
        <v>4585</v>
      </c>
      <c r="C277" t="s">
        <v>4808</v>
      </c>
      <c r="D277" t="s">
        <v>3245</v>
      </c>
      <c r="E277" t="s">
        <v>4586</v>
      </c>
      <c r="F277" t="s">
        <v>4807</v>
      </c>
      <c r="G277" t="s">
        <v>4807</v>
      </c>
      <c r="H277" t="s">
        <v>51</v>
      </c>
      <c r="I277" t="s">
        <v>52</v>
      </c>
      <c r="J277" t="str">
        <f>"0501467"</f>
        <v>0501467</v>
      </c>
      <c r="K277">
        <v>2108044824</v>
      </c>
      <c r="L277">
        <v>2108044837</v>
      </c>
      <c r="M277" t="s">
        <v>4809</v>
      </c>
      <c r="N277" t="s">
        <v>4810</v>
      </c>
      <c r="O277" t="s">
        <v>4811</v>
      </c>
      <c r="P277">
        <v>15127</v>
      </c>
      <c r="Q277" t="str">
        <f>"38.059843"</f>
        <v>38.059843</v>
      </c>
      <c r="R277" t="str">
        <f>"23.843621"</f>
        <v>23.843621</v>
      </c>
      <c r="S277" t="s">
        <v>26</v>
      </c>
    </row>
    <row r="278" spans="1:19" x14ac:dyDescent="0.3">
      <c r="A278" t="s">
        <v>3237</v>
      </c>
      <c r="B278" t="s">
        <v>4585</v>
      </c>
      <c r="C278" t="s">
        <v>4813</v>
      </c>
      <c r="D278" t="s">
        <v>3245</v>
      </c>
      <c r="E278" t="s">
        <v>4649</v>
      </c>
      <c r="F278" t="s">
        <v>4649</v>
      </c>
      <c r="G278" t="s">
        <v>4649</v>
      </c>
      <c r="H278" t="s">
        <v>51</v>
      </c>
      <c r="I278" t="s">
        <v>52</v>
      </c>
      <c r="J278" t="str">
        <f>"0501581"</f>
        <v>0501581</v>
      </c>
      <c r="K278">
        <v>2106856682</v>
      </c>
      <c r="L278">
        <v>2106856682</v>
      </c>
      <c r="M278" t="s">
        <v>4814</v>
      </c>
      <c r="N278" t="s">
        <v>4652</v>
      </c>
      <c r="O278" t="s">
        <v>4815</v>
      </c>
      <c r="P278">
        <v>15233</v>
      </c>
      <c r="Q278" t="str">
        <f>"38.023938"</f>
        <v>38.023938</v>
      </c>
      <c r="R278" t="str">
        <f>"23.796043"</f>
        <v>23.796043</v>
      </c>
      <c r="S278" t="s">
        <v>26</v>
      </c>
    </row>
    <row r="279" spans="1:19" x14ac:dyDescent="0.3">
      <c r="A279" t="s">
        <v>3237</v>
      </c>
      <c r="B279" t="s">
        <v>4585</v>
      </c>
      <c r="C279" t="s">
        <v>4816</v>
      </c>
      <c r="D279" t="s">
        <v>3245</v>
      </c>
      <c r="E279" t="s">
        <v>4682</v>
      </c>
      <c r="F279" t="s">
        <v>4682</v>
      </c>
      <c r="G279" t="s">
        <v>4682</v>
      </c>
      <c r="H279" t="s">
        <v>51</v>
      </c>
      <c r="I279" t="s">
        <v>52</v>
      </c>
      <c r="J279" t="str">
        <f>"0501480"</f>
        <v>0501480</v>
      </c>
      <c r="K279">
        <v>2108048107</v>
      </c>
      <c r="L279">
        <v>2108045794</v>
      </c>
      <c r="M279" t="s">
        <v>4817</v>
      </c>
      <c r="N279" t="s">
        <v>4685</v>
      </c>
      <c r="O279" t="s">
        <v>4818</v>
      </c>
      <c r="P279">
        <v>15235</v>
      </c>
      <c r="Q279" t="str">
        <f>"38.033707"</f>
        <v>38.033707</v>
      </c>
      <c r="R279" t="str">
        <f>"23.837120"</f>
        <v>23.837120</v>
      </c>
      <c r="S279" t="s">
        <v>26</v>
      </c>
    </row>
    <row r="280" spans="1:19" x14ac:dyDescent="0.3">
      <c r="A280" t="s">
        <v>3237</v>
      </c>
      <c r="B280" t="s">
        <v>4585</v>
      </c>
      <c r="C280" t="s">
        <v>4823</v>
      </c>
      <c r="D280" t="s">
        <v>3245</v>
      </c>
      <c r="E280" t="s">
        <v>152</v>
      </c>
      <c r="F280" t="s">
        <v>152</v>
      </c>
      <c r="G280" t="s">
        <v>152</v>
      </c>
      <c r="H280" t="s">
        <v>51</v>
      </c>
      <c r="I280" t="s">
        <v>52</v>
      </c>
      <c r="J280" t="str">
        <f>"0501826"</f>
        <v>0501826</v>
      </c>
      <c r="K280">
        <v>2106081930</v>
      </c>
      <c r="L280">
        <v>2106084329</v>
      </c>
      <c r="M280" t="s">
        <v>4824</v>
      </c>
      <c r="N280" t="s">
        <v>4825</v>
      </c>
      <c r="O280" t="s">
        <v>4826</v>
      </c>
      <c r="P280">
        <v>15343</v>
      </c>
      <c r="Q280" t="str">
        <f>"38.014009"</f>
        <v>38.014009</v>
      </c>
      <c r="R280" t="str">
        <f>"23.824264"</f>
        <v>23.824264</v>
      </c>
      <c r="S280" t="s">
        <v>26</v>
      </c>
    </row>
    <row r="281" spans="1:19" x14ac:dyDescent="0.3">
      <c r="A281" t="s">
        <v>3237</v>
      </c>
      <c r="B281" t="s">
        <v>4585</v>
      </c>
      <c r="C281" t="s">
        <v>4828</v>
      </c>
      <c r="D281" t="s">
        <v>3245</v>
      </c>
      <c r="E281" t="s">
        <v>3246</v>
      </c>
      <c r="F281" t="s">
        <v>3246</v>
      </c>
      <c r="G281" t="s">
        <v>3246</v>
      </c>
      <c r="H281" t="s">
        <v>51</v>
      </c>
      <c r="I281" t="s">
        <v>52</v>
      </c>
      <c r="J281" t="str">
        <f>"0501758"</f>
        <v>0501758</v>
      </c>
      <c r="K281">
        <v>2102790695</v>
      </c>
      <c r="L281">
        <v>2102790695</v>
      </c>
      <c r="M281" t="s">
        <v>4829</v>
      </c>
      <c r="N281" t="s">
        <v>4830</v>
      </c>
      <c r="O281" t="s">
        <v>4831</v>
      </c>
      <c r="P281">
        <v>14233</v>
      </c>
      <c r="Q281" t="str">
        <f>"38.031578"</f>
        <v>38.031578</v>
      </c>
      <c r="R281" t="str">
        <f>"23.762795"</f>
        <v>23.762795</v>
      </c>
      <c r="S281" t="s">
        <v>26</v>
      </c>
    </row>
    <row r="282" spans="1:19" x14ac:dyDescent="0.3">
      <c r="A282" t="s">
        <v>3237</v>
      </c>
      <c r="B282" t="s">
        <v>4585</v>
      </c>
      <c r="C282" t="s">
        <v>4833</v>
      </c>
      <c r="D282" t="s">
        <v>3245</v>
      </c>
      <c r="E282" t="s">
        <v>4832</v>
      </c>
      <c r="F282" t="s">
        <v>4832</v>
      </c>
      <c r="G282" t="s">
        <v>4832</v>
      </c>
      <c r="H282" t="s">
        <v>51</v>
      </c>
      <c r="I282" t="s">
        <v>52</v>
      </c>
      <c r="J282" t="str">
        <f>"0501752"</f>
        <v>0501752</v>
      </c>
      <c r="K282">
        <v>2102813330</v>
      </c>
      <c r="L282">
        <v>2102813330</v>
      </c>
      <c r="M282" t="s">
        <v>4834</v>
      </c>
      <c r="N282" t="s">
        <v>4835</v>
      </c>
      <c r="O282" t="s">
        <v>4836</v>
      </c>
      <c r="P282">
        <v>14451</v>
      </c>
      <c r="Q282" t="str">
        <f>"38.059896"</f>
        <v>38.059896</v>
      </c>
      <c r="R282" t="str">
        <f>"23.754007"</f>
        <v>23.754007</v>
      </c>
      <c r="S282" t="s">
        <v>26</v>
      </c>
    </row>
    <row r="283" spans="1:19" x14ac:dyDescent="0.3">
      <c r="A283" t="s">
        <v>3237</v>
      </c>
      <c r="B283" t="s">
        <v>4585</v>
      </c>
      <c r="C283" t="s">
        <v>4838</v>
      </c>
      <c r="D283" t="s">
        <v>3245</v>
      </c>
      <c r="E283" t="s">
        <v>4768</v>
      </c>
      <c r="F283" t="s">
        <v>4766</v>
      </c>
      <c r="G283" t="s">
        <v>4766</v>
      </c>
      <c r="H283" t="s">
        <v>51</v>
      </c>
      <c r="I283" t="s">
        <v>52</v>
      </c>
      <c r="J283" t="str">
        <f>"0501760"</f>
        <v>0501760</v>
      </c>
      <c r="K283">
        <v>2106537178</v>
      </c>
      <c r="L283">
        <v>2106517606</v>
      </c>
      <c r="M283" t="s">
        <v>4839</v>
      </c>
      <c r="N283" t="s">
        <v>4771</v>
      </c>
      <c r="O283" t="s">
        <v>4840</v>
      </c>
      <c r="P283">
        <v>15561</v>
      </c>
      <c r="Q283" t="str">
        <f>"37.998715"</f>
        <v>37.998715</v>
      </c>
      <c r="R283" t="str">
        <f>"23.797728"</f>
        <v>23.797728</v>
      </c>
      <c r="S283" t="s">
        <v>26</v>
      </c>
    </row>
    <row r="284" spans="1:19" x14ac:dyDescent="0.3">
      <c r="A284" t="s">
        <v>3237</v>
      </c>
      <c r="B284" t="s">
        <v>4585</v>
      </c>
      <c r="C284" t="s">
        <v>4841</v>
      </c>
      <c r="D284" t="s">
        <v>3245</v>
      </c>
      <c r="E284" t="s">
        <v>152</v>
      </c>
      <c r="F284" t="s">
        <v>152</v>
      </c>
      <c r="G284" t="s">
        <v>152</v>
      </c>
      <c r="H284" t="s">
        <v>51</v>
      </c>
      <c r="I284" t="s">
        <v>3951</v>
      </c>
      <c r="J284" t="str">
        <f>"0501718"</f>
        <v>0501718</v>
      </c>
      <c r="K284">
        <v>2106012946</v>
      </c>
      <c r="L284">
        <v>2106012946</v>
      </c>
      <c r="M284" t="s">
        <v>4842</v>
      </c>
      <c r="N284" t="s">
        <v>4693</v>
      </c>
      <c r="O284" t="s">
        <v>4658</v>
      </c>
      <c r="P284">
        <v>15343</v>
      </c>
      <c r="Q284" t="str">
        <f>"38.021683"</f>
        <v>38.021683</v>
      </c>
      <c r="R284" t="str">
        <f>"23.832532"</f>
        <v>23.832532</v>
      </c>
      <c r="S284" t="s">
        <v>26</v>
      </c>
    </row>
    <row r="285" spans="1:19" x14ac:dyDescent="0.3">
      <c r="A285" t="s">
        <v>3237</v>
      </c>
      <c r="B285" t="s">
        <v>4585</v>
      </c>
      <c r="C285" t="s">
        <v>4843</v>
      </c>
      <c r="D285" t="s">
        <v>3245</v>
      </c>
      <c r="E285" t="s">
        <v>4591</v>
      </c>
      <c r="F285" t="s">
        <v>4591</v>
      </c>
      <c r="G285" t="s">
        <v>4591</v>
      </c>
      <c r="H285" t="s">
        <v>51</v>
      </c>
      <c r="I285" t="s">
        <v>52</v>
      </c>
      <c r="J285" t="str">
        <f>"0501476"</f>
        <v>0501476</v>
      </c>
      <c r="K285">
        <v>2106841367</v>
      </c>
      <c r="L285">
        <v>2106836121</v>
      </c>
      <c r="M285" t="s">
        <v>4844</v>
      </c>
      <c r="N285" t="s">
        <v>4845</v>
      </c>
      <c r="O285" t="s">
        <v>4634</v>
      </c>
      <c r="P285">
        <v>15123</v>
      </c>
      <c r="Q285" t="str">
        <f>"38.031266"</f>
        <v>38.031266</v>
      </c>
      <c r="R285" t="str">
        <f>"23.786831"</f>
        <v>23.786831</v>
      </c>
      <c r="S285" t="s">
        <v>26</v>
      </c>
    </row>
    <row r="286" spans="1:19" x14ac:dyDescent="0.3">
      <c r="A286" t="s">
        <v>3237</v>
      </c>
      <c r="B286" t="s">
        <v>4585</v>
      </c>
      <c r="C286" t="s">
        <v>4846</v>
      </c>
      <c r="D286" t="s">
        <v>3245</v>
      </c>
      <c r="E286" t="s">
        <v>4682</v>
      </c>
      <c r="F286" t="s">
        <v>4682</v>
      </c>
      <c r="G286" t="s">
        <v>4682</v>
      </c>
      <c r="H286" t="s">
        <v>51</v>
      </c>
      <c r="I286" t="s">
        <v>52</v>
      </c>
      <c r="J286" t="str">
        <f>"0501481"</f>
        <v>0501481</v>
      </c>
      <c r="K286">
        <v>2106132621</v>
      </c>
      <c r="L286">
        <v>2108042788</v>
      </c>
      <c r="M286" t="s">
        <v>4847</v>
      </c>
      <c r="N286" t="s">
        <v>4848</v>
      </c>
      <c r="O286" t="s">
        <v>4849</v>
      </c>
      <c r="P286">
        <v>15235</v>
      </c>
      <c r="Q286" t="str">
        <f>"38.040355"</f>
        <v>38.040355</v>
      </c>
      <c r="R286" t="str">
        <f>"23.839941"</f>
        <v>23.839941</v>
      </c>
      <c r="S286" t="s">
        <v>26</v>
      </c>
    </row>
    <row r="287" spans="1:19" x14ac:dyDescent="0.3">
      <c r="A287" t="s">
        <v>3237</v>
      </c>
      <c r="B287" t="s">
        <v>4585</v>
      </c>
      <c r="C287" t="s">
        <v>4850</v>
      </c>
      <c r="D287" t="s">
        <v>3245</v>
      </c>
      <c r="E287" t="s">
        <v>4586</v>
      </c>
      <c r="F287" t="s">
        <v>4807</v>
      </c>
      <c r="G287" t="s">
        <v>4807</v>
      </c>
      <c r="H287" t="s">
        <v>51</v>
      </c>
      <c r="I287" t="s">
        <v>52</v>
      </c>
      <c r="J287" t="str">
        <f>"0501466"</f>
        <v>0501466</v>
      </c>
      <c r="K287">
        <v>2108043321</v>
      </c>
      <c r="L287">
        <v>2108043858</v>
      </c>
      <c r="M287" t="s">
        <v>4851</v>
      </c>
      <c r="N287" t="s">
        <v>4807</v>
      </c>
      <c r="O287" t="s">
        <v>4852</v>
      </c>
      <c r="P287">
        <v>15127</v>
      </c>
      <c r="Q287" t="str">
        <f>"38.048398"</f>
        <v>38.048398</v>
      </c>
      <c r="R287" t="str">
        <f>"23.839875"</f>
        <v>23.839875</v>
      </c>
      <c r="S287" t="s">
        <v>26</v>
      </c>
    </row>
    <row r="288" spans="1:19" x14ac:dyDescent="0.3">
      <c r="A288" t="s">
        <v>3237</v>
      </c>
      <c r="B288" t="s">
        <v>4585</v>
      </c>
      <c r="C288" t="s">
        <v>4853</v>
      </c>
      <c r="D288" t="s">
        <v>3245</v>
      </c>
      <c r="E288" t="s">
        <v>152</v>
      </c>
      <c r="F288" t="s">
        <v>152</v>
      </c>
      <c r="G288" t="s">
        <v>152</v>
      </c>
      <c r="H288" t="s">
        <v>51</v>
      </c>
      <c r="I288" t="s">
        <v>52</v>
      </c>
      <c r="J288" t="str">
        <f>"0501820"</f>
        <v>0501820</v>
      </c>
      <c r="K288">
        <v>2106549970</v>
      </c>
      <c r="L288">
        <v>2106545429</v>
      </c>
      <c r="M288" t="s">
        <v>4854</v>
      </c>
      <c r="N288" t="s">
        <v>4693</v>
      </c>
      <c r="O288" t="s">
        <v>4855</v>
      </c>
      <c r="P288">
        <v>15341</v>
      </c>
      <c r="Q288" t="str">
        <f>"38.006641"</f>
        <v>38.006641</v>
      </c>
      <c r="R288" t="str">
        <f>"23.813801"</f>
        <v>23.813801</v>
      </c>
      <c r="S288" t="s">
        <v>26</v>
      </c>
    </row>
    <row r="289" spans="1:19" x14ac:dyDescent="0.3">
      <c r="A289" t="s">
        <v>3237</v>
      </c>
      <c r="B289" t="s">
        <v>4585</v>
      </c>
      <c r="C289" t="s">
        <v>4857</v>
      </c>
      <c r="D289" t="s">
        <v>3245</v>
      </c>
      <c r="E289" t="s">
        <v>4832</v>
      </c>
      <c r="F289" t="s">
        <v>4832</v>
      </c>
      <c r="G289" t="s">
        <v>4832</v>
      </c>
      <c r="H289" t="s">
        <v>51</v>
      </c>
      <c r="I289" t="s">
        <v>52</v>
      </c>
      <c r="J289" t="str">
        <f>"0501751"</f>
        <v>0501751</v>
      </c>
      <c r="K289">
        <v>2102856984</v>
      </c>
      <c r="L289">
        <v>2102856985</v>
      </c>
      <c r="M289" t="s">
        <v>4858</v>
      </c>
      <c r="N289" t="s">
        <v>4859</v>
      </c>
      <c r="O289" t="s">
        <v>4860</v>
      </c>
      <c r="P289">
        <v>14452</v>
      </c>
      <c r="Q289" t="str">
        <f>"38.063286"</f>
        <v>38.063286</v>
      </c>
      <c r="R289" t="str">
        <f>"23.770564"</f>
        <v>23.770564</v>
      </c>
      <c r="S289" t="s">
        <v>26</v>
      </c>
    </row>
    <row r="290" spans="1:19" x14ac:dyDescent="0.3">
      <c r="A290" t="s">
        <v>3237</v>
      </c>
      <c r="B290" t="s">
        <v>4585</v>
      </c>
      <c r="C290" t="s">
        <v>4862</v>
      </c>
      <c r="D290" t="s">
        <v>3245</v>
      </c>
      <c r="E290" t="s">
        <v>4649</v>
      </c>
      <c r="F290" t="s">
        <v>4649</v>
      </c>
      <c r="G290" t="s">
        <v>4649</v>
      </c>
      <c r="H290" t="s">
        <v>51</v>
      </c>
      <c r="I290" t="s">
        <v>52</v>
      </c>
      <c r="J290" t="str">
        <f>"0501587"</f>
        <v>0501587</v>
      </c>
      <c r="K290">
        <v>2106856680</v>
      </c>
      <c r="L290">
        <v>2106856680</v>
      </c>
      <c r="M290" t="s">
        <v>4863</v>
      </c>
      <c r="N290" t="s">
        <v>4652</v>
      </c>
      <c r="O290" t="s">
        <v>4864</v>
      </c>
      <c r="P290">
        <v>15233</v>
      </c>
      <c r="Q290" t="str">
        <f>"38.031839"</f>
        <v>38.031839</v>
      </c>
      <c r="R290" t="str">
        <f>"23.799088"</f>
        <v>23.799088</v>
      </c>
      <c r="S290" t="s">
        <v>26</v>
      </c>
    </row>
    <row r="291" spans="1:19" x14ac:dyDescent="0.3">
      <c r="A291" t="s">
        <v>3237</v>
      </c>
      <c r="B291" t="s">
        <v>4585</v>
      </c>
      <c r="C291" t="s">
        <v>4866</v>
      </c>
      <c r="D291" t="s">
        <v>3245</v>
      </c>
      <c r="E291" t="s">
        <v>4682</v>
      </c>
      <c r="F291" t="s">
        <v>4682</v>
      </c>
      <c r="G291" t="s">
        <v>4682</v>
      </c>
      <c r="H291" t="s">
        <v>51</v>
      </c>
      <c r="I291" t="s">
        <v>52</v>
      </c>
      <c r="J291" t="str">
        <f>"0501482"</f>
        <v>0501482</v>
      </c>
      <c r="K291">
        <v>2108103398</v>
      </c>
      <c r="L291">
        <v>2108104819</v>
      </c>
      <c r="M291" t="s">
        <v>4867</v>
      </c>
      <c r="N291" t="s">
        <v>4685</v>
      </c>
      <c r="O291" t="s">
        <v>4868</v>
      </c>
      <c r="P291">
        <v>15235</v>
      </c>
      <c r="Q291" t="str">
        <f>"38.044278"</f>
        <v>38.044278</v>
      </c>
      <c r="R291" t="str">
        <f>"23.845244"</f>
        <v>23.845244</v>
      </c>
      <c r="S291" t="s">
        <v>26</v>
      </c>
    </row>
    <row r="292" spans="1:19" x14ac:dyDescent="0.3">
      <c r="A292" t="s">
        <v>3237</v>
      </c>
      <c r="B292" t="s">
        <v>4585</v>
      </c>
      <c r="C292" t="s">
        <v>4870</v>
      </c>
      <c r="D292" t="s">
        <v>3245</v>
      </c>
      <c r="E292" t="s">
        <v>4670</v>
      </c>
      <c r="F292" t="s">
        <v>3344</v>
      </c>
      <c r="G292" t="s">
        <v>3344</v>
      </c>
      <c r="H292" t="s">
        <v>51</v>
      </c>
      <c r="I292" t="s">
        <v>52</v>
      </c>
      <c r="J292" t="str">
        <f>"0501772"</f>
        <v>0501772</v>
      </c>
      <c r="K292">
        <v>2106724464</v>
      </c>
      <c r="L292">
        <v>2106724106</v>
      </c>
      <c r="M292" t="s">
        <v>4871</v>
      </c>
      <c r="N292" t="s">
        <v>4788</v>
      </c>
      <c r="O292" t="s">
        <v>4872</v>
      </c>
      <c r="P292">
        <v>15452</v>
      </c>
      <c r="Q292" t="str">
        <f>"38.017918"</f>
        <v>38.017918</v>
      </c>
      <c r="R292" t="str">
        <f>"23.776506"</f>
        <v>23.776506</v>
      </c>
      <c r="S292" t="s">
        <v>26</v>
      </c>
    </row>
    <row r="293" spans="1:19" x14ac:dyDescent="0.3">
      <c r="A293" t="s">
        <v>3237</v>
      </c>
      <c r="B293" t="s">
        <v>4585</v>
      </c>
      <c r="C293" t="s">
        <v>4874</v>
      </c>
      <c r="D293" t="s">
        <v>3245</v>
      </c>
      <c r="E293" t="s">
        <v>4649</v>
      </c>
      <c r="F293" t="s">
        <v>4649</v>
      </c>
      <c r="G293" t="s">
        <v>4649</v>
      </c>
      <c r="H293" t="s">
        <v>51</v>
      </c>
      <c r="I293" t="s">
        <v>52</v>
      </c>
      <c r="J293" t="str">
        <f>"0501589"</f>
        <v>0501589</v>
      </c>
      <c r="K293">
        <v>2106755866</v>
      </c>
      <c r="L293">
        <v>2106721351</v>
      </c>
      <c r="M293" t="s">
        <v>4875</v>
      </c>
      <c r="N293" t="s">
        <v>4652</v>
      </c>
      <c r="O293" t="s">
        <v>4876</v>
      </c>
      <c r="P293">
        <v>15231</v>
      </c>
      <c r="Q293" t="str">
        <f>"38.010794"</f>
        <v>38.010794</v>
      </c>
      <c r="R293" t="str">
        <f>"23.799952"</f>
        <v>23.799952</v>
      </c>
      <c r="S293" t="s">
        <v>26</v>
      </c>
    </row>
    <row r="294" spans="1:19" x14ac:dyDescent="0.3">
      <c r="A294" t="s">
        <v>3237</v>
      </c>
      <c r="B294" t="s">
        <v>4585</v>
      </c>
      <c r="C294" t="s">
        <v>4878</v>
      </c>
      <c r="D294" t="s">
        <v>3245</v>
      </c>
      <c r="E294" t="s">
        <v>4670</v>
      </c>
      <c r="F294" t="s">
        <v>4671</v>
      </c>
      <c r="G294" t="s">
        <v>4671</v>
      </c>
      <c r="H294" t="s">
        <v>51</v>
      </c>
      <c r="I294" t="s">
        <v>52</v>
      </c>
      <c r="J294" t="str">
        <f>"0501770"</f>
        <v>0501770</v>
      </c>
      <c r="K294">
        <v>2106815963</v>
      </c>
      <c r="L294">
        <v>2106815963</v>
      </c>
      <c r="M294" t="s">
        <v>4879</v>
      </c>
      <c r="N294" t="s">
        <v>4674</v>
      </c>
      <c r="O294" t="s">
        <v>4880</v>
      </c>
      <c r="P294">
        <v>15237</v>
      </c>
      <c r="Q294" t="str">
        <f>"38.022130"</f>
        <v>38.022130</v>
      </c>
      <c r="R294" t="str">
        <f>"23.782108"</f>
        <v>23.782108</v>
      </c>
      <c r="S294" t="s">
        <v>26</v>
      </c>
    </row>
    <row r="295" spans="1:19" x14ac:dyDescent="0.3">
      <c r="A295" t="s">
        <v>3237</v>
      </c>
      <c r="B295" t="s">
        <v>4585</v>
      </c>
      <c r="C295" t="s">
        <v>4881</v>
      </c>
      <c r="D295" t="s">
        <v>3245</v>
      </c>
      <c r="E295" t="s">
        <v>4832</v>
      </c>
      <c r="F295" t="s">
        <v>4832</v>
      </c>
      <c r="G295" t="s">
        <v>4832</v>
      </c>
      <c r="H295" t="s">
        <v>51</v>
      </c>
      <c r="I295" t="s">
        <v>52</v>
      </c>
      <c r="J295" t="str">
        <f>"0501753"</f>
        <v>0501753</v>
      </c>
      <c r="K295">
        <v>2102833700</v>
      </c>
      <c r="L295">
        <v>2102829245</v>
      </c>
      <c r="M295" t="s">
        <v>4882</v>
      </c>
      <c r="N295" t="s">
        <v>4835</v>
      </c>
      <c r="O295" t="s">
        <v>4883</v>
      </c>
      <c r="P295">
        <v>14451</v>
      </c>
      <c r="Q295" t="str">
        <f>"38.056786"</f>
        <v>38.056786</v>
      </c>
      <c r="R295" t="str">
        <f>"23.766180"</f>
        <v>23.766180</v>
      </c>
      <c r="S295" t="s">
        <v>26</v>
      </c>
    </row>
    <row r="296" spans="1:19" x14ac:dyDescent="0.3">
      <c r="A296" t="s">
        <v>3237</v>
      </c>
      <c r="B296" t="s">
        <v>4585</v>
      </c>
      <c r="C296" t="s">
        <v>4885</v>
      </c>
      <c r="D296" t="s">
        <v>3245</v>
      </c>
      <c r="E296" t="s">
        <v>4649</v>
      </c>
      <c r="F296" t="s">
        <v>4649</v>
      </c>
      <c r="G296" t="s">
        <v>4649</v>
      </c>
      <c r="H296" t="s">
        <v>51</v>
      </c>
      <c r="I296" t="s">
        <v>52</v>
      </c>
      <c r="J296" t="str">
        <f>"0501588"</f>
        <v>0501588</v>
      </c>
      <c r="K296">
        <v>2106832626</v>
      </c>
      <c r="L296">
        <v>2106832626</v>
      </c>
      <c r="M296" t="s">
        <v>4886</v>
      </c>
      <c r="N296" t="s">
        <v>4649</v>
      </c>
      <c r="O296" t="s">
        <v>4887</v>
      </c>
      <c r="P296">
        <v>15234</v>
      </c>
      <c r="Q296" t="str">
        <f>"38.024182"</f>
        <v>38.024182</v>
      </c>
      <c r="R296" t="str">
        <f>"23.821238"</f>
        <v>23.821238</v>
      </c>
      <c r="S296" t="s">
        <v>26</v>
      </c>
    </row>
    <row r="297" spans="1:19" x14ac:dyDescent="0.3">
      <c r="A297" t="s">
        <v>3237</v>
      </c>
      <c r="B297" t="s">
        <v>4585</v>
      </c>
      <c r="C297" t="s">
        <v>4888</v>
      </c>
      <c r="D297" t="s">
        <v>3245</v>
      </c>
      <c r="E297" t="s">
        <v>4048</v>
      </c>
      <c r="F297" t="s">
        <v>4048</v>
      </c>
      <c r="G297" t="s">
        <v>4048</v>
      </c>
      <c r="H297" t="s">
        <v>51</v>
      </c>
      <c r="I297" t="s">
        <v>52</v>
      </c>
      <c r="J297" t="str">
        <f>"0501711"</f>
        <v>0501711</v>
      </c>
      <c r="K297">
        <v>2108019742</v>
      </c>
      <c r="L297">
        <v>2108081215</v>
      </c>
      <c r="M297" t="s">
        <v>4889</v>
      </c>
      <c r="N297" t="s">
        <v>4048</v>
      </c>
      <c r="O297" t="s">
        <v>4761</v>
      </c>
      <c r="P297">
        <v>14561</v>
      </c>
      <c r="Q297" t="str">
        <f>"38.076214"</f>
        <v>38.076214</v>
      </c>
      <c r="R297" t="str">
        <f>"23.798187"</f>
        <v>23.798187</v>
      </c>
      <c r="S297" t="s">
        <v>26</v>
      </c>
    </row>
    <row r="298" spans="1:19" x14ac:dyDescent="0.3">
      <c r="A298" t="s">
        <v>3237</v>
      </c>
      <c r="B298" t="s">
        <v>4585</v>
      </c>
      <c r="C298" t="s">
        <v>4890</v>
      </c>
      <c r="D298" t="s">
        <v>3245</v>
      </c>
      <c r="E298" t="s">
        <v>4591</v>
      </c>
      <c r="F298" t="s">
        <v>4591</v>
      </c>
      <c r="G298" t="s">
        <v>4591</v>
      </c>
      <c r="H298" t="s">
        <v>51</v>
      </c>
      <c r="I298" t="s">
        <v>52</v>
      </c>
      <c r="J298" t="str">
        <f>"0501460"</f>
        <v>0501460</v>
      </c>
      <c r="K298">
        <v>2106140923</v>
      </c>
      <c r="L298">
        <v>2108027858</v>
      </c>
      <c r="M298" t="s">
        <v>4891</v>
      </c>
      <c r="N298" t="s">
        <v>4591</v>
      </c>
      <c r="O298" t="s">
        <v>4892</v>
      </c>
      <c r="P298">
        <v>15124</v>
      </c>
      <c r="Q298" t="str">
        <f>"38.052727"</f>
        <v>38.052727</v>
      </c>
      <c r="R298" t="str">
        <f>"23.810534"</f>
        <v>23.810534</v>
      </c>
      <c r="S298" t="s">
        <v>26</v>
      </c>
    </row>
    <row r="299" spans="1:19" x14ac:dyDescent="0.3">
      <c r="A299" t="s">
        <v>3237</v>
      </c>
      <c r="B299" t="s">
        <v>4585</v>
      </c>
      <c r="C299" t="s">
        <v>4897</v>
      </c>
      <c r="D299" t="s">
        <v>3245</v>
      </c>
      <c r="E299" t="s">
        <v>152</v>
      </c>
      <c r="F299" t="s">
        <v>152</v>
      </c>
      <c r="G299" t="s">
        <v>152</v>
      </c>
      <c r="H299" t="s">
        <v>51</v>
      </c>
      <c r="I299" t="s">
        <v>52</v>
      </c>
      <c r="J299" t="str">
        <f>"0501821"</f>
        <v>0501821</v>
      </c>
      <c r="K299">
        <v>2106080176</v>
      </c>
      <c r="L299">
        <v>2106016113</v>
      </c>
      <c r="M299" t="s">
        <v>4898</v>
      </c>
      <c r="N299" t="s">
        <v>4693</v>
      </c>
      <c r="O299" t="s">
        <v>4899</v>
      </c>
      <c r="P299">
        <v>15341</v>
      </c>
      <c r="Q299" t="str">
        <f>"38.003218"</f>
        <v>38.003218</v>
      </c>
      <c r="R299" t="str">
        <f>"23.823983"</f>
        <v>23.823983</v>
      </c>
      <c r="S299" t="s">
        <v>26</v>
      </c>
    </row>
    <row r="300" spans="1:19" x14ac:dyDescent="0.3">
      <c r="A300" t="s">
        <v>3237</v>
      </c>
      <c r="B300" t="s">
        <v>4585</v>
      </c>
      <c r="C300" t="s">
        <v>4901</v>
      </c>
      <c r="D300" t="s">
        <v>3245</v>
      </c>
      <c r="E300" t="s">
        <v>4649</v>
      </c>
      <c r="F300" t="s">
        <v>4649</v>
      </c>
      <c r="G300" t="s">
        <v>4649</v>
      </c>
      <c r="H300" t="s">
        <v>51</v>
      </c>
      <c r="I300" t="s">
        <v>52</v>
      </c>
      <c r="J300" t="str">
        <f>"0501570"</f>
        <v>0501570</v>
      </c>
      <c r="K300">
        <v>2106813735</v>
      </c>
      <c r="L300">
        <v>2106847290</v>
      </c>
      <c r="M300" t="s">
        <v>4902</v>
      </c>
      <c r="N300" t="s">
        <v>4649</v>
      </c>
      <c r="O300" t="s">
        <v>4903</v>
      </c>
      <c r="P300">
        <v>15234</v>
      </c>
      <c r="Q300" t="str">
        <f>"38.021266"</f>
        <v>38.021266</v>
      </c>
      <c r="R300" t="str">
        <f>"23.808291"</f>
        <v>23.808291</v>
      </c>
      <c r="S300" t="s">
        <v>26</v>
      </c>
    </row>
    <row r="301" spans="1:19" x14ac:dyDescent="0.3">
      <c r="A301" t="s">
        <v>3237</v>
      </c>
      <c r="B301" t="s">
        <v>4585</v>
      </c>
      <c r="C301" t="s">
        <v>4904</v>
      </c>
      <c r="D301" t="s">
        <v>3245</v>
      </c>
      <c r="E301" t="s">
        <v>3246</v>
      </c>
      <c r="F301" t="s">
        <v>3246</v>
      </c>
      <c r="G301" t="s">
        <v>3246</v>
      </c>
      <c r="H301" t="s">
        <v>51</v>
      </c>
      <c r="I301" t="s">
        <v>52</v>
      </c>
      <c r="J301" t="str">
        <f>"0501755"</f>
        <v>0501755</v>
      </c>
      <c r="K301">
        <v>2102795827</v>
      </c>
      <c r="L301">
        <v>2102795827</v>
      </c>
      <c r="M301" t="s">
        <v>4905</v>
      </c>
      <c r="N301" t="s">
        <v>3246</v>
      </c>
      <c r="O301" t="s">
        <v>4626</v>
      </c>
      <c r="P301">
        <v>14235</v>
      </c>
      <c r="Q301" t="str">
        <f>"38.036836"</f>
        <v>38.036836</v>
      </c>
      <c r="R301" t="str">
        <f>"23.779292"</f>
        <v>23.779292</v>
      </c>
      <c r="S301" t="s">
        <v>26</v>
      </c>
    </row>
    <row r="302" spans="1:19" x14ac:dyDescent="0.3">
      <c r="A302" t="s">
        <v>3237</v>
      </c>
      <c r="B302" t="s">
        <v>4585</v>
      </c>
      <c r="C302" t="s">
        <v>4906</v>
      </c>
      <c r="D302" t="s">
        <v>3245</v>
      </c>
      <c r="E302" t="s">
        <v>4618</v>
      </c>
      <c r="F302" t="s">
        <v>4618</v>
      </c>
      <c r="G302" t="s">
        <v>4618</v>
      </c>
      <c r="H302" t="s">
        <v>51</v>
      </c>
      <c r="I302" t="s">
        <v>52</v>
      </c>
      <c r="J302" t="str">
        <f>"0501707"</f>
        <v>0501707</v>
      </c>
      <c r="K302">
        <v>2102795971</v>
      </c>
      <c r="L302">
        <v>2102772182</v>
      </c>
      <c r="M302" t="s">
        <v>4907</v>
      </c>
      <c r="N302" t="s">
        <v>4621</v>
      </c>
      <c r="O302" t="s">
        <v>4908</v>
      </c>
      <c r="P302">
        <v>14121</v>
      </c>
      <c r="Q302" t="str">
        <f>"38.044731"</f>
        <v>38.044731</v>
      </c>
      <c r="R302" t="str">
        <f>"23.776185"</f>
        <v>23.776185</v>
      </c>
      <c r="S302" t="s">
        <v>26</v>
      </c>
    </row>
    <row r="303" spans="1:19" x14ac:dyDescent="0.3">
      <c r="A303" t="s">
        <v>3237</v>
      </c>
      <c r="B303" t="s">
        <v>4585</v>
      </c>
      <c r="C303" t="s">
        <v>4914</v>
      </c>
      <c r="D303" t="s">
        <v>3245</v>
      </c>
      <c r="E303" t="s">
        <v>152</v>
      </c>
      <c r="F303" t="s">
        <v>152</v>
      </c>
      <c r="G303" t="s">
        <v>152</v>
      </c>
      <c r="H303" t="s">
        <v>51</v>
      </c>
      <c r="I303" t="s">
        <v>52</v>
      </c>
      <c r="J303" t="str">
        <f>"0501828"</f>
        <v>0501828</v>
      </c>
      <c r="K303">
        <v>2106528894</v>
      </c>
      <c r="L303">
        <v>2106528894</v>
      </c>
      <c r="M303" t="s">
        <v>4915</v>
      </c>
      <c r="N303" t="s">
        <v>4693</v>
      </c>
      <c r="O303" t="s">
        <v>4916</v>
      </c>
      <c r="P303">
        <v>15341</v>
      </c>
      <c r="Q303" t="str">
        <f>"38.004356"</f>
        <v>38.004356</v>
      </c>
      <c r="R303" t="str">
        <f>"23.808193"</f>
        <v>23.808193</v>
      </c>
      <c r="S303" t="s">
        <v>26</v>
      </c>
    </row>
    <row r="304" spans="1:19" x14ac:dyDescent="0.3">
      <c r="A304" t="s">
        <v>3237</v>
      </c>
      <c r="B304" t="s">
        <v>4585</v>
      </c>
      <c r="C304" t="s">
        <v>4919</v>
      </c>
      <c r="D304" t="s">
        <v>3245</v>
      </c>
      <c r="E304" t="s">
        <v>4048</v>
      </c>
      <c r="F304" t="s">
        <v>4918</v>
      </c>
      <c r="G304" t="s">
        <v>4918</v>
      </c>
      <c r="H304" t="s">
        <v>51</v>
      </c>
      <c r="I304" t="s">
        <v>52</v>
      </c>
      <c r="J304" t="str">
        <f>"0501715"</f>
        <v>0501715</v>
      </c>
      <c r="K304">
        <v>2108073237</v>
      </c>
      <c r="L304">
        <v>2106204345</v>
      </c>
      <c r="M304" t="s">
        <v>4920</v>
      </c>
      <c r="N304" t="s">
        <v>4921</v>
      </c>
      <c r="O304" t="s">
        <v>4922</v>
      </c>
      <c r="P304">
        <v>14671</v>
      </c>
      <c r="Q304" t="str">
        <f>"38.095162"</f>
        <v>38.095162</v>
      </c>
      <c r="R304" t="str">
        <f>"23.823500"</f>
        <v>23.823500</v>
      </c>
      <c r="S304" t="s">
        <v>26</v>
      </c>
    </row>
    <row r="305" spans="1:19" x14ac:dyDescent="0.3">
      <c r="A305" t="s">
        <v>3237</v>
      </c>
      <c r="B305" t="s">
        <v>4585</v>
      </c>
      <c r="C305" t="s">
        <v>4924</v>
      </c>
      <c r="D305" t="s">
        <v>3245</v>
      </c>
      <c r="E305" t="s">
        <v>4591</v>
      </c>
      <c r="F305" t="s">
        <v>4591</v>
      </c>
      <c r="G305" t="s">
        <v>4591</v>
      </c>
      <c r="H305" t="s">
        <v>51</v>
      </c>
      <c r="I305" t="s">
        <v>52</v>
      </c>
      <c r="J305" t="str">
        <f>"0501474"</f>
        <v>0501474</v>
      </c>
      <c r="K305">
        <v>2106105554</v>
      </c>
      <c r="L305">
        <v>2106105554</v>
      </c>
      <c r="M305" t="s">
        <v>4925</v>
      </c>
      <c r="N305" t="s">
        <v>4591</v>
      </c>
      <c r="O305" t="s">
        <v>4805</v>
      </c>
      <c r="P305">
        <v>15124</v>
      </c>
      <c r="Q305" t="str">
        <f>"38.045877"</f>
        <v>38.045877</v>
      </c>
      <c r="R305" t="str">
        <f>"23.796346"</f>
        <v>23.796346</v>
      </c>
      <c r="S305" t="s">
        <v>26</v>
      </c>
    </row>
    <row r="306" spans="1:19" x14ac:dyDescent="0.3">
      <c r="A306" t="s">
        <v>3237</v>
      </c>
      <c r="B306" t="s">
        <v>4585</v>
      </c>
      <c r="C306" t="s">
        <v>4926</v>
      </c>
      <c r="D306" t="s">
        <v>3245</v>
      </c>
      <c r="E306" t="s">
        <v>4832</v>
      </c>
      <c r="F306" t="s">
        <v>4832</v>
      </c>
      <c r="G306" t="s">
        <v>4832</v>
      </c>
      <c r="H306" t="s">
        <v>51</v>
      </c>
      <c r="I306" t="s">
        <v>52</v>
      </c>
      <c r="J306" t="str">
        <f>"0501754"</f>
        <v>0501754</v>
      </c>
      <c r="K306">
        <v>2102832247</v>
      </c>
      <c r="L306">
        <v>2102848717</v>
      </c>
      <c r="M306" t="s">
        <v>4927</v>
      </c>
      <c r="N306" t="s">
        <v>4928</v>
      </c>
      <c r="O306" t="s">
        <v>4929</v>
      </c>
      <c r="P306">
        <v>14451</v>
      </c>
      <c r="Q306" t="str">
        <f>"38.053769"</f>
        <v>38.053769</v>
      </c>
      <c r="R306" t="str">
        <f>"23.760192"</f>
        <v>23.760192</v>
      </c>
      <c r="S306" t="s">
        <v>26</v>
      </c>
    </row>
    <row r="307" spans="1:19" x14ac:dyDescent="0.3">
      <c r="A307" t="s">
        <v>3237</v>
      </c>
      <c r="B307" t="s">
        <v>4585</v>
      </c>
      <c r="C307" t="s">
        <v>4931</v>
      </c>
      <c r="D307" t="s">
        <v>3245</v>
      </c>
      <c r="E307" t="s">
        <v>4649</v>
      </c>
      <c r="F307" t="s">
        <v>4649</v>
      </c>
      <c r="G307" t="s">
        <v>4649</v>
      </c>
      <c r="H307" t="s">
        <v>51</v>
      </c>
      <c r="I307" t="s">
        <v>52</v>
      </c>
      <c r="J307" t="str">
        <f>"0501582"</f>
        <v>0501582</v>
      </c>
      <c r="K307">
        <v>2106840055</v>
      </c>
      <c r="L307">
        <v>2106840055</v>
      </c>
      <c r="M307" t="s">
        <v>4932</v>
      </c>
      <c r="N307" t="s">
        <v>4652</v>
      </c>
      <c r="O307" t="s">
        <v>4933</v>
      </c>
      <c r="P307">
        <v>15231</v>
      </c>
      <c r="Q307" t="str">
        <f>"38.015432"</f>
        <v>38.015432</v>
      </c>
      <c r="R307" t="str">
        <f>"23.789521"</f>
        <v>23.789521</v>
      </c>
      <c r="S307" t="s">
        <v>26</v>
      </c>
    </row>
    <row r="308" spans="1:19" x14ac:dyDescent="0.3">
      <c r="A308" t="s">
        <v>3237</v>
      </c>
      <c r="B308" t="s">
        <v>4585</v>
      </c>
      <c r="C308" t="s">
        <v>4934</v>
      </c>
      <c r="D308" t="s">
        <v>3245</v>
      </c>
      <c r="E308" t="s">
        <v>4670</v>
      </c>
      <c r="F308" t="s">
        <v>3721</v>
      </c>
      <c r="G308" t="s">
        <v>3721</v>
      </c>
      <c r="H308" t="s">
        <v>51</v>
      </c>
      <c r="I308" t="s">
        <v>52</v>
      </c>
      <c r="J308" t="str">
        <f>"0501764"</f>
        <v>0501764</v>
      </c>
      <c r="K308">
        <v>2106724743</v>
      </c>
      <c r="L308">
        <v>2106740779</v>
      </c>
      <c r="M308" t="s">
        <v>4935</v>
      </c>
      <c r="N308" t="s">
        <v>4936</v>
      </c>
      <c r="O308" t="s">
        <v>4937</v>
      </c>
      <c r="P308">
        <v>15451</v>
      </c>
      <c r="Q308" t="str">
        <f>"37.998731"</f>
        <v>37.998731</v>
      </c>
      <c r="R308" t="str">
        <f>"23.778521"</f>
        <v>23.778521</v>
      </c>
      <c r="S308" t="s">
        <v>26</v>
      </c>
    </row>
    <row r="309" spans="1:19" x14ac:dyDescent="0.3">
      <c r="A309" t="s">
        <v>3237</v>
      </c>
      <c r="B309" t="s">
        <v>4585</v>
      </c>
      <c r="C309" t="s">
        <v>4939</v>
      </c>
      <c r="D309" t="s">
        <v>3245</v>
      </c>
      <c r="E309" t="s">
        <v>4713</v>
      </c>
      <c r="F309" t="s">
        <v>4714</v>
      </c>
      <c r="G309" t="s">
        <v>4714</v>
      </c>
      <c r="H309" t="s">
        <v>51</v>
      </c>
      <c r="I309" t="s">
        <v>52</v>
      </c>
      <c r="J309" t="str">
        <f>"0501716"</f>
        <v>0501716</v>
      </c>
      <c r="K309">
        <v>2108027231</v>
      </c>
      <c r="L309">
        <v>2106127448</v>
      </c>
      <c r="M309" t="s">
        <v>4940</v>
      </c>
      <c r="N309" t="s">
        <v>4717</v>
      </c>
      <c r="O309" t="s">
        <v>4941</v>
      </c>
      <c r="P309">
        <v>15121</v>
      </c>
      <c r="Q309" t="str">
        <f>"38.061118"</f>
        <v>38.061118</v>
      </c>
      <c r="R309" t="str">
        <f>"23.787939"</f>
        <v>23.787939</v>
      </c>
      <c r="S309" t="s">
        <v>26</v>
      </c>
    </row>
    <row r="310" spans="1:19" x14ac:dyDescent="0.3">
      <c r="A310" t="s">
        <v>3237</v>
      </c>
      <c r="B310" t="s">
        <v>4585</v>
      </c>
      <c r="C310" t="s">
        <v>4942</v>
      </c>
      <c r="D310" t="s">
        <v>3245</v>
      </c>
      <c r="E310" t="s">
        <v>4670</v>
      </c>
      <c r="F310" t="s">
        <v>3344</v>
      </c>
      <c r="G310" t="s">
        <v>3344</v>
      </c>
      <c r="H310" t="s">
        <v>51</v>
      </c>
      <c r="I310" t="s">
        <v>3708</v>
      </c>
      <c r="J310" t="str">
        <f>"0501002"</f>
        <v>0501002</v>
      </c>
      <c r="K310">
        <v>2106718234</v>
      </c>
      <c r="L310">
        <v>2106775372</v>
      </c>
      <c r="M310" t="s">
        <v>4943</v>
      </c>
      <c r="N310" t="s">
        <v>4788</v>
      </c>
      <c r="O310" t="s">
        <v>4944</v>
      </c>
      <c r="P310">
        <v>15452</v>
      </c>
      <c r="Q310" t="str">
        <f>"38.000674"</f>
        <v>38.000674</v>
      </c>
      <c r="R310" t="str">
        <f>"23.766241"</f>
        <v>23.766241</v>
      </c>
      <c r="S310" t="s">
        <v>26</v>
      </c>
    </row>
    <row r="311" spans="1:19" x14ac:dyDescent="0.3">
      <c r="A311" t="s">
        <v>3237</v>
      </c>
      <c r="B311" t="s">
        <v>4585</v>
      </c>
      <c r="C311" t="s">
        <v>4946</v>
      </c>
      <c r="D311" t="s">
        <v>3245</v>
      </c>
      <c r="E311" t="s">
        <v>4713</v>
      </c>
      <c r="F311" t="s">
        <v>4714</v>
      </c>
      <c r="G311" t="s">
        <v>4714</v>
      </c>
      <c r="H311" t="s">
        <v>51</v>
      </c>
      <c r="I311" t="s">
        <v>52</v>
      </c>
      <c r="J311" t="str">
        <f>"0501714"</f>
        <v>0501714</v>
      </c>
      <c r="K311">
        <v>2108064217</v>
      </c>
      <c r="L311">
        <v>2108064294</v>
      </c>
      <c r="M311" t="s">
        <v>4947</v>
      </c>
      <c r="N311" t="s">
        <v>4717</v>
      </c>
      <c r="O311" t="s">
        <v>4948</v>
      </c>
      <c r="P311">
        <v>15121</v>
      </c>
      <c r="Q311" t="str">
        <f>"38.052858"</f>
        <v>38.052858</v>
      </c>
      <c r="R311" t="str">
        <f>"23.786133"</f>
        <v>23.786133</v>
      </c>
      <c r="S311" t="s">
        <v>26</v>
      </c>
    </row>
    <row r="312" spans="1:19" x14ac:dyDescent="0.3">
      <c r="A312" t="s">
        <v>3237</v>
      </c>
      <c r="B312" t="s">
        <v>4585</v>
      </c>
      <c r="C312" t="s">
        <v>4949</v>
      </c>
      <c r="D312" t="s">
        <v>3245</v>
      </c>
      <c r="E312" t="s">
        <v>3246</v>
      </c>
      <c r="F312" t="s">
        <v>3246</v>
      </c>
      <c r="G312" t="s">
        <v>3246</v>
      </c>
      <c r="H312" t="s">
        <v>51</v>
      </c>
      <c r="I312" t="s">
        <v>52</v>
      </c>
      <c r="J312" t="str">
        <f>"0501759"</f>
        <v>0501759</v>
      </c>
      <c r="K312">
        <v>2102773800</v>
      </c>
      <c r="L312">
        <v>2102711060</v>
      </c>
      <c r="M312" t="s">
        <v>4950</v>
      </c>
      <c r="N312" t="s">
        <v>3249</v>
      </c>
      <c r="O312" t="s">
        <v>4951</v>
      </c>
      <c r="P312">
        <v>14231</v>
      </c>
      <c r="Q312" t="str">
        <f>"38.042913"</f>
        <v>38.042913</v>
      </c>
      <c r="R312" t="str">
        <f>"23.758025"</f>
        <v>23.758025</v>
      </c>
      <c r="S312" t="s">
        <v>26</v>
      </c>
    </row>
    <row r="313" spans="1:19" x14ac:dyDescent="0.3">
      <c r="A313" t="s">
        <v>3237</v>
      </c>
      <c r="B313" t="s">
        <v>4585</v>
      </c>
      <c r="C313" t="s">
        <v>4952</v>
      </c>
      <c r="D313" t="s">
        <v>3245</v>
      </c>
      <c r="E313" t="s">
        <v>4618</v>
      </c>
      <c r="F313" t="s">
        <v>4618</v>
      </c>
      <c r="G313" t="s">
        <v>4618</v>
      </c>
      <c r="H313" t="s">
        <v>51</v>
      </c>
      <c r="I313" t="s">
        <v>52</v>
      </c>
      <c r="J313" t="str">
        <f>"0501700"</f>
        <v>0501700</v>
      </c>
      <c r="K313">
        <v>2102828922</v>
      </c>
      <c r="L313">
        <v>2102828922</v>
      </c>
      <c r="M313" t="s">
        <v>4953</v>
      </c>
      <c r="N313" t="s">
        <v>4621</v>
      </c>
      <c r="O313" t="s">
        <v>4622</v>
      </c>
      <c r="P313">
        <v>14122</v>
      </c>
      <c r="Q313" t="str">
        <f>"38.051233"</f>
        <v>38.051233</v>
      </c>
      <c r="R313" t="str">
        <f>"23.769478"</f>
        <v>23.769478</v>
      </c>
      <c r="S313" t="s">
        <v>26</v>
      </c>
    </row>
    <row r="314" spans="1:19" x14ac:dyDescent="0.3">
      <c r="A314" t="s">
        <v>3237</v>
      </c>
      <c r="B314" t="s">
        <v>4585</v>
      </c>
      <c r="C314" t="s">
        <v>4954</v>
      </c>
      <c r="D314" t="s">
        <v>3245</v>
      </c>
      <c r="E314" t="s">
        <v>4670</v>
      </c>
      <c r="F314" t="s">
        <v>3721</v>
      </c>
      <c r="G314" t="s">
        <v>3721</v>
      </c>
      <c r="H314" t="s">
        <v>51</v>
      </c>
      <c r="I314" t="s">
        <v>52</v>
      </c>
      <c r="J314" t="str">
        <f>"0501762"</f>
        <v>0501762</v>
      </c>
      <c r="K314">
        <v>2106715918</v>
      </c>
      <c r="L314">
        <v>2106754334</v>
      </c>
      <c r="M314" t="s">
        <v>4955</v>
      </c>
      <c r="N314" t="s">
        <v>4956</v>
      </c>
      <c r="O314" t="s">
        <v>4957</v>
      </c>
      <c r="P314">
        <v>15451</v>
      </c>
      <c r="Q314" t="str">
        <f>"38.004354"</f>
        <v>38.004354</v>
      </c>
      <c r="R314" t="str">
        <f>"23.790709"</f>
        <v>23.790709</v>
      </c>
      <c r="S314" t="s">
        <v>26</v>
      </c>
    </row>
    <row r="315" spans="1:19" x14ac:dyDescent="0.3">
      <c r="A315" t="s">
        <v>3237</v>
      </c>
      <c r="B315" t="s">
        <v>4585</v>
      </c>
      <c r="C315" t="s">
        <v>4959</v>
      </c>
      <c r="D315" t="s">
        <v>3245</v>
      </c>
      <c r="E315" t="s">
        <v>3246</v>
      </c>
      <c r="F315" t="s">
        <v>3246</v>
      </c>
      <c r="G315" t="s">
        <v>3246</v>
      </c>
      <c r="H315" t="s">
        <v>51</v>
      </c>
      <c r="I315" t="s">
        <v>52</v>
      </c>
      <c r="J315" t="str">
        <f>"0501730"</f>
        <v>0501730</v>
      </c>
      <c r="K315">
        <v>2102790154</v>
      </c>
      <c r="L315">
        <v>2102714812</v>
      </c>
      <c r="M315" t="s">
        <v>4960</v>
      </c>
      <c r="N315" t="s">
        <v>3249</v>
      </c>
      <c r="O315" t="s">
        <v>4961</v>
      </c>
      <c r="P315">
        <v>14232</v>
      </c>
      <c r="Q315" t="str">
        <f>"38.036959"</f>
        <v>38.036959</v>
      </c>
      <c r="R315" t="str">
        <f>"23.750114"</f>
        <v>23.750114</v>
      </c>
      <c r="S315" t="s">
        <v>26</v>
      </c>
    </row>
    <row r="316" spans="1:19" x14ac:dyDescent="0.3">
      <c r="A316" t="s">
        <v>3237</v>
      </c>
      <c r="B316" t="s">
        <v>4585</v>
      </c>
      <c r="C316" t="s">
        <v>4962</v>
      </c>
      <c r="D316" t="s">
        <v>3245</v>
      </c>
      <c r="E316" t="s">
        <v>4591</v>
      </c>
      <c r="F316" t="s">
        <v>4591</v>
      </c>
      <c r="G316" t="s">
        <v>4591</v>
      </c>
      <c r="H316" t="s">
        <v>51</v>
      </c>
      <c r="I316" t="s">
        <v>52</v>
      </c>
      <c r="J316" t="str">
        <f>"0501472"</f>
        <v>0501472</v>
      </c>
      <c r="K316">
        <v>2106105139</v>
      </c>
      <c r="L316">
        <v>2106195566</v>
      </c>
      <c r="M316" t="s">
        <v>4963</v>
      </c>
      <c r="N316" t="s">
        <v>4591</v>
      </c>
      <c r="O316" t="s">
        <v>4964</v>
      </c>
      <c r="P316">
        <v>15125</v>
      </c>
      <c r="Q316" t="str">
        <f>"38.039931"</f>
        <v>38.039931</v>
      </c>
      <c r="R316" t="str">
        <f>"23.815089"</f>
        <v>23.815089</v>
      </c>
      <c r="S316" t="s">
        <v>26</v>
      </c>
    </row>
    <row r="317" spans="1:19" x14ac:dyDescent="0.3">
      <c r="A317" t="s">
        <v>3237</v>
      </c>
      <c r="B317" t="s">
        <v>4585</v>
      </c>
      <c r="C317" t="s">
        <v>4966</v>
      </c>
      <c r="D317" t="s">
        <v>3245</v>
      </c>
      <c r="E317" t="s">
        <v>3246</v>
      </c>
      <c r="F317" t="s">
        <v>3246</v>
      </c>
      <c r="G317" t="s">
        <v>3246</v>
      </c>
      <c r="H317" t="s">
        <v>51</v>
      </c>
      <c r="I317" t="s">
        <v>52</v>
      </c>
      <c r="J317" t="str">
        <f>"0501740"</f>
        <v>0501740</v>
      </c>
      <c r="K317">
        <v>2102799481</v>
      </c>
      <c r="L317">
        <v>2102712879</v>
      </c>
      <c r="M317" t="s">
        <v>4967</v>
      </c>
      <c r="N317" t="s">
        <v>3246</v>
      </c>
      <c r="O317" t="s">
        <v>4968</v>
      </c>
      <c r="P317">
        <v>14231</v>
      </c>
      <c r="Q317" t="str">
        <f>"38.037136"</f>
        <v>38.037136</v>
      </c>
      <c r="R317" t="str">
        <f>"23.748021"</f>
        <v>23.748021</v>
      </c>
      <c r="S317" t="s">
        <v>26</v>
      </c>
    </row>
    <row r="318" spans="1:19" x14ac:dyDescent="0.3">
      <c r="A318" t="s">
        <v>3237</v>
      </c>
      <c r="B318" t="s">
        <v>4585</v>
      </c>
      <c r="C318" t="s">
        <v>4969</v>
      </c>
      <c r="D318" t="s">
        <v>3245</v>
      </c>
      <c r="E318" t="s">
        <v>4591</v>
      </c>
      <c r="F318" t="s">
        <v>4591</v>
      </c>
      <c r="G318" t="s">
        <v>4591</v>
      </c>
      <c r="H318" t="s">
        <v>51</v>
      </c>
      <c r="I318" t="s">
        <v>52</v>
      </c>
      <c r="J318" t="str">
        <f>"0501473"</f>
        <v>0501473</v>
      </c>
      <c r="K318">
        <v>2108050374</v>
      </c>
      <c r="L318">
        <v>2108050693</v>
      </c>
      <c r="M318" t="s">
        <v>4970</v>
      </c>
      <c r="N318" t="s">
        <v>4591</v>
      </c>
      <c r="O318" t="s">
        <v>4780</v>
      </c>
      <c r="P318">
        <v>15126</v>
      </c>
      <c r="Q318" t="str">
        <f>"38.054514"</f>
        <v>38.054514</v>
      </c>
      <c r="R318" t="str">
        <f>"23.819074"</f>
        <v>23.819074</v>
      </c>
      <c r="S318" t="s">
        <v>26</v>
      </c>
    </row>
    <row r="319" spans="1:19" x14ac:dyDescent="0.3">
      <c r="A319" t="s">
        <v>3237</v>
      </c>
      <c r="B319" t="s">
        <v>4585</v>
      </c>
      <c r="C319" t="s">
        <v>4971</v>
      </c>
      <c r="D319" t="s">
        <v>3245</v>
      </c>
      <c r="E319" t="s">
        <v>3246</v>
      </c>
      <c r="F319" t="s">
        <v>3246</v>
      </c>
      <c r="G319" t="s">
        <v>3246</v>
      </c>
      <c r="H319" t="s">
        <v>51</v>
      </c>
      <c r="I319" t="s">
        <v>52</v>
      </c>
      <c r="J319" t="str">
        <f>"0501756"</f>
        <v>0501756</v>
      </c>
      <c r="K319">
        <v>2102758769</v>
      </c>
      <c r="L319">
        <v>2102772331</v>
      </c>
      <c r="M319" t="s">
        <v>4972</v>
      </c>
      <c r="N319" t="s">
        <v>3249</v>
      </c>
      <c r="O319" t="s">
        <v>4973</v>
      </c>
      <c r="P319">
        <v>14234</v>
      </c>
      <c r="Q319" t="str">
        <f>"38.039595"</f>
        <v>38.039595</v>
      </c>
      <c r="R319" t="str">
        <f>"23.760602"</f>
        <v>23.760602</v>
      </c>
      <c r="S319" t="s">
        <v>26</v>
      </c>
    </row>
    <row r="320" spans="1:19" x14ac:dyDescent="0.3">
      <c r="A320" t="s">
        <v>3237</v>
      </c>
      <c r="B320" t="s">
        <v>4585</v>
      </c>
      <c r="C320" t="s">
        <v>4974</v>
      </c>
      <c r="D320" t="s">
        <v>3245</v>
      </c>
      <c r="E320" t="s">
        <v>3246</v>
      </c>
      <c r="F320" t="s">
        <v>3246</v>
      </c>
      <c r="G320" t="s">
        <v>3246</v>
      </c>
      <c r="H320" t="s">
        <v>51</v>
      </c>
      <c r="I320" t="s">
        <v>52</v>
      </c>
      <c r="J320" t="str">
        <f>"0501757"</f>
        <v>0501757</v>
      </c>
      <c r="K320">
        <v>2102527132</v>
      </c>
      <c r="L320">
        <v>2102527132</v>
      </c>
      <c r="M320" t="s">
        <v>4975</v>
      </c>
      <c r="N320" t="s">
        <v>3246</v>
      </c>
      <c r="O320" t="s">
        <v>4976</v>
      </c>
      <c r="P320">
        <v>14232</v>
      </c>
      <c r="Q320" t="str">
        <f>"38.033448"</f>
        <v>38.033448</v>
      </c>
      <c r="R320" t="str">
        <f>"23.749203"</f>
        <v>23.749203</v>
      </c>
      <c r="S320" t="s">
        <v>26</v>
      </c>
    </row>
    <row r="321" spans="1:19" x14ac:dyDescent="0.3">
      <c r="A321" t="s">
        <v>3237</v>
      </c>
      <c r="B321" t="s">
        <v>4585</v>
      </c>
      <c r="C321" t="s">
        <v>4978</v>
      </c>
      <c r="D321" t="s">
        <v>3245</v>
      </c>
      <c r="E321" t="s">
        <v>152</v>
      </c>
      <c r="F321" t="s">
        <v>152</v>
      </c>
      <c r="G321" t="s">
        <v>152</v>
      </c>
      <c r="H321" t="s">
        <v>51</v>
      </c>
      <c r="I321" t="s">
        <v>199</v>
      </c>
      <c r="J321" t="str">
        <f>"0550825"</f>
        <v>0550825</v>
      </c>
      <c r="K321">
        <v>2106002044</v>
      </c>
      <c r="L321">
        <v>2106002044</v>
      </c>
      <c r="M321" t="s">
        <v>4979</v>
      </c>
      <c r="N321" t="s">
        <v>3325</v>
      </c>
      <c r="O321" t="s">
        <v>4658</v>
      </c>
      <c r="P321">
        <v>15343</v>
      </c>
      <c r="Q321" t="str">
        <f>"38.021848"</f>
        <v>38.021848</v>
      </c>
      <c r="R321" t="str">
        <f>"23.832420"</f>
        <v>23.832420</v>
      </c>
      <c r="S321" t="s">
        <v>26</v>
      </c>
    </row>
    <row r="322" spans="1:19" x14ac:dyDescent="0.3">
      <c r="A322" t="s">
        <v>3237</v>
      </c>
      <c r="B322" t="s">
        <v>4585</v>
      </c>
      <c r="C322" t="s">
        <v>5001</v>
      </c>
      <c r="D322" t="s">
        <v>3245</v>
      </c>
      <c r="E322" t="s">
        <v>4768</v>
      </c>
      <c r="F322" t="s">
        <v>4766</v>
      </c>
      <c r="G322" t="s">
        <v>4766</v>
      </c>
      <c r="H322" t="s">
        <v>51</v>
      </c>
      <c r="I322" t="s">
        <v>52</v>
      </c>
      <c r="J322" t="str">
        <f>"0501767"</f>
        <v>0501767</v>
      </c>
      <c r="K322">
        <v>2106527410</v>
      </c>
      <c r="L322">
        <v>2106542256</v>
      </c>
      <c r="M322" t="s">
        <v>5002</v>
      </c>
      <c r="N322" t="s">
        <v>4771</v>
      </c>
      <c r="O322" t="s">
        <v>4772</v>
      </c>
      <c r="P322">
        <v>15562</v>
      </c>
      <c r="Q322" t="str">
        <f>"37.998967"</f>
        <v>37.998967</v>
      </c>
      <c r="R322" t="str">
        <f>"23.807577"</f>
        <v>23.807577</v>
      </c>
      <c r="S322" t="s">
        <v>26</v>
      </c>
    </row>
    <row r="323" spans="1:19" x14ac:dyDescent="0.3">
      <c r="A323" t="s">
        <v>3237</v>
      </c>
      <c r="B323" t="s">
        <v>4585</v>
      </c>
      <c r="C323" t="s">
        <v>5003</v>
      </c>
      <c r="D323" t="s">
        <v>3245</v>
      </c>
      <c r="E323" t="s">
        <v>4048</v>
      </c>
      <c r="F323" t="s">
        <v>4048</v>
      </c>
      <c r="G323" t="s">
        <v>4048</v>
      </c>
      <c r="H323" t="s">
        <v>51</v>
      </c>
      <c r="I323" t="s">
        <v>52</v>
      </c>
      <c r="J323" t="str">
        <f>"0501713"</f>
        <v>0501713</v>
      </c>
      <c r="K323">
        <v>2108078779</v>
      </c>
      <c r="L323">
        <v>2108078779</v>
      </c>
      <c r="M323" t="s">
        <v>5004</v>
      </c>
      <c r="N323" t="s">
        <v>4605</v>
      </c>
      <c r="O323" t="s">
        <v>5005</v>
      </c>
      <c r="P323">
        <v>14564</v>
      </c>
      <c r="Q323" t="str">
        <f>"38.093762"</f>
        <v>38.093762</v>
      </c>
      <c r="R323" t="str">
        <f>"23.796708"</f>
        <v>23.796708</v>
      </c>
      <c r="S323" t="s">
        <v>26</v>
      </c>
    </row>
    <row r="324" spans="1:19" x14ac:dyDescent="0.3">
      <c r="A324" t="s">
        <v>3237</v>
      </c>
      <c r="B324" t="s">
        <v>4585</v>
      </c>
      <c r="C324" t="s">
        <v>5007</v>
      </c>
      <c r="D324" t="s">
        <v>3245</v>
      </c>
      <c r="E324" t="s">
        <v>4713</v>
      </c>
      <c r="F324" t="s">
        <v>4992</v>
      </c>
      <c r="G324" t="s">
        <v>4992</v>
      </c>
      <c r="H324" t="s">
        <v>51</v>
      </c>
      <c r="I324" t="s">
        <v>52</v>
      </c>
      <c r="J324" t="str">
        <f>"0501717"</f>
        <v>0501717</v>
      </c>
      <c r="K324">
        <v>2102844529</v>
      </c>
      <c r="L324">
        <v>2102825700</v>
      </c>
      <c r="M324" t="s">
        <v>5008</v>
      </c>
      <c r="N324" t="s">
        <v>5009</v>
      </c>
      <c r="O324" t="s">
        <v>5010</v>
      </c>
      <c r="P324">
        <v>14123</v>
      </c>
      <c r="Q324" t="str">
        <f>"38.065460"</f>
        <v>38.065460</v>
      </c>
      <c r="R324" t="str">
        <f>"23.780315"</f>
        <v>23.780315</v>
      </c>
      <c r="S324" t="s">
        <v>26</v>
      </c>
    </row>
    <row r="325" spans="1:19" x14ac:dyDescent="0.3">
      <c r="A325" t="s">
        <v>3237</v>
      </c>
      <c r="B325" t="s">
        <v>4585</v>
      </c>
      <c r="C325" t="s">
        <v>5019</v>
      </c>
      <c r="D325" t="s">
        <v>3245</v>
      </c>
      <c r="E325" t="s">
        <v>4649</v>
      </c>
      <c r="F325" t="s">
        <v>4649</v>
      </c>
      <c r="G325" t="s">
        <v>4649</v>
      </c>
      <c r="H325" t="s">
        <v>51</v>
      </c>
      <c r="I325" t="s">
        <v>52</v>
      </c>
      <c r="J325" t="str">
        <f>"0501580"</f>
        <v>0501580</v>
      </c>
      <c r="K325">
        <v>2106822111</v>
      </c>
      <c r="L325">
        <v>2106822111</v>
      </c>
      <c r="M325" t="s">
        <v>5020</v>
      </c>
      <c r="N325" t="s">
        <v>4652</v>
      </c>
      <c r="O325" t="s">
        <v>5021</v>
      </c>
      <c r="P325">
        <v>15234</v>
      </c>
      <c r="Q325" t="str">
        <f>"38.027929"</f>
        <v>38.027929</v>
      </c>
      <c r="R325" t="str">
        <f>"23.814068"</f>
        <v>23.814068</v>
      </c>
      <c r="S325" t="s">
        <v>26</v>
      </c>
    </row>
    <row r="326" spans="1:19" x14ac:dyDescent="0.3">
      <c r="A326" t="s">
        <v>3237</v>
      </c>
      <c r="B326" t="s">
        <v>4585</v>
      </c>
      <c r="C326" t="s">
        <v>5022</v>
      </c>
      <c r="D326" t="s">
        <v>3245</v>
      </c>
      <c r="E326" t="s">
        <v>4591</v>
      </c>
      <c r="F326" t="s">
        <v>4591</v>
      </c>
      <c r="G326" t="s">
        <v>4591</v>
      </c>
      <c r="H326" t="s">
        <v>51</v>
      </c>
      <c r="I326" t="s">
        <v>3708</v>
      </c>
      <c r="J326" t="str">
        <f>"0501003"</f>
        <v>0501003</v>
      </c>
      <c r="K326">
        <v>2108082905</v>
      </c>
      <c r="L326">
        <v>2108010158</v>
      </c>
      <c r="M326" t="s">
        <v>5023</v>
      </c>
      <c r="N326" t="s">
        <v>4595</v>
      </c>
      <c r="O326" t="s">
        <v>5024</v>
      </c>
      <c r="P326">
        <v>14562</v>
      </c>
      <c r="Q326" t="str">
        <f>"38.065123"</f>
        <v>38.065123</v>
      </c>
      <c r="R326" t="str">
        <f>"23.815594"</f>
        <v>23.815594</v>
      </c>
      <c r="S326" t="s">
        <v>26</v>
      </c>
    </row>
    <row r="327" spans="1:19" x14ac:dyDescent="0.3">
      <c r="A327" t="s">
        <v>3237</v>
      </c>
      <c r="B327" t="s">
        <v>4585</v>
      </c>
      <c r="C327" t="s">
        <v>5033</v>
      </c>
      <c r="D327" t="s">
        <v>3245</v>
      </c>
      <c r="E327" t="s">
        <v>152</v>
      </c>
      <c r="F327" t="s">
        <v>152</v>
      </c>
      <c r="G327" t="s">
        <v>152</v>
      </c>
      <c r="H327" t="s">
        <v>51</v>
      </c>
      <c r="I327" t="s">
        <v>52</v>
      </c>
      <c r="J327" t="str">
        <f>"0501827"</f>
        <v>0501827</v>
      </c>
      <c r="K327">
        <v>2106002928</v>
      </c>
      <c r="L327">
        <v>2106000479</v>
      </c>
      <c r="M327" t="s">
        <v>5034</v>
      </c>
      <c r="N327" t="s">
        <v>4693</v>
      </c>
      <c r="O327" t="s">
        <v>5035</v>
      </c>
      <c r="P327">
        <v>15343</v>
      </c>
      <c r="Q327" t="str">
        <f>"38.015707"</f>
        <v>38.015707</v>
      </c>
      <c r="R327" t="str">
        <f>"23.833964"</f>
        <v>23.833964</v>
      </c>
      <c r="S327" t="s">
        <v>26</v>
      </c>
    </row>
    <row r="328" spans="1:19" x14ac:dyDescent="0.3">
      <c r="A328" t="s">
        <v>3237</v>
      </c>
      <c r="B328" t="s">
        <v>4585</v>
      </c>
      <c r="C328" t="s">
        <v>5037</v>
      </c>
      <c r="D328" t="s">
        <v>3245</v>
      </c>
      <c r="E328" t="s">
        <v>4591</v>
      </c>
      <c r="F328" t="s">
        <v>4591</v>
      </c>
      <c r="G328" t="s">
        <v>4591</v>
      </c>
      <c r="H328" t="s">
        <v>51</v>
      </c>
      <c r="I328" t="s">
        <v>52</v>
      </c>
      <c r="J328" t="str">
        <f>"0501475"</f>
        <v>0501475</v>
      </c>
      <c r="K328">
        <v>2106842288</v>
      </c>
      <c r="L328">
        <v>2106842213</v>
      </c>
      <c r="M328" t="s">
        <v>5038</v>
      </c>
      <c r="N328" t="s">
        <v>4600</v>
      </c>
      <c r="O328" t="s">
        <v>5039</v>
      </c>
      <c r="P328">
        <v>15125</v>
      </c>
      <c r="Q328" t="str">
        <f>"38.033773"</f>
        <v>38.033773</v>
      </c>
      <c r="R328" t="str">
        <f>"23.809380"</f>
        <v>23.809380</v>
      </c>
      <c r="S328" t="s">
        <v>26</v>
      </c>
    </row>
    <row r="329" spans="1:19" x14ac:dyDescent="0.3">
      <c r="A329" t="s">
        <v>3237</v>
      </c>
      <c r="B329" t="s">
        <v>4585</v>
      </c>
      <c r="C329" t="s">
        <v>5054</v>
      </c>
      <c r="D329" t="s">
        <v>3245</v>
      </c>
      <c r="E329" t="s">
        <v>4768</v>
      </c>
      <c r="F329" t="s">
        <v>5028</v>
      </c>
      <c r="G329" t="s">
        <v>5028</v>
      </c>
      <c r="H329" t="s">
        <v>51</v>
      </c>
      <c r="I329" t="s">
        <v>52</v>
      </c>
      <c r="J329" t="str">
        <f>"0501970"</f>
        <v>0501970</v>
      </c>
      <c r="K329">
        <v>2106540786</v>
      </c>
      <c r="L329">
        <v>2106532325</v>
      </c>
      <c r="M329" t="s">
        <v>5055</v>
      </c>
      <c r="N329" t="s">
        <v>5028</v>
      </c>
      <c r="O329" t="s">
        <v>5056</v>
      </c>
      <c r="P329">
        <v>15669</v>
      </c>
      <c r="Q329" t="str">
        <f>"37.991875"</f>
        <v>37.991875</v>
      </c>
      <c r="R329" t="str">
        <f>"23.791506"</f>
        <v>23.791506</v>
      </c>
      <c r="S329" t="s">
        <v>26</v>
      </c>
    </row>
    <row r="330" spans="1:19" x14ac:dyDescent="0.3">
      <c r="A330" t="s">
        <v>3237</v>
      </c>
      <c r="B330" t="s">
        <v>4585</v>
      </c>
      <c r="C330" t="s">
        <v>5062</v>
      </c>
      <c r="D330" t="s">
        <v>3245</v>
      </c>
      <c r="E330" t="s">
        <v>4649</v>
      </c>
      <c r="F330" t="s">
        <v>4649</v>
      </c>
      <c r="G330" t="s">
        <v>4649</v>
      </c>
      <c r="H330" t="s">
        <v>51</v>
      </c>
      <c r="I330" t="s">
        <v>89</v>
      </c>
      <c r="J330" t="str">
        <f>"0501585"</f>
        <v>0501585</v>
      </c>
      <c r="K330">
        <v>2106006614</v>
      </c>
      <c r="L330">
        <v>2106006651</v>
      </c>
      <c r="M330" t="s">
        <v>5063</v>
      </c>
      <c r="N330" t="s">
        <v>4652</v>
      </c>
      <c r="O330" t="s">
        <v>5064</v>
      </c>
      <c r="P330">
        <v>15238</v>
      </c>
      <c r="Q330" t="str">
        <f>"38.027477"</f>
        <v>38.027477</v>
      </c>
      <c r="R330" t="str">
        <f>"23.836948"</f>
        <v>23.836948</v>
      </c>
      <c r="S330" t="s">
        <v>26</v>
      </c>
    </row>
    <row r="331" spans="1:19" x14ac:dyDescent="0.3">
      <c r="A331" t="s">
        <v>3237</v>
      </c>
      <c r="B331" t="s">
        <v>5080</v>
      </c>
      <c r="C331" t="s">
        <v>5081</v>
      </c>
      <c r="D331" t="s">
        <v>3251</v>
      </c>
      <c r="E331" t="s">
        <v>3290</v>
      </c>
      <c r="F331" t="s">
        <v>3290</v>
      </c>
      <c r="G331" t="s">
        <v>3290</v>
      </c>
      <c r="H331" t="s">
        <v>51</v>
      </c>
      <c r="I331" t="s">
        <v>52</v>
      </c>
      <c r="J331" t="str">
        <f>"0501659"</f>
        <v>0501659</v>
      </c>
      <c r="K331">
        <v>2105012000</v>
      </c>
      <c r="L331">
        <v>2105012000</v>
      </c>
      <c r="M331" t="s">
        <v>5082</v>
      </c>
      <c r="N331" t="s">
        <v>5083</v>
      </c>
      <c r="O331" t="s">
        <v>5084</v>
      </c>
      <c r="P331">
        <v>13123</v>
      </c>
      <c r="Q331" t="str">
        <f>"38.044821"</f>
        <v>38.044821</v>
      </c>
      <c r="R331" t="str">
        <f>"23.695825"</f>
        <v>23.695825</v>
      </c>
      <c r="S331" t="s">
        <v>26</v>
      </c>
    </row>
    <row r="332" spans="1:19" x14ac:dyDescent="0.3">
      <c r="A332" t="s">
        <v>3237</v>
      </c>
      <c r="B332" t="s">
        <v>5080</v>
      </c>
      <c r="C332" t="s">
        <v>5089</v>
      </c>
      <c r="D332" t="s">
        <v>3251</v>
      </c>
      <c r="E332" t="s">
        <v>5087</v>
      </c>
      <c r="F332" t="s">
        <v>5087</v>
      </c>
      <c r="G332" t="s">
        <v>5088</v>
      </c>
      <c r="H332" t="s">
        <v>51</v>
      </c>
      <c r="I332" t="s">
        <v>52</v>
      </c>
      <c r="J332" t="str">
        <f>"0501152"</f>
        <v>0501152</v>
      </c>
      <c r="K332">
        <v>2105014205</v>
      </c>
      <c r="L332">
        <v>2105014205</v>
      </c>
      <c r="M332" t="s">
        <v>5090</v>
      </c>
      <c r="N332" t="s">
        <v>5091</v>
      </c>
      <c r="O332" t="s">
        <v>5092</v>
      </c>
      <c r="P332">
        <v>12137</v>
      </c>
      <c r="Q332" t="str">
        <f>"38.029763"</f>
        <v>38.029763</v>
      </c>
      <c r="R332" t="str">
        <f>"23.679409"</f>
        <v>23.679409</v>
      </c>
      <c r="S332" t="s">
        <v>26</v>
      </c>
    </row>
    <row r="333" spans="1:19" x14ac:dyDescent="0.3">
      <c r="A333" t="s">
        <v>3237</v>
      </c>
      <c r="B333" t="s">
        <v>5080</v>
      </c>
      <c r="C333" t="s">
        <v>5094</v>
      </c>
      <c r="D333" t="s">
        <v>3251</v>
      </c>
      <c r="E333" t="s">
        <v>3290</v>
      </c>
      <c r="F333" t="s">
        <v>3290</v>
      </c>
      <c r="G333" t="s">
        <v>3290</v>
      </c>
      <c r="H333" t="s">
        <v>51</v>
      </c>
      <c r="I333" t="s">
        <v>52</v>
      </c>
      <c r="J333" t="str">
        <f>"0501530"</f>
        <v>0501530</v>
      </c>
      <c r="K333">
        <v>2102626698</v>
      </c>
      <c r="L333">
        <v>2102626330</v>
      </c>
      <c r="M333" t="s">
        <v>5095</v>
      </c>
      <c r="N333" t="s">
        <v>3293</v>
      </c>
      <c r="O333" t="s">
        <v>5096</v>
      </c>
      <c r="P333">
        <v>13122</v>
      </c>
      <c r="Q333" t="str">
        <f>"38.029684"</f>
        <v>38.029684</v>
      </c>
      <c r="R333" t="str">
        <f>"23.706233"</f>
        <v>23.706233</v>
      </c>
      <c r="S333" t="s">
        <v>26</v>
      </c>
    </row>
    <row r="334" spans="1:19" x14ac:dyDescent="0.3">
      <c r="A334" t="s">
        <v>3237</v>
      </c>
      <c r="B334" t="s">
        <v>5080</v>
      </c>
      <c r="C334" t="s">
        <v>5316</v>
      </c>
      <c r="D334" t="s">
        <v>3251</v>
      </c>
      <c r="E334" t="s">
        <v>3290</v>
      </c>
      <c r="F334" t="s">
        <v>3290</v>
      </c>
      <c r="G334" t="s">
        <v>3290</v>
      </c>
      <c r="H334" t="s">
        <v>51</v>
      </c>
      <c r="I334" t="s">
        <v>52</v>
      </c>
      <c r="J334" t="str">
        <f>"0501062"</f>
        <v>0501062</v>
      </c>
      <c r="K334">
        <v>2102631621</v>
      </c>
      <c r="L334">
        <v>2102631621</v>
      </c>
      <c r="M334" t="s">
        <v>5317</v>
      </c>
      <c r="N334" t="s">
        <v>3293</v>
      </c>
      <c r="O334" t="s">
        <v>5318</v>
      </c>
      <c r="P334">
        <v>13122</v>
      </c>
      <c r="Q334" t="str">
        <f>"38.026781"</f>
        <v>38.026781</v>
      </c>
      <c r="R334" t="str">
        <f>"23.705798"</f>
        <v>23.705798</v>
      </c>
      <c r="S334" t="s">
        <v>26</v>
      </c>
    </row>
    <row r="335" spans="1:19" x14ac:dyDescent="0.3">
      <c r="A335" t="s">
        <v>3237</v>
      </c>
      <c r="B335" t="s">
        <v>5080</v>
      </c>
      <c r="C335" t="s">
        <v>5319</v>
      </c>
      <c r="D335" t="s">
        <v>3251</v>
      </c>
      <c r="E335" t="s">
        <v>3252</v>
      </c>
      <c r="F335" t="s">
        <v>3252</v>
      </c>
      <c r="G335" t="s">
        <v>3252</v>
      </c>
      <c r="H335" t="s">
        <v>51</v>
      </c>
      <c r="I335" t="s">
        <v>52</v>
      </c>
      <c r="J335" t="str">
        <f>"0501444"</f>
        <v>0501444</v>
      </c>
      <c r="K335">
        <v>2105692753</v>
      </c>
      <c r="M335" t="s">
        <v>5320</v>
      </c>
      <c r="N335" t="s">
        <v>3252</v>
      </c>
      <c r="O335" t="s">
        <v>5321</v>
      </c>
      <c r="P335">
        <v>12241</v>
      </c>
      <c r="Q335" t="str">
        <f>"37.980256"</f>
        <v>37.980256</v>
      </c>
      <c r="R335" t="str">
        <f>"23.672149"</f>
        <v>23.672149</v>
      </c>
      <c r="S335" t="s">
        <v>26</v>
      </c>
    </row>
    <row r="336" spans="1:19" x14ac:dyDescent="0.3">
      <c r="A336" t="s">
        <v>3237</v>
      </c>
      <c r="B336" t="s">
        <v>5080</v>
      </c>
      <c r="C336" t="s">
        <v>5323</v>
      </c>
      <c r="D336" t="s">
        <v>3251</v>
      </c>
      <c r="E336" t="s">
        <v>5087</v>
      </c>
      <c r="F336" t="s">
        <v>5087</v>
      </c>
      <c r="G336" t="s">
        <v>5099</v>
      </c>
      <c r="H336" t="s">
        <v>51</v>
      </c>
      <c r="I336" t="s">
        <v>52</v>
      </c>
      <c r="J336" t="str">
        <f>"0501720"</f>
        <v>0501720</v>
      </c>
      <c r="K336">
        <v>2105742550</v>
      </c>
      <c r="L336">
        <v>2105742550</v>
      </c>
      <c r="M336" t="s">
        <v>5324</v>
      </c>
      <c r="N336" t="s">
        <v>5102</v>
      </c>
      <c r="O336" t="s">
        <v>5325</v>
      </c>
      <c r="P336">
        <v>12136</v>
      </c>
      <c r="Q336" t="str">
        <f>"38.010998"</f>
        <v>38.010998</v>
      </c>
      <c r="R336" t="str">
        <f>"23.676595"</f>
        <v>23.676595</v>
      </c>
      <c r="S336" t="s">
        <v>26</v>
      </c>
    </row>
    <row r="337" spans="1:19" x14ac:dyDescent="0.3">
      <c r="A337" t="s">
        <v>3237</v>
      </c>
      <c r="B337" t="s">
        <v>5080</v>
      </c>
      <c r="C337" t="s">
        <v>5326</v>
      </c>
      <c r="D337" t="s">
        <v>3251</v>
      </c>
      <c r="E337" t="s">
        <v>3290</v>
      </c>
      <c r="F337" t="s">
        <v>3290</v>
      </c>
      <c r="G337" t="s">
        <v>3290</v>
      </c>
      <c r="H337" t="s">
        <v>51</v>
      </c>
      <c r="I337" t="s">
        <v>3951</v>
      </c>
      <c r="J337" t="str">
        <f>"0501109"</f>
        <v>0501109</v>
      </c>
      <c r="K337">
        <v>2102313777</v>
      </c>
      <c r="L337">
        <v>2102313777</v>
      </c>
      <c r="M337" t="s">
        <v>5327</v>
      </c>
      <c r="N337" t="s">
        <v>5097</v>
      </c>
      <c r="O337" t="s">
        <v>5328</v>
      </c>
      <c r="P337">
        <v>13122</v>
      </c>
      <c r="Q337" t="str">
        <f>"38.081475"</f>
        <v>38.081475</v>
      </c>
      <c r="R337" t="str">
        <f>"23.679449"</f>
        <v>23.679449</v>
      </c>
      <c r="S337" t="s">
        <v>26</v>
      </c>
    </row>
    <row r="338" spans="1:19" x14ac:dyDescent="0.3">
      <c r="A338" t="s">
        <v>3237</v>
      </c>
      <c r="B338" t="s">
        <v>5080</v>
      </c>
      <c r="C338" t="s">
        <v>5330</v>
      </c>
      <c r="D338" t="s">
        <v>3251</v>
      </c>
      <c r="E338" t="s">
        <v>3290</v>
      </c>
      <c r="F338" t="s">
        <v>3290</v>
      </c>
      <c r="G338" t="s">
        <v>3290</v>
      </c>
      <c r="H338" t="s">
        <v>51</v>
      </c>
      <c r="I338" t="s">
        <v>52</v>
      </c>
      <c r="J338" t="str">
        <f>"0501531"</f>
        <v>0501531</v>
      </c>
      <c r="K338">
        <v>2102638276</v>
      </c>
      <c r="L338">
        <v>2102638276</v>
      </c>
      <c r="M338" t="s">
        <v>5331</v>
      </c>
      <c r="N338" t="s">
        <v>3293</v>
      </c>
      <c r="O338" t="s">
        <v>5332</v>
      </c>
      <c r="P338">
        <v>13122</v>
      </c>
      <c r="Q338" t="str">
        <f>"38.042045"</f>
        <v>38.042045</v>
      </c>
      <c r="R338" t="str">
        <f>"23.713072"</f>
        <v>23.713072</v>
      </c>
      <c r="S338" t="s">
        <v>26</v>
      </c>
    </row>
    <row r="339" spans="1:19" x14ac:dyDescent="0.3">
      <c r="A339" t="s">
        <v>3237</v>
      </c>
      <c r="B339" t="s">
        <v>5080</v>
      </c>
      <c r="C339" t="s">
        <v>5334</v>
      </c>
      <c r="D339" t="s">
        <v>3251</v>
      </c>
      <c r="E339" t="s">
        <v>5121</v>
      </c>
      <c r="F339" t="s">
        <v>5085</v>
      </c>
      <c r="G339" t="s">
        <v>5085</v>
      </c>
      <c r="H339" t="s">
        <v>51</v>
      </c>
      <c r="I339" t="s">
        <v>52</v>
      </c>
      <c r="J339" t="str">
        <f>"0501590"</f>
        <v>0501590</v>
      </c>
      <c r="K339">
        <v>2102624403</v>
      </c>
      <c r="L339">
        <v>2102624403</v>
      </c>
      <c r="M339" t="s">
        <v>5335</v>
      </c>
      <c r="N339" t="s">
        <v>5159</v>
      </c>
      <c r="O339" t="s">
        <v>5336</v>
      </c>
      <c r="P339">
        <v>13561</v>
      </c>
      <c r="Q339" t="str">
        <f>"38.027238"</f>
        <v>38.027238</v>
      </c>
      <c r="R339" t="str">
        <f>"23.725675"</f>
        <v>23.725675</v>
      </c>
      <c r="S339" t="s">
        <v>26</v>
      </c>
    </row>
    <row r="340" spans="1:19" x14ac:dyDescent="0.3">
      <c r="A340" t="s">
        <v>3237</v>
      </c>
      <c r="B340" t="s">
        <v>5080</v>
      </c>
      <c r="C340" t="s">
        <v>5342</v>
      </c>
      <c r="D340" t="s">
        <v>3251</v>
      </c>
      <c r="E340" t="s">
        <v>3290</v>
      </c>
      <c r="F340" t="s">
        <v>3290</v>
      </c>
      <c r="G340" t="s">
        <v>3290</v>
      </c>
      <c r="H340" t="s">
        <v>51</v>
      </c>
      <c r="I340" t="s">
        <v>52</v>
      </c>
      <c r="J340" t="str">
        <f>"0501658"</f>
        <v>0501658</v>
      </c>
      <c r="K340">
        <v>2102624466</v>
      </c>
      <c r="L340">
        <v>2102624466</v>
      </c>
      <c r="M340" t="s">
        <v>5343</v>
      </c>
      <c r="N340" t="s">
        <v>3293</v>
      </c>
      <c r="O340" t="s">
        <v>5344</v>
      </c>
      <c r="P340">
        <v>13122</v>
      </c>
      <c r="Q340" t="str">
        <f>"38.026794"</f>
        <v>38.026794</v>
      </c>
      <c r="R340" t="str">
        <f>"23.704176"</f>
        <v>23.704176</v>
      </c>
      <c r="S340" t="s">
        <v>26</v>
      </c>
    </row>
    <row r="341" spans="1:19" x14ac:dyDescent="0.3">
      <c r="A341" t="s">
        <v>3237</v>
      </c>
      <c r="B341" t="s">
        <v>5080</v>
      </c>
      <c r="C341" t="s">
        <v>5345</v>
      </c>
      <c r="D341" t="s">
        <v>3251</v>
      </c>
      <c r="E341" t="s">
        <v>3290</v>
      </c>
      <c r="F341" t="s">
        <v>3290</v>
      </c>
      <c r="G341" t="s">
        <v>3290</v>
      </c>
      <c r="H341" t="s">
        <v>51</v>
      </c>
      <c r="I341" t="s">
        <v>52</v>
      </c>
      <c r="J341" t="str">
        <f>"0501661"</f>
        <v>0501661</v>
      </c>
      <c r="K341">
        <v>2102635223</v>
      </c>
      <c r="L341">
        <v>2102635223</v>
      </c>
      <c r="M341" t="s">
        <v>5346</v>
      </c>
      <c r="N341" t="s">
        <v>5097</v>
      </c>
      <c r="O341" t="s">
        <v>5347</v>
      </c>
      <c r="P341">
        <v>13123</v>
      </c>
      <c r="Q341" t="str">
        <f>"38.032769"</f>
        <v>38.032769</v>
      </c>
      <c r="R341" t="str">
        <f>"23.696412"</f>
        <v>23.696412</v>
      </c>
      <c r="S341" t="s">
        <v>26</v>
      </c>
    </row>
    <row r="342" spans="1:19" x14ac:dyDescent="0.3">
      <c r="A342" t="s">
        <v>3237</v>
      </c>
      <c r="B342" t="s">
        <v>5080</v>
      </c>
      <c r="C342" t="s">
        <v>5349</v>
      </c>
      <c r="D342" t="s">
        <v>3251</v>
      </c>
      <c r="E342" t="s">
        <v>5121</v>
      </c>
      <c r="F342" t="s">
        <v>5085</v>
      </c>
      <c r="G342" t="s">
        <v>5085</v>
      </c>
      <c r="H342" t="s">
        <v>51</v>
      </c>
      <c r="I342" t="s">
        <v>52</v>
      </c>
      <c r="J342" t="str">
        <f>"0501601"</f>
        <v>0501601</v>
      </c>
      <c r="K342">
        <v>2102620744</v>
      </c>
      <c r="L342">
        <v>2102611983</v>
      </c>
      <c r="M342" t="s">
        <v>5350</v>
      </c>
      <c r="N342" t="s">
        <v>5159</v>
      </c>
      <c r="O342" t="s">
        <v>5351</v>
      </c>
      <c r="P342">
        <v>13562</v>
      </c>
      <c r="Q342" t="str">
        <f>"38.035674"</f>
        <v>38.035674</v>
      </c>
      <c r="R342" t="str">
        <f>"23.724171"</f>
        <v>23.724171</v>
      </c>
      <c r="S342" t="s">
        <v>26</v>
      </c>
    </row>
    <row r="343" spans="1:19" x14ac:dyDescent="0.3">
      <c r="A343" t="s">
        <v>3237</v>
      </c>
      <c r="B343" t="s">
        <v>5080</v>
      </c>
      <c r="C343" t="s">
        <v>5353</v>
      </c>
      <c r="D343" t="s">
        <v>3251</v>
      </c>
      <c r="E343" t="s">
        <v>5171</v>
      </c>
      <c r="F343" t="s">
        <v>5171</v>
      </c>
      <c r="G343" t="s">
        <v>5171</v>
      </c>
      <c r="H343" t="s">
        <v>51</v>
      </c>
      <c r="I343" t="s">
        <v>52</v>
      </c>
      <c r="J343" t="str">
        <f>"0501534"</f>
        <v>0501534</v>
      </c>
      <c r="K343">
        <v>2105058174</v>
      </c>
      <c r="L343">
        <v>2105051076</v>
      </c>
      <c r="M343" t="s">
        <v>5354</v>
      </c>
      <c r="N343" t="s">
        <v>5174</v>
      </c>
      <c r="O343" t="s">
        <v>5355</v>
      </c>
      <c r="P343">
        <v>13231</v>
      </c>
      <c r="Q343" t="str">
        <f>"38.044074"</f>
        <v>38.044074</v>
      </c>
      <c r="R343" t="str">
        <f>"23.674281"</f>
        <v>23.674281</v>
      </c>
      <c r="S343" t="s">
        <v>26</v>
      </c>
    </row>
    <row r="344" spans="1:19" x14ac:dyDescent="0.3">
      <c r="A344" t="s">
        <v>3237</v>
      </c>
      <c r="B344" t="s">
        <v>5080</v>
      </c>
      <c r="C344" t="s">
        <v>5357</v>
      </c>
      <c r="D344" t="s">
        <v>3251</v>
      </c>
      <c r="E344" t="s">
        <v>3290</v>
      </c>
      <c r="F344" t="s">
        <v>3290</v>
      </c>
      <c r="G344" t="s">
        <v>3290</v>
      </c>
      <c r="H344" t="s">
        <v>51</v>
      </c>
      <c r="I344" t="s">
        <v>52</v>
      </c>
      <c r="J344" t="str">
        <f>"0501529"</f>
        <v>0501529</v>
      </c>
      <c r="K344">
        <v>2102635158</v>
      </c>
      <c r="L344">
        <v>2102635158</v>
      </c>
      <c r="M344" t="s">
        <v>5358</v>
      </c>
      <c r="N344" t="s">
        <v>3293</v>
      </c>
      <c r="O344" t="s">
        <v>5359</v>
      </c>
      <c r="P344">
        <v>13122</v>
      </c>
      <c r="Q344" t="str">
        <f>"38.037698"</f>
        <v>38.037698</v>
      </c>
      <c r="R344" t="str">
        <f>"23.711926"</f>
        <v>23.711926</v>
      </c>
      <c r="S344" t="s">
        <v>26</v>
      </c>
    </row>
    <row r="345" spans="1:19" x14ac:dyDescent="0.3">
      <c r="A345" t="s">
        <v>3237</v>
      </c>
      <c r="B345" t="s">
        <v>5080</v>
      </c>
      <c r="C345" t="s">
        <v>5360</v>
      </c>
      <c r="D345" t="s">
        <v>3251</v>
      </c>
      <c r="E345" t="s">
        <v>3252</v>
      </c>
      <c r="F345" t="s">
        <v>3252</v>
      </c>
      <c r="G345" t="s">
        <v>3252</v>
      </c>
      <c r="H345" t="s">
        <v>51</v>
      </c>
      <c r="I345" t="s">
        <v>52</v>
      </c>
      <c r="J345" t="str">
        <f>"0501450"</f>
        <v>0501450</v>
      </c>
      <c r="K345">
        <v>2105980138</v>
      </c>
      <c r="L345">
        <v>2105910386</v>
      </c>
      <c r="M345" t="s">
        <v>5361</v>
      </c>
      <c r="N345" t="s">
        <v>3252</v>
      </c>
      <c r="O345" t="s">
        <v>5322</v>
      </c>
      <c r="P345">
        <v>12241</v>
      </c>
      <c r="Q345" t="str">
        <f>"37.989957"</f>
        <v>37.989957</v>
      </c>
      <c r="R345" t="str">
        <f>"23.685777"</f>
        <v>23.685777</v>
      </c>
      <c r="S345" t="s">
        <v>26</v>
      </c>
    </row>
    <row r="346" spans="1:19" x14ac:dyDescent="0.3">
      <c r="A346" t="s">
        <v>3237</v>
      </c>
      <c r="B346" t="s">
        <v>5080</v>
      </c>
      <c r="C346" t="s">
        <v>5363</v>
      </c>
      <c r="D346" t="s">
        <v>3251</v>
      </c>
      <c r="E346" t="s">
        <v>3252</v>
      </c>
      <c r="F346" t="s">
        <v>3252</v>
      </c>
      <c r="G346" t="s">
        <v>3252</v>
      </c>
      <c r="H346" t="s">
        <v>51</v>
      </c>
      <c r="I346" t="s">
        <v>52</v>
      </c>
      <c r="J346" t="str">
        <f>"0501440"</f>
        <v>0501440</v>
      </c>
      <c r="K346">
        <v>2105981694</v>
      </c>
      <c r="M346" t="s">
        <v>5364</v>
      </c>
      <c r="N346" t="s">
        <v>3252</v>
      </c>
      <c r="O346" t="s">
        <v>5365</v>
      </c>
      <c r="P346">
        <v>12242</v>
      </c>
      <c r="Q346" t="str">
        <f>"37.993860"</f>
        <v>37.993860</v>
      </c>
      <c r="R346" t="str">
        <f>"23.689554"</f>
        <v>23.689554</v>
      </c>
      <c r="S346" t="s">
        <v>26</v>
      </c>
    </row>
    <row r="347" spans="1:19" x14ac:dyDescent="0.3">
      <c r="A347" t="s">
        <v>3237</v>
      </c>
      <c r="B347" t="s">
        <v>5080</v>
      </c>
      <c r="C347" t="s">
        <v>5366</v>
      </c>
      <c r="D347" t="s">
        <v>3251</v>
      </c>
      <c r="E347" t="s">
        <v>5199</v>
      </c>
      <c r="F347" t="s">
        <v>5200</v>
      </c>
      <c r="G347" t="s">
        <v>5200</v>
      </c>
      <c r="H347" t="s">
        <v>51</v>
      </c>
      <c r="I347" t="s">
        <v>52</v>
      </c>
      <c r="J347" t="str">
        <f>"0501569"</f>
        <v>0501569</v>
      </c>
      <c r="K347">
        <v>2105814221</v>
      </c>
      <c r="L347">
        <v>2105814221</v>
      </c>
      <c r="M347" t="s">
        <v>5367</v>
      </c>
      <c r="N347" t="s">
        <v>5199</v>
      </c>
      <c r="O347" t="s">
        <v>5368</v>
      </c>
      <c r="P347">
        <v>12461</v>
      </c>
      <c r="Q347" t="str">
        <f>"38.004641"</f>
        <v>38.004641</v>
      </c>
      <c r="R347" t="str">
        <f>"23.660929"</f>
        <v>23.660929</v>
      </c>
      <c r="S347" t="s">
        <v>26</v>
      </c>
    </row>
    <row r="348" spans="1:19" x14ac:dyDescent="0.3">
      <c r="A348" t="s">
        <v>3237</v>
      </c>
      <c r="B348" t="s">
        <v>5080</v>
      </c>
      <c r="C348" t="s">
        <v>5370</v>
      </c>
      <c r="D348" t="s">
        <v>3251</v>
      </c>
      <c r="E348" t="s">
        <v>5199</v>
      </c>
      <c r="F348" t="s">
        <v>5200</v>
      </c>
      <c r="G348" t="s">
        <v>5200</v>
      </c>
      <c r="H348" t="s">
        <v>51</v>
      </c>
      <c r="I348" t="s">
        <v>52</v>
      </c>
      <c r="J348" t="str">
        <f>"0501562"</f>
        <v>0501562</v>
      </c>
      <c r="K348">
        <v>2105818320</v>
      </c>
      <c r="L348">
        <v>2105818320</v>
      </c>
      <c r="M348" t="s">
        <v>5371</v>
      </c>
      <c r="N348" t="s">
        <v>5199</v>
      </c>
      <c r="O348" t="s">
        <v>5372</v>
      </c>
      <c r="P348">
        <v>12461</v>
      </c>
      <c r="Q348" t="str">
        <f>"38.014026"</f>
        <v>38.014026</v>
      </c>
      <c r="R348" t="str">
        <f>"23.665493"</f>
        <v>23.665493</v>
      </c>
      <c r="S348" t="s">
        <v>26</v>
      </c>
    </row>
    <row r="349" spans="1:19" x14ac:dyDescent="0.3">
      <c r="A349" t="s">
        <v>3237</v>
      </c>
      <c r="B349" t="s">
        <v>5080</v>
      </c>
      <c r="C349" t="s">
        <v>5373</v>
      </c>
      <c r="D349" t="s">
        <v>3251</v>
      </c>
      <c r="E349" t="s">
        <v>3252</v>
      </c>
      <c r="F349" t="s">
        <v>3252</v>
      </c>
      <c r="G349" t="s">
        <v>3252</v>
      </c>
      <c r="H349" t="s">
        <v>51</v>
      </c>
      <c r="I349" t="s">
        <v>52</v>
      </c>
      <c r="J349" t="str">
        <f>"0501441"</f>
        <v>0501441</v>
      </c>
      <c r="K349">
        <v>2105983661</v>
      </c>
      <c r="L349">
        <v>2105983661</v>
      </c>
      <c r="M349" t="s">
        <v>5374</v>
      </c>
      <c r="N349" t="s">
        <v>3252</v>
      </c>
      <c r="O349" t="s">
        <v>5375</v>
      </c>
      <c r="P349">
        <v>12243</v>
      </c>
      <c r="Q349" t="str">
        <f>"37.997234"</f>
        <v>37.997234</v>
      </c>
      <c r="R349" t="str">
        <f>"23.676408"</f>
        <v>23.676408</v>
      </c>
      <c r="S349" t="s">
        <v>26</v>
      </c>
    </row>
    <row r="350" spans="1:19" x14ac:dyDescent="0.3">
      <c r="A350" t="s">
        <v>3237</v>
      </c>
      <c r="B350" t="s">
        <v>5080</v>
      </c>
      <c r="C350" t="s">
        <v>5377</v>
      </c>
      <c r="D350" t="s">
        <v>3251</v>
      </c>
      <c r="E350" t="s">
        <v>5199</v>
      </c>
      <c r="F350" t="s">
        <v>5200</v>
      </c>
      <c r="G350" t="s">
        <v>5200</v>
      </c>
      <c r="H350" t="s">
        <v>51</v>
      </c>
      <c r="I350" t="s">
        <v>52</v>
      </c>
      <c r="J350" t="str">
        <f>"0501566"</f>
        <v>0501566</v>
      </c>
      <c r="K350">
        <v>2105814652</v>
      </c>
      <c r="L350">
        <v>2105814652</v>
      </c>
      <c r="M350" t="s">
        <v>5378</v>
      </c>
      <c r="N350" t="s">
        <v>5203</v>
      </c>
      <c r="O350" t="s">
        <v>5379</v>
      </c>
      <c r="P350">
        <v>12462</v>
      </c>
      <c r="Q350" t="str">
        <f>"38.020830"</f>
        <v>38.020830</v>
      </c>
      <c r="R350" t="str">
        <f>"23.650076"</f>
        <v>23.650076</v>
      </c>
      <c r="S350" t="s">
        <v>26</v>
      </c>
    </row>
    <row r="351" spans="1:19" x14ac:dyDescent="0.3">
      <c r="A351" t="s">
        <v>3237</v>
      </c>
      <c r="B351" t="s">
        <v>5080</v>
      </c>
      <c r="C351" t="s">
        <v>5381</v>
      </c>
      <c r="D351" t="s">
        <v>3251</v>
      </c>
      <c r="E351" t="s">
        <v>5087</v>
      </c>
      <c r="F351" t="s">
        <v>5087</v>
      </c>
      <c r="G351" t="s">
        <v>5099</v>
      </c>
      <c r="H351" t="s">
        <v>51</v>
      </c>
      <c r="I351" t="s">
        <v>52</v>
      </c>
      <c r="J351" t="str">
        <f>"0501149"</f>
        <v>0501149</v>
      </c>
      <c r="K351">
        <v>2105747120</v>
      </c>
      <c r="L351">
        <v>2105747120</v>
      </c>
      <c r="M351" t="s">
        <v>5382</v>
      </c>
      <c r="N351" t="s">
        <v>5087</v>
      </c>
      <c r="O351" t="s">
        <v>5383</v>
      </c>
      <c r="P351">
        <v>12136</v>
      </c>
      <c r="Q351" t="str">
        <f>"38.008115"</f>
        <v>38.008115</v>
      </c>
      <c r="R351" t="str">
        <f>"23.681093"</f>
        <v>23.681093</v>
      </c>
      <c r="S351" t="s">
        <v>26</v>
      </c>
    </row>
    <row r="352" spans="1:19" x14ac:dyDescent="0.3">
      <c r="A352" t="s">
        <v>3237</v>
      </c>
      <c r="B352" t="s">
        <v>5080</v>
      </c>
      <c r="C352" t="s">
        <v>5385</v>
      </c>
      <c r="D352" t="s">
        <v>3251</v>
      </c>
      <c r="E352" t="s">
        <v>3290</v>
      </c>
      <c r="F352" t="s">
        <v>3290</v>
      </c>
      <c r="G352" t="s">
        <v>3290</v>
      </c>
      <c r="H352" t="s">
        <v>51</v>
      </c>
      <c r="I352" t="s">
        <v>52</v>
      </c>
      <c r="J352" t="str">
        <f>"0501067"</f>
        <v>0501067</v>
      </c>
      <c r="K352">
        <v>2105737919</v>
      </c>
      <c r="L352">
        <v>2105737919</v>
      </c>
      <c r="M352" t="s">
        <v>5386</v>
      </c>
      <c r="N352" t="s">
        <v>3293</v>
      </c>
      <c r="O352" t="s">
        <v>5387</v>
      </c>
      <c r="P352">
        <v>13121</v>
      </c>
      <c r="Q352" t="str">
        <f>"38.021036"</f>
        <v>38.021036</v>
      </c>
      <c r="R352" t="str">
        <f>"23.707362"</f>
        <v>23.707362</v>
      </c>
      <c r="S352" t="s">
        <v>26</v>
      </c>
    </row>
    <row r="353" spans="1:19" x14ac:dyDescent="0.3">
      <c r="A353" t="s">
        <v>3237</v>
      </c>
      <c r="B353" t="s">
        <v>5080</v>
      </c>
      <c r="C353" t="s">
        <v>5388</v>
      </c>
      <c r="D353" t="s">
        <v>3251</v>
      </c>
      <c r="E353" t="s">
        <v>5171</v>
      </c>
      <c r="F353" t="s">
        <v>5171</v>
      </c>
      <c r="G353" t="s">
        <v>5171</v>
      </c>
      <c r="H353" t="s">
        <v>51</v>
      </c>
      <c r="I353" t="s">
        <v>52</v>
      </c>
      <c r="J353" t="str">
        <f>"0501539"</f>
        <v>0501539</v>
      </c>
      <c r="K353">
        <v>2105010030</v>
      </c>
      <c r="L353">
        <v>2105010030</v>
      </c>
      <c r="M353" t="s">
        <v>5389</v>
      </c>
      <c r="N353" t="s">
        <v>5174</v>
      </c>
      <c r="O353" t="s">
        <v>5390</v>
      </c>
      <c r="P353">
        <v>13231</v>
      </c>
      <c r="Q353" t="str">
        <f>"38.036368"</f>
        <v>38.036368</v>
      </c>
      <c r="R353" t="str">
        <f>"23.674550"</f>
        <v>23.674550</v>
      </c>
      <c r="S353" t="s">
        <v>26</v>
      </c>
    </row>
    <row r="354" spans="1:19" x14ac:dyDescent="0.3">
      <c r="A354" t="s">
        <v>3237</v>
      </c>
      <c r="B354" t="s">
        <v>5080</v>
      </c>
      <c r="C354" t="s">
        <v>5391</v>
      </c>
      <c r="D354" t="s">
        <v>3251</v>
      </c>
      <c r="E354" t="s">
        <v>5121</v>
      </c>
      <c r="F354" t="s">
        <v>5127</v>
      </c>
      <c r="G354" t="s">
        <v>5127</v>
      </c>
      <c r="H354" t="s">
        <v>51</v>
      </c>
      <c r="I354" t="s">
        <v>52</v>
      </c>
      <c r="J354" t="str">
        <f>"0501606"</f>
        <v>0501606</v>
      </c>
      <c r="K354">
        <v>2102386840</v>
      </c>
      <c r="L354">
        <v>2102386840</v>
      </c>
      <c r="M354" t="s">
        <v>5392</v>
      </c>
      <c r="N354" t="s">
        <v>5130</v>
      </c>
      <c r="O354" t="s">
        <v>5393</v>
      </c>
      <c r="P354">
        <v>13451</v>
      </c>
      <c r="Q354" t="str">
        <f>"38.056358"</f>
        <v>38.056358</v>
      </c>
      <c r="R354" t="str">
        <f>"23.705099"</f>
        <v>23.705099</v>
      </c>
      <c r="S354" t="s">
        <v>26</v>
      </c>
    </row>
    <row r="355" spans="1:19" x14ac:dyDescent="0.3">
      <c r="A355" t="s">
        <v>3237</v>
      </c>
      <c r="B355" t="s">
        <v>5080</v>
      </c>
      <c r="C355" t="s">
        <v>5394</v>
      </c>
      <c r="D355" t="s">
        <v>3251</v>
      </c>
      <c r="E355" t="s">
        <v>5199</v>
      </c>
      <c r="F355" t="s">
        <v>5200</v>
      </c>
      <c r="G355" t="s">
        <v>5200</v>
      </c>
      <c r="H355" t="s">
        <v>51</v>
      </c>
      <c r="I355" t="s">
        <v>52</v>
      </c>
      <c r="J355" t="str">
        <f>"0501567"</f>
        <v>0501567</v>
      </c>
      <c r="K355">
        <v>2105822481</v>
      </c>
      <c r="L355">
        <v>2105322047</v>
      </c>
      <c r="M355" t="s">
        <v>5395</v>
      </c>
      <c r="N355" t="s">
        <v>5203</v>
      </c>
      <c r="O355" t="s">
        <v>5396</v>
      </c>
      <c r="P355">
        <v>12461</v>
      </c>
      <c r="Q355" t="str">
        <f>"38.009166"</f>
        <v>38.009166</v>
      </c>
      <c r="R355" t="str">
        <f>"23.650264"</f>
        <v>23.650264</v>
      </c>
      <c r="S355" t="s">
        <v>26</v>
      </c>
    </row>
    <row r="356" spans="1:19" x14ac:dyDescent="0.3">
      <c r="A356" t="s">
        <v>3237</v>
      </c>
      <c r="B356" t="s">
        <v>5080</v>
      </c>
      <c r="C356" t="s">
        <v>5398</v>
      </c>
      <c r="D356" t="s">
        <v>3251</v>
      </c>
      <c r="E356" t="s">
        <v>3290</v>
      </c>
      <c r="F356" t="s">
        <v>3290</v>
      </c>
      <c r="G356" t="s">
        <v>3290</v>
      </c>
      <c r="H356" t="s">
        <v>51</v>
      </c>
      <c r="I356" t="s">
        <v>52</v>
      </c>
      <c r="J356" t="str">
        <f>"0501537"</f>
        <v>0501537</v>
      </c>
      <c r="K356">
        <v>2105011783</v>
      </c>
      <c r="L356">
        <v>2105011783</v>
      </c>
      <c r="M356" t="s">
        <v>5399</v>
      </c>
      <c r="N356" t="s">
        <v>5083</v>
      </c>
      <c r="O356" t="s">
        <v>5400</v>
      </c>
      <c r="P356">
        <v>13123</v>
      </c>
      <c r="Q356" t="str">
        <f>"38.038244"</f>
        <v>38.038244</v>
      </c>
      <c r="R356" t="str">
        <f>"23.699545"</f>
        <v>23.699545</v>
      </c>
      <c r="S356" t="s">
        <v>26</v>
      </c>
    </row>
    <row r="357" spans="1:19" x14ac:dyDescent="0.3">
      <c r="A357" t="s">
        <v>3237</v>
      </c>
      <c r="B357" t="s">
        <v>5080</v>
      </c>
      <c r="C357" t="s">
        <v>5402</v>
      </c>
      <c r="D357" t="s">
        <v>3251</v>
      </c>
      <c r="E357" t="s">
        <v>5171</v>
      </c>
      <c r="F357" t="s">
        <v>5171</v>
      </c>
      <c r="G357" t="s">
        <v>5171</v>
      </c>
      <c r="H357" t="s">
        <v>51</v>
      </c>
      <c r="I357" t="s">
        <v>52</v>
      </c>
      <c r="J357" t="str">
        <f>"0501532"</f>
        <v>0501532</v>
      </c>
      <c r="K357">
        <v>2105062181</v>
      </c>
      <c r="L357">
        <v>2105062281</v>
      </c>
      <c r="M357" t="s">
        <v>5403</v>
      </c>
      <c r="N357" t="s">
        <v>5174</v>
      </c>
      <c r="O357" t="s">
        <v>5404</v>
      </c>
      <c r="P357">
        <v>13231</v>
      </c>
      <c r="Q357" t="str">
        <f>"38.037788"</f>
        <v>38.037788</v>
      </c>
      <c r="R357" t="str">
        <f>"23.683829"</f>
        <v>23.683829</v>
      </c>
      <c r="S357" t="s">
        <v>26</v>
      </c>
    </row>
    <row r="358" spans="1:19" x14ac:dyDescent="0.3">
      <c r="A358" t="s">
        <v>3237</v>
      </c>
      <c r="B358" t="s">
        <v>5080</v>
      </c>
      <c r="C358" t="s">
        <v>5408</v>
      </c>
      <c r="D358" t="s">
        <v>3251</v>
      </c>
      <c r="E358" t="s">
        <v>3252</v>
      </c>
      <c r="F358" t="s">
        <v>3252</v>
      </c>
      <c r="G358" t="s">
        <v>3252</v>
      </c>
      <c r="H358" t="s">
        <v>51</v>
      </c>
      <c r="I358" t="s">
        <v>52</v>
      </c>
      <c r="J358" t="str">
        <f>"0501451"</f>
        <v>0501451</v>
      </c>
      <c r="K358">
        <v>2105980220</v>
      </c>
      <c r="L358">
        <v>2105980224</v>
      </c>
      <c r="M358" t="s">
        <v>5409</v>
      </c>
      <c r="N358" t="s">
        <v>3252</v>
      </c>
      <c r="O358" t="s">
        <v>5185</v>
      </c>
      <c r="P358">
        <v>12243</v>
      </c>
      <c r="Q358" t="str">
        <f>"37.999396"</f>
        <v>37.999396</v>
      </c>
      <c r="R358" t="str">
        <f>"23.677933"</f>
        <v>23.677933</v>
      </c>
      <c r="S358" t="s">
        <v>26</v>
      </c>
    </row>
    <row r="359" spans="1:19" x14ac:dyDescent="0.3">
      <c r="A359" t="s">
        <v>3237</v>
      </c>
      <c r="B359" t="s">
        <v>5080</v>
      </c>
      <c r="C359" t="s">
        <v>5411</v>
      </c>
      <c r="D359" t="s">
        <v>3251</v>
      </c>
      <c r="E359" t="s">
        <v>5121</v>
      </c>
      <c r="F359" t="s">
        <v>5127</v>
      </c>
      <c r="G359" t="s">
        <v>5127</v>
      </c>
      <c r="H359" t="s">
        <v>51</v>
      </c>
      <c r="I359" t="s">
        <v>52</v>
      </c>
      <c r="J359" t="str">
        <f>"0501605"</f>
        <v>0501605</v>
      </c>
      <c r="K359">
        <v>2102313680</v>
      </c>
      <c r="L359">
        <v>2102383848</v>
      </c>
      <c r="M359" t="s">
        <v>5412</v>
      </c>
      <c r="N359" t="s">
        <v>5130</v>
      </c>
      <c r="O359" t="s">
        <v>5413</v>
      </c>
      <c r="P359">
        <v>13451</v>
      </c>
      <c r="Q359" t="str">
        <f>"38.049998"</f>
        <v>38.049998</v>
      </c>
      <c r="R359" t="str">
        <f>"23.704908"</f>
        <v>23.704908</v>
      </c>
      <c r="S359" t="s">
        <v>26</v>
      </c>
    </row>
    <row r="360" spans="1:19" x14ac:dyDescent="0.3">
      <c r="A360" t="s">
        <v>3237</v>
      </c>
      <c r="B360" t="s">
        <v>5080</v>
      </c>
      <c r="C360" t="s">
        <v>5414</v>
      </c>
      <c r="D360" t="s">
        <v>3251</v>
      </c>
      <c r="E360" t="s">
        <v>5087</v>
      </c>
      <c r="F360" t="s">
        <v>5087</v>
      </c>
      <c r="G360" t="s">
        <v>5088</v>
      </c>
      <c r="H360" t="s">
        <v>51</v>
      </c>
      <c r="I360" t="s">
        <v>52</v>
      </c>
      <c r="J360" t="str">
        <f>"0501656"</f>
        <v>0501656</v>
      </c>
      <c r="K360">
        <v>2105767073</v>
      </c>
      <c r="L360">
        <v>2105747089</v>
      </c>
      <c r="M360" t="s">
        <v>5415</v>
      </c>
      <c r="N360" t="s">
        <v>5102</v>
      </c>
      <c r="O360" t="s">
        <v>5416</v>
      </c>
      <c r="P360">
        <v>12135</v>
      </c>
      <c r="Q360" t="str">
        <f>"38.021246"</f>
        <v>38.021246</v>
      </c>
      <c r="R360" t="str">
        <f>"23.686741"</f>
        <v>23.686741</v>
      </c>
      <c r="S360" t="s">
        <v>26</v>
      </c>
    </row>
    <row r="361" spans="1:19" x14ac:dyDescent="0.3">
      <c r="A361" t="s">
        <v>3237</v>
      </c>
      <c r="B361" t="s">
        <v>5080</v>
      </c>
      <c r="C361" t="s">
        <v>5418</v>
      </c>
      <c r="D361" t="s">
        <v>3251</v>
      </c>
      <c r="E361" t="s">
        <v>5162</v>
      </c>
      <c r="F361" t="s">
        <v>5162</v>
      </c>
      <c r="G361" t="s">
        <v>5162</v>
      </c>
      <c r="H361" t="s">
        <v>51</v>
      </c>
      <c r="I361" t="s">
        <v>52</v>
      </c>
      <c r="J361" t="str">
        <f>"0501453"</f>
        <v>0501453</v>
      </c>
      <c r="K361">
        <v>2105618948</v>
      </c>
      <c r="L361">
        <v>2105694114</v>
      </c>
      <c r="M361" t="s">
        <v>5419</v>
      </c>
      <c r="N361" t="s">
        <v>5165</v>
      </c>
      <c r="O361" t="s">
        <v>5420</v>
      </c>
      <c r="P361">
        <v>12351</v>
      </c>
      <c r="Q361" t="str">
        <f>"37.995021"</f>
        <v>37.995021</v>
      </c>
      <c r="R361" t="str">
        <f>"23.663084"</f>
        <v>23.663084</v>
      </c>
      <c r="S361" t="s">
        <v>26</v>
      </c>
    </row>
    <row r="362" spans="1:19" x14ac:dyDescent="0.3">
      <c r="A362" t="s">
        <v>3237</v>
      </c>
      <c r="B362" t="s">
        <v>5080</v>
      </c>
      <c r="C362" t="s">
        <v>5421</v>
      </c>
      <c r="D362" t="s">
        <v>3251</v>
      </c>
      <c r="E362" t="s">
        <v>5199</v>
      </c>
      <c r="F362" t="s">
        <v>5200</v>
      </c>
      <c r="G362" t="s">
        <v>5200</v>
      </c>
      <c r="H362" t="s">
        <v>51</v>
      </c>
      <c r="I362" t="s">
        <v>52</v>
      </c>
      <c r="J362" t="str">
        <f>"0501568"</f>
        <v>0501568</v>
      </c>
      <c r="K362">
        <v>2105821732</v>
      </c>
      <c r="L362">
        <v>2105322712</v>
      </c>
      <c r="M362" t="s">
        <v>5422</v>
      </c>
      <c r="N362" t="s">
        <v>5203</v>
      </c>
      <c r="O362" t="s">
        <v>5423</v>
      </c>
      <c r="P362">
        <v>12462</v>
      </c>
      <c r="Q362" t="str">
        <f>"38.014742"</f>
        <v>38.014742</v>
      </c>
      <c r="R362" t="str">
        <f>"23.655901"</f>
        <v>23.655901</v>
      </c>
      <c r="S362" t="s">
        <v>26</v>
      </c>
    </row>
    <row r="363" spans="1:19" x14ac:dyDescent="0.3">
      <c r="A363" t="s">
        <v>3237</v>
      </c>
      <c r="B363" t="s">
        <v>5080</v>
      </c>
      <c r="C363" t="s">
        <v>5424</v>
      </c>
      <c r="D363" t="s">
        <v>3251</v>
      </c>
      <c r="E363" t="s">
        <v>5087</v>
      </c>
      <c r="F363" t="s">
        <v>5087</v>
      </c>
      <c r="G363" t="s">
        <v>5116</v>
      </c>
      <c r="H363" t="s">
        <v>51</v>
      </c>
      <c r="I363" t="s">
        <v>52</v>
      </c>
      <c r="J363" t="str">
        <f>"0501140"</f>
        <v>0501140</v>
      </c>
      <c r="K363">
        <v>2105711701</v>
      </c>
      <c r="L363">
        <v>2105785156</v>
      </c>
      <c r="M363" t="s">
        <v>5425</v>
      </c>
      <c r="N363" t="s">
        <v>5102</v>
      </c>
      <c r="O363" t="s">
        <v>5426</v>
      </c>
      <c r="P363">
        <v>12132</v>
      </c>
      <c r="Q363" t="str">
        <f>"38.008114"</f>
        <v>38.008114</v>
      </c>
      <c r="R363" t="str">
        <f>"23.701613"</f>
        <v>23.701613</v>
      </c>
      <c r="S363" t="s">
        <v>26</v>
      </c>
    </row>
    <row r="364" spans="1:19" x14ac:dyDescent="0.3">
      <c r="A364" t="s">
        <v>3237</v>
      </c>
      <c r="B364" t="s">
        <v>5080</v>
      </c>
      <c r="C364" t="s">
        <v>5427</v>
      </c>
      <c r="D364" t="s">
        <v>3251</v>
      </c>
      <c r="E364" t="s">
        <v>5162</v>
      </c>
      <c r="F364" t="s">
        <v>5162</v>
      </c>
      <c r="G364" t="s">
        <v>5162</v>
      </c>
      <c r="H364" t="s">
        <v>51</v>
      </c>
      <c r="I364" t="s">
        <v>52</v>
      </c>
      <c r="J364" t="str">
        <f>"0501457"</f>
        <v>0501457</v>
      </c>
      <c r="K364">
        <v>2105610438</v>
      </c>
      <c r="L364">
        <v>2105610438</v>
      </c>
      <c r="M364" t="s">
        <v>5428</v>
      </c>
      <c r="N364" t="s">
        <v>5429</v>
      </c>
      <c r="O364" t="s">
        <v>5430</v>
      </c>
      <c r="P364">
        <v>12351</v>
      </c>
      <c r="Q364" t="str">
        <f>"37.993930"</f>
        <v>37.993930</v>
      </c>
      <c r="R364" t="str">
        <f>"23.661990"</f>
        <v>23.661990</v>
      </c>
      <c r="S364" t="s">
        <v>26</v>
      </c>
    </row>
    <row r="365" spans="1:19" x14ac:dyDescent="0.3">
      <c r="A365" t="s">
        <v>3237</v>
      </c>
      <c r="B365" t="s">
        <v>5080</v>
      </c>
      <c r="C365" t="s">
        <v>5432</v>
      </c>
      <c r="D365" t="s">
        <v>3251</v>
      </c>
      <c r="E365" t="s">
        <v>5121</v>
      </c>
      <c r="F365" t="s">
        <v>5127</v>
      </c>
      <c r="G365" t="s">
        <v>5127</v>
      </c>
      <c r="H365" t="s">
        <v>51</v>
      </c>
      <c r="I365" t="s">
        <v>52</v>
      </c>
      <c r="J365" t="str">
        <f>"0501602"</f>
        <v>0501602</v>
      </c>
      <c r="K365">
        <v>2102311488</v>
      </c>
      <c r="M365" t="s">
        <v>5433</v>
      </c>
      <c r="N365" t="s">
        <v>5127</v>
      </c>
      <c r="O365" t="s">
        <v>5434</v>
      </c>
      <c r="P365">
        <v>13451</v>
      </c>
      <c r="Q365" t="str">
        <f>"38.049623"</f>
        <v>38.049623</v>
      </c>
      <c r="R365" t="str">
        <f>"23.722379"</f>
        <v>23.722379</v>
      </c>
      <c r="S365" t="s">
        <v>26</v>
      </c>
    </row>
    <row r="366" spans="1:19" x14ac:dyDescent="0.3">
      <c r="A366" t="s">
        <v>3237</v>
      </c>
      <c r="B366" t="s">
        <v>5080</v>
      </c>
      <c r="C366" t="s">
        <v>5435</v>
      </c>
      <c r="D366" t="s">
        <v>3251</v>
      </c>
      <c r="E366" t="s">
        <v>5171</v>
      </c>
      <c r="F366" t="s">
        <v>5171</v>
      </c>
      <c r="G366" t="s">
        <v>5171</v>
      </c>
      <c r="H366" t="s">
        <v>51</v>
      </c>
      <c r="I366" t="s">
        <v>52</v>
      </c>
      <c r="J366" t="str">
        <f>"0501536"</f>
        <v>0501536</v>
      </c>
      <c r="K366">
        <v>2105013116</v>
      </c>
      <c r="L366">
        <v>2105013116</v>
      </c>
      <c r="M366" t="s">
        <v>5436</v>
      </c>
      <c r="N366" t="s">
        <v>5340</v>
      </c>
      <c r="O366" t="s">
        <v>5437</v>
      </c>
      <c r="P366">
        <v>13231</v>
      </c>
      <c r="Q366" t="str">
        <f>"38.045904"</f>
        <v>38.045904</v>
      </c>
      <c r="R366" t="str">
        <f>"23.689013"</f>
        <v>23.689013</v>
      </c>
      <c r="S366" t="s">
        <v>26</v>
      </c>
    </row>
    <row r="367" spans="1:19" x14ac:dyDescent="0.3">
      <c r="A367" t="s">
        <v>3237</v>
      </c>
      <c r="B367" t="s">
        <v>5080</v>
      </c>
      <c r="C367" t="s">
        <v>5438</v>
      </c>
      <c r="D367" t="s">
        <v>3251</v>
      </c>
      <c r="E367" t="s">
        <v>3290</v>
      </c>
      <c r="F367" t="s">
        <v>3290</v>
      </c>
      <c r="G367" t="s">
        <v>3290</v>
      </c>
      <c r="H367" t="s">
        <v>51</v>
      </c>
      <c r="I367" t="s">
        <v>52</v>
      </c>
      <c r="J367" t="str">
        <f>"0501657"</f>
        <v>0501657</v>
      </c>
      <c r="K367">
        <v>2105729460</v>
      </c>
      <c r="L367">
        <v>2105766717</v>
      </c>
      <c r="M367" t="s">
        <v>5439</v>
      </c>
      <c r="N367" t="s">
        <v>3293</v>
      </c>
      <c r="O367" t="s">
        <v>5440</v>
      </c>
      <c r="P367">
        <v>13121</v>
      </c>
      <c r="Q367" t="str">
        <f>"38.027816"</f>
        <v>38.027816</v>
      </c>
      <c r="R367" t="str">
        <f>"23.695151"</f>
        <v>23.695151</v>
      </c>
      <c r="S367" t="s">
        <v>26</v>
      </c>
    </row>
    <row r="368" spans="1:19" x14ac:dyDescent="0.3">
      <c r="A368" t="s">
        <v>3237</v>
      </c>
      <c r="B368" t="s">
        <v>5080</v>
      </c>
      <c r="C368" t="s">
        <v>5441</v>
      </c>
      <c r="D368" t="s">
        <v>3251</v>
      </c>
      <c r="E368" t="s">
        <v>5087</v>
      </c>
      <c r="F368" t="s">
        <v>5087</v>
      </c>
      <c r="G368" t="s">
        <v>5099</v>
      </c>
      <c r="H368" t="s">
        <v>51</v>
      </c>
      <c r="I368" t="s">
        <v>52</v>
      </c>
      <c r="J368" t="str">
        <f>"0501640"</f>
        <v>0501640</v>
      </c>
      <c r="K368">
        <v>2105725531</v>
      </c>
      <c r="L368">
        <v>2105786121</v>
      </c>
      <c r="M368" t="s">
        <v>5442</v>
      </c>
      <c r="N368" t="s">
        <v>5102</v>
      </c>
      <c r="O368" t="s">
        <v>5443</v>
      </c>
      <c r="P368">
        <v>12136</v>
      </c>
      <c r="Q368" t="str">
        <f>"38.012097"</f>
        <v>38.012097</v>
      </c>
      <c r="R368" t="str">
        <f>"23.685999"</f>
        <v>23.685999</v>
      </c>
      <c r="S368" t="s">
        <v>26</v>
      </c>
    </row>
    <row r="369" spans="1:19" x14ac:dyDescent="0.3">
      <c r="A369" t="s">
        <v>3237</v>
      </c>
      <c r="B369" t="s">
        <v>5080</v>
      </c>
      <c r="C369" t="s">
        <v>5444</v>
      </c>
      <c r="D369" t="s">
        <v>3251</v>
      </c>
      <c r="E369" t="s">
        <v>5171</v>
      </c>
      <c r="F369" t="s">
        <v>5171</v>
      </c>
      <c r="G369" t="s">
        <v>5171</v>
      </c>
      <c r="H369" t="s">
        <v>51</v>
      </c>
      <c r="I369" t="s">
        <v>52</v>
      </c>
      <c r="J369" t="str">
        <f>"0501538"</f>
        <v>0501538</v>
      </c>
      <c r="K369">
        <v>2105055940</v>
      </c>
      <c r="L369">
        <v>2105014899</v>
      </c>
      <c r="M369" t="s">
        <v>5445</v>
      </c>
      <c r="N369" t="s">
        <v>5174</v>
      </c>
      <c r="O369" t="s">
        <v>5446</v>
      </c>
      <c r="P369">
        <v>13231</v>
      </c>
      <c r="Q369" t="str">
        <f>"38.037205"</f>
        <v>38.037205</v>
      </c>
      <c r="R369" t="str">
        <f>"23.683711"</f>
        <v>23.683711</v>
      </c>
      <c r="S369" t="s">
        <v>26</v>
      </c>
    </row>
    <row r="370" spans="1:19" x14ac:dyDescent="0.3">
      <c r="A370" t="s">
        <v>3237</v>
      </c>
      <c r="B370" t="s">
        <v>5080</v>
      </c>
      <c r="C370" t="s">
        <v>5448</v>
      </c>
      <c r="D370" t="s">
        <v>3251</v>
      </c>
      <c r="E370" t="s">
        <v>5171</v>
      </c>
      <c r="F370" t="s">
        <v>5171</v>
      </c>
      <c r="G370" t="s">
        <v>5171</v>
      </c>
      <c r="H370" t="s">
        <v>51</v>
      </c>
      <c r="I370" t="s">
        <v>52</v>
      </c>
      <c r="J370" t="str">
        <f>"0501533"</f>
        <v>0501533</v>
      </c>
      <c r="K370">
        <v>2105016118</v>
      </c>
      <c r="L370">
        <v>2105016118</v>
      </c>
      <c r="M370" t="s">
        <v>5449</v>
      </c>
      <c r="N370" t="s">
        <v>5174</v>
      </c>
      <c r="O370" t="s">
        <v>5437</v>
      </c>
      <c r="P370">
        <v>13231</v>
      </c>
      <c r="Q370" t="str">
        <f>"38.045904"</f>
        <v>38.045904</v>
      </c>
      <c r="R370" t="str">
        <f>"23.689013"</f>
        <v>23.689013</v>
      </c>
      <c r="S370" t="s">
        <v>26</v>
      </c>
    </row>
    <row r="371" spans="1:19" x14ac:dyDescent="0.3">
      <c r="A371" t="s">
        <v>3237</v>
      </c>
      <c r="B371" t="s">
        <v>5080</v>
      </c>
      <c r="C371" t="s">
        <v>5450</v>
      </c>
      <c r="D371" t="s">
        <v>3251</v>
      </c>
      <c r="E371" t="s">
        <v>3290</v>
      </c>
      <c r="F371" t="s">
        <v>3290</v>
      </c>
      <c r="G371" t="s">
        <v>3290</v>
      </c>
      <c r="H371" t="s">
        <v>51</v>
      </c>
      <c r="I371" t="s">
        <v>199</v>
      </c>
      <c r="J371" t="str">
        <f>"0550560"</f>
        <v>0550560</v>
      </c>
      <c r="K371">
        <v>2102314108</v>
      </c>
      <c r="L371">
        <v>2102386220</v>
      </c>
      <c r="M371" t="s">
        <v>5451</v>
      </c>
      <c r="N371" t="s">
        <v>3293</v>
      </c>
      <c r="O371" t="s">
        <v>5452</v>
      </c>
      <c r="P371">
        <v>13122</v>
      </c>
      <c r="Q371" t="str">
        <f>"38.048635"</f>
        <v>38.048635</v>
      </c>
      <c r="R371" t="str">
        <f>"23.717863"</f>
        <v>23.717863</v>
      </c>
      <c r="S371" t="s">
        <v>26</v>
      </c>
    </row>
    <row r="372" spans="1:19" x14ac:dyDescent="0.3">
      <c r="A372" t="s">
        <v>3237</v>
      </c>
      <c r="B372" t="s">
        <v>5080</v>
      </c>
      <c r="C372" t="s">
        <v>5453</v>
      </c>
      <c r="D372" t="s">
        <v>3251</v>
      </c>
      <c r="E372" t="s">
        <v>5162</v>
      </c>
      <c r="F372" t="s">
        <v>5162</v>
      </c>
      <c r="G372" t="s">
        <v>5162</v>
      </c>
      <c r="H372" t="s">
        <v>51</v>
      </c>
      <c r="I372" t="s">
        <v>52</v>
      </c>
      <c r="J372" t="str">
        <f>"0501452"</f>
        <v>0501452</v>
      </c>
      <c r="K372">
        <v>2105620646</v>
      </c>
      <c r="L372">
        <v>2105610434</v>
      </c>
      <c r="M372" t="s">
        <v>5454</v>
      </c>
      <c r="N372" t="s">
        <v>5162</v>
      </c>
      <c r="O372" t="s">
        <v>5455</v>
      </c>
      <c r="P372">
        <v>12351</v>
      </c>
      <c r="Q372" t="str">
        <f>"37.991777"</f>
        <v>37.991777</v>
      </c>
      <c r="R372" t="str">
        <f>"23.648382"</f>
        <v>23.648382</v>
      </c>
      <c r="S372" t="s">
        <v>26</v>
      </c>
    </row>
    <row r="373" spans="1:19" x14ac:dyDescent="0.3">
      <c r="A373" t="s">
        <v>3237</v>
      </c>
      <c r="B373" t="s">
        <v>5080</v>
      </c>
      <c r="C373" t="s">
        <v>5457</v>
      </c>
      <c r="D373" t="s">
        <v>3251</v>
      </c>
      <c r="E373" t="s">
        <v>5121</v>
      </c>
      <c r="F373" t="s">
        <v>5085</v>
      </c>
      <c r="G373" t="s">
        <v>5085</v>
      </c>
      <c r="H373" t="s">
        <v>51</v>
      </c>
      <c r="I373" t="s">
        <v>3708</v>
      </c>
      <c r="J373" t="str">
        <f>"0501005"</f>
        <v>0501005</v>
      </c>
      <c r="K373">
        <v>2102691920</v>
      </c>
      <c r="L373">
        <v>2102625829</v>
      </c>
      <c r="M373" t="s">
        <v>5458</v>
      </c>
      <c r="N373" t="s">
        <v>5159</v>
      </c>
      <c r="O373" t="s">
        <v>5459</v>
      </c>
      <c r="P373">
        <v>13561</v>
      </c>
      <c r="Q373" t="str">
        <f>"38.027111"</f>
        <v>38.027111</v>
      </c>
      <c r="R373" t="str">
        <f>"23.725313"</f>
        <v>23.725313</v>
      </c>
      <c r="S373" t="s">
        <v>26</v>
      </c>
    </row>
    <row r="374" spans="1:19" x14ac:dyDescent="0.3">
      <c r="A374" t="s">
        <v>3237</v>
      </c>
      <c r="B374" t="s">
        <v>5080</v>
      </c>
      <c r="C374" t="s">
        <v>5460</v>
      </c>
      <c r="D374" t="s">
        <v>3251</v>
      </c>
      <c r="E374" t="s">
        <v>5199</v>
      </c>
      <c r="F374" t="s">
        <v>5200</v>
      </c>
      <c r="G374" t="s">
        <v>5200</v>
      </c>
      <c r="H374" t="s">
        <v>51</v>
      </c>
      <c r="I374" t="s">
        <v>52</v>
      </c>
      <c r="J374" t="str">
        <f>"0501561"</f>
        <v>0501561</v>
      </c>
      <c r="K374">
        <v>2105317402</v>
      </c>
      <c r="L374">
        <v>2105315765</v>
      </c>
      <c r="M374" t="s">
        <v>5461</v>
      </c>
      <c r="N374" t="s">
        <v>5203</v>
      </c>
      <c r="O374" t="s">
        <v>5462</v>
      </c>
      <c r="P374">
        <v>12461</v>
      </c>
      <c r="Q374" t="str">
        <f>"38.010015"</f>
        <v>38.010015</v>
      </c>
      <c r="R374" t="str">
        <f>"23.667462"</f>
        <v>23.667462</v>
      </c>
      <c r="S374" t="s">
        <v>26</v>
      </c>
    </row>
    <row r="375" spans="1:19" x14ac:dyDescent="0.3">
      <c r="A375" t="s">
        <v>3237</v>
      </c>
      <c r="B375" t="s">
        <v>5080</v>
      </c>
      <c r="C375" t="s">
        <v>5464</v>
      </c>
      <c r="D375" t="s">
        <v>3251</v>
      </c>
      <c r="E375" t="s">
        <v>3290</v>
      </c>
      <c r="F375" t="s">
        <v>3290</v>
      </c>
      <c r="G375" t="s">
        <v>3290</v>
      </c>
      <c r="H375" t="s">
        <v>51</v>
      </c>
      <c r="I375" t="s">
        <v>190</v>
      </c>
      <c r="J375" t="str">
        <f>"0501563"</f>
        <v>0501563</v>
      </c>
      <c r="K375">
        <v>2102384855</v>
      </c>
      <c r="L375">
        <v>2105061713</v>
      </c>
      <c r="M375" t="s">
        <v>5465</v>
      </c>
      <c r="N375" t="s">
        <v>3293</v>
      </c>
      <c r="O375" t="s">
        <v>5466</v>
      </c>
      <c r="P375">
        <v>13122</v>
      </c>
      <c r="Q375" t="str">
        <f>"38.046288"</f>
        <v>38.046288</v>
      </c>
      <c r="R375" t="str">
        <f>"23.725536"</f>
        <v>23.725536</v>
      </c>
      <c r="S375" t="s">
        <v>26</v>
      </c>
    </row>
    <row r="376" spans="1:19" x14ac:dyDescent="0.3">
      <c r="A376" t="s">
        <v>3237</v>
      </c>
      <c r="B376" t="s">
        <v>5080</v>
      </c>
      <c r="C376" t="s">
        <v>5467</v>
      </c>
      <c r="D376" t="s">
        <v>3251</v>
      </c>
      <c r="E376" t="s">
        <v>5121</v>
      </c>
      <c r="F376" t="s">
        <v>5085</v>
      </c>
      <c r="G376" t="s">
        <v>5085</v>
      </c>
      <c r="H376" t="s">
        <v>51</v>
      </c>
      <c r="I376" t="s">
        <v>184</v>
      </c>
      <c r="J376" t="str">
        <f>"0501609"</f>
        <v>0501609</v>
      </c>
      <c r="K376">
        <v>2102693186</v>
      </c>
      <c r="L376">
        <v>2102692508</v>
      </c>
      <c r="M376" t="s">
        <v>5468</v>
      </c>
      <c r="N376" t="s">
        <v>5159</v>
      </c>
      <c r="O376" t="s">
        <v>5469</v>
      </c>
      <c r="P376">
        <v>13561</v>
      </c>
      <c r="Q376" t="str">
        <f>"38.027111"</f>
        <v>38.027111</v>
      </c>
      <c r="R376" t="str">
        <f>"23.725313"</f>
        <v>23.725313</v>
      </c>
      <c r="S376" t="s">
        <v>26</v>
      </c>
    </row>
    <row r="377" spans="1:19" x14ac:dyDescent="0.3">
      <c r="A377" t="s">
        <v>3237</v>
      </c>
      <c r="B377" t="s">
        <v>5080</v>
      </c>
      <c r="C377" t="s">
        <v>5470</v>
      </c>
      <c r="D377" t="s">
        <v>3251</v>
      </c>
      <c r="E377" t="s">
        <v>5087</v>
      </c>
      <c r="F377" t="s">
        <v>5087</v>
      </c>
      <c r="G377" t="s">
        <v>5088</v>
      </c>
      <c r="H377" t="s">
        <v>51</v>
      </c>
      <c r="I377" t="s">
        <v>52</v>
      </c>
      <c r="J377" t="str">
        <f>"0501727"</f>
        <v>0501727</v>
      </c>
      <c r="K377">
        <v>2105722410</v>
      </c>
      <c r="M377" t="s">
        <v>5471</v>
      </c>
      <c r="N377" t="s">
        <v>5102</v>
      </c>
      <c r="O377" t="s">
        <v>5472</v>
      </c>
      <c r="P377">
        <v>12137</v>
      </c>
      <c r="Q377" t="str">
        <f>"38.027658"</f>
        <v>38.027658</v>
      </c>
      <c r="R377" t="str">
        <f>"23.680145"</f>
        <v>23.680145</v>
      </c>
      <c r="S377" t="s">
        <v>26</v>
      </c>
    </row>
    <row r="378" spans="1:19" x14ac:dyDescent="0.3">
      <c r="A378" t="s">
        <v>3237</v>
      </c>
      <c r="B378" t="s">
        <v>5080</v>
      </c>
      <c r="C378" t="s">
        <v>5474</v>
      </c>
      <c r="D378" t="s">
        <v>3251</v>
      </c>
      <c r="E378" t="s">
        <v>3252</v>
      </c>
      <c r="F378" t="s">
        <v>3252</v>
      </c>
      <c r="G378" t="s">
        <v>3252</v>
      </c>
      <c r="H378" t="s">
        <v>51</v>
      </c>
      <c r="I378" t="s">
        <v>52</v>
      </c>
      <c r="J378" t="str">
        <f>"0501446"</f>
        <v>0501446</v>
      </c>
      <c r="K378">
        <v>2105981690</v>
      </c>
      <c r="L378">
        <v>2105981690</v>
      </c>
      <c r="M378" t="s">
        <v>5475</v>
      </c>
      <c r="N378" t="s">
        <v>3252</v>
      </c>
      <c r="O378" t="s">
        <v>5476</v>
      </c>
      <c r="P378">
        <v>12244</v>
      </c>
      <c r="Q378" t="str">
        <f>"37.996554"</f>
        <v>37.996554</v>
      </c>
      <c r="R378" t="str">
        <f>"23.669089"</f>
        <v>23.669089</v>
      </c>
      <c r="S378" t="s">
        <v>26</v>
      </c>
    </row>
    <row r="379" spans="1:19" x14ac:dyDescent="0.3">
      <c r="A379" t="s">
        <v>3237</v>
      </c>
      <c r="B379" t="s">
        <v>5080</v>
      </c>
      <c r="C379" t="s">
        <v>5477</v>
      </c>
      <c r="D379" t="s">
        <v>3251</v>
      </c>
      <c r="E379" t="s">
        <v>5087</v>
      </c>
      <c r="F379" t="s">
        <v>5087</v>
      </c>
      <c r="G379" t="s">
        <v>5116</v>
      </c>
      <c r="H379" t="s">
        <v>51</v>
      </c>
      <c r="I379" t="s">
        <v>52</v>
      </c>
      <c r="J379" t="str">
        <f>"0501641"</f>
        <v>0501641</v>
      </c>
      <c r="K379">
        <v>2105734012</v>
      </c>
      <c r="L379">
        <v>2105781422</v>
      </c>
      <c r="M379" t="s">
        <v>5478</v>
      </c>
      <c r="N379" t="s">
        <v>5087</v>
      </c>
      <c r="O379" t="s">
        <v>5479</v>
      </c>
      <c r="P379">
        <v>12133</v>
      </c>
      <c r="Q379" t="str">
        <f>"38.019897"</f>
        <v>38.019897</v>
      </c>
      <c r="R379" t="str">
        <f>"23.700247"</f>
        <v>23.700247</v>
      </c>
      <c r="S379" t="s">
        <v>26</v>
      </c>
    </row>
    <row r="380" spans="1:19" x14ac:dyDescent="0.3">
      <c r="A380" t="s">
        <v>3237</v>
      </c>
      <c r="B380" t="s">
        <v>5080</v>
      </c>
      <c r="C380" t="s">
        <v>5480</v>
      </c>
      <c r="D380" t="s">
        <v>3251</v>
      </c>
      <c r="E380" t="s">
        <v>5087</v>
      </c>
      <c r="F380" t="s">
        <v>5087</v>
      </c>
      <c r="G380" t="s">
        <v>5099</v>
      </c>
      <c r="H380" t="s">
        <v>51</v>
      </c>
      <c r="I380" t="s">
        <v>52</v>
      </c>
      <c r="J380" t="str">
        <f>"0501652"</f>
        <v>0501652</v>
      </c>
      <c r="K380">
        <v>2105746028</v>
      </c>
      <c r="L380">
        <v>2105746028</v>
      </c>
      <c r="M380" t="s">
        <v>5481</v>
      </c>
      <c r="N380" t="s">
        <v>5091</v>
      </c>
      <c r="O380" t="s">
        <v>5482</v>
      </c>
      <c r="P380">
        <v>12135</v>
      </c>
      <c r="Q380" t="str">
        <f>"38.015666"</f>
        <v>38.015666</v>
      </c>
      <c r="R380" t="str">
        <f>"23.682940"</f>
        <v>23.682940</v>
      </c>
      <c r="S380" t="s">
        <v>26</v>
      </c>
    </row>
    <row r="381" spans="1:19" x14ac:dyDescent="0.3">
      <c r="A381" t="s">
        <v>3237</v>
      </c>
      <c r="B381" t="s">
        <v>5080</v>
      </c>
      <c r="C381" t="s">
        <v>5484</v>
      </c>
      <c r="D381" t="s">
        <v>3251</v>
      </c>
      <c r="E381" t="s">
        <v>5087</v>
      </c>
      <c r="F381" t="s">
        <v>5087</v>
      </c>
      <c r="G381" t="s">
        <v>5281</v>
      </c>
      <c r="H381" t="s">
        <v>51</v>
      </c>
      <c r="I381" t="s">
        <v>52</v>
      </c>
      <c r="J381" t="str">
        <f>"0501147"</f>
        <v>0501147</v>
      </c>
      <c r="K381">
        <v>2105774890</v>
      </c>
      <c r="L381">
        <v>2105761422</v>
      </c>
      <c r="M381" t="s">
        <v>5485</v>
      </c>
      <c r="N381" t="s">
        <v>5102</v>
      </c>
      <c r="O381" t="s">
        <v>5486</v>
      </c>
      <c r="P381">
        <v>12131</v>
      </c>
      <c r="Q381" t="str">
        <f>"38.003273"</f>
        <v>38.003273</v>
      </c>
      <c r="R381" t="str">
        <f>"23.696088"</f>
        <v>23.696088</v>
      </c>
      <c r="S381" t="s">
        <v>26</v>
      </c>
    </row>
    <row r="382" spans="1:19" x14ac:dyDescent="0.3">
      <c r="A382" t="s">
        <v>3237</v>
      </c>
      <c r="B382" t="s">
        <v>5080</v>
      </c>
      <c r="C382" t="s">
        <v>5490</v>
      </c>
      <c r="D382" t="s">
        <v>3251</v>
      </c>
      <c r="E382" t="s">
        <v>5087</v>
      </c>
      <c r="F382" t="s">
        <v>5087</v>
      </c>
      <c r="G382" t="s">
        <v>5088</v>
      </c>
      <c r="H382" t="s">
        <v>51</v>
      </c>
      <c r="I382" t="s">
        <v>52</v>
      </c>
      <c r="J382" t="str">
        <f>"0501722"</f>
        <v>0501722</v>
      </c>
      <c r="K382">
        <v>2105735328</v>
      </c>
      <c r="L382">
        <v>2105735328</v>
      </c>
      <c r="M382" t="s">
        <v>5491</v>
      </c>
      <c r="N382" t="s">
        <v>5102</v>
      </c>
      <c r="O382" t="s">
        <v>5492</v>
      </c>
      <c r="P382">
        <v>12137</v>
      </c>
      <c r="Q382" t="str">
        <f>"38.027895"</f>
        <v>38.027895</v>
      </c>
      <c r="R382" t="str">
        <f>"23.678398"</f>
        <v>23.678398</v>
      </c>
      <c r="S382" t="s">
        <v>26</v>
      </c>
    </row>
    <row r="383" spans="1:19" x14ac:dyDescent="0.3">
      <c r="A383" t="s">
        <v>3237</v>
      </c>
      <c r="B383" t="s">
        <v>5080</v>
      </c>
      <c r="C383" t="s">
        <v>5493</v>
      </c>
      <c r="D383" t="s">
        <v>3251</v>
      </c>
      <c r="E383" t="s">
        <v>3252</v>
      </c>
      <c r="F383" t="s">
        <v>3252</v>
      </c>
      <c r="G383" t="s">
        <v>3252</v>
      </c>
      <c r="H383" t="s">
        <v>51</v>
      </c>
      <c r="I383" t="s">
        <v>184</v>
      </c>
      <c r="J383" t="str">
        <f>"0501447"</f>
        <v>0501447</v>
      </c>
      <c r="K383">
        <v>2105902859</v>
      </c>
      <c r="L383">
        <v>2105902859</v>
      </c>
      <c r="M383" t="s">
        <v>5494</v>
      </c>
      <c r="N383" t="s">
        <v>3252</v>
      </c>
      <c r="O383" t="s">
        <v>5216</v>
      </c>
      <c r="P383">
        <v>12243</v>
      </c>
      <c r="Q383" t="str">
        <f>"37.993764"</f>
        <v>37.993764</v>
      </c>
      <c r="R383" t="str">
        <f>"23.680068"</f>
        <v>23.680068</v>
      </c>
      <c r="S383" t="s">
        <v>26</v>
      </c>
    </row>
    <row r="384" spans="1:19" x14ac:dyDescent="0.3">
      <c r="A384" t="s">
        <v>3237</v>
      </c>
      <c r="B384" t="s">
        <v>5080</v>
      </c>
      <c r="C384" t="s">
        <v>5495</v>
      </c>
      <c r="D384" t="s">
        <v>3251</v>
      </c>
      <c r="E384" t="s">
        <v>5087</v>
      </c>
      <c r="F384" t="s">
        <v>5087</v>
      </c>
      <c r="G384" t="s">
        <v>5099</v>
      </c>
      <c r="H384" t="s">
        <v>51</v>
      </c>
      <c r="I384" t="s">
        <v>52</v>
      </c>
      <c r="J384" t="str">
        <f>"0501721"</f>
        <v>0501721</v>
      </c>
      <c r="K384">
        <v>2105740877</v>
      </c>
      <c r="L384">
        <v>2105740556</v>
      </c>
      <c r="M384" t="s">
        <v>5496</v>
      </c>
      <c r="N384" t="s">
        <v>5102</v>
      </c>
      <c r="O384" t="s">
        <v>5497</v>
      </c>
      <c r="P384">
        <v>12137</v>
      </c>
      <c r="Q384" t="str">
        <f>"38.015322"</f>
        <v>38.015322</v>
      </c>
      <c r="R384" t="str">
        <f>"23.674614"</f>
        <v>23.674614</v>
      </c>
      <c r="S384" t="s">
        <v>26</v>
      </c>
    </row>
    <row r="385" spans="1:19" x14ac:dyDescent="0.3">
      <c r="A385" t="s">
        <v>3237</v>
      </c>
      <c r="B385" t="s">
        <v>5080</v>
      </c>
      <c r="C385" t="s">
        <v>5501</v>
      </c>
      <c r="D385" t="s">
        <v>3251</v>
      </c>
      <c r="E385" t="s">
        <v>3252</v>
      </c>
      <c r="F385" t="s">
        <v>3252</v>
      </c>
      <c r="G385" t="s">
        <v>3252</v>
      </c>
      <c r="H385" t="s">
        <v>51</v>
      </c>
      <c r="I385" t="s">
        <v>52</v>
      </c>
      <c r="J385" t="str">
        <f>"0501442"</f>
        <v>0501442</v>
      </c>
      <c r="K385">
        <v>2105610737</v>
      </c>
      <c r="L385">
        <v>2105610737</v>
      </c>
      <c r="M385" t="s">
        <v>5502</v>
      </c>
      <c r="N385" t="s">
        <v>3252</v>
      </c>
      <c r="O385" t="s">
        <v>5503</v>
      </c>
      <c r="P385">
        <v>12244</v>
      </c>
      <c r="Q385" t="str">
        <f>"37.984040"</f>
        <v>37.984040</v>
      </c>
      <c r="R385" t="str">
        <f>"23.667649"</f>
        <v>23.667649</v>
      </c>
      <c r="S385" t="s">
        <v>26</v>
      </c>
    </row>
    <row r="386" spans="1:19" x14ac:dyDescent="0.3">
      <c r="A386" t="s">
        <v>3237</v>
      </c>
      <c r="B386" t="s">
        <v>5080</v>
      </c>
      <c r="C386" t="s">
        <v>5504</v>
      </c>
      <c r="D386" t="s">
        <v>3251</v>
      </c>
      <c r="E386" t="s">
        <v>5087</v>
      </c>
      <c r="F386" t="s">
        <v>5087</v>
      </c>
      <c r="G386" t="s">
        <v>5099</v>
      </c>
      <c r="H386" t="s">
        <v>51</v>
      </c>
      <c r="I386" t="s">
        <v>52</v>
      </c>
      <c r="J386" t="str">
        <f>"0501651"</f>
        <v>0501651</v>
      </c>
      <c r="K386">
        <v>2105726258</v>
      </c>
      <c r="L386">
        <v>2105726258</v>
      </c>
      <c r="M386" t="s">
        <v>5505</v>
      </c>
      <c r="N386" t="s">
        <v>5087</v>
      </c>
      <c r="O386" t="s">
        <v>5506</v>
      </c>
      <c r="P386">
        <v>12137</v>
      </c>
      <c r="Q386" t="str">
        <f>"38.015915"</f>
        <v>38.015915</v>
      </c>
      <c r="R386" t="str">
        <f>"23.673639"</f>
        <v>23.673639</v>
      </c>
      <c r="S386" t="s">
        <v>26</v>
      </c>
    </row>
    <row r="387" spans="1:19" x14ac:dyDescent="0.3">
      <c r="A387" t="s">
        <v>3237</v>
      </c>
      <c r="B387" t="s">
        <v>5080</v>
      </c>
      <c r="C387" t="s">
        <v>5510</v>
      </c>
      <c r="D387" t="s">
        <v>3251</v>
      </c>
      <c r="E387" t="s">
        <v>5121</v>
      </c>
      <c r="F387" t="s">
        <v>5085</v>
      </c>
      <c r="G387" t="s">
        <v>5085</v>
      </c>
      <c r="H387" t="s">
        <v>51</v>
      </c>
      <c r="I387" t="s">
        <v>52</v>
      </c>
      <c r="J387" t="str">
        <f>"0501600"</f>
        <v>0501600</v>
      </c>
      <c r="K387">
        <v>2108322547</v>
      </c>
      <c r="L387">
        <v>2108322547</v>
      </c>
      <c r="M387" t="s">
        <v>5511</v>
      </c>
      <c r="N387" t="s">
        <v>5085</v>
      </c>
      <c r="O387" t="s">
        <v>5512</v>
      </c>
      <c r="P387">
        <v>13561</v>
      </c>
      <c r="Q387" t="str">
        <f>"38.020946"</f>
        <v>38.020946</v>
      </c>
      <c r="R387" t="str">
        <f>"23.715674"</f>
        <v>23.715674</v>
      </c>
      <c r="S387" t="s">
        <v>26</v>
      </c>
    </row>
    <row r="388" spans="1:19" x14ac:dyDescent="0.3">
      <c r="A388" t="s">
        <v>3237</v>
      </c>
      <c r="B388" t="s">
        <v>5080</v>
      </c>
      <c r="C388" t="s">
        <v>5513</v>
      </c>
      <c r="D388" t="s">
        <v>3251</v>
      </c>
      <c r="E388" t="s">
        <v>5199</v>
      </c>
      <c r="F388" t="s">
        <v>5200</v>
      </c>
      <c r="G388" t="s">
        <v>5200</v>
      </c>
      <c r="H388" t="s">
        <v>51</v>
      </c>
      <c r="I388" t="s">
        <v>52</v>
      </c>
      <c r="J388" t="str">
        <f>"0501560"</f>
        <v>0501560</v>
      </c>
      <c r="K388">
        <v>2105821878</v>
      </c>
      <c r="L388">
        <v>2105815703</v>
      </c>
      <c r="M388" t="s">
        <v>5514</v>
      </c>
      <c r="N388" t="s">
        <v>5203</v>
      </c>
      <c r="O388" t="s">
        <v>5302</v>
      </c>
      <c r="P388">
        <v>12461</v>
      </c>
      <c r="Q388" t="str">
        <f>"38.009111"</f>
        <v>38.009111</v>
      </c>
      <c r="R388" t="str">
        <f>"23.659346"</f>
        <v>23.659346</v>
      </c>
      <c r="S388" t="s">
        <v>26</v>
      </c>
    </row>
    <row r="389" spans="1:19" x14ac:dyDescent="0.3">
      <c r="A389" t="s">
        <v>3237</v>
      </c>
      <c r="B389" t="s">
        <v>5080</v>
      </c>
      <c r="C389" t="s">
        <v>5518</v>
      </c>
      <c r="D389" t="s">
        <v>3251</v>
      </c>
      <c r="E389" t="s">
        <v>5087</v>
      </c>
      <c r="F389" t="s">
        <v>5087</v>
      </c>
      <c r="G389" t="s">
        <v>5116</v>
      </c>
      <c r="H389" t="s">
        <v>51</v>
      </c>
      <c r="I389" t="s">
        <v>184</v>
      </c>
      <c r="J389" t="str">
        <f>"0501650"</f>
        <v>0501650</v>
      </c>
      <c r="K389">
        <v>2105723973</v>
      </c>
      <c r="L389">
        <v>2105723973</v>
      </c>
      <c r="M389" t="s">
        <v>5519</v>
      </c>
      <c r="N389" t="s">
        <v>5102</v>
      </c>
      <c r="O389" t="s">
        <v>5520</v>
      </c>
      <c r="P389">
        <v>12132</v>
      </c>
      <c r="Q389" t="str">
        <f>"38.004196"</f>
        <v>38.004196</v>
      </c>
      <c r="R389" t="str">
        <f>"23.703634"</f>
        <v>23.703634</v>
      </c>
      <c r="S389" t="s">
        <v>26</v>
      </c>
    </row>
    <row r="390" spans="1:19" x14ac:dyDescent="0.3">
      <c r="A390" t="s">
        <v>3237</v>
      </c>
      <c r="B390" t="s">
        <v>5080</v>
      </c>
      <c r="C390" t="s">
        <v>5521</v>
      </c>
      <c r="D390" t="s">
        <v>3251</v>
      </c>
      <c r="E390" t="s">
        <v>5121</v>
      </c>
      <c r="F390" t="s">
        <v>5085</v>
      </c>
      <c r="G390" t="s">
        <v>5085</v>
      </c>
      <c r="H390" t="s">
        <v>51</v>
      </c>
      <c r="I390" t="s">
        <v>52</v>
      </c>
      <c r="J390" t="str">
        <f>"0501603"</f>
        <v>0501603</v>
      </c>
      <c r="K390">
        <v>2102319556</v>
      </c>
      <c r="L390">
        <v>2102323996</v>
      </c>
      <c r="M390" t="s">
        <v>5522</v>
      </c>
      <c r="N390" t="s">
        <v>5159</v>
      </c>
      <c r="O390" t="s">
        <v>5523</v>
      </c>
      <c r="P390">
        <v>13562</v>
      </c>
      <c r="Q390" t="str">
        <f>"38.050033"</f>
        <v>38.050033</v>
      </c>
      <c r="R390" t="str">
        <f>"23.732407"</f>
        <v>23.732407</v>
      </c>
      <c r="S390" t="s">
        <v>26</v>
      </c>
    </row>
    <row r="391" spans="1:19" x14ac:dyDescent="0.3">
      <c r="A391" t="s">
        <v>3237</v>
      </c>
      <c r="B391" t="s">
        <v>5080</v>
      </c>
      <c r="C391" t="s">
        <v>5525</v>
      </c>
      <c r="D391" t="s">
        <v>3251</v>
      </c>
      <c r="E391" t="s">
        <v>5087</v>
      </c>
      <c r="F391" t="s">
        <v>5087</v>
      </c>
      <c r="G391" t="s">
        <v>5116</v>
      </c>
      <c r="H391" t="s">
        <v>51</v>
      </c>
      <c r="I391" t="s">
        <v>52</v>
      </c>
      <c r="J391" t="str">
        <f>"0501148"</f>
        <v>0501148</v>
      </c>
      <c r="K391">
        <v>2105743748</v>
      </c>
      <c r="L391">
        <v>2105785155</v>
      </c>
      <c r="M391" t="s">
        <v>5526</v>
      </c>
      <c r="N391" t="s">
        <v>5087</v>
      </c>
      <c r="O391" t="s">
        <v>5527</v>
      </c>
      <c r="P391">
        <v>12133</v>
      </c>
      <c r="Q391" t="str">
        <f>"38.015607"</f>
        <v>38.015607</v>
      </c>
      <c r="R391" t="str">
        <f>"23.710687"</f>
        <v>23.710687</v>
      </c>
      <c r="S391" t="s">
        <v>26</v>
      </c>
    </row>
    <row r="392" spans="1:19" x14ac:dyDescent="0.3">
      <c r="A392" t="s">
        <v>3237</v>
      </c>
      <c r="B392" t="s">
        <v>5080</v>
      </c>
      <c r="C392" t="s">
        <v>5536</v>
      </c>
      <c r="D392" t="s">
        <v>3251</v>
      </c>
      <c r="E392" t="s">
        <v>5087</v>
      </c>
      <c r="F392" t="s">
        <v>5087</v>
      </c>
      <c r="G392" t="s">
        <v>5116</v>
      </c>
      <c r="H392" t="s">
        <v>51</v>
      </c>
      <c r="I392" t="s">
        <v>52</v>
      </c>
      <c r="J392" t="str">
        <f>"0501151"</f>
        <v>0501151</v>
      </c>
      <c r="K392">
        <v>2105755810</v>
      </c>
      <c r="L392">
        <v>2105755810</v>
      </c>
      <c r="M392" t="s">
        <v>5537</v>
      </c>
      <c r="N392" t="s">
        <v>5102</v>
      </c>
      <c r="O392" t="s">
        <v>5538</v>
      </c>
      <c r="P392">
        <v>12134</v>
      </c>
      <c r="Q392" t="str">
        <f>"38.018511"</f>
        <v>38.018511</v>
      </c>
      <c r="R392" t="str">
        <f>"23.695607"</f>
        <v>23.695607</v>
      </c>
      <c r="S392" t="s">
        <v>26</v>
      </c>
    </row>
    <row r="393" spans="1:19" x14ac:dyDescent="0.3">
      <c r="A393" t="s">
        <v>3237</v>
      </c>
      <c r="B393" t="s">
        <v>5080</v>
      </c>
      <c r="C393" t="s">
        <v>5552</v>
      </c>
      <c r="D393" t="s">
        <v>3251</v>
      </c>
      <c r="E393" t="s">
        <v>5087</v>
      </c>
      <c r="F393" t="s">
        <v>5087</v>
      </c>
      <c r="G393" t="s">
        <v>5116</v>
      </c>
      <c r="H393" t="s">
        <v>51</v>
      </c>
      <c r="I393" t="s">
        <v>199</v>
      </c>
      <c r="J393" t="str">
        <f>"0511001"</f>
        <v>0511001</v>
      </c>
      <c r="K393">
        <v>2105736629</v>
      </c>
      <c r="L393">
        <v>2105736629</v>
      </c>
      <c r="M393" t="s">
        <v>5553</v>
      </c>
      <c r="N393" t="s">
        <v>5102</v>
      </c>
      <c r="O393" t="s">
        <v>5554</v>
      </c>
      <c r="P393">
        <v>12132</v>
      </c>
      <c r="Q393" t="str">
        <f>"38.004144"</f>
        <v>38.004144</v>
      </c>
      <c r="R393" t="str">
        <f>"23.703913"</f>
        <v>23.703913</v>
      </c>
      <c r="S393" t="s">
        <v>26</v>
      </c>
    </row>
    <row r="394" spans="1:19" x14ac:dyDescent="0.3">
      <c r="A394" t="s">
        <v>3237</v>
      </c>
      <c r="B394" t="s">
        <v>5080</v>
      </c>
      <c r="C394" t="s">
        <v>5555</v>
      </c>
      <c r="D394" t="s">
        <v>3251</v>
      </c>
      <c r="E394" t="s">
        <v>3252</v>
      </c>
      <c r="F394" t="s">
        <v>3252</v>
      </c>
      <c r="G394" t="s">
        <v>3252</v>
      </c>
      <c r="H394" t="s">
        <v>51</v>
      </c>
      <c r="I394" t="s">
        <v>199</v>
      </c>
      <c r="J394" t="str">
        <f>"0558001"</f>
        <v>0558001</v>
      </c>
      <c r="K394">
        <v>2105447255</v>
      </c>
      <c r="L394">
        <v>2105447255</v>
      </c>
      <c r="M394" t="s">
        <v>5556</v>
      </c>
      <c r="N394" t="s">
        <v>3252</v>
      </c>
      <c r="O394" t="s">
        <v>5557</v>
      </c>
      <c r="P394">
        <v>12241</v>
      </c>
      <c r="Q394" t="str">
        <f>"37.980987"</f>
        <v>37.980987</v>
      </c>
      <c r="R394" t="str">
        <f>"23.673537"</f>
        <v>23.673537</v>
      </c>
      <c r="S394" t="s">
        <v>26</v>
      </c>
    </row>
    <row r="395" spans="1:19" x14ac:dyDescent="0.3">
      <c r="A395" t="s">
        <v>3237</v>
      </c>
      <c r="B395" t="s">
        <v>5080</v>
      </c>
      <c r="C395" t="s">
        <v>5559</v>
      </c>
      <c r="D395" t="s">
        <v>3251</v>
      </c>
      <c r="E395" t="s">
        <v>5087</v>
      </c>
      <c r="F395" t="s">
        <v>5087</v>
      </c>
      <c r="G395" t="s">
        <v>5088</v>
      </c>
      <c r="H395" t="s">
        <v>51</v>
      </c>
      <c r="I395" t="s">
        <v>4194</v>
      </c>
      <c r="J395" t="str">
        <f>"0540001"</f>
        <v>0540001</v>
      </c>
      <c r="K395">
        <v>2105724882</v>
      </c>
      <c r="M395" t="s">
        <v>5560</v>
      </c>
      <c r="N395" t="s">
        <v>5102</v>
      </c>
      <c r="O395" t="s">
        <v>5561</v>
      </c>
      <c r="P395">
        <v>12133</v>
      </c>
      <c r="Q395" t="str">
        <f>"38.012249"</f>
        <v>38.012249</v>
      </c>
      <c r="R395" t="str">
        <f>"23.712202"</f>
        <v>23.712202</v>
      </c>
      <c r="S395" t="s">
        <v>26</v>
      </c>
    </row>
    <row r="396" spans="1:19" x14ac:dyDescent="0.3">
      <c r="A396" t="s">
        <v>3237</v>
      </c>
      <c r="B396" t="s">
        <v>5562</v>
      </c>
      <c r="C396" t="s">
        <v>5565</v>
      </c>
      <c r="D396" t="s">
        <v>3256</v>
      </c>
      <c r="E396" t="s">
        <v>5563</v>
      </c>
      <c r="F396" t="s">
        <v>5563</v>
      </c>
      <c r="G396" t="s">
        <v>5564</v>
      </c>
      <c r="H396" t="s">
        <v>51</v>
      </c>
      <c r="I396" t="s">
        <v>52</v>
      </c>
      <c r="J396" t="str">
        <f>"0501781"</f>
        <v>0501781</v>
      </c>
      <c r="K396">
        <v>2109421584</v>
      </c>
      <c r="L396">
        <v>2109421919</v>
      </c>
      <c r="M396" t="s">
        <v>5566</v>
      </c>
      <c r="N396" t="s">
        <v>5567</v>
      </c>
      <c r="O396" t="s">
        <v>5568</v>
      </c>
      <c r="P396">
        <v>17675</v>
      </c>
      <c r="Q396" t="str">
        <f>"37.952512"</f>
        <v>37.952512</v>
      </c>
      <c r="R396" t="str">
        <f>"23.692252"</f>
        <v>23.692252</v>
      </c>
      <c r="S396" t="s">
        <v>26</v>
      </c>
    </row>
    <row r="397" spans="1:19" x14ac:dyDescent="0.3">
      <c r="A397" t="s">
        <v>3237</v>
      </c>
      <c r="B397" t="s">
        <v>5562</v>
      </c>
      <c r="C397" t="s">
        <v>5576</v>
      </c>
      <c r="D397" t="s">
        <v>3256</v>
      </c>
      <c r="E397" t="s">
        <v>4017</v>
      </c>
      <c r="F397" t="s">
        <v>4017</v>
      </c>
      <c r="G397" t="s">
        <v>4017</v>
      </c>
      <c r="H397" t="s">
        <v>51</v>
      </c>
      <c r="I397" t="s">
        <v>52</v>
      </c>
      <c r="J397" t="str">
        <f>"0501844"</f>
        <v>0501844</v>
      </c>
      <c r="K397">
        <v>2109642690</v>
      </c>
      <c r="L397">
        <v>2109618055</v>
      </c>
      <c r="M397" t="s">
        <v>5577</v>
      </c>
      <c r="N397" t="s">
        <v>5578</v>
      </c>
      <c r="O397" t="s">
        <v>5579</v>
      </c>
      <c r="P397">
        <v>16675</v>
      </c>
      <c r="Q397" t="str">
        <f>"37.879856"</f>
        <v>37.879856</v>
      </c>
      <c r="R397" t="str">
        <f>"23.745516"</f>
        <v>23.745516</v>
      </c>
      <c r="S397" t="s">
        <v>26</v>
      </c>
    </row>
    <row r="398" spans="1:19" x14ac:dyDescent="0.3">
      <c r="A398" t="s">
        <v>3237</v>
      </c>
      <c r="B398" t="s">
        <v>5562</v>
      </c>
      <c r="C398" t="s">
        <v>5581</v>
      </c>
      <c r="D398" t="s">
        <v>3256</v>
      </c>
      <c r="E398" t="s">
        <v>3295</v>
      </c>
      <c r="F398" t="s">
        <v>3295</v>
      </c>
      <c r="G398" t="s">
        <v>3295</v>
      </c>
      <c r="H398" t="s">
        <v>51</v>
      </c>
      <c r="I398" t="s">
        <v>52</v>
      </c>
      <c r="J398" t="str">
        <f>"0501835"</f>
        <v>0501835</v>
      </c>
      <c r="K398">
        <v>2109813840</v>
      </c>
      <c r="L398">
        <v>2109813940</v>
      </c>
      <c r="M398" t="s">
        <v>5582</v>
      </c>
      <c r="N398" t="s">
        <v>5583</v>
      </c>
      <c r="O398" t="s">
        <v>5584</v>
      </c>
      <c r="P398">
        <v>17342</v>
      </c>
      <c r="Q398" t="str">
        <f>"37.922293"</f>
        <v>37.922293</v>
      </c>
      <c r="R398" t="str">
        <f>"23.729573"</f>
        <v>23.729573</v>
      </c>
      <c r="S398" t="s">
        <v>26</v>
      </c>
    </row>
    <row r="399" spans="1:19" x14ac:dyDescent="0.3">
      <c r="A399" t="s">
        <v>3237</v>
      </c>
      <c r="B399" t="s">
        <v>5562</v>
      </c>
      <c r="C399" t="s">
        <v>5747</v>
      </c>
      <c r="D399" t="s">
        <v>3256</v>
      </c>
      <c r="E399" t="s">
        <v>5563</v>
      </c>
      <c r="F399" t="s">
        <v>5563</v>
      </c>
      <c r="G399" t="s">
        <v>5633</v>
      </c>
      <c r="H399" t="s">
        <v>51</v>
      </c>
      <c r="I399" t="s">
        <v>52</v>
      </c>
      <c r="J399" t="str">
        <f>"0501807"</f>
        <v>0501807</v>
      </c>
      <c r="K399">
        <v>2109532828</v>
      </c>
      <c r="L399">
        <v>2109532829</v>
      </c>
      <c r="M399" t="s">
        <v>5748</v>
      </c>
      <c r="N399" t="s">
        <v>5567</v>
      </c>
      <c r="O399" t="s">
        <v>5749</v>
      </c>
      <c r="P399">
        <v>17676</v>
      </c>
      <c r="Q399" t="str">
        <f>"37.960885"</f>
        <v>37.960885</v>
      </c>
      <c r="R399" t="str">
        <f>"23.704019"</f>
        <v>23.704019</v>
      </c>
      <c r="S399" t="s">
        <v>26</v>
      </c>
    </row>
    <row r="400" spans="1:19" x14ac:dyDescent="0.3">
      <c r="A400" t="s">
        <v>3237</v>
      </c>
      <c r="B400" t="s">
        <v>5562</v>
      </c>
      <c r="C400" t="s">
        <v>5751</v>
      </c>
      <c r="D400" t="s">
        <v>3256</v>
      </c>
      <c r="E400" t="s">
        <v>3257</v>
      </c>
      <c r="F400" t="s">
        <v>3257</v>
      </c>
      <c r="G400" t="s">
        <v>3257</v>
      </c>
      <c r="H400" t="s">
        <v>51</v>
      </c>
      <c r="I400" t="s">
        <v>52</v>
      </c>
      <c r="J400" t="str">
        <f>"0501891"</f>
        <v>0501891</v>
      </c>
      <c r="K400">
        <v>2109832225</v>
      </c>
      <c r="L400">
        <v>2109832902</v>
      </c>
      <c r="M400" t="s">
        <v>5752</v>
      </c>
      <c r="N400" t="s">
        <v>5630</v>
      </c>
      <c r="O400" t="s">
        <v>5753</v>
      </c>
      <c r="P400">
        <v>17455</v>
      </c>
      <c r="Q400" t="str">
        <f>"37.917981"</f>
        <v>37.917981</v>
      </c>
      <c r="R400" t="str">
        <f>"23.723089"</f>
        <v>23.723089</v>
      </c>
      <c r="S400" t="s">
        <v>26</v>
      </c>
    </row>
    <row r="401" spans="1:19" x14ac:dyDescent="0.3">
      <c r="A401" t="s">
        <v>3237</v>
      </c>
      <c r="B401" t="s">
        <v>5562</v>
      </c>
      <c r="C401" t="s">
        <v>5755</v>
      </c>
      <c r="D401" t="s">
        <v>3256</v>
      </c>
      <c r="E401" t="s">
        <v>5570</v>
      </c>
      <c r="F401" t="s">
        <v>5570</v>
      </c>
      <c r="G401" t="s">
        <v>5570</v>
      </c>
      <c r="H401" t="s">
        <v>51</v>
      </c>
      <c r="I401" t="s">
        <v>52</v>
      </c>
      <c r="J401" t="str">
        <f>"0501852"</f>
        <v>0501852</v>
      </c>
      <c r="K401">
        <v>2109836570</v>
      </c>
      <c r="L401">
        <v>2109852200</v>
      </c>
      <c r="M401" t="s">
        <v>5756</v>
      </c>
      <c r="N401" t="s">
        <v>5570</v>
      </c>
      <c r="O401" t="s">
        <v>5757</v>
      </c>
      <c r="P401">
        <v>17563</v>
      </c>
      <c r="Q401" t="str">
        <f>"37.920639"</f>
        <v>37.920639</v>
      </c>
      <c r="R401" t="str">
        <f>"23.715550"</f>
        <v>23.715550</v>
      </c>
      <c r="S401" t="s">
        <v>26</v>
      </c>
    </row>
    <row r="402" spans="1:19" x14ac:dyDescent="0.3">
      <c r="A402" t="s">
        <v>3237</v>
      </c>
      <c r="B402" t="s">
        <v>5562</v>
      </c>
      <c r="C402" t="s">
        <v>5758</v>
      </c>
      <c r="D402" t="s">
        <v>3256</v>
      </c>
      <c r="E402" t="s">
        <v>3257</v>
      </c>
      <c r="F402" t="s">
        <v>3257</v>
      </c>
      <c r="G402" t="s">
        <v>3257</v>
      </c>
      <c r="H402" t="s">
        <v>51</v>
      </c>
      <c r="I402" t="s">
        <v>52</v>
      </c>
      <c r="J402" t="str">
        <f>"0501877"</f>
        <v>0501877</v>
      </c>
      <c r="K402">
        <v>2109919561</v>
      </c>
      <c r="L402">
        <v>2109902007</v>
      </c>
      <c r="M402" t="s">
        <v>5759</v>
      </c>
      <c r="N402" t="s">
        <v>5630</v>
      </c>
      <c r="O402" t="s">
        <v>5760</v>
      </c>
      <c r="P402">
        <v>17456</v>
      </c>
      <c r="Q402" t="str">
        <f>"37.921459"</f>
        <v>37.921459</v>
      </c>
      <c r="R402" t="str">
        <f>"23.739041"</f>
        <v>23.739041</v>
      </c>
      <c r="S402" t="s">
        <v>26</v>
      </c>
    </row>
    <row r="403" spans="1:19" x14ac:dyDescent="0.3">
      <c r="A403" t="s">
        <v>3237</v>
      </c>
      <c r="B403" t="s">
        <v>5562</v>
      </c>
      <c r="C403" t="s">
        <v>5761</v>
      </c>
      <c r="D403" t="s">
        <v>3256</v>
      </c>
      <c r="E403" t="s">
        <v>3257</v>
      </c>
      <c r="F403" t="s">
        <v>3257</v>
      </c>
      <c r="G403" t="s">
        <v>3257</v>
      </c>
      <c r="H403" t="s">
        <v>51</v>
      </c>
      <c r="I403" t="s">
        <v>52</v>
      </c>
      <c r="J403" t="str">
        <f>"0501878"</f>
        <v>0501878</v>
      </c>
      <c r="K403">
        <v>2109889387</v>
      </c>
      <c r="L403">
        <v>2109889792</v>
      </c>
      <c r="M403" t="s">
        <v>5762</v>
      </c>
      <c r="N403" t="s">
        <v>5630</v>
      </c>
      <c r="O403" t="s">
        <v>5763</v>
      </c>
      <c r="P403">
        <v>17455</v>
      </c>
      <c r="Q403" t="str">
        <f>"37.917848"</f>
        <v>37.917848</v>
      </c>
      <c r="R403" t="str">
        <f>"23.722634"</f>
        <v>23.722634</v>
      </c>
      <c r="S403" t="s">
        <v>26</v>
      </c>
    </row>
    <row r="404" spans="1:19" x14ac:dyDescent="0.3">
      <c r="A404" t="s">
        <v>3237</v>
      </c>
      <c r="B404" t="s">
        <v>5562</v>
      </c>
      <c r="C404" t="s">
        <v>5764</v>
      </c>
      <c r="D404" t="s">
        <v>3256</v>
      </c>
      <c r="E404" t="s">
        <v>3295</v>
      </c>
      <c r="F404" t="s">
        <v>3295</v>
      </c>
      <c r="G404" t="s">
        <v>3295</v>
      </c>
      <c r="H404" t="s">
        <v>51</v>
      </c>
      <c r="I404" t="s">
        <v>52</v>
      </c>
      <c r="J404" t="str">
        <f>"0501832"</f>
        <v>0501832</v>
      </c>
      <c r="K404">
        <v>2109311600</v>
      </c>
      <c r="L404">
        <v>2109311343</v>
      </c>
      <c r="M404" t="s">
        <v>5765</v>
      </c>
      <c r="N404" t="s">
        <v>3472</v>
      </c>
      <c r="O404" t="s">
        <v>5766</v>
      </c>
      <c r="P404">
        <v>17341</v>
      </c>
      <c r="Q404" t="str">
        <f>"37.933323"</f>
        <v>37.933323</v>
      </c>
      <c r="R404" t="str">
        <f>"23.727265"</f>
        <v>23.727265</v>
      </c>
      <c r="S404" t="s">
        <v>26</v>
      </c>
    </row>
    <row r="405" spans="1:19" x14ac:dyDescent="0.3">
      <c r="A405" t="s">
        <v>3237</v>
      </c>
      <c r="B405" t="s">
        <v>5562</v>
      </c>
      <c r="C405" t="s">
        <v>5767</v>
      </c>
      <c r="D405" t="s">
        <v>3256</v>
      </c>
      <c r="E405" t="s">
        <v>5563</v>
      </c>
      <c r="F405" t="s">
        <v>5563</v>
      </c>
      <c r="G405" t="s">
        <v>5564</v>
      </c>
      <c r="H405" t="s">
        <v>51</v>
      </c>
      <c r="I405" t="s">
        <v>52</v>
      </c>
      <c r="J405" t="str">
        <f>"0501780"</f>
        <v>0501780</v>
      </c>
      <c r="K405">
        <v>2109422822</v>
      </c>
      <c r="L405">
        <v>2109422822</v>
      </c>
      <c r="M405" t="s">
        <v>5768</v>
      </c>
      <c r="N405" t="s">
        <v>5563</v>
      </c>
      <c r="O405" t="s">
        <v>5769</v>
      </c>
      <c r="P405">
        <v>17675</v>
      </c>
      <c r="Q405" t="str">
        <f>"37.946190"</f>
        <v>37.946190</v>
      </c>
      <c r="R405" t="str">
        <f>"23.684694"</f>
        <v>23.684694</v>
      </c>
      <c r="S405" t="s">
        <v>26</v>
      </c>
    </row>
    <row r="406" spans="1:19" x14ac:dyDescent="0.3">
      <c r="A406" t="s">
        <v>3237</v>
      </c>
      <c r="B406" t="s">
        <v>5562</v>
      </c>
      <c r="C406" t="s">
        <v>5771</v>
      </c>
      <c r="D406" t="s">
        <v>3256</v>
      </c>
      <c r="E406" t="s">
        <v>5599</v>
      </c>
      <c r="F406" t="s">
        <v>5600</v>
      </c>
      <c r="G406" t="s">
        <v>5601</v>
      </c>
      <c r="H406" t="s">
        <v>51</v>
      </c>
      <c r="I406" t="s">
        <v>52</v>
      </c>
      <c r="J406" t="str">
        <f>"0501899"</f>
        <v>0501899</v>
      </c>
      <c r="K406">
        <v>2109928529</v>
      </c>
      <c r="L406">
        <v>2109914754</v>
      </c>
      <c r="M406" t="s">
        <v>5772</v>
      </c>
      <c r="N406" t="s">
        <v>1038</v>
      </c>
      <c r="O406" t="s">
        <v>5725</v>
      </c>
      <c r="P406">
        <v>16452</v>
      </c>
      <c r="Q406" t="str">
        <f>"37.913536"</f>
        <v>37.913536</v>
      </c>
      <c r="R406" t="str">
        <f>"23.746376"</f>
        <v>23.746376</v>
      </c>
      <c r="S406" t="s">
        <v>26</v>
      </c>
    </row>
    <row r="407" spans="1:19" x14ac:dyDescent="0.3">
      <c r="A407" t="s">
        <v>3237</v>
      </c>
      <c r="B407" t="s">
        <v>5562</v>
      </c>
      <c r="C407" t="s">
        <v>5773</v>
      </c>
      <c r="D407" t="s">
        <v>3256</v>
      </c>
      <c r="E407" t="s">
        <v>4017</v>
      </c>
      <c r="F407" t="s">
        <v>4017</v>
      </c>
      <c r="G407" t="s">
        <v>4017</v>
      </c>
      <c r="H407" t="s">
        <v>51</v>
      </c>
      <c r="I407" t="s">
        <v>52</v>
      </c>
      <c r="J407" t="str">
        <f>"0501900"</f>
        <v>0501900</v>
      </c>
      <c r="K407">
        <v>2109618992</v>
      </c>
      <c r="L407">
        <v>2109618992</v>
      </c>
      <c r="M407" t="s">
        <v>5774</v>
      </c>
      <c r="N407" t="s">
        <v>5578</v>
      </c>
      <c r="O407" t="s">
        <v>5775</v>
      </c>
      <c r="P407">
        <v>16452</v>
      </c>
      <c r="Q407" t="str">
        <f>"37.897070"</f>
        <v>37.897070</v>
      </c>
      <c r="R407" t="str">
        <f>"23.758764"</f>
        <v>23.758764</v>
      </c>
      <c r="S407" t="s">
        <v>26</v>
      </c>
    </row>
    <row r="408" spans="1:19" x14ac:dyDescent="0.3">
      <c r="A408" t="s">
        <v>3237</v>
      </c>
      <c r="B408" t="s">
        <v>5562</v>
      </c>
      <c r="C408" t="s">
        <v>5776</v>
      </c>
      <c r="D408" t="s">
        <v>3256</v>
      </c>
      <c r="E408" t="s">
        <v>5656</v>
      </c>
      <c r="F408" t="s">
        <v>5657</v>
      </c>
      <c r="G408" t="s">
        <v>5657</v>
      </c>
      <c r="H408" t="s">
        <v>51</v>
      </c>
      <c r="I408" t="s">
        <v>52</v>
      </c>
      <c r="J408" t="str">
        <f>"0501866"</f>
        <v>0501866</v>
      </c>
      <c r="K408">
        <v>2103475550</v>
      </c>
      <c r="L408">
        <v>2103464762</v>
      </c>
      <c r="M408" t="s">
        <v>5777</v>
      </c>
      <c r="N408" t="s">
        <v>5660</v>
      </c>
      <c r="O408" t="s">
        <v>5778</v>
      </c>
      <c r="P408">
        <v>17778</v>
      </c>
      <c r="Q408" t="str">
        <f>"37.965890"</f>
        <v>37.965890</v>
      </c>
      <c r="R408" t="str">
        <f>"23.700415"</f>
        <v>23.700415</v>
      </c>
      <c r="S408" t="s">
        <v>26</v>
      </c>
    </row>
    <row r="409" spans="1:19" x14ac:dyDescent="0.3">
      <c r="A409" t="s">
        <v>3237</v>
      </c>
      <c r="B409" t="s">
        <v>5562</v>
      </c>
      <c r="C409" t="s">
        <v>5780</v>
      </c>
      <c r="D409" t="s">
        <v>3256</v>
      </c>
      <c r="E409" t="s">
        <v>5563</v>
      </c>
      <c r="F409" t="s">
        <v>5563</v>
      </c>
      <c r="G409" t="s">
        <v>5564</v>
      </c>
      <c r="H409" t="s">
        <v>51</v>
      </c>
      <c r="I409" t="s">
        <v>52</v>
      </c>
      <c r="J409" t="str">
        <f>"0501787"</f>
        <v>0501787</v>
      </c>
      <c r="K409">
        <v>2109519777</v>
      </c>
      <c r="L409">
        <v>2109519777</v>
      </c>
      <c r="M409" t="s">
        <v>5781</v>
      </c>
      <c r="N409" t="s">
        <v>5563</v>
      </c>
      <c r="O409" t="s">
        <v>5782</v>
      </c>
      <c r="P409">
        <v>17674</v>
      </c>
      <c r="Q409" t="str">
        <f>"37.944617"</f>
        <v>37.944617</v>
      </c>
      <c r="R409" t="str">
        <f>"23.697461"</f>
        <v>23.697461</v>
      </c>
      <c r="S409" t="s">
        <v>26</v>
      </c>
    </row>
    <row r="410" spans="1:19" x14ac:dyDescent="0.3">
      <c r="A410" t="s">
        <v>3237</v>
      </c>
      <c r="B410" t="s">
        <v>5562</v>
      </c>
      <c r="C410" t="s">
        <v>5783</v>
      </c>
      <c r="D410" t="s">
        <v>3256</v>
      </c>
      <c r="E410" t="s">
        <v>5656</v>
      </c>
      <c r="F410" t="s">
        <v>5680</v>
      </c>
      <c r="G410" t="s">
        <v>5680</v>
      </c>
      <c r="H410" t="s">
        <v>51</v>
      </c>
      <c r="I410" t="s">
        <v>52</v>
      </c>
      <c r="J410" t="str">
        <f>"0501981"</f>
        <v>0501981</v>
      </c>
      <c r="K410">
        <v>2109407443</v>
      </c>
      <c r="L410">
        <v>2109407443</v>
      </c>
      <c r="M410" t="s">
        <v>5784</v>
      </c>
      <c r="N410" t="s">
        <v>5683</v>
      </c>
      <c r="O410" t="s">
        <v>5785</v>
      </c>
      <c r="P410">
        <v>18344</v>
      </c>
      <c r="Q410" t="str">
        <f>"37.944628"</f>
        <v>37.944628</v>
      </c>
      <c r="R410" t="str">
        <f>"23.682178"</f>
        <v>23.682178</v>
      </c>
      <c r="S410" t="s">
        <v>26</v>
      </c>
    </row>
    <row r="411" spans="1:19" x14ac:dyDescent="0.3">
      <c r="A411" t="s">
        <v>3237</v>
      </c>
      <c r="B411" t="s">
        <v>5562</v>
      </c>
      <c r="C411" t="s">
        <v>5787</v>
      </c>
      <c r="D411" t="s">
        <v>3256</v>
      </c>
      <c r="E411" t="s">
        <v>5570</v>
      </c>
      <c r="F411" t="s">
        <v>5570</v>
      </c>
      <c r="G411" t="s">
        <v>5570</v>
      </c>
      <c r="H411" t="s">
        <v>51</v>
      </c>
      <c r="I411" t="s">
        <v>52</v>
      </c>
      <c r="J411" t="str">
        <f>"0501853"</f>
        <v>0501853</v>
      </c>
      <c r="K411">
        <v>2109430600</v>
      </c>
      <c r="L411">
        <v>2109407990</v>
      </c>
      <c r="M411" t="s">
        <v>5788</v>
      </c>
      <c r="N411" t="s">
        <v>5573</v>
      </c>
      <c r="O411" t="s">
        <v>5789</v>
      </c>
      <c r="P411">
        <v>17564</v>
      </c>
      <c r="Q411" t="str">
        <f>"37.935152"</f>
        <v>37.935152</v>
      </c>
      <c r="R411" t="str">
        <f>"23.695886"</f>
        <v>23.695886</v>
      </c>
      <c r="S411" t="s">
        <v>26</v>
      </c>
    </row>
    <row r="412" spans="1:19" x14ac:dyDescent="0.3">
      <c r="A412" t="s">
        <v>3237</v>
      </c>
      <c r="B412" t="s">
        <v>5562</v>
      </c>
      <c r="C412" t="s">
        <v>5790</v>
      </c>
      <c r="D412" t="s">
        <v>3256</v>
      </c>
      <c r="E412" t="s">
        <v>5563</v>
      </c>
      <c r="F412" t="s">
        <v>5563</v>
      </c>
      <c r="G412" t="s">
        <v>5611</v>
      </c>
      <c r="H412" t="s">
        <v>51</v>
      </c>
      <c r="I412" t="s">
        <v>52</v>
      </c>
      <c r="J412" t="str">
        <f>"0501801"</f>
        <v>0501801</v>
      </c>
      <c r="K412">
        <v>2109511214</v>
      </c>
      <c r="L412">
        <v>2109511214</v>
      </c>
      <c r="M412" t="s">
        <v>5791</v>
      </c>
      <c r="N412" t="s">
        <v>5567</v>
      </c>
      <c r="O412" t="s">
        <v>5792</v>
      </c>
      <c r="P412">
        <v>17672</v>
      </c>
      <c r="Q412" t="str">
        <f>"37.953088"</f>
        <v>37.953088</v>
      </c>
      <c r="R412" t="str">
        <f>"23.707107"</f>
        <v>23.707107</v>
      </c>
      <c r="S412" t="s">
        <v>26</v>
      </c>
    </row>
    <row r="413" spans="1:19" x14ac:dyDescent="0.3">
      <c r="A413" t="s">
        <v>3237</v>
      </c>
      <c r="B413" t="s">
        <v>5562</v>
      </c>
      <c r="C413" t="s">
        <v>5793</v>
      </c>
      <c r="D413" t="s">
        <v>3256</v>
      </c>
      <c r="E413" t="s">
        <v>5586</v>
      </c>
      <c r="F413" t="s">
        <v>5586</v>
      </c>
      <c r="G413" t="s">
        <v>5586</v>
      </c>
      <c r="H413" t="s">
        <v>51</v>
      </c>
      <c r="I413" t="s">
        <v>52</v>
      </c>
      <c r="J413" t="str">
        <f>"0501681"</f>
        <v>0501681</v>
      </c>
      <c r="K413">
        <v>2109318808</v>
      </c>
      <c r="L413">
        <v>2109357111</v>
      </c>
      <c r="M413" t="s">
        <v>5794</v>
      </c>
      <c r="N413" t="s">
        <v>5795</v>
      </c>
      <c r="O413" t="s">
        <v>5796</v>
      </c>
      <c r="P413">
        <v>17341</v>
      </c>
      <c r="Q413" t="str">
        <f>"37.938521"</f>
        <v>37.938521</v>
      </c>
      <c r="R413" t="str">
        <f>"23.723058"</f>
        <v>23.723058</v>
      </c>
      <c r="S413" t="s">
        <v>26</v>
      </c>
    </row>
    <row r="414" spans="1:19" x14ac:dyDescent="0.3">
      <c r="A414" t="s">
        <v>3237</v>
      </c>
      <c r="B414" t="s">
        <v>5562</v>
      </c>
      <c r="C414" t="s">
        <v>5798</v>
      </c>
      <c r="D414" t="s">
        <v>3256</v>
      </c>
      <c r="E414" t="s">
        <v>5656</v>
      </c>
      <c r="F414" t="s">
        <v>5657</v>
      </c>
      <c r="G414" t="s">
        <v>5657</v>
      </c>
      <c r="H414" t="s">
        <v>51</v>
      </c>
      <c r="I414" t="s">
        <v>52</v>
      </c>
      <c r="J414" t="str">
        <f>"0501860"</f>
        <v>0501860</v>
      </c>
      <c r="K414">
        <v>2103460589</v>
      </c>
      <c r="L414">
        <v>2103460121</v>
      </c>
      <c r="M414" t="s">
        <v>5799</v>
      </c>
      <c r="N414" t="s">
        <v>5660</v>
      </c>
      <c r="O414" t="s">
        <v>5778</v>
      </c>
      <c r="P414">
        <v>17778</v>
      </c>
      <c r="Q414" t="str">
        <f>"37.966089"</f>
        <v>37.966089</v>
      </c>
      <c r="R414" t="str">
        <f>"23.700410"</f>
        <v>23.700410</v>
      </c>
      <c r="S414" t="s">
        <v>26</v>
      </c>
    </row>
    <row r="415" spans="1:19" x14ac:dyDescent="0.3">
      <c r="A415" t="s">
        <v>3237</v>
      </c>
      <c r="B415" t="s">
        <v>5562</v>
      </c>
      <c r="C415" t="s">
        <v>5803</v>
      </c>
      <c r="D415" t="s">
        <v>3256</v>
      </c>
      <c r="E415" t="s">
        <v>5656</v>
      </c>
      <c r="F415" t="s">
        <v>5680</v>
      </c>
      <c r="G415" t="s">
        <v>5680</v>
      </c>
      <c r="H415" t="s">
        <v>51</v>
      </c>
      <c r="I415" t="s">
        <v>52</v>
      </c>
      <c r="J415" t="str">
        <f>"0501982"</f>
        <v>0501982</v>
      </c>
      <c r="K415">
        <v>2109410777</v>
      </c>
      <c r="L415">
        <v>2109410777</v>
      </c>
      <c r="M415" t="s">
        <v>5804</v>
      </c>
      <c r="N415" t="s">
        <v>5683</v>
      </c>
      <c r="O415" t="s">
        <v>5805</v>
      </c>
      <c r="P415">
        <v>18345</v>
      </c>
      <c r="Q415" t="str">
        <f>"37.953963"</f>
        <v>37.953963</v>
      </c>
      <c r="R415" t="str">
        <f>"23.689395"</f>
        <v>23.689395</v>
      </c>
      <c r="S415" t="s">
        <v>26</v>
      </c>
    </row>
    <row r="416" spans="1:19" x14ac:dyDescent="0.3">
      <c r="A416" t="s">
        <v>3237</v>
      </c>
      <c r="B416" t="s">
        <v>5562</v>
      </c>
      <c r="C416" t="s">
        <v>5806</v>
      </c>
      <c r="D416" t="s">
        <v>3256</v>
      </c>
      <c r="E416" t="s">
        <v>4017</v>
      </c>
      <c r="F416" t="s">
        <v>4017</v>
      </c>
      <c r="G416" t="s">
        <v>4017</v>
      </c>
      <c r="H416" t="s">
        <v>51</v>
      </c>
      <c r="I416" t="s">
        <v>52</v>
      </c>
      <c r="J416" t="str">
        <f>"0501896"</f>
        <v>0501896</v>
      </c>
      <c r="K416">
        <v>2109623524</v>
      </c>
      <c r="L416">
        <v>2109623524</v>
      </c>
      <c r="M416" t="s">
        <v>5807</v>
      </c>
      <c r="N416" t="s">
        <v>4017</v>
      </c>
      <c r="O416" t="s">
        <v>5808</v>
      </c>
      <c r="P416">
        <v>16561</v>
      </c>
      <c r="Q416" t="str">
        <f>"37.890339"</f>
        <v>37.890339</v>
      </c>
      <c r="R416" t="str">
        <f>"23.765846"</f>
        <v>23.765846</v>
      </c>
      <c r="S416" t="s">
        <v>26</v>
      </c>
    </row>
    <row r="417" spans="1:19" x14ac:dyDescent="0.3">
      <c r="A417" t="s">
        <v>3237</v>
      </c>
      <c r="B417" t="s">
        <v>5562</v>
      </c>
      <c r="C417" t="s">
        <v>5809</v>
      </c>
      <c r="D417" t="s">
        <v>3256</v>
      </c>
      <c r="E417" t="s">
        <v>4017</v>
      </c>
      <c r="F417" t="s">
        <v>4017</v>
      </c>
      <c r="G417" t="s">
        <v>4017</v>
      </c>
      <c r="H417" t="s">
        <v>51</v>
      </c>
      <c r="I417" t="s">
        <v>52</v>
      </c>
      <c r="J417" t="str">
        <f>"0501901"</f>
        <v>0501901</v>
      </c>
      <c r="K417">
        <v>2109611026</v>
      </c>
      <c r="L417">
        <v>2109646423</v>
      </c>
      <c r="M417" t="s">
        <v>5810</v>
      </c>
      <c r="N417" t="s">
        <v>5578</v>
      </c>
      <c r="O417" t="s">
        <v>5811</v>
      </c>
      <c r="P417">
        <v>16561</v>
      </c>
      <c r="Q417" t="str">
        <f>"37.885651"</f>
        <v>37.885651</v>
      </c>
      <c r="R417" t="str">
        <f>"23.774874"</f>
        <v>23.774874</v>
      </c>
      <c r="S417" t="s">
        <v>26</v>
      </c>
    </row>
    <row r="418" spans="1:19" x14ac:dyDescent="0.3">
      <c r="A418" t="s">
        <v>3237</v>
      </c>
      <c r="B418" t="s">
        <v>5562</v>
      </c>
      <c r="C418" t="s">
        <v>5812</v>
      </c>
      <c r="D418" t="s">
        <v>3256</v>
      </c>
      <c r="E418" t="s">
        <v>5570</v>
      </c>
      <c r="F418" t="s">
        <v>5570</v>
      </c>
      <c r="G418" t="s">
        <v>5570</v>
      </c>
      <c r="H418" t="s">
        <v>51</v>
      </c>
      <c r="I418" t="s">
        <v>52</v>
      </c>
      <c r="J418" t="str">
        <f>"0501850"</f>
        <v>0501850</v>
      </c>
      <c r="K418">
        <v>2109813607</v>
      </c>
      <c r="L418">
        <v>2109889750</v>
      </c>
      <c r="M418" t="s">
        <v>5813</v>
      </c>
      <c r="N418" t="s">
        <v>5573</v>
      </c>
      <c r="O418" t="s">
        <v>5814</v>
      </c>
      <c r="P418">
        <v>17561</v>
      </c>
      <c r="Q418" t="str">
        <f>"37.929693"</f>
        <v>37.929693</v>
      </c>
      <c r="R418" t="str">
        <f>"23.692927"</f>
        <v>23.692927</v>
      </c>
      <c r="S418" t="s">
        <v>26</v>
      </c>
    </row>
    <row r="419" spans="1:19" x14ac:dyDescent="0.3">
      <c r="A419" t="s">
        <v>3237</v>
      </c>
      <c r="B419" t="s">
        <v>5562</v>
      </c>
      <c r="C419" t="s">
        <v>5820</v>
      </c>
      <c r="D419" t="s">
        <v>3256</v>
      </c>
      <c r="E419" t="s">
        <v>3257</v>
      </c>
      <c r="F419" t="s">
        <v>3257</v>
      </c>
      <c r="G419" t="s">
        <v>3257</v>
      </c>
      <c r="H419" t="s">
        <v>51</v>
      </c>
      <c r="I419" t="s">
        <v>52</v>
      </c>
      <c r="J419" t="str">
        <f>"0501870"</f>
        <v>0501870</v>
      </c>
      <c r="K419">
        <v>2109919498</v>
      </c>
      <c r="L419">
        <v>2109959047</v>
      </c>
      <c r="M419" t="s">
        <v>5821</v>
      </c>
      <c r="N419" t="s">
        <v>3257</v>
      </c>
      <c r="O419" t="s">
        <v>5822</v>
      </c>
      <c r="P419">
        <v>17456</v>
      </c>
      <c r="Q419" t="str">
        <f>"37.924267"</f>
        <v>37.924267</v>
      </c>
      <c r="R419" t="str">
        <f>"23.742891"</f>
        <v>23.742891</v>
      </c>
      <c r="S419" t="s">
        <v>26</v>
      </c>
    </row>
    <row r="420" spans="1:19" x14ac:dyDescent="0.3">
      <c r="A420" t="s">
        <v>3237</v>
      </c>
      <c r="B420" t="s">
        <v>5562</v>
      </c>
      <c r="C420" t="s">
        <v>5823</v>
      </c>
      <c r="D420" t="s">
        <v>3256</v>
      </c>
      <c r="E420" t="s">
        <v>5563</v>
      </c>
      <c r="F420" t="s">
        <v>5563</v>
      </c>
      <c r="G420" t="s">
        <v>5611</v>
      </c>
      <c r="H420" t="s">
        <v>51</v>
      </c>
      <c r="I420" t="s">
        <v>52</v>
      </c>
      <c r="J420" t="str">
        <f>"0501805"</f>
        <v>0501805</v>
      </c>
      <c r="K420">
        <v>2109560903</v>
      </c>
      <c r="L420">
        <v>2109560903</v>
      </c>
      <c r="M420" t="s">
        <v>5824</v>
      </c>
      <c r="N420" t="s">
        <v>5567</v>
      </c>
      <c r="O420" t="s">
        <v>5825</v>
      </c>
      <c r="P420">
        <v>17673</v>
      </c>
      <c r="Q420" t="str">
        <f>"37.954370"</f>
        <v>37.954370</v>
      </c>
      <c r="R420" t="str">
        <f>"23.699877"</f>
        <v>23.699877</v>
      </c>
      <c r="S420" t="s">
        <v>26</v>
      </c>
    </row>
    <row r="421" spans="1:19" x14ac:dyDescent="0.3">
      <c r="A421" t="s">
        <v>3237</v>
      </c>
      <c r="B421" t="s">
        <v>5562</v>
      </c>
      <c r="C421" t="s">
        <v>5830</v>
      </c>
      <c r="D421" t="s">
        <v>3256</v>
      </c>
      <c r="E421" t="s">
        <v>4017</v>
      </c>
      <c r="F421" t="s">
        <v>4017</v>
      </c>
      <c r="G421" t="s">
        <v>4017</v>
      </c>
      <c r="H421" t="s">
        <v>51</v>
      </c>
      <c r="I421" t="s">
        <v>52</v>
      </c>
      <c r="J421" t="str">
        <f>"0501841"</f>
        <v>0501841</v>
      </c>
      <c r="K421">
        <v>2108945341</v>
      </c>
      <c r="L421">
        <v>2108980058</v>
      </c>
      <c r="M421" t="s">
        <v>5831</v>
      </c>
      <c r="N421" t="s">
        <v>5578</v>
      </c>
      <c r="O421" t="s">
        <v>5832</v>
      </c>
      <c r="P421">
        <v>16674</v>
      </c>
      <c r="Q421" t="str">
        <f>"37.860958"</f>
        <v>37.860958</v>
      </c>
      <c r="R421" t="str">
        <f>"23.763696"</f>
        <v>23.763696</v>
      </c>
      <c r="S421" t="s">
        <v>26</v>
      </c>
    </row>
    <row r="422" spans="1:19" x14ac:dyDescent="0.3">
      <c r="A422" t="s">
        <v>3237</v>
      </c>
      <c r="B422" t="s">
        <v>5562</v>
      </c>
      <c r="C422" t="s">
        <v>5833</v>
      </c>
      <c r="D422" t="s">
        <v>3256</v>
      </c>
      <c r="E422" t="s">
        <v>3295</v>
      </c>
      <c r="F422" t="s">
        <v>3295</v>
      </c>
      <c r="G422" t="s">
        <v>3295</v>
      </c>
      <c r="H422" t="s">
        <v>51</v>
      </c>
      <c r="I422" t="s">
        <v>52</v>
      </c>
      <c r="J422" t="str">
        <f>"0501830"</f>
        <v>0501830</v>
      </c>
      <c r="K422">
        <v>2109751400</v>
      </c>
      <c r="L422">
        <v>2109768341</v>
      </c>
      <c r="M422" t="s">
        <v>5834</v>
      </c>
      <c r="N422" t="s">
        <v>3295</v>
      </c>
      <c r="O422" t="s">
        <v>5835</v>
      </c>
      <c r="P422">
        <v>17343</v>
      </c>
      <c r="Q422" t="str">
        <f>"37.941938"</f>
        <v>37.941938</v>
      </c>
      <c r="R422" t="str">
        <f>"23.737949"</f>
        <v>23.737949</v>
      </c>
      <c r="S422" t="s">
        <v>26</v>
      </c>
    </row>
    <row r="423" spans="1:19" x14ac:dyDescent="0.3">
      <c r="A423" t="s">
        <v>3237</v>
      </c>
      <c r="B423" t="s">
        <v>5562</v>
      </c>
      <c r="C423" t="s">
        <v>5836</v>
      </c>
      <c r="D423" t="s">
        <v>3256</v>
      </c>
      <c r="E423" t="s">
        <v>5586</v>
      </c>
      <c r="F423" t="s">
        <v>5586</v>
      </c>
      <c r="G423" t="s">
        <v>5586</v>
      </c>
      <c r="H423" t="s">
        <v>51</v>
      </c>
      <c r="I423" t="s">
        <v>52</v>
      </c>
      <c r="J423" t="str">
        <f>"0501670"</f>
        <v>0501670</v>
      </c>
      <c r="K423">
        <v>2109332400</v>
      </c>
      <c r="L423">
        <v>2109333398</v>
      </c>
      <c r="M423" t="s">
        <v>5837</v>
      </c>
      <c r="N423" t="s">
        <v>3260</v>
      </c>
      <c r="O423" t="s">
        <v>5590</v>
      </c>
      <c r="P423">
        <v>17124</v>
      </c>
      <c r="Q423" t="str">
        <f>"37.947158"</f>
        <v>37.947158</v>
      </c>
      <c r="R423" t="str">
        <f>"23.721395"</f>
        <v>23.721395</v>
      </c>
      <c r="S423" t="s">
        <v>26</v>
      </c>
    </row>
    <row r="424" spans="1:19" x14ac:dyDescent="0.3">
      <c r="A424" t="s">
        <v>3237</v>
      </c>
      <c r="B424" t="s">
        <v>5562</v>
      </c>
      <c r="C424" t="s">
        <v>5838</v>
      </c>
      <c r="D424" t="s">
        <v>3256</v>
      </c>
      <c r="E424" t="s">
        <v>5599</v>
      </c>
      <c r="F424" t="s">
        <v>5600</v>
      </c>
      <c r="G424" t="s">
        <v>5601</v>
      </c>
      <c r="H424" t="s">
        <v>51</v>
      </c>
      <c r="I424" t="s">
        <v>52</v>
      </c>
      <c r="J424" t="str">
        <f>"0501903"</f>
        <v>0501903</v>
      </c>
      <c r="K424">
        <v>2109940880</v>
      </c>
      <c r="L424">
        <v>2109940880</v>
      </c>
      <c r="M424" t="s">
        <v>5839</v>
      </c>
      <c r="N424" t="s">
        <v>1038</v>
      </c>
      <c r="O424" t="s">
        <v>5840</v>
      </c>
      <c r="P424">
        <v>16451</v>
      </c>
      <c r="Q424" t="str">
        <f>"37.906026"</f>
        <v>37.906026</v>
      </c>
      <c r="R424" t="str">
        <f>"23.757078"</f>
        <v>23.757078</v>
      </c>
      <c r="S424" t="s">
        <v>26</v>
      </c>
    </row>
    <row r="425" spans="1:19" x14ac:dyDescent="0.3">
      <c r="A425" t="s">
        <v>3237</v>
      </c>
      <c r="B425" t="s">
        <v>5562</v>
      </c>
      <c r="C425" t="s">
        <v>5842</v>
      </c>
      <c r="D425" t="s">
        <v>3256</v>
      </c>
      <c r="E425" t="s">
        <v>5599</v>
      </c>
      <c r="F425" t="s">
        <v>5600</v>
      </c>
      <c r="G425" t="s">
        <v>5601</v>
      </c>
      <c r="H425" t="s">
        <v>51</v>
      </c>
      <c r="I425" t="s">
        <v>52</v>
      </c>
      <c r="J425" t="str">
        <f>"0501898"</f>
        <v>0501898</v>
      </c>
      <c r="K425">
        <v>2109622860</v>
      </c>
      <c r="L425">
        <v>2109642687</v>
      </c>
      <c r="M425" t="s">
        <v>5843</v>
      </c>
      <c r="N425" t="s">
        <v>1038</v>
      </c>
      <c r="O425" t="s">
        <v>5844</v>
      </c>
      <c r="P425">
        <v>16452</v>
      </c>
      <c r="Q425" t="str">
        <f>"37.898660"</f>
        <v>37.898660</v>
      </c>
      <c r="R425" t="str">
        <f>"23.755678"</f>
        <v>23.755678</v>
      </c>
      <c r="S425" t="s">
        <v>26</v>
      </c>
    </row>
    <row r="426" spans="1:19" x14ac:dyDescent="0.3">
      <c r="A426" t="s">
        <v>3237</v>
      </c>
      <c r="B426" t="s">
        <v>5562</v>
      </c>
      <c r="C426" t="s">
        <v>5845</v>
      </c>
      <c r="D426" t="s">
        <v>3256</v>
      </c>
      <c r="E426" t="s">
        <v>4017</v>
      </c>
      <c r="F426" t="s">
        <v>4017</v>
      </c>
      <c r="G426" t="s">
        <v>4017</v>
      </c>
      <c r="H426" t="s">
        <v>51</v>
      </c>
      <c r="I426" t="s">
        <v>52</v>
      </c>
      <c r="J426" t="str">
        <f>"0501840"</f>
        <v>0501840</v>
      </c>
      <c r="K426">
        <v>2109632528</v>
      </c>
      <c r="L426">
        <v>2109633839</v>
      </c>
      <c r="M426" t="s">
        <v>5846</v>
      </c>
      <c r="N426" t="s">
        <v>5578</v>
      </c>
      <c r="O426" t="s">
        <v>5847</v>
      </c>
      <c r="P426">
        <v>16675</v>
      </c>
      <c r="Q426" t="str">
        <f>"37.869919"</f>
        <v>37.869919</v>
      </c>
      <c r="R426" t="str">
        <f>"23.751526"</f>
        <v>23.751526</v>
      </c>
      <c r="S426" t="s">
        <v>26</v>
      </c>
    </row>
    <row r="427" spans="1:19" x14ac:dyDescent="0.3">
      <c r="A427" t="s">
        <v>3237</v>
      </c>
      <c r="B427" t="s">
        <v>5562</v>
      </c>
      <c r="C427" t="s">
        <v>5851</v>
      </c>
      <c r="D427" t="s">
        <v>3256</v>
      </c>
      <c r="E427" t="s">
        <v>5656</v>
      </c>
      <c r="F427" t="s">
        <v>5680</v>
      </c>
      <c r="G427" t="s">
        <v>5680</v>
      </c>
      <c r="H427" t="s">
        <v>51</v>
      </c>
      <c r="I427" t="s">
        <v>52</v>
      </c>
      <c r="J427" t="str">
        <f>"0501980"</f>
        <v>0501980</v>
      </c>
      <c r="K427">
        <v>2104812123</v>
      </c>
      <c r="L427">
        <v>2104812123</v>
      </c>
      <c r="M427" t="s">
        <v>5852</v>
      </c>
      <c r="N427" t="s">
        <v>5683</v>
      </c>
      <c r="O427" t="s">
        <v>5853</v>
      </c>
      <c r="P427">
        <v>18344</v>
      </c>
      <c r="Q427" t="str">
        <f>"37.944971"</f>
        <v>37.944971</v>
      </c>
      <c r="R427" t="str">
        <f>"23.674816"</f>
        <v>23.674816</v>
      </c>
      <c r="S427" t="s">
        <v>26</v>
      </c>
    </row>
    <row r="428" spans="1:19" x14ac:dyDescent="0.3">
      <c r="A428" t="s">
        <v>3237</v>
      </c>
      <c r="B428" t="s">
        <v>5562</v>
      </c>
      <c r="C428" t="s">
        <v>5854</v>
      </c>
      <c r="D428" t="s">
        <v>3256</v>
      </c>
      <c r="E428" t="s">
        <v>5563</v>
      </c>
      <c r="F428" t="s">
        <v>5563</v>
      </c>
      <c r="G428" t="s">
        <v>5633</v>
      </c>
      <c r="H428" t="s">
        <v>51</v>
      </c>
      <c r="I428" t="s">
        <v>52</v>
      </c>
      <c r="J428" t="str">
        <f>"0501804"</f>
        <v>0501804</v>
      </c>
      <c r="K428">
        <v>2109248371</v>
      </c>
      <c r="L428">
        <v>2109248371</v>
      </c>
      <c r="M428" t="s">
        <v>5855</v>
      </c>
      <c r="N428" t="s">
        <v>5567</v>
      </c>
      <c r="O428" t="s">
        <v>5636</v>
      </c>
      <c r="P428">
        <v>17671</v>
      </c>
      <c r="Q428" t="str">
        <f>"37.961587"</f>
        <v>37.961587</v>
      </c>
      <c r="R428" t="str">
        <f>"23.717634"</f>
        <v>23.717634</v>
      </c>
      <c r="S428" t="s">
        <v>26</v>
      </c>
    </row>
    <row r="429" spans="1:19" x14ac:dyDescent="0.3">
      <c r="A429" t="s">
        <v>3237</v>
      </c>
      <c r="B429" t="s">
        <v>5562</v>
      </c>
      <c r="C429" t="s">
        <v>5856</v>
      </c>
      <c r="D429" t="s">
        <v>3256</v>
      </c>
      <c r="E429" t="s">
        <v>5563</v>
      </c>
      <c r="F429" t="s">
        <v>5563</v>
      </c>
      <c r="G429" t="s">
        <v>5564</v>
      </c>
      <c r="H429" t="s">
        <v>51</v>
      </c>
      <c r="I429" t="s">
        <v>52</v>
      </c>
      <c r="J429" t="str">
        <f>"0501786"</f>
        <v>0501786</v>
      </c>
      <c r="K429">
        <v>2109563989</v>
      </c>
      <c r="L429">
        <v>2109563986</v>
      </c>
      <c r="M429" t="s">
        <v>5857</v>
      </c>
      <c r="N429" t="s">
        <v>5563</v>
      </c>
      <c r="O429" t="s">
        <v>5858</v>
      </c>
      <c r="P429">
        <v>17673</v>
      </c>
      <c r="Q429" t="str">
        <f>"37.947200"</f>
        <v>37.947200</v>
      </c>
      <c r="R429" t="str">
        <f>"23.700893"</f>
        <v>23.700893</v>
      </c>
      <c r="S429" t="s">
        <v>26</v>
      </c>
    </row>
    <row r="430" spans="1:19" x14ac:dyDescent="0.3">
      <c r="A430" t="s">
        <v>3237</v>
      </c>
      <c r="B430" t="s">
        <v>5562</v>
      </c>
      <c r="C430" t="s">
        <v>5860</v>
      </c>
      <c r="D430" t="s">
        <v>3256</v>
      </c>
      <c r="E430" t="s">
        <v>4017</v>
      </c>
      <c r="F430" t="s">
        <v>4017</v>
      </c>
      <c r="G430" t="s">
        <v>4017</v>
      </c>
      <c r="H430" t="s">
        <v>51</v>
      </c>
      <c r="I430" t="s">
        <v>52</v>
      </c>
      <c r="J430" t="str">
        <f>"0501842"</f>
        <v>0501842</v>
      </c>
      <c r="K430">
        <v>2109624983</v>
      </c>
      <c r="L430">
        <v>2109624983</v>
      </c>
      <c r="M430" t="s">
        <v>5861</v>
      </c>
      <c r="N430" t="s">
        <v>5578</v>
      </c>
      <c r="O430" t="s">
        <v>5862</v>
      </c>
      <c r="P430">
        <v>16674</v>
      </c>
      <c r="Q430" t="str">
        <f>"37.870426"</f>
        <v>37.870426</v>
      </c>
      <c r="R430" t="str">
        <f>"23.762837"</f>
        <v>23.762837</v>
      </c>
      <c r="S430" t="s">
        <v>26</v>
      </c>
    </row>
    <row r="431" spans="1:19" x14ac:dyDescent="0.3">
      <c r="A431" t="s">
        <v>3237</v>
      </c>
      <c r="B431" t="s">
        <v>5562</v>
      </c>
      <c r="C431" t="s">
        <v>5863</v>
      </c>
      <c r="D431" t="s">
        <v>3256</v>
      </c>
      <c r="E431" t="s">
        <v>5599</v>
      </c>
      <c r="F431" t="s">
        <v>5600</v>
      </c>
      <c r="G431" t="s">
        <v>5601</v>
      </c>
      <c r="H431" t="s">
        <v>51</v>
      </c>
      <c r="I431" t="s">
        <v>52</v>
      </c>
      <c r="J431" t="str">
        <f>"0501902"</f>
        <v>0501902</v>
      </c>
      <c r="K431">
        <v>2109922619</v>
      </c>
      <c r="L431">
        <v>2109922619</v>
      </c>
      <c r="M431" t="s">
        <v>5864</v>
      </c>
      <c r="N431" t="s">
        <v>5601</v>
      </c>
      <c r="O431" t="s">
        <v>5865</v>
      </c>
      <c r="P431">
        <v>16451</v>
      </c>
      <c r="Q431" t="str">
        <f>"37.914779"</f>
        <v>37.914779</v>
      </c>
      <c r="R431" t="str">
        <f>"23.754481"</f>
        <v>23.754481</v>
      </c>
      <c r="S431" t="s">
        <v>26</v>
      </c>
    </row>
    <row r="432" spans="1:19" x14ac:dyDescent="0.3">
      <c r="A432" t="s">
        <v>3237</v>
      </c>
      <c r="B432" t="s">
        <v>5562</v>
      </c>
      <c r="C432" t="s">
        <v>5867</v>
      </c>
      <c r="D432" t="s">
        <v>3256</v>
      </c>
      <c r="E432" t="s">
        <v>5599</v>
      </c>
      <c r="F432" t="s">
        <v>5726</v>
      </c>
      <c r="G432" t="s">
        <v>5726</v>
      </c>
      <c r="H432" t="s">
        <v>51</v>
      </c>
      <c r="I432" t="s">
        <v>807</v>
      </c>
      <c r="J432" t="str">
        <f>"0501897"</f>
        <v>0501897</v>
      </c>
      <c r="K432">
        <v>2109626606</v>
      </c>
      <c r="L432">
        <v>2109607436</v>
      </c>
      <c r="M432" t="s">
        <v>5868</v>
      </c>
      <c r="N432" t="s">
        <v>5817</v>
      </c>
      <c r="O432" t="s">
        <v>5869</v>
      </c>
      <c r="P432">
        <v>16777</v>
      </c>
      <c r="Q432" t="str">
        <f>"37.891061"</f>
        <v>37.891061</v>
      </c>
      <c r="R432" t="str">
        <f>"23.743882"</f>
        <v>23.743882</v>
      </c>
      <c r="S432" t="s">
        <v>26</v>
      </c>
    </row>
    <row r="433" spans="1:19" x14ac:dyDescent="0.3">
      <c r="A433" t="s">
        <v>3237</v>
      </c>
      <c r="B433" t="s">
        <v>5562</v>
      </c>
      <c r="C433" t="s">
        <v>5870</v>
      </c>
      <c r="D433" t="s">
        <v>3256</v>
      </c>
      <c r="E433" t="s">
        <v>5586</v>
      </c>
      <c r="F433" t="s">
        <v>5586</v>
      </c>
      <c r="G433" t="s">
        <v>5586</v>
      </c>
      <c r="H433" t="s">
        <v>51</v>
      </c>
      <c r="I433" t="s">
        <v>3708</v>
      </c>
      <c r="J433" t="str">
        <f>"0501004"</f>
        <v>0501004</v>
      </c>
      <c r="K433">
        <v>2109316748</v>
      </c>
      <c r="L433">
        <v>2109316748</v>
      </c>
      <c r="M433" t="s">
        <v>5871</v>
      </c>
      <c r="N433" t="s">
        <v>3260</v>
      </c>
      <c r="O433" t="s">
        <v>5618</v>
      </c>
      <c r="P433">
        <v>17123</v>
      </c>
      <c r="Q433" t="str">
        <f>"37.931234"</f>
        <v>37.931234</v>
      </c>
      <c r="R433" t="str">
        <f>"23.712791"</f>
        <v>23.712791</v>
      </c>
      <c r="S433" t="s">
        <v>26</v>
      </c>
    </row>
    <row r="434" spans="1:19" x14ac:dyDescent="0.3">
      <c r="A434" t="s">
        <v>3237</v>
      </c>
      <c r="B434" t="s">
        <v>5562</v>
      </c>
      <c r="C434" t="s">
        <v>5872</v>
      </c>
      <c r="D434" t="s">
        <v>3256</v>
      </c>
      <c r="E434" t="s">
        <v>4017</v>
      </c>
      <c r="F434" t="s">
        <v>4017</v>
      </c>
      <c r="G434" t="s">
        <v>4017</v>
      </c>
      <c r="H434" t="s">
        <v>51</v>
      </c>
      <c r="I434" t="s">
        <v>52</v>
      </c>
      <c r="J434" t="str">
        <f>"0501843"</f>
        <v>0501843</v>
      </c>
      <c r="K434">
        <v>2109601733</v>
      </c>
      <c r="L434">
        <v>2109601733</v>
      </c>
      <c r="M434" t="s">
        <v>5873</v>
      </c>
      <c r="N434" t="s">
        <v>5578</v>
      </c>
      <c r="O434" t="s">
        <v>5874</v>
      </c>
      <c r="P434">
        <v>16562</v>
      </c>
      <c r="Q434" t="str">
        <f>"37.891169"</f>
        <v>37.891169</v>
      </c>
      <c r="R434" t="str">
        <f>"23.768571"</f>
        <v>23.768571</v>
      </c>
      <c r="S434" t="s">
        <v>26</v>
      </c>
    </row>
    <row r="435" spans="1:19" x14ac:dyDescent="0.3">
      <c r="A435" t="s">
        <v>3237</v>
      </c>
      <c r="B435" t="s">
        <v>5562</v>
      </c>
      <c r="C435" t="s">
        <v>5876</v>
      </c>
      <c r="D435" t="s">
        <v>3256</v>
      </c>
      <c r="E435" t="s">
        <v>5599</v>
      </c>
      <c r="F435" t="s">
        <v>5600</v>
      </c>
      <c r="G435" t="s">
        <v>5601</v>
      </c>
      <c r="H435" t="s">
        <v>51</v>
      </c>
      <c r="I435" t="s">
        <v>3951</v>
      </c>
      <c r="J435" t="str">
        <f>"0501882"</f>
        <v>0501882</v>
      </c>
      <c r="K435">
        <v>2109932732</v>
      </c>
      <c r="L435">
        <v>2109932732</v>
      </c>
      <c r="M435" t="s">
        <v>5877</v>
      </c>
      <c r="N435" t="s">
        <v>1038</v>
      </c>
      <c r="O435" t="s">
        <v>5878</v>
      </c>
      <c r="P435">
        <v>16452</v>
      </c>
      <c r="Q435" t="str">
        <f>"37.908786"</f>
        <v>37.908786</v>
      </c>
      <c r="R435" t="str">
        <f>"23.743415"</f>
        <v>23.743415</v>
      </c>
      <c r="S435" t="s">
        <v>26</v>
      </c>
    </row>
    <row r="436" spans="1:19" x14ac:dyDescent="0.3">
      <c r="A436" t="s">
        <v>3237</v>
      </c>
      <c r="B436" t="s">
        <v>5562</v>
      </c>
      <c r="C436" t="s">
        <v>5882</v>
      </c>
      <c r="D436" t="s">
        <v>3256</v>
      </c>
      <c r="E436" t="s">
        <v>5586</v>
      </c>
      <c r="F436" t="s">
        <v>5586</v>
      </c>
      <c r="G436" t="s">
        <v>5586</v>
      </c>
      <c r="H436" t="s">
        <v>51</v>
      </c>
      <c r="I436" t="s">
        <v>52</v>
      </c>
      <c r="J436" t="str">
        <f>"0501677"</f>
        <v>0501677</v>
      </c>
      <c r="K436">
        <v>2109330964</v>
      </c>
      <c r="L436">
        <v>2109318970</v>
      </c>
      <c r="M436" t="s">
        <v>5883</v>
      </c>
      <c r="N436" t="s">
        <v>5586</v>
      </c>
      <c r="O436" t="s">
        <v>5884</v>
      </c>
      <c r="P436">
        <v>17122</v>
      </c>
      <c r="Q436" t="str">
        <f>"37.937286"</f>
        <v>37.937286</v>
      </c>
      <c r="R436" t="str">
        <f>"23.708657"</f>
        <v>23.708657</v>
      </c>
      <c r="S436" t="s">
        <v>26</v>
      </c>
    </row>
    <row r="437" spans="1:19" x14ac:dyDescent="0.3">
      <c r="A437" t="s">
        <v>3237</v>
      </c>
      <c r="B437" t="s">
        <v>5562</v>
      </c>
      <c r="C437" t="s">
        <v>5885</v>
      </c>
      <c r="D437" t="s">
        <v>3256</v>
      </c>
      <c r="E437" t="s">
        <v>5586</v>
      </c>
      <c r="F437" t="s">
        <v>5586</v>
      </c>
      <c r="G437" t="s">
        <v>5586</v>
      </c>
      <c r="H437" t="s">
        <v>51</v>
      </c>
      <c r="I437" t="s">
        <v>52</v>
      </c>
      <c r="J437" t="str">
        <f>"0501660"</f>
        <v>0501660</v>
      </c>
      <c r="K437">
        <v>2109344748</v>
      </c>
      <c r="L437">
        <v>2109344748</v>
      </c>
      <c r="M437" t="s">
        <v>5886</v>
      </c>
      <c r="N437" t="s">
        <v>3260</v>
      </c>
      <c r="O437" t="s">
        <v>5887</v>
      </c>
      <c r="P437">
        <v>17122</v>
      </c>
      <c r="Q437" t="str">
        <f>"37.943361"</f>
        <v>37.943361</v>
      </c>
      <c r="R437" t="str">
        <f>"23.711380"</f>
        <v>23.711380</v>
      </c>
      <c r="S437" t="s">
        <v>26</v>
      </c>
    </row>
    <row r="438" spans="1:19" x14ac:dyDescent="0.3">
      <c r="A438" t="s">
        <v>3237</v>
      </c>
      <c r="B438" t="s">
        <v>5562</v>
      </c>
      <c r="C438" t="s">
        <v>5888</v>
      </c>
      <c r="D438" t="s">
        <v>3256</v>
      </c>
      <c r="E438" t="s">
        <v>3295</v>
      </c>
      <c r="F438" t="s">
        <v>3295</v>
      </c>
      <c r="G438" t="s">
        <v>3295</v>
      </c>
      <c r="H438" t="s">
        <v>51</v>
      </c>
      <c r="I438" t="s">
        <v>52</v>
      </c>
      <c r="J438" t="str">
        <f>"0501833"</f>
        <v>0501833</v>
      </c>
      <c r="K438">
        <v>2109312008</v>
      </c>
      <c r="L438">
        <v>2109312008</v>
      </c>
      <c r="M438" t="s">
        <v>5889</v>
      </c>
      <c r="N438" t="s">
        <v>3472</v>
      </c>
      <c r="O438" t="s">
        <v>5890</v>
      </c>
      <c r="P438">
        <v>17341</v>
      </c>
      <c r="Q438" t="str">
        <f>"37.928156"</f>
        <v>37.928156</v>
      </c>
      <c r="R438" t="str">
        <f>"23.721681"</f>
        <v>23.721681</v>
      </c>
      <c r="S438" t="s">
        <v>26</v>
      </c>
    </row>
    <row r="439" spans="1:19" x14ac:dyDescent="0.3">
      <c r="A439" t="s">
        <v>3237</v>
      </c>
      <c r="B439" t="s">
        <v>5562</v>
      </c>
      <c r="C439" t="s">
        <v>5892</v>
      </c>
      <c r="D439" t="s">
        <v>3256</v>
      </c>
      <c r="E439" t="s">
        <v>3295</v>
      </c>
      <c r="F439" t="s">
        <v>3295</v>
      </c>
      <c r="G439" t="s">
        <v>3295</v>
      </c>
      <c r="H439" t="s">
        <v>51</v>
      </c>
      <c r="I439" t="s">
        <v>52</v>
      </c>
      <c r="J439" t="str">
        <f>"0501831"</f>
        <v>0501831</v>
      </c>
      <c r="K439">
        <v>2109884313</v>
      </c>
      <c r="L439">
        <v>2109886229</v>
      </c>
      <c r="M439" t="s">
        <v>5893</v>
      </c>
      <c r="N439" t="s">
        <v>3295</v>
      </c>
      <c r="O439" t="s">
        <v>5894</v>
      </c>
      <c r="P439">
        <v>17342</v>
      </c>
      <c r="Q439" t="str">
        <f>"37.920340"</f>
        <v>37.920340</v>
      </c>
      <c r="R439" t="str">
        <f>"23.727633"</f>
        <v>23.727633</v>
      </c>
      <c r="S439" t="s">
        <v>26</v>
      </c>
    </row>
    <row r="440" spans="1:19" x14ac:dyDescent="0.3">
      <c r="A440" t="s">
        <v>3237</v>
      </c>
      <c r="B440" t="s">
        <v>5562</v>
      </c>
      <c r="C440" t="s">
        <v>5896</v>
      </c>
      <c r="D440" t="s">
        <v>3256</v>
      </c>
      <c r="E440" t="s">
        <v>5586</v>
      </c>
      <c r="F440" t="s">
        <v>5586</v>
      </c>
      <c r="G440" t="s">
        <v>5586</v>
      </c>
      <c r="H440" t="s">
        <v>51</v>
      </c>
      <c r="I440" t="s">
        <v>52</v>
      </c>
      <c r="J440" t="str">
        <f>"0501671"</f>
        <v>0501671</v>
      </c>
      <c r="K440">
        <v>2109348513</v>
      </c>
      <c r="L440">
        <v>2109329818</v>
      </c>
      <c r="M440" t="s">
        <v>5897</v>
      </c>
      <c r="N440" t="s">
        <v>3260</v>
      </c>
      <c r="O440" t="s">
        <v>5590</v>
      </c>
      <c r="P440">
        <v>17124</v>
      </c>
      <c r="Q440" t="str">
        <f>"37.947718"</f>
        <v>37.947718</v>
      </c>
      <c r="R440" t="str">
        <f>"23.721480"</f>
        <v>23.721480</v>
      </c>
      <c r="S440" t="s">
        <v>26</v>
      </c>
    </row>
    <row r="441" spans="1:19" x14ac:dyDescent="0.3">
      <c r="A441" t="s">
        <v>3237</v>
      </c>
      <c r="B441" t="s">
        <v>5562</v>
      </c>
      <c r="C441" t="s">
        <v>5898</v>
      </c>
      <c r="D441" t="s">
        <v>3256</v>
      </c>
      <c r="E441" t="s">
        <v>5563</v>
      </c>
      <c r="F441" t="s">
        <v>5563</v>
      </c>
      <c r="G441" t="s">
        <v>5564</v>
      </c>
      <c r="H441" t="s">
        <v>51</v>
      </c>
      <c r="I441" t="s">
        <v>52</v>
      </c>
      <c r="J441" t="str">
        <f>"0501802"</f>
        <v>0501802</v>
      </c>
      <c r="K441">
        <v>2109428632</v>
      </c>
      <c r="L441">
        <v>2109428632</v>
      </c>
      <c r="M441" t="s">
        <v>5899</v>
      </c>
      <c r="N441" t="s">
        <v>5567</v>
      </c>
      <c r="O441" t="s">
        <v>5900</v>
      </c>
      <c r="P441">
        <v>17674</v>
      </c>
      <c r="Q441" t="str">
        <f>"37.945464"</f>
        <v>37.945464</v>
      </c>
      <c r="R441" t="str">
        <f>"23.693689"</f>
        <v>23.693689</v>
      </c>
      <c r="S441" t="s">
        <v>26</v>
      </c>
    </row>
    <row r="442" spans="1:19" x14ac:dyDescent="0.3">
      <c r="A442" t="s">
        <v>3237</v>
      </c>
      <c r="B442" t="s">
        <v>5562</v>
      </c>
      <c r="C442" t="s">
        <v>5901</v>
      </c>
      <c r="D442" t="s">
        <v>3256</v>
      </c>
      <c r="E442" t="s">
        <v>3257</v>
      </c>
      <c r="F442" t="s">
        <v>3257</v>
      </c>
      <c r="G442" t="s">
        <v>3257</v>
      </c>
      <c r="H442" t="s">
        <v>51</v>
      </c>
      <c r="I442" t="s">
        <v>52</v>
      </c>
      <c r="J442" t="str">
        <f>"0501890"</f>
        <v>0501890</v>
      </c>
      <c r="K442">
        <v>2109812650</v>
      </c>
      <c r="L442">
        <v>2109831831</v>
      </c>
      <c r="M442" t="s">
        <v>5902</v>
      </c>
      <c r="N442" t="s">
        <v>5630</v>
      </c>
      <c r="O442" t="s">
        <v>5903</v>
      </c>
      <c r="P442">
        <v>17455</v>
      </c>
      <c r="Q442" t="str">
        <f>"37.919562"</f>
        <v>37.919562</v>
      </c>
      <c r="R442" t="str">
        <f>"23.715138"</f>
        <v>23.715138</v>
      </c>
      <c r="S442" t="s">
        <v>26</v>
      </c>
    </row>
    <row r="443" spans="1:19" x14ac:dyDescent="0.3">
      <c r="A443" t="s">
        <v>3237</v>
      </c>
      <c r="B443" t="s">
        <v>5562</v>
      </c>
      <c r="C443" t="s">
        <v>5904</v>
      </c>
      <c r="D443" t="s">
        <v>3256</v>
      </c>
      <c r="E443" t="s">
        <v>3257</v>
      </c>
      <c r="F443" t="s">
        <v>3257</v>
      </c>
      <c r="G443" t="s">
        <v>3257</v>
      </c>
      <c r="H443" t="s">
        <v>51</v>
      </c>
      <c r="I443" t="s">
        <v>190</v>
      </c>
      <c r="J443" t="str">
        <f>"0501007"</f>
        <v>0501007</v>
      </c>
      <c r="K443">
        <v>2109963561</v>
      </c>
      <c r="L443">
        <v>2109963671</v>
      </c>
      <c r="M443" t="s">
        <v>5905</v>
      </c>
      <c r="N443" t="s">
        <v>5630</v>
      </c>
      <c r="O443" t="s">
        <v>5906</v>
      </c>
      <c r="P443">
        <v>17456</v>
      </c>
      <c r="Q443" t="str">
        <f>"37.910006"</f>
        <v>37.910006</v>
      </c>
      <c r="R443" t="str">
        <f>"23.734704"</f>
        <v>23.734704</v>
      </c>
      <c r="S443" t="s">
        <v>26</v>
      </c>
    </row>
    <row r="444" spans="1:19" x14ac:dyDescent="0.3">
      <c r="A444" t="s">
        <v>3237</v>
      </c>
      <c r="B444" t="s">
        <v>5562</v>
      </c>
      <c r="C444" t="s">
        <v>5908</v>
      </c>
      <c r="D444" t="s">
        <v>3256</v>
      </c>
      <c r="E444" t="s">
        <v>5563</v>
      </c>
      <c r="F444" t="s">
        <v>5563</v>
      </c>
      <c r="G444" t="s">
        <v>5611</v>
      </c>
      <c r="H444" t="s">
        <v>51</v>
      </c>
      <c r="I444" t="s">
        <v>52</v>
      </c>
      <c r="J444" t="str">
        <f>"0501800"</f>
        <v>0501800</v>
      </c>
      <c r="K444">
        <v>2109564771</v>
      </c>
      <c r="L444">
        <v>2109577236</v>
      </c>
      <c r="M444" t="s">
        <v>5909</v>
      </c>
      <c r="N444" t="s">
        <v>5563</v>
      </c>
      <c r="O444" t="s">
        <v>5910</v>
      </c>
      <c r="P444">
        <v>17676</v>
      </c>
      <c r="Q444" t="str">
        <f>"37.958166"</f>
        <v>37.958166</v>
      </c>
      <c r="R444" t="str">
        <f>"23.703721"</f>
        <v>23.703721</v>
      </c>
      <c r="S444" t="s">
        <v>26</v>
      </c>
    </row>
    <row r="445" spans="1:19" x14ac:dyDescent="0.3">
      <c r="A445" t="s">
        <v>3237</v>
      </c>
      <c r="B445" t="s">
        <v>5562</v>
      </c>
      <c r="C445" t="s">
        <v>5912</v>
      </c>
      <c r="D445" t="s">
        <v>3256</v>
      </c>
      <c r="E445" t="s">
        <v>3295</v>
      </c>
      <c r="F445" t="s">
        <v>3295</v>
      </c>
      <c r="G445" t="s">
        <v>3295</v>
      </c>
      <c r="H445" t="s">
        <v>51</v>
      </c>
      <c r="I445" t="s">
        <v>52</v>
      </c>
      <c r="J445" t="str">
        <f>"0501834"</f>
        <v>0501834</v>
      </c>
      <c r="K445">
        <v>2109734154</v>
      </c>
      <c r="L445">
        <v>2109734154</v>
      </c>
      <c r="M445" t="s">
        <v>5913</v>
      </c>
      <c r="N445" t="s">
        <v>3472</v>
      </c>
      <c r="O445" t="s">
        <v>5914</v>
      </c>
      <c r="P445">
        <v>17342</v>
      </c>
      <c r="Q445" t="str">
        <f>"37.931449"</f>
        <v>37.931449</v>
      </c>
      <c r="R445" t="str">
        <f>"23.738184"</f>
        <v>23.738184</v>
      </c>
      <c r="S445" t="s">
        <v>26</v>
      </c>
    </row>
    <row r="446" spans="1:19" x14ac:dyDescent="0.3">
      <c r="A446" t="s">
        <v>3237</v>
      </c>
      <c r="B446" t="s">
        <v>5562</v>
      </c>
      <c r="C446" t="s">
        <v>5926</v>
      </c>
      <c r="D446" t="s">
        <v>3256</v>
      </c>
      <c r="E446" t="s">
        <v>5570</v>
      </c>
      <c r="F446" t="s">
        <v>5570</v>
      </c>
      <c r="G446" t="s">
        <v>5570</v>
      </c>
      <c r="H446" t="s">
        <v>51</v>
      </c>
      <c r="I446" t="s">
        <v>52</v>
      </c>
      <c r="J446" t="str">
        <f>"0501836"</f>
        <v>0501836</v>
      </c>
      <c r="K446">
        <v>2109344481</v>
      </c>
      <c r="L446">
        <v>2109318525</v>
      </c>
      <c r="M446" t="s">
        <v>5927</v>
      </c>
      <c r="N446" t="s">
        <v>5573</v>
      </c>
      <c r="O446" t="s">
        <v>5928</v>
      </c>
      <c r="P446">
        <v>17564</v>
      </c>
      <c r="Q446" t="str">
        <f>"37.934909"</f>
        <v>37.934909</v>
      </c>
      <c r="R446" t="str">
        <f>"23.707707"</f>
        <v>23.707707</v>
      </c>
      <c r="S446" t="s">
        <v>26</v>
      </c>
    </row>
    <row r="447" spans="1:19" x14ac:dyDescent="0.3">
      <c r="A447" t="s">
        <v>3237</v>
      </c>
      <c r="B447" t="s">
        <v>5562</v>
      </c>
      <c r="C447" t="s">
        <v>5929</v>
      </c>
      <c r="D447" t="s">
        <v>3256</v>
      </c>
      <c r="E447" t="s">
        <v>5586</v>
      </c>
      <c r="F447" t="s">
        <v>5586</v>
      </c>
      <c r="G447" t="s">
        <v>5586</v>
      </c>
      <c r="H447" t="s">
        <v>51</v>
      </c>
      <c r="I447" t="s">
        <v>52</v>
      </c>
      <c r="J447" t="str">
        <f>"0501678"</f>
        <v>0501678</v>
      </c>
      <c r="K447">
        <v>2109321951</v>
      </c>
      <c r="L447">
        <v>2109321935</v>
      </c>
      <c r="M447" t="s">
        <v>5930</v>
      </c>
      <c r="N447" t="s">
        <v>3260</v>
      </c>
      <c r="O447" t="s">
        <v>5931</v>
      </c>
      <c r="P447">
        <v>17122</v>
      </c>
      <c r="Q447" t="str">
        <f>"37.940722"</f>
        <v>37.940722</v>
      </c>
      <c r="R447" t="str">
        <f>"23.710411"</f>
        <v>23.710411</v>
      </c>
      <c r="S447" t="s">
        <v>26</v>
      </c>
    </row>
    <row r="448" spans="1:19" x14ac:dyDescent="0.3">
      <c r="A448" t="s">
        <v>3237</v>
      </c>
      <c r="B448" t="s">
        <v>5562</v>
      </c>
      <c r="C448" t="s">
        <v>5936</v>
      </c>
      <c r="D448" t="s">
        <v>3256</v>
      </c>
      <c r="E448" t="s">
        <v>5586</v>
      </c>
      <c r="F448" t="s">
        <v>5586</v>
      </c>
      <c r="G448" t="s">
        <v>5586</v>
      </c>
      <c r="H448" t="s">
        <v>51</v>
      </c>
      <c r="I448" t="s">
        <v>52</v>
      </c>
      <c r="J448" t="str">
        <f>"0501682"</f>
        <v>0501682</v>
      </c>
      <c r="K448">
        <v>2109319990</v>
      </c>
      <c r="L448">
        <v>2109351111</v>
      </c>
      <c r="M448" t="s">
        <v>5937</v>
      </c>
      <c r="N448" t="s">
        <v>3260</v>
      </c>
      <c r="O448" t="s">
        <v>5938</v>
      </c>
      <c r="P448">
        <v>17121</v>
      </c>
      <c r="Q448" t="str">
        <f>"37.947565"</f>
        <v>37.947565</v>
      </c>
      <c r="R448" t="str">
        <f>"23.711777"</f>
        <v>23.711777</v>
      </c>
      <c r="S448" t="s">
        <v>26</v>
      </c>
    </row>
    <row r="449" spans="1:19" x14ac:dyDescent="0.3">
      <c r="A449" t="s">
        <v>3237</v>
      </c>
      <c r="B449" t="s">
        <v>5562</v>
      </c>
      <c r="C449" t="s">
        <v>5940</v>
      </c>
      <c r="D449" t="s">
        <v>3256</v>
      </c>
      <c r="E449" t="s">
        <v>5586</v>
      </c>
      <c r="F449" t="s">
        <v>5586</v>
      </c>
      <c r="G449" t="s">
        <v>5586</v>
      </c>
      <c r="H449" t="s">
        <v>51</v>
      </c>
      <c r="I449" t="s">
        <v>52</v>
      </c>
      <c r="J449" t="str">
        <f>"0501679"</f>
        <v>0501679</v>
      </c>
      <c r="K449">
        <v>2109341811</v>
      </c>
      <c r="L449">
        <v>2109335434</v>
      </c>
      <c r="M449" t="s">
        <v>5941</v>
      </c>
      <c r="N449" t="s">
        <v>3472</v>
      </c>
      <c r="O449" t="s">
        <v>5942</v>
      </c>
      <c r="P449">
        <v>17341</v>
      </c>
      <c r="Q449" t="str">
        <f>"37.938983"</f>
        <v>37.938983</v>
      </c>
      <c r="R449" t="str">
        <f>"23.723454"</f>
        <v>23.723454</v>
      </c>
      <c r="S449" t="s">
        <v>26</v>
      </c>
    </row>
    <row r="450" spans="1:19" x14ac:dyDescent="0.3">
      <c r="A450" t="s">
        <v>3237</v>
      </c>
      <c r="B450" t="s">
        <v>5562</v>
      </c>
      <c r="C450" t="s">
        <v>5957</v>
      </c>
      <c r="D450" t="s">
        <v>3256</v>
      </c>
      <c r="E450" t="s">
        <v>5599</v>
      </c>
      <c r="F450" t="s">
        <v>5726</v>
      </c>
      <c r="G450" t="s">
        <v>5726</v>
      </c>
      <c r="H450" t="s">
        <v>51</v>
      </c>
      <c r="I450" t="s">
        <v>52</v>
      </c>
      <c r="J450" t="str">
        <f>"0501846"</f>
        <v>0501846</v>
      </c>
      <c r="K450">
        <v>2109628665</v>
      </c>
      <c r="L450">
        <v>2109607434</v>
      </c>
      <c r="M450" t="s">
        <v>5958</v>
      </c>
      <c r="N450" t="s">
        <v>5817</v>
      </c>
      <c r="O450" t="s">
        <v>5959</v>
      </c>
      <c r="P450">
        <v>16777</v>
      </c>
      <c r="Q450" t="str">
        <f>"37.889266"</f>
        <v>37.889266</v>
      </c>
      <c r="R450" t="str">
        <f>"23.746982"</f>
        <v>23.746982</v>
      </c>
      <c r="S450" t="s">
        <v>26</v>
      </c>
    </row>
    <row r="451" spans="1:19" x14ac:dyDescent="0.3">
      <c r="A451" t="s">
        <v>3237</v>
      </c>
      <c r="B451" t="s">
        <v>5562</v>
      </c>
      <c r="C451" t="s">
        <v>5960</v>
      </c>
      <c r="D451" t="s">
        <v>3256</v>
      </c>
      <c r="E451" t="s">
        <v>5570</v>
      </c>
      <c r="F451" t="s">
        <v>5570</v>
      </c>
      <c r="G451" t="s">
        <v>5570</v>
      </c>
      <c r="H451" t="s">
        <v>51</v>
      </c>
      <c r="I451" t="s">
        <v>52</v>
      </c>
      <c r="J451" t="str">
        <f>"0501851"</f>
        <v>0501851</v>
      </c>
      <c r="K451">
        <v>2109880799</v>
      </c>
      <c r="L451">
        <v>2109833992</v>
      </c>
      <c r="M451" t="s">
        <v>5961</v>
      </c>
      <c r="N451" t="s">
        <v>5573</v>
      </c>
      <c r="O451" t="s">
        <v>5935</v>
      </c>
      <c r="P451">
        <v>17563</v>
      </c>
      <c r="Q451" t="str">
        <f>"37.927315"</f>
        <v>37.927315</v>
      </c>
      <c r="R451" t="str">
        <f>"23.711726"</f>
        <v>23.711726</v>
      </c>
      <c r="S451" t="s">
        <v>26</v>
      </c>
    </row>
    <row r="452" spans="1:19" x14ac:dyDescent="0.3">
      <c r="A452" t="s">
        <v>3237</v>
      </c>
      <c r="B452" t="s">
        <v>5562</v>
      </c>
      <c r="C452" t="s">
        <v>5974</v>
      </c>
      <c r="D452" t="s">
        <v>3256</v>
      </c>
      <c r="E452" t="s">
        <v>5599</v>
      </c>
      <c r="F452" t="s">
        <v>5726</v>
      </c>
      <c r="G452" t="s">
        <v>5726</v>
      </c>
      <c r="H452" t="s">
        <v>51</v>
      </c>
      <c r="I452" t="s">
        <v>52</v>
      </c>
      <c r="J452" t="str">
        <f>"0501845"</f>
        <v>0501845</v>
      </c>
      <c r="K452">
        <v>2109645993</v>
      </c>
      <c r="L452">
        <v>2109641780</v>
      </c>
      <c r="M452" t="s">
        <v>5975</v>
      </c>
      <c r="N452" t="s">
        <v>5817</v>
      </c>
      <c r="O452" t="s">
        <v>5976</v>
      </c>
      <c r="P452">
        <v>16777</v>
      </c>
      <c r="Q452" t="str">
        <f>"37.889683"</f>
        <v>37.889683</v>
      </c>
      <c r="R452" t="str">
        <f>"23.746868"</f>
        <v>23.746868</v>
      </c>
      <c r="S452" t="s">
        <v>26</v>
      </c>
    </row>
    <row r="453" spans="1:19" x14ac:dyDescent="0.3">
      <c r="A453" t="s">
        <v>3237</v>
      </c>
      <c r="B453" t="s">
        <v>5562</v>
      </c>
      <c r="C453" t="s">
        <v>5977</v>
      </c>
      <c r="D453" t="s">
        <v>3256</v>
      </c>
      <c r="E453" t="s">
        <v>5656</v>
      </c>
      <c r="F453" t="s">
        <v>5680</v>
      </c>
      <c r="G453" t="s">
        <v>5680</v>
      </c>
      <c r="H453" t="s">
        <v>51</v>
      </c>
      <c r="I453" t="s">
        <v>184</v>
      </c>
      <c r="J453" t="str">
        <f>"0501988"</f>
        <v>0501988</v>
      </c>
      <c r="K453">
        <v>2109218866</v>
      </c>
      <c r="L453">
        <v>2104810047</v>
      </c>
      <c r="M453" t="s">
        <v>5978</v>
      </c>
      <c r="N453" t="s">
        <v>5683</v>
      </c>
      <c r="O453" t="s">
        <v>5979</v>
      </c>
      <c r="P453">
        <v>18344</v>
      </c>
      <c r="Q453" t="str">
        <f>"37.944967"</f>
        <v>37.944967</v>
      </c>
      <c r="R453" t="str">
        <f>"23.674714"</f>
        <v>23.674714</v>
      </c>
      <c r="S453" t="s">
        <v>26</v>
      </c>
    </row>
    <row r="454" spans="1:19" x14ac:dyDescent="0.3">
      <c r="A454" t="s">
        <v>3237</v>
      </c>
      <c r="B454" t="s">
        <v>5562</v>
      </c>
      <c r="C454" t="s">
        <v>5980</v>
      </c>
      <c r="D454" t="s">
        <v>3256</v>
      </c>
      <c r="E454" t="s">
        <v>3295</v>
      </c>
      <c r="F454" t="s">
        <v>3295</v>
      </c>
      <c r="G454" t="s">
        <v>3295</v>
      </c>
      <c r="H454" t="s">
        <v>51</v>
      </c>
      <c r="I454" t="s">
        <v>199</v>
      </c>
      <c r="J454" t="str">
        <f>"0540842"</f>
        <v>0540842</v>
      </c>
      <c r="K454">
        <v>2109801581</v>
      </c>
      <c r="L454">
        <v>2109801581</v>
      </c>
      <c r="M454" t="s">
        <v>5981</v>
      </c>
      <c r="N454" t="s">
        <v>3472</v>
      </c>
      <c r="O454" t="s">
        <v>5982</v>
      </c>
      <c r="P454">
        <v>17342</v>
      </c>
      <c r="Q454" t="str">
        <f>"37.921814"</f>
        <v>37.921814</v>
      </c>
      <c r="R454" t="str">
        <f>"23.729357"</f>
        <v>23.729357</v>
      </c>
      <c r="S454" t="s">
        <v>26</v>
      </c>
    </row>
    <row r="455" spans="1:19" x14ac:dyDescent="0.3">
      <c r="A455" t="s">
        <v>3237</v>
      </c>
      <c r="B455" t="s">
        <v>5562</v>
      </c>
      <c r="C455" t="s">
        <v>5983</v>
      </c>
      <c r="D455" t="s">
        <v>3256</v>
      </c>
      <c r="E455" t="s">
        <v>3295</v>
      </c>
      <c r="F455" t="s">
        <v>3295</v>
      </c>
      <c r="G455" t="s">
        <v>3295</v>
      </c>
      <c r="H455" t="s">
        <v>51</v>
      </c>
      <c r="I455" t="s">
        <v>184</v>
      </c>
      <c r="J455" t="str">
        <f>"0501825"</f>
        <v>0501825</v>
      </c>
      <c r="K455">
        <v>2109714514</v>
      </c>
      <c r="L455">
        <v>2109714514</v>
      </c>
      <c r="M455" t="s">
        <v>5984</v>
      </c>
      <c r="N455" t="s">
        <v>3472</v>
      </c>
      <c r="O455" t="s">
        <v>5985</v>
      </c>
      <c r="P455">
        <v>17341</v>
      </c>
      <c r="Q455" t="str">
        <f>"37.945919"</f>
        <v>37.945919</v>
      </c>
      <c r="R455" t="str">
        <f>"23.730646"</f>
        <v>23.730646</v>
      </c>
      <c r="S455" t="s">
        <v>26</v>
      </c>
    </row>
    <row r="456" spans="1:19" x14ac:dyDescent="0.3">
      <c r="A456" t="s">
        <v>3237</v>
      </c>
      <c r="B456" t="s">
        <v>5998</v>
      </c>
      <c r="C456" t="s">
        <v>6008</v>
      </c>
      <c r="D456" t="s">
        <v>3268</v>
      </c>
      <c r="E456" t="s">
        <v>6006</v>
      </c>
      <c r="F456" t="s">
        <v>6007</v>
      </c>
      <c r="G456" t="s">
        <v>6007</v>
      </c>
      <c r="H456" t="s">
        <v>51</v>
      </c>
      <c r="I456" t="s">
        <v>52</v>
      </c>
      <c r="J456" t="str">
        <f>"0503040"</f>
        <v>0503040</v>
      </c>
      <c r="K456">
        <v>2263062781</v>
      </c>
      <c r="L456">
        <v>2263062781</v>
      </c>
      <c r="M456" t="s">
        <v>6009</v>
      </c>
      <c r="N456" t="s">
        <v>6010</v>
      </c>
      <c r="O456" t="s">
        <v>6010</v>
      </c>
      <c r="P456">
        <v>19008</v>
      </c>
      <c r="Q456" t="str">
        <f>"38.209539"</f>
        <v>38.209539</v>
      </c>
      <c r="R456" t="str">
        <f>"23.321539"</f>
        <v>23.321539</v>
      </c>
      <c r="S456" t="s">
        <v>26</v>
      </c>
    </row>
    <row r="457" spans="1:19" x14ac:dyDescent="0.3">
      <c r="A457" t="s">
        <v>3237</v>
      </c>
      <c r="B457" t="s">
        <v>5998</v>
      </c>
      <c r="C457" t="s">
        <v>6012</v>
      </c>
      <c r="D457" t="s">
        <v>3268</v>
      </c>
      <c r="E457" t="s">
        <v>5999</v>
      </c>
      <c r="F457" t="s">
        <v>6000</v>
      </c>
      <c r="G457" t="s">
        <v>6000</v>
      </c>
      <c r="H457" t="s">
        <v>51</v>
      </c>
      <c r="I457" t="s">
        <v>52</v>
      </c>
      <c r="J457" t="str">
        <f>"0503033"</f>
        <v>0503033</v>
      </c>
      <c r="K457">
        <v>2102323303</v>
      </c>
      <c r="L457">
        <v>2102323323</v>
      </c>
      <c r="M457" t="s">
        <v>6013</v>
      </c>
      <c r="N457" t="s">
        <v>6014</v>
      </c>
      <c r="O457" t="s">
        <v>6015</v>
      </c>
      <c r="P457">
        <v>13461</v>
      </c>
      <c r="Q457" t="str">
        <f>"38.064513"</f>
        <v>38.064513</v>
      </c>
      <c r="R457" t="str">
        <f>"23.718772"</f>
        <v>23.718772</v>
      </c>
      <c r="S457" t="s">
        <v>26</v>
      </c>
    </row>
    <row r="458" spans="1:19" x14ac:dyDescent="0.3">
      <c r="A458" t="s">
        <v>3237</v>
      </c>
      <c r="B458" t="s">
        <v>5998</v>
      </c>
      <c r="C458" t="s">
        <v>6023</v>
      </c>
      <c r="D458" t="s">
        <v>3268</v>
      </c>
      <c r="E458" t="s">
        <v>5999</v>
      </c>
      <c r="F458" t="s">
        <v>5999</v>
      </c>
      <c r="G458" t="s">
        <v>5999</v>
      </c>
      <c r="H458" t="s">
        <v>51</v>
      </c>
      <c r="I458" t="s">
        <v>52</v>
      </c>
      <c r="J458" t="str">
        <f>"0503024"</f>
        <v>0503024</v>
      </c>
      <c r="K458">
        <v>2102411165</v>
      </c>
      <c r="L458">
        <v>2102411980</v>
      </c>
      <c r="M458" t="s">
        <v>6024</v>
      </c>
      <c r="N458" t="s">
        <v>6025</v>
      </c>
      <c r="O458" t="s">
        <v>6026</v>
      </c>
      <c r="P458">
        <v>13351</v>
      </c>
      <c r="Q458" t="str">
        <f>"38.087779"</f>
        <v>38.087779</v>
      </c>
      <c r="R458" t="str">
        <f>"23.691259"</f>
        <v>23.691259</v>
      </c>
      <c r="S458" t="s">
        <v>26</v>
      </c>
    </row>
    <row r="459" spans="1:19" x14ac:dyDescent="0.3">
      <c r="A459" t="s">
        <v>3237</v>
      </c>
      <c r="B459" t="s">
        <v>5998</v>
      </c>
      <c r="C459" t="s">
        <v>6095</v>
      </c>
      <c r="D459" t="s">
        <v>3268</v>
      </c>
      <c r="E459" t="s">
        <v>6017</v>
      </c>
      <c r="F459" t="s">
        <v>6017</v>
      </c>
      <c r="G459" t="s">
        <v>6017</v>
      </c>
      <c r="H459" t="s">
        <v>51</v>
      </c>
      <c r="I459" t="s">
        <v>52</v>
      </c>
      <c r="J459" t="str">
        <f>"0503013"</f>
        <v>0503013</v>
      </c>
      <c r="K459">
        <v>2296024605</v>
      </c>
      <c r="L459">
        <v>2296089119</v>
      </c>
      <c r="M459" t="s">
        <v>6096</v>
      </c>
      <c r="N459" t="s">
        <v>6046</v>
      </c>
      <c r="O459" t="s">
        <v>6097</v>
      </c>
      <c r="P459">
        <v>19100</v>
      </c>
      <c r="Q459" t="str">
        <f>"37.987581"</f>
        <v>37.987581</v>
      </c>
      <c r="R459" t="str">
        <f>"23.334928"</f>
        <v>23.334928</v>
      </c>
      <c r="S459" t="s">
        <v>26</v>
      </c>
    </row>
    <row r="460" spans="1:19" x14ac:dyDescent="0.3">
      <c r="A460" t="s">
        <v>3237</v>
      </c>
      <c r="B460" t="s">
        <v>5998</v>
      </c>
      <c r="C460" t="s">
        <v>6098</v>
      </c>
      <c r="D460" t="s">
        <v>3268</v>
      </c>
      <c r="E460" t="s">
        <v>6028</v>
      </c>
      <c r="F460" t="s">
        <v>6028</v>
      </c>
      <c r="G460" t="s">
        <v>6028</v>
      </c>
      <c r="H460" t="s">
        <v>51</v>
      </c>
      <c r="I460" t="s">
        <v>52</v>
      </c>
      <c r="J460" t="str">
        <f>"0503020"</f>
        <v>0503020</v>
      </c>
      <c r="K460">
        <v>2105572306</v>
      </c>
      <c r="L460">
        <v>2105572306</v>
      </c>
      <c r="M460" t="s">
        <v>6099</v>
      </c>
      <c r="N460" t="s">
        <v>6031</v>
      </c>
      <c r="O460" t="s">
        <v>6100</v>
      </c>
      <c r="P460">
        <v>19300</v>
      </c>
      <c r="Q460" t="str">
        <f>"38.062274"</f>
        <v>38.062274</v>
      </c>
      <c r="R460" t="str">
        <f>"23.584143"</f>
        <v>23.584143</v>
      </c>
      <c r="S460" t="s">
        <v>26</v>
      </c>
    </row>
    <row r="461" spans="1:19" x14ac:dyDescent="0.3">
      <c r="A461" t="s">
        <v>3237</v>
      </c>
      <c r="B461" t="s">
        <v>5998</v>
      </c>
      <c r="C461" t="s">
        <v>6101</v>
      </c>
      <c r="D461" t="s">
        <v>3268</v>
      </c>
      <c r="E461" t="s">
        <v>6028</v>
      </c>
      <c r="F461" t="s">
        <v>6028</v>
      </c>
      <c r="G461" t="s">
        <v>6028</v>
      </c>
      <c r="H461" t="s">
        <v>51</v>
      </c>
      <c r="I461" t="s">
        <v>52</v>
      </c>
      <c r="J461" t="str">
        <f>"0503021"</f>
        <v>0503021</v>
      </c>
      <c r="K461">
        <v>2105575505</v>
      </c>
      <c r="L461">
        <v>2105575505</v>
      </c>
      <c r="M461" t="s">
        <v>6102</v>
      </c>
      <c r="N461" t="s">
        <v>6031</v>
      </c>
      <c r="O461" t="s">
        <v>6103</v>
      </c>
      <c r="P461">
        <v>19300</v>
      </c>
      <c r="Q461" t="str">
        <f>"38.040370"</f>
        <v>38.040370</v>
      </c>
      <c r="R461" t="str">
        <f>"23.592051"</f>
        <v>23.592051</v>
      </c>
      <c r="S461" t="s">
        <v>26</v>
      </c>
    </row>
    <row r="462" spans="1:19" x14ac:dyDescent="0.3">
      <c r="A462" t="s">
        <v>3237</v>
      </c>
      <c r="B462" t="s">
        <v>5998</v>
      </c>
      <c r="C462" t="s">
        <v>6105</v>
      </c>
      <c r="D462" t="s">
        <v>3268</v>
      </c>
      <c r="E462" t="s">
        <v>6017</v>
      </c>
      <c r="F462" t="s">
        <v>456</v>
      </c>
      <c r="G462" t="s">
        <v>456</v>
      </c>
      <c r="H462" t="s">
        <v>51</v>
      </c>
      <c r="I462" t="s">
        <v>52</v>
      </c>
      <c r="J462" t="str">
        <f>"0503039"</f>
        <v>0503039</v>
      </c>
      <c r="K462">
        <v>2296032282</v>
      </c>
      <c r="L462">
        <v>2296034432</v>
      </c>
      <c r="M462" t="s">
        <v>6106</v>
      </c>
      <c r="N462" t="s">
        <v>6107</v>
      </c>
      <c r="O462" t="s">
        <v>6037</v>
      </c>
      <c r="P462">
        <v>19006</v>
      </c>
      <c r="Q462" t="str">
        <f>"38.010549"</f>
        <v>38.010549</v>
      </c>
      <c r="R462" t="str">
        <f>"23.434448"</f>
        <v>23.434448</v>
      </c>
      <c r="S462" t="s">
        <v>26</v>
      </c>
    </row>
    <row r="463" spans="1:19" x14ac:dyDescent="0.3">
      <c r="A463" t="s">
        <v>3237</v>
      </c>
      <c r="B463" t="s">
        <v>5998</v>
      </c>
      <c r="C463" t="s">
        <v>6110</v>
      </c>
      <c r="D463" t="s">
        <v>3268</v>
      </c>
      <c r="E463" t="s">
        <v>3269</v>
      </c>
      <c r="F463" t="s">
        <v>3270</v>
      </c>
      <c r="G463" t="s">
        <v>3270</v>
      </c>
      <c r="H463" t="s">
        <v>51</v>
      </c>
      <c r="I463" t="s">
        <v>52</v>
      </c>
      <c r="J463" t="str">
        <f>"0503030"</f>
        <v>0503030</v>
      </c>
      <c r="K463">
        <v>2105546634</v>
      </c>
      <c r="L463">
        <v>2105546634</v>
      </c>
      <c r="M463" t="s">
        <v>6111</v>
      </c>
      <c r="N463" t="s">
        <v>3273</v>
      </c>
      <c r="O463" t="s">
        <v>6112</v>
      </c>
      <c r="P463">
        <v>19200</v>
      </c>
      <c r="Q463" t="str">
        <f>"38.051901"</f>
        <v>38.051901</v>
      </c>
      <c r="R463" t="str">
        <f>"23.537791"</f>
        <v>23.537791</v>
      </c>
      <c r="S463" t="s">
        <v>26</v>
      </c>
    </row>
    <row r="464" spans="1:19" x14ac:dyDescent="0.3">
      <c r="A464" t="s">
        <v>3237</v>
      </c>
      <c r="B464" t="s">
        <v>5998</v>
      </c>
      <c r="C464" t="s">
        <v>6113</v>
      </c>
      <c r="D464" t="s">
        <v>3268</v>
      </c>
      <c r="E464" t="s">
        <v>5999</v>
      </c>
      <c r="F464" t="s">
        <v>6016</v>
      </c>
      <c r="G464" t="s">
        <v>6016</v>
      </c>
      <c r="H464" t="s">
        <v>51</v>
      </c>
      <c r="I464" t="s">
        <v>52</v>
      </c>
      <c r="J464" t="str">
        <f>"0503026"</f>
        <v>0503026</v>
      </c>
      <c r="K464">
        <v>2102470555</v>
      </c>
      <c r="M464" t="s">
        <v>6114</v>
      </c>
      <c r="N464" t="s">
        <v>6041</v>
      </c>
      <c r="O464" t="s">
        <v>6115</v>
      </c>
      <c r="P464">
        <v>13341</v>
      </c>
      <c r="Q464" t="str">
        <f>"38.088994"</f>
        <v>38.088994</v>
      </c>
      <c r="R464" t="str">
        <f>"23.703333"</f>
        <v>23.703333</v>
      </c>
      <c r="S464" t="s">
        <v>26</v>
      </c>
    </row>
    <row r="465" spans="1:19" x14ac:dyDescent="0.3">
      <c r="A465" t="s">
        <v>3237</v>
      </c>
      <c r="B465" t="s">
        <v>5998</v>
      </c>
      <c r="C465" t="s">
        <v>6122</v>
      </c>
      <c r="D465" t="s">
        <v>3268</v>
      </c>
      <c r="E465" t="s">
        <v>3269</v>
      </c>
      <c r="F465" t="s">
        <v>3270</v>
      </c>
      <c r="G465" t="s">
        <v>3270</v>
      </c>
      <c r="H465" t="s">
        <v>51</v>
      </c>
      <c r="I465" t="s">
        <v>52</v>
      </c>
      <c r="J465" t="str">
        <f>"0503036"</f>
        <v>0503036</v>
      </c>
      <c r="K465">
        <v>2105542066</v>
      </c>
      <c r="L465">
        <v>2105542066</v>
      </c>
      <c r="M465" t="s">
        <v>6123</v>
      </c>
      <c r="N465" t="s">
        <v>3269</v>
      </c>
      <c r="O465" t="s">
        <v>6124</v>
      </c>
      <c r="P465">
        <v>19200</v>
      </c>
      <c r="Q465" t="str">
        <f>"38.044299"</f>
        <v>38.044299</v>
      </c>
      <c r="R465" t="str">
        <f>"23.541246"</f>
        <v>23.541246</v>
      </c>
      <c r="S465" t="s">
        <v>26</v>
      </c>
    </row>
    <row r="466" spans="1:19" x14ac:dyDescent="0.3">
      <c r="A466" t="s">
        <v>3237</v>
      </c>
      <c r="B466" t="s">
        <v>5998</v>
      </c>
      <c r="C466" t="s">
        <v>6126</v>
      </c>
      <c r="D466" t="s">
        <v>3268</v>
      </c>
      <c r="E466" t="s">
        <v>6028</v>
      </c>
      <c r="F466" t="s">
        <v>6028</v>
      </c>
      <c r="G466" t="s">
        <v>6028</v>
      </c>
      <c r="H466" t="s">
        <v>51</v>
      </c>
      <c r="I466" t="s">
        <v>52</v>
      </c>
      <c r="J466" t="str">
        <f>"0503022"</f>
        <v>0503022</v>
      </c>
      <c r="K466">
        <v>2105570860</v>
      </c>
      <c r="L466">
        <v>2105570860</v>
      </c>
      <c r="M466" t="s">
        <v>6127</v>
      </c>
      <c r="N466" t="s">
        <v>6128</v>
      </c>
      <c r="O466" t="s">
        <v>6129</v>
      </c>
      <c r="P466">
        <v>19300</v>
      </c>
      <c r="Q466" t="str">
        <f>"38.060118"</f>
        <v>38.060118</v>
      </c>
      <c r="R466" t="str">
        <f>"23.600354"</f>
        <v>23.600354</v>
      </c>
      <c r="S466" t="s">
        <v>26</v>
      </c>
    </row>
    <row r="467" spans="1:19" x14ac:dyDescent="0.3">
      <c r="A467" t="s">
        <v>3237</v>
      </c>
      <c r="B467" t="s">
        <v>5998</v>
      </c>
      <c r="C467" t="s">
        <v>6133</v>
      </c>
      <c r="D467" t="s">
        <v>3268</v>
      </c>
      <c r="E467" t="s">
        <v>5999</v>
      </c>
      <c r="F467" t="s">
        <v>6016</v>
      </c>
      <c r="G467" t="s">
        <v>6016</v>
      </c>
      <c r="H467" t="s">
        <v>51</v>
      </c>
      <c r="I467" t="s">
        <v>52</v>
      </c>
      <c r="J467" t="str">
        <f>"0503025"</f>
        <v>0503025</v>
      </c>
      <c r="K467">
        <v>2102472838</v>
      </c>
      <c r="L467">
        <v>2102472838</v>
      </c>
      <c r="M467" t="s">
        <v>6134</v>
      </c>
      <c r="N467" t="s">
        <v>6041</v>
      </c>
      <c r="O467" t="s">
        <v>6135</v>
      </c>
      <c r="P467">
        <v>13341</v>
      </c>
      <c r="Q467" t="str">
        <f>"38.074049"</f>
        <v>38.074049</v>
      </c>
      <c r="R467" t="str">
        <f>"23.702563"</f>
        <v>23.702563</v>
      </c>
      <c r="S467" t="s">
        <v>26</v>
      </c>
    </row>
    <row r="468" spans="1:19" x14ac:dyDescent="0.3">
      <c r="A468" t="s">
        <v>3237</v>
      </c>
      <c r="B468" t="s">
        <v>5998</v>
      </c>
      <c r="C468" t="s">
        <v>6136</v>
      </c>
      <c r="D468" t="s">
        <v>3268</v>
      </c>
      <c r="E468" t="s">
        <v>6017</v>
      </c>
      <c r="F468" t="s">
        <v>6017</v>
      </c>
      <c r="G468" t="s">
        <v>6017</v>
      </c>
      <c r="H468" t="s">
        <v>51</v>
      </c>
      <c r="I468" t="s">
        <v>52</v>
      </c>
      <c r="J468" t="str">
        <f>"0503012"</f>
        <v>0503012</v>
      </c>
      <c r="K468">
        <v>2296023110</v>
      </c>
      <c r="L468">
        <v>2296023110</v>
      </c>
      <c r="M468" t="s">
        <v>6137</v>
      </c>
      <c r="N468" t="s">
        <v>6046</v>
      </c>
      <c r="O468" t="s">
        <v>6060</v>
      </c>
      <c r="P468">
        <v>19100</v>
      </c>
      <c r="Q468" t="str">
        <f>"37.996208"</f>
        <v>37.996208</v>
      </c>
      <c r="R468" t="str">
        <f>"23.347747"</f>
        <v>23.347747</v>
      </c>
      <c r="S468" t="s">
        <v>26</v>
      </c>
    </row>
    <row r="469" spans="1:19" x14ac:dyDescent="0.3">
      <c r="A469" t="s">
        <v>3237</v>
      </c>
      <c r="B469" t="s">
        <v>5998</v>
      </c>
      <c r="C469" t="s">
        <v>6139</v>
      </c>
      <c r="D469" t="s">
        <v>3268</v>
      </c>
      <c r="E469" t="s">
        <v>6006</v>
      </c>
      <c r="F469" t="s">
        <v>6138</v>
      </c>
      <c r="G469" t="s">
        <v>6138</v>
      </c>
      <c r="H469" t="s">
        <v>51</v>
      </c>
      <c r="I469" t="s">
        <v>89</v>
      </c>
      <c r="J469" t="str">
        <f>"0503050"</f>
        <v>0503050</v>
      </c>
      <c r="K469">
        <v>2263022282</v>
      </c>
      <c r="L469">
        <v>2263022282</v>
      </c>
      <c r="M469" t="s">
        <v>6140</v>
      </c>
      <c r="N469" t="s">
        <v>6141</v>
      </c>
      <c r="O469" t="s">
        <v>6142</v>
      </c>
      <c r="P469">
        <v>19012</v>
      </c>
      <c r="Q469" t="str">
        <f>"38.164204"</f>
        <v>38.164204</v>
      </c>
      <c r="R469" t="str">
        <f>"23.328073"</f>
        <v>23.328073</v>
      </c>
      <c r="S469" t="s">
        <v>26</v>
      </c>
    </row>
    <row r="470" spans="1:19" x14ac:dyDescent="0.3">
      <c r="A470" t="s">
        <v>3237</v>
      </c>
      <c r="B470" t="s">
        <v>5998</v>
      </c>
      <c r="C470" t="s">
        <v>6144</v>
      </c>
      <c r="D470" t="s">
        <v>3268</v>
      </c>
      <c r="E470" t="s">
        <v>5999</v>
      </c>
      <c r="F470" t="s">
        <v>6000</v>
      </c>
      <c r="G470" t="s">
        <v>6000</v>
      </c>
      <c r="H470" t="s">
        <v>51</v>
      </c>
      <c r="I470" t="s">
        <v>52</v>
      </c>
      <c r="J470" t="str">
        <f>"0503027"</f>
        <v>0503027</v>
      </c>
      <c r="K470">
        <v>2102475198</v>
      </c>
      <c r="L470">
        <v>2102475198</v>
      </c>
      <c r="M470" t="s">
        <v>6145</v>
      </c>
      <c r="N470" t="s">
        <v>6003</v>
      </c>
      <c r="O470" t="s">
        <v>6146</v>
      </c>
      <c r="P470">
        <v>13461</v>
      </c>
      <c r="Q470" t="str">
        <f>"38.074260"</f>
        <v>38.074260</v>
      </c>
      <c r="R470" t="str">
        <f>"23.715623"</f>
        <v>23.715623</v>
      </c>
      <c r="S470" t="s">
        <v>26</v>
      </c>
    </row>
    <row r="471" spans="1:19" x14ac:dyDescent="0.3">
      <c r="A471" t="s">
        <v>3237</v>
      </c>
      <c r="B471" t="s">
        <v>5998</v>
      </c>
      <c r="C471" t="s">
        <v>6148</v>
      </c>
      <c r="D471" t="s">
        <v>3268</v>
      </c>
      <c r="E471" t="s">
        <v>5999</v>
      </c>
      <c r="F471" t="s">
        <v>6016</v>
      </c>
      <c r="G471" t="s">
        <v>6016</v>
      </c>
      <c r="H471" t="s">
        <v>51</v>
      </c>
      <c r="I471" t="s">
        <v>52</v>
      </c>
      <c r="J471" t="str">
        <f>"0503028"</f>
        <v>0503028</v>
      </c>
      <c r="K471">
        <v>2102470470</v>
      </c>
      <c r="L471">
        <v>2102470470</v>
      </c>
      <c r="M471" t="s">
        <v>6149</v>
      </c>
      <c r="N471" t="s">
        <v>6150</v>
      </c>
      <c r="O471" t="s">
        <v>6151</v>
      </c>
      <c r="P471">
        <v>13341</v>
      </c>
      <c r="Q471" t="str">
        <f>"38.090542"</f>
        <v>38.090542</v>
      </c>
      <c r="R471" t="str">
        <f>"23.687480"</f>
        <v>23.687480</v>
      </c>
      <c r="S471" t="s">
        <v>26</v>
      </c>
    </row>
    <row r="472" spans="1:19" x14ac:dyDescent="0.3">
      <c r="A472" t="s">
        <v>3237</v>
      </c>
      <c r="B472" t="s">
        <v>5998</v>
      </c>
      <c r="C472" t="s">
        <v>6153</v>
      </c>
      <c r="D472" t="s">
        <v>3268</v>
      </c>
      <c r="E472" t="s">
        <v>6006</v>
      </c>
      <c r="F472" t="s">
        <v>6116</v>
      </c>
      <c r="G472" t="s">
        <v>6116</v>
      </c>
      <c r="H472" t="s">
        <v>51</v>
      </c>
      <c r="I472" t="s">
        <v>52</v>
      </c>
      <c r="J472" t="str">
        <f>"0503060"</f>
        <v>0503060</v>
      </c>
      <c r="K472">
        <v>2105555100</v>
      </c>
      <c r="L472">
        <v>2105555100</v>
      </c>
      <c r="M472" t="s">
        <v>6154</v>
      </c>
      <c r="N472" t="s">
        <v>6155</v>
      </c>
      <c r="O472" t="s">
        <v>6156</v>
      </c>
      <c r="P472">
        <v>19600</v>
      </c>
      <c r="Q472" t="str">
        <f>"38.067528"</f>
        <v>38.067528</v>
      </c>
      <c r="R472" t="str">
        <f>"23.496258"</f>
        <v>23.496258</v>
      </c>
      <c r="S472" t="s">
        <v>26</v>
      </c>
    </row>
    <row r="473" spans="1:19" x14ac:dyDescent="0.3">
      <c r="A473" t="s">
        <v>3237</v>
      </c>
      <c r="B473" t="s">
        <v>5998</v>
      </c>
      <c r="C473" t="s">
        <v>6157</v>
      </c>
      <c r="D473" t="s">
        <v>3268</v>
      </c>
      <c r="E473" t="s">
        <v>3269</v>
      </c>
      <c r="F473" t="s">
        <v>3270</v>
      </c>
      <c r="G473" t="s">
        <v>3270</v>
      </c>
      <c r="H473" t="s">
        <v>51</v>
      </c>
      <c r="I473" t="s">
        <v>4556</v>
      </c>
      <c r="J473" t="str">
        <f>"0503055"</f>
        <v>0503055</v>
      </c>
      <c r="K473">
        <v>2105562420</v>
      </c>
      <c r="L473">
        <v>2105562420</v>
      </c>
      <c r="M473" t="s">
        <v>6158</v>
      </c>
      <c r="N473" t="s">
        <v>3273</v>
      </c>
      <c r="O473" t="s">
        <v>6159</v>
      </c>
      <c r="P473">
        <v>19200</v>
      </c>
      <c r="Q473" t="str">
        <f>"38.050485"</f>
        <v>38.050485</v>
      </c>
      <c r="R473" t="str">
        <f>"23.539066"</f>
        <v>23.539066</v>
      </c>
      <c r="S473" t="s">
        <v>26</v>
      </c>
    </row>
    <row r="474" spans="1:19" x14ac:dyDescent="0.3">
      <c r="A474" t="s">
        <v>3237</v>
      </c>
      <c r="B474" t="s">
        <v>5998</v>
      </c>
      <c r="C474" t="s">
        <v>6160</v>
      </c>
      <c r="D474" t="s">
        <v>3268</v>
      </c>
      <c r="E474" t="s">
        <v>5999</v>
      </c>
      <c r="F474" t="s">
        <v>6016</v>
      </c>
      <c r="G474" t="s">
        <v>6016</v>
      </c>
      <c r="H474" t="s">
        <v>51</v>
      </c>
      <c r="I474" t="s">
        <v>184</v>
      </c>
      <c r="J474" t="str">
        <f>"0503029"</f>
        <v>0503029</v>
      </c>
      <c r="K474">
        <v>2102484084</v>
      </c>
      <c r="L474">
        <v>2102484084</v>
      </c>
      <c r="M474" t="s">
        <v>6161</v>
      </c>
      <c r="N474" t="s">
        <v>6041</v>
      </c>
      <c r="O474" t="s">
        <v>6042</v>
      </c>
      <c r="P474">
        <v>13341</v>
      </c>
      <c r="Q474" t="str">
        <f>"38.075079"</f>
        <v>38.075079</v>
      </c>
      <c r="R474" t="str">
        <f>"23.702918"</f>
        <v>23.702918</v>
      </c>
      <c r="S474" t="s">
        <v>26</v>
      </c>
    </row>
    <row r="475" spans="1:19" x14ac:dyDescent="0.3">
      <c r="A475" t="s">
        <v>3237</v>
      </c>
      <c r="B475" t="s">
        <v>5998</v>
      </c>
      <c r="C475" t="s">
        <v>6162</v>
      </c>
      <c r="D475" t="s">
        <v>3268</v>
      </c>
      <c r="E475" t="s">
        <v>3269</v>
      </c>
      <c r="F475" t="s">
        <v>6089</v>
      </c>
      <c r="G475" t="s">
        <v>6089</v>
      </c>
      <c r="H475" t="s">
        <v>51</v>
      </c>
      <c r="I475" t="s">
        <v>52</v>
      </c>
      <c r="J475" t="str">
        <f>"0503065"</f>
        <v>0503065</v>
      </c>
      <c r="K475">
        <v>2105559258</v>
      </c>
      <c r="L475">
        <v>2105559258</v>
      </c>
      <c r="M475" t="s">
        <v>6163</v>
      </c>
      <c r="N475" t="s">
        <v>6164</v>
      </c>
      <c r="O475" t="s">
        <v>6093</v>
      </c>
      <c r="P475">
        <v>19018</v>
      </c>
      <c r="Q475" t="str">
        <f>"38.079425"</f>
        <v>38.079425</v>
      </c>
      <c r="R475" t="str">
        <f>"23.526520"</f>
        <v>23.526520</v>
      </c>
      <c r="S475" t="s">
        <v>26</v>
      </c>
    </row>
    <row r="476" spans="1:19" x14ac:dyDescent="0.3">
      <c r="A476" t="s">
        <v>3237</v>
      </c>
      <c r="B476" t="s">
        <v>5998</v>
      </c>
      <c r="C476" t="s">
        <v>6165</v>
      </c>
      <c r="D476" t="s">
        <v>3268</v>
      </c>
      <c r="E476" t="s">
        <v>3269</v>
      </c>
      <c r="F476" t="s">
        <v>3270</v>
      </c>
      <c r="G476" t="s">
        <v>3270</v>
      </c>
      <c r="H476" t="s">
        <v>51</v>
      </c>
      <c r="I476" t="s">
        <v>52</v>
      </c>
      <c r="J476" t="str">
        <f>"0503037"</f>
        <v>0503037</v>
      </c>
      <c r="K476">
        <v>2105540539</v>
      </c>
      <c r="L476">
        <v>2105548250</v>
      </c>
      <c r="M476" t="s">
        <v>6166</v>
      </c>
      <c r="N476" t="s">
        <v>3273</v>
      </c>
      <c r="O476" t="s">
        <v>6124</v>
      </c>
      <c r="P476">
        <v>19200</v>
      </c>
      <c r="Q476" t="str">
        <f>"38.044299"</f>
        <v>38.044299</v>
      </c>
      <c r="R476" t="str">
        <f>"23.541246"</f>
        <v>23.541246</v>
      </c>
      <c r="S476" t="s">
        <v>26</v>
      </c>
    </row>
    <row r="477" spans="1:19" x14ac:dyDescent="0.3">
      <c r="A477" t="s">
        <v>3237</v>
      </c>
      <c r="B477" t="s">
        <v>5998</v>
      </c>
      <c r="C477" t="s">
        <v>6167</v>
      </c>
      <c r="D477" t="s">
        <v>3268</v>
      </c>
      <c r="E477" t="s">
        <v>6028</v>
      </c>
      <c r="F477" t="s">
        <v>6028</v>
      </c>
      <c r="G477" t="s">
        <v>6028</v>
      </c>
      <c r="H477" t="s">
        <v>51</v>
      </c>
      <c r="I477" t="s">
        <v>52</v>
      </c>
      <c r="J477" t="str">
        <f>"0503023"</f>
        <v>0503023</v>
      </c>
      <c r="K477">
        <v>2105597545</v>
      </c>
      <c r="L477">
        <v>2105597546</v>
      </c>
      <c r="M477" t="s">
        <v>6168</v>
      </c>
      <c r="N477" t="s">
        <v>6031</v>
      </c>
      <c r="O477" t="s">
        <v>6169</v>
      </c>
      <c r="P477">
        <v>19300</v>
      </c>
      <c r="Q477" t="str">
        <f>"38.077432"</f>
        <v>38.077432</v>
      </c>
      <c r="R477" t="str">
        <f>"23.569864"</f>
        <v>23.569864</v>
      </c>
      <c r="S477" t="s">
        <v>26</v>
      </c>
    </row>
    <row r="478" spans="1:19" x14ac:dyDescent="0.3">
      <c r="A478" t="s">
        <v>3237</v>
      </c>
      <c r="B478" t="s">
        <v>5998</v>
      </c>
      <c r="C478" t="s">
        <v>6171</v>
      </c>
      <c r="D478" t="s">
        <v>3268</v>
      </c>
      <c r="E478" t="s">
        <v>3269</v>
      </c>
      <c r="F478" t="s">
        <v>3270</v>
      </c>
      <c r="G478" t="s">
        <v>3270</v>
      </c>
      <c r="H478" t="s">
        <v>51</v>
      </c>
      <c r="I478" t="s">
        <v>52</v>
      </c>
      <c r="J478" t="str">
        <f>"0503038"</f>
        <v>0503038</v>
      </c>
      <c r="K478">
        <v>2105542735</v>
      </c>
      <c r="L478">
        <v>2105542735</v>
      </c>
      <c r="M478" t="s">
        <v>6172</v>
      </c>
      <c r="N478" t="s">
        <v>3273</v>
      </c>
      <c r="O478" t="s">
        <v>6112</v>
      </c>
      <c r="P478">
        <v>19200</v>
      </c>
      <c r="Q478" t="str">
        <f>"38.051462"</f>
        <v>38.051462</v>
      </c>
      <c r="R478" t="str">
        <f>"23.538295"</f>
        <v>23.538295</v>
      </c>
      <c r="S478" t="s">
        <v>26</v>
      </c>
    </row>
    <row r="479" spans="1:19" x14ac:dyDescent="0.3">
      <c r="A479" t="s">
        <v>3237</v>
      </c>
      <c r="B479" t="s">
        <v>5998</v>
      </c>
      <c r="C479" t="s">
        <v>6173</v>
      </c>
      <c r="D479" t="s">
        <v>3268</v>
      </c>
      <c r="E479" t="s">
        <v>6017</v>
      </c>
      <c r="F479" t="s">
        <v>6017</v>
      </c>
      <c r="G479" t="s">
        <v>6017</v>
      </c>
      <c r="H479" t="s">
        <v>51</v>
      </c>
      <c r="I479" t="s">
        <v>52</v>
      </c>
      <c r="J479" t="str">
        <f>"0503010"</f>
        <v>0503010</v>
      </c>
      <c r="K479">
        <v>2296028131</v>
      </c>
      <c r="L479">
        <v>2296028131</v>
      </c>
      <c r="M479" t="s">
        <v>6174</v>
      </c>
      <c r="N479" t="s">
        <v>6046</v>
      </c>
      <c r="O479" t="s">
        <v>6060</v>
      </c>
      <c r="P479">
        <v>19100</v>
      </c>
      <c r="Q479" t="str">
        <f>"37.995436"</f>
        <v>37.995436</v>
      </c>
      <c r="R479" t="str">
        <f>"23.345357"</f>
        <v>23.345357</v>
      </c>
      <c r="S479" t="s">
        <v>26</v>
      </c>
    </row>
    <row r="480" spans="1:19" x14ac:dyDescent="0.3">
      <c r="A480" t="s">
        <v>3237</v>
      </c>
      <c r="B480" t="s">
        <v>5998</v>
      </c>
      <c r="C480" t="s">
        <v>6179</v>
      </c>
      <c r="D480" t="s">
        <v>3268</v>
      </c>
      <c r="E480" t="s">
        <v>3269</v>
      </c>
      <c r="F480" t="s">
        <v>3270</v>
      </c>
      <c r="G480" t="s">
        <v>3270</v>
      </c>
      <c r="H480" t="s">
        <v>51</v>
      </c>
      <c r="I480" t="s">
        <v>199</v>
      </c>
      <c r="J480" t="str">
        <f>"0503035"</f>
        <v>0503035</v>
      </c>
      <c r="K480">
        <v>2105563010</v>
      </c>
      <c r="L480">
        <v>2105563011</v>
      </c>
      <c r="M480" t="s">
        <v>6180</v>
      </c>
      <c r="N480" t="s">
        <v>3273</v>
      </c>
      <c r="O480" t="s">
        <v>6181</v>
      </c>
      <c r="P480">
        <v>19200</v>
      </c>
      <c r="Q480" t="str">
        <f>"38.059375"</f>
        <v>38.059375</v>
      </c>
      <c r="R480" t="str">
        <f>"23.533752"</f>
        <v>23.533752</v>
      </c>
      <c r="S480" t="s">
        <v>26</v>
      </c>
    </row>
    <row r="481" spans="1:19" x14ac:dyDescent="0.3">
      <c r="A481" t="s">
        <v>3237</v>
      </c>
      <c r="B481" t="s">
        <v>5998</v>
      </c>
      <c r="C481" t="s">
        <v>6187</v>
      </c>
      <c r="D481" t="s">
        <v>3268</v>
      </c>
      <c r="E481" t="s">
        <v>5999</v>
      </c>
      <c r="F481" t="s">
        <v>6016</v>
      </c>
      <c r="G481" t="s">
        <v>6016</v>
      </c>
      <c r="H481" t="s">
        <v>51</v>
      </c>
      <c r="I481" t="s">
        <v>52</v>
      </c>
      <c r="J481" t="str">
        <f>"0535001"</f>
        <v>0535001</v>
      </c>
      <c r="K481">
        <v>2102487898</v>
      </c>
      <c r="L481">
        <v>2102487897</v>
      </c>
      <c r="M481" t="s">
        <v>6188</v>
      </c>
      <c r="N481" t="s">
        <v>6016</v>
      </c>
      <c r="O481" t="s">
        <v>6189</v>
      </c>
      <c r="P481">
        <v>13341</v>
      </c>
      <c r="Q481" t="str">
        <f>"38.080710"</f>
        <v>38.080710</v>
      </c>
      <c r="R481" t="str">
        <f>"23.706755"</f>
        <v>23.706755</v>
      </c>
      <c r="S481" t="s">
        <v>26</v>
      </c>
    </row>
    <row r="482" spans="1:19" x14ac:dyDescent="0.3">
      <c r="A482" t="s">
        <v>3237</v>
      </c>
      <c r="B482" t="s">
        <v>5998</v>
      </c>
      <c r="C482" t="s">
        <v>6191</v>
      </c>
      <c r="D482" t="s">
        <v>3268</v>
      </c>
      <c r="E482" t="s">
        <v>3269</v>
      </c>
      <c r="F482" t="s">
        <v>3270</v>
      </c>
      <c r="G482" t="s">
        <v>3270</v>
      </c>
      <c r="H482" t="s">
        <v>51</v>
      </c>
      <c r="I482" t="s">
        <v>4349</v>
      </c>
      <c r="J482" t="str">
        <f>"0539002"</f>
        <v>0539002</v>
      </c>
      <c r="Q482" t="str">
        <f>""</f>
        <v/>
      </c>
      <c r="R482" t="str">
        <f>""</f>
        <v/>
      </c>
      <c r="S482" t="s">
        <v>26</v>
      </c>
    </row>
    <row r="483" spans="1:19" x14ac:dyDescent="0.3">
      <c r="A483" t="s">
        <v>3237</v>
      </c>
      <c r="B483" t="s">
        <v>6192</v>
      </c>
      <c r="C483" t="s">
        <v>6194</v>
      </c>
      <c r="D483" t="s">
        <v>3275</v>
      </c>
      <c r="E483" t="s">
        <v>3275</v>
      </c>
      <c r="F483" t="s">
        <v>3275</v>
      </c>
      <c r="G483" t="s">
        <v>6193</v>
      </c>
      <c r="H483" t="s">
        <v>51</v>
      </c>
      <c r="I483" t="s">
        <v>52</v>
      </c>
      <c r="J483" t="str">
        <f>"0501911"</f>
        <v>0501911</v>
      </c>
      <c r="K483">
        <v>2104616899</v>
      </c>
      <c r="L483">
        <v>2104614512</v>
      </c>
      <c r="M483" t="s">
        <v>6195</v>
      </c>
      <c r="N483" t="s">
        <v>3279</v>
      </c>
      <c r="O483" t="s">
        <v>6196</v>
      </c>
      <c r="P483">
        <v>18546</v>
      </c>
      <c r="Q483" t="str">
        <f>"37.963346"</f>
        <v>37.963346</v>
      </c>
      <c r="R483" t="str">
        <f>"23.631035"</f>
        <v>23.631035</v>
      </c>
      <c r="S483" t="s">
        <v>26</v>
      </c>
    </row>
    <row r="484" spans="1:19" x14ac:dyDescent="0.3">
      <c r="A484" t="s">
        <v>3237</v>
      </c>
      <c r="B484" t="s">
        <v>6192</v>
      </c>
      <c r="C484" t="s">
        <v>6198</v>
      </c>
      <c r="D484" t="s">
        <v>3275</v>
      </c>
      <c r="E484" t="s">
        <v>3275</v>
      </c>
      <c r="F484" t="s">
        <v>3275</v>
      </c>
      <c r="G484" t="s">
        <v>6193</v>
      </c>
      <c r="H484" t="s">
        <v>51</v>
      </c>
      <c r="I484" t="s">
        <v>52</v>
      </c>
      <c r="J484" t="str">
        <f>"0501910"</f>
        <v>0501910</v>
      </c>
      <c r="K484">
        <v>2104204629</v>
      </c>
      <c r="M484" t="s">
        <v>6199</v>
      </c>
      <c r="N484" t="s">
        <v>6200</v>
      </c>
      <c r="O484" t="s">
        <v>6201</v>
      </c>
      <c r="P484">
        <v>18544</v>
      </c>
      <c r="Q484" t="str">
        <f>"37.958977"</f>
        <v>37.958977</v>
      </c>
      <c r="R484" t="str">
        <f>"23.641668"</f>
        <v>23.641668</v>
      </c>
      <c r="S484" t="s">
        <v>26</v>
      </c>
    </row>
    <row r="485" spans="1:19" x14ac:dyDescent="0.3">
      <c r="A485" t="s">
        <v>3237</v>
      </c>
      <c r="B485" t="s">
        <v>6192</v>
      </c>
      <c r="C485" t="s">
        <v>6219</v>
      </c>
      <c r="D485" t="s">
        <v>3275</v>
      </c>
      <c r="E485" t="s">
        <v>3275</v>
      </c>
      <c r="F485" t="s">
        <v>3275</v>
      </c>
      <c r="G485" t="s">
        <v>6193</v>
      </c>
      <c r="H485" t="s">
        <v>51</v>
      </c>
      <c r="I485" t="s">
        <v>190</v>
      </c>
      <c r="J485" t="str">
        <f>"0501960"</f>
        <v>0501960</v>
      </c>
      <c r="K485">
        <v>2104204426</v>
      </c>
      <c r="L485">
        <v>2104204432</v>
      </c>
      <c r="M485" t="s">
        <v>6220</v>
      </c>
      <c r="N485" t="s">
        <v>3279</v>
      </c>
      <c r="O485" t="s">
        <v>6221</v>
      </c>
      <c r="P485">
        <v>18545</v>
      </c>
      <c r="Q485" t="str">
        <f>"37.954129"</f>
        <v>37.954129</v>
      </c>
      <c r="R485" t="str">
        <f>"23.642155"</f>
        <v>23.642155</v>
      </c>
      <c r="S485" t="s">
        <v>26</v>
      </c>
    </row>
    <row r="486" spans="1:19" x14ac:dyDescent="0.3">
      <c r="A486" t="s">
        <v>3237</v>
      </c>
      <c r="B486" t="s">
        <v>6192</v>
      </c>
      <c r="C486" t="s">
        <v>6225</v>
      </c>
      <c r="D486" t="s">
        <v>6222</v>
      </c>
      <c r="E486" t="s">
        <v>6223</v>
      </c>
      <c r="F486" t="s">
        <v>6224</v>
      </c>
      <c r="G486" t="s">
        <v>6224</v>
      </c>
      <c r="H486" t="s">
        <v>51</v>
      </c>
      <c r="I486" t="s">
        <v>52</v>
      </c>
      <c r="J486" t="str">
        <f>"5203020"</f>
        <v>5203020</v>
      </c>
      <c r="K486">
        <v>2104672147</v>
      </c>
      <c r="L486">
        <v>2104672147</v>
      </c>
      <c r="M486" t="s">
        <v>6226</v>
      </c>
      <c r="N486" t="s">
        <v>6227</v>
      </c>
      <c r="O486" t="s">
        <v>6228</v>
      </c>
      <c r="P486">
        <v>18902</v>
      </c>
      <c r="Q486" t="str">
        <f>"37.954709"</f>
        <v>37.954709</v>
      </c>
      <c r="R486" t="str">
        <f>"23.532324"</f>
        <v>23.532324</v>
      </c>
      <c r="S486" t="s">
        <v>26</v>
      </c>
    </row>
    <row r="487" spans="1:19" x14ac:dyDescent="0.3">
      <c r="A487" t="s">
        <v>3237</v>
      </c>
      <c r="B487" t="s">
        <v>6192</v>
      </c>
      <c r="C487" t="s">
        <v>6234</v>
      </c>
      <c r="D487" t="s">
        <v>6222</v>
      </c>
      <c r="E487" t="s">
        <v>6231</v>
      </c>
      <c r="F487" t="s">
        <v>6232</v>
      </c>
      <c r="G487" t="s">
        <v>6233</v>
      </c>
      <c r="H487" t="s">
        <v>51</v>
      </c>
      <c r="I487" t="s">
        <v>89</v>
      </c>
      <c r="J487" t="str">
        <f>"5202020"</f>
        <v>5202020</v>
      </c>
      <c r="K487">
        <v>2298092461</v>
      </c>
      <c r="M487" t="s">
        <v>6235</v>
      </c>
      <c r="N487" t="s">
        <v>6236</v>
      </c>
      <c r="O487" t="s">
        <v>2648</v>
      </c>
      <c r="P487">
        <v>18030</v>
      </c>
      <c r="Q487" t="str">
        <f>"37.579639"</f>
        <v>37.579639</v>
      </c>
      <c r="R487" t="str">
        <f>"23.385073"</f>
        <v>23.385073</v>
      </c>
      <c r="S487" t="s">
        <v>26</v>
      </c>
    </row>
    <row r="488" spans="1:19" x14ac:dyDescent="0.3">
      <c r="A488" t="s">
        <v>3237</v>
      </c>
      <c r="B488" t="s">
        <v>6192</v>
      </c>
      <c r="C488" t="s">
        <v>6247</v>
      </c>
      <c r="D488" t="s">
        <v>3275</v>
      </c>
      <c r="E488" t="s">
        <v>3303</v>
      </c>
      <c r="F488" t="s">
        <v>3303</v>
      </c>
      <c r="G488" t="s">
        <v>3303</v>
      </c>
      <c r="H488" t="s">
        <v>51</v>
      </c>
      <c r="I488" t="s">
        <v>184</v>
      </c>
      <c r="J488" t="str">
        <f>"0500946"</f>
        <v>0500946</v>
      </c>
      <c r="K488">
        <v>2104966410</v>
      </c>
      <c r="L488">
        <v>2104966410</v>
      </c>
      <c r="M488" t="s">
        <v>6248</v>
      </c>
      <c r="N488" t="s">
        <v>6249</v>
      </c>
      <c r="O488" t="s">
        <v>6250</v>
      </c>
      <c r="P488">
        <v>18122</v>
      </c>
      <c r="Q488" t="str">
        <f>"37.982461"</f>
        <v>37.982461</v>
      </c>
      <c r="R488" t="str">
        <f>"23.648565"</f>
        <v>23.648565</v>
      </c>
      <c r="S488" t="s">
        <v>26</v>
      </c>
    </row>
    <row r="489" spans="1:19" x14ac:dyDescent="0.3">
      <c r="A489" t="s">
        <v>3237</v>
      </c>
      <c r="B489" t="s">
        <v>6192</v>
      </c>
      <c r="C489" t="s">
        <v>6252</v>
      </c>
      <c r="D489" t="s">
        <v>3275</v>
      </c>
      <c r="E489" t="s">
        <v>3303</v>
      </c>
      <c r="F489" t="s">
        <v>3303</v>
      </c>
      <c r="G489" t="s">
        <v>3303</v>
      </c>
      <c r="H489" t="s">
        <v>51</v>
      </c>
      <c r="I489" t="s">
        <v>52</v>
      </c>
      <c r="J489" t="str">
        <f>"0501931"</f>
        <v>0501931</v>
      </c>
      <c r="K489">
        <v>2104952312</v>
      </c>
      <c r="L489">
        <v>2105695110</v>
      </c>
      <c r="M489" t="s">
        <v>6253</v>
      </c>
      <c r="N489" t="s">
        <v>6249</v>
      </c>
      <c r="O489" t="s">
        <v>6254</v>
      </c>
      <c r="P489">
        <v>18121</v>
      </c>
      <c r="Q489" t="str">
        <f>"37.980415"</f>
        <v>37.980415</v>
      </c>
      <c r="R489" t="str">
        <f>"23.664690"</f>
        <v>23.664690</v>
      </c>
      <c r="S489" t="s">
        <v>26</v>
      </c>
    </row>
    <row r="490" spans="1:19" x14ac:dyDescent="0.3">
      <c r="A490" t="s">
        <v>3237</v>
      </c>
      <c r="B490" t="s">
        <v>6192</v>
      </c>
      <c r="C490" t="s">
        <v>6268</v>
      </c>
      <c r="D490" t="s">
        <v>3275</v>
      </c>
      <c r="E490" t="s">
        <v>6266</v>
      </c>
      <c r="F490" t="s">
        <v>6267</v>
      </c>
      <c r="G490" t="s">
        <v>6267</v>
      </c>
      <c r="H490" t="s">
        <v>51</v>
      </c>
      <c r="I490" t="s">
        <v>52</v>
      </c>
      <c r="J490" t="str">
        <f>"0501916"</f>
        <v>0501916</v>
      </c>
      <c r="K490">
        <v>2104916008</v>
      </c>
      <c r="L490">
        <v>2104916053</v>
      </c>
      <c r="M490" t="s">
        <v>6269</v>
      </c>
      <c r="N490" t="s">
        <v>6270</v>
      </c>
      <c r="O490" t="s">
        <v>6271</v>
      </c>
      <c r="P490">
        <v>18233</v>
      </c>
      <c r="Q490" t="str">
        <f>"37.963565"</f>
        <v>37.963565</v>
      </c>
      <c r="R490" t="str">
        <f>"23.663252"</f>
        <v>23.663252</v>
      </c>
      <c r="S490" t="s">
        <v>26</v>
      </c>
    </row>
    <row r="491" spans="1:19" x14ac:dyDescent="0.3">
      <c r="A491" t="s">
        <v>3237</v>
      </c>
      <c r="B491" t="s">
        <v>6192</v>
      </c>
      <c r="C491" t="s">
        <v>6278</v>
      </c>
      <c r="D491" t="s">
        <v>6222</v>
      </c>
      <c r="E491" t="s">
        <v>6231</v>
      </c>
      <c r="F491" t="s">
        <v>6238</v>
      </c>
      <c r="G491" t="s">
        <v>6238</v>
      </c>
      <c r="H491" t="s">
        <v>51</v>
      </c>
      <c r="I491" t="s">
        <v>52</v>
      </c>
      <c r="J491" t="str">
        <f>"5202030"</f>
        <v>5202030</v>
      </c>
      <c r="K491">
        <v>2298043100</v>
      </c>
      <c r="L491">
        <v>2298042076</v>
      </c>
      <c r="M491" t="s">
        <v>6279</v>
      </c>
      <c r="N491" t="s">
        <v>6241</v>
      </c>
      <c r="O491" t="s">
        <v>6241</v>
      </c>
      <c r="P491">
        <v>18020</v>
      </c>
      <c r="Q491" t="str">
        <f>"37.496669"</f>
        <v>37.496669</v>
      </c>
      <c r="R491" t="str">
        <f>"23.441845"</f>
        <v>23.441845</v>
      </c>
      <c r="S491" t="s">
        <v>26</v>
      </c>
    </row>
    <row r="492" spans="1:19" x14ac:dyDescent="0.3">
      <c r="A492" t="s">
        <v>3237</v>
      </c>
      <c r="B492" t="s">
        <v>6192</v>
      </c>
      <c r="C492" t="s">
        <v>6474</v>
      </c>
      <c r="D492" t="s">
        <v>3275</v>
      </c>
      <c r="E492" t="s">
        <v>3275</v>
      </c>
      <c r="F492" t="s">
        <v>3275</v>
      </c>
      <c r="G492" t="s">
        <v>6290</v>
      </c>
      <c r="H492" t="s">
        <v>51</v>
      </c>
      <c r="I492" t="s">
        <v>3708</v>
      </c>
      <c r="J492" t="str">
        <f>"0501905"</f>
        <v>0501905</v>
      </c>
      <c r="K492">
        <v>2104171858</v>
      </c>
      <c r="L492">
        <v>2104171858</v>
      </c>
      <c r="M492" t="s">
        <v>6475</v>
      </c>
      <c r="N492" t="s">
        <v>3279</v>
      </c>
      <c r="O492" t="s">
        <v>6332</v>
      </c>
      <c r="P492">
        <v>18531</v>
      </c>
      <c r="Q492" t="str">
        <f>"37.947426"</f>
        <v>37.947426</v>
      </c>
      <c r="R492" t="str">
        <f>"23.649530"</f>
        <v>23.649530</v>
      </c>
      <c r="S492" t="s">
        <v>26</v>
      </c>
    </row>
    <row r="493" spans="1:19" x14ac:dyDescent="0.3">
      <c r="A493" t="s">
        <v>3237</v>
      </c>
      <c r="B493" t="s">
        <v>6192</v>
      </c>
      <c r="C493" t="s">
        <v>6477</v>
      </c>
      <c r="D493" t="s">
        <v>3275</v>
      </c>
      <c r="E493" t="s">
        <v>3303</v>
      </c>
      <c r="F493" t="s">
        <v>3303</v>
      </c>
      <c r="G493" t="s">
        <v>3303</v>
      </c>
      <c r="H493" t="s">
        <v>51</v>
      </c>
      <c r="I493" t="s">
        <v>52</v>
      </c>
      <c r="J493" t="str">
        <f>"0501944"</f>
        <v>0501944</v>
      </c>
      <c r="K493">
        <v>2104960227</v>
      </c>
      <c r="L493">
        <v>2104960227</v>
      </c>
      <c r="M493" t="s">
        <v>6478</v>
      </c>
      <c r="N493" t="s">
        <v>6249</v>
      </c>
      <c r="O493" t="s">
        <v>6479</v>
      </c>
      <c r="P493">
        <v>18122</v>
      </c>
      <c r="Q493" t="str">
        <f>"37.987079"</f>
        <v>37.987079</v>
      </c>
      <c r="R493" t="str">
        <f>"23.644150"</f>
        <v>23.644150</v>
      </c>
      <c r="S493" t="s">
        <v>26</v>
      </c>
    </row>
    <row r="494" spans="1:19" x14ac:dyDescent="0.3">
      <c r="A494" t="s">
        <v>3237</v>
      </c>
      <c r="B494" t="s">
        <v>6192</v>
      </c>
      <c r="C494" t="s">
        <v>6480</v>
      </c>
      <c r="D494" t="s">
        <v>3275</v>
      </c>
      <c r="E494" t="s">
        <v>6212</v>
      </c>
      <c r="F494" t="s">
        <v>6213</v>
      </c>
      <c r="G494" t="s">
        <v>6213</v>
      </c>
      <c r="H494" t="s">
        <v>51</v>
      </c>
      <c r="I494" t="s">
        <v>52</v>
      </c>
      <c r="J494" t="str">
        <f>"0501925"</f>
        <v>0501925</v>
      </c>
      <c r="K494">
        <v>2104616072</v>
      </c>
      <c r="L494">
        <v>2104616072</v>
      </c>
      <c r="M494" t="s">
        <v>6481</v>
      </c>
      <c r="N494" t="s">
        <v>6216</v>
      </c>
      <c r="O494" t="s">
        <v>6217</v>
      </c>
      <c r="P494">
        <v>18648</v>
      </c>
      <c r="Q494" t="str">
        <f>"37.947267"</f>
        <v>37.947267</v>
      </c>
      <c r="R494" t="str">
        <f>"23.634029"</f>
        <v>23.634029</v>
      </c>
      <c r="S494" t="s">
        <v>26</v>
      </c>
    </row>
    <row r="495" spans="1:19" x14ac:dyDescent="0.3">
      <c r="A495" t="s">
        <v>3237</v>
      </c>
      <c r="B495" t="s">
        <v>6192</v>
      </c>
      <c r="C495" t="s">
        <v>6482</v>
      </c>
      <c r="D495" t="s">
        <v>3275</v>
      </c>
      <c r="E495" t="s">
        <v>6212</v>
      </c>
      <c r="F495" t="s">
        <v>6256</v>
      </c>
      <c r="G495" t="s">
        <v>6256</v>
      </c>
      <c r="H495" t="s">
        <v>51</v>
      </c>
      <c r="I495" t="s">
        <v>52</v>
      </c>
      <c r="J495" t="str">
        <f>"0501950"</f>
        <v>0501950</v>
      </c>
      <c r="K495">
        <v>2104620092</v>
      </c>
      <c r="L495">
        <v>2104620092</v>
      </c>
      <c r="M495" t="s">
        <v>6483</v>
      </c>
      <c r="N495" t="s">
        <v>6256</v>
      </c>
      <c r="O495" t="s">
        <v>6484</v>
      </c>
      <c r="P495">
        <v>18756</v>
      </c>
      <c r="Q495" t="str">
        <f>"37.962593"</f>
        <v>37.962593</v>
      </c>
      <c r="R495" t="str">
        <f>"23.627259"</f>
        <v>23.627259</v>
      </c>
      <c r="S495" t="s">
        <v>26</v>
      </c>
    </row>
    <row r="496" spans="1:19" x14ac:dyDescent="0.3">
      <c r="A496" t="s">
        <v>3237</v>
      </c>
      <c r="B496" t="s">
        <v>6192</v>
      </c>
      <c r="C496" t="s">
        <v>6486</v>
      </c>
      <c r="D496" t="s">
        <v>6222</v>
      </c>
      <c r="E496" t="s">
        <v>6223</v>
      </c>
      <c r="F496" t="s">
        <v>6229</v>
      </c>
      <c r="G496" t="s">
        <v>6223</v>
      </c>
      <c r="H496" t="s">
        <v>51</v>
      </c>
      <c r="I496" t="s">
        <v>52</v>
      </c>
      <c r="J496" t="str">
        <f>"5203010"</f>
        <v>5203010</v>
      </c>
      <c r="K496">
        <v>2104651250</v>
      </c>
      <c r="L496">
        <v>2104651250</v>
      </c>
      <c r="M496" t="s">
        <v>6487</v>
      </c>
      <c r="N496" t="s">
        <v>6229</v>
      </c>
      <c r="O496" t="s">
        <v>6488</v>
      </c>
      <c r="P496">
        <v>18900</v>
      </c>
      <c r="Q496" t="str">
        <f>"37.968819"</f>
        <v>37.968819</v>
      </c>
      <c r="R496" t="str">
        <f>"23.502140"</f>
        <v>23.502140</v>
      </c>
      <c r="S496" t="s">
        <v>26</v>
      </c>
    </row>
    <row r="497" spans="1:19" x14ac:dyDescent="0.3">
      <c r="A497" t="s">
        <v>3237</v>
      </c>
      <c r="B497" t="s">
        <v>6192</v>
      </c>
      <c r="C497" t="s">
        <v>6489</v>
      </c>
      <c r="D497" t="s">
        <v>3275</v>
      </c>
      <c r="E497" t="s">
        <v>6266</v>
      </c>
      <c r="F497" t="s">
        <v>5431</v>
      </c>
      <c r="G497" t="s">
        <v>5431</v>
      </c>
      <c r="H497" t="s">
        <v>51</v>
      </c>
      <c r="I497" t="s">
        <v>52</v>
      </c>
      <c r="J497" t="str">
        <f>"0501939"</f>
        <v>0501939</v>
      </c>
      <c r="K497">
        <v>2104930469</v>
      </c>
      <c r="L497">
        <v>2104930469</v>
      </c>
      <c r="M497" t="s">
        <v>6490</v>
      </c>
      <c r="N497" t="s">
        <v>6352</v>
      </c>
      <c r="O497" t="s">
        <v>6491</v>
      </c>
      <c r="P497">
        <v>18451</v>
      </c>
      <c r="Q497" t="str">
        <f>"37.960000"</f>
        <v>37.960000</v>
      </c>
      <c r="R497" t="str">
        <f>"23.630000"</f>
        <v>23.630000</v>
      </c>
      <c r="S497" t="s">
        <v>26</v>
      </c>
    </row>
    <row r="498" spans="1:19" x14ac:dyDescent="0.3">
      <c r="A498" t="s">
        <v>3237</v>
      </c>
      <c r="B498" t="s">
        <v>6192</v>
      </c>
      <c r="C498" t="s">
        <v>6493</v>
      </c>
      <c r="D498" t="s">
        <v>6222</v>
      </c>
      <c r="E498" t="s">
        <v>6345</v>
      </c>
      <c r="F498" t="s">
        <v>6345</v>
      </c>
      <c r="G498" t="s">
        <v>6345</v>
      </c>
      <c r="H498" t="s">
        <v>51</v>
      </c>
      <c r="I498" t="s">
        <v>52</v>
      </c>
      <c r="J498" t="str">
        <f>"5206010"</f>
        <v>5206010</v>
      </c>
      <c r="K498">
        <v>2298052390</v>
      </c>
      <c r="L498">
        <v>2298052285</v>
      </c>
      <c r="M498" t="s">
        <v>6494</v>
      </c>
      <c r="N498" t="s">
        <v>6348</v>
      </c>
      <c r="O498" t="s">
        <v>6348</v>
      </c>
      <c r="P498">
        <v>18040</v>
      </c>
      <c r="Q498" t="str">
        <f>"37.348047"</f>
        <v>37.348047</v>
      </c>
      <c r="R498" t="str">
        <f>"23.470888"</f>
        <v>23.470888</v>
      </c>
      <c r="S498" t="s">
        <v>26</v>
      </c>
    </row>
    <row r="499" spans="1:19" x14ac:dyDescent="0.3">
      <c r="A499" t="s">
        <v>3237</v>
      </c>
      <c r="B499" t="s">
        <v>6192</v>
      </c>
      <c r="C499" t="s">
        <v>6495</v>
      </c>
      <c r="D499" t="s">
        <v>3275</v>
      </c>
      <c r="E499" t="s">
        <v>3275</v>
      </c>
      <c r="F499" t="s">
        <v>3275</v>
      </c>
      <c r="G499" t="s">
        <v>6382</v>
      </c>
      <c r="H499" t="s">
        <v>51</v>
      </c>
      <c r="I499" t="s">
        <v>52</v>
      </c>
      <c r="J499" t="str">
        <f>"0501985"</f>
        <v>0501985</v>
      </c>
      <c r="K499">
        <v>2104812109</v>
      </c>
      <c r="L499">
        <v>2104812109</v>
      </c>
      <c r="M499" t="s">
        <v>6496</v>
      </c>
      <c r="N499" t="s">
        <v>6497</v>
      </c>
      <c r="O499" t="s">
        <v>6498</v>
      </c>
      <c r="P499">
        <v>18547</v>
      </c>
      <c r="Q499" t="str">
        <f>"37.947842"</f>
        <v>37.947842</v>
      </c>
      <c r="R499" t="str">
        <f>"23.666883"</f>
        <v>23.666883</v>
      </c>
      <c r="S499" t="s">
        <v>26</v>
      </c>
    </row>
    <row r="500" spans="1:19" x14ac:dyDescent="0.3">
      <c r="A500" t="s">
        <v>3237</v>
      </c>
      <c r="B500" t="s">
        <v>6192</v>
      </c>
      <c r="C500" t="s">
        <v>6500</v>
      </c>
      <c r="D500" t="s">
        <v>3275</v>
      </c>
      <c r="E500" t="s">
        <v>3275</v>
      </c>
      <c r="F500" t="s">
        <v>3275</v>
      </c>
      <c r="G500" t="s">
        <v>3276</v>
      </c>
      <c r="H500" t="s">
        <v>51</v>
      </c>
      <c r="I500" t="s">
        <v>52</v>
      </c>
      <c r="J500" t="str">
        <f>"0501906"</f>
        <v>0501906</v>
      </c>
      <c r="K500">
        <v>2104513425</v>
      </c>
      <c r="M500" t="s">
        <v>6501</v>
      </c>
      <c r="N500" t="s">
        <v>3279</v>
      </c>
      <c r="O500" t="s">
        <v>6301</v>
      </c>
      <c r="P500">
        <v>18536</v>
      </c>
      <c r="Q500" t="str">
        <f>"37.936223"</f>
        <v>37.936223</v>
      </c>
      <c r="R500" t="str">
        <f>"23.642109"</f>
        <v>23.642109</v>
      </c>
      <c r="S500" t="s">
        <v>26</v>
      </c>
    </row>
    <row r="501" spans="1:19" x14ac:dyDescent="0.3">
      <c r="A501" t="s">
        <v>3237</v>
      </c>
      <c r="B501" t="s">
        <v>6192</v>
      </c>
      <c r="C501" t="s">
        <v>6502</v>
      </c>
      <c r="D501" t="s">
        <v>3275</v>
      </c>
      <c r="E501" t="s">
        <v>6203</v>
      </c>
      <c r="F501" t="s">
        <v>6203</v>
      </c>
      <c r="G501" t="s">
        <v>6203</v>
      </c>
      <c r="H501" t="s">
        <v>51</v>
      </c>
      <c r="I501" t="s">
        <v>52</v>
      </c>
      <c r="J501" t="str">
        <f>"0501926"</f>
        <v>0501926</v>
      </c>
      <c r="K501">
        <v>2104410743</v>
      </c>
      <c r="L501">
        <v>2104022754</v>
      </c>
      <c r="M501" t="s">
        <v>6503</v>
      </c>
      <c r="N501" t="s">
        <v>1291</v>
      </c>
      <c r="O501" t="s">
        <v>6504</v>
      </c>
      <c r="P501">
        <v>18863</v>
      </c>
      <c r="Q501" t="str">
        <f>"37.965191"</f>
        <v>37.965191</v>
      </c>
      <c r="R501" t="str">
        <f>"23.558471"</f>
        <v>23.558471</v>
      </c>
      <c r="S501" t="s">
        <v>26</v>
      </c>
    </row>
    <row r="502" spans="1:19" x14ac:dyDescent="0.3">
      <c r="A502" t="s">
        <v>3237</v>
      </c>
      <c r="B502" t="s">
        <v>6192</v>
      </c>
      <c r="C502" t="s">
        <v>6509</v>
      </c>
      <c r="D502" t="s">
        <v>3275</v>
      </c>
      <c r="E502" t="s">
        <v>3275</v>
      </c>
      <c r="F502" t="s">
        <v>3275</v>
      </c>
      <c r="G502" t="s">
        <v>6290</v>
      </c>
      <c r="H502" t="s">
        <v>51</v>
      </c>
      <c r="I502" t="s">
        <v>52</v>
      </c>
      <c r="J502" t="str">
        <f>"0501915"</f>
        <v>0501915</v>
      </c>
      <c r="K502">
        <v>2104170501</v>
      </c>
      <c r="L502">
        <v>2104170501</v>
      </c>
      <c r="M502" t="s">
        <v>6510</v>
      </c>
      <c r="N502" t="s">
        <v>3279</v>
      </c>
      <c r="O502" t="s">
        <v>6511</v>
      </c>
      <c r="P502">
        <v>18532</v>
      </c>
      <c r="Q502" t="str">
        <f>"37.945192"</f>
        <v>37.945192</v>
      </c>
      <c r="R502" t="str">
        <f>"23.649877"</f>
        <v>23.649877</v>
      </c>
      <c r="S502" t="s">
        <v>26</v>
      </c>
    </row>
    <row r="503" spans="1:19" x14ac:dyDescent="0.3">
      <c r="A503" t="s">
        <v>3237</v>
      </c>
      <c r="B503" t="s">
        <v>6192</v>
      </c>
      <c r="C503" t="s">
        <v>6512</v>
      </c>
      <c r="D503" t="s">
        <v>3275</v>
      </c>
      <c r="E503" t="s">
        <v>6212</v>
      </c>
      <c r="F503" t="s">
        <v>6256</v>
      </c>
      <c r="G503" t="s">
        <v>6256</v>
      </c>
      <c r="H503" t="s">
        <v>51</v>
      </c>
      <c r="I503" t="s">
        <v>52</v>
      </c>
      <c r="J503" t="str">
        <f>"0501941"</f>
        <v>0501941</v>
      </c>
      <c r="K503">
        <v>2104636110</v>
      </c>
      <c r="L503">
        <v>2104636110</v>
      </c>
      <c r="M503" t="s">
        <v>6513</v>
      </c>
      <c r="N503" t="s">
        <v>6327</v>
      </c>
      <c r="O503" t="s">
        <v>6514</v>
      </c>
      <c r="P503">
        <v>18756</v>
      </c>
      <c r="Q503" t="str">
        <f>"37.962796"</f>
        <v>37.962796</v>
      </c>
      <c r="R503" t="str">
        <f>"23.627128"</f>
        <v>23.627128</v>
      </c>
      <c r="S503" t="s">
        <v>26</v>
      </c>
    </row>
    <row r="504" spans="1:19" x14ac:dyDescent="0.3">
      <c r="A504" t="s">
        <v>3237</v>
      </c>
      <c r="B504" t="s">
        <v>6192</v>
      </c>
      <c r="C504" t="s">
        <v>6515</v>
      </c>
      <c r="D504" t="s">
        <v>3275</v>
      </c>
      <c r="E504" t="s">
        <v>6212</v>
      </c>
      <c r="F504" t="s">
        <v>6256</v>
      </c>
      <c r="G504" t="s">
        <v>6256</v>
      </c>
      <c r="H504" t="s">
        <v>51</v>
      </c>
      <c r="I504" t="s">
        <v>52</v>
      </c>
      <c r="J504" t="str">
        <f>"0501948"</f>
        <v>0501948</v>
      </c>
      <c r="K504">
        <v>2104315415</v>
      </c>
      <c r="L504">
        <v>2104010419</v>
      </c>
      <c r="M504" t="s">
        <v>6516</v>
      </c>
      <c r="N504" t="s">
        <v>6327</v>
      </c>
      <c r="O504" t="s">
        <v>6517</v>
      </c>
      <c r="P504">
        <v>18758</v>
      </c>
      <c r="Q504" t="str">
        <f>"37.967409"</f>
        <v>37.967409</v>
      </c>
      <c r="R504" t="str">
        <f>"23.610321"</f>
        <v>23.610321</v>
      </c>
      <c r="S504" t="s">
        <v>26</v>
      </c>
    </row>
    <row r="505" spans="1:19" x14ac:dyDescent="0.3">
      <c r="A505" t="s">
        <v>3237</v>
      </c>
      <c r="B505" t="s">
        <v>6192</v>
      </c>
      <c r="C505" t="s">
        <v>6518</v>
      </c>
      <c r="D505" t="s">
        <v>6222</v>
      </c>
      <c r="E505" t="s">
        <v>6280</v>
      </c>
      <c r="F505" t="s">
        <v>6280</v>
      </c>
      <c r="G505" t="s">
        <v>6280</v>
      </c>
      <c r="H505" t="s">
        <v>51</v>
      </c>
      <c r="I505" t="s">
        <v>52</v>
      </c>
      <c r="J505" t="str">
        <f>"5204010"</f>
        <v>5204010</v>
      </c>
      <c r="K505">
        <v>2297022565</v>
      </c>
      <c r="L505">
        <v>2297024196</v>
      </c>
      <c r="M505" t="s">
        <v>6519</v>
      </c>
      <c r="N505" t="s">
        <v>6283</v>
      </c>
      <c r="O505" t="s">
        <v>6284</v>
      </c>
      <c r="P505">
        <v>18010</v>
      </c>
      <c r="Q505" t="str">
        <f>"37.740211"</f>
        <v>37.740211</v>
      </c>
      <c r="R505" t="str">
        <f>"23.434763"</f>
        <v>23.434763</v>
      </c>
      <c r="S505" t="s">
        <v>26</v>
      </c>
    </row>
    <row r="506" spans="1:19" x14ac:dyDescent="0.3">
      <c r="A506" t="s">
        <v>3237</v>
      </c>
      <c r="B506" t="s">
        <v>6192</v>
      </c>
      <c r="C506" t="s">
        <v>6520</v>
      </c>
      <c r="D506" t="s">
        <v>6222</v>
      </c>
      <c r="E506" t="s">
        <v>6394</v>
      </c>
      <c r="F506" t="s">
        <v>6394</v>
      </c>
      <c r="G506" t="s">
        <v>6394</v>
      </c>
      <c r="H506" t="s">
        <v>51</v>
      </c>
      <c r="I506" t="s">
        <v>52</v>
      </c>
      <c r="J506" t="str">
        <f>"5205010"</f>
        <v>5205010</v>
      </c>
      <c r="K506">
        <v>2736031148</v>
      </c>
      <c r="L506">
        <v>2736038385</v>
      </c>
      <c r="M506" t="s">
        <v>6521</v>
      </c>
      <c r="N506" t="s">
        <v>6522</v>
      </c>
      <c r="O506" t="s">
        <v>6523</v>
      </c>
      <c r="P506">
        <v>80100</v>
      </c>
      <c r="Q506" t="str">
        <f>"36.149391"</f>
        <v>36.149391</v>
      </c>
      <c r="R506" t="str">
        <f>"22.989708"</f>
        <v>22.989708</v>
      </c>
      <c r="S506" t="s">
        <v>57</v>
      </c>
    </row>
    <row r="507" spans="1:19" x14ac:dyDescent="0.3">
      <c r="A507" t="s">
        <v>3237</v>
      </c>
      <c r="B507" t="s">
        <v>6192</v>
      </c>
      <c r="C507" t="s">
        <v>6524</v>
      </c>
      <c r="D507" t="s">
        <v>3275</v>
      </c>
      <c r="E507" t="s">
        <v>3303</v>
      </c>
      <c r="F507" t="s">
        <v>3303</v>
      </c>
      <c r="G507" t="s">
        <v>3303</v>
      </c>
      <c r="H507" t="s">
        <v>51</v>
      </c>
      <c r="I507" t="s">
        <v>52</v>
      </c>
      <c r="J507" t="str">
        <f>"0501961"</f>
        <v>0501961</v>
      </c>
      <c r="K507">
        <v>2104974700</v>
      </c>
      <c r="L507">
        <v>2104952575</v>
      </c>
      <c r="M507" t="s">
        <v>6525</v>
      </c>
      <c r="N507" t="s">
        <v>3303</v>
      </c>
      <c r="O507" t="s">
        <v>6526</v>
      </c>
      <c r="P507">
        <v>18122</v>
      </c>
      <c r="Q507" t="str">
        <f>"37.984549"</f>
        <v>37.984549</v>
      </c>
      <c r="R507" t="str">
        <f>"23.649778"</f>
        <v>23.649778</v>
      </c>
      <c r="S507" t="s">
        <v>26</v>
      </c>
    </row>
    <row r="508" spans="1:19" x14ac:dyDescent="0.3">
      <c r="A508" t="s">
        <v>3237</v>
      </c>
      <c r="B508" t="s">
        <v>6192</v>
      </c>
      <c r="C508" t="s">
        <v>6527</v>
      </c>
      <c r="D508" t="s">
        <v>3275</v>
      </c>
      <c r="E508" t="s">
        <v>3275</v>
      </c>
      <c r="F508" t="s">
        <v>3275</v>
      </c>
      <c r="G508" t="s">
        <v>6290</v>
      </c>
      <c r="H508" t="s">
        <v>51</v>
      </c>
      <c r="I508" t="s">
        <v>184</v>
      </c>
      <c r="J508" t="str">
        <f>"0501923"</f>
        <v>0501923</v>
      </c>
      <c r="K508">
        <v>2104173128</v>
      </c>
      <c r="L508">
        <v>2104173128</v>
      </c>
      <c r="M508" t="s">
        <v>6528</v>
      </c>
      <c r="N508" t="s">
        <v>6529</v>
      </c>
      <c r="O508" t="s">
        <v>6530</v>
      </c>
      <c r="P508">
        <v>18535</v>
      </c>
      <c r="Q508" t="str">
        <f>"37.942095"</f>
        <v>37.942095</v>
      </c>
      <c r="R508" t="str">
        <f>"23.646704"</f>
        <v>23.646704</v>
      </c>
      <c r="S508" t="s">
        <v>26</v>
      </c>
    </row>
    <row r="509" spans="1:19" x14ac:dyDescent="0.3">
      <c r="A509" t="s">
        <v>3237</v>
      </c>
      <c r="B509" t="s">
        <v>6192</v>
      </c>
      <c r="C509" t="s">
        <v>6531</v>
      </c>
      <c r="D509" t="s">
        <v>3275</v>
      </c>
      <c r="E509" t="s">
        <v>6266</v>
      </c>
      <c r="F509" t="s">
        <v>5431</v>
      </c>
      <c r="G509" t="s">
        <v>5431</v>
      </c>
      <c r="H509" t="s">
        <v>51</v>
      </c>
      <c r="I509" t="s">
        <v>52</v>
      </c>
      <c r="J509" t="str">
        <f>"0501942"</f>
        <v>0501942</v>
      </c>
      <c r="K509">
        <v>2104945156</v>
      </c>
      <c r="L509">
        <v>2104952904</v>
      </c>
      <c r="M509" t="s">
        <v>6532</v>
      </c>
      <c r="N509" t="s">
        <v>6352</v>
      </c>
      <c r="O509" t="s">
        <v>6533</v>
      </c>
      <c r="P509">
        <v>18452</v>
      </c>
      <c r="Q509" t="str">
        <f>"37.981844"</f>
        <v>37.981844</v>
      </c>
      <c r="R509" t="str">
        <f>"23.631065"</f>
        <v>23.631065</v>
      </c>
      <c r="S509" t="s">
        <v>26</v>
      </c>
    </row>
    <row r="510" spans="1:19" x14ac:dyDescent="0.3">
      <c r="A510" t="s">
        <v>3237</v>
      </c>
      <c r="B510" t="s">
        <v>6192</v>
      </c>
      <c r="C510" t="s">
        <v>6535</v>
      </c>
      <c r="D510" t="s">
        <v>3275</v>
      </c>
      <c r="E510" t="s">
        <v>6212</v>
      </c>
      <c r="F510" t="s">
        <v>6256</v>
      </c>
      <c r="G510" t="s">
        <v>6256</v>
      </c>
      <c r="H510" t="s">
        <v>51</v>
      </c>
      <c r="I510" t="s">
        <v>52</v>
      </c>
      <c r="J510" t="str">
        <f>"0501920"</f>
        <v>0501920</v>
      </c>
      <c r="K510">
        <v>2104318083</v>
      </c>
      <c r="L510">
        <v>2104318083</v>
      </c>
      <c r="M510" t="s">
        <v>6536</v>
      </c>
      <c r="N510" t="s">
        <v>6327</v>
      </c>
      <c r="O510" t="s">
        <v>6328</v>
      </c>
      <c r="P510">
        <v>18757</v>
      </c>
      <c r="Q510" t="str">
        <f>"37.969404"</f>
        <v>37.969404</v>
      </c>
      <c r="R510" t="str">
        <f>"23.625768"</f>
        <v>23.625768</v>
      </c>
      <c r="S510" t="s">
        <v>26</v>
      </c>
    </row>
    <row r="511" spans="1:19" x14ac:dyDescent="0.3">
      <c r="A511" t="s">
        <v>3237</v>
      </c>
      <c r="B511" t="s">
        <v>6192</v>
      </c>
      <c r="C511" t="s">
        <v>6537</v>
      </c>
      <c r="D511" t="s">
        <v>3275</v>
      </c>
      <c r="E511" t="s">
        <v>3275</v>
      </c>
      <c r="F511" t="s">
        <v>3275</v>
      </c>
      <c r="G511" t="s">
        <v>3276</v>
      </c>
      <c r="H511" t="s">
        <v>51</v>
      </c>
      <c r="I511" t="s">
        <v>52</v>
      </c>
      <c r="J511" t="str">
        <f>"0501917"</f>
        <v>0501917</v>
      </c>
      <c r="K511">
        <v>2104531271</v>
      </c>
      <c r="L511">
        <v>2104523277</v>
      </c>
      <c r="M511" t="s">
        <v>6538</v>
      </c>
      <c r="N511" t="s">
        <v>3279</v>
      </c>
      <c r="O511" t="s">
        <v>6539</v>
      </c>
      <c r="P511">
        <v>18538</v>
      </c>
      <c r="Q511" t="str">
        <f>"37.934184"</f>
        <v>37.934184</v>
      </c>
      <c r="R511" t="str">
        <f>"23.635926"</f>
        <v>23.635926</v>
      </c>
      <c r="S511" t="s">
        <v>26</v>
      </c>
    </row>
    <row r="512" spans="1:19" x14ac:dyDescent="0.3">
      <c r="A512" t="s">
        <v>3237</v>
      </c>
      <c r="B512" t="s">
        <v>6192</v>
      </c>
      <c r="C512" t="s">
        <v>6541</v>
      </c>
      <c r="D512" t="s">
        <v>6222</v>
      </c>
      <c r="E512" t="s">
        <v>6280</v>
      </c>
      <c r="F512" t="s">
        <v>6280</v>
      </c>
      <c r="G512" t="s">
        <v>6280</v>
      </c>
      <c r="H512" t="s">
        <v>51</v>
      </c>
      <c r="I512" t="s">
        <v>52</v>
      </c>
      <c r="J512" t="str">
        <f>"5204020"</f>
        <v>5204020</v>
      </c>
      <c r="K512">
        <v>2297022388</v>
      </c>
      <c r="L512">
        <v>2297022388</v>
      </c>
      <c r="M512" t="s">
        <v>6542</v>
      </c>
      <c r="N512" t="s">
        <v>6283</v>
      </c>
      <c r="O512" t="s">
        <v>6543</v>
      </c>
      <c r="P512">
        <v>18010</v>
      </c>
      <c r="Q512" t="str">
        <f>"37.755901"</f>
        <v>37.755901</v>
      </c>
      <c r="R512" t="str">
        <f>"23.457133"</f>
        <v>23.457133</v>
      </c>
      <c r="S512" t="s">
        <v>26</v>
      </c>
    </row>
    <row r="513" spans="1:19" x14ac:dyDescent="0.3">
      <c r="A513" t="s">
        <v>3237</v>
      </c>
      <c r="B513" t="s">
        <v>6192</v>
      </c>
      <c r="C513" t="s">
        <v>6545</v>
      </c>
      <c r="D513" t="s">
        <v>3275</v>
      </c>
      <c r="E513" t="s">
        <v>3275</v>
      </c>
      <c r="F513" t="s">
        <v>3275</v>
      </c>
      <c r="G513" t="s">
        <v>6290</v>
      </c>
      <c r="H513" t="s">
        <v>51</v>
      </c>
      <c r="I513" t="s">
        <v>52</v>
      </c>
      <c r="J513" t="str">
        <f>"0501922"</f>
        <v>0501922</v>
      </c>
      <c r="K513">
        <v>2104130081</v>
      </c>
      <c r="L513">
        <v>2104119392</v>
      </c>
      <c r="M513" t="s">
        <v>6546</v>
      </c>
      <c r="N513" t="s">
        <v>6200</v>
      </c>
      <c r="O513" t="s">
        <v>6547</v>
      </c>
      <c r="P513">
        <v>18534</v>
      </c>
      <c r="Q513" t="str">
        <f>"37.937073"</f>
        <v>37.937073</v>
      </c>
      <c r="R513" t="str">
        <f>"23.650990"</f>
        <v>23.650990</v>
      </c>
      <c r="S513" t="s">
        <v>26</v>
      </c>
    </row>
    <row r="514" spans="1:19" x14ac:dyDescent="0.3">
      <c r="A514" t="s">
        <v>3237</v>
      </c>
      <c r="B514" t="s">
        <v>6192</v>
      </c>
      <c r="C514" t="s">
        <v>6548</v>
      </c>
      <c r="D514" t="s">
        <v>3275</v>
      </c>
      <c r="E514" t="s">
        <v>6266</v>
      </c>
      <c r="F514" t="s">
        <v>5431</v>
      </c>
      <c r="G514" t="s">
        <v>5431</v>
      </c>
      <c r="H514" t="s">
        <v>51</v>
      </c>
      <c r="I514" t="s">
        <v>52</v>
      </c>
      <c r="J514" t="str">
        <f>"0501954"</f>
        <v>0501954</v>
      </c>
      <c r="K514">
        <v>2104953378</v>
      </c>
      <c r="L514">
        <v>2104953379</v>
      </c>
      <c r="M514" t="s">
        <v>6549</v>
      </c>
      <c r="N514" t="s">
        <v>6352</v>
      </c>
      <c r="O514" t="s">
        <v>6550</v>
      </c>
      <c r="P514">
        <v>18452</v>
      </c>
      <c r="Q514" t="str">
        <f>"37.986423"</f>
        <v>37.986423</v>
      </c>
      <c r="R514" t="str">
        <f>"23.629263"</f>
        <v>23.629263</v>
      </c>
      <c r="S514" t="s">
        <v>26</v>
      </c>
    </row>
    <row r="515" spans="1:19" x14ac:dyDescent="0.3">
      <c r="A515" t="s">
        <v>3237</v>
      </c>
      <c r="B515" t="s">
        <v>6192</v>
      </c>
      <c r="C515" t="s">
        <v>6551</v>
      </c>
      <c r="D515" t="s">
        <v>3275</v>
      </c>
      <c r="E515" t="s">
        <v>3275</v>
      </c>
      <c r="F515" t="s">
        <v>3275</v>
      </c>
      <c r="G515" t="s">
        <v>6261</v>
      </c>
      <c r="H515" t="s">
        <v>51</v>
      </c>
      <c r="I515" t="s">
        <v>52</v>
      </c>
      <c r="J515" t="str">
        <f>"0501934"</f>
        <v>0501934</v>
      </c>
      <c r="K515">
        <v>2104200639</v>
      </c>
      <c r="L515">
        <v>2104200639</v>
      </c>
      <c r="M515" t="s">
        <v>6552</v>
      </c>
      <c r="N515" t="s">
        <v>3279</v>
      </c>
      <c r="O515" t="s">
        <v>6553</v>
      </c>
      <c r="P515">
        <v>18542</v>
      </c>
      <c r="Q515" t="str">
        <f>"37.959237"</f>
        <v>37.959237</v>
      </c>
      <c r="R515" t="str">
        <f>"23.652320"</f>
        <v>23.652320</v>
      </c>
      <c r="S515" t="s">
        <v>26</v>
      </c>
    </row>
    <row r="516" spans="1:19" x14ac:dyDescent="0.3">
      <c r="A516" t="s">
        <v>3237</v>
      </c>
      <c r="B516" t="s">
        <v>6192</v>
      </c>
      <c r="C516" t="s">
        <v>6555</v>
      </c>
      <c r="D516" t="s">
        <v>6222</v>
      </c>
      <c r="E516" t="s">
        <v>6223</v>
      </c>
      <c r="F516" t="s">
        <v>6229</v>
      </c>
      <c r="G516" t="s">
        <v>6223</v>
      </c>
      <c r="H516" t="s">
        <v>51</v>
      </c>
      <c r="I516" t="s">
        <v>52</v>
      </c>
      <c r="J516" t="str">
        <f>"5203011"</f>
        <v>5203011</v>
      </c>
      <c r="K516">
        <v>2104675780</v>
      </c>
      <c r="L516">
        <v>2104675780</v>
      </c>
      <c r="M516" t="s">
        <v>6556</v>
      </c>
      <c r="N516" t="s">
        <v>6389</v>
      </c>
      <c r="O516" t="s">
        <v>6557</v>
      </c>
      <c r="P516">
        <v>18900</v>
      </c>
      <c r="Q516" t="str">
        <f>"37.969727"</f>
        <v>37.969727</v>
      </c>
      <c r="R516" t="str">
        <f>"23.515841"</f>
        <v>23.515841</v>
      </c>
      <c r="S516" t="s">
        <v>26</v>
      </c>
    </row>
    <row r="517" spans="1:19" x14ac:dyDescent="0.3">
      <c r="A517" t="s">
        <v>3237</v>
      </c>
      <c r="B517" t="s">
        <v>6192</v>
      </c>
      <c r="C517" t="s">
        <v>6559</v>
      </c>
      <c r="D517" t="s">
        <v>3275</v>
      </c>
      <c r="E517" t="s">
        <v>6266</v>
      </c>
      <c r="F517" t="s">
        <v>5431</v>
      </c>
      <c r="G517" t="s">
        <v>5431</v>
      </c>
      <c r="H517" t="s">
        <v>51</v>
      </c>
      <c r="I517" t="s">
        <v>52</v>
      </c>
      <c r="J517" t="str">
        <f>"0501929"</f>
        <v>0501929</v>
      </c>
      <c r="K517">
        <v>2104917751</v>
      </c>
      <c r="L517">
        <v>2104256378</v>
      </c>
      <c r="M517" t="s">
        <v>6560</v>
      </c>
      <c r="N517" t="s">
        <v>5431</v>
      </c>
      <c r="O517" t="s">
        <v>6561</v>
      </c>
      <c r="P517">
        <v>18450</v>
      </c>
      <c r="Q517" t="str">
        <f>"37.964449"</f>
        <v>37.964449</v>
      </c>
      <c r="R517" t="str">
        <f>"23.650652"</f>
        <v>23.650652</v>
      </c>
      <c r="S517" t="s">
        <v>26</v>
      </c>
    </row>
    <row r="518" spans="1:19" x14ac:dyDescent="0.3">
      <c r="A518" t="s">
        <v>3237</v>
      </c>
      <c r="B518" t="s">
        <v>6192</v>
      </c>
      <c r="C518" t="s">
        <v>6563</v>
      </c>
      <c r="D518" t="s">
        <v>3275</v>
      </c>
      <c r="E518" t="s">
        <v>3303</v>
      </c>
      <c r="F518" t="s">
        <v>3303</v>
      </c>
      <c r="G518" t="s">
        <v>3303</v>
      </c>
      <c r="H518" t="s">
        <v>51</v>
      </c>
      <c r="I518" t="s">
        <v>52</v>
      </c>
      <c r="J518" t="str">
        <f>"0501962"</f>
        <v>0501962</v>
      </c>
      <c r="K518">
        <v>2104963105</v>
      </c>
      <c r="L518">
        <v>2104963105</v>
      </c>
      <c r="M518" t="s">
        <v>6564</v>
      </c>
      <c r="N518" t="s">
        <v>6249</v>
      </c>
      <c r="O518" t="s">
        <v>6565</v>
      </c>
      <c r="P518">
        <v>18122</v>
      </c>
      <c r="Q518" t="str">
        <f>"37.980192"</f>
        <v>37.980192</v>
      </c>
      <c r="R518" t="str">
        <f>"23.644340"</f>
        <v>23.644340</v>
      </c>
      <c r="S518" t="s">
        <v>26</v>
      </c>
    </row>
    <row r="519" spans="1:19" x14ac:dyDescent="0.3">
      <c r="A519" t="s">
        <v>3237</v>
      </c>
      <c r="B519" t="s">
        <v>6192</v>
      </c>
      <c r="C519" t="s">
        <v>6566</v>
      </c>
      <c r="D519" t="s">
        <v>3275</v>
      </c>
      <c r="E519" t="s">
        <v>6212</v>
      </c>
      <c r="F519" t="s">
        <v>6256</v>
      </c>
      <c r="G519" t="s">
        <v>6256</v>
      </c>
      <c r="H519" t="s">
        <v>51</v>
      </c>
      <c r="I519" t="s">
        <v>52</v>
      </c>
      <c r="J519" t="str">
        <f>"0501947"</f>
        <v>0501947</v>
      </c>
      <c r="K519">
        <v>2104322600</v>
      </c>
      <c r="L519">
        <v>2104010414</v>
      </c>
      <c r="M519" t="s">
        <v>6567</v>
      </c>
      <c r="N519" t="s">
        <v>6327</v>
      </c>
      <c r="O519" t="s">
        <v>6568</v>
      </c>
      <c r="P519">
        <v>18755</v>
      </c>
      <c r="Q519" t="str">
        <f>"37.951454"</f>
        <v>37.951454</v>
      </c>
      <c r="R519" t="str">
        <f>"23.620831"</f>
        <v>23.620831</v>
      </c>
      <c r="S519" t="s">
        <v>26</v>
      </c>
    </row>
    <row r="520" spans="1:19" x14ac:dyDescent="0.3">
      <c r="A520" t="s">
        <v>3237</v>
      </c>
      <c r="B520" t="s">
        <v>6192</v>
      </c>
      <c r="C520" t="s">
        <v>6569</v>
      </c>
      <c r="D520" t="s">
        <v>3275</v>
      </c>
      <c r="E520" t="s">
        <v>3303</v>
      </c>
      <c r="F520" t="s">
        <v>3303</v>
      </c>
      <c r="G520" t="s">
        <v>3303</v>
      </c>
      <c r="H520" t="s">
        <v>51</v>
      </c>
      <c r="I520" t="s">
        <v>52</v>
      </c>
      <c r="J520" t="str">
        <f>"0501945"</f>
        <v>0501945</v>
      </c>
      <c r="K520">
        <v>2104950474</v>
      </c>
      <c r="L520">
        <v>2104950474</v>
      </c>
      <c r="M520" t="s">
        <v>6570</v>
      </c>
      <c r="N520" t="s">
        <v>6249</v>
      </c>
      <c r="O520" t="s">
        <v>6571</v>
      </c>
      <c r="P520">
        <v>18120</v>
      </c>
      <c r="Q520" t="str">
        <f>"37.976438"</f>
        <v>37.976438</v>
      </c>
      <c r="R520" t="str">
        <f>"23.650489"</f>
        <v>23.650489</v>
      </c>
      <c r="S520" t="s">
        <v>26</v>
      </c>
    </row>
    <row r="521" spans="1:19" x14ac:dyDescent="0.3">
      <c r="A521" t="s">
        <v>3237</v>
      </c>
      <c r="B521" t="s">
        <v>6192</v>
      </c>
      <c r="C521" t="s">
        <v>6573</v>
      </c>
      <c r="D521" t="s">
        <v>3275</v>
      </c>
      <c r="E521" t="s">
        <v>6266</v>
      </c>
      <c r="F521" t="s">
        <v>5431</v>
      </c>
      <c r="G521" t="s">
        <v>5431</v>
      </c>
      <c r="H521" t="s">
        <v>51</v>
      </c>
      <c r="I521" t="s">
        <v>52</v>
      </c>
      <c r="J521" t="str">
        <f>"0501959"</f>
        <v>0501959</v>
      </c>
      <c r="K521">
        <v>2104911692</v>
      </c>
      <c r="L521">
        <v>2104911692</v>
      </c>
      <c r="M521" t="s">
        <v>6574</v>
      </c>
      <c r="N521" t="s">
        <v>6352</v>
      </c>
      <c r="O521" t="s">
        <v>6575</v>
      </c>
      <c r="P521">
        <v>18451</v>
      </c>
      <c r="Q521" t="str">
        <f>"37.971715"</f>
        <v>37.971715</v>
      </c>
      <c r="R521" t="str">
        <f>"23.636800"</f>
        <v>23.636800</v>
      </c>
      <c r="S521" t="s">
        <v>26</v>
      </c>
    </row>
    <row r="522" spans="1:19" x14ac:dyDescent="0.3">
      <c r="A522" t="s">
        <v>3237</v>
      </c>
      <c r="B522" t="s">
        <v>6192</v>
      </c>
      <c r="C522" t="s">
        <v>6577</v>
      </c>
      <c r="D522" t="s">
        <v>6222</v>
      </c>
      <c r="E522" t="s">
        <v>6576</v>
      </c>
      <c r="F522" t="s">
        <v>6576</v>
      </c>
      <c r="G522" t="s">
        <v>6576</v>
      </c>
      <c r="H522" t="s">
        <v>51</v>
      </c>
      <c r="I522" t="s">
        <v>52</v>
      </c>
      <c r="J522" t="str">
        <f>"5202010"</f>
        <v>5202010</v>
      </c>
      <c r="K522">
        <v>2298022393</v>
      </c>
      <c r="L522">
        <v>2298022393</v>
      </c>
      <c r="M522" t="s">
        <v>6578</v>
      </c>
      <c r="N522" t="s">
        <v>6579</v>
      </c>
      <c r="O522" t="s">
        <v>6580</v>
      </c>
      <c r="P522">
        <v>18020</v>
      </c>
      <c r="Q522" t="str">
        <f>"37.500879"</f>
        <v>37.500879</v>
      </c>
      <c r="R522" t="str">
        <f>"23.454596"</f>
        <v>23.454596</v>
      </c>
      <c r="S522" t="s">
        <v>26</v>
      </c>
    </row>
    <row r="523" spans="1:19" x14ac:dyDescent="0.3">
      <c r="A523" t="s">
        <v>3237</v>
      </c>
      <c r="B523" t="s">
        <v>6192</v>
      </c>
      <c r="C523" t="s">
        <v>6582</v>
      </c>
      <c r="D523" t="s">
        <v>3275</v>
      </c>
      <c r="E523" t="s">
        <v>3275</v>
      </c>
      <c r="F523" t="s">
        <v>3275</v>
      </c>
      <c r="G523" t="s">
        <v>6290</v>
      </c>
      <c r="H523" t="s">
        <v>51</v>
      </c>
      <c r="I523" t="s">
        <v>52</v>
      </c>
      <c r="J523" t="str">
        <f>"0501921"</f>
        <v>0501921</v>
      </c>
      <c r="K523">
        <v>2104297425</v>
      </c>
      <c r="L523">
        <v>2104297424</v>
      </c>
      <c r="M523" t="s">
        <v>6583</v>
      </c>
      <c r="N523" t="s">
        <v>3279</v>
      </c>
      <c r="O523" t="s">
        <v>6584</v>
      </c>
      <c r="P523">
        <v>18547</v>
      </c>
      <c r="Q523" t="str">
        <f>"37.948847"</f>
        <v>37.948847</v>
      </c>
      <c r="R523" t="str">
        <f>"23.657814"</f>
        <v>23.657814</v>
      </c>
      <c r="S523" t="s">
        <v>26</v>
      </c>
    </row>
    <row r="524" spans="1:19" x14ac:dyDescent="0.3">
      <c r="A524" t="s">
        <v>3237</v>
      </c>
      <c r="B524" t="s">
        <v>6192</v>
      </c>
      <c r="C524" t="s">
        <v>6585</v>
      </c>
      <c r="D524" t="s">
        <v>3275</v>
      </c>
      <c r="E524" t="s">
        <v>3303</v>
      </c>
      <c r="F524" t="s">
        <v>3303</v>
      </c>
      <c r="G524" t="s">
        <v>3303</v>
      </c>
      <c r="H524" t="s">
        <v>51</v>
      </c>
      <c r="I524" t="s">
        <v>52</v>
      </c>
      <c r="J524" t="str">
        <f>"0501932"</f>
        <v>0501932</v>
      </c>
      <c r="K524">
        <v>2104949397</v>
      </c>
      <c r="L524">
        <v>2104949245</v>
      </c>
      <c r="M524" t="s">
        <v>6586</v>
      </c>
      <c r="N524" t="s">
        <v>6249</v>
      </c>
      <c r="O524" t="s">
        <v>6587</v>
      </c>
      <c r="P524">
        <v>18120</v>
      </c>
      <c r="Q524" t="str">
        <f>"37.977250"</f>
        <v>37.977250</v>
      </c>
      <c r="R524" t="str">
        <f>"23.655094"</f>
        <v>23.655094</v>
      </c>
      <c r="S524" t="s">
        <v>26</v>
      </c>
    </row>
    <row r="525" spans="1:19" x14ac:dyDescent="0.3">
      <c r="A525" t="s">
        <v>3237</v>
      </c>
      <c r="B525" t="s">
        <v>6192</v>
      </c>
      <c r="C525" t="s">
        <v>6589</v>
      </c>
      <c r="D525" t="s">
        <v>3275</v>
      </c>
      <c r="E525" t="s">
        <v>6266</v>
      </c>
      <c r="F525" t="s">
        <v>5431</v>
      </c>
      <c r="G525" t="s">
        <v>5431</v>
      </c>
      <c r="H525" t="s">
        <v>51</v>
      </c>
      <c r="I525" t="s">
        <v>52</v>
      </c>
      <c r="J525" t="str">
        <f>"0501928"</f>
        <v>0501928</v>
      </c>
      <c r="K525">
        <v>2104919164</v>
      </c>
      <c r="L525">
        <v>2104919164</v>
      </c>
      <c r="M525" t="s">
        <v>6590</v>
      </c>
      <c r="N525" t="s">
        <v>6352</v>
      </c>
      <c r="O525" t="s">
        <v>6591</v>
      </c>
      <c r="P525">
        <v>18450</v>
      </c>
      <c r="Q525" t="str">
        <f>"37.964478"</f>
        <v>37.964478</v>
      </c>
      <c r="R525" t="str">
        <f>"23.644456"</f>
        <v>23.644456</v>
      </c>
      <c r="S525" t="s">
        <v>26</v>
      </c>
    </row>
    <row r="526" spans="1:19" x14ac:dyDescent="0.3">
      <c r="A526" t="s">
        <v>3237</v>
      </c>
      <c r="B526" t="s">
        <v>6192</v>
      </c>
      <c r="C526" t="s">
        <v>6593</v>
      </c>
      <c r="D526" t="s">
        <v>6222</v>
      </c>
      <c r="E526" t="s">
        <v>6592</v>
      </c>
      <c r="F526" t="s">
        <v>6592</v>
      </c>
      <c r="G526" t="s">
        <v>6592</v>
      </c>
      <c r="H526" t="s">
        <v>51</v>
      </c>
      <c r="I526" t="s">
        <v>89</v>
      </c>
      <c r="J526" t="str">
        <f>"5204021"</f>
        <v>5204021</v>
      </c>
      <c r="K526">
        <v>6907189254</v>
      </c>
      <c r="L526">
        <v>2297091253</v>
      </c>
      <c r="M526" t="s">
        <v>6594</v>
      </c>
      <c r="N526" t="s">
        <v>6595</v>
      </c>
      <c r="O526" t="s">
        <v>6596</v>
      </c>
      <c r="P526">
        <v>18011</v>
      </c>
      <c r="Q526" t="str">
        <f>"37.707177"</f>
        <v>37.707177</v>
      </c>
      <c r="R526" t="str">
        <f>"23.361577"</f>
        <v>23.361577</v>
      </c>
      <c r="S526" t="s">
        <v>26</v>
      </c>
    </row>
    <row r="527" spans="1:19" x14ac:dyDescent="0.3">
      <c r="A527" t="s">
        <v>3237</v>
      </c>
      <c r="B527" t="s">
        <v>6192</v>
      </c>
      <c r="C527" t="s">
        <v>6598</v>
      </c>
      <c r="D527" t="s">
        <v>3275</v>
      </c>
      <c r="E527" t="s">
        <v>6266</v>
      </c>
      <c r="F527" t="s">
        <v>6267</v>
      </c>
      <c r="G527" t="s">
        <v>6267</v>
      </c>
      <c r="H527" t="s">
        <v>51</v>
      </c>
      <c r="I527" t="s">
        <v>52</v>
      </c>
      <c r="J527" t="str">
        <f>"0501914"</f>
        <v>0501914</v>
      </c>
      <c r="K527">
        <v>2104822814</v>
      </c>
      <c r="L527">
        <v>2104822814</v>
      </c>
      <c r="M527" t="s">
        <v>6599</v>
      </c>
      <c r="N527" t="s">
        <v>6600</v>
      </c>
      <c r="O527" t="s">
        <v>6601</v>
      </c>
      <c r="P527">
        <v>18233</v>
      </c>
      <c r="Q527" t="str">
        <f>"37.958602"</f>
        <v>37.958602</v>
      </c>
      <c r="R527" t="str">
        <f>"23.671099"</f>
        <v>23.671099</v>
      </c>
      <c r="S527" t="s">
        <v>26</v>
      </c>
    </row>
    <row r="528" spans="1:19" x14ac:dyDescent="0.3">
      <c r="A528" t="s">
        <v>3237</v>
      </c>
      <c r="B528" t="s">
        <v>6192</v>
      </c>
      <c r="C528" t="s">
        <v>6602</v>
      </c>
      <c r="D528" t="s">
        <v>3275</v>
      </c>
      <c r="E528" t="s">
        <v>3275</v>
      </c>
      <c r="F528" t="s">
        <v>3275</v>
      </c>
      <c r="G528" t="s">
        <v>6290</v>
      </c>
      <c r="H528" t="s">
        <v>51</v>
      </c>
      <c r="I528" t="s">
        <v>3708</v>
      </c>
      <c r="J528" t="str">
        <f>"0501904"</f>
        <v>0501904</v>
      </c>
      <c r="K528">
        <v>2104122260</v>
      </c>
      <c r="L528">
        <v>2104114050</v>
      </c>
      <c r="M528" t="s">
        <v>6603</v>
      </c>
      <c r="N528" t="s">
        <v>3279</v>
      </c>
      <c r="O528" t="s">
        <v>6463</v>
      </c>
      <c r="P528">
        <v>18535</v>
      </c>
      <c r="Q528" t="str">
        <f>"37.941989"</f>
        <v>37.941989</v>
      </c>
      <c r="R528" t="str">
        <f>"23.646594"</f>
        <v>23.646594</v>
      </c>
      <c r="S528" t="s">
        <v>26</v>
      </c>
    </row>
    <row r="529" spans="1:19" x14ac:dyDescent="0.3">
      <c r="A529" t="s">
        <v>3237</v>
      </c>
      <c r="B529" t="s">
        <v>6192</v>
      </c>
      <c r="C529" t="s">
        <v>6604</v>
      </c>
      <c r="D529" t="s">
        <v>3275</v>
      </c>
      <c r="E529" t="s">
        <v>3275</v>
      </c>
      <c r="F529" t="s">
        <v>3275</v>
      </c>
      <c r="G529" t="s">
        <v>3276</v>
      </c>
      <c r="H529" t="s">
        <v>51</v>
      </c>
      <c r="I529" t="s">
        <v>52</v>
      </c>
      <c r="J529" t="str">
        <f>"0501907"</f>
        <v>0501907</v>
      </c>
      <c r="K529">
        <v>2104523189</v>
      </c>
      <c r="L529">
        <v>2104523198</v>
      </c>
      <c r="M529" t="s">
        <v>6605</v>
      </c>
      <c r="N529" t="s">
        <v>6606</v>
      </c>
      <c r="O529" t="s">
        <v>6607</v>
      </c>
      <c r="P529">
        <v>18538</v>
      </c>
      <c r="Q529" t="str">
        <f>"37.935361"</f>
        <v>37.935361</v>
      </c>
      <c r="R529" t="str">
        <f>"23.631714"</f>
        <v>23.631714</v>
      </c>
      <c r="S529" t="s">
        <v>26</v>
      </c>
    </row>
    <row r="530" spans="1:19" x14ac:dyDescent="0.3">
      <c r="A530" t="s">
        <v>3237</v>
      </c>
      <c r="B530" t="s">
        <v>6192</v>
      </c>
      <c r="C530" t="s">
        <v>6608</v>
      </c>
      <c r="D530" t="s">
        <v>3275</v>
      </c>
      <c r="E530" t="s">
        <v>3275</v>
      </c>
      <c r="F530" t="s">
        <v>3275</v>
      </c>
      <c r="G530" t="s">
        <v>6193</v>
      </c>
      <c r="H530" t="s">
        <v>51</v>
      </c>
      <c r="I530" t="s">
        <v>52</v>
      </c>
      <c r="J530" t="str">
        <f>"0501957"</f>
        <v>0501957</v>
      </c>
      <c r="K530">
        <v>2104123734</v>
      </c>
      <c r="L530">
        <v>2104124368</v>
      </c>
      <c r="M530" t="s">
        <v>6609</v>
      </c>
      <c r="N530" t="s">
        <v>3279</v>
      </c>
      <c r="O530" t="s">
        <v>3306</v>
      </c>
      <c r="P530">
        <v>18545</v>
      </c>
      <c r="Q530" t="str">
        <f>"37.952108"</f>
        <v>37.952108</v>
      </c>
      <c r="R530" t="str">
        <f>"23.643636"</f>
        <v>23.643636</v>
      </c>
      <c r="S530" t="s">
        <v>26</v>
      </c>
    </row>
    <row r="531" spans="1:19" x14ac:dyDescent="0.3">
      <c r="A531" t="s">
        <v>3237</v>
      </c>
      <c r="B531" t="s">
        <v>6192</v>
      </c>
      <c r="C531" t="s">
        <v>6610</v>
      </c>
      <c r="D531" t="s">
        <v>6222</v>
      </c>
      <c r="E531" t="s">
        <v>6223</v>
      </c>
      <c r="F531" t="s">
        <v>6229</v>
      </c>
      <c r="G531" t="s">
        <v>6223</v>
      </c>
      <c r="H531" t="s">
        <v>51</v>
      </c>
      <c r="I531" t="s">
        <v>52</v>
      </c>
      <c r="J531" t="str">
        <f>"5203015"</f>
        <v>5203015</v>
      </c>
      <c r="K531">
        <v>2104666694</v>
      </c>
      <c r="L531">
        <v>2104666695</v>
      </c>
      <c r="M531" t="s">
        <v>6611</v>
      </c>
      <c r="N531" t="s">
        <v>6612</v>
      </c>
      <c r="O531" t="s">
        <v>6613</v>
      </c>
      <c r="P531">
        <v>18903</v>
      </c>
      <c r="Q531" t="str">
        <f>"37.970744"</f>
        <v>37.970744</v>
      </c>
      <c r="R531" t="str">
        <f>"23.462327"</f>
        <v>23.462327</v>
      </c>
      <c r="S531" t="s">
        <v>26</v>
      </c>
    </row>
    <row r="532" spans="1:19" x14ac:dyDescent="0.3">
      <c r="A532" t="s">
        <v>3237</v>
      </c>
      <c r="B532" t="s">
        <v>6192</v>
      </c>
      <c r="C532" t="s">
        <v>6615</v>
      </c>
      <c r="D532" t="s">
        <v>3275</v>
      </c>
      <c r="E532" t="s">
        <v>3303</v>
      </c>
      <c r="F532" t="s">
        <v>3303</v>
      </c>
      <c r="G532" t="s">
        <v>3303</v>
      </c>
      <c r="H532" t="s">
        <v>51</v>
      </c>
      <c r="I532" t="s">
        <v>52</v>
      </c>
      <c r="J532" t="str">
        <f>"0501936"</f>
        <v>0501936</v>
      </c>
      <c r="K532">
        <v>2104966540</v>
      </c>
      <c r="L532">
        <v>2104966540</v>
      </c>
      <c r="M532" t="s">
        <v>6616</v>
      </c>
      <c r="N532" t="s">
        <v>6249</v>
      </c>
      <c r="O532" t="s">
        <v>6479</v>
      </c>
      <c r="P532">
        <v>18122</v>
      </c>
      <c r="Q532" t="str">
        <f>"37.986479"</f>
        <v>37.986479</v>
      </c>
      <c r="R532" t="str">
        <f>"23.645019"</f>
        <v>23.645019</v>
      </c>
      <c r="S532" t="s">
        <v>26</v>
      </c>
    </row>
    <row r="533" spans="1:19" x14ac:dyDescent="0.3">
      <c r="A533" t="s">
        <v>3237</v>
      </c>
      <c r="B533" t="s">
        <v>6192</v>
      </c>
      <c r="C533" t="s">
        <v>6617</v>
      </c>
      <c r="D533" t="s">
        <v>3275</v>
      </c>
      <c r="E533" t="s">
        <v>6266</v>
      </c>
      <c r="F533" t="s">
        <v>5431</v>
      </c>
      <c r="G533" t="s">
        <v>5431</v>
      </c>
      <c r="H533" t="s">
        <v>51</v>
      </c>
      <c r="I533" t="s">
        <v>184</v>
      </c>
      <c r="J533" t="str">
        <f>"0501930"</f>
        <v>0501930</v>
      </c>
      <c r="K533">
        <v>2104919181</v>
      </c>
      <c r="L533">
        <v>2104919181</v>
      </c>
      <c r="M533" t="s">
        <v>6618</v>
      </c>
      <c r="N533" t="s">
        <v>5431</v>
      </c>
      <c r="O533" t="s">
        <v>6619</v>
      </c>
      <c r="P533">
        <v>18453</v>
      </c>
      <c r="Q533" t="str">
        <f>"37.972253"</f>
        <v>37.972253</v>
      </c>
      <c r="R533" t="str">
        <f>"23.646358"</f>
        <v>23.646358</v>
      </c>
      <c r="S533" t="s">
        <v>26</v>
      </c>
    </row>
    <row r="534" spans="1:19" x14ac:dyDescent="0.3">
      <c r="A534" t="s">
        <v>3237</v>
      </c>
      <c r="B534" t="s">
        <v>6192</v>
      </c>
      <c r="C534" t="s">
        <v>6621</v>
      </c>
      <c r="D534" t="s">
        <v>3275</v>
      </c>
      <c r="E534" t="s">
        <v>6203</v>
      </c>
      <c r="F534" t="s">
        <v>6203</v>
      </c>
      <c r="G534" t="s">
        <v>6203</v>
      </c>
      <c r="H534" t="s">
        <v>51</v>
      </c>
      <c r="I534" t="s">
        <v>184</v>
      </c>
      <c r="J534" t="str">
        <f>"0502945"</f>
        <v>0502945</v>
      </c>
      <c r="K534">
        <v>2104417280</v>
      </c>
      <c r="L534">
        <v>2104417280</v>
      </c>
      <c r="M534" t="s">
        <v>6622</v>
      </c>
      <c r="N534" t="s">
        <v>1291</v>
      </c>
      <c r="O534" t="s">
        <v>6623</v>
      </c>
      <c r="P534">
        <v>18863</v>
      </c>
      <c r="Q534" t="str">
        <f>"37.964926"</f>
        <v>37.964926</v>
      </c>
      <c r="R534" t="str">
        <f>"23.558038"</f>
        <v>23.558038</v>
      </c>
      <c r="S534" t="s">
        <v>26</v>
      </c>
    </row>
    <row r="535" spans="1:19" x14ac:dyDescent="0.3">
      <c r="A535" t="s">
        <v>3237</v>
      </c>
      <c r="B535" t="s">
        <v>6192</v>
      </c>
      <c r="C535" t="s">
        <v>6624</v>
      </c>
      <c r="D535" t="s">
        <v>3275</v>
      </c>
      <c r="E535" t="s">
        <v>6212</v>
      </c>
      <c r="F535" t="s">
        <v>6256</v>
      </c>
      <c r="G535" t="s">
        <v>6256</v>
      </c>
      <c r="H535" t="s">
        <v>51</v>
      </c>
      <c r="I535" t="s">
        <v>52</v>
      </c>
      <c r="J535" t="str">
        <f>"0501938"</f>
        <v>0501938</v>
      </c>
      <c r="K535">
        <v>2104004624</v>
      </c>
      <c r="L535">
        <v>2104004624</v>
      </c>
      <c r="M535" t="s">
        <v>6625</v>
      </c>
      <c r="N535" t="s">
        <v>6327</v>
      </c>
      <c r="O535" t="s">
        <v>6626</v>
      </c>
      <c r="P535">
        <v>18755</v>
      </c>
      <c r="Q535" t="str">
        <f>"37.949865"</f>
        <v>37.949865</v>
      </c>
      <c r="R535" t="str">
        <f>"23.616279"</f>
        <v>23.616279</v>
      </c>
      <c r="S535" t="s">
        <v>26</v>
      </c>
    </row>
    <row r="536" spans="1:19" x14ac:dyDescent="0.3">
      <c r="A536" t="s">
        <v>3237</v>
      </c>
      <c r="B536" t="s">
        <v>6192</v>
      </c>
      <c r="C536" t="s">
        <v>6628</v>
      </c>
      <c r="D536" t="s">
        <v>3275</v>
      </c>
      <c r="E536" t="s">
        <v>6212</v>
      </c>
      <c r="F536" t="s">
        <v>6256</v>
      </c>
      <c r="G536" t="s">
        <v>6256</v>
      </c>
      <c r="H536" t="s">
        <v>51</v>
      </c>
      <c r="I536" t="s">
        <v>52</v>
      </c>
      <c r="J536" t="str">
        <f>"0501933"</f>
        <v>0501933</v>
      </c>
      <c r="K536">
        <v>2104318111</v>
      </c>
      <c r="L536">
        <v>2104010277</v>
      </c>
      <c r="M536" t="s">
        <v>6629</v>
      </c>
      <c r="N536" t="s">
        <v>6327</v>
      </c>
      <c r="O536" t="s">
        <v>6630</v>
      </c>
      <c r="P536">
        <v>18757</v>
      </c>
      <c r="Q536" t="str">
        <f>"37.967795"</f>
        <v>37.967795</v>
      </c>
      <c r="R536" t="str">
        <f>"23.628149"</f>
        <v>23.628149</v>
      </c>
      <c r="S536" t="s">
        <v>26</v>
      </c>
    </row>
    <row r="537" spans="1:19" x14ac:dyDescent="0.3">
      <c r="A537" t="s">
        <v>3237</v>
      </c>
      <c r="B537" t="s">
        <v>6192</v>
      </c>
      <c r="C537" t="s">
        <v>6631</v>
      </c>
      <c r="D537" t="s">
        <v>3275</v>
      </c>
      <c r="E537" t="s">
        <v>6266</v>
      </c>
      <c r="F537" t="s">
        <v>5431</v>
      </c>
      <c r="G537" t="s">
        <v>5431</v>
      </c>
      <c r="H537" t="s">
        <v>51</v>
      </c>
      <c r="I537" t="s">
        <v>52</v>
      </c>
      <c r="J537" t="str">
        <f>"0501943"</f>
        <v>0501943</v>
      </c>
      <c r="K537">
        <v>2104930198</v>
      </c>
      <c r="L537">
        <v>2104907175</v>
      </c>
      <c r="M537" t="s">
        <v>6632</v>
      </c>
      <c r="N537" t="s">
        <v>6352</v>
      </c>
      <c r="O537" t="s">
        <v>6633</v>
      </c>
      <c r="P537">
        <v>18454</v>
      </c>
      <c r="Q537" t="str">
        <f>"37.973425"</f>
        <v>37.973425</v>
      </c>
      <c r="R537" t="str">
        <f>"23.664420"</f>
        <v>23.664420</v>
      </c>
      <c r="S537" t="s">
        <v>26</v>
      </c>
    </row>
    <row r="538" spans="1:19" x14ac:dyDescent="0.3">
      <c r="A538" t="s">
        <v>3237</v>
      </c>
      <c r="B538" t="s">
        <v>6192</v>
      </c>
      <c r="C538" t="s">
        <v>6634</v>
      </c>
      <c r="D538" t="s">
        <v>6222</v>
      </c>
      <c r="E538" t="s">
        <v>6432</v>
      </c>
      <c r="F538" t="s">
        <v>6432</v>
      </c>
      <c r="G538" t="s">
        <v>6432</v>
      </c>
      <c r="H538" t="s">
        <v>51</v>
      </c>
      <c r="I538" t="s">
        <v>52</v>
      </c>
      <c r="J538" t="str">
        <f>"5207010"</f>
        <v>5207010</v>
      </c>
      <c r="K538">
        <v>2298073815</v>
      </c>
      <c r="L538">
        <v>2298073815</v>
      </c>
      <c r="M538" t="s">
        <v>6635</v>
      </c>
      <c r="N538" t="s">
        <v>6432</v>
      </c>
      <c r="O538" t="s">
        <v>6435</v>
      </c>
      <c r="P538">
        <v>18050</v>
      </c>
      <c r="Q538" t="str">
        <f>"37.258708"</f>
        <v>37.258708</v>
      </c>
      <c r="R538" t="str">
        <f>"23.159913"</f>
        <v>23.159913</v>
      </c>
      <c r="S538" t="s">
        <v>26</v>
      </c>
    </row>
    <row r="539" spans="1:19" x14ac:dyDescent="0.3">
      <c r="A539" t="s">
        <v>3237</v>
      </c>
      <c r="B539" t="s">
        <v>6192</v>
      </c>
      <c r="C539" t="s">
        <v>6636</v>
      </c>
      <c r="D539" t="s">
        <v>3275</v>
      </c>
      <c r="E539" t="s">
        <v>6266</v>
      </c>
      <c r="F539" t="s">
        <v>5431</v>
      </c>
      <c r="G539" t="s">
        <v>5431</v>
      </c>
      <c r="H539" t="s">
        <v>51</v>
      </c>
      <c r="I539" t="s">
        <v>52</v>
      </c>
      <c r="J539" t="str">
        <f>"0501964"</f>
        <v>0501964</v>
      </c>
      <c r="K539">
        <v>2104925594</v>
      </c>
      <c r="L539">
        <v>2104923004</v>
      </c>
      <c r="M539" t="s">
        <v>6637</v>
      </c>
      <c r="N539" t="s">
        <v>6352</v>
      </c>
      <c r="O539" t="s">
        <v>6638</v>
      </c>
      <c r="P539">
        <v>18451</v>
      </c>
      <c r="Q539" t="str">
        <f>"37.975501"</f>
        <v>37.975501</v>
      </c>
      <c r="R539" t="str">
        <f>"23.633126"</f>
        <v>23.633126</v>
      </c>
      <c r="S539" t="s">
        <v>26</v>
      </c>
    </row>
    <row r="540" spans="1:19" x14ac:dyDescent="0.3">
      <c r="A540" t="s">
        <v>3237</v>
      </c>
      <c r="B540" t="s">
        <v>6192</v>
      </c>
      <c r="C540" t="s">
        <v>6644</v>
      </c>
      <c r="D540" t="s">
        <v>3275</v>
      </c>
      <c r="E540" t="s">
        <v>6266</v>
      </c>
      <c r="F540" t="s">
        <v>5431</v>
      </c>
      <c r="G540" t="s">
        <v>5431</v>
      </c>
      <c r="H540" t="s">
        <v>51</v>
      </c>
      <c r="I540" t="s">
        <v>52</v>
      </c>
      <c r="J540" t="str">
        <f>"0501965"</f>
        <v>0501965</v>
      </c>
      <c r="K540">
        <v>2104953941</v>
      </c>
      <c r="L540">
        <v>2104956915</v>
      </c>
      <c r="M540" t="s">
        <v>6645</v>
      </c>
      <c r="N540" t="s">
        <v>6352</v>
      </c>
      <c r="O540" t="s">
        <v>6646</v>
      </c>
      <c r="P540">
        <v>18454</v>
      </c>
      <c r="Q540" t="str">
        <f>"37.972547"</f>
        <v>37.972547</v>
      </c>
      <c r="R540" t="str">
        <f>"23.658843"</f>
        <v>23.658843</v>
      </c>
      <c r="S540" t="s">
        <v>26</v>
      </c>
    </row>
    <row r="541" spans="1:19" x14ac:dyDescent="0.3">
      <c r="A541" t="s">
        <v>3237</v>
      </c>
      <c r="B541" t="s">
        <v>6192</v>
      </c>
      <c r="C541" t="s">
        <v>6647</v>
      </c>
      <c r="D541" t="s">
        <v>3275</v>
      </c>
      <c r="E541" t="s">
        <v>3275</v>
      </c>
      <c r="F541" t="s">
        <v>3275</v>
      </c>
      <c r="G541" t="s">
        <v>6193</v>
      </c>
      <c r="H541" t="s">
        <v>51</v>
      </c>
      <c r="I541" t="s">
        <v>52</v>
      </c>
      <c r="J541" t="str">
        <f>"0501918"</f>
        <v>0501918</v>
      </c>
      <c r="K541">
        <v>2104617333</v>
      </c>
      <c r="L541">
        <v>2104634353</v>
      </c>
      <c r="M541" t="s">
        <v>6648</v>
      </c>
      <c r="N541" t="s">
        <v>3279</v>
      </c>
      <c r="O541" t="s">
        <v>6649</v>
      </c>
      <c r="P541">
        <v>18546</v>
      </c>
      <c r="Q541" t="str">
        <f>"37.957476"</f>
        <v>37.957476</v>
      </c>
      <c r="R541" t="str">
        <f>"23.631255"</f>
        <v>23.631255</v>
      </c>
      <c r="S541" t="s">
        <v>26</v>
      </c>
    </row>
    <row r="542" spans="1:19" x14ac:dyDescent="0.3">
      <c r="A542" t="s">
        <v>3237</v>
      </c>
      <c r="B542" t="s">
        <v>6192</v>
      </c>
      <c r="C542" t="s">
        <v>6650</v>
      </c>
      <c r="D542" t="s">
        <v>3275</v>
      </c>
      <c r="E542" t="s">
        <v>6203</v>
      </c>
      <c r="F542" t="s">
        <v>6203</v>
      </c>
      <c r="G542" t="s">
        <v>6203</v>
      </c>
      <c r="H542" t="s">
        <v>51</v>
      </c>
      <c r="I542" t="s">
        <v>52</v>
      </c>
      <c r="J542" t="str">
        <f>"0501951"</f>
        <v>0501951</v>
      </c>
      <c r="K542">
        <v>2104022555</v>
      </c>
      <c r="L542">
        <v>2104022555</v>
      </c>
      <c r="M542" t="s">
        <v>6651</v>
      </c>
      <c r="N542" t="s">
        <v>1291</v>
      </c>
      <c r="O542" t="s">
        <v>6652</v>
      </c>
      <c r="P542">
        <v>18863</v>
      </c>
      <c r="Q542" t="str">
        <f>"37.963155"</f>
        <v>37.963155</v>
      </c>
      <c r="R542" t="str">
        <f>"23.597455"</f>
        <v>23.597455</v>
      </c>
      <c r="S542" t="s">
        <v>26</v>
      </c>
    </row>
    <row r="543" spans="1:19" x14ac:dyDescent="0.3">
      <c r="A543" t="s">
        <v>3237</v>
      </c>
      <c r="B543" t="s">
        <v>6192</v>
      </c>
      <c r="C543" t="s">
        <v>6653</v>
      </c>
      <c r="D543" t="s">
        <v>3275</v>
      </c>
      <c r="E543" t="s">
        <v>6212</v>
      </c>
      <c r="F543" t="s">
        <v>6213</v>
      </c>
      <c r="G543" t="s">
        <v>6213</v>
      </c>
      <c r="H543" t="s">
        <v>51</v>
      </c>
      <c r="I543" t="s">
        <v>52</v>
      </c>
      <c r="J543" t="str">
        <f>"0501924"</f>
        <v>0501924</v>
      </c>
      <c r="K543">
        <v>2104613686</v>
      </c>
      <c r="L543">
        <v>2104614846</v>
      </c>
      <c r="M543" t="s">
        <v>6654</v>
      </c>
      <c r="N543" t="s">
        <v>6216</v>
      </c>
      <c r="O543" t="s">
        <v>6655</v>
      </c>
      <c r="P543">
        <v>18648</v>
      </c>
      <c r="Q543" t="str">
        <f>"37.951109"</f>
        <v>37.951109</v>
      </c>
      <c r="R543" t="str">
        <f>"23.627465"</f>
        <v>23.627465</v>
      </c>
      <c r="S543" t="s">
        <v>26</v>
      </c>
    </row>
    <row r="544" spans="1:19" x14ac:dyDescent="0.3">
      <c r="A544" t="s">
        <v>3237</v>
      </c>
      <c r="B544" t="s">
        <v>6192</v>
      </c>
      <c r="C544" t="s">
        <v>6659</v>
      </c>
      <c r="D544" t="s">
        <v>6222</v>
      </c>
      <c r="E544" t="s">
        <v>6223</v>
      </c>
      <c r="F544" t="s">
        <v>6229</v>
      </c>
      <c r="G544" t="s">
        <v>6223</v>
      </c>
      <c r="H544" t="s">
        <v>51</v>
      </c>
      <c r="I544" t="s">
        <v>52</v>
      </c>
      <c r="J544" t="str">
        <f>"5203012"</f>
        <v>5203012</v>
      </c>
      <c r="K544">
        <v>2104658881</v>
      </c>
      <c r="L544">
        <v>2104658881</v>
      </c>
      <c r="M544" t="s">
        <v>6660</v>
      </c>
      <c r="N544" t="s">
        <v>6389</v>
      </c>
      <c r="O544" t="s">
        <v>6661</v>
      </c>
      <c r="P544">
        <v>18900</v>
      </c>
      <c r="Q544" t="str">
        <f>"37.968270"</f>
        <v>37.968270</v>
      </c>
      <c r="R544" t="str">
        <f>"23.501807"</f>
        <v>23.501807</v>
      </c>
      <c r="S544" t="s">
        <v>26</v>
      </c>
    </row>
    <row r="545" spans="1:19" x14ac:dyDescent="0.3">
      <c r="A545" t="s">
        <v>3237</v>
      </c>
      <c r="B545" t="s">
        <v>6192</v>
      </c>
      <c r="C545" t="s">
        <v>6662</v>
      </c>
      <c r="D545" t="s">
        <v>3275</v>
      </c>
      <c r="E545" t="s">
        <v>3275</v>
      </c>
      <c r="F545" t="s">
        <v>3275</v>
      </c>
      <c r="G545" t="s">
        <v>6193</v>
      </c>
      <c r="H545" t="s">
        <v>51</v>
      </c>
      <c r="I545" t="s">
        <v>52</v>
      </c>
      <c r="J545" t="str">
        <f>"0501919"</f>
        <v>0501919</v>
      </c>
      <c r="K545">
        <v>2104623051</v>
      </c>
      <c r="L545">
        <v>2104623051</v>
      </c>
      <c r="M545" t="s">
        <v>6663</v>
      </c>
      <c r="N545" t="s">
        <v>3279</v>
      </c>
      <c r="O545" t="s">
        <v>6664</v>
      </c>
      <c r="P545">
        <v>18544</v>
      </c>
      <c r="Q545" t="str">
        <f>"37.958981"</f>
        <v>37.958981</v>
      </c>
      <c r="R545" t="str">
        <f>"23.637326"</f>
        <v>23.637326</v>
      </c>
      <c r="S545" t="s">
        <v>26</v>
      </c>
    </row>
    <row r="546" spans="1:19" x14ac:dyDescent="0.3">
      <c r="A546" t="s">
        <v>3237</v>
      </c>
      <c r="B546" t="s">
        <v>6192</v>
      </c>
      <c r="C546" t="s">
        <v>6666</v>
      </c>
      <c r="D546" t="s">
        <v>3275</v>
      </c>
      <c r="E546" t="s">
        <v>6266</v>
      </c>
      <c r="F546" t="s">
        <v>5431</v>
      </c>
      <c r="G546" t="s">
        <v>5431</v>
      </c>
      <c r="H546" t="s">
        <v>51</v>
      </c>
      <c r="I546" t="s">
        <v>52</v>
      </c>
      <c r="J546" t="str">
        <f>"0501927"</f>
        <v>0501927</v>
      </c>
      <c r="K546">
        <v>2104922385</v>
      </c>
      <c r="L546">
        <v>2104922385</v>
      </c>
      <c r="M546" t="s">
        <v>6667</v>
      </c>
      <c r="N546" t="s">
        <v>6352</v>
      </c>
      <c r="O546" t="s">
        <v>6375</v>
      </c>
      <c r="P546">
        <v>18451</v>
      </c>
      <c r="Q546" t="str">
        <f>"37.953415"</f>
        <v>37.953415</v>
      </c>
      <c r="R546" t="str">
        <f>"23.659515"</f>
        <v>23.659515</v>
      </c>
      <c r="S546" t="s">
        <v>26</v>
      </c>
    </row>
    <row r="547" spans="1:19" x14ac:dyDescent="0.3">
      <c r="A547" t="s">
        <v>3237</v>
      </c>
      <c r="B547" t="s">
        <v>6192</v>
      </c>
      <c r="C547" t="s">
        <v>6671</v>
      </c>
      <c r="D547" t="s">
        <v>3275</v>
      </c>
      <c r="E547" t="s">
        <v>3275</v>
      </c>
      <c r="F547" t="s">
        <v>3275</v>
      </c>
      <c r="G547" t="s">
        <v>3276</v>
      </c>
      <c r="H547" t="s">
        <v>51</v>
      </c>
      <c r="I547" t="s">
        <v>52</v>
      </c>
      <c r="J547" t="str">
        <f>"0501955"</f>
        <v>0501955</v>
      </c>
      <c r="K547">
        <v>2104526607</v>
      </c>
      <c r="L547">
        <v>2104526020</v>
      </c>
      <c r="M547" t="s">
        <v>6672</v>
      </c>
      <c r="N547" t="s">
        <v>6673</v>
      </c>
      <c r="O547" t="s">
        <v>6674</v>
      </c>
      <c r="P547">
        <v>18539</v>
      </c>
      <c r="Q547" t="str">
        <f>"37.927412"</f>
        <v>37.927412</v>
      </c>
      <c r="R547" t="str">
        <f>"23.633901"</f>
        <v>23.633901</v>
      </c>
      <c r="S547" t="s">
        <v>26</v>
      </c>
    </row>
    <row r="548" spans="1:19" x14ac:dyDescent="0.3">
      <c r="A548" t="s">
        <v>3237</v>
      </c>
      <c r="B548" t="s">
        <v>6192</v>
      </c>
      <c r="C548" t="s">
        <v>6691</v>
      </c>
      <c r="D548" t="s">
        <v>3275</v>
      </c>
      <c r="E548" t="s">
        <v>3275</v>
      </c>
      <c r="F548" t="s">
        <v>3275</v>
      </c>
      <c r="G548" t="s">
        <v>6261</v>
      </c>
      <c r="H548" t="s">
        <v>51</v>
      </c>
      <c r="I548" t="s">
        <v>52</v>
      </c>
      <c r="J548" t="str">
        <f>"0501937"</f>
        <v>0501937</v>
      </c>
      <c r="K548">
        <v>2104827678</v>
      </c>
      <c r="L548">
        <v>2104827677</v>
      </c>
      <c r="M548" t="s">
        <v>6692</v>
      </c>
      <c r="N548" t="s">
        <v>3279</v>
      </c>
      <c r="O548" t="s">
        <v>6693</v>
      </c>
      <c r="P548">
        <v>18541</v>
      </c>
      <c r="Q548" t="str">
        <f>"37.951090"</f>
        <v>37.951090</v>
      </c>
      <c r="R548" t="str">
        <f>"23.656558"</f>
        <v>23.656558</v>
      </c>
      <c r="S548" t="s">
        <v>26</v>
      </c>
    </row>
    <row r="549" spans="1:19" x14ac:dyDescent="0.3">
      <c r="A549" t="s">
        <v>3237</v>
      </c>
      <c r="B549" t="s">
        <v>6192</v>
      </c>
      <c r="C549" t="s">
        <v>6695</v>
      </c>
      <c r="D549" t="s">
        <v>3275</v>
      </c>
      <c r="E549" t="s">
        <v>6203</v>
      </c>
      <c r="F549" t="s">
        <v>6203</v>
      </c>
      <c r="G549" t="s">
        <v>6203</v>
      </c>
      <c r="H549" t="s">
        <v>51</v>
      </c>
      <c r="I549" t="s">
        <v>52</v>
      </c>
      <c r="J549" t="str">
        <f>"0501949"</f>
        <v>0501949</v>
      </c>
      <c r="K549">
        <v>2104415555</v>
      </c>
      <c r="L549">
        <v>2104415555</v>
      </c>
      <c r="M549" t="s">
        <v>6696</v>
      </c>
      <c r="N549" t="s">
        <v>1291</v>
      </c>
      <c r="O549" t="s">
        <v>6697</v>
      </c>
      <c r="P549">
        <v>18863</v>
      </c>
      <c r="Q549" t="str">
        <f>"37.964824"</f>
        <v>37.964824</v>
      </c>
      <c r="R549" t="str">
        <f>"23.578150"</f>
        <v>23.578150</v>
      </c>
      <c r="S549" t="s">
        <v>26</v>
      </c>
    </row>
    <row r="550" spans="1:19" x14ac:dyDescent="0.3">
      <c r="A550" t="s">
        <v>3237</v>
      </c>
      <c r="B550" t="s">
        <v>6192</v>
      </c>
      <c r="C550" t="s">
        <v>6704</v>
      </c>
      <c r="D550" t="s">
        <v>6222</v>
      </c>
      <c r="E550" t="s">
        <v>6280</v>
      </c>
      <c r="F550" t="s">
        <v>6280</v>
      </c>
      <c r="G550" t="s">
        <v>6703</v>
      </c>
      <c r="H550" t="s">
        <v>51</v>
      </c>
      <c r="I550" t="s">
        <v>52</v>
      </c>
      <c r="J550" t="str">
        <f>"5204022"</f>
        <v>5204022</v>
      </c>
      <c r="K550">
        <v>2297071744</v>
      </c>
      <c r="L550">
        <v>2297071844</v>
      </c>
      <c r="M550" t="s">
        <v>6705</v>
      </c>
      <c r="N550" t="s">
        <v>6706</v>
      </c>
      <c r="O550" t="s">
        <v>6707</v>
      </c>
      <c r="P550">
        <v>18010</v>
      </c>
      <c r="Q550" t="str">
        <f>"37.757844"</f>
        <v>37.757844</v>
      </c>
      <c r="R550" t="str">
        <f>"23.521211"</f>
        <v>23.521211</v>
      </c>
      <c r="S550" t="s">
        <v>26</v>
      </c>
    </row>
    <row r="551" spans="1:19" x14ac:dyDescent="0.3">
      <c r="A551" t="s">
        <v>3237</v>
      </c>
      <c r="B551" t="s">
        <v>6192</v>
      </c>
      <c r="C551" t="s">
        <v>6709</v>
      </c>
      <c r="D551" t="s">
        <v>6222</v>
      </c>
      <c r="E551" t="s">
        <v>6231</v>
      </c>
      <c r="F551" t="s">
        <v>6238</v>
      </c>
      <c r="G551" t="s">
        <v>6337</v>
      </c>
      <c r="H551" t="s">
        <v>51</v>
      </c>
      <c r="I551" t="s">
        <v>4556</v>
      </c>
      <c r="J551" t="str">
        <f>"5202035"</f>
        <v>5202035</v>
      </c>
      <c r="K551">
        <v>2298042780</v>
      </c>
      <c r="L551">
        <v>2298042780</v>
      </c>
      <c r="M551" t="s">
        <v>6710</v>
      </c>
      <c r="N551" t="s">
        <v>6711</v>
      </c>
      <c r="O551" t="s">
        <v>6242</v>
      </c>
      <c r="P551">
        <v>18020</v>
      </c>
      <c r="Q551" t="str">
        <f>"37.497646"</f>
        <v>37.497646</v>
      </c>
      <c r="R551" t="str">
        <f>"23.437506"</f>
        <v>23.437506</v>
      </c>
      <c r="S551" t="s">
        <v>26</v>
      </c>
    </row>
    <row r="552" spans="1:19" x14ac:dyDescent="0.3">
      <c r="A552" t="s">
        <v>3237</v>
      </c>
      <c r="B552" t="s">
        <v>6192</v>
      </c>
      <c r="C552" t="s">
        <v>6712</v>
      </c>
      <c r="D552" t="s">
        <v>3275</v>
      </c>
      <c r="E552" t="s">
        <v>3275</v>
      </c>
      <c r="F552" t="s">
        <v>3275</v>
      </c>
      <c r="G552" t="s">
        <v>6382</v>
      </c>
      <c r="H552" t="s">
        <v>51</v>
      </c>
      <c r="I552" t="s">
        <v>52</v>
      </c>
      <c r="J552" t="str">
        <f>"0501909"</f>
        <v>0501909</v>
      </c>
      <c r="K552">
        <v>2104174561</v>
      </c>
      <c r="L552">
        <v>2104175603</v>
      </c>
      <c r="M552" t="s">
        <v>6713</v>
      </c>
      <c r="N552" t="s">
        <v>3279</v>
      </c>
      <c r="O552" t="s">
        <v>6714</v>
      </c>
      <c r="P552">
        <v>18533</v>
      </c>
      <c r="Q552" t="str">
        <f>"37.944787"</f>
        <v>37.944787</v>
      </c>
      <c r="R552" t="str">
        <f>"23.659553"</f>
        <v>23.659553</v>
      </c>
      <c r="S552" t="s">
        <v>26</v>
      </c>
    </row>
    <row r="553" spans="1:19" x14ac:dyDescent="0.3">
      <c r="A553" t="s">
        <v>3237</v>
      </c>
      <c r="B553" t="s">
        <v>6192</v>
      </c>
      <c r="C553" t="s">
        <v>6723</v>
      </c>
      <c r="D553" t="s">
        <v>3275</v>
      </c>
      <c r="E553" t="s">
        <v>3275</v>
      </c>
      <c r="F553" t="s">
        <v>3275</v>
      </c>
      <c r="G553" t="s">
        <v>6261</v>
      </c>
      <c r="H553" t="s">
        <v>51</v>
      </c>
      <c r="I553" t="s">
        <v>199</v>
      </c>
      <c r="J553" t="str">
        <f>"2990094"</f>
        <v>2990094</v>
      </c>
      <c r="K553">
        <v>2104200611</v>
      </c>
      <c r="L553">
        <v>2104200611</v>
      </c>
      <c r="M553" t="s">
        <v>6724</v>
      </c>
      <c r="N553" t="s">
        <v>3279</v>
      </c>
      <c r="O553" t="s">
        <v>6722</v>
      </c>
      <c r="P553">
        <v>18542</v>
      </c>
      <c r="Q553" t="str">
        <f>"37.961808"</f>
        <v>37.961808</v>
      </c>
      <c r="R553" t="str">
        <f>"23.647849"</f>
        <v>23.647849</v>
      </c>
      <c r="S553" t="s">
        <v>26</v>
      </c>
    </row>
    <row r="554" spans="1:19" x14ac:dyDescent="0.3">
      <c r="A554" t="s">
        <v>3237</v>
      </c>
      <c r="B554" t="s">
        <v>6192</v>
      </c>
      <c r="C554" t="s">
        <v>6731</v>
      </c>
      <c r="D554" t="s">
        <v>3275</v>
      </c>
      <c r="E554" t="s">
        <v>6212</v>
      </c>
      <c r="F554" t="s">
        <v>6256</v>
      </c>
      <c r="G554" t="s">
        <v>6256</v>
      </c>
      <c r="H554" t="s">
        <v>51</v>
      </c>
      <c r="I554" t="s">
        <v>199</v>
      </c>
      <c r="J554" t="str">
        <f>"0558002"</f>
        <v>0558002</v>
      </c>
      <c r="K554">
        <v>2104319538</v>
      </c>
      <c r="L554">
        <v>4319538</v>
      </c>
      <c r="M554" t="s">
        <v>6732</v>
      </c>
      <c r="N554" t="s">
        <v>6327</v>
      </c>
      <c r="O554" t="s">
        <v>6260</v>
      </c>
      <c r="P554">
        <v>18756</v>
      </c>
      <c r="Q554" t="str">
        <f>"37.968249"</f>
        <v>37.968249</v>
      </c>
      <c r="R554" t="str">
        <f>"23.610046"</f>
        <v>23.610046</v>
      </c>
      <c r="S554" t="s">
        <v>26</v>
      </c>
    </row>
    <row r="555" spans="1:19" x14ac:dyDescent="0.3">
      <c r="A555" t="s">
        <v>3237</v>
      </c>
      <c r="B555" t="s">
        <v>6192</v>
      </c>
      <c r="C555" t="s">
        <v>6733</v>
      </c>
      <c r="D555" t="s">
        <v>3275</v>
      </c>
      <c r="E555" t="s">
        <v>6212</v>
      </c>
      <c r="F555" t="s">
        <v>6256</v>
      </c>
      <c r="G555" t="s">
        <v>6256</v>
      </c>
      <c r="H555" t="s">
        <v>51</v>
      </c>
      <c r="I555" t="s">
        <v>4194</v>
      </c>
      <c r="J555" t="str">
        <f>"0540002"</f>
        <v>0540002</v>
      </c>
      <c r="K555">
        <v>2104613060</v>
      </c>
      <c r="M555" t="s">
        <v>6734</v>
      </c>
      <c r="N555" t="s">
        <v>6327</v>
      </c>
      <c r="O555" t="s">
        <v>6735</v>
      </c>
      <c r="P555">
        <v>18755</v>
      </c>
      <c r="Q555" t="str">
        <f>"37.952332"</f>
        <v>37.952332</v>
      </c>
      <c r="R555" t="str">
        <f>"23.626221"</f>
        <v>23.626221</v>
      </c>
      <c r="S555" t="s">
        <v>26</v>
      </c>
    </row>
    <row r="556" spans="1:19" x14ac:dyDescent="0.3">
      <c r="A556" t="s">
        <v>12435</v>
      </c>
      <c r="B556" t="s">
        <v>12460</v>
      </c>
      <c r="C556" t="s">
        <v>12461</v>
      </c>
      <c r="D556" t="s">
        <v>12436</v>
      </c>
      <c r="E556" t="s">
        <v>12437</v>
      </c>
      <c r="F556" t="s">
        <v>12437</v>
      </c>
      <c r="G556" t="s">
        <v>12437</v>
      </c>
      <c r="H556" t="s">
        <v>51</v>
      </c>
      <c r="I556" t="s">
        <v>52</v>
      </c>
      <c r="J556" t="str">
        <f>"3301020"</f>
        <v>3301020</v>
      </c>
      <c r="K556">
        <v>2251022338</v>
      </c>
      <c r="L556">
        <v>2251022350</v>
      </c>
      <c r="M556" t="s">
        <v>12462</v>
      </c>
      <c r="N556" t="s">
        <v>12440</v>
      </c>
      <c r="O556" t="s">
        <v>12463</v>
      </c>
      <c r="P556">
        <v>81100</v>
      </c>
      <c r="Q556" t="str">
        <f>"39.107549"</f>
        <v>39.107549</v>
      </c>
      <c r="R556" t="str">
        <f>"26.555899"</f>
        <v>26.555899</v>
      </c>
      <c r="S556" t="s">
        <v>26</v>
      </c>
    </row>
    <row r="557" spans="1:19" x14ac:dyDescent="0.3">
      <c r="A557" t="s">
        <v>12435</v>
      </c>
      <c r="B557" t="s">
        <v>12460</v>
      </c>
      <c r="C557" t="s">
        <v>12480</v>
      </c>
      <c r="D557" t="s">
        <v>12453</v>
      </c>
      <c r="E557" t="s">
        <v>12453</v>
      </c>
      <c r="F557" t="s">
        <v>12454</v>
      </c>
      <c r="G557" t="s">
        <v>12455</v>
      </c>
      <c r="H557" t="s">
        <v>51</v>
      </c>
      <c r="I557" t="s">
        <v>4556</v>
      </c>
      <c r="J557" t="str">
        <f>"3313017"</f>
        <v>3313017</v>
      </c>
      <c r="K557">
        <v>2254111032</v>
      </c>
      <c r="L557">
        <v>2254111032</v>
      </c>
      <c r="M557" t="s">
        <v>12481</v>
      </c>
      <c r="N557" t="s">
        <v>12482</v>
      </c>
      <c r="O557" t="s">
        <v>12483</v>
      </c>
      <c r="P557">
        <v>81400</v>
      </c>
      <c r="Q557" t="str">
        <f>"39.878055"</f>
        <v>39.878055</v>
      </c>
      <c r="R557" t="str">
        <f>"25.064247"</f>
        <v>25.064247</v>
      </c>
      <c r="S557" t="s">
        <v>57</v>
      </c>
    </row>
    <row r="558" spans="1:19" x14ac:dyDescent="0.3">
      <c r="A558" t="s">
        <v>12435</v>
      </c>
      <c r="B558" t="s">
        <v>12460</v>
      </c>
      <c r="C558" t="s">
        <v>12495</v>
      </c>
      <c r="D558" t="s">
        <v>12453</v>
      </c>
      <c r="E558" t="s">
        <v>12494</v>
      </c>
      <c r="F558" t="s">
        <v>12494</v>
      </c>
      <c r="G558" t="s">
        <v>12494</v>
      </c>
      <c r="H558" t="s">
        <v>51</v>
      </c>
      <c r="I558" t="s">
        <v>89</v>
      </c>
      <c r="J558" t="str">
        <f>"3313016"</f>
        <v>3313016</v>
      </c>
      <c r="K558">
        <v>2254093208</v>
      </c>
      <c r="L558">
        <v>2254093412</v>
      </c>
      <c r="M558" t="s">
        <v>12496</v>
      </c>
      <c r="N558" t="s">
        <v>12497</v>
      </c>
      <c r="O558" t="s">
        <v>12498</v>
      </c>
      <c r="P558">
        <v>81500</v>
      </c>
      <c r="Q558" t="str">
        <f>"39.539074"</f>
        <v>39.539074</v>
      </c>
      <c r="R558" t="str">
        <f>"24.990620"</f>
        <v>24.990620</v>
      </c>
      <c r="S558" t="s">
        <v>57</v>
      </c>
    </row>
    <row r="559" spans="1:19" x14ac:dyDescent="0.3">
      <c r="A559" t="s">
        <v>12435</v>
      </c>
      <c r="B559" t="s">
        <v>12460</v>
      </c>
      <c r="C559" t="s">
        <v>12581</v>
      </c>
      <c r="D559" t="s">
        <v>12436</v>
      </c>
      <c r="E559" t="s">
        <v>12437</v>
      </c>
      <c r="F559" t="s">
        <v>12579</v>
      </c>
      <c r="G559" t="s">
        <v>12580</v>
      </c>
      <c r="H559" t="s">
        <v>51</v>
      </c>
      <c r="I559" t="s">
        <v>52</v>
      </c>
      <c r="J559" t="str">
        <f>"3309060"</f>
        <v>3309060</v>
      </c>
      <c r="K559">
        <v>2251093244</v>
      </c>
      <c r="L559">
        <v>2251093244</v>
      </c>
      <c r="M559" t="s">
        <v>12582</v>
      </c>
      <c r="N559" t="s">
        <v>12583</v>
      </c>
      <c r="O559" t="s">
        <v>12584</v>
      </c>
      <c r="P559">
        <v>81101</v>
      </c>
      <c r="Q559" t="str">
        <f>"39.118150"</f>
        <v>39.118150</v>
      </c>
      <c r="R559" t="str">
        <f>"26.411794"</f>
        <v>26.411794</v>
      </c>
      <c r="S559" t="s">
        <v>26</v>
      </c>
    </row>
    <row r="560" spans="1:19" x14ac:dyDescent="0.3">
      <c r="A560" t="s">
        <v>12435</v>
      </c>
      <c r="B560" t="s">
        <v>12460</v>
      </c>
      <c r="C560" t="s">
        <v>12587</v>
      </c>
      <c r="D560" t="s">
        <v>12436</v>
      </c>
      <c r="E560" t="s">
        <v>12437</v>
      </c>
      <c r="F560" t="s">
        <v>12437</v>
      </c>
      <c r="G560" t="s">
        <v>12586</v>
      </c>
      <c r="H560" t="s">
        <v>51</v>
      </c>
      <c r="I560" t="s">
        <v>52</v>
      </c>
      <c r="J560" t="str">
        <f>"3309050"</f>
        <v>3309050</v>
      </c>
      <c r="K560">
        <v>2251031779</v>
      </c>
      <c r="L560">
        <v>2251031779</v>
      </c>
      <c r="M560" t="s">
        <v>12588</v>
      </c>
      <c r="N560" t="s">
        <v>12589</v>
      </c>
      <c r="O560" t="s">
        <v>12590</v>
      </c>
      <c r="P560">
        <v>81100</v>
      </c>
      <c r="Q560" t="str">
        <f>"39.131321"</f>
        <v>39.131321</v>
      </c>
      <c r="R560" t="str">
        <f>"26.517277"</f>
        <v>26.517277</v>
      </c>
      <c r="S560" t="s">
        <v>26</v>
      </c>
    </row>
    <row r="561" spans="1:19" x14ac:dyDescent="0.3">
      <c r="A561" t="s">
        <v>12435</v>
      </c>
      <c r="B561" t="s">
        <v>12460</v>
      </c>
      <c r="C561" t="s">
        <v>12593</v>
      </c>
      <c r="D561" t="s">
        <v>12436</v>
      </c>
      <c r="E561" t="s">
        <v>12437</v>
      </c>
      <c r="F561" t="s">
        <v>12437</v>
      </c>
      <c r="G561" t="s">
        <v>12592</v>
      </c>
      <c r="H561" t="s">
        <v>51</v>
      </c>
      <c r="I561" t="s">
        <v>52</v>
      </c>
      <c r="J561" t="str">
        <f>"3309010"</f>
        <v>3309010</v>
      </c>
      <c r="K561">
        <v>2251031257</v>
      </c>
      <c r="L561">
        <v>2251032127</v>
      </c>
      <c r="M561" t="s">
        <v>12594</v>
      </c>
      <c r="N561" t="s">
        <v>12595</v>
      </c>
      <c r="O561" t="s">
        <v>12491</v>
      </c>
      <c r="P561">
        <v>81100</v>
      </c>
      <c r="Q561" t="str">
        <f>"39.162029"</f>
        <v>39.162029</v>
      </c>
      <c r="R561" t="str">
        <f>"26.532427"</f>
        <v>26.532427</v>
      </c>
      <c r="S561" t="s">
        <v>26</v>
      </c>
    </row>
    <row r="562" spans="1:19" x14ac:dyDescent="0.3">
      <c r="A562" t="s">
        <v>12435</v>
      </c>
      <c r="B562" t="s">
        <v>12460</v>
      </c>
      <c r="C562" t="s">
        <v>12598</v>
      </c>
      <c r="D562" t="s">
        <v>12453</v>
      </c>
      <c r="E562" t="s">
        <v>12453</v>
      </c>
      <c r="F562" t="s">
        <v>12454</v>
      </c>
      <c r="G562" t="s">
        <v>12455</v>
      </c>
      <c r="H562" t="s">
        <v>51</v>
      </c>
      <c r="I562" t="s">
        <v>52</v>
      </c>
      <c r="J562" t="str">
        <f>"3303010"</f>
        <v>3303010</v>
      </c>
      <c r="K562">
        <v>2254022217</v>
      </c>
      <c r="L562">
        <v>2254029217</v>
      </c>
      <c r="M562" t="s">
        <v>12599</v>
      </c>
      <c r="N562" t="s">
        <v>12563</v>
      </c>
      <c r="O562" t="s">
        <v>12600</v>
      </c>
      <c r="P562">
        <v>81400</v>
      </c>
      <c r="Q562" t="str">
        <f>"39.880180"</f>
        <v>39.880180</v>
      </c>
      <c r="R562" t="str">
        <f>"25.062836"</f>
        <v>25.062836</v>
      </c>
      <c r="S562" t="s">
        <v>57</v>
      </c>
    </row>
    <row r="563" spans="1:19" x14ac:dyDescent="0.3">
      <c r="A563" t="s">
        <v>12435</v>
      </c>
      <c r="B563" t="s">
        <v>12460</v>
      </c>
      <c r="C563" t="s">
        <v>12601</v>
      </c>
      <c r="D563" t="s">
        <v>12436</v>
      </c>
      <c r="E563" t="s">
        <v>12465</v>
      </c>
      <c r="F563" t="s">
        <v>11983</v>
      </c>
      <c r="G563" t="s">
        <v>11983</v>
      </c>
      <c r="H563" t="s">
        <v>51</v>
      </c>
      <c r="I563" t="s">
        <v>52</v>
      </c>
      <c r="J563" t="str">
        <f>"3302010"</f>
        <v>3302010</v>
      </c>
      <c r="K563">
        <v>2253022257</v>
      </c>
      <c r="L563">
        <v>2253023822</v>
      </c>
      <c r="M563" t="s">
        <v>12602</v>
      </c>
      <c r="N563" t="s">
        <v>12568</v>
      </c>
      <c r="O563" t="s">
        <v>12568</v>
      </c>
      <c r="P563">
        <v>81107</v>
      </c>
      <c r="Q563" t="str">
        <f>"39.233118"</f>
        <v>39.233118</v>
      </c>
      <c r="R563" t="str">
        <f>"26.207230"</f>
        <v>26.207230</v>
      </c>
      <c r="S563" t="s">
        <v>26</v>
      </c>
    </row>
    <row r="564" spans="1:19" x14ac:dyDescent="0.3">
      <c r="A564" t="s">
        <v>12435</v>
      </c>
      <c r="B564" t="s">
        <v>12460</v>
      </c>
      <c r="C564" t="s">
        <v>12603</v>
      </c>
      <c r="D564" t="s">
        <v>12436</v>
      </c>
      <c r="E564" t="s">
        <v>12465</v>
      </c>
      <c r="F564" t="s">
        <v>12551</v>
      </c>
      <c r="G564" t="s">
        <v>12551</v>
      </c>
      <c r="H564" t="s">
        <v>51</v>
      </c>
      <c r="I564" t="s">
        <v>52</v>
      </c>
      <c r="J564" t="str">
        <f>"3307010"</f>
        <v>3307010</v>
      </c>
      <c r="K564">
        <v>2252041228</v>
      </c>
      <c r="L564">
        <v>2252041228</v>
      </c>
      <c r="M564" t="s">
        <v>12604</v>
      </c>
      <c r="N564" t="s">
        <v>12605</v>
      </c>
      <c r="O564" t="s">
        <v>12554</v>
      </c>
      <c r="P564">
        <v>81300</v>
      </c>
      <c r="Q564" t="str">
        <f>"39.079097"</f>
        <v>39.079097</v>
      </c>
      <c r="R564" t="str">
        <f>"26.180554"</f>
        <v>26.180554</v>
      </c>
      <c r="S564" t="s">
        <v>26</v>
      </c>
    </row>
    <row r="565" spans="1:19" x14ac:dyDescent="0.3">
      <c r="A565" t="s">
        <v>12435</v>
      </c>
      <c r="B565" t="s">
        <v>12460</v>
      </c>
      <c r="C565" t="s">
        <v>12606</v>
      </c>
      <c r="D565" t="s">
        <v>12436</v>
      </c>
      <c r="E565" t="s">
        <v>12465</v>
      </c>
      <c r="F565" t="s">
        <v>12508</v>
      </c>
      <c r="G565" t="s">
        <v>12509</v>
      </c>
      <c r="H565" t="s">
        <v>51</v>
      </c>
      <c r="I565" t="s">
        <v>52</v>
      </c>
      <c r="J565" t="str">
        <f>"3308010"</f>
        <v>3308010</v>
      </c>
      <c r="K565">
        <v>2253056254</v>
      </c>
      <c r="L565">
        <v>2253056254</v>
      </c>
      <c r="M565" t="s">
        <v>12607</v>
      </c>
      <c r="N565" t="s">
        <v>12513</v>
      </c>
      <c r="O565" t="s">
        <v>12513</v>
      </c>
      <c r="P565">
        <v>81103</v>
      </c>
      <c r="Q565" t="str">
        <f>"39.234005"</f>
        <v>39.234005</v>
      </c>
      <c r="R565" t="str">
        <f>"25.980129"</f>
        <v>25.980129</v>
      </c>
      <c r="S565" t="s">
        <v>57</v>
      </c>
    </row>
    <row r="566" spans="1:19" x14ac:dyDescent="0.3">
      <c r="A566" t="s">
        <v>12435</v>
      </c>
      <c r="B566" t="s">
        <v>12460</v>
      </c>
      <c r="C566" t="s">
        <v>12608</v>
      </c>
      <c r="D566" t="s">
        <v>12436</v>
      </c>
      <c r="E566" t="s">
        <v>12465</v>
      </c>
      <c r="F566" t="s">
        <v>11983</v>
      </c>
      <c r="G566" t="s">
        <v>2861</v>
      </c>
      <c r="H566" t="s">
        <v>51</v>
      </c>
      <c r="I566" t="s">
        <v>89</v>
      </c>
      <c r="J566" t="str">
        <f>"3313010"</f>
        <v>3313010</v>
      </c>
      <c r="K566">
        <v>2253095331</v>
      </c>
      <c r="L566">
        <v>2253095550</v>
      </c>
      <c r="M566" t="s">
        <v>12609</v>
      </c>
      <c r="N566" t="s">
        <v>12610</v>
      </c>
      <c r="O566" t="s">
        <v>12610</v>
      </c>
      <c r="P566">
        <v>81105</v>
      </c>
      <c r="Q566" t="str">
        <f>"39.160393"</f>
        <v>39.160393</v>
      </c>
      <c r="R566" t="str">
        <f>"26.059174"</f>
        <v>26.059174</v>
      </c>
      <c r="S566" t="s">
        <v>57</v>
      </c>
    </row>
    <row r="567" spans="1:19" x14ac:dyDescent="0.3">
      <c r="A567" t="s">
        <v>12435</v>
      </c>
      <c r="B567" t="s">
        <v>12460</v>
      </c>
      <c r="C567" t="s">
        <v>12612</v>
      </c>
      <c r="D567" t="s">
        <v>12436</v>
      </c>
      <c r="E567" t="s">
        <v>12437</v>
      </c>
      <c r="F567" t="s">
        <v>12437</v>
      </c>
      <c r="G567" t="s">
        <v>12437</v>
      </c>
      <c r="H567" t="s">
        <v>51</v>
      </c>
      <c r="I567" t="s">
        <v>4556</v>
      </c>
      <c r="J567" t="str">
        <f>"3313015"</f>
        <v>3313015</v>
      </c>
      <c r="K567">
        <v>2251047524</v>
      </c>
      <c r="L567">
        <v>2251047524</v>
      </c>
      <c r="M567" t="s">
        <v>12613</v>
      </c>
      <c r="N567" t="s">
        <v>12440</v>
      </c>
      <c r="O567" t="s">
        <v>12614</v>
      </c>
      <c r="P567">
        <v>81131</v>
      </c>
      <c r="Q567" t="str">
        <f>"39.104900"</f>
        <v>39.104900</v>
      </c>
      <c r="R567" t="str">
        <f>"26.554284"</f>
        <v>26.554284</v>
      </c>
      <c r="S567" t="s">
        <v>26</v>
      </c>
    </row>
    <row r="568" spans="1:19" x14ac:dyDescent="0.3">
      <c r="A568" t="s">
        <v>12435</v>
      </c>
      <c r="B568" t="s">
        <v>12460</v>
      </c>
      <c r="C568" t="s">
        <v>12615</v>
      </c>
      <c r="D568" t="s">
        <v>12436</v>
      </c>
      <c r="E568" t="s">
        <v>12437</v>
      </c>
      <c r="F568" t="s">
        <v>12437</v>
      </c>
      <c r="G568" t="s">
        <v>12437</v>
      </c>
      <c r="H568" t="s">
        <v>51</v>
      </c>
      <c r="I568" t="s">
        <v>52</v>
      </c>
      <c r="J568" t="str">
        <f>"3301040"</f>
        <v>3301040</v>
      </c>
      <c r="K568">
        <v>2251023484</v>
      </c>
      <c r="L568">
        <v>2251023484</v>
      </c>
      <c r="M568" t="s">
        <v>12616</v>
      </c>
      <c r="N568" t="s">
        <v>12440</v>
      </c>
      <c r="O568" t="s">
        <v>12617</v>
      </c>
      <c r="P568">
        <v>81100</v>
      </c>
      <c r="Q568" t="str">
        <f>"39.094015"</f>
        <v>39.094015</v>
      </c>
      <c r="R568" t="str">
        <f>"26.550085"</f>
        <v>26.550085</v>
      </c>
      <c r="S568" t="s">
        <v>26</v>
      </c>
    </row>
    <row r="569" spans="1:19" x14ac:dyDescent="0.3">
      <c r="A569" t="s">
        <v>12435</v>
      </c>
      <c r="B569" t="s">
        <v>12460</v>
      </c>
      <c r="C569" t="s">
        <v>12620</v>
      </c>
      <c r="D569" t="s">
        <v>12436</v>
      </c>
      <c r="E569" t="s">
        <v>12465</v>
      </c>
      <c r="F569" t="s">
        <v>11983</v>
      </c>
      <c r="G569" t="s">
        <v>12619</v>
      </c>
      <c r="H569" t="s">
        <v>51</v>
      </c>
      <c r="I569" t="s">
        <v>52</v>
      </c>
      <c r="J569" t="str">
        <f>"3310050"</f>
        <v>3310050</v>
      </c>
      <c r="K569">
        <v>2253098250</v>
      </c>
      <c r="L569">
        <v>2253098250</v>
      </c>
      <c r="M569" t="s">
        <v>12621</v>
      </c>
      <c r="N569" t="s">
        <v>12622</v>
      </c>
      <c r="O569" t="s">
        <v>12623</v>
      </c>
      <c r="P569">
        <v>81107</v>
      </c>
      <c r="Q569" t="str">
        <f>"39.260849"</f>
        <v>39.260849</v>
      </c>
      <c r="R569" t="str">
        <f>"26.139490"</f>
        <v>26.139490</v>
      </c>
      <c r="S569" t="s">
        <v>26</v>
      </c>
    </row>
    <row r="570" spans="1:19" x14ac:dyDescent="0.3">
      <c r="A570" t="s">
        <v>12435</v>
      </c>
      <c r="B570" t="s">
        <v>12460</v>
      </c>
      <c r="C570" t="s">
        <v>12625</v>
      </c>
      <c r="D570" t="s">
        <v>12436</v>
      </c>
      <c r="E570" t="s">
        <v>12465</v>
      </c>
      <c r="F570" t="s">
        <v>152</v>
      </c>
      <c r="G570" t="s">
        <v>152</v>
      </c>
      <c r="H570" t="s">
        <v>51</v>
      </c>
      <c r="I570" t="s">
        <v>52</v>
      </c>
      <c r="J570" t="str">
        <f>"3302020"</f>
        <v>3302020</v>
      </c>
      <c r="K570">
        <v>2253031290</v>
      </c>
      <c r="L570">
        <v>2253031290</v>
      </c>
      <c r="M570" t="s">
        <v>12626</v>
      </c>
      <c r="N570" t="s">
        <v>12627</v>
      </c>
      <c r="O570" t="s">
        <v>4693</v>
      </c>
      <c r="P570">
        <v>81102</v>
      </c>
      <c r="Q570" t="str">
        <f>"39.248085"</f>
        <v>39.248085</v>
      </c>
      <c r="R570" t="str">
        <f>"26.271361"</f>
        <v>26.271361</v>
      </c>
      <c r="S570" t="s">
        <v>26</v>
      </c>
    </row>
    <row r="571" spans="1:19" x14ac:dyDescent="0.3">
      <c r="A571" t="s">
        <v>12435</v>
      </c>
      <c r="B571" t="s">
        <v>12460</v>
      </c>
      <c r="C571" t="s">
        <v>12629</v>
      </c>
      <c r="D571" t="s">
        <v>12436</v>
      </c>
      <c r="E571" t="s">
        <v>12437</v>
      </c>
      <c r="F571" t="s">
        <v>12437</v>
      </c>
      <c r="G571" t="s">
        <v>12437</v>
      </c>
      <c r="H571" t="s">
        <v>51</v>
      </c>
      <c r="I571" t="s">
        <v>190</v>
      </c>
      <c r="J571" t="str">
        <f>"3301050"</f>
        <v>3301050</v>
      </c>
      <c r="K571">
        <v>2251025797</v>
      </c>
      <c r="L571">
        <v>2251045784</v>
      </c>
      <c r="M571" t="s">
        <v>12630</v>
      </c>
      <c r="N571" t="s">
        <v>12440</v>
      </c>
      <c r="O571" t="s">
        <v>12631</v>
      </c>
      <c r="P571">
        <v>81100</v>
      </c>
      <c r="Q571" t="str">
        <f>"39.089728"</f>
        <v>39.089728</v>
      </c>
      <c r="R571" t="str">
        <f>"26.551922"</f>
        <v>26.551922</v>
      </c>
      <c r="S571" t="s">
        <v>26</v>
      </c>
    </row>
    <row r="572" spans="1:19" x14ac:dyDescent="0.3">
      <c r="A572" t="s">
        <v>12435</v>
      </c>
      <c r="B572" t="s">
        <v>12460</v>
      </c>
      <c r="C572" t="s">
        <v>12633</v>
      </c>
      <c r="D572" t="s">
        <v>12436</v>
      </c>
      <c r="E572" t="s">
        <v>12437</v>
      </c>
      <c r="F572" t="s">
        <v>12437</v>
      </c>
      <c r="G572" t="s">
        <v>12437</v>
      </c>
      <c r="H572" t="s">
        <v>51</v>
      </c>
      <c r="I572" t="s">
        <v>52</v>
      </c>
      <c r="J572" t="str">
        <f>"3301030"</f>
        <v>3301030</v>
      </c>
      <c r="K572">
        <v>2251023738</v>
      </c>
      <c r="L572">
        <v>2251047753</v>
      </c>
      <c r="M572" t="s">
        <v>12634</v>
      </c>
      <c r="N572" t="s">
        <v>12440</v>
      </c>
      <c r="O572" t="s">
        <v>12487</v>
      </c>
      <c r="P572">
        <v>81100</v>
      </c>
      <c r="Q572" t="str">
        <f>"39.097953"</f>
        <v>39.097953</v>
      </c>
      <c r="R572" t="str">
        <f>"26.547813"</f>
        <v>26.547813</v>
      </c>
      <c r="S572" t="s">
        <v>26</v>
      </c>
    </row>
    <row r="573" spans="1:19" x14ac:dyDescent="0.3">
      <c r="A573" t="s">
        <v>12435</v>
      </c>
      <c r="B573" t="s">
        <v>12460</v>
      </c>
      <c r="C573" t="s">
        <v>12635</v>
      </c>
      <c r="D573" t="s">
        <v>12436</v>
      </c>
      <c r="E573" t="s">
        <v>12465</v>
      </c>
      <c r="F573" t="s">
        <v>12572</v>
      </c>
      <c r="G573" t="s">
        <v>12572</v>
      </c>
      <c r="H573" t="s">
        <v>51</v>
      </c>
      <c r="I573" t="s">
        <v>52</v>
      </c>
      <c r="J573" t="str">
        <f>"3304010"</f>
        <v>3304010</v>
      </c>
      <c r="K573">
        <v>2253061018</v>
      </c>
      <c r="L573">
        <v>2253061251</v>
      </c>
      <c r="M573" t="s">
        <v>12636</v>
      </c>
      <c r="N573" t="s">
        <v>12577</v>
      </c>
      <c r="O573" t="s">
        <v>12637</v>
      </c>
      <c r="P573">
        <v>81104</v>
      </c>
      <c r="Q573" t="str">
        <f>"39.309993"</f>
        <v>39.309993</v>
      </c>
      <c r="R573" t="str">
        <f>"26.333711"</f>
        <v>26.333711</v>
      </c>
      <c r="S573" t="s">
        <v>26</v>
      </c>
    </row>
    <row r="574" spans="1:19" x14ac:dyDescent="0.3">
      <c r="A574" t="s">
        <v>12435</v>
      </c>
      <c r="B574" t="s">
        <v>12460</v>
      </c>
      <c r="C574" t="s">
        <v>12639</v>
      </c>
      <c r="D574" t="s">
        <v>12453</v>
      </c>
      <c r="E574" t="s">
        <v>12453</v>
      </c>
      <c r="F574" t="s">
        <v>12523</v>
      </c>
      <c r="G574" t="s">
        <v>12523</v>
      </c>
      <c r="H574" t="s">
        <v>51</v>
      </c>
      <c r="I574" t="s">
        <v>52</v>
      </c>
      <c r="J574" t="str">
        <f>"3312010"</f>
        <v>3312010</v>
      </c>
      <c r="K574">
        <v>2254071322</v>
      </c>
      <c r="L574">
        <v>2254071722</v>
      </c>
      <c r="M574" t="s">
        <v>12640</v>
      </c>
      <c r="N574" t="s">
        <v>12641</v>
      </c>
      <c r="O574" t="s">
        <v>12527</v>
      </c>
      <c r="P574">
        <v>81401</v>
      </c>
      <c r="Q574" t="str">
        <f>"39.877039"</f>
        <v>39.877039</v>
      </c>
      <c r="R574" t="str">
        <f>"25.272132"</f>
        <v>25.272132</v>
      </c>
      <c r="S574" t="s">
        <v>57</v>
      </c>
    </row>
    <row r="575" spans="1:19" x14ac:dyDescent="0.3">
      <c r="A575" t="s">
        <v>12435</v>
      </c>
      <c r="B575" t="s">
        <v>12460</v>
      </c>
      <c r="C575" t="s">
        <v>12642</v>
      </c>
      <c r="D575" t="s">
        <v>12436</v>
      </c>
      <c r="E575" t="s">
        <v>12437</v>
      </c>
      <c r="F575" t="s">
        <v>12500</v>
      </c>
      <c r="G575" t="s">
        <v>12501</v>
      </c>
      <c r="H575" t="s">
        <v>51</v>
      </c>
      <c r="I575" t="s">
        <v>52</v>
      </c>
      <c r="J575" t="str">
        <f>"3305010"</f>
        <v>3305010</v>
      </c>
      <c r="K575">
        <v>2251082235</v>
      </c>
      <c r="L575">
        <v>2251082235</v>
      </c>
      <c r="M575" t="s">
        <v>12643</v>
      </c>
      <c r="N575" t="s">
        <v>12644</v>
      </c>
      <c r="O575" t="s">
        <v>12645</v>
      </c>
      <c r="P575">
        <v>81106</v>
      </c>
      <c r="Q575" t="str">
        <f>"39.042666"</f>
        <v>39.042666</v>
      </c>
      <c r="R575" t="str">
        <f>"26.456774"</f>
        <v>26.456774</v>
      </c>
      <c r="S575" t="s">
        <v>26</v>
      </c>
    </row>
    <row r="576" spans="1:19" x14ac:dyDescent="0.3">
      <c r="A576" t="s">
        <v>12435</v>
      </c>
      <c r="B576" t="s">
        <v>12460</v>
      </c>
      <c r="C576" t="s">
        <v>12646</v>
      </c>
      <c r="D576" t="s">
        <v>12436</v>
      </c>
      <c r="E576" t="s">
        <v>12437</v>
      </c>
      <c r="F576" t="s">
        <v>12437</v>
      </c>
      <c r="G576" t="s">
        <v>12437</v>
      </c>
      <c r="H576" t="s">
        <v>51</v>
      </c>
      <c r="I576" t="s">
        <v>52</v>
      </c>
      <c r="J576" t="str">
        <f>"3301045"</f>
        <v>3301045</v>
      </c>
      <c r="K576">
        <v>2251047235</v>
      </c>
      <c r="L576">
        <v>2251041455</v>
      </c>
      <c r="M576" t="s">
        <v>12647</v>
      </c>
      <c r="N576" t="s">
        <v>12440</v>
      </c>
      <c r="O576" t="s">
        <v>12648</v>
      </c>
      <c r="P576">
        <v>81100</v>
      </c>
      <c r="Q576" t="str">
        <f>"39.089870"</f>
        <v>39.089870</v>
      </c>
      <c r="R576" t="str">
        <f>"26.551735"</f>
        <v>26.551735</v>
      </c>
      <c r="S576" t="s">
        <v>26</v>
      </c>
    </row>
    <row r="577" spans="1:19" x14ac:dyDescent="0.3">
      <c r="A577" t="s">
        <v>12435</v>
      </c>
      <c r="B577" t="s">
        <v>12460</v>
      </c>
      <c r="C577" t="s">
        <v>12650</v>
      </c>
      <c r="D577" t="s">
        <v>12436</v>
      </c>
      <c r="E577" t="s">
        <v>12437</v>
      </c>
      <c r="F577" t="s">
        <v>12437</v>
      </c>
      <c r="G577" t="s">
        <v>12437</v>
      </c>
      <c r="H577" t="s">
        <v>51</v>
      </c>
      <c r="I577" t="s">
        <v>3708</v>
      </c>
      <c r="J577" t="str">
        <f>"3301010"</f>
        <v>3301010</v>
      </c>
      <c r="K577">
        <v>2251022502</v>
      </c>
      <c r="L577">
        <v>2251042588</v>
      </c>
      <c r="M577" t="s">
        <v>12651</v>
      </c>
      <c r="N577" t="s">
        <v>12440</v>
      </c>
      <c r="O577" t="s">
        <v>268</v>
      </c>
      <c r="P577">
        <v>81100</v>
      </c>
      <c r="Q577" t="str">
        <f>"39.104904"</f>
        <v>39.104904</v>
      </c>
      <c r="R577" t="str">
        <f>"26.554179"</f>
        <v>26.554179</v>
      </c>
      <c r="S577" t="s">
        <v>26</v>
      </c>
    </row>
    <row r="578" spans="1:19" x14ac:dyDescent="0.3">
      <c r="A578" t="s">
        <v>12435</v>
      </c>
      <c r="B578" t="s">
        <v>12460</v>
      </c>
      <c r="C578" t="s">
        <v>12654</v>
      </c>
      <c r="D578" t="s">
        <v>12453</v>
      </c>
      <c r="E578" t="s">
        <v>12453</v>
      </c>
      <c r="F578" t="s">
        <v>12652</v>
      </c>
      <c r="G578" t="s">
        <v>12653</v>
      </c>
      <c r="H578" t="s">
        <v>51</v>
      </c>
      <c r="I578" t="s">
        <v>52</v>
      </c>
      <c r="J578" t="str">
        <f>"3303020"</f>
        <v>3303020</v>
      </c>
      <c r="K578">
        <v>2254092321</v>
      </c>
      <c r="L578">
        <v>2254092970</v>
      </c>
      <c r="M578" t="s">
        <v>12655</v>
      </c>
      <c r="N578" t="s">
        <v>12656</v>
      </c>
      <c r="O578" t="s">
        <v>12657</v>
      </c>
      <c r="P578">
        <v>81400</v>
      </c>
      <c r="Q578" t="str">
        <f>"39.909683"</f>
        <v>39.909683</v>
      </c>
      <c r="R578" t="str">
        <f>"25.201058"</f>
        <v>25.201058</v>
      </c>
      <c r="S578" t="s">
        <v>57</v>
      </c>
    </row>
    <row r="579" spans="1:19" x14ac:dyDescent="0.3">
      <c r="A579" t="s">
        <v>12435</v>
      </c>
      <c r="B579" t="s">
        <v>12460</v>
      </c>
      <c r="C579" t="s">
        <v>12659</v>
      </c>
      <c r="D579" t="s">
        <v>12436</v>
      </c>
      <c r="E579" t="s">
        <v>12437</v>
      </c>
      <c r="F579" t="s">
        <v>12515</v>
      </c>
      <c r="G579" t="s">
        <v>12515</v>
      </c>
      <c r="H579" t="s">
        <v>51</v>
      </c>
      <c r="I579" t="s">
        <v>52</v>
      </c>
      <c r="J579" t="str">
        <f>"3306010"</f>
        <v>3306010</v>
      </c>
      <c r="K579">
        <v>2252032253</v>
      </c>
      <c r="L579">
        <v>2252032253</v>
      </c>
      <c r="M579" t="s">
        <v>12660</v>
      </c>
      <c r="N579" t="s">
        <v>12518</v>
      </c>
      <c r="O579" t="s">
        <v>12661</v>
      </c>
      <c r="P579">
        <v>81200</v>
      </c>
      <c r="Q579" t="str">
        <f>"38.976275"</f>
        <v>38.976275</v>
      </c>
      <c r="R579" t="str">
        <f>"26.375798"</f>
        <v>26.375798</v>
      </c>
      <c r="S579" t="s">
        <v>26</v>
      </c>
    </row>
    <row r="580" spans="1:19" x14ac:dyDescent="0.3">
      <c r="A580" t="s">
        <v>12435</v>
      </c>
      <c r="B580" t="s">
        <v>12460</v>
      </c>
      <c r="C580" t="s">
        <v>12662</v>
      </c>
      <c r="D580" t="s">
        <v>12436</v>
      </c>
      <c r="E580" t="s">
        <v>12437</v>
      </c>
      <c r="F580" t="s">
        <v>12437</v>
      </c>
      <c r="G580" t="s">
        <v>12437</v>
      </c>
      <c r="H580" t="s">
        <v>51</v>
      </c>
      <c r="I580" t="s">
        <v>52</v>
      </c>
      <c r="J580" t="str">
        <f>"3301046"</f>
        <v>3301046</v>
      </c>
      <c r="K580">
        <v>2251043700</v>
      </c>
      <c r="L580">
        <v>2251043700</v>
      </c>
      <c r="M580" t="s">
        <v>12663</v>
      </c>
      <c r="N580" t="s">
        <v>12440</v>
      </c>
      <c r="O580" t="s">
        <v>12664</v>
      </c>
      <c r="P580">
        <v>81100</v>
      </c>
      <c r="Q580" t="str">
        <f>"39.111201"</f>
        <v>39.111201</v>
      </c>
      <c r="R580" t="str">
        <f>"26.557971"</f>
        <v>26.557971</v>
      </c>
      <c r="S580" t="s">
        <v>26</v>
      </c>
    </row>
    <row r="581" spans="1:19" x14ac:dyDescent="0.3">
      <c r="A581" t="s">
        <v>12435</v>
      </c>
      <c r="B581" t="s">
        <v>12460</v>
      </c>
      <c r="C581" t="s">
        <v>12666</v>
      </c>
      <c r="D581" t="s">
        <v>12436</v>
      </c>
      <c r="E581" t="s">
        <v>12465</v>
      </c>
      <c r="F581" t="s">
        <v>12466</v>
      </c>
      <c r="G581" t="s">
        <v>12466</v>
      </c>
      <c r="H581" t="s">
        <v>51</v>
      </c>
      <c r="I581" t="s">
        <v>52</v>
      </c>
      <c r="J581" t="str">
        <f>"3310010"</f>
        <v>3310010</v>
      </c>
      <c r="K581">
        <v>2253041203</v>
      </c>
      <c r="L581">
        <v>2253041203</v>
      </c>
      <c r="M581" t="s">
        <v>12667</v>
      </c>
      <c r="N581" t="s">
        <v>12668</v>
      </c>
      <c r="O581" t="s">
        <v>12469</v>
      </c>
      <c r="P581">
        <v>81109</v>
      </c>
      <c r="Q581" t="str">
        <f>"39.327263"</f>
        <v>39.327263</v>
      </c>
      <c r="R581" t="str">
        <f>"26.187278"</f>
        <v>26.187278</v>
      </c>
      <c r="S581" t="s">
        <v>26</v>
      </c>
    </row>
    <row r="582" spans="1:19" x14ac:dyDescent="0.3">
      <c r="A582" t="s">
        <v>12435</v>
      </c>
      <c r="B582" t="s">
        <v>12460</v>
      </c>
      <c r="C582" t="s">
        <v>12669</v>
      </c>
      <c r="D582" t="s">
        <v>12436</v>
      </c>
      <c r="E582" t="s">
        <v>12437</v>
      </c>
      <c r="F582" t="s">
        <v>12473</v>
      </c>
      <c r="G582" t="s">
        <v>12473</v>
      </c>
      <c r="H582" t="s">
        <v>51</v>
      </c>
      <c r="I582" t="s">
        <v>52</v>
      </c>
      <c r="J582" t="str">
        <f>"3311010"</f>
        <v>3311010</v>
      </c>
      <c r="K582">
        <v>2252022576</v>
      </c>
      <c r="L582">
        <v>2252022576</v>
      </c>
      <c r="M582" t="s">
        <v>12670</v>
      </c>
      <c r="N582" t="s">
        <v>12478</v>
      </c>
      <c r="O582" t="s">
        <v>12477</v>
      </c>
      <c r="P582">
        <v>81101</v>
      </c>
      <c r="Q582" t="str">
        <f>"39.084768"</f>
        <v>39.084768</v>
      </c>
      <c r="R582" t="str">
        <f>"26.370450"</f>
        <v>26.370450</v>
      </c>
      <c r="S582" t="s">
        <v>26</v>
      </c>
    </row>
    <row r="583" spans="1:19" x14ac:dyDescent="0.3">
      <c r="A583" t="s">
        <v>12435</v>
      </c>
      <c r="B583" t="s">
        <v>12460</v>
      </c>
      <c r="C583" t="s">
        <v>12674</v>
      </c>
      <c r="D583" t="s">
        <v>12436</v>
      </c>
      <c r="E583" t="s">
        <v>12465</v>
      </c>
      <c r="F583" t="s">
        <v>12508</v>
      </c>
      <c r="G583" t="s">
        <v>12673</v>
      </c>
      <c r="H583" t="s">
        <v>51</v>
      </c>
      <c r="I583" t="s">
        <v>52</v>
      </c>
      <c r="J583" t="str">
        <f>"3308015"</f>
        <v>3308015</v>
      </c>
      <c r="K583">
        <v>2253052074</v>
      </c>
      <c r="L583">
        <v>2253052073</v>
      </c>
      <c r="M583" t="s">
        <v>12675</v>
      </c>
      <c r="N583" t="s">
        <v>12676</v>
      </c>
      <c r="O583" t="s">
        <v>12676</v>
      </c>
      <c r="P583">
        <v>81105</v>
      </c>
      <c r="Q583" t="str">
        <f>"39.169430"</f>
        <v>39.169430</v>
      </c>
      <c r="R583" t="str">
        <f>"25.935431"</f>
        <v>25.935431</v>
      </c>
      <c r="S583" t="s">
        <v>57</v>
      </c>
    </row>
    <row r="584" spans="1:19" x14ac:dyDescent="0.3">
      <c r="A584" t="s">
        <v>12435</v>
      </c>
      <c r="B584" t="s">
        <v>12460</v>
      </c>
      <c r="C584" t="s">
        <v>12690</v>
      </c>
      <c r="D584" t="s">
        <v>12436</v>
      </c>
      <c r="E584" t="s">
        <v>12437</v>
      </c>
      <c r="F584" t="s">
        <v>12688</v>
      </c>
      <c r="G584" t="s">
        <v>12689</v>
      </c>
      <c r="H584" t="s">
        <v>51</v>
      </c>
      <c r="I584" t="s">
        <v>52</v>
      </c>
      <c r="J584" t="str">
        <f>"3313012"</f>
        <v>3313012</v>
      </c>
      <c r="K584">
        <v>2251071301</v>
      </c>
      <c r="L584">
        <v>2251071615</v>
      </c>
      <c r="M584" t="s">
        <v>12691</v>
      </c>
      <c r="N584" t="s">
        <v>12692</v>
      </c>
      <c r="O584" t="s">
        <v>12692</v>
      </c>
      <c r="P584">
        <v>81100</v>
      </c>
      <c r="Q584" t="str">
        <f>"39.171872"</f>
        <v>39.171872</v>
      </c>
      <c r="R584" t="str">
        <f>"26.504479"</f>
        <v>26.504479</v>
      </c>
      <c r="S584" t="s">
        <v>26</v>
      </c>
    </row>
    <row r="585" spans="1:19" x14ac:dyDescent="0.3">
      <c r="A585" t="s">
        <v>12435</v>
      </c>
      <c r="B585" t="s">
        <v>12460</v>
      </c>
      <c r="C585" t="s">
        <v>12693</v>
      </c>
      <c r="D585" t="s">
        <v>12436</v>
      </c>
      <c r="E585" t="s">
        <v>12437</v>
      </c>
      <c r="F585" t="s">
        <v>12437</v>
      </c>
      <c r="G585" t="s">
        <v>12437</v>
      </c>
      <c r="H585" t="s">
        <v>51</v>
      </c>
      <c r="I585" t="s">
        <v>199</v>
      </c>
      <c r="J585" t="str">
        <f>"3311201"</f>
        <v>3311201</v>
      </c>
      <c r="K585">
        <v>2251055224</v>
      </c>
      <c r="M585" t="s">
        <v>12694</v>
      </c>
      <c r="N585" t="s">
        <v>12695</v>
      </c>
      <c r="O585" t="s">
        <v>12543</v>
      </c>
      <c r="P585">
        <v>81100</v>
      </c>
      <c r="Q585" t="str">
        <f>"39.087776"</f>
        <v>39.087776</v>
      </c>
      <c r="R585" t="str">
        <f>"26.561064"</f>
        <v>26.561064</v>
      </c>
      <c r="S585" t="s">
        <v>26</v>
      </c>
    </row>
    <row r="586" spans="1:19" x14ac:dyDescent="0.3">
      <c r="A586" t="s">
        <v>12435</v>
      </c>
      <c r="B586" t="s">
        <v>12698</v>
      </c>
      <c r="C586" t="s">
        <v>12702</v>
      </c>
      <c r="D586" t="s">
        <v>12699</v>
      </c>
      <c r="E586" t="s">
        <v>12700</v>
      </c>
      <c r="F586" t="s">
        <v>12700</v>
      </c>
      <c r="G586" t="s">
        <v>12701</v>
      </c>
      <c r="H586" t="s">
        <v>51</v>
      </c>
      <c r="I586" t="s">
        <v>89</v>
      </c>
      <c r="J586" t="str">
        <f>"4304040"</f>
        <v>4304040</v>
      </c>
      <c r="K586">
        <v>2275051621</v>
      </c>
      <c r="L586">
        <v>2275051402</v>
      </c>
      <c r="M586" t="s">
        <v>12703</v>
      </c>
      <c r="N586" t="s">
        <v>12704</v>
      </c>
      <c r="O586" t="s">
        <v>12705</v>
      </c>
      <c r="P586">
        <v>83400</v>
      </c>
      <c r="Q586" t="str">
        <f>"37.576396"</f>
        <v>37.576396</v>
      </c>
      <c r="R586" t="str">
        <f>"26.482350"</f>
        <v>26.482350</v>
      </c>
      <c r="S586" t="s">
        <v>57</v>
      </c>
    </row>
    <row r="587" spans="1:19" x14ac:dyDescent="0.3">
      <c r="A587" t="s">
        <v>12435</v>
      </c>
      <c r="B587" t="s">
        <v>12698</v>
      </c>
      <c r="C587" t="s">
        <v>12710</v>
      </c>
      <c r="D587" t="s">
        <v>12699</v>
      </c>
      <c r="E587" t="s">
        <v>12699</v>
      </c>
      <c r="F587" t="s">
        <v>12709</v>
      </c>
      <c r="G587" t="s">
        <v>12709</v>
      </c>
      <c r="H587" t="s">
        <v>51</v>
      </c>
      <c r="I587" t="s">
        <v>89</v>
      </c>
      <c r="J587" t="str">
        <f>"4304050"</f>
        <v>4304050</v>
      </c>
      <c r="K587">
        <v>2275041255</v>
      </c>
      <c r="L587">
        <v>2275041406</v>
      </c>
      <c r="M587" t="s">
        <v>12711</v>
      </c>
      <c r="N587" t="s">
        <v>12712</v>
      </c>
      <c r="O587" t="s">
        <v>12713</v>
      </c>
      <c r="P587">
        <v>83301</v>
      </c>
      <c r="Q587" t="str">
        <f>"37.599083"</f>
        <v>37.599083</v>
      </c>
      <c r="R587" t="str">
        <f>"26.076385"</f>
        <v>26.076385</v>
      </c>
      <c r="S587" t="s">
        <v>57</v>
      </c>
    </row>
    <row r="588" spans="1:19" x14ac:dyDescent="0.3">
      <c r="A588" t="s">
        <v>12435</v>
      </c>
      <c r="B588" t="s">
        <v>12698</v>
      </c>
      <c r="C588" t="s">
        <v>12732</v>
      </c>
      <c r="D588" t="s">
        <v>12442</v>
      </c>
      <c r="E588" t="s">
        <v>12443</v>
      </c>
      <c r="F588" t="s">
        <v>12041</v>
      </c>
      <c r="G588" t="s">
        <v>12727</v>
      </c>
      <c r="H588" t="s">
        <v>51</v>
      </c>
      <c r="I588" t="s">
        <v>52</v>
      </c>
      <c r="J588" t="str">
        <f>"4301020"</f>
        <v>4301020</v>
      </c>
      <c r="K588">
        <v>2273025315</v>
      </c>
      <c r="L588">
        <v>2273025315</v>
      </c>
      <c r="M588" t="s">
        <v>12733</v>
      </c>
      <c r="N588" t="s">
        <v>12446</v>
      </c>
      <c r="O588" t="s">
        <v>12734</v>
      </c>
      <c r="P588">
        <v>83100</v>
      </c>
      <c r="Q588" t="str">
        <f>"37.752085"</f>
        <v>37.752085</v>
      </c>
      <c r="R588" t="str">
        <f>"26.979344"</f>
        <v>26.979344</v>
      </c>
      <c r="S588" t="s">
        <v>26</v>
      </c>
    </row>
    <row r="589" spans="1:19" x14ac:dyDescent="0.3">
      <c r="A589" t="s">
        <v>12435</v>
      </c>
      <c r="B589" t="s">
        <v>12698</v>
      </c>
      <c r="C589" t="s">
        <v>12758</v>
      </c>
      <c r="D589" t="s">
        <v>12699</v>
      </c>
      <c r="E589" t="s">
        <v>12699</v>
      </c>
      <c r="F589" t="s">
        <v>12715</v>
      </c>
      <c r="G589" t="s">
        <v>12715</v>
      </c>
      <c r="H589" t="s">
        <v>51</v>
      </c>
      <c r="I589" t="s">
        <v>52</v>
      </c>
      <c r="J589" t="str">
        <f>"4302010"</f>
        <v>4302010</v>
      </c>
      <c r="K589">
        <v>2275022210</v>
      </c>
      <c r="L589">
        <v>2275022210</v>
      </c>
      <c r="M589" t="s">
        <v>12759</v>
      </c>
      <c r="N589" t="s">
        <v>12760</v>
      </c>
      <c r="O589" t="s">
        <v>12761</v>
      </c>
      <c r="P589">
        <v>83300</v>
      </c>
      <c r="Q589" t="str">
        <f>"37.612129"</f>
        <v>37.612129</v>
      </c>
      <c r="R589" t="str">
        <f>"26.287138"</f>
        <v>26.287138</v>
      </c>
      <c r="S589" t="s">
        <v>57</v>
      </c>
    </row>
    <row r="590" spans="1:19" x14ac:dyDescent="0.3">
      <c r="A590" t="s">
        <v>12435</v>
      </c>
      <c r="B590" t="s">
        <v>12698</v>
      </c>
      <c r="C590" t="s">
        <v>12762</v>
      </c>
      <c r="D590" t="s">
        <v>12442</v>
      </c>
      <c r="E590" t="s">
        <v>12720</v>
      </c>
      <c r="F590" t="s">
        <v>12736</v>
      </c>
      <c r="G590" t="s">
        <v>12736</v>
      </c>
      <c r="H590" t="s">
        <v>51</v>
      </c>
      <c r="I590" t="s">
        <v>52</v>
      </c>
      <c r="J590" t="str">
        <f>"4303010"</f>
        <v>4303010</v>
      </c>
      <c r="K590">
        <v>2273030755</v>
      </c>
      <c r="L590">
        <v>2273032308</v>
      </c>
      <c r="M590" t="s">
        <v>12763</v>
      </c>
      <c r="N590" t="s">
        <v>12746</v>
      </c>
      <c r="O590" t="s">
        <v>12764</v>
      </c>
      <c r="P590">
        <v>83200</v>
      </c>
      <c r="Q590" t="str">
        <f>"37.795759"</f>
        <v>37.795759</v>
      </c>
      <c r="R590" t="str">
        <f>"26.706815"</f>
        <v>26.706815</v>
      </c>
      <c r="S590" t="s">
        <v>26</v>
      </c>
    </row>
    <row r="591" spans="1:19" x14ac:dyDescent="0.3">
      <c r="A591" t="s">
        <v>12435</v>
      </c>
      <c r="B591" t="s">
        <v>12698</v>
      </c>
      <c r="C591" t="s">
        <v>12765</v>
      </c>
      <c r="D591" t="s">
        <v>12442</v>
      </c>
      <c r="E591" t="s">
        <v>12443</v>
      </c>
      <c r="F591" t="s">
        <v>12041</v>
      </c>
      <c r="G591" t="s">
        <v>12727</v>
      </c>
      <c r="H591" t="s">
        <v>51</v>
      </c>
      <c r="I591" t="s">
        <v>52</v>
      </c>
      <c r="J591" t="str">
        <f>"4301010"</f>
        <v>4301010</v>
      </c>
      <c r="K591">
        <v>2273027766</v>
      </c>
      <c r="L591">
        <v>2273027766</v>
      </c>
      <c r="M591" t="s">
        <v>12766</v>
      </c>
      <c r="N591" t="s">
        <v>12446</v>
      </c>
      <c r="O591" t="s">
        <v>12734</v>
      </c>
      <c r="P591">
        <v>83100</v>
      </c>
      <c r="Q591" t="str">
        <f>"37.752324"</f>
        <v>37.752324</v>
      </c>
      <c r="R591" t="str">
        <f>"26.978674"</f>
        <v>26.978674</v>
      </c>
      <c r="S591" t="s">
        <v>26</v>
      </c>
    </row>
    <row r="592" spans="1:19" x14ac:dyDescent="0.3">
      <c r="A592" t="s">
        <v>12435</v>
      </c>
      <c r="B592" t="s">
        <v>12698</v>
      </c>
      <c r="C592" t="s">
        <v>12768</v>
      </c>
      <c r="D592" t="s">
        <v>12442</v>
      </c>
      <c r="E592" t="s">
        <v>12443</v>
      </c>
      <c r="F592" t="s">
        <v>12767</v>
      </c>
      <c r="G592" t="s">
        <v>12767</v>
      </c>
      <c r="H592" t="s">
        <v>51</v>
      </c>
      <c r="I592" t="s">
        <v>52</v>
      </c>
      <c r="J592" t="str">
        <f>"4301030"</f>
        <v>4301030</v>
      </c>
      <c r="K592">
        <v>2273061461</v>
      </c>
      <c r="L592">
        <v>2273062552</v>
      </c>
      <c r="M592" t="s">
        <v>12769</v>
      </c>
      <c r="N592" t="s">
        <v>12770</v>
      </c>
      <c r="O592" t="s">
        <v>12771</v>
      </c>
      <c r="P592">
        <v>83103</v>
      </c>
      <c r="Q592" t="str">
        <f>"37.693331"</f>
        <v>37.693331</v>
      </c>
      <c r="R592" t="str">
        <f>"26.941777"</f>
        <v>26.941777</v>
      </c>
      <c r="S592" t="s">
        <v>26</v>
      </c>
    </row>
    <row r="593" spans="1:19" x14ac:dyDescent="0.3">
      <c r="A593" t="s">
        <v>12435</v>
      </c>
      <c r="B593" t="s">
        <v>12698</v>
      </c>
      <c r="C593" t="s">
        <v>12773</v>
      </c>
      <c r="D593" t="s">
        <v>12442</v>
      </c>
      <c r="E593" t="s">
        <v>12720</v>
      </c>
      <c r="F593" t="s">
        <v>12721</v>
      </c>
      <c r="G593" t="s">
        <v>12721</v>
      </c>
      <c r="H593" t="s">
        <v>51</v>
      </c>
      <c r="I593" t="s">
        <v>52</v>
      </c>
      <c r="J593" t="str">
        <f>"4305010"</f>
        <v>4305010</v>
      </c>
      <c r="K593">
        <v>2273031211</v>
      </c>
      <c r="L593">
        <v>2273031211</v>
      </c>
      <c r="M593" t="s">
        <v>12774</v>
      </c>
      <c r="N593" t="s">
        <v>12724</v>
      </c>
      <c r="O593" t="s">
        <v>12724</v>
      </c>
      <c r="P593">
        <v>83102</v>
      </c>
      <c r="Q593" t="str">
        <f>"37.727280"</f>
        <v>37.727280</v>
      </c>
      <c r="R593" t="str">
        <f>"26.689247"</f>
        <v>26.689247</v>
      </c>
      <c r="S593" t="s">
        <v>57</v>
      </c>
    </row>
    <row r="594" spans="1:19" x14ac:dyDescent="0.3">
      <c r="A594" t="s">
        <v>12435</v>
      </c>
      <c r="B594" t="s">
        <v>12698</v>
      </c>
      <c r="C594" t="s">
        <v>12778</v>
      </c>
      <c r="D594" t="s">
        <v>12699</v>
      </c>
      <c r="E594" t="s">
        <v>12699</v>
      </c>
      <c r="F594" t="s">
        <v>12747</v>
      </c>
      <c r="G594" t="s">
        <v>12747</v>
      </c>
      <c r="H594" t="s">
        <v>51</v>
      </c>
      <c r="I594" t="s">
        <v>52</v>
      </c>
      <c r="J594" t="str">
        <f>"4304010"</f>
        <v>4304010</v>
      </c>
      <c r="K594">
        <v>2275031239</v>
      </c>
      <c r="L594">
        <v>2275031239</v>
      </c>
      <c r="M594" t="s">
        <v>12779</v>
      </c>
      <c r="N594" t="s">
        <v>12780</v>
      </c>
      <c r="O594" t="s">
        <v>12781</v>
      </c>
      <c r="P594">
        <v>83302</v>
      </c>
      <c r="Q594" t="str">
        <f>"37.629131"</f>
        <v>37.629131</v>
      </c>
      <c r="R594" t="str">
        <f>"26.177708"</f>
        <v>26.177708</v>
      </c>
      <c r="S594" t="s">
        <v>57</v>
      </c>
    </row>
    <row r="595" spans="1:19" x14ac:dyDescent="0.3">
      <c r="A595" t="s">
        <v>12435</v>
      </c>
      <c r="B595" t="s">
        <v>12698</v>
      </c>
      <c r="C595" t="s">
        <v>12785</v>
      </c>
      <c r="D595" t="s">
        <v>12442</v>
      </c>
      <c r="E595" t="s">
        <v>12443</v>
      </c>
      <c r="F595" t="s">
        <v>12767</v>
      </c>
      <c r="G595" t="s">
        <v>1210</v>
      </c>
      <c r="H595" t="s">
        <v>51</v>
      </c>
      <c r="I595" t="s">
        <v>52</v>
      </c>
      <c r="J595" t="str">
        <f>"4301040"</f>
        <v>4301040</v>
      </c>
      <c r="K595">
        <v>2273041037</v>
      </c>
      <c r="L595">
        <v>2273041037</v>
      </c>
      <c r="M595" t="s">
        <v>12786</v>
      </c>
      <c r="N595" t="s">
        <v>12787</v>
      </c>
      <c r="O595" t="s">
        <v>12788</v>
      </c>
      <c r="P595">
        <v>83104</v>
      </c>
      <c r="Q595" t="str">
        <f>"37.716460"</f>
        <v>37.716460</v>
      </c>
      <c r="R595" t="str">
        <f>"26.808568"</f>
        <v>26.808568</v>
      </c>
      <c r="S595" t="s">
        <v>26</v>
      </c>
    </row>
    <row r="596" spans="1:19" x14ac:dyDescent="0.3">
      <c r="A596" t="s">
        <v>12435</v>
      </c>
      <c r="B596" t="s">
        <v>12698</v>
      </c>
      <c r="C596" t="s">
        <v>12799</v>
      </c>
      <c r="D596" t="s">
        <v>12442</v>
      </c>
      <c r="E596" t="s">
        <v>12443</v>
      </c>
      <c r="F596" t="s">
        <v>12041</v>
      </c>
      <c r="G596" t="s">
        <v>12041</v>
      </c>
      <c r="H596" t="s">
        <v>51</v>
      </c>
      <c r="I596" t="s">
        <v>4349</v>
      </c>
      <c r="J596" t="str">
        <f>"4339002"</f>
        <v>4339002</v>
      </c>
      <c r="K596">
        <v>2273023497</v>
      </c>
      <c r="M596" t="s">
        <v>12800</v>
      </c>
      <c r="O596" t="s">
        <v>12734</v>
      </c>
      <c r="P596">
        <v>83100</v>
      </c>
      <c r="Q596" t="str">
        <f>"37.752190"</f>
        <v>37.752190</v>
      </c>
      <c r="R596" t="str">
        <f>"26.979123"</f>
        <v>26.979123</v>
      </c>
      <c r="S596" t="s">
        <v>26</v>
      </c>
    </row>
    <row r="597" spans="1:19" x14ac:dyDescent="0.3">
      <c r="A597" t="s">
        <v>12435</v>
      </c>
      <c r="B597" t="s">
        <v>12801</v>
      </c>
      <c r="C597" t="s">
        <v>12804</v>
      </c>
      <c r="D597" t="s">
        <v>12448</v>
      </c>
      <c r="E597" t="s">
        <v>12448</v>
      </c>
      <c r="F597" t="s">
        <v>12802</v>
      </c>
      <c r="G597" t="s">
        <v>12803</v>
      </c>
      <c r="H597" t="s">
        <v>51</v>
      </c>
      <c r="I597" t="s">
        <v>89</v>
      </c>
      <c r="J597" t="str">
        <f>"5102010"</f>
        <v>5102010</v>
      </c>
      <c r="K597">
        <v>2274021207</v>
      </c>
      <c r="L597">
        <v>2274021207</v>
      </c>
      <c r="M597" t="s">
        <v>12805</v>
      </c>
      <c r="N597" t="s">
        <v>12806</v>
      </c>
      <c r="O597" t="s">
        <v>12807</v>
      </c>
      <c r="P597">
        <v>82103</v>
      </c>
      <c r="Q597" t="str">
        <f>"38.481493"</f>
        <v>38.481493</v>
      </c>
      <c r="R597" t="str">
        <f>"25.924851"</f>
        <v>25.924851</v>
      </c>
      <c r="S597" t="s">
        <v>57</v>
      </c>
    </row>
    <row r="598" spans="1:19" x14ac:dyDescent="0.3">
      <c r="A598" t="s">
        <v>12435</v>
      </c>
      <c r="B598" t="s">
        <v>12801</v>
      </c>
      <c r="C598" t="s">
        <v>12811</v>
      </c>
      <c r="D598" t="s">
        <v>12448</v>
      </c>
      <c r="E598" t="s">
        <v>12448</v>
      </c>
      <c r="F598" t="s">
        <v>12809</v>
      </c>
      <c r="G598" t="s">
        <v>12810</v>
      </c>
      <c r="H598" t="s">
        <v>51</v>
      </c>
      <c r="I598" t="s">
        <v>52</v>
      </c>
      <c r="J598" t="str">
        <f>"5106010"</f>
        <v>5106010</v>
      </c>
      <c r="K598">
        <v>2271051373</v>
      </c>
      <c r="L598">
        <v>2271051373</v>
      </c>
      <c r="M598" t="s">
        <v>12812</v>
      </c>
      <c r="N598" t="s">
        <v>12813</v>
      </c>
      <c r="O598" t="s">
        <v>12814</v>
      </c>
      <c r="P598">
        <v>82100</v>
      </c>
      <c r="Q598" t="str">
        <f>"38.292434"</f>
        <v>38.292434</v>
      </c>
      <c r="R598" t="str">
        <f>"26.104379"</f>
        <v>26.104379</v>
      </c>
      <c r="S598" t="s">
        <v>26</v>
      </c>
    </row>
    <row r="599" spans="1:19" x14ac:dyDescent="0.3">
      <c r="A599" t="s">
        <v>12435</v>
      </c>
      <c r="B599" t="s">
        <v>12801</v>
      </c>
      <c r="C599" t="s">
        <v>12862</v>
      </c>
      <c r="D599" t="s">
        <v>12448</v>
      </c>
      <c r="E599" t="s">
        <v>12448</v>
      </c>
      <c r="F599" t="s">
        <v>12448</v>
      </c>
      <c r="G599" t="s">
        <v>12448</v>
      </c>
      <c r="H599" t="s">
        <v>51</v>
      </c>
      <c r="I599" t="s">
        <v>52</v>
      </c>
      <c r="J599" t="str">
        <f>"5101010"</f>
        <v>5101010</v>
      </c>
      <c r="K599">
        <v>2271044521</v>
      </c>
      <c r="L599">
        <v>2271044521</v>
      </c>
      <c r="M599" t="s">
        <v>12863</v>
      </c>
      <c r="N599" t="s">
        <v>12451</v>
      </c>
      <c r="O599" t="s">
        <v>12864</v>
      </c>
      <c r="P599">
        <v>82100</v>
      </c>
      <c r="Q599" t="str">
        <f>"38.368020"</f>
        <v>38.368020</v>
      </c>
      <c r="R599" t="str">
        <f>"26.136167"</f>
        <v>26.136167</v>
      </c>
      <c r="S599" t="s">
        <v>26</v>
      </c>
    </row>
    <row r="600" spans="1:19" x14ac:dyDescent="0.3">
      <c r="A600" t="s">
        <v>12435</v>
      </c>
      <c r="B600" t="s">
        <v>12801</v>
      </c>
      <c r="C600" t="s">
        <v>12866</v>
      </c>
      <c r="D600" t="s">
        <v>12448</v>
      </c>
      <c r="E600" t="s">
        <v>12816</v>
      </c>
      <c r="F600" t="s">
        <v>12816</v>
      </c>
      <c r="G600" t="s">
        <v>12816</v>
      </c>
      <c r="H600" t="s">
        <v>51</v>
      </c>
      <c r="I600" t="s">
        <v>89</v>
      </c>
      <c r="J600" t="str">
        <f>"5105010"</f>
        <v>5105010</v>
      </c>
      <c r="K600">
        <v>2271055310</v>
      </c>
      <c r="L600">
        <v>2271055231</v>
      </c>
      <c r="M600" t="s">
        <v>12867</v>
      </c>
      <c r="N600" t="s">
        <v>12820</v>
      </c>
      <c r="O600" t="s">
        <v>7124</v>
      </c>
      <c r="P600">
        <v>82101</v>
      </c>
      <c r="Q600" t="str">
        <f>"38.515461"</f>
        <v>38.515461</v>
      </c>
      <c r="R600" t="str">
        <f>"26.215221"</f>
        <v>26.215221</v>
      </c>
      <c r="S600" t="s">
        <v>57</v>
      </c>
    </row>
    <row r="601" spans="1:19" x14ac:dyDescent="0.3">
      <c r="A601" t="s">
        <v>12435</v>
      </c>
      <c r="B601" t="s">
        <v>12801</v>
      </c>
      <c r="C601" t="s">
        <v>12868</v>
      </c>
      <c r="D601" t="s">
        <v>12448</v>
      </c>
      <c r="E601" t="s">
        <v>12448</v>
      </c>
      <c r="F601" t="s">
        <v>12448</v>
      </c>
      <c r="G601" t="s">
        <v>12448</v>
      </c>
      <c r="H601" t="s">
        <v>51</v>
      </c>
      <c r="I601" t="s">
        <v>52</v>
      </c>
      <c r="J601" t="str">
        <f>"5107010"</f>
        <v>5107010</v>
      </c>
      <c r="K601">
        <v>2271024295</v>
      </c>
      <c r="L601">
        <v>2271024295</v>
      </c>
      <c r="M601" t="s">
        <v>12869</v>
      </c>
      <c r="N601" t="s">
        <v>12870</v>
      </c>
      <c r="O601" t="s">
        <v>12871</v>
      </c>
      <c r="P601">
        <v>82132</v>
      </c>
      <c r="Q601" t="str">
        <f>"38.336194"</f>
        <v>38.336194</v>
      </c>
      <c r="R601" t="str">
        <f>"26.133395"</f>
        <v>26.133395</v>
      </c>
      <c r="S601" t="s">
        <v>26</v>
      </c>
    </row>
    <row r="602" spans="1:19" x14ac:dyDescent="0.3">
      <c r="A602" t="s">
        <v>12435</v>
      </c>
      <c r="B602" t="s">
        <v>12801</v>
      </c>
      <c r="C602" t="s">
        <v>12873</v>
      </c>
      <c r="D602" t="s">
        <v>12448</v>
      </c>
      <c r="E602" t="s">
        <v>12448</v>
      </c>
      <c r="F602" t="s">
        <v>12448</v>
      </c>
      <c r="G602" t="s">
        <v>12448</v>
      </c>
      <c r="H602" t="s">
        <v>51</v>
      </c>
      <c r="I602" t="s">
        <v>4556</v>
      </c>
      <c r="J602" t="str">
        <f>"5101050"</f>
        <v>5101050</v>
      </c>
      <c r="K602">
        <v>2271043589</v>
      </c>
      <c r="L602">
        <v>2271026554</v>
      </c>
      <c r="M602" t="s">
        <v>12874</v>
      </c>
      <c r="N602" t="s">
        <v>12451</v>
      </c>
      <c r="O602" t="s">
        <v>12875</v>
      </c>
      <c r="P602">
        <v>82132</v>
      </c>
      <c r="Q602" t="str">
        <f>"38.334900"</f>
        <v>38.334900</v>
      </c>
      <c r="R602" t="str">
        <f>"26.132742"</f>
        <v>26.132742</v>
      </c>
      <c r="S602" t="s">
        <v>26</v>
      </c>
    </row>
    <row r="603" spans="1:19" x14ac:dyDescent="0.3">
      <c r="A603" t="s">
        <v>12435</v>
      </c>
      <c r="B603" t="s">
        <v>12801</v>
      </c>
      <c r="C603" t="s">
        <v>12876</v>
      </c>
      <c r="D603" t="s">
        <v>12448</v>
      </c>
      <c r="E603" t="s">
        <v>12448</v>
      </c>
      <c r="F603" t="s">
        <v>12448</v>
      </c>
      <c r="G603" t="s">
        <v>12448</v>
      </c>
      <c r="H603" t="s">
        <v>51</v>
      </c>
      <c r="I603" t="s">
        <v>52</v>
      </c>
      <c r="J603" t="str">
        <f>"5101031"</f>
        <v>5101031</v>
      </c>
      <c r="K603">
        <v>2271024900</v>
      </c>
      <c r="L603">
        <v>2271024170</v>
      </c>
      <c r="M603" t="s">
        <v>12877</v>
      </c>
      <c r="N603" t="s">
        <v>12451</v>
      </c>
      <c r="O603" t="s">
        <v>12878</v>
      </c>
      <c r="P603">
        <v>82132</v>
      </c>
      <c r="Q603" t="str">
        <f>"38.381189"</f>
        <v>38.381189</v>
      </c>
      <c r="R603" t="str">
        <f>"26.135634"</f>
        <v>26.135634</v>
      </c>
      <c r="S603" t="s">
        <v>26</v>
      </c>
    </row>
    <row r="604" spans="1:19" x14ac:dyDescent="0.3">
      <c r="A604" t="s">
        <v>12435</v>
      </c>
      <c r="B604" t="s">
        <v>12801</v>
      </c>
      <c r="C604" t="s">
        <v>12880</v>
      </c>
      <c r="D604" t="s">
        <v>12448</v>
      </c>
      <c r="E604" t="s">
        <v>12448</v>
      </c>
      <c r="F604" t="s">
        <v>12448</v>
      </c>
      <c r="G604" t="s">
        <v>12448</v>
      </c>
      <c r="H604" t="s">
        <v>51</v>
      </c>
      <c r="I604" t="s">
        <v>52</v>
      </c>
      <c r="J604" t="str">
        <f>"5101030"</f>
        <v>5101030</v>
      </c>
      <c r="K604">
        <v>2271022821</v>
      </c>
      <c r="L604">
        <v>2271028845</v>
      </c>
      <c r="M604" t="s">
        <v>12881</v>
      </c>
      <c r="N604" t="s">
        <v>12451</v>
      </c>
      <c r="O604" t="s">
        <v>12882</v>
      </c>
      <c r="P604">
        <v>82132</v>
      </c>
      <c r="Q604" t="str">
        <f>"38.368457"</f>
        <v>38.368457</v>
      </c>
      <c r="R604" t="str">
        <f>"26.136892"</f>
        <v>26.136892</v>
      </c>
      <c r="S604" t="s">
        <v>26</v>
      </c>
    </row>
    <row r="605" spans="1:19" x14ac:dyDescent="0.3">
      <c r="A605" t="s">
        <v>12435</v>
      </c>
      <c r="B605" t="s">
        <v>12801</v>
      </c>
      <c r="C605" t="s">
        <v>12883</v>
      </c>
      <c r="D605" t="s">
        <v>12448</v>
      </c>
      <c r="E605" t="s">
        <v>12448</v>
      </c>
      <c r="F605" t="s">
        <v>12448</v>
      </c>
      <c r="G605" t="s">
        <v>12448</v>
      </c>
      <c r="H605" t="s">
        <v>51</v>
      </c>
      <c r="I605" t="s">
        <v>52</v>
      </c>
      <c r="J605" t="str">
        <f>"5101020"</f>
        <v>5101020</v>
      </c>
      <c r="K605">
        <v>2271022510</v>
      </c>
      <c r="L605">
        <v>2271044824</v>
      </c>
      <c r="M605" t="s">
        <v>12884</v>
      </c>
      <c r="N605" t="s">
        <v>12451</v>
      </c>
      <c r="O605" t="s">
        <v>12885</v>
      </c>
      <c r="P605">
        <v>82132</v>
      </c>
      <c r="Q605" t="str">
        <f>"38.365064"</f>
        <v>38.365064</v>
      </c>
      <c r="R605" t="str">
        <f>"26.133825"</f>
        <v>26.133825</v>
      </c>
      <c r="S605" t="s">
        <v>26</v>
      </c>
    </row>
    <row r="606" spans="1:19" x14ac:dyDescent="0.3">
      <c r="A606" t="s">
        <v>12435</v>
      </c>
      <c r="B606" t="s">
        <v>12801</v>
      </c>
      <c r="C606" t="s">
        <v>12887</v>
      </c>
      <c r="D606" t="s">
        <v>12448</v>
      </c>
      <c r="E606" t="s">
        <v>12448</v>
      </c>
      <c r="F606" t="s">
        <v>12842</v>
      </c>
      <c r="G606" t="s">
        <v>12843</v>
      </c>
      <c r="H606" t="s">
        <v>51</v>
      </c>
      <c r="I606" t="s">
        <v>52</v>
      </c>
      <c r="J606" t="str">
        <f>"5103010"</f>
        <v>5103010</v>
      </c>
      <c r="K606">
        <v>2271071307</v>
      </c>
      <c r="L606">
        <v>2271071363</v>
      </c>
      <c r="M606" t="s">
        <v>12888</v>
      </c>
      <c r="N606" t="s">
        <v>12847</v>
      </c>
      <c r="O606" t="s">
        <v>12847</v>
      </c>
      <c r="P606">
        <v>82102</v>
      </c>
      <c r="Q606" t="str">
        <f>"38.232831"</f>
        <v>38.232831</v>
      </c>
      <c r="R606" t="str">
        <f>"26.046786"</f>
        <v>26.046786</v>
      </c>
      <c r="S606" t="s">
        <v>26</v>
      </c>
    </row>
    <row r="607" spans="1:19" x14ac:dyDescent="0.3">
      <c r="A607" t="s">
        <v>12435</v>
      </c>
      <c r="B607" t="s">
        <v>12801</v>
      </c>
      <c r="C607" t="s">
        <v>12889</v>
      </c>
      <c r="D607" t="s">
        <v>12448</v>
      </c>
      <c r="E607" t="s">
        <v>12448</v>
      </c>
      <c r="F607" t="s">
        <v>12827</v>
      </c>
      <c r="G607" t="s">
        <v>12828</v>
      </c>
      <c r="H607" t="s">
        <v>51</v>
      </c>
      <c r="I607" t="s">
        <v>52</v>
      </c>
      <c r="J607" t="str">
        <f>"5101040"</f>
        <v>5101040</v>
      </c>
      <c r="K607">
        <v>2271093287</v>
      </c>
      <c r="L607">
        <v>2271093287</v>
      </c>
      <c r="M607" t="s">
        <v>12890</v>
      </c>
      <c r="N607" t="s">
        <v>12831</v>
      </c>
      <c r="O607" t="s">
        <v>12891</v>
      </c>
      <c r="P607">
        <v>82200</v>
      </c>
      <c r="Q607" t="str">
        <f>"38.405411"</f>
        <v>38.405411</v>
      </c>
      <c r="R607" t="str">
        <f>"26.133084"</f>
        <v>26.133084</v>
      </c>
      <c r="S607" t="s">
        <v>26</v>
      </c>
    </row>
    <row r="608" spans="1:19" x14ac:dyDescent="0.3">
      <c r="A608" t="s">
        <v>12435</v>
      </c>
      <c r="B608" t="s">
        <v>12801</v>
      </c>
      <c r="C608" t="s">
        <v>12893</v>
      </c>
      <c r="D608" t="s">
        <v>12448</v>
      </c>
      <c r="E608" t="s">
        <v>12892</v>
      </c>
      <c r="F608" t="s">
        <v>12892</v>
      </c>
      <c r="G608" t="s">
        <v>12892</v>
      </c>
      <c r="H608" t="s">
        <v>51</v>
      </c>
      <c r="I608" t="s">
        <v>89</v>
      </c>
      <c r="J608" t="str">
        <f>"5102090"</f>
        <v>5102090</v>
      </c>
      <c r="K608">
        <v>2274061022</v>
      </c>
      <c r="L608">
        <v>2274061022</v>
      </c>
      <c r="M608" t="s">
        <v>12894</v>
      </c>
      <c r="N608" t="s">
        <v>12895</v>
      </c>
      <c r="O608" t="s">
        <v>12895</v>
      </c>
      <c r="P608">
        <v>82104</v>
      </c>
      <c r="Q608" t="str">
        <f>"38.498977"</f>
        <v>38.498977</v>
      </c>
      <c r="R608" t="str">
        <f>"25.583204"</f>
        <v>25.583204</v>
      </c>
      <c r="S608" t="s">
        <v>57</v>
      </c>
    </row>
    <row r="609" spans="1:19" x14ac:dyDescent="0.3">
      <c r="A609" t="s">
        <v>12435</v>
      </c>
      <c r="B609" t="s">
        <v>12801</v>
      </c>
      <c r="C609" t="s">
        <v>12897</v>
      </c>
      <c r="D609" t="s">
        <v>12448</v>
      </c>
      <c r="E609" t="s">
        <v>12448</v>
      </c>
      <c r="F609" t="s">
        <v>12822</v>
      </c>
      <c r="G609" t="s">
        <v>12822</v>
      </c>
      <c r="H609" t="s">
        <v>51</v>
      </c>
      <c r="I609" t="s">
        <v>52</v>
      </c>
      <c r="J609" t="str">
        <f>"5104010"</f>
        <v>5104010</v>
      </c>
      <c r="K609">
        <v>2272022231</v>
      </c>
      <c r="L609">
        <v>2272022090</v>
      </c>
      <c r="M609" t="s">
        <v>12898</v>
      </c>
      <c r="N609" t="s">
        <v>12822</v>
      </c>
      <c r="O609" t="s">
        <v>12899</v>
      </c>
      <c r="P609">
        <v>82300</v>
      </c>
      <c r="Q609" t="str">
        <f>"38.540075"</f>
        <v>38.540075</v>
      </c>
      <c r="R609" t="str">
        <f>"26.112159"</f>
        <v>26.112159</v>
      </c>
      <c r="S609" t="s">
        <v>26</v>
      </c>
    </row>
    <row r="610" spans="1:19" x14ac:dyDescent="0.3">
      <c r="A610" t="s">
        <v>12435</v>
      </c>
      <c r="B610" t="s">
        <v>12801</v>
      </c>
      <c r="C610" t="s">
        <v>12911</v>
      </c>
      <c r="D610" t="s">
        <v>12448</v>
      </c>
      <c r="E610" t="s">
        <v>12448</v>
      </c>
      <c r="F610" t="s">
        <v>12909</v>
      </c>
      <c r="G610" t="s">
        <v>12910</v>
      </c>
      <c r="H610" t="s">
        <v>51</v>
      </c>
      <c r="I610" t="s">
        <v>190</v>
      </c>
      <c r="J610" t="str">
        <f>"5101055"</f>
        <v>5101055</v>
      </c>
      <c r="K610">
        <v>2271081360</v>
      </c>
      <c r="L610">
        <v>2271081360</v>
      </c>
      <c r="M610" t="s">
        <v>12912</v>
      </c>
      <c r="N610" t="s">
        <v>12913</v>
      </c>
      <c r="O610" t="s">
        <v>12913</v>
      </c>
      <c r="P610">
        <v>82100</v>
      </c>
      <c r="Q610" t="str">
        <f>"38.310331"</f>
        <v>38.310331</v>
      </c>
      <c r="R610" t="str">
        <f>"26.137517"</f>
        <v>26.137517</v>
      </c>
      <c r="S610" t="s">
        <v>26</v>
      </c>
    </row>
    <row r="611" spans="1:19" x14ac:dyDescent="0.3">
      <c r="A611" t="s">
        <v>12435</v>
      </c>
      <c r="B611" t="s">
        <v>12801</v>
      </c>
      <c r="C611" t="s">
        <v>12917</v>
      </c>
      <c r="D611" t="s">
        <v>12448</v>
      </c>
      <c r="E611" t="s">
        <v>12448</v>
      </c>
      <c r="F611" t="s">
        <v>12448</v>
      </c>
      <c r="G611" t="s">
        <v>12448</v>
      </c>
      <c r="H611" t="s">
        <v>51</v>
      </c>
      <c r="I611" t="s">
        <v>199</v>
      </c>
      <c r="J611" t="str">
        <f>"5111201"</f>
        <v>5111201</v>
      </c>
      <c r="K611">
        <v>2271043589</v>
      </c>
      <c r="L611">
        <v>2271026554</v>
      </c>
      <c r="M611" t="s">
        <v>12918</v>
      </c>
      <c r="N611" t="s">
        <v>12919</v>
      </c>
      <c r="O611" t="s">
        <v>12920</v>
      </c>
      <c r="P611">
        <v>82132</v>
      </c>
      <c r="Q611" t="str">
        <f>"38.339884"</f>
        <v>38.339884</v>
      </c>
      <c r="R611" t="str">
        <f>"26.134223"</f>
        <v>26.134223</v>
      </c>
      <c r="S611" t="s">
        <v>26</v>
      </c>
    </row>
    <row r="612" spans="1:19" x14ac:dyDescent="0.3">
      <c r="A612" t="s">
        <v>13791</v>
      </c>
      <c r="B612" t="s">
        <v>13812</v>
      </c>
      <c r="C612" t="s">
        <v>13815</v>
      </c>
      <c r="D612" t="s">
        <v>13792</v>
      </c>
      <c r="E612" t="s">
        <v>8765</v>
      </c>
      <c r="F612" t="s">
        <v>13813</v>
      </c>
      <c r="G612" t="s">
        <v>13814</v>
      </c>
      <c r="H612" t="s">
        <v>51</v>
      </c>
      <c r="I612" t="s">
        <v>52</v>
      </c>
      <c r="J612" t="str">
        <f>"0118010"</f>
        <v>0118010</v>
      </c>
      <c r="K612">
        <v>2647031271</v>
      </c>
      <c r="L612">
        <v>2647031271</v>
      </c>
      <c r="M612" t="s">
        <v>13816</v>
      </c>
      <c r="N612" t="s">
        <v>13817</v>
      </c>
      <c r="O612" t="s">
        <v>13818</v>
      </c>
      <c r="P612">
        <v>30017</v>
      </c>
      <c r="Q612" t="str">
        <f>"39.024246"</f>
        <v>39.024246</v>
      </c>
      <c r="R612" t="str">
        <f>"21.320331"</f>
        <v>21.320331</v>
      </c>
      <c r="S612" t="s">
        <v>57</v>
      </c>
    </row>
    <row r="613" spans="1:19" x14ac:dyDescent="0.3">
      <c r="A613" t="s">
        <v>13791</v>
      </c>
      <c r="B613" t="s">
        <v>13812</v>
      </c>
      <c r="C613" t="s">
        <v>13823</v>
      </c>
      <c r="D613" t="s">
        <v>13792</v>
      </c>
      <c r="E613" t="s">
        <v>13820</v>
      </c>
      <c r="F613" t="s">
        <v>13821</v>
      </c>
      <c r="G613" t="s">
        <v>13822</v>
      </c>
      <c r="H613" t="s">
        <v>51</v>
      </c>
      <c r="I613" t="s">
        <v>52</v>
      </c>
      <c r="J613" t="str">
        <f>"0113050"</f>
        <v>0113050</v>
      </c>
      <c r="K613">
        <v>2646051326</v>
      </c>
      <c r="L613">
        <v>2646051326</v>
      </c>
      <c r="M613" t="s">
        <v>13824</v>
      </c>
      <c r="N613" t="s">
        <v>13825</v>
      </c>
      <c r="O613" t="s">
        <v>13825</v>
      </c>
      <c r="P613">
        <v>30019</v>
      </c>
      <c r="Q613" t="str">
        <f>"38.680700"</f>
        <v>38.680700</v>
      </c>
      <c r="R613" t="str">
        <f>"20.958603"</f>
        <v>20.958603</v>
      </c>
      <c r="S613" t="s">
        <v>26</v>
      </c>
    </row>
    <row r="614" spans="1:19" x14ac:dyDescent="0.3">
      <c r="A614" t="s">
        <v>13791</v>
      </c>
      <c r="B614" t="s">
        <v>13812</v>
      </c>
      <c r="C614" t="s">
        <v>13830</v>
      </c>
      <c r="D614" t="s">
        <v>13792</v>
      </c>
      <c r="E614" t="s">
        <v>13793</v>
      </c>
      <c r="F614" t="s">
        <v>13828</v>
      </c>
      <c r="G614" t="s">
        <v>13829</v>
      </c>
      <c r="H614" t="s">
        <v>51</v>
      </c>
      <c r="I614" t="s">
        <v>52</v>
      </c>
      <c r="J614" t="str">
        <f>"0111010"</f>
        <v>0111010</v>
      </c>
      <c r="K614">
        <v>2632091234</v>
      </c>
      <c r="L614">
        <v>2632092912</v>
      </c>
      <c r="M614" t="s">
        <v>13831</v>
      </c>
      <c r="N614" t="s">
        <v>13832</v>
      </c>
      <c r="O614" t="s">
        <v>13748</v>
      </c>
      <c r="P614">
        <v>30001</v>
      </c>
      <c r="Q614" t="str">
        <f>"38.405217"</f>
        <v>38.405217</v>
      </c>
      <c r="R614" t="str">
        <f>"21.277672"</f>
        <v>21.277672</v>
      </c>
      <c r="S614" t="s">
        <v>26</v>
      </c>
    </row>
    <row r="615" spans="1:19" x14ac:dyDescent="0.3">
      <c r="A615" t="s">
        <v>13791</v>
      </c>
      <c r="B615" t="s">
        <v>13812</v>
      </c>
      <c r="C615" t="s">
        <v>13975</v>
      </c>
      <c r="D615" t="s">
        <v>13792</v>
      </c>
      <c r="E615" t="s">
        <v>13820</v>
      </c>
      <c r="F615" t="s">
        <v>13826</v>
      </c>
      <c r="G615" t="s">
        <v>13826</v>
      </c>
      <c r="H615" t="s">
        <v>51</v>
      </c>
      <c r="I615" t="s">
        <v>52</v>
      </c>
      <c r="J615" t="str">
        <f>"0104010"</f>
        <v>0104010</v>
      </c>
      <c r="K615">
        <v>2646038005</v>
      </c>
      <c r="L615">
        <v>2646038006</v>
      </c>
      <c r="M615" t="s">
        <v>13976</v>
      </c>
      <c r="N615" t="s">
        <v>13929</v>
      </c>
      <c r="O615" t="s">
        <v>13929</v>
      </c>
      <c r="P615">
        <v>30006</v>
      </c>
      <c r="Q615" t="str">
        <f>"38.536944"</f>
        <v>38.536944</v>
      </c>
      <c r="R615" t="str">
        <f>"21.081918"</f>
        <v>21.081918</v>
      </c>
      <c r="S615" t="s">
        <v>26</v>
      </c>
    </row>
    <row r="616" spans="1:19" x14ac:dyDescent="0.3">
      <c r="A616" t="s">
        <v>13791</v>
      </c>
      <c r="B616" t="s">
        <v>13812</v>
      </c>
      <c r="C616" t="s">
        <v>13977</v>
      </c>
      <c r="D616" t="s">
        <v>13792</v>
      </c>
      <c r="E616" t="s">
        <v>13851</v>
      </c>
      <c r="F616" t="s">
        <v>13852</v>
      </c>
      <c r="G616" t="s">
        <v>13969</v>
      </c>
      <c r="H616" t="s">
        <v>51</v>
      </c>
      <c r="I616" t="s">
        <v>52</v>
      </c>
      <c r="J616" t="str">
        <f>"0101050"</f>
        <v>0101050</v>
      </c>
      <c r="K616">
        <v>2641051217</v>
      </c>
      <c r="L616">
        <v>2641051401</v>
      </c>
      <c r="M616" t="s">
        <v>13978</v>
      </c>
      <c r="N616" t="s">
        <v>13979</v>
      </c>
      <c r="O616" t="s">
        <v>13980</v>
      </c>
      <c r="P616">
        <v>30003</v>
      </c>
      <c r="Q616" t="str">
        <f>"38.586444"</f>
        <v>38.586444</v>
      </c>
      <c r="R616" t="str">
        <f>"21.441476"</f>
        <v>21.441476</v>
      </c>
      <c r="S616" t="s">
        <v>26</v>
      </c>
    </row>
    <row r="617" spans="1:19" x14ac:dyDescent="0.3">
      <c r="A617" t="s">
        <v>13791</v>
      </c>
      <c r="B617" t="s">
        <v>13812</v>
      </c>
      <c r="C617" t="s">
        <v>13982</v>
      </c>
      <c r="D617" t="s">
        <v>13792</v>
      </c>
      <c r="E617" t="s">
        <v>13888</v>
      </c>
      <c r="F617" t="s">
        <v>13889</v>
      </c>
      <c r="G617" t="s">
        <v>13889</v>
      </c>
      <c r="H617" t="s">
        <v>51</v>
      </c>
      <c r="I617" t="s">
        <v>52</v>
      </c>
      <c r="J617" t="str">
        <f>"0109010"</f>
        <v>0109010</v>
      </c>
      <c r="K617">
        <v>2634021378</v>
      </c>
      <c r="L617">
        <v>2634021445</v>
      </c>
      <c r="M617" t="s">
        <v>13983</v>
      </c>
      <c r="N617" t="s">
        <v>13892</v>
      </c>
      <c r="O617" t="s">
        <v>13984</v>
      </c>
      <c r="P617">
        <v>30300</v>
      </c>
      <c r="Q617" t="str">
        <f>"38.390869"</f>
        <v>38.390869</v>
      </c>
      <c r="R617" t="str">
        <f>"21.823506"</f>
        <v>21.823506</v>
      </c>
      <c r="S617" t="s">
        <v>26</v>
      </c>
    </row>
    <row r="618" spans="1:19" x14ac:dyDescent="0.3">
      <c r="A618" t="s">
        <v>13791</v>
      </c>
      <c r="B618" t="s">
        <v>13812</v>
      </c>
      <c r="C618" t="s">
        <v>13985</v>
      </c>
      <c r="D618" t="s">
        <v>13792</v>
      </c>
      <c r="E618" t="s">
        <v>13851</v>
      </c>
      <c r="F618" t="s">
        <v>13859</v>
      </c>
      <c r="G618" t="s">
        <v>13860</v>
      </c>
      <c r="H618" t="s">
        <v>51</v>
      </c>
      <c r="I618" t="s">
        <v>52</v>
      </c>
      <c r="J618" t="str">
        <f>"0106010"</f>
        <v>0106010</v>
      </c>
      <c r="K618">
        <v>2635041413</v>
      </c>
      <c r="L618">
        <v>2635041413</v>
      </c>
      <c r="M618" t="s">
        <v>13986</v>
      </c>
      <c r="N618" t="s">
        <v>13863</v>
      </c>
      <c r="O618" t="s">
        <v>13864</v>
      </c>
      <c r="P618">
        <v>30015</v>
      </c>
      <c r="Q618" t="str">
        <f>"38.526717"</f>
        <v>38.526717</v>
      </c>
      <c r="R618" t="str">
        <f>"21.535725"</f>
        <v>21.535725</v>
      </c>
      <c r="S618" t="s">
        <v>26</v>
      </c>
    </row>
    <row r="619" spans="1:19" x14ac:dyDescent="0.3">
      <c r="A619" t="s">
        <v>13791</v>
      </c>
      <c r="B619" t="s">
        <v>13812</v>
      </c>
      <c r="C619" t="s">
        <v>13988</v>
      </c>
      <c r="D619" t="s">
        <v>13792</v>
      </c>
      <c r="E619" t="s">
        <v>13793</v>
      </c>
      <c r="F619" t="s">
        <v>13987</v>
      </c>
      <c r="G619" t="s">
        <v>13987</v>
      </c>
      <c r="H619" t="s">
        <v>51</v>
      </c>
      <c r="I619" t="s">
        <v>52</v>
      </c>
      <c r="J619" t="str">
        <f>"0102030"</f>
        <v>0102030</v>
      </c>
      <c r="K619">
        <v>2632022353</v>
      </c>
      <c r="M619" t="s">
        <v>13989</v>
      </c>
      <c r="N619" t="s">
        <v>13990</v>
      </c>
      <c r="O619" t="s">
        <v>13991</v>
      </c>
      <c r="P619">
        <v>30400</v>
      </c>
      <c r="Q619" t="str">
        <f>"38.434438"</f>
        <v>38.434438</v>
      </c>
      <c r="R619" t="str">
        <f>"21.352489"</f>
        <v>21.352489</v>
      </c>
      <c r="S619" t="s">
        <v>26</v>
      </c>
    </row>
    <row r="620" spans="1:19" x14ac:dyDescent="0.3">
      <c r="A620" t="s">
        <v>13791</v>
      </c>
      <c r="B620" t="s">
        <v>13812</v>
      </c>
      <c r="C620" t="s">
        <v>13993</v>
      </c>
      <c r="D620" t="s">
        <v>13792</v>
      </c>
      <c r="E620" t="s">
        <v>13851</v>
      </c>
      <c r="F620" t="s">
        <v>13851</v>
      </c>
      <c r="G620" t="s">
        <v>2920</v>
      </c>
      <c r="H620" t="s">
        <v>51</v>
      </c>
      <c r="I620" t="s">
        <v>52</v>
      </c>
      <c r="J620" t="str">
        <f>"0122010"</f>
        <v>0122010</v>
      </c>
      <c r="K620">
        <v>2641095069</v>
      </c>
      <c r="L620">
        <v>2641095069</v>
      </c>
      <c r="M620" t="s">
        <v>13994</v>
      </c>
      <c r="N620" t="s">
        <v>13995</v>
      </c>
      <c r="O620" t="s">
        <v>13996</v>
      </c>
      <c r="P620">
        <v>30100</v>
      </c>
      <c r="Q620" t="str">
        <f>"38.620275"</f>
        <v>38.620275</v>
      </c>
      <c r="R620" t="str">
        <f>"21.295693"</f>
        <v>21.295693</v>
      </c>
      <c r="S620" t="s">
        <v>26</v>
      </c>
    </row>
    <row r="621" spans="1:19" x14ac:dyDescent="0.3">
      <c r="A621" t="s">
        <v>13791</v>
      </c>
      <c r="B621" t="s">
        <v>13812</v>
      </c>
      <c r="C621" t="s">
        <v>13998</v>
      </c>
      <c r="D621" t="s">
        <v>13792</v>
      </c>
      <c r="E621" t="s">
        <v>13851</v>
      </c>
      <c r="F621" t="s">
        <v>13852</v>
      </c>
      <c r="G621" t="s">
        <v>13853</v>
      </c>
      <c r="H621" t="s">
        <v>51</v>
      </c>
      <c r="I621" t="s">
        <v>52</v>
      </c>
      <c r="J621" t="str">
        <f>"0119010"</f>
        <v>0119010</v>
      </c>
      <c r="K621">
        <v>2641061574</v>
      </c>
      <c r="L621">
        <v>2641061574</v>
      </c>
      <c r="M621" t="s">
        <v>13999</v>
      </c>
      <c r="N621" t="s">
        <v>13856</v>
      </c>
      <c r="O621" t="s">
        <v>14000</v>
      </c>
      <c r="P621">
        <v>30005</v>
      </c>
      <c r="Q621" t="str">
        <f>"38.605505"</f>
        <v>38.605505</v>
      </c>
      <c r="R621" t="str">
        <f>"21.492299"</f>
        <v>21.492299</v>
      </c>
      <c r="S621" t="s">
        <v>26</v>
      </c>
    </row>
    <row r="622" spans="1:19" x14ac:dyDescent="0.3">
      <c r="A622" t="s">
        <v>13791</v>
      </c>
      <c r="B622" t="s">
        <v>13812</v>
      </c>
      <c r="C622" t="s">
        <v>14002</v>
      </c>
      <c r="D622" t="s">
        <v>13792</v>
      </c>
      <c r="E622" t="s">
        <v>13793</v>
      </c>
      <c r="F622" t="s">
        <v>13793</v>
      </c>
      <c r="G622" t="s">
        <v>3986</v>
      </c>
      <c r="H622" t="s">
        <v>51</v>
      </c>
      <c r="I622" t="s">
        <v>52</v>
      </c>
      <c r="J622" t="str">
        <f>"0102010"</f>
        <v>0102010</v>
      </c>
      <c r="K622">
        <v>2631028071</v>
      </c>
      <c r="L622">
        <v>2631028071</v>
      </c>
      <c r="M622" t="s">
        <v>14003</v>
      </c>
      <c r="N622" t="s">
        <v>13796</v>
      </c>
      <c r="O622" t="s">
        <v>14004</v>
      </c>
      <c r="P622">
        <v>30200</v>
      </c>
      <c r="Q622" t="str">
        <f>"38.367734"</f>
        <v>38.367734</v>
      </c>
      <c r="R622" t="str">
        <f>"21.425129"</f>
        <v>21.425129</v>
      </c>
      <c r="S622" t="s">
        <v>26</v>
      </c>
    </row>
    <row r="623" spans="1:19" x14ac:dyDescent="0.3">
      <c r="A623" t="s">
        <v>13791</v>
      </c>
      <c r="B623" t="s">
        <v>13812</v>
      </c>
      <c r="C623" t="s">
        <v>14006</v>
      </c>
      <c r="D623" t="s">
        <v>13792</v>
      </c>
      <c r="E623" t="s">
        <v>13836</v>
      </c>
      <c r="F623" t="s">
        <v>14005</v>
      </c>
      <c r="G623" t="s">
        <v>14005</v>
      </c>
      <c r="H623" t="s">
        <v>51</v>
      </c>
      <c r="I623" t="s">
        <v>89</v>
      </c>
      <c r="J623" t="str">
        <f>"0105020"</f>
        <v>0105020</v>
      </c>
      <c r="K623">
        <v>2643041369</v>
      </c>
      <c r="L623">
        <v>2643041369</v>
      </c>
      <c r="M623" t="s">
        <v>14007</v>
      </c>
      <c r="N623" t="s">
        <v>14008</v>
      </c>
      <c r="O623" t="s">
        <v>14009</v>
      </c>
      <c r="P623">
        <v>30012</v>
      </c>
      <c r="Q623" t="str">
        <f>"38.786313"</f>
        <v>38.786313</v>
      </c>
      <c r="R623" t="str">
        <f>"20.880733"</f>
        <v>20.880733</v>
      </c>
      <c r="S623" t="s">
        <v>26</v>
      </c>
    </row>
    <row r="624" spans="1:19" x14ac:dyDescent="0.3">
      <c r="A624" t="s">
        <v>13791</v>
      </c>
      <c r="B624" t="s">
        <v>13812</v>
      </c>
      <c r="C624" t="s">
        <v>14021</v>
      </c>
      <c r="D624" t="s">
        <v>13792</v>
      </c>
      <c r="E624" t="s">
        <v>13851</v>
      </c>
      <c r="F624" t="s">
        <v>13851</v>
      </c>
      <c r="G624" t="s">
        <v>13851</v>
      </c>
      <c r="H624" t="s">
        <v>51</v>
      </c>
      <c r="I624" t="s">
        <v>52</v>
      </c>
      <c r="J624" t="str">
        <f>"0101020"</f>
        <v>0101020</v>
      </c>
      <c r="K624">
        <v>2641028115</v>
      </c>
      <c r="L624">
        <v>2641028115</v>
      </c>
      <c r="M624" t="s">
        <v>14022</v>
      </c>
      <c r="N624" t="s">
        <v>13885</v>
      </c>
      <c r="O624" t="s">
        <v>14023</v>
      </c>
      <c r="P624">
        <v>30132</v>
      </c>
      <c r="Q624" t="str">
        <f>"38.621133"</f>
        <v>38.621133</v>
      </c>
      <c r="R624" t="str">
        <f>"21.416428"</f>
        <v>21.416428</v>
      </c>
      <c r="S624" t="s">
        <v>26</v>
      </c>
    </row>
    <row r="625" spans="1:19" x14ac:dyDescent="0.3">
      <c r="A625" t="s">
        <v>13791</v>
      </c>
      <c r="B625" t="s">
        <v>13812</v>
      </c>
      <c r="C625" t="s">
        <v>14025</v>
      </c>
      <c r="D625" t="s">
        <v>13792</v>
      </c>
      <c r="E625" t="s">
        <v>13851</v>
      </c>
      <c r="F625" t="s">
        <v>11666</v>
      </c>
      <c r="G625" t="s">
        <v>11666</v>
      </c>
      <c r="H625" t="s">
        <v>51</v>
      </c>
      <c r="I625" t="s">
        <v>52</v>
      </c>
      <c r="J625" t="str">
        <f>"0123010"</f>
        <v>0123010</v>
      </c>
      <c r="K625">
        <v>2641056040</v>
      </c>
      <c r="L625">
        <v>2641056884</v>
      </c>
      <c r="M625" t="s">
        <v>14026</v>
      </c>
      <c r="N625" t="s">
        <v>14027</v>
      </c>
      <c r="O625" t="s">
        <v>14027</v>
      </c>
      <c r="P625">
        <v>30100</v>
      </c>
      <c r="Q625" t="str">
        <f>"38.657197"</f>
        <v>38.657197</v>
      </c>
      <c r="R625" t="str">
        <f>"21.372833"</f>
        <v>21.372833</v>
      </c>
      <c r="S625" t="s">
        <v>26</v>
      </c>
    </row>
    <row r="626" spans="1:19" x14ac:dyDescent="0.3">
      <c r="A626" t="s">
        <v>13791</v>
      </c>
      <c r="B626" t="s">
        <v>13812</v>
      </c>
      <c r="C626" t="s">
        <v>14029</v>
      </c>
      <c r="D626" t="s">
        <v>13792</v>
      </c>
      <c r="E626" t="s">
        <v>13888</v>
      </c>
      <c r="F626" t="s">
        <v>13889</v>
      </c>
      <c r="G626" t="s">
        <v>13889</v>
      </c>
      <c r="H626" t="s">
        <v>51</v>
      </c>
      <c r="I626" t="s">
        <v>52</v>
      </c>
      <c r="J626" t="str">
        <f>"0109025"</f>
        <v>0109025</v>
      </c>
      <c r="K626">
        <v>2634029123</v>
      </c>
      <c r="L626">
        <v>2634038053</v>
      </c>
      <c r="M626" t="s">
        <v>14030</v>
      </c>
      <c r="N626" t="s">
        <v>13889</v>
      </c>
      <c r="O626" t="s">
        <v>14031</v>
      </c>
      <c r="P626">
        <v>30300</v>
      </c>
      <c r="Q626" t="str">
        <f>"38.401447"</f>
        <v>38.401447</v>
      </c>
      <c r="R626" t="str">
        <f>"21.845929"</f>
        <v>21.845929</v>
      </c>
      <c r="S626" t="s">
        <v>26</v>
      </c>
    </row>
    <row r="627" spans="1:19" x14ac:dyDescent="0.3">
      <c r="A627" t="s">
        <v>13791</v>
      </c>
      <c r="B627" t="s">
        <v>13812</v>
      </c>
      <c r="C627" t="s">
        <v>14038</v>
      </c>
      <c r="D627" t="s">
        <v>13792</v>
      </c>
      <c r="E627" t="s">
        <v>13878</v>
      </c>
      <c r="F627" t="s">
        <v>13878</v>
      </c>
      <c r="G627" t="s">
        <v>13878</v>
      </c>
      <c r="H627" t="s">
        <v>51</v>
      </c>
      <c r="I627" t="s">
        <v>52</v>
      </c>
      <c r="J627" t="str">
        <f>"0107010"</f>
        <v>0107010</v>
      </c>
      <c r="K627">
        <v>2644022587</v>
      </c>
      <c r="L627">
        <v>2644022587</v>
      </c>
      <c r="M627" t="s">
        <v>14039</v>
      </c>
      <c r="N627" t="s">
        <v>14040</v>
      </c>
      <c r="O627" t="s">
        <v>13881</v>
      </c>
      <c r="P627">
        <v>30008</v>
      </c>
      <c r="Q627" t="str">
        <f>"38.568366"</f>
        <v>38.568366</v>
      </c>
      <c r="R627" t="str">
        <f>"21.665280"</f>
        <v>21.665280</v>
      </c>
      <c r="S627" t="s">
        <v>26</v>
      </c>
    </row>
    <row r="628" spans="1:19" x14ac:dyDescent="0.3">
      <c r="A628" t="s">
        <v>13791</v>
      </c>
      <c r="B628" t="s">
        <v>13812</v>
      </c>
      <c r="C628" t="s">
        <v>14041</v>
      </c>
      <c r="D628" t="s">
        <v>13792</v>
      </c>
      <c r="E628" t="s">
        <v>13851</v>
      </c>
      <c r="F628" t="s">
        <v>13851</v>
      </c>
      <c r="G628" t="s">
        <v>13851</v>
      </c>
      <c r="H628" t="s">
        <v>51</v>
      </c>
      <c r="I628" t="s">
        <v>52</v>
      </c>
      <c r="J628" t="str">
        <f>"0101032"</f>
        <v>0101032</v>
      </c>
      <c r="K628">
        <v>2641054253</v>
      </c>
      <c r="L628">
        <v>2641054253</v>
      </c>
      <c r="M628" t="s">
        <v>14042</v>
      </c>
      <c r="N628" t="s">
        <v>3984</v>
      </c>
      <c r="O628" t="s">
        <v>14043</v>
      </c>
      <c r="P628">
        <v>30133</v>
      </c>
      <c r="Q628" t="str">
        <f>"38.628575"</f>
        <v>38.628575</v>
      </c>
      <c r="R628" t="str">
        <f>"21.418771"</f>
        <v>21.418771</v>
      </c>
      <c r="S628" t="s">
        <v>26</v>
      </c>
    </row>
    <row r="629" spans="1:19" x14ac:dyDescent="0.3">
      <c r="A629" t="s">
        <v>13791</v>
      </c>
      <c r="B629" t="s">
        <v>13812</v>
      </c>
      <c r="C629" t="s">
        <v>14044</v>
      </c>
      <c r="D629" t="s">
        <v>13792</v>
      </c>
      <c r="E629" t="s">
        <v>13851</v>
      </c>
      <c r="F629" t="s">
        <v>13851</v>
      </c>
      <c r="G629" t="s">
        <v>13851</v>
      </c>
      <c r="H629" t="s">
        <v>51</v>
      </c>
      <c r="I629" t="s">
        <v>52</v>
      </c>
      <c r="J629" t="str">
        <f>"0101010"</f>
        <v>0101010</v>
      </c>
      <c r="K629">
        <v>2641059367</v>
      </c>
      <c r="L629">
        <v>2641022977</v>
      </c>
      <c r="M629" t="s">
        <v>14045</v>
      </c>
      <c r="N629" t="s">
        <v>13885</v>
      </c>
      <c r="O629" t="s">
        <v>14046</v>
      </c>
      <c r="P629">
        <v>30100</v>
      </c>
      <c r="Q629" t="str">
        <f>"38.631717"</f>
        <v>38.631717</v>
      </c>
      <c r="R629" t="str">
        <f>"21.409575"</f>
        <v>21.409575</v>
      </c>
      <c r="S629" t="s">
        <v>26</v>
      </c>
    </row>
    <row r="630" spans="1:19" x14ac:dyDescent="0.3">
      <c r="A630" t="s">
        <v>13791</v>
      </c>
      <c r="B630" t="s">
        <v>13812</v>
      </c>
      <c r="C630" t="s">
        <v>14048</v>
      </c>
      <c r="D630" t="s">
        <v>13792</v>
      </c>
      <c r="E630" t="s">
        <v>8765</v>
      </c>
      <c r="F630" t="s">
        <v>8765</v>
      </c>
      <c r="G630" t="s">
        <v>8765</v>
      </c>
      <c r="H630" t="s">
        <v>51</v>
      </c>
      <c r="I630" t="s">
        <v>52</v>
      </c>
      <c r="J630" t="str">
        <f>"0103010"</f>
        <v>0103010</v>
      </c>
      <c r="K630">
        <v>2642022209</v>
      </c>
      <c r="L630">
        <v>2642022209</v>
      </c>
      <c r="M630" t="s">
        <v>14049</v>
      </c>
      <c r="N630" t="s">
        <v>13868</v>
      </c>
      <c r="O630" t="s">
        <v>14050</v>
      </c>
      <c r="P630">
        <v>30500</v>
      </c>
      <c r="Q630" t="str">
        <f>"38.858102"</f>
        <v>38.858102</v>
      </c>
      <c r="R630" t="str">
        <f>"21.164552"</f>
        <v>21.164552</v>
      </c>
      <c r="S630" t="s">
        <v>26</v>
      </c>
    </row>
    <row r="631" spans="1:19" x14ac:dyDescent="0.3">
      <c r="A631" t="s">
        <v>13791</v>
      </c>
      <c r="B631" t="s">
        <v>13812</v>
      </c>
      <c r="C631" t="s">
        <v>14051</v>
      </c>
      <c r="D631" t="s">
        <v>13792</v>
      </c>
      <c r="E631" t="s">
        <v>13851</v>
      </c>
      <c r="F631" t="s">
        <v>13942</v>
      </c>
      <c r="G631" t="s">
        <v>13942</v>
      </c>
      <c r="H631" t="s">
        <v>51</v>
      </c>
      <c r="I631" t="s">
        <v>52</v>
      </c>
      <c r="J631" t="str">
        <f>"0101040"</f>
        <v>0101040</v>
      </c>
      <c r="K631">
        <v>2641061575</v>
      </c>
      <c r="L631">
        <v>2641061575</v>
      </c>
      <c r="M631" t="s">
        <v>14052</v>
      </c>
      <c r="N631" t="s">
        <v>13946</v>
      </c>
      <c r="O631" t="s">
        <v>14053</v>
      </c>
      <c r="P631">
        <v>30010</v>
      </c>
      <c r="Q631" t="str">
        <f>"38.627006"</f>
        <v>38.627006</v>
      </c>
      <c r="R631" t="str">
        <f>"21.539986"</f>
        <v>21.539986</v>
      </c>
      <c r="S631" t="s">
        <v>26</v>
      </c>
    </row>
    <row r="632" spans="1:19" x14ac:dyDescent="0.3">
      <c r="A632" t="s">
        <v>13791</v>
      </c>
      <c r="B632" t="s">
        <v>13812</v>
      </c>
      <c r="C632" t="s">
        <v>14054</v>
      </c>
      <c r="D632" t="s">
        <v>13792</v>
      </c>
      <c r="E632" t="s">
        <v>13851</v>
      </c>
      <c r="F632" t="s">
        <v>13851</v>
      </c>
      <c r="G632" t="s">
        <v>13851</v>
      </c>
      <c r="H632" t="s">
        <v>51</v>
      </c>
      <c r="I632" t="s">
        <v>52</v>
      </c>
      <c r="J632" t="str">
        <f>"0101030"</f>
        <v>0101030</v>
      </c>
      <c r="K632">
        <v>2641028119</v>
      </c>
      <c r="L632">
        <v>2641028119</v>
      </c>
      <c r="M632" t="s">
        <v>14055</v>
      </c>
      <c r="N632" t="s">
        <v>13885</v>
      </c>
      <c r="O632" t="s">
        <v>14056</v>
      </c>
      <c r="P632">
        <v>30133</v>
      </c>
      <c r="Q632" t="str">
        <f>"38.630288"</f>
        <v>38.630288</v>
      </c>
      <c r="R632" t="str">
        <f>"21.418415"</f>
        <v>21.418415</v>
      </c>
      <c r="S632" t="s">
        <v>26</v>
      </c>
    </row>
    <row r="633" spans="1:19" x14ac:dyDescent="0.3">
      <c r="A633" t="s">
        <v>13791</v>
      </c>
      <c r="B633" t="s">
        <v>13812</v>
      </c>
      <c r="C633" t="s">
        <v>14058</v>
      </c>
      <c r="D633" t="s">
        <v>13792</v>
      </c>
      <c r="E633" t="s">
        <v>8765</v>
      </c>
      <c r="F633" t="s">
        <v>13813</v>
      </c>
      <c r="G633" t="s">
        <v>14057</v>
      </c>
      <c r="H633" t="s">
        <v>51</v>
      </c>
      <c r="I633" t="s">
        <v>52</v>
      </c>
      <c r="J633" t="str">
        <f>"0118012"</f>
        <v>0118012</v>
      </c>
      <c r="K633">
        <v>2647051033</v>
      </c>
      <c r="L633">
        <v>2647051613</v>
      </c>
      <c r="M633" t="s">
        <v>14059</v>
      </c>
      <c r="N633" t="s">
        <v>14060</v>
      </c>
      <c r="O633" t="s">
        <v>14061</v>
      </c>
      <c r="P633">
        <v>30018</v>
      </c>
      <c r="Q633" t="str">
        <f>"38.901477"</f>
        <v>38.901477</v>
      </c>
      <c r="R633" t="str">
        <f>"21.327930"</f>
        <v>21.327930</v>
      </c>
      <c r="S633" t="s">
        <v>26</v>
      </c>
    </row>
    <row r="634" spans="1:19" x14ac:dyDescent="0.3">
      <c r="A634" t="s">
        <v>13791</v>
      </c>
      <c r="B634" t="s">
        <v>13812</v>
      </c>
      <c r="C634" t="s">
        <v>14063</v>
      </c>
      <c r="D634" t="s">
        <v>13792</v>
      </c>
      <c r="E634" t="s">
        <v>13836</v>
      </c>
      <c r="F634" t="s">
        <v>13837</v>
      </c>
      <c r="G634" t="s">
        <v>13838</v>
      </c>
      <c r="H634" t="s">
        <v>51</v>
      </c>
      <c r="I634" t="s">
        <v>52</v>
      </c>
      <c r="J634" t="str">
        <f>"0105010"</f>
        <v>0105010</v>
      </c>
      <c r="K634">
        <v>2643022092</v>
      </c>
      <c r="L634">
        <v>2643022092</v>
      </c>
      <c r="M634" t="s">
        <v>14064</v>
      </c>
      <c r="N634" t="s">
        <v>13842</v>
      </c>
      <c r="O634" t="s">
        <v>14065</v>
      </c>
      <c r="P634">
        <v>30002</v>
      </c>
      <c r="Q634" t="str">
        <f>"38.915101"</f>
        <v>38.915101</v>
      </c>
      <c r="R634" t="str">
        <f>"20.889247"</f>
        <v>20.889247</v>
      </c>
      <c r="S634" t="s">
        <v>26</v>
      </c>
    </row>
    <row r="635" spans="1:19" x14ac:dyDescent="0.3">
      <c r="A635" t="s">
        <v>13791</v>
      </c>
      <c r="B635" t="s">
        <v>13812</v>
      </c>
      <c r="C635" t="s">
        <v>14068</v>
      </c>
      <c r="D635" t="s">
        <v>13792</v>
      </c>
      <c r="E635" t="s">
        <v>13851</v>
      </c>
      <c r="F635" t="s">
        <v>14066</v>
      </c>
      <c r="G635" t="s">
        <v>14067</v>
      </c>
      <c r="H635" t="s">
        <v>51</v>
      </c>
      <c r="I635" t="s">
        <v>52</v>
      </c>
      <c r="J635" t="str">
        <f>"0114010"</f>
        <v>0114010</v>
      </c>
      <c r="K635">
        <v>2641092125</v>
      </c>
      <c r="L635">
        <v>2641092577</v>
      </c>
      <c r="M635" t="s">
        <v>14069</v>
      </c>
      <c r="N635" t="s">
        <v>14070</v>
      </c>
      <c r="P635">
        <v>30100</v>
      </c>
      <c r="Q635" t="str">
        <f>"38.698295"</f>
        <v>38.698295</v>
      </c>
      <c r="R635" t="str">
        <f>"21.292007"</f>
        <v>21.292007</v>
      </c>
      <c r="S635" t="s">
        <v>26</v>
      </c>
    </row>
    <row r="636" spans="1:19" x14ac:dyDescent="0.3">
      <c r="A636" t="s">
        <v>13791</v>
      </c>
      <c r="B636" t="s">
        <v>13812</v>
      </c>
      <c r="C636" t="s">
        <v>14072</v>
      </c>
      <c r="D636" t="s">
        <v>13792</v>
      </c>
      <c r="E636" t="s">
        <v>13851</v>
      </c>
      <c r="F636" t="s">
        <v>13851</v>
      </c>
      <c r="G636" t="s">
        <v>13851</v>
      </c>
      <c r="H636" t="s">
        <v>51</v>
      </c>
      <c r="I636" t="s">
        <v>52</v>
      </c>
      <c r="J636" t="str">
        <f>"0101011"</f>
        <v>0101011</v>
      </c>
      <c r="K636">
        <v>2641058880</v>
      </c>
      <c r="L636">
        <v>2641058880</v>
      </c>
      <c r="M636" t="s">
        <v>14073</v>
      </c>
      <c r="N636" t="s">
        <v>13885</v>
      </c>
      <c r="O636" t="s">
        <v>14074</v>
      </c>
      <c r="P636">
        <v>30131</v>
      </c>
      <c r="Q636" t="str">
        <f>"38.621656"</f>
        <v>38.621656</v>
      </c>
      <c r="R636" t="str">
        <f>"21.405956"</f>
        <v>21.405956</v>
      </c>
      <c r="S636" t="s">
        <v>26</v>
      </c>
    </row>
    <row r="637" spans="1:19" x14ac:dyDescent="0.3">
      <c r="A637" t="s">
        <v>13791</v>
      </c>
      <c r="B637" t="s">
        <v>13812</v>
      </c>
      <c r="C637" t="s">
        <v>14077</v>
      </c>
      <c r="D637" t="s">
        <v>13792</v>
      </c>
      <c r="E637" t="s">
        <v>13851</v>
      </c>
      <c r="F637" t="s">
        <v>14075</v>
      </c>
      <c r="G637" t="s">
        <v>14076</v>
      </c>
      <c r="H637" t="s">
        <v>51</v>
      </c>
      <c r="I637" t="s">
        <v>52</v>
      </c>
      <c r="J637" t="str">
        <f>"0108010"</f>
        <v>0108010</v>
      </c>
      <c r="K637">
        <v>2641081241</v>
      </c>
      <c r="L637">
        <v>2641081241</v>
      </c>
      <c r="M637" t="s">
        <v>14078</v>
      </c>
      <c r="O637" t="s">
        <v>14079</v>
      </c>
      <c r="P637">
        <v>30021</v>
      </c>
      <c r="Q637" t="str">
        <f>"38.814009"</f>
        <v>38.814009</v>
      </c>
      <c r="R637" t="str">
        <f>"21.511685"</f>
        <v>21.511685</v>
      </c>
      <c r="S637" t="s">
        <v>26</v>
      </c>
    </row>
    <row r="638" spans="1:19" x14ac:dyDescent="0.3">
      <c r="A638" t="s">
        <v>13791</v>
      </c>
      <c r="B638" t="s">
        <v>13812</v>
      </c>
      <c r="C638" t="s">
        <v>14081</v>
      </c>
      <c r="D638" t="s">
        <v>13792</v>
      </c>
      <c r="E638" t="s">
        <v>13888</v>
      </c>
      <c r="F638" t="s">
        <v>13889</v>
      </c>
      <c r="G638" t="s">
        <v>13889</v>
      </c>
      <c r="H638" t="s">
        <v>51</v>
      </c>
      <c r="I638" t="s">
        <v>52</v>
      </c>
      <c r="J638" t="str">
        <f>"0109020"</f>
        <v>0109020</v>
      </c>
      <c r="K638">
        <v>2634022230</v>
      </c>
      <c r="L638">
        <v>2634022230</v>
      </c>
      <c r="M638" t="s">
        <v>14082</v>
      </c>
      <c r="N638" t="s">
        <v>13892</v>
      </c>
      <c r="O638" t="s">
        <v>14083</v>
      </c>
      <c r="P638">
        <v>30300</v>
      </c>
      <c r="Q638" t="str">
        <f>"38.392283"</f>
        <v>38.392283</v>
      </c>
      <c r="R638" t="str">
        <f>"21.821968"</f>
        <v>21.821968</v>
      </c>
      <c r="S638" t="s">
        <v>26</v>
      </c>
    </row>
    <row r="639" spans="1:19" x14ac:dyDescent="0.3">
      <c r="A639" t="s">
        <v>13791</v>
      </c>
      <c r="B639" t="s">
        <v>13812</v>
      </c>
      <c r="C639" t="s">
        <v>14086</v>
      </c>
      <c r="D639" t="s">
        <v>13792</v>
      </c>
      <c r="E639" t="s">
        <v>13820</v>
      </c>
      <c r="F639" t="s">
        <v>14085</v>
      </c>
      <c r="G639" t="s">
        <v>14085</v>
      </c>
      <c r="H639" t="s">
        <v>51</v>
      </c>
      <c r="I639" t="s">
        <v>89</v>
      </c>
      <c r="J639" t="str">
        <f>"0117010"</f>
        <v>0117010</v>
      </c>
      <c r="K639">
        <v>2646022342</v>
      </c>
      <c r="L639">
        <v>2646022342</v>
      </c>
      <c r="M639" t="s">
        <v>14087</v>
      </c>
      <c r="N639" t="s">
        <v>14088</v>
      </c>
      <c r="O639" t="s">
        <v>14089</v>
      </c>
      <c r="P639">
        <v>30009</v>
      </c>
      <c r="Q639" t="str">
        <f>"38.695022"</f>
        <v>38.695022</v>
      </c>
      <c r="R639" t="str">
        <f>"21.190435"</f>
        <v>21.190435</v>
      </c>
      <c r="S639" t="s">
        <v>26</v>
      </c>
    </row>
    <row r="640" spans="1:19" x14ac:dyDescent="0.3">
      <c r="A640" t="s">
        <v>13791</v>
      </c>
      <c r="B640" t="s">
        <v>13812</v>
      </c>
      <c r="C640" t="s">
        <v>14091</v>
      </c>
      <c r="D640" t="s">
        <v>13792</v>
      </c>
      <c r="E640" t="s">
        <v>13851</v>
      </c>
      <c r="F640" t="s">
        <v>13871</v>
      </c>
      <c r="G640" t="s">
        <v>13937</v>
      </c>
      <c r="H640" t="s">
        <v>51</v>
      </c>
      <c r="I640" t="s">
        <v>52</v>
      </c>
      <c r="J640" t="str">
        <f>"0116010"</f>
        <v>0116010</v>
      </c>
      <c r="K640">
        <v>2635022147</v>
      </c>
      <c r="L640">
        <v>2635022147</v>
      </c>
      <c r="M640" t="s">
        <v>14092</v>
      </c>
      <c r="N640" t="s">
        <v>13941</v>
      </c>
      <c r="O640" t="s">
        <v>14093</v>
      </c>
      <c r="P640">
        <v>30011</v>
      </c>
      <c r="Q640" t="str">
        <f>"38.527259"</f>
        <v>38.527259</v>
      </c>
      <c r="R640" t="str">
        <f>"21.468319"</f>
        <v>21.468319</v>
      </c>
      <c r="S640" t="s">
        <v>26</v>
      </c>
    </row>
    <row r="641" spans="1:19" x14ac:dyDescent="0.3">
      <c r="A641" t="s">
        <v>13791</v>
      </c>
      <c r="B641" t="s">
        <v>13812</v>
      </c>
      <c r="C641" t="s">
        <v>14095</v>
      </c>
      <c r="D641" t="s">
        <v>13792</v>
      </c>
      <c r="E641" t="s">
        <v>13793</v>
      </c>
      <c r="F641" t="s">
        <v>13793</v>
      </c>
      <c r="G641" t="s">
        <v>13952</v>
      </c>
      <c r="H641" t="s">
        <v>51</v>
      </c>
      <c r="I641" t="s">
        <v>52</v>
      </c>
      <c r="J641" t="str">
        <f>"0115010"</f>
        <v>0115010</v>
      </c>
      <c r="K641">
        <v>2631039357</v>
      </c>
      <c r="L641">
        <v>2631039393</v>
      </c>
      <c r="M641" t="s">
        <v>14096</v>
      </c>
      <c r="N641" t="s">
        <v>14097</v>
      </c>
      <c r="P641">
        <v>30014</v>
      </c>
      <c r="Q641" t="str">
        <f>"38.366667"</f>
        <v>38.366667</v>
      </c>
      <c r="R641" t="str">
        <f>"21.536167"</f>
        <v>21.536167</v>
      </c>
      <c r="S641" t="s">
        <v>26</v>
      </c>
    </row>
    <row r="642" spans="1:19" x14ac:dyDescent="0.3">
      <c r="A642" t="s">
        <v>13791</v>
      </c>
      <c r="B642" t="s">
        <v>13812</v>
      </c>
      <c r="C642" t="s">
        <v>14098</v>
      </c>
      <c r="D642" t="s">
        <v>13792</v>
      </c>
      <c r="E642" t="s">
        <v>13851</v>
      </c>
      <c r="F642" t="s">
        <v>13851</v>
      </c>
      <c r="G642" t="s">
        <v>13851</v>
      </c>
      <c r="H642" t="s">
        <v>51</v>
      </c>
      <c r="I642" t="s">
        <v>190</v>
      </c>
      <c r="J642" t="str">
        <f>"0101015"</f>
        <v>0101015</v>
      </c>
      <c r="K642">
        <v>2641053595</v>
      </c>
      <c r="L642">
        <v>2641044485</v>
      </c>
      <c r="M642" t="s">
        <v>14099</v>
      </c>
      <c r="N642" t="s">
        <v>13885</v>
      </c>
      <c r="O642" t="s">
        <v>14100</v>
      </c>
      <c r="P642">
        <v>30100</v>
      </c>
      <c r="Q642" t="str">
        <f>"38.607228"</f>
        <v>38.607228</v>
      </c>
      <c r="R642" t="str">
        <f>"21.412050"</f>
        <v>21.412050</v>
      </c>
      <c r="S642" t="s">
        <v>26</v>
      </c>
    </row>
    <row r="643" spans="1:19" x14ac:dyDescent="0.3">
      <c r="A643" t="s">
        <v>13791</v>
      </c>
      <c r="B643" t="s">
        <v>13812</v>
      </c>
      <c r="C643" t="s">
        <v>14101</v>
      </c>
      <c r="D643" t="s">
        <v>13792</v>
      </c>
      <c r="E643" t="s">
        <v>13793</v>
      </c>
      <c r="F643" t="s">
        <v>13793</v>
      </c>
      <c r="G643" t="s">
        <v>3986</v>
      </c>
      <c r="H643" t="s">
        <v>51</v>
      </c>
      <c r="I643" t="s">
        <v>52</v>
      </c>
      <c r="J643" t="str">
        <f>"0102020"</f>
        <v>0102020</v>
      </c>
      <c r="K643">
        <v>2631022677</v>
      </c>
      <c r="L643">
        <v>2631022677</v>
      </c>
      <c r="M643" t="s">
        <v>14102</v>
      </c>
      <c r="N643" t="s">
        <v>13796</v>
      </c>
      <c r="O643" t="s">
        <v>14103</v>
      </c>
      <c r="P643">
        <v>30200</v>
      </c>
      <c r="Q643" t="str">
        <f>"38.383324"</f>
        <v>38.383324</v>
      </c>
      <c r="R643" t="str">
        <f>"21.426964"</f>
        <v>21.426964</v>
      </c>
      <c r="S643" t="s">
        <v>26</v>
      </c>
    </row>
    <row r="644" spans="1:19" x14ac:dyDescent="0.3">
      <c r="A644" t="s">
        <v>13791</v>
      </c>
      <c r="B644" t="s">
        <v>13812</v>
      </c>
      <c r="C644" t="s">
        <v>14106</v>
      </c>
      <c r="D644" t="s">
        <v>13792</v>
      </c>
      <c r="E644" t="s">
        <v>13888</v>
      </c>
      <c r="F644" t="s">
        <v>14105</v>
      </c>
      <c r="G644" t="s">
        <v>14105</v>
      </c>
      <c r="H644" t="s">
        <v>51</v>
      </c>
      <c r="I644" t="s">
        <v>52</v>
      </c>
      <c r="J644" t="str">
        <f>"0120010"</f>
        <v>0120010</v>
      </c>
      <c r="K644">
        <v>2634031495</v>
      </c>
      <c r="L644">
        <v>2634031495</v>
      </c>
      <c r="M644" t="s">
        <v>14107</v>
      </c>
      <c r="N644" t="s">
        <v>14108</v>
      </c>
      <c r="O644" t="s">
        <v>14108</v>
      </c>
      <c r="P644">
        <v>30020</v>
      </c>
      <c r="Q644" t="str">
        <f>"38.334322"</f>
        <v>38.334322</v>
      </c>
      <c r="R644" t="str">
        <f>"21.762467"</f>
        <v>21.762467</v>
      </c>
      <c r="S644" t="s">
        <v>26</v>
      </c>
    </row>
    <row r="645" spans="1:19" x14ac:dyDescent="0.3">
      <c r="A645" t="s">
        <v>13791</v>
      </c>
      <c r="B645" t="s">
        <v>13812</v>
      </c>
      <c r="C645" t="s">
        <v>14110</v>
      </c>
      <c r="D645" t="s">
        <v>13792</v>
      </c>
      <c r="E645" t="s">
        <v>8765</v>
      </c>
      <c r="F645" t="s">
        <v>8765</v>
      </c>
      <c r="G645" t="s">
        <v>1460</v>
      </c>
      <c r="H645" t="s">
        <v>51</v>
      </c>
      <c r="I645" t="s">
        <v>52</v>
      </c>
      <c r="J645" t="str">
        <f>"0124010"</f>
        <v>0124010</v>
      </c>
      <c r="K645">
        <v>2642051350</v>
      </c>
      <c r="L645">
        <v>2642051350</v>
      </c>
      <c r="M645" t="s">
        <v>14111</v>
      </c>
      <c r="N645" t="s">
        <v>14112</v>
      </c>
      <c r="O645" t="s">
        <v>14113</v>
      </c>
      <c r="P645">
        <v>30500</v>
      </c>
      <c r="Q645" t="str">
        <f>"38.942305"</f>
        <v>38.942305</v>
      </c>
      <c r="R645" t="str">
        <f>"21.179642"</f>
        <v>21.179642</v>
      </c>
      <c r="S645" t="s">
        <v>26</v>
      </c>
    </row>
    <row r="646" spans="1:19" x14ac:dyDescent="0.3">
      <c r="A646" t="s">
        <v>13791</v>
      </c>
      <c r="B646" t="s">
        <v>13812</v>
      </c>
      <c r="C646" t="s">
        <v>14115</v>
      </c>
      <c r="D646" t="s">
        <v>13792</v>
      </c>
      <c r="E646" t="s">
        <v>13836</v>
      </c>
      <c r="F646" t="s">
        <v>13837</v>
      </c>
      <c r="G646" t="s">
        <v>938</v>
      </c>
      <c r="H646" t="s">
        <v>51</v>
      </c>
      <c r="I646" t="s">
        <v>52</v>
      </c>
      <c r="J646" t="str">
        <f>"0105012"</f>
        <v>0105012</v>
      </c>
      <c r="K646">
        <v>2643031269</v>
      </c>
      <c r="L646">
        <v>2643031269</v>
      </c>
      <c r="M646" t="s">
        <v>14116</v>
      </c>
      <c r="N646" t="s">
        <v>14117</v>
      </c>
      <c r="O646" t="s">
        <v>14118</v>
      </c>
      <c r="P646">
        <v>30002</v>
      </c>
      <c r="Q646" t="str">
        <f>"38.847248"</f>
        <v>38.847248</v>
      </c>
      <c r="R646" t="str">
        <f>"20.946163"</f>
        <v>20.946163</v>
      </c>
      <c r="S646" t="s">
        <v>26</v>
      </c>
    </row>
    <row r="647" spans="1:19" x14ac:dyDescent="0.3">
      <c r="A647" t="s">
        <v>13791</v>
      </c>
      <c r="B647" t="s">
        <v>13812</v>
      </c>
      <c r="C647" t="s">
        <v>14124</v>
      </c>
      <c r="D647" t="s">
        <v>13792</v>
      </c>
      <c r="E647" t="s">
        <v>13793</v>
      </c>
      <c r="F647" t="s">
        <v>13828</v>
      </c>
      <c r="G647" t="s">
        <v>14123</v>
      </c>
      <c r="H647" t="s">
        <v>51</v>
      </c>
      <c r="I647" t="s">
        <v>52</v>
      </c>
      <c r="J647" t="str">
        <f>"0111030"</f>
        <v>0111030</v>
      </c>
      <c r="K647">
        <v>2632031386</v>
      </c>
      <c r="L647">
        <v>2632031386</v>
      </c>
      <c r="M647" t="s">
        <v>14125</v>
      </c>
      <c r="N647" t="s">
        <v>14126</v>
      </c>
      <c r="O647" t="s">
        <v>14126</v>
      </c>
      <c r="P647">
        <v>30001</v>
      </c>
      <c r="Q647" t="str">
        <f>"38.476213"</f>
        <v>38.476213</v>
      </c>
      <c r="R647" t="str">
        <f>"21.259838"</f>
        <v>21.259838</v>
      </c>
      <c r="S647" t="s">
        <v>26</v>
      </c>
    </row>
    <row r="648" spans="1:19" x14ac:dyDescent="0.3">
      <c r="A648" t="s">
        <v>13791</v>
      </c>
      <c r="B648" t="s">
        <v>13812</v>
      </c>
      <c r="C648" t="s">
        <v>14128</v>
      </c>
      <c r="D648" t="s">
        <v>13792</v>
      </c>
      <c r="E648" t="s">
        <v>13793</v>
      </c>
      <c r="F648" t="s">
        <v>13828</v>
      </c>
      <c r="G648" t="s">
        <v>13845</v>
      </c>
      <c r="H648" t="s">
        <v>51</v>
      </c>
      <c r="I648" t="s">
        <v>52</v>
      </c>
      <c r="J648" t="str">
        <f>"0111020"</f>
        <v>0111020</v>
      </c>
      <c r="K648">
        <v>2632091558</v>
      </c>
      <c r="L648">
        <v>2632091558</v>
      </c>
      <c r="M648" t="s">
        <v>14129</v>
      </c>
      <c r="N648" t="s">
        <v>14130</v>
      </c>
      <c r="O648" t="s">
        <v>14131</v>
      </c>
      <c r="P648">
        <v>30007</v>
      </c>
      <c r="Q648" t="str">
        <f>"38.410116"</f>
        <v>38.410116</v>
      </c>
      <c r="R648" t="str">
        <f>"21.248748"</f>
        <v>21.248748</v>
      </c>
      <c r="S648" t="s">
        <v>26</v>
      </c>
    </row>
    <row r="649" spans="1:19" x14ac:dyDescent="0.3">
      <c r="A649" t="s">
        <v>13791</v>
      </c>
      <c r="B649" t="s">
        <v>13812</v>
      </c>
      <c r="C649" t="s">
        <v>14132</v>
      </c>
      <c r="D649" t="s">
        <v>13792</v>
      </c>
      <c r="E649" t="s">
        <v>13851</v>
      </c>
      <c r="F649" t="s">
        <v>13851</v>
      </c>
      <c r="G649" t="s">
        <v>13851</v>
      </c>
      <c r="H649" t="s">
        <v>51</v>
      </c>
      <c r="I649" t="s">
        <v>52</v>
      </c>
      <c r="J649" t="str">
        <f>"0101031"</f>
        <v>0101031</v>
      </c>
      <c r="K649">
        <v>2641031748</v>
      </c>
      <c r="L649">
        <v>2641031748</v>
      </c>
      <c r="M649" t="s">
        <v>14133</v>
      </c>
      <c r="N649" t="s">
        <v>13885</v>
      </c>
      <c r="O649" t="s">
        <v>14074</v>
      </c>
      <c r="P649">
        <v>30100</v>
      </c>
      <c r="Q649" t="str">
        <f>"38.621684"</f>
        <v>38.621684</v>
      </c>
      <c r="R649" t="str">
        <f>"21.405992"</f>
        <v>21.405992</v>
      </c>
      <c r="S649" t="s">
        <v>26</v>
      </c>
    </row>
    <row r="650" spans="1:19" x14ac:dyDescent="0.3">
      <c r="A650" t="s">
        <v>13791</v>
      </c>
      <c r="B650" t="s">
        <v>13812</v>
      </c>
      <c r="C650" t="s">
        <v>14134</v>
      </c>
      <c r="D650" t="s">
        <v>13792</v>
      </c>
      <c r="E650" t="s">
        <v>13836</v>
      </c>
      <c r="F650" t="s">
        <v>13903</v>
      </c>
      <c r="G650" t="s">
        <v>13904</v>
      </c>
      <c r="H650" t="s">
        <v>51</v>
      </c>
      <c r="I650" t="s">
        <v>52</v>
      </c>
      <c r="J650" t="str">
        <f>"0110010"</f>
        <v>0110010</v>
      </c>
      <c r="K650">
        <v>2646031222</v>
      </c>
      <c r="L650">
        <v>2646031222</v>
      </c>
      <c r="M650" t="s">
        <v>14135</v>
      </c>
      <c r="N650" t="s">
        <v>14136</v>
      </c>
      <c r="O650" t="s">
        <v>13907</v>
      </c>
      <c r="P650">
        <v>30100</v>
      </c>
      <c r="Q650" t="str">
        <f>"38.788153"</f>
        <v>38.788153</v>
      </c>
      <c r="R650" t="str">
        <f>"21.117005"</f>
        <v>21.117005</v>
      </c>
      <c r="S650" t="s">
        <v>26</v>
      </c>
    </row>
    <row r="651" spans="1:19" x14ac:dyDescent="0.3">
      <c r="A651" t="s">
        <v>13791</v>
      </c>
      <c r="B651" t="s">
        <v>13812</v>
      </c>
      <c r="C651" t="s">
        <v>14143</v>
      </c>
      <c r="D651" t="s">
        <v>13792</v>
      </c>
      <c r="E651" t="s">
        <v>13851</v>
      </c>
      <c r="F651" t="s">
        <v>13851</v>
      </c>
      <c r="G651" t="s">
        <v>13851</v>
      </c>
      <c r="H651" t="s">
        <v>51</v>
      </c>
      <c r="I651" t="s">
        <v>52</v>
      </c>
      <c r="J651" t="str">
        <f>"0101021"</f>
        <v>0101021</v>
      </c>
      <c r="K651">
        <v>2641028117</v>
      </c>
      <c r="L651">
        <v>2641028117</v>
      </c>
      <c r="M651" t="s">
        <v>14144</v>
      </c>
      <c r="N651" t="s">
        <v>13885</v>
      </c>
      <c r="O651" t="s">
        <v>14145</v>
      </c>
      <c r="P651">
        <v>30100</v>
      </c>
      <c r="Q651" t="str">
        <f>"38.614018"</f>
        <v>38.614018</v>
      </c>
      <c r="R651" t="str">
        <f>"21.419957"</f>
        <v>21.419957</v>
      </c>
      <c r="S651" t="s">
        <v>26</v>
      </c>
    </row>
    <row r="652" spans="1:19" x14ac:dyDescent="0.3">
      <c r="A652" t="s">
        <v>13791</v>
      </c>
      <c r="B652" t="s">
        <v>13812</v>
      </c>
      <c r="C652" t="s">
        <v>14146</v>
      </c>
      <c r="D652" t="s">
        <v>13792</v>
      </c>
      <c r="E652" t="s">
        <v>13851</v>
      </c>
      <c r="F652" t="s">
        <v>13851</v>
      </c>
      <c r="G652" t="s">
        <v>13393</v>
      </c>
      <c r="H652" t="s">
        <v>51</v>
      </c>
      <c r="I652" t="s">
        <v>52</v>
      </c>
      <c r="J652" t="str">
        <f>"0121010"</f>
        <v>0121010</v>
      </c>
      <c r="K652">
        <v>2641028811</v>
      </c>
      <c r="L652">
        <v>2641028112</v>
      </c>
      <c r="M652" t="s">
        <v>14147</v>
      </c>
      <c r="N652" t="s">
        <v>14148</v>
      </c>
      <c r="O652" t="s">
        <v>14149</v>
      </c>
      <c r="P652">
        <v>30027</v>
      </c>
      <c r="Q652" t="str">
        <f>"38.631546"</f>
        <v>38.631546</v>
      </c>
      <c r="R652" t="str">
        <f>"21.395414"</f>
        <v>21.395414</v>
      </c>
      <c r="S652" t="s">
        <v>26</v>
      </c>
    </row>
    <row r="653" spans="1:19" x14ac:dyDescent="0.3">
      <c r="A653" t="s">
        <v>13791</v>
      </c>
      <c r="B653" t="s">
        <v>13812</v>
      </c>
      <c r="C653" t="s">
        <v>14158</v>
      </c>
      <c r="D653" t="s">
        <v>13792</v>
      </c>
      <c r="E653" t="s">
        <v>13793</v>
      </c>
      <c r="F653" t="s">
        <v>13793</v>
      </c>
      <c r="G653" t="s">
        <v>3986</v>
      </c>
      <c r="H653" t="s">
        <v>51</v>
      </c>
      <c r="I653" t="s">
        <v>4556</v>
      </c>
      <c r="J653" t="str">
        <f>"0102015"</f>
        <v>0102015</v>
      </c>
      <c r="K653">
        <v>2631026399</v>
      </c>
      <c r="L653">
        <v>2631026399</v>
      </c>
      <c r="M653" t="s">
        <v>14159</v>
      </c>
      <c r="N653" t="s">
        <v>14160</v>
      </c>
      <c r="O653" t="s">
        <v>14161</v>
      </c>
      <c r="P653">
        <v>30200</v>
      </c>
      <c r="Q653" t="str">
        <f>"38.367697"</f>
        <v>38.367697</v>
      </c>
      <c r="R653" t="str">
        <f>"21.425038"</f>
        <v>21.425038</v>
      </c>
      <c r="S653" t="s">
        <v>26</v>
      </c>
    </row>
    <row r="654" spans="1:19" x14ac:dyDescent="0.3">
      <c r="A654" t="s">
        <v>13791</v>
      </c>
      <c r="B654" t="s">
        <v>13812</v>
      </c>
      <c r="C654" t="s">
        <v>14162</v>
      </c>
      <c r="D654" t="s">
        <v>13792</v>
      </c>
      <c r="E654" t="s">
        <v>13851</v>
      </c>
      <c r="F654" t="s">
        <v>11666</v>
      </c>
      <c r="G654" t="s">
        <v>11666</v>
      </c>
      <c r="H654" t="s">
        <v>51</v>
      </c>
      <c r="I654" t="s">
        <v>199</v>
      </c>
      <c r="J654" t="str">
        <f>"0111001"</f>
        <v>0111001</v>
      </c>
      <c r="K654">
        <v>2641091813</v>
      </c>
      <c r="L654">
        <v>2641091900</v>
      </c>
      <c r="M654" t="s">
        <v>14163</v>
      </c>
      <c r="N654" t="s">
        <v>13885</v>
      </c>
      <c r="O654" t="s">
        <v>14164</v>
      </c>
      <c r="P654">
        <v>30100</v>
      </c>
      <c r="Q654" t="str">
        <f>"38.664366"</f>
        <v>38.664366</v>
      </c>
      <c r="R654" t="str">
        <f>"21.373453"</f>
        <v>21.373453</v>
      </c>
      <c r="S654" t="s">
        <v>26</v>
      </c>
    </row>
    <row r="655" spans="1:19" x14ac:dyDescent="0.3">
      <c r="A655" t="s">
        <v>13791</v>
      </c>
      <c r="B655" t="s">
        <v>13812</v>
      </c>
      <c r="C655" t="s">
        <v>14165</v>
      </c>
      <c r="D655" t="s">
        <v>13792</v>
      </c>
      <c r="E655" t="s">
        <v>13851</v>
      </c>
      <c r="F655" t="s">
        <v>13851</v>
      </c>
      <c r="G655" t="s">
        <v>13851</v>
      </c>
      <c r="H655" t="s">
        <v>51</v>
      </c>
      <c r="I655" t="s">
        <v>4556</v>
      </c>
      <c r="J655" t="str">
        <f>"0101035"</f>
        <v>0101035</v>
      </c>
      <c r="K655">
        <v>2641058280</v>
      </c>
      <c r="L655">
        <v>2641059906</v>
      </c>
      <c r="M655" t="s">
        <v>14166</v>
      </c>
      <c r="N655" t="s">
        <v>13885</v>
      </c>
      <c r="O655" t="s">
        <v>14167</v>
      </c>
      <c r="P655">
        <v>30100</v>
      </c>
      <c r="Q655" t="str">
        <f>"38.621039"</f>
        <v>38.621039</v>
      </c>
      <c r="R655" t="str">
        <f>"21.416388"</f>
        <v>21.416388</v>
      </c>
      <c r="S655" t="s">
        <v>26</v>
      </c>
    </row>
    <row r="656" spans="1:19" x14ac:dyDescent="0.3">
      <c r="A656" t="s">
        <v>13791</v>
      </c>
      <c r="B656" t="s">
        <v>13812</v>
      </c>
      <c r="C656" t="s">
        <v>14174</v>
      </c>
      <c r="D656" t="s">
        <v>13792</v>
      </c>
      <c r="E656" t="s">
        <v>13793</v>
      </c>
      <c r="F656" t="s">
        <v>13793</v>
      </c>
      <c r="G656" t="s">
        <v>3986</v>
      </c>
      <c r="H656" t="s">
        <v>51</v>
      </c>
      <c r="I656" t="s">
        <v>199</v>
      </c>
      <c r="J656" t="str">
        <f>"0111002"</f>
        <v>0111002</v>
      </c>
      <c r="K656">
        <v>2631306703</v>
      </c>
      <c r="M656" t="s">
        <v>14175</v>
      </c>
      <c r="N656" t="s">
        <v>14176</v>
      </c>
      <c r="O656" t="s">
        <v>13950</v>
      </c>
      <c r="P656">
        <v>30200</v>
      </c>
      <c r="Q656" t="str">
        <f>"38.364582"</f>
        <v>38.364582</v>
      </c>
      <c r="R656" t="str">
        <f>"21.424735"</f>
        <v>21.424735</v>
      </c>
      <c r="S656" t="s">
        <v>26</v>
      </c>
    </row>
    <row r="657" spans="1:19" x14ac:dyDescent="0.3">
      <c r="A657" t="s">
        <v>13791</v>
      </c>
      <c r="B657" t="s">
        <v>13812</v>
      </c>
      <c r="C657" t="s">
        <v>14177</v>
      </c>
      <c r="D657" t="s">
        <v>13792</v>
      </c>
      <c r="E657" t="s">
        <v>13793</v>
      </c>
      <c r="F657" t="s">
        <v>13793</v>
      </c>
      <c r="G657" t="s">
        <v>3986</v>
      </c>
      <c r="H657" t="s">
        <v>51</v>
      </c>
      <c r="I657" t="s">
        <v>3992</v>
      </c>
      <c r="J657" t="str">
        <f>"0109000"</f>
        <v>0109000</v>
      </c>
      <c r="K657">
        <v>2631024683</v>
      </c>
      <c r="M657" t="s">
        <v>14178</v>
      </c>
      <c r="N657" t="s">
        <v>14176</v>
      </c>
      <c r="O657" t="s">
        <v>14179</v>
      </c>
      <c r="P657">
        <v>30200</v>
      </c>
      <c r="Q657" t="str">
        <f>"38.384119"</f>
        <v>38.384119</v>
      </c>
      <c r="R657" t="str">
        <f>"21.421125"</f>
        <v>21.421125</v>
      </c>
      <c r="S657" t="s">
        <v>26</v>
      </c>
    </row>
    <row r="658" spans="1:19" x14ac:dyDescent="0.3">
      <c r="A658" t="s">
        <v>13791</v>
      </c>
      <c r="B658" t="s">
        <v>14180</v>
      </c>
      <c r="C658" t="s">
        <v>14183</v>
      </c>
      <c r="D658" t="s">
        <v>13798</v>
      </c>
      <c r="E658" t="s">
        <v>14181</v>
      </c>
      <c r="F658" t="s">
        <v>14182</v>
      </c>
      <c r="G658" t="s">
        <v>14182</v>
      </c>
      <c r="H658" t="s">
        <v>51</v>
      </c>
      <c r="I658" t="s">
        <v>184</v>
      </c>
      <c r="J658" t="str">
        <f>"0602046"</f>
        <v>0602046</v>
      </c>
      <c r="K658">
        <v>2691022333</v>
      </c>
      <c r="L658">
        <v>2691061812</v>
      </c>
      <c r="M658" t="s">
        <v>14184</v>
      </c>
      <c r="N658" t="s">
        <v>14185</v>
      </c>
      <c r="O658" t="s">
        <v>14186</v>
      </c>
      <c r="P658">
        <v>25100</v>
      </c>
      <c r="Q658" t="str">
        <f>"38.249532"</f>
        <v>38.249532</v>
      </c>
      <c r="R658" t="str">
        <f>"22.072205"</f>
        <v>22.072205</v>
      </c>
      <c r="S658" t="s">
        <v>26</v>
      </c>
    </row>
    <row r="659" spans="1:19" x14ac:dyDescent="0.3">
      <c r="A659" t="s">
        <v>13791</v>
      </c>
      <c r="B659" t="s">
        <v>14180</v>
      </c>
      <c r="C659" t="s">
        <v>14191</v>
      </c>
      <c r="D659" t="s">
        <v>13798</v>
      </c>
      <c r="E659" t="s">
        <v>14188</v>
      </c>
      <c r="F659" t="s">
        <v>14189</v>
      </c>
      <c r="G659" t="s">
        <v>14190</v>
      </c>
      <c r="H659" t="s">
        <v>51</v>
      </c>
      <c r="I659" t="s">
        <v>89</v>
      </c>
      <c r="J659" t="str">
        <f>"0608010"</f>
        <v>0608010</v>
      </c>
      <c r="K659">
        <v>2694022317</v>
      </c>
      <c r="L659">
        <v>2694022317</v>
      </c>
      <c r="M659" t="s">
        <v>14192</v>
      </c>
      <c r="N659" t="s">
        <v>14193</v>
      </c>
      <c r="O659" t="s">
        <v>14194</v>
      </c>
      <c r="P659">
        <v>25008</v>
      </c>
      <c r="Q659" t="str">
        <f>"38.108842"</f>
        <v>38.108842</v>
      </c>
      <c r="R659" t="str">
        <f>"21.779439"</f>
        <v>21.779439</v>
      </c>
      <c r="S659" t="s">
        <v>26</v>
      </c>
    </row>
    <row r="660" spans="1:19" x14ac:dyDescent="0.3">
      <c r="A660" t="s">
        <v>13791</v>
      </c>
      <c r="B660" t="s">
        <v>14180</v>
      </c>
      <c r="C660" t="s">
        <v>14196</v>
      </c>
      <c r="D660" t="s">
        <v>13798</v>
      </c>
      <c r="E660" t="s">
        <v>14181</v>
      </c>
      <c r="F660" t="s">
        <v>14182</v>
      </c>
      <c r="G660" t="s">
        <v>14182</v>
      </c>
      <c r="H660" t="s">
        <v>51</v>
      </c>
      <c r="I660" t="s">
        <v>52</v>
      </c>
      <c r="J660" t="str">
        <f>"0602045"</f>
        <v>0602045</v>
      </c>
      <c r="K660">
        <v>2691024584</v>
      </c>
      <c r="L660">
        <v>2691024584</v>
      </c>
      <c r="M660" t="s">
        <v>14197</v>
      </c>
      <c r="N660" t="s">
        <v>14185</v>
      </c>
      <c r="O660" t="s">
        <v>14198</v>
      </c>
      <c r="P660">
        <v>25100</v>
      </c>
      <c r="Q660" t="str">
        <f>"38.239715"</f>
        <v>38.239715</v>
      </c>
      <c r="R660" t="str">
        <f>"22.081361"</f>
        <v>22.081361</v>
      </c>
      <c r="S660" t="s">
        <v>26</v>
      </c>
    </row>
    <row r="661" spans="1:19" x14ac:dyDescent="0.3">
      <c r="A661" t="s">
        <v>13791</v>
      </c>
      <c r="B661" t="s">
        <v>14180</v>
      </c>
      <c r="C661" t="s">
        <v>14203</v>
      </c>
      <c r="D661" t="s">
        <v>13798</v>
      </c>
      <c r="E661" t="s">
        <v>14200</v>
      </c>
      <c r="F661" t="s">
        <v>14201</v>
      </c>
      <c r="G661" t="s">
        <v>14202</v>
      </c>
      <c r="H661" t="s">
        <v>51</v>
      </c>
      <c r="I661" t="s">
        <v>52</v>
      </c>
      <c r="J661" t="str">
        <f>"0606020"</f>
        <v>0606020</v>
      </c>
      <c r="K661">
        <v>2693041078</v>
      </c>
      <c r="L661">
        <v>2693041070</v>
      </c>
      <c r="M661" t="s">
        <v>14204</v>
      </c>
      <c r="N661" t="s">
        <v>14205</v>
      </c>
      <c r="O661" t="s">
        <v>14206</v>
      </c>
      <c r="P661">
        <v>25200</v>
      </c>
      <c r="Q661" t="str">
        <f>"38.106909"</f>
        <v>38.106909</v>
      </c>
      <c r="R661" t="str">
        <f>"21.472243"</f>
        <v>21.472243</v>
      </c>
      <c r="S661" t="s">
        <v>26</v>
      </c>
    </row>
    <row r="662" spans="1:19" x14ac:dyDescent="0.3">
      <c r="A662" t="s">
        <v>13791</v>
      </c>
      <c r="B662" t="s">
        <v>14180</v>
      </c>
      <c r="C662" t="s">
        <v>14402</v>
      </c>
      <c r="D662" t="s">
        <v>13798</v>
      </c>
      <c r="E662" t="s">
        <v>14223</v>
      </c>
      <c r="F662" t="s">
        <v>14223</v>
      </c>
      <c r="G662" t="s">
        <v>14223</v>
      </c>
      <c r="H662" t="s">
        <v>51</v>
      </c>
      <c r="I662" t="s">
        <v>52</v>
      </c>
      <c r="J662" t="str">
        <f>"0603010"</f>
        <v>0603010</v>
      </c>
      <c r="K662">
        <v>2692022241</v>
      </c>
      <c r="L662">
        <v>2692022244</v>
      </c>
      <c r="M662" t="s">
        <v>14403</v>
      </c>
      <c r="N662" t="s">
        <v>14226</v>
      </c>
      <c r="O662" t="s">
        <v>14227</v>
      </c>
      <c r="P662">
        <v>25001</v>
      </c>
      <c r="Q662" t="str">
        <f>"38.033957"</f>
        <v>38.033957</v>
      </c>
      <c r="R662" t="str">
        <f>"22.112509"</f>
        <v>22.112509</v>
      </c>
      <c r="S662" t="s">
        <v>26</v>
      </c>
    </row>
    <row r="663" spans="1:19" x14ac:dyDescent="0.3">
      <c r="A663" t="s">
        <v>13791</v>
      </c>
      <c r="B663" t="s">
        <v>14180</v>
      </c>
      <c r="C663" t="s">
        <v>14404</v>
      </c>
      <c r="D663" t="s">
        <v>13798</v>
      </c>
      <c r="E663" t="s">
        <v>13799</v>
      </c>
      <c r="F663" t="s">
        <v>13799</v>
      </c>
      <c r="G663" t="s">
        <v>13809</v>
      </c>
      <c r="H663" t="s">
        <v>51</v>
      </c>
      <c r="I663" t="s">
        <v>3708</v>
      </c>
      <c r="J663" t="str">
        <f>"0601001"</f>
        <v>0601001</v>
      </c>
      <c r="K663">
        <v>2610333287</v>
      </c>
      <c r="L663">
        <v>2610333270</v>
      </c>
      <c r="M663" t="s">
        <v>14405</v>
      </c>
      <c r="N663" t="s">
        <v>14406</v>
      </c>
      <c r="O663" t="s">
        <v>14407</v>
      </c>
      <c r="P663">
        <v>26226</v>
      </c>
      <c r="Q663" t="str">
        <f>"38.230358"</f>
        <v>38.230358</v>
      </c>
      <c r="R663" t="str">
        <f>"21.745852"</f>
        <v>21.745852</v>
      </c>
      <c r="S663" t="s">
        <v>26</v>
      </c>
    </row>
    <row r="664" spans="1:19" x14ac:dyDescent="0.3">
      <c r="A664" t="s">
        <v>13791</v>
      </c>
      <c r="B664" t="s">
        <v>14180</v>
      </c>
      <c r="C664" t="s">
        <v>14408</v>
      </c>
      <c r="D664" t="s">
        <v>13798</v>
      </c>
      <c r="E664" t="s">
        <v>13799</v>
      </c>
      <c r="F664" t="s">
        <v>14212</v>
      </c>
      <c r="G664" t="s">
        <v>14212</v>
      </c>
      <c r="H664" t="s">
        <v>51</v>
      </c>
      <c r="I664" t="s">
        <v>52</v>
      </c>
      <c r="J664" t="str">
        <f>"0601121"</f>
        <v>0601121</v>
      </c>
      <c r="K664">
        <v>2610526553</v>
      </c>
      <c r="L664">
        <v>2610523181</v>
      </c>
      <c r="M664" t="s">
        <v>14409</v>
      </c>
      <c r="N664" t="s">
        <v>14273</v>
      </c>
      <c r="O664" t="s">
        <v>14410</v>
      </c>
      <c r="P664">
        <v>26333</v>
      </c>
      <c r="Q664" t="str">
        <f>"38.192165"</f>
        <v>38.192165</v>
      </c>
      <c r="R664" t="str">
        <f>"21.710604"</f>
        <v>21.710604</v>
      </c>
      <c r="S664" t="s">
        <v>26</v>
      </c>
    </row>
    <row r="665" spans="1:19" x14ac:dyDescent="0.3">
      <c r="A665" t="s">
        <v>13791</v>
      </c>
      <c r="B665" t="s">
        <v>14180</v>
      </c>
      <c r="C665" t="s">
        <v>14412</v>
      </c>
      <c r="D665" t="s">
        <v>13798</v>
      </c>
      <c r="E665" t="s">
        <v>13799</v>
      </c>
      <c r="F665" t="s">
        <v>14349</v>
      </c>
      <c r="G665" t="s">
        <v>14411</v>
      </c>
      <c r="H665" t="s">
        <v>51</v>
      </c>
      <c r="I665" t="s">
        <v>52</v>
      </c>
      <c r="J665" t="str">
        <f>"0616015"</f>
        <v>0616015</v>
      </c>
      <c r="K665">
        <v>2610524888</v>
      </c>
      <c r="L665">
        <v>2610524888</v>
      </c>
      <c r="M665" t="s">
        <v>14413</v>
      </c>
      <c r="N665" t="s">
        <v>14414</v>
      </c>
      <c r="O665" t="s">
        <v>14415</v>
      </c>
      <c r="P665">
        <v>26500</v>
      </c>
      <c r="Q665" t="str">
        <f>"38.188792"</f>
        <v>38.188792</v>
      </c>
      <c r="R665" t="str">
        <f>"21.722127"</f>
        <v>21.722127</v>
      </c>
      <c r="S665" t="s">
        <v>26</v>
      </c>
    </row>
    <row r="666" spans="1:19" x14ac:dyDescent="0.3">
      <c r="A666" t="s">
        <v>13791</v>
      </c>
      <c r="B666" t="s">
        <v>14180</v>
      </c>
      <c r="C666" t="s">
        <v>14417</v>
      </c>
      <c r="D666" t="s">
        <v>13798</v>
      </c>
      <c r="E666" t="s">
        <v>13799</v>
      </c>
      <c r="F666" t="s">
        <v>13799</v>
      </c>
      <c r="G666" t="s">
        <v>14236</v>
      </c>
      <c r="H666" t="s">
        <v>51</v>
      </c>
      <c r="I666" t="s">
        <v>52</v>
      </c>
      <c r="J666" t="str">
        <f>"0601095"</f>
        <v>0601095</v>
      </c>
      <c r="K666">
        <v>2610520414</v>
      </c>
      <c r="L666">
        <v>2610520317</v>
      </c>
      <c r="M666" t="s">
        <v>14418</v>
      </c>
      <c r="N666" t="s">
        <v>14309</v>
      </c>
      <c r="O666" t="s">
        <v>14269</v>
      </c>
      <c r="P666">
        <v>26333</v>
      </c>
      <c r="Q666" t="str">
        <f>"38.211140"</f>
        <v>38.211140</v>
      </c>
      <c r="R666" t="str">
        <f>"21.716729"</f>
        <v>21.716729</v>
      </c>
      <c r="S666" t="s">
        <v>26</v>
      </c>
    </row>
    <row r="667" spans="1:19" x14ac:dyDescent="0.3">
      <c r="A667" t="s">
        <v>13791</v>
      </c>
      <c r="B667" t="s">
        <v>14180</v>
      </c>
      <c r="C667" t="s">
        <v>14419</v>
      </c>
      <c r="D667" t="s">
        <v>13798</v>
      </c>
      <c r="E667" t="s">
        <v>14188</v>
      </c>
      <c r="F667" t="s">
        <v>14391</v>
      </c>
      <c r="G667" t="s">
        <v>14392</v>
      </c>
      <c r="H667" t="s">
        <v>51</v>
      </c>
      <c r="I667" t="s">
        <v>52</v>
      </c>
      <c r="J667" t="str">
        <f>"0605010"</f>
        <v>0605010</v>
      </c>
      <c r="K667">
        <v>2694031202</v>
      </c>
      <c r="L667">
        <v>2694031202</v>
      </c>
      <c r="M667" t="s">
        <v>14420</v>
      </c>
      <c r="O667" t="s">
        <v>14395</v>
      </c>
      <c r="P667">
        <v>25015</v>
      </c>
      <c r="Q667" t="str">
        <f>"37.980460"</f>
        <v>37.980460</v>
      </c>
      <c r="R667" t="str">
        <f>"21.728560"</f>
        <v>21.728560</v>
      </c>
      <c r="S667" t="s">
        <v>26</v>
      </c>
    </row>
    <row r="668" spans="1:19" x14ac:dyDescent="0.3">
      <c r="A668" t="s">
        <v>13791</v>
      </c>
      <c r="B668" t="s">
        <v>14180</v>
      </c>
      <c r="C668" t="s">
        <v>14423</v>
      </c>
      <c r="D668" t="s">
        <v>13798</v>
      </c>
      <c r="E668" t="s">
        <v>13799</v>
      </c>
      <c r="F668" t="s">
        <v>13799</v>
      </c>
      <c r="G668" t="s">
        <v>14236</v>
      </c>
      <c r="H668" t="s">
        <v>51</v>
      </c>
      <c r="I668" t="s">
        <v>52</v>
      </c>
      <c r="J668" t="str">
        <f>"0601052"</f>
        <v>0601052</v>
      </c>
      <c r="K668">
        <v>2610341370</v>
      </c>
      <c r="L668">
        <v>2610337174</v>
      </c>
      <c r="M668" t="s">
        <v>14424</v>
      </c>
      <c r="N668" t="s">
        <v>13803</v>
      </c>
      <c r="O668" t="s">
        <v>14425</v>
      </c>
      <c r="P668">
        <v>26332</v>
      </c>
      <c r="Q668" t="str">
        <f>"38.228924"</f>
        <v>38.228924</v>
      </c>
      <c r="R668" t="str">
        <f>"21.738808"</f>
        <v>21.738808</v>
      </c>
      <c r="S668" t="s">
        <v>26</v>
      </c>
    </row>
    <row r="669" spans="1:19" x14ac:dyDescent="0.3">
      <c r="A669" t="s">
        <v>13791</v>
      </c>
      <c r="B669" t="s">
        <v>14180</v>
      </c>
      <c r="C669" t="s">
        <v>14427</v>
      </c>
      <c r="D669" t="s">
        <v>13798</v>
      </c>
      <c r="E669" t="s">
        <v>13799</v>
      </c>
      <c r="F669" t="s">
        <v>13799</v>
      </c>
      <c r="G669" t="s">
        <v>14236</v>
      </c>
      <c r="H669" t="s">
        <v>51</v>
      </c>
      <c r="I669" t="s">
        <v>52</v>
      </c>
      <c r="J669" t="str">
        <f>"0601700"</f>
        <v>0601700</v>
      </c>
      <c r="K669">
        <v>2610342023</v>
      </c>
      <c r="L669">
        <v>2610342134</v>
      </c>
      <c r="M669" t="s">
        <v>14428</v>
      </c>
      <c r="N669" t="s">
        <v>14253</v>
      </c>
      <c r="O669" t="s">
        <v>14429</v>
      </c>
      <c r="P669">
        <v>26332</v>
      </c>
      <c r="Q669" t="str">
        <f>"38.214293"</f>
        <v>38.214293</v>
      </c>
      <c r="R669" t="str">
        <f>"21.726035"</f>
        <v>21.726035</v>
      </c>
      <c r="S669" t="s">
        <v>26</v>
      </c>
    </row>
    <row r="670" spans="1:19" x14ac:dyDescent="0.3">
      <c r="A670" t="s">
        <v>13791</v>
      </c>
      <c r="B670" t="s">
        <v>14180</v>
      </c>
      <c r="C670" t="s">
        <v>14431</v>
      </c>
      <c r="D670" t="s">
        <v>13798</v>
      </c>
      <c r="E670" t="s">
        <v>13799</v>
      </c>
      <c r="F670" t="s">
        <v>14323</v>
      </c>
      <c r="G670" t="s">
        <v>14323</v>
      </c>
      <c r="H670" t="s">
        <v>51</v>
      </c>
      <c r="I670" t="s">
        <v>52</v>
      </c>
      <c r="J670" t="str">
        <f>"0615010"</f>
        <v>0615010</v>
      </c>
      <c r="K670">
        <v>2610670463</v>
      </c>
      <c r="L670">
        <v>2610670463</v>
      </c>
      <c r="M670" t="s">
        <v>14432</v>
      </c>
      <c r="N670" t="s">
        <v>14433</v>
      </c>
      <c r="O670" t="s">
        <v>14434</v>
      </c>
      <c r="P670">
        <v>25002</v>
      </c>
      <c r="Q670" t="str">
        <f>"38.164899"</f>
        <v>38.164899</v>
      </c>
      <c r="R670" t="str">
        <f>"21.671753"</f>
        <v>21.671753</v>
      </c>
      <c r="S670" t="s">
        <v>26</v>
      </c>
    </row>
    <row r="671" spans="1:19" x14ac:dyDescent="0.3">
      <c r="A671" t="s">
        <v>13791</v>
      </c>
      <c r="B671" t="s">
        <v>14180</v>
      </c>
      <c r="C671" t="s">
        <v>14435</v>
      </c>
      <c r="D671" t="s">
        <v>13798</v>
      </c>
      <c r="E671" t="s">
        <v>13799</v>
      </c>
      <c r="F671" t="s">
        <v>14212</v>
      </c>
      <c r="G671" t="s">
        <v>14212</v>
      </c>
      <c r="H671" t="s">
        <v>51</v>
      </c>
      <c r="I671" t="s">
        <v>52</v>
      </c>
      <c r="J671" t="str">
        <f>"0601120"</f>
        <v>0601120</v>
      </c>
      <c r="K671">
        <v>2610522821</v>
      </c>
      <c r="L671">
        <v>2610520565</v>
      </c>
      <c r="M671" t="s">
        <v>14436</v>
      </c>
      <c r="N671" t="s">
        <v>14273</v>
      </c>
      <c r="O671" t="s">
        <v>14437</v>
      </c>
      <c r="P671">
        <v>26333</v>
      </c>
      <c r="Q671" t="str">
        <f>"38.199453"</f>
        <v>38.199453</v>
      </c>
      <c r="R671" t="str">
        <f>"21.699764"</f>
        <v>21.699764</v>
      </c>
      <c r="S671" t="s">
        <v>26</v>
      </c>
    </row>
    <row r="672" spans="1:19" x14ac:dyDescent="0.3">
      <c r="A672" t="s">
        <v>13791</v>
      </c>
      <c r="B672" t="s">
        <v>14180</v>
      </c>
      <c r="C672" t="s">
        <v>14442</v>
      </c>
      <c r="D672" t="s">
        <v>13798</v>
      </c>
      <c r="E672" t="s">
        <v>13799</v>
      </c>
      <c r="F672" t="s">
        <v>13799</v>
      </c>
      <c r="G672" t="s">
        <v>14241</v>
      </c>
      <c r="H672" t="s">
        <v>51</v>
      </c>
      <c r="I672" t="s">
        <v>89</v>
      </c>
      <c r="J672" t="str">
        <f>"0601099"</f>
        <v>0601099</v>
      </c>
      <c r="K672">
        <v>2610226779</v>
      </c>
      <c r="L672">
        <v>2610226779</v>
      </c>
      <c r="M672" t="s">
        <v>14443</v>
      </c>
      <c r="N672" t="s">
        <v>13803</v>
      </c>
      <c r="O672" t="s">
        <v>14444</v>
      </c>
      <c r="P672">
        <v>26331</v>
      </c>
      <c r="Q672" t="str">
        <f>"38.244083"</f>
        <v>38.244083</v>
      </c>
      <c r="R672" t="str">
        <f>"21.754578"</f>
        <v>21.754578</v>
      </c>
      <c r="S672" t="s">
        <v>26</v>
      </c>
    </row>
    <row r="673" spans="1:19" x14ac:dyDescent="0.3">
      <c r="A673" t="s">
        <v>13791</v>
      </c>
      <c r="B673" t="s">
        <v>14180</v>
      </c>
      <c r="C673" t="s">
        <v>14446</v>
      </c>
      <c r="D673" t="s">
        <v>13798</v>
      </c>
      <c r="E673" t="s">
        <v>14200</v>
      </c>
      <c r="F673" t="s">
        <v>14286</v>
      </c>
      <c r="G673" t="s">
        <v>14287</v>
      </c>
      <c r="H673" t="s">
        <v>51</v>
      </c>
      <c r="I673" t="s">
        <v>52</v>
      </c>
      <c r="J673" t="str">
        <f>"0606010"</f>
        <v>0606010</v>
      </c>
      <c r="K673">
        <v>2693031222</v>
      </c>
      <c r="L673">
        <v>2693031302</v>
      </c>
      <c r="M673" t="s">
        <v>14447</v>
      </c>
      <c r="N673" t="s">
        <v>14448</v>
      </c>
      <c r="O673" t="s">
        <v>14290</v>
      </c>
      <c r="P673">
        <v>27052</v>
      </c>
      <c r="Q673" t="str">
        <f>"38.093205"</f>
        <v>38.093205</v>
      </c>
      <c r="R673" t="str">
        <f>"21.419948"</f>
        <v>21.419948</v>
      </c>
      <c r="S673" t="s">
        <v>26</v>
      </c>
    </row>
    <row r="674" spans="1:19" x14ac:dyDescent="0.3">
      <c r="A674" t="s">
        <v>13791</v>
      </c>
      <c r="B674" t="s">
        <v>14180</v>
      </c>
      <c r="C674" t="s">
        <v>14449</v>
      </c>
      <c r="D674" t="s">
        <v>13798</v>
      </c>
      <c r="E674" t="s">
        <v>13799</v>
      </c>
      <c r="F674" t="s">
        <v>13799</v>
      </c>
      <c r="G674" t="s">
        <v>14236</v>
      </c>
      <c r="H674" t="s">
        <v>51</v>
      </c>
      <c r="I674" t="s">
        <v>52</v>
      </c>
      <c r="J674" t="str">
        <f>"0601051"</f>
        <v>0601051</v>
      </c>
      <c r="K674">
        <v>2610328128</v>
      </c>
      <c r="L674">
        <v>2610328128</v>
      </c>
      <c r="M674" t="s">
        <v>14450</v>
      </c>
      <c r="N674" t="s">
        <v>14253</v>
      </c>
      <c r="O674" t="s">
        <v>14451</v>
      </c>
      <c r="P674">
        <v>26334</v>
      </c>
      <c r="Q674" t="str">
        <f>"38.221649"</f>
        <v>38.221649</v>
      </c>
      <c r="R674" t="str">
        <f>"21.743789"</f>
        <v>21.743789</v>
      </c>
      <c r="S674" t="s">
        <v>26</v>
      </c>
    </row>
    <row r="675" spans="1:19" x14ac:dyDescent="0.3">
      <c r="A675" t="s">
        <v>13791</v>
      </c>
      <c r="B675" t="s">
        <v>14180</v>
      </c>
      <c r="C675" t="s">
        <v>14452</v>
      </c>
      <c r="D675" t="s">
        <v>13798</v>
      </c>
      <c r="E675" t="s">
        <v>14200</v>
      </c>
      <c r="F675" t="s">
        <v>2699</v>
      </c>
      <c r="G675" t="s">
        <v>14291</v>
      </c>
      <c r="H675" t="s">
        <v>51</v>
      </c>
      <c r="I675" t="s">
        <v>52</v>
      </c>
      <c r="J675" t="str">
        <f>"0604010"</f>
        <v>0604010</v>
      </c>
      <c r="K675">
        <v>2693022693</v>
      </c>
      <c r="L675">
        <v>2693025384</v>
      </c>
      <c r="M675" t="s">
        <v>14453</v>
      </c>
      <c r="N675" t="s">
        <v>14346</v>
      </c>
      <c r="O675" t="s">
        <v>14454</v>
      </c>
      <c r="P675">
        <v>25200</v>
      </c>
      <c r="Q675" t="str">
        <f>"38.143910"</f>
        <v>38.143910</v>
      </c>
      <c r="R675" t="str">
        <f>"21.559122"</f>
        <v>21.559122</v>
      </c>
      <c r="S675" t="s">
        <v>26</v>
      </c>
    </row>
    <row r="676" spans="1:19" x14ac:dyDescent="0.3">
      <c r="A676" t="s">
        <v>13791</v>
      </c>
      <c r="B676" t="s">
        <v>14180</v>
      </c>
      <c r="C676" t="s">
        <v>14456</v>
      </c>
      <c r="D676" t="s">
        <v>13798</v>
      </c>
      <c r="E676" t="s">
        <v>13799</v>
      </c>
      <c r="F676" t="s">
        <v>13799</v>
      </c>
      <c r="G676" t="s">
        <v>14241</v>
      </c>
      <c r="H676" t="s">
        <v>51</v>
      </c>
      <c r="I676" t="s">
        <v>52</v>
      </c>
      <c r="J676" t="str">
        <f>"0601098"</f>
        <v>0601098</v>
      </c>
      <c r="K676">
        <v>2610274927</v>
      </c>
      <c r="L676">
        <v>2610220798</v>
      </c>
      <c r="M676" t="s">
        <v>14457</v>
      </c>
      <c r="N676" t="s">
        <v>14309</v>
      </c>
      <c r="O676" t="s">
        <v>14458</v>
      </c>
      <c r="P676">
        <v>26331</v>
      </c>
      <c r="Q676" t="str">
        <f>"38.234396"</f>
        <v>38.234396</v>
      </c>
      <c r="R676" t="str">
        <f>"21.755023"</f>
        <v>21.755023</v>
      </c>
      <c r="S676" t="s">
        <v>26</v>
      </c>
    </row>
    <row r="677" spans="1:19" x14ac:dyDescent="0.3">
      <c r="A677" t="s">
        <v>13791</v>
      </c>
      <c r="B677" t="s">
        <v>14180</v>
      </c>
      <c r="C677" t="s">
        <v>14461</v>
      </c>
      <c r="D677" t="s">
        <v>13798</v>
      </c>
      <c r="E677" t="s">
        <v>14200</v>
      </c>
      <c r="F677" t="s">
        <v>14286</v>
      </c>
      <c r="G677" t="s">
        <v>14460</v>
      </c>
      <c r="H677" t="s">
        <v>51</v>
      </c>
      <c r="I677" t="s">
        <v>52</v>
      </c>
      <c r="J677" t="str">
        <f>"0604020"</f>
        <v>0604020</v>
      </c>
      <c r="K677">
        <v>2693051166</v>
      </c>
      <c r="L677">
        <v>2693051867</v>
      </c>
      <c r="M677" t="s">
        <v>14462</v>
      </c>
      <c r="N677" t="s">
        <v>14463</v>
      </c>
      <c r="O677" t="s">
        <v>14464</v>
      </c>
      <c r="P677">
        <v>25200</v>
      </c>
      <c r="Q677" t="str">
        <f>"38.172377"</f>
        <v>38.172377</v>
      </c>
      <c r="R677" t="str">
        <f>"21.459675"</f>
        <v>21.459675</v>
      </c>
      <c r="S677" t="s">
        <v>26</v>
      </c>
    </row>
    <row r="678" spans="1:19" x14ac:dyDescent="0.3">
      <c r="A678" t="s">
        <v>13791</v>
      </c>
      <c r="B678" t="s">
        <v>14180</v>
      </c>
      <c r="C678" t="s">
        <v>14466</v>
      </c>
      <c r="D678" t="s">
        <v>13798</v>
      </c>
      <c r="E678" t="s">
        <v>13799</v>
      </c>
      <c r="F678" t="s">
        <v>13799</v>
      </c>
      <c r="G678" t="s">
        <v>13809</v>
      </c>
      <c r="H678" t="s">
        <v>51</v>
      </c>
      <c r="I678" t="s">
        <v>52</v>
      </c>
      <c r="J678" t="str">
        <f>"0601030"</f>
        <v>0601030</v>
      </c>
      <c r="K678">
        <v>2610329991</v>
      </c>
      <c r="L678">
        <v>2610341211</v>
      </c>
      <c r="M678" t="s">
        <v>14467</v>
      </c>
      <c r="N678" t="s">
        <v>13803</v>
      </c>
      <c r="O678" t="s">
        <v>14468</v>
      </c>
      <c r="P678">
        <v>26224</v>
      </c>
      <c r="Q678" t="str">
        <f>"38.239688"</f>
        <v>38.239688</v>
      </c>
      <c r="R678" t="str">
        <f>"21.735290"</f>
        <v>21.735290</v>
      </c>
      <c r="S678" t="s">
        <v>26</v>
      </c>
    </row>
    <row r="679" spans="1:19" x14ac:dyDescent="0.3">
      <c r="A679" t="s">
        <v>13791</v>
      </c>
      <c r="B679" t="s">
        <v>14180</v>
      </c>
      <c r="C679" t="s">
        <v>14469</v>
      </c>
      <c r="D679" t="s">
        <v>13798</v>
      </c>
      <c r="E679" t="s">
        <v>14181</v>
      </c>
      <c r="F679" t="s">
        <v>14261</v>
      </c>
      <c r="G679" t="s">
        <v>14261</v>
      </c>
      <c r="H679" t="s">
        <v>51</v>
      </c>
      <c r="I679" t="s">
        <v>52</v>
      </c>
      <c r="J679" t="str">
        <f>"0609010"</f>
        <v>0609010</v>
      </c>
      <c r="K679">
        <v>2696022539</v>
      </c>
      <c r="L679">
        <v>2696022565</v>
      </c>
      <c r="M679" t="s">
        <v>14470</v>
      </c>
      <c r="N679" t="s">
        <v>14264</v>
      </c>
      <c r="O679" t="s">
        <v>14471</v>
      </c>
      <c r="P679">
        <v>25006</v>
      </c>
      <c r="Q679" t="str">
        <f>"38.154618"</f>
        <v>38.154618</v>
      </c>
      <c r="R679" t="str">
        <f>"22.320986"</f>
        <v>22.320986</v>
      </c>
      <c r="S679" t="s">
        <v>26</v>
      </c>
    </row>
    <row r="680" spans="1:19" x14ac:dyDescent="0.3">
      <c r="A680" t="s">
        <v>13791</v>
      </c>
      <c r="B680" t="s">
        <v>14180</v>
      </c>
      <c r="C680" t="s">
        <v>14472</v>
      </c>
      <c r="D680" t="s">
        <v>13798</v>
      </c>
      <c r="E680" t="s">
        <v>13799</v>
      </c>
      <c r="F680" t="s">
        <v>13799</v>
      </c>
      <c r="G680" t="s">
        <v>13809</v>
      </c>
      <c r="H680" t="s">
        <v>51</v>
      </c>
      <c r="I680" t="s">
        <v>52</v>
      </c>
      <c r="J680" t="str">
        <f>"0601080"</f>
        <v>0601080</v>
      </c>
      <c r="K680">
        <v>2610321767</v>
      </c>
      <c r="L680">
        <v>2610332730</v>
      </c>
      <c r="M680" t="s">
        <v>14473</v>
      </c>
      <c r="N680" t="s">
        <v>13803</v>
      </c>
      <c r="O680" t="s">
        <v>14474</v>
      </c>
      <c r="P680">
        <v>26224</v>
      </c>
      <c r="Q680" t="str">
        <f>"38.239688"</f>
        <v>38.239688</v>
      </c>
      <c r="R680" t="str">
        <f>"21.735290"</f>
        <v>21.735290</v>
      </c>
      <c r="S680" t="s">
        <v>26</v>
      </c>
    </row>
    <row r="681" spans="1:19" x14ac:dyDescent="0.3">
      <c r="A681" t="s">
        <v>13791</v>
      </c>
      <c r="B681" t="s">
        <v>14180</v>
      </c>
      <c r="C681" t="s">
        <v>14475</v>
      </c>
      <c r="D681" t="s">
        <v>13798</v>
      </c>
      <c r="E681" t="s">
        <v>14181</v>
      </c>
      <c r="F681" t="s">
        <v>14317</v>
      </c>
      <c r="G681" t="s">
        <v>14317</v>
      </c>
      <c r="H681" t="s">
        <v>51</v>
      </c>
      <c r="I681" t="s">
        <v>52</v>
      </c>
      <c r="J681" t="str">
        <f>"0609020"</f>
        <v>0609020</v>
      </c>
      <c r="K681">
        <v>2691041282</v>
      </c>
      <c r="L681">
        <v>2691043322</v>
      </c>
      <c r="M681" t="s">
        <v>14476</v>
      </c>
      <c r="N681" t="s">
        <v>14320</v>
      </c>
      <c r="O681" t="s">
        <v>14320</v>
      </c>
      <c r="P681">
        <v>25003</v>
      </c>
      <c r="Q681" t="str">
        <f>"38.194323"</f>
        <v>38.194323</v>
      </c>
      <c r="R681" t="str">
        <f>"22.200309"</f>
        <v>22.200309</v>
      </c>
      <c r="S681" t="s">
        <v>26</v>
      </c>
    </row>
    <row r="682" spans="1:19" x14ac:dyDescent="0.3">
      <c r="A682" t="s">
        <v>13791</v>
      </c>
      <c r="B682" t="s">
        <v>14180</v>
      </c>
      <c r="C682" t="s">
        <v>14478</v>
      </c>
      <c r="D682" t="s">
        <v>13798</v>
      </c>
      <c r="E682" t="s">
        <v>14188</v>
      </c>
      <c r="F682" t="s">
        <v>14391</v>
      </c>
      <c r="G682" t="s">
        <v>14477</v>
      </c>
      <c r="H682" t="s">
        <v>51</v>
      </c>
      <c r="I682" t="s">
        <v>52</v>
      </c>
      <c r="J682" t="str">
        <f>"0617050"</f>
        <v>0617050</v>
      </c>
      <c r="K682">
        <v>2694051485</v>
      </c>
      <c r="L682">
        <v>2694051485</v>
      </c>
      <c r="M682" t="s">
        <v>14479</v>
      </c>
      <c r="N682" t="s">
        <v>14480</v>
      </c>
      <c r="O682" t="s">
        <v>14481</v>
      </c>
      <c r="P682">
        <v>25015</v>
      </c>
      <c r="Q682" t="str">
        <f>"37.938272"</f>
        <v>37.938272</v>
      </c>
      <c r="R682" t="str">
        <f>"21.678822"</f>
        <v>21.678822</v>
      </c>
      <c r="S682" t="s">
        <v>26</v>
      </c>
    </row>
    <row r="683" spans="1:19" x14ac:dyDescent="0.3">
      <c r="A683" t="s">
        <v>13791</v>
      </c>
      <c r="B683" t="s">
        <v>14180</v>
      </c>
      <c r="C683" t="s">
        <v>14484</v>
      </c>
      <c r="D683" t="s">
        <v>13798</v>
      </c>
      <c r="E683" t="s">
        <v>14188</v>
      </c>
      <c r="F683" t="s">
        <v>14189</v>
      </c>
      <c r="G683" t="s">
        <v>14483</v>
      </c>
      <c r="H683" t="s">
        <v>51</v>
      </c>
      <c r="I683" t="s">
        <v>89</v>
      </c>
      <c r="J683" t="str">
        <f>"0613010"</f>
        <v>0613010</v>
      </c>
      <c r="K683">
        <v>2694061367</v>
      </c>
      <c r="L683">
        <v>2694061367</v>
      </c>
      <c r="M683" t="s">
        <v>14485</v>
      </c>
      <c r="N683" t="s">
        <v>14486</v>
      </c>
      <c r="O683" t="s">
        <v>14487</v>
      </c>
      <c r="P683">
        <v>25008</v>
      </c>
      <c r="Q683" t="str">
        <f>"38.090115"</f>
        <v>38.090115</v>
      </c>
      <c r="R683" t="str">
        <f>"21.716165"</f>
        <v>21.716165</v>
      </c>
      <c r="S683" t="s">
        <v>26</v>
      </c>
    </row>
    <row r="684" spans="1:19" x14ac:dyDescent="0.3">
      <c r="A684" t="s">
        <v>13791</v>
      </c>
      <c r="B684" t="s">
        <v>14180</v>
      </c>
      <c r="C684" t="s">
        <v>14489</v>
      </c>
      <c r="D684" t="s">
        <v>13798</v>
      </c>
      <c r="E684" t="s">
        <v>13799</v>
      </c>
      <c r="F684" t="s">
        <v>13799</v>
      </c>
      <c r="G684" t="s">
        <v>13809</v>
      </c>
      <c r="H684" t="s">
        <v>51</v>
      </c>
      <c r="I684" t="s">
        <v>52</v>
      </c>
      <c r="J684" t="str">
        <f>"0601020"</f>
        <v>0601020</v>
      </c>
      <c r="K684">
        <v>2610322407</v>
      </c>
      <c r="M684" t="s">
        <v>14490</v>
      </c>
      <c r="N684" t="s">
        <v>13803</v>
      </c>
      <c r="O684" t="s">
        <v>14491</v>
      </c>
      <c r="P684">
        <v>26222</v>
      </c>
      <c r="Q684" t="str">
        <f>"38.243266"</f>
        <v>38.243266</v>
      </c>
      <c r="R684" t="str">
        <f>"21.730224"</f>
        <v>21.730224</v>
      </c>
      <c r="S684" t="s">
        <v>26</v>
      </c>
    </row>
    <row r="685" spans="1:19" x14ac:dyDescent="0.3">
      <c r="A685" t="s">
        <v>13791</v>
      </c>
      <c r="B685" t="s">
        <v>14180</v>
      </c>
      <c r="C685" t="s">
        <v>14493</v>
      </c>
      <c r="D685" t="s">
        <v>13798</v>
      </c>
      <c r="E685" t="s">
        <v>14181</v>
      </c>
      <c r="F685" t="s">
        <v>14182</v>
      </c>
      <c r="G685" t="s">
        <v>14182</v>
      </c>
      <c r="H685" t="s">
        <v>51</v>
      </c>
      <c r="I685" t="s">
        <v>52</v>
      </c>
      <c r="J685" t="str">
        <f>"0602010"</f>
        <v>0602010</v>
      </c>
      <c r="K685">
        <v>2691028883</v>
      </c>
      <c r="L685">
        <v>2691028883</v>
      </c>
      <c r="M685" t="s">
        <v>14494</v>
      </c>
      <c r="N685" t="s">
        <v>14185</v>
      </c>
      <c r="O685" t="s">
        <v>7641</v>
      </c>
      <c r="P685">
        <v>25100</v>
      </c>
      <c r="Q685" t="str">
        <f>"38.251400"</f>
        <v>38.251400</v>
      </c>
      <c r="R685" t="str">
        <f>"22.079248"</f>
        <v>22.079248</v>
      </c>
      <c r="S685" t="s">
        <v>26</v>
      </c>
    </row>
    <row r="686" spans="1:19" x14ac:dyDescent="0.3">
      <c r="A686" t="s">
        <v>13791</v>
      </c>
      <c r="B686" t="s">
        <v>14180</v>
      </c>
      <c r="C686" t="s">
        <v>14496</v>
      </c>
      <c r="D686" t="s">
        <v>13798</v>
      </c>
      <c r="E686" t="s">
        <v>13799</v>
      </c>
      <c r="F686" t="s">
        <v>13799</v>
      </c>
      <c r="G686" t="s">
        <v>13809</v>
      </c>
      <c r="H686" t="s">
        <v>51</v>
      </c>
      <c r="I686" t="s">
        <v>184</v>
      </c>
      <c r="J686" t="str">
        <f>"0601090"</f>
        <v>0601090</v>
      </c>
      <c r="K686">
        <v>2610220934</v>
      </c>
      <c r="L686">
        <v>2610220934</v>
      </c>
      <c r="M686" t="s">
        <v>14497</v>
      </c>
      <c r="N686" t="s">
        <v>14498</v>
      </c>
      <c r="O686" t="s">
        <v>14255</v>
      </c>
      <c r="P686">
        <v>26221</v>
      </c>
      <c r="Q686" t="str">
        <f>"38.248148"</f>
        <v>38.248148</v>
      </c>
      <c r="R686" t="str">
        <f>"21.739423"</f>
        <v>21.739423</v>
      </c>
      <c r="S686" t="s">
        <v>26</v>
      </c>
    </row>
    <row r="687" spans="1:19" x14ac:dyDescent="0.3">
      <c r="A687" t="s">
        <v>13791</v>
      </c>
      <c r="B687" t="s">
        <v>14180</v>
      </c>
      <c r="C687" t="s">
        <v>14499</v>
      </c>
      <c r="D687" t="s">
        <v>13798</v>
      </c>
      <c r="E687" t="s">
        <v>13799</v>
      </c>
      <c r="F687" t="s">
        <v>13799</v>
      </c>
      <c r="G687" t="s">
        <v>13800</v>
      </c>
      <c r="H687" t="s">
        <v>51</v>
      </c>
      <c r="I687" t="s">
        <v>52</v>
      </c>
      <c r="J687" t="str">
        <f>"0601096"</f>
        <v>0601096</v>
      </c>
      <c r="K687">
        <v>2610420860</v>
      </c>
      <c r="L687">
        <v>2610451583</v>
      </c>
      <c r="M687" t="s">
        <v>14500</v>
      </c>
      <c r="N687" t="s">
        <v>13803</v>
      </c>
      <c r="O687" t="s">
        <v>14311</v>
      </c>
      <c r="P687">
        <v>26443</v>
      </c>
      <c r="Q687" t="str">
        <f>"38.262089"</f>
        <v>38.262089</v>
      </c>
      <c r="R687" t="str">
        <f>"21.752540"</f>
        <v>21.752540</v>
      </c>
      <c r="S687" t="s">
        <v>26</v>
      </c>
    </row>
    <row r="688" spans="1:19" x14ac:dyDescent="0.3">
      <c r="A688" t="s">
        <v>13791</v>
      </c>
      <c r="B688" t="s">
        <v>14180</v>
      </c>
      <c r="C688" t="s">
        <v>14501</v>
      </c>
      <c r="D688" t="s">
        <v>13798</v>
      </c>
      <c r="E688" t="s">
        <v>13799</v>
      </c>
      <c r="F688" t="s">
        <v>13799</v>
      </c>
      <c r="G688" t="s">
        <v>14241</v>
      </c>
      <c r="H688" t="s">
        <v>51</v>
      </c>
      <c r="I688" t="s">
        <v>52</v>
      </c>
      <c r="J688" t="str">
        <f>"0601701"</f>
        <v>0601701</v>
      </c>
      <c r="K688">
        <v>2610640750</v>
      </c>
      <c r="L688">
        <v>2610640750</v>
      </c>
      <c r="M688" t="s">
        <v>14502</v>
      </c>
      <c r="N688" t="s">
        <v>13803</v>
      </c>
      <c r="O688" t="s">
        <v>14503</v>
      </c>
      <c r="P688">
        <v>26335</v>
      </c>
      <c r="Q688" t="str">
        <f>"38.208713"</f>
        <v>38.208713</v>
      </c>
      <c r="R688" t="str">
        <f>"21.773040"</f>
        <v>21.773040</v>
      </c>
      <c r="S688" t="s">
        <v>26</v>
      </c>
    </row>
    <row r="689" spans="1:19" x14ac:dyDescent="0.3">
      <c r="A689" t="s">
        <v>13791</v>
      </c>
      <c r="B689" t="s">
        <v>14180</v>
      </c>
      <c r="C689" t="s">
        <v>14506</v>
      </c>
      <c r="D689" t="s">
        <v>13798</v>
      </c>
      <c r="E689" t="s">
        <v>14200</v>
      </c>
      <c r="F689" t="s">
        <v>14329</v>
      </c>
      <c r="G689" t="s">
        <v>14505</v>
      </c>
      <c r="H689" t="s">
        <v>51</v>
      </c>
      <c r="I689" t="s">
        <v>52</v>
      </c>
      <c r="J689" t="str">
        <f>"0607090"</f>
        <v>0607090</v>
      </c>
      <c r="K689">
        <v>2694061186</v>
      </c>
      <c r="L689">
        <v>2694062109</v>
      </c>
      <c r="M689" t="s">
        <v>14507</v>
      </c>
      <c r="N689" t="s">
        <v>14508</v>
      </c>
      <c r="O689" t="s">
        <v>14508</v>
      </c>
      <c r="P689">
        <v>25008</v>
      </c>
      <c r="Q689" t="str">
        <f>"38.063978"</f>
        <v>38.063978</v>
      </c>
      <c r="R689" t="str">
        <f>"21.655568"</f>
        <v>21.655568</v>
      </c>
      <c r="S689" t="s">
        <v>26</v>
      </c>
    </row>
    <row r="690" spans="1:19" x14ac:dyDescent="0.3">
      <c r="A690" t="s">
        <v>13791</v>
      </c>
      <c r="B690" t="s">
        <v>14180</v>
      </c>
      <c r="C690" t="s">
        <v>14510</v>
      </c>
      <c r="D690" t="s">
        <v>13798</v>
      </c>
      <c r="E690" t="s">
        <v>13799</v>
      </c>
      <c r="F690" t="s">
        <v>14349</v>
      </c>
      <c r="G690" t="s">
        <v>14350</v>
      </c>
      <c r="H690" t="s">
        <v>51</v>
      </c>
      <c r="I690" t="s">
        <v>52</v>
      </c>
      <c r="J690" t="str">
        <f>"0601705"</f>
        <v>0601705</v>
      </c>
      <c r="K690">
        <v>2610521450</v>
      </c>
      <c r="L690">
        <v>2610521450</v>
      </c>
      <c r="M690" t="s">
        <v>14511</v>
      </c>
      <c r="N690" t="s">
        <v>14512</v>
      </c>
      <c r="O690" t="s">
        <v>14513</v>
      </c>
      <c r="P690">
        <v>26500</v>
      </c>
      <c r="Q690" t="str">
        <f>"38.193125"</f>
        <v>38.193125</v>
      </c>
      <c r="R690" t="str">
        <f>"21.752262"</f>
        <v>21.752262</v>
      </c>
      <c r="S690" t="s">
        <v>26</v>
      </c>
    </row>
    <row r="691" spans="1:19" x14ac:dyDescent="0.3">
      <c r="A691" t="s">
        <v>13791</v>
      </c>
      <c r="B691" t="s">
        <v>14180</v>
      </c>
      <c r="C691" t="s">
        <v>14515</v>
      </c>
      <c r="D691" t="s">
        <v>13798</v>
      </c>
      <c r="E691" t="s">
        <v>13799</v>
      </c>
      <c r="F691" t="s">
        <v>13799</v>
      </c>
      <c r="G691" t="s">
        <v>13809</v>
      </c>
      <c r="H691" t="s">
        <v>51</v>
      </c>
      <c r="I691" t="s">
        <v>52</v>
      </c>
      <c r="J691" t="str">
        <f>"0601050"</f>
        <v>0601050</v>
      </c>
      <c r="K691">
        <v>2610277485</v>
      </c>
      <c r="L691">
        <v>2610270491</v>
      </c>
      <c r="M691" t="s">
        <v>14516</v>
      </c>
      <c r="N691" t="s">
        <v>13803</v>
      </c>
      <c r="O691" t="s">
        <v>14255</v>
      </c>
      <c r="P691">
        <v>26221</v>
      </c>
      <c r="Q691" t="str">
        <f>"38.247980"</f>
        <v>38.247980</v>
      </c>
      <c r="R691" t="str">
        <f>"21.738919"</f>
        <v>21.738919</v>
      </c>
      <c r="S691" t="s">
        <v>26</v>
      </c>
    </row>
    <row r="692" spans="1:19" x14ac:dyDescent="0.3">
      <c r="A692" t="s">
        <v>13791</v>
      </c>
      <c r="B692" t="s">
        <v>14180</v>
      </c>
      <c r="C692" t="s">
        <v>14517</v>
      </c>
      <c r="D692" t="s">
        <v>13798</v>
      </c>
      <c r="E692" t="s">
        <v>14181</v>
      </c>
      <c r="F692" t="s">
        <v>14182</v>
      </c>
      <c r="G692" t="s">
        <v>14182</v>
      </c>
      <c r="H692" t="s">
        <v>51</v>
      </c>
      <c r="I692" t="s">
        <v>52</v>
      </c>
      <c r="J692" t="str">
        <f>"0602040"</f>
        <v>0602040</v>
      </c>
      <c r="K692">
        <v>2691025900</v>
      </c>
      <c r="L692">
        <v>2691302834</v>
      </c>
      <c r="M692" t="s">
        <v>14518</v>
      </c>
      <c r="N692" t="s">
        <v>14185</v>
      </c>
      <c r="O692" t="s">
        <v>14519</v>
      </c>
      <c r="P692">
        <v>25100</v>
      </c>
      <c r="Q692" t="str">
        <f>"38.247292"</f>
        <v>38.247292</v>
      </c>
      <c r="R692" t="str">
        <f>"22.097775"</f>
        <v>22.097775</v>
      </c>
      <c r="S692" t="s">
        <v>26</v>
      </c>
    </row>
    <row r="693" spans="1:19" x14ac:dyDescent="0.3">
      <c r="A693" t="s">
        <v>13791</v>
      </c>
      <c r="B693" t="s">
        <v>14180</v>
      </c>
      <c r="C693" t="s">
        <v>14520</v>
      </c>
      <c r="D693" t="s">
        <v>13798</v>
      </c>
      <c r="E693" t="s">
        <v>13799</v>
      </c>
      <c r="F693" t="s">
        <v>13799</v>
      </c>
      <c r="G693" t="s">
        <v>13800</v>
      </c>
      <c r="H693" t="s">
        <v>51</v>
      </c>
      <c r="I693" t="s">
        <v>52</v>
      </c>
      <c r="J693" t="str">
        <f>"0601053"</f>
        <v>0601053</v>
      </c>
      <c r="K693">
        <v>2610424543</v>
      </c>
      <c r="M693" t="s">
        <v>14521</v>
      </c>
      <c r="N693" t="s">
        <v>13803</v>
      </c>
      <c r="O693" t="s">
        <v>14210</v>
      </c>
      <c r="P693">
        <v>26442</v>
      </c>
      <c r="Q693" t="str">
        <f>"38.273157"</f>
        <v>38.273157</v>
      </c>
      <c r="R693" t="str">
        <f>"21.758233"</f>
        <v>21.758233</v>
      </c>
      <c r="S693" t="s">
        <v>26</v>
      </c>
    </row>
    <row r="694" spans="1:19" x14ac:dyDescent="0.3">
      <c r="A694" t="s">
        <v>13791</v>
      </c>
      <c r="B694" t="s">
        <v>14180</v>
      </c>
      <c r="C694" t="s">
        <v>14523</v>
      </c>
      <c r="D694" t="s">
        <v>13798</v>
      </c>
      <c r="E694" t="s">
        <v>14200</v>
      </c>
      <c r="F694" t="s">
        <v>14286</v>
      </c>
      <c r="G694" t="s">
        <v>14522</v>
      </c>
      <c r="H694" t="s">
        <v>51</v>
      </c>
      <c r="I694" t="s">
        <v>89</v>
      </c>
      <c r="J694" t="str">
        <f>"0614010"</f>
        <v>0614010</v>
      </c>
      <c r="K694">
        <v>2693099367</v>
      </c>
      <c r="L694">
        <v>2693099793</v>
      </c>
      <c r="M694" t="s">
        <v>14524</v>
      </c>
      <c r="N694" t="s">
        <v>14525</v>
      </c>
      <c r="O694" t="s">
        <v>14526</v>
      </c>
      <c r="P694">
        <v>25200</v>
      </c>
      <c r="Q694" t="str">
        <f>"38.054242"</f>
        <v>38.054242</v>
      </c>
      <c r="R694" t="str">
        <f>"21.455633"</f>
        <v>21.455633</v>
      </c>
      <c r="S694" t="s">
        <v>26</v>
      </c>
    </row>
    <row r="695" spans="1:19" x14ac:dyDescent="0.3">
      <c r="A695" t="s">
        <v>13791</v>
      </c>
      <c r="B695" t="s">
        <v>14180</v>
      </c>
      <c r="C695" t="s">
        <v>14528</v>
      </c>
      <c r="D695" t="s">
        <v>13798</v>
      </c>
      <c r="E695" t="s">
        <v>14223</v>
      </c>
      <c r="F695" t="s">
        <v>14297</v>
      </c>
      <c r="G695" t="s">
        <v>3469</v>
      </c>
      <c r="H695" t="s">
        <v>51</v>
      </c>
      <c r="I695" t="s">
        <v>52</v>
      </c>
      <c r="J695" t="str">
        <f>"0610010"</f>
        <v>0610010</v>
      </c>
      <c r="K695">
        <v>2692071208</v>
      </c>
      <c r="L695">
        <v>2692071820</v>
      </c>
      <c r="M695" t="s">
        <v>14529</v>
      </c>
      <c r="N695" t="s">
        <v>14530</v>
      </c>
      <c r="O695" t="s">
        <v>3549</v>
      </c>
      <c r="P695">
        <v>25004</v>
      </c>
      <c r="Q695" t="str">
        <f>"37.816005"</f>
        <v>37.816005</v>
      </c>
      <c r="R695" t="str">
        <f>"22.020444"</f>
        <v>22.020444</v>
      </c>
      <c r="S695" t="s">
        <v>57</v>
      </c>
    </row>
    <row r="696" spans="1:19" x14ac:dyDescent="0.3">
      <c r="A696" t="s">
        <v>13791</v>
      </c>
      <c r="B696" t="s">
        <v>14180</v>
      </c>
      <c r="C696" t="s">
        <v>14531</v>
      </c>
      <c r="D696" t="s">
        <v>13798</v>
      </c>
      <c r="E696" t="s">
        <v>13799</v>
      </c>
      <c r="F696" t="s">
        <v>13799</v>
      </c>
      <c r="G696" t="s">
        <v>13800</v>
      </c>
      <c r="H696" t="s">
        <v>51</v>
      </c>
      <c r="I696" t="s">
        <v>52</v>
      </c>
      <c r="J696" t="str">
        <f>"0601702"</f>
        <v>0601702</v>
      </c>
      <c r="K696">
        <v>2610433400</v>
      </c>
      <c r="L696">
        <v>2610426851</v>
      </c>
      <c r="M696" t="s">
        <v>14532</v>
      </c>
      <c r="N696" t="s">
        <v>13803</v>
      </c>
      <c r="O696" t="s">
        <v>14533</v>
      </c>
      <c r="P696">
        <v>26442</v>
      </c>
      <c r="Q696" t="str">
        <f>"38.263543"</f>
        <v>38.263543</v>
      </c>
      <c r="R696" t="str">
        <f>"21.749440"</f>
        <v>21.749440</v>
      </c>
      <c r="S696" t="s">
        <v>26</v>
      </c>
    </row>
    <row r="697" spans="1:19" x14ac:dyDescent="0.3">
      <c r="A697" t="s">
        <v>13791</v>
      </c>
      <c r="B697" t="s">
        <v>14180</v>
      </c>
      <c r="C697" t="s">
        <v>14535</v>
      </c>
      <c r="D697" t="s">
        <v>13798</v>
      </c>
      <c r="E697" t="s">
        <v>14181</v>
      </c>
      <c r="F697" t="s">
        <v>14381</v>
      </c>
      <c r="G697" t="s">
        <v>14381</v>
      </c>
      <c r="H697" t="s">
        <v>51</v>
      </c>
      <c r="I697" t="s">
        <v>52</v>
      </c>
      <c r="J697" t="str">
        <f>"0616010"</f>
        <v>0616010</v>
      </c>
      <c r="K697">
        <v>2696031679</v>
      </c>
      <c r="L697">
        <v>2696032331</v>
      </c>
      <c r="M697" t="s">
        <v>14536</v>
      </c>
      <c r="N697" t="s">
        <v>14384</v>
      </c>
      <c r="O697" t="s">
        <v>14537</v>
      </c>
      <c r="P697">
        <v>25010</v>
      </c>
      <c r="Q697" t="str">
        <f>"38.148119"</f>
        <v>38.148119</v>
      </c>
      <c r="R697" t="str">
        <f>"22.358480"</f>
        <v>22.358480</v>
      </c>
      <c r="S697" t="s">
        <v>26</v>
      </c>
    </row>
    <row r="698" spans="1:19" x14ac:dyDescent="0.3">
      <c r="A698" t="s">
        <v>13791</v>
      </c>
      <c r="B698" t="s">
        <v>14180</v>
      </c>
      <c r="C698" t="s">
        <v>14538</v>
      </c>
      <c r="D698" t="s">
        <v>13798</v>
      </c>
      <c r="E698" t="s">
        <v>14223</v>
      </c>
      <c r="F698" t="s">
        <v>14365</v>
      </c>
      <c r="G698" t="s">
        <v>14365</v>
      </c>
      <c r="H698" t="s">
        <v>51</v>
      </c>
      <c r="I698" t="s">
        <v>52</v>
      </c>
      <c r="J698" t="str">
        <f>"0611010"</f>
        <v>0611010</v>
      </c>
      <c r="K698">
        <v>2692031225</v>
      </c>
      <c r="L698">
        <v>2692031225</v>
      </c>
      <c r="M698" t="s">
        <v>14539</v>
      </c>
      <c r="N698" t="s">
        <v>14540</v>
      </c>
      <c r="O698" t="s">
        <v>14368</v>
      </c>
      <c r="P698">
        <v>25007</v>
      </c>
      <c r="Q698" t="str">
        <f>"37.898361"</f>
        <v>37.898361</v>
      </c>
      <c r="R698" t="str">
        <f>"22.123683"</f>
        <v>22.123683</v>
      </c>
      <c r="S698" t="s">
        <v>26</v>
      </c>
    </row>
    <row r="699" spans="1:19" x14ac:dyDescent="0.3">
      <c r="A699" t="s">
        <v>13791</v>
      </c>
      <c r="B699" t="s">
        <v>14180</v>
      </c>
      <c r="C699" t="s">
        <v>14542</v>
      </c>
      <c r="D699" t="s">
        <v>13798</v>
      </c>
      <c r="E699" t="s">
        <v>13799</v>
      </c>
      <c r="F699" t="s">
        <v>14276</v>
      </c>
      <c r="G699" t="s">
        <v>14541</v>
      </c>
      <c r="H699" t="s">
        <v>51</v>
      </c>
      <c r="I699" t="s">
        <v>52</v>
      </c>
      <c r="J699" t="str">
        <f>"0601706"</f>
        <v>0601706</v>
      </c>
      <c r="K699">
        <v>2610994036</v>
      </c>
      <c r="L699">
        <v>2610994036</v>
      </c>
      <c r="M699" t="s">
        <v>14543</v>
      </c>
      <c r="O699" t="s">
        <v>14544</v>
      </c>
      <c r="P699">
        <v>26504</v>
      </c>
      <c r="Q699" t="str">
        <f>"38.304316"</f>
        <v>38.304316</v>
      </c>
      <c r="R699" t="str">
        <f>"21.816775"</f>
        <v>21.816775</v>
      </c>
      <c r="S699" t="s">
        <v>26</v>
      </c>
    </row>
    <row r="700" spans="1:19" x14ac:dyDescent="0.3">
      <c r="A700" t="s">
        <v>13791</v>
      </c>
      <c r="B700" t="s">
        <v>14180</v>
      </c>
      <c r="C700" t="s">
        <v>14548</v>
      </c>
      <c r="D700" t="s">
        <v>13798</v>
      </c>
      <c r="E700" t="s">
        <v>14223</v>
      </c>
      <c r="F700" t="s">
        <v>14546</v>
      </c>
      <c r="G700" t="s">
        <v>14547</v>
      </c>
      <c r="H700" t="s">
        <v>51</v>
      </c>
      <c r="I700" t="s">
        <v>52</v>
      </c>
      <c r="J700" t="str">
        <f>"0611040"</f>
        <v>0611040</v>
      </c>
      <c r="K700">
        <v>2692051215</v>
      </c>
      <c r="M700" t="s">
        <v>14549</v>
      </c>
      <c r="N700" t="s">
        <v>14550</v>
      </c>
      <c r="O700" t="s">
        <v>14551</v>
      </c>
      <c r="P700">
        <v>25016</v>
      </c>
      <c r="Q700" t="str">
        <f>"37.868573"</f>
        <v>37.868573</v>
      </c>
      <c r="R700" t="str">
        <f>"21.889847"</f>
        <v>21.889847</v>
      </c>
      <c r="S700" t="s">
        <v>57</v>
      </c>
    </row>
    <row r="701" spans="1:19" x14ac:dyDescent="0.3">
      <c r="A701" t="s">
        <v>13791</v>
      </c>
      <c r="B701" t="s">
        <v>14180</v>
      </c>
      <c r="C701" t="s">
        <v>14553</v>
      </c>
      <c r="D701" t="s">
        <v>13798</v>
      </c>
      <c r="E701" t="s">
        <v>13799</v>
      </c>
      <c r="F701" t="s">
        <v>13799</v>
      </c>
      <c r="G701" t="s">
        <v>13809</v>
      </c>
      <c r="H701" t="s">
        <v>51</v>
      </c>
      <c r="I701" t="s">
        <v>52</v>
      </c>
      <c r="J701" t="str">
        <f>"0601081"</f>
        <v>0601081</v>
      </c>
      <c r="K701">
        <v>2610330866</v>
      </c>
      <c r="L701">
        <v>2610316660</v>
      </c>
      <c r="M701" t="s">
        <v>14554</v>
      </c>
      <c r="N701" t="s">
        <v>14555</v>
      </c>
      <c r="O701" t="s">
        <v>14556</v>
      </c>
      <c r="P701">
        <v>26224</v>
      </c>
      <c r="Q701" t="str">
        <f>"38.232477"</f>
        <v>38.232477</v>
      </c>
      <c r="R701" t="str">
        <f>"21.740131"</f>
        <v>21.740131</v>
      </c>
      <c r="S701" t="s">
        <v>26</v>
      </c>
    </row>
    <row r="702" spans="1:19" x14ac:dyDescent="0.3">
      <c r="A702" t="s">
        <v>13791</v>
      </c>
      <c r="B702" t="s">
        <v>14180</v>
      </c>
      <c r="C702" t="s">
        <v>14557</v>
      </c>
      <c r="D702" t="s">
        <v>13798</v>
      </c>
      <c r="E702" t="s">
        <v>13799</v>
      </c>
      <c r="F702" t="s">
        <v>13799</v>
      </c>
      <c r="G702" t="s">
        <v>13800</v>
      </c>
      <c r="H702" t="s">
        <v>51</v>
      </c>
      <c r="I702" t="s">
        <v>52</v>
      </c>
      <c r="J702" t="str">
        <f>"0601097"</f>
        <v>0601097</v>
      </c>
      <c r="K702">
        <v>2610433688</v>
      </c>
      <c r="L702">
        <v>2610437843</v>
      </c>
      <c r="M702" t="s">
        <v>14558</v>
      </c>
      <c r="N702" t="s">
        <v>13803</v>
      </c>
      <c r="O702" t="s">
        <v>14559</v>
      </c>
      <c r="P702">
        <v>26443</v>
      </c>
      <c r="Q702" t="str">
        <f>"38.275358"</f>
        <v>38.275358</v>
      </c>
      <c r="R702" t="str">
        <f>"21.765653"</f>
        <v>21.765653</v>
      </c>
      <c r="S702" t="s">
        <v>26</v>
      </c>
    </row>
    <row r="703" spans="1:19" x14ac:dyDescent="0.3">
      <c r="A703" t="s">
        <v>13791</v>
      </c>
      <c r="B703" t="s">
        <v>14180</v>
      </c>
      <c r="C703" t="s">
        <v>14560</v>
      </c>
      <c r="D703" t="s">
        <v>13798</v>
      </c>
      <c r="E703" t="s">
        <v>13799</v>
      </c>
      <c r="F703" t="s">
        <v>13799</v>
      </c>
      <c r="G703" t="s">
        <v>14241</v>
      </c>
      <c r="H703" t="s">
        <v>51</v>
      </c>
      <c r="I703" t="s">
        <v>190</v>
      </c>
      <c r="J703" t="str">
        <f>"0601055"</f>
        <v>0601055</v>
      </c>
      <c r="K703">
        <v>2610641800</v>
      </c>
      <c r="L703">
        <v>2610641910</v>
      </c>
      <c r="M703" t="s">
        <v>14561</v>
      </c>
      <c r="N703" t="s">
        <v>13803</v>
      </c>
      <c r="O703" t="s">
        <v>14562</v>
      </c>
      <c r="P703">
        <v>26335</v>
      </c>
      <c r="Q703" t="str">
        <f>"38.223055"</f>
        <v>38.223055</v>
      </c>
      <c r="R703" t="str">
        <f>"21.763037"</f>
        <v>21.763037</v>
      </c>
      <c r="S703" t="s">
        <v>26</v>
      </c>
    </row>
    <row r="704" spans="1:19" x14ac:dyDescent="0.3">
      <c r="A704" t="s">
        <v>13791</v>
      </c>
      <c r="B704" t="s">
        <v>14180</v>
      </c>
      <c r="C704" t="s">
        <v>14564</v>
      </c>
      <c r="D704" t="s">
        <v>13798</v>
      </c>
      <c r="E704" t="s">
        <v>13799</v>
      </c>
      <c r="F704" t="s">
        <v>13799</v>
      </c>
      <c r="G704" t="s">
        <v>13809</v>
      </c>
      <c r="H704" t="s">
        <v>51</v>
      </c>
      <c r="I704" t="s">
        <v>184</v>
      </c>
      <c r="J704" t="str">
        <f>"0601092"</f>
        <v>0601092</v>
      </c>
      <c r="K704">
        <v>2610311585</v>
      </c>
      <c r="L704">
        <v>2610311585</v>
      </c>
      <c r="M704" t="s">
        <v>14565</v>
      </c>
      <c r="N704" t="s">
        <v>13803</v>
      </c>
      <c r="O704" t="s">
        <v>14358</v>
      </c>
      <c r="P704">
        <v>26335</v>
      </c>
      <c r="Q704" t="str">
        <f>"38.230551"</f>
        <v>38.230551</v>
      </c>
      <c r="R704" t="str">
        <f>"21.745640"</f>
        <v>21.745640</v>
      </c>
      <c r="S704" t="s">
        <v>26</v>
      </c>
    </row>
    <row r="705" spans="1:19" x14ac:dyDescent="0.3">
      <c r="A705" t="s">
        <v>13791</v>
      </c>
      <c r="B705" t="s">
        <v>14180</v>
      </c>
      <c r="C705" t="s">
        <v>14573</v>
      </c>
      <c r="D705" t="s">
        <v>13798</v>
      </c>
      <c r="E705" t="s">
        <v>13799</v>
      </c>
      <c r="F705" t="s">
        <v>14276</v>
      </c>
      <c r="G705" t="s">
        <v>14277</v>
      </c>
      <c r="H705" t="s">
        <v>51</v>
      </c>
      <c r="I705" t="s">
        <v>14572</v>
      </c>
      <c r="J705" t="str">
        <f>"0601002"</f>
        <v>0601002</v>
      </c>
      <c r="K705">
        <v>2610431950</v>
      </c>
      <c r="L705">
        <v>2610429426</v>
      </c>
      <c r="M705" t="s">
        <v>14574</v>
      </c>
      <c r="N705" t="s">
        <v>14575</v>
      </c>
      <c r="O705" t="s">
        <v>14576</v>
      </c>
      <c r="P705">
        <v>26504</v>
      </c>
      <c r="Q705" t="str">
        <f>"38.280558"</f>
        <v>38.280558</v>
      </c>
      <c r="R705" t="str">
        <f>"21.790771"</f>
        <v>21.790771</v>
      </c>
      <c r="S705" t="s">
        <v>26</v>
      </c>
    </row>
    <row r="706" spans="1:19" x14ac:dyDescent="0.3">
      <c r="A706" t="s">
        <v>13791</v>
      </c>
      <c r="B706" t="s">
        <v>14180</v>
      </c>
      <c r="C706" t="s">
        <v>14577</v>
      </c>
      <c r="D706" t="s">
        <v>13798</v>
      </c>
      <c r="E706" t="s">
        <v>13799</v>
      </c>
      <c r="F706" t="s">
        <v>13799</v>
      </c>
      <c r="G706" t="s">
        <v>14241</v>
      </c>
      <c r="H706" t="s">
        <v>51</v>
      </c>
      <c r="I706" t="s">
        <v>52</v>
      </c>
      <c r="J706" t="str">
        <f>"0601040"</f>
        <v>0601040</v>
      </c>
      <c r="K706">
        <v>2610222833</v>
      </c>
      <c r="L706">
        <v>2610222833</v>
      </c>
      <c r="M706" t="s">
        <v>14578</v>
      </c>
      <c r="N706" t="s">
        <v>13803</v>
      </c>
      <c r="O706" t="s">
        <v>14305</v>
      </c>
      <c r="P706">
        <v>26335</v>
      </c>
      <c r="Q706" t="str">
        <f>"38.237251"</f>
        <v>38.237251</v>
      </c>
      <c r="R706" t="str">
        <f>"21.746537"</f>
        <v>21.746537</v>
      </c>
      <c r="S706" t="s">
        <v>26</v>
      </c>
    </row>
    <row r="707" spans="1:19" x14ac:dyDescent="0.3">
      <c r="A707" t="s">
        <v>13791</v>
      </c>
      <c r="B707" t="s">
        <v>14180</v>
      </c>
      <c r="C707" t="s">
        <v>14579</v>
      </c>
      <c r="D707" t="s">
        <v>13798</v>
      </c>
      <c r="E707" t="s">
        <v>14181</v>
      </c>
      <c r="F707" t="s">
        <v>14230</v>
      </c>
      <c r="G707" t="s">
        <v>14231</v>
      </c>
      <c r="H707" t="s">
        <v>51</v>
      </c>
      <c r="I707" t="s">
        <v>52</v>
      </c>
      <c r="J707" t="str">
        <f>"0602030"</f>
        <v>0602030</v>
      </c>
      <c r="K707">
        <v>2691031101</v>
      </c>
      <c r="L707">
        <v>2691032630</v>
      </c>
      <c r="M707" t="s">
        <v>14580</v>
      </c>
      <c r="N707" t="s">
        <v>14581</v>
      </c>
      <c r="O707" t="s">
        <v>14581</v>
      </c>
      <c r="P707">
        <v>25009</v>
      </c>
      <c r="Q707" t="str">
        <f>"38.301152"</f>
        <v>38.301152</v>
      </c>
      <c r="R707" t="str">
        <f>"22.003990"</f>
        <v>22.003990</v>
      </c>
      <c r="S707" t="s">
        <v>26</v>
      </c>
    </row>
    <row r="708" spans="1:19" x14ac:dyDescent="0.3">
      <c r="A708" t="s">
        <v>13791</v>
      </c>
      <c r="B708" t="s">
        <v>14180</v>
      </c>
      <c r="C708" t="s">
        <v>14588</v>
      </c>
      <c r="D708" t="s">
        <v>13798</v>
      </c>
      <c r="E708" t="s">
        <v>13799</v>
      </c>
      <c r="F708" t="s">
        <v>13799</v>
      </c>
      <c r="G708" t="s">
        <v>14241</v>
      </c>
      <c r="H708" t="s">
        <v>51</v>
      </c>
      <c r="I708" t="s">
        <v>52</v>
      </c>
      <c r="J708" t="str">
        <f>"0601060"</f>
        <v>0601060</v>
      </c>
      <c r="K708">
        <v>2610223289</v>
      </c>
      <c r="L708">
        <v>2610241087</v>
      </c>
      <c r="M708" t="s">
        <v>14589</v>
      </c>
      <c r="N708" t="s">
        <v>13803</v>
      </c>
      <c r="O708" t="s">
        <v>14305</v>
      </c>
      <c r="P708">
        <v>26331</v>
      </c>
      <c r="Q708" t="str">
        <f>"38.237914"</f>
        <v>38.237914</v>
      </c>
      <c r="R708" t="str">
        <f>"21.746413"</f>
        <v>21.746413</v>
      </c>
      <c r="S708" t="s">
        <v>26</v>
      </c>
    </row>
    <row r="709" spans="1:19" x14ac:dyDescent="0.3">
      <c r="A709" t="s">
        <v>13791</v>
      </c>
      <c r="B709" t="s">
        <v>14180</v>
      </c>
      <c r="C709" t="s">
        <v>14590</v>
      </c>
      <c r="D709" t="s">
        <v>13798</v>
      </c>
      <c r="E709" t="s">
        <v>13799</v>
      </c>
      <c r="F709" t="s">
        <v>14276</v>
      </c>
      <c r="G709" t="s">
        <v>14277</v>
      </c>
      <c r="H709" t="s">
        <v>51</v>
      </c>
      <c r="I709" t="s">
        <v>52</v>
      </c>
      <c r="J709" t="str">
        <f>"0601056"</f>
        <v>0601056</v>
      </c>
      <c r="K709">
        <v>2610993995</v>
      </c>
      <c r="L709">
        <v>2610993995</v>
      </c>
      <c r="M709" t="s">
        <v>14591</v>
      </c>
      <c r="N709" t="s">
        <v>14592</v>
      </c>
      <c r="O709" t="s">
        <v>6092</v>
      </c>
      <c r="P709">
        <v>26504</v>
      </c>
      <c r="Q709" t="str">
        <f>"38.279707"</f>
        <v>38.279707</v>
      </c>
      <c r="R709" t="str">
        <f>"21.789452"</f>
        <v>21.789452</v>
      </c>
      <c r="S709" t="s">
        <v>26</v>
      </c>
    </row>
    <row r="710" spans="1:19" x14ac:dyDescent="0.3">
      <c r="A710" t="s">
        <v>13791</v>
      </c>
      <c r="B710" t="s">
        <v>14180</v>
      </c>
      <c r="C710" t="s">
        <v>14593</v>
      </c>
      <c r="D710" t="s">
        <v>13798</v>
      </c>
      <c r="E710" t="s">
        <v>14181</v>
      </c>
      <c r="F710" t="s">
        <v>14182</v>
      </c>
      <c r="G710" t="s">
        <v>14182</v>
      </c>
      <c r="H710" t="s">
        <v>51</v>
      </c>
      <c r="I710" t="s">
        <v>52</v>
      </c>
      <c r="J710" t="str">
        <f>"0602020"</f>
        <v>0602020</v>
      </c>
      <c r="K710">
        <v>2691022273</v>
      </c>
      <c r="L710">
        <v>2691062246</v>
      </c>
      <c r="M710" t="s">
        <v>14594</v>
      </c>
      <c r="N710" t="s">
        <v>14185</v>
      </c>
      <c r="O710" t="s">
        <v>14595</v>
      </c>
      <c r="P710">
        <v>25100</v>
      </c>
      <c r="Q710" t="str">
        <f>"38.251510"</f>
        <v>38.251510</v>
      </c>
      <c r="R710" t="str">
        <f>"22.079808"</f>
        <v>22.079808</v>
      </c>
      <c r="S710" t="s">
        <v>26</v>
      </c>
    </row>
    <row r="711" spans="1:19" x14ac:dyDescent="0.3">
      <c r="A711" t="s">
        <v>13791</v>
      </c>
      <c r="B711" t="s">
        <v>14180</v>
      </c>
      <c r="C711" t="s">
        <v>14598</v>
      </c>
      <c r="D711" t="s">
        <v>13798</v>
      </c>
      <c r="E711" t="s">
        <v>13799</v>
      </c>
      <c r="F711" t="s">
        <v>14276</v>
      </c>
      <c r="G711" t="s">
        <v>14276</v>
      </c>
      <c r="H711" t="s">
        <v>51</v>
      </c>
      <c r="I711" t="s">
        <v>52</v>
      </c>
      <c r="J711" t="str">
        <f>"0617010"</f>
        <v>0617010</v>
      </c>
      <c r="K711">
        <v>2610993442</v>
      </c>
      <c r="L711">
        <v>2610992394</v>
      </c>
      <c r="M711" t="s">
        <v>14599</v>
      </c>
      <c r="N711" t="s">
        <v>14600</v>
      </c>
      <c r="O711" t="s">
        <v>14601</v>
      </c>
      <c r="P711">
        <v>26504</v>
      </c>
      <c r="Q711" t="str">
        <f>"38.300433"</f>
        <v>38.300433</v>
      </c>
      <c r="R711" t="str">
        <f>"21.786091"</f>
        <v>21.786091</v>
      </c>
      <c r="S711" t="s">
        <v>26</v>
      </c>
    </row>
    <row r="712" spans="1:19" x14ac:dyDescent="0.3">
      <c r="A712" t="s">
        <v>13791</v>
      </c>
      <c r="B712" t="s">
        <v>14180</v>
      </c>
      <c r="C712" t="s">
        <v>14603</v>
      </c>
      <c r="D712" t="s">
        <v>13798</v>
      </c>
      <c r="E712" t="s">
        <v>13799</v>
      </c>
      <c r="F712" t="s">
        <v>13799</v>
      </c>
      <c r="G712" t="s">
        <v>13809</v>
      </c>
      <c r="H712" t="s">
        <v>51</v>
      </c>
      <c r="I712" t="s">
        <v>52</v>
      </c>
      <c r="J712" t="str">
        <f>"0601070"</f>
        <v>0601070</v>
      </c>
      <c r="K712">
        <v>2610432865</v>
      </c>
      <c r="L712">
        <v>2610436755</v>
      </c>
      <c r="M712" t="s">
        <v>14604</v>
      </c>
      <c r="N712" t="s">
        <v>13803</v>
      </c>
      <c r="O712" t="s">
        <v>14605</v>
      </c>
      <c r="P712">
        <v>26223</v>
      </c>
      <c r="Q712" t="str">
        <f>"38.257132"</f>
        <v>38.257132</v>
      </c>
      <c r="R712" t="str">
        <f>"21.741468"</f>
        <v>21.741468</v>
      </c>
      <c r="S712" t="s">
        <v>26</v>
      </c>
    </row>
    <row r="713" spans="1:19" x14ac:dyDescent="0.3">
      <c r="A713" t="s">
        <v>13791</v>
      </c>
      <c r="B713" t="s">
        <v>14180</v>
      </c>
      <c r="C713" t="s">
        <v>14606</v>
      </c>
      <c r="D713" t="s">
        <v>13798</v>
      </c>
      <c r="E713" t="s">
        <v>13799</v>
      </c>
      <c r="F713" t="s">
        <v>13799</v>
      </c>
      <c r="G713" t="s">
        <v>14236</v>
      </c>
      <c r="H713" t="s">
        <v>51</v>
      </c>
      <c r="I713" t="s">
        <v>52</v>
      </c>
      <c r="J713" t="str">
        <f>"0601057"</f>
        <v>0601057</v>
      </c>
      <c r="K713">
        <v>2610333298</v>
      </c>
      <c r="L713">
        <v>2610316495</v>
      </c>
      <c r="M713" t="s">
        <v>14607</v>
      </c>
      <c r="N713" t="s">
        <v>13803</v>
      </c>
      <c r="O713" t="s">
        <v>14608</v>
      </c>
      <c r="P713">
        <v>26332</v>
      </c>
      <c r="Q713" t="str">
        <f>"38.216651"</f>
        <v>38.216651</v>
      </c>
      <c r="R713" t="str">
        <f>"21.736701"</f>
        <v>21.736701</v>
      </c>
      <c r="S713" t="s">
        <v>26</v>
      </c>
    </row>
    <row r="714" spans="1:19" x14ac:dyDescent="0.3">
      <c r="A714" t="s">
        <v>13791</v>
      </c>
      <c r="B714" t="s">
        <v>14180</v>
      </c>
      <c r="C714" t="s">
        <v>14610</v>
      </c>
      <c r="D714" t="s">
        <v>13798</v>
      </c>
      <c r="E714" t="s">
        <v>13799</v>
      </c>
      <c r="F714" t="s">
        <v>14349</v>
      </c>
      <c r="G714" t="s">
        <v>14350</v>
      </c>
      <c r="H714" t="s">
        <v>51</v>
      </c>
      <c r="I714" t="s">
        <v>52</v>
      </c>
      <c r="J714" t="str">
        <f>"0601058"</f>
        <v>0601058</v>
      </c>
      <c r="K714">
        <v>2610520489</v>
      </c>
      <c r="L714">
        <v>2610520489</v>
      </c>
      <c r="M714" t="s">
        <v>14611</v>
      </c>
      <c r="N714" t="s">
        <v>14612</v>
      </c>
      <c r="O714" t="s">
        <v>14613</v>
      </c>
      <c r="P714">
        <v>26500</v>
      </c>
      <c r="Q714" t="str">
        <f>"38.201552"</f>
        <v>38.201552</v>
      </c>
      <c r="R714" t="str">
        <f>"21.739945"</f>
        <v>21.739945</v>
      </c>
      <c r="S714" t="s">
        <v>26</v>
      </c>
    </row>
    <row r="715" spans="1:19" x14ac:dyDescent="0.3">
      <c r="A715" t="s">
        <v>13791</v>
      </c>
      <c r="B715" t="s">
        <v>14180</v>
      </c>
      <c r="C715" t="s">
        <v>14614</v>
      </c>
      <c r="D715" t="s">
        <v>13798</v>
      </c>
      <c r="E715" t="s">
        <v>14200</v>
      </c>
      <c r="F715" t="s">
        <v>14329</v>
      </c>
      <c r="G715" t="s">
        <v>14330</v>
      </c>
      <c r="H715" t="s">
        <v>51</v>
      </c>
      <c r="I715" t="s">
        <v>52</v>
      </c>
      <c r="J715" t="str">
        <f>"0607010"</f>
        <v>0607010</v>
      </c>
      <c r="K715">
        <v>2693061236</v>
      </c>
      <c r="L715">
        <v>2693061778</v>
      </c>
      <c r="M715" t="s">
        <v>14615</v>
      </c>
      <c r="N715" t="s">
        <v>14334</v>
      </c>
      <c r="O715" t="s">
        <v>14334</v>
      </c>
      <c r="P715">
        <v>25200</v>
      </c>
      <c r="Q715" t="str">
        <f>"38.109447"</f>
        <v>38.109447</v>
      </c>
      <c r="R715" t="str">
        <f>"21.596832"</f>
        <v>21.596832</v>
      </c>
      <c r="S715" t="s">
        <v>26</v>
      </c>
    </row>
    <row r="716" spans="1:19" x14ac:dyDescent="0.3">
      <c r="A716" t="s">
        <v>13791</v>
      </c>
      <c r="B716" t="s">
        <v>14180</v>
      </c>
      <c r="C716" t="s">
        <v>14626</v>
      </c>
      <c r="D716" t="s">
        <v>13798</v>
      </c>
      <c r="E716" t="s">
        <v>13799</v>
      </c>
      <c r="F716" t="s">
        <v>13799</v>
      </c>
      <c r="G716" t="s">
        <v>14241</v>
      </c>
      <c r="H716" t="s">
        <v>51</v>
      </c>
      <c r="I716" t="s">
        <v>199</v>
      </c>
      <c r="J716" t="str">
        <f>"0650098"</f>
        <v>0650098</v>
      </c>
      <c r="K716">
        <v>2610420088</v>
      </c>
      <c r="L716">
        <v>2610420016</v>
      </c>
      <c r="M716" t="s">
        <v>14627</v>
      </c>
      <c r="N716" t="s">
        <v>13803</v>
      </c>
      <c r="O716" t="s">
        <v>14628</v>
      </c>
      <c r="P716">
        <v>26334</v>
      </c>
      <c r="Q716" t="str">
        <f>"38.209567"</f>
        <v>38.209567</v>
      </c>
      <c r="R716" t="str">
        <f>"21.753577"</f>
        <v>21.753577</v>
      </c>
      <c r="S716" t="s">
        <v>26</v>
      </c>
    </row>
    <row r="717" spans="1:19" x14ac:dyDescent="0.3">
      <c r="A717" t="s">
        <v>13791</v>
      </c>
      <c r="B717" t="s">
        <v>14180</v>
      </c>
      <c r="C717" t="s">
        <v>14632</v>
      </c>
      <c r="D717" t="s">
        <v>13798</v>
      </c>
      <c r="E717" t="s">
        <v>13799</v>
      </c>
      <c r="F717" t="s">
        <v>13799</v>
      </c>
      <c r="G717" t="s">
        <v>13809</v>
      </c>
      <c r="H717" t="s">
        <v>51</v>
      </c>
      <c r="I717" t="s">
        <v>52</v>
      </c>
      <c r="J717" t="str">
        <f>"0601010"</f>
        <v>0601010</v>
      </c>
      <c r="K717">
        <v>2610422250</v>
      </c>
      <c r="L717">
        <v>2610422250</v>
      </c>
      <c r="M717" t="s">
        <v>14633</v>
      </c>
      <c r="N717" t="s">
        <v>13803</v>
      </c>
      <c r="O717" t="s">
        <v>14605</v>
      </c>
      <c r="P717">
        <v>26223</v>
      </c>
      <c r="Q717" t="str">
        <f>"38.256728"</f>
        <v>38.256728</v>
      </c>
      <c r="R717" t="str">
        <f>"21.740685"</f>
        <v>21.740685</v>
      </c>
      <c r="S717" t="s">
        <v>26</v>
      </c>
    </row>
    <row r="718" spans="1:19" x14ac:dyDescent="0.3">
      <c r="A718" t="s">
        <v>13791</v>
      </c>
      <c r="B718" t="s">
        <v>14180</v>
      </c>
      <c r="C718" t="s">
        <v>14638</v>
      </c>
      <c r="D718" t="s">
        <v>13798</v>
      </c>
      <c r="E718" t="s">
        <v>13799</v>
      </c>
      <c r="F718" t="s">
        <v>13799</v>
      </c>
      <c r="G718" t="s">
        <v>13800</v>
      </c>
      <c r="H718" t="s">
        <v>51</v>
      </c>
      <c r="I718" t="s">
        <v>52</v>
      </c>
      <c r="J718" t="str">
        <f>"0555555"</f>
        <v>0555555</v>
      </c>
      <c r="K718">
        <v>2105770657</v>
      </c>
      <c r="N718" t="s">
        <v>14639</v>
      </c>
      <c r="P718">
        <v>26504</v>
      </c>
      <c r="Q718" t="str">
        <f>"38.309805"</f>
        <v>38.309805</v>
      </c>
      <c r="R718" t="str">
        <f>"21.801100"</f>
        <v>21.801100</v>
      </c>
      <c r="S718" t="s">
        <v>26</v>
      </c>
    </row>
    <row r="719" spans="1:19" x14ac:dyDescent="0.3">
      <c r="A719" t="s">
        <v>13791</v>
      </c>
      <c r="B719" t="s">
        <v>14644</v>
      </c>
      <c r="C719" t="s">
        <v>14647</v>
      </c>
      <c r="D719" t="s">
        <v>13805</v>
      </c>
      <c r="E719" t="s">
        <v>1210</v>
      </c>
      <c r="F719" t="s">
        <v>14645</v>
      </c>
      <c r="G719" t="s">
        <v>14646</v>
      </c>
      <c r="H719" t="s">
        <v>51</v>
      </c>
      <c r="I719" t="s">
        <v>52</v>
      </c>
      <c r="J719" t="str">
        <f>"1516010"</f>
        <v>1516010</v>
      </c>
      <c r="K719">
        <v>2621061228</v>
      </c>
      <c r="L719">
        <v>2621061376</v>
      </c>
      <c r="M719" t="s">
        <v>14648</v>
      </c>
      <c r="N719" t="s">
        <v>14649</v>
      </c>
      <c r="O719" t="s">
        <v>14646</v>
      </c>
      <c r="P719">
        <v>27064</v>
      </c>
      <c r="Q719" t="str">
        <f>"37.741391"</f>
        <v>37.741391</v>
      </c>
      <c r="R719" t="str">
        <f>"21.531627"</f>
        <v>21.531627</v>
      </c>
      <c r="S719" t="s">
        <v>26</v>
      </c>
    </row>
    <row r="720" spans="1:19" x14ac:dyDescent="0.3">
      <c r="A720" t="s">
        <v>13791</v>
      </c>
      <c r="B720" t="s">
        <v>14644</v>
      </c>
      <c r="C720" t="s">
        <v>14654</v>
      </c>
      <c r="D720" t="s">
        <v>13805</v>
      </c>
      <c r="E720" t="s">
        <v>14651</v>
      </c>
      <c r="F720" t="s">
        <v>14652</v>
      </c>
      <c r="G720" t="s">
        <v>14653</v>
      </c>
      <c r="H720" t="s">
        <v>51</v>
      </c>
      <c r="I720" t="s">
        <v>52</v>
      </c>
      <c r="J720" t="str">
        <f>"1508030"</f>
        <v>1508030</v>
      </c>
      <c r="K720">
        <v>2623094330</v>
      </c>
      <c r="L720">
        <v>2623094323</v>
      </c>
      <c r="M720" t="s">
        <v>14655</v>
      </c>
      <c r="N720" t="s">
        <v>14656</v>
      </c>
      <c r="O720" t="s">
        <v>14657</v>
      </c>
      <c r="P720">
        <v>27053</v>
      </c>
      <c r="Q720" t="str">
        <f>"37.907465"</f>
        <v>37.907465</v>
      </c>
      <c r="R720" t="str">
        <f>"21.207038"</f>
        <v>21.207038</v>
      </c>
      <c r="S720" t="s">
        <v>26</v>
      </c>
    </row>
    <row r="721" spans="1:19" x14ac:dyDescent="0.3">
      <c r="A721" t="s">
        <v>13791</v>
      </c>
      <c r="B721" t="s">
        <v>14644</v>
      </c>
      <c r="C721" t="s">
        <v>14663</v>
      </c>
      <c r="D721" t="s">
        <v>13805</v>
      </c>
      <c r="E721" t="s">
        <v>14660</v>
      </c>
      <c r="F721" t="s">
        <v>14661</v>
      </c>
      <c r="G721" t="s">
        <v>14662</v>
      </c>
      <c r="H721" t="s">
        <v>51</v>
      </c>
      <c r="I721" t="s">
        <v>52</v>
      </c>
      <c r="J721" t="str">
        <f>"1505020"</f>
        <v>1505020</v>
      </c>
      <c r="K721">
        <v>2625022602</v>
      </c>
      <c r="L721">
        <v>2625022602</v>
      </c>
      <c r="M721" t="s">
        <v>14664</v>
      </c>
      <c r="N721" t="s">
        <v>14665</v>
      </c>
      <c r="O721" t="s">
        <v>14666</v>
      </c>
      <c r="P721">
        <v>27055</v>
      </c>
      <c r="Q721" t="str">
        <f>"37.608216"</f>
        <v>37.608216</v>
      </c>
      <c r="R721" t="str">
        <f>"21.599499"</f>
        <v>21.599499</v>
      </c>
      <c r="S721" t="s">
        <v>26</v>
      </c>
    </row>
    <row r="722" spans="1:19" x14ac:dyDescent="0.3">
      <c r="A722" t="s">
        <v>13791</v>
      </c>
      <c r="B722" t="s">
        <v>14644</v>
      </c>
      <c r="C722" t="s">
        <v>14792</v>
      </c>
      <c r="D722" t="s">
        <v>13805</v>
      </c>
      <c r="E722" t="s">
        <v>14669</v>
      </c>
      <c r="F722" t="s">
        <v>14685</v>
      </c>
      <c r="G722" t="s">
        <v>14686</v>
      </c>
      <c r="H722" t="s">
        <v>51</v>
      </c>
      <c r="I722" t="s">
        <v>52</v>
      </c>
      <c r="J722" t="str">
        <f>"1509010"</f>
        <v>1509010</v>
      </c>
      <c r="K722">
        <v>2624041201</v>
      </c>
      <c r="L722">
        <v>2624026390</v>
      </c>
      <c r="M722" t="s">
        <v>14793</v>
      </c>
      <c r="N722" t="s">
        <v>13805</v>
      </c>
      <c r="O722" t="s">
        <v>14794</v>
      </c>
      <c r="P722">
        <v>27066</v>
      </c>
      <c r="Q722" t="str">
        <f>"37.709478"</f>
        <v>37.709478</v>
      </c>
      <c r="R722" t="str">
        <f>"21.715874"</f>
        <v>21.715874</v>
      </c>
      <c r="S722" t="s">
        <v>26</v>
      </c>
    </row>
    <row r="723" spans="1:19" x14ac:dyDescent="0.3">
      <c r="A723" t="s">
        <v>13791</v>
      </c>
      <c r="B723" t="s">
        <v>14644</v>
      </c>
      <c r="C723" t="s">
        <v>14795</v>
      </c>
      <c r="D723" t="s">
        <v>13805</v>
      </c>
      <c r="E723" t="s">
        <v>14709</v>
      </c>
      <c r="F723" t="s">
        <v>14710</v>
      </c>
      <c r="G723" t="s">
        <v>14710</v>
      </c>
      <c r="H723" t="s">
        <v>51</v>
      </c>
      <c r="I723" t="s">
        <v>52</v>
      </c>
      <c r="J723" t="str">
        <f>"1502021"</f>
        <v>1502021</v>
      </c>
      <c r="K723">
        <v>2622023342</v>
      </c>
      <c r="M723" t="s">
        <v>14796</v>
      </c>
      <c r="N723" t="s">
        <v>14797</v>
      </c>
      <c r="O723" t="s">
        <v>14798</v>
      </c>
      <c r="P723">
        <v>27200</v>
      </c>
      <c r="Q723" t="str">
        <f>"37.806154"</f>
        <v>37.806154</v>
      </c>
      <c r="R723" t="str">
        <f>"21.352843"</f>
        <v>21.352843</v>
      </c>
      <c r="S723" t="s">
        <v>26</v>
      </c>
    </row>
    <row r="724" spans="1:19" x14ac:dyDescent="0.3">
      <c r="A724" t="s">
        <v>13791</v>
      </c>
      <c r="B724" t="s">
        <v>14644</v>
      </c>
      <c r="C724" t="s">
        <v>14800</v>
      </c>
      <c r="D724" t="s">
        <v>13805</v>
      </c>
      <c r="E724" t="s">
        <v>1210</v>
      </c>
      <c r="F724" t="s">
        <v>14754</v>
      </c>
      <c r="G724" t="s">
        <v>14755</v>
      </c>
      <c r="H724" t="s">
        <v>51</v>
      </c>
      <c r="I724" t="s">
        <v>52</v>
      </c>
      <c r="J724" t="str">
        <f>"1501050"</f>
        <v>1501050</v>
      </c>
      <c r="K724">
        <v>2621051266</v>
      </c>
      <c r="L724">
        <v>2621051106</v>
      </c>
      <c r="M724" t="s">
        <v>14801</v>
      </c>
      <c r="N724" t="s">
        <v>14802</v>
      </c>
      <c r="O724" t="s">
        <v>14758</v>
      </c>
      <c r="P724">
        <v>27100</v>
      </c>
      <c r="Q724" t="str">
        <f>"37.738242"</f>
        <v>37.738242</v>
      </c>
      <c r="R724" t="str">
        <f>"21.413664"</f>
        <v>21.413664</v>
      </c>
      <c r="S724" t="s">
        <v>26</v>
      </c>
    </row>
    <row r="725" spans="1:19" x14ac:dyDescent="0.3">
      <c r="A725" t="s">
        <v>13791</v>
      </c>
      <c r="B725" t="s">
        <v>14644</v>
      </c>
      <c r="C725" t="s">
        <v>14803</v>
      </c>
      <c r="D725" t="s">
        <v>13805</v>
      </c>
      <c r="E725" t="s">
        <v>14741</v>
      </c>
      <c r="F725" t="s">
        <v>14742</v>
      </c>
      <c r="G725" t="s">
        <v>14742</v>
      </c>
      <c r="H725" t="s">
        <v>51</v>
      </c>
      <c r="I725" t="s">
        <v>52</v>
      </c>
      <c r="J725" t="str">
        <f>"1502030"</f>
        <v>1502030</v>
      </c>
      <c r="K725">
        <v>2623032647</v>
      </c>
      <c r="L725">
        <v>2623032220</v>
      </c>
      <c r="M725" t="s">
        <v>14804</v>
      </c>
      <c r="N725" t="s">
        <v>14805</v>
      </c>
      <c r="O725" t="s">
        <v>14746</v>
      </c>
      <c r="P725">
        <v>27300</v>
      </c>
      <c r="Q725" t="str">
        <f>"37.848058"</f>
        <v>37.848058</v>
      </c>
      <c r="R725" t="str">
        <f>"21.255152"</f>
        <v>21.255152</v>
      </c>
      <c r="S725" t="s">
        <v>26</v>
      </c>
    </row>
    <row r="726" spans="1:19" x14ac:dyDescent="0.3">
      <c r="A726" t="s">
        <v>13791</v>
      </c>
      <c r="B726" t="s">
        <v>14644</v>
      </c>
      <c r="C726" t="s">
        <v>14807</v>
      </c>
      <c r="D726" t="s">
        <v>13805</v>
      </c>
      <c r="E726" t="s">
        <v>14741</v>
      </c>
      <c r="F726" t="s">
        <v>14806</v>
      </c>
      <c r="G726" t="s">
        <v>14806</v>
      </c>
      <c r="H726" t="s">
        <v>51</v>
      </c>
      <c r="I726" t="s">
        <v>52</v>
      </c>
      <c r="J726" t="str">
        <f>"1508010"</f>
        <v>1508010</v>
      </c>
      <c r="K726">
        <v>2623041232</v>
      </c>
      <c r="L726">
        <v>2623041232</v>
      </c>
      <c r="M726" t="s">
        <v>14808</v>
      </c>
      <c r="N726" t="s">
        <v>14809</v>
      </c>
      <c r="O726" t="s">
        <v>14810</v>
      </c>
      <c r="P726">
        <v>27050</v>
      </c>
      <c r="Q726" t="str">
        <f>"37.859458"</f>
        <v>37.859458</v>
      </c>
      <c r="R726" t="str">
        <f>"21.210546"</f>
        <v>21.210546</v>
      </c>
      <c r="S726" t="s">
        <v>26</v>
      </c>
    </row>
    <row r="727" spans="1:19" x14ac:dyDescent="0.3">
      <c r="A727" t="s">
        <v>13791</v>
      </c>
      <c r="B727" t="s">
        <v>14644</v>
      </c>
      <c r="C727" t="s">
        <v>14813</v>
      </c>
      <c r="D727" t="s">
        <v>13805</v>
      </c>
      <c r="E727" t="s">
        <v>14669</v>
      </c>
      <c r="F727" t="s">
        <v>14812</v>
      </c>
      <c r="G727" t="s">
        <v>14812</v>
      </c>
      <c r="H727" t="s">
        <v>51</v>
      </c>
      <c r="I727" t="s">
        <v>89</v>
      </c>
      <c r="J727" t="str">
        <f>"1511010"</f>
        <v>1511010</v>
      </c>
      <c r="K727">
        <v>2624081251</v>
      </c>
      <c r="L727">
        <v>2624081189</v>
      </c>
      <c r="M727" t="s">
        <v>14814</v>
      </c>
      <c r="N727" t="s">
        <v>14815</v>
      </c>
      <c r="O727" t="s">
        <v>14816</v>
      </c>
      <c r="P727">
        <v>27063</v>
      </c>
      <c r="Q727" t="str">
        <f>"37.858122"</f>
        <v>37.858122</v>
      </c>
      <c r="R727" t="str">
        <f>"21.807280"</f>
        <v>21.807280</v>
      </c>
      <c r="S727" t="s">
        <v>57</v>
      </c>
    </row>
    <row r="728" spans="1:19" x14ac:dyDescent="0.3">
      <c r="A728" t="s">
        <v>13791</v>
      </c>
      <c r="B728" t="s">
        <v>14644</v>
      </c>
      <c r="C728" t="s">
        <v>14819</v>
      </c>
      <c r="D728" t="s">
        <v>13805</v>
      </c>
      <c r="E728" t="s">
        <v>14709</v>
      </c>
      <c r="F728" t="s">
        <v>14710</v>
      </c>
      <c r="G728" t="s">
        <v>14818</v>
      </c>
      <c r="H728" t="s">
        <v>51</v>
      </c>
      <c r="I728" t="s">
        <v>52</v>
      </c>
      <c r="J728" t="str">
        <f>"1519010"</f>
        <v>1519010</v>
      </c>
      <c r="K728">
        <v>2622091209</v>
      </c>
      <c r="L728">
        <v>2622091519</v>
      </c>
      <c r="M728" t="s">
        <v>14820</v>
      </c>
      <c r="N728" t="s">
        <v>14821</v>
      </c>
      <c r="O728" t="s">
        <v>14822</v>
      </c>
      <c r="P728">
        <v>27200</v>
      </c>
      <c r="Q728" t="str">
        <f>"37.849895"</f>
        <v>37.849895</v>
      </c>
      <c r="R728" t="str">
        <f>"21.384433"</f>
        <v>21.384433</v>
      </c>
      <c r="S728" t="s">
        <v>26</v>
      </c>
    </row>
    <row r="729" spans="1:19" x14ac:dyDescent="0.3">
      <c r="A729" t="s">
        <v>13791</v>
      </c>
      <c r="B729" t="s">
        <v>14644</v>
      </c>
      <c r="C729" t="s">
        <v>14824</v>
      </c>
      <c r="D729" t="s">
        <v>13805</v>
      </c>
      <c r="E729" t="s">
        <v>1210</v>
      </c>
      <c r="F729" t="s">
        <v>1210</v>
      </c>
      <c r="G729" t="s">
        <v>1210</v>
      </c>
      <c r="H729" t="s">
        <v>51</v>
      </c>
      <c r="I729" t="s">
        <v>52</v>
      </c>
      <c r="J729" t="str">
        <f>"1501032"</f>
        <v>1501032</v>
      </c>
      <c r="K729">
        <v>2621029977</v>
      </c>
      <c r="L729">
        <v>2621026747</v>
      </c>
      <c r="M729" t="s">
        <v>14825</v>
      </c>
      <c r="N729" t="s">
        <v>14767</v>
      </c>
      <c r="O729" t="s">
        <v>14826</v>
      </c>
      <c r="P729">
        <v>27131</v>
      </c>
      <c r="Q729" t="str">
        <f>"37.664340"</f>
        <v>37.664340</v>
      </c>
      <c r="R729" t="str">
        <f>"21.444353"</f>
        <v>21.444353</v>
      </c>
      <c r="S729" t="s">
        <v>26</v>
      </c>
    </row>
    <row r="730" spans="1:19" x14ac:dyDescent="0.3">
      <c r="A730" t="s">
        <v>13791</v>
      </c>
      <c r="B730" t="s">
        <v>14644</v>
      </c>
      <c r="C730" t="s">
        <v>14829</v>
      </c>
      <c r="D730" t="s">
        <v>13805</v>
      </c>
      <c r="E730" t="s">
        <v>14709</v>
      </c>
      <c r="F730" t="s">
        <v>14710</v>
      </c>
      <c r="G730" t="s">
        <v>14828</v>
      </c>
      <c r="H730" t="s">
        <v>51</v>
      </c>
      <c r="I730" t="s">
        <v>52</v>
      </c>
      <c r="J730" t="str">
        <f>"1502022"</f>
        <v>1502022</v>
      </c>
      <c r="K730">
        <v>2622061300</v>
      </c>
      <c r="L730">
        <v>2622061403</v>
      </c>
      <c r="M730" t="s">
        <v>14830</v>
      </c>
      <c r="N730" t="s">
        <v>14831</v>
      </c>
      <c r="O730" t="s">
        <v>14832</v>
      </c>
      <c r="P730">
        <v>27200</v>
      </c>
      <c r="Q730" t="str">
        <f>"37.822441"</f>
        <v>37.822441</v>
      </c>
      <c r="R730" t="str">
        <f>"21.293387"</f>
        <v>21.293387</v>
      </c>
      <c r="S730" t="s">
        <v>26</v>
      </c>
    </row>
    <row r="731" spans="1:19" x14ac:dyDescent="0.3">
      <c r="A731" t="s">
        <v>13791</v>
      </c>
      <c r="B731" t="s">
        <v>14644</v>
      </c>
      <c r="C731" t="s">
        <v>14834</v>
      </c>
      <c r="D731" t="s">
        <v>13805</v>
      </c>
      <c r="E731" t="s">
        <v>14669</v>
      </c>
      <c r="F731" t="s">
        <v>14669</v>
      </c>
      <c r="G731" t="s">
        <v>14669</v>
      </c>
      <c r="H731" t="s">
        <v>51</v>
      </c>
      <c r="I731" t="s">
        <v>52</v>
      </c>
      <c r="J731" t="str">
        <f>"1504020"</f>
        <v>1504020</v>
      </c>
      <c r="K731">
        <v>2624022355</v>
      </c>
      <c r="L731">
        <v>2624022355</v>
      </c>
      <c r="M731" t="s">
        <v>14835</v>
      </c>
      <c r="O731" t="s">
        <v>14836</v>
      </c>
      <c r="P731">
        <v>27065</v>
      </c>
      <c r="Q731" t="str">
        <f>"37.647625"</f>
        <v>37.647625</v>
      </c>
      <c r="R731" t="str">
        <f>"21.628312"</f>
        <v>21.628312</v>
      </c>
      <c r="S731" t="s">
        <v>26</v>
      </c>
    </row>
    <row r="732" spans="1:19" x14ac:dyDescent="0.3">
      <c r="A732" t="s">
        <v>13791</v>
      </c>
      <c r="B732" t="s">
        <v>14644</v>
      </c>
      <c r="C732" t="s">
        <v>14840</v>
      </c>
      <c r="D732" t="s">
        <v>13805</v>
      </c>
      <c r="E732" t="s">
        <v>14660</v>
      </c>
      <c r="F732" t="s">
        <v>14839</v>
      </c>
      <c r="G732" t="s">
        <v>14839</v>
      </c>
      <c r="H732" t="s">
        <v>51</v>
      </c>
      <c r="I732" t="s">
        <v>52</v>
      </c>
      <c r="J732" t="str">
        <f>"1503010"</f>
        <v>1503010</v>
      </c>
      <c r="K732">
        <v>2626022201</v>
      </c>
      <c r="L732">
        <v>2626022201</v>
      </c>
      <c r="M732" t="s">
        <v>14841</v>
      </c>
      <c r="N732" t="s">
        <v>14842</v>
      </c>
      <c r="O732" t="s">
        <v>14843</v>
      </c>
      <c r="P732">
        <v>27061</v>
      </c>
      <c r="Q732" t="str">
        <f>"37.484110"</f>
        <v>37.484110</v>
      </c>
      <c r="R732" t="str">
        <f>"21.908529"</f>
        <v>21.908529</v>
      </c>
      <c r="S732" t="s">
        <v>26</v>
      </c>
    </row>
    <row r="733" spans="1:19" x14ac:dyDescent="0.3">
      <c r="A733" t="s">
        <v>13791</v>
      </c>
      <c r="B733" t="s">
        <v>14644</v>
      </c>
      <c r="C733" t="s">
        <v>14846</v>
      </c>
      <c r="D733" t="s">
        <v>13805</v>
      </c>
      <c r="E733" t="s">
        <v>1210</v>
      </c>
      <c r="F733" t="s">
        <v>1210</v>
      </c>
      <c r="G733" t="s">
        <v>1210</v>
      </c>
      <c r="H733" t="s">
        <v>51</v>
      </c>
      <c r="I733" t="s">
        <v>4556</v>
      </c>
      <c r="J733" t="str">
        <f>"1501038"</f>
        <v>1501038</v>
      </c>
      <c r="K733">
        <v>2621028909</v>
      </c>
      <c r="L733">
        <v>2621029637</v>
      </c>
      <c r="M733" t="s">
        <v>14847</v>
      </c>
      <c r="N733" t="s">
        <v>1211</v>
      </c>
      <c r="O733" t="s">
        <v>14848</v>
      </c>
      <c r="P733">
        <v>27131</v>
      </c>
      <c r="Q733" t="str">
        <f>"37.673939"</f>
        <v>37.673939</v>
      </c>
      <c r="R733" t="str">
        <f>"21.427862"</f>
        <v>21.427862</v>
      </c>
      <c r="S733" t="s">
        <v>26</v>
      </c>
    </row>
    <row r="734" spans="1:19" x14ac:dyDescent="0.3">
      <c r="A734" t="s">
        <v>13791</v>
      </c>
      <c r="B734" t="s">
        <v>14644</v>
      </c>
      <c r="C734" t="s">
        <v>14850</v>
      </c>
      <c r="D734" t="s">
        <v>13805</v>
      </c>
      <c r="E734" t="s">
        <v>1210</v>
      </c>
      <c r="F734" t="s">
        <v>914</v>
      </c>
      <c r="G734" t="s">
        <v>14849</v>
      </c>
      <c r="H734" t="s">
        <v>51</v>
      </c>
      <c r="I734" t="s">
        <v>52</v>
      </c>
      <c r="J734" t="str">
        <f>"1501040"</f>
        <v>1501040</v>
      </c>
      <c r="K734">
        <v>2621071222</v>
      </c>
      <c r="L734">
        <v>2621072155</v>
      </c>
      <c r="M734" t="s">
        <v>14851</v>
      </c>
      <c r="N734" t="s">
        <v>14852</v>
      </c>
      <c r="O734" t="s">
        <v>14853</v>
      </c>
      <c r="P734">
        <v>27058</v>
      </c>
      <c r="Q734" t="str">
        <f>"37.626009"</f>
        <v>37.626009</v>
      </c>
      <c r="R734" t="str">
        <f>"21.491712"</f>
        <v>21.491712</v>
      </c>
      <c r="S734" t="s">
        <v>26</v>
      </c>
    </row>
    <row r="735" spans="1:19" x14ac:dyDescent="0.3">
      <c r="A735" t="s">
        <v>13791</v>
      </c>
      <c r="B735" t="s">
        <v>14644</v>
      </c>
      <c r="C735" t="s">
        <v>14855</v>
      </c>
      <c r="D735" t="s">
        <v>13805</v>
      </c>
      <c r="E735" t="s">
        <v>14651</v>
      </c>
      <c r="F735" t="s">
        <v>14748</v>
      </c>
      <c r="G735" t="s">
        <v>14748</v>
      </c>
      <c r="H735" t="s">
        <v>51</v>
      </c>
      <c r="I735" t="s">
        <v>52</v>
      </c>
      <c r="J735" t="str">
        <f>"1507010"</f>
        <v>1507010</v>
      </c>
      <c r="K735">
        <v>2623022172</v>
      </c>
      <c r="L735">
        <v>2623024223</v>
      </c>
      <c r="M735" t="s">
        <v>14856</v>
      </c>
      <c r="N735" t="s">
        <v>14751</v>
      </c>
      <c r="O735" t="s">
        <v>14752</v>
      </c>
      <c r="P735">
        <v>27053</v>
      </c>
      <c r="Q735" t="str">
        <f>"37.938823"</f>
        <v>37.938823</v>
      </c>
      <c r="R735" t="str">
        <f>"21.263426"</f>
        <v>21.263426</v>
      </c>
      <c r="S735" t="s">
        <v>26</v>
      </c>
    </row>
    <row r="736" spans="1:19" x14ac:dyDescent="0.3">
      <c r="A736" t="s">
        <v>13791</v>
      </c>
      <c r="B736" t="s">
        <v>14644</v>
      </c>
      <c r="C736" t="s">
        <v>14857</v>
      </c>
      <c r="D736" t="s">
        <v>13805</v>
      </c>
      <c r="E736" t="s">
        <v>14669</v>
      </c>
      <c r="F736" t="s">
        <v>14669</v>
      </c>
      <c r="G736" t="s">
        <v>14703</v>
      </c>
      <c r="H736" t="s">
        <v>51</v>
      </c>
      <c r="I736" t="s">
        <v>52</v>
      </c>
      <c r="J736" t="str">
        <f>"1513010"</f>
        <v>1513010</v>
      </c>
      <c r="K736">
        <v>2624071275</v>
      </c>
      <c r="L736">
        <v>2624071641</v>
      </c>
      <c r="M736" t="s">
        <v>14858</v>
      </c>
      <c r="N736" t="s">
        <v>14706</v>
      </c>
      <c r="O736" t="s">
        <v>14707</v>
      </c>
      <c r="P736">
        <v>27065</v>
      </c>
      <c r="Q736" t="str">
        <f>"37.648294"</f>
        <v>37.648294</v>
      </c>
      <c r="R736" t="str">
        <f>"21.756076"</f>
        <v>21.756076</v>
      </c>
      <c r="S736" t="s">
        <v>26</v>
      </c>
    </row>
    <row r="737" spans="1:19" x14ac:dyDescent="0.3">
      <c r="A737" t="s">
        <v>13791</v>
      </c>
      <c r="B737" t="s">
        <v>14644</v>
      </c>
      <c r="C737" t="s">
        <v>14859</v>
      </c>
      <c r="D737" t="s">
        <v>13805</v>
      </c>
      <c r="E737" t="s">
        <v>14709</v>
      </c>
      <c r="F737" t="s">
        <v>14710</v>
      </c>
      <c r="G737" t="s">
        <v>14710</v>
      </c>
      <c r="H737" t="s">
        <v>51</v>
      </c>
      <c r="I737" t="s">
        <v>52</v>
      </c>
      <c r="J737" t="str">
        <f>"1502010"</f>
        <v>1502010</v>
      </c>
      <c r="K737">
        <v>2622028688</v>
      </c>
      <c r="L737">
        <v>2622028622</v>
      </c>
      <c r="M737" t="s">
        <v>14860</v>
      </c>
      <c r="N737" t="s">
        <v>14861</v>
      </c>
      <c r="O737" t="s">
        <v>14862</v>
      </c>
      <c r="P737">
        <v>27200</v>
      </c>
      <c r="Q737" t="str">
        <f>"37.795887"</f>
        <v>37.795887</v>
      </c>
      <c r="R737" t="str">
        <f>"21.354370"</f>
        <v>21.354370</v>
      </c>
      <c r="S737" t="s">
        <v>26</v>
      </c>
    </row>
    <row r="738" spans="1:19" x14ac:dyDescent="0.3">
      <c r="A738" t="s">
        <v>13791</v>
      </c>
      <c r="B738" t="s">
        <v>14644</v>
      </c>
      <c r="C738" t="s">
        <v>14865</v>
      </c>
      <c r="D738" t="s">
        <v>13805</v>
      </c>
      <c r="E738" t="s">
        <v>14660</v>
      </c>
      <c r="F738" t="s">
        <v>14864</v>
      </c>
      <c r="G738" t="s">
        <v>5563</v>
      </c>
      <c r="H738" t="s">
        <v>51</v>
      </c>
      <c r="I738" t="s">
        <v>89</v>
      </c>
      <c r="J738" t="str">
        <f>"1515010"</f>
        <v>1515010</v>
      </c>
      <c r="K738">
        <v>2626031121</v>
      </c>
      <c r="L738">
        <v>2626031661</v>
      </c>
      <c r="M738" t="s">
        <v>14866</v>
      </c>
      <c r="N738" t="s">
        <v>5567</v>
      </c>
      <c r="O738" t="s">
        <v>14867</v>
      </c>
      <c r="P738">
        <v>27055</v>
      </c>
      <c r="Q738" t="str">
        <f>"37.551144"</f>
        <v>37.551144</v>
      </c>
      <c r="R738" t="str">
        <f>"21.825190"</f>
        <v>21.825190</v>
      </c>
      <c r="S738" t="s">
        <v>26</v>
      </c>
    </row>
    <row r="739" spans="1:19" x14ac:dyDescent="0.3">
      <c r="A739" t="s">
        <v>13791</v>
      </c>
      <c r="B739" t="s">
        <v>14644</v>
      </c>
      <c r="C739" t="s">
        <v>14870</v>
      </c>
      <c r="D739" t="s">
        <v>13805</v>
      </c>
      <c r="E739" t="s">
        <v>14741</v>
      </c>
      <c r="F739" t="s">
        <v>14869</v>
      </c>
      <c r="G739" t="s">
        <v>14869</v>
      </c>
      <c r="H739" t="s">
        <v>51</v>
      </c>
      <c r="I739" t="s">
        <v>52</v>
      </c>
      <c r="J739" t="str">
        <f>"1518010"</f>
        <v>1518010</v>
      </c>
      <c r="K739">
        <v>2623061484</v>
      </c>
      <c r="L739">
        <v>2623061191</v>
      </c>
      <c r="M739" t="s">
        <v>14871</v>
      </c>
      <c r="N739" t="s">
        <v>14872</v>
      </c>
      <c r="O739" t="s">
        <v>14873</v>
      </c>
      <c r="P739">
        <v>27057</v>
      </c>
      <c r="Q739" t="str">
        <f>"37.894827"</f>
        <v>37.894827</v>
      </c>
      <c r="R739" t="str">
        <f>"21.320419"</f>
        <v>21.320419</v>
      </c>
      <c r="S739" t="s">
        <v>26</v>
      </c>
    </row>
    <row r="740" spans="1:19" x14ac:dyDescent="0.3">
      <c r="A740" t="s">
        <v>13791</v>
      </c>
      <c r="B740" t="s">
        <v>14644</v>
      </c>
      <c r="C740" t="s">
        <v>14875</v>
      </c>
      <c r="D740" t="s">
        <v>13805</v>
      </c>
      <c r="E740" t="s">
        <v>14709</v>
      </c>
      <c r="F740" t="s">
        <v>14710</v>
      </c>
      <c r="G740" t="s">
        <v>14710</v>
      </c>
      <c r="H740" t="s">
        <v>51</v>
      </c>
      <c r="I740" t="s">
        <v>52</v>
      </c>
      <c r="J740" t="str">
        <f>"1502020"</f>
        <v>1502020</v>
      </c>
      <c r="K740">
        <v>2622028014</v>
      </c>
      <c r="L740">
        <v>2622038279</v>
      </c>
      <c r="M740" t="s">
        <v>14876</v>
      </c>
      <c r="N740" t="s">
        <v>14797</v>
      </c>
      <c r="O740" t="s">
        <v>14877</v>
      </c>
      <c r="P740">
        <v>27200</v>
      </c>
      <c r="Q740" t="str">
        <f>"37.789737"</f>
        <v>37.789737</v>
      </c>
      <c r="R740" t="str">
        <f>"21.348066"</f>
        <v>21.348066</v>
      </c>
      <c r="S740" t="s">
        <v>26</v>
      </c>
    </row>
    <row r="741" spans="1:19" x14ac:dyDescent="0.3">
      <c r="A741" t="s">
        <v>13791</v>
      </c>
      <c r="B741" t="s">
        <v>14644</v>
      </c>
      <c r="C741" t="s">
        <v>14879</v>
      </c>
      <c r="D741" t="s">
        <v>13805</v>
      </c>
      <c r="E741" t="s">
        <v>14651</v>
      </c>
      <c r="F741" t="s">
        <v>14691</v>
      </c>
      <c r="G741" t="s">
        <v>14691</v>
      </c>
      <c r="H741" t="s">
        <v>51</v>
      </c>
      <c r="I741" t="s">
        <v>52</v>
      </c>
      <c r="J741" t="str">
        <f>"1507020"</f>
        <v>1507020</v>
      </c>
      <c r="K741">
        <v>2623054380</v>
      </c>
      <c r="L741">
        <v>2623054380</v>
      </c>
      <c r="M741" t="s">
        <v>14880</v>
      </c>
      <c r="N741" t="s">
        <v>14881</v>
      </c>
      <c r="O741" t="s">
        <v>7009</v>
      </c>
      <c r="P741">
        <v>27051</v>
      </c>
      <c r="Q741" t="str">
        <f>"37.902690"</f>
        <v>37.902690</v>
      </c>
      <c r="R741" t="str">
        <f>"21.271574"</f>
        <v>21.271574</v>
      </c>
      <c r="S741" t="s">
        <v>26</v>
      </c>
    </row>
    <row r="742" spans="1:19" x14ac:dyDescent="0.3">
      <c r="A742" t="s">
        <v>13791</v>
      </c>
      <c r="B742" t="s">
        <v>14644</v>
      </c>
      <c r="C742" t="s">
        <v>14883</v>
      </c>
      <c r="D742" t="s">
        <v>13805</v>
      </c>
      <c r="E742" t="s">
        <v>14709</v>
      </c>
      <c r="F742" t="s">
        <v>14784</v>
      </c>
      <c r="G742" t="s">
        <v>14882</v>
      </c>
      <c r="H742" t="s">
        <v>51</v>
      </c>
      <c r="I742" t="s">
        <v>52</v>
      </c>
      <c r="J742" t="str">
        <f>"1512010"</f>
        <v>1512010</v>
      </c>
      <c r="K742">
        <v>2622031221</v>
      </c>
      <c r="M742" t="s">
        <v>14884</v>
      </c>
      <c r="N742" t="s">
        <v>14885</v>
      </c>
      <c r="O742" t="s">
        <v>14886</v>
      </c>
      <c r="P742">
        <v>27069</v>
      </c>
      <c r="Q742" t="str">
        <f>"37.854573"</f>
        <v>37.854573</v>
      </c>
      <c r="R742" t="str">
        <f>"21.517561"</f>
        <v>21.517561</v>
      </c>
      <c r="S742" t="s">
        <v>26</v>
      </c>
    </row>
    <row r="743" spans="1:19" x14ac:dyDescent="0.3">
      <c r="A743" t="s">
        <v>13791</v>
      </c>
      <c r="B743" t="s">
        <v>14644</v>
      </c>
      <c r="C743" t="s">
        <v>14887</v>
      </c>
      <c r="D743" t="s">
        <v>13805</v>
      </c>
      <c r="E743" t="s">
        <v>14741</v>
      </c>
      <c r="F743" t="s">
        <v>14806</v>
      </c>
      <c r="G743" t="s">
        <v>14806</v>
      </c>
      <c r="H743" t="s">
        <v>51</v>
      </c>
      <c r="I743" t="s">
        <v>190</v>
      </c>
      <c r="J743" t="str">
        <f>"1508015"</f>
        <v>1508015</v>
      </c>
      <c r="K743">
        <v>2623042749</v>
      </c>
      <c r="L743">
        <v>2623042749</v>
      </c>
      <c r="M743" t="s">
        <v>14888</v>
      </c>
      <c r="N743" t="s">
        <v>14889</v>
      </c>
      <c r="O743" t="s">
        <v>14890</v>
      </c>
      <c r="P743">
        <v>27050</v>
      </c>
      <c r="Q743" t="str">
        <f>"37.855390"</f>
        <v>37.855390</v>
      </c>
      <c r="R743" t="str">
        <f>"21.203311"</f>
        <v>21.203311</v>
      </c>
      <c r="S743" t="s">
        <v>26</v>
      </c>
    </row>
    <row r="744" spans="1:19" x14ac:dyDescent="0.3">
      <c r="A744" t="s">
        <v>13791</v>
      </c>
      <c r="B744" t="s">
        <v>14644</v>
      </c>
      <c r="C744" t="s">
        <v>14894</v>
      </c>
      <c r="D744" t="s">
        <v>13805</v>
      </c>
      <c r="E744" t="s">
        <v>14669</v>
      </c>
      <c r="F744" t="s">
        <v>14892</v>
      </c>
      <c r="G744" t="s">
        <v>14893</v>
      </c>
      <c r="H744" t="s">
        <v>51</v>
      </c>
      <c r="I744" t="s">
        <v>52</v>
      </c>
      <c r="J744" t="str">
        <f>"1511030"</f>
        <v>1511030</v>
      </c>
      <c r="K744">
        <v>2624061239</v>
      </c>
      <c r="L744">
        <v>2624061239</v>
      </c>
      <c r="M744" t="s">
        <v>14895</v>
      </c>
      <c r="N744" t="s">
        <v>14896</v>
      </c>
      <c r="O744" t="s">
        <v>14897</v>
      </c>
      <c r="P744">
        <v>27063</v>
      </c>
      <c r="Q744" t="str">
        <f>"37.819201"</f>
        <v>37.819201</v>
      </c>
      <c r="R744" t="str">
        <f>"21.688256"</f>
        <v>21.688256</v>
      </c>
      <c r="S744" t="s">
        <v>26</v>
      </c>
    </row>
    <row r="745" spans="1:19" x14ac:dyDescent="0.3">
      <c r="A745" t="s">
        <v>13791</v>
      </c>
      <c r="B745" t="s">
        <v>14644</v>
      </c>
      <c r="C745" t="s">
        <v>14899</v>
      </c>
      <c r="D745" t="s">
        <v>13805</v>
      </c>
      <c r="E745" t="s">
        <v>14669</v>
      </c>
      <c r="F745" t="s">
        <v>14669</v>
      </c>
      <c r="G745" t="s">
        <v>14670</v>
      </c>
      <c r="H745" t="s">
        <v>51</v>
      </c>
      <c r="I745" t="s">
        <v>52</v>
      </c>
      <c r="J745" t="str">
        <f>"1504010"</f>
        <v>1504010</v>
      </c>
      <c r="K745">
        <v>2624031279</v>
      </c>
      <c r="L745">
        <v>2624032221</v>
      </c>
      <c r="M745" t="s">
        <v>14900</v>
      </c>
      <c r="N745" t="s">
        <v>14674</v>
      </c>
      <c r="O745" t="s">
        <v>14901</v>
      </c>
      <c r="P745">
        <v>27065</v>
      </c>
      <c r="Q745" t="str">
        <f>"37.674228"</f>
        <v>37.674228</v>
      </c>
      <c r="R745" t="str">
        <f>"21.592070"</f>
        <v>21.592070</v>
      </c>
      <c r="S745" t="s">
        <v>26</v>
      </c>
    </row>
    <row r="746" spans="1:19" x14ac:dyDescent="0.3">
      <c r="A746" t="s">
        <v>13791</v>
      </c>
      <c r="B746" t="s">
        <v>14644</v>
      </c>
      <c r="C746" t="s">
        <v>14902</v>
      </c>
      <c r="D746" t="s">
        <v>13805</v>
      </c>
      <c r="E746" t="s">
        <v>14677</v>
      </c>
      <c r="F746" t="s">
        <v>14678</v>
      </c>
      <c r="G746" t="s">
        <v>14679</v>
      </c>
      <c r="H746" t="s">
        <v>51</v>
      </c>
      <c r="I746" t="s">
        <v>52</v>
      </c>
      <c r="J746" t="str">
        <f>"1510010"</f>
        <v>1510010</v>
      </c>
      <c r="K746">
        <v>2625041848</v>
      </c>
      <c r="L746">
        <v>2625041848</v>
      </c>
      <c r="M746" t="s">
        <v>14903</v>
      </c>
      <c r="N746" t="s">
        <v>14904</v>
      </c>
      <c r="O746" t="s">
        <v>14683</v>
      </c>
      <c r="P746">
        <v>27056</v>
      </c>
      <c r="Q746" t="str">
        <f>"37.444466"</f>
        <v>37.444466</v>
      </c>
      <c r="R746" t="str">
        <f>"21.773008"</f>
        <v>21.773008</v>
      </c>
      <c r="S746" t="s">
        <v>26</v>
      </c>
    </row>
    <row r="747" spans="1:19" x14ac:dyDescent="0.3">
      <c r="A747" t="s">
        <v>13791</v>
      </c>
      <c r="B747" t="s">
        <v>14644</v>
      </c>
      <c r="C747" t="s">
        <v>14905</v>
      </c>
      <c r="D747" t="s">
        <v>13805</v>
      </c>
      <c r="E747" t="s">
        <v>14660</v>
      </c>
      <c r="F747" t="s">
        <v>14661</v>
      </c>
      <c r="G747" t="s">
        <v>14667</v>
      </c>
      <c r="H747" t="s">
        <v>51</v>
      </c>
      <c r="I747" t="s">
        <v>52</v>
      </c>
      <c r="J747" t="str">
        <f>"1506010"</f>
        <v>1506010</v>
      </c>
      <c r="K747">
        <v>2625022239</v>
      </c>
      <c r="L747">
        <v>2625022190</v>
      </c>
      <c r="M747" t="s">
        <v>14906</v>
      </c>
      <c r="N747" t="s">
        <v>14762</v>
      </c>
      <c r="O747" t="s">
        <v>14907</v>
      </c>
      <c r="P747">
        <v>27055</v>
      </c>
      <c r="Q747" t="str">
        <f>"37.591757"</f>
        <v>37.591757</v>
      </c>
      <c r="R747" t="str">
        <f>"21.614710"</f>
        <v>21.614710</v>
      </c>
      <c r="S747" t="s">
        <v>26</v>
      </c>
    </row>
    <row r="748" spans="1:19" x14ac:dyDescent="0.3">
      <c r="A748" t="s">
        <v>13791</v>
      </c>
      <c r="B748" t="s">
        <v>14644</v>
      </c>
      <c r="C748" t="s">
        <v>14909</v>
      </c>
      <c r="D748" t="s">
        <v>13805</v>
      </c>
      <c r="E748" t="s">
        <v>1210</v>
      </c>
      <c r="F748" t="s">
        <v>14645</v>
      </c>
      <c r="G748" t="s">
        <v>14908</v>
      </c>
      <c r="H748" t="s">
        <v>51</v>
      </c>
      <c r="I748" t="s">
        <v>52</v>
      </c>
      <c r="J748" t="str">
        <f>"1516020"</f>
        <v>1516020</v>
      </c>
      <c r="K748">
        <v>2621093113</v>
      </c>
      <c r="M748" t="s">
        <v>14910</v>
      </c>
      <c r="N748" t="s">
        <v>14911</v>
      </c>
      <c r="O748" t="s">
        <v>14911</v>
      </c>
      <c r="P748">
        <v>27064</v>
      </c>
      <c r="Q748" t="str">
        <f>"37.762262"</f>
        <v>37.762262</v>
      </c>
      <c r="R748" t="str">
        <f>"21.615095"</f>
        <v>21.615095</v>
      </c>
      <c r="S748" t="s">
        <v>26</v>
      </c>
    </row>
    <row r="749" spans="1:19" x14ac:dyDescent="0.3">
      <c r="A749" t="s">
        <v>13791</v>
      </c>
      <c r="B749" t="s">
        <v>14644</v>
      </c>
      <c r="C749" t="s">
        <v>14916</v>
      </c>
      <c r="D749" t="s">
        <v>13805</v>
      </c>
      <c r="E749" t="s">
        <v>14677</v>
      </c>
      <c r="F749" t="s">
        <v>14677</v>
      </c>
      <c r="G749" t="s">
        <v>14677</v>
      </c>
      <c r="H749" t="s">
        <v>51</v>
      </c>
      <c r="I749" t="s">
        <v>52</v>
      </c>
      <c r="J749" t="str">
        <f>"1505010"</f>
        <v>1505010</v>
      </c>
      <c r="K749">
        <v>2625031203</v>
      </c>
      <c r="L749">
        <v>2625034848</v>
      </c>
      <c r="M749" t="s">
        <v>14917</v>
      </c>
      <c r="N749" t="s">
        <v>14778</v>
      </c>
      <c r="O749" t="s">
        <v>14918</v>
      </c>
      <c r="P749">
        <v>27054</v>
      </c>
      <c r="Q749" t="str">
        <f>"37.482817"</f>
        <v>37.482817</v>
      </c>
      <c r="R749" t="str">
        <f>"21.645271"</f>
        <v>21.645271</v>
      </c>
      <c r="S749" t="s">
        <v>26</v>
      </c>
    </row>
    <row r="750" spans="1:19" x14ac:dyDescent="0.3">
      <c r="A750" t="s">
        <v>13791</v>
      </c>
      <c r="B750" t="s">
        <v>14644</v>
      </c>
      <c r="C750" t="s">
        <v>14921</v>
      </c>
      <c r="D750" t="s">
        <v>13805</v>
      </c>
      <c r="E750" t="s">
        <v>1210</v>
      </c>
      <c r="F750" t="s">
        <v>1210</v>
      </c>
      <c r="G750" t="s">
        <v>1210</v>
      </c>
      <c r="H750" t="s">
        <v>51</v>
      </c>
      <c r="I750" t="s">
        <v>52</v>
      </c>
      <c r="J750" t="str">
        <f>"1501010"</f>
        <v>1501010</v>
      </c>
      <c r="K750">
        <v>2621022909</v>
      </c>
      <c r="L750">
        <v>2621020042</v>
      </c>
      <c r="M750" t="s">
        <v>14922</v>
      </c>
      <c r="N750" t="s">
        <v>1211</v>
      </c>
      <c r="O750" t="s">
        <v>14923</v>
      </c>
      <c r="P750">
        <v>27131</v>
      </c>
      <c r="Q750" t="str">
        <f>"37.675610"</f>
        <v>37.675610</v>
      </c>
      <c r="R750" t="str">
        <f>"21.438361"</f>
        <v>21.438361</v>
      </c>
      <c r="S750" t="s">
        <v>26</v>
      </c>
    </row>
    <row r="751" spans="1:19" x14ac:dyDescent="0.3">
      <c r="A751" t="s">
        <v>13791</v>
      </c>
      <c r="B751" t="s">
        <v>14644</v>
      </c>
      <c r="C751" t="s">
        <v>14925</v>
      </c>
      <c r="D751" t="s">
        <v>13805</v>
      </c>
      <c r="E751" t="s">
        <v>1210</v>
      </c>
      <c r="F751" t="s">
        <v>1210</v>
      </c>
      <c r="G751" t="s">
        <v>1210</v>
      </c>
      <c r="H751" t="s">
        <v>51</v>
      </c>
      <c r="I751" t="s">
        <v>52</v>
      </c>
      <c r="J751" t="str">
        <f>"1501020"</f>
        <v>1501020</v>
      </c>
      <c r="K751">
        <v>2621022129</v>
      </c>
      <c r="L751">
        <v>2621035827</v>
      </c>
      <c r="M751" t="s">
        <v>14926</v>
      </c>
      <c r="N751" t="s">
        <v>14767</v>
      </c>
      <c r="O751" t="s">
        <v>14927</v>
      </c>
      <c r="P751">
        <v>27131</v>
      </c>
      <c r="Q751" t="str">
        <f>"37.674350"</f>
        <v>37.674350</v>
      </c>
      <c r="R751" t="str">
        <f>"21.435669"</f>
        <v>21.435669</v>
      </c>
      <c r="S751" t="s">
        <v>26</v>
      </c>
    </row>
    <row r="752" spans="1:19" x14ac:dyDescent="0.3">
      <c r="A752" t="s">
        <v>13791</v>
      </c>
      <c r="B752" t="s">
        <v>14644</v>
      </c>
      <c r="C752" t="s">
        <v>14928</v>
      </c>
      <c r="D752" t="s">
        <v>13805</v>
      </c>
      <c r="E752" t="s">
        <v>14651</v>
      </c>
      <c r="F752" t="s">
        <v>14696</v>
      </c>
      <c r="G752" t="s">
        <v>14697</v>
      </c>
      <c r="H752" t="s">
        <v>51</v>
      </c>
      <c r="I752" t="s">
        <v>52</v>
      </c>
      <c r="J752" t="str">
        <f>"1514010"</f>
        <v>1514010</v>
      </c>
      <c r="K752">
        <v>2623071595</v>
      </c>
      <c r="L752">
        <v>2623071651</v>
      </c>
      <c r="M752" t="s">
        <v>14929</v>
      </c>
      <c r="N752" t="s">
        <v>14701</v>
      </c>
      <c r="O752" t="s">
        <v>14701</v>
      </c>
      <c r="P752">
        <v>27052</v>
      </c>
      <c r="Q752" t="str">
        <f>"38.031676"</f>
        <v>38.031676</v>
      </c>
      <c r="R752" t="str">
        <f>"21.368120"</f>
        <v>21.368120</v>
      </c>
      <c r="S752" t="s">
        <v>26</v>
      </c>
    </row>
    <row r="753" spans="1:19" x14ac:dyDescent="0.3">
      <c r="A753" t="s">
        <v>13791</v>
      </c>
      <c r="B753" t="s">
        <v>14644</v>
      </c>
      <c r="C753" t="s">
        <v>14930</v>
      </c>
      <c r="D753" t="s">
        <v>13805</v>
      </c>
      <c r="E753" t="s">
        <v>1210</v>
      </c>
      <c r="F753" t="s">
        <v>1210</v>
      </c>
      <c r="G753" t="s">
        <v>1210</v>
      </c>
      <c r="H753" t="s">
        <v>51</v>
      </c>
      <c r="I753" t="s">
        <v>52</v>
      </c>
      <c r="J753" t="str">
        <f>"1501030"</f>
        <v>1501030</v>
      </c>
      <c r="K753">
        <v>2621022506</v>
      </c>
      <c r="L753">
        <v>2621030194</v>
      </c>
      <c r="M753" t="s">
        <v>14931</v>
      </c>
      <c r="N753" t="s">
        <v>14767</v>
      </c>
      <c r="O753" t="s">
        <v>14932</v>
      </c>
      <c r="P753">
        <v>27131</v>
      </c>
      <c r="Q753" t="str">
        <f>"37.668811"</f>
        <v>37.668811</v>
      </c>
      <c r="R753" t="str">
        <f>"21.432668"</f>
        <v>21.432668</v>
      </c>
      <c r="S753" t="s">
        <v>26</v>
      </c>
    </row>
    <row r="754" spans="1:19" x14ac:dyDescent="0.3">
      <c r="A754" t="s">
        <v>13791</v>
      </c>
      <c r="B754" t="s">
        <v>14644</v>
      </c>
      <c r="C754" t="s">
        <v>14933</v>
      </c>
      <c r="D754" t="s">
        <v>13805</v>
      </c>
      <c r="E754" t="s">
        <v>14709</v>
      </c>
      <c r="F754" t="s">
        <v>14710</v>
      </c>
      <c r="G754" t="s">
        <v>14710</v>
      </c>
      <c r="H754" t="s">
        <v>51</v>
      </c>
      <c r="I754" t="s">
        <v>4556</v>
      </c>
      <c r="J754" t="str">
        <f>"1502090"</f>
        <v>1502090</v>
      </c>
      <c r="K754">
        <v>2622027237</v>
      </c>
      <c r="L754">
        <v>2622024833</v>
      </c>
      <c r="M754" t="s">
        <v>14934</v>
      </c>
      <c r="N754" t="s">
        <v>14797</v>
      </c>
      <c r="O754" t="s">
        <v>14935</v>
      </c>
      <c r="P754">
        <v>27200</v>
      </c>
      <c r="Q754" t="str">
        <f>"37.795955"</f>
        <v>37.795955</v>
      </c>
      <c r="R754" t="str">
        <f>"21.354382"</f>
        <v>21.354382</v>
      </c>
      <c r="S754" t="s">
        <v>26</v>
      </c>
    </row>
    <row r="755" spans="1:19" x14ac:dyDescent="0.3">
      <c r="A755" t="s">
        <v>13791</v>
      </c>
      <c r="B755" t="s">
        <v>14644</v>
      </c>
      <c r="C755" t="s">
        <v>14944</v>
      </c>
      <c r="D755" t="s">
        <v>13805</v>
      </c>
      <c r="E755" t="s">
        <v>1210</v>
      </c>
      <c r="F755" t="s">
        <v>1210</v>
      </c>
      <c r="G755" t="s">
        <v>14943</v>
      </c>
      <c r="H755" t="s">
        <v>51</v>
      </c>
      <c r="I755" t="s">
        <v>199</v>
      </c>
      <c r="J755" t="str">
        <f>"1511001"</f>
        <v>1511001</v>
      </c>
      <c r="K755">
        <v>2621034172</v>
      </c>
      <c r="L755">
        <v>2621026729</v>
      </c>
      <c r="M755" t="s">
        <v>14945</v>
      </c>
      <c r="N755" t="s">
        <v>14738</v>
      </c>
      <c r="O755" t="s">
        <v>14946</v>
      </c>
      <c r="P755">
        <v>27100</v>
      </c>
      <c r="Q755" t="str">
        <f>"37.678790"</f>
        <v>37.678790</v>
      </c>
      <c r="R755" t="str">
        <f>"21.385145"</f>
        <v>21.385145</v>
      </c>
      <c r="S755" t="s">
        <v>26</v>
      </c>
    </row>
    <row r="756" spans="1:19" x14ac:dyDescent="0.3">
      <c r="A756" t="s">
        <v>17244</v>
      </c>
      <c r="B756" t="s">
        <v>17266</v>
      </c>
      <c r="C756" t="s">
        <v>17295</v>
      </c>
      <c r="D756" t="s">
        <v>17245</v>
      </c>
      <c r="E756" t="s">
        <v>17267</v>
      </c>
      <c r="F756" t="s">
        <v>17277</v>
      </c>
      <c r="G756" t="s">
        <v>17278</v>
      </c>
      <c r="H756" t="s">
        <v>51</v>
      </c>
      <c r="I756" t="s">
        <v>52</v>
      </c>
      <c r="J756" t="str">
        <f>"0803010"</f>
        <v>0803010</v>
      </c>
      <c r="K756">
        <v>2462034298</v>
      </c>
      <c r="L756">
        <v>2462034298</v>
      </c>
      <c r="M756" t="s">
        <v>17296</v>
      </c>
      <c r="N756" t="s">
        <v>17282</v>
      </c>
      <c r="O756" t="s">
        <v>17283</v>
      </c>
      <c r="P756">
        <v>51100</v>
      </c>
      <c r="Q756" t="str">
        <f>"39.948270"</f>
        <v>39.948270</v>
      </c>
      <c r="R756" t="str">
        <f>"21.618590"</f>
        <v>21.618590</v>
      </c>
      <c r="S756" t="s">
        <v>26</v>
      </c>
    </row>
    <row r="757" spans="1:19" x14ac:dyDescent="0.3">
      <c r="A757" t="s">
        <v>17244</v>
      </c>
      <c r="B757" t="s">
        <v>17266</v>
      </c>
      <c r="C757" t="s">
        <v>17297</v>
      </c>
      <c r="D757" t="s">
        <v>17245</v>
      </c>
      <c r="E757" t="s">
        <v>17245</v>
      </c>
      <c r="F757" t="s">
        <v>17245</v>
      </c>
      <c r="G757" t="s">
        <v>17245</v>
      </c>
      <c r="H757" t="s">
        <v>51</v>
      </c>
      <c r="I757" t="s">
        <v>52</v>
      </c>
      <c r="J757" t="str">
        <f>"0801010"</f>
        <v>0801010</v>
      </c>
      <c r="K757">
        <v>2462022479</v>
      </c>
      <c r="L757">
        <v>2462022479</v>
      </c>
      <c r="M757" t="s">
        <v>17298</v>
      </c>
      <c r="N757" t="s">
        <v>17248</v>
      </c>
      <c r="O757" t="s">
        <v>17299</v>
      </c>
      <c r="P757">
        <v>51100</v>
      </c>
      <c r="Q757" t="str">
        <f>"40.080635"</f>
        <v>40.080635</v>
      </c>
      <c r="R757" t="str">
        <f>"21.425098"</f>
        <v>21.425098</v>
      </c>
      <c r="S757" t="s">
        <v>26</v>
      </c>
    </row>
    <row r="758" spans="1:19" x14ac:dyDescent="0.3">
      <c r="A758" t="s">
        <v>17244</v>
      </c>
      <c r="B758" t="s">
        <v>17266</v>
      </c>
      <c r="C758" t="s">
        <v>17302</v>
      </c>
      <c r="D758" t="s">
        <v>17245</v>
      </c>
      <c r="E758" t="s">
        <v>17245</v>
      </c>
      <c r="F758" t="s">
        <v>17245</v>
      </c>
      <c r="G758" t="s">
        <v>17245</v>
      </c>
      <c r="H758" t="s">
        <v>51</v>
      </c>
      <c r="I758" t="s">
        <v>52</v>
      </c>
      <c r="J758" t="str">
        <f>"0801020"</f>
        <v>0801020</v>
      </c>
      <c r="K758">
        <v>2462022219</v>
      </c>
      <c r="L758">
        <v>2462025054</v>
      </c>
      <c r="M758" t="s">
        <v>17303</v>
      </c>
      <c r="N758" t="s">
        <v>17248</v>
      </c>
      <c r="O758" t="s">
        <v>17293</v>
      </c>
      <c r="P758">
        <v>51100</v>
      </c>
      <c r="Q758" t="str">
        <f>"40.084594"</f>
        <v>40.084594</v>
      </c>
      <c r="R758" t="str">
        <f>"21.435431"</f>
        <v>21.435431</v>
      </c>
      <c r="S758" t="s">
        <v>26</v>
      </c>
    </row>
    <row r="759" spans="1:19" x14ac:dyDescent="0.3">
      <c r="A759" t="s">
        <v>17244</v>
      </c>
      <c r="B759" t="s">
        <v>17266</v>
      </c>
      <c r="C759" t="s">
        <v>17304</v>
      </c>
      <c r="D759" t="s">
        <v>17245</v>
      </c>
      <c r="E759" t="s">
        <v>17267</v>
      </c>
      <c r="F759" t="s">
        <v>17267</v>
      </c>
      <c r="G759" t="s">
        <v>17267</v>
      </c>
      <c r="H759" t="s">
        <v>51</v>
      </c>
      <c r="I759" t="s">
        <v>52</v>
      </c>
      <c r="J759" t="str">
        <f>"0802010"</f>
        <v>0802010</v>
      </c>
      <c r="K759">
        <v>2462031232</v>
      </c>
      <c r="L759">
        <v>2462031232</v>
      </c>
      <c r="M759" t="s">
        <v>17305</v>
      </c>
      <c r="O759" t="s">
        <v>17271</v>
      </c>
      <c r="P759">
        <v>51200</v>
      </c>
      <c r="Q759" t="str">
        <f>"39.921968"</f>
        <v>39.921968</v>
      </c>
      <c r="R759" t="str">
        <f>"21.811506"</f>
        <v>21.811506</v>
      </c>
      <c r="S759" t="s">
        <v>26</v>
      </c>
    </row>
    <row r="760" spans="1:19" x14ac:dyDescent="0.3">
      <c r="A760" t="s">
        <v>17244</v>
      </c>
      <c r="B760" t="s">
        <v>17266</v>
      </c>
      <c r="C760" t="s">
        <v>17311</v>
      </c>
      <c r="D760" t="s">
        <v>17245</v>
      </c>
      <c r="E760" t="s">
        <v>17245</v>
      </c>
      <c r="F760" t="s">
        <v>17245</v>
      </c>
      <c r="G760" t="s">
        <v>17245</v>
      </c>
      <c r="H760" t="s">
        <v>51</v>
      </c>
      <c r="I760" t="s">
        <v>184</v>
      </c>
      <c r="J760" t="str">
        <f>"0836001"</f>
        <v>0836001</v>
      </c>
      <c r="K760">
        <v>2462500032</v>
      </c>
      <c r="M760" t="s">
        <v>17312</v>
      </c>
      <c r="N760" t="s">
        <v>17245</v>
      </c>
      <c r="O760" t="s">
        <v>17293</v>
      </c>
      <c r="P760">
        <v>51100</v>
      </c>
      <c r="Q760" t="str">
        <f>"40.084668"</f>
        <v>40.084668</v>
      </c>
      <c r="R760" t="str">
        <f>"21.435490"</f>
        <v>21.435490</v>
      </c>
      <c r="S760" t="s">
        <v>26</v>
      </c>
    </row>
    <row r="761" spans="1:19" x14ac:dyDescent="0.3">
      <c r="A761" t="s">
        <v>17244</v>
      </c>
      <c r="B761" t="s">
        <v>17317</v>
      </c>
      <c r="C761" t="s">
        <v>17318</v>
      </c>
      <c r="D761" t="s">
        <v>17250</v>
      </c>
      <c r="E761" t="s">
        <v>17250</v>
      </c>
      <c r="F761" t="s">
        <v>17250</v>
      </c>
      <c r="G761" t="s">
        <v>17250</v>
      </c>
      <c r="H761" t="s">
        <v>51</v>
      </c>
      <c r="I761" t="s">
        <v>52</v>
      </c>
      <c r="J761" t="str">
        <f>"2301030"</f>
        <v>2301030</v>
      </c>
      <c r="K761">
        <v>2467023431</v>
      </c>
      <c r="L761">
        <v>2467025298</v>
      </c>
      <c r="M761" t="s">
        <v>17319</v>
      </c>
      <c r="N761" t="s">
        <v>17253</v>
      </c>
      <c r="O761" t="s">
        <v>17320</v>
      </c>
      <c r="P761">
        <v>52100</v>
      </c>
      <c r="Q761" t="str">
        <f>"40.520142"</f>
        <v>40.520142</v>
      </c>
      <c r="R761" t="str">
        <f>"21.270779"</f>
        <v>21.270779</v>
      </c>
      <c r="S761" t="s">
        <v>26</v>
      </c>
    </row>
    <row r="762" spans="1:19" x14ac:dyDescent="0.3">
      <c r="A762" t="s">
        <v>17244</v>
      </c>
      <c r="B762" t="s">
        <v>17317</v>
      </c>
      <c r="C762" t="s">
        <v>17336</v>
      </c>
      <c r="D762" t="s">
        <v>17250</v>
      </c>
      <c r="E762" t="s">
        <v>17250</v>
      </c>
      <c r="F762" t="s">
        <v>17334</v>
      </c>
      <c r="G762" t="s">
        <v>17335</v>
      </c>
      <c r="H762" t="s">
        <v>51</v>
      </c>
      <c r="I762" t="s">
        <v>52</v>
      </c>
      <c r="J762" t="str">
        <f>"2309010"</f>
        <v>2309010</v>
      </c>
      <c r="K762">
        <v>2467080053</v>
      </c>
      <c r="L762">
        <v>2467087098</v>
      </c>
      <c r="M762" t="s">
        <v>17337</v>
      </c>
      <c r="N762" t="s">
        <v>17338</v>
      </c>
      <c r="O762" t="s">
        <v>17339</v>
      </c>
      <c r="P762">
        <v>52100</v>
      </c>
      <c r="Q762" t="str">
        <f>"40.499420"</f>
        <v>40.499420</v>
      </c>
      <c r="R762" t="str">
        <f>"21.243485"</f>
        <v>21.243485</v>
      </c>
      <c r="S762" t="s">
        <v>26</v>
      </c>
    </row>
    <row r="763" spans="1:19" x14ac:dyDescent="0.3">
      <c r="A763" t="s">
        <v>17244</v>
      </c>
      <c r="B763" t="s">
        <v>17317</v>
      </c>
      <c r="C763" t="s">
        <v>17341</v>
      </c>
      <c r="D763" t="s">
        <v>17250</v>
      </c>
      <c r="E763" t="s">
        <v>17322</v>
      </c>
      <c r="F763" t="s">
        <v>17322</v>
      </c>
      <c r="G763" t="s">
        <v>17322</v>
      </c>
      <c r="H763" t="s">
        <v>51</v>
      </c>
      <c r="I763" t="s">
        <v>52</v>
      </c>
      <c r="J763" t="str">
        <f>"2303010"</f>
        <v>2303010</v>
      </c>
      <c r="K763">
        <v>2467031071</v>
      </c>
      <c r="L763">
        <v>2467031071</v>
      </c>
      <c r="M763" t="s">
        <v>17342</v>
      </c>
      <c r="N763" t="s">
        <v>17326</v>
      </c>
      <c r="O763" t="s">
        <v>17325</v>
      </c>
      <c r="P763">
        <v>52051</v>
      </c>
      <c r="Q763" t="str">
        <f>"40.415449"</f>
        <v>40.415449</v>
      </c>
      <c r="R763" t="str">
        <f>"21.058834"</f>
        <v>21.058834</v>
      </c>
      <c r="S763" t="s">
        <v>26</v>
      </c>
    </row>
    <row r="764" spans="1:19" x14ac:dyDescent="0.3">
      <c r="A764" t="s">
        <v>17244</v>
      </c>
      <c r="B764" t="s">
        <v>17317</v>
      </c>
      <c r="C764" t="s">
        <v>17363</v>
      </c>
      <c r="D764" t="s">
        <v>17250</v>
      </c>
      <c r="E764" t="s">
        <v>17328</v>
      </c>
      <c r="F764" t="s">
        <v>17328</v>
      </c>
      <c r="G764" t="s">
        <v>17328</v>
      </c>
      <c r="H764" t="s">
        <v>51</v>
      </c>
      <c r="I764" t="s">
        <v>52</v>
      </c>
      <c r="J764" t="str">
        <f>"2302010"</f>
        <v>2302010</v>
      </c>
      <c r="K764">
        <v>2467042262</v>
      </c>
      <c r="L764">
        <v>2467042652</v>
      </c>
      <c r="M764" t="s">
        <v>17364</v>
      </c>
      <c r="N764" t="s">
        <v>17365</v>
      </c>
      <c r="O764" t="s">
        <v>17332</v>
      </c>
      <c r="P764">
        <v>52200</v>
      </c>
      <c r="Q764" t="str">
        <f>"40.448327"</f>
        <v>40.448327</v>
      </c>
      <c r="R764" t="str">
        <f>"21.263038"</f>
        <v>21.263038</v>
      </c>
      <c r="S764" t="s">
        <v>26</v>
      </c>
    </row>
    <row r="765" spans="1:19" x14ac:dyDescent="0.3">
      <c r="A765" t="s">
        <v>17244</v>
      </c>
      <c r="B765" t="s">
        <v>17317</v>
      </c>
      <c r="C765" t="s">
        <v>17368</v>
      </c>
      <c r="D765" t="s">
        <v>17250</v>
      </c>
      <c r="E765" t="s">
        <v>17250</v>
      </c>
      <c r="F765" t="s">
        <v>17366</v>
      </c>
      <c r="G765" t="s">
        <v>17367</v>
      </c>
      <c r="H765" t="s">
        <v>51</v>
      </c>
      <c r="I765" t="s">
        <v>52</v>
      </c>
      <c r="J765" t="str">
        <f>"2306010"</f>
        <v>2306010</v>
      </c>
      <c r="K765">
        <v>2467074438</v>
      </c>
      <c r="L765">
        <v>2467074438</v>
      </c>
      <c r="M765" t="s">
        <v>17369</v>
      </c>
      <c r="N765" t="s">
        <v>17370</v>
      </c>
      <c r="O765" t="s">
        <v>17370</v>
      </c>
      <c r="P765">
        <v>52056</v>
      </c>
      <c r="Q765" t="str">
        <f>"40.516481"</f>
        <v>40.516481</v>
      </c>
      <c r="R765" t="str">
        <f>"21.317538"</f>
        <v>21.317538</v>
      </c>
      <c r="S765" t="s">
        <v>26</v>
      </c>
    </row>
    <row r="766" spans="1:19" x14ac:dyDescent="0.3">
      <c r="A766" t="s">
        <v>17244</v>
      </c>
      <c r="B766" t="s">
        <v>17317</v>
      </c>
      <c r="C766" t="s">
        <v>17372</v>
      </c>
      <c r="D766" t="s">
        <v>17250</v>
      </c>
      <c r="E766" t="s">
        <v>17250</v>
      </c>
      <c r="F766" t="s">
        <v>17250</v>
      </c>
      <c r="G766" t="s">
        <v>17250</v>
      </c>
      <c r="H766" t="s">
        <v>51</v>
      </c>
      <c r="I766" t="s">
        <v>52</v>
      </c>
      <c r="J766" t="str">
        <f>"2301010"</f>
        <v>2301010</v>
      </c>
      <c r="K766">
        <v>2467022698</v>
      </c>
      <c r="L766">
        <v>2467022698</v>
      </c>
      <c r="M766" t="s">
        <v>17373</v>
      </c>
      <c r="N766" t="s">
        <v>17250</v>
      </c>
      <c r="O766" t="s">
        <v>17374</v>
      </c>
      <c r="P766">
        <v>52100</v>
      </c>
      <c r="Q766" t="str">
        <f>"40.537127"</f>
        <v>40.537127</v>
      </c>
      <c r="R766" t="str">
        <f>"21.264124"</f>
        <v>21.264124</v>
      </c>
      <c r="S766" t="s">
        <v>26</v>
      </c>
    </row>
    <row r="767" spans="1:19" x14ac:dyDescent="0.3">
      <c r="A767" t="s">
        <v>17244</v>
      </c>
      <c r="B767" t="s">
        <v>17317</v>
      </c>
      <c r="C767" t="s">
        <v>17376</v>
      </c>
      <c r="D767" t="s">
        <v>17250</v>
      </c>
      <c r="E767" t="s">
        <v>17250</v>
      </c>
      <c r="F767" t="s">
        <v>17346</v>
      </c>
      <c r="G767" t="s">
        <v>17375</v>
      </c>
      <c r="H767" t="s">
        <v>51</v>
      </c>
      <c r="I767" t="s">
        <v>52</v>
      </c>
      <c r="J767" t="str">
        <f>"2308020"</f>
        <v>2308020</v>
      </c>
      <c r="K767">
        <v>2467092211</v>
      </c>
      <c r="L767">
        <v>2467092211</v>
      </c>
      <c r="M767" t="s">
        <v>17377</v>
      </c>
      <c r="O767" t="s">
        <v>17378</v>
      </c>
      <c r="P767">
        <v>52050</v>
      </c>
      <c r="Q767" t="str">
        <f>"40.520246"</f>
        <v>40.520246</v>
      </c>
      <c r="R767" t="str">
        <f>"21.083302"</f>
        <v>21.083302</v>
      </c>
      <c r="S767" t="s">
        <v>26</v>
      </c>
    </row>
    <row r="768" spans="1:19" x14ac:dyDescent="0.3">
      <c r="A768" t="s">
        <v>17244</v>
      </c>
      <c r="B768" t="s">
        <v>17317</v>
      </c>
      <c r="C768" t="s">
        <v>17380</v>
      </c>
      <c r="D768" t="s">
        <v>17250</v>
      </c>
      <c r="E768" t="s">
        <v>17250</v>
      </c>
      <c r="F768" t="s">
        <v>17346</v>
      </c>
      <c r="G768" t="s">
        <v>17346</v>
      </c>
      <c r="H768" t="s">
        <v>51</v>
      </c>
      <c r="I768" t="s">
        <v>52</v>
      </c>
      <c r="J768" t="str">
        <f>"2308010"</f>
        <v>2308010</v>
      </c>
      <c r="K768">
        <v>2467061381</v>
      </c>
      <c r="L768">
        <v>2467061381</v>
      </c>
      <c r="M768" t="s">
        <v>17381</v>
      </c>
      <c r="N768" t="s">
        <v>17349</v>
      </c>
      <c r="O768" t="s">
        <v>17349</v>
      </c>
      <c r="P768">
        <v>52050</v>
      </c>
      <c r="Q768" t="str">
        <f>"40.504292"</f>
        <v>40.504292</v>
      </c>
      <c r="R768" t="str">
        <f>"21.159287"</f>
        <v>21.159287</v>
      </c>
      <c r="S768" t="s">
        <v>26</v>
      </c>
    </row>
    <row r="769" spans="1:19" x14ac:dyDescent="0.3">
      <c r="A769" t="s">
        <v>17244</v>
      </c>
      <c r="B769" t="s">
        <v>17317</v>
      </c>
      <c r="C769" t="s">
        <v>17382</v>
      </c>
      <c r="D769" t="s">
        <v>17250</v>
      </c>
      <c r="E769" t="s">
        <v>17328</v>
      </c>
      <c r="F769" t="s">
        <v>17328</v>
      </c>
      <c r="G769" t="s">
        <v>17328</v>
      </c>
      <c r="H769" t="s">
        <v>51</v>
      </c>
      <c r="I769" t="s">
        <v>52</v>
      </c>
      <c r="J769" t="str">
        <f>"2302012"</f>
        <v>2302012</v>
      </c>
      <c r="K769">
        <v>2467043388</v>
      </c>
      <c r="L769">
        <v>2467043388</v>
      </c>
      <c r="M769" t="s">
        <v>17383</v>
      </c>
      <c r="N769" t="s">
        <v>17384</v>
      </c>
      <c r="O769" t="s">
        <v>17385</v>
      </c>
      <c r="P769">
        <v>52200</v>
      </c>
      <c r="Q769" t="str">
        <f>"40.460120"</f>
        <v>40.460120</v>
      </c>
      <c r="R769" t="str">
        <f>"21.260019"</f>
        <v>21.260019</v>
      </c>
      <c r="S769" t="s">
        <v>26</v>
      </c>
    </row>
    <row r="770" spans="1:19" x14ac:dyDescent="0.3">
      <c r="A770" t="s">
        <v>17244</v>
      </c>
      <c r="B770" t="s">
        <v>17317</v>
      </c>
      <c r="C770" t="s">
        <v>17389</v>
      </c>
      <c r="D770" t="s">
        <v>17250</v>
      </c>
      <c r="E770" t="s">
        <v>17328</v>
      </c>
      <c r="F770" t="s">
        <v>17387</v>
      </c>
      <c r="G770" t="s">
        <v>17388</v>
      </c>
      <c r="H770" t="s">
        <v>51</v>
      </c>
      <c r="I770" t="s">
        <v>52</v>
      </c>
      <c r="J770" t="str">
        <f>"2304010"</f>
        <v>2304010</v>
      </c>
      <c r="K770">
        <v>2467095214</v>
      </c>
      <c r="L770">
        <v>2467095121</v>
      </c>
      <c r="M770" t="s">
        <v>17390</v>
      </c>
      <c r="N770" t="s">
        <v>17391</v>
      </c>
      <c r="O770" t="s">
        <v>17392</v>
      </c>
      <c r="P770">
        <v>52053</v>
      </c>
      <c r="Q770" t="str">
        <f>"40.417561"</f>
        <v>40.417561</v>
      </c>
      <c r="R770" t="str">
        <f>"21.377397"</f>
        <v>21.377397</v>
      </c>
      <c r="S770" t="s">
        <v>26</v>
      </c>
    </row>
    <row r="771" spans="1:19" x14ac:dyDescent="0.3">
      <c r="A771" t="s">
        <v>17244</v>
      </c>
      <c r="B771" t="s">
        <v>17317</v>
      </c>
      <c r="C771" t="s">
        <v>17394</v>
      </c>
      <c r="D771" t="s">
        <v>17250</v>
      </c>
      <c r="E771" t="s">
        <v>17250</v>
      </c>
      <c r="F771" t="s">
        <v>17250</v>
      </c>
      <c r="G771" t="s">
        <v>17250</v>
      </c>
      <c r="H771" t="s">
        <v>51</v>
      </c>
      <c r="I771" t="s">
        <v>184</v>
      </c>
      <c r="J771" t="str">
        <f>"2301040"</f>
        <v>2301040</v>
      </c>
      <c r="K771">
        <v>2467028174</v>
      </c>
      <c r="L771">
        <v>2467028174</v>
      </c>
      <c r="M771" t="s">
        <v>17395</v>
      </c>
      <c r="N771" t="s">
        <v>17253</v>
      </c>
      <c r="O771" t="s">
        <v>17396</v>
      </c>
      <c r="P771">
        <v>52100</v>
      </c>
      <c r="Q771" t="str">
        <f>"40.531941"</f>
        <v>40.531941</v>
      </c>
      <c r="R771" t="str">
        <f>"21.259704"</f>
        <v>21.259704</v>
      </c>
      <c r="S771" t="s">
        <v>26</v>
      </c>
    </row>
    <row r="772" spans="1:19" x14ac:dyDescent="0.3">
      <c r="A772" t="s">
        <v>17244</v>
      </c>
      <c r="B772" t="s">
        <v>17317</v>
      </c>
      <c r="C772" t="s">
        <v>17398</v>
      </c>
      <c r="D772" t="s">
        <v>17250</v>
      </c>
      <c r="E772" t="s">
        <v>17250</v>
      </c>
      <c r="F772" t="s">
        <v>5085</v>
      </c>
      <c r="G772" t="s">
        <v>17397</v>
      </c>
      <c r="H772" t="s">
        <v>51</v>
      </c>
      <c r="I772" t="s">
        <v>52</v>
      </c>
      <c r="J772" t="str">
        <f>"2305010"</f>
        <v>2305010</v>
      </c>
      <c r="K772">
        <v>2467051295</v>
      </c>
      <c r="L772">
        <v>2467051295</v>
      </c>
      <c r="M772" t="s">
        <v>17399</v>
      </c>
      <c r="N772" t="s">
        <v>17400</v>
      </c>
      <c r="O772" t="s">
        <v>17401</v>
      </c>
      <c r="P772">
        <v>52052</v>
      </c>
      <c r="Q772" t="str">
        <f>"40.503568"</f>
        <v>40.503568</v>
      </c>
      <c r="R772" t="str">
        <f>"21.379252"</f>
        <v>21.379252</v>
      </c>
      <c r="S772" t="s">
        <v>26</v>
      </c>
    </row>
    <row r="773" spans="1:19" x14ac:dyDescent="0.3">
      <c r="A773" t="s">
        <v>17244</v>
      </c>
      <c r="B773" t="s">
        <v>17317</v>
      </c>
      <c r="C773" t="s">
        <v>17406</v>
      </c>
      <c r="D773" t="s">
        <v>17250</v>
      </c>
      <c r="E773" t="s">
        <v>17250</v>
      </c>
      <c r="F773" t="s">
        <v>17250</v>
      </c>
      <c r="G773" t="s">
        <v>17250</v>
      </c>
      <c r="H773" t="s">
        <v>51</v>
      </c>
      <c r="I773" t="s">
        <v>52</v>
      </c>
      <c r="J773" t="str">
        <f>"2301035"</f>
        <v>2301035</v>
      </c>
      <c r="K773">
        <v>2467082072</v>
      </c>
      <c r="L773">
        <v>2467082072</v>
      </c>
      <c r="M773" t="s">
        <v>17407</v>
      </c>
      <c r="N773" t="s">
        <v>17408</v>
      </c>
      <c r="O773" t="s">
        <v>17409</v>
      </c>
      <c r="P773">
        <v>52100</v>
      </c>
      <c r="Q773" t="str">
        <f>"40.514702"</f>
        <v>40.514702</v>
      </c>
      <c r="R773" t="str">
        <f>"21.253012"</f>
        <v>21.253012</v>
      </c>
      <c r="S773" t="s">
        <v>26</v>
      </c>
    </row>
    <row r="774" spans="1:19" x14ac:dyDescent="0.3">
      <c r="A774" t="s">
        <v>17244</v>
      </c>
      <c r="B774" t="s">
        <v>17317</v>
      </c>
      <c r="C774" t="s">
        <v>17412</v>
      </c>
      <c r="D774" t="s">
        <v>17250</v>
      </c>
      <c r="E774" t="s">
        <v>17250</v>
      </c>
      <c r="F774" t="s">
        <v>17334</v>
      </c>
      <c r="G774" t="s">
        <v>17411</v>
      </c>
      <c r="H774" t="s">
        <v>51</v>
      </c>
      <c r="I774" t="s">
        <v>52</v>
      </c>
      <c r="J774" t="str">
        <f>"2309016"</f>
        <v>2309016</v>
      </c>
      <c r="K774">
        <v>2467097015</v>
      </c>
      <c r="L774">
        <v>2467097015</v>
      </c>
      <c r="M774" t="s">
        <v>17413</v>
      </c>
      <c r="N774" t="s">
        <v>17414</v>
      </c>
      <c r="O774" t="s">
        <v>17415</v>
      </c>
      <c r="P774">
        <v>52200</v>
      </c>
      <c r="Q774" t="str">
        <f>"40.454283"</f>
        <v>40.454283</v>
      </c>
      <c r="R774" t="str">
        <f>"21.141981"</f>
        <v>21.141981</v>
      </c>
      <c r="S774" t="s">
        <v>26</v>
      </c>
    </row>
    <row r="775" spans="1:19" x14ac:dyDescent="0.3">
      <c r="A775" t="s">
        <v>17244</v>
      </c>
      <c r="B775" t="s">
        <v>17317</v>
      </c>
      <c r="C775" t="s">
        <v>17419</v>
      </c>
      <c r="D775" t="s">
        <v>17250</v>
      </c>
      <c r="E775" t="s">
        <v>17250</v>
      </c>
      <c r="F775" t="s">
        <v>17250</v>
      </c>
      <c r="G775" t="s">
        <v>17250</v>
      </c>
      <c r="H775" t="s">
        <v>51</v>
      </c>
      <c r="I775" t="s">
        <v>52</v>
      </c>
      <c r="J775" t="str">
        <f>"2301020"</f>
        <v>2301020</v>
      </c>
      <c r="K775">
        <v>2467083041</v>
      </c>
      <c r="L775">
        <v>2467086976</v>
      </c>
      <c r="M775" t="s">
        <v>17420</v>
      </c>
      <c r="N775" t="s">
        <v>17253</v>
      </c>
      <c r="O775" t="s">
        <v>17421</v>
      </c>
      <c r="P775">
        <v>52100</v>
      </c>
      <c r="Q775" t="str">
        <f>"40.527126"</f>
        <v>40.527126</v>
      </c>
      <c r="R775" t="str">
        <f>"21.261467"</f>
        <v>21.261467</v>
      </c>
      <c r="S775" t="s">
        <v>26</v>
      </c>
    </row>
    <row r="776" spans="1:19" x14ac:dyDescent="0.3">
      <c r="A776" t="s">
        <v>17244</v>
      </c>
      <c r="B776" t="s">
        <v>17317</v>
      </c>
      <c r="C776" t="s">
        <v>17426</v>
      </c>
      <c r="D776" t="s">
        <v>17250</v>
      </c>
      <c r="E776" t="s">
        <v>17250</v>
      </c>
      <c r="F776" t="s">
        <v>17250</v>
      </c>
      <c r="G776" t="s">
        <v>17250</v>
      </c>
      <c r="H776" t="s">
        <v>51</v>
      </c>
      <c r="I776" t="s">
        <v>199</v>
      </c>
      <c r="J776" t="str">
        <f>"2311001"</f>
        <v>2311001</v>
      </c>
      <c r="K776">
        <v>2467084243</v>
      </c>
      <c r="M776" t="s">
        <v>17427</v>
      </c>
      <c r="N776" t="s">
        <v>17253</v>
      </c>
      <c r="O776" t="s">
        <v>17428</v>
      </c>
      <c r="P776">
        <v>52100</v>
      </c>
      <c r="Q776" t="str">
        <f>"40.527131"</f>
        <v>40.527131</v>
      </c>
      <c r="R776" t="str">
        <f>"21.261457"</f>
        <v>21.261457</v>
      </c>
      <c r="S776" t="s">
        <v>26</v>
      </c>
    </row>
    <row r="777" spans="1:19" x14ac:dyDescent="0.3">
      <c r="A777" t="s">
        <v>17244</v>
      </c>
      <c r="B777" t="s">
        <v>17317</v>
      </c>
      <c r="C777" t="s">
        <v>17429</v>
      </c>
      <c r="D777" t="s">
        <v>17250</v>
      </c>
      <c r="E777" t="s">
        <v>17250</v>
      </c>
      <c r="F777" t="s">
        <v>17250</v>
      </c>
      <c r="G777" t="s">
        <v>17250</v>
      </c>
      <c r="H777" t="s">
        <v>51</v>
      </c>
      <c r="I777" t="s">
        <v>190</v>
      </c>
      <c r="J777" t="str">
        <f>"2339001"</f>
        <v>2339001</v>
      </c>
      <c r="K777">
        <v>2467028605</v>
      </c>
      <c r="M777" t="s">
        <v>17430</v>
      </c>
      <c r="N777" t="s">
        <v>17253</v>
      </c>
      <c r="O777" t="s">
        <v>17353</v>
      </c>
      <c r="P777">
        <v>52100</v>
      </c>
      <c r="Q777" t="str">
        <f>"40.531689"</f>
        <v>40.531689</v>
      </c>
      <c r="R777" t="str">
        <f>"21.259203"</f>
        <v>21.259203</v>
      </c>
      <c r="S777" t="s">
        <v>26</v>
      </c>
    </row>
    <row r="778" spans="1:19" x14ac:dyDescent="0.3">
      <c r="A778" t="s">
        <v>17244</v>
      </c>
      <c r="B778" t="s">
        <v>17433</v>
      </c>
      <c r="C778" t="s">
        <v>17437</v>
      </c>
      <c r="D778" t="s">
        <v>17255</v>
      </c>
      <c r="E778" t="s">
        <v>17434</v>
      </c>
      <c r="F778" t="s">
        <v>17435</v>
      </c>
      <c r="G778" t="s">
        <v>17436</v>
      </c>
      <c r="H778" t="s">
        <v>51</v>
      </c>
      <c r="I778" t="s">
        <v>52</v>
      </c>
      <c r="J778" t="str">
        <f>"2706020"</f>
        <v>2706020</v>
      </c>
      <c r="K778">
        <v>2465041499</v>
      </c>
      <c r="L778">
        <v>2465041499</v>
      </c>
      <c r="M778" t="s">
        <v>17438</v>
      </c>
      <c r="N778" t="s">
        <v>17439</v>
      </c>
      <c r="O778" t="s">
        <v>17440</v>
      </c>
      <c r="P778">
        <v>50300</v>
      </c>
      <c r="Q778" t="str">
        <f>"40.319337"</f>
        <v>40.319337</v>
      </c>
      <c r="R778" t="str">
        <f>"21.555423"</f>
        <v>21.555423</v>
      </c>
      <c r="S778" t="s">
        <v>26</v>
      </c>
    </row>
    <row r="779" spans="1:19" x14ac:dyDescent="0.3">
      <c r="A779" t="s">
        <v>17244</v>
      </c>
      <c r="B779" t="s">
        <v>17433</v>
      </c>
      <c r="C779" t="s">
        <v>17442</v>
      </c>
      <c r="D779" t="s">
        <v>17255</v>
      </c>
      <c r="E779" t="s">
        <v>17255</v>
      </c>
      <c r="F779" t="s">
        <v>17255</v>
      </c>
      <c r="G779" t="s">
        <v>17255</v>
      </c>
      <c r="H779" t="s">
        <v>51</v>
      </c>
      <c r="I779" t="s">
        <v>52</v>
      </c>
      <c r="J779" t="str">
        <f>"2701011"</f>
        <v>2701011</v>
      </c>
      <c r="K779">
        <v>2461030229</v>
      </c>
      <c r="L779">
        <v>2461030229</v>
      </c>
      <c r="M779" t="s">
        <v>17443</v>
      </c>
      <c r="N779" t="s">
        <v>17258</v>
      </c>
      <c r="O779" t="s">
        <v>17444</v>
      </c>
      <c r="P779">
        <v>50132</v>
      </c>
      <c r="Q779" t="str">
        <f>"40.302979"</f>
        <v>40.302979</v>
      </c>
      <c r="R779" t="str">
        <f>"21.798334"</f>
        <v>21.798334</v>
      </c>
      <c r="S779" t="s">
        <v>26</v>
      </c>
    </row>
    <row r="780" spans="1:19" x14ac:dyDescent="0.3">
      <c r="A780" t="s">
        <v>17244</v>
      </c>
      <c r="B780" t="s">
        <v>17433</v>
      </c>
      <c r="C780" t="s">
        <v>17447</v>
      </c>
      <c r="D780" t="s">
        <v>17255</v>
      </c>
      <c r="E780" t="s">
        <v>17255</v>
      </c>
      <c r="F780" t="s">
        <v>17255</v>
      </c>
      <c r="G780" t="s">
        <v>17446</v>
      </c>
      <c r="H780" t="s">
        <v>51</v>
      </c>
      <c r="I780" t="s">
        <v>52</v>
      </c>
      <c r="J780" t="str">
        <f>"2701040"</f>
        <v>2701040</v>
      </c>
      <c r="K780">
        <v>2461091228</v>
      </c>
      <c r="L780">
        <v>2461091228</v>
      </c>
      <c r="M780" t="s">
        <v>17448</v>
      </c>
      <c r="N780" t="s">
        <v>17449</v>
      </c>
      <c r="O780" t="s">
        <v>17450</v>
      </c>
      <c r="P780">
        <v>50100</v>
      </c>
      <c r="Q780" t="str">
        <f>"40.297691"</f>
        <v>40.297691</v>
      </c>
      <c r="R780" t="str">
        <f>"21.661687"</f>
        <v>21.661687</v>
      </c>
      <c r="S780" t="s">
        <v>26</v>
      </c>
    </row>
    <row r="781" spans="1:19" x14ac:dyDescent="0.3">
      <c r="A781" t="s">
        <v>17244</v>
      </c>
      <c r="B781" t="s">
        <v>17433</v>
      </c>
      <c r="C781" t="s">
        <v>17461</v>
      </c>
      <c r="D781" t="s">
        <v>17255</v>
      </c>
      <c r="E781" t="s">
        <v>17460</v>
      </c>
      <c r="F781" t="s">
        <v>17460</v>
      </c>
      <c r="G781" t="s">
        <v>17460</v>
      </c>
      <c r="H781" t="s">
        <v>51</v>
      </c>
      <c r="I781" t="s">
        <v>52</v>
      </c>
      <c r="J781" t="str">
        <f>"2705010"</f>
        <v>2705010</v>
      </c>
      <c r="K781">
        <v>2464021569</v>
      </c>
      <c r="L781">
        <v>2464021569</v>
      </c>
      <c r="M781" t="s">
        <v>17462</v>
      </c>
      <c r="N781" t="s">
        <v>17463</v>
      </c>
      <c r="O781" t="s">
        <v>17464</v>
      </c>
      <c r="P781">
        <v>50500</v>
      </c>
      <c r="Q781" t="str">
        <f>"40.188259"</f>
        <v>40.188259</v>
      </c>
      <c r="R781" t="str">
        <f>"22.002019"</f>
        <v>22.002019</v>
      </c>
      <c r="S781" t="s">
        <v>26</v>
      </c>
    </row>
    <row r="782" spans="1:19" x14ac:dyDescent="0.3">
      <c r="A782" t="s">
        <v>17244</v>
      </c>
      <c r="B782" t="s">
        <v>17433</v>
      </c>
      <c r="C782" t="s">
        <v>17537</v>
      </c>
      <c r="D782" t="s">
        <v>17255</v>
      </c>
      <c r="E782" t="s">
        <v>17503</v>
      </c>
      <c r="F782" t="s">
        <v>17503</v>
      </c>
      <c r="G782" t="s">
        <v>17503</v>
      </c>
      <c r="H782" t="s">
        <v>51</v>
      </c>
      <c r="I782" t="s">
        <v>52</v>
      </c>
      <c r="J782" t="str">
        <f>"2708010"</f>
        <v>2708010</v>
      </c>
      <c r="K782">
        <v>2464031440</v>
      </c>
      <c r="L782">
        <v>2464031440</v>
      </c>
      <c r="M782" t="s">
        <v>17538</v>
      </c>
      <c r="N782" t="s">
        <v>17506</v>
      </c>
      <c r="O782" t="s">
        <v>17539</v>
      </c>
      <c r="P782">
        <v>50400</v>
      </c>
      <c r="Q782" t="str">
        <f>"40.253045"</f>
        <v>40.253045</v>
      </c>
      <c r="R782" t="str">
        <f>"22.074834"</f>
        <v>22.074834</v>
      </c>
      <c r="S782" t="s">
        <v>26</v>
      </c>
    </row>
    <row r="783" spans="1:19" x14ac:dyDescent="0.3">
      <c r="A783" t="s">
        <v>17244</v>
      </c>
      <c r="B783" t="s">
        <v>17433</v>
      </c>
      <c r="C783" t="s">
        <v>17540</v>
      </c>
      <c r="D783" t="s">
        <v>17255</v>
      </c>
      <c r="E783" t="s">
        <v>17488</v>
      </c>
      <c r="F783" t="s">
        <v>17489</v>
      </c>
      <c r="G783" t="s">
        <v>17490</v>
      </c>
      <c r="H783" t="s">
        <v>51</v>
      </c>
      <c r="I783" t="s">
        <v>52</v>
      </c>
      <c r="J783" t="str">
        <f>"2704010"</f>
        <v>2704010</v>
      </c>
      <c r="K783">
        <v>2463024888</v>
      </c>
      <c r="L783">
        <v>2463024888</v>
      </c>
      <c r="M783" t="s">
        <v>17541</v>
      </c>
      <c r="N783" t="s">
        <v>17489</v>
      </c>
      <c r="O783" t="s">
        <v>17494</v>
      </c>
      <c r="P783">
        <v>50200</v>
      </c>
      <c r="Q783" t="str">
        <f>"40.509683"</f>
        <v>40.509683</v>
      </c>
      <c r="R783" t="str">
        <f>"21.681371"</f>
        <v>21.681371</v>
      </c>
      <c r="S783" t="s">
        <v>26</v>
      </c>
    </row>
    <row r="784" spans="1:19" x14ac:dyDescent="0.3">
      <c r="A784" t="s">
        <v>17244</v>
      </c>
      <c r="B784" t="s">
        <v>17433</v>
      </c>
      <c r="C784" t="s">
        <v>17542</v>
      </c>
      <c r="D784" t="s">
        <v>17255</v>
      </c>
      <c r="E784" t="s">
        <v>17434</v>
      </c>
      <c r="F784" t="s">
        <v>17466</v>
      </c>
      <c r="G784" t="s">
        <v>17467</v>
      </c>
      <c r="H784" t="s">
        <v>51</v>
      </c>
      <c r="I784" t="s">
        <v>52</v>
      </c>
      <c r="J784" t="str">
        <f>"2706010"</f>
        <v>2706010</v>
      </c>
      <c r="K784">
        <v>2465021322</v>
      </c>
      <c r="L784">
        <v>2465021322</v>
      </c>
      <c r="M784" t="s">
        <v>17543</v>
      </c>
      <c r="N784" t="s">
        <v>17470</v>
      </c>
      <c r="O784" t="s">
        <v>17544</v>
      </c>
      <c r="P784">
        <v>50300</v>
      </c>
      <c r="Q784" t="str">
        <f>"40.261701"</f>
        <v>40.261701</v>
      </c>
      <c r="R784" t="str">
        <f>"21.551593"</f>
        <v>21.551593</v>
      </c>
      <c r="S784" t="s">
        <v>26</v>
      </c>
    </row>
    <row r="785" spans="1:19" x14ac:dyDescent="0.3">
      <c r="A785" t="s">
        <v>17244</v>
      </c>
      <c r="B785" t="s">
        <v>17433</v>
      </c>
      <c r="C785" t="s">
        <v>17545</v>
      </c>
      <c r="D785" t="s">
        <v>17255</v>
      </c>
      <c r="E785" t="s">
        <v>17434</v>
      </c>
      <c r="F785" t="s">
        <v>11666</v>
      </c>
      <c r="G785" t="s">
        <v>11666</v>
      </c>
      <c r="H785" t="s">
        <v>51</v>
      </c>
      <c r="I785" t="s">
        <v>52</v>
      </c>
      <c r="J785" t="str">
        <f>"2703010"</f>
        <v>2703010</v>
      </c>
      <c r="K785">
        <v>2468022230</v>
      </c>
      <c r="L785">
        <v>2468022230</v>
      </c>
      <c r="M785" t="s">
        <v>17546</v>
      </c>
      <c r="N785" t="s">
        <v>17547</v>
      </c>
      <c r="O785" t="s">
        <v>613</v>
      </c>
      <c r="P785">
        <v>50001</v>
      </c>
      <c r="Q785" t="str">
        <f>"40.312341"</f>
        <v>40.312341</v>
      </c>
      <c r="R785" t="str">
        <f>"21.393996"</f>
        <v>21.393996</v>
      </c>
      <c r="S785" t="s">
        <v>26</v>
      </c>
    </row>
    <row r="786" spans="1:19" x14ac:dyDescent="0.3">
      <c r="A786" t="s">
        <v>17244</v>
      </c>
      <c r="B786" t="s">
        <v>17433</v>
      </c>
      <c r="C786" t="s">
        <v>17548</v>
      </c>
      <c r="D786" t="s">
        <v>17255</v>
      </c>
      <c r="E786" t="s">
        <v>17488</v>
      </c>
      <c r="F786" t="s">
        <v>17489</v>
      </c>
      <c r="G786" t="s">
        <v>17490</v>
      </c>
      <c r="H786" t="s">
        <v>51</v>
      </c>
      <c r="I786" t="s">
        <v>52</v>
      </c>
      <c r="J786" t="str">
        <f>"2704021"</f>
        <v>2704021</v>
      </c>
      <c r="K786">
        <v>2463025955</v>
      </c>
      <c r="L786">
        <v>2463055127</v>
      </c>
      <c r="M786" t="s">
        <v>17549</v>
      </c>
      <c r="N786" t="s">
        <v>17493</v>
      </c>
      <c r="O786" t="s">
        <v>17550</v>
      </c>
      <c r="P786">
        <v>50200</v>
      </c>
      <c r="Q786" t="str">
        <f>"40.520562"</f>
        <v>40.520562</v>
      </c>
      <c r="R786" t="str">
        <f>"21.684306"</f>
        <v>21.684306</v>
      </c>
      <c r="S786" t="s">
        <v>26</v>
      </c>
    </row>
    <row r="787" spans="1:19" x14ac:dyDescent="0.3">
      <c r="A787" t="s">
        <v>17244</v>
      </c>
      <c r="B787" t="s">
        <v>17433</v>
      </c>
      <c r="C787" t="s">
        <v>17553</v>
      </c>
      <c r="D787" t="s">
        <v>17255</v>
      </c>
      <c r="E787" t="s">
        <v>17255</v>
      </c>
      <c r="F787" t="s">
        <v>17551</v>
      </c>
      <c r="G787" t="s">
        <v>17552</v>
      </c>
      <c r="H787" t="s">
        <v>51</v>
      </c>
      <c r="I787" t="s">
        <v>52</v>
      </c>
      <c r="J787" t="str">
        <f>"2713010"</f>
        <v>2713010</v>
      </c>
      <c r="K787">
        <v>2461090328</v>
      </c>
      <c r="L787">
        <v>2461090328</v>
      </c>
      <c r="M787" t="s">
        <v>17554</v>
      </c>
      <c r="N787" t="s">
        <v>17555</v>
      </c>
      <c r="O787" t="s">
        <v>17556</v>
      </c>
      <c r="P787">
        <v>50100</v>
      </c>
      <c r="Q787" t="str">
        <f>"40.360081"</f>
        <v>40.360081</v>
      </c>
      <c r="R787" t="str">
        <f>"21.980719"</f>
        <v>21.980719</v>
      </c>
      <c r="S787" t="s">
        <v>26</v>
      </c>
    </row>
    <row r="788" spans="1:19" x14ac:dyDescent="0.3">
      <c r="A788" t="s">
        <v>17244</v>
      </c>
      <c r="B788" t="s">
        <v>17433</v>
      </c>
      <c r="C788" t="s">
        <v>17560</v>
      </c>
      <c r="D788" t="s">
        <v>17255</v>
      </c>
      <c r="E788" t="s">
        <v>17488</v>
      </c>
      <c r="F788" t="s">
        <v>17489</v>
      </c>
      <c r="G788" t="s">
        <v>17490</v>
      </c>
      <c r="H788" t="s">
        <v>51</v>
      </c>
      <c r="I788" t="s">
        <v>52</v>
      </c>
      <c r="J788" t="str">
        <f>"2704011"</f>
        <v>2704011</v>
      </c>
      <c r="K788">
        <v>2463023892</v>
      </c>
      <c r="L788">
        <v>2463025529</v>
      </c>
      <c r="M788" t="s">
        <v>17561</v>
      </c>
      <c r="N788" t="s">
        <v>17493</v>
      </c>
      <c r="O788" t="s">
        <v>17562</v>
      </c>
      <c r="P788">
        <v>50200</v>
      </c>
      <c r="Q788" t="str">
        <f>"40.520210"</f>
        <v>40.520210</v>
      </c>
      <c r="R788" t="str">
        <f>"21.679213"</f>
        <v>21.679213</v>
      </c>
      <c r="S788" t="s">
        <v>26</v>
      </c>
    </row>
    <row r="789" spans="1:19" x14ac:dyDescent="0.3">
      <c r="A789" t="s">
        <v>17244</v>
      </c>
      <c r="B789" t="s">
        <v>17433</v>
      </c>
      <c r="C789" t="s">
        <v>17564</v>
      </c>
      <c r="D789" t="s">
        <v>17255</v>
      </c>
      <c r="E789" t="s">
        <v>17255</v>
      </c>
      <c r="F789" t="s">
        <v>17255</v>
      </c>
      <c r="G789" t="s">
        <v>17563</v>
      </c>
      <c r="H789" t="s">
        <v>51</v>
      </c>
      <c r="I789" t="s">
        <v>52</v>
      </c>
      <c r="J789" t="str">
        <f>"2719010"</f>
        <v>2719010</v>
      </c>
      <c r="K789">
        <v>2461099409</v>
      </c>
      <c r="L789">
        <v>2461099409</v>
      </c>
      <c r="M789" t="s">
        <v>17565</v>
      </c>
      <c r="N789" t="s">
        <v>17258</v>
      </c>
      <c r="O789" t="s">
        <v>17566</v>
      </c>
      <c r="P789">
        <v>50100</v>
      </c>
      <c r="Q789" t="str">
        <f>"40.234621"</f>
        <v>40.234621</v>
      </c>
      <c r="R789" t="str">
        <f>"21.752388"</f>
        <v>21.752388</v>
      </c>
      <c r="S789" t="s">
        <v>26</v>
      </c>
    </row>
    <row r="790" spans="1:19" x14ac:dyDescent="0.3">
      <c r="A790" t="s">
        <v>17244</v>
      </c>
      <c r="B790" t="s">
        <v>17433</v>
      </c>
      <c r="C790" t="s">
        <v>17569</v>
      </c>
      <c r="D790" t="s">
        <v>17255</v>
      </c>
      <c r="E790" t="s">
        <v>17434</v>
      </c>
      <c r="F790" t="s">
        <v>15257</v>
      </c>
      <c r="G790" t="s">
        <v>15257</v>
      </c>
      <c r="H790" t="s">
        <v>51</v>
      </c>
      <c r="I790" t="s">
        <v>17568</v>
      </c>
      <c r="J790" t="str">
        <f>"2709010"</f>
        <v>2709010</v>
      </c>
      <c r="K790">
        <v>2468041210</v>
      </c>
      <c r="L790">
        <v>2468041581</v>
      </c>
      <c r="M790" t="s">
        <v>17570</v>
      </c>
      <c r="N790" t="s">
        <v>15374</v>
      </c>
      <c r="O790" t="s">
        <v>17571</v>
      </c>
      <c r="P790">
        <v>50007</v>
      </c>
      <c r="Q790" t="str">
        <f>"40.192437"</f>
        <v>40.192437</v>
      </c>
      <c r="R790" t="str">
        <f>"21.143783"</f>
        <v>21.143783</v>
      </c>
      <c r="S790" t="s">
        <v>57</v>
      </c>
    </row>
    <row r="791" spans="1:19" x14ac:dyDescent="0.3">
      <c r="A791" t="s">
        <v>17244</v>
      </c>
      <c r="B791" t="s">
        <v>17433</v>
      </c>
      <c r="C791" t="s">
        <v>17573</v>
      </c>
      <c r="D791" t="s">
        <v>17255</v>
      </c>
      <c r="E791" t="s">
        <v>17488</v>
      </c>
      <c r="F791" t="s">
        <v>17489</v>
      </c>
      <c r="G791" t="s">
        <v>17490</v>
      </c>
      <c r="H791" t="s">
        <v>51</v>
      </c>
      <c r="I791" t="s">
        <v>190</v>
      </c>
      <c r="J791" t="str">
        <f>"2704025"</f>
        <v>2704025</v>
      </c>
      <c r="K791">
        <v>2463081775</v>
      </c>
      <c r="L791">
        <v>2463055659</v>
      </c>
      <c r="M791" t="s">
        <v>17574</v>
      </c>
      <c r="N791" t="s">
        <v>17523</v>
      </c>
      <c r="O791" t="s">
        <v>17575</v>
      </c>
      <c r="P791">
        <v>50200</v>
      </c>
      <c r="Q791" t="str">
        <f>"40.508355"</f>
        <v>40.508355</v>
      </c>
      <c r="R791" t="str">
        <f>"21.686738"</f>
        <v>21.686738</v>
      </c>
      <c r="S791" t="s">
        <v>26</v>
      </c>
    </row>
    <row r="792" spans="1:19" x14ac:dyDescent="0.3">
      <c r="A792" t="s">
        <v>17244</v>
      </c>
      <c r="B792" t="s">
        <v>17433</v>
      </c>
      <c r="C792" t="s">
        <v>17578</v>
      </c>
      <c r="D792" t="s">
        <v>17255</v>
      </c>
      <c r="E792" t="s">
        <v>17488</v>
      </c>
      <c r="F792" t="s">
        <v>17576</v>
      </c>
      <c r="G792" t="s">
        <v>17577</v>
      </c>
      <c r="H792" t="s">
        <v>51</v>
      </c>
      <c r="I792" t="s">
        <v>52</v>
      </c>
      <c r="J792" t="str">
        <f>"2710010"</f>
        <v>2710010</v>
      </c>
      <c r="K792">
        <v>2463061225</v>
      </c>
      <c r="L792">
        <v>2463061224</v>
      </c>
      <c r="M792" t="s">
        <v>17579</v>
      </c>
      <c r="N792" t="s">
        <v>17577</v>
      </c>
      <c r="O792" t="s">
        <v>17580</v>
      </c>
      <c r="P792">
        <v>50005</v>
      </c>
      <c r="Q792" t="str">
        <f>"40.492746"</f>
        <v>40.492746</v>
      </c>
      <c r="R792" t="str">
        <f>"21.563158"</f>
        <v>21.563158</v>
      </c>
      <c r="S792" t="s">
        <v>26</v>
      </c>
    </row>
    <row r="793" spans="1:19" x14ac:dyDescent="0.3">
      <c r="A793" t="s">
        <v>17244</v>
      </c>
      <c r="B793" t="s">
        <v>17433</v>
      </c>
      <c r="C793" t="s">
        <v>17582</v>
      </c>
      <c r="D793" t="s">
        <v>17255</v>
      </c>
      <c r="E793" t="s">
        <v>17488</v>
      </c>
      <c r="F793" t="s">
        <v>17489</v>
      </c>
      <c r="G793" t="s">
        <v>17490</v>
      </c>
      <c r="H793" t="s">
        <v>51</v>
      </c>
      <c r="I793" t="s">
        <v>52</v>
      </c>
      <c r="J793" t="str">
        <f>"2704022"</f>
        <v>2704022</v>
      </c>
      <c r="K793">
        <v>2463026856</v>
      </c>
      <c r="L793">
        <v>2463026854</v>
      </c>
      <c r="M793" t="s">
        <v>17583</v>
      </c>
      <c r="N793" t="s">
        <v>17493</v>
      </c>
      <c r="O793" t="s">
        <v>17584</v>
      </c>
      <c r="P793">
        <v>50200</v>
      </c>
      <c r="Q793" t="str">
        <f>"40.502910"</f>
        <v>40.502910</v>
      </c>
      <c r="R793" t="str">
        <f>"21.673901"</f>
        <v>21.673901</v>
      </c>
      <c r="S793" t="s">
        <v>26</v>
      </c>
    </row>
    <row r="794" spans="1:19" x14ac:dyDescent="0.3">
      <c r="A794" t="s">
        <v>17244</v>
      </c>
      <c r="B794" t="s">
        <v>17433</v>
      </c>
      <c r="C794" t="s">
        <v>17588</v>
      </c>
      <c r="D794" t="s">
        <v>17255</v>
      </c>
      <c r="E794" t="s">
        <v>17434</v>
      </c>
      <c r="F794" t="s">
        <v>17586</v>
      </c>
      <c r="G794" t="s">
        <v>17587</v>
      </c>
      <c r="H794" t="s">
        <v>51</v>
      </c>
      <c r="I794" t="s">
        <v>89</v>
      </c>
      <c r="J794" t="str">
        <f>"2707010"</f>
        <v>2707010</v>
      </c>
      <c r="K794">
        <v>2468031302</v>
      </c>
      <c r="L794">
        <v>2468031301</v>
      </c>
      <c r="M794" t="s">
        <v>17589</v>
      </c>
      <c r="N794" t="s">
        <v>17590</v>
      </c>
      <c r="O794" t="s">
        <v>17591</v>
      </c>
      <c r="P794">
        <v>50002</v>
      </c>
      <c r="Q794" t="str">
        <f>"40.260819"</f>
        <v>40.260819</v>
      </c>
      <c r="R794" t="str">
        <f>"21.326755"</f>
        <v>21.326755</v>
      </c>
      <c r="S794" t="s">
        <v>26</v>
      </c>
    </row>
    <row r="795" spans="1:19" x14ac:dyDescent="0.3">
      <c r="A795" t="s">
        <v>17244</v>
      </c>
      <c r="B795" t="s">
        <v>17433</v>
      </c>
      <c r="C795" t="s">
        <v>17593</v>
      </c>
      <c r="D795" t="s">
        <v>17255</v>
      </c>
      <c r="E795" t="s">
        <v>17434</v>
      </c>
      <c r="F795" t="s">
        <v>17466</v>
      </c>
      <c r="G795" t="s">
        <v>17467</v>
      </c>
      <c r="H795" t="s">
        <v>51</v>
      </c>
      <c r="I795" t="s">
        <v>190</v>
      </c>
      <c r="J795" t="str">
        <f>"2706015"</f>
        <v>2706015</v>
      </c>
      <c r="K795">
        <v>2465023461</v>
      </c>
      <c r="L795">
        <v>2465023461</v>
      </c>
      <c r="M795" t="s">
        <v>17594</v>
      </c>
      <c r="N795" t="s">
        <v>17470</v>
      </c>
      <c r="O795" t="s">
        <v>17595</v>
      </c>
      <c r="P795">
        <v>50300</v>
      </c>
      <c r="Q795" t="str">
        <f>"40.252425"</f>
        <v>40.252425</v>
      </c>
      <c r="R795" t="str">
        <f>"21.555091"</f>
        <v>21.555091</v>
      </c>
      <c r="S795" t="s">
        <v>26</v>
      </c>
    </row>
    <row r="796" spans="1:19" x14ac:dyDescent="0.3">
      <c r="A796" t="s">
        <v>17244</v>
      </c>
      <c r="B796" t="s">
        <v>17433</v>
      </c>
      <c r="C796" t="s">
        <v>17598</v>
      </c>
      <c r="D796" t="s">
        <v>17255</v>
      </c>
      <c r="E796" t="s">
        <v>17488</v>
      </c>
      <c r="F796" t="s">
        <v>17489</v>
      </c>
      <c r="G796" t="s">
        <v>17597</v>
      </c>
      <c r="H796" t="s">
        <v>51</v>
      </c>
      <c r="I796" t="s">
        <v>52</v>
      </c>
      <c r="J796" t="str">
        <f>"2720010"</f>
        <v>2720010</v>
      </c>
      <c r="K796">
        <v>2463077432</v>
      </c>
      <c r="L796">
        <v>2463077432</v>
      </c>
      <c r="M796" t="s">
        <v>17599</v>
      </c>
      <c r="N796" t="s">
        <v>17600</v>
      </c>
      <c r="O796" t="s">
        <v>17600</v>
      </c>
      <c r="P796">
        <v>50200</v>
      </c>
      <c r="Q796" t="str">
        <f>"40.556657"</f>
        <v>40.556657</v>
      </c>
      <c r="R796" t="str">
        <f>"21.700601"</f>
        <v>21.700601</v>
      </c>
      <c r="S796" t="s">
        <v>26</v>
      </c>
    </row>
    <row r="797" spans="1:19" x14ac:dyDescent="0.3">
      <c r="A797" t="s">
        <v>17244</v>
      </c>
      <c r="B797" t="s">
        <v>17433</v>
      </c>
      <c r="C797" t="s">
        <v>17602</v>
      </c>
      <c r="D797" t="s">
        <v>17255</v>
      </c>
      <c r="E797" t="s">
        <v>17255</v>
      </c>
      <c r="F797" t="s">
        <v>17255</v>
      </c>
      <c r="G797" t="s">
        <v>17255</v>
      </c>
      <c r="H797" t="s">
        <v>51</v>
      </c>
      <c r="I797" t="s">
        <v>52</v>
      </c>
      <c r="J797" t="str">
        <f>"2701020"</f>
        <v>2701020</v>
      </c>
      <c r="K797">
        <v>2461034921</v>
      </c>
      <c r="L797">
        <v>2461021264</v>
      </c>
      <c r="M797" t="s">
        <v>17603</v>
      </c>
      <c r="N797" t="s">
        <v>17258</v>
      </c>
      <c r="O797" t="s">
        <v>17479</v>
      </c>
      <c r="P797">
        <v>50100</v>
      </c>
      <c r="Q797" t="str">
        <f>"40.297057"</f>
        <v>40.297057</v>
      </c>
      <c r="R797" t="str">
        <f>"21.800092"</f>
        <v>21.800092</v>
      </c>
      <c r="S797" t="s">
        <v>26</v>
      </c>
    </row>
    <row r="798" spans="1:19" x14ac:dyDescent="0.3">
      <c r="A798" t="s">
        <v>17244</v>
      </c>
      <c r="B798" t="s">
        <v>17433</v>
      </c>
      <c r="C798" t="s">
        <v>17605</v>
      </c>
      <c r="D798" t="s">
        <v>17255</v>
      </c>
      <c r="E798" t="s">
        <v>17460</v>
      </c>
      <c r="F798" t="s">
        <v>17604</v>
      </c>
      <c r="G798" t="s">
        <v>17604</v>
      </c>
      <c r="H798" t="s">
        <v>51</v>
      </c>
      <c r="I798" t="s">
        <v>52</v>
      </c>
      <c r="J798" t="str">
        <f>"2714010"</f>
        <v>2714010</v>
      </c>
      <c r="K798">
        <v>2464041270</v>
      </c>
      <c r="L798">
        <v>2464041270</v>
      </c>
      <c r="M798" t="s">
        <v>17606</v>
      </c>
      <c r="N798" t="s">
        <v>17607</v>
      </c>
      <c r="O798" t="s">
        <v>17608</v>
      </c>
      <c r="P798">
        <v>50500</v>
      </c>
      <c r="Q798" t="str">
        <f>"40.031928"</f>
        <v>40.031928</v>
      </c>
      <c r="R798" t="str">
        <f>"21.937863"</f>
        <v>21.937863</v>
      </c>
      <c r="S798" t="s">
        <v>26</v>
      </c>
    </row>
    <row r="799" spans="1:19" x14ac:dyDescent="0.3">
      <c r="A799" t="s">
        <v>17244</v>
      </c>
      <c r="B799" t="s">
        <v>17433</v>
      </c>
      <c r="C799" t="s">
        <v>17610</v>
      </c>
      <c r="D799" t="s">
        <v>17255</v>
      </c>
      <c r="E799" t="s">
        <v>17255</v>
      </c>
      <c r="F799" t="s">
        <v>17255</v>
      </c>
      <c r="G799" t="s">
        <v>17255</v>
      </c>
      <c r="H799" t="s">
        <v>51</v>
      </c>
      <c r="I799" t="s">
        <v>52</v>
      </c>
      <c r="J799" t="str">
        <f>"2701010"</f>
        <v>2701010</v>
      </c>
      <c r="K799">
        <v>2461022720</v>
      </c>
      <c r="L799">
        <v>2461039016</v>
      </c>
      <c r="M799" t="s">
        <v>17611</v>
      </c>
      <c r="N799" t="s">
        <v>17258</v>
      </c>
      <c r="O799" t="s">
        <v>17612</v>
      </c>
      <c r="P799">
        <v>50100</v>
      </c>
      <c r="Q799" t="str">
        <f>"40.300956"</f>
        <v>40.300956</v>
      </c>
      <c r="R799" t="str">
        <f>"21.786260"</f>
        <v>21.786260</v>
      </c>
      <c r="S799" t="s">
        <v>26</v>
      </c>
    </row>
    <row r="800" spans="1:19" x14ac:dyDescent="0.3">
      <c r="A800" t="s">
        <v>17244</v>
      </c>
      <c r="B800" t="s">
        <v>17433</v>
      </c>
      <c r="C800" t="s">
        <v>17616</v>
      </c>
      <c r="D800" t="s">
        <v>17255</v>
      </c>
      <c r="E800" t="s">
        <v>17255</v>
      </c>
      <c r="F800" t="s">
        <v>17614</v>
      </c>
      <c r="G800" t="s">
        <v>17615</v>
      </c>
      <c r="H800" t="s">
        <v>51</v>
      </c>
      <c r="I800" t="s">
        <v>52</v>
      </c>
      <c r="J800" t="str">
        <f>"2718010"</f>
        <v>2718010</v>
      </c>
      <c r="K800">
        <v>2461063400</v>
      </c>
      <c r="L800">
        <v>2461063400</v>
      </c>
      <c r="M800" t="s">
        <v>17617</v>
      </c>
      <c r="N800" t="s">
        <v>17618</v>
      </c>
      <c r="O800" t="s">
        <v>17619</v>
      </c>
      <c r="P800">
        <v>50010</v>
      </c>
      <c r="Q800" t="str">
        <f>"40.265797"</f>
        <v>40.265797</v>
      </c>
      <c r="R800" t="str">
        <f>"21.814623"</f>
        <v>21.814623</v>
      </c>
      <c r="S800" t="s">
        <v>26</v>
      </c>
    </row>
    <row r="801" spans="1:19" x14ac:dyDescent="0.3">
      <c r="A801" t="s">
        <v>17244</v>
      </c>
      <c r="B801" t="s">
        <v>17433</v>
      </c>
      <c r="C801" t="s">
        <v>17621</v>
      </c>
      <c r="D801" t="s">
        <v>17255</v>
      </c>
      <c r="E801" t="s">
        <v>17255</v>
      </c>
      <c r="F801" t="s">
        <v>17255</v>
      </c>
      <c r="G801" t="s">
        <v>17255</v>
      </c>
      <c r="H801" t="s">
        <v>51</v>
      </c>
      <c r="I801" t="s">
        <v>52</v>
      </c>
      <c r="J801" t="str">
        <f>"2701025"</f>
        <v>2701025</v>
      </c>
      <c r="K801">
        <v>2461040684</v>
      </c>
      <c r="L801">
        <v>2461040764</v>
      </c>
      <c r="M801" t="s">
        <v>17622</v>
      </c>
      <c r="N801" t="s">
        <v>17258</v>
      </c>
      <c r="O801" t="s">
        <v>17623</v>
      </c>
      <c r="P801">
        <v>50131</v>
      </c>
      <c r="Q801" t="str">
        <f>"40.302576"</f>
        <v>40.302576</v>
      </c>
      <c r="R801" t="str">
        <f>"21.779721"</f>
        <v>21.779721</v>
      </c>
      <c r="S801" t="s">
        <v>26</v>
      </c>
    </row>
    <row r="802" spans="1:19" x14ac:dyDescent="0.3">
      <c r="A802" t="s">
        <v>17244</v>
      </c>
      <c r="B802" t="s">
        <v>17433</v>
      </c>
      <c r="C802" t="s">
        <v>17626</v>
      </c>
      <c r="D802" t="s">
        <v>17255</v>
      </c>
      <c r="E802" t="s">
        <v>17488</v>
      </c>
      <c r="F802" t="s">
        <v>17624</v>
      </c>
      <c r="G802" t="s">
        <v>17625</v>
      </c>
      <c r="H802" t="s">
        <v>51</v>
      </c>
      <c r="I802" t="s">
        <v>52</v>
      </c>
      <c r="J802" t="str">
        <f>"2710030"</f>
        <v>2710030</v>
      </c>
      <c r="K802">
        <v>2463031093</v>
      </c>
      <c r="L802">
        <v>2463031093</v>
      </c>
      <c r="M802" t="s">
        <v>17627</v>
      </c>
      <c r="N802" t="s">
        <v>17511</v>
      </c>
      <c r="O802" t="s">
        <v>17628</v>
      </c>
      <c r="P802">
        <v>50200</v>
      </c>
      <c r="Q802" t="str">
        <f>"40.546754"</f>
        <v>40.546754</v>
      </c>
      <c r="R802" t="str">
        <f>"21.754614"</f>
        <v>21.754614</v>
      </c>
      <c r="S802" t="s">
        <v>26</v>
      </c>
    </row>
    <row r="803" spans="1:19" x14ac:dyDescent="0.3">
      <c r="A803" t="s">
        <v>17244</v>
      </c>
      <c r="B803" t="s">
        <v>17433</v>
      </c>
      <c r="C803" t="s">
        <v>17630</v>
      </c>
      <c r="D803" t="s">
        <v>17255</v>
      </c>
      <c r="E803" t="s">
        <v>17255</v>
      </c>
      <c r="F803" t="s">
        <v>17255</v>
      </c>
      <c r="G803" t="s">
        <v>17255</v>
      </c>
      <c r="H803" t="s">
        <v>51</v>
      </c>
      <c r="I803" t="s">
        <v>52</v>
      </c>
      <c r="J803" t="str">
        <f>"2701022"</f>
        <v>2701022</v>
      </c>
      <c r="K803">
        <v>2461037581</v>
      </c>
      <c r="L803">
        <v>2461036254</v>
      </c>
      <c r="M803" t="s">
        <v>17631</v>
      </c>
      <c r="N803" t="s">
        <v>17255</v>
      </c>
      <c r="O803" t="s">
        <v>17632</v>
      </c>
      <c r="P803">
        <v>50100</v>
      </c>
      <c r="Q803" t="str">
        <f>"40.302730"</f>
        <v>40.302730</v>
      </c>
      <c r="R803" t="str">
        <f>"21.798244"</f>
        <v>21.798244</v>
      </c>
      <c r="S803" t="s">
        <v>26</v>
      </c>
    </row>
    <row r="804" spans="1:19" x14ac:dyDescent="0.3">
      <c r="A804" t="s">
        <v>17244</v>
      </c>
      <c r="B804" t="s">
        <v>17433</v>
      </c>
      <c r="C804" t="s">
        <v>17633</v>
      </c>
      <c r="D804" t="s">
        <v>17255</v>
      </c>
      <c r="E804" t="s">
        <v>17255</v>
      </c>
      <c r="F804" t="s">
        <v>17255</v>
      </c>
      <c r="G804" t="s">
        <v>17255</v>
      </c>
      <c r="H804" t="s">
        <v>51</v>
      </c>
      <c r="I804" t="s">
        <v>184</v>
      </c>
      <c r="J804" t="str">
        <f>"2701026"</f>
        <v>2701026</v>
      </c>
      <c r="K804">
        <v>2461023622</v>
      </c>
      <c r="L804">
        <v>2461023622</v>
      </c>
      <c r="M804" t="s">
        <v>17634</v>
      </c>
      <c r="N804" t="s">
        <v>17258</v>
      </c>
      <c r="O804" t="s">
        <v>17635</v>
      </c>
      <c r="P804">
        <v>50100</v>
      </c>
      <c r="Q804" t="str">
        <f>"40.296157"</f>
        <v>40.296157</v>
      </c>
      <c r="R804" t="str">
        <f>"21.798177"</f>
        <v>21.798177</v>
      </c>
      <c r="S804" t="s">
        <v>26</v>
      </c>
    </row>
    <row r="805" spans="1:19" x14ac:dyDescent="0.3">
      <c r="A805" t="s">
        <v>17244</v>
      </c>
      <c r="B805" t="s">
        <v>17433</v>
      </c>
      <c r="C805" t="s">
        <v>17638</v>
      </c>
      <c r="D805" t="s">
        <v>17255</v>
      </c>
      <c r="E805" t="s">
        <v>17460</v>
      </c>
      <c r="F805" t="s">
        <v>17636</v>
      </c>
      <c r="G805" t="s">
        <v>17637</v>
      </c>
      <c r="H805" t="s">
        <v>51</v>
      </c>
      <c r="I805" t="s">
        <v>52</v>
      </c>
      <c r="J805" t="str">
        <f>"2705030"</f>
        <v>2705030</v>
      </c>
      <c r="K805">
        <v>2464051245</v>
      </c>
      <c r="L805">
        <v>2464051245</v>
      </c>
      <c r="M805" t="s">
        <v>17639</v>
      </c>
      <c r="N805" t="s">
        <v>17640</v>
      </c>
      <c r="O805" t="s">
        <v>17641</v>
      </c>
      <c r="P805">
        <v>50500</v>
      </c>
      <c r="Q805" t="str">
        <f>"40.059182"</f>
        <v>40.059182</v>
      </c>
      <c r="R805" t="str">
        <f>"21.865638"</f>
        <v>21.865638</v>
      </c>
      <c r="S805" t="s">
        <v>26</v>
      </c>
    </row>
    <row r="806" spans="1:19" x14ac:dyDescent="0.3">
      <c r="A806" t="s">
        <v>17244</v>
      </c>
      <c r="B806" t="s">
        <v>17433</v>
      </c>
      <c r="C806" t="s">
        <v>17643</v>
      </c>
      <c r="D806" t="s">
        <v>17255</v>
      </c>
      <c r="E806" t="s">
        <v>17255</v>
      </c>
      <c r="F806" t="s">
        <v>17642</v>
      </c>
      <c r="G806" t="s">
        <v>17642</v>
      </c>
      <c r="H806" t="s">
        <v>51</v>
      </c>
      <c r="I806" t="s">
        <v>52</v>
      </c>
      <c r="J806" t="str">
        <f>"2712010"</f>
        <v>2712010</v>
      </c>
      <c r="K806">
        <v>2461098280</v>
      </c>
      <c r="L806">
        <v>2461098280</v>
      </c>
      <c r="M806" t="s">
        <v>17644</v>
      </c>
      <c r="N806" t="s">
        <v>17645</v>
      </c>
      <c r="O806" t="s">
        <v>17646</v>
      </c>
      <c r="P806">
        <v>50004</v>
      </c>
      <c r="Q806" t="str">
        <f>"40.163769"</f>
        <v>40.163769</v>
      </c>
      <c r="R806" t="str">
        <f>"21.819526"</f>
        <v>21.819526</v>
      </c>
      <c r="S806" t="s">
        <v>26</v>
      </c>
    </row>
    <row r="807" spans="1:19" x14ac:dyDescent="0.3">
      <c r="A807" t="s">
        <v>17244</v>
      </c>
      <c r="B807" t="s">
        <v>17433</v>
      </c>
      <c r="C807" t="s">
        <v>17648</v>
      </c>
      <c r="D807" t="s">
        <v>17255</v>
      </c>
      <c r="E807" t="s">
        <v>17488</v>
      </c>
      <c r="F807" t="s">
        <v>17489</v>
      </c>
      <c r="G807" t="s">
        <v>17490</v>
      </c>
      <c r="H807" t="s">
        <v>51</v>
      </c>
      <c r="I807" t="s">
        <v>52</v>
      </c>
      <c r="J807" t="str">
        <f>"2704020"</f>
        <v>2704020</v>
      </c>
      <c r="K807">
        <v>2463025140</v>
      </c>
      <c r="L807">
        <v>2463025140</v>
      </c>
      <c r="M807" t="s">
        <v>17649</v>
      </c>
      <c r="N807" t="s">
        <v>17489</v>
      </c>
      <c r="O807" t="s">
        <v>17650</v>
      </c>
      <c r="P807">
        <v>50200</v>
      </c>
      <c r="Q807" t="str">
        <f>"40.510178"</f>
        <v>40.510178</v>
      </c>
      <c r="R807" t="str">
        <f>"21.665286"</f>
        <v>21.665286</v>
      </c>
      <c r="S807" t="s">
        <v>26</v>
      </c>
    </row>
    <row r="808" spans="1:19" x14ac:dyDescent="0.3">
      <c r="A808" t="s">
        <v>17244</v>
      </c>
      <c r="B808" t="s">
        <v>17433</v>
      </c>
      <c r="C808" t="s">
        <v>17655</v>
      </c>
      <c r="D808" t="s">
        <v>17255</v>
      </c>
      <c r="E808" t="s">
        <v>17255</v>
      </c>
      <c r="F808" t="s">
        <v>17255</v>
      </c>
      <c r="G808" t="s">
        <v>17255</v>
      </c>
      <c r="H808" t="s">
        <v>51</v>
      </c>
      <c r="I808" t="s">
        <v>52</v>
      </c>
      <c r="J808" t="str">
        <f>"2701030"</f>
        <v>2701030</v>
      </c>
      <c r="K808">
        <v>2461022772</v>
      </c>
      <c r="L808">
        <v>2461022772</v>
      </c>
      <c r="M808" t="s">
        <v>17656</v>
      </c>
      <c r="N808" t="s">
        <v>17657</v>
      </c>
      <c r="O808" t="s">
        <v>17658</v>
      </c>
      <c r="P808">
        <v>50132</v>
      </c>
      <c r="Q808" t="str">
        <f>"40.293294"</f>
        <v>40.293294</v>
      </c>
      <c r="R808" t="str">
        <f>"21.788681"</f>
        <v>21.788681</v>
      </c>
      <c r="S808" t="s">
        <v>26</v>
      </c>
    </row>
    <row r="809" spans="1:19" x14ac:dyDescent="0.3">
      <c r="A809" t="s">
        <v>17244</v>
      </c>
      <c r="B809" t="s">
        <v>17433</v>
      </c>
      <c r="C809" t="s">
        <v>17659</v>
      </c>
      <c r="D809" t="s">
        <v>17255</v>
      </c>
      <c r="E809" t="s">
        <v>17255</v>
      </c>
      <c r="F809" t="s">
        <v>17255</v>
      </c>
      <c r="G809" t="s">
        <v>17255</v>
      </c>
      <c r="H809" t="s">
        <v>51</v>
      </c>
      <c r="I809" t="s">
        <v>52</v>
      </c>
      <c r="J809" t="str">
        <f>"2701021"</f>
        <v>2701021</v>
      </c>
      <c r="K809">
        <v>2461034073</v>
      </c>
      <c r="L809">
        <v>2461034480</v>
      </c>
      <c r="M809" t="s">
        <v>17660</v>
      </c>
      <c r="N809" t="s">
        <v>17258</v>
      </c>
      <c r="O809" t="s">
        <v>17658</v>
      </c>
      <c r="P809">
        <v>50132</v>
      </c>
      <c r="Q809" t="str">
        <f>"40.292234"</f>
        <v>40.292234</v>
      </c>
      <c r="R809" t="str">
        <f>"21.790308"</f>
        <v>21.790308</v>
      </c>
      <c r="S809" t="s">
        <v>26</v>
      </c>
    </row>
    <row r="810" spans="1:19" x14ac:dyDescent="0.3">
      <c r="A810" t="s">
        <v>17244</v>
      </c>
      <c r="B810" t="s">
        <v>17433</v>
      </c>
      <c r="C810" t="s">
        <v>17671</v>
      </c>
      <c r="D810" t="s">
        <v>17255</v>
      </c>
      <c r="E810" t="s">
        <v>17255</v>
      </c>
      <c r="F810" t="s">
        <v>17255</v>
      </c>
      <c r="G810" t="s">
        <v>17255</v>
      </c>
      <c r="H810" t="s">
        <v>51</v>
      </c>
      <c r="I810" t="s">
        <v>199</v>
      </c>
      <c r="J810" t="str">
        <f>"2711001"</f>
        <v>2711001</v>
      </c>
      <c r="K810">
        <v>2461037536</v>
      </c>
      <c r="L810">
        <v>2461037536</v>
      </c>
      <c r="M810" t="s">
        <v>17672</v>
      </c>
      <c r="N810" t="s">
        <v>17255</v>
      </c>
      <c r="O810" t="s">
        <v>17673</v>
      </c>
      <c r="P810">
        <v>50010</v>
      </c>
      <c r="Q810" t="str">
        <f>"40.225977"</f>
        <v>40.225977</v>
      </c>
      <c r="R810" t="str">
        <f>"21.831408"</f>
        <v>21.831408</v>
      </c>
      <c r="S810" t="s">
        <v>26</v>
      </c>
    </row>
    <row r="811" spans="1:19" x14ac:dyDescent="0.3">
      <c r="A811" t="s">
        <v>17244</v>
      </c>
      <c r="B811" t="s">
        <v>17433</v>
      </c>
      <c r="C811" t="s">
        <v>17675</v>
      </c>
      <c r="D811" t="s">
        <v>17255</v>
      </c>
      <c r="E811" t="s">
        <v>17488</v>
      </c>
      <c r="F811" t="s">
        <v>17489</v>
      </c>
      <c r="G811" t="s">
        <v>17490</v>
      </c>
      <c r="H811" t="s">
        <v>51</v>
      </c>
      <c r="I811" t="s">
        <v>199</v>
      </c>
      <c r="J811" t="str">
        <f>"2711201"</f>
        <v>2711201</v>
      </c>
      <c r="K811">
        <v>2463024022</v>
      </c>
      <c r="L811">
        <v>2463024022</v>
      </c>
      <c r="M811" t="s">
        <v>17676</v>
      </c>
      <c r="N811" t="s">
        <v>17523</v>
      </c>
      <c r="O811" t="s">
        <v>17677</v>
      </c>
      <c r="P811">
        <v>50200</v>
      </c>
      <c r="Q811" t="str">
        <f>"40.518290"</f>
        <v>40.518290</v>
      </c>
      <c r="R811" t="str">
        <f>"21.688691"</f>
        <v>21.688691</v>
      </c>
      <c r="S811" t="s">
        <v>26</v>
      </c>
    </row>
    <row r="812" spans="1:19" x14ac:dyDescent="0.3">
      <c r="A812" t="s">
        <v>17244</v>
      </c>
      <c r="B812" t="s">
        <v>17433</v>
      </c>
      <c r="C812" t="s">
        <v>17678</v>
      </c>
      <c r="D812" t="s">
        <v>17255</v>
      </c>
      <c r="E812" t="s">
        <v>17255</v>
      </c>
      <c r="F812" t="s">
        <v>17255</v>
      </c>
      <c r="G812" t="s">
        <v>17255</v>
      </c>
      <c r="H812" t="s">
        <v>51</v>
      </c>
      <c r="I812" t="s">
        <v>3992</v>
      </c>
      <c r="J812" t="str">
        <f>"2740002"</f>
        <v>2740002</v>
      </c>
      <c r="K812">
        <v>2461099875</v>
      </c>
      <c r="L812">
        <v>2461099875</v>
      </c>
      <c r="M812" t="s">
        <v>17679</v>
      </c>
      <c r="N812" t="s">
        <v>17258</v>
      </c>
      <c r="O812" t="s">
        <v>17680</v>
      </c>
      <c r="P812">
        <v>50100</v>
      </c>
      <c r="Q812" t="str">
        <f>"40.256437"</f>
        <v>40.256437</v>
      </c>
      <c r="R812" t="str">
        <f>"21.738358"</f>
        <v>21.738358</v>
      </c>
      <c r="S812" t="s">
        <v>26</v>
      </c>
    </row>
    <row r="813" spans="1:19" x14ac:dyDescent="0.3">
      <c r="A813" t="s">
        <v>17244</v>
      </c>
      <c r="B813" t="s">
        <v>17681</v>
      </c>
      <c r="C813" t="s">
        <v>17682</v>
      </c>
      <c r="D813" t="s">
        <v>17260</v>
      </c>
      <c r="E813" t="s">
        <v>17260</v>
      </c>
      <c r="F813" t="s">
        <v>17260</v>
      </c>
      <c r="G813" t="s">
        <v>17261</v>
      </c>
      <c r="H813" t="s">
        <v>51</v>
      </c>
      <c r="I813" t="s">
        <v>52</v>
      </c>
      <c r="J813" t="str">
        <f>"4701030"</f>
        <v>4701030</v>
      </c>
      <c r="K813">
        <v>2385028410</v>
      </c>
      <c r="L813">
        <v>2385044128</v>
      </c>
      <c r="M813" t="s">
        <v>17683</v>
      </c>
      <c r="N813" t="s">
        <v>17264</v>
      </c>
      <c r="O813" t="s">
        <v>17684</v>
      </c>
      <c r="P813">
        <v>53100</v>
      </c>
      <c r="Q813" t="str">
        <f>"40.778025"</f>
        <v>40.778025</v>
      </c>
      <c r="R813" t="str">
        <f>"21.404964"</f>
        <v>21.404964</v>
      </c>
      <c r="S813" t="s">
        <v>26</v>
      </c>
    </row>
    <row r="814" spans="1:19" x14ac:dyDescent="0.3">
      <c r="A814" t="s">
        <v>17244</v>
      </c>
      <c r="B814" t="s">
        <v>17681</v>
      </c>
      <c r="C814" t="s">
        <v>17688</v>
      </c>
      <c r="D814" t="s">
        <v>17260</v>
      </c>
      <c r="E814" t="s">
        <v>17260</v>
      </c>
      <c r="F814" t="s">
        <v>17686</v>
      </c>
      <c r="G814" t="s">
        <v>17687</v>
      </c>
      <c r="H814" t="s">
        <v>51</v>
      </c>
      <c r="I814" t="s">
        <v>52</v>
      </c>
      <c r="J814" t="str">
        <f>"4706010"</f>
        <v>4706010</v>
      </c>
      <c r="K814">
        <v>2385041333</v>
      </c>
      <c r="L814">
        <v>2385041333</v>
      </c>
      <c r="M814" t="s">
        <v>17689</v>
      </c>
      <c r="N814" t="s">
        <v>17690</v>
      </c>
      <c r="O814" t="s">
        <v>17691</v>
      </c>
      <c r="P814">
        <v>53100</v>
      </c>
      <c r="Q814" t="str">
        <f>"40.836288"</f>
        <v>40.836288</v>
      </c>
      <c r="R814" t="str">
        <f>"21.499168"</f>
        <v>21.499168</v>
      </c>
      <c r="S814" t="s">
        <v>26</v>
      </c>
    </row>
    <row r="815" spans="1:19" x14ac:dyDescent="0.3">
      <c r="A815" t="s">
        <v>17244</v>
      </c>
      <c r="B815" t="s">
        <v>17681</v>
      </c>
      <c r="C815" t="s">
        <v>17718</v>
      </c>
      <c r="D815" t="s">
        <v>17260</v>
      </c>
      <c r="E815" t="s">
        <v>17701</v>
      </c>
      <c r="F815" t="s">
        <v>17717</v>
      </c>
      <c r="G815" t="s">
        <v>17717</v>
      </c>
      <c r="H815" t="s">
        <v>51</v>
      </c>
      <c r="I815" t="s">
        <v>52</v>
      </c>
      <c r="J815" t="str">
        <f>"4707010"</f>
        <v>4707010</v>
      </c>
      <c r="K815">
        <v>2463041496</v>
      </c>
      <c r="L815">
        <v>2463041496</v>
      </c>
      <c r="M815" t="s">
        <v>17719</v>
      </c>
      <c r="N815" t="s">
        <v>17720</v>
      </c>
      <c r="O815" t="s">
        <v>17721</v>
      </c>
      <c r="P815">
        <v>53070</v>
      </c>
      <c r="Q815" t="str">
        <f>"40.628412"</f>
        <v>40.628412</v>
      </c>
      <c r="R815" t="str">
        <f>"21.712978"</f>
        <v>21.712978</v>
      </c>
      <c r="S815" t="s">
        <v>26</v>
      </c>
    </row>
    <row r="816" spans="1:19" x14ac:dyDescent="0.3">
      <c r="A816" t="s">
        <v>17244</v>
      </c>
      <c r="B816" t="s">
        <v>17681</v>
      </c>
      <c r="C816" t="s">
        <v>17723</v>
      </c>
      <c r="D816" t="s">
        <v>17260</v>
      </c>
      <c r="E816" t="s">
        <v>17260</v>
      </c>
      <c r="F816" t="s">
        <v>17260</v>
      </c>
      <c r="G816" t="s">
        <v>17261</v>
      </c>
      <c r="H816" t="s">
        <v>51</v>
      </c>
      <c r="I816" t="s">
        <v>52</v>
      </c>
      <c r="J816" t="str">
        <f>"4701020"</f>
        <v>4701020</v>
      </c>
      <c r="K816">
        <v>2385022748</v>
      </c>
      <c r="L816">
        <v>2385022748</v>
      </c>
      <c r="M816" t="s">
        <v>17724</v>
      </c>
      <c r="N816" t="s">
        <v>17264</v>
      </c>
      <c r="O816" t="s">
        <v>17725</v>
      </c>
      <c r="P816">
        <v>53100</v>
      </c>
      <c r="Q816" t="str">
        <f>"40.788578"</f>
        <v>40.788578</v>
      </c>
      <c r="R816" t="str">
        <f>"21.414855"</f>
        <v>21.414855</v>
      </c>
      <c r="S816" t="s">
        <v>26</v>
      </c>
    </row>
    <row r="817" spans="1:19" x14ac:dyDescent="0.3">
      <c r="A817" t="s">
        <v>17244</v>
      </c>
      <c r="B817" t="s">
        <v>17681</v>
      </c>
      <c r="C817" t="s">
        <v>17726</v>
      </c>
      <c r="D817" t="s">
        <v>17260</v>
      </c>
      <c r="E817" t="s">
        <v>17260</v>
      </c>
      <c r="F817" t="s">
        <v>17260</v>
      </c>
      <c r="G817" t="s">
        <v>17261</v>
      </c>
      <c r="H817" t="s">
        <v>51</v>
      </c>
      <c r="I817" t="s">
        <v>52</v>
      </c>
      <c r="J817" t="str">
        <f>"4701010"</f>
        <v>4701010</v>
      </c>
      <c r="K817">
        <v>2385022508</v>
      </c>
      <c r="L817">
        <v>2385022508</v>
      </c>
      <c r="M817" t="s">
        <v>17727</v>
      </c>
      <c r="N817" t="s">
        <v>17264</v>
      </c>
      <c r="O817" t="s">
        <v>17728</v>
      </c>
      <c r="P817">
        <v>53100</v>
      </c>
      <c r="Q817" t="str">
        <f>"40.782660"</f>
        <v>40.782660</v>
      </c>
      <c r="R817" t="str">
        <f>"21.402309"</f>
        <v>21.402309</v>
      </c>
      <c r="S817" t="s">
        <v>26</v>
      </c>
    </row>
    <row r="818" spans="1:19" x14ac:dyDescent="0.3">
      <c r="A818" t="s">
        <v>17244</v>
      </c>
      <c r="B818" t="s">
        <v>17681</v>
      </c>
      <c r="C818" t="s">
        <v>17731</v>
      </c>
      <c r="D818" t="s">
        <v>17260</v>
      </c>
      <c r="E818" t="s">
        <v>17260</v>
      </c>
      <c r="F818" t="s">
        <v>17729</v>
      </c>
      <c r="G818" t="s">
        <v>17730</v>
      </c>
      <c r="H818" t="s">
        <v>51</v>
      </c>
      <c r="I818" t="s">
        <v>52</v>
      </c>
      <c r="J818" t="str">
        <f>"4710010"</f>
        <v>4710010</v>
      </c>
      <c r="K818">
        <v>2385036273</v>
      </c>
      <c r="L818">
        <v>2385036273</v>
      </c>
      <c r="M818" t="s">
        <v>17732</v>
      </c>
      <c r="N818" t="s">
        <v>17733</v>
      </c>
      <c r="O818" t="s">
        <v>17734</v>
      </c>
      <c r="P818">
        <v>53100</v>
      </c>
      <c r="Q818" t="str">
        <f>"40.779079"</f>
        <v>40.779079</v>
      </c>
      <c r="R818" t="str">
        <f>"21.481787"</f>
        <v>21.481787</v>
      </c>
      <c r="S818" t="s">
        <v>26</v>
      </c>
    </row>
    <row r="819" spans="1:19" x14ac:dyDescent="0.3">
      <c r="A819" t="s">
        <v>17244</v>
      </c>
      <c r="B819" t="s">
        <v>17681</v>
      </c>
      <c r="C819" t="s">
        <v>17738</v>
      </c>
      <c r="D819" t="s">
        <v>17260</v>
      </c>
      <c r="E819" t="s">
        <v>17736</v>
      </c>
      <c r="F819" t="s">
        <v>17736</v>
      </c>
      <c r="G819" t="s">
        <v>17737</v>
      </c>
      <c r="H819" t="s">
        <v>51</v>
      </c>
      <c r="I819" t="s">
        <v>89</v>
      </c>
      <c r="J819" t="str">
        <f>"4704010"</f>
        <v>4704010</v>
      </c>
      <c r="K819">
        <v>2385051330</v>
      </c>
      <c r="L819">
        <v>2385051395</v>
      </c>
      <c r="M819" t="s">
        <v>17739</v>
      </c>
      <c r="N819" t="s">
        <v>17740</v>
      </c>
      <c r="O819" t="s">
        <v>17741</v>
      </c>
      <c r="P819">
        <v>53150</v>
      </c>
      <c r="Q819" t="str">
        <f>"40.833750"</f>
        <v>40.833750</v>
      </c>
      <c r="R819" t="str">
        <f>"21.140227"</f>
        <v>21.140227</v>
      </c>
      <c r="S819" t="s">
        <v>57</v>
      </c>
    </row>
    <row r="820" spans="1:19" x14ac:dyDescent="0.3">
      <c r="A820" t="s">
        <v>17244</v>
      </c>
      <c r="B820" t="s">
        <v>17681</v>
      </c>
      <c r="C820" t="s">
        <v>17743</v>
      </c>
      <c r="D820" t="s">
        <v>17260</v>
      </c>
      <c r="E820" t="s">
        <v>17701</v>
      </c>
      <c r="F820" t="s">
        <v>15619</v>
      </c>
      <c r="G820" t="s">
        <v>15619</v>
      </c>
      <c r="H820" t="s">
        <v>51</v>
      </c>
      <c r="I820" t="s">
        <v>52</v>
      </c>
      <c r="J820" t="str">
        <f>"4703010"</f>
        <v>4703010</v>
      </c>
      <c r="K820">
        <v>2386041256</v>
      </c>
      <c r="L820">
        <v>2386041256</v>
      </c>
      <c r="M820" t="s">
        <v>17744</v>
      </c>
      <c r="O820" t="s">
        <v>15622</v>
      </c>
      <c r="P820">
        <v>53075</v>
      </c>
      <c r="Q820" t="str">
        <f>"40.650000"</f>
        <v>40.650000</v>
      </c>
      <c r="R820" t="str">
        <f>"21.550000"</f>
        <v>21.550000</v>
      </c>
      <c r="S820" t="s">
        <v>26</v>
      </c>
    </row>
    <row r="821" spans="1:19" x14ac:dyDescent="0.3">
      <c r="A821" t="s">
        <v>17244</v>
      </c>
      <c r="B821" t="s">
        <v>17681</v>
      </c>
      <c r="C821" t="s">
        <v>17746</v>
      </c>
      <c r="D821" t="s">
        <v>17260</v>
      </c>
      <c r="E821" t="s">
        <v>17701</v>
      </c>
      <c r="F821" t="s">
        <v>17701</v>
      </c>
      <c r="G821" t="s">
        <v>17701</v>
      </c>
      <c r="H821" t="s">
        <v>51</v>
      </c>
      <c r="I821" t="s">
        <v>52</v>
      </c>
      <c r="J821" t="str">
        <f>"4702010"</f>
        <v>4702010</v>
      </c>
      <c r="K821">
        <v>2386022261</v>
      </c>
      <c r="L821">
        <v>2386022688</v>
      </c>
      <c r="M821" t="s">
        <v>17747</v>
      </c>
      <c r="N821" t="s">
        <v>17704</v>
      </c>
      <c r="O821" t="s">
        <v>17748</v>
      </c>
      <c r="P821">
        <v>53200</v>
      </c>
      <c r="Q821" t="str">
        <f>"40.691077"</f>
        <v>40.691077</v>
      </c>
      <c r="R821" t="str">
        <f>"21.676692"</f>
        <v>21.676692</v>
      </c>
      <c r="S821" t="s">
        <v>26</v>
      </c>
    </row>
    <row r="822" spans="1:19" x14ac:dyDescent="0.3">
      <c r="A822" t="s">
        <v>17244</v>
      </c>
      <c r="B822" t="s">
        <v>17681</v>
      </c>
      <c r="C822" t="s">
        <v>17750</v>
      </c>
      <c r="D822" t="s">
        <v>17260</v>
      </c>
      <c r="E822" t="s">
        <v>17260</v>
      </c>
      <c r="F822" t="s">
        <v>17686</v>
      </c>
      <c r="G822" t="s">
        <v>17749</v>
      </c>
      <c r="H822" t="s">
        <v>51</v>
      </c>
      <c r="I822" t="s">
        <v>52</v>
      </c>
      <c r="J822" t="str">
        <f>"4705010"</f>
        <v>4705010</v>
      </c>
      <c r="K822">
        <v>2385081336</v>
      </c>
      <c r="L822">
        <v>2385081336</v>
      </c>
      <c r="M822" t="s">
        <v>17751</v>
      </c>
      <c r="N822" t="s">
        <v>17752</v>
      </c>
      <c r="O822" t="s">
        <v>17753</v>
      </c>
      <c r="P822">
        <v>53074</v>
      </c>
      <c r="Q822" t="str">
        <f>"40.766293"</f>
        <v>40.766293</v>
      </c>
      <c r="R822" t="str">
        <f>"21.607139"</f>
        <v>21.607139</v>
      </c>
      <c r="S822" t="s">
        <v>26</v>
      </c>
    </row>
    <row r="823" spans="1:19" x14ac:dyDescent="0.3">
      <c r="A823" t="s">
        <v>17244</v>
      </c>
      <c r="B823" t="s">
        <v>17681</v>
      </c>
      <c r="C823" t="s">
        <v>17756</v>
      </c>
      <c r="D823" t="s">
        <v>17260</v>
      </c>
      <c r="E823" t="s">
        <v>17260</v>
      </c>
      <c r="F823" t="s">
        <v>17755</v>
      </c>
      <c r="G823" t="s">
        <v>17755</v>
      </c>
      <c r="H823" t="s">
        <v>51</v>
      </c>
      <c r="I823" t="s">
        <v>52</v>
      </c>
      <c r="J823" t="str">
        <f>"4701080"</f>
        <v>4701080</v>
      </c>
      <c r="K823">
        <v>2385092343</v>
      </c>
      <c r="L823">
        <v>2385092343</v>
      </c>
      <c r="M823" t="s">
        <v>17757</v>
      </c>
      <c r="N823" t="s">
        <v>17758</v>
      </c>
      <c r="O823" t="s">
        <v>17759</v>
      </c>
      <c r="P823">
        <v>53100</v>
      </c>
      <c r="Q823" t="str">
        <f>"40.846244"</f>
        <v>40.846244</v>
      </c>
      <c r="R823" t="str">
        <f>"21.391223"</f>
        <v>21.391223</v>
      </c>
      <c r="S823" t="s">
        <v>26</v>
      </c>
    </row>
    <row r="824" spans="1:19" x14ac:dyDescent="0.3">
      <c r="A824" t="s">
        <v>17244</v>
      </c>
      <c r="B824" t="s">
        <v>17681</v>
      </c>
      <c r="C824" t="s">
        <v>17761</v>
      </c>
      <c r="D824" t="s">
        <v>17260</v>
      </c>
      <c r="E824" t="s">
        <v>17260</v>
      </c>
      <c r="F824" t="s">
        <v>17686</v>
      </c>
      <c r="G824" t="s">
        <v>17686</v>
      </c>
      <c r="H824" t="s">
        <v>51</v>
      </c>
      <c r="I824" t="s">
        <v>52</v>
      </c>
      <c r="J824" t="str">
        <f>"4708010"</f>
        <v>4708010</v>
      </c>
      <c r="K824">
        <v>2385037210</v>
      </c>
      <c r="L824">
        <v>2385037210</v>
      </c>
      <c r="M824" t="s">
        <v>17762</v>
      </c>
      <c r="N824" t="s">
        <v>17763</v>
      </c>
      <c r="O824" t="s">
        <v>17764</v>
      </c>
      <c r="P824">
        <v>53071</v>
      </c>
      <c r="Q824" t="str">
        <f>"40.835976"</f>
        <v>40.835976</v>
      </c>
      <c r="R824" t="str">
        <f>"21.589047"</f>
        <v>21.589047</v>
      </c>
      <c r="S824" t="s">
        <v>26</v>
      </c>
    </row>
    <row r="825" spans="1:19" x14ac:dyDescent="0.3">
      <c r="A825" t="s">
        <v>17244</v>
      </c>
      <c r="B825" t="s">
        <v>17681</v>
      </c>
      <c r="C825" t="s">
        <v>17766</v>
      </c>
      <c r="D825" t="s">
        <v>17260</v>
      </c>
      <c r="E825" t="s">
        <v>17701</v>
      </c>
      <c r="F825" t="s">
        <v>17701</v>
      </c>
      <c r="G825" t="s">
        <v>17701</v>
      </c>
      <c r="H825" t="s">
        <v>51</v>
      </c>
      <c r="I825" t="s">
        <v>190</v>
      </c>
      <c r="J825" t="str">
        <f>"4703015"</f>
        <v>4703015</v>
      </c>
      <c r="K825">
        <v>2386023224</v>
      </c>
      <c r="L825">
        <v>2386023224</v>
      </c>
      <c r="M825" t="s">
        <v>17767</v>
      </c>
      <c r="N825" t="s">
        <v>17704</v>
      </c>
      <c r="O825" t="s">
        <v>2072</v>
      </c>
      <c r="P825">
        <v>53200</v>
      </c>
      <c r="Q825" t="str">
        <f>"40.696838"</f>
        <v>40.696838</v>
      </c>
      <c r="R825" t="str">
        <f>"21.678322"</f>
        <v>21.678322</v>
      </c>
      <c r="S825" t="s">
        <v>26</v>
      </c>
    </row>
    <row r="826" spans="1:19" x14ac:dyDescent="0.3">
      <c r="A826" t="s">
        <v>17244</v>
      </c>
      <c r="B826" t="s">
        <v>17681</v>
      </c>
      <c r="C826" t="s">
        <v>17768</v>
      </c>
      <c r="D826" t="s">
        <v>17260</v>
      </c>
      <c r="E826" t="s">
        <v>17260</v>
      </c>
      <c r="F826" t="s">
        <v>17260</v>
      </c>
      <c r="G826" t="s">
        <v>17261</v>
      </c>
      <c r="H826" t="s">
        <v>51</v>
      </c>
      <c r="I826" t="s">
        <v>4556</v>
      </c>
      <c r="J826" t="str">
        <f>"4710015"</f>
        <v>4710015</v>
      </c>
      <c r="K826">
        <v>2385022760</v>
      </c>
      <c r="L826">
        <v>2385022760</v>
      </c>
      <c r="M826" t="s">
        <v>17769</v>
      </c>
      <c r="N826" t="s">
        <v>17264</v>
      </c>
      <c r="O826" t="s">
        <v>17770</v>
      </c>
      <c r="P826">
        <v>53100</v>
      </c>
      <c r="Q826" t="str">
        <f>"40.778005"</f>
        <v>40.778005</v>
      </c>
      <c r="R826" t="str">
        <f>"21.404970"</f>
        <v>21.404970</v>
      </c>
      <c r="S826" t="s">
        <v>26</v>
      </c>
    </row>
    <row r="827" spans="1:19" x14ac:dyDescent="0.3">
      <c r="A827" t="s">
        <v>17244</v>
      </c>
      <c r="B827" t="s">
        <v>17681</v>
      </c>
      <c r="C827" t="s">
        <v>17774</v>
      </c>
      <c r="D827" t="s">
        <v>17260</v>
      </c>
      <c r="E827" t="s">
        <v>17701</v>
      </c>
      <c r="F827" t="s">
        <v>17773</v>
      </c>
      <c r="G827" t="s">
        <v>17773</v>
      </c>
      <c r="H827" t="s">
        <v>51</v>
      </c>
      <c r="I827" t="s">
        <v>52</v>
      </c>
      <c r="J827" t="str">
        <f>"4702030"</f>
        <v>4702030</v>
      </c>
      <c r="K827">
        <v>2386071351</v>
      </c>
      <c r="L827">
        <v>2386071351</v>
      </c>
      <c r="M827" t="s">
        <v>17775</v>
      </c>
      <c r="N827" t="s">
        <v>17776</v>
      </c>
      <c r="O827" t="s">
        <v>17777</v>
      </c>
      <c r="P827">
        <v>53073</v>
      </c>
      <c r="Q827" t="str">
        <f>"40.585708"</f>
        <v>40.585708</v>
      </c>
      <c r="R827" t="str">
        <f>"21.494043"</f>
        <v>21.494043</v>
      </c>
      <c r="S827" t="s">
        <v>57</v>
      </c>
    </row>
    <row r="828" spans="1:19" x14ac:dyDescent="0.3">
      <c r="A828" t="s">
        <v>17244</v>
      </c>
      <c r="B828" t="s">
        <v>17681</v>
      </c>
      <c r="C828" t="s">
        <v>17784</v>
      </c>
      <c r="D828" t="s">
        <v>17260</v>
      </c>
      <c r="E828" t="s">
        <v>17260</v>
      </c>
      <c r="F828" t="s">
        <v>17260</v>
      </c>
      <c r="G828" t="s">
        <v>17261</v>
      </c>
      <c r="H828" t="s">
        <v>51</v>
      </c>
      <c r="I828" t="s">
        <v>199</v>
      </c>
      <c r="J828" t="str">
        <f>"4711201"</f>
        <v>4711201</v>
      </c>
      <c r="K828">
        <v>2385028385</v>
      </c>
      <c r="M828" t="s">
        <v>17785</v>
      </c>
      <c r="N828" t="s">
        <v>17264</v>
      </c>
      <c r="O828" t="s">
        <v>17725</v>
      </c>
      <c r="P828">
        <v>53100</v>
      </c>
      <c r="Q828" t="str">
        <f>"40.788630"</f>
        <v>40.788630</v>
      </c>
      <c r="R828" t="str">
        <f>"21.410328"</f>
        <v>21.410328</v>
      </c>
      <c r="S828" t="s">
        <v>26</v>
      </c>
    </row>
    <row r="829" spans="1:19" x14ac:dyDescent="0.3">
      <c r="A829" t="s">
        <v>18804</v>
      </c>
      <c r="B829" t="s">
        <v>18830</v>
      </c>
      <c r="C829" t="s">
        <v>18849</v>
      </c>
      <c r="D829" t="s">
        <v>18805</v>
      </c>
      <c r="E829" t="s">
        <v>18806</v>
      </c>
      <c r="F829" t="s">
        <v>18806</v>
      </c>
      <c r="G829" t="s">
        <v>18806</v>
      </c>
      <c r="H829" t="s">
        <v>51</v>
      </c>
      <c r="I829" t="s">
        <v>52</v>
      </c>
      <c r="J829" t="str">
        <f>"0401010"</f>
        <v>0401010</v>
      </c>
      <c r="K829">
        <v>2681026649</v>
      </c>
      <c r="L829">
        <v>2681026649</v>
      </c>
      <c r="M829" t="s">
        <v>18850</v>
      </c>
      <c r="N829" t="s">
        <v>18809</v>
      </c>
      <c r="O829" t="s">
        <v>18851</v>
      </c>
      <c r="P829">
        <v>47132</v>
      </c>
      <c r="Q829" t="str">
        <f>"39.159341"</f>
        <v>39.159341</v>
      </c>
      <c r="R829" t="str">
        <f>"20.981455"</f>
        <v>20.981455</v>
      </c>
      <c r="S829" t="s">
        <v>26</v>
      </c>
    </row>
    <row r="830" spans="1:19" x14ac:dyDescent="0.3">
      <c r="A830" t="s">
        <v>18804</v>
      </c>
      <c r="B830" t="s">
        <v>18830</v>
      </c>
      <c r="C830" t="s">
        <v>18866</v>
      </c>
      <c r="D830" t="s">
        <v>18805</v>
      </c>
      <c r="E830" t="s">
        <v>18806</v>
      </c>
      <c r="F830" t="s">
        <v>18806</v>
      </c>
      <c r="G830" t="s">
        <v>18806</v>
      </c>
      <c r="H830" t="s">
        <v>51</v>
      </c>
      <c r="I830" t="s">
        <v>52</v>
      </c>
      <c r="J830" t="str">
        <f>"0401020"</f>
        <v>0401020</v>
      </c>
      <c r="K830">
        <v>2681027466</v>
      </c>
      <c r="L830">
        <v>2681027466</v>
      </c>
      <c r="M830" t="s">
        <v>18867</v>
      </c>
      <c r="N830" t="s">
        <v>18809</v>
      </c>
      <c r="O830" t="s">
        <v>18868</v>
      </c>
      <c r="P830">
        <v>47132</v>
      </c>
      <c r="Q830" t="str">
        <f>"39.152068"</f>
        <v>39.152068</v>
      </c>
      <c r="R830" t="str">
        <f>"20.983407"</f>
        <v>20.983407</v>
      </c>
      <c r="S830" t="s">
        <v>26</v>
      </c>
    </row>
    <row r="831" spans="1:19" x14ac:dyDescent="0.3">
      <c r="A831" t="s">
        <v>18804</v>
      </c>
      <c r="B831" t="s">
        <v>18830</v>
      </c>
      <c r="C831" t="s">
        <v>18870</v>
      </c>
      <c r="D831" t="s">
        <v>18805</v>
      </c>
      <c r="E831" t="s">
        <v>18806</v>
      </c>
      <c r="F831" t="s">
        <v>18806</v>
      </c>
      <c r="G831" t="s">
        <v>18806</v>
      </c>
      <c r="H831" t="s">
        <v>51</v>
      </c>
      <c r="I831" t="s">
        <v>52</v>
      </c>
      <c r="J831" t="str">
        <f>"0401031"</f>
        <v>0401031</v>
      </c>
      <c r="K831">
        <v>2681073750</v>
      </c>
      <c r="L831">
        <v>2681073750</v>
      </c>
      <c r="M831" t="s">
        <v>18871</v>
      </c>
      <c r="N831" t="s">
        <v>18809</v>
      </c>
      <c r="O831" t="s">
        <v>18872</v>
      </c>
      <c r="P831">
        <v>47100</v>
      </c>
      <c r="Q831" t="str">
        <f>"39.157899"</f>
        <v>39.157899</v>
      </c>
      <c r="R831" t="str">
        <f>"20.987452"</f>
        <v>20.987452</v>
      </c>
      <c r="S831" t="s">
        <v>26</v>
      </c>
    </row>
    <row r="832" spans="1:19" x14ac:dyDescent="0.3">
      <c r="A832" t="s">
        <v>18804</v>
      </c>
      <c r="B832" t="s">
        <v>18830</v>
      </c>
      <c r="C832" t="s">
        <v>18874</v>
      </c>
      <c r="D832" t="s">
        <v>18805</v>
      </c>
      <c r="E832" t="s">
        <v>18806</v>
      </c>
      <c r="F832" t="s">
        <v>18806</v>
      </c>
      <c r="G832" t="s">
        <v>18806</v>
      </c>
      <c r="H832" t="s">
        <v>51</v>
      </c>
      <c r="I832" t="s">
        <v>52</v>
      </c>
      <c r="J832" t="str">
        <f>"0401032"</f>
        <v>0401032</v>
      </c>
      <c r="K832">
        <v>2681075770</v>
      </c>
      <c r="L832">
        <v>2681075770</v>
      </c>
      <c r="M832" t="s">
        <v>18875</v>
      </c>
      <c r="N832" t="s">
        <v>18809</v>
      </c>
      <c r="O832" t="s">
        <v>18876</v>
      </c>
      <c r="P832">
        <v>47100</v>
      </c>
      <c r="Q832" t="str">
        <f>"39.155598"</f>
        <v>39.155598</v>
      </c>
      <c r="R832" t="str">
        <f>"21.001542"</f>
        <v>21.001542</v>
      </c>
      <c r="S832" t="s">
        <v>26</v>
      </c>
    </row>
    <row r="833" spans="1:19" x14ac:dyDescent="0.3">
      <c r="A833" t="s">
        <v>18804</v>
      </c>
      <c r="B833" t="s">
        <v>18830</v>
      </c>
      <c r="C833" t="s">
        <v>18881</v>
      </c>
      <c r="D833" t="s">
        <v>18805</v>
      </c>
      <c r="E833" t="s">
        <v>18878</v>
      </c>
      <c r="F833" t="s">
        <v>18879</v>
      </c>
      <c r="G833" t="s">
        <v>18880</v>
      </c>
      <c r="H833" t="s">
        <v>51</v>
      </c>
      <c r="I833" t="s">
        <v>52</v>
      </c>
      <c r="J833" t="str">
        <f>"0403010"</f>
        <v>0403010</v>
      </c>
      <c r="K833">
        <v>2685022086</v>
      </c>
      <c r="L833">
        <v>2685022086</v>
      </c>
      <c r="M833" t="s">
        <v>18882</v>
      </c>
      <c r="N833" t="s">
        <v>18809</v>
      </c>
      <c r="O833" t="s">
        <v>18883</v>
      </c>
      <c r="P833">
        <v>47045</v>
      </c>
      <c r="Q833" t="str">
        <f>"39.373553"</f>
        <v>39.373553</v>
      </c>
      <c r="R833" t="str">
        <f>"21.182095"</f>
        <v>21.182095</v>
      </c>
      <c r="S833" t="s">
        <v>57</v>
      </c>
    </row>
    <row r="834" spans="1:19" x14ac:dyDescent="0.3">
      <c r="A834" t="s">
        <v>18804</v>
      </c>
      <c r="B834" t="s">
        <v>18830</v>
      </c>
      <c r="C834" t="s">
        <v>18887</v>
      </c>
      <c r="D834" t="s">
        <v>18805</v>
      </c>
      <c r="E834" t="s">
        <v>18885</v>
      </c>
      <c r="F834" t="s">
        <v>18886</v>
      </c>
      <c r="G834" t="s">
        <v>13744</v>
      </c>
      <c r="H834" t="s">
        <v>51</v>
      </c>
      <c r="I834" t="s">
        <v>52</v>
      </c>
      <c r="J834" t="str">
        <f>"0407010"</f>
        <v>0407010</v>
      </c>
      <c r="K834">
        <v>2681087263</v>
      </c>
      <c r="L834">
        <v>2681087263</v>
      </c>
      <c r="M834" t="s">
        <v>18888</v>
      </c>
      <c r="N834" t="s">
        <v>17237</v>
      </c>
      <c r="O834" t="s">
        <v>18889</v>
      </c>
      <c r="P834">
        <v>47041</v>
      </c>
      <c r="Q834" t="str">
        <f>"39.069184"</f>
        <v>39.069184</v>
      </c>
      <c r="R834" t="str">
        <f>"21.013813"</f>
        <v>21.013813</v>
      </c>
      <c r="S834" t="s">
        <v>26</v>
      </c>
    </row>
    <row r="835" spans="1:19" x14ac:dyDescent="0.3">
      <c r="A835" t="s">
        <v>18804</v>
      </c>
      <c r="B835" t="s">
        <v>18830</v>
      </c>
      <c r="C835" t="s">
        <v>18892</v>
      </c>
      <c r="D835" t="s">
        <v>18805</v>
      </c>
      <c r="E835" t="s">
        <v>18806</v>
      </c>
      <c r="F835" t="s">
        <v>14994</v>
      </c>
      <c r="G835" t="s">
        <v>18891</v>
      </c>
      <c r="H835" t="s">
        <v>51</v>
      </c>
      <c r="I835" t="s">
        <v>52</v>
      </c>
      <c r="J835" t="str">
        <f>"0401040"</f>
        <v>0401040</v>
      </c>
      <c r="K835">
        <v>2681085284</v>
      </c>
      <c r="L835">
        <v>2681085284</v>
      </c>
      <c r="M835" t="s">
        <v>18893</v>
      </c>
      <c r="N835" t="s">
        <v>18894</v>
      </c>
      <c r="O835" t="s">
        <v>18895</v>
      </c>
      <c r="P835">
        <v>47100</v>
      </c>
      <c r="Q835" t="str">
        <f>"39.189714"</f>
        <v>39.189714</v>
      </c>
      <c r="R835" t="str">
        <f>"20.970860"</f>
        <v>20.970860</v>
      </c>
      <c r="S835" t="s">
        <v>26</v>
      </c>
    </row>
    <row r="836" spans="1:19" x14ac:dyDescent="0.3">
      <c r="A836" t="s">
        <v>18804</v>
      </c>
      <c r="B836" t="s">
        <v>18830</v>
      </c>
      <c r="C836" t="s">
        <v>18899</v>
      </c>
      <c r="D836" t="s">
        <v>18805</v>
      </c>
      <c r="E836" t="s">
        <v>18806</v>
      </c>
      <c r="F836" t="s">
        <v>18897</v>
      </c>
      <c r="G836" t="s">
        <v>18898</v>
      </c>
      <c r="H836" t="s">
        <v>51</v>
      </c>
      <c r="I836" t="s">
        <v>52</v>
      </c>
      <c r="J836" t="str">
        <f>"0408010"</f>
        <v>0408010</v>
      </c>
      <c r="K836">
        <v>2681041253</v>
      </c>
      <c r="M836" t="s">
        <v>18900</v>
      </c>
      <c r="O836" t="s">
        <v>18901</v>
      </c>
      <c r="P836">
        <v>47150</v>
      </c>
      <c r="Q836" t="str">
        <f>"39.087709"</f>
        <v>39.087709</v>
      </c>
      <c r="R836" t="str">
        <f>"20.920793"</f>
        <v>20.920793</v>
      </c>
      <c r="S836" t="s">
        <v>26</v>
      </c>
    </row>
    <row r="837" spans="1:19" x14ac:dyDescent="0.3">
      <c r="A837" t="s">
        <v>18804</v>
      </c>
      <c r="B837" t="s">
        <v>18830</v>
      </c>
      <c r="C837" t="s">
        <v>18904</v>
      </c>
      <c r="D837" t="s">
        <v>18805</v>
      </c>
      <c r="E837" t="s">
        <v>18885</v>
      </c>
      <c r="F837" t="s">
        <v>18903</v>
      </c>
      <c r="G837" t="s">
        <v>18903</v>
      </c>
      <c r="H837" t="s">
        <v>51</v>
      </c>
      <c r="I837" t="s">
        <v>52</v>
      </c>
      <c r="J837" t="str">
        <f>"0411010"</f>
        <v>0411010</v>
      </c>
      <c r="K837">
        <v>2681083207</v>
      </c>
      <c r="L837">
        <v>2681083207</v>
      </c>
      <c r="M837" t="s">
        <v>18905</v>
      </c>
      <c r="N837" t="s">
        <v>18903</v>
      </c>
      <c r="O837" t="s">
        <v>18903</v>
      </c>
      <c r="P837">
        <v>47200</v>
      </c>
      <c r="Q837" t="str">
        <f>"39.174280"</f>
        <v>39.174280</v>
      </c>
      <c r="R837" t="str">
        <f>"21.034166"</f>
        <v>21.034166</v>
      </c>
      <c r="S837" t="s">
        <v>26</v>
      </c>
    </row>
    <row r="838" spans="1:19" x14ac:dyDescent="0.3">
      <c r="A838" t="s">
        <v>18804</v>
      </c>
      <c r="B838" t="s">
        <v>18830</v>
      </c>
      <c r="C838" t="s">
        <v>18932</v>
      </c>
      <c r="D838" t="s">
        <v>18805</v>
      </c>
      <c r="E838" t="s">
        <v>18806</v>
      </c>
      <c r="F838" t="s">
        <v>18806</v>
      </c>
      <c r="G838" t="s">
        <v>18806</v>
      </c>
      <c r="H838" t="s">
        <v>51</v>
      </c>
      <c r="I838" t="s">
        <v>184</v>
      </c>
      <c r="J838" t="str">
        <f>"0401015"</f>
        <v>0401015</v>
      </c>
      <c r="K838">
        <v>2681075573</v>
      </c>
      <c r="L838">
        <v>2681075573</v>
      </c>
      <c r="M838" t="s">
        <v>18933</v>
      </c>
      <c r="N838" t="s">
        <v>18805</v>
      </c>
      <c r="O838" t="s">
        <v>18848</v>
      </c>
      <c r="P838">
        <v>47100</v>
      </c>
      <c r="Q838" t="str">
        <f>"39.154469"</f>
        <v>39.154469</v>
      </c>
      <c r="R838" t="str">
        <f>"20.997259"</f>
        <v>20.997259</v>
      </c>
      <c r="S838" t="s">
        <v>26</v>
      </c>
    </row>
    <row r="839" spans="1:19" x14ac:dyDescent="0.3">
      <c r="A839" t="s">
        <v>18804</v>
      </c>
      <c r="B839" t="s">
        <v>18830</v>
      </c>
      <c r="C839" t="s">
        <v>18935</v>
      </c>
      <c r="D839" t="s">
        <v>18805</v>
      </c>
      <c r="E839" t="s">
        <v>18806</v>
      </c>
      <c r="F839" t="s">
        <v>18806</v>
      </c>
      <c r="G839" t="s">
        <v>18934</v>
      </c>
      <c r="H839" t="s">
        <v>51</v>
      </c>
      <c r="I839" t="s">
        <v>52</v>
      </c>
      <c r="J839" t="str">
        <f>"0413010"</f>
        <v>0413010</v>
      </c>
      <c r="K839">
        <v>2681075734</v>
      </c>
      <c r="L839">
        <v>2681075734</v>
      </c>
      <c r="M839" t="s">
        <v>18936</v>
      </c>
      <c r="N839" t="s">
        <v>18937</v>
      </c>
      <c r="O839" t="s">
        <v>18937</v>
      </c>
      <c r="P839">
        <v>47100</v>
      </c>
      <c r="Q839" t="str">
        <f>"39.135445"</f>
        <v>39.135445</v>
      </c>
      <c r="R839" t="str">
        <f>"20.953051"</f>
        <v>20.953051</v>
      </c>
      <c r="S839" t="s">
        <v>26</v>
      </c>
    </row>
    <row r="840" spans="1:19" x14ac:dyDescent="0.3">
      <c r="A840" t="s">
        <v>18804</v>
      </c>
      <c r="B840" t="s">
        <v>18830</v>
      </c>
      <c r="C840" t="s">
        <v>18940</v>
      </c>
      <c r="D840" t="s">
        <v>18805</v>
      </c>
      <c r="E840" t="s">
        <v>18806</v>
      </c>
      <c r="F840" t="s">
        <v>4671</v>
      </c>
      <c r="G840" t="s">
        <v>18939</v>
      </c>
      <c r="H840" t="s">
        <v>51</v>
      </c>
      <c r="I840" t="s">
        <v>52</v>
      </c>
      <c r="J840" t="str">
        <f>"0413020"</f>
        <v>0413020</v>
      </c>
      <c r="K840">
        <v>2681051450</v>
      </c>
      <c r="L840">
        <v>2681051450</v>
      </c>
      <c r="M840" t="s">
        <v>18941</v>
      </c>
      <c r="N840" t="s">
        <v>18942</v>
      </c>
      <c r="O840" t="s">
        <v>18942</v>
      </c>
      <c r="P840">
        <v>47042</v>
      </c>
      <c r="Q840" t="str">
        <f>"39.161821"</f>
        <v>39.161821</v>
      </c>
      <c r="R840" t="str">
        <f>"20.920074"</f>
        <v>20.920074</v>
      </c>
      <c r="S840" t="s">
        <v>26</v>
      </c>
    </row>
    <row r="841" spans="1:19" x14ac:dyDescent="0.3">
      <c r="A841" t="s">
        <v>18804</v>
      </c>
      <c r="B841" t="s">
        <v>18830</v>
      </c>
      <c r="C841" t="s">
        <v>18944</v>
      </c>
      <c r="D841" t="s">
        <v>18805</v>
      </c>
      <c r="E841" t="s">
        <v>18831</v>
      </c>
      <c r="F841" t="s">
        <v>15629</v>
      </c>
      <c r="G841" t="s">
        <v>18860</v>
      </c>
      <c r="H841" t="s">
        <v>51</v>
      </c>
      <c r="I841" t="s">
        <v>52</v>
      </c>
      <c r="J841" t="str">
        <f>"0412010"</f>
        <v>0412010</v>
      </c>
      <c r="K841">
        <v>2681067277</v>
      </c>
      <c r="L841">
        <v>2681067277</v>
      </c>
      <c r="M841" t="s">
        <v>18945</v>
      </c>
      <c r="N841" t="s">
        <v>18946</v>
      </c>
      <c r="O841" t="s">
        <v>18947</v>
      </c>
      <c r="P841">
        <v>47044</v>
      </c>
      <c r="Q841" t="str">
        <f>"39.195799"</f>
        <v>39.195799</v>
      </c>
      <c r="R841" t="str">
        <f>"21.130691"</f>
        <v>21.130691</v>
      </c>
      <c r="S841" t="s">
        <v>26</v>
      </c>
    </row>
    <row r="842" spans="1:19" x14ac:dyDescent="0.3">
      <c r="A842" t="s">
        <v>18804</v>
      </c>
      <c r="B842" t="s">
        <v>18830</v>
      </c>
      <c r="C842" t="s">
        <v>18948</v>
      </c>
      <c r="D842" t="s">
        <v>18805</v>
      </c>
      <c r="E842" t="s">
        <v>18806</v>
      </c>
      <c r="F842" t="s">
        <v>18806</v>
      </c>
      <c r="G842" t="s">
        <v>18806</v>
      </c>
      <c r="H842" t="s">
        <v>51</v>
      </c>
      <c r="I842" t="s">
        <v>52</v>
      </c>
      <c r="J842" t="str">
        <f>"0401030"</f>
        <v>0401030</v>
      </c>
      <c r="K842">
        <v>2681073819</v>
      </c>
      <c r="L842">
        <v>2681073819</v>
      </c>
      <c r="M842" t="s">
        <v>18949</v>
      </c>
      <c r="N842" t="s">
        <v>18809</v>
      </c>
      <c r="O842" t="s">
        <v>18950</v>
      </c>
      <c r="P842">
        <v>47100</v>
      </c>
      <c r="Q842" t="str">
        <f>"39.162224"</f>
        <v>39.162224</v>
      </c>
      <c r="R842" t="str">
        <f>"20.982768"</f>
        <v>20.982768</v>
      </c>
      <c r="S842" t="s">
        <v>26</v>
      </c>
    </row>
    <row r="843" spans="1:19" x14ac:dyDescent="0.3">
      <c r="A843" t="s">
        <v>18804</v>
      </c>
      <c r="B843" t="s">
        <v>18830</v>
      </c>
      <c r="C843" t="s">
        <v>18951</v>
      </c>
      <c r="D843" t="s">
        <v>18805</v>
      </c>
      <c r="E843" t="s">
        <v>18885</v>
      </c>
      <c r="F843" t="s">
        <v>18921</v>
      </c>
      <c r="G843" t="s">
        <v>18921</v>
      </c>
      <c r="H843" t="s">
        <v>51</v>
      </c>
      <c r="I843" t="s">
        <v>52</v>
      </c>
      <c r="J843" t="str">
        <f>"0406010"</f>
        <v>0406010</v>
      </c>
      <c r="K843">
        <v>2681065223</v>
      </c>
      <c r="L843">
        <v>2681065223</v>
      </c>
      <c r="M843" t="s">
        <v>18952</v>
      </c>
      <c r="N843" t="s">
        <v>18924</v>
      </c>
      <c r="O843" t="s">
        <v>18925</v>
      </c>
      <c r="P843">
        <v>47040</v>
      </c>
      <c r="Q843" t="str">
        <f>"39.104586"</f>
        <v>39.104586</v>
      </c>
      <c r="R843" t="str">
        <f>"21.076785"</f>
        <v>21.076785</v>
      </c>
      <c r="S843" t="s">
        <v>26</v>
      </c>
    </row>
    <row r="844" spans="1:19" x14ac:dyDescent="0.3">
      <c r="A844" t="s">
        <v>18804</v>
      </c>
      <c r="B844" t="s">
        <v>18830</v>
      </c>
      <c r="C844" t="s">
        <v>18953</v>
      </c>
      <c r="D844" t="s">
        <v>18805</v>
      </c>
      <c r="E844" t="s">
        <v>18831</v>
      </c>
      <c r="F844" t="s">
        <v>18832</v>
      </c>
      <c r="G844" t="s">
        <v>18833</v>
      </c>
      <c r="H844" t="s">
        <v>51</v>
      </c>
      <c r="I844" t="s">
        <v>52</v>
      </c>
      <c r="J844" t="str">
        <f>"0404010"</f>
        <v>0404010</v>
      </c>
      <c r="K844">
        <v>2681068209</v>
      </c>
      <c r="L844">
        <v>2681068209</v>
      </c>
      <c r="M844" t="s">
        <v>18954</v>
      </c>
      <c r="N844" t="s">
        <v>18955</v>
      </c>
      <c r="O844" t="s">
        <v>18836</v>
      </c>
      <c r="P844">
        <v>47044</v>
      </c>
      <c r="Q844" t="str">
        <f>"39.253685"</f>
        <v>39.253685</v>
      </c>
      <c r="R844" t="str">
        <f>"21.161369"</f>
        <v>21.161369</v>
      </c>
      <c r="S844" t="s">
        <v>26</v>
      </c>
    </row>
    <row r="845" spans="1:19" x14ac:dyDescent="0.3">
      <c r="A845" t="s">
        <v>18804</v>
      </c>
      <c r="B845" t="s">
        <v>18830</v>
      </c>
      <c r="C845" t="s">
        <v>18957</v>
      </c>
      <c r="D845" t="s">
        <v>18805</v>
      </c>
      <c r="E845" t="s">
        <v>18878</v>
      </c>
      <c r="F845" t="s">
        <v>18956</v>
      </c>
      <c r="G845" t="s">
        <v>18956</v>
      </c>
      <c r="H845" t="s">
        <v>51</v>
      </c>
      <c r="I845" t="s">
        <v>89</v>
      </c>
      <c r="J845" t="str">
        <f>"0402010"</f>
        <v>0402010</v>
      </c>
      <c r="K845">
        <v>2685031230</v>
      </c>
      <c r="L845">
        <v>2685031230</v>
      </c>
      <c r="M845" t="s">
        <v>18958</v>
      </c>
      <c r="N845" t="s">
        <v>18959</v>
      </c>
      <c r="O845" t="s">
        <v>18960</v>
      </c>
      <c r="P845">
        <v>47043</v>
      </c>
      <c r="Q845" t="str">
        <f>"39.473991"</f>
        <v>39.473991</v>
      </c>
      <c r="R845" t="str">
        <f>"21.080949"</f>
        <v>21.080949</v>
      </c>
      <c r="S845" t="s">
        <v>57</v>
      </c>
    </row>
    <row r="846" spans="1:19" x14ac:dyDescent="0.3">
      <c r="A846" t="s">
        <v>18804</v>
      </c>
      <c r="B846" t="s">
        <v>18830</v>
      </c>
      <c r="C846" t="s">
        <v>18962</v>
      </c>
      <c r="D846" t="s">
        <v>18805</v>
      </c>
      <c r="E846" t="s">
        <v>18806</v>
      </c>
      <c r="F846" t="s">
        <v>4671</v>
      </c>
      <c r="G846" t="s">
        <v>18939</v>
      </c>
      <c r="H846" t="s">
        <v>51</v>
      </c>
      <c r="I846" t="s">
        <v>190</v>
      </c>
      <c r="J846" t="str">
        <f>"0401035"</f>
        <v>0401035</v>
      </c>
      <c r="K846">
        <v>2681085364</v>
      </c>
      <c r="L846">
        <v>2681085364</v>
      </c>
      <c r="M846" t="s">
        <v>18963</v>
      </c>
      <c r="N846" t="s">
        <v>18809</v>
      </c>
      <c r="O846" t="s">
        <v>4674</v>
      </c>
      <c r="P846">
        <v>47042</v>
      </c>
      <c r="Q846" t="str">
        <f>"39.162538"</f>
        <v>39.162538</v>
      </c>
      <c r="R846" t="str">
        <f>"20.919912"</f>
        <v>20.919912</v>
      </c>
      <c r="S846" t="s">
        <v>26</v>
      </c>
    </row>
    <row r="847" spans="1:19" x14ac:dyDescent="0.3">
      <c r="A847" t="s">
        <v>18804</v>
      </c>
      <c r="B847" t="s">
        <v>18964</v>
      </c>
      <c r="C847" t="s">
        <v>18966</v>
      </c>
      <c r="D847" t="s">
        <v>18811</v>
      </c>
      <c r="E847" t="s">
        <v>18812</v>
      </c>
      <c r="F847" t="s">
        <v>18813</v>
      </c>
      <c r="G847" t="s">
        <v>18965</v>
      </c>
      <c r="H847" t="s">
        <v>51</v>
      </c>
      <c r="I847" t="s">
        <v>52</v>
      </c>
      <c r="J847" t="str">
        <f>"1807010"</f>
        <v>1807010</v>
      </c>
      <c r="K847">
        <v>2665024049</v>
      </c>
      <c r="L847">
        <v>2665024049</v>
      </c>
      <c r="M847" t="s">
        <v>18967</v>
      </c>
      <c r="O847" t="s">
        <v>18968</v>
      </c>
      <c r="P847">
        <v>46100</v>
      </c>
      <c r="Q847" t="str">
        <f>"39.527432"</f>
        <v>39.527432</v>
      </c>
      <c r="R847" t="str">
        <f>"20.258111"</f>
        <v>20.258111</v>
      </c>
      <c r="S847" t="s">
        <v>26</v>
      </c>
    </row>
    <row r="848" spans="1:19" x14ac:dyDescent="0.3">
      <c r="A848" t="s">
        <v>18804</v>
      </c>
      <c r="B848" t="s">
        <v>18964</v>
      </c>
      <c r="C848" t="s">
        <v>18974</v>
      </c>
      <c r="D848" t="s">
        <v>18811</v>
      </c>
      <c r="E848" t="s">
        <v>18812</v>
      </c>
      <c r="F848" t="s">
        <v>18813</v>
      </c>
      <c r="G848" t="s">
        <v>18812</v>
      </c>
      <c r="H848" t="s">
        <v>51</v>
      </c>
      <c r="I848" t="s">
        <v>184</v>
      </c>
      <c r="J848" t="str">
        <f>"1801015"</f>
        <v>1801015</v>
      </c>
      <c r="K848">
        <v>2665026031</v>
      </c>
      <c r="L848">
        <v>2665026031</v>
      </c>
      <c r="M848" t="s">
        <v>18975</v>
      </c>
      <c r="N848" t="s">
        <v>18816</v>
      </c>
      <c r="O848" t="s">
        <v>18972</v>
      </c>
      <c r="P848">
        <v>46100</v>
      </c>
      <c r="Q848" t="str">
        <f>"39.505965"</f>
        <v>39.505965</v>
      </c>
      <c r="R848" t="str">
        <f>"20.265722"</f>
        <v>20.265722</v>
      </c>
      <c r="S848" t="s">
        <v>26</v>
      </c>
    </row>
    <row r="849" spans="1:19" x14ac:dyDescent="0.3">
      <c r="A849" t="s">
        <v>18804</v>
      </c>
      <c r="B849" t="s">
        <v>18964</v>
      </c>
      <c r="C849" t="s">
        <v>18987</v>
      </c>
      <c r="D849" t="s">
        <v>18811</v>
      </c>
      <c r="E849" t="s">
        <v>18812</v>
      </c>
      <c r="F849" t="s">
        <v>18813</v>
      </c>
      <c r="G849" t="s">
        <v>18812</v>
      </c>
      <c r="H849" t="s">
        <v>51</v>
      </c>
      <c r="I849" t="s">
        <v>52</v>
      </c>
      <c r="J849" t="str">
        <f>"1801012"</f>
        <v>1801012</v>
      </c>
      <c r="K849">
        <v>2665022670</v>
      </c>
      <c r="L849">
        <v>2665021325</v>
      </c>
      <c r="M849" t="s">
        <v>18988</v>
      </c>
      <c r="N849" t="s">
        <v>18816</v>
      </c>
      <c r="O849" t="s">
        <v>18989</v>
      </c>
      <c r="P849">
        <v>46100</v>
      </c>
      <c r="Q849" t="str">
        <f>"39.490859"</f>
        <v>39.490859</v>
      </c>
      <c r="R849" t="str">
        <f>"20.261185"</f>
        <v>20.261185</v>
      </c>
      <c r="S849" t="s">
        <v>26</v>
      </c>
    </row>
    <row r="850" spans="1:19" x14ac:dyDescent="0.3">
      <c r="A850" t="s">
        <v>18804</v>
      </c>
      <c r="B850" t="s">
        <v>18964</v>
      </c>
      <c r="C850" t="s">
        <v>18991</v>
      </c>
      <c r="D850" t="s">
        <v>18811</v>
      </c>
      <c r="E850" t="s">
        <v>18812</v>
      </c>
      <c r="F850" t="s">
        <v>18813</v>
      </c>
      <c r="G850" t="s">
        <v>18812</v>
      </c>
      <c r="H850" t="s">
        <v>51</v>
      </c>
      <c r="I850" t="s">
        <v>52</v>
      </c>
      <c r="J850" t="str">
        <f>"1801011"</f>
        <v>1801011</v>
      </c>
      <c r="K850">
        <v>2665023887</v>
      </c>
      <c r="L850">
        <v>2665029312</v>
      </c>
      <c r="M850" t="s">
        <v>18992</v>
      </c>
      <c r="N850" t="s">
        <v>18816</v>
      </c>
      <c r="O850" t="s">
        <v>18993</v>
      </c>
      <c r="P850">
        <v>46100</v>
      </c>
      <c r="Q850" t="str">
        <f>"39.512812"</f>
        <v>39.512812</v>
      </c>
      <c r="R850" t="str">
        <f>"20.259514"</f>
        <v>20.259514</v>
      </c>
      <c r="S850" t="s">
        <v>26</v>
      </c>
    </row>
    <row r="851" spans="1:19" x14ac:dyDescent="0.3">
      <c r="A851" t="s">
        <v>18804</v>
      </c>
      <c r="B851" t="s">
        <v>18964</v>
      </c>
      <c r="C851" t="s">
        <v>18995</v>
      </c>
      <c r="D851" t="s">
        <v>18811</v>
      </c>
      <c r="E851" t="s">
        <v>18812</v>
      </c>
      <c r="F851" t="s">
        <v>18813</v>
      </c>
      <c r="G851" t="s">
        <v>18812</v>
      </c>
      <c r="H851" t="s">
        <v>51</v>
      </c>
      <c r="I851" t="s">
        <v>52</v>
      </c>
      <c r="J851" t="str">
        <f>"1801010"</f>
        <v>1801010</v>
      </c>
      <c r="K851">
        <v>2665022562</v>
      </c>
      <c r="L851">
        <v>2665024499</v>
      </c>
      <c r="M851" t="s">
        <v>18996</v>
      </c>
      <c r="N851" t="s">
        <v>18997</v>
      </c>
      <c r="O851" t="s">
        <v>18998</v>
      </c>
      <c r="P851">
        <v>46100</v>
      </c>
      <c r="Q851" t="str">
        <f>"39.506901"</f>
        <v>39.506901</v>
      </c>
      <c r="R851" t="str">
        <f>"20.264906"</f>
        <v>20.264906</v>
      </c>
      <c r="S851" t="s">
        <v>26</v>
      </c>
    </row>
    <row r="852" spans="1:19" x14ac:dyDescent="0.3">
      <c r="A852" t="s">
        <v>18804</v>
      </c>
      <c r="B852" t="s">
        <v>18964</v>
      </c>
      <c r="C852" t="s">
        <v>19000</v>
      </c>
      <c r="D852" t="s">
        <v>18811</v>
      </c>
      <c r="E852" t="s">
        <v>18812</v>
      </c>
      <c r="F852" t="s">
        <v>18999</v>
      </c>
      <c r="G852" t="s">
        <v>18999</v>
      </c>
      <c r="H852" t="s">
        <v>51</v>
      </c>
      <c r="I852" t="s">
        <v>52</v>
      </c>
      <c r="J852" t="str">
        <f>"1804010"</f>
        <v>1804010</v>
      </c>
      <c r="K852">
        <v>2665094323</v>
      </c>
      <c r="L852">
        <v>2665094390</v>
      </c>
      <c r="M852" t="s">
        <v>19001</v>
      </c>
      <c r="N852" t="s">
        <v>19002</v>
      </c>
      <c r="O852" t="s">
        <v>19003</v>
      </c>
      <c r="P852">
        <v>46030</v>
      </c>
      <c r="Q852" t="str">
        <f>"39.356161"</f>
        <v>39.356161</v>
      </c>
      <c r="R852" t="str">
        <f>"20.438320"</f>
        <v>20.438320</v>
      </c>
      <c r="S852" t="s">
        <v>26</v>
      </c>
    </row>
    <row r="853" spans="1:19" x14ac:dyDescent="0.3">
      <c r="A853" t="s">
        <v>18804</v>
      </c>
      <c r="B853" t="s">
        <v>18964</v>
      </c>
      <c r="C853" t="s">
        <v>19011</v>
      </c>
      <c r="D853" t="s">
        <v>18811</v>
      </c>
      <c r="E853" t="s">
        <v>16264</v>
      </c>
      <c r="F853" t="s">
        <v>18976</v>
      </c>
      <c r="G853" t="s">
        <v>18976</v>
      </c>
      <c r="H853" t="s">
        <v>51</v>
      </c>
      <c r="I853" t="s">
        <v>52</v>
      </c>
      <c r="J853" t="str">
        <f>"1802010"</f>
        <v>1802010</v>
      </c>
      <c r="K853">
        <v>2666022277</v>
      </c>
      <c r="L853">
        <v>2666022277</v>
      </c>
      <c r="M853" t="s">
        <v>19012</v>
      </c>
      <c r="N853" t="s">
        <v>19013</v>
      </c>
      <c r="O853" t="s">
        <v>18979</v>
      </c>
      <c r="P853">
        <v>46200</v>
      </c>
      <c r="Q853" t="str">
        <f>"39.459552"</f>
        <v>39.459552</v>
      </c>
      <c r="R853" t="str">
        <f>"20.514522"</f>
        <v>20.514522</v>
      </c>
      <c r="S853" t="s">
        <v>26</v>
      </c>
    </row>
    <row r="854" spans="1:19" x14ac:dyDescent="0.3">
      <c r="A854" t="s">
        <v>18804</v>
      </c>
      <c r="B854" t="s">
        <v>18964</v>
      </c>
      <c r="C854" t="s">
        <v>19016</v>
      </c>
      <c r="D854" t="s">
        <v>18811</v>
      </c>
      <c r="E854" t="s">
        <v>18812</v>
      </c>
      <c r="F854" t="s">
        <v>19014</v>
      </c>
      <c r="G854" t="s">
        <v>19015</v>
      </c>
      <c r="H854" t="s">
        <v>51</v>
      </c>
      <c r="I854" t="s">
        <v>52</v>
      </c>
      <c r="J854" t="str">
        <f>"1802050"</f>
        <v>1802050</v>
      </c>
      <c r="K854">
        <v>2665071363</v>
      </c>
      <c r="L854">
        <v>2665071363</v>
      </c>
      <c r="M854" t="s">
        <v>19017</v>
      </c>
      <c r="N854" t="s">
        <v>19018</v>
      </c>
      <c r="O854" t="s">
        <v>19019</v>
      </c>
      <c r="P854">
        <v>46100</v>
      </c>
      <c r="Q854" t="str">
        <f>"39.454447"</f>
        <v>39.454447</v>
      </c>
      <c r="R854" t="str">
        <f>"20.283467"</f>
        <v>20.283467</v>
      </c>
      <c r="S854" t="s">
        <v>26</v>
      </c>
    </row>
    <row r="855" spans="1:19" x14ac:dyDescent="0.3">
      <c r="A855" t="s">
        <v>18804</v>
      </c>
      <c r="B855" t="s">
        <v>18964</v>
      </c>
      <c r="C855" t="s">
        <v>19022</v>
      </c>
      <c r="D855" t="s">
        <v>18811</v>
      </c>
      <c r="E855" t="s">
        <v>18981</v>
      </c>
      <c r="F855" t="s">
        <v>18981</v>
      </c>
      <c r="G855" t="s">
        <v>18981</v>
      </c>
      <c r="H855" t="s">
        <v>51</v>
      </c>
      <c r="I855" t="s">
        <v>52</v>
      </c>
      <c r="J855" t="str">
        <f>"1803010"</f>
        <v>1803010</v>
      </c>
      <c r="K855">
        <v>2664022101</v>
      </c>
      <c r="L855">
        <v>2664029035</v>
      </c>
      <c r="M855" t="s">
        <v>19023</v>
      </c>
      <c r="N855" t="s">
        <v>18985</v>
      </c>
      <c r="O855" t="s">
        <v>19024</v>
      </c>
      <c r="P855">
        <v>46300</v>
      </c>
      <c r="Q855" t="str">
        <f>"39.600508"</f>
        <v>39.600508</v>
      </c>
      <c r="R855" t="str">
        <f>"20.308150"</f>
        <v>20.308150</v>
      </c>
      <c r="S855" t="s">
        <v>26</v>
      </c>
    </row>
    <row r="856" spans="1:19" x14ac:dyDescent="0.3">
      <c r="A856" t="s">
        <v>18804</v>
      </c>
      <c r="B856" t="s">
        <v>18964</v>
      </c>
      <c r="C856" t="s">
        <v>19027</v>
      </c>
      <c r="D856" t="s">
        <v>18811</v>
      </c>
      <c r="E856" t="s">
        <v>16264</v>
      </c>
      <c r="F856" t="s">
        <v>19025</v>
      </c>
      <c r="G856" t="s">
        <v>19026</v>
      </c>
      <c r="H856" t="s">
        <v>51</v>
      </c>
      <c r="I856" t="s">
        <v>52</v>
      </c>
      <c r="J856" t="str">
        <f>"1806010"</f>
        <v>1806010</v>
      </c>
      <c r="K856">
        <v>2666041243</v>
      </c>
      <c r="L856">
        <v>2666041243</v>
      </c>
      <c r="M856" t="s">
        <v>19028</v>
      </c>
      <c r="N856" t="s">
        <v>19029</v>
      </c>
      <c r="O856" t="s">
        <v>19030</v>
      </c>
      <c r="P856">
        <v>46200</v>
      </c>
      <c r="Q856" t="str">
        <f>"39.359487"</f>
        <v>39.359487</v>
      </c>
      <c r="R856" t="str">
        <f>"20.560694"</f>
        <v>20.560694</v>
      </c>
      <c r="S856" t="s">
        <v>26</v>
      </c>
    </row>
    <row r="857" spans="1:19" x14ac:dyDescent="0.3">
      <c r="A857" t="s">
        <v>18804</v>
      </c>
      <c r="B857" t="s">
        <v>18964</v>
      </c>
      <c r="C857" t="s">
        <v>19032</v>
      </c>
      <c r="D857" t="s">
        <v>18811</v>
      </c>
      <c r="E857" t="s">
        <v>16264</v>
      </c>
      <c r="F857" t="s">
        <v>18976</v>
      </c>
      <c r="G857" t="s">
        <v>13744</v>
      </c>
      <c r="H857" t="s">
        <v>51</v>
      </c>
      <c r="I857" t="s">
        <v>52</v>
      </c>
      <c r="J857" t="str">
        <f>"1805010"</f>
        <v>1805010</v>
      </c>
      <c r="K857">
        <v>2666031323</v>
      </c>
      <c r="L857">
        <v>2666031323</v>
      </c>
      <c r="M857" t="s">
        <v>19033</v>
      </c>
      <c r="N857" t="s">
        <v>19034</v>
      </c>
      <c r="O857" t="s">
        <v>19034</v>
      </c>
      <c r="P857">
        <v>46200</v>
      </c>
      <c r="Q857" t="str">
        <f>"39.522147"</f>
        <v>39.522147</v>
      </c>
      <c r="R857" t="str">
        <f>"20.428647"</f>
        <v>20.428647</v>
      </c>
      <c r="S857" t="s">
        <v>26</v>
      </c>
    </row>
    <row r="858" spans="1:19" x14ac:dyDescent="0.3">
      <c r="A858" t="s">
        <v>18804</v>
      </c>
      <c r="B858" t="s">
        <v>18964</v>
      </c>
      <c r="C858" t="s">
        <v>19050</v>
      </c>
      <c r="D858" t="s">
        <v>18811</v>
      </c>
      <c r="E858" t="s">
        <v>18812</v>
      </c>
      <c r="F858" t="s">
        <v>12024</v>
      </c>
      <c r="G858" t="s">
        <v>12024</v>
      </c>
      <c r="H858" t="s">
        <v>51</v>
      </c>
      <c r="I858" t="s">
        <v>52</v>
      </c>
      <c r="J858" t="str">
        <f>"1804090"</f>
        <v>1804090</v>
      </c>
      <c r="K858">
        <v>2665091302</v>
      </c>
      <c r="L858">
        <v>2665091302</v>
      </c>
      <c r="M858" t="s">
        <v>19051</v>
      </c>
      <c r="N858" t="s">
        <v>19052</v>
      </c>
      <c r="O858" t="s">
        <v>19052</v>
      </c>
      <c r="P858">
        <v>46100</v>
      </c>
      <c r="Q858" t="str">
        <f>"39.371742"</f>
        <v>39.371742</v>
      </c>
      <c r="R858" t="str">
        <f>"20.303861"</f>
        <v>20.303861</v>
      </c>
      <c r="S858" t="s">
        <v>26</v>
      </c>
    </row>
    <row r="859" spans="1:19" x14ac:dyDescent="0.3">
      <c r="A859" t="s">
        <v>18804</v>
      </c>
      <c r="B859" t="s">
        <v>18964</v>
      </c>
      <c r="C859" t="s">
        <v>19057</v>
      </c>
      <c r="D859" t="s">
        <v>18811</v>
      </c>
      <c r="E859" t="s">
        <v>18812</v>
      </c>
      <c r="F859" t="s">
        <v>18813</v>
      </c>
      <c r="G859" t="s">
        <v>18965</v>
      </c>
      <c r="H859" t="s">
        <v>51</v>
      </c>
      <c r="I859" t="s">
        <v>199</v>
      </c>
      <c r="J859" t="str">
        <f>"1811201"</f>
        <v>1811201</v>
      </c>
      <c r="K859">
        <v>2665027858</v>
      </c>
      <c r="L859">
        <v>2665027858</v>
      </c>
      <c r="M859" t="s">
        <v>19058</v>
      </c>
      <c r="N859" t="s">
        <v>18968</v>
      </c>
      <c r="O859" t="s">
        <v>19059</v>
      </c>
      <c r="P859">
        <v>46100</v>
      </c>
      <c r="Q859" t="str">
        <f>"39.523488"</f>
        <v>39.523488</v>
      </c>
      <c r="R859" t="str">
        <f>"20.255496"</f>
        <v>20.255496</v>
      </c>
      <c r="S859" t="s">
        <v>26</v>
      </c>
    </row>
    <row r="860" spans="1:19" x14ac:dyDescent="0.3">
      <c r="A860" t="s">
        <v>18804</v>
      </c>
      <c r="B860" t="s">
        <v>19060</v>
      </c>
      <c r="C860" t="s">
        <v>19064</v>
      </c>
      <c r="D860" t="s">
        <v>18818</v>
      </c>
      <c r="E860" t="s">
        <v>19061</v>
      </c>
      <c r="F860" t="s">
        <v>19062</v>
      </c>
      <c r="G860" t="s">
        <v>19063</v>
      </c>
      <c r="H860" t="s">
        <v>51</v>
      </c>
      <c r="I860" t="s">
        <v>52</v>
      </c>
      <c r="J860" t="str">
        <f>"2003010"</f>
        <v>2003010</v>
      </c>
      <c r="K860">
        <v>2653042069</v>
      </c>
      <c r="L860">
        <v>2653042069</v>
      </c>
      <c r="M860" t="s">
        <v>19065</v>
      </c>
      <c r="N860" t="s">
        <v>19066</v>
      </c>
      <c r="O860" t="s">
        <v>19067</v>
      </c>
      <c r="P860">
        <v>44004</v>
      </c>
      <c r="Q860" t="str">
        <f>"39.902838"</f>
        <v>39.902838</v>
      </c>
      <c r="R860" t="str">
        <f>"20.578438"</f>
        <v>20.578438</v>
      </c>
      <c r="S860" t="s">
        <v>26</v>
      </c>
    </row>
    <row r="861" spans="1:19" x14ac:dyDescent="0.3">
      <c r="A861" t="s">
        <v>18804</v>
      </c>
      <c r="B861" t="s">
        <v>19060</v>
      </c>
      <c r="C861" t="s">
        <v>19069</v>
      </c>
      <c r="D861" t="s">
        <v>18818</v>
      </c>
      <c r="E861" t="s">
        <v>18819</v>
      </c>
      <c r="F861" t="s">
        <v>18819</v>
      </c>
      <c r="G861" t="s">
        <v>18819</v>
      </c>
      <c r="H861" t="s">
        <v>51</v>
      </c>
      <c r="I861" t="s">
        <v>52</v>
      </c>
      <c r="J861" t="str">
        <f>"2001079"</f>
        <v>2001079</v>
      </c>
      <c r="K861">
        <v>2651047700</v>
      </c>
      <c r="L861">
        <v>2651047700</v>
      </c>
      <c r="M861" t="s">
        <v>19070</v>
      </c>
      <c r="N861" t="s">
        <v>19071</v>
      </c>
      <c r="O861" t="s">
        <v>19071</v>
      </c>
      <c r="P861">
        <v>45500</v>
      </c>
      <c r="Q861" t="str">
        <f>"39.651846"</f>
        <v>39.651846</v>
      </c>
      <c r="R861" t="str">
        <f>"20.821300"</f>
        <v>20.821300</v>
      </c>
      <c r="S861" t="s">
        <v>26</v>
      </c>
    </row>
    <row r="862" spans="1:19" x14ac:dyDescent="0.3">
      <c r="A862" t="s">
        <v>18804</v>
      </c>
      <c r="B862" t="s">
        <v>19060</v>
      </c>
      <c r="C862" t="s">
        <v>19078</v>
      </c>
      <c r="D862" t="s">
        <v>18818</v>
      </c>
      <c r="E862" t="s">
        <v>19073</v>
      </c>
      <c r="F862" t="s">
        <v>19073</v>
      </c>
      <c r="G862" t="s">
        <v>19073</v>
      </c>
      <c r="H862" t="s">
        <v>51</v>
      </c>
      <c r="I862" t="s">
        <v>52</v>
      </c>
      <c r="J862" t="str">
        <f>"2005010"</f>
        <v>2005010</v>
      </c>
      <c r="K862">
        <v>2656041229</v>
      </c>
      <c r="L862">
        <v>2656042884</v>
      </c>
      <c r="M862" t="s">
        <v>19079</v>
      </c>
      <c r="N862" t="s">
        <v>19080</v>
      </c>
      <c r="O862" t="s">
        <v>19081</v>
      </c>
      <c r="P862">
        <v>44200</v>
      </c>
      <c r="Q862" t="str">
        <f>"39.771832"</f>
        <v>39.771832</v>
      </c>
      <c r="R862" t="str">
        <f>"21.182901"</f>
        <v>21.182901</v>
      </c>
      <c r="S862" t="s">
        <v>26</v>
      </c>
    </row>
    <row r="863" spans="1:19" x14ac:dyDescent="0.3">
      <c r="A863" t="s">
        <v>18804</v>
      </c>
      <c r="B863" t="s">
        <v>19060</v>
      </c>
      <c r="C863" t="s">
        <v>19084</v>
      </c>
      <c r="D863" t="s">
        <v>18818</v>
      </c>
      <c r="E863" t="s">
        <v>19061</v>
      </c>
      <c r="F863" t="s">
        <v>19082</v>
      </c>
      <c r="G863" t="s">
        <v>19083</v>
      </c>
      <c r="H863" t="s">
        <v>51</v>
      </c>
      <c r="I863" t="s">
        <v>52</v>
      </c>
      <c r="J863" t="str">
        <f>"2003020"</f>
        <v>2003020</v>
      </c>
      <c r="K863">
        <v>2653031306</v>
      </c>
      <c r="L863">
        <v>2653031306</v>
      </c>
      <c r="M863" t="s">
        <v>19085</v>
      </c>
      <c r="N863" t="s">
        <v>19086</v>
      </c>
      <c r="O863" t="s">
        <v>19087</v>
      </c>
      <c r="P863">
        <v>44004</v>
      </c>
      <c r="Q863" t="str">
        <f>"39.860907"</f>
        <v>39.860907</v>
      </c>
      <c r="R863" t="str">
        <f>"20.572160"</f>
        <v>20.572160</v>
      </c>
      <c r="S863" t="s">
        <v>26</v>
      </c>
    </row>
    <row r="864" spans="1:19" x14ac:dyDescent="0.3">
      <c r="A864" t="s">
        <v>18804</v>
      </c>
      <c r="B864" t="s">
        <v>19060</v>
      </c>
      <c r="C864" t="s">
        <v>19101</v>
      </c>
      <c r="D864" t="s">
        <v>18818</v>
      </c>
      <c r="E864" t="s">
        <v>18819</v>
      </c>
      <c r="F864" t="s">
        <v>18819</v>
      </c>
      <c r="G864" t="s">
        <v>18819</v>
      </c>
      <c r="H864" t="s">
        <v>51</v>
      </c>
      <c r="I864" t="s">
        <v>52</v>
      </c>
      <c r="J864" t="str">
        <f>"2001077"</f>
        <v>2001077</v>
      </c>
      <c r="K864">
        <v>2651035951</v>
      </c>
      <c r="L864">
        <v>2651022729</v>
      </c>
      <c r="M864" t="s">
        <v>19102</v>
      </c>
      <c r="N864" t="s">
        <v>18822</v>
      </c>
      <c r="O864" t="s">
        <v>19103</v>
      </c>
      <c r="P864">
        <v>45333</v>
      </c>
      <c r="Q864" t="str">
        <f>"39.675220"</f>
        <v>39.675220</v>
      </c>
      <c r="R864" t="str">
        <f>"20.839692"</f>
        <v>20.839692</v>
      </c>
      <c r="S864" t="s">
        <v>26</v>
      </c>
    </row>
    <row r="865" spans="1:19" x14ac:dyDescent="0.3">
      <c r="A865" t="s">
        <v>18804</v>
      </c>
      <c r="B865" t="s">
        <v>19060</v>
      </c>
      <c r="C865" t="s">
        <v>19113</v>
      </c>
      <c r="D865" t="s">
        <v>18818</v>
      </c>
      <c r="E865" t="s">
        <v>19111</v>
      </c>
      <c r="F865" t="s">
        <v>19111</v>
      </c>
      <c r="G865" t="s">
        <v>19112</v>
      </c>
      <c r="H865" t="s">
        <v>51</v>
      </c>
      <c r="I865" t="s">
        <v>89</v>
      </c>
      <c r="J865" t="str">
        <f>"2006010"</f>
        <v>2006010</v>
      </c>
      <c r="K865">
        <v>2658022188</v>
      </c>
      <c r="L865">
        <v>2658022188</v>
      </c>
      <c r="M865" t="s">
        <v>19114</v>
      </c>
      <c r="N865" t="s">
        <v>19115</v>
      </c>
      <c r="O865" t="s">
        <v>19116</v>
      </c>
      <c r="P865">
        <v>44003</v>
      </c>
      <c r="Q865" t="str">
        <f>"39.754604"</f>
        <v>39.754604</v>
      </c>
      <c r="R865" t="str">
        <f>"20.649482"</f>
        <v>20.649482</v>
      </c>
      <c r="S865" t="s">
        <v>26</v>
      </c>
    </row>
    <row r="866" spans="1:19" x14ac:dyDescent="0.3">
      <c r="A866" t="s">
        <v>18804</v>
      </c>
      <c r="B866" t="s">
        <v>19060</v>
      </c>
      <c r="C866" t="s">
        <v>19197</v>
      </c>
      <c r="D866" t="s">
        <v>18818</v>
      </c>
      <c r="E866" t="s">
        <v>19111</v>
      </c>
      <c r="F866" t="s">
        <v>19138</v>
      </c>
      <c r="G866" t="s">
        <v>19139</v>
      </c>
      <c r="H866" t="s">
        <v>51</v>
      </c>
      <c r="I866" t="s">
        <v>52</v>
      </c>
      <c r="J866" t="str">
        <f>"2014010"</f>
        <v>2014010</v>
      </c>
      <c r="K866">
        <v>2651061491</v>
      </c>
      <c r="L866">
        <v>2651063653</v>
      </c>
      <c r="M866" t="s">
        <v>19198</v>
      </c>
      <c r="N866" t="s">
        <v>19199</v>
      </c>
      <c r="O866" t="s">
        <v>18524</v>
      </c>
      <c r="P866">
        <v>45500</v>
      </c>
      <c r="Q866" t="str">
        <f>"39.701089"</f>
        <v>39.701089</v>
      </c>
      <c r="R866" t="str">
        <f>"20.788141"</f>
        <v>20.788141</v>
      </c>
      <c r="S866" t="s">
        <v>26</v>
      </c>
    </row>
    <row r="867" spans="1:19" x14ac:dyDescent="0.3">
      <c r="A867" t="s">
        <v>18804</v>
      </c>
      <c r="B867" t="s">
        <v>19060</v>
      </c>
      <c r="C867" t="s">
        <v>19200</v>
      </c>
      <c r="D867" t="s">
        <v>18818</v>
      </c>
      <c r="E867" t="s">
        <v>19111</v>
      </c>
      <c r="F867" t="s">
        <v>8986</v>
      </c>
      <c r="G867" t="s">
        <v>4928</v>
      </c>
      <c r="H867" t="s">
        <v>51</v>
      </c>
      <c r="I867" t="s">
        <v>52</v>
      </c>
      <c r="J867" t="str">
        <f>"2015090"</f>
        <v>2015090</v>
      </c>
      <c r="K867">
        <v>2653022326</v>
      </c>
      <c r="L867">
        <v>2653022326</v>
      </c>
      <c r="M867" t="s">
        <v>19201</v>
      </c>
      <c r="O867" t="s">
        <v>19202</v>
      </c>
      <c r="P867">
        <v>45500</v>
      </c>
      <c r="Q867" t="str">
        <f>"39.792178"</f>
        <v>39.792178</v>
      </c>
      <c r="R867" t="str">
        <f>"20.736080"</f>
        <v>20.736080</v>
      </c>
      <c r="S867" t="s">
        <v>26</v>
      </c>
    </row>
    <row r="868" spans="1:19" x14ac:dyDescent="0.3">
      <c r="A868" t="s">
        <v>18804</v>
      </c>
      <c r="B868" t="s">
        <v>19060</v>
      </c>
      <c r="C868" t="s">
        <v>19204</v>
      </c>
      <c r="D868" t="s">
        <v>18818</v>
      </c>
      <c r="E868" t="s">
        <v>18819</v>
      </c>
      <c r="F868" t="s">
        <v>19179</v>
      </c>
      <c r="G868" t="s">
        <v>19179</v>
      </c>
      <c r="H868" t="s">
        <v>51</v>
      </c>
      <c r="I868" t="s">
        <v>52</v>
      </c>
      <c r="J868" t="str">
        <f>"2001060"</f>
        <v>2001060</v>
      </c>
      <c r="K868">
        <v>2651047544</v>
      </c>
      <c r="L868">
        <v>2651047544</v>
      </c>
      <c r="M868" t="s">
        <v>19205</v>
      </c>
      <c r="N868" t="s">
        <v>19206</v>
      </c>
      <c r="O868" t="s">
        <v>19207</v>
      </c>
      <c r="P868">
        <v>45222</v>
      </c>
      <c r="Q868" t="str">
        <f>"39.634624"</f>
        <v>39.634624</v>
      </c>
      <c r="R868" t="str">
        <f>"20.867088"</f>
        <v>20.867088</v>
      </c>
      <c r="S868" t="s">
        <v>26</v>
      </c>
    </row>
    <row r="869" spans="1:19" x14ac:dyDescent="0.3">
      <c r="A869" t="s">
        <v>18804</v>
      </c>
      <c r="B869" t="s">
        <v>19060</v>
      </c>
      <c r="C869" t="s">
        <v>19210</v>
      </c>
      <c r="D869" t="s">
        <v>18818</v>
      </c>
      <c r="E869" t="s">
        <v>19061</v>
      </c>
      <c r="F869" t="s">
        <v>19209</v>
      </c>
      <c r="G869" t="s">
        <v>19209</v>
      </c>
      <c r="H869" t="s">
        <v>51</v>
      </c>
      <c r="I869" t="s">
        <v>52</v>
      </c>
      <c r="J869" t="str">
        <f>"2009010"</f>
        <v>2009010</v>
      </c>
      <c r="K869">
        <v>2657031204</v>
      </c>
      <c r="L869">
        <v>2657031218</v>
      </c>
      <c r="M869" t="s">
        <v>19211</v>
      </c>
      <c r="N869" t="s">
        <v>19212</v>
      </c>
      <c r="O869" t="s">
        <v>19213</v>
      </c>
      <c r="P869">
        <v>44005</v>
      </c>
      <c r="Q869" t="str">
        <f>"40.001694"</f>
        <v>40.001694</v>
      </c>
      <c r="R869" t="str">
        <f>"20.422627"</f>
        <v>20.422627</v>
      </c>
      <c r="S869" t="s">
        <v>26</v>
      </c>
    </row>
    <row r="870" spans="1:19" x14ac:dyDescent="0.3">
      <c r="A870" t="s">
        <v>18804</v>
      </c>
      <c r="B870" t="s">
        <v>19060</v>
      </c>
      <c r="C870" t="s">
        <v>19216</v>
      </c>
      <c r="D870" t="s">
        <v>18818</v>
      </c>
      <c r="E870" t="s">
        <v>19061</v>
      </c>
      <c r="F870" t="s">
        <v>19215</v>
      </c>
      <c r="G870" t="s">
        <v>19215</v>
      </c>
      <c r="H870" t="s">
        <v>51</v>
      </c>
      <c r="I870" t="s">
        <v>52</v>
      </c>
      <c r="J870" t="str">
        <f>"2011010"</f>
        <v>2011010</v>
      </c>
      <c r="K870">
        <v>2657022033</v>
      </c>
      <c r="L870">
        <v>2657022363</v>
      </c>
      <c r="M870" t="s">
        <v>19217</v>
      </c>
      <c r="N870" t="s">
        <v>18822</v>
      </c>
      <c r="O870" t="s">
        <v>19218</v>
      </c>
      <c r="P870">
        <v>44002</v>
      </c>
      <c r="Q870" t="str">
        <f>"39.932295"</f>
        <v>39.932295</v>
      </c>
      <c r="R870" t="str">
        <f>"20.459753"</f>
        <v>20.459753</v>
      </c>
      <c r="S870" t="s">
        <v>26</v>
      </c>
    </row>
    <row r="871" spans="1:19" x14ac:dyDescent="0.3">
      <c r="A871" t="s">
        <v>18804</v>
      </c>
      <c r="B871" t="s">
        <v>19060</v>
      </c>
      <c r="C871" t="s">
        <v>19219</v>
      </c>
      <c r="D871" t="s">
        <v>18818</v>
      </c>
      <c r="E871" t="s">
        <v>18819</v>
      </c>
      <c r="F871" t="s">
        <v>18819</v>
      </c>
      <c r="G871" t="s">
        <v>18819</v>
      </c>
      <c r="H871" t="s">
        <v>51</v>
      </c>
      <c r="I871" t="s">
        <v>52</v>
      </c>
      <c r="J871" t="str">
        <f>"2001073"</f>
        <v>2001073</v>
      </c>
      <c r="K871">
        <v>2651043388</v>
      </c>
      <c r="L871">
        <v>2651043390</v>
      </c>
      <c r="M871" t="s">
        <v>19220</v>
      </c>
      <c r="N871" t="s">
        <v>18822</v>
      </c>
      <c r="O871" t="s">
        <v>19221</v>
      </c>
      <c r="P871">
        <v>45221</v>
      </c>
      <c r="Q871" t="str">
        <f>"39.654940"</f>
        <v>39.654940</v>
      </c>
      <c r="R871" t="str">
        <f>"20.851971"</f>
        <v>20.851971</v>
      </c>
      <c r="S871" t="s">
        <v>26</v>
      </c>
    </row>
    <row r="872" spans="1:19" x14ac:dyDescent="0.3">
      <c r="A872" t="s">
        <v>18804</v>
      </c>
      <c r="B872" t="s">
        <v>19060</v>
      </c>
      <c r="C872" t="s">
        <v>19222</v>
      </c>
      <c r="D872" t="s">
        <v>18818</v>
      </c>
      <c r="E872" t="s">
        <v>18819</v>
      </c>
      <c r="F872" t="s">
        <v>18819</v>
      </c>
      <c r="G872" t="s">
        <v>18819</v>
      </c>
      <c r="H872" t="s">
        <v>51</v>
      </c>
      <c r="I872" t="s">
        <v>52</v>
      </c>
      <c r="J872" t="str">
        <f>"2001021"</f>
        <v>2001021</v>
      </c>
      <c r="K872">
        <v>2651022728</v>
      </c>
      <c r="L872">
        <v>2651030818</v>
      </c>
      <c r="M872" t="s">
        <v>19223</v>
      </c>
      <c r="N872" t="s">
        <v>18822</v>
      </c>
      <c r="O872" t="s">
        <v>19224</v>
      </c>
      <c r="P872">
        <v>45333</v>
      </c>
      <c r="Q872" t="str">
        <f>"39.675550"</f>
        <v>39.675550</v>
      </c>
      <c r="R872" t="str">
        <f>"20.839296"</f>
        <v>20.839296</v>
      </c>
      <c r="S872" t="s">
        <v>26</v>
      </c>
    </row>
    <row r="873" spans="1:19" x14ac:dyDescent="0.3">
      <c r="A873" t="s">
        <v>18804</v>
      </c>
      <c r="B873" t="s">
        <v>19060</v>
      </c>
      <c r="C873" t="s">
        <v>19225</v>
      </c>
      <c r="D873" t="s">
        <v>18818</v>
      </c>
      <c r="E873" t="s">
        <v>18819</v>
      </c>
      <c r="F873" t="s">
        <v>6203</v>
      </c>
      <c r="G873" t="s">
        <v>1291</v>
      </c>
      <c r="H873" t="s">
        <v>51</v>
      </c>
      <c r="I873" t="s">
        <v>52</v>
      </c>
      <c r="J873" t="str">
        <f>"2015010"</f>
        <v>2015010</v>
      </c>
      <c r="K873">
        <v>2651081777</v>
      </c>
      <c r="L873">
        <v>2651081867</v>
      </c>
      <c r="M873" t="s">
        <v>19226</v>
      </c>
      <c r="N873" t="s">
        <v>19227</v>
      </c>
      <c r="O873" t="s">
        <v>19228</v>
      </c>
      <c r="P873">
        <v>45500</v>
      </c>
      <c r="Q873" t="str">
        <f>"39.692877"</f>
        <v>39.692877</v>
      </c>
      <c r="R873" t="str">
        <f>"20.847488"</f>
        <v>20.847488</v>
      </c>
      <c r="S873" t="s">
        <v>26</v>
      </c>
    </row>
    <row r="874" spans="1:19" x14ac:dyDescent="0.3">
      <c r="A874" t="s">
        <v>18804</v>
      </c>
      <c r="B874" t="s">
        <v>19060</v>
      </c>
      <c r="C874" t="s">
        <v>19232</v>
      </c>
      <c r="D874" t="s">
        <v>18818</v>
      </c>
      <c r="E874" t="s">
        <v>19073</v>
      </c>
      <c r="F874" t="s">
        <v>19230</v>
      </c>
      <c r="G874" t="s">
        <v>19231</v>
      </c>
      <c r="H874" t="s">
        <v>51</v>
      </c>
      <c r="I874" t="s">
        <v>89</v>
      </c>
      <c r="J874" t="str">
        <f>"2017010"</f>
        <v>2017010</v>
      </c>
      <c r="K874">
        <v>2656022294</v>
      </c>
      <c r="L874">
        <v>2656022294</v>
      </c>
      <c r="M874" t="s">
        <v>19233</v>
      </c>
      <c r="N874" t="s">
        <v>14985</v>
      </c>
      <c r="O874" t="s">
        <v>19234</v>
      </c>
      <c r="P874">
        <v>44200</v>
      </c>
      <c r="Q874" t="str">
        <f>"39.764847"</f>
        <v>39.764847</v>
      </c>
      <c r="R874" t="str">
        <f>"21.092698"</f>
        <v>21.092698</v>
      </c>
      <c r="S874" t="s">
        <v>26</v>
      </c>
    </row>
    <row r="875" spans="1:19" x14ac:dyDescent="0.3">
      <c r="A875" t="s">
        <v>18804</v>
      </c>
      <c r="B875" t="s">
        <v>19060</v>
      </c>
      <c r="C875" t="s">
        <v>19236</v>
      </c>
      <c r="D875" t="s">
        <v>18818</v>
      </c>
      <c r="E875" t="s">
        <v>18819</v>
      </c>
      <c r="F875" t="s">
        <v>18819</v>
      </c>
      <c r="G875" t="s">
        <v>18819</v>
      </c>
      <c r="H875" t="s">
        <v>51</v>
      </c>
      <c r="I875" t="s">
        <v>3708</v>
      </c>
      <c r="J875" t="str">
        <f>"2001030"</f>
        <v>2001030</v>
      </c>
      <c r="K875">
        <v>2651043141</v>
      </c>
      <c r="L875">
        <v>2651043274</v>
      </c>
      <c r="M875" t="s">
        <v>19237</v>
      </c>
      <c r="N875" t="s">
        <v>18822</v>
      </c>
      <c r="O875" t="s">
        <v>19238</v>
      </c>
      <c r="P875">
        <v>45332</v>
      </c>
      <c r="Q875" t="str">
        <f>"39.654373"</f>
        <v>39.654373</v>
      </c>
      <c r="R875" t="str">
        <f>"20.846319"</f>
        <v>20.846319</v>
      </c>
      <c r="S875" t="s">
        <v>26</v>
      </c>
    </row>
    <row r="876" spans="1:19" x14ac:dyDescent="0.3">
      <c r="A876" t="s">
        <v>18804</v>
      </c>
      <c r="B876" t="s">
        <v>19060</v>
      </c>
      <c r="C876" t="s">
        <v>19240</v>
      </c>
      <c r="D876" t="s">
        <v>18818</v>
      </c>
      <c r="E876" t="s">
        <v>18819</v>
      </c>
      <c r="F876" t="s">
        <v>18819</v>
      </c>
      <c r="G876" t="s">
        <v>18819</v>
      </c>
      <c r="H876" t="s">
        <v>51</v>
      </c>
      <c r="I876" t="s">
        <v>184</v>
      </c>
      <c r="J876" t="str">
        <f>"2001050"</f>
        <v>2001050</v>
      </c>
      <c r="K876">
        <v>2651022320</v>
      </c>
      <c r="L876">
        <v>2651022320</v>
      </c>
      <c r="M876" t="s">
        <v>19241</v>
      </c>
      <c r="N876" t="s">
        <v>18818</v>
      </c>
      <c r="O876" t="s">
        <v>19242</v>
      </c>
      <c r="P876">
        <v>45332</v>
      </c>
      <c r="Q876" t="str">
        <f>"39.665545"</f>
        <v>39.665545</v>
      </c>
      <c r="R876" t="str">
        <f>"20.850297"</f>
        <v>20.850297</v>
      </c>
      <c r="S876" t="s">
        <v>26</v>
      </c>
    </row>
    <row r="877" spans="1:19" x14ac:dyDescent="0.3">
      <c r="A877" t="s">
        <v>18804</v>
      </c>
      <c r="B877" t="s">
        <v>19060</v>
      </c>
      <c r="C877" t="s">
        <v>19244</v>
      </c>
      <c r="D877" t="s">
        <v>18818</v>
      </c>
      <c r="E877" t="s">
        <v>18819</v>
      </c>
      <c r="F877" t="s">
        <v>18819</v>
      </c>
      <c r="G877" t="s">
        <v>18819</v>
      </c>
      <c r="H877" t="s">
        <v>51</v>
      </c>
      <c r="I877" t="s">
        <v>52</v>
      </c>
      <c r="J877" t="str">
        <f>"2001070"</f>
        <v>2001070</v>
      </c>
      <c r="K877">
        <v>2651036231</v>
      </c>
      <c r="L877">
        <v>2651038065</v>
      </c>
      <c r="M877" t="s">
        <v>19245</v>
      </c>
      <c r="N877" t="s">
        <v>18822</v>
      </c>
      <c r="O877" t="s">
        <v>19246</v>
      </c>
      <c r="P877">
        <v>45221</v>
      </c>
      <c r="Q877" t="str">
        <f>"39.657245"</f>
        <v>39.657245</v>
      </c>
      <c r="R877" t="str">
        <f>"20.859814"</f>
        <v>20.859814</v>
      </c>
      <c r="S877" t="s">
        <v>26</v>
      </c>
    </row>
    <row r="878" spans="1:19" x14ac:dyDescent="0.3">
      <c r="A878" t="s">
        <v>18804</v>
      </c>
      <c r="B878" t="s">
        <v>19060</v>
      </c>
      <c r="C878" t="s">
        <v>19247</v>
      </c>
      <c r="D878" t="s">
        <v>18818</v>
      </c>
      <c r="E878" t="s">
        <v>19105</v>
      </c>
      <c r="F878" t="s">
        <v>19105</v>
      </c>
      <c r="G878" t="s">
        <v>19106</v>
      </c>
      <c r="H878" t="s">
        <v>51</v>
      </c>
      <c r="I878" t="s">
        <v>52</v>
      </c>
      <c r="J878" t="str">
        <f>"2004010"</f>
        <v>2004010</v>
      </c>
      <c r="K878">
        <v>2655022293</v>
      </c>
      <c r="L878">
        <v>2655022293</v>
      </c>
      <c r="M878" t="s">
        <v>19248</v>
      </c>
      <c r="N878" t="s">
        <v>19249</v>
      </c>
      <c r="O878" t="s">
        <v>19177</v>
      </c>
      <c r="P878">
        <v>44100</v>
      </c>
      <c r="Q878" t="str">
        <f>"40.047355"</f>
        <v>40.047355</v>
      </c>
      <c r="R878" t="str">
        <f>"20.749440"</f>
        <v>20.749440</v>
      </c>
      <c r="S878" t="s">
        <v>26</v>
      </c>
    </row>
    <row r="879" spans="1:19" x14ac:dyDescent="0.3">
      <c r="A879" t="s">
        <v>18804</v>
      </c>
      <c r="B879" t="s">
        <v>19060</v>
      </c>
      <c r="C879" t="s">
        <v>19250</v>
      </c>
      <c r="D879" t="s">
        <v>18818</v>
      </c>
      <c r="E879" t="s">
        <v>18819</v>
      </c>
      <c r="F879" t="s">
        <v>18819</v>
      </c>
      <c r="G879" t="s">
        <v>18819</v>
      </c>
      <c r="H879" t="s">
        <v>51</v>
      </c>
      <c r="I879" t="s">
        <v>52</v>
      </c>
      <c r="J879" t="str">
        <f>"2001075"</f>
        <v>2001075</v>
      </c>
      <c r="K879">
        <v>2651077966</v>
      </c>
      <c r="L879">
        <v>2651077573</v>
      </c>
      <c r="M879" t="s">
        <v>19251</v>
      </c>
      <c r="N879" t="s">
        <v>18818</v>
      </c>
      <c r="O879" t="s">
        <v>19252</v>
      </c>
      <c r="P879">
        <v>45445</v>
      </c>
      <c r="Q879" t="str">
        <f>"39.682513"</f>
        <v>39.682513</v>
      </c>
      <c r="R879" t="str">
        <f>"20.837505"</f>
        <v>20.837505</v>
      </c>
      <c r="S879" t="s">
        <v>26</v>
      </c>
    </row>
    <row r="880" spans="1:19" x14ac:dyDescent="0.3">
      <c r="A880" t="s">
        <v>18804</v>
      </c>
      <c r="B880" t="s">
        <v>19060</v>
      </c>
      <c r="C880" t="s">
        <v>19253</v>
      </c>
      <c r="D880" t="s">
        <v>18818</v>
      </c>
      <c r="E880" t="s">
        <v>18819</v>
      </c>
      <c r="F880" t="s">
        <v>18819</v>
      </c>
      <c r="G880" t="s">
        <v>18819</v>
      </c>
      <c r="H880" t="s">
        <v>51</v>
      </c>
      <c r="I880" t="s">
        <v>52</v>
      </c>
      <c r="J880" t="str">
        <f>"2001072"</f>
        <v>2001072</v>
      </c>
      <c r="K880">
        <v>2651042392</v>
      </c>
      <c r="L880">
        <v>2651042392</v>
      </c>
      <c r="M880" t="s">
        <v>19254</v>
      </c>
      <c r="N880" t="s">
        <v>18822</v>
      </c>
      <c r="O880" t="s">
        <v>19221</v>
      </c>
      <c r="P880">
        <v>45221</v>
      </c>
      <c r="Q880" t="str">
        <f>"39.653239"</f>
        <v>39.653239</v>
      </c>
      <c r="R880" t="str">
        <f>"20.852057"</f>
        <v>20.852057</v>
      </c>
      <c r="S880" t="s">
        <v>26</v>
      </c>
    </row>
    <row r="881" spans="1:19" x14ac:dyDescent="0.3">
      <c r="A881" t="s">
        <v>18804</v>
      </c>
      <c r="B881" t="s">
        <v>19060</v>
      </c>
      <c r="C881" t="s">
        <v>19255</v>
      </c>
      <c r="D881" t="s">
        <v>18818</v>
      </c>
      <c r="E881" t="s">
        <v>18819</v>
      </c>
      <c r="F881" t="s">
        <v>18819</v>
      </c>
      <c r="G881" t="s">
        <v>18819</v>
      </c>
      <c r="H881" t="s">
        <v>51</v>
      </c>
      <c r="I881" t="s">
        <v>52</v>
      </c>
      <c r="J881" t="str">
        <f>"2001010"</f>
        <v>2001010</v>
      </c>
      <c r="K881">
        <v>2651029876</v>
      </c>
      <c r="L881">
        <v>2651030815</v>
      </c>
      <c r="M881" t="s">
        <v>19256</v>
      </c>
      <c r="N881" t="s">
        <v>18822</v>
      </c>
      <c r="O881" t="s">
        <v>19257</v>
      </c>
      <c r="P881">
        <v>45444</v>
      </c>
      <c r="Q881" t="str">
        <f>"39.669474"</f>
        <v>39.669474</v>
      </c>
      <c r="R881" t="str">
        <f>"20.851410"</f>
        <v>20.851410</v>
      </c>
      <c r="S881" t="s">
        <v>26</v>
      </c>
    </row>
    <row r="882" spans="1:19" x14ac:dyDescent="0.3">
      <c r="A882" t="s">
        <v>18804</v>
      </c>
      <c r="B882" t="s">
        <v>19060</v>
      </c>
      <c r="C882" t="s">
        <v>19258</v>
      </c>
      <c r="D882" t="s">
        <v>18818</v>
      </c>
      <c r="E882" t="s">
        <v>18819</v>
      </c>
      <c r="F882" t="s">
        <v>18819</v>
      </c>
      <c r="G882" t="s">
        <v>18819</v>
      </c>
      <c r="H882" t="s">
        <v>51</v>
      </c>
      <c r="I882" t="s">
        <v>52</v>
      </c>
      <c r="J882" t="str">
        <f>"2001078"</f>
        <v>2001078</v>
      </c>
      <c r="K882">
        <v>2651078725</v>
      </c>
      <c r="L882">
        <v>2651034583</v>
      </c>
      <c r="M882" t="s">
        <v>19259</v>
      </c>
      <c r="N882" t="s">
        <v>18822</v>
      </c>
      <c r="O882" t="s">
        <v>19260</v>
      </c>
      <c r="P882">
        <v>45500</v>
      </c>
      <c r="Q882" t="str">
        <f>"39.673290"</f>
        <v>39.673290</v>
      </c>
      <c r="R882" t="str">
        <f>"20.813863"</f>
        <v>20.813863</v>
      </c>
      <c r="S882" t="s">
        <v>26</v>
      </c>
    </row>
    <row r="883" spans="1:19" x14ac:dyDescent="0.3">
      <c r="A883" t="s">
        <v>18804</v>
      </c>
      <c r="B883" t="s">
        <v>19060</v>
      </c>
      <c r="C883" t="s">
        <v>19262</v>
      </c>
      <c r="D883" t="s">
        <v>18818</v>
      </c>
      <c r="E883" t="s">
        <v>18819</v>
      </c>
      <c r="F883" t="s">
        <v>19131</v>
      </c>
      <c r="G883" t="s">
        <v>19132</v>
      </c>
      <c r="H883" t="s">
        <v>51</v>
      </c>
      <c r="I883" t="s">
        <v>52</v>
      </c>
      <c r="J883" t="str">
        <f>"2012010"</f>
        <v>2012010</v>
      </c>
      <c r="K883">
        <v>2651091469</v>
      </c>
      <c r="L883">
        <v>2651091469</v>
      </c>
      <c r="M883" t="s">
        <v>19263</v>
      </c>
      <c r="N883" t="s">
        <v>19264</v>
      </c>
      <c r="O883" t="s">
        <v>19265</v>
      </c>
      <c r="P883">
        <v>45221</v>
      </c>
      <c r="Q883" t="str">
        <f>"39.620749"</f>
        <v>39.620749</v>
      </c>
      <c r="R883" t="str">
        <f>"20.888432"</f>
        <v>20.888432</v>
      </c>
      <c r="S883" t="s">
        <v>26</v>
      </c>
    </row>
    <row r="884" spans="1:19" x14ac:dyDescent="0.3">
      <c r="A884" t="s">
        <v>18804</v>
      </c>
      <c r="B884" t="s">
        <v>19060</v>
      </c>
      <c r="C884" t="s">
        <v>19266</v>
      </c>
      <c r="D884" t="s">
        <v>18818</v>
      </c>
      <c r="E884" t="s">
        <v>18819</v>
      </c>
      <c r="F884" t="s">
        <v>18819</v>
      </c>
      <c r="G884" t="s">
        <v>18819</v>
      </c>
      <c r="H884" t="s">
        <v>51</v>
      </c>
      <c r="I884" t="s">
        <v>52</v>
      </c>
      <c r="J884" t="str">
        <f>"2001040"</f>
        <v>2001040</v>
      </c>
      <c r="K884">
        <v>2651027802</v>
      </c>
      <c r="L884">
        <v>2651027655</v>
      </c>
      <c r="M884" t="s">
        <v>19267</v>
      </c>
      <c r="N884" t="s">
        <v>19163</v>
      </c>
      <c r="O884" t="s">
        <v>19242</v>
      </c>
      <c r="P884">
        <v>45333</v>
      </c>
      <c r="Q884" t="str">
        <f>"39.666418"</f>
        <v>39.666418</v>
      </c>
      <c r="R884" t="str">
        <f>"20.848308"</f>
        <v>20.848308</v>
      </c>
      <c r="S884" t="s">
        <v>26</v>
      </c>
    </row>
    <row r="885" spans="1:19" x14ac:dyDescent="0.3">
      <c r="A885" t="s">
        <v>18804</v>
      </c>
      <c r="B885" t="s">
        <v>19060</v>
      </c>
      <c r="C885" t="s">
        <v>19270</v>
      </c>
      <c r="D885" t="s">
        <v>18818</v>
      </c>
      <c r="E885" t="s">
        <v>19268</v>
      </c>
      <c r="F885" t="s">
        <v>19269</v>
      </c>
      <c r="G885" t="s">
        <v>19269</v>
      </c>
      <c r="H885" t="s">
        <v>51</v>
      </c>
      <c r="I885" t="s">
        <v>89</v>
      </c>
      <c r="J885" t="str">
        <f>"2007010"</f>
        <v>2007010</v>
      </c>
      <c r="K885">
        <v>2659061243</v>
      </c>
      <c r="L885">
        <v>2659061243</v>
      </c>
      <c r="M885" t="s">
        <v>19271</v>
      </c>
      <c r="N885" t="s">
        <v>19272</v>
      </c>
      <c r="O885" t="s">
        <v>19273</v>
      </c>
      <c r="P885">
        <v>44001</v>
      </c>
      <c r="Q885" t="str">
        <f>"39.525537"</f>
        <v>39.525537</v>
      </c>
      <c r="R885" t="str">
        <f>"21.101775"</f>
        <v>21.101775</v>
      </c>
      <c r="S885" t="s">
        <v>57</v>
      </c>
    </row>
    <row r="886" spans="1:19" x14ac:dyDescent="0.3">
      <c r="A886" t="s">
        <v>18804</v>
      </c>
      <c r="B886" t="s">
        <v>19060</v>
      </c>
      <c r="C886" t="s">
        <v>19277</v>
      </c>
      <c r="D886" t="s">
        <v>18818</v>
      </c>
      <c r="E886" t="s">
        <v>18819</v>
      </c>
      <c r="F886" t="s">
        <v>19275</v>
      </c>
      <c r="G886" t="s">
        <v>19276</v>
      </c>
      <c r="H886" t="s">
        <v>51</v>
      </c>
      <c r="I886" t="s">
        <v>52</v>
      </c>
      <c r="J886" t="str">
        <f>"2001061"</f>
        <v>2001061</v>
      </c>
      <c r="K886">
        <v>2651092756</v>
      </c>
      <c r="L886">
        <v>2651092756</v>
      </c>
      <c r="M886" t="s">
        <v>19278</v>
      </c>
      <c r="N886" t="s">
        <v>19279</v>
      </c>
      <c r="O886" t="s">
        <v>19279</v>
      </c>
      <c r="P886">
        <v>45500</v>
      </c>
      <c r="Q886" t="str">
        <f>"39.597962"</f>
        <v>39.597962</v>
      </c>
      <c r="R886" t="str">
        <f>"20.845770"</f>
        <v>20.845770</v>
      </c>
      <c r="S886" t="s">
        <v>26</v>
      </c>
    </row>
    <row r="887" spans="1:19" x14ac:dyDescent="0.3">
      <c r="A887" t="s">
        <v>18804</v>
      </c>
      <c r="B887" t="s">
        <v>19060</v>
      </c>
      <c r="C887" t="s">
        <v>19282</v>
      </c>
      <c r="D887" t="s">
        <v>18818</v>
      </c>
      <c r="E887" t="s">
        <v>18819</v>
      </c>
      <c r="F887" t="s">
        <v>19131</v>
      </c>
      <c r="G887" t="s">
        <v>19281</v>
      </c>
      <c r="H887" t="s">
        <v>51</v>
      </c>
      <c r="I887" t="s">
        <v>52</v>
      </c>
      <c r="J887" t="str">
        <f>"2012070"</f>
        <v>2012070</v>
      </c>
      <c r="K887">
        <v>2651055150</v>
      </c>
      <c r="M887" t="s">
        <v>19283</v>
      </c>
      <c r="O887" t="s">
        <v>19284</v>
      </c>
      <c r="P887">
        <v>45500</v>
      </c>
      <c r="Q887" t="str">
        <f>"39.588436"</f>
        <v>39.588436</v>
      </c>
      <c r="R887" t="str">
        <f>"20.913359"</f>
        <v>20.913359</v>
      </c>
      <c r="S887" t="s">
        <v>26</v>
      </c>
    </row>
    <row r="888" spans="1:19" x14ac:dyDescent="0.3">
      <c r="A888" t="s">
        <v>18804</v>
      </c>
      <c r="B888" t="s">
        <v>19060</v>
      </c>
      <c r="C888" t="s">
        <v>19286</v>
      </c>
      <c r="D888" t="s">
        <v>18818</v>
      </c>
      <c r="E888" t="s">
        <v>18819</v>
      </c>
      <c r="F888" t="s">
        <v>18819</v>
      </c>
      <c r="G888" t="s">
        <v>18819</v>
      </c>
      <c r="H888" t="s">
        <v>51</v>
      </c>
      <c r="I888" t="s">
        <v>807</v>
      </c>
      <c r="J888" t="str">
        <f>"2001020"</f>
        <v>2001020</v>
      </c>
      <c r="K888">
        <v>2651025054</v>
      </c>
      <c r="M888" t="s">
        <v>19287</v>
      </c>
      <c r="N888" t="s">
        <v>18822</v>
      </c>
      <c r="O888" t="s">
        <v>19288</v>
      </c>
      <c r="P888">
        <v>45444</v>
      </c>
      <c r="Q888" t="str">
        <f>"39.671934"</f>
        <v>39.671934</v>
      </c>
      <c r="R888" t="str">
        <f>"20.851778"</f>
        <v>20.851778</v>
      </c>
      <c r="S888" t="s">
        <v>26</v>
      </c>
    </row>
    <row r="889" spans="1:19" x14ac:dyDescent="0.3">
      <c r="A889" t="s">
        <v>18804</v>
      </c>
      <c r="B889" t="s">
        <v>19060</v>
      </c>
      <c r="C889" t="s">
        <v>19289</v>
      </c>
      <c r="D889" t="s">
        <v>18818</v>
      </c>
      <c r="E889" t="s">
        <v>18819</v>
      </c>
      <c r="F889" t="s">
        <v>18819</v>
      </c>
      <c r="G889" t="s">
        <v>18819</v>
      </c>
      <c r="H889" t="s">
        <v>51</v>
      </c>
      <c r="I889" t="s">
        <v>52</v>
      </c>
      <c r="J889" t="str">
        <f>"2001081"</f>
        <v>2001081</v>
      </c>
      <c r="K889">
        <v>2651042087</v>
      </c>
      <c r="L889">
        <v>2651047401</v>
      </c>
      <c r="M889" t="s">
        <v>19290</v>
      </c>
      <c r="N889" t="s">
        <v>19291</v>
      </c>
      <c r="O889" t="s">
        <v>19292</v>
      </c>
      <c r="P889">
        <v>45333</v>
      </c>
      <c r="Q889" t="str">
        <f>"39.649786"</f>
        <v>39.649786</v>
      </c>
      <c r="R889" t="str">
        <f>"20.844395"</f>
        <v>20.844395</v>
      </c>
      <c r="S889" t="s">
        <v>26</v>
      </c>
    </row>
    <row r="890" spans="1:19" x14ac:dyDescent="0.3">
      <c r="A890" t="s">
        <v>18804</v>
      </c>
      <c r="B890" t="s">
        <v>19060</v>
      </c>
      <c r="C890" t="s">
        <v>19295</v>
      </c>
      <c r="D890" t="s">
        <v>18818</v>
      </c>
      <c r="E890" t="s">
        <v>19111</v>
      </c>
      <c r="F890" t="s">
        <v>19293</v>
      </c>
      <c r="G890" t="s">
        <v>19294</v>
      </c>
      <c r="H890" t="s">
        <v>51</v>
      </c>
      <c r="I890" t="s">
        <v>52</v>
      </c>
      <c r="J890" t="str">
        <f>"2016090"</f>
        <v>2016090</v>
      </c>
      <c r="K890">
        <v>2658031208</v>
      </c>
      <c r="L890">
        <v>2658031208</v>
      </c>
      <c r="M890" t="s">
        <v>19296</v>
      </c>
      <c r="N890" t="s">
        <v>19297</v>
      </c>
      <c r="O890" t="s">
        <v>19298</v>
      </c>
      <c r="P890">
        <v>44017</v>
      </c>
      <c r="Q890" t="str">
        <f>"39.645915"</f>
        <v>39.645915</v>
      </c>
      <c r="R890" t="str">
        <f>"20.515834"</f>
        <v>20.515834</v>
      </c>
      <c r="S890" t="s">
        <v>26</v>
      </c>
    </row>
    <row r="891" spans="1:19" x14ac:dyDescent="0.3">
      <c r="A891" t="s">
        <v>18804</v>
      </c>
      <c r="B891" t="s">
        <v>19060</v>
      </c>
      <c r="C891" t="s">
        <v>19299</v>
      </c>
      <c r="D891" t="s">
        <v>18818</v>
      </c>
      <c r="E891" t="s">
        <v>18819</v>
      </c>
      <c r="F891" t="s">
        <v>19275</v>
      </c>
      <c r="G891" t="s">
        <v>19275</v>
      </c>
      <c r="H891" t="s">
        <v>51</v>
      </c>
      <c r="I891" t="s">
        <v>52</v>
      </c>
      <c r="J891" t="str">
        <f>"2012050"</f>
        <v>2012050</v>
      </c>
      <c r="K891">
        <v>2651092171</v>
      </c>
      <c r="L891">
        <v>2651092171</v>
      </c>
      <c r="M891" t="s">
        <v>19300</v>
      </c>
      <c r="O891" t="s">
        <v>19301</v>
      </c>
      <c r="P891">
        <v>45500</v>
      </c>
      <c r="Q891" t="str">
        <f>"39.564867"</f>
        <v>39.564867</v>
      </c>
      <c r="R891" t="str">
        <f>"20.863512"</f>
        <v>20.863512</v>
      </c>
      <c r="S891" t="s">
        <v>26</v>
      </c>
    </row>
    <row r="892" spans="1:19" x14ac:dyDescent="0.3">
      <c r="A892" t="s">
        <v>18804</v>
      </c>
      <c r="B892" t="s">
        <v>19060</v>
      </c>
      <c r="C892" t="s">
        <v>19304</v>
      </c>
      <c r="D892" t="s">
        <v>18818</v>
      </c>
      <c r="E892" t="s">
        <v>18819</v>
      </c>
      <c r="F892" t="s">
        <v>19131</v>
      </c>
      <c r="G892" t="s">
        <v>19303</v>
      </c>
      <c r="H892" t="s">
        <v>51</v>
      </c>
      <c r="I892" t="s">
        <v>52</v>
      </c>
      <c r="J892" t="str">
        <f>"2018010"</f>
        <v>2018010</v>
      </c>
      <c r="K892">
        <v>2651052170</v>
      </c>
      <c r="L892">
        <v>2651052170</v>
      </c>
      <c r="M892" t="s">
        <v>19305</v>
      </c>
      <c r="N892" t="s">
        <v>19306</v>
      </c>
      <c r="O892" t="s">
        <v>19307</v>
      </c>
      <c r="P892">
        <v>45500</v>
      </c>
      <c r="Q892" t="str">
        <f>"39.659786"</f>
        <v>39.659786</v>
      </c>
      <c r="R892" t="str">
        <f>"20.935526"</f>
        <v>20.935526</v>
      </c>
      <c r="S892" t="s">
        <v>26</v>
      </c>
    </row>
    <row r="893" spans="1:19" x14ac:dyDescent="0.3">
      <c r="A893" t="s">
        <v>18804</v>
      </c>
      <c r="B893" t="s">
        <v>19060</v>
      </c>
      <c r="C893" t="s">
        <v>19309</v>
      </c>
      <c r="D893" t="s">
        <v>18818</v>
      </c>
      <c r="E893" t="s">
        <v>18819</v>
      </c>
      <c r="F893" t="s">
        <v>18819</v>
      </c>
      <c r="G893" t="s">
        <v>18819</v>
      </c>
      <c r="H893" t="s">
        <v>51</v>
      </c>
      <c r="I893" t="s">
        <v>190</v>
      </c>
      <c r="J893" t="str">
        <f>"2001035"</f>
        <v>2001035</v>
      </c>
      <c r="K893">
        <v>2651065457</v>
      </c>
      <c r="L893">
        <v>2651065457</v>
      </c>
      <c r="M893" t="s">
        <v>19310</v>
      </c>
      <c r="N893" t="s">
        <v>18822</v>
      </c>
      <c r="O893" t="s">
        <v>19252</v>
      </c>
      <c r="P893">
        <v>45445</v>
      </c>
      <c r="Q893" t="str">
        <f>"39.683187"</f>
        <v>39.683187</v>
      </c>
      <c r="R893" t="str">
        <f>"20.837657"</f>
        <v>20.837657</v>
      </c>
      <c r="S893" t="s">
        <v>26</v>
      </c>
    </row>
    <row r="894" spans="1:19" x14ac:dyDescent="0.3">
      <c r="A894" t="s">
        <v>18804</v>
      </c>
      <c r="B894" t="s">
        <v>19060</v>
      </c>
      <c r="C894" t="s">
        <v>19311</v>
      </c>
      <c r="D894" t="s">
        <v>18818</v>
      </c>
      <c r="E894" t="s">
        <v>18819</v>
      </c>
      <c r="F894" t="s">
        <v>18819</v>
      </c>
      <c r="G894" t="s">
        <v>18819</v>
      </c>
      <c r="H894" t="s">
        <v>51</v>
      </c>
      <c r="I894" t="s">
        <v>52</v>
      </c>
      <c r="J894" t="str">
        <f>"2001071"</f>
        <v>2001071</v>
      </c>
      <c r="K894">
        <v>2651040517</v>
      </c>
      <c r="L894">
        <v>2651040924</v>
      </c>
      <c r="M894" t="s">
        <v>19312</v>
      </c>
      <c r="N894" t="s">
        <v>18822</v>
      </c>
      <c r="O894" t="s">
        <v>19221</v>
      </c>
      <c r="P894">
        <v>45221</v>
      </c>
      <c r="Q894" t="str">
        <f>"39.653974"</f>
        <v>39.653974</v>
      </c>
      <c r="R894" t="str">
        <f>"20.852057"</f>
        <v>20.852057</v>
      </c>
      <c r="S894" t="s">
        <v>26</v>
      </c>
    </row>
    <row r="895" spans="1:19" x14ac:dyDescent="0.3">
      <c r="A895" t="s">
        <v>18804</v>
      </c>
      <c r="B895" t="s">
        <v>19060</v>
      </c>
      <c r="C895" t="s">
        <v>19313</v>
      </c>
      <c r="D895" t="s">
        <v>18818</v>
      </c>
      <c r="E895" t="s">
        <v>18819</v>
      </c>
      <c r="F895" t="s">
        <v>19179</v>
      </c>
      <c r="G895" t="s">
        <v>19179</v>
      </c>
      <c r="H895" t="s">
        <v>51</v>
      </c>
      <c r="I895" t="s">
        <v>52</v>
      </c>
      <c r="J895" t="str">
        <f>"2001065"</f>
        <v>2001065</v>
      </c>
      <c r="K895">
        <v>2651047512</v>
      </c>
      <c r="L895">
        <v>2651047512</v>
      </c>
      <c r="M895" t="s">
        <v>19314</v>
      </c>
      <c r="N895" t="s">
        <v>19206</v>
      </c>
      <c r="O895" t="s">
        <v>19315</v>
      </c>
      <c r="P895">
        <v>45221</v>
      </c>
      <c r="Q895" t="str">
        <f>"39.640965"</f>
        <v>39.640965</v>
      </c>
      <c r="R895" t="str">
        <f>"20.875766"</f>
        <v>20.875766</v>
      </c>
      <c r="S895" t="s">
        <v>26</v>
      </c>
    </row>
    <row r="896" spans="1:19" x14ac:dyDescent="0.3">
      <c r="A896" t="s">
        <v>18804</v>
      </c>
      <c r="B896" t="s">
        <v>19060</v>
      </c>
      <c r="C896" t="s">
        <v>19321</v>
      </c>
      <c r="D896" t="s">
        <v>18818</v>
      </c>
      <c r="E896" t="s">
        <v>18819</v>
      </c>
      <c r="F896" t="s">
        <v>18819</v>
      </c>
      <c r="G896" t="s">
        <v>18819</v>
      </c>
      <c r="H896" t="s">
        <v>51</v>
      </c>
      <c r="I896" t="s">
        <v>199</v>
      </c>
      <c r="J896" t="str">
        <f>"2050960"</f>
        <v>2050960</v>
      </c>
      <c r="K896">
        <v>2651043339</v>
      </c>
      <c r="L896">
        <v>2651049935</v>
      </c>
      <c r="M896" t="s">
        <v>19322</v>
      </c>
      <c r="N896" t="s">
        <v>18818</v>
      </c>
      <c r="O896" t="s">
        <v>19292</v>
      </c>
      <c r="P896">
        <v>45332</v>
      </c>
      <c r="Q896" t="str">
        <f>"39.649934"</f>
        <v>39.649934</v>
      </c>
      <c r="R896" t="str">
        <f>"20.844610"</f>
        <v>20.844610</v>
      </c>
      <c r="S896" t="s">
        <v>26</v>
      </c>
    </row>
    <row r="897" spans="1:19" x14ac:dyDescent="0.3">
      <c r="A897" t="s">
        <v>18804</v>
      </c>
      <c r="B897" t="s">
        <v>19325</v>
      </c>
      <c r="C897" t="s">
        <v>19326</v>
      </c>
      <c r="D897" t="s">
        <v>18824</v>
      </c>
      <c r="E897" t="s">
        <v>18825</v>
      </c>
      <c r="F897" t="s">
        <v>18825</v>
      </c>
      <c r="G897" t="s">
        <v>18825</v>
      </c>
      <c r="H897" t="s">
        <v>51</v>
      </c>
      <c r="I897" t="s">
        <v>184</v>
      </c>
      <c r="J897" t="str">
        <f>"4001005"</f>
        <v>4001005</v>
      </c>
      <c r="K897">
        <v>2682061511</v>
      </c>
      <c r="M897" t="s">
        <v>19327</v>
      </c>
      <c r="N897" t="s">
        <v>19328</v>
      </c>
      <c r="O897" t="s">
        <v>19329</v>
      </c>
      <c r="P897">
        <v>48100</v>
      </c>
      <c r="Q897" t="str">
        <f>"38.955039"</f>
        <v>38.955039</v>
      </c>
      <c r="R897" t="str">
        <f>"20.740466"</f>
        <v>20.740466</v>
      </c>
      <c r="S897" t="s">
        <v>26</v>
      </c>
    </row>
    <row r="898" spans="1:19" x14ac:dyDescent="0.3">
      <c r="A898" t="s">
        <v>18804</v>
      </c>
      <c r="B898" t="s">
        <v>19325</v>
      </c>
      <c r="C898" t="s">
        <v>19385</v>
      </c>
      <c r="D898" t="s">
        <v>18824</v>
      </c>
      <c r="E898" t="s">
        <v>19357</v>
      </c>
      <c r="F898" t="s">
        <v>19366</v>
      </c>
      <c r="G898" t="s">
        <v>19366</v>
      </c>
      <c r="H898" t="s">
        <v>51</v>
      </c>
      <c r="I898" t="s">
        <v>52</v>
      </c>
      <c r="J898" t="str">
        <f>"4004010"</f>
        <v>4004010</v>
      </c>
      <c r="K898">
        <v>2683022284</v>
      </c>
      <c r="L898">
        <v>2683023443</v>
      </c>
      <c r="M898" t="s">
        <v>19386</v>
      </c>
      <c r="N898" t="s">
        <v>19369</v>
      </c>
      <c r="O898" t="s">
        <v>19387</v>
      </c>
      <c r="P898">
        <v>48200</v>
      </c>
      <c r="Q898" t="str">
        <f>"39.207712"</f>
        <v>39.207712</v>
      </c>
      <c r="R898" t="str">
        <f>"20.880354"</f>
        <v>20.880354</v>
      </c>
      <c r="S898" t="s">
        <v>26</v>
      </c>
    </row>
    <row r="899" spans="1:19" x14ac:dyDescent="0.3">
      <c r="A899" t="s">
        <v>18804</v>
      </c>
      <c r="B899" t="s">
        <v>19325</v>
      </c>
      <c r="C899" t="s">
        <v>19388</v>
      </c>
      <c r="D899" t="s">
        <v>18824</v>
      </c>
      <c r="E899" t="s">
        <v>19357</v>
      </c>
      <c r="F899" t="s">
        <v>19358</v>
      </c>
      <c r="G899" t="s">
        <v>19358</v>
      </c>
      <c r="H899" t="s">
        <v>51</v>
      </c>
      <c r="I899" t="s">
        <v>52</v>
      </c>
      <c r="J899" t="str">
        <f>"4002010"</f>
        <v>4002010</v>
      </c>
      <c r="K899">
        <v>2683031055</v>
      </c>
      <c r="L899">
        <v>2683031055</v>
      </c>
      <c r="M899" t="s">
        <v>19389</v>
      </c>
      <c r="N899" t="s">
        <v>19361</v>
      </c>
      <c r="O899" t="s">
        <v>19361</v>
      </c>
      <c r="P899">
        <v>48300</v>
      </c>
      <c r="Q899" t="str">
        <f>"39.256772"</f>
        <v>39.256772</v>
      </c>
      <c r="R899" t="str">
        <f>"20.785481"</f>
        <v>20.785481</v>
      </c>
      <c r="S899" t="s">
        <v>26</v>
      </c>
    </row>
    <row r="900" spans="1:19" x14ac:dyDescent="0.3">
      <c r="A900" t="s">
        <v>18804</v>
      </c>
      <c r="B900" t="s">
        <v>19325</v>
      </c>
      <c r="C900" t="s">
        <v>19390</v>
      </c>
      <c r="D900" t="s">
        <v>18824</v>
      </c>
      <c r="E900" t="s">
        <v>18825</v>
      </c>
      <c r="F900" t="s">
        <v>18825</v>
      </c>
      <c r="G900" t="s">
        <v>18825</v>
      </c>
      <c r="H900" t="s">
        <v>51</v>
      </c>
      <c r="I900" t="s">
        <v>52</v>
      </c>
      <c r="J900" t="str">
        <f>"4001030"</f>
        <v>4001030</v>
      </c>
      <c r="K900">
        <v>2682024777</v>
      </c>
      <c r="L900">
        <v>2682024114</v>
      </c>
      <c r="M900" t="s">
        <v>19391</v>
      </c>
      <c r="N900" t="s">
        <v>18828</v>
      </c>
      <c r="O900" t="s">
        <v>19392</v>
      </c>
      <c r="P900">
        <v>48100</v>
      </c>
      <c r="Q900" t="str">
        <f>"38.962723"</f>
        <v>38.962723</v>
      </c>
      <c r="R900" t="str">
        <f>"20.747008"</f>
        <v>20.747008</v>
      </c>
      <c r="S900" t="s">
        <v>26</v>
      </c>
    </row>
    <row r="901" spans="1:19" x14ac:dyDescent="0.3">
      <c r="A901" t="s">
        <v>18804</v>
      </c>
      <c r="B901" t="s">
        <v>19325</v>
      </c>
      <c r="C901" t="s">
        <v>19394</v>
      </c>
      <c r="D901" t="s">
        <v>18824</v>
      </c>
      <c r="E901" t="s">
        <v>18825</v>
      </c>
      <c r="F901" t="s">
        <v>19343</v>
      </c>
      <c r="G901" t="s">
        <v>19343</v>
      </c>
      <c r="H901" t="s">
        <v>51</v>
      </c>
      <c r="I901" t="s">
        <v>52</v>
      </c>
      <c r="J901" t="str">
        <f>"4005010"</f>
        <v>4005010</v>
      </c>
      <c r="K901">
        <v>2682031206</v>
      </c>
      <c r="L901">
        <v>2682031206</v>
      </c>
      <c r="M901" t="s">
        <v>19395</v>
      </c>
      <c r="N901" t="s">
        <v>19396</v>
      </c>
      <c r="O901" t="s">
        <v>19346</v>
      </c>
      <c r="P901">
        <v>48061</v>
      </c>
      <c r="Q901" t="str">
        <f>"39.166649"</f>
        <v>39.166649</v>
      </c>
      <c r="R901" t="str">
        <f>"20.755240"</f>
        <v>20.755240</v>
      </c>
      <c r="S901" t="s">
        <v>26</v>
      </c>
    </row>
    <row r="902" spans="1:19" x14ac:dyDescent="0.3">
      <c r="A902" t="s">
        <v>18804</v>
      </c>
      <c r="B902" t="s">
        <v>19325</v>
      </c>
      <c r="C902" t="s">
        <v>19397</v>
      </c>
      <c r="D902" t="s">
        <v>18824</v>
      </c>
      <c r="E902" t="s">
        <v>19357</v>
      </c>
      <c r="F902" t="s">
        <v>19366</v>
      </c>
      <c r="G902" t="s">
        <v>19366</v>
      </c>
      <c r="H902" t="s">
        <v>51</v>
      </c>
      <c r="I902" t="s">
        <v>52</v>
      </c>
      <c r="J902" t="str">
        <f>"4004020"</f>
        <v>4004020</v>
      </c>
      <c r="K902">
        <v>2683023585</v>
      </c>
      <c r="L902">
        <v>2683023585</v>
      </c>
      <c r="M902" t="s">
        <v>19398</v>
      </c>
      <c r="N902" t="s">
        <v>19399</v>
      </c>
      <c r="O902" t="s">
        <v>19387</v>
      </c>
      <c r="P902">
        <v>48200</v>
      </c>
      <c r="Q902" t="str">
        <f>"39.206511"</f>
        <v>39.206511</v>
      </c>
      <c r="R902" t="str">
        <f>"20.881111"</f>
        <v>20.881111</v>
      </c>
      <c r="S902" t="s">
        <v>26</v>
      </c>
    </row>
    <row r="903" spans="1:19" x14ac:dyDescent="0.3">
      <c r="A903" t="s">
        <v>18804</v>
      </c>
      <c r="B903" t="s">
        <v>19325</v>
      </c>
      <c r="C903" t="s">
        <v>19400</v>
      </c>
      <c r="D903" t="s">
        <v>18824</v>
      </c>
      <c r="E903" t="s">
        <v>19331</v>
      </c>
      <c r="F903" t="s">
        <v>19331</v>
      </c>
      <c r="G903" t="s">
        <v>19331</v>
      </c>
      <c r="H903" t="s">
        <v>51</v>
      </c>
      <c r="I903" t="s">
        <v>52</v>
      </c>
      <c r="J903" t="str">
        <f>"4003010"</f>
        <v>4003010</v>
      </c>
      <c r="K903">
        <v>2684031231</v>
      </c>
      <c r="L903">
        <v>2684031231</v>
      </c>
      <c r="M903" t="s">
        <v>19401</v>
      </c>
      <c r="N903" t="s">
        <v>19334</v>
      </c>
      <c r="O903" t="s">
        <v>19402</v>
      </c>
      <c r="P903">
        <v>48060</v>
      </c>
      <c r="Q903" t="str">
        <f>"39.283401"</f>
        <v>39.283401</v>
      </c>
      <c r="R903" t="str">
        <f>"20.406771"</f>
        <v>20.406771</v>
      </c>
      <c r="S903" t="s">
        <v>26</v>
      </c>
    </row>
    <row r="904" spans="1:19" x14ac:dyDescent="0.3">
      <c r="A904" t="s">
        <v>18804</v>
      </c>
      <c r="B904" t="s">
        <v>19325</v>
      </c>
      <c r="C904" t="s">
        <v>19403</v>
      </c>
      <c r="D904" t="s">
        <v>18824</v>
      </c>
      <c r="E904" t="s">
        <v>19331</v>
      </c>
      <c r="F904" t="s">
        <v>2777</v>
      </c>
      <c r="G904" t="s">
        <v>19337</v>
      </c>
      <c r="H904" t="s">
        <v>51</v>
      </c>
      <c r="I904" t="s">
        <v>52</v>
      </c>
      <c r="J904" t="str">
        <f>"4006010"</f>
        <v>4006010</v>
      </c>
      <c r="K904">
        <v>2684022226</v>
      </c>
      <c r="L904">
        <v>2684029123</v>
      </c>
      <c r="M904" t="s">
        <v>19404</v>
      </c>
      <c r="N904" t="s">
        <v>19340</v>
      </c>
      <c r="O904" t="s">
        <v>19405</v>
      </c>
      <c r="P904">
        <v>48062</v>
      </c>
      <c r="Q904" t="str">
        <f>"39.236402"</f>
        <v>39.236402</v>
      </c>
      <c r="R904" t="str">
        <f>"20.598097"</f>
        <v>20.598097</v>
      </c>
      <c r="S904" t="s">
        <v>26</v>
      </c>
    </row>
    <row r="905" spans="1:19" x14ac:dyDescent="0.3">
      <c r="A905" t="s">
        <v>18804</v>
      </c>
      <c r="B905" t="s">
        <v>19325</v>
      </c>
      <c r="C905" t="s">
        <v>19406</v>
      </c>
      <c r="D905" t="s">
        <v>18824</v>
      </c>
      <c r="E905" t="s">
        <v>18825</v>
      </c>
      <c r="F905" t="s">
        <v>18825</v>
      </c>
      <c r="G905" t="s">
        <v>18825</v>
      </c>
      <c r="H905" t="s">
        <v>51</v>
      </c>
      <c r="I905" t="s">
        <v>52</v>
      </c>
      <c r="J905" t="str">
        <f>"4001020"</f>
        <v>4001020</v>
      </c>
      <c r="K905">
        <v>2682023156</v>
      </c>
      <c r="L905">
        <v>2682023156</v>
      </c>
      <c r="M905" t="s">
        <v>19407</v>
      </c>
      <c r="N905" t="s">
        <v>18828</v>
      </c>
      <c r="O905" t="s">
        <v>19392</v>
      </c>
      <c r="P905">
        <v>48100</v>
      </c>
      <c r="Q905" t="str">
        <f>"38.962565"</f>
        <v>38.962565</v>
      </c>
      <c r="R905" t="str">
        <f>"20.747131"</f>
        <v>20.747131</v>
      </c>
      <c r="S905" t="s">
        <v>26</v>
      </c>
    </row>
    <row r="906" spans="1:19" x14ac:dyDescent="0.3">
      <c r="A906" t="s">
        <v>18804</v>
      </c>
      <c r="B906" t="s">
        <v>19325</v>
      </c>
      <c r="C906" t="s">
        <v>19408</v>
      </c>
      <c r="D906" t="s">
        <v>18824</v>
      </c>
      <c r="E906" t="s">
        <v>18825</v>
      </c>
      <c r="F906" t="s">
        <v>18825</v>
      </c>
      <c r="G906" t="s">
        <v>18825</v>
      </c>
      <c r="H906" t="s">
        <v>51</v>
      </c>
      <c r="I906" t="s">
        <v>52</v>
      </c>
      <c r="J906" t="str">
        <f>"4001035"</f>
        <v>4001035</v>
      </c>
      <c r="K906">
        <v>2682060410</v>
      </c>
      <c r="L906">
        <v>2682060401</v>
      </c>
      <c r="M906" t="s">
        <v>19409</v>
      </c>
      <c r="N906" t="s">
        <v>18828</v>
      </c>
      <c r="O906" t="s">
        <v>19410</v>
      </c>
      <c r="P906">
        <v>48100</v>
      </c>
      <c r="Q906" t="str">
        <f>"38.958388"</f>
        <v>38.958388</v>
      </c>
      <c r="R906" t="str">
        <f>"20.739555"</f>
        <v>20.739555</v>
      </c>
      <c r="S906" t="s">
        <v>26</v>
      </c>
    </row>
    <row r="907" spans="1:19" x14ac:dyDescent="0.3">
      <c r="A907" t="s">
        <v>18804</v>
      </c>
      <c r="B907" t="s">
        <v>19325</v>
      </c>
      <c r="C907" t="s">
        <v>19411</v>
      </c>
      <c r="D907" t="s">
        <v>18824</v>
      </c>
      <c r="E907" t="s">
        <v>18825</v>
      </c>
      <c r="F907" t="s">
        <v>18825</v>
      </c>
      <c r="G907" t="s">
        <v>18825</v>
      </c>
      <c r="H907" t="s">
        <v>51</v>
      </c>
      <c r="I907" t="s">
        <v>52</v>
      </c>
      <c r="J907" t="str">
        <f>"4001010"</f>
        <v>4001010</v>
      </c>
      <c r="K907">
        <v>2682022554</v>
      </c>
      <c r="M907" t="s">
        <v>19412</v>
      </c>
      <c r="N907" t="s">
        <v>18828</v>
      </c>
      <c r="O907" t="s">
        <v>19413</v>
      </c>
      <c r="P907">
        <v>48100</v>
      </c>
      <c r="Q907" t="str">
        <f>"38.954242"</f>
        <v>38.954242</v>
      </c>
      <c r="R907" t="str">
        <f>"20.751007"</f>
        <v>20.751007</v>
      </c>
      <c r="S907" t="s">
        <v>26</v>
      </c>
    </row>
    <row r="908" spans="1:19" x14ac:dyDescent="0.3">
      <c r="A908" t="s">
        <v>18804</v>
      </c>
      <c r="B908" t="s">
        <v>19325</v>
      </c>
      <c r="C908" t="s">
        <v>19422</v>
      </c>
      <c r="D908" t="s">
        <v>18824</v>
      </c>
      <c r="E908" t="s">
        <v>18825</v>
      </c>
      <c r="F908" t="s">
        <v>19415</v>
      </c>
      <c r="G908" t="s">
        <v>19421</v>
      </c>
      <c r="H908" t="s">
        <v>51</v>
      </c>
      <c r="I908" t="s">
        <v>52</v>
      </c>
      <c r="J908" t="str">
        <f>"4001040"</f>
        <v>4001040</v>
      </c>
      <c r="K908">
        <v>2682052581</v>
      </c>
      <c r="L908">
        <v>2682051881</v>
      </c>
      <c r="M908" t="s">
        <v>19423</v>
      </c>
      <c r="N908" t="s">
        <v>19424</v>
      </c>
      <c r="O908" t="s">
        <v>18828</v>
      </c>
      <c r="P908">
        <v>48100</v>
      </c>
      <c r="Q908" t="str">
        <f>"39.090620"</f>
        <v>39.090620</v>
      </c>
      <c r="R908" t="str">
        <f>"20.700928"</f>
        <v>20.700928</v>
      </c>
      <c r="S908" t="s">
        <v>26</v>
      </c>
    </row>
    <row r="909" spans="1:19" x14ac:dyDescent="0.3">
      <c r="A909" t="s">
        <v>18804</v>
      </c>
      <c r="B909" t="s">
        <v>19325</v>
      </c>
      <c r="C909" t="s">
        <v>19425</v>
      </c>
      <c r="D909" t="s">
        <v>18824</v>
      </c>
      <c r="E909" t="s">
        <v>18825</v>
      </c>
      <c r="F909" t="s">
        <v>18825</v>
      </c>
      <c r="G909" t="s">
        <v>18825</v>
      </c>
      <c r="H909" t="s">
        <v>51</v>
      </c>
      <c r="I909" t="s">
        <v>190</v>
      </c>
      <c r="J909" t="str">
        <f>"4001037"</f>
        <v>4001037</v>
      </c>
      <c r="K909">
        <v>2682029686</v>
      </c>
      <c r="M909" t="s">
        <v>19426</v>
      </c>
      <c r="N909" t="s">
        <v>18828</v>
      </c>
      <c r="O909" t="s">
        <v>19427</v>
      </c>
      <c r="P909">
        <v>48100</v>
      </c>
      <c r="Q909" t="str">
        <f>"38.980219"</f>
        <v>38.980219</v>
      </c>
      <c r="R909" t="str">
        <f>"20.745103"</f>
        <v>20.745103</v>
      </c>
      <c r="S909" t="s">
        <v>26</v>
      </c>
    </row>
    <row r="910" spans="1:19" x14ac:dyDescent="0.3">
      <c r="A910" t="s">
        <v>20660</v>
      </c>
      <c r="B910" t="s">
        <v>20686</v>
      </c>
      <c r="C910" t="s">
        <v>20695</v>
      </c>
      <c r="D910" t="s">
        <v>20661</v>
      </c>
      <c r="E910" t="s">
        <v>20687</v>
      </c>
      <c r="F910" t="s">
        <v>20693</v>
      </c>
      <c r="G910" t="s">
        <v>20694</v>
      </c>
      <c r="H910" t="s">
        <v>51</v>
      </c>
      <c r="I910" t="s">
        <v>52</v>
      </c>
      <c r="J910" t="str">
        <f>"2213010"</f>
        <v>2213010</v>
      </c>
      <c r="K910">
        <v>2443051205</v>
      </c>
      <c r="L910">
        <v>2443051205</v>
      </c>
      <c r="M910" t="s">
        <v>20696</v>
      </c>
      <c r="N910" t="s">
        <v>20697</v>
      </c>
      <c r="O910" t="s">
        <v>20698</v>
      </c>
      <c r="P910">
        <v>43300</v>
      </c>
      <c r="Q910" t="str">
        <f>"39.207427"</f>
        <v>39.207427</v>
      </c>
      <c r="R910" t="str">
        <f>"22.042526"</f>
        <v>22.042526</v>
      </c>
      <c r="S910" t="s">
        <v>26</v>
      </c>
    </row>
    <row r="911" spans="1:19" x14ac:dyDescent="0.3">
      <c r="A911" t="s">
        <v>20660</v>
      </c>
      <c r="B911" t="s">
        <v>20686</v>
      </c>
      <c r="C911" t="s">
        <v>20748</v>
      </c>
      <c r="D911" t="s">
        <v>20661</v>
      </c>
      <c r="E911" t="s">
        <v>20687</v>
      </c>
      <c r="F911" t="s">
        <v>20687</v>
      </c>
      <c r="G911" t="s">
        <v>20687</v>
      </c>
      <c r="H911" t="s">
        <v>51</v>
      </c>
      <c r="I911" t="s">
        <v>52</v>
      </c>
      <c r="J911" t="str">
        <f>"2204010"</f>
        <v>2204010</v>
      </c>
      <c r="K911">
        <v>2443022688</v>
      </c>
      <c r="L911">
        <v>2443022883</v>
      </c>
      <c r="M911" t="s">
        <v>20749</v>
      </c>
      <c r="N911" t="s">
        <v>20690</v>
      </c>
      <c r="O911" t="s">
        <v>20691</v>
      </c>
      <c r="P911">
        <v>43300</v>
      </c>
      <c r="Q911" t="str">
        <f>"39.334435"</f>
        <v>39.334435</v>
      </c>
      <c r="R911" t="str">
        <f>"22.099722"</f>
        <v>22.099722</v>
      </c>
      <c r="S911" t="s">
        <v>26</v>
      </c>
    </row>
    <row r="912" spans="1:19" x14ac:dyDescent="0.3">
      <c r="A912" t="s">
        <v>20660</v>
      </c>
      <c r="B912" t="s">
        <v>20686</v>
      </c>
      <c r="C912" t="s">
        <v>20750</v>
      </c>
      <c r="D912" t="s">
        <v>20661</v>
      </c>
      <c r="E912" t="s">
        <v>20661</v>
      </c>
      <c r="F912" t="s">
        <v>20661</v>
      </c>
      <c r="G912" t="s">
        <v>20662</v>
      </c>
      <c r="H912" t="s">
        <v>51</v>
      </c>
      <c r="I912" t="s">
        <v>52</v>
      </c>
      <c r="J912" t="str">
        <f>"2201031"</f>
        <v>2201031</v>
      </c>
      <c r="K912">
        <v>2441020955</v>
      </c>
      <c r="L912">
        <v>2441020955</v>
      </c>
      <c r="M912" t="s">
        <v>20751</v>
      </c>
      <c r="N912" t="s">
        <v>20665</v>
      </c>
      <c r="O912" t="s">
        <v>20752</v>
      </c>
      <c r="P912">
        <v>43132</v>
      </c>
      <c r="Q912" t="str">
        <f>"39.359834"</f>
        <v>39.359834</v>
      </c>
      <c r="R912" t="str">
        <f>"21.936206"</f>
        <v>21.936206</v>
      </c>
      <c r="S912" t="s">
        <v>26</v>
      </c>
    </row>
    <row r="913" spans="1:19" x14ac:dyDescent="0.3">
      <c r="A913" t="s">
        <v>20660</v>
      </c>
      <c r="B913" t="s">
        <v>20686</v>
      </c>
      <c r="C913" t="s">
        <v>20754</v>
      </c>
      <c r="D913" t="s">
        <v>20661</v>
      </c>
      <c r="E913" t="s">
        <v>20661</v>
      </c>
      <c r="F913" t="s">
        <v>20753</v>
      </c>
      <c r="G913" t="s">
        <v>20753</v>
      </c>
      <c r="H913" t="s">
        <v>51</v>
      </c>
      <c r="I913" t="s">
        <v>89</v>
      </c>
      <c r="J913" t="str">
        <f>"2210012"</f>
        <v>2210012</v>
      </c>
      <c r="K913">
        <v>2441055573</v>
      </c>
      <c r="L913">
        <v>2441055573</v>
      </c>
      <c r="M913" t="s">
        <v>20755</v>
      </c>
      <c r="N913" t="s">
        <v>20756</v>
      </c>
      <c r="O913" t="s">
        <v>20756</v>
      </c>
      <c r="P913">
        <v>43150</v>
      </c>
      <c r="Q913" t="str">
        <f>"39.339542"</f>
        <v>39.339542</v>
      </c>
      <c r="R913" t="str">
        <f>"21.840734"</f>
        <v>21.840734</v>
      </c>
      <c r="S913" t="s">
        <v>26</v>
      </c>
    </row>
    <row r="914" spans="1:19" x14ac:dyDescent="0.3">
      <c r="A914" t="s">
        <v>20660</v>
      </c>
      <c r="B914" t="s">
        <v>20686</v>
      </c>
      <c r="C914" t="s">
        <v>20759</v>
      </c>
      <c r="D914" t="s">
        <v>20661</v>
      </c>
      <c r="E914" t="s">
        <v>20661</v>
      </c>
      <c r="F914" t="s">
        <v>20661</v>
      </c>
      <c r="G914" t="s">
        <v>20662</v>
      </c>
      <c r="H914" t="s">
        <v>51</v>
      </c>
      <c r="I914" t="s">
        <v>4556</v>
      </c>
      <c r="J914" t="str">
        <f>"2201038"</f>
        <v>2201038</v>
      </c>
      <c r="K914">
        <v>2441022732</v>
      </c>
      <c r="L914">
        <v>2441022732</v>
      </c>
      <c r="M914" t="s">
        <v>20760</v>
      </c>
      <c r="N914" t="s">
        <v>20665</v>
      </c>
      <c r="O914" t="s">
        <v>20761</v>
      </c>
      <c r="P914">
        <v>43131</v>
      </c>
      <c r="Q914" t="str">
        <f>"39.366553"</f>
        <v>39.366553</v>
      </c>
      <c r="R914" t="str">
        <f>"21.918771"</f>
        <v>21.918771</v>
      </c>
      <c r="S914" t="s">
        <v>26</v>
      </c>
    </row>
    <row r="915" spans="1:19" x14ac:dyDescent="0.3">
      <c r="A915" t="s">
        <v>20660</v>
      </c>
      <c r="B915" t="s">
        <v>20686</v>
      </c>
      <c r="C915" t="s">
        <v>20764</v>
      </c>
      <c r="D915" t="s">
        <v>20661</v>
      </c>
      <c r="E915" t="s">
        <v>20700</v>
      </c>
      <c r="F915" t="s">
        <v>20763</v>
      </c>
      <c r="G915" t="s">
        <v>18740</v>
      </c>
      <c r="H915" t="s">
        <v>51</v>
      </c>
      <c r="I915" t="s">
        <v>89</v>
      </c>
      <c r="J915" t="str">
        <f>"2214010"</f>
        <v>2214010</v>
      </c>
      <c r="K915">
        <v>2444029080</v>
      </c>
      <c r="L915">
        <v>2444031855</v>
      </c>
      <c r="M915" t="s">
        <v>20765</v>
      </c>
      <c r="N915" t="s">
        <v>20766</v>
      </c>
      <c r="O915" t="s">
        <v>18742</v>
      </c>
      <c r="P915">
        <v>43062</v>
      </c>
      <c r="Q915" t="str">
        <f>"39.451218"</f>
        <v>39.451218</v>
      </c>
      <c r="R915" t="str">
        <f>"22.167560"</f>
        <v>22.167560</v>
      </c>
      <c r="S915" t="s">
        <v>26</v>
      </c>
    </row>
    <row r="916" spans="1:19" x14ac:dyDescent="0.3">
      <c r="A916" t="s">
        <v>20660</v>
      </c>
      <c r="B916" t="s">
        <v>20686</v>
      </c>
      <c r="C916" t="s">
        <v>20768</v>
      </c>
      <c r="D916" t="s">
        <v>20661</v>
      </c>
      <c r="E916" t="s">
        <v>20700</v>
      </c>
      <c r="F916" t="s">
        <v>20724</v>
      </c>
      <c r="G916" t="s">
        <v>18553</v>
      </c>
      <c r="H916" t="s">
        <v>51</v>
      </c>
      <c r="I916" t="s">
        <v>52</v>
      </c>
      <c r="J916" t="str">
        <f>"2211010"</f>
        <v>2211010</v>
      </c>
      <c r="K916">
        <v>2441051415</v>
      </c>
      <c r="L916">
        <v>2441051416</v>
      </c>
      <c r="M916" t="s">
        <v>20769</v>
      </c>
      <c r="N916" t="s">
        <v>20727</v>
      </c>
      <c r="O916" t="s">
        <v>20727</v>
      </c>
      <c r="P916">
        <v>43070</v>
      </c>
      <c r="Q916" t="str">
        <f>"39.481899"</f>
        <v>39.481899</v>
      </c>
      <c r="R916" t="str">
        <f>"21.900681"</f>
        <v>21.900681</v>
      </c>
      <c r="S916" t="s">
        <v>26</v>
      </c>
    </row>
    <row r="917" spans="1:19" x14ac:dyDescent="0.3">
      <c r="A917" t="s">
        <v>20660</v>
      </c>
      <c r="B917" t="s">
        <v>20686</v>
      </c>
      <c r="C917" t="s">
        <v>20770</v>
      </c>
      <c r="D917" t="s">
        <v>20661</v>
      </c>
      <c r="E917" t="s">
        <v>20700</v>
      </c>
      <c r="F917" t="s">
        <v>20700</v>
      </c>
      <c r="G917" t="s">
        <v>20700</v>
      </c>
      <c r="H917" t="s">
        <v>51</v>
      </c>
      <c r="I917" t="s">
        <v>52</v>
      </c>
      <c r="J917" t="str">
        <f>"2202010"</f>
        <v>2202010</v>
      </c>
      <c r="K917">
        <v>2444022965</v>
      </c>
      <c r="L917">
        <v>2444022965</v>
      </c>
      <c r="M917" t="s">
        <v>20771</v>
      </c>
      <c r="N917" t="s">
        <v>20731</v>
      </c>
      <c r="O917" t="s">
        <v>20772</v>
      </c>
      <c r="P917">
        <v>43200</v>
      </c>
      <c r="Q917" t="str">
        <f>"39.463106"</f>
        <v>39.463106</v>
      </c>
      <c r="R917" t="str">
        <f>"22.086142"</f>
        <v>22.086142</v>
      </c>
      <c r="S917" t="s">
        <v>26</v>
      </c>
    </row>
    <row r="918" spans="1:19" x14ac:dyDescent="0.3">
      <c r="A918" t="s">
        <v>20660</v>
      </c>
      <c r="B918" t="s">
        <v>20686</v>
      </c>
      <c r="C918" t="s">
        <v>20773</v>
      </c>
      <c r="D918" t="s">
        <v>20661</v>
      </c>
      <c r="E918" t="s">
        <v>20661</v>
      </c>
      <c r="F918" t="s">
        <v>20661</v>
      </c>
      <c r="G918" t="s">
        <v>20662</v>
      </c>
      <c r="H918" t="s">
        <v>51</v>
      </c>
      <c r="I918" t="s">
        <v>52</v>
      </c>
      <c r="J918" t="str">
        <f>"2201033"</f>
        <v>2201033</v>
      </c>
      <c r="K918">
        <v>2441021750</v>
      </c>
      <c r="L918">
        <v>2441021758</v>
      </c>
      <c r="M918" t="s">
        <v>20774</v>
      </c>
      <c r="N918" t="s">
        <v>20665</v>
      </c>
      <c r="O918" t="s">
        <v>20712</v>
      </c>
      <c r="P918">
        <v>43132</v>
      </c>
      <c r="Q918" t="str">
        <f>"39.360755"</f>
        <v>39.360755</v>
      </c>
      <c r="R918" t="str">
        <f>"21.934790"</f>
        <v>21.934790</v>
      </c>
      <c r="S918" t="s">
        <v>26</v>
      </c>
    </row>
    <row r="919" spans="1:19" x14ac:dyDescent="0.3">
      <c r="A919" t="s">
        <v>20660</v>
      </c>
      <c r="B919" t="s">
        <v>20686</v>
      </c>
      <c r="C919" t="s">
        <v>20775</v>
      </c>
      <c r="D919" t="s">
        <v>20661</v>
      </c>
      <c r="E919" t="s">
        <v>20661</v>
      </c>
      <c r="F919" t="s">
        <v>20661</v>
      </c>
      <c r="G919" t="s">
        <v>20662</v>
      </c>
      <c r="H919" t="s">
        <v>51</v>
      </c>
      <c r="I919" t="s">
        <v>52</v>
      </c>
      <c r="J919" t="str">
        <f>"2201020"</f>
        <v>2201020</v>
      </c>
      <c r="K919">
        <v>2441023976</v>
      </c>
      <c r="L919">
        <v>2441023976</v>
      </c>
      <c r="M919" t="s">
        <v>20776</v>
      </c>
      <c r="N919" t="s">
        <v>20665</v>
      </c>
      <c r="O919" t="s">
        <v>20777</v>
      </c>
      <c r="P919">
        <v>43100</v>
      </c>
      <c r="Q919" t="str">
        <f>"39.376485"</f>
        <v>39.376485</v>
      </c>
      <c r="R919" t="str">
        <f>"21.909641"</f>
        <v>21.909641</v>
      </c>
      <c r="S919" t="s">
        <v>26</v>
      </c>
    </row>
    <row r="920" spans="1:19" x14ac:dyDescent="0.3">
      <c r="A920" t="s">
        <v>20660</v>
      </c>
      <c r="B920" t="s">
        <v>20686</v>
      </c>
      <c r="C920" t="s">
        <v>20778</v>
      </c>
      <c r="D920" t="s">
        <v>20661</v>
      </c>
      <c r="E920" t="s">
        <v>20661</v>
      </c>
      <c r="F920" t="s">
        <v>20661</v>
      </c>
      <c r="G920" t="s">
        <v>20662</v>
      </c>
      <c r="H920" t="s">
        <v>51</v>
      </c>
      <c r="I920" t="s">
        <v>52</v>
      </c>
      <c r="J920" t="str">
        <f>"2201032"</f>
        <v>2201032</v>
      </c>
      <c r="K920">
        <v>2441073200</v>
      </c>
      <c r="L920">
        <v>2441073463</v>
      </c>
      <c r="M920" t="s">
        <v>20779</v>
      </c>
      <c r="N920" t="s">
        <v>20665</v>
      </c>
      <c r="O920" t="s">
        <v>20780</v>
      </c>
      <c r="P920">
        <v>43131</v>
      </c>
      <c r="Q920" t="str">
        <f>"39.376285"</f>
        <v>39.376285</v>
      </c>
      <c r="R920" t="str">
        <f>"21.909617"</f>
        <v>21.909617</v>
      </c>
      <c r="S920" t="s">
        <v>26</v>
      </c>
    </row>
    <row r="921" spans="1:19" x14ac:dyDescent="0.3">
      <c r="A921" t="s">
        <v>20660</v>
      </c>
      <c r="B921" t="s">
        <v>20686</v>
      </c>
      <c r="C921" t="s">
        <v>20781</v>
      </c>
      <c r="D921" t="s">
        <v>20661</v>
      </c>
      <c r="E921" t="s">
        <v>20661</v>
      </c>
      <c r="F921" t="s">
        <v>20661</v>
      </c>
      <c r="G921" t="s">
        <v>20662</v>
      </c>
      <c r="H921" t="s">
        <v>51</v>
      </c>
      <c r="I921" t="s">
        <v>52</v>
      </c>
      <c r="J921" t="str">
        <f>"2201010"</f>
        <v>2201010</v>
      </c>
      <c r="K921">
        <v>2441025848</v>
      </c>
      <c r="L921">
        <v>2441022198</v>
      </c>
      <c r="M921" t="s">
        <v>20782</v>
      </c>
      <c r="N921" t="s">
        <v>20665</v>
      </c>
      <c r="O921" t="s">
        <v>20712</v>
      </c>
      <c r="P921">
        <v>43132</v>
      </c>
      <c r="Q921" t="str">
        <f>"39.360156"</f>
        <v>39.360156</v>
      </c>
      <c r="R921" t="str">
        <f>"21.935379"</f>
        <v>21.935379</v>
      </c>
      <c r="S921" t="s">
        <v>26</v>
      </c>
    </row>
    <row r="922" spans="1:19" x14ac:dyDescent="0.3">
      <c r="A922" t="s">
        <v>20660</v>
      </c>
      <c r="B922" t="s">
        <v>20686</v>
      </c>
      <c r="C922" t="s">
        <v>20783</v>
      </c>
      <c r="D922" t="s">
        <v>20661</v>
      </c>
      <c r="E922" t="s">
        <v>20661</v>
      </c>
      <c r="F922" t="s">
        <v>20661</v>
      </c>
      <c r="G922" t="s">
        <v>20662</v>
      </c>
      <c r="H922" t="s">
        <v>51</v>
      </c>
      <c r="I922" t="s">
        <v>52</v>
      </c>
      <c r="J922" t="str">
        <f>"2201030"</f>
        <v>2201030</v>
      </c>
      <c r="K922">
        <v>2441022509</v>
      </c>
      <c r="L922">
        <v>2441076985</v>
      </c>
      <c r="M922" t="s">
        <v>20784</v>
      </c>
      <c r="N922" t="s">
        <v>20665</v>
      </c>
      <c r="O922" t="s">
        <v>20785</v>
      </c>
      <c r="P922">
        <v>43132</v>
      </c>
      <c r="Q922" t="str">
        <f>"39.359677"</f>
        <v>39.359677</v>
      </c>
      <c r="R922" t="str">
        <f>"21.906058"</f>
        <v>21.906058</v>
      </c>
      <c r="S922" t="s">
        <v>26</v>
      </c>
    </row>
    <row r="923" spans="1:19" x14ac:dyDescent="0.3">
      <c r="A923" t="s">
        <v>20660</v>
      </c>
      <c r="B923" t="s">
        <v>20686</v>
      </c>
      <c r="C923" t="s">
        <v>20788</v>
      </c>
      <c r="D923" t="s">
        <v>20661</v>
      </c>
      <c r="E923" t="s">
        <v>20687</v>
      </c>
      <c r="F923" t="s">
        <v>20787</v>
      </c>
      <c r="G923" t="s">
        <v>13937</v>
      </c>
      <c r="H923" t="s">
        <v>51</v>
      </c>
      <c r="I923" t="s">
        <v>52</v>
      </c>
      <c r="J923" t="str">
        <f>"2204030"</f>
        <v>2204030</v>
      </c>
      <c r="K923">
        <v>2443041018</v>
      </c>
      <c r="L923">
        <v>2443041018</v>
      </c>
      <c r="M923" t="s">
        <v>20789</v>
      </c>
      <c r="N923" t="s">
        <v>20661</v>
      </c>
      <c r="O923" t="s">
        <v>14093</v>
      </c>
      <c r="P923">
        <v>43300</v>
      </c>
      <c r="Q923" t="str">
        <f>"39.394402"</f>
        <v>39.394402</v>
      </c>
      <c r="R923" t="str">
        <f>"22.073922"</f>
        <v>22.073922</v>
      </c>
      <c r="S923" t="s">
        <v>26</v>
      </c>
    </row>
    <row r="924" spans="1:19" x14ac:dyDescent="0.3">
      <c r="A924" t="s">
        <v>20660</v>
      </c>
      <c r="B924" t="s">
        <v>20686</v>
      </c>
      <c r="C924" t="s">
        <v>20791</v>
      </c>
      <c r="D924" t="s">
        <v>20661</v>
      </c>
      <c r="E924" t="s">
        <v>20661</v>
      </c>
      <c r="F924" t="s">
        <v>20661</v>
      </c>
      <c r="G924" t="s">
        <v>20662</v>
      </c>
      <c r="H924" t="s">
        <v>51</v>
      </c>
      <c r="I924" t="s">
        <v>190</v>
      </c>
      <c r="J924" t="str">
        <f>"2201050"</f>
        <v>2201050</v>
      </c>
      <c r="K924">
        <v>2441073970</v>
      </c>
      <c r="L924">
        <v>2441079762</v>
      </c>
      <c r="M924" t="s">
        <v>20792</v>
      </c>
      <c r="N924" t="s">
        <v>20665</v>
      </c>
      <c r="O924" t="s">
        <v>20793</v>
      </c>
      <c r="P924">
        <v>43132</v>
      </c>
      <c r="Q924" t="str">
        <f>"39.381331"</f>
        <v>39.381331</v>
      </c>
      <c r="R924" t="str">
        <f>"21.918312"</f>
        <v>21.918312</v>
      </c>
      <c r="S924" t="s">
        <v>26</v>
      </c>
    </row>
    <row r="925" spans="1:19" x14ac:dyDescent="0.3">
      <c r="A925" t="s">
        <v>20660</v>
      </c>
      <c r="B925" t="s">
        <v>20686</v>
      </c>
      <c r="C925" t="s">
        <v>20794</v>
      </c>
      <c r="D925" t="s">
        <v>20661</v>
      </c>
      <c r="E925" t="s">
        <v>17000</v>
      </c>
      <c r="F925" t="s">
        <v>17000</v>
      </c>
      <c r="G925" t="s">
        <v>17000</v>
      </c>
      <c r="H925" t="s">
        <v>51</v>
      </c>
      <c r="I925" t="s">
        <v>52</v>
      </c>
      <c r="J925" t="str">
        <f>"2203010"</f>
        <v>2203010</v>
      </c>
      <c r="K925">
        <v>2445041261</v>
      </c>
      <c r="L925">
        <v>2445041261</v>
      </c>
      <c r="M925" t="s">
        <v>20795</v>
      </c>
      <c r="N925" t="s">
        <v>20796</v>
      </c>
      <c r="O925" t="s">
        <v>17128</v>
      </c>
      <c r="P925">
        <v>43060</v>
      </c>
      <c r="Q925" t="str">
        <f>"39.436860"</f>
        <v>39.436860</v>
      </c>
      <c r="R925" t="str">
        <f>"21.668826"</f>
        <v>21.668826</v>
      </c>
      <c r="S925" t="s">
        <v>26</v>
      </c>
    </row>
    <row r="926" spans="1:19" x14ac:dyDescent="0.3">
      <c r="A926" t="s">
        <v>20660</v>
      </c>
      <c r="B926" t="s">
        <v>20686</v>
      </c>
      <c r="C926" t="s">
        <v>20797</v>
      </c>
      <c r="D926" t="s">
        <v>20661</v>
      </c>
      <c r="E926" t="s">
        <v>20687</v>
      </c>
      <c r="F926" t="s">
        <v>20718</v>
      </c>
      <c r="G926" t="s">
        <v>20719</v>
      </c>
      <c r="H926" t="s">
        <v>51</v>
      </c>
      <c r="I926" t="s">
        <v>52</v>
      </c>
      <c r="J926" t="str">
        <f>"2207010"</f>
        <v>2207010</v>
      </c>
      <c r="K926">
        <v>2443031294</v>
      </c>
      <c r="L926">
        <v>2443031294</v>
      </c>
      <c r="M926" t="s">
        <v>20798</v>
      </c>
      <c r="N926" t="s">
        <v>20722</v>
      </c>
      <c r="O926" t="s">
        <v>20722</v>
      </c>
      <c r="P926">
        <v>43063</v>
      </c>
      <c r="Q926" t="str">
        <f>"39.183958"</f>
        <v>39.183958</v>
      </c>
      <c r="R926" t="str">
        <f>"22.124629"</f>
        <v>22.124629</v>
      </c>
      <c r="S926" t="s">
        <v>26</v>
      </c>
    </row>
    <row r="927" spans="1:19" x14ac:dyDescent="0.3">
      <c r="A927" t="s">
        <v>20660</v>
      </c>
      <c r="B927" t="s">
        <v>20686</v>
      </c>
      <c r="C927" t="s">
        <v>20803</v>
      </c>
      <c r="D927" t="s">
        <v>20661</v>
      </c>
      <c r="E927" t="s">
        <v>17000</v>
      </c>
      <c r="F927" t="s">
        <v>20802</v>
      </c>
      <c r="G927" t="s">
        <v>6089</v>
      </c>
      <c r="H927" t="s">
        <v>51</v>
      </c>
      <c r="I927" t="s">
        <v>89</v>
      </c>
      <c r="J927" t="str">
        <f>"2206010"</f>
        <v>2206010</v>
      </c>
      <c r="K927">
        <v>2441085008</v>
      </c>
      <c r="L927">
        <v>2441085008</v>
      </c>
      <c r="M927" t="s">
        <v>20804</v>
      </c>
      <c r="N927" t="s">
        <v>20805</v>
      </c>
      <c r="O927" t="s">
        <v>6092</v>
      </c>
      <c r="P927">
        <v>43100</v>
      </c>
      <c r="Q927" t="str">
        <f>"39.458870"</f>
        <v>39.458870</v>
      </c>
      <c r="R927" t="str">
        <f>"21.801804"</f>
        <v>21.801804</v>
      </c>
      <c r="S927" t="s">
        <v>26</v>
      </c>
    </row>
    <row r="928" spans="1:19" x14ac:dyDescent="0.3">
      <c r="A928" t="s">
        <v>20660</v>
      </c>
      <c r="B928" t="s">
        <v>20686</v>
      </c>
      <c r="C928" t="s">
        <v>20813</v>
      </c>
      <c r="D928" t="s">
        <v>20661</v>
      </c>
      <c r="E928" t="s">
        <v>20661</v>
      </c>
      <c r="F928" t="s">
        <v>20661</v>
      </c>
      <c r="G928" t="s">
        <v>20662</v>
      </c>
      <c r="H928" t="s">
        <v>51</v>
      </c>
      <c r="I928" t="s">
        <v>52</v>
      </c>
      <c r="J928" t="str">
        <f>"2201034"</f>
        <v>2201034</v>
      </c>
      <c r="K928">
        <v>2441075316</v>
      </c>
      <c r="L928">
        <v>2441075168</v>
      </c>
      <c r="M928" t="s">
        <v>20814</v>
      </c>
      <c r="N928" t="s">
        <v>20665</v>
      </c>
      <c r="O928" t="s">
        <v>20815</v>
      </c>
      <c r="P928">
        <v>43132</v>
      </c>
      <c r="Q928" t="str">
        <f>"39.374706"</f>
        <v>39.374706</v>
      </c>
      <c r="R928" t="str">
        <f>"21.937150"</f>
        <v>21.937150</v>
      </c>
      <c r="S928" t="s">
        <v>26</v>
      </c>
    </row>
    <row r="929" spans="1:19" x14ac:dyDescent="0.3">
      <c r="A929" t="s">
        <v>20660</v>
      </c>
      <c r="B929" t="s">
        <v>20686</v>
      </c>
      <c r="C929" t="s">
        <v>20828</v>
      </c>
      <c r="D929" t="s">
        <v>20661</v>
      </c>
      <c r="E929" t="s">
        <v>20687</v>
      </c>
      <c r="F929" t="s">
        <v>20687</v>
      </c>
      <c r="G929" t="s">
        <v>20687</v>
      </c>
      <c r="H929" t="s">
        <v>51</v>
      </c>
      <c r="I929" t="s">
        <v>199</v>
      </c>
      <c r="J929" t="str">
        <f>"2240055"</f>
        <v>2240055</v>
      </c>
      <c r="K929">
        <v>2443024656</v>
      </c>
      <c r="L929">
        <v>2443024656</v>
      </c>
      <c r="M929" t="s">
        <v>20829</v>
      </c>
      <c r="N929" t="s">
        <v>20822</v>
      </c>
      <c r="O929" t="s">
        <v>16985</v>
      </c>
      <c r="P929">
        <v>43300</v>
      </c>
      <c r="Q929" t="str">
        <f>"39.324855"</f>
        <v>39.324855</v>
      </c>
      <c r="R929" t="str">
        <f>"22.106400"</f>
        <v>22.106400</v>
      </c>
      <c r="S929" t="s">
        <v>26</v>
      </c>
    </row>
    <row r="930" spans="1:19" x14ac:dyDescent="0.3">
      <c r="A930" t="s">
        <v>20660</v>
      </c>
      <c r="B930" t="s">
        <v>20830</v>
      </c>
      <c r="C930" t="s">
        <v>20834</v>
      </c>
      <c r="D930" t="s">
        <v>20667</v>
      </c>
      <c r="E930" t="s">
        <v>20831</v>
      </c>
      <c r="F930" t="s">
        <v>20832</v>
      </c>
      <c r="G930" t="s">
        <v>20833</v>
      </c>
      <c r="H930" t="s">
        <v>51</v>
      </c>
      <c r="I930" t="s">
        <v>52</v>
      </c>
      <c r="J930" t="str">
        <f>"3109010"</f>
        <v>3109010</v>
      </c>
      <c r="K930">
        <v>2495041079</v>
      </c>
      <c r="L930">
        <v>2495041079</v>
      </c>
      <c r="M930" t="s">
        <v>20835</v>
      </c>
      <c r="N930" t="s">
        <v>20836</v>
      </c>
      <c r="O930" t="s">
        <v>20836</v>
      </c>
      <c r="P930">
        <v>40007</v>
      </c>
      <c r="Q930" t="str">
        <f>"39.919095"</f>
        <v>39.919095</v>
      </c>
      <c r="R930" t="str">
        <f>"22.597175"</f>
        <v>22.597175</v>
      </c>
      <c r="S930" t="s">
        <v>26</v>
      </c>
    </row>
    <row r="931" spans="1:19" x14ac:dyDescent="0.3">
      <c r="A931" t="s">
        <v>20660</v>
      </c>
      <c r="B931" t="s">
        <v>20830</v>
      </c>
      <c r="C931" t="s">
        <v>20847</v>
      </c>
      <c r="D931" t="s">
        <v>20667</v>
      </c>
      <c r="E931" t="s">
        <v>20831</v>
      </c>
      <c r="F931" t="s">
        <v>20846</v>
      </c>
      <c r="G931" t="s">
        <v>20846</v>
      </c>
      <c r="H931" t="s">
        <v>51</v>
      </c>
      <c r="I931" t="s">
        <v>89</v>
      </c>
      <c r="J931" t="str">
        <f>"3105050"</f>
        <v>3105050</v>
      </c>
      <c r="K931">
        <v>2495022260</v>
      </c>
      <c r="L931">
        <v>2495022260</v>
      </c>
      <c r="M931" t="s">
        <v>20848</v>
      </c>
      <c r="N931" t="s">
        <v>20849</v>
      </c>
      <c r="O931" t="s">
        <v>20850</v>
      </c>
      <c r="P931">
        <v>40006</v>
      </c>
      <c r="Q931" t="str">
        <f>"39.801588"</f>
        <v>39.801588</v>
      </c>
      <c r="R931" t="str">
        <f>"22.495776"</f>
        <v>22.495776</v>
      </c>
      <c r="S931" t="s">
        <v>26</v>
      </c>
    </row>
    <row r="932" spans="1:19" x14ac:dyDescent="0.3">
      <c r="A932" t="s">
        <v>20660</v>
      </c>
      <c r="B932" t="s">
        <v>20830</v>
      </c>
      <c r="C932" t="s">
        <v>20862</v>
      </c>
      <c r="D932" t="s">
        <v>20667</v>
      </c>
      <c r="E932" t="s">
        <v>20859</v>
      </c>
      <c r="F932" t="s">
        <v>20860</v>
      </c>
      <c r="G932" t="s">
        <v>20861</v>
      </c>
      <c r="H932" t="s">
        <v>51</v>
      </c>
      <c r="I932" t="s">
        <v>89</v>
      </c>
      <c r="J932" t="str">
        <f>"3111040"</f>
        <v>3111040</v>
      </c>
      <c r="K932">
        <v>2493051252</v>
      </c>
      <c r="L932">
        <v>2493051300</v>
      </c>
      <c r="M932" t="s">
        <v>20863</v>
      </c>
      <c r="N932" t="s">
        <v>20864</v>
      </c>
      <c r="O932" t="s">
        <v>20864</v>
      </c>
      <c r="P932">
        <v>40200</v>
      </c>
      <c r="Q932" t="str">
        <f>"39.949644"</f>
        <v>39.949644</v>
      </c>
      <c r="R932" t="str">
        <f>"21.967274"</f>
        <v>21.967274</v>
      </c>
      <c r="S932" t="s">
        <v>26</v>
      </c>
    </row>
    <row r="933" spans="1:19" x14ac:dyDescent="0.3">
      <c r="A933" t="s">
        <v>20660</v>
      </c>
      <c r="B933" t="s">
        <v>20830</v>
      </c>
      <c r="C933" t="s">
        <v>20971</v>
      </c>
      <c r="D933" t="s">
        <v>20667</v>
      </c>
      <c r="E933" t="s">
        <v>20668</v>
      </c>
      <c r="F933" t="s">
        <v>20955</v>
      </c>
      <c r="G933" t="s">
        <v>20955</v>
      </c>
      <c r="H933" t="s">
        <v>51</v>
      </c>
      <c r="I933" t="s">
        <v>199</v>
      </c>
      <c r="J933" t="str">
        <f>"3140115"</f>
        <v>3140115</v>
      </c>
      <c r="K933">
        <v>2410593867</v>
      </c>
      <c r="L933">
        <v>2410593868</v>
      </c>
      <c r="M933" t="s">
        <v>20972</v>
      </c>
      <c r="N933" t="s">
        <v>20973</v>
      </c>
      <c r="O933" t="s">
        <v>20974</v>
      </c>
      <c r="P933">
        <v>41500</v>
      </c>
      <c r="Q933" t="str">
        <f>"39.671848"</f>
        <v>39.671848</v>
      </c>
      <c r="R933" t="str">
        <f>"22.391948"</f>
        <v>22.391948</v>
      </c>
      <c r="S933" t="s">
        <v>26</v>
      </c>
    </row>
    <row r="934" spans="1:19" x14ac:dyDescent="0.3">
      <c r="A934" t="s">
        <v>20660</v>
      </c>
      <c r="B934" t="s">
        <v>20830</v>
      </c>
      <c r="C934" t="s">
        <v>20975</v>
      </c>
      <c r="D934" t="s">
        <v>20667</v>
      </c>
      <c r="E934" t="s">
        <v>20909</v>
      </c>
      <c r="F934" t="s">
        <v>20909</v>
      </c>
      <c r="G934" t="s">
        <v>20909</v>
      </c>
      <c r="H934" t="s">
        <v>51</v>
      </c>
      <c r="I934" t="s">
        <v>52</v>
      </c>
      <c r="J934" t="str">
        <f>"3107021"</f>
        <v>3107021</v>
      </c>
      <c r="K934">
        <v>2492022517</v>
      </c>
      <c r="M934" t="s">
        <v>20976</v>
      </c>
      <c r="N934" t="s">
        <v>20977</v>
      </c>
      <c r="O934" t="s">
        <v>20978</v>
      </c>
      <c r="P934">
        <v>40100</v>
      </c>
      <c r="Q934" t="str">
        <f>"39.742549"</f>
        <v>39.742549</v>
      </c>
      <c r="R934" t="str">
        <f>"22.277576"</f>
        <v>22.277576</v>
      </c>
      <c r="S934" t="s">
        <v>26</v>
      </c>
    </row>
    <row r="935" spans="1:19" x14ac:dyDescent="0.3">
      <c r="A935" t="s">
        <v>20660</v>
      </c>
      <c r="B935" t="s">
        <v>20830</v>
      </c>
      <c r="C935" t="s">
        <v>20980</v>
      </c>
      <c r="D935" t="s">
        <v>20667</v>
      </c>
      <c r="E935" t="s">
        <v>20668</v>
      </c>
      <c r="F935" t="s">
        <v>20668</v>
      </c>
      <c r="G935" t="s">
        <v>20942</v>
      </c>
      <c r="H935" t="s">
        <v>51</v>
      </c>
      <c r="I935" t="s">
        <v>52</v>
      </c>
      <c r="J935" t="str">
        <f>"3101049"</f>
        <v>3101049</v>
      </c>
      <c r="K935">
        <v>2410285851</v>
      </c>
      <c r="L935">
        <v>2410284924</v>
      </c>
      <c r="M935" t="s">
        <v>20981</v>
      </c>
      <c r="N935" t="s">
        <v>20672</v>
      </c>
      <c r="O935" t="s">
        <v>20982</v>
      </c>
      <c r="P935">
        <v>41221</v>
      </c>
      <c r="Q935" t="str">
        <f>"39.643382"</f>
        <v>39.643382</v>
      </c>
      <c r="R935" t="str">
        <f>"22.432839"</f>
        <v>22.432839</v>
      </c>
      <c r="S935" t="s">
        <v>26</v>
      </c>
    </row>
    <row r="936" spans="1:19" x14ac:dyDescent="0.3">
      <c r="A936" t="s">
        <v>20660</v>
      </c>
      <c r="B936" t="s">
        <v>20830</v>
      </c>
      <c r="C936" t="s">
        <v>20983</v>
      </c>
      <c r="D936" t="s">
        <v>20667</v>
      </c>
      <c r="E936" t="s">
        <v>20668</v>
      </c>
      <c r="F936" t="s">
        <v>20668</v>
      </c>
      <c r="G936" t="s">
        <v>20942</v>
      </c>
      <c r="H936" t="s">
        <v>51</v>
      </c>
      <c r="I936" t="s">
        <v>52</v>
      </c>
      <c r="J936" t="str">
        <f>"3101020"</f>
        <v>3101020</v>
      </c>
      <c r="K936">
        <v>2410236582</v>
      </c>
      <c r="L936">
        <v>2410281565</v>
      </c>
      <c r="M936" t="s">
        <v>20984</v>
      </c>
      <c r="N936" t="s">
        <v>20672</v>
      </c>
      <c r="O936" t="s">
        <v>20985</v>
      </c>
      <c r="P936">
        <v>41221</v>
      </c>
      <c r="Q936" t="str">
        <f>"39.636324"</f>
        <v>39.636324</v>
      </c>
      <c r="R936" t="str">
        <f>"22.430291"</f>
        <v>22.430291</v>
      </c>
      <c r="S936" t="s">
        <v>26</v>
      </c>
    </row>
    <row r="937" spans="1:19" x14ac:dyDescent="0.3">
      <c r="A937" t="s">
        <v>20660</v>
      </c>
      <c r="B937" t="s">
        <v>20830</v>
      </c>
      <c r="C937" t="s">
        <v>20988</v>
      </c>
      <c r="D937" t="s">
        <v>20667</v>
      </c>
      <c r="E937" t="s">
        <v>20668</v>
      </c>
      <c r="F937" t="s">
        <v>20955</v>
      </c>
      <c r="G937" t="s">
        <v>20987</v>
      </c>
      <c r="H937" t="s">
        <v>51</v>
      </c>
      <c r="I937" t="s">
        <v>52</v>
      </c>
      <c r="J937" t="str">
        <f>"3118010"</f>
        <v>3118010</v>
      </c>
      <c r="K937">
        <v>2410942212</v>
      </c>
      <c r="L937">
        <v>2410942212</v>
      </c>
      <c r="M937" t="s">
        <v>20989</v>
      </c>
      <c r="N937" t="s">
        <v>20990</v>
      </c>
      <c r="O937" t="s">
        <v>20991</v>
      </c>
      <c r="P937">
        <v>40011</v>
      </c>
      <c r="Q937" t="str">
        <f>"39.727337"</f>
        <v>39.727337</v>
      </c>
      <c r="R937" t="str">
        <f>"22.402053"</f>
        <v>22.402053</v>
      </c>
      <c r="S937" t="s">
        <v>26</v>
      </c>
    </row>
    <row r="938" spans="1:19" x14ac:dyDescent="0.3">
      <c r="A938" t="s">
        <v>20660</v>
      </c>
      <c r="B938" t="s">
        <v>20830</v>
      </c>
      <c r="C938" t="s">
        <v>20993</v>
      </c>
      <c r="D938" t="s">
        <v>20667</v>
      </c>
      <c r="E938" t="s">
        <v>20668</v>
      </c>
      <c r="F938" t="s">
        <v>20668</v>
      </c>
      <c r="G938" t="s">
        <v>20669</v>
      </c>
      <c r="H938" t="s">
        <v>51</v>
      </c>
      <c r="I938" t="s">
        <v>52</v>
      </c>
      <c r="J938" t="str">
        <f>"3101041"</f>
        <v>3101041</v>
      </c>
      <c r="K938">
        <v>2410671965</v>
      </c>
      <c r="M938" t="s">
        <v>20994</v>
      </c>
      <c r="N938" t="s">
        <v>20672</v>
      </c>
      <c r="O938" t="s">
        <v>20995</v>
      </c>
      <c r="P938">
        <v>41334</v>
      </c>
      <c r="Q938" t="str">
        <f>"39.626920"</f>
        <v>39.626920</v>
      </c>
      <c r="R938" t="str">
        <f>"22.397753"</f>
        <v>22.397753</v>
      </c>
      <c r="S938" t="s">
        <v>26</v>
      </c>
    </row>
    <row r="939" spans="1:19" x14ac:dyDescent="0.3">
      <c r="A939" t="s">
        <v>20660</v>
      </c>
      <c r="B939" t="s">
        <v>20830</v>
      </c>
      <c r="C939" t="s">
        <v>20996</v>
      </c>
      <c r="D939" t="s">
        <v>20667</v>
      </c>
      <c r="E939" t="s">
        <v>20875</v>
      </c>
      <c r="F939" t="s">
        <v>20875</v>
      </c>
      <c r="G939" t="s">
        <v>20875</v>
      </c>
      <c r="H939" t="s">
        <v>51</v>
      </c>
      <c r="I939" t="s">
        <v>52</v>
      </c>
      <c r="J939" t="str">
        <f>"3106010"</f>
        <v>3106010</v>
      </c>
      <c r="K939">
        <v>2491022824</v>
      </c>
      <c r="L939">
        <v>2491022824</v>
      </c>
      <c r="M939" t="s">
        <v>20997</v>
      </c>
      <c r="N939" t="s">
        <v>20878</v>
      </c>
      <c r="O939" t="s">
        <v>20920</v>
      </c>
      <c r="P939">
        <v>40300</v>
      </c>
      <c r="Q939" t="str">
        <f>"39.298037"</f>
        <v>39.298037</v>
      </c>
      <c r="R939" t="str">
        <f>"22.395095"</f>
        <v>22.395095</v>
      </c>
      <c r="S939" t="s">
        <v>26</v>
      </c>
    </row>
    <row r="940" spans="1:19" x14ac:dyDescent="0.3">
      <c r="A940" t="s">
        <v>20660</v>
      </c>
      <c r="B940" t="s">
        <v>20830</v>
      </c>
      <c r="C940" t="s">
        <v>20999</v>
      </c>
      <c r="D940" t="s">
        <v>20667</v>
      </c>
      <c r="E940" t="s">
        <v>20859</v>
      </c>
      <c r="F940" t="s">
        <v>1782</v>
      </c>
      <c r="G940" t="s">
        <v>20998</v>
      </c>
      <c r="H940" t="s">
        <v>51</v>
      </c>
      <c r="I940" t="s">
        <v>52</v>
      </c>
      <c r="J940" t="str">
        <f>"3117010"</f>
        <v>3117010</v>
      </c>
      <c r="K940">
        <v>2493086209</v>
      </c>
      <c r="L940">
        <v>2493086353</v>
      </c>
      <c r="M940" t="s">
        <v>21000</v>
      </c>
      <c r="N940" t="s">
        <v>20998</v>
      </c>
      <c r="O940" t="s">
        <v>21001</v>
      </c>
      <c r="P940">
        <v>40200</v>
      </c>
      <c r="Q940" t="str">
        <f>"39.788435"</f>
        <v>39.788435</v>
      </c>
      <c r="R940" t="str">
        <f>"22.115207"</f>
        <v>22.115207</v>
      </c>
      <c r="S940" t="s">
        <v>26</v>
      </c>
    </row>
    <row r="941" spans="1:19" x14ac:dyDescent="0.3">
      <c r="A941" t="s">
        <v>20660</v>
      </c>
      <c r="B941" t="s">
        <v>20830</v>
      </c>
      <c r="C941" t="s">
        <v>21004</v>
      </c>
      <c r="D941" t="s">
        <v>20667</v>
      </c>
      <c r="E941" t="s">
        <v>20875</v>
      </c>
      <c r="F941" t="s">
        <v>20875</v>
      </c>
      <c r="G941" t="s">
        <v>20875</v>
      </c>
      <c r="H941" t="s">
        <v>51</v>
      </c>
      <c r="I941" t="s">
        <v>52</v>
      </c>
      <c r="J941" t="str">
        <f>"3106020"</f>
        <v>3106020</v>
      </c>
      <c r="K941">
        <v>2491023110</v>
      </c>
      <c r="L941">
        <v>2491023110</v>
      </c>
      <c r="M941" t="s">
        <v>21005</v>
      </c>
      <c r="N941" t="s">
        <v>20878</v>
      </c>
      <c r="O941" t="s">
        <v>21006</v>
      </c>
      <c r="P941">
        <v>40300</v>
      </c>
      <c r="Q941" t="str">
        <f>"39.300202"</f>
        <v>39.300202</v>
      </c>
      <c r="R941" t="str">
        <f>"22.382492"</f>
        <v>22.382492</v>
      </c>
      <c r="S941" t="s">
        <v>26</v>
      </c>
    </row>
    <row r="942" spans="1:19" x14ac:dyDescent="0.3">
      <c r="A942" t="s">
        <v>20660</v>
      </c>
      <c r="B942" t="s">
        <v>20830</v>
      </c>
      <c r="C942" t="s">
        <v>21007</v>
      </c>
      <c r="D942" t="s">
        <v>20667</v>
      </c>
      <c r="E942" t="s">
        <v>20668</v>
      </c>
      <c r="F942" t="s">
        <v>20668</v>
      </c>
      <c r="G942" t="s">
        <v>20669</v>
      </c>
      <c r="H942" t="s">
        <v>51</v>
      </c>
      <c r="I942" t="s">
        <v>52</v>
      </c>
      <c r="J942" t="str">
        <f>"3101043"</f>
        <v>3101043</v>
      </c>
      <c r="K942">
        <v>2410614473</v>
      </c>
      <c r="L942">
        <v>2410619580</v>
      </c>
      <c r="M942" t="s">
        <v>21008</v>
      </c>
      <c r="N942" t="s">
        <v>20672</v>
      </c>
      <c r="O942" t="s">
        <v>21009</v>
      </c>
      <c r="P942">
        <v>41222</v>
      </c>
      <c r="Q942" t="str">
        <f>"39.636029"</f>
        <v>39.636029</v>
      </c>
      <c r="R942" t="str">
        <f>"22.401576"</f>
        <v>22.401576</v>
      </c>
      <c r="S942" t="s">
        <v>26</v>
      </c>
    </row>
    <row r="943" spans="1:19" x14ac:dyDescent="0.3">
      <c r="A943" t="s">
        <v>20660</v>
      </c>
      <c r="B943" t="s">
        <v>20830</v>
      </c>
      <c r="C943" t="s">
        <v>21010</v>
      </c>
      <c r="D943" t="s">
        <v>20667</v>
      </c>
      <c r="E943" t="s">
        <v>20668</v>
      </c>
      <c r="F943" t="s">
        <v>20668</v>
      </c>
      <c r="G943" t="s">
        <v>20841</v>
      </c>
      <c r="H943" t="s">
        <v>51</v>
      </c>
      <c r="I943" t="s">
        <v>52</v>
      </c>
      <c r="J943" t="str">
        <f>"3101030"</f>
        <v>3101030</v>
      </c>
      <c r="K943">
        <v>2410620728</v>
      </c>
      <c r="L943">
        <v>2410670435</v>
      </c>
      <c r="M943" t="s">
        <v>21011</v>
      </c>
      <c r="N943" t="s">
        <v>20672</v>
      </c>
      <c r="O943" t="s">
        <v>21012</v>
      </c>
      <c r="P943">
        <v>41222</v>
      </c>
      <c r="Q943" t="str">
        <f>"39.634072"</f>
        <v>39.634072</v>
      </c>
      <c r="R943" t="str">
        <f>"22.411201"</f>
        <v>22.411201</v>
      </c>
      <c r="S943" t="s">
        <v>26</v>
      </c>
    </row>
    <row r="944" spans="1:19" x14ac:dyDescent="0.3">
      <c r="A944" t="s">
        <v>20660</v>
      </c>
      <c r="B944" t="s">
        <v>20830</v>
      </c>
      <c r="C944" t="s">
        <v>21013</v>
      </c>
      <c r="D944" t="s">
        <v>20667</v>
      </c>
      <c r="E944" t="s">
        <v>20668</v>
      </c>
      <c r="F944" t="s">
        <v>20955</v>
      </c>
      <c r="G944" t="s">
        <v>20955</v>
      </c>
      <c r="H944" t="s">
        <v>51</v>
      </c>
      <c r="I944" t="s">
        <v>52</v>
      </c>
      <c r="J944" t="str">
        <f>"3111030"</f>
        <v>3111030</v>
      </c>
      <c r="K944">
        <v>2410591773</v>
      </c>
      <c r="L944">
        <v>2410591773</v>
      </c>
      <c r="M944" t="s">
        <v>21014</v>
      </c>
      <c r="N944" t="s">
        <v>20958</v>
      </c>
      <c r="O944" t="s">
        <v>20959</v>
      </c>
      <c r="P944">
        <v>41500</v>
      </c>
      <c r="Q944" t="str">
        <f>"39.670238"</f>
        <v>39.670238</v>
      </c>
      <c r="R944" t="str">
        <f>"22.388761"</f>
        <v>22.388761</v>
      </c>
      <c r="S944" t="s">
        <v>26</v>
      </c>
    </row>
    <row r="945" spans="1:19" x14ac:dyDescent="0.3">
      <c r="A945" t="s">
        <v>20660</v>
      </c>
      <c r="B945" t="s">
        <v>20830</v>
      </c>
      <c r="C945" t="s">
        <v>21015</v>
      </c>
      <c r="D945" t="s">
        <v>20667</v>
      </c>
      <c r="E945" t="s">
        <v>20668</v>
      </c>
      <c r="F945" t="s">
        <v>20668</v>
      </c>
      <c r="G945" t="s">
        <v>20881</v>
      </c>
      <c r="H945" t="s">
        <v>51</v>
      </c>
      <c r="I945" t="s">
        <v>52</v>
      </c>
      <c r="J945" t="str">
        <f>"3101044"</f>
        <v>3101044</v>
      </c>
      <c r="K945">
        <v>2410551138</v>
      </c>
      <c r="L945">
        <v>2410236605</v>
      </c>
      <c r="M945" t="s">
        <v>21016</v>
      </c>
      <c r="N945" t="s">
        <v>20672</v>
      </c>
      <c r="O945" t="s">
        <v>21017</v>
      </c>
      <c r="P945">
        <v>41448</v>
      </c>
      <c r="Q945" t="str">
        <f>"39.625470"</f>
        <v>39.625470</v>
      </c>
      <c r="R945" t="str">
        <f>"22.430065"</f>
        <v>22.430065</v>
      </c>
      <c r="S945" t="s">
        <v>26</v>
      </c>
    </row>
    <row r="946" spans="1:19" x14ac:dyDescent="0.3">
      <c r="A946" t="s">
        <v>20660</v>
      </c>
      <c r="B946" t="s">
        <v>20830</v>
      </c>
      <c r="C946" t="s">
        <v>21018</v>
      </c>
      <c r="D946" t="s">
        <v>20667</v>
      </c>
      <c r="E946" t="s">
        <v>20831</v>
      </c>
      <c r="F946" t="s">
        <v>20852</v>
      </c>
      <c r="G946" t="s">
        <v>20853</v>
      </c>
      <c r="H946" t="s">
        <v>51</v>
      </c>
      <c r="I946" t="s">
        <v>52</v>
      </c>
      <c r="J946" t="str">
        <f>"3105010"</f>
        <v>3105010</v>
      </c>
      <c r="K946">
        <v>2495051216</v>
      </c>
      <c r="L946">
        <v>2495051216</v>
      </c>
      <c r="M946" t="s">
        <v>21019</v>
      </c>
      <c r="N946" t="s">
        <v>21020</v>
      </c>
      <c r="O946" t="s">
        <v>20857</v>
      </c>
      <c r="P946">
        <v>40006</v>
      </c>
      <c r="Q946" t="str">
        <f>"39.756653"</f>
        <v>39.756653</v>
      </c>
      <c r="R946" t="str">
        <f>"22.574491"</f>
        <v>22.574491</v>
      </c>
      <c r="S946" t="s">
        <v>26</v>
      </c>
    </row>
    <row r="947" spans="1:19" x14ac:dyDescent="0.3">
      <c r="A947" t="s">
        <v>20660</v>
      </c>
      <c r="B947" t="s">
        <v>20830</v>
      </c>
      <c r="C947" t="s">
        <v>21022</v>
      </c>
      <c r="D947" t="s">
        <v>20667</v>
      </c>
      <c r="E947" t="s">
        <v>20909</v>
      </c>
      <c r="F947" t="s">
        <v>20909</v>
      </c>
      <c r="G947" t="s">
        <v>21021</v>
      </c>
      <c r="H947" t="s">
        <v>51</v>
      </c>
      <c r="I947" t="s">
        <v>52</v>
      </c>
      <c r="J947" t="str">
        <f>"3107030"</f>
        <v>3107030</v>
      </c>
      <c r="K947">
        <v>2492041392</v>
      </c>
      <c r="L947">
        <v>2492041392</v>
      </c>
      <c r="M947" t="s">
        <v>21023</v>
      </c>
      <c r="N947" t="s">
        <v>21024</v>
      </c>
      <c r="O947" t="s">
        <v>21025</v>
      </c>
      <c r="P947">
        <v>40100</v>
      </c>
      <c r="Q947" t="str">
        <f>"39.823247"</f>
        <v>39.823247</v>
      </c>
      <c r="R947" t="str">
        <f>"22.305622"</f>
        <v>22.305622</v>
      </c>
      <c r="S947" t="s">
        <v>26</v>
      </c>
    </row>
    <row r="948" spans="1:19" x14ac:dyDescent="0.3">
      <c r="A948" t="s">
        <v>20660</v>
      </c>
      <c r="B948" t="s">
        <v>20830</v>
      </c>
      <c r="C948" t="s">
        <v>21027</v>
      </c>
      <c r="D948" t="s">
        <v>20667</v>
      </c>
      <c r="E948" t="s">
        <v>20909</v>
      </c>
      <c r="F948" t="s">
        <v>17055</v>
      </c>
      <c r="G948" t="s">
        <v>17055</v>
      </c>
      <c r="H948" t="s">
        <v>51</v>
      </c>
      <c r="I948" t="s">
        <v>52</v>
      </c>
      <c r="J948" t="str">
        <f>"3107010"</f>
        <v>3107010</v>
      </c>
      <c r="K948">
        <v>2492031316</v>
      </c>
      <c r="L948">
        <v>2492031316</v>
      </c>
      <c r="M948" t="s">
        <v>21028</v>
      </c>
      <c r="N948" t="s">
        <v>17058</v>
      </c>
      <c r="O948" t="s">
        <v>21029</v>
      </c>
      <c r="P948">
        <v>40400</v>
      </c>
      <c r="Q948" t="str">
        <f>"39.749252"</f>
        <v>39.749252</v>
      </c>
      <c r="R948" t="str">
        <f>"22.357842"</f>
        <v>22.357842</v>
      </c>
      <c r="S948" t="s">
        <v>26</v>
      </c>
    </row>
    <row r="949" spans="1:19" x14ac:dyDescent="0.3">
      <c r="A949" t="s">
        <v>20660</v>
      </c>
      <c r="B949" t="s">
        <v>20830</v>
      </c>
      <c r="C949" t="s">
        <v>21031</v>
      </c>
      <c r="D949" t="s">
        <v>20667</v>
      </c>
      <c r="E949" t="s">
        <v>20831</v>
      </c>
      <c r="F949" t="s">
        <v>20870</v>
      </c>
      <c r="G949" t="s">
        <v>20870</v>
      </c>
      <c r="H949" t="s">
        <v>51</v>
      </c>
      <c r="I949" t="s">
        <v>52</v>
      </c>
      <c r="J949" t="str">
        <f>"3103010"</f>
        <v>3103010</v>
      </c>
      <c r="K949">
        <v>2495031237</v>
      </c>
      <c r="L949">
        <v>2495031237</v>
      </c>
      <c r="M949" t="s">
        <v>21032</v>
      </c>
      <c r="N949" t="s">
        <v>20870</v>
      </c>
      <c r="O949" t="s">
        <v>20873</v>
      </c>
      <c r="P949">
        <v>40004</v>
      </c>
      <c r="Q949" t="str">
        <f>"39.862698"</f>
        <v>39.862698</v>
      </c>
      <c r="R949" t="str">
        <f>"22.469835"</f>
        <v>22.469835</v>
      </c>
      <c r="S949" t="s">
        <v>26</v>
      </c>
    </row>
    <row r="950" spans="1:19" x14ac:dyDescent="0.3">
      <c r="A950" t="s">
        <v>20660</v>
      </c>
      <c r="B950" t="s">
        <v>20830</v>
      </c>
      <c r="C950" t="s">
        <v>21035</v>
      </c>
      <c r="D950" t="s">
        <v>20667</v>
      </c>
      <c r="E950" t="s">
        <v>20859</v>
      </c>
      <c r="F950" t="s">
        <v>21033</v>
      </c>
      <c r="G950" t="s">
        <v>21034</v>
      </c>
      <c r="H950" t="s">
        <v>51</v>
      </c>
      <c r="I950" t="s">
        <v>89</v>
      </c>
      <c r="J950" t="str">
        <f>"3115010"</f>
        <v>3115010</v>
      </c>
      <c r="K950">
        <v>2492081195</v>
      </c>
      <c r="L950">
        <v>2492081294</v>
      </c>
      <c r="M950" t="s">
        <v>21036</v>
      </c>
      <c r="N950" t="s">
        <v>21037</v>
      </c>
      <c r="O950" t="s">
        <v>21037</v>
      </c>
      <c r="P950">
        <v>40005</v>
      </c>
      <c r="Q950" t="str">
        <f>"39.783694"</f>
        <v>39.783694</v>
      </c>
      <c r="R950" t="str">
        <f>"21.977252"</f>
        <v>21.977252</v>
      </c>
      <c r="S950" t="s">
        <v>26</v>
      </c>
    </row>
    <row r="951" spans="1:19" x14ac:dyDescent="0.3">
      <c r="A951" t="s">
        <v>20660</v>
      </c>
      <c r="B951" t="s">
        <v>20830</v>
      </c>
      <c r="C951" t="s">
        <v>21041</v>
      </c>
      <c r="D951" t="s">
        <v>20667</v>
      </c>
      <c r="E951" t="s">
        <v>20875</v>
      </c>
      <c r="F951" t="s">
        <v>21039</v>
      </c>
      <c r="G951" t="s">
        <v>21040</v>
      </c>
      <c r="H951" t="s">
        <v>51</v>
      </c>
      <c r="I951" t="s">
        <v>52</v>
      </c>
      <c r="J951" t="str">
        <f>"3106050"</f>
        <v>3106050</v>
      </c>
      <c r="K951">
        <v>2491071358</v>
      </c>
      <c r="L951">
        <v>2491071358</v>
      </c>
      <c r="M951" t="s">
        <v>21042</v>
      </c>
      <c r="O951" t="s">
        <v>21043</v>
      </c>
      <c r="P951">
        <v>40300</v>
      </c>
      <c r="Q951" t="str">
        <f>"39.347095"</f>
        <v>39.347095</v>
      </c>
      <c r="R951" t="str">
        <f>"22.330961"</f>
        <v>22.330961</v>
      </c>
      <c r="S951" t="s">
        <v>26</v>
      </c>
    </row>
    <row r="952" spans="1:19" x14ac:dyDescent="0.3">
      <c r="A952" t="s">
        <v>20660</v>
      </c>
      <c r="B952" t="s">
        <v>20830</v>
      </c>
      <c r="C952" t="s">
        <v>21047</v>
      </c>
      <c r="D952" t="s">
        <v>20667</v>
      </c>
      <c r="E952" t="s">
        <v>20859</v>
      </c>
      <c r="F952" t="s">
        <v>21046</v>
      </c>
      <c r="G952" t="s">
        <v>21046</v>
      </c>
      <c r="H952" t="s">
        <v>51</v>
      </c>
      <c r="I952" t="s">
        <v>89</v>
      </c>
      <c r="J952" t="str">
        <f>"3104030"</f>
        <v>3104030</v>
      </c>
      <c r="K952">
        <v>2493081207</v>
      </c>
      <c r="L952">
        <v>2493081207</v>
      </c>
      <c r="M952" t="s">
        <v>21048</v>
      </c>
      <c r="N952" t="s">
        <v>21049</v>
      </c>
      <c r="O952" t="s">
        <v>21049</v>
      </c>
      <c r="P952">
        <v>40200</v>
      </c>
      <c r="Q952" t="str">
        <f>"39.880768"</f>
        <v>39.880768</v>
      </c>
      <c r="R952" t="str">
        <f>"22.230037"</f>
        <v>22.230037</v>
      </c>
      <c r="S952" t="s">
        <v>26</v>
      </c>
    </row>
    <row r="953" spans="1:19" x14ac:dyDescent="0.3">
      <c r="A953" t="s">
        <v>20660</v>
      </c>
      <c r="B953" t="s">
        <v>20830</v>
      </c>
      <c r="C953" t="s">
        <v>21051</v>
      </c>
      <c r="D953" t="s">
        <v>20667</v>
      </c>
      <c r="E953" t="s">
        <v>20909</v>
      </c>
      <c r="F953" t="s">
        <v>20909</v>
      </c>
      <c r="G953" t="s">
        <v>20909</v>
      </c>
      <c r="H953" t="s">
        <v>51</v>
      </c>
      <c r="I953" t="s">
        <v>52</v>
      </c>
      <c r="J953" t="str">
        <f>"3107020"</f>
        <v>3107020</v>
      </c>
      <c r="K953">
        <v>2492022223</v>
      </c>
      <c r="L953">
        <v>2492022223</v>
      </c>
      <c r="M953" t="s">
        <v>21052</v>
      </c>
      <c r="N953" t="s">
        <v>20977</v>
      </c>
      <c r="O953" t="s">
        <v>21053</v>
      </c>
      <c r="P953">
        <v>40100</v>
      </c>
      <c r="Q953" t="str">
        <f>"39.736794"</f>
        <v>39.736794</v>
      </c>
      <c r="R953" t="str">
        <f>"22.294199"</f>
        <v>22.294199</v>
      </c>
      <c r="S953" t="s">
        <v>26</v>
      </c>
    </row>
    <row r="954" spans="1:19" x14ac:dyDescent="0.3">
      <c r="A954" t="s">
        <v>20660</v>
      </c>
      <c r="B954" t="s">
        <v>20830</v>
      </c>
      <c r="C954" t="s">
        <v>21055</v>
      </c>
      <c r="D954" t="s">
        <v>20667</v>
      </c>
      <c r="E954" t="s">
        <v>20899</v>
      </c>
      <c r="F954" t="s">
        <v>5431</v>
      </c>
      <c r="G954" t="s">
        <v>5431</v>
      </c>
      <c r="H954" t="s">
        <v>51</v>
      </c>
      <c r="I954" t="s">
        <v>52</v>
      </c>
      <c r="J954" t="str">
        <f>"3101060"</f>
        <v>3101060</v>
      </c>
      <c r="K954">
        <v>2410921576</v>
      </c>
      <c r="L954">
        <v>2410921576</v>
      </c>
      <c r="M954" t="s">
        <v>21056</v>
      </c>
      <c r="N954" t="s">
        <v>20936</v>
      </c>
      <c r="O954" t="s">
        <v>21057</v>
      </c>
      <c r="P954">
        <v>41005</v>
      </c>
      <c r="Q954" t="str">
        <f>"39.564582"</f>
        <v>39.564582</v>
      </c>
      <c r="R954" t="str">
        <f>"22.472117"</f>
        <v>22.472117</v>
      </c>
      <c r="S954" t="s">
        <v>26</v>
      </c>
    </row>
    <row r="955" spans="1:19" x14ac:dyDescent="0.3">
      <c r="A955" t="s">
        <v>20660</v>
      </c>
      <c r="B955" t="s">
        <v>20830</v>
      </c>
      <c r="C955" t="s">
        <v>21058</v>
      </c>
      <c r="D955" t="s">
        <v>20667</v>
      </c>
      <c r="E955" t="s">
        <v>20668</v>
      </c>
      <c r="F955" t="s">
        <v>20668</v>
      </c>
      <c r="G955" t="s">
        <v>20942</v>
      </c>
      <c r="H955" t="s">
        <v>51</v>
      </c>
      <c r="I955" t="s">
        <v>52</v>
      </c>
      <c r="J955" t="str">
        <f>"3101046"</f>
        <v>3101046</v>
      </c>
      <c r="K955">
        <v>2410237153</v>
      </c>
      <c r="L955">
        <v>2410237153</v>
      </c>
      <c r="M955" t="s">
        <v>21059</v>
      </c>
      <c r="N955" t="s">
        <v>20672</v>
      </c>
      <c r="O955" t="s">
        <v>20953</v>
      </c>
      <c r="P955">
        <v>41336</v>
      </c>
      <c r="Q955" t="str">
        <f>"39.648104"</f>
        <v>39.648104</v>
      </c>
      <c r="R955" t="str">
        <f>"22.434311"</f>
        <v>22.434311</v>
      </c>
      <c r="S955" t="s">
        <v>26</v>
      </c>
    </row>
    <row r="956" spans="1:19" x14ac:dyDescent="0.3">
      <c r="A956" t="s">
        <v>20660</v>
      </c>
      <c r="B956" t="s">
        <v>20830</v>
      </c>
      <c r="C956" t="s">
        <v>21060</v>
      </c>
      <c r="D956" t="s">
        <v>20667</v>
      </c>
      <c r="E956" t="s">
        <v>20668</v>
      </c>
      <c r="F956" t="s">
        <v>20668</v>
      </c>
      <c r="G956" t="s">
        <v>20841</v>
      </c>
      <c r="H956" t="s">
        <v>51</v>
      </c>
      <c r="I956" t="s">
        <v>52</v>
      </c>
      <c r="J956" t="str">
        <f>"3101047"</f>
        <v>3101047</v>
      </c>
      <c r="K956">
        <v>2410253926</v>
      </c>
      <c r="L956">
        <v>2410253926</v>
      </c>
      <c r="M956" t="s">
        <v>21061</v>
      </c>
      <c r="N956" t="s">
        <v>20672</v>
      </c>
      <c r="O956" t="s">
        <v>21062</v>
      </c>
      <c r="P956">
        <v>41447</v>
      </c>
      <c r="Q956" t="str">
        <f>"39.645571"</f>
        <v>39.645571</v>
      </c>
      <c r="R956" t="str">
        <f>"22.419790"</f>
        <v>22.419790</v>
      </c>
      <c r="S956" t="s">
        <v>26</v>
      </c>
    </row>
    <row r="957" spans="1:19" x14ac:dyDescent="0.3">
      <c r="A957" t="s">
        <v>20660</v>
      </c>
      <c r="B957" t="s">
        <v>20830</v>
      </c>
      <c r="C957" t="s">
        <v>21064</v>
      </c>
      <c r="D957" t="s">
        <v>20667</v>
      </c>
      <c r="E957" t="s">
        <v>20899</v>
      </c>
      <c r="F957" t="s">
        <v>20900</v>
      </c>
      <c r="G957" t="s">
        <v>20900</v>
      </c>
      <c r="H957" t="s">
        <v>51</v>
      </c>
      <c r="I957" t="s">
        <v>52</v>
      </c>
      <c r="J957" t="str">
        <f>"3114010"</f>
        <v>3114010</v>
      </c>
      <c r="K957">
        <v>2410971587</v>
      </c>
      <c r="L957">
        <v>2410971587</v>
      </c>
      <c r="M957" t="s">
        <v>21065</v>
      </c>
      <c r="N957" t="s">
        <v>20903</v>
      </c>
      <c r="O957" t="s">
        <v>20903</v>
      </c>
      <c r="P957">
        <v>40009</v>
      </c>
      <c r="Q957" t="str">
        <f>"39.626487"</f>
        <v>39.626487</v>
      </c>
      <c r="R957" t="str">
        <f>"22.536421"</f>
        <v>22.536421</v>
      </c>
      <c r="S957" t="s">
        <v>26</v>
      </c>
    </row>
    <row r="958" spans="1:19" x14ac:dyDescent="0.3">
      <c r="A958" t="s">
        <v>20660</v>
      </c>
      <c r="B958" t="s">
        <v>20830</v>
      </c>
      <c r="C958" t="s">
        <v>21066</v>
      </c>
      <c r="D958" t="s">
        <v>20667</v>
      </c>
      <c r="E958" t="s">
        <v>20668</v>
      </c>
      <c r="F958" t="s">
        <v>20668</v>
      </c>
      <c r="G958" t="s">
        <v>20942</v>
      </c>
      <c r="H958" t="s">
        <v>51</v>
      </c>
      <c r="I958" t="s">
        <v>184</v>
      </c>
      <c r="J958" t="str">
        <f>"3101050"</f>
        <v>3101050</v>
      </c>
      <c r="K958">
        <v>2410239476</v>
      </c>
      <c r="L958">
        <v>2410239476</v>
      </c>
      <c r="M958" t="s">
        <v>21067</v>
      </c>
      <c r="N958" t="s">
        <v>20672</v>
      </c>
      <c r="O958" t="s">
        <v>21068</v>
      </c>
      <c r="P958">
        <v>41223</v>
      </c>
      <c r="Q958" t="str">
        <f>"39.631745"</f>
        <v>39.631745</v>
      </c>
      <c r="R958" t="str">
        <f>"22.420325"</f>
        <v>22.420325</v>
      </c>
      <c r="S958" t="s">
        <v>26</v>
      </c>
    </row>
    <row r="959" spans="1:19" x14ac:dyDescent="0.3">
      <c r="A959" t="s">
        <v>20660</v>
      </c>
      <c r="B959" t="s">
        <v>20830</v>
      </c>
      <c r="C959" t="s">
        <v>21072</v>
      </c>
      <c r="D959" t="s">
        <v>20667</v>
      </c>
      <c r="E959" t="s">
        <v>20875</v>
      </c>
      <c r="F959" t="s">
        <v>21070</v>
      </c>
      <c r="G959" t="s">
        <v>21071</v>
      </c>
      <c r="H959" t="s">
        <v>51</v>
      </c>
      <c r="I959" t="s">
        <v>52</v>
      </c>
      <c r="J959" t="str">
        <f>"3106080"</f>
        <v>3106080</v>
      </c>
      <c r="K959">
        <v>2491041550</v>
      </c>
      <c r="L959">
        <v>2491041550</v>
      </c>
      <c r="M959" t="s">
        <v>21073</v>
      </c>
      <c r="N959" t="s">
        <v>21074</v>
      </c>
      <c r="O959" t="s">
        <v>21075</v>
      </c>
      <c r="P959">
        <v>40300</v>
      </c>
      <c r="Q959" t="str">
        <f>"39.334733"</f>
        <v>39.334733</v>
      </c>
      <c r="R959" t="str">
        <f>"22.414206"</f>
        <v>22.414206</v>
      </c>
      <c r="S959" t="s">
        <v>26</v>
      </c>
    </row>
    <row r="960" spans="1:19" x14ac:dyDescent="0.3">
      <c r="A960" t="s">
        <v>20660</v>
      </c>
      <c r="B960" t="s">
        <v>20830</v>
      </c>
      <c r="C960" t="s">
        <v>21078</v>
      </c>
      <c r="D960" t="s">
        <v>20667</v>
      </c>
      <c r="E960" t="s">
        <v>20899</v>
      </c>
      <c r="F960" t="s">
        <v>21077</v>
      </c>
      <c r="G960" t="s">
        <v>21077</v>
      </c>
      <c r="H960" t="s">
        <v>51</v>
      </c>
      <c r="I960" t="s">
        <v>89</v>
      </c>
      <c r="J960" t="str">
        <f>"3112010"</f>
        <v>3112010</v>
      </c>
      <c r="K960">
        <v>2410721219</v>
      </c>
      <c r="M960" t="s">
        <v>21079</v>
      </c>
      <c r="N960" t="s">
        <v>21080</v>
      </c>
      <c r="O960" t="s">
        <v>21081</v>
      </c>
      <c r="P960">
        <v>41500</v>
      </c>
      <c r="Q960" t="str">
        <f>"39.493718"</f>
        <v>39.493718</v>
      </c>
      <c r="R960" t="str">
        <f>"22.700553"</f>
        <v>22.700553</v>
      </c>
      <c r="S960" t="s">
        <v>26</v>
      </c>
    </row>
    <row r="961" spans="1:19" x14ac:dyDescent="0.3">
      <c r="A961" t="s">
        <v>20660</v>
      </c>
      <c r="B961" t="s">
        <v>20830</v>
      </c>
      <c r="C961" t="s">
        <v>21085</v>
      </c>
      <c r="D961" t="s">
        <v>20667</v>
      </c>
      <c r="E961" t="s">
        <v>20668</v>
      </c>
      <c r="F961" t="s">
        <v>21083</v>
      </c>
      <c r="G961" t="s">
        <v>21084</v>
      </c>
      <c r="H961" t="s">
        <v>51</v>
      </c>
      <c r="I961" t="s">
        <v>89</v>
      </c>
      <c r="J961" t="str">
        <f>"3111060"</f>
        <v>3111060</v>
      </c>
      <c r="K961">
        <v>2410811281</v>
      </c>
      <c r="L961">
        <v>2410811281</v>
      </c>
      <c r="M961" t="s">
        <v>21086</v>
      </c>
      <c r="N961" t="s">
        <v>21087</v>
      </c>
      <c r="O961" t="s">
        <v>21088</v>
      </c>
      <c r="P961">
        <v>41500</v>
      </c>
      <c r="Q961" t="str">
        <f>"39.574420"</f>
        <v>39.574420</v>
      </c>
      <c r="R961" t="str">
        <f>"22.302281"</f>
        <v>22.302281</v>
      </c>
      <c r="S961" t="s">
        <v>26</v>
      </c>
    </row>
    <row r="962" spans="1:19" x14ac:dyDescent="0.3">
      <c r="A962" t="s">
        <v>20660</v>
      </c>
      <c r="B962" t="s">
        <v>20830</v>
      </c>
      <c r="C962" t="s">
        <v>21090</v>
      </c>
      <c r="D962" t="s">
        <v>20667</v>
      </c>
      <c r="E962" t="s">
        <v>20668</v>
      </c>
      <c r="F962" t="s">
        <v>20668</v>
      </c>
      <c r="G962" t="s">
        <v>20881</v>
      </c>
      <c r="H962" t="s">
        <v>51</v>
      </c>
      <c r="I962" t="s">
        <v>52</v>
      </c>
      <c r="J962" t="str">
        <f>"3101021"</f>
        <v>3101021</v>
      </c>
      <c r="K962">
        <v>2410619701</v>
      </c>
      <c r="L962">
        <v>2410619701</v>
      </c>
      <c r="M962" t="s">
        <v>21091</v>
      </c>
      <c r="N962" t="s">
        <v>20672</v>
      </c>
      <c r="O962" t="s">
        <v>20884</v>
      </c>
      <c r="P962">
        <v>41334</v>
      </c>
      <c r="Q962" t="str">
        <f>"39.617144"</f>
        <v>39.617144</v>
      </c>
      <c r="R962" t="str">
        <f>"22.402106"</f>
        <v>22.402106</v>
      </c>
      <c r="S962" t="s">
        <v>26</v>
      </c>
    </row>
    <row r="963" spans="1:19" x14ac:dyDescent="0.3">
      <c r="A963" t="s">
        <v>20660</v>
      </c>
      <c r="B963" t="s">
        <v>20830</v>
      </c>
      <c r="C963" t="s">
        <v>21092</v>
      </c>
      <c r="D963" t="s">
        <v>20667</v>
      </c>
      <c r="E963" t="s">
        <v>20668</v>
      </c>
      <c r="F963" t="s">
        <v>20668</v>
      </c>
      <c r="G963" t="s">
        <v>20881</v>
      </c>
      <c r="H963" t="s">
        <v>51</v>
      </c>
      <c r="I963" t="s">
        <v>52</v>
      </c>
      <c r="J963" t="str">
        <f>"3101048"</f>
        <v>3101048</v>
      </c>
      <c r="K963">
        <v>2410660198</v>
      </c>
      <c r="L963">
        <v>2410671322</v>
      </c>
      <c r="M963" t="s">
        <v>21093</v>
      </c>
      <c r="N963" t="s">
        <v>20672</v>
      </c>
      <c r="O963" t="s">
        <v>21094</v>
      </c>
      <c r="P963">
        <v>41335</v>
      </c>
      <c r="Q963" t="str">
        <f>"39.610933"</f>
        <v>39.610933</v>
      </c>
      <c r="R963" t="str">
        <f>"22.428924"</f>
        <v>22.428924</v>
      </c>
      <c r="S963" t="s">
        <v>26</v>
      </c>
    </row>
    <row r="964" spans="1:19" x14ac:dyDescent="0.3">
      <c r="A964" t="s">
        <v>20660</v>
      </c>
      <c r="B964" t="s">
        <v>20830</v>
      </c>
      <c r="C964" t="s">
        <v>21100</v>
      </c>
      <c r="D964" t="s">
        <v>20667</v>
      </c>
      <c r="E964" t="s">
        <v>20668</v>
      </c>
      <c r="F964" t="s">
        <v>20668</v>
      </c>
      <c r="G964" t="s">
        <v>20669</v>
      </c>
      <c r="H964" t="s">
        <v>51</v>
      </c>
      <c r="I964" t="s">
        <v>52</v>
      </c>
      <c r="J964" t="str">
        <f>"3101045"</f>
        <v>3101045</v>
      </c>
      <c r="K964">
        <v>2410250019</v>
      </c>
      <c r="L964">
        <v>2410250032</v>
      </c>
      <c r="M964" t="s">
        <v>21101</v>
      </c>
      <c r="N964" t="s">
        <v>20672</v>
      </c>
      <c r="O964" t="s">
        <v>21102</v>
      </c>
      <c r="P964">
        <v>41447</v>
      </c>
      <c r="Q964" t="str">
        <f>"39.639235"</f>
        <v>39.639235</v>
      </c>
      <c r="R964" t="str">
        <f>"22.403047"</f>
        <v>22.403047</v>
      </c>
      <c r="S964" t="s">
        <v>26</v>
      </c>
    </row>
    <row r="965" spans="1:19" x14ac:dyDescent="0.3">
      <c r="A965" t="s">
        <v>20660</v>
      </c>
      <c r="B965" t="s">
        <v>20830</v>
      </c>
      <c r="C965" t="s">
        <v>21103</v>
      </c>
      <c r="D965" t="s">
        <v>20667</v>
      </c>
      <c r="E965" t="s">
        <v>20859</v>
      </c>
      <c r="F965" t="s">
        <v>20859</v>
      </c>
      <c r="G965" t="s">
        <v>20961</v>
      </c>
      <c r="H965" t="s">
        <v>51</v>
      </c>
      <c r="I965" t="s">
        <v>52</v>
      </c>
      <c r="J965" t="str">
        <f>"3104010"</f>
        <v>3104010</v>
      </c>
      <c r="K965">
        <v>2493025427</v>
      </c>
      <c r="L965">
        <v>2493022656</v>
      </c>
      <c r="M965" t="s">
        <v>21104</v>
      </c>
      <c r="N965" t="s">
        <v>20964</v>
      </c>
      <c r="O965" t="s">
        <v>21105</v>
      </c>
      <c r="P965">
        <v>40200</v>
      </c>
      <c r="Q965" t="str">
        <f>"39.889756"</f>
        <v>39.889756</v>
      </c>
      <c r="R965" t="str">
        <f>"22.192309"</f>
        <v>22.192309</v>
      </c>
      <c r="S965" t="s">
        <v>26</v>
      </c>
    </row>
    <row r="966" spans="1:19" x14ac:dyDescent="0.3">
      <c r="A966" t="s">
        <v>20660</v>
      </c>
      <c r="B966" t="s">
        <v>20830</v>
      </c>
      <c r="C966" t="s">
        <v>21106</v>
      </c>
      <c r="D966" t="s">
        <v>20667</v>
      </c>
      <c r="E966" t="s">
        <v>20668</v>
      </c>
      <c r="F966" t="s">
        <v>20668</v>
      </c>
      <c r="G966" t="s">
        <v>20881</v>
      </c>
      <c r="H966" t="s">
        <v>51</v>
      </c>
      <c r="I966" t="s">
        <v>52</v>
      </c>
      <c r="J966" t="str">
        <f>"3101051"</f>
        <v>3101051</v>
      </c>
      <c r="K966">
        <v>2410620724</v>
      </c>
      <c r="L966">
        <v>2410620724</v>
      </c>
      <c r="M966" t="s">
        <v>21107</v>
      </c>
      <c r="N966" t="s">
        <v>20672</v>
      </c>
      <c r="O966" t="s">
        <v>21108</v>
      </c>
      <c r="P966">
        <v>41335</v>
      </c>
      <c r="Q966" t="str">
        <f>"39.621029"</f>
        <v>39.621029</v>
      </c>
      <c r="R966" t="str">
        <f>"22.417315"</f>
        <v>22.417315</v>
      </c>
      <c r="S966" t="s">
        <v>26</v>
      </c>
    </row>
    <row r="967" spans="1:19" x14ac:dyDescent="0.3">
      <c r="A967" t="s">
        <v>20660</v>
      </c>
      <c r="B967" t="s">
        <v>20830</v>
      </c>
      <c r="C967" t="s">
        <v>21109</v>
      </c>
      <c r="D967" t="s">
        <v>20667</v>
      </c>
      <c r="E967" t="s">
        <v>20668</v>
      </c>
      <c r="F967" t="s">
        <v>20668</v>
      </c>
      <c r="G967" t="s">
        <v>20942</v>
      </c>
      <c r="H967" t="s">
        <v>51</v>
      </c>
      <c r="I967" t="s">
        <v>52</v>
      </c>
      <c r="J967" t="str">
        <f>"3101042"</f>
        <v>3101042</v>
      </c>
      <c r="K967">
        <v>2410571737</v>
      </c>
      <c r="L967">
        <v>2410572037</v>
      </c>
      <c r="M967" t="s">
        <v>21110</v>
      </c>
      <c r="N967" t="s">
        <v>20672</v>
      </c>
      <c r="O967" t="s">
        <v>21111</v>
      </c>
      <c r="P967">
        <v>41336</v>
      </c>
      <c r="Q967" t="str">
        <f>"39.628227"</f>
        <v>39.628227</v>
      </c>
      <c r="R967" t="str">
        <f>"22.451147"</f>
        <v>22.451147</v>
      </c>
      <c r="S967" t="s">
        <v>26</v>
      </c>
    </row>
    <row r="968" spans="1:19" x14ac:dyDescent="0.3">
      <c r="A968" t="s">
        <v>20660</v>
      </c>
      <c r="B968" t="s">
        <v>20830</v>
      </c>
      <c r="C968" t="s">
        <v>21113</v>
      </c>
      <c r="D968" t="s">
        <v>20667</v>
      </c>
      <c r="E968" t="s">
        <v>4424</v>
      </c>
      <c r="F968" t="s">
        <v>4424</v>
      </c>
      <c r="G968" t="s">
        <v>4424</v>
      </c>
      <c r="H968" t="s">
        <v>51</v>
      </c>
      <c r="I968" t="s">
        <v>52</v>
      </c>
      <c r="J968" t="str">
        <f>"3102010"</f>
        <v>3102010</v>
      </c>
      <c r="K968">
        <v>2494022393</v>
      </c>
      <c r="L968">
        <v>2494022393</v>
      </c>
      <c r="M968" t="s">
        <v>21114</v>
      </c>
      <c r="N968" t="s">
        <v>20606</v>
      </c>
      <c r="O968" t="s">
        <v>21115</v>
      </c>
      <c r="P968">
        <v>40003</v>
      </c>
      <c r="Q968" t="str">
        <f>"39.717573"</f>
        <v>39.717573</v>
      </c>
      <c r="R968" t="str">
        <f>"22.752600"</f>
        <v>22.752600</v>
      </c>
      <c r="S968" t="s">
        <v>26</v>
      </c>
    </row>
    <row r="969" spans="1:19" x14ac:dyDescent="0.3">
      <c r="A969" t="s">
        <v>20660</v>
      </c>
      <c r="B969" t="s">
        <v>20830</v>
      </c>
      <c r="C969" t="s">
        <v>21117</v>
      </c>
      <c r="D969" t="s">
        <v>20667</v>
      </c>
      <c r="E969" t="s">
        <v>20668</v>
      </c>
      <c r="F969" t="s">
        <v>20668</v>
      </c>
      <c r="G969" t="s">
        <v>20942</v>
      </c>
      <c r="H969" t="s">
        <v>51</v>
      </c>
      <c r="I969" t="s">
        <v>52</v>
      </c>
      <c r="J969" t="str">
        <f>"3101040"</f>
        <v>3101040</v>
      </c>
      <c r="K969">
        <v>2410579619</v>
      </c>
      <c r="L969">
        <v>2410239476</v>
      </c>
      <c r="M969" t="s">
        <v>21118</v>
      </c>
      <c r="N969" t="s">
        <v>20672</v>
      </c>
      <c r="O969" t="s">
        <v>21119</v>
      </c>
      <c r="P969">
        <v>41223</v>
      </c>
      <c r="Q969" t="str">
        <f>"39.632466"</f>
        <v>39.632466</v>
      </c>
      <c r="R969" t="str">
        <f>"22.423533"</f>
        <v>22.423533</v>
      </c>
      <c r="S969" t="s">
        <v>26</v>
      </c>
    </row>
    <row r="970" spans="1:19" x14ac:dyDescent="0.3">
      <c r="A970" t="s">
        <v>20660</v>
      </c>
      <c r="B970" t="s">
        <v>20830</v>
      </c>
      <c r="C970" t="s">
        <v>21130</v>
      </c>
      <c r="D970" t="s">
        <v>20667</v>
      </c>
      <c r="E970" t="s">
        <v>20859</v>
      </c>
      <c r="F970" t="s">
        <v>21128</v>
      </c>
      <c r="G970" t="s">
        <v>21129</v>
      </c>
      <c r="H970" t="s">
        <v>51</v>
      </c>
      <c r="I970" t="s">
        <v>89</v>
      </c>
      <c r="J970" t="str">
        <f>"3116010"</f>
        <v>3116010</v>
      </c>
      <c r="K970">
        <v>2493061353</v>
      </c>
      <c r="L970">
        <v>2493061353</v>
      </c>
      <c r="M970" t="s">
        <v>21131</v>
      </c>
      <c r="N970" t="s">
        <v>5567</v>
      </c>
      <c r="O970" t="s">
        <v>21132</v>
      </c>
      <c r="P970">
        <v>40200</v>
      </c>
      <c r="Q970" t="str">
        <f>"39.980094"</f>
        <v>39.980094</v>
      </c>
      <c r="R970" t="str">
        <f>"22.190315"</f>
        <v>22.190315</v>
      </c>
      <c r="S970" t="s">
        <v>26</v>
      </c>
    </row>
    <row r="971" spans="1:19" x14ac:dyDescent="0.3">
      <c r="A971" t="s">
        <v>20660</v>
      </c>
      <c r="B971" t="s">
        <v>20830</v>
      </c>
      <c r="C971" t="s">
        <v>21134</v>
      </c>
      <c r="D971" t="s">
        <v>20667</v>
      </c>
      <c r="E971" t="s">
        <v>20668</v>
      </c>
      <c r="F971" t="s">
        <v>20668</v>
      </c>
      <c r="G971" t="s">
        <v>20881</v>
      </c>
      <c r="H971" t="s">
        <v>51</v>
      </c>
      <c r="I971" t="s">
        <v>190</v>
      </c>
      <c r="J971" t="str">
        <f>"3101055"</f>
        <v>3101055</v>
      </c>
      <c r="K971">
        <v>2410627121</v>
      </c>
      <c r="L971">
        <v>2410627121</v>
      </c>
      <c r="M971" t="s">
        <v>21135</v>
      </c>
      <c r="N971" t="s">
        <v>20672</v>
      </c>
      <c r="O971" t="s">
        <v>21136</v>
      </c>
      <c r="P971">
        <v>41335</v>
      </c>
      <c r="Q971" t="str">
        <f>"39.617369"</f>
        <v>39.617369</v>
      </c>
      <c r="R971" t="str">
        <f>"22.411295"</f>
        <v>22.411295</v>
      </c>
      <c r="S971" t="s">
        <v>26</v>
      </c>
    </row>
    <row r="972" spans="1:19" x14ac:dyDescent="0.3">
      <c r="A972" t="s">
        <v>20660</v>
      </c>
      <c r="B972" t="s">
        <v>20830</v>
      </c>
      <c r="C972" t="s">
        <v>21150</v>
      </c>
      <c r="D972" t="s">
        <v>20667</v>
      </c>
      <c r="E972" t="s">
        <v>20668</v>
      </c>
      <c r="F972" t="s">
        <v>20668</v>
      </c>
      <c r="G972" t="s">
        <v>20841</v>
      </c>
      <c r="H972" t="s">
        <v>51</v>
      </c>
      <c r="I972" t="s">
        <v>52</v>
      </c>
      <c r="J972" t="str">
        <f>"3101010"</f>
        <v>3101010</v>
      </c>
      <c r="K972">
        <v>2410620720</v>
      </c>
      <c r="L972">
        <v>2410672307</v>
      </c>
      <c r="M972" t="s">
        <v>21151</v>
      </c>
      <c r="N972" t="s">
        <v>20672</v>
      </c>
      <c r="O972" t="s">
        <v>20891</v>
      </c>
      <c r="P972">
        <v>41222</v>
      </c>
      <c r="Q972" t="str">
        <f>"39.634638"</f>
        <v>39.634638</v>
      </c>
      <c r="R972" t="str">
        <f>"22.412600"</f>
        <v>22.412600</v>
      </c>
      <c r="S972" t="s">
        <v>26</v>
      </c>
    </row>
    <row r="973" spans="1:19" x14ac:dyDescent="0.3">
      <c r="A973" t="s">
        <v>20660</v>
      </c>
      <c r="B973" t="s">
        <v>20830</v>
      </c>
      <c r="C973" t="s">
        <v>21177</v>
      </c>
      <c r="D973" t="s">
        <v>20667</v>
      </c>
      <c r="E973" t="s">
        <v>20859</v>
      </c>
      <c r="F973" t="s">
        <v>12358</v>
      </c>
      <c r="G973" t="s">
        <v>12358</v>
      </c>
      <c r="H973" t="s">
        <v>51</v>
      </c>
      <c r="I973" t="s">
        <v>89</v>
      </c>
      <c r="J973" t="str">
        <f>"3110904"</f>
        <v>3110904</v>
      </c>
      <c r="K973">
        <v>2493041394</v>
      </c>
      <c r="L973">
        <v>2493041049</v>
      </c>
      <c r="M973" t="s">
        <v>21178</v>
      </c>
      <c r="N973" t="s">
        <v>20964</v>
      </c>
      <c r="O973" t="s">
        <v>21179</v>
      </c>
      <c r="P973">
        <v>40200</v>
      </c>
      <c r="Q973" t="str">
        <f>"40.124663"</f>
        <v>40.124663</v>
      </c>
      <c r="R973" t="str">
        <f>"22.157431"</f>
        <v>22.157431</v>
      </c>
      <c r="S973" t="s">
        <v>26</v>
      </c>
    </row>
    <row r="974" spans="1:19" x14ac:dyDescent="0.3">
      <c r="A974" t="s">
        <v>20660</v>
      </c>
      <c r="B974" t="s">
        <v>20830</v>
      </c>
      <c r="C974" t="s">
        <v>21181</v>
      </c>
      <c r="D974" t="s">
        <v>20667</v>
      </c>
      <c r="E974" t="s">
        <v>20859</v>
      </c>
      <c r="F974" t="s">
        <v>20859</v>
      </c>
      <c r="G974" t="s">
        <v>20961</v>
      </c>
      <c r="H974" t="s">
        <v>51</v>
      </c>
      <c r="I974" t="s">
        <v>199</v>
      </c>
      <c r="J974" t="str">
        <f>"3111001"</f>
        <v>3111001</v>
      </c>
      <c r="K974">
        <v>2493029511</v>
      </c>
      <c r="L974">
        <v>2493029511</v>
      </c>
      <c r="M974" t="s">
        <v>21182</v>
      </c>
      <c r="N974" t="s">
        <v>20964</v>
      </c>
      <c r="O974" t="s">
        <v>21123</v>
      </c>
      <c r="P974">
        <v>40200</v>
      </c>
      <c r="Q974" t="str">
        <f>"39.893038"</f>
        <v>39.893038</v>
      </c>
      <c r="R974" t="str">
        <f>"22.180933"</f>
        <v>22.180933</v>
      </c>
      <c r="S974" t="s">
        <v>26</v>
      </c>
    </row>
    <row r="975" spans="1:19" x14ac:dyDescent="0.3">
      <c r="A975" t="s">
        <v>20660</v>
      </c>
      <c r="B975" t="s">
        <v>20830</v>
      </c>
      <c r="C975" t="s">
        <v>21189</v>
      </c>
      <c r="D975" t="s">
        <v>20667</v>
      </c>
      <c r="E975" t="s">
        <v>20859</v>
      </c>
      <c r="F975" t="s">
        <v>16102</v>
      </c>
      <c r="G975" t="s">
        <v>16102</v>
      </c>
      <c r="H975" t="s">
        <v>51</v>
      </c>
      <c r="I975" t="s">
        <v>52</v>
      </c>
      <c r="J975" t="str">
        <f>"3135001"</f>
        <v>3135001</v>
      </c>
      <c r="K975">
        <v>2493091305</v>
      </c>
      <c r="L975">
        <v>2493091305</v>
      </c>
      <c r="M975" t="s">
        <v>21190</v>
      </c>
      <c r="N975" t="s">
        <v>21191</v>
      </c>
      <c r="O975" t="s">
        <v>21191</v>
      </c>
      <c r="P975">
        <v>40200</v>
      </c>
      <c r="Q975" t="str">
        <f>"39.982251"</f>
        <v>39.982251</v>
      </c>
      <c r="R975" t="str">
        <f>"22.391825"</f>
        <v>22.391825</v>
      </c>
      <c r="S975" t="s">
        <v>26</v>
      </c>
    </row>
    <row r="976" spans="1:19" x14ac:dyDescent="0.3">
      <c r="A976" t="s">
        <v>20660</v>
      </c>
      <c r="B976" t="s">
        <v>21192</v>
      </c>
      <c r="C976" t="s">
        <v>21195</v>
      </c>
      <c r="D976" t="s">
        <v>20674</v>
      </c>
      <c r="E976" t="s">
        <v>21193</v>
      </c>
      <c r="F976" t="s">
        <v>21194</v>
      </c>
      <c r="G976" t="s">
        <v>21194</v>
      </c>
      <c r="H976" t="s">
        <v>51</v>
      </c>
      <c r="I976" t="s">
        <v>52</v>
      </c>
      <c r="J976" t="str">
        <f>"3513020"</f>
        <v>3513020</v>
      </c>
      <c r="K976">
        <v>2422041215</v>
      </c>
      <c r="L976">
        <v>2422041215</v>
      </c>
      <c r="M976" t="s">
        <v>21196</v>
      </c>
      <c r="N976" t="s">
        <v>21197</v>
      </c>
      <c r="O976" t="s">
        <v>21197</v>
      </c>
      <c r="P976">
        <v>37008</v>
      </c>
      <c r="Q976" t="str">
        <f>"39.054015"</f>
        <v>39.054015</v>
      </c>
      <c r="R976" t="str">
        <f>"22.946772"</f>
        <v>22.946772</v>
      </c>
      <c r="S976" t="s">
        <v>26</v>
      </c>
    </row>
    <row r="977" spans="1:19" x14ac:dyDescent="0.3">
      <c r="A977" t="s">
        <v>20660</v>
      </c>
      <c r="B977" t="s">
        <v>21192</v>
      </c>
      <c r="C977" t="s">
        <v>21201</v>
      </c>
      <c r="D977" t="s">
        <v>20674</v>
      </c>
      <c r="E977" t="s">
        <v>21199</v>
      </c>
      <c r="F977" t="s">
        <v>21200</v>
      </c>
      <c r="G977" t="s">
        <v>21200</v>
      </c>
      <c r="H977" t="s">
        <v>51</v>
      </c>
      <c r="I977" t="s">
        <v>89</v>
      </c>
      <c r="J977" t="str">
        <f>"3515010"</f>
        <v>3515010</v>
      </c>
      <c r="K977">
        <v>2423091430</v>
      </c>
      <c r="L977">
        <v>2423091430</v>
      </c>
      <c r="M977" t="s">
        <v>21202</v>
      </c>
      <c r="N977" t="s">
        <v>21203</v>
      </c>
      <c r="O977" t="s">
        <v>21203</v>
      </c>
      <c r="P977">
        <v>37009</v>
      </c>
      <c r="Q977" t="str">
        <f>"39.107652"</f>
        <v>39.107652</v>
      </c>
      <c r="R977" t="str">
        <f>"23.079991"</f>
        <v>23.079991</v>
      </c>
      <c r="S977" t="s">
        <v>26</v>
      </c>
    </row>
    <row r="978" spans="1:19" x14ac:dyDescent="0.3">
      <c r="A978" t="s">
        <v>20660</v>
      </c>
      <c r="B978" t="s">
        <v>21192</v>
      </c>
      <c r="C978" t="s">
        <v>21206</v>
      </c>
      <c r="D978" t="s">
        <v>20674</v>
      </c>
      <c r="E978" t="s">
        <v>21193</v>
      </c>
      <c r="F978" t="s">
        <v>21205</v>
      </c>
      <c r="G978" t="s">
        <v>21205</v>
      </c>
      <c r="H978" t="s">
        <v>51</v>
      </c>
      <c r="I978" t="s">
        <v>89</v>
      </c>
      <c r="J978" t="str">
        <f>"3513010"</f>
        <v>3513010</v>
      </c>
      <c r="K978">
        <v>2422031479</v>
      </c>
      <c r="L978">
        <v>2422031479</v>
      </c>
      <c r="M978" t="s">
        <v>21207</v>
      </c>
      <c r="N978" t="s">
        <v>21208</v>
      </c>
      <c r="P978">
        <v>37008</v>
      </c>
      <c r="Q978" t="str">
        <f>"39.108081"</f>
        <v>39.108081</v>
      </c>
      <c r="R978" t="str">
        <f>"22.892874"</f>
        <v>22.892874</v>
      </c>
      <c r="S978" t="s">
        <v>26</v>
      </c>
    </row>
    <row r="979" spans="1:19" x14ac:dyDescent="0.3">
      <c r="A979" t="s">
        <v>20660</v>
      </c>
      <c r="B979" t="s">
        <v>21192</v>
      </c>
      <c r="C979" t="s">
        <v>21212</v>
      </c>
      <c r="D979" t="s">
        <v>21210</v>
      </c>
      <c r="E979" t="s">
        <v>21211</v>
      </c>
      <c r="F979" t="s">
        <v>21211</v>
      </c>
      <c r="G979" t="s">
        <v>21211</v>
      </c>
      <c r="H979" t="s">
        <v>51</v>
      </c>
      <c r="I979" t="s">
        <v>52</v>
      </c>
      <c r="J979" t="str">
        <f>"3507010"</f>
        <v>3507010</v>
      </c>
      <c r="K979">
        <v>2427022228</v>
      </c>
      <c r="L979">
        <v>2427022228</v>
      </c>
      <c r="M979" t="s">
        <v>21213</v>
      </c>
      <c r="N979" t="s">
        <v>21214</v>
      </c>
      <c r="O979" t="s">
        <v>21215</v>
      </c>
      <c r="P979">
        <v>37002</v>
      </c>
      <c r="Q979" t="str">
        <f>"39.163886"</f>
        <v>39.163886</v>
      </c>
      <c r="R979" t="str">
        <f>"23.487054"</f>
        <v>23.487054</v>
      </c>
      <c r="S979" t="s">
        <v>57</v>
      </c>
    </row>
    <row r="980" spans="1:19" x14ac:dyDescent="0.3">
      <c r="A980" t="s">
        <v>20660</v>
      </c>
      <c r="B980" t="s">
        <v>21192</v>
      </c>
      <c r="C980" t="s">
        <v>21243</v>
      </c>
      <c r="D980" t="s">
        <v>20674</v>
      </c>
      <c r="E980" t="s">
        <v>21229</v>
      </c>
      <c r="F980" t="s">
        <v>21230</v>
      </c>
      <c r="G980" t="s">
        <v>21231</v>
      </c>
      <c r="H980" t="s">
        <v>51</v>
      </c>
      <c r="I980" t="s">
        <v>52</v>
      </c>
      <c r="J980" t="str">
        <f>"3505010"</f>
        <v>3505010</v>
      </c>
      <c r="K980">
        <v>2426049364</v>
      </c>
      <c r="L980">
        <v>2426049364</v>
      </c>
      <c r="M980" t="s">
        <v>21244</v>
      </c>
      <c r="N980" t="s">
        <v>21234</v>
      </c>
      <c r="P980">
        <v>37012</v>
      </c>
      <c r="Q980" t="str">
        <f>"39.379487"</f>
        <v>39.379487</v>
      </c>
      <c r="R980" t="str">
        <f>"23.179307"</f>
        <v>23.179307</v>
      </c>
      <c r="S980" t="s">
        <v>26</v>
      </c>
    </row>
    <row r="981" spans="1:19" x14ac:dyDescent="0.3">
      <c r="A981" t="s">
        <v>20660</v>
      </c>
      <c r="B981" t="s">
        <v>21192</v>
      </c>
      <c r="C981" t="s">
        <v>21245</v>
      </c>
      <c r="D981" t="s">
        <v>20674</v>
      </c>
      <c r="E981" t="s">
        <v>21193</v>
      </c>
      <c r="F981" t="s">
        <v>21193</v>
      </c>
      <c r="G981" t="s">
        <v>21193</v>
      </c>
      <c r="H981" t="s">
        <v>51</v>
      </c>
      <c r="I981" t="s">
        <v>52</v>
      </c>
      <c r="J981" t="str">
        <f>"3502010"</f>
        <v>3502010</v>
      </c>
      <c r="K981">
        <v>2422021277</v>
      </c>
      <c r="L981">
        <v>2422021277</v>
      </c>
      <c r="M981" t="s">
        <v>21246</v>
      </c>
      <c r="N981" t="s">
        <v>21247</v>
      </c>
      <c r="O981" t="s">
        <v>21248</v>
      </c>
      <c r="P981">
        <v>37100</v>
      </c>
      <c r="Q981" t="str">
        <f>"39.177293"</f>
        <v>39.177293</v>
      </c>
      <c r="R981" t="str">
        <f>"22.760140"</f>
        <v>22.760140</v>
      </c>
      <c r="S981" t="s">
        <v>26</v>
      </c>
    </row>
    <row r="982" spans="1:19" x14ac:dyDescent="0.3">
      <c r="A982" t="s">
        <v>20660</v>
      </c>
      <c r="B982" t="s">
        <v>21192</v>
      </c>
      <c r="C982" t="s">
        <v>21261</v>
      </c>
      <c r="D982" t="s">
        <v>20674</v>
      </c>
      <c r="E982" t="s">
        <v>20675</v>
      </c>
      <c r="F982" t="s">
        <v>20675</v>
      </c>
      <c r="G982" t="s">
        <v>20675</v>
      </c>
      <c r="H982" t="s">
        <v>51</v>
      </c>
      <c r="I982" t="s">
        <v>199</v>
      </c>
      <c r="J982" t="str">
        <f>"3540065"</f>
        <v>3540065</v>
      </c>
      <c r="K982">
        <v>2421067111</v>
      </c>
      <c r="L982">
        <v>2421067750</v>
      </c>
      <c r="M982" t="s">
        <v>21262</v>
      </c>
      <c r="N982" t="s">
        <v>20678</v>
      </c>
      <c r="O982" t="s">
        <v>21263</v>
      </c>
      <c r="P982">
        <v>38446</v>
      </c>
      <c r="Q982" t="str">
        <f>"39.383123"</f>
        <v>39.383123</v>
      </c>
      <c r="R982" t="str">
        <f>"22.934553"</f>
        <v>22.934553</v>
      </c>
      <c r="S982" t="s">
        <v>26</v>
      </c>
    </row>
    <row r="983" spans="1:19" x14ac:dyDescent="0.3">
      <c r="A983" t="s">
        <v>20660</v>
      </c>
      <c r="B983" t="s">
        <v>21192</v>
      </c>
      <c r="C983" t="s">
        <v>21269</v>
      </c>
      <c r="D983" t="s">
        <v>20674</v>
      </c>
      <c r="E983" t="s">
        <v>20675</v>
      </c>
      <c r="F983" t="s">
        <v>3246</v>
      </c>
      <c r="G983" t="s">
        <v>3246</v>
      </c>
      <c r="H983" t="s">
        <v>51</v>
      </c>
      <c r="I983" t="s">
        <v>52</v>
      </c>
      <c r="J983" t="str">
        <f>"3501077"</f>
        <v>3501077</v>
      </c>
      <c r="K983">
        <v>2421083370</v>
      </c>
      <c r="L983">
        <v>2421083370</v>
      </c>
      <c r="M983" t="s">
        <v>21270</v>
      </c>
      <c r="N983" t="s">
        <v>21271</v>
      </c>
      <c r="O983" t="s">
        <v>21272</v>
      </c>
      <c r="P983">
        <v>38446</v>
      </c>
      <c r="Q983" t="str">
        <f>"39.387870"</f>
        <v>39.387870</v>
      </c>
      <c r="R983" t="str">
        <f>"22.939097"</f>
        <v>22.939097</v>
      </c>
      <c r="S983" t="s">
        <v>26</v>
      </c>
    </row>
    <row r="984" spans="1:19" x14ac:dyDescent="0.3">
      <c r="A984" t="s">
        <v>20660</v>
      </c>
      <c r="B984" t="s">
        <v>21192</v>
      </c>
      <c r="C984" t="s">
        <v>21342</v>
      </c>
      <c r="D984" t="s">
        <v>20674</v>
      </c>
      <c r="E984" t="s">
        <v>21229</v>
      </c>
      <c r="F984" t="s">
        <v>21237</v>
      </c>
      <c r="G984" t="s">
        <v>21237</v>
      </c>
      <c r="H984" t="s">
        <v>51</v>
      </c>
      <c r="I984" t="s">
        <v>52</v>
      </c>
      <c r="J984" t="str">
        <f>"3504010"</f>
        <v>3504010</v>
      </c>
      <c r="K984">
        <v>2426022584</v>
      </c>
      <c r="L984">
        <v>2426022584</v>
      </c>
      <c r="M984" t="s">
        <v>21343</v>
      </c>
      <c r="N984" t="s">
        <v>21240</v>
      </c>
      <c r="O984" t="s">
        <v>21240</v>
      </c>
      <c r="P984">
        <v>37001</v>
      </c>
      <c r="Q984" t="str">
        <f>"39.439733"</f>
        <v>39.439733</v>
      </c>
      <c r="R984" t="str">
        <f>"23.102798"</f>
        <v>23.102798</v>
      </c>
      <c r="S984" t="s">
        <v>26</v>
      </c>
    </row>
    <row r="985" spans="1:19" x14ac:dyDescent="0.3">
      <c r="A985" t="s">
        <v>20660</v>
      </c>
      <c r="B985" t="s">
        <v>21192</v>
      </c>
      <c r="C985" t="s">
        <v>21346</v>
      </c>
      <c r="D985" t="s">
        <v>20674</v>
      </c>
      <c r="E985" t="s">
        <v>21250</v>
      </c>
      <c r="F985" t="s">
        <v>21344</v>
      </c>
      <c r="G985" t="s">
        <v>21345</v>
      </c>
      <c r="H985" t="s">
        <v>51</v>
      </c>
      <c r="I985" t="s">
        <v>52</v>
      </c>
      <c r="J985" t="str">
        <f>"3514010"</f>
        <v>3514010</v>
      </c>
      <c r="K985">
        <v>2425041388</v>
      </c>
      <c r="L985">
        <v>2425041094</v>
      </c>
      <c r="M985" t="s">
        <v>21347</v>
      </c>
      <c r="N985" t="s">
        <v>21348</v>
      </c>
      <c r="O985" t="s">
        <v>21349</v>
      </c>
      <c r="P985">
        <v>37500</v>
      </c>
      <c r="Q985" t="str">
        <f>"39.459034"</f>
        <v>39.459034</v>
      </c>
      <c r="R985" t="str">
        <f>"22.739531"</f>
        <v>22.739531</v>
      </c>
      <c r="S985" t="s">
        <v>26</v>
      </c>
    </row>
    <row r="986" spans="1:19" x14ac:dyDescent="0.3">
      <c r="A986" t="s">
        <v>20660</v>
      </c>
      <c r="B986" t="s">
        <v>21192</v>
      </c>
      <c r="C986" t="s">
        <v>21351</v>
      </c>
      <c r="D986" t="s">
        <v>20674</v>
      </c>
      <c r="E986" t="s">
        <v>20675</v>
      </c>
      <c r="F986" t="s">
        <v>21217</v>
      </c>
      <c r="G986" t="s">
        <v>21217</v>
      </c>
      <c r="H986" t="s">
        <v>51</v>
      </c>
      <c r="I986" t="s">
        <v>52</v>
      </c>
      <c r="J986" t="str">
        <f>"3501080"</f>
        <v>3501080</v>
      </c>
      <c r="K986">
        <v>2428086864</v>
      </c>
      <c r="L986">
        <v>2428086864</v>
      </c>
      <c r="M986" t="s">
        <v>21352</v>
      </c>
      <c r="N986" t="s">
        <v>21353</v>
      </c>
      <c r="O986" t="s">
        <v>21354</v>
      </c>
      <c r="P986">
        <v>37300</v>
      </c>
      <c r="Q986" t="str">
        <f>"39.341459"</f>
        <v>39.341459</v>
      </c>
      <c r="R986" t="str">
        <f>"23.014885"</f>
        <v>23.014885</v>
      </c>
      <c r="S986" t="s">
        <v>26</v>
      </c>
    </row>
    <row r="987" spans="1:19" x14ac:dyDescent="0.3">
      <c r="A987" t="s">
        <v>20660</v>
      </c>
      <c r="B987" t="s">
        <v>21192</v>
      </c>
      <c r="C987" t="s">
        <v>21355</v>
      </c>
      <c r="D987" t="s">
        <v>20674</v>
      </c>
      <c r="E987" t="s">
        <v>20675</v>
      </c>
      <c r="F987" t="s">
        <v>20675</v>
      </c>
      <c r="G987" t="s">
        <v>20675</v>
      </c>
      <c r="H987" t="s">
        <v>51</v>
      </c>
      <c r="I987" t="s">
        <v>52</v>
      </c>
      <c r="J987" t="str">
        <f>"3501044"</f>
        <v>3501044</v>
      </c>
      <c r="K987">
        <v>2421046996</v>
      </c>
      <c r="L987">
        <v>2421046996</v>
      </c>
      <c r="M987" t="s">
        <v>21356</v>
      </c>
      <c r="N987" t="s">
        <v>20678</v>
      </c>
      <c r="O987" t="s">
        <v>21357</v>
      </c>
      <c r="P987">
        <v>38333</v>
      </c>
      <c r="Q987" t="str">
        <f>"39.371298"</f>
        <v>39.371298</v>
      </c>
      <c r="R987" t="str">
        <f>"22.940483"</f>
        <v>22.940483</v>
      </c>
      <c r="S987" t="s">
        <v>26</v>
      </c>
    </row>
    <row r="988" spans="1:19" x14ac:dyDescent="0.3">
      <c r="A988" t="s">
        <v>20660</v>
      </c>
      <c r="B988" t="s">
        <v>21192</v>
      </c>
      <c r="C988" t="s">
        <v>21359</v>
      </c>
      <c r="D988" t="s">
        <v>20674</v>
      </c>
      <c r="E988" t="s">
        <v>20675</v>
      </c>
      <c r="F988" t="s">
        <v>21223</v>
      </c>
      <c r="G988" t="s">
        <v>21223</v>
      </c>
      <c r="H988" t="s">
        <v>51</v>
      </c>
      <c r="I988" t="s">
        <v>52</v>
      </c>
      <c r="J988" t="str">
        <f>"3510010"</f>
        <v>3510010</v>
      </c>
      <c r="K988">
        <v>2428076193</v>
      </c>
      <c r="L988">
        <v>2428076193</v>
      </c>
      <c r="M988" t="s">
        <v>21360</v>
      </c>
      <c r="N988" t="s">
        <v>21361</v>
      </c>
      <c r="O988" t="s">
        <v>21362</v>
      </c>
      <c r="P988">
        <v>37400</v>
      </c>
      <c r="Q988" t="str">
        <f>"39.277468"</f>
        <v>39.277468</v>
      </c>
      <c r="R988" t="str">
        <f>"22.809958"</f>
        <v>22.809958</v>
      </c>
      <c r="S988" t="s">
        <v>26</v>
      </c>
    </row>
    <row r="989" spans="1:19" x14ac:dyDescent="0.3">
      <c r="A989" t="s">
        <v>20660</v>
      </c>
      <c r="B989" t="s">
        <v>21192</v>
      </c>
      <c r="C989" t="s">
        <v>21363</v>
      </c>
      <c r="D989" t="s">
        <v>20674</v>
      </c>
      <c r="E989" t="s">
        <v>20675</v>
      </c>
      <c r="F989" t="s">
        <v>20675</v>
      </c>
      <c r="G989" t="s">
        <v>20675</v>
      </c>
      <c r="H989" t="s">
        <v>51</v>
      </c>
      <c r="I989" t="s">
        <v>190</v>
      </c>
      <c r="J989" t="str">
        <f>"3501047"</f>
        <v>3501047</v>
      </c>
      <c r="K989">
        <v>2421071096</v>
      </c>
      <c r="L989">
        <v>2421047155</v>
      </c>
      <c r="M989" t="s">
        <v>21364</v>
      </c>
      <c r="N989" t="s">
        <v>20678</v>
      </c>
      <c r="O989" t="s">
        <v>21365</v>
      </c>
      <c r="P989">
        <v>38333</v>
      </c>
      <c r="Q989" t="str">
        <f>"39.373836"</f>
        <v>39.373836</v>
      </c>
      <c r="R989" t="str">
        <f>"22.952330"</f>
        <v>22.952330</v>
      </c>
      <c r="S989" t="s">
        <v>26</v>
      </c>
    </row>
    <row r="990" spans="1:19" x14ac:dyDescent="0.3">
      <c r="A990" t="s">
        <v>20660</v>
      </c>
      <c r="B990" t="s">
        <v>21192</v>
      </c>
      <c r="C990" t="s">
        <v>21367</v>
      </c>
      <c r="D990" t="s">
        <v>20674</v>
      </c>
      <c r="E990" t="s">
        <v>21199</v>
      </c>
      <c r="F990" t="s">
        <v>21366</v>
      </c>
      <c r="G990" t="s">
        <v>21366</v>
      </c>
      <c r="H990" t="s">
        <v>51</v>
      </c>
      <c r="I990" t="s">
        <v>52</v>
      </c>
      <c r="J990" t="str">
        <f>"3511010"</f>
        <v>3511010</v>
      </c>
      <c r="K990">
        <v>2423086316</v>
      </c>
      <c r="L990">
        <v>2423086316</v>
      </c>
      <c r="M990" t="s">
        <v>21368</v>
      </c>
      <c r="N990" t="s">
        <v>21369</v>
      </c>
      <c r="O990" t="s">
        <v>21370</v>
      </c>
      <c r="P990">
        <v>37010</v>
      </c>
      <c r="Q990" t="str">
        <f>"39.328668"</f>
        <v>39.328668</v>
      </c>
      <c r="R990" t="str">
        <f>"23.152057"</f>
        <v>23.152057</v>
      </c>
      <c r="S990" t="s">
        <v>26</v>
      </c>
    </row>
    <row r="991" spans="1:19" x14ac:dyDescent="0.3">
      <c r="A991" t="s">
        <v>20660</v>
      </c>
      <c r="B991" t="s">
        <v>21192</v>
      </c>
      <c r="C991" t="s">
        <v>21372</v>
      </c>
      <c r="D991" t="s">
        <v>20674</v>
      </c>
      <c r="E991" t="s">
        <v>20675</v>
      </c>
      <c r="F991" t="s">
        <v>3246</v>
      </c>
      <c r="G991" t="s">
        <v>3246</v>
      </c>
      <c r="H991" t="s">
        <v>51</v>
      </c>
      <c r="I991" t="s">
        <v>52</v>
      </c>
      <c r="J991" t="str">
        <f>"3501060"</f>
        <v>3501060</v>
      </c>
      <c r="K991">
        <v>2421060200</v>
      </c>
      <c r="L991">
        <v>2421060229</v>
      </c>
      <c r="M991" t="s">
        <v>21373</v>
      </c>
      <c r="N991" t="s">
        <v>21374</v>
      </c>
      <c r="O991" t="s">
        <v>21375</v>
      </c>
      <c r="P991">
        <v>38446</v>
      </c>
      <c r="Q991" t="str">
        <f>"39.379598"</f>
        <v>39.379598</v>
      </c>
      <c r="R991" t="str">
        <f>"22.939155"</f>
        <v>22.939155</v>
      </c>
      <c r="S991" t="s">
        <v>26</v>
      </c>
    </row>
    <row r="992" spans="1:19" x14ac:dyDescent="0.3">
      <c r="A992" t="s">
        <v>20660</v>
      </c>
      <c r="B992" t="s">
        <v>21192</v>
      </c>
      <c r="C992" t="s">
        <v>21381</v>
      </c>
      <c r="D992" t="s">
        <v>20674</v>
      </c>
      <c r="E992" t="s">
        <v>21250</v>
      </c>
      <c r="F992" t="s">
        <v>21344</v>
      </c>
      <c r="G992" t="s">
        <v>21380</v>
      </c>
      <c r="H992" t="s">
        <v>51</v>
      </c>
      <c r="I992" t="s">
        <v>52</v>
      </c>
      <c r="J992" t="str">
        <f>"3509010"</f>
        <v>3509010</v>
      </c>
      <c r="K992">
        <v>2428073217</v>
      </c>
      <c r="L992">
        <v>2428073217</v>
      </c>
      <c r="M992" t="s">
        <v>21382</v>
      </c>
      <c r="N992" t="s">
        <v>21383</v>
      </c>
      <c r="O992" t="s">
        <v>21384</v>
      </c>
      <c r="P992">
        <v>38500</v>
      </c>
      <c r="Q992" t="str">
        <f>"39.495759"</f>
        <v>39.495759</v>
      </c>
      <c r="R992" t="str">
        <f>"22.884397"</f>
        <v>22.884397</v>
      </c>
      <c r="S992" t="s">
        <v>26</v>
      </c>
    </row>
    <row r="993" spans="1:19" x14ac:dyDescent="0.3">
      <c r="A993" t="s">
        <v>20660</v>
      </c>
      <c r="B993" t="s">
        <v>21192</v>
      </c>
      <c r="C993" t="s">
        <v>21389</v>
      </c>
      <c r="D993" t="s">
        <v>20674</v>
      </c>
      <c r="E993" t="s">
        <v>21199</v>
      </c>
      <c r="F993" t="s">
        <v>21332</v>
      </c>
      <c r="G993" t="s">
        <v>21332</v>
      </c>
      <c r="H993" t="s">
        <v>51</v>
      </c>
      <c r="I993" t="s">
        <v>52</v>
      </c>
      <c r="J993" t="str">
        <f>"3506010"</f>
        <v>3506010</v>
      </c>
      <c r="K993">
        <v>2423054392</v>
      </c>
      <c r="L993">
        <v>2423054392</v>
      </c>
      <c r="M993" t="s">
        <v>21390</v>
      </c>
      <c r="N993" t="s">
        <v>21391</v>
      </c>
      <c r="O993" t="s">
        <v>21336</v>
      </c>
      <c r="P993">
        <v>37006</v>
      </c>
      <c r="Q993" t="str">
        <f>"39.226903"</f>
        <v>39.226903</v>
      </c>
      <c r="R993" t="str">
        <f>"23.222365"</f>
        <v>23.222365</v>
      </c>
      <c r="S993" t="s">
        <v>26</v>
      </c>
    </row>
    <row r="994" spans="1:19" x14ac:dyDescent="0.3">
      <c r="A994" t="s">
        <v>20660</v>
      </c>
      <c r="B994" t="s">
        <v>21192</v>
      </c>
      <c r="C994" t="s">
        <v>21395</v>
      </c>
      <c r="D994" t="s">
        <v>20674</v>
      </c>
      <c r="E994" t="s">
        <v>21193</v>
      </c>
      <c r="F994" t="s">
        <v>21193</v>
      </c>
      <c r="G994" t="s">
        <v>21193</v>
      </c>
      <c r="H994" t="s">
        <v>51</v>
      </c>
      <c r="I994" t="s">
        <v>52</v>
      </c>
      <c r="J994" t="str">
        <f>"3502020"</f>
        <v>3502020</v>
      </c>
      <c r="K994">
        <v>2422021835</v>
      </c>
      <c r="L994">
        <v>2422021835</v>
      </c>
      <c r="M994" t="s">
        <v>21396</v>
      </c>
      <c r="N994" t="s">
        <v>21247</v>
      </c>
      <c r="O994" t="s">
        <v>21397</v>
      </c>
      <c r="P994">
        <v>37100</v>
      </c>
      <c r="Q994" t="str">
        <f>"39.186258"</f>
        <v>39.186258</v>
      </c>
      <c r="R994" t="str">
        <f>"22.767962"</f>
        <v>22.767962</v>
      </c>
      <c r="S994" t="s">
        <v>26</v>
      </c>
    </row>
    <row r="995" spans="1:19" x14ac:dyDescent="0.3">
      <c r="A995" t="s">
        <v>20660</v>
      </c>
      <c r="B995" t="s">
        <v>21192</v>
      </c>
      <c r="C995" t="s">
        <v>21399</v>
      </c>
      <c r="D995" t="s">
        <v>20674</v>
      </c>
      <c r="E995" t="s">
        <v>20675</v>
      </c>
      <c r="F995" t="s">
        <v>20675</v>
      </c>
      <c r="G995" t="s">
        <v>20675</v>
      </c>
      <c r="H995" t="s">
        <v>51</v>
      </c>
      <c r="I995" t="s">
        <v>184</v>
      </c>
      <c r="J995" t="str">
        <f>"3501050"</f>
        <v>3501050</v>
      </c>
      <c r="K995">
        <v>2421056380</v>
      </c>
      <c r="L995">
        <v>2421078108</v>
      </c>
      <c r="M995" t="s">
        <v>21400</v>
      </c>
      <c r="N995" t="s">
        <v>20678</v>
      </c>
      <c r="O995" t="s">
        <v>21401</v>
      </c>
      <c r="P995">
        <v>38221</v>
      </c>
      <c r="Q995" t="str">
        <f>"39.366199"</f>
        <v>39.366199</v>
      </c>
      <c r="R995" t="str">
        <f>"22.954268"</f>
        <v>22.954268</v>
      </c>
      <c r="S995" t="s">
        <v>26</v>
      </c>
    </row>
    <row r="996" spans="1:19" x14ac:dyDescent="0.3">
      <c r="A996" t="s">
        <v>20660</v>
      </c>
      <c r="B996" t="s">
        <v>21192</v>
      </c>
      <c r="C996" t="s">
        <v>21402</v>
      </c>
      <c r="D996" t="s">
        <v>20674</v>
      </c>
      <c r="E996" t="s">
        <v>21250</v>
      </c>
      <c r="F996" t="s">
        <v>203</v>
      </c>
      <c r="G996" t="s">
        <v>21251</v>
      </c>
      <c r="H996" t="s">
        <v>51</v>
      </c>
      <c r="I996" t="s">
        <v>52</v>
      </c>
      <c r="J996" t="str">
        <f>"3503010"</f>
        <v>3503010</v>
      </c>
      <c r="K996">
        <v>2425022547</v>
      </c>
      <c r="L996">
        <v>2425022597</v>
      </c>
      <c r="M996" t="s">
        <v>21403</v>
      </c>
      <c r="N996" t="s">
        <v>21254</v>
      </c>
      <c r="O996" t="s">
        <v>21404</v>
      </c>
      <c r="P996">
        <v>37500</v>
      </c>
      <c r="Q996" t="str">
        <f>"39.377758"</f>
        <v>39.377758</v>
      </c>
      <c r="R996" t="str">
        <f>"22.744573"</f>
        <v>22.744573</v>
      </c>
      <c r="S996" t="s">
        <v>26</v>
      </c>
    </row>
    <row r="997" spans="1:19" x14ac:dyDescent="0.3">
      <c r="A997" t="s">
        <v>20660</v>
      </c>
      <c r="B997" t="s">
        <v>21192</v>
      </c>
      <c r="C997" t="s">
        <v>21405</v>
      </c>
      <c r="D997" t="s">
        <v>20674</v>
      </c>
      <c r="E997" t="s">
        <v>20675</v>
      </c>
      <c r="F997" t="s">
        <v>20675</v>
      </c>
      <c r="G997" t="s">
        <v>20675</v>
      </c>
      <c r="H997" t="s">
        <v>51</v>
      </c>
      <c r="I997" t="s">
        <v>52</v>
      </c>
      <c r="J997" t="str">
        <f>"3501041"</f>
        <v>3501041</v>
      </c>
      <c r="K997">
        <v>2421046374</v>
      </c>
      <c r="L997">
        <v>2421046374</v>
      </c>
      <c r="M997" t="s">
        <v>21406</v>
      </c>
      <c r="N997" t="s">
        <v>20678</v>
      </c>
      <c r="O997" t="s">
        <v>21407</v>
      </c>
      <c r="P997">
        <v>38223</v>
      </c>
      <c r="Q997" t="str">
        <f>"39.376416"</f>
        <v>39.376416</v>
      </c>
      <c r="R997" t="str">
        <f>"22.958177"</f>
        <v>22.958177</v>
      </c>
      <c r="S997" t="s">
        <v>26</v>
      </c>
    </row>
    <row r="998" spans="1:19" x14ac:dyDescent="0.3">
      <c r="A998" t="s">
        <v>20660</v>
      </c>
      <c r="B998" t="s">
        <v>21192</v>
      </c>
      <c r="C998" t="s">
        <v>21410</v>
      </c>
      <c r="D998" t="s">
        <v>20674</v>
      </c>
      <c r="E998" t="s">
        <v>20675</v>
      </c>
      <c r="F998" t="s">
        <v>4249</v>
      </c>
      <c r="G998" t="s">
        <v>21409</v>
      </c>
      <c r="H998" t="s">
        <v>51</v>
      </c>
      <c r="I998" t="s">
        <v>52</v>
      </c>
      <c r="J998" t="str">
        <f>"3501090"</f>
        <v>3501090</v>
      </c>
      <c r="K998">
        <v>2428093479</v>
      </c>
      <c r="L998">
        <v>2428093479</v>
      </c>
      <c r="M998" t="s">
        <v>21411</v>
      </c>
      <c r="O998" t="s">
        <v>21412</v>
      </c>
      <c r="P998">
        <v>37300</v>
      </c>
      <c r="Q998" t="str">
        <f>"39.330395"</f>
        <v>39.330395</v>
      </c>
      <c r="R998" t="str">
        <f>"23.043490"</f>
        <v>23.043490</v>
      </c>
      <c r="S998" t="s">
        <v>26</v>
      </c>
    </row>
    <row r="999" spans="1:19" x14ac:dyDescent="0.3">
      <c r="A999" t="s">
        <v>20660</v>
      </c>
      <c r="B999" t="s">
        <v>21192</v>
      </c>
      <c r="C999" t="s">
        <v>21414</v>
      </c>
      <c r="D999" t="s">
        <v>20674</v>
      </c>
      <c r="E999" t="s">
        <v>20675</v>
      </c>
      <c r="F999" t="s">
        <v>3246</v>
      </c>
      <c r="G999" t="s">
        <v>3246</v>
      </c>
      <c r="H999" t="s">
        <v>51</v>
      </c>
      <c r="I999" t="s">
        <v>52</v>
      </c>
      <c r="J999" t="str">
        <f>"3501075"</f>
        <v>3501075</v>
      </c>
      <c r="K999">
        <v>2421063066</v>
      </c>
      <c r="L999">
        <v>2421066878</v>
      </c>
      <c r="M999" t="s">
        <v>21415</v>
      </c>
      <c r="N999" t="s">
        <v>21416</v>
      </c>
      <c r="O999" t="s">
        <v>21417</v>
      </c>
      <c r="P999">
        <v>38445</v>
      </c>
      <c r="Q999" t="str">
        <f>"39.373593"</f>
        <v>39.373593</v>
      </c>
      <c r="R999" t="str">
        <f>"22.918171"</f>
        <v>22.918171</v>
      </c>
      <c r="S999" t="s">
        <v>26</v>
      </c>
    </row>
    <row r="1000" spans="1:19" x14ac:dyDescent="0.3">
      <c r="A1000" t="s">
        <v>20660</v>
      </c>
      <c r="B1000" t="s">
        <v>21192</v>
      </c>
      <c r="C1000" t="s">
        <v>21419</v>
      </c>
      <c r="D1000" t="s">
        <v>20674</v>
      </c>
      <c r="E1000" t="s">
        <v>20675</v>
      </c>
      <c r="F1000" t="s">
        <v>20675</v>
      </c>
      <c r="G1000" t="s">
        <v>20675</v>
      </c>
      <c r="H1000" t="s">
        <v>51</v>
      </c>
      <c r="I1000" t="s">
        <v>52</v>
      </c>
      <c r="J1000" t="str">
        <f>"3501042"</f>
        <v>3501042</v>
      </c>
      <c r="K1000">
        <v>2421046390</v>
      </c>
      <c r="L1000">
        <v>2421046390</v>
      </c>
      <c r="M1000" t="s">
        <v>21420</v>
      </c>
      <c r="N1000" t="s">
        <v>20678</v>
      </c>
      <c r="O1000" t="s">
        <v>21421</v>
      </c>
      <c r="P1000">
        <v>38333</v>
      </c>
      <c r="Q1000" t="str">
        <f>"39.371099"</f>
        <v>39.371099</v>
      </c>
      <c r="R1000" t="str">
        <f>"22.940592"</f>
        <v>22.940592</v>
      </c>
      <c r="S1000" t="s">
        <v>26</v>
      </c>
    </row>
    <row r="1001" spans="1:19" x14ac:dyDescent="0.3">
      <c r="A1001" t="s">
        <v>20660</v>
      </c>
      <c r="B1001" t="s">
        <v>21192</v>
      </c>
      <c r="C1001" t="s">
        <v>21423</v>
      </c>
      <c r="D1001" t="s">
        <v>20674</v>
      </c>
      <c r="E1001" t="s">
        <v>21193</v>
      </c>
      <c r="F1001" t="s">
        <v>21193</v>
      </c>
      <c r="G1001" t="s">
        <v>21422</v>
      </c>
      <c r="H1001" t="s">
        <v>51</v>
      </c>
      <c r="I1001" t="s">
        <v>52</v>
      </c>
      <c r="J1001" t="str">
        <f>"3502030"</f>
        <v>3502030</v>
      </c>
      <c r="K1001">
        <v>2422023262</v>
      </c>
      <c r="L1001">
        <v>2422023262</v>
      </c>
      <c r="M1001" t="s">
        <v>21424</v>
      </c>
      <c r="N1001" t="s">
        <v>21425</v>
      </c>
      <c r="O1001" t="s">
        <v>21426</v>
      </c>
      <c r="P1001">
        <v>37100</v>
      </c>
      <c r="Q1001" t="str">
        <f>"39.185030"</f>
        <v>39.185030</v>
      </c>
      <c r="R1001" t="str">
        <f>"22.737653"</f>
        <v>22.737653</v>
      </c>
      <c r="S1001" t="s">
        <v>26</v>
      </c>
    </row>
    <row r="1002" spans="1:19" x14ac:dyDescent="0.3">
      <c r="A1002" t="s">
        <v>20660</v>
      </c>
      <c r="B1002" t="s">
        <v>21192</v>
      </c>
      <c r="C1002" t="s">
        <v>21428</v>
      </c>
      <c r="D1002" t="s">
        <v>20674</v>
      </c>
      <c r="E1002" t="s">
        <v>20675</v>
      </c>
      <c r="F1002" t="s">
        <v>20675</v>
      </c>
      <c r="G1002" t="s">
        <v>20675</v>
      </c>
      <c r="H1002" t="s">
        <v>51</v>
      </c>
      <c r="I1002" t="s">
        <v>52</v>
      </c>
      <c r="J1002" t="str">
        <f>"3501010"</f>
        <v>3501010</v>
      </c>
      <c r="K1002">
        <v>2421046209</v>
      </c>
      <c r="L1002">
        <v>2421078119</v>
      </c>
      <c r="M1002" t="s">
        <v>21429</v>
      </c>
      <c r="N1002" t="s">
        <v>20678</v>
      </c>
      <c r="O1002" t="s">
        <v>21340</v>
      </c>
      <c r="P1002">
        <v>38221</v>
      </c>
      <c r="Q1002" t="str">
        <f>"39.367053"</f>
        <v>39.367053</v>
      </c>
      <c r="R1002" t="str">
        <f>"22.957427"</f>
        <v>22.957427</v>
      </c>
      <c r="S1002" t="s">
        <v>26</v>
      </c>
    </row>
    <row r="1003" spans="1:19" x14ac:dyDescent="0.3">
      <c r="A1003" t="s">
        <v>20660</v>
      </c>
      <c r="B1003" t="s">
        <v>21192</v>
      </c>
      <c r="C1003" t="s">
        <v>21430</v>
      </c>
      <c r="D1003" t="s">
        <v>20674</v>
      </c>
      <c r="E1003" t="s">
        <v>20675</v>
      </c>
      <c r="F1003" t="s">
        <v>20675</v>
      </c>
      <c r="G1003" t="s">
        <v>20675</v>
      </c>
      <c r="H1003" t="s">
        <v>51</v>
      </c>
      <c r="I1003" t="s">
        <v>52</v>
      </c>
      <c r="J1003" t="str">
        <f>"3501045"</f>
        <v>3501045</v>
      </c>
      <c r="K1003">
        <v>2421084920</v>
      </c>
      <c r="L1003">
        <v>2421084920</v>
      </c>
      <c r="M1003" t="s">
        <v>21431</v>
      </c>
      <c r="N1003" t="s">
        <v>20678</v>
      </c>
      <c r="O1003" t="s">
        <v>21432</v>
      </c>
      <c r="P1003">
        <v>38500</v>
      </c>
      <c r="Q1003" t="str">
        <f>"39.363940"</f>
        <v>39.363940</v>
      </c>
      <c r="R1003" t="str">
        <f>"22.911530"</f>
        <v>22.911530</v>
      </c>
      <c r="S1003" t="s">
        <v>26</v>
      </c>
    </row>
    <row r="1004" spans="1:19" x14ac:dyDescent="0.3">
      <c r="A1004" t="s">
        <v>20660</v>
      </c>
      <c r="B1004" t="s">
        <v>21192</v>
      </c>
      <c r="C1004" t="s">
        <v>21433</v>
      </c>
      <c r="D1004" t="s">
        <v>20674</v>
      </c>
      <c r="E1004" t="s">
        <v>20675</v>
      </c>
      <c r="F1004" t="s">
        <v>3246</v>
      </c>
      <c r="G1004" t="s">
        <v>3246</v>
      </c>
      <c r="H1004" t="s">
        <v>51</v>
      </c>
      <c r="I1004" t="s">
        <v>52</v>
      </c>
      <c r="J1004" t="str">
        <f>"3501070"</f>
        <v>3501070</v>
      </c>
      <c r="K1004">
        <v>2421060953</v>
      </c>
      <c r="L1004">
        <v>2421060953</v>
      </c>
      <c r="M1004" t="s">
        <v>21434</v>
      </c>
      <c r="N1004" t="s">
        <v>21435</v>
      </c>
      <c r="O1004" t="s">
        <v>21436</v>
      </c>
      <c r="P1004">
        <v>38446</v>
      </c>
      <c r="Q1004" t="str">
        <f>"39.384393"</f>
        <v>39.384393</v>
      </c>
      <c r="R1004" t="str">
        <f>"22.928274"</f>
        <v>22.928274</v>
      </c>
      <c r="S1004" t="s">
        <v>26</v>
      </c>
    </row>
    <row r="1005" spans="1:19" x14ac:dyDescent="0.3">
      <c r="A1005" t="s">
        <v>20660</v>
      </c>
      <c r="B1005" t="s">
        <v>21192</v>
      </c>
      <c r="C1005" t="s">
        <v>21438</v>
      </c>
      <c r="D1005" t="s">
        <v>20674</v>
      </c>
      <c r="E1005" t="s">
        <v>20675</v>
      </c>
      <c r="F1005" t="s">
        <v>20675</v>
      </c>
      <c r="G1005" t="s">
        <v>20675</v>
      </c>
      <c r="H1005" t="s">
        <v>51</v>
      </c>
      <c r="I1005" t="s">
        <v>52</v>
      </c>
      <c r="J1005" t="str">
        <f>"3501040"</f>
        <v>3501040</v>
      </c>
      <c r="K1005">
        <v>2421025213</v>
      </c>
      <c r="L1005">
        <v>2421033273</v>
      </c>
      <c r="M1005" t="s">
        <v>21439</v>
      </c>
      <c r="N1005" t="s">
        <v>20678</v>
      </c>
      <c r="O1005" t="s">
        <v>21275</v>
      </c>
      <c r="P1005">
        <v>38221</v>
      </c>
      <c r="Q1005" t="str">
        <f>"39.357818"</f>
        <v>39.357818</v>
      </c>
      <c r="R1005" t="str">
        <f>"22.954369"</f>
        <v>22.954369</v>
      </c>
      <c r="S1005" t="s">
        <v>26</v>
      </c>
    </row>
    <row r="1006" spans="1:19" x14ac:dyDescent="0.3">
      <c r="A1006" t="s">
        <v>20660</v>
      </c>
      <c r="B1006" t="s">
        <v>21192</v>
      </c>
      <c r="C1006" t="s">
        <v>21442</v>
      </c>
      <c r="D1006" t="s">
        <v>21210</v>
      </c>
      <c r="E1006" t="s">
        <v>21441</v>
      </c>
      <c r="F1006" t="s">
        <v>21441</v>
      </c>
      <c r="G1006" t="s">
        <v>21441</v>
      </c>
      <c r="H1006" t="s">
        <v>51</v>
      </c>
      <c r="I1006" t="s">
        <v>89</v>
      </c>
      <c r="J1006" t="str">
        <f>"3512010"</f>
        <v>3512010</v>
      </c>
      <c r="K1006">
        <v>2424065497</v>
      </c>
      <c r="L1006">
        <v>2424065497</v>
      </c>
      <c r="M1006" t="s">
        <v>21443</v>
      </c>
      <c r="N1006" t="s">
        <v>21444</v>
      </c>
      <c r="O1006" t="s">
        <v>21445</v>
      </c>
      <c r="P1006">
        <v>37005</v>
      </c>
      <c r="Q1006" t="str">
        <f>"39.146867"</f>
        <v>39.146867</v>
      </c>
      <c r="R1006" t="str">
        <f>"23.867746"</f>
        <v>23.867746</v>
      </c>
      <c r="S1006" t="s">
        <v>57</v>
      </c>
    </row>
    <row r="1007" spans="1:19" x14ac:dyDescent="0.3">
      <c r="A1007" t="s">
        <v>20660</v>
      </c>
      <c r="B1007" t="s">
        <v>21192</v>
      </c>
      <c r="C1007" t="s">
        <v>21447</v>
      </c>
      <c r="D1007" t="s">
        <v>21210</v>
      </c>
      <c r="E1007" t="s">
        <v>13139</v>
      </c>
      <c r="F1007" t="s">
        <v>13139</v>
      </c>
      <c r="G1007" t="s">
        <v>13139</v>
      </c>
      <c r="H1007" t="s">
        <v>51</v>
      </c>
      <c r="I1007" t="s">
        <v>52</v>
      </c>
      <c r="J1007" t="str">
        <f>"3508010"</f>
        <v>3508010</v>
      </c>
      <c r="K1007">
        <v>2424022127</v>
      </c>
      <c r="L1007">
        <v>2424022157</v>
      </c>
      <c r="M1007" t="s">
        <v>21448</v>
      </c>
      <c r="N1007" t="s">
        <v>21449</v>
      </c>
      <c r="O1007" t="s">
        <v>21292</v>
      </c>
      <c r="P1007">
        <v>37003</v>
      </c>
      <c r="Q1007" t="str">
        <f>"39.118141"</f>
        <v>39.118141</v>
      </c>
      <c r="R1007" t="str">
        <f>"23.727229"</f>
        <v>23.727229</v>
      </c>
      <c r="S1007" t="s">
        <v>57</v>
      </c>
    </row>
    <row r="1008" spans="1:19" x14ac:dyDescent="0.3">
      <c r="A1008" t="s">
        <v>20660</v>
      </c>
      <c r="B1008" t="s">
        <v>21192</v>
      </c>
      <c r="C1008" t="s">
        <v>21450</v>
      </c>
      <c r="D1008" t="s">
        <v>20674</v>
      </c>
      <c r="E1008" t="s">
        <v>20675</v>
      </c>
      <c r="F1008" t="s">
        <v>20675</v>
      </c>
      <c r="G1008" t="s">
        <v>20675</v>
      </c>
      <c r="H1008" t="s">
        <v>51</v>
      </c>
      <c r="I1008" t="s">
        <v>52</v>
      </c>
      <c r="J1008" t="str">
        <f>"3501043"</f>
        <v>3501043</v>
      </c>
      <c r="K1008">
        <v>2421071072</v>
      </c>
      <c r="L1008">
        <v>2421051118</v>
      </c>
      <c r="M1008" t="s">
        <v>21451</v>
      </c>
      <c r="N1008" t="s">
        <v>20675</v>
      </c>
      <c r="O1008" t="s">
        <v>21452</v>
      </c>
      <c r="P1008">
        <v>38222</v>
      </c>
      <c r="Q1008" t="str">
        <f>"39.356868"</f>
        <v>39.356868</v>
      </c>
      <c r="R1008" t="str">
        <f>"22.969681"</f>
        <v>22.969681</v>
      </c>
      <c r="S1008" t="s">
        <v>26</v>
      </c>
    </row>
    <row r="1009" spans="1:19" x14ac:dyDescent="0.3">
      <c r="A1009" t="s">
        <v>20660</v>
      </c>
      <c r="B1009" t="s">
        <v>21192</v>
      </c>
      <c r="C1009" t="s">
        <v>21455</v>
      </c>
      <c r="D1009" t="s">
        <v>20674</v>
      </c>
      <c r="E1009" t="s">
        <v>20675</v>
      </c>
      <c r="F1009" t="s">
        <v>20675</v>
      </c>
      <c r="G1009" t="s">
        <v>20675</v>
      </c>
      <c r="H1009" t="s">
        <v>51</v>
      </c>
      <c r="I1009" t="s">
        <v>52</v>
      </c>
      <c r="J1009" t="str">
        <f>"3501030"</f>
        <v>3501030</v>
      </c>
      <c r="K1009">
        <v>2421046090</v>
      </c>
      <c r="L1009">
        <v>2421078108</v>
      </c>
      <c r="M1009" t="s">
        <v>21456</v>
      </c>
      <c r="N1009" t="s">
        <v>20678</v>
      </c>
      <c r="O1009" t="s">
        <v>21401</v>
      </c>
      <c r="P1009">
        <v>38221</v>
      </c>
      <c r="Q1009" t="str">
        <f>"39.366100"</f>
        <v>39.366100</v>
      </c>
      <c r="R1009" t="str">
        <f>"22.953442"</f>
        <v>22.953442</v>
      </c>
      <c r="S1009" t="s">
        <v>26</v>
      </c>
    </row>
    <row r="1010" spans="1:19" x14ac:dyDescent="0.3">
      <c r="A1010" t="s">
        <v>20660</v>
      </c>
      <c r="B1010" t="s">
        <v>21192</v>
      </c>
      <c r="C1010" t="s">
        <v>21463</v>
      </c>
      <c r="D1010" t="s">
        <v>20674</v>
      </c>
      <c r="E1010" t="s">
        <v>20675</v>
      </c>
      <c r="F1010" t="s">
        <v>21461</v>
      </c>
      <c r="G1010" t="s">
        <v>21462</v>
      </c>
      <c r="H1010" t="s">
        <v>51</v>
      </c>
      <c r="I1010" t="s">
        <v>52</v>
      </c>
      <c r="J1010" t="str">
        <f>"3501048"</f>
        <v>3501048</v>
      </c>
      <c r="K1010">
        <v>2421046750</v>
      </c>
      <c r="L1010">
        <v>2421046750</v>
      </c>
      <c r="M1010" t="s">
        <v>21464</v>
      </c>
      <c r="N1010" t="s">
        <v>21465</v>
      </c>
      <c r="O1010" t="s">
        <v>21466</v>
      </c>
      <c r="P1010">
        <v>38500</v>
      </c>
      <c r="Q1010" t="str">
        <f>"39.383942"</f>
        <v>39.383942</v>
      </c>
      <c r="R1010" t="str">
        <f>"22.970197"</f>
        <v>22.970197</v>
      </c>
      <c r="S1010" t="s">
        <v>26</v>
      </c>
    </row>
    <row r="1011" spans="1:19" x14ac:dyDescent="0.3">
      <c r="A1011" t="s">
        <v>20660</v>
      </c>
      <c r="B1011" t="s">
        <v>21192</v>
      </c>
      <c r="C1011" t="s">
        <v>21470</v>
      </c>
      <c r="D1011" t="s">
        <v>20674</v>
      </c>
      <c r="E1011" t="s">
        <v>20675</v>
      </c>
      <c r="F1011" t="s">
        <v>20675</v>
      </c>
      <c r="G1011" t="s">
        <v>20675</v>
      </c>
      <c r="H1011" t="s">
        <v>51</v>
      </c>
      <c r="I1011" t="s">
        <v>52</v>
      </c>
      <c r="J1011" t="str">
        <f>"3501031"</f>
        <v>3501031</v>
      </c>
      <c r="K1011">
        <v>2421085714</v>
      </c>
      <c r="L1011">
        <v>2421085714</v>
      </c>
      <c r="M1011" t="s">
        <v>21471</v>
      </c>
      <c r="N1011" t="s">
        <v>20678</v>
      </c>
      <c r="O1011" t="s">
        <v>21323</v>
      </c>
      <c r="P1011">
        <v>38334</v>
      </c>
      <c r="Q1011" t="str">
        <f>"37.995866"</f>
        <v>37.995866</v>
      </c>
      <c r="R1011" t="str">
        <f>"23.730464"</f>
        <v>23.730464</v>
      </c>
      <c r="S1011" t="s">
        <v>26</v>
      </c>
    </row>
    <row r="1012" spans="1:19" x14ac:dyDescent="0.3">
      <c r="A1012" t="s">
        <v>20660</v>
      </c>
      <c r="B1012" t="s">
        <v>21192</v>
      </c>
      <c r="C1012" t="s">
        <v>21481</v>
      </c>
      <c r="D1012" t="s">
        <v>21210</v>
      </c>
      <c r="E1012" t="s">
        <v>13139</v>
      </c>
      <c r="F1012" t="s">
        <v>13139</v>
      </c>
      <c r="G1012" t="s">
        <v>21480</v>
      </c>
      <c r="H1012" t="s">
        <v>51</v>
      </c>
      <c r="I1012" t="s">
        <v>89</v>
      </c>
      <c r="J1012" t="str">
        <f>"3508020"</f>
        <v>3508020</v>
      </c>
      <c r="K1012">
        <v>2424033698</v>
      </c>
      <c r="L1012">
        <v>2424034012</v>
      </c>
      <c r="M1012" t="s">
        <v>21482</v>
      </c>
      <c r="N1012" t="s">
        <v>21483</v>
      </c>
      <c r="O1012" t="s">
        <v>21484</v>
      </c>
      <c r="P1012">
        <v>37004</v>
      </c>
      <c r="Q1012" t="str">
        <f>"39.174257"</f>
        <v>39.174257</v>
      </c>
      <c r="R1012" t="str">
        <f>"23.618478"</f>
        <v>23.618478</v>
      </c>
      <c r="S1012" t="s">
        <v>57</v>
      </c>
    </row>
    <row r="1013" spans="1:19" x14ac:dyDescent="0.3">
      <c r="A1013" t="s">
        <v>20660</v>
      </c>
      <c r="B1013" t="s">
        <v>21192</v>
      </c>
      <c r="C1013" t="s">
        <v>21489</v>
      </c>
      <c r="D1013" t="s">
        <v>20674</v>
      </c>
      <c r="E1013" t="s">
        <v>20675</v>
      </c>
      <c r="F1013" t="s">
        <v>20675</v>
      </c>
      <c r="G1013" t="s">
        <v>20675</v>
      </c>
      <c r="H1013" t="s">
        <v>51</v>
      </c>
      <c r="I1013" t="s">
        <v>52</v>
      </c>
      <c r="J1013" t="str">
        <f>"3501020"</f>
        <v>3501020</v>
      </c>
      <c r="K1013">
        <v>2421071004</v>
      </c>
      <c r="L1013">
        <v>2421072316</v>
      </c>
      <c r="M1013" t="s">
        <v>21490</v>
      </c>
      <c r="N1013" t="s">
        <v>20678</v>
      </c>
      <c r="O1013" t="s">
        <v>21316</v>
      </c>
      <c r="P1013">
        <v>38222</v>
      </c>
      <c r="Q1013" t="str">
        <f>"39.353147"</f>
        <v>39.353147</v>
      </c>
      <c r="R1013" t="str">
        <f>"22.965388"</f>
        <v>22.965388</v>
      </c>
      <c r="S1013" t="s">
        <v>26</v>
      </c>
    </row>
    <row r="1014" spans="1:19" x14ac:dyDescent="0.3">
      <c r="A1014" t="s">
        <v>20660</v>
      </c>
      <c r="B1014" t="s">
        <v>21501</v>
      </c>
      <c r="C1014" t="s">
        <v>21504</v>
      </c>
      <c r="D1014" t="s">
        <v>20680</v>
      </c>
      <c r="E1014" t="s">
        <v>21502</v>
      </c>
      <c r="F1014" t="s">
        <v>21503</v>
      </c>
      <c r="G1014" t="s">
        <v>21503</v>
      </c>
      <c r="H1014" t="s">
        <v>51</v>
      </c>
      <c r="I1014" t="s">
        <v>52</v>
      </c>
      <c r="J1014" t="str">
        <f>"4505020"</f>
        <v>4505020</v>
      </c>
      <c r="K1014">
        <v>2433031332</v>
      </c>
      <c r="L1014">
        <v>2433032913</v>
      </c>
      <c r="M1014" t="s">
        <v>21505</v>
      </c>
      <c r="N1014" t="s">
        <v>21506</v>
      </c>
      <c r="O1014" t="s">
        <v>21506</v>
      </c>
      <c r="P1014">
        <v>42300</v>
      </c>
      <c r="Q1014" t="str">
        <f>"39.609353"</f>
        <v>39.609353</v>
      </c>
      <c r="R1014" t="str">
        <f>"21.990169"</f>
        <v>21.990169</v>
      </c>
      <c r="S1014" t="s">
        <v>26</v>
      </c>
    </row>
    <row r="1015" spans="1:19" x14ac:dyDescent="0.3">
      <c r="A1015" t="s">
        <v>20660</v>
      </c>
      <c r="B1015" t="s">
        <v>21501</v>
      </c>
      <c r="C1015" t="s">
        <v>21510</v>
      </c>
      <c r="D1015" t="s">
        <v>20680</v>
      </c>
      <c r="E1015" t="s">
        <v>21508</v>
      </c>
      <c r="F1015" t="s">
        <v>17277</v>
      </c>
      <c r="G1015" t="s">
        <v>21509</v>
      </c>
      <c r="H1015" t="s">
        <v>51</v>
      </c>
      <c r="I1015" t="s">
        <v>52</v>
      </c>
      <c r="J1015" t="str">
        <f>"4511010"</f>
        <v>4511010</v>
      </c>
      <c r="K1015">
        <v>2432082221</v>
      </c>
      <c r="M1015" t="s">
        <v>21511</v>
      </c>
      <c r="N1015" t="s">
        <v>21509</v>
      </c>
      <c r="O1015" t="s">
        <v>21512</v>
      </c>
      <c r="P1015">
        <v>42200</v>
      </c>
      <c r="Q1015" t="str">
        <f>"39.827212"</f>
        <v>39.827212</v>
      </c>
      <c r="R1015" t="str">
        <f>"21.492286"</f>
        <v>21.492286</v>
      </c>
      <c r="S1015" t="s">
        <v>26</v>
      </c>
    </row>
    <row r="1016" spans="1:19" x14ac:dyDescent="0.3">
      <c r="A1016" t="s">
        <v>20660</v>
      </c>
      <c r="B1016" t="s">
        <v>21501</v>
      </c>
      <c r="C1016" t="s">
        <v>21541</v>
      </c>
      <c r="D1016" t="s">
        <v>20680</v>
      </c>
      <c r="E1016" t="s">
        <v>20681</v>
      </c>
      <c r="F1016" t="s">
        <v>21540</v>
      </c>
      <c r="G1016" t="s">
        <v>13031</v>
      </c>
      <c r="H1016" t="s">
        <v>51</v>
      </c>
      <c r="I1016" t="s">
        <v>52</v>
      </c>
      <c r="J1016" t="str">
        <f>"4509010"</f>
        <v>4509010</v>
      </c>
      <c r="K1016">
        <v>2431055436</v>
      </c>
      <c r="L1016">
        <v>2431055436</v>
      </c>
      <c r="M1016" t="s">
        <v>21542</v>
      </c>
      <c r="N1016" t="s">
        <v>21543</v>
      </c>
      <c r="O1016" t="s">
        <v>21544</v>
      </c>
      <c r="P1016">
        <v>42100</v>
      </c>
      <c r="Q1016" t="str">
        <f>"39.559709"</f>
        <v>39.559709</v>
      </c>
      <c r="R1016" t="str">
        <f>"21.847871"</f>
        <v>21.847871</v>
      </c>
      <c r="S1016" t="s">
        <v>26</v>
      </c>
    </row>
    <row r="1017" spans="1:19" x14ac:dyDescent="0.3">
      <c r="A1017" t="s">
        <v>20660</v>
      </c>
      <c r="B1017" t="s">
        <v>21501</v>
      </c>
      <c r="C1017" t="s">
        <v>21597</v>
      </c>
      <c r="D1017" t="s">
        <v>20680</v>
      </c>
      <c r="E1017" t="s">
        <v>20681</v>
      </c>
      <c r="F1017" t="s">
        <v>20681</v>
      </c>
      <c r="G1017" t="s">
        <v>20681</v>
      </c>
      <c r="H1017" t="s">
        <v>51</v>
      </c>
      <c r="I1017" t="s">
        <v>190</v>
      </c>
      <c r="J1017" t="str">
        <f>"4501025"</f>
        <v>4501025</v>
      </c>
      <c r="K1017">
        <v>2431074471</v>
      </c>
      <c r="L1017">
        <v>2431074471</v>
      </c>
      <c r="M1017" t="s">
        <v>21598</v>
      </c>
      <c r="N1017" t="s">
        <v>20680</v>
      </c>
      <c r="O1017" t="s">
        <v>21599</v>
      </c>
      <c r="P1017">
        <v>42100</v>
      </c>
      <c r="Q1017" t="str">
        <f>"39.542787"</f>
        <v>39.542787</v>
      </c>
      <c r="R1017" t="str">
        <f>"21.795815"</f>
        <v>21.795815</v>
      </c>
      <c r="S1017" t="s">
        <v>26</v>
      </c>
    </row>
    <row r="1018" spans="1:19" x14ac:dyDescent="0.3">
      <c r="A1018" t="s">
        <v>20660</v>
      </c>
      <c r="B1018" t="s">
        <v>21501</v>
      </c>
      <c r="C1018" t="s">
        <v>21603</v>
      </c>
      <c r="D1018" t="s">
        <v>20680</v>
      </c>
      <c r="E1018" t="s">
        <v>21508</v>
      </c>
      <c r="F1018" t="s">
        <v>21508</v>
      </c>
      <c r="G1018" t="s">
        <v>21580</v>
      </c>
      <c r="H1018" t="s">
        <v>51</v>
      </c>
      <c r="I1018" t="s">
        <v>52</v>
      </c>
      <c r="J1018" t="str">
        <f>"4502010"</f>
        <v>4502010</v>
      </c>
      <c r="K1018">
        <v>2432023220</v>
      </c>
      <c r="L1018">
        <v>2432023220</v>
      </c>
      <c r="M1018" t="s">
        <v>21604</v>
      </c>
      <c r="N1018" t="s">
        <v>21580</v>
      </c>
      <c r="O1018" t="s">
        <v>21605</v>
      </c>
      <c r="P1018">
        <v>42200</v>
      </c>
      <c r="Q1018" t="str">
        <f>"39.703053"</f>
        <v>39.703053</v>
      </c>
      <c r="R1018" t="str">
        <f>"21.627585"</f>
        <v>21.627585</v>
      </c>
      <c r="S1018" t="s">
        <v>26</v>
      </c>
    </row>
    <row r="1019" spans="1:19" x14ac:dyDescent="0.3">
      <c r="A1019" t="s">
        <v>20660</v>
      </c>
      <c r="B1019" t="s">
        <v>21501</v>
      </c>
      <c r="C1019" t="s">
        <v>21607</v>
      </c>
      <c r="D1019" t="s">
        <v>20680</v>
      </c>
      <c r="E1019" t="s">
        <v>21502</v>
      </c>
      <c r="F1019" t="s">
        <v>21502</v>
      </c>
      <c r="G1019" t="s">
        <v>21514</v>
      </c>
      <c r="H1019" t="s">
        <v>51</v>
      </c>
      <c r="I1019" t="s">
        <v>52</v>
      </c>
      <c r="J1019" t="str">
        <f>"4505010"</f>
        <v>4505010</v>
      </c>
      <c r="K1019">
        <v>2433022221</v>
      </c>
      <c r="L1019">
        <v>2433022900</v>
      </c>
      <c r="M1019" t="s">
        <v>21608</v>
      </c>
      <c r="N1019" t="s">
        <v>21538</v>
      </c>
      <c r="O1019" t="s">
        <v>21539</v>
      </c>
      <c r="P1019">
        <v>42031</v>
      </c>
      <c r="Q1019" t="str">
        <f>"39.591247"</f>
        <v>39.591247</v>
      </c>
      <c r="R1019" t="str">
        <f>"22.064075"</f>
        <v>22.064075</v>
      </c>
      <c r="S1019" t="s">
        <v>26</v>
      </c>
    </row>
    <row r="1020" spans="1:19" x14ac:dyDescent="0.3">
      <c r="A1020" t="s">
        <v>20660</v>
      </c>
      <c r="B1020" t="s">
        <v>21501</v>
      </c>
      <c r="C1020" t="s">
        <v>21609</v>
      </c>
      <c r="D1020" t="s">
        <v>20680</v>
      </c>
      <c r="E1020" t="s">
        <v>20681</v>
      </c>
      <c r="F1020" t="s">
        <v>20681</v>
      </c>
      <c r="G1020" t="s">
        <v>20681</v>
      </c>
      <c r="H1020" t="s">
        <v>51</v>
      </c>
      <c r="I1020" t="s">
        <v>52</v>
      </c>
      <c r="J1020" t="str">
        <f>"4501030"</f>
        <v>4501030</v>
      </c>
      <c r="K1020">
        <v>2431028697</v>
      </c>
      <c r="L1020">
        <v>2431028618</v>
      </c>
      <c r="M1020" t="s">
        <v>21610</v>
      </c>
      <c r="N1020" t="s">
        <v>20684</v>
      </c>
      <c r="O1020" t="s">
        <v>21611</v>
      </c>
      <c r="P1020">
        <v>42131</v>
      </c>
      <c r="Q1020" t="str">
        <f>"39.551610"</f>
        <v>39.551610</v>
      </c>
      <c r="R1020" t="str">
        <f>"21.762011"</f>
        <v>21.762011</v>
      </c>
      <c r="S1020" t="s">
        <v>26</v>
      </c>
    </row>
    <row r="1021" spans="1:19" x14ac:dyDescent="0.3">
      <c r="A1021" t="s">
        <v>20660</v>
      </c>
      <c r="B1021" t="s">
        <v>21501</v>
      </c>
      <c r="C1021" t="s">
        <v>21612</v>
      </c>
      <c r="D1021" t="s">
        <v>20680</v>
      </c>
      <c r="E1021" t="s">
        <v>21531</v>
      </c>
      <c r="F1021" t="s">
        <v>21531</v>
      </c>
      <c r="G1021" t="s">
        <v>21531</v>
      </c>
      <c r="H1021" t="s">
        <v>51</v>
      </c>
      <c r="I1021" t="s">
        <v>52</v>
      </c>
      <c r="J1021" t="str">
        <f>"4503010"</f>
        <v>4503010</v>
      </c>
      <c r="K1021">
        <v>2434022241</v>
      </c>
      <c r="L1021">
        <v>2434023299</v>
      </c>
      <c r="M1021" t="s">
        <v>21613</v>
      </c>
      <c r="N1021" t="s">
        <v>21567</v>
      </c>
      <c r="P1021">
        <v>42032</v>
      </c>
      <c r="Q1021" t="str">
        <f>"39.461759"</f>
        <v>39.461759</v>
      </c>
      <c r="R1021" t="str">
        <f>"21.621511"</f>
        <v>21.621511</v>
      </c>
      <c r="S1021" t="s">
        <v>26</v>
      </c>
    </row>
    <row r="1022" spans="1:19" x14ac:dyDescent="0.3">
      <c r="A1022" t="s">
        <v>20660</v>
      </c>
      <c r="B1022" t="s">
        <v>21501</v>
      </c>
      <c r="C1022" t="s">
        <v>21614</v>
      </c>
      <c r="D1022" t="s">
        <v>20680</v>
      </c>
      <c r="E1022" t="s">
        <v>21508</v>
      </c>
      <c r="F1022" t="s">
        <v>21508</v>
      </c>
      <c r="G1022" t="s">
        <v>21580</v>
      </c>
      <c r="H1022" t="s">
        <v>51</v>
      </c>
      <c r="I1022" t="s">
        <v>52</v>
      </c>
      <c r="J1022" t="str">
        <f>"4502012"</f>
        <v>4502012</v>
      </c>
      <c r="K1022">
        <v>2432023789</v>
      </c>
      <c r="L1022">
        <v>2432079068</v>
      </c>
      <c r="M1022" t="s">
        <v>21615</v>
      </c>
      <c r="N1022" t="s">
        <v>21580</v>
      </c>
      <c r="O1022" t="s">
        <v>21605</v>
      </c>
      <c r="P1022">
        <v>42200</v>
      </c>
      <c r="Q1022" t="str">
        <f>"39.703185"</f>
        <v>39.703185</v>
      </c>
      <c r="R1022" t="str">
        <f>"21.627413"</f>
        <v>21.627413</v>
      </c>
      <c r="S1022" t="s">
        <v>26</v>
      </c>
    </row>
    <row r="1023" spans="1:19" x14ac:dyDescent="0.3">
      <c r="A1023" t="s">
        <v>20660</v>
      </c>
      <c r="B1023" t="s">
        <v>21501</v>
      </c>
      <c r="C1023" t="s">
        <v>21616</v>
      </c>
      <c r="D1023" t="s">
        <v>20680</v>
      </c>
      <c r="E1023" t="s">
        <v>20681</v>
      </c>
      <c r="F1023" t="s">
        <v>20681</v>
      </c>
      <c r="G1023" t="s">
        <v>20681</v>
      </c>
      <c r="H1023" t="s">
        <v>51</v>
      </c>
      <c r="I1023" t="s">
        <v>4556</v>
      </c>
      <c r="J1023" t="str">
        <f>"4501028"</f>
        <v>4501028</v>
      </c>
      <c r="K1023">
        <v>2431028057</v>
      </c>
      <c r="L1023">
        <v>2431020956</v>
      </c>
      <c r="M1023" t="s">
        <v>21617</v>
      </c>
      <c r="N1023" t="s">
        <v>20684</v>
      </c>
      <c r="O1023" t="s">
        <v>21618</v>
      </c>
      <c r="P1023">
        <v>42132</v>
      </c>
      <c r="Q1023" t="str">
        <f>"39.565148"</f>
        <v>39.565148</v>
      </c>
      <c r="R1023" t="str">
        <f>"21.771649"</f>
        <v>21.771649</v>
      </c>
      <c r="S1023" t="s">
        <v>26</v>
      </c>
    </row>
    <row r="1024" spans="1:19" x14ac:dyDescent="0.3">
      <c r="A1024" t="s">
        <v>20660</v>
      </c>
      <c r="B1024" t="s">
        <v>21501</v>
      </c>
      <c r="C1024" t="s">
        <v>21619</v>
      </c>
      <c r="D1024" t="s">
        <v>20680</v>
      </c>
      <c r="E1024" t="s">
        <v>20681</v>
      </c>
      <c r="F1024" t="s">
        <v>20681</v>
      </c>
      <c r="G1024" t="s">
        <v>20681</v>
      </c>
      <c r="H1024" t="s">
        <v>51</v>
      </c>
      <c r="I1024" t="s">
        <v>52</v>
      </c>
      <c r="J1024" t="str">
        <f>"4501020"</f>
        <v>4501020</v>
      </c>
      <c r="K1024">
        <v>2431028775</v>
      </c>
      <c r="L1024">
        <v>2431028775</v>
      </c>
      <c r="M1024" t="s">
        <v>21620</v>
      </c>
      <c r="N1024" t="s">
        <v>20684</v>
      </c>
      <c r="O1024" t="s">
        <v>21621</v>
      </c>
      <c r="P1024">
        <v>42132</v>
      </c>
      <c r="Q1024" t="str">
        <f>"39.551195"</f>
        <v>39.551195</v>
      </c>
      <c r="R1024" t="str">
        <f>"21.777079"</f>
        <v>21.777079</v>
      </c>
      <c r="S1024" t="s">
        <v>26</v>
      </c>
    </row>
    <row r="1025" spans="1:19" x14ac:dyDescent="0.3">
      <c r="A1025" t="s">
        <v>20660</v>
      </c>
      <c r="B1025" t="s">
        <v>21501</v>
      </c>
      <c r="C1025" t="s">
        <v>21622</v>
      </c>
      <c r="D1025" t="s">
        <v>20680</v>
      </c>
      <c r="E1025" t="s">
        <v>20681</v>
      </c>
      <c r="F1025" t="s">
        <v>20681</v>
      </c>
      <c r="G1025" t="s">
        <v>20681</v>
      </c>
      <c r="H1025" t="s">
        <v>51</v>
      </c>
      <c r="I1025" t="s">
        <v>52</v>
      </c>
      <c r="J1025" t="str">
        <f>"4501042"</f>
        <v>4501042</v>
      </c>
      <c r="K1025">
        <v>2431032391</v>
      </c>
      <c r="L1025">
        <v>2431032397</v>
      </c>
      <c r="M1025" t="s">
        <v>21623</v>
      </c>
      <c r="N1025" t="s">
        <v>20684</v>
      </c>
      <c r="O1025" t="s">
        <v>21624</v>
      </c>
      <c r="P1025">
        <v>42131</v>
      </c>
      <c r="Q1025" t="str">
        <f>"39.542154"</f>
        <v>39.542154</v>
      </c>
      <c r="R1025" t="str">
        <f>"21.771488"</f>
        <v>21.771488</v>
      </c>
      <c r="S1025" t="s">
        <v>26</v>
      </c>
    </row>
    <row r="1026" spans="1:19" x14ac:dyDescent="0.3">
      <c r="A1026" t="s">
        <v>20660</v>
      </c>
      <c r="B1026" t="s">
        <v>21501</v>
      </c>
      <c r="C1026" t="s">
        <v>21625</v>
      </c>
      <c r="D1026" t="s">
        <v>20680</v>
      </c>
      <c r="E1026" t="s">
        <v>20681</v>
      </c>
      <c r="F1026" t="s">
        <v>21573</v>
      </c>
      <c r="G1026" t="s">
        <v>21574</v>
      </c>
      <c r="H1026" t="s">
        <v>51</v>
      </c>
      <c r="I1026" t="s">
        <v>52</v>
      </c>
      <c r="J1026" t="str">
        <f>"4507010"</f>
        <v>4507010</v>
      </c>
      <c r="K1026">
        <v>2431094218</v>
      </c>
      <c r="L1026">
        <v>2431094218</v>
      </c>
      <c r="M1026" t="s">
        <v>21626</v>
      </c>
      <c r="N1026" t="s">
        <v>20680</v>
      </c>
      <c r="O1026" t="s">
        <v>21627</v>
      </c>
      <c r="P1026">
        <v>42100</v>
      </c>
      <c r="Q1026" t="str">
        <f>"39.550358"</f>
        <v>39.550358</v>
      </c>
      <c r="R1026" t="str">
        <f>"21.657108"</f>
        <v>21.657108</v>
      </c>
      <c r="S1026" t="s">
        <v>26</v>
      </c>
    </row>
    <row r="1027" spans="1:19" x14ac:dyDescent="0.3">
      <c r="A1027" t="s">
        <v>20660</v>
      </c>
      <c r="B1027" t="s">
        <v>21501</v>
      </c>
      <c r="C1027" t="s">
        <v>21629</v>
      </c>
      <c r="D1027" t="s">
        <v>20680</v>
      </c>
      <c r="E1027" t="s">
        <v>20681</v>
      </c>
      <c r="F1027" t="s">
        <v>21628</v>
      </c>
      <c r="G1027" t="s">
        <v>21628</v>
      </c>
      <c r="H1027" t="s">
        <v>51</v>
      </c>
      <c r="I1027" t="s">
        <v>52</v>
      </c>
      <c r="J1027" t="str">
        <f>"4513010"</f>
        <v>4513010</v>
      </c>
      <c r="K1027">
        <v>2431043489</v>
      </c>
      <c r="L1027">
        <v>2431043489</v>
      </c>
      <c r="M1027" t="s">
        <v>21630</v>
      </c>
      <c r="N1027" t="s">
        <v>21631</v>
      </c>
      <c r="O1027" t="s">
        <v>21632</v>
      </c>
      <c r="P1027">
        <v>42030</v>
      </c>
      <c r="Q1027" t="str">
        <f>"39.504022"</f>
        <v>39.504022</v>
      </c>
      <c r="R1027" t="str">
        <f>"21.792949"</f>
        <v>21.792949</v>
      </c>
      <c r="S1027" t="s">
        <v>26</v>
      </c>
    </row>
    <row r="1028" spans="1:19" x14ac:dyDescent="0.3">
      <c r="A1028" t="s">
        <v>20660</v>
      </c>
      <c r="B1028" t="s">
        <v>21501</v>
      </c>
      <c r="C1028" t="s">
        <v>21634</v>
      </c>
      <c r="D1028" t="s">
        <v>20680</v>
      </c>
      <c r="E1028" t="s">
        <v>20681</v>
      </c>
      <c r="F1028" t="s">
        <v>20681</v>
      </c>
      <c r="G1028" t="s">
        <v>20681</v>
      </c>
      <c r="H1028" t="s">
        <v>51</v>
      </c>
      <c r="I1028" t="s">
        <v>52</v>
      </c>
      <c r="J1028" t="str">
        <f>"4501044"</f>
        <v>4501044</v>
      </c>
      <c r="K1028">
        <v>2431070570</v>
      </c>
      <c r="L1028">
        <v>2431079449</v>
      </c>
      <c r="M1028" t="s">
        <v>21635</v>
      </c>
      <c r="N1028" t="s">
        <v>20684</v>
      </c>
      <c r="O1028" t="s">
        <v>21636</v>
      </c>
      <c r="P1028">
        <v>42131</v>
      </c>
      <c r="Q1028" t="str">
        <f>"39.551199"</f>
        <v>39.551199</v>
      </c>
      <c r="R1028" t="str">
        <f>"21.762431"</f>
        <v>21.762431</v>
      </c>
      <c r="S1028" t="s">
        <v>26</v>
      </c>
    </row>
    <row r="1029" spans="1:19" x14ac:dyDescent="0.3">
      <c r="A1029" t="s">
        <v>20660</v>
      </c>
      <c r="B1029" t="s">
        <v>21501</v>
      </c>
      <c r="C1029" t="s">
        <v>21642</v>
      </c>
      <c r="D1029" t="s">
        <v>20680</v>
      </c>
      <c r="E1029" t="s">
        <v>20681</v>
      </c>
      <c r="F1029" t="s">
        <v>21641</v>
      </c>
      <c r="G1029" t="s">
        <v>549</v>
      </c>
      <c r="H1029" t="s">
        <v>51</v>
      </c>
      <c r="I1029" t="s">
        <v>52</v>
      </c>
      <c r="J1029" t="str">
        <f>"4507050"</f>
        <v>4507050</v>
      </c>
      <c r="K1029">
        <v>2431093026</v>
      </c>
      <c r="L1029">
        <v>2431093026</v>
      </c>
      <c r="M1029" t="s">
        <v>21643</v>
      </c>
      <c r="N1029" t="s">
        <v>21644</v>
      </c>
      <c r="O1029" t="s">
        <v>21644</v>
      </c>
      <c r="P1029">
        <v>42132</v>
      </c>
      <c r="Q1029" t="str">
        <f>"39.553502"</f>
        <v>39.553502</v>
      </c>
      <c r="R1029" t="str">
        <f>"21.768076"</f>
        <v>21.768076</v>
      </c>
      <c r="S1029" t="s">
        <v>26</v>
      </c>
    </row>
    <row r="1030" spans="1:19" x14ac:dyDescent="0.3">
      <c r="A1030" t="s">
        <v>20660</v>
      </c>
      <c r="B1030" t="s">
        <v>21501</v>
      </c>
      <c r="C1030" t="s">
        <v>21647</v>
      </c>
      <c r="D1030" t="s">
        <v>20680</v>
      </c>
      <c r="E1030" t="s">
        <v>21508</v>
      </c>
      <c r="F1030" t="s">
        <v>21645</v>
      </c>
      <c r="G1030" t="s">
        <v>21646</v>
      </c>
      <c r="H1030" t="s">
        <v>51</v>
      </c>
      <c r="I1030" t="s">
        <v>52</v>
      </c>
      <c r="J1030" t="str">
        <f>"4510010"</f>
        <v>4510010</v>
      </c>
      <c r="K1030">
        <v>2432031228</v>
      </c>
      <c r="L1030">
        <v>2432031228</v>
      </c>
      <c r="M1030" t="s">
        <v>21648</v>
      </c>
      <c r="N1030" t="s">
        <v>21649</v>
      </c>
      <c r="O1030" t="s">
        <v>21650</v>
      </c>
      <c r="P1030">
        <v>42200</v>
      </c>
      <c r="Q1030" t="str">
        <f>"39.693911"</f>
        <v>39.693911</v>
      </c>
      <c r="R1030" t="str">
        <f>"21.516681"</f>
        <v>21.516681</v>
      </c>
      <c r="S1030" t="s">
        <v>26</v>
      </c>
    </row>
    <row r="1031" spans="1:19" x14ac:dyDescent="0.3">
      <c r="A1031" t="s">
        <v>20660</v>
      </c>
      <c r="B1031" t="s">
        <v>21501</v>
      </c>
      <c r="C1031" t="s">
        <v>21652</v>
      </c>
      <c r="D1031" t="s">
        <v>20680</v>
      </c>
      <c r="E1031" t="s">
        <v>20681</v>
      </c>
      <c r="F1031" t="s">
        <v>20681</v>
      </c>
      <c r="G1031" t="s">
        <v>20681</v>
      </c>
      <c r="H1031" t="s">
        <v>51</v>
      </c>
      <c r="I1031" t="s">
        <v>52</v>
      </c>
      <c r="J1031" t="str">
        <f>"4501031"</f>
        <v>4501031</v>
      </c>
      <c r="K1031">
        <v>2431027210</v>
      </c>
      <c r="L1031">
        <v>2431027210</v>
      </c>
      <c r="M1031" t="s">
        <v>21653</v>
      </c>
      <c r="N1031" t="s">
        <v>20684</v>
      </c>
      <c r="O1031" t="s">
        <v>21654</v>
      </c>
      <c r="P1031">
        <v>42100</v>
      </c>
      <c r="Q1031" t="str">
        <f>"39.566011"</f>
        <v>39.566011</v>
      </c>
      <c r="R1031" t="str">
        <f>"21.772064"</f>
        <v>21.772064</v>
      </c>
      <c r="S1031" t="s">
        <v>26</v>
      </c>
    </row>
    <row r="1032" spans="1:19" x14ac:dyDescent="0.3">
      <c r="A1032" t="s">
        <v>20660</v>
      </c>
      <c r="B1032" t="s">
        <v>21501</v>
      </c>
      <c r="C1032" t="s">
        <v>21655</v>
      </c>
      <c r="D1032" t="s">
        <v>20680</v>
      </c>
      <c r="E1032" t="s">
        <v>20681</v>
      </c>
      <c r="F1032" t="s">
        <v>20681</v>
      </c>
      <c r="G1032" t="s">
        <v>20681</v>
      </c>
      <c r="H1032" t="s">
        <v>51</v>
      </c>
      <c r="I1032" t="s">
        <v>52</v>
      </c>
      <c r="J1032" t="str">
        <f>"4501040"</f>
        <v>4501040</v>
      </c>
      <c r="K1032">
        <v>2431027589</v>
      </c>
      <c r="L1032">
        <v>2431079490</v>
      </c>
      <c r="M1032" t="s">
        <v>21656</v>
      </c>
      <c r="N1032" t="s">
        <v>20684</v>
      </c>
      <c r="O1032" t="s">
        <v>21657</v>
      </c>
      <c r="P1032">
        <v>42100</v>
      </c>
      <c r="Q1032" t="str">
        <f>"39.562113"</f>
        <v>39.562113</v>
      </c>
      <c r="R1032" t="str">
        <f>"21.753839"</f>
        <v>21.753839</v>
      </c>
      <c r="S1032" t="s">
        <v>26</v>
      </c>
    </row>
    <row r="1033" spans="1:19" x14ac:dyDescent="0.3">
      <c r="A1033" t="s">
        <v>20660</v>
      </c>
      <c r="B1033" t="s">
        <v>21501</v>
      </c>
      <c r="C1033" t="s">
        <v>21658</v>
      </c>
      <c r="D1033" t="s">
        <v>20680</v>
      </c>
      <c r="E1033" t="s">
        <v>20681</v>
      </c>
      <c r="F1033" t="s">
        <v>20681</v>
      </c>
      <c r="G1033" t="s">
        <v>20681</v>
      </c>
      <c r="H1033" t="s">
        <v>51</v>
      </c>
      <c r="I1033" t="s">
        <v>52</v>
      </c>
      <c r="J1033" t="str">
        <f>"4501041"</f>
        <v>4501041</v>
      </c>
      <c r="K1033">
        <v>2431022298</v>
      </c>
      <c r="L1033">
        <v>2431022298</v>
      </c>
      <c r="M1033" t="s">
        <v>21659</v>
      </c>
      <c r="N1033" t="s">
        <v>20684</v>
      </c>
      <c r="O1033" t="s">
        <v>21660</v>
      </c>
      <c r="P1033">
        <v>42100</v>
      </c>
      <c r="Q1033" t="str">
        <f>"39.542714"</f>
        <v>39.542714</v>
      </c>
      <c r="R1033" t="str">
        <f>"21.752423"</f>
        <v>21.752423</v>
      </c>
      <c r="S1033" t="s">
        <v>26</v>
      </c>
    </row>
    <row r="1034" spans="1:19" x14ac:dyDescent="0.3">
      <c r="A1034" t="s">
        <v>20660</v>
      </c>
      <c r="B1034" t="s">
        <v>21501</v>
      </c>
      <c r="C1034" t="s">
        <v>21667</v>
      </c>
      <c r="D1034" t="s">
        <v>20680</v>
      </c>
      <c r="E1034" t="s">
        <v>20681</v>
      </c>
      <c r="F1034" t="s">
        <v>20681</v>
      </c>
      <c r="G1034" t="s">
        <v>20681</v>
      </c>
      <c r="H1034" t="s">
        <v>51</v>
      </c>
      <c r="I1034" t="s">
        <v>52</v>
      </c>
      <c r="J1034" t="str">
        <f>"4501010"</f>
        <v>4501010</v>
      </c>
      <c r="K1034">
        <v>2431020099</v>
      </c>
      <c r="L1034">
        <v>2431020099</v>
      </c>
      <c r="M1034" t="s">
        <v>21668</v>
      </c>
      <c r="N1034" t="s">
        <v>20680</v>
      </c>
      <c r="O1034" t="s">
        <v>21559</v>
      </c>
      <c r="P1034">
        <v>42132</v>
      </c>
      <c r="Q1034" t="str">
        <f>"39.565066"</f>
        <v>39.565066</v>
      </c>
      <c r="R1034" t="str">
        <f>"21.771724"</f>
        <v>21.771724</v>
      </c>
      <c r="S1034" t="s">
        <v>26</v>
      </c>
    </row>
    <row r="1035" spans="1:19" x14ac:dyDescent="0.3">
      <c r="A1035" t="s">
        <v>20660</v>
      </c>
      <c r="B1035" t="s">
        <v>21501</v>
      </c>
      <c r="C1035" t="s">
        <v>21669</v>
      </c>
      <c r="D1035" t="s">
        <v>20680</v>
      </c>
      <c r="E1035" t="s">
        <v>20681</v>
      </c>
      <c r="F1035" t="s">
        <v>20681</v>
      </c>
      <c r="G1035" t="s">
        <v>20681</v>
      </c>
      <c r="H1035" t="s">
        <v>51</v>
      </c>
      <c r="I1035" t="s">
        <v>199</v>
      </c>
      <c r="J1035" t="str">
        <f>"4511201"</f>
        <v>4511201</v>
      </c>
      <c r="K1035">
        <v>2431037933</v>
      </c>
      <c r="L1035">
        <v>2431037933</v>
      </c>
      <c r="M1035" t="s">
        <v>21670</v>
      </c>
      <c r="N1035" t="s">
        <v>20684</v>
      </c>
      <c r="O1035" t="s">
        <v>21671</v>
      </c>
      <c r="P1035">
        <v>42131</v>
      </c>
      <c r="Q1035" t="str">
        <f>"39.558396"</f>
        <v>39.558396</v>
      </c>
      <c r="R1035" t="str">
        <f>"21.749135"</f>
        <v>21.749135</v>
      </c>
      <c r="S1035" t="s">
        <v>26</v>
      </c>
    </row>
    <row r="1036" spans="1:19" x14ac:dyDescent="0.3">
      <c r="A1036" t="s">
        <v>23985</v>
      </c>
      <c r="B1036" t="s">
        <v>24008</v>
      </c>
      <c r="C1036" t="s">
        <v>24009</v>
      </c>
      <c r="D1036" t="s">
        <v>8088</v>
      </c>
      <c r="E1036" t="s">
        <v>8088</v>
      </c>
      <c r="F1036" t="s">
        <v>23986</v>
      </c>
      <c r="G1036" t="s">
        <v>23986</v>
      </c>
      <c r="H1036" t="s">
        <v>51</v>
      </c>
      <c r="I1036" t="s">
        <v>190</v>
      </c>
      <c r="J1036" t="str">
        <f>"1401022"</f>
        <v>1401022</v>
      </c>
      <c r="K1036">
        <v>2695045812</v>
      </c>
      <c r="L1036">
        <v>2695029929</v>
      </c>
      <c r="M1036" t="s">
        <v>24010</v>
      </c>
      <c r="N1036" t="s">
        <v>23989</v>
      </c>
      <c r="O1036" t="s">
        <v>24011</v>
      </c>
      <c r="P1036">
        <v>29100</v>
      </c>
      <c r="Q1036" t="str">
        <f>"37.776228"</f>
        <v>37.776228</v>
      </c>
      <c r="R1036" t="str">
        <f>"20.895575"</f>
        <v>20.895575</v>
      </c>
      <c r="S1036" t="s">
        <v>26</v>
      </c>
    </row>
    <row r="1037" spans="1:19" x14ac:dyDescent="0.3">
      <c r="A1037" t="s">
        <v>23985</v>
      </c>
      <c r="B1037" t="s">
        <v>24008</v>
      </c>
      <c r="C1037" t="s">
        <v>24031</v>
      </c>
      <c r="D1037" t="s">
        <v>8088</v>
      </c>
      <c r="E1037" t="s">
        <v>8088</v>
      </c>
      <c r="F1037" t="s">
        <v>24021</v>
      </c>
      <c r="G1037" t="s">
        <v>24022</v>
      </c>
      <c r="H1037" t="s">
        <v>51</v>
      </c>
      <c r="I1037" t="s">
        <v>52</v>
      </c>
      <c r="J1037" t="str">
        <f>"1401030"</f>
        <v>1401030</v>
      </c>
      <c r="K1037">
        <v>2695083232</v>
      </c>
      <c r="L1037">
        <v>2695084074</v>
      </c>
      <c r="M1037" t="s">
        <v>24032</v>
      </c>
      <c r="N1037" t="s">
        <v>23989</v>
      </c>
      <c r="O1037" t="s">
        <v>24025</v>
      </c>
      <c r="P1037">
        <v>29090</v>
      </c>
      <c r="Q1037" t="str">
        <f>"37.827804"</f>
        <v>37.827804</v>
      </c>
      <c r="R1037" t="str">
        <f>"20.762911"</f>
        <v>20.762911</v>
      </c>
      <c r="S1037" t="s">
        <v>26</v>
      </c>
    </row>
    <row r="1038" spans="1:19" x14ac:dyDescent="0.3">
      <c r="A1038" t="s">
        <v>23985</v>
      </c>
      <c r="B1038" t="s">
        <v>24008</v>
      </c>
      <c r="C1038" t="s">
        <v>24035</v>
      </c>
      <c r="D1038" t="s">
        <v>8088</v>
      </c>
      <c r="E1038" t="s">
        <v>8088</v>
      </c>
      <c r="F1038" t="s">
        <v>24033</v>
      </c>
      <c r="G1038" t="s">
        <v>24034</v>
      </c>
      <c r="H1038" t="s">
        <v>51</v>
      </c>
      <c r="I1038" t="s">
        <v>52</v>
      </c>
      <c r="J1038" t="str">
        <f>"1404010"</f>
        <v>1404010</v>
      </c>
      <c r="K1038">
        <v>2695092400</v>
      </c>
      <c r="L1038">
        <v>2695094003</v>
      </c>
      <c r="M1038" t="s">
        <v>24036</v>
      </c>
      <c r="N1038" t="s">
        <v>23989</v>
      </c>
      <c r="O1038" t="s">
        <v>24037</v>
      </c>
      <c r="P1038">
        <v>29092</v>
      </c>
      <c r="Q1038" t="str">
        <f>"37.759832"</f>
        <v>37.759832</v>
      </c>
      <c r="R1038" t="str">
        <f>"20.813352"</f>
        <v>20.813352</v>
      </c>
      <c r="S1038" t="s">
        <v>26</v>
      </c>
    </row>
    <row r="1039" spans="1:19" x14ac:dyDescent="0.3">
      <c r="A1039" t="s">
        <v>23985</v>
      </c>
      <c r="B1039" t="s">
        <v>24008</v>
      </c>
      <c r="C1039" t="s">
        <v>24041</v>
      </c>
      <c r="D1039" t="s">
        <v>8088</v>
      </c>
      <c r="E1039" t="s">
        <v>8088</v>
      </c>
      <c r="F1039" t="s">
        <v>23986</v>
      </c>
      <c r="G1039" t="s">
        <v>23986</v>
      </c>
      <c r="H1039" t="s">
        <v>51</v>
      </c>
      <c r="I1039" t="s">
        <v>4556</v>
      </c>
      <c r="J1039" t="str">
        <f>"1401023"</f>
        <v>1401023</v>
      </c>
      <c r="K1039">
        <v>2695043405</v>
      </c>
      <c r="L1039">
        <v>2695024997</v>
      </c>
      <c r="M1039" t="s">
        <v>24042</v>
      </c>
      <c r="N1039" t="s">
        <v>23989</v>
      </c>
      <c r="O1039" t="s">
        <v>24029</v>
      </c>
      <c r="P1039">
        <v>29100</v>
      </c>
      <c r="Q1039" t="str">
        <f>"37.788975"</f>
        <v>37.788975</v>
      </c>
      <c r="R1039" t="str">
        <f>"20.896897"</f>
        <v>20.896897</v>
      </c>
      <c r="S1039" t="s">
        <v>26</v>
      </c>
    </row>
    <row r="1040" spans="1:19" x14ac:dyDescent="0.3">
      <c r="A1040" t="s">
        <v>23985</v>
      </c>
      <c r="B1040" t="s">
        <v>24008</v>
      </c>
      <c r="C1040" t="s">
        <v>24044</v>
      </c>
      <c r="D1040" t="s">
        <v>8088</v>
      </c>
      <c r="E1040" t="s">
        <v>8088</v>
      </c>
      <c r="F1040" t="s">
        <v>24013</v>
      </c>
      <c r="G1040" t="s">
        <v>24043</v>
      </c>
      <c r="H1040" t="s">
        <v>51</v>
      </c>
      <c r="I1040" t="s">
        <v>52</v>
      </c>
      <c r="J1040" t="str">
        <f>"1401025"</f>
        <v>1401025</v>
      </c>
      <c r="K1040">
        <v>2695061485</v>
      </c>
      <c r="L1040">
        <v>2695061485</v>
      </c>
      <c r="M1040" t="s">
        <v>24045</v>
      </c>
      <c r="N1040" t="s">
        <v>23989</v>
      </c>
      <c r="O1040" t="s">
        <v>24046</v>
      </c>
      <c r="P1040">
        <v>29100</v>
      </c>
      <c r="Q1040" t="str">
        <f>"37.792941"</f>
        <v>37.792941</v>
      </c>
      <c r="R1040" t="str">
        <f>"20.860239"</f>
        <v>20.860239</v>
      </c>
      <c r="S1040" t="s">
        <v>26</v>
      </c>
    </row>
    <row r="1041" spans="1:19" x14ac:dyDescent="0.3">
      <c r="A1041" t="s">
        <v>23985</v>
      </c>
      <c r="B1041" t="s">
        <v>24008</v>
      </c>
      <c r="C1041" t="s">
        <v>24047</v>
      </c>
      <c r="D1041" t="s">
        <v>8088</v>
      </c>
      <c r="E1041" t="s">
        <v>8088</v>
      </c>
      <c r="F1041" t="s">
        <v>23986</v>
      </c>
      <c r="G1041" t="s">
        <v>23986</v>
      </c>
      <c r="H1041" t="s">
        <v>51</v>
      </c>
      <c r="I1041" t="s">
        <v>52</v>
      </c>
      <c r="J1041" t="str">
        <f>"1401021"</f>
        <v>1401021</v>
      </c>
      <c r="K1041">
        <v>2695022138</v>
      </c>
      <c r="L1041">
        <v>2695022138</v>
      </c>
      <c r="M1041" t="s">
        <v>24048</v>
      </c>
      <c r="N1041" t="s">
        <v>23989</v>
      </c>
      <c r="O1041" t="s">
        <v>24011</v>
      </c>
      <c r="P1041">
        <v>29100</v>
      </c>
      <c r="Q1041" t="str">
        <f>"37.777212"</f>
        <v>37.777212</v>
      </c>
      <c r="R1041" t="str">
        <f>"20.895583"</f>
        <v>20.895583</v>
      </c>
      <c r="S1041" t="s">
        <v>26</v>
      </c>
    </row>
    <row r="1042" spans="1:19" x14ac:dyDescent="0.3">
      <c r="A1042" t="s">
        <v>23985</v>
      </c>
      <c r="B1042" t="s">
        <v>24008</v>
      </c>
      <c r="C1042" t="s">
        <v>24051</v>
      </c>
      <c r="D1042" t="s">
        <v>8088</v>
      </c>
      <c r="E1042" t="s">
        <v>8088</v>
      </c>
      <c r="F1042" t="s">
        <v>24049</v>
      </c>
      <c r="G1042" t="s">
        <v>24050</v>
      </c>
      <c r="H1042" t="s">
        <v>51</v>
      </c>
      <c r="I1042" t="s">
        <v>52</v>
      </c>
      <c r="J1042" t="str">
        <f>"1403010"</f>
        <v>1403010</v>
      </c>
      <c r="K1042">
        <v>2695051375</v>
      </c>
      <c r="L1042">
        <v>2695051375</v>
      </c>
      <c r="M1042" t="s">
        <v>24052</v>
      </c>
      <c r="N1042" t="s">
        <v>23989</v>
      </c>
      <c r="O1042" t="s">
        <v>24053</v>
      </c>
      <c r="P1042">
        <v>29092</v>
      </c>
      <c r="Q1042" t="str">
        <f>"37.722258"</f>
        <v>37.722258</v>
      </c>
      <c r="R1042" t="str">
        <f>"20.834107"</f>
        <v>20.834107</v>
      </c>
      <c r="S1042" t="s">
        <v>26</v>
      </c>
    </row>
    <row r="1043" spans="1:19" x14ac:dyDescent="0.3">
      <c r="A1043" t="s">
        <v>23985</v>
      </c>
      <c r="B1043" t="s">
        <v>24008</v>
      </c>
      <c r="C1043" t="s">
        <v>24055</v>
      </c>
      <c r="D1043" t="s">
        <v>8088</v>
      </c>
      <c r="E1043" t="s">
        <v>8088</v>
      </c>
      <c r="F1043" t="s">
        <v>23986</v>
      </c>
      <c r="G1043" t="s">
        <v>23986</v>
      </c>
      <c r="H1043" t="s">
        <v>51</v>
      </c>
      <c r="I1043" t="s">
        <v>52</v>
      </c>
      <c r="J1043" t="str">
        <f>"1401020"</f>
        <v>1401020</v>
      </c>
      <c r="K1043">
        <v>2695028705</v>
      </c>
      <c r="L1043">
        <v>2695028705</v>
      </c>
      <c r="M1043" t="s">
        <v>24056</v>
      </c>
      <c r="N1043" t="s">
        <v>23989</v>
      </c>
      <c r="O1043" t="s">
        <v>24011</v>
      </c>
      <c r="P1043">
        <v>29100</v>
      </c>
      <c r="Q1043" t="str">
        <f>"37.776906"</f>
        <v>37.776906</v>
      </c>
      <c r="R1043" t="str">
        <f>"20.895661"</f>
        <v>20.895661</v>
      </c>
      <c r="S1043" t="s">
        <v>26</v>
      </c>
    </row>
    <row r="1044" spans="1:19" x14ac:dyDescent="0.3">
      <c r="A1044" t="s">
        <v>23985</v>
      </c>
      <c r="B1044" t="s">
        <v>24008</v>
      </c>
      <c r="C1044" t="s">
        <v>24057</v>
      </c>
      <c r="D1044" t="s">
        <v>8088</v>
      </c>
      <c r="E1044" t="s">
        <v>8088</v>
      </c>
      <c r="F1044" t="s">
        <v>23986</v>
      </c>
      <c r="G1044" t="s">
        <v>23986</v>
      </c>
      <c r="H1044" t="s">
        <v>51</v>
      </c>
      <c r="I1044" t="s">
        <v>52</v>
      </c>
      <c r="J1044" t="str">
        <f>"1401010"</f>
        <v>1401010</v>
      </c>
      <c r="K1044">
        <v>2695042200</v>
      </c>
      <c r="L1044">
        <v>2695042200</v>
      </c>
      <c r="M1044" t="s">
        <v>24058</v>
      </c>
      <c r="N1044" t="s">
        <v>23989</v>
      </c>
      <c r="O1044" t="s">
        <v>24029</v>
      </c>
      <c r="P1044">
        <v>29100</v>
      </c>
      <c r="Q1044" t="str">
        <f>"37.789069"</f>
        <v>37.789069</v>
      </c>
      <c r="R1044" t="str">
        <f>"20.896515"</f>
        <v>20.896515</v>
      </c>
      <c r="S1044" t="s">
        <v>26</v>
      </c>
    </row>
    <row r="1045" spans="1:19" x14ac:dyDescent="0.3">
      <c r="A1045" t="s">
        <v>23985</v>
      </c>
      <c r="B1045" t="s">
        <v>24008</v>
      </c>
      <c r="C1045" t="s">
        <v>24061</v>
      </c>
      <c r="D1045" t="s">
        <v>8088</v>
      </c>
      <c r="E1045" t="s">
        <v>8088</v>
      </c>
      <c r="F1045" t="s">
        <v>24059</v>
      </c>
      <c r="G1045" t="s">
        <v>24060</v>
      </c>
      <c r="H1045" t="s">
        <v>51</v>
      </c>
      <c r="I1045" t="s">
        <v>89</v>
      </c>
      <c r="J1045" t="str">
        <f>"1402010"</f>
        <v>1402010</v>
      </c>
      <c r="K1045">
        <v>2695031202</v>
      </c>
      <c r="L1045">
        <v>2695031122</v>
      </c>
      <c r="M1045" t="s">
        <v>24062</v>
      </c>
      <c r="N1045" t="s">
        <v>23989</v>
      </c>
      <c r="O1045" t="s">
        <v>24063</v>
      </c>
      <c r="P1045">
        <v>29091</v>
      </c>
      <c r="Q1045" t="str">
        <f>"37.874873"</f>
        <v>37.874873</v>
      </c>
      <c r="R1045" t="str">
        <f>"20.661567"</f>
        <v>20.661567</v>
      </c>
      <c r="S1045" t="s">
        <v>57</v>
      </c>
    </row>
    <row r="1046" spans="1:19" x14ac:dyDescent="0.3">
      <c r="A1046" t="s">
        <v>23985</v>
      </c>
      <c r="B1046" t="s">
        <v>24008</v>
      </c>
      <c r="C1046" t="s">
        <v>24068</v>
      </c>
      <c r="D1046" t="s">
        <v>8088</v>
      </c>
      <c r="E1046" t="s">
        <v>8088</v>
      </c>
      <c r="F1046" t="s">
        <v>24013</v>
      </c>
      <c r="G1046" t="s">
        <v>12715</v>
      </c>
      <c r="H1046" t="s">
        <v>51</v>
      </c>
      <c r="I1046" t="s">
        <v>199</v>
      </c>
      <c r="J1046" t="str">
        <f>"1444000"</f>
        <v>1444000</v>
      </c>
      <c r="K1046">
        <v>2695061018</v>
      </c>
      <c r="L1046">
        <v>2695061018</v>
      </c>
      <c r="M1046" t="s">
        <v>24069</v>
      </c>
      <c r="N1046" t="s">
        <v>23989</v>
      </c>
      <c r="O1046" t="s">
        <v>13518</v>
      </c>
      <c r="P1046">
        <v>29100</v>
      </c>
      <c r="Q1046" t="str">
        <f>"37.784728"</f>
        <v>37.784728</v>
      </c>
      <c r="R1046" t="str">
        <f>"20.833613"</f>
        <v>20.833613</v>
      </c>
      <c r="S1046" t="s">
        <v>26</v>
      </c>
    </row>
    <row r="1047" spans="1:19" x14ac:dyDescent="0.3">
      <c r="A1047" t="s">
        <v>23985</v>
      </c>
      <c r="B1047" t="s">
        <v>24070</v>
      </c>
      <c r="C1047" t="s">
        <v>24071</v>
      </c>
      <c r="D1047" t="s">
        <v>20006</v>
      </c>
      <c r="E1047" t="s">
        <v>23991</v>
      </c>
      <c r="F1047" t="s">
        <v>23992</v>
      </c>
      <c r="G1047" t="s">
        <v>23992</v>
      </c>
      <c r="H1047" t="s">
        <v>51</v>
      </c>
      <c r="I1047" t="s">
        <v>52</v>
      </c>
      <c r="J1047" t="str">
        <f>"2401050"</f>
        <v>2401050</v>
      </c>
      <c r="K1047">
        <v>2661033090</v>
      </c>
      <c r="L1047">
        <v>2661040212</v>
      </c>
      <c r="M1047" t="s">
        <v>24072</v>
      </c>
      <c r="N1047" t="s">
        <v>20006</v>
      </c>
      <c r="O1047" t="s">
        <v>24073</v>
      </c>
      <c r="P1047">
        <v>49100</v>
      </c>
      <c r="Q1047" t="str">
        <f>"39.620404"</f>
        <v>39.620404</v>
      </c>
      <c r="R1047" t="str">
        <f>"19.920668"</f>
        <v>19.920668</v>
      </c>
      <c r="S1047" t="s">
        <v>26</v>
      </c>
    </row>
    <row r="1048" spans="1:19" x14ac:dyDescent="0.3">
      <c r="A1048" t="s">
        <v>23985</v>
      </c>
      <c r="B1048" t="s">
        <v>24070</v>
      </c>
      <c r="C1048" t="s">
        <v>24078</v>
      </c>
      <c r="D1048" t="s">
        <v>20006</v>
      </c>
      <c r="E1048" t="s">
        <v>24075</v>
      </c>
      <c r="F1048" t="s">
        <v>24076</v>
      </c>
      <c r="G1048" t="s">
        <v>24077</v>
      </c>
      <c r="H1048" t="s">
        <v>51</v>
      </c>
      <c r="I1048" t="s">
        <v>52</v>
      </c>
      <c r="J1048" t="str">
        <f>"2402010"</f>
        <v>2402010</v>
      </c>
      <c r="K1048">
        <v>2662022397</v>
      </c>
      <c r="L1048">
        <v>2662022397</v>
      </c>
      <c r="M1048" t="s">
        <v>24079</v>
      </c>
      <c r="N1048" t="s">
        <v>24080</v>
      </c>
      <c r="O1048" t="s">
        <v>24081</v>
      </c>
      <c r="P1048">
        <v>49080</v>
      </c>
      <c r="Q1048" t="str">
        <f>"39.422811"</f>
        <v>39.422811</v>
      </c>
      <c r="R1048" t="str">
        <f>"20.071203"</f>
        <v>20.071203</v>
      </c>
      <c r="S1048" t="s">
        <v>26</v>
      </c>
    </row>
    <row r="1049" spans="1:19" x14ac:dyDescent="0.3">
      <c r="A1049" t="s">
        <v>23985</v>
      </c>
      <c r="B1049" t="s">
        <v>24070</v>
      </c>
      <c r="C1049" t="s">
        <v>24092</v>
      </c>
      <c r="D1049" t="s">
        <v>20006</v>
      </c>
      <c r="E1049" t="s">
        <v>23991</v>
      </c>
      <c r="F1049" t="s">
        <v>24090</v>
      </c>
      <c r="G1049" t="s">
        <v>24091</v>
      </c>
      <c r="H1049" t="s">
        <v>51</v>
      </c>
      <c r="I1049" t="s">
        <v>52</v>
      </c>
      <c r="J1049" t="str">
        <f>"2408050"</f>
        <v>2408050</v>
      </c>
      <c r="K1049">
        <v>2663041440</v>
      </c>
      <c r="L1049">
        <v>2663041440</v>
      </c>
      <c r="M1049" t="s">
        <v>24093</v>
      </c>
      <c r="N1049" t="s">
        <v>24094</v>
      </c>
      <c r="O1049" t="s">
        <v>24095</v>
      </c>
      <c r="P1049">
        <v>49083</v>
      </c>
      <c r="Q1049" t="str">
        <f>"39.673763"</f>
        <v>39.673763</v>
      </c>
      <c r="R1049" t="str">
        <f>"19.737968"</f>
        <v>19.737968</v>
      </c>
      <c r="S1049" t="s">
        <v>26</v>
      </c>
    </row>
    <row r="1050" spans="1:19" x14ac:dyDescent="0.3">
      <c r="A1050" t="s">
        <v>23985</v>
      </c>
      <c r="B1050" t="s">
        <v>24070</v>
      </c>
      <c r="C1050" t="s">
        <v>24103</v>
      </c>
      <c r="D1050" t="s">
        <v>20006</v>
      </c>
      <c r="E1050" t="s">
        <v>23991</v>
      </c>
      <c r="F1050" t="s">
        <v>24090</v>
      </c>
      <c r="G1050" t="s">
        <v>24102</v>
      </c>
      <c r="H1050" t="s">
        <v>51</v>
      </c>
      <c r="I1050" t="s">
        <v>89</v>
      </c>
      <c r="J1050" t="str">
        <f>"2408010"</f>
        <v>2408010</v>
      </c>
      <c r="K1050">
        <v>2663022548</v>
      </c>
      <c r="L1050">
        <v>2663022053</v>
      </c>
      <c r="M1050" t="s">
        <v>24104</v>
      </c>
      <c r="N1050" t="s">
        <v>24105</v>
      </c>
      <c r="O1050" t="s">
        <v>24105</v>
      </c>
      <c r="P1050">
        <v>49083</v>
      </c>
      <c r="Q1050" t="str">
        <f>"39.700108"</f>
        <v>39.700108</v>
      </c>
      <c r="R1050" t="str">
        <f>"19.771543"</f>
        <v>19.771543</v>
      </c>
      <c r="S1050" t="s">
        <v>26</v>
      </c>
    </row>
    <row r="1051" spans="1:19" x14ac:dyDescent="0.3">
      <c r="A1051" t="s">
        <v>23985</v>
      </c>
      <c r="B1051" t="s">
        <v>24070</v>
      </c>
      <c r="C1051" t="s">
        <v>24114</v>
      </c>
      <c r="D1051" t="s">
        <v>20006</v>
      </c>
      <c r="E1051" t="s">
        <v>23991</v>
      </c>
      <c r="F1051" t="s">
        <v>24112</v>
      </c>
      <c r="G1051" t="s">
        <v>24113</v>
      </c>
      <c r="H1051" t="s">
        <v>51</v>
      </c>
      <c r="I1051" t="s">
        <v>190</v>
      </c>
      <c r="J1051" t="str">
        <f>"2401065"</f>
        <v>2401065</v>
      </c>
      <c r="K1051">
        <v>2661091573</v>
      </c>
      <c r="L1051">
        <v>2661091573</v>
      </c>
      <c r="M1051" t="s">
        <v>24115</v>
      </c>
      <c r="N1051" t="s">
        <v>23995</v>
      </c>
      <c r="O1051" t="s">
        <v>24116</v>
      </c>
      <c r="P1051">
        <v>49083</v>
      </c>
      <c r="Q1051" t="str">
        <f>"39.662704"</f>
        <v>39.662704</v>
      </c>
      <c r="R1051" t="str">
        <f>"19.841147"</f>
        <v>19.841147</v>
      </c>
      <c r="S1051" t="s">
        <v>26</v>
      </c>
    </row>
    <row r="1052" spans="1:19" x14ac:dyDescent="0.3">
      <c r="A1052" t="s">
        <v>23985</v>
      </c>
      <c r="B1052" t="s">
        <v>24070</v>
      </c>
      <c r="C1052" t="s">
        <v>24151</v>
      </c>
      <c r="D1052" t="s">
        <v>20006</v>
      </c>
      <c r="E1052" t="s">
        <v>24148</v>
      </c>
      <c r="F1052" t="s">
        <v>24149</v>
      </c>
      <c r="G1052" t="s">
        <v>24150</v>
      </c>
      <c r="H1052" t="s">
        <v>51</v>
      </c>
      <c r="I1052" t="s">
        <v>52</v>
      </c>
      <c r="J1052" t="str">
        <f>"2406010"</f>
        <v>2406010</v>
      </c>
      <c r="K1052">
        <v>2663031314</v>
      </c>
      <c r="L1052">
        <v>2663031314</v>
      </c>
      <c r="M1052" t="s">
        <v>24152</v>
      </c>
      <c r="N1052" t="s">
        <v>24153</v>
      </c>
      <c r="O1052" t="s">
        <v>24154</v>
      </c>
      <c r="P1052">
        <v>49081</v>
      </c>
      <c r="Q1052" t="str">
        <f>"39.781000"</f>
        <v>39.781000</v>
      </c>
      <c r="R1052" t="str">
        <f>"19.744889"</f>
        <v>19.744889</v>
      </c>
      <c r="S1052" t="s">
        <v>26</v>
      </c>
    </row>
    <row r="1053" spans="1:19" x14ac:dyDescent="0.3">
      <c r="A1053" t="s">
        <v>23985</v>
      </c>
      <c r="B1053" t="s">
        <v>24070</v>
      </c>
      <c r="C1053" t="s">
        <v>24156</v>
      </c>
      <c r="D1053" t="s">
        <v>20006</v>
      </c>
      <c r="E1053" t="s">
        <v>23991</v>
      </c>
      <c r="F1053" t="s">
        <v>23992</v>
      </c>
      <c r="G1053" t="s">
        <v>23992</v>
      </c>
      <c r="H1053" t="s">
        <v>51</v>
      </c>
      <c r="I1053" t="s">
        <v>184</v>
      </c>
      <c r="J1053" t="str">
        <f>"2401060"</f>
        <v>2401060</v>
      </c>
      <c r="K1053">
        <v>2661039970</v>
      </c>
      <c r="L1053">
        <v>2661039970</v>
      </c>
      <c r="M1053" t="s">
        <v>24157</v>
      </c>
      <c r="N1053" t="s">
        <v>23995</v>
      </c>
      <c r="O1053" t="s">
        <v>24143</v>
      </c>
      <c r="P1053">
        <v>49100</v>
      </c>
      <c r="Q1053" t="str">
        <f>"39.622174"</f>
        <v>39.622174</v>
      </c>
      <c r="R1053" t="str">
        <f>"19.914512"</f>
        <v>19.914512</v>
      </c>
      <c r="S1053" t="s">
        <v>26</v>
      </c>
    </row>
    <row r="1054" spans="1:19" x14ac:dyDescent="0.3">
      <c r="A1054" t="s">
        <v>23985</v>
      </c>
      <c r="B1054" t="s">
        <v>24070</v>
      </c>
      <c r="C1054" t="s">
        <v>24159</v>
      </c>
      <c r="D1054" t="s">
        <v>20006</v>
      </c>
      <c r="E1054" t="s">
        <v>23991</v>
      </c>
      <c r="F1054" t="s">
        <v>24158</v>
      </c>
      <c r="G1054" t="s">
        <v>14943</v>
      </c>
      <c r="H1054" t="s">
        <v>51</v>
      </c>
      <c r="I1054" t="s">
        <v>52</v>
      </c>
      <c r="J1054" t="str">
        <f>"2402090"</f>
        <v>2402090</v>
      </c>
      <c r="K1054">
        <v>2661052207</v>
      </c>
      <c r="L1054">
        <v>2661052207</v>
      </c>
      <c r="M1054" t="s">
        <v>24160</v>
      </c>
      <c r="O1054" t="s">
        <v>24161</v>
      </c>
      <c r="P1054">
        <v>49150</v>
      </c>
      <c r="Q1054" t="str">
        <f>"39.614901"</f>
        <v>39.614901</v>
      </c>
      <c r="R1054" t="str">
        <f>"19.836696"</f>
        <v>19.836696</v>
      </c>
      <c r="S1054" t="s">
        <v>26</v>
      </c>
    </row>
    <row r="1055" spans="1:19" x14ac:dyDescent="0.3">
      <c r="A1055" t="s">
        <v>23985</v>
      </c>
      <c r="B1055" t="s">
        <v>24070</v>
      </c>
      <c r="C1055" t="s">
        <v>24163</v>
      </c>
      <c r="D1055" t="s">
        <v>20006</v>
      </c>
      <c r="E1055" t="s">
        <v>23991</v>
      </c>
      <c r="F1055" t="s">
        <v>23992</v>
      </c>
      <c r="G1055" t="s">
        <v>23992</v>
      </c>
      <c r="H1055" t="s">
        <v>51</v>
      </c>
      <c r="I1055" t="s">
        <v>52</v>
      </c>
      <c r="J1055" t="str">
        <f>"2401070"</f>
        <v>2401070</v>
      </c>
      <c r="K1055">
        <v>2661040255</v>
      </c>
      <c r="L1055">
        <v>2661040255</v>
      </c>
      <c r="M1055" t="s">
        <v>24164</v>
      </c>
      <c r="N1055" t="s">
        <v>23995</v>
      </c>
      <c r="O1055" t="s">
        <v>24165</v>
      </c>
      <c r="P1055">
        <v>49100</v>
      </c>
      <c r="Q1055" t="str">
        <f>"39.626594"</f>
        <v>39.626594</v>
      </c>
      <c r="R1055" t="str">
        <f>"19.914012"</f>
        <v>19.914012</v>
      </c>
      <c r="S1055" t="s">
        <v>26</v>
      </c>
    </row>
    <row r="1056" spans="1:19" x14ac:dyDescent="0.3">
      <c r="A1056" t="s">
        <v>23985</v>
      </c>
      <c r="B1056" t="s">
        <v>24070</v>
      </c>
      <c r="C1056" t="s">
        <v>24166</v>
      </c>
      <c r="D1056" t="s">
        <v>20006</v>
      </c>
      <c r="E1056" t="s">
        <v>23991</v>
      </c>
      <c r="F1056" t="s">
        <v>23992</v>
      </c>
      <c r="G1056" t="s">
        <v>23992</v>
      </c>
      <c r="H1056" t="s">
        <v>51</v>
      </c>
      <c r="I1056" t="s">
        <v>52</v>
      </c>
      <c r="J1056" t="str">
        <f>"2401030"</f>
        <v>2401030</v>
      </c>
      <c r="K1056">
        <v>2661033511</v>
      </c>
      <c r="L1056">
        <v>2661047203</v>
      </c>
      <c r="M1056" t="s">
        <v>24167</v>
      </c>
      <c r="N1056" t="s">
        <v>23995</v>
      </c>
      <c r="O1056" t="s">
        <v>24168</v>
      </c>
      <c r="P1056">
        <v>49100</v>
      </c>
      <c r="Q1056" t="str">
        <f>"39.617062"</f>
        <v>39.617062</v>
      </c>
      <c r="R1056" t="str">
        <f>"19.916438"</f>
        <v>19.916438</v>
      </c>
      <c r="S1056" t="s">
        <v>26</v>
      </c>
    </row>
    <row r="1057" spans="1:19" x14ac:dyDescent="0.3">
      <c r="A1057" t="s">
        <v>23985</v>
      </c>
      <c r="B1057" t="s">
        <v>24070</v>
      </c>
      <c r="C1057" t="s">
        <v>24169</v>
      </c>
      <c r="D1057" t="s">
        <v>20006</v>
      </c>
      <c r="E1057" t="s">
        <v>23991</v>
      </c>
      <c r="F1057" t="s">
        <v>23992</v>
      </c>
      <c r="G1057" t="s">
        <v>23992</v>
      </c>
      <c r="H1057" t="s">
        <v>51</v>
      </c>
      <c r="I1057" t="s">
        <v>52</v>
      </c>
      <c r="J1057" t="str">
        <f>"2401010"</f>
        <v>2401010</v>
      </c>
      <c r="K1057">
        <v>2661039982</v>
      </c>
      <c r="L1057">
        <v>2661080446</v>
      </c>
      <c r="M1057" t="s">
        <v>24170</v>
      </c>
      <c r="N1057" t="s">
        <v>23995</v>
      </c>
      <c r="O1057" t="s">
        <v>24073</v>
      </c>
      <c r="P1057">
        <v>49100</v>
      </c>
      <c r="Q1057" t="str">
        <f>"39.620636"</f>
        <v>39.620636</v>
      </c>
      <c r="R1057" t="str">
        <f>"19.920104"</f>
        <v>19.920104</v>
      </c>
      <c r="S1057" t="s">
        <v>26</v>
      </c>
    </row>
    <row r="1058" spans="1:19" x14ac:dyDescent="0.3">
      <c r="A1058" t="s">
        <v>23985</v>
      </c>
      <c r="B1058" t="s">
        <v>24070</v>
      </c>
      <c r="C1058" t="s">
        <v>24171</v>
      </c>
      <c r="D1058" t="s">
        <v>20006</v>
      </c>
      <c r="E1058" t="s">
        <v>23991</v>
      </c>
      <c r="F1058" t="s">
        <v>24112</v>
      </c>
      <c r="G1058" t="s">
        <v>24113</v>
      </c>
      <c r="H1058" t="s">
        <v>51</v>
      </c>
      <c r="I1058" t="s">
        <v>52</v>
      </c>
      <c r="J1058" t="str">
        <f>"2402050"</f>
        <v>2402050</v>
      </c>
      <c r="K1058">
        <v>2661097797</v>
      </c>
      <c r="L1058">
        <v>2661097797</v>
      </c>
      <c r="M1058" t="s">
        <v>24172</v>
      </c>
      <c r="N1058" t="s">
        <v>24173</v>
      </c>
      <c r="O1058" t="s">
        <v>24174</v>
      </c>
      <c r="P1058">
        <v>49083</v>
      </c>
      <c r="Q1058" t="str">
        <f>"39.692098"</f>
        <v>39.692098</v>
      </c>
      <c r="R1058" t="str">
        <f>"19.837669"</f>
        <v>19.837669</v>
      </c>
      <c r="S1058" t="s">
        <v>26</v>
      </c>
    </row>
    <row r="1059" spans="1:19" x14ac:dyDescent="0.3">
      <c r="A1059" t="s">
        <v>23985</v>
      </c>
      <c r="B1059" t="s">
        <v>24070</v>
      </c>
      <c r="C1059" t="s">
        <v>24178</v>
      </c>
      <c r="D1059" t="s">
        <v>20006</v>
      </c>
      <c r="E1059" t="s">
        <v>24148</v>
      </c>
      <c r="F1059" t="s">
        <v>24176</v>
      </c>
      <c r="G1059" t="s">
        <v>24177</v>
      </c>
      <c r="H1059" t="s">
        <v>51</v>
      </c>
      <c r="I1059" t="s">
        <v>89</v>
      </c>
      <c r="J1059" t="str">
        <f>"2409010"</f>
        <v>2409010</v>
      </c>
      <c r="K1059">
        <v>2663081252</v>
      </c>
      <c r="L1059">
        <v>2663081252</v>
      </c>
      <c r="M1059" t="s">
        <v>24179</v>
      </c>
      <c r="N1059" t="s">
        <v>24180</v>
      </c>
      <c r="O1059" t="s">
        <v>24181</v>
      </c>
      <c r="P1059">
        <v>49081</v>
      </c>
      <c r="Q1059" t="str">
        <f>"39.789620"</f>
        <v>39.789620</v>
      </c>
      <c r="R1059" t="str">
        <f>"19.908492"</f>
        <v>19.908492</v>
      </c>
      <c r="S1059" t="s">
        <v>26</v>
      </c>
    </row>
    <row r="1060" spans="1:19" x14ac:dyDescent="0.3">
      <c r="A1060" t="s">
        <v>23985</v>
      </c>
      <c r="B1060" t="s">
        <v>24070</v>
      </c>
      <c r="C1060" t="s">
        <v>24183</v>
      </c>
      <c r="D1060" t="s">
        <v>20006</v>
      </c>
      <c r="E1060" t="s">
        <v>23991</v>
      </c>
      <c r="F1060" t="s">
        <v>24083</v>
      </c>
      <c r="G1060" t="s">
        <v>24084</v>
      </c>
      <c r="H1060" t="s">
        <v>51</v>
      </c>
      <c r="I1060" t="s">
        <v>52</v>
      </c>
      <c r="J1060" t="str">
        <f>"2407010"</f>
        <v>2407010</v>
      </c>
      <c r="K1060">
        <v>2661054230</v>
      </c>
      <c r="L1060">
        <v>2661054230</v>
      </c>
      <c r="M1060" t="s">
        <v>24184</v>
      </c>
      <c r="N1060" t="s">
        <v>24185</v>
      </c>
      <c r="O1060" t="s">
        <v>24088</v>
      </c>
      <c r="P1060">
        <v>49084</v>
      </c>
      <c r="Q1060" t="str">
        <f>"39.563277"</f>
        <v>39.563277</v>
      </c>
      <c r="R1060" t="str">
        <f>"19.866873"</f>
        <v>19.866873</v>
      </c>
      <c r="S1060" t="s">
        <v>26</v>
      </c>
    </row>
    <row r="1061" spans="1:19" x14ac:dyDescent="0.3">
      <c r="A1061" t="s">
        <v>23985</v>
      </c>
      <c r="B1061" t="s">
        <v>24070</v>
      </c>
      <c r="C1061" t="s">
        <v>24188</v>
      </c>
      <c r="D1061" t="s">
        <v>20006</v>
      </c>
      <c r="E1061" t="s">
        <v>24186</v>
      </c>
      <c r="F1061" t="s">
        <v>24186</v>
      </c>
      <c r="G1061" t="s">
        <v>24187</v>
      </c>
      <c r="H1061" t="s">
        <v>51</v>
      </c>
      <c r="I1061" t="s">
        <v>89</v>
      </c>
      <c r="J1061" t="str">
        <f>"2403010"</f>
        <v>2403010</v>
      </c>
      <c r="K1061">
        <v>2662031110</v>
      </c>
      <c r="L1061">
        <v>2662032234</v>
      </c>
      <c r="M1061" t="s">
        <v>24189</v>
      </c>
      <c r="N1061" t="s">
        <v>24186</v>
      </c>
      <c r="O1061" t="s">
        <v>24190</v>
      </c>
      <c r="P1061">
        <v>49082</v>
      </c>
      <c r="Q1061" t="str">
        <f>"39.198909"</f>
        <v>39.198909</v>
      </c>
      <c r="R1061" t="str">
        <f>"20.167846"</f>
        <v>20.167846</v>
      </c>
      <c r="S1061" t="s">
        <v>57</v>
      </c>
    </row>
    <row r="1062" spans="1:19" x14ac:dyDescent="0.3">
      <c r="A1062" t="s">
        <v>23985</v>
      </c>
      <c r="B1062" t="s">
        <v>24070</v>
      </c>
      <c r="C1062" t="s">
        <v>24192</v>
      </c>
      <c r="D1062" t="s">
        <v>20006</v>
      </c>
      <c r="E1062" t="s">
        <v>23991</v>
      </c>
      <c r="F1062" t="s">
        <v>23992</v>
      </c>
      <c r="G1062" t="s">
        <v>23992</v>
      </c>
      <c r="H1062" t="s">
        <v>51</v>
      </c>
      <c r="I1062" t="s">
        <v>52</v>
      </c>
      <c r="J1062" t="str">
        <f>"2401020"</f>
        <v>2401020</v>
      </c>
      <c r="K1062">
        <v>2661039590</v>
      </c>
      <c r="L1062">
        <v>2661039590</v>
      </c>
      <c r="M1062" t="s">
        <v>24193</v>
      </c>
      <c r="N1062" t="s">
        <v>24106</v>
      </c>
      <c r="O1062" t="s">
        <v>24194</v>
      </c>
      <c r="P1062">
        <v>49100</v>
      </c>
      <c r="Q1062" t="str">
        <f>"39.621543"</f>
        <v>39.621543</v>
      </c>
      <c r="R1062" t="str">
        <f>"19.921992"</f>
        <v>19.921992</v>
      </c>
      <c r="S1062" t="s">
        <v>26</v>
      </c>
    </row>
    <row r="1063" spans="1:19" x14ac:dyDescent="0.3">
      <c r="A1063" t="s">
        <v>23985</v>
      </c>
      <c r="B1063" t="s">
        <v>24070</v>
      </c>
      <c r="C1063" t="s">
        <v>24197</v>
      </c>
      <c r="D1063" t="s">
        <v>20006</v>
      </c>
      <c r="E1063" t="s">
        <v>24148</v>
      </c>
      <c r="F1063" t="s">
        <v>24196</v>
      </c>
      <c r="G1063" t="s">
        <v>18684</v>
      </c>
      <c r="H1063" t="s">
        <v>51</v>
      </c>
      <c r="I1063" t="s">
        <v>52</v>
      </c>
      <c r="J1063" t="str">
        <f>"2410010"</f>
        <v>2410010</v>
      </c>
      <c r="K1063">
        <v>2663064069</v>
      </c>
      <c r="L1063">
        <v>2663064069</v>
      </c>
      <c r="M1063" t="s">
        <v>24198</v>
      </c>
      <c r="N1063" t="s">
        <v>24199</v>
      </c>
      <c r="O1063" t="s">
        <v>24200</v>
      </c>
      <c r="P1063">
        <v>49081</v>
      </c>
      <c r="Q1063" t="str">
        <f>"39.793040"</f>
        <v>39.793040</v>
      </c>
      <c r="R1063" t="str">
        <f>"19.821367"</f>
        <v>19.821367</v>
      </c>
      <c r="S1063" t="s">
        <v>26</v>
      </c>
    </row>
    <row r="1064" spans="1:19" x14ac:dyDescent="0.3">
      <c r="A1064" t="s">
        <v>23985</v>
      </c>
      <c r="B1064" t="s">
        <v>24070</v>
      </c>
      <c r="C1064" t="s">
        <v>24204</v>
      </c>
      <c r="D1064" t="s">
        <v>20006</v>
      </c>
      <c r="E1064" t="s">
        <v>24148</v>
      </c>
      <c r="F1064" t="s">
        <v>24149</v>
      </c>
      <c r="G1064" t="s">
        <v>24203</v>
      </c>
      <c r="H1064" t="s">
        <v>51</v>
      </c>
      <c r="I1064" t="s">
        <v>52</v>
      </c>
      <c r="J1064" t="str">
        <f>"2406020"</f>
        <v>2406020</v>
      </c>
      <c r="K1064">
        <v>2663095201</v>
      </c>
      <c r="L1064">
        <v>2663099364</v>
      </c>
      <c r="M1064" t="s">
        <v>24205</v>
      </c>
      <c r="N1064" t="s">
        <v>23995</v>
      </c>
      <c r="O1064" t="s">
        <v>24206</v>
      </c>
      <c r="P1064">
        <v>49081</v>
      </c>
      <c r="Q1064" t="str">
        <f>"39.788527"</f>
        <v>39.788527</v>
      </c>
      <c r="R1064" t="str">
        <f>"19.672825"</f>
        <v>19.672825</v>
      </c>
      <c r="S1064" t="s">
        <v>26</v>
      </c>
    </row>
    <row r="1065" spans="1:19" x14ac:dyDescent="0.3">
      <c r="A1065" t="s">
        <v>23985</v>
      </c>
      <c r="B1065" t="s">
        <v>24070</v>
      </c>
      <c r="C1065" t="s">
        <v>24209</v>
      </c>
      <c r="D1065" t="s">
        <v>20006</v>
      </c>
      <c r="E1065" t="s">
        <v>24148</v>
      </c>
      <c r="F1065" t="s">
        <v>1872</v>
      </c>
      <c r="G1065" t="s">
        <v>24208</v>
      </c>
      <c r="H1065" t="s">
        <v>51</v>
      </c>
      <c r="I1065" t="s">
        <v>52</v>
      </c>
      <c r="J1065" t="str">
        <f>"2404010"</f>
        <v>2404010</v>
      </c>
      <c r="K1065">
        <v>2663071203</v>
      </c>
      <c r="L1065">
        <v>2663071203</v>
      </c>
      <c r="M1065" t="s">
        <v>24210</v>
      </c>
      <c r="N1065" t="s">
        <v>23995</v>
      </c>
      <c r="O1065" t="s">
        <v>24211</v>
      </c>
      <c r="P1065">
        <v>49083</v>
      </c>
      <c r="Q1065" t="str">
        <f>"39.718752"</f>
        <v>39.718752</v>
      </c>
      <c r="R1065" t="str">
        <f>"19.725353"</f>
        <v>19.725353</v>
      </c>
      <c r="S1065" t="s">
        <v>26</v>
      </c>
    </row>
    <row r="1066" spans="1:19" x14ac:dyDescent="0.3">
      <c r="A1066" t="s">
        <v>23985</v>
      </c>
      <c r="B1066" t="s">
        <v>24070</v>
      </c>
      <c r="C1066" t="s">
        <v>24215</v>
      </c>
      <c r="D1066" t="s">
        <v>20006</v>
      </c>
      <c r="E1066" t="s">
        <v>24075</v>
      </c>
      <c r="F1066" t="s">
        <v>24213</v>
      </c>
      <c r="G1066" t="s">
        <v>24214</v>
      </c>
      <c r="H1066" t="s">
        <v>51</v>
      </c>
      <c r="I1066" t="s">
        <v>89</v>
      </c>
      <c r="J1066" t="str">
        <f>"2405010"</f>
        <v>2405010</v>
      </c>
      <c r="K1066">
        <v>2662052840</v>
      </c>
      <c r="L1066">
        <v>2662051492</v>
      </c>
      <c r="M1066" t="s">
        <v>24216</v>
      </c>
      <c r="N1066" t="s">
        <v>24217</v>
      </c>
      <c r="O1066" t="s">
        <v>24218</v>
      </c>
      <c r="P1066">
        <v>49080</v>
      </c>
      <c r="Q1066" t="str">
        <f>"39.438222"</f>
        <v>39.438222</v>
      </c>
      <c r="R1066" t="str">
        <f>"19.966084"</f>
        <v>19.966084</v>
      </c>
      <c r="S1066" t="s">
        <v>26</v>
      </c>
    </row>
    <row r="1067" spans="1:19" x14ac:dyDescent="0.3">
      <c r="A1067" t="s">
        <v>23985</v>
      </c>
      <c r="B1067" t="s">
        <v>24070</v>
      </c>
      <c r="C1067" t="s">
        <v>24222</v>
      </c>
      <c r="D1067" t="s">
        <v>20006</v>
      </c>
      <c r="E1067" t="s">
        <v>23991</v>
      </c>
      <c r="F1067" t="s">
        <v>23992</v>
      </c>
      <c r="G1067" t="s">
        <v>23992</v>
      </c>
      <c r="H1067" t="s">
        <v>51</v>
      </c>
      <c r="I1067" t="s">
        <v>52</v>
      </c>
      <c r="J1067" t="str">
        <f>"2401055"</f>
        <v>2401055</v>
      </c>
      <c r="K1067">
        <v>2661048976</v>
      </c>
      <c r="L1067">
        <v>2661039536</v>
      </c>
      <c r="M1067" t="s">
        <v>24223</v>
      </c>
      <c r="N1067" t="s">
        <v>23995</v>
      </c>
      <c r="O1067" t="s">
        <v>24224</v>
      </c>
      <c r="P1067">
        <v>49100</v>
      </c>
      <c r="Q1067" t="str">
        <f>"39.607477"</f>
        <v>39.607477</v>
      </c>
      <c r="R1067" t="str">
        <f>"19.920051"</f>
        <v>19.920051</v>
      </c>
      <c r="S1067" t="s">
        <v>26</v>
      </c>
    </row>
    <row r="1068" spans="1:19" x14ac:dyDescent="0.3">
      <c r="A1068" t="s">
        <v>23985</v>
      </c>
      <c r="B1068" t="s">
        <v>24070</v>
      </c>
      <c r="C1068" t="s">
        <v>24228</v>
      </c>
      <c r="D1068" t="s">
        <v>20006</v>
      </c>
      <c r="E1068" t="s">
        <v>23991</v>
      </c>
      <c r="F1068" t="s">
        <v>23992</v>
      </c>
      <c r="G1068" t="s">
        <v>23992</v>
      </c>
      <c r="H1068" t="s">
        <v>51</v>
      </c>
      <c r="I1068" t="s">
        <v>52</v>
      </c>
      <c r="J1068" t="str">
        <f>"2401040"</f>
        <v>2401040</v>
      </c>
      <c r="K1068">
        <v>2661032487</v>
      </c>
      <c r="L1068">
        <v>2661081487</v>
      </c>
      <c r="M1068" t="s">
        <v>24229</v>
      </c>
      <c r="N1068" t="s">
        <v>23995</v>
      </c>
      <c r="O1068" t="s">
        <v>24230</v>
      </c>
      <c r="P1068">
        <v>49100</v>
      </c>
      <c r="Q1068" t="str">
        <f>"39.617013"</f>
        <v>39.617013</v>
      </c>
      <c r="R1068" t="str">
        <f>"19.916502"</f>
        <v>19.916502</v>
      </c>
      <c r="S1068" t="s">
        <v>26</v>
      </c>
    </row>
    <row r="1069" spans="1:19" x14ac:dyDescent="0.3">
      <c r="A1069" t="s">
        <v>23985</v>
      </c>
      <c r="B1069" t="s">
        <v>24070</v>
      </c>
      <c r="C1069" t="s">
        <v>24234</v>
      </c>
      <c r="D1069" t="s">
        <v>20006</v>
      </c>
      <c r="E1069" t="s">
        <v>23991</v>
      </c>
      <c r="F1069" t="s">
        <v>24112</v>
      </c>
      <c r="G1069" t="s">
        <v>24233</v>
      </c>
      <c r="H1069" t="s">
        <v>51</v>
      </c>
      <c r="I1069" t="s">
        <v>199</v>
      </c>
      <c r="J1069" t="str">
        <f>"2411001"</f>
        <v>2411001</v>
      </c>
      <c r="K1069">
        <v>2661043942</v>
      </c>
      <c r="M1069" t="s">
        <v>24235</v>
      </c>
      <c r="N1069" t="s">
        <v>20006</v>
      </c>
      <c r="O1069" t="s">
        <v>24236</v>
      </c>
      <c r="P1069">
        <v>49100</v>
      </c>
      <c r="Q1069" t="str">
        <f>"39.707685"</f>
        <v>39.707685</v>
      </c>
      <c r="R1069" t="str">
        <f>"19.795295"</f>
        <v>19.795295</v>
      </c>
      <c r="S1069" t="s">
        <v>26</v>
      </c>
    </row>
    <row r="1070" spans="1:19" x14ac:dyDescent="0.3">
      <c r="A1070" t="s">
        <v>23985</v>
      </c>
      <c r="B1070" t="s">
        <v>24238</v>
      </c>
      <c r="C1070" t="s">
        <v>24265</v>
      </c>
      <c r="D1070" t="s">
        <v>1150</v>
      </c>
      <c r="E1070" t="s">
        <v>23997</v>
      </c>
      <c r="F1070" t="s">
        <v>24263</v>
      </c>
      <c r="G1070" t="s">
        <v>24264</v>
      </c>
      <c r="H1070" t="s">
        <v>51</v>
      </c>
      <c r="I1070" t="s">
        <v>52</v>
      </c>
      <c r="J1070" t="str">
        <f>"2508010"</f>
        <v>2508010</v>
      </c>
      <c r="K1070">
        <v>2671081209</v>
      </c>
      <c r="L1070">
        <v>2671081209</v>
      </c>
      <c r="M1070" t="s">
        <v>24266</v>
      </c>
      <c r="N1070" t="s">
        <v>24267</v>
      </c>
      <c r="O1070" t="s">
        <v>24267</v>
      </c>
      <c r="P1070">
        <v>28086</v>
      </c>
      <c r="Q1070" t="str">
        <f>"38.084398"</f>
        <v>38.084398</v>
      </c>
      <c r="R1070" t="str">
        <f>"20.759117"</f>
        <v>20.759117</v>
      </c>
      <c r="S1070" t="s">
        <v>26</v>
      </c>
    </row>
    <row r="1071" spans="1:19" x14ac:dyDescent="0.3">
      <c r="A1071" t="s">
        <v>23985</v>
      </c>
      <c r="B1071" t="s">
        <v>24238</v>
      </c>
      <c r="C1071" t="s">
        <v>24294</v>
      </c>
      <c r="D1071" t="s">
        <v>1150</v>
      </c>
      <c r="E1071" t="s">
        <v>23997</v>
      </c>
      <c r="F1071" t="s">
        <v>24245</v>
      </c>
      <c r="G1071" t="s">
        <v>12926</v>
      </c>
      <c r="H1071" t="s">
        <v>51</v>
      </c>
      <c r="I1071" t="s">
        <v>52</v>
      </c>
      <c r="J1071" t="str">
        <f>"2502010"</f>
        <v>2502010</v>
      </c>
      <c r="K1071">
        <v>2671069122</v>
      </c>
      <c r="L1071">
        <v>2671069122</v>
      </c>
      <c r="M1071" t="s">
        <v>24295</v>
      </c>
      <c r="N1071" t="s">
        <v>24250</v>
      </c>
      <c r="O1071" t="s">
        <v>24249</v>
      </c>
      <c r="P1071">
        <v>28100</v>
      </c>
      <c r="Q1071" t="str">
        <f>"38.118698"</f>
        <v>38.118698</v>
      </c>
      <c r="R1071" t="str">
        <f>"20.562305"</f>
        <v>20.562305</v>
      </c>
      <c r="S1071" t="s">
        <v>26</v>
      </c>
    </row>
    <row r="1072" spans="1:19" x14ac:dyDescent="0.3">
      <c r="A1072" t="s">
        <v>23985</v>
      </c>
      <c r="B1072" t="s">
        <v>24238</v>
      </c>
      <c r="C1072" t="s">
        <v>24296</v>
      </c>
      <c r="D1072" t="s">
        <v>1150</v>
      </c>
      <c r="E1072" t="s">
        <v>24278</v>
      </c>
      <c r="F1072" t="s">
        <v>24278</v>
      </c>
      <c r="G1072" t="s">
        <v>24278</v>
      </c>
      <c r="H1072" t="s">
        <v>51</v>
      </c>
      <c r="I1072" t="s">
        <v>52</v>
      </c>
      <c r="J1072" t="str">
        <f>"2504010"</f>
        <v>2504010</v>
      </c>
      <c r="K1072">
        <v>2674022026</v>
      </c>
      <c r="L1072">
        <v>2674022026</v>
      </c>
      <c r="M1072" t="s">
        <v>24297</v>
      </c>
      <c r="N1072" t="s">
        <v>24298</v>
      </c>
      <c r="O1072" t="s">
        <v>24299</v>
      </c>
      <c r="P1072">
        <v>28080</v>
      </c>
      <c r="Q1072" t="str">
        <f>"38.248213"</f>
        <v>38.248213</v>
      </c>
      <c r="R1072" t="str">
        <f>"20.641967"</f>
        <v>20.641967</v>
      </c>
      <c r="S1072" t="s">
        <v>26</v>
      </c>
    </row>
    <row r="1073" spans="1:19" x14ac:dyDescent="0.3">
      <c r="A1073" t="s">
        <v>23985</v>
      </c>
      <c r="B1073" t="s">
        <v>24238</v>
      </c>
      <c r="C1073" t="s">
        <v>24300</v>
      </c>
      <c r="D1073" t="s">
        <v>1150</v>
      </c>
      <c r="E1073" t="s">
        <v>23997</v>
      </c>
      <c r="F1073" t="s">
        <v>23997</v>
      </c>
      <c r="G1073" t="s">
        <v>23997</v>
      </c>
      <c r="H1073" t="s">
        <v>51</v>
      </c>
      <c r="I1073" t="s">
        <v>52</v>
      </c>
      <c r="J1073" t="str">
        <f>"2501010"</f>
        <v>2501010</v>
      </c>
      <c r="K1073">
        <v>2671022228</v>
      </c>
      <c r="L1073">
        <v>2671022228</v>
      </c>
      <c r="M1073" t="s">
        <v>24301</v>
      </c>
      <c r="N1073" t="s">
        <v>24302</v>
      </c>
      <c r="O1073" t="s">
        <v>24303</v>
      </c>
      <c r="P1073">
        <v>28100</v>
      </c>
      <c r="Q1073" t="str">
        <f>"38.177549"</f>
        <v>38.177549</v>
      </c>
      <c r="R1073" t="str">
        <f>"20.485575"</f>
        <v>20.485575</v>
      </c>
      <c r="S1073" t="s">
        <v>26</v>
      </c>
    </row>
    <row r="1074" spans="1:19" x14ac:dyDescent="0.3">
      <c r="A1074" t="s">
        <v>23985</v>
      </c>
      <c r="B1074" t="s">
        <v>24238</v>
      </c>
      <c r="C1074" t="s">
        <v>24304</v>
      </c>
      <c r="D1074" t="s">
        <v>1150</v>
      </c>
      <c r="E1074" t="s">
        <v>23997</v>
      </c>
      <c r="F1074" t="s">
        <v>23997</v>
      </c>
      <c r="G1074" t="s">
        <v>23997</v>
      </c>
      <c r="H1074" t="s">
        <v>51</v>
      </c>
      <c r="I1074" t="s">
        <v>52</v>
      </c>
      <c r="J1074" t="str">
        <f>"2501020"</f>
        <v>2501020</v>
      </c>
      <c r="K1074">
        <v>2671028201</v>
      </c>
      <c r="L1074">
        <v>2671028201</v>
      </c>
      <c r="M1074" t="s">
        <v>24305</v>
      </c>
      <c r="N1074" t="s">
        <v>24306</v>
      </c>
      <c r="O1074" t="s">
        <v>24307</v>
      </c>
      <c r="P1074">
        <v>28100</v>
      </c>
      <c r="Q1074" t="str">
        <f>"38.183070"</f>
        <v>38.183070</v>
      </c>
      <c r="R1074" t="str">
        <f>"20.485774"</f>
        <v>20.485774</v>
      </c>
      <c r="S1074" t="s">
        <v>26</v>
      </c>
    </row>
    <row r="1075" spans="1:19" x14ac:dyDescent="0.3">
      <c r="A1075" t="s">
        <v>23985</v>
      </c>
      <c r="B1075" t="s">
        <v>24238</v>
      </c>
      <c r="C1075" t="s">
        <v>24308</v>
      </c>
      <c r="D1075" t="s">
        <v>24239</v>
      </c>
      <c r="E1075" t="s">
        <v>24239</v>
      </c>
      <c r="F1075" t="s">
        <v>24239</v>
      </c>
      <c r="G1075" t="s">
        <v>24239</v>
      </c>
      <c r="H1075" t="s">
        <v>51</v>
      </c>
      <c r="I1075" t="s">
        <v>52</v>
      </c>
      <c r="J1075" t="str">
        <f>"2506010"</f>
        <v>2506010</v>
      </c>
      <c r="K1075">
        <v>2674032993</v>
      </c>
      <c r="L1075">
        <v>2674032993</v>
      </c>
      <c r="M1075" t="s">
        <v>24309</v>
      </c>
      <c r="N1075" t="s">
        <v>24242</v>
      </c>
      <c r="O1075" t="s">
        <v>24310</v>
      </c>
      <c r="P1075">
        <v>28300</v>
      </c>
      <c r="Q1075" t="str">
        <f>"38.362630"</f>
        <v>38.362630</v>
      </c>
      <c r="R1075" t="str">
        <f>"20.721512"</f>
        <v>20.721512</v>
      </c>
      <c r="S1075" t="s">
        <v>57</v>
      </c>
    </row>
    <row r="1076" spans="1:19" x14ac:dyDescent="0.3">
      <c r="A1076" t="s">
        <v>23985</v>
      </c>
      <c r="B1076" t="s">
        <v>24238</v>
      </c>
      <c r="C1076" t="s">
        <v>24313</v>
      </c>
      <c r="D1076" t="s">
        <v>1150</v>
      </c>
      <c r="E1076" t="s">
        <v>23997</v>
      </c>
      <c r="F1076" t="s">
        <v>23997</v>
      </c>
      <c r="G1076" t="s">
        <v>23997</v>
      </c>
      <c r="H1076" t="s">
        <v>51</v>
      </c>
      <c r="I1076" t="s">
        <v>52</v>
      </c>
      <c r="J1076" t="str">
        <f>"2501030"</f>
        <v>2501030</v>
      </c>
      <c r="K1076">
        <v>2671028046</v>
      </c>
      <c r="L1076">
        <v>2671028046</v>
      </c>
      <c r="M1076" t="s">
        <v>24314</v>
      </c>
      <c r="N1076" t="s">
        <v>24302</v>
      </c>
      <c r="O1076" t="s">
        <v>24315</v>
      </c>
      <c r="P1076">
        <v>28100</v>
      </c>
      <c r="Q1076" t="str">
        <f>"38.178614"</f>
        <v>38.178614</v>
      </c>
      <c r="R1076" t="str">
        <f>"20.485609"</f>
        <v>20.485609</v>
      </c>
      <c r="S1076" t="s">
        <v>26</v>
      </c>
    </row>
    <row r="1077" spans="1:19" x14ac:dyDescent="0.3">
      <c r="A1077" t="s">
        <v>23985</v>
      </c>
      <c r="B1077" t="s">
        <v>24238</v>
      </c>
      <c r="C1077" t="s">
        <v>24317</v>
      </c>
      <c r="D1077" t="s">
        <v>1150</v>
      </c>
      <c r="E1077" t="s">
        <v>24256</v>
      </c>
      <c r="F1077" t="s">
        <v>24257</v>
      </c>
      <c r="G1077" t="s">
        <v>24316</v>
      </c>
      <c r="H1077" t="s">
        <v>51</v>
      </c>
      <c r="I1077" t="s">
        <v>52</v>
      </c>
      <c r="J1077" t="str">
        <f>"2505010"</f>
        <v>2505010</v>
      </c>
      <c r="K1077">
        <v>2671097204</v>
      </c>
      <c r="L1077">
        <v>2671097204</v>
      </c>
      <c r="M1077" t="s">
        <v>24318</v>
      </c>
      <c r="N1077" t="s">
        <v>24319</v>
      </c>
      <c r="O1077" t="s">
        <v>24320</v>
      </c>
      <c r="P1077">
        <v>28200</v>
      </c>
      <c r="Q1077" t="str">
        <f>"38.245423"</f>
        <v>38.245423</v>
      </c>
      <c r="R1077" t="str">
        <f>"20.384560"</f>
        <v>20.384560</v>
      </c>
      <c r="S1077" t="s">
        <v>26</v>
      </c>
    </row>
    <row r="1078" spans="1:19" x14ac:dyDescent="0.3">
      <c r="A1078" t="s">
        <v>23985</v>
      </c>
      <c r="B1078" t="s">
        <v>24238</v>
      </c>
      <c r="C1078" t="s">
        <v>24322</v>
      </c>
      <c r="D1078" t="s">
        <v>1150</v>
      </c>
      <c r="E1078" t="s">
        <v>24256</v>
      </c>
      <c r="F1078" t="s">
        <v>24257</v>
      </c>
      <c r="G1078" t="s">
        <v>24256</v>
      </c>
      <c r="H1078" t="s">
        <v>51</v>
      </c>
      <c r="I1078" t="s">
        <v>52</v>
      </c>
      <c r="J1078" t="str">
        <f>"2503010"</f>
        <v>2503010</v>
      </c>
      <c r="K1078">
        <v>2671091243</v>
      </c>
      <c r="L1078">
        <v>2671091243</v>
      </c>
      <c r="M1078" t="s">
        <v>24323</v>
      </c>
      <c r="N1078" t="s">
        <v>24324</v>
      </c>
      <c r="O1078" t="s">
        <v>24325</v>
      </c>
      <c r="P1078">
        <v>28200</v>
      </c>
      <c r="Q1078" t="str">
        <f>"38.208077"</f>
        <v>38.208077</v>
      </c>
      <c r="R1078" t="str">
        <f>"20.434744"</f>
        <v>20.434744</v>
      </c>
      <c r="S1078" t="s">
        <v>26</v>
      </c>
    </row>
    <row r="1079" spans="1:19" x14ac:dyDescent="0.3">
      <c r="A1079" t="s">
        <v>23985</v>
      </c>
      <c r="B1079" t="s">
        <v>24238</v>
      </c>
      <c r="C1079" t="s">
        <v>24328</v>
      </c>
      <c r="D1079" t="s">
        <v>1150</v>
      </c>
      <c r="E1079" t="s">
        <v>24278</v>
      </c>
      <c r="F1079" t="s">
        <v>24326</v>
      </c>
      <c r="G1079" t="s">
        <v>24327</v>
      </c>
      <c r="H1079" t="s">
        <v>51</v>
      </c>
      <c r="I1079" t="s">
        <v>89</v>
      </c>
      <c r="J1079" t="str">
        <f>"2507010"</f>
        <v>2507010</v>
      </c>
      <c r="K1079">
        <v>2674051333</v>
      </c>
      <c r="L1079">
        <v>2674051068</v>
      </c>
      <c r="M1079" t="s">
        <v>24329</v>
      </c>
      <c r="N1079" t="s">
        <v>24330</v>
      </c>
      <c r="O1079" t="s">
        <v>24331</v>
      </c>
      <c r="P1079">
        <v>28085</v>
      </c>
      <c r="Q1079" t="str">
        <f>"38.407391"</f>
        <v>38.407391</v>
      </c>
      <c r="R1079" t="str">
        <f>"20.569388"</f>
        <v>20.569388</v>
      </c>
      <c r="S1079" t="s">
        <v>26</v>
      </c>
    </row>
    <row r="1080" spans="1:19" x14ac:dyDescent="0.3">
      <c r="A1080" t="s">
        <v>23985</v>
      </c>
      <c r="B1080" t="s">
        <v>24238</v>
      </c>
      <c r="C1080" t="s">
        <v>24333</v>
      </c>
      <c r="D1080" t="s">
        <v>1150</v>
      </c>
      <c r="E1080" t="s">
        <v>23997</v>
      </c>
      <c r="F1080" t="s">
        <v>23997</v>
      </c>
      <c r="G1080" t="s">
        <v>23997</v>
      </c>
      <c r="H1080" t="s">
        <v>51</v>
      </c>
      <c r="I1080" t="s">
        <v>4556</v>
      </c>
      <c r="J1080" t="str">
        <f>"2501035"</f>
        <v>2501035</v>
      </c>
      <c r="K1080">
        <v>2671022905</v>
      </c>
      <c r="L1080">
        <v>2671022905</v>
      </c>
      <c r="M1080" t="s">
        <v>24334</v>
      </c>
      <c r="N1080" t="s">
        <v>24000</v>
      </c>
      <c r="O1080" t="s">
        <v>24315</v>
      </c>
      <c r="P1080">
        <v>28100</v>
      </c>
      <c r="Q1080" t="str">
        <f>"38.178372"</f>
        <v>38.178372</v>
      </c>
      <c r="R1080" t="str">
        <f>"20.487415"</f>
        <v>20.487415</v>
      </c>
      <c r="S1080" t="s">
        <v>26</v>
      </c>
    </row>
    <row r="1081" spans="1:19" x14ac:dyDescent="0.3">
      <c r="A1081" t="s">
        <v>23985</v>
      </c>
      <c r="B1081" t="s">
        <v>24238</v>
      </c>
      <c r="C1081" t="s">
        <v>24339</v>
      </c>
      <c r="D1081" t="s">
        <v>1150</v>
      </c>
      <c r="E1081" t="s">
        <v>23997</v>
      </c>
      <c r="F1081" t="s">
        <v>23997</v>
      </c>
      <c r="G1081" t="s">
        <v>23997</v>
      </c>
      <c r="H1081" t="s">
        <v>51</v>
      </c>
      <c r="I1081" t="s">
        <v>199</v>
      </c>
      <c r="J1081" t="str">
        <f>"2511201"</f>
        <v>2511201</v>
      </c>
      <c r="K1081">
        <v>2671025967</v>
      </c>
      <c r="M1081" t="s">
        <v>24340</v>
      </c>
      <c r="N1081" t="s">
        <v>24000</v>
      </c>
      <c r="O1081" t="s">
        <v>24341</v>
      </c>
      <c r="Q1081" t="str">
        <f>"38.177367"</f>
        <v>38.177367</v>
      </c>
      <c r="R1081" t="str">
        <f>"20.485716"</f>
        <v>20.485716</v>
      </c>
      <c r="S1081" t="s">
        <v>26</v>
      </c>
    </row>
    <row r="1082" spans="1:19" x14ac:dyDescent="0.3">
      <c r="A1082" t="s">
        <v>23985</v>
      </c>
      <c r="B1082" t="s">
        <v>24238</v>
      </c>
      <c r="C1082" t="s">
        <v>24342</v>
      </c>
      <c r="D1082" t="s">
        <v>1150</v>
      </c>
      <c r="E1082" t="s">
        <v>24256</v>
      </c>
      <c r="F1082" t="s">
        <v>24257</v>
      </c>
      <c r="G1082" t="s">
        <v>24256</v>
      </c>
      <c r="H1082" t="s">
        <v>51</v>
      </c>
      <c r="I1082" t="s">
        <v>4349</v>
      </c>
      <c r="J1082" t="str">
        <f>"2509000"</f>
        <v>2509000</v>
      </c>
      <c r="Q1082" t="str">
        <f>""</f>
        <v/>
      </c>
      <c r="R1082" t="str">
        <f>""</f>
        <v/>
      </c>
      <c r="S1082" t="s">
        <v>26</v>
      </c>
    </row>
    <row r="1083" spans="1:19" x14ac:dyDescent="0.3">
      <c r="A1083" t="s">
        <v>23985</v>
      </c>
      <c r="B1083" t="s">
        <v>24343</v>
      </c>
      <c r="C1083" t="s">
        <v>24346</v>
      </c>
      <c r="D1083" t="s">
        <v>24002</v>
      </c>
      <c r="E1083" t="s">
        <v>24002</v>
      </c>
      <c r="F1083" t="s">
        <v>24344</v>
      </c>
      <c r="G1083" t="s">
        <v>24345</v>
      </c>
      <c r="H1083" t="s">
        <v>51</v>
      </c>
      <c r="I1083" t="s">
        <v>52</v>
      </c>
      <c r="J1083" t="str">
        <f>"3404010"</f>
        <v>3404010</v>
      </c>
      <c r="K1083">
        <v>2645092231</v>
      </c>
      <c r="L1083">
        <v>2645092231</v>
      </c>
      <c r="M1083" t="s">
        <v>24347</v>
      </c>
      <c r="N1083" t="s">
        <v>24348</v>
      </c>
      <c r="O1083" t="s">
        <v>24348</v>
      </c>
      <c r="P1083">
        <v>31084</v>
      </c>
      <c r="Q1083" t="str">
        <f>"38.709649"</f>
        <v>38.709649</v>
      </c>
      <c r="R1083" t="str">
        <f>"20.706576"</f>
        <v>20.706576</v>
      </c>
      <c r="S1083" t="s">
        <v>26</v>
      </c>
    </row>
    <row r="1084" spans="1:19" x14ac:dyDescent="0.3">
      <c r="A1084" t="s">
        <v>23985</v>
      </c>
      <c r="B1084" t="s">
        <v>24343</v>
      </c>
      <c r="C1084" t="s">
        <v>24364</v>
      </c>
      <c r="D1084" t="s">
        <v>24002</v>
      </c>
      <c r="E1084" t="s">
        <v>24362</v>
      </c>
      <c r="F1084" t="s">
        <v>24362</v>
      </c>
      <c r="G1084" t="s">
        <v>24363</v>
      </c>
      <c r="H1084" t="s">
        <v>51</v>
      </c>
      <c r="I1084" t="s">
        <v>89</v>
      </c>
      <c r="J1084" t="str">
        <f>"3405010"</f>
        <v>3405010</v>
      </c>
      <c r="K1084">
        <v>2645051500</v>
      </c>
      <c r="L1084">
        <v>2645051500</v>
      </c>
      <c r="M1084" t="s">
        <v>24365</v>
      </c>
      <c r="N1084" t="s">
        <v>24366</v>
      </c>
      <c r="O1084" t="s">
        <v>24367</v>
      </c>
      <c r="P1084">
        <v>31083</v>
      </c>
      <c r="Q1084" t="str">
        <f>"38.657905"</f>
        <v>38.657905</v>
      </c>
      <c r="R1084" t="str">
        <f>"20.757443"</f>
        <v>20.757443</v>
      </c>
      <c r="S1084" t="s">
        <v>57</v>
      </c>
    </row>
    <row r="1085" spans="1:19" x14ac:dyDescent="0.3">
      <c r="A1085" t="s">
        <v>23985</v>
      </c>
      <c r="B1085" t="s">
        <v>24343</v>
      </c>
      <c r="C1085" t="s">
        <v>24370</v>
      </c>
      <c r="D1085" t="s">
        <v>24002</v>
      </c>
      <c r="E1085" t="s">
        <v>24002</v>
      </c>
      <c r="F1085" t="s">
        <v>24369</v>
      </c>
      <c r="G1085" t="s">
        <v>23512</v>
      </c>
      <c r="H1085" t="s">
        <v>51</v>
      </c>
      <c r="I1085" t="s">
        <v>89</v>
      </c>
      <c r="J1085" t="str">
        <f>"3403010"</f>
        <v>3403010</v>
      </c>
      <c r="K1085">
        <v>2645031202</v>
      </c>
      <c r="L1085">
        <v>2645031202</v>
      </c>
      <c r="M1085" t="s">
        <v>24371</v>
      </c>
      <c r="N1085" t="s">
        <v>23515</v>
      </c>
      <c r="O1085" t="s">
        <v>24372</v>
      </c>
      <c r="P1085">
        <v>31082</v>
      </c>
      <c r="Q1085" t="str">
        <f>"38.627413"</f>
        <v>38.627413</v>
      </c>
      <c r="R1085" t="str">
        <f>"20.607571"</f>
        <v>20.607571</v>
      </c>
      <c r="S1085" t="s">
        <v>26</v>
      </c>
    </row>
    <row r="1086" spans="1:19" x14ac:dyDescent="0.3">
      <c r="A1086" t="s">
        <v>23985</v>
      </c>
      <c r="B1086" t="s">
        <v>24343</v>
      </c>
      <c r="C1086" t="s">
        <v>24374</v>
      </c>
      <c r="D1086" t="s">
        <v>24002</v>
      </c>
      <c r="E1086" t="s">
        <v>24002</v>
      </c>
      <c r="F1086" t="s">
        <v>16102</v>
      </c>
      <c r="G1086" t="s">
        <v>16102</v>
      </c>
      <c r="H1086" t="s">
        <v>51</v>
      </c>
      <c r="I1086" t="s">
        <v>89</v>
      </c>
      <c r="J1086" t="str">
        <f>"3402010"</f>
        <v>3402010</v>
      </c>
      <c r="K1086">
        <v>2645041324</v>
      </c>
      <c r="L1086">
        <v>2645041324</v>
      </c>
      <c r="M1086" t="s">
        <v>24375</v>
      </c>
      <c r="O1086" t="s">
        <v>24376</v>
      </c>
      <c r="P1086">
        <v>31100</v>
      </c>
      <c r="Q1086" t="str">
        <f>"38.761737"</f>
        <v>38.761737</v>
      </c>
      <c r="R1086" t="str">
        <f>"20.650844"</f>
        <v>20.650844</v>
      </c>
      <c r="S1086" t="s">
        <v>26</v>
      </c>
    </row>
    <row r="1087" spans="1:19" x14ac:dyDescent="0.3">
      <c r="A1087" t="s">
        <v>23985</v>
      </c>
      <c r="B1087" t="s">
        <v>24343</v>
      </c>
      <c r="C1087" t="s">
        <v>24378</v>
      </c>
      <c r="D1087" t="s">
        <v>24002</v>
      </c>
      <c r="E1087" t="s">
        <v>24002</v>
      </c>
      <c r="F1087" t="s">
        <v>24003</v>
      </c>
      <c r="G1087" t="s">
        <v>24003</v>
      </c>
      <c r="H1087" t="s">
        <v>51</v>
      </c>
      <c r="I1087" t="s">
        <v>52</v>
      </c>
      <c r="J1087" t="str">
        <f>"3401010"</f>
        <v>3401010</v>
      </c>
      <c r="K1087">
        <v>2645026208</v>
      </c>
      <c r="L1087">
        <v>2645026208</v>
      </c>
      <c r="M1087" t="s">
        <v>24379</v>
      </c>
      <c r="N1087" t="s">
        <v>24002</v>
      </c>
      <c r="O1087" t="s">
        <v>24380</v>
      </c>
      <c r="P1087">
        <v>31100</v>
      </c>
      <c r="Q1087" t="str">
        <f>"38.828728"</f>
        <v>38.828728</v>
      </c>
      <c r="R1087" t="str">
        <f>"20.708395"</f>
        <v>20.708395</v>
      </c>
      <c r="S1087" t="s">
        <v>26</v>
      </c>
    </row>
    <row r="1088" spans="1:19" x14ac:dyDescent="0.3">
      <c r="A1088" t="s">
        <v>23985</v>
      </c>
      <c r="B1088" t="s">
        <v>24343</v>
      </c>
      <c r="C1088" t="s">
        <v>24381</v>
      </c>
      <c r="D1088" t="s">
        <v>24002</v>
      </c>
      <c r="E1088" t="s">
        <v>24002</v>
      </c>
      <c r="F1088" t="s">
        <v>24003</v>
      </c>
      <c r="G1088" t="s">
        <v>24003</v>
      </c>
      <c r="H1088" t="s">
        <v>51</v>
      </c>
      <c r="I1088" t="s">
        <v>190</v>
      </c>
      <c r="J1088" t="str">
        <f>"3401025"</f>
        <v>3401025</v>
      </c>
      <c r="K1088">
        <v>2645021625</v>
      </c>
      <c r="L1088">
        <v>2645021625</v>
      </c>
      <c r="M1088" t="s">
        <v>24382</v>
      </c>
      <c r="N1088" t="s">
        <v>24002</v>
      </c>
      <c r="O1088" t="s">
        <v>24383</v>
      </c>
      <c r="P1088">
        <v>31100</v>
      </c>
      <c r="Q1088" t="str">
        <f>"38.824983"</f>
        <v>38.824983</v>
      </c>
      <c r="R1088" t="str">
        <f>"20.710602"</f>
        <v>20.710602</v>
      </c>
      <c r="S1088" t="s">
        <v>26</v>
      </c>
    </row>
    <row r="1089" spans="1:19" x14ac:dyDescent="0.3">
      <c r="A1089" t="s">
        <v>23985</v>
      </c>
      <c r="B1089" t="s">
        <v>24343</v>
      </c>
      <c r="C1089" t="s">
        <v>24384</v>
      </c>
      <c r="D1089" t="s">
        <v>24002</v>
      </c>
      <c r="E1089" t="s">
        <v>24002</v>
      </c>
      <c r="F1089" t="s">
        <v>24003</v>
      </c>
      <c r="G1089" t="s">
        <v>24003</v>
      </c>
      <c r="H1089" t="s">
        <v>51</v>
      </c>
      <c r="I1089" t="s">
        <v>52</v>
      </c>
      <c r="J1089" t="str">
        <f>"3401020"</f>
        <v>3401020</v>
      </c>
      <c r="K1089">
        <v>2645023380</v>
      </c>
      <c r="L1089">
        <v>2645022805</v>
      </c>
      <c r="M1089" t="s">
        <v>24385</v>
      </c>
      <c r="N1089" t="s">
        <v>24006</v>
      </c>
      <c r="O1089" t="s">
        <v>24360</v>
      </c>
      <c r="P1089">
        <v>31100</v>
      </c>
      <c r="Q1089" t="str">
        <f>"38.835548"</f>
        <v>38.835548</v>
      </c>
      <c r="R1089" t="str">
        <f>"20.698508"</f>
        <v>20.698508</v>
      </c>
      <c r="S1089" t="s">
        <v>26</v>
      </c>
    </row>
    <row r="1090" spans="1:19" x14ac:dyDescent="0.3">
      <c r="A1090" t="s">
        <v>25190</v>
      </c>
      <c r="B1090" t="s">
        <v>25243</v>
      </c>
      <c r="C1090" t="s">
        <v>25245</v>
      </c>
      <c r="D1090" t="s">
        <v>25197</v>
      </c>
      <c r="E1090" t="s">
        <v>25197</v>
      </c>
      <c r="F1090" t="s">
        <v>25197</v>
      </c>
      <c r="G1090" t="s">
        <v>25244</v>
      </c>
      <c r="H1090" t="s">
        <v>51</v>
      </c>
      <c r="I1090" t="s">
        <v>52</v>
      </c>
      <c r="J1090" t="str">
        <f>"1901070"</f>
        <v>1901070</v>
      </c>
      <c r="K1090">
        <v>2310212173</v>
      </c>
      <c r="L1090">
        <v>2310212173</v>
      </c>
      <c r="M1090" t="s">
        <v>25246</v>
      </c>
      <c r="N1090" t="s">
        <v>25247</v>
      </c>
      <c r="O1090" t="s">
        <v>25248</v>
      </c>
      <c r="P1090">
        <v>54634</v>
      </c>
      <c r="Q1090" t="str">
        <f>"40.639110"</f>
        <v>40.639110</v>
      </c>
      <c r="R1090" t="str">
        <f>"22.959381"</f>
        <v>22.959381</v>
      </c>
      <c r="S1090" t="s">
        <v>26</v>
      </c>
    </row>
    <row r="1091" spans="1:19" x14ac:dyDescent="0.3">
      <c r="A1091" t="s">
        <v>25190</v>
      </c>
      <c r="B1091" t="s">
        <v>25243</v>
      </c>
      <c r="C1091" t="s">
        <v>25251</v>
      </c>
      <c r="D1091" t="s">
        <v>25197</v>
      </c>
      <c r="E1091" t="s">
        <v>25197</v>
      </c>
      <c r="F1091" t="s">
        <v>25197</v>
      </c>
      <c r="G1091" t="s">
        <v>25250</v>
      </c>
      <c r="H1091" t="s">
        <v>51</v>
      </c>
      <c r="I1091" t="s">
        <v>52</v>
      </c>
      <c r="J1091" t="str">
        <f>"1901174"</f>
        <v>1901174</v>
      </c>
      <c r="K1091">
        <v>2310929343</v>
      </c>
      <c r="L1091">
        <v>2310929343</v>
      </c>
      <c r="M1091" t="s">
        <v>25252</v>
      </c>
      <c r="N1091" t="s">
        <v>25197</v>
      </c>
      <c r="O1091" t="s">
        <v>25253</v>
      </c>
      <c r="P1091">
        <v>54644</v>
      </c>
      <c r="Q1091" t="str">
        <f>"40.608319"</f>
        <v>40.608319</v>
      </c>
      <c r="R1091" t="str">
        <f>"22.963883"</f>
        <v>22.963883</v>
      </c>
      <c r="S1091" t="s">
        <v>26</v>
      </c>
    </row>
    <row r="1092" spans="1:19" x14ac:dyDescent="0.3">
      <c r="A1092" t="s">
        <v>25190</v>
      </c>
      <c r="B1092" t="s">
        <v>25243</v>
      </c>
      <c r="C1092" t="s">
        <v>25266</v>
      </c>
      <c r="D1092" t="s">
        <v>25197</v>
      </c>
      <c r="E1092" t="s">
        <v>25264</v>
      </c>
      <c r="F1092" t="s">
        <v>25265</v>
      </c>
      <c r="G1092" t="s">
        <v>25265</v>
      </c>
      <c r="H1092" t="s">
        <v>51</v>
      </c>
      <c r="I1092" t="s">
        <v>3951</v>
      </c>
      <c r="J1092" t="str">
        <f>"1901005"</f>
        <v>1901005</v>
      </c>
      <c r="K1092">
        <v>2310318544</v>
      </c>
      <c r="L1092">
        <v>2310318544</v>
      </c>
      <c r="M1092" t="s">
        <v>25267</v>
      </c>
      <c r="N1092" t="s">
        <v>25197</v>
      </c>
      <c r="O1092" t="s">
        <v>25268</v>
      </c>
      <c r="P1092">
        <v>55102</v>
      </c>
      <c r="Q1092" t="str">
        <f>"40.558916"</f>
        <v>40.558916</v>
      </c>
      <c r="R1092" t="str">
        <f>"22.977687"</f>
        <v>22.977687</v>
      </c>
      <c r="S1092" t="s">
        <v>26</v>
      </c>
    </row>
    <row r="1093" spans="1:19" x14ac:dyDescent="0.3">
      <c r="A1093" t="s">
        <v>25190</v>
      </c>
      <c r="B1093" t="s">
        <v>25243</v>
      </c>
      <c r="C1093" t="s">
        <v>25279</v>
      </c>
      <c r="D1093" t="s">
        <v>25197</v>
      </c>
      <c r="E1093" t="s">
        <v>25264</v>
      </c>
      <c r="F1093" t="s">
        <v>25265</v>
      </c>
      <c r="G1093" t="s">
        <v>25265</v>
      </c>
      <c r="H1093" t="s">
        <v>51</v>
      </c>
      <c r="I1093" t="s">
        <v>199</v>
      </c>
      <c r="J1093" t="str">
        <f>"1901015"</f>
        <v>1901015</v>
      </c>
      <c r="K1093">
        <v>2310478893</v>
      </c>
      <c r="L1093">
        <v>2310473824</v>
      </c>
      <c r="M1093" t="s">
        <v>25280</v>
      </c>
      <c r="N1093" t="s">
        <v>25247</v>
      </c>
      <c r="O1093" t="s">
        <v>25281</v>
      </c>
      <c r="P1093">
        <v>55102</v>
      </c>
      <c r="Q1093" t="str">
        <f>"40.558788"</f>
        <v>40.558788</v>
      </c>
      <c r="R1093" t="str">
        <f>"22.978075"</f>
        <v>22.978075</v>
      </c>
      <c r="S1093" t="s">
        <v>26</v>
      </c>
    </row>
    <row r="1094" spans="1:19" x14ac:dyDescent="0.3">
      <c r="A1094" t="s">
        <v>25190</v>
      </c>
      <c r="B1094" t="s">
        <v>25243</v>
      </c>
      <c r="C1094" t="s">
        <v>25284</v>
      </c>
      <c r="D1094" t="s">
        <v>25197</v>
      </c>
      <c r="E1094" t="s">
        <v>25197</v>
      </c>
      <c r="F1094" t="s">
        <v>25197</v>
      </c>
      <c r="G1094" t="s">
        <v>25283</v>
      </c>
      <c r="H1094" t="s">
        <v>51</v>
      </c>
      <c r="I1094" t="s">
        <v>3708</v>
      </c>
      <c r="J1094" t="str">
        <f>"1901004"</f>
        <v>1901004</v>
      </c>
      <c r="K1094">
        <v>2310939582</v>
      </c>
      <c r="L1094">
        <v>2310939582</v>
      </c>
      <c r="M1094" t="s">
        <v>25285</v>
      </c>
      <c r="N1094" t="s">
        <v>25247</v>
      </c>
      <c r="O1094" t="s">
        <v>25286</v>
      </c>
      <c r="P1094">
        <v>54453</v>
      </c>
      <c r="Q1094" t="str">
        <f>"40.612149"</f>
        <v>40.612149</v>
      </c>
      <c r="R1094" t="str">
        <f>"22.967252"</f>
        <v>22.967252</v>
      </c>
      <c r="S1094" t="s">
        <v>26</v>
      </c>
    </row>
    <row r="1095" spans="1:19" x14ac:dyDescent="0.3">
      <c r="A1095" t="s">
        <v>25190</v>
      </c>
      <c r="B1095" t="s">
        <v>25243</v>
      </c>
      <c r="C1095" t="s">
        <v>25397</v>
      </c>
      <c r="D1095" t="s">
        <v>25197</v>
      </c>
      <c r="E1095" t="s">
        <v>25197</v>
      </c>
      <c r="F1095" t="s">
        <v>25197</v>
      </c>
      <c r="G1095" t="s">
        <v>25255</v>
      </c>
      <c r="H1095" t="s">
        <v>51</v>
      </c>
      <c r="I1095" t="s">
        <v>3979</v>
      </c>
      <c r="J1095" t="str">
        <f>"1901001"</f>
        <v>1901001</v>
      </c>
      <c r="K1095">
        <v>2310277809</v>
      </c>
      <c r="L1095">
        <v>2310264622</v>
      </c>
      <c r="M1095" t="s">
        <v>25398</v>
      </c>
      <c r="N1095" t="s">
        <v>25247</v>
      </c>
      <c r="O1095" t="s">
        <v>25399</v>
      </c>
      <c r="P1095">
        <v>54631</v>
      </c>
      <c r="Q1095" t="str">
        <f>"40.636227"</f>
        <v>40.636227</v>
      </c>
      <c r="R1095" t="str">
        <f>"22.948101"</f>
        <v>22.948101</v>
      </c>
      <c r="S1095" t="s">
        <v>26</v>
      </c>
    </row>
    <row r="1096" spans="1:19" x14ac:dyDescent="0.3">
      <c r="A1096" t="s">
        <v>25190</v>
      </c>
      <c r="B1096" t="s">
        <v>25243</v>
      </c>
      <c r="C1096" t="s">
        <v>25482</v>
      </c>
      <c r="D1096" t="s">
        <v>25197</v>
      </c>
      <c r="E1096" t="s">
        <v>25197</v>
      </c>
      <c r="F1096" t="s">
        <v>25197</v>
      </c>
      <c r="G1096" t="s">
        <v>25283</v>
      </c>
      <c r="H1096" t="s">
        <v>51</v>
      </c>
      <c r="I1096" t="s">
        <v>52</v>
      </c>
      <c r="J1096" t="str">
        <f>"1901208"</f>
        <v>1901208</v>
      </c>
      <c r="K1096">
        <v>2310923633</v>
      </c>
      <c r="L1096">
        <v>2310948008</v>
      </c>
      <c r="M1096" t="s">
        <v>25483</v>
      </c>
      <c r="N1096" t="s">
        <v>25484</v>
      </c>
      <c r="O1096" t="s">
        <v>25362</v>
      </c>
      <c r="P1096">
        <v>54351</v>
      </c>
      <c r="Q1096" t="str">
        <f>"40.613402"</f>
        <v>40.613402</v>
      </c>
      <c r="R1096" t="str">
        <f>"22.973744"</f>
        <v>22.973744</v>
      </c>
      <c r="S1096" t="s">
        <v>26</v>
      </c>
    </row>
    <row r="1097" spans="1:19" x14ac:dyDescent="0.3">
      <c r="A1097" t="s">
        <v>25190</v>
      </c>
      <c r="B1097" t="s">
        <v>25243</v>
      </c>
      <c r="C1097" t="s">
        <v>25485</v>
      </c>
      <c r="D1097" t="s">
        <v>25197</v>
      </c>
      <c r="E1097" t="s">
        <v>25293</v>
      </c>
      <c r="F1097" t="s">
        <v>25433</v>
      </c>
      <c r="G1097" t="s">
        <v>25434</v>
      </c>
      <c r="H1097" t="s">
        <v>51</v>
      </c>
      <c r="I1097" t="s">
        <v>52</v>
      </c>
      <c r="J1097" t="str">
        <f>"1912010"</f>
        <v>1912010</v>
      </c>
      <c r="K1097">
        <v>2392031335</v>
      </c>
      <c r="L1097">
        <v>2392032034</v>
      </c>
      <c r="M1097" t="s">
        <v>25486</v>
      </c>
      <c r="N1097" t="s">
        <v>25487</v>
      </c>
      <c r="O1097" t="s">
        <v>25488</v>
      </c>
      <c r="P1097">
        <v>57004</v>
      </c>
      <c r="Q1097" t="str">
        <f>"40.463745"</f>
        <v>40.463745</v>
      </c>
      <c r="R1097" t="str">
        <f>"22.865924"</f>
        <v>22.865924</v>
      </c>
      <c r="S1097" t="s">
        <v>26</v>
      </c>
    </row>
    <row r="1098" spans="1:19" x14ac:dyDescent="0.3">
      <c r="A1098" t="s">
        <v>25190</v>
      </c>
      <c r="B1098" t="s">
        <v>25243</v>
      </c>
      <c r="C1098" t="s">
        <v>25489</v>
      </c>
      <c r="D1098" t="s">
        <v>25197</v>
      </c>
      <c r="E1098" t="s">
        <v>25293</v>
      </c>
      <c r="F1098" t="s">
        <v>25294</v>
      </c>
      <c r="G1098" t="s">
        <v>25294</v>
      </c>
      <c r="H1098" t="s">
        <v>51</v>
      </c>
      <c r="I1098" t="s">
        <v>52</v>
      </c>
      <c r="J1098" t="str">
        <f>"1905010"</f>
        <v>1905010</v>
      </c>
      <c r="K1098">
        <v>2392041220</v>
      </c>
      <c r="L1098">
        <v>2392044882</v>
      </c>
      <c r="M1098" t="s">
        <v>25490</v>
      </c>
      <c r="N1098" t="s">
        <v>25297</v>
      </c>
      <c r="O1098" t="s">
        <v>25316</v>
      </c>
      <c r="P1098">
        <v>57500</v>
      </c>
      <c r="Q1098" t="str">
        <f>"40.420237"</f>
        <v>40.420237</v>
      </c>
      <c r="R1098" t="str">
        <f>"22.932606"</f>
        <v>22.932606</v>
      </c>
      <c r="S1098" t="s">
        <v>26</v>
      </c>
    </row>
    <row r="1099" spans="1:19" x14ac:dyDescent="0.3">
      <c r="A1099" t="s">
        <v>25190</v>
      </c>
      <c r="B1099" t="s">
        <v>25243</v>
      </c>
      <c r="C1099" t="s">
        <v>25495</v>
      </c>
      <c r="D1099" t="s">
        <v>25197</v>
      </c>
      <c r="E1099" t="s">
        <v>25264</v>
      </c>
      <c r="F1099" t="s">
        <v>25400</v>
      </c>
      <c r="G1099" t="s">
        <v>25400</v>
      </c>
      <c r="H1099" t="s">
        <v>51</v>
      </c>
      <c r="I1099" t="s">
        <v>25494</v>
      </c>
      <c r="J1099" t="str">
        <f>"1901003"</f>
        <v>1901003</v>
      </c>
      <c r="K1099">
        <v>2310343620</v>
      </c>
      <c r="L1099">
        <v>2310343348</v>
      </c>
      <c r="M1099" t="s">
        <v>25496</v>
      </c>
      <c r="N1099" t="s">
        <v>25497</v>
      </c>
      <c r="O1099" t="s">
        <v>25498</v>
      </c>
      <c r="P1099">
        <v>55236</v>
      </c>
      <c r="Q1099" t="str">
        <f>"40.597894"</f>
        <v>40.597894</v>
      </c>
      <c r="R1099" t="str">
        <f>"23.048922"</f>
        <v>23.048922</v>
      </c>
      <c r="S1099" t="s">
        <v>26</v>
      </c>
    </row>
    <row r="1100" spans="1:19" x14ac:dyDescent="0.3">
      <c r="A1100" t="s">
        <v>25190</v>
      </c>
      <c r="B1100" t="s">
        <v>25243</v>
      </c>
      <c r="C1100" t="s">
        <v>25501</v>
      </c>
      <c r="D1100" t="s">
        <v>25197</v>
      </c>
      <c r="E1100" t="s">
        <v>25197</v>
      </c>
      <c r="F1100" t="s">
        <v>25197</v>
      </c>
      <c r="G1100" t="s">
        <v>25250</v>
      </c>
      <c r="H1100" t="s">
        <v>51</v>
      </c>
      <c r="I1100" t="s">
        <v>52</v>
      </c>
      <c r="J1100" t="str">
        <f>"1901252"</f>
        <v>1901252</v>
      </c>
      <c r="K1100">
        <v>2310308506</v>
      </c>
      <c r="L1100">
        <v>2310308506</v>
      </c>
      <c r="M1100" t="s">
        <v>25502</v>
      </c>
      <c r="N1100" t="s">
        <v>25503</v>
      </c>
      <c r="O1100" t="s">
        <v>25504</v>
      </c>
      <c r="P1100">
        <v>54250</v>
      </c>
      <c r="Q1100" t="str">
        <f>"40.601621"</f>
        <v>40.601621</v>
      </c>
      <c r="R1100" t="str">
        <f>"22.970722"</f>
        <v>22.970722</v>
      </c>
      <c r="S1100" t="s">
        <v>26</v>
      </c>
    </row>
    <row r="1101" spans="1:19" x14ac:dyDescent="0.3">
      <c r="A1101" t="s">
        <v>25190</v>
      </c>
      <c r="B1101" t="s">
        <v>25243</v>
      </c>
      <c r="C1101" t="s">
        <v>25506</v>
      </c>
      <c r="D1101" t="s">
        <v>25197</v>
      </c>
      <c r="E1101" t="s">
        <v>25197</v>
      </c>
      <c r="F1101" t="s">
        <v>25197</v>
      </c>
      <c r="G1101" t="s">
        <v>25283</v>
      </c>
      <c r="H1101" t="s">
        <v>51</v>
      </c>
      <c r="I1101" t="s">
        <v>52</v>
      </c>
      <c r="J1101" t="str">
        <f>"1901201"</f>
        <v>1901201</v>
      </c>
      <c r="K1101">
        <v>2310922623</v>
      </c>
      <c r="L1101">
        <v>2310922623</v>
      </c>
      <c r="M1101" t="s">
        <v>25507</v>
      </c>
      <c r="N1101" t="s">
        <v>25247</v>
      </c>
      <c r="O1101" t="s">
        <v>25286</v>
      </c>
      <c r="P1101">
        <v>54453</v>
      </c>
      <c r="Q1101" t="str">
        <f>"40.613132"</f>
        <v>40.613132</v>
      </c>
      <c r="R1101" t="str">
        <f>"22.967300"</f>
        <v>22.967300</v>
      </c>
      <c r="S1101" t="s">
        <v>26</v>
      </c>
    </row>
    <row r="1102" spans="1:19" x14ac:dyDescent="0.3">
      <c r="A1102" t="s">
        <v>25190</v>
      </c>
      <c r="B1102" t="s">
        <v>25243</v>
      </c>
      <c r="C1102" t="s">
        <v>25508</v>
      </c>
      <c r="D1102" t="s">
        <v>25197</v>
      </c>
      <c r="E1102" t="s">
        <v>25197</v>
      </c>
      <c r="F1102" t="s">
        <v>25197</v>
      </c>
      <c r="G1102" t="s">
        <v>25244</v>
      </c>
      <c r="H1102" t="s">
        <v>51</v>
      </c>
      <c r="I1102" t="s">
        <v>52</v>
      </c>
      <c r="J1102" t="str">
        <f>"1901166"</f>
        <v>1901166</v>
      </c>
      <c r="K1102">
        <v>2310279964</v>
      </c>
      <c r="L1102">
        <v>2310279964</v>
      </c>
      <c r="M1102" t="s">
        <v>25509</v>
      </c>
      <c r="N1102" t="s">
        <v>25247</v>
      </c>
      <c r="O1102" t="s">
        <v>25510</v>
      </c>
      <c r="P1102">
        <v>54632</v>
      </c>
      <c r="Q1102" t="str">
        <f>"40.642352"</f>
        <v>40.642352</v>
      </c>
      <c r="R1102" t="str">
        <f>"22.943867"</f>
        <v>22.943867</v>
      </c>
      <c r="S1102" t="s">
        <v>26</v>
      </c>
    </row>
    <row r="1103" spans="1:19" x14ac:dyDescent="0.3">
      <c r="A1103" t="s">
        <v>25190</v>
      </c>
      <c r="B1103" t="s">
        <v>25243</v>
      </c>
      <c r="C1103" t="s">
        <v>25521</v>
      </c>
      <c r="D1103" t="s">
        <v>25197</v>
      </c>
      <c r="E1103" t="s">
        <v>25198</v>
      </c>
      <c r="F1103" t="s">
        <v>25323</v>
      </c>
      <c r="G1103" t="s">
        <v>25324</v>
      </c>
      <c r="H1103" t="s">
        <v>51</v>
      </c>
      <c r="I1103" t="s">
        <v>52</v>
      </c>
      <c r="J1103" t="str">
        <f>"1915010"</f>
        <v>1915010</v>
      </c>
      <c r="K1103">
        <v>2392062500</v>
      </c>
      <c r="L1103">
        <v>2392063737</v>
      </c>
      <c r="M1103" t="s">
        <v>25522</v>
      </c>
      <c r="N1103" t="s">
        <v>25523</v>
      </c>
      <c r="O1103" t="s">
        <v>25524</v>
      </c>
      <c r="P1103">
        <v>57500</v>
      </c>
      <c r="Q1103" t="str">
        <f>"40.473268"</f>
        <v>40.473268</v>
      </c>
      <c r="R1103" t="str">
        <f>"22.969310"</f>
        <v>22.969310</v>
      </c>
      <c r="S1103" t="s">
        <v>26</v>
      </c>
    </row>
    <row r="1104" spans="1:19" x14ac:dyDescent="0.3">
      <c r="A1104" t="s">
        <v>25190</v>
      </c>
      <c r="B1104" t="s">
        <v>25243</v>
      </c>
      <c r="C1104" t="s">
        <v>25525</v>
      </c>
      <c r="D1104" t="s">
        <v>25197</v>
      </c>
      <c r="E1104" t="s">
        <v>25197</v>
      </c>
      <c r="F1104" t="s">
        <v>25197</v>
      </c>
      <c r="G1104" t="s">
        <v>25255</v>
      </c>
      <c r="H1104" t="s">
        <v>51</v>
      </c>
      <c r="I1104" t="s">
        <v>184</v>
      </c>
      <c r="J1104" t="str">
        <f>"1901180"</f>
        <v>1901180</v>
      </c>
      <c r="K1104">
        <v>2310239379</v>
      </c>
      <c r="L1104">
        <v>2310239379</v>
      </c>
      <c r="M1104" t="s">
        <v>25526</v>
      </c>
      <c r="N1104" t="s">
        <v>25247</v>
      </c>
      <c r="O1104" t="s">
        <v>25527</v>
      </c>
      <c r="P1104">
        <v>54622</v>
      </c>
      <c r="Q1104" t="str">
        <f>"40.632033"</f>
        <v>40.632033</v>
      </c>
      <c r="R1104" t="str">
        <f>"22.946293"</f>
        <v>22.946293</v>
      </c>
      <c r="S1104" t="s">
        <v>26</v>
      </c>
    </row>
    <row r="1105" spans="1:19" x14ac:dyDescent="0.3">
      <c r="A1105" t="s">
        <v>25190</v>
      </c>
      <c r="B1105" t="s">
        <v>25243</v>
      </c>
      <c r="C1105" t="s">
        <v>25528</v>
      </c>
      <c r="D1105" t="s">
        <v>25197</v>
      </c>
      <c r="E1105" t="s">
        <v>25197</v>
      </c>
      <c r="F1105" t="s">
        <v>25197</v>
      </c>
      <c r="G1105" t="s">
        <v>25255</v>
      </c>
      <c r="H1105" t="s">
        <v>51</v>
      </c>
      <c r="I1105" t="s">
        <v>52</v>
      </c>
      <c r="J1105" t="str">
        <f>"1901040"</f>
        <v>1901040</v>
      </c>
      <c r="K1105">
        <v>2310524000</v>
      </c>
      <c r="L1105">
        <v>2310524000</v>
      </c>
      <c r="M1105" t="s">
        <v>25529</v>
      </c>
      <c r="N1105" t="s">
        <v>25247</v>
      </c>
      <c r="O1105" t="s">
        <v>25277</v>
      </c>
      <c r="P1105">
        <v>54630</v>
      </c>
      <c r="Q1105" t="str">
        <f>"40.639170"</f>
        <v>40.639170</v>
      </c>
      <c r="R1105" t="str">
        <f>"22.941331"</f>
        <v>22.941331</v>
      </c>
      <c r="S1105" t="s">
        <v>26</v>
      </c>
    </row>
    <row r="1106" spans="1:19" x14ac:dyDescent="0.3">
      <c r="A1106" t="s">
        <v>25190</v>
      </c>
      <c r="B1106" t="s">
        <v>25243</v>
      </c>
      <c r="C1106" t="s">
        <v>25530</v>
      </c>
      <c r="D1106" t="s">
        <v>25197</v>
      </c>
      <c r="E1106" t="s">
        <v>25264</v>
      </c>
      <c r="F1106" t="s">
        <v>25270</v>
      </c>
      <c r="G1106" t="s">
        <v>19978</v>
      </c>
      <c r="H1106" t="s">
        <v>51</v>
      </c>
      <c r="I1106" t="s">
        <v>52</v>
      </c>
      <c r="J1106" t="str">
        <f>"1902020"</f>
        <v>1902020</v>
      </c>
      <c r="K1106">
        <v>2310359281</v>
      </c>
      <c r="L1106">
        <v>2310359507</v>
      </c>
      <c r="M1106" t="s">
        <v>25531</v>
      </c>
      <c r="N1106" t="s">
        <v>19981</v>
      </c>
      <c r="O1106" t="s">
        <v>25532</v>
      </c>
      <c r="P1106">
        <v>57010</v>
      </c>
      <c r="Q1106" t="str">
        <f>"40.641905"</f>
        <v>40.641905</v>
      </c>
      <c r="R1106" t="str">
        <f>"23.032754"</f>
        <v>23.032754</v>
      </c>
      <c r="S1106" t="s">
        <v>26</v>
      </c>
    </row>
    <row r="1107" spans="1:19" x14ac:dyDescent="0.3">
      <c r="A1107" t="s">
        <v>25190</v>
      </c>
      <c r="B1107" t="s">
        <v>25243</v>
      </c>
      <c r="C1107" t="s">
        <v>25533</v>
      </c>
      <c r="D1107" t="s">
        <v>25197</v>
      </c>
      <c r="E1107" t="s">
        <v>25299</v>
      </c>
      <c r="F1107" t="s">
        <v>25299</v>
      </c>
      <c r="G1107" t="s">
        <v>25299</v>
      </c>
      <c r="H1107" t="s">
        <v>51</v>
      </c>
      <c r="I1107" t="s">
        <v>52</v>
      </c>
      <c r="J1107" t="str">
        <f>"1901194"</f>
        <v>1901194</v>
      </c>
      <c r="K1107">
        <v>2310413646</v>
      </c>
      <c r="L1107">
        <v>2310413646</v>
      </c>
      <c r="M1107" t="s">
        <v>25534</v>
      </c>
      <c r="N1107" t="s">
        <v>25535</v>
      </c>
      <c r="O1107" t="s">
        <v>25332</v>
      </c>
      <c r="P1107">
        <v>55131</v>
      </c>
      <c r="Q1107" t="str">
        <f>"40.586702"</f>
        <v>40.586702</v>
      </c>
      <c r="R1107" t="str">
        <f>"22.940746"</f>
        <v>22.940746</v>
      </c>
      <c r="S1107" t="s">
        <v>26</v>
      </c>
    </row>
    <row r="1108" spans="1:19" x14ac:dyDescent="0.3">
      <c r="A1108" t="s">
        <v>25190</v>
      </c>
      <c r="B1108" t="s">
        <v>25243</v>
      </c>
      <c r="C1108" t="s">
        <v>25536</v>
      </c>
      <c r="D1108" t="s">
        <v>25197</v>
      </c>
      <c r="E1108" t="s">
        <v>25264</v>
      </c>
      <c r="F1108" t="s">
        <v>25265</v>
      </c>
      <c r="G1108" t="s">
        <v>25265</v>
      </c>
      <c r="H1108" t="s">
        <v>51</v>
      </c>
      <c r="I1108" t="s">
        <v>52</v>
      </c>
      <c r="J1108" t="str">
        <f>"1901052"</f>
        <v>1901052</v>
      </c>
      <c r="K1108">
        <v>2310948320</v>
      </c>
      <c r="L1108">
        <v>2310988112</v>
      </c>
      <c r="M1108" t="s">
        <v>25537</v>
      </c>
      <c r="N1108" t="s">
        <v>25265</v>
      </c>
      <c r="O1108" t="s">
        <v>25538</v>
      </c>
      <c r="P1108">
        <v>55534</v>
      </c>
      <c r="Q1108" t="str">
        <f>"40.611469"</f>
        <v>40.611469</v>
      </c>
      <c r="R1108" t="str">
        <f>"22.994982"</f>
        <v>22.994982</v>
      </c>
      <c r="S1108" t="s">
        <v>26</v>
      </c>
    </row>
    <row r="1109" spans="1:19" x14ac:dyDescent="0.3">
      <c r="A1109" t="s">
        <v>25190</v>
      </c>
      <c r="B1109" t="s">
        <v>25243</v>
      </c>
      <c r="C1109" t="s">
        <v>25539</v>
      </c>
      <c r="D1109" t="s">
        <v>25197</v>
      </c>
      <c r="E1109" t="s">
        <v>25197</v>
      </c>
      <c r="F1109" t="s">
        <v>25197</v>
      </c>
      <c r="G1109" t="s">
        <v>25250</v>
      </c>
      <c r="H1109" t="s">
        <v>51</v>
      </c>
      <c r="I1109" t="s">
        <v>52</v>
      </c>
      <c r="J1109" t="str">
        <f>"1901110"</f>
        <v>1901110</v>
      </c>
      <c r="K1109">
        <v>2310429199</v>
      </c>
      <c r="L1109">
        <v>2310429199</v>
      </c>
      <c r="M1109" t="s">
        <v>25540</v>
      </c>
      <c r="N1109" t="s">
        <v>25247</v>
      </c>
      <c r="O1109" t="s">
        <v>25541</v>
      </c>
      <c r="P1109">
        <v>54655</v>
      </c>
      <c r="Q1109" t="str">
        <f>"40.595132"</f>
        <v>40.595132</v>
      </c>
      <c r="R1109" t="str">
        <f>"22.953858"</f>
        <v>22.953858</v>
      </c>
      <c r="S1109" t="s">
        <v>26</v>
      </c>
    </row>
    <row r="1110" spans="1:19" x14ac:dyDescent="0.3">
      <c r="A1110" t="s">
        <v>25190</v>
      </c>
      <c r="B1110" t="s">
        <v>25243</v>
      </c>
      <c r="C1110" t="s">
        <v>25542</v>
      </c>
      <c r="D1110" t="s">
        <v>25197</v>
      </c>
      <c r="E1110" t="s">
        <v>25198</v>
      </c>
      <c r="F1110" t="s">
        <v>25198</v>
      </c>
      <c r="G1110" t="s">
        <v>25198</v>
      </c>
      <c r="H1110" t="s">
        <v>51</v>
      </c>
      <c r="I1110" t="s">
        <v>52</v>
      </c>
      <c r="J1110" t="str">
        <f>"1919015"</f>
        <v>1919015</v>
      </c>
      <c r="K1110">
        <v>2310465620</v>
      </c>
      <c r="L1110">
        <v>2310486218</v>
      </c>
      <c r="M1110" t="s">
        <v>25543</v>
      </c>
      <c r="N1110" t="s">
        <v>25201</v>
      </c>
      <c r="O1110" t="s">
        <v>25544</v>
      </c>
      <c r="P1110">
        <v>57001</v>
      </c>
      <c r="Q1110" t="str">
        <f>"40.512308"</f>
        <v>40.512308</v>
      </c>
      <c r="R1110" t="str">
        <f>"22.989849"</f>
        <v>22.989849</v>
      </c>
      <c r="S1110" t="s">
        <v>26</v>
      </c>
    </row>
    <row r="1111" spans="1:19" x14ac:dyDescent="0.3">
      <c r="A1111" t="s">
        <v>25190</v>
      </c>
      <c r="B1111" t="s">
        <v>25243</v>
      </c>
      <c r="C1111" t="s">
        <v>25546</v>
      </c>
      <c r="D1111" t="s">
        <v>25197</v>
      </c>
      <c r="E1111" t="s">
        <v>25264</v>
      </c>
      <c r="F1111" t="s">
        <v>25265</v>
      </c>
      <c r="G1111" t="s">
        <v>25265</v>
      </c>
      <c r="H1111" t="s">
        <v>51</v>
      </c>
      <c r="I1111" t="s">
        <v>52</v>
      </c>
      <c r="J1111" t="str">
        <f>"1901051"</f>
        <v>1901051</v>
      </c>
      <c r="K1111">
        <v>2310322232</v>
      </c>
      <c r="L1111">
        <v>2310322232</v>
      </c>
      <c r="M1111" t="s">
        <v>25547</v>
      </c>
      <c r="N1111" t="s">
        <v>25548</v>
      </c>
      <c r="O1111" t="s">
        <v>25444</v>
      </c>
      <c r="P1111">
        <v>55535</v>
      </c>
      <c r="Q1111" t="str">
        <f>"40.593576"</f>
        <v>40.593576</v>
      </c>
      <c r="R1111" t="str">
        <f>"22.983531"</f>
        <v>22.983531</v>
      </c>
      <c r="S1111" t="s">
        <v>26</v>
      </c>
    </row>
    <row r="1112" spans="1:19" x14ac:dyDescent="0.3">
      <c r="A1112" t="s">
        <v>25190</v>
      </c>
      <c r="B1112" t="s">
        <v>25243</v>
      </c>
      <c r="C1112" t="s">
        <v>25550</v>
      </c>
      <c r="D1112" t="s">
        <v>25197</v>
      </c>
      <c r="E1112" t="s">
        <v>25264</v>
      </c>
      <c r="F1112" t="s">
        <v>25270</v>
      </c>
      <c r="G1112" t="s">
        <v>25549</v>
      </c>
      <c r="H1112" t="s">
        <v>51</v>
      </c>
      <c r="I1112" t="s">
        <v>52</v>
      </c>
      <c r="J1112" t="str">
        <f>"1909015"</f>
        <v>1909015</v>
      </c>
      <c r="K1112">
        <v>2310677995</v>
      </c>
      <c r="L1112">
        <v>2310677995</v>
      </c>
      <c r="M1112" t="s">
        <v>25551</v>
      </c>
      <c r="N1112" t="s">
        <v>25552</v>
      </c>
      <c r="O1112" t="s">
        <v>25553</v>
      </c>
      <c r="P1112">
        <v>57010</v>
      </c>
      <c r="Q1112" t="str">
        <f>"40.690638"</f>
        <v>40.690638</v>
      </c>
      <c r="R1112" t="str">
        <f>"23.010403"</f>
        <v>23.010403</v>
      </c>
      <c r="S1112" t="s">
        <v>26</v>
      </c>
    </row>
    <row r="1113" spans="1:19" x14ac:dyDescent="0.3">
      <c r="A1113" t="s">
        <v>25190</v>
      </c>
      <c r="B1113" t="s">
        <v>25243</v>
      </c>
      <c r="C1113" t="s">
        <v>25555</v>
      </c>
      <c r="D1113" t="s">
        <v>25197</v>
      </c>
      <c r="E1113" t="s">
        <v>25197</v>
      </c>
      <c r="F1113" t="s">
        <v>25197</v>
      </c>
      <c r="G1113" t="s">
        <v>25255</v>
      </c>
      <c r="H1113" t="s">
        <v>51</v>
      </c>
      <c r="I1113" t="s">
        <v>52</v>
      </c>
      <c r="J1113" t="str">
        <f>"1901177"</f>
        <v>1901177</v>
      </c>
      <c r="K1113">
        <v>2310835515</v>
      </c>
      <c r="L1113">
        <v>2310835515</v>
      </c>
      <c r="M1113" t="s">
        <v>25556</v>
      </c>
      <c r="N1113" t="s">
        <v>25247</v>
      </c>
      <c r="O1113" t="s">
        <v>25262</v>
      </c>
      <c r="P1113">
        <v>54640</v>
      </c>
      <c r="Q1113" t="str">
        <f>"40.622083"</f>
        <v>40.622083</v>
      </c>
      <c r="R1113" t="str">
        <f>"22.952355"</f>
        <v>22.952355</v>
      </c>
      <c r="S1113" t="s">
        <v>26</v>
      </c>
    </row>
    <row r="1114" spans="1:19" x14ac:dyDescent="0.3">
      <c r="A1114" t="s">
        <v>25190</v>
      </c>
      <c r="B1114" t="s">
        <v>25243</v>
      </c>
      <c r="C1114" t="s">
        <v>25557</v>
      </c>
      <c r="D1114" t="s">
        <v>25197</v>
      </c>
      <c r="E1114" t="s">
        <v>25198</v>
      </c>
      <c r="F1114" t="s">
        <v>25317</v>
      </c>
      <c r="G1114" t="s">
        <v>25317</v>
      </c>
      <c r="H1114" t="s">
        <v>51</v>
      </c>
      <c r="I1114" t="s">
        <v>52</v>
      </c>
      <c r="J1114" t="str">
        <f>"1902010"</f>
        <v>1902010</v>
      </c>
      <c r="K1114">
        <v>2396022568</v>
      </c>
      <c r="L1114">
        <v>2396022935</v>
      </c>
      <c r="M1114" t="s">
        <v>25558</v>
      </c>
      <c r="N1114" t="s">
        <v>12243</v>
      </c>
      <c r="O1114" t="s">
        <v>25559</v>
      </c>
      <c r="P1114">
        <v>57006</v>
      </c>
      <c r="Q1114" t="str">
        <f>"40.481925"</f>
        <v>40.481925</v>
      </c>
      <c r="R1114" t="str">
        <f>"23.123935"</f>
        <v>23.123935</v>
      </c>
      <c r="S1114" t="s">
        <v>26</v>
      </c>
    </row>
    <row r="1115" spans="1:19" x14ac:dyDescent="0.3">
      <c r="A1115" t="s">
        <v>25190</v>
      </c>
      <c r="B1115" t="s">
        <v>25243</v>
      </c>
      <c r="C1115" t="s">
        <v>25560</v>
      </c>
      <c r="D1115" t="s">
        <v>25197</v>
      </c>
      <c r="E1115" t="s">
        <v>25197</v>
      </c>
      <c r="F1115" t="s">
        <v>25197</v>
      </c>
      <c r="G1115" t="s">
        <v>25255</v>
      </c>
      <c r="H1115" t="s">
        <v>51</v>
      </c>
      <c r="I1115" t="s">
        <v>52</v>
      </c>
      <c r="J1115" t="str">
        <f>"1901120"</f>
        <v>1901120</v>
      </c>
      <c r="K1115">
        <v>2310278930</v>
      </c>
      <c r="L1115">
        <v>2310278458</v>
      </c>
      <c r="M1115" t="s">
        <v>25561</v>
      </c>
      <c r="N1115" t="s">
        <v>25247</v>
      </c>
      <c r="O1115" t="s">
        <v>25380</v>
      </c>
      <c r="P1115">
        <v>54623</v>
      </c>
      <c r="Q1115" t="str">
        <f>"40.633131"</f>
        <v>40.633131</v>
      </c>
      <c r="R1115" t="str">
        <f>"22.944169"</f>
        <v>22.944169</v>
      </c>
      <c r="S1115" t="s">
        <v>26</v>
      </c>
    </row>
    <row r="1116" spans="1:19" x14ac:dyDescent="0.3">
      <c r="A1116" t="s">
        <v>25190</v>
      </c>
      <c r="B1116" t="s">
        <v>25243</v>
      </c>
      <c r="C1116" t="s">
        <v>25562</v>
      </c>
      <c r="D1116" t="s">
        <v>25197</v>
      </c>
      <c r="E1116" t="s">
        <v>25197</v>
      </c>
      <c r="F1116" t="s">
        <v>25197</v>
      </c>
      <c r="G1116" t="s">
        <v>25283</v>
      </c>
      <c r="H1116" t="s">
        <v>51</v>
      </c>
      <c r="I1116" t="s">
        <v>52</v>
      </c>
      <c r="J1116" t="str">
        <f>"1901203"</f>
        <v>1901203</v>
      </c>
      <c r="K1116">
        <v>2310939550</v>
      </c>
      <c r="L1116">
        <v>2310939550</v>
      </c>
      <c r="M1116" t="s">
        <v>25563</v>
      </c>
      <c r="N1116" t="s">
        <v>25564</v>
      </c>
      <c r="O1116" t="s">
        <v>25286</v>
      </c>
      <c r="P1116">
        <v>54453</v>
      </c>
      <c r="Q1116" t="str">
        <f>"40.612537"</f>
        <v>40.612537</v>
      </c>
      <c r="R1116" t="str">
        <f>"22.966411"</f>
        <v>22.966411</v>
      </c>
      <c r="S1116" t="s">
        <v>26</v>
      </c>
    </row>
    <row r="1117" spans="1:19" x14ac:dyDescent="0.3">
      <c r="A1117" t="s">
        <v>25190</v>
      </c>
      <c r="B1117" t="s">
        <v>25243</v>
      </c>
      <c r="C1117" t="s">
        <v>25565</v>
      </c>
      <c r="D1117" t="s">
        <v>25197</v>
      </c>
      <c r="E1117" t="s">
        <v>25197</v>
      </c>
      <c r="F1117" t="s">
        <v>25197</v>
      </c>
      <c r="G1117" t="s">
        <v>25250</v>
      </c>
      <c r="H1117" t="s">
        <v>51</v>
      </c>
      <c r="I1117" t="s">
        <v>52</v>
      </c>
      <c r="J1117" t="str">
        <f>"1901240"</f>
        <v>1901240</v>
      </c>
      <c r="K1117">
        <v>2310308445</v>
      </c>
      <c r="L1117">
        <v>2310302996</v>
      </c>
      <c r="M1117" t="s">
        <v>25566</v>
      </c>
      <c r="N1117" t="s">
        <v>25247</v>
      </c>
      <c r="O1117" t="s">
        <v>25471</v>
      </c>
      <c r="P1117">
        <v>54250</v>
      </c>
      <c r="Q1117" t="str">
        <f>"40.605407"</f>
        <v>40.605407</v>
      </c>
      <c r="R1117" t="str">
        <f>"22.969039"</f>
        <v>22.969039</v>
      </c>
      <c r="S1117" t="s">
        <v>26</v>
      </c>
    </row>
    <row r="1118" spans="1:19" x14ac:dyDescent="0.3">
      <c r="A1118" t="s">
        <v>25190</v>
      </c>
      <c r="B1118" t="s">
        <v>25243</v>
      </c>
      <c r="C1118" t="s">
        <v>25567</v>
      </c>
      <c r="D1118" t="s">
        <v>25197</v>
      </c>
      <c r="E1118" t="s">
        <v>25299</v>
      </c>
      <c r="F1118" t="s">
        <v>25299</v>
      </c>
      <c r="G1118" t="s">
        <v>25299</v>
      </c>
      <c r="H1118" t="s">
        <v>51</v>
      </c>
      <c r="I1118" t="s">
        <v>52</v>
      </c>
      <c r="J1118" t="str">
        <f>"1901012"</f>
        <v>1901012</v>
      </c>
      <c r="K1118">
        <v>2310439365</v>
      </c>
      <c r="L1118">
        <v>2310439365</v>
      </c>
      <c r="M1118" t="s">
        <v>25568</v>
      </c>
      <c r="N1118" t="s">
        <v>25331</v>
      </c>
      <c r="O1118" t="s">
        <v>25376</v>
      </c>
      <c r="P1118">
        <v>55132</v>
      </c>
      <c r="Q1118" t="str">
        <f>"40.574563"</f>
        <v>40.574563</v>
      </c>
      <c r="R1118" t="str">
        <f>"22.956145"</f>
        <v>22.956145</v>
      </c>
      <c r="S1118" t="s">
        <v>26</v>
      </c>
    </row>
    <row r="1119" spans="1:19" x14ac:dyDescent="0.3">
      <c r="A1119" t="s">
        <v>25190</v>
      </c>
      <c r="B1119" t="s">
        <v>25243</v>
      </c>
      <c r="C1119" t="s">
        <v>25569</v>
      </c>
      <c r="D1119" t="s">
        <v>25197</v>
      </c>
      <c r="E1119" t="s">
        <v>25299</v>
      </c>
      <c r="F1119" t="s">
        <v>25299</v>
      </c>
      <c r="G1119" t="s">
        <v>25299</v>
      </c>
      <c r="H1119" t="s">
        <v>51</v>
      </c>
      <c r="I1119" t="s">
        <v>52</v>
      </c>
      <c r="J1119" t="str">
        <f>"1901013"</f>
        <v>1901013</v>
      </c>
      <c r="K1119">
        <v>2310426480</v>
      </c>
      <c r="L1119">
        <v>2310403514</v>
      </c>
      <c r="M1119" t="s">
        <v>25570</v>
      </c>
      <c r="N1119" t="s">
        <v>25331</v>
      </c>
      <c r="O1119" t="s">
        <v>25571</v>
      </c>
      <c r="P1119">
        <v>55133</v>
      </c>
      <c r="Q1119" t="str">
        <f>"40.589993"</f>
        <v>40.589993</v>
      </c>
      <c r="R1119" t="str">
        <f>"22.955490"</f>
        <v>22.955490</v>
      </c>
      <c r="S1119" t="s">
        <v>26</v>
      </c>
    </row>
    <row r="1120" spans="1:19" x14ac:dyDescent="0.3">
      <c r="A1120" t="s">
        <v>25190</v>
      </c>
      <c r="B1120" t="s">
        <v>25243</v>
      </c>
      <c r="C1120" t="s">
        <v>25572</v>
      </c>
      <c r="D1120" t="s">
        <v>25197</v>
      </c>
      <c r="E1120" t="s">
        <v>25197</v>
      </c>
      <c r="F1120" t="s">
        <v>25197</v>
      </c>
      <c r="G1120" t="s">
        <v>25250</v>
      </c>
      <c r="H1120" t="s">
        <v>51</v>
      </c>
      <c r="I1120" t="s">
        <v>52</v>
      </c>
      <c r="J1120" t="str">
        <f>"1901160"</f>
        <v>1901160</v>
      </c>
      <c r="K1120">
        <v>2310411534</v>
      </c>
      <c r="L1120">
        <v>2310411534</v>
      </c>
      <c r="M1120" t="s">
        <v>25573</v>
      </c>
      <c r="N1120" t="s">
        <v>25247</v>
      </c>
      <c r="O1120" t="s">
        <v>25386</v>
      </c>
      <c r="P1120">
        <v>54646</v>
      </c>
      <c r="Q1120" t="str">
        <f>"40.599183"</f>
        <v>40.599183</v>
      </c>
      <c r="R1120" t="str">
        <f>"22.956552"</f>
        <v>22.956552</v>
      </c>
      <c r="S1120" t="s">
        <v>26</v>
      </c>
    </row>
    <row r="1121" spans="1:19" x14ac:dyDescent="0.3">
      <c r="A1121" t="s">
        <v>25190</v>
      </c>
      <c r="B1121" t="s">
        <v>25243</v>
      </c>
      <c r="C1121" t="s">
        <v>25577</v>
      </c>
      <c r="D1121" t="s">
        <v>25197</v>
      </c>
      <c r="E1121" t="s">
        <v>25197</v>
      </c>
      <c r="F1121" t="s">
        <v>25197</v>
      </c>
      <c r="G1121" t="s">
        <v>25255</v>
      </c>
      <c r="H1121" t="s">
        <v>51</v>
      </c>
      <c r="I1121" t="s">
        <v>52</v>
      </c>
      <c r="J1121" t="str">
        <f>"1901259"</f>
        <v>1901259</v>
      </c>
      <c r="K1121">
        <v>2310206819</v>
      </c>
      <c r="L1121">
        <v>2310212467</v>
      </c>
      <c r="M1121" t="s">
        <v>25578</v>
      </c>
      <c r="N1121" t="s">
        <v>25247</v>
      </c>
      <c r="O1121" t="s">
        <v>25480</v>
      </c>
      <c r="P1121">
        <v>54636</v>
      </c>
      <c r="Q1121" t="str">
        <f>"40.630980"</f>
        <v>40.630980</v>
      </c>
      <c r="R1121" t="str">
        <f>"22.964875"</f>
        <v>22.964875</v>
      </c>
      <c r="S1121" t="s">
        <v>26</v>
      </c>
    </row>
    <row r="1122" spans="1:19" x14ac:dyDescent="0.3">
      <c r="A1122" t="s">
        <v>25190</v>
      </c>
      <c r="B1122" t="s">
        <v>25243</v>
      </c>
      <c r="C1122" t="s">
        <v>25580</v>
      </c>
      <c r="D1122" t="s">
        <v>25197</v>
      </c>
      <c r="E1122" t="s">
        <v>25198</v>
      </c>
      <c r="F1122" t="s">
        <v>25198</v>
      </c>
      <c r="G1122" t="s">
        <v>25198</v>
      </c>
      <c r="H1122" t="s">
        <v>51</v>
      </c>
      <c r="I1122" t="s">
        <v>52</v>
      </c>
      <c r="J1122" t="str">
        <f>"1919010"</f>
        <v>1919010</v>
      </c>
      <c r="K1122">
        <v>2310461733</v>
      </c>
      <c r="L1122">
        <v>2310465037</v>
      </c>
      <c r="M1122" t="s">
        <v>25581</v>
      </c>
      <c r="N1122" t="s">
        <v>25394</v>
      </c>
      <c r="O1122" t="s">
        <v>25582</v>
      </c>
      <c r="P1122">
        <v>57001</v>
      </c>
      <c r="Q1122" t="str">
        <f>"40.548992"</f>
        <v>40.548992</v>
      </c>
      <c r="R1122" t="str">
        <f>"23.013753"</f>
        <v>23.013753</v>
      </c>
      <c r="S1122" t="s">
        <v>26</v>
      </c>
    </row>
    <row r="1123" spans="1:19" x14ac:dyDescent="0.3">
      <c r="A1123" t="s">
        <v>25190</v>
      </c>
      <c r="B1123" t="s">
        <v>25243</v>
      </c>
      <c r="C1123" t="s">
        <v>25583</v>
      </c>
      <c r="D1123" t="s">
        <v>25197</v>
      </c>
      <c r="E1123" t="s">
        <v>25264</v>
      </c>
      <c r="F1123" t="s">
        <v>25265</v>
      </c>
      <c r="G1123" t="s">
        <v>25265</v>
      </c>
      <c r="H1123" t="s">
        <v>51</v>
      </c>
      <c r="I1123" t="s">
        <v>190</v>
      </c>
      <c r="J1123" t="str">
        <f>"1901232"</f>
        <v>1901232</v>
      </c>
      <c r="K1123">
        <v>2310300828</v>
      </c>
      <c r="L1123">
        <v>2310300630</v>
      </c>
      <c r="M1123" t="s">
        <v>25584</v>
      </c>
      <c r="N1123" t="s">
        <v>25345</v>
      </c>
      <c r="O1123" t="s">
        <v>25585</v>
      </c>
      <c r="P1123">
        <v>55535</v>
      </c>
      <c r="Q1123" t="str">
        <f>"40.592798"</f>
        <v>40.592798</v>
      </c>
      <c r="R1123" t="str">
        <f>"22.986298"</f>
        <v>22.986298</v>
      </c>
      <c r="S1123" t="s">
        <v>26</v>
      </c>
    </row>
    <row r="1124" spans="1:19" x14ac:dyDescent="0.3">
      <c r="A1124" t="s">
        <v>25190</v>
      </c>
      <c r="B1124" t="s">
        <v>25243</v>
      </c>
      <c r="C1124" t="s">
        <v>25586</v>
      </c>
      <c r="D1124" t="s">
        <v>25197</v>
      </c>
      <c r="E1124" t="s">
        <v>25197</v>
      </c>
      <c r="F1124" t="s">
        <v>25197</v>
      </c>
      <c r="G1124" t="s">
        <v>25255</v>
      </c>
      <c r="H1124" t="s">
        <v>51</v>
      </c>
      <c r="I1124" t="s">
        <v>52</v>
      </c>
      <c r="J1124" t="str">
        <f>"1901100"</f>
        <v>1901100</v>
      </c>
      <c r="K1124">
        <v>2310262721</v>
      </c>
      <c r="L1124">
        <v>2310262721</v>
      </c>
      <c r="M1124" t="s">
        <v>25587</v>
      </c>
      <c r="N1124" t="s">
        <v>25247</v>
      </c>
      <c r="O1124" t="s">
        <v>25303</v>
      </c>
      <c r="P1124">
        <v>54635</v>
      </c>
      <c r="Q1124" t="str">
        <f>"40.632738"</f>
        <v>40.632738</v>
      </c>
      <c r="R1124" t="str">
        <f>"22.949929"</f>
        <v>22.949929</v>
      </c>
      <c r="S1124" t="s">
        <v>26</v>
      </c>
    </row>
    <row r="1125" spans="1:19" x14ac:dyDescent="0.3">
      <c r="A1125" t="s">
        <v>25190</v>
      </c>
      <c r="B1125" t="s">
        <v>25243</v>
      </c>
      <c r="C1125" t="s">
        <v>25589</v>
      </c>
      <c r="D1125" t="s">
        <v>25197</v>
      </c>
      <c r="E1125" t="s">
        <v>25299</v>
      </c>
      <c r="F1125" t="s">
        <v>25299</v>
      </c>
      <c r="G1125" t="s">
        <v>25299</v>
      </c>
      <c r="H1125" t="s">
        <v>51</v>
      </c>
      <c r="I1125" t="s">
        <v>52</v>
      </c>
      <c r="J1125" t="str">
        <f>"1901080"</f>
        <v>1901080</v>
      </c>
      <c r="K1125">
        <v>2310433701</v>
      </c>
      <c r="L1125">
        <v>2310431620</v>
      </c>
      <c r="M1125" t="s">
        <v>25590</v>
      </c>
      <c r="N1125" t="s">
        <v>25331</v>
      </c>
      <c r="O1125" t="s">
        <v>25591</v>
      </c>
      <c r="P1125">
        <v>55134</v>
      </c>
      <c r="Q1125" t="str">
        <f>"40.586587"</f>
        <v>40.586587</v>
      </c>
      <c r="R1125" t="str">
        <f>"22.967273"</f>
        <v>22.967273</v>
      </c>
      <c r="S1125" t="s">
        <v>26</v>
      </c>
    </row>
    <row r="1126" spans="1:19" x14ac:dyDescent="0.3">
      <c r="A1126" t="s">
        <v>25190</v>
      </c>
      <c r="B1126" t="s">
        <v>25243</v>
      </c>
      <c r="C1126" t="s">
        <v>25592</v>
      </c>
      <c r="D1126" t="s">
        <v>25197</v>
      </c>
      <c r="E1126" t="s">
        <v>25299</v>
      </c>
      <c r="F1126" t="s">
        <v>25299</v>
      </c>
      <c r="G1126" t="s">
        <v>25299</v>
      </c>
      <c r="H1126" t="s">
        <v>51</v>
      </c>
      <c r="I1126" t="s">
        <v>52</v>
      </c>
      <c r="J1126" t="str">
        <f>"1901014"</f>
        <v>1901014</v>
      </c>
      <c r="K1126">
        <v>2310413171</v>
      </c>
      <c r="L1126">
        <v>2310403311</v>
      </c>
      <c r="M1126" t="s">
        <v>25593</v>
      </c>
      <c r="N1126" t="s">
        <v>25331</v>
      </c>
      <c r="O1126" t="s">
        <v>25367</v>
      </c>
      <c r="P1126">
        <v>55133</v>
      </c>
      <c r="Q1126" t="str">
        <f>"40.588405"</f>
        <v>40.588405</v>
      </c>
      <c r="R1126" t="str">
        <f>"22.953910"</f>
        <v>22.953910</v>
      </c>
      <c r="S1126" t="s">
        <v>26</v>
      </c>
    </row>
    <row r="1127" spans="1:19" x14ac:dyDescent="0.3">
      <c r="A1127" t="s">
        <v>25190</v>
      </c>
      <c r="B1127" t="s">
        <v>25243</v>
      </c>
      <c r="C1127" t="s">
        <v>25594</v>
      </c>
      <c r="D1127" t="s">
        <v>25197</v>
      </c>
      <c r="E1127" t="s">
        <v>25197</v>
      </c>
      <c r="F1127" t="s">
        <v>25197</v>
      </c>
      <c r="G1127" t="s">
        <v>25244</v>
      </c>
      <c r="H1127" t="s">
        <v>51</v>
      </c>
      <c r="I1127" t="s">
        <v>52</v>
      </c>
      <c r="J1127" t="str">
        <f>"1901030"</f>
        <v>1901030</v>
      </c>
      <c r="K1127">
        <v>2310207353</v>
      </c>
      <c r="L1127">
        <v>2310207353</v>
      </c>
      <c r="M1127" t="s">
        <v>25595</v>
      </c>
      <c r="N1127" t="s">
        <v>25247</v>
      </c>
      <c r="O1127" t="s">
        <v>25596</v>
      </c>
      <c r="P1127">
        <v>54634</v>
      </c>
      <c r="Q1127" t="str">
        <f>"40.636132"</f>
        <v>40.636132</v>
      </c>
      <c r="R1127" t="str">
        <f>"22.954976"</f>
        <v>22.954976</v>
      </c>
      <c r="S1127" t="s">
        <v>26</v>
      </c>
    </row>
    <row r="1128" spans="1:19" x14ac:dyDescent="0.3">
      <c r="A1128" t="s">
        <v>25190</v>
      </c>
      <c r="B1128" t="s">
        <v>25243</v>
      </c>
      <c r="C1128" t="s">
        <v>25597</v>
      </c>
      <c r="D1128" t="s">
        <v>25197</v>
      </c>
      <c r="E1128" t="s">
        <v>25299</v>
      </c>
      <c r="F1128" t="s">
        <v>25299</v>
      </c>
      <c r="G1128" t="s">
        <v>25299</v>
      </c>
      <c r="H1128" t="s">
        <v>51</v>
      </c>
      <c r="I1128" t="s">
        <v>52</v>
      </c>
      <c r="J1128" t="str">
        <f>"1901016"</f>
        <v>1901016</v>
      </c>
      <c r="K1128">
        <v>2310457613</v>
      </c>
      <c r="L1128">
        <v>2310457613</v>
      </c>
      <c r="M1128" t="s">
        <v>25598</v>
      </c>
      <c r="N1128" t="s">
        <v>25340</v>
      </c>
      <c r="O1128" t="s">
        <v>25599</v>
      </c>
      <c r="P1128">
        <v>55132</v>
      </c>
      <c r="Q1128" t="str">
        <f>"40.576592"</f>
        <v>40.576592</v>
      </c>
      <c r="R1128" t="str">
        <f>"22.962342"</f>
        <v>22.962342</v>
      </c>
      <c r="S1128" t="s">
        <v>26</v>
      </c>
    </row>
    <row r="1129" spans="1:19" x14ac:dyDescent="0.3">
      <c r="A1129" t="s">
        <v>25190</v>
      </c>
      <c r="B1129" t="s">
        <v>25243</v>
      </c>
      <c r="C1129" t="s">
        <v>25603</v>
      </c>
      <c r="D1129" t="s">
        <v>25197</v>
      </c>
      <c r="E1129" t="s">
        <v>25299</v>
      </c>
      <c r="F1129" t="s">
        <v>25299</v>
      </c>
      <c r="G1129" t="s">
        <v>25299</v>
      </c>
      <c r="H1129" t="s">
        <v>51</v>
      </c>
      <c r="I1129" t="s">
        <v>52</v>
      </c>
      <c r="J1129" t="str">
        <f>"1901195"</f>
        <v>1901195</v>
      </c>
      <c r="K1129">
        <v>2310432936</v>
      </c>
      <c r="L1129">
        <v>2310432936</v>
      </c>
      <c r="M1129" t="s">
        <v>25604</v>
      </c>
      <c r="N1129" t="s">
        <v>25375</v>
      </c>
      <c r="O1129" t="s">
        <v>25605</v>
      </c>
      <c r="P1129">
        <v>55132</v>
      </c>
      <c r="Q1129" t="str">
        <f>"40.569730"</f>
        <v>40.569730</v>
      </c>
      <c r="R1129" t="str">
        <f>"22.962299"</f>
        <v>22.962299</v>
      </c>
      <c r="S1129" t="s">
        <v>26</v>
      </c>
    </row>
    <row r="1130" spans="1:19" x14ac:dyDescent="0.3">
      <c r="A1130" t="s">
        <v>25190</v>
      </c>
      <c r="B1130" t="s">
        <v>25243</v>
      </c>
      <c r="C1130" t="s">
        <v>25606</v>
      </c>
      <c r="D1130" t="s">
        <v>25197</v>
      </c>
      <c r="E1130" t="s">
        <v>25293</v>
      </c>
      <c r="F1130" t="s">
        <v>25293</v>
      </c>
      <c r="G1130" t="s">
        <v>25453</v>
      </c>
      <c r="H1130" t="s">
        <v>51</v>
      </c>
      <c r="I1130" t="s">
        <v>52</v>
      </c>
      <c r="J1130" t="str">
        <f>"1901197"</f>
        <v>1901197</v>
      </c>
      <c r="K1130">
        <v>2392024001</v>
      </c>
      <c r="L1130">
        <v>2392024001</v>
      </c>
      <c r="M1130" t="s">
        <v>25607</v>
      </c>
      <c r="N1130" t="s">
        <v>25608</v>
      </c>
      <c r="O1130" t="s">
        <v>25609</v>
      </c>
      <c r="P1130">
        <v>57019</v>
      </c>
      <c r="Q1130" t="str">
        <f>"40.499002"</f>
        <v>40.499002</v>
      </c>
      <c r="R1130" t="str">
        <f>"22.907896"</f>
        <v>22.907896</v>
      </c>
      <c r="S1130" t="s">
        <v>26</v>
      </c>
    </row>
    <row r="1131" spans="1:19" x14ac:dyDescent="0.3">
      <c r="A1131" t="s">
        <v>25190</v>
      </c>
      <c r="B1131" t="s">
        <v>25243</v>
      </c>
      <c r="C1131" t="s">
        <v>25611</v>
      </c>
      <c r="D1131" t="s">
        <v>25197</v>
      </c>
      <c r="E1131" t="s">
        <v>25197</v>
      </c>
      <c r="F1131" t="s">
        <v>25197</v>
      </c>
      <c r="G1131" t="s">
        <v>25255</v>
      </c>
      <c r="H1131" t="s">
        <v>51</v>
      </c>
      <c r="I1131" t="s">
        <v>3708</v>
      </c>
      <c r="J1131" t="str">
        <f>"1901050"</f>
        <v>1901050</v>
      </c>
      <c r="K1131">
        <v>2310819943</v>
      </c>
      <c r="M1131" t="s">
        <v>25612</v>
      </c>
      <c r="N1131" t="s">
        <v>25247</v>
      </c>
      <c r="O1131" t="s">
        <v>25452</v>
      </c>
      <c r="P1131">
        <v>54621</v>
      </c>
      <c r="Q1131" t="str">
        <f>"40.628959"</f>
        <v>40.628959</v>
      </c>
      <c r="R1131" t="str">
        <f>"22.951667"</f>
        <v>22.951667</v>
      </c>
      <c r="S1131" t="s">
        <v>26</v>
      </c>
    </row>
    <row r="1132" spans="1:19" x14ac:dyDescent="0.3">
      <c r="A1132" t="s">
        <v>25190</v>
      </c>
      <c r="B1132" t="s">
        <v>25243</v>
      </c>
      <c r="C1132" t="s">
        <v>25613</v>
      </c>
      <c r="D1132" t="s">
        <v>25197</v>
      </c>
      <c r="E1132" t="s">
        <v>25197</v>
      </c>
      <c r="F1132" t="s">
        <v>25197</v>
      </c>
      <c r="G1132" t="s">
        <v>25283</v>
      </c>
      <c r="H1132" t="s">
        <v>51</v>
      </c>
      <c r="I1132" t="s">
        <v>52</v>
      </c>
      <c r="J1132" t="str">
        <f>"1901207"</f>
        <v>1901207</v>
      </c>
      <c r="K1132">
        <v>2310923916</v>
      </c>
      <c r="L1132">
        <v>2310924569</v>
      </c>
      <c r="M1132" t="s">
        <v>25614</v>
      </c>
      <c r="N1132" t="s">
        <v>25615</v>
      </c>
      <c r="O1132" t="s">
        <v>25616</v>
      </c>
      <c r="P1132">
        <v>54453</v>
      </c>
      <c r="Q1132" t="str">
        <f>"40.615065"</f>
        <v>40.615065</v>
      </c>
      <c r="R1132" t="str">
        <f>"22.971099"</f>
        <v>22.971099</v>
      </c>
      <c r="S1132" t="s">
        <v>26</v>
      </c>
    </row>
    <row r="1133" spans="1:19" x14ac:dyDescent="0.3">
      <c r="A1133" t="s">
        <v>25190</v>
      </c>
      <c r="B1133" t="s">
        <v>25243</v>
      </c>
      <c r="C1133" t="s">
        <v>25617</v>
      </c>
      <c r="D1133" t="s">
        <v>25197</v>
      </c>
      <c r="E1133" t="s">
        <v>25197</v>
      </c>
      <c r="F1133" t="s">
        <v>25197</v>
      </c>
      <c r="G1133" t="s">
        <v>25283</v>
      </c>
      <c r="H1133" t="s">
        <v>51</v>
      </c>
      <c r="I1133" t="s">
        <v>52</v>
      </c>
      <c r="J1133" t="str">
        <f>"1919020"</f>
        <v>1919020</v>
      </c>
      <c r="K1133">
        <v>2310906600</v>
      </c>
      <c r="L1133">
        <v>2310906610</v>
      </c>
      <c r="M1133" t="s">
        <v>25618</v>
      </c>
      <c r="N1133" t="s">
        <v>25247</v>
      </c>
      <c r="O1133" t="s">
        <v>25619</v>
      </c>
      <c r="P1133">
        <v>54352</v>
      </c>
      <c r="Q1133" t="str">
        <f>"40.612241"</f>
        <v>40.612241</v>
      </c>
      <c r="R1133" t="str">
        <f>"22.983555"</f>
        <v>22.983555</v>
      </c>
      <c r="S1133" t="s">
        <v>26</v>
      </c>
    </row>
    <row r="1134" spans="1:19" x14ac:dyDescent="0.3">
      <c r="A1134" t="s">
        <v>25190</v>
      </c>
      <c r="B1134" t="s">
        <v>25243</v>
      </c>
      <c r="C1134" t="s">
        <v>25620</v>
      </c>
      <c r="D1134" t="s">
        <v>25197</v>
      </c>
      <c r="E1134" t="s">
        <v>25197</v>
      </c>
      <c r="F1134" t="s">
        <v>25197</v>
      </c>
      <c r="G1134" t="s">
        <v>25235</v>
      </c>
      <c r="H1134" t="s">
        <v>51</v>
      </c>
      <c r="I1134" t="s">
        <v>52</v>
      </c>
      <c r="J1134" t="str">
        <f>"1901182"</f>
        <v>1901182</v>
      </c>
      <c r="K1134">
        <v>2310521350</v>
      </c>
      <c r="L1134">
        <v>2310521350</v>
      </c>
      <c r="M1134" t="s">
        <v>25621</v>
      </c>
      <c r="N1134" t="s">
        <v>25247</v>
      </c>
      <c r="O1134" t="s">
        <v>25350</v>
      </c>
      <c r="P1134">
        <v>54629</v>
      </c>
      <c r="Q1134" t="str">
        <f>"40.645478"</f>
        <v>40.645478</v>
      </c>
      <c r="R1134" t="str">
        <f>"22.932790"</f>
        <v>22.932790</v>
      </c>
      <c r="S1134" t="s">
        <v>26</v>
      </c>
    </row>
    <row r="1135" spans="1:19" x14ac:dyDescent="0.3">
      <c r="A1135" t="s">
        <v>25190</v>
      </c>
      <c r="B1135" t="s">
        <v>25243</v>
      </c>
      <c r="C1135" t="s">
        <v>25622</v>
      </c>
      <c r="D1135" t="s">
        <v>25197</v>
      </c>
      <c r="E1135" t="s">
        <v>25197</v>
      </c>
      <c r="F1135" t="s">
        <v>25197</v>
      </c>
      <c r="G1135" t="s">
        <v>25250</v>
      </c>
      <c r="H1135" t="s">
        <v>51</v>
      </c>
      <c r="I1135" t="s">
        <v>52</v>
      </c>
      <c r="J1135" t="str">
        <f>"1901178"</f>
        <v>1901178</v>
      </c>
      <c r="K1135">
        <v>2310821831</v>
      </c>
      <c r="L1135">
        <v>2310810180</v>
      </c>
      <c r="M1135" t="s">
        <v>25623</v>
      </c>
      <c r="N1135" t="s">
        <v>25247</v>
      </c>
      <c r="O1135" t="s">
        <v>25624</v>
      </c>
      <c r="P1135">
        <v>54643</v>
      </c>
      <c r="Q1135" t="str">
        <f>"40.604611"</f>
        <v>40.604611</v>
      </c>
      <c r="R1135" t="str">
        <f>"22.957612"</f>
        <v>22.957612</v>
      </c>
      <c r="S1135" t="s">
        <v>26</v>
      </c>
    </row>
    <row r="1136" spans="1:19" x14ac:dyDescent="0.3">
      <c r="A1136" t="s">
        <v>25190</v>
      </c>
      <c r="B1136" t="s">
        <v>25243</v>
      </c>
      <c r="C1136" t="s">
        <v>25626</v>
      </c>
      <c r="D1136" t="s">
        <v>25197</v>
      </c>
      <c r="E1136" t="s">
        <v>25197</v>
      </c>
      <c r="F1136" t="s">
        <v>25352</v>
      </c>
      <c r="G1136" t="s">
        <v>25352</v>
      </c>
      <c r="H1136" t="s">
        <v>51</v>
      </c>
      <c r="I1136" t="s">
        <v>52</v>
      </c>
      <c r="J1136" t="str">
        <f>"1901196"</f>
        <v>1901196</v>
      </c>
      <c r="K1136">
        <v>2310924800</v>
      </c>
      <c r="L1136">
        <v>2310924800</v>
      </c>
      <c r="M1136" t="s">
        <v>25627</v>
      </c>
      <c r="N1136" t="s">
        <v>25355</v>
      </c>
      <c r="O1136" t="s">
        <v>25628</v>
      </c>
      <c r="P1136">
        <v>55337</v>
      </c>
      <c r="Q1136" t="str">
        <f>"40.620804"</f>
        <v>40.620804</v>
      </c>
      <c r="R1136" t="str">
        <f>"22.971177"</f>
        <v>22.971177</v>
      </c>
      <c r="S1136" t="s">
        <v>26</v>
      </c>
    </row>
    <row r="1137" spans="1:19" x14ac:dyDescent="0.3">
      <c r="A1137" t="s">
        <v>25190</v>
      </c>
      <c r="B1137" t="s">
        <v>25243</v>
      </c>
      <c r="C1137" t="s">
        <v>25630</v>
      </c>
      <c r="D1137" t="s">
        <v>25197</v>
      </c>
      <c r="E1137" t="s">
        <v>25299</v>
      </c>
      <c r="F1137" t="s">
        <v>25299</v>
      </c>
      <c r="G1137" t="s">
        <v>25299</v>
      </c>
      <c r="H1137" t="s">
        <v>51</v>
      </c>
      <c r="I1137" t="s">
        <v>52</v>
      </c>
      <c r="J1137" t="str">
        <f>"1901190"</f>
        <v>1901190</v>
      </c>
      <c r="K1137">
        <v>2310415882</v>
      </c>
      <c r="L1137">
        <v>2310425755</v>
      </c>
      <c r="M1137" t="s">
        <v>25631</v>
      </c>
      <c r="N1137" t="s">
        <v>25340</v>
      </c>
      <c r="O1137" t="s">
        <v>25632</v>
      </c>
      <c r="P1137">
        <v>55131</v>
      </c>
      <c r="Q1137" t="str">
        <f>"40.582155"</f>
        <v>40.582155</v>
      </c>
      <c r="R1137" t="str">
        <f>"22.947159"</f>
        <v>22.947159</v>
      </c>
      <c r="S1137" t="s">
        <v>26</v>
      </c>
    </row>
    <row r="1138" spans="1:19" x14ac:dyDescent="0.3">
      <c r="A1138" t="s">
        <v>25190</v>
      </c>
      <c r="B1138" t="s">
        <v>25243</v>
      </c>
      <c r="C1138" t="s">
        <v>25634</v>
      </c>
      <c r="D1138" t="s">
        <v>25197</v>
      </c>
      <c r="E1138" t="s">
        <v>25197</v>
      </c>
      <c r="F1138" t="s">
        <v>25197</v>
      </c>
      <c r="G1138" t="s">
        <v>25250</v>
      </c>
      <c r="H1138" t="s">
        <v>51</v>
      </c>
      <c r="I1138" t="s">
        <v>52</v>
      </c>
      <c r="J1138" t="str">
        <f>"1901010"</f>
        <v>1901010</v>
      </c>
      <c r="K1138">
        <v>2310830339</v>
      </c>
      <c r="L1138">
        <v>2310830334</v>
      </c>
      <c r="M1138" t="s">
        <v>25635</v>
      </c>
      <c r="N1138" t="s">
        <v>25247</v>
      </c>
      <c r="O1138" t="s">
        <v>25636</v>
      </c>
      <c r="P1138">
        <v>54640</v>
      </c>
      <c r="Q1138" t="str">
        <f>"40.617598"</f>
        <v>40.617598</v>
      </c>
      <c r="R1138" t="str">
        <f>"22.954973"</f>
        <v>22.954973</v>
      </c>
      <c r="S1138" t="s">
        <v>26</v>
      </c>
    </row>
    <row r="1139" spans="1:19" x14ac:dyDescent="0.3">
      <c r="A1139" t="s">
        <v>25190</v>
      </c>
      <c r="B1139" t="s">
        <v>25243</v>
      </c>
      <c r="C1139" t="s">
        <v>25637</v>
      </c>
      <c r="D1139" t="s">
        <v>25197</v>
      </c>
      <c r="E1139" t="s">
        <v>25197</v>
      </c>
      <c r="F1139" t="s">
        <v>25197</v>
      </c>
      <c r="G1139" t="s">
        <v>25244</v>
      </c>
      <c r="H1139" t="s">
        <v>51</v>
      </c>
      <c r="I1139" t="s">
        <v>52</v>
      </c>
      <c r="J1139" t="str">
        <f>"1901173"</f>
        <v>1901173</v>
      </c>
      <c r="K1139">
        <v>2310284400</v>
      </c>
      <c r="L1139">
        <v>2310284400</v>
      </c>
      <c r="M1139" t="s">
        <v>25638</v>
      </c>
      <c r="N1139" t="s">
        <v>25247</v>
      </c>
      <c r="O1139" t="s">
        <v>25510</v>
      </c>
      <c r="P1139">
        <v>54632</v>
      </c>
      <c r="Q1139" t="str">
        <f>"40.641953"</f>
        <v>40.641953</v>
      </c>
      <c r="R1139" t="str">
        <f>"22.943181"</f>
        <v>22.943181</v>
      </c>
      <c r="S1139" t="s">
        <v>26</v>
      </c>
    </row>
    <row r="1140" spans="1:19" x14ac:dyDescent="0.3">
      <c r="A1140" t="s">
        <v>25190</v>
      </c>
      <c r="B1140" t="s">
        <v>25243</v>
      </c>
      <c r="C1140" t="s">
        <v>25639</v>
      </c>
      <c r="D1140" t="s">
        <v>25197</v>
      </c>
      <c r="E1140" t="s">
        <v>25299</v>
      </c>
      <c r="F1140" t="s">
        <v>25299</v>
      </c>
      <c r="G1140" t="s">
        <v>25299</v>
      </c>
      <c r="H1140" t="s">
        <v>51</v>
      </c>
      <c r="I1140" t="s">
        <v>52</v>
      </c>
      <c r="J1140" t="str">
        <f>"1901230"</f>
        <v>1901230</v>
      </c>
      <c r="K1140">
        <v>2310459127</v>
      </c>
      <c r="L1140">
        <v>2310441843</v>
      </c>
      <c r="M1140" t="s">
        <v>25640</v>
      </c>
      <c r="N1140" t="s">
        <v>25331</v>
      </c>
      <c r="O1140" t="s">
        <v>25641</v>
      </c>
      <c r="P1140">
        <v>55132</v>
      </c>
      <c r="Q1140" t="str">
        <f>"40.568576"</f>
        <v>40.568576</v>
      </c>
      <c r="R1140" t="str">
        <f>"22.968087"</f>
        <v>22.968087</v>
      </c>
      <c r="S1140" t="s">
        <v>26</v>
      </c>
    </row>
    <row r="1141" spans="1:19" x14ac:dyDescent="0.3">
      <c r="A1141" t="s">
        <v>25190</v>
      </c>
      <c r="B1141" t="s">
        <v>25243</v>
      </c>
      <c r="C1141" t="s">
        <v>25643</v>
      </c>
      <c r="D1141" t="s">
        <v>25197</v>
      </c>
      <c r="E1141" t="s">
        <v>25197</v>
      </c>
      <c r="F1141" t="s">
        <v>25197</v>
      </c>
      <c r="G1141" t="s">
        <v>25250</v>
      </c>
      <c r="H1141" t="s">
        <v>51</v>
      </c>
      <c r="I1141" t="s">
        <v>52</v>
      </c>
      <c r="J1141" t="str">
        <f>"1901179"</f>
        <v>1901179</v>
      </c>
      <c r="K1141">
        <v>2310844445</v>
      </c>
      <c r="L1141">
        <v>2310889273</v>
      </c>
      <c r="M1141" t="s">
        <v>25644</v>
      </c>
      <c r="N1141" t="s">
        <v>25197</v>
      </c>
      <c r="O1141" t="s">
        <v>25645</v>
      </c>
      <c r="P1141">
        <v>54639</v>
      </c>
      <c r="Q1141" t="str">
        <f>"40.615994"</f>
        <v>40.615994</v>
      </c>
      <c r="R1141" t="str">
        <f>"22.961845"</f>
        <v>22.961845</v>
      </c>
      <c r="S1141" t="s">
        <v>26</v>
      </c>
    </row>
    <row r="1142" spans="1:19" x14ac:dyDescent="0.3">
      <c r="A1142" t="s">
        <v>25190</v>
      </c>
      <c r="B1142" t="s">
        <v>25243</v>
      </c>
      <c r="C1142" t="s">
        <v>25646</v>
      </c>
      <c r="D1142" t="s">
        <v>25197</v>
      </c>
      <c r="E1142" t="s">
        <v>25197</v>
      </c>
      <c r="F1142" t="s">
        <v>25197</v>
      </c>
      <c r="G1142" t="s">
        <v>25250</v>
      </c>
      <c r="H1142" t="s">
        <v>51</v>
      </c>
      <c r="I1142" t="s">
        <v>52</v>
      </c>
      <c r="J1142" t="str">
        <f>"1901251"</f>
        <v>1901251</v>
      </c>
      <c r="K1142">
        <v>2310306515</v>
      </c>
      <c r="L1142">
        <v>2310306515</v>
      </c>
      <c r="M1142" t="s">
        <v>25647</v>
      </c>
      <c r="N1142" t="s">
        <v>25247</v>
      </c>
      <c r="O1142" t="s">
        <v>25648</v>
      </c>
      <c r="P1142">
        <v>54249</v>
      </c>
      <c r="Q1142" t="str">
        <f>"40.597713"</f>
        <v>40.597713</v>
      </c>
      <c r="R1142" t="str">
        <f>"22.970063"</f>
        <v>22.970063</v>
      </c>
      <c r="S1142" t="s">
        <v>26</v>
      </c>
    </row>
    <row r="1143" spans="1:19" x14ac:dyDescent="0.3">
      <c r="A1143" t="s">
        <v>25190</v>
      </c>
      <c r="B1143" t="s">
        <v>25243</v>
      </c>
      <c r="C1143" t="s">
        <v>25652</v>
      </c>
      <c r="D1143" t="s">
        <v>25197</v>
      </c>
      <c r="E1143" t="s">
        <v>25264</v>
      </c>
      <c r="F1143" t="s">
        <v>25270</v>
      </c>
      <c r="G1143" t="s">
        <v>25270</v>
      </c>
      <c r="H1143" t="s">
        <v>51</v>
      </c>
      <c r="I1143" t="s">
        <v>52</v>
      </c>
      <c r="J1143" t="str">
        <f>"1909013"</f>
        <v>1909013</v>
      </c>
      <c r="K1143">
        <v>2310348039</v>
      </c>
      <c r="L1143">
        <v>2310351841</v>
      </c>
      <c r="M1143" t="s">
        <v>25653</v>
      </c>
      <c r="N1143" t="s">
        <v>25270</v>
      </c>
      <c r="O1143" t="s">
        <v>25654</v>
      </c>
      <c r="P1143">
        <v>57010</v>
      </c>
      <c r="Q1143" t="str">
        <f>"40.610580"</f>
        <v>40.610580</v>
      </c>
      <c r="R1143" t="str">
        <f>"23.103089"</f>
        <v>23.103089</v>
      </c>
      <c r="S1143" t="s">
        <v>26</v>
      </c>
    </row>
    <row r="1144" spans="1:19" x14ac:dyDescent="0.3">
      <c r="A1144" t="s">
        <v>25190</v>
      </c>
      <c r="B1144" t="s">
        <v>25243</v>
      </c>
      <c r="C1144" t="s">
        <v>25655</v>
      </c>
      <c r="D1144" t="s">
        <v>25197</v>
      </c>
      <c r="E1144" t="s">
        <v>25197</v>
      </c>
      <c r="F1144" t="s">
        <v>25197</v>
      </c>
      <c r="G1144" t="s">
        <v>25250</v>
      </c>
      <c r="H1144" t="s">
        <v>51</v>
      </c>
      <c r="I1144" t="s">
        <v>52</v>
      </c>
      <c r="J1144" t="str">
        <f>"1901172"</f>
        <v>1901172</v>
      </c>
      <c r="K1144">
        <v>2310812421</v>
      </c>
      <c r="L1144">
        <v>2310812421</v>
      </c>
      <c r="M1144" t="s">
        <v>25656</v>
      </c>
      <c r="N1144" t="s">
        <v>25247</v>
      </c>
      <c r="O1144" t="s">
        <v>25657</v>
      </c>
      <c r="P1144">
        <v>54645</v>
      </c>
      <c r="Q1144" t="str">
        <f>"40.601856"</f>
        <v>40.601856</v>
      </c>
      <c r="R1144" t="str">
        <f>"22.951471"</f>
        <v>22.951471</v>
      </c>
      <c r="S1144" t="s">
        <v>26</v>
      </c>
    </row>
    <row r="1145" spans="1:19" x14ac:dyDescent="0.3">
      <c r="A1145" t="s">
        <v>25190</v>
      </c>
      <c r="B1145" t="s">
        <v>25243</v>
      </c>
      <c r="C1145" t="s">
        <v>25665</v>
      </c>
      <c r="D1145" t="s">
        <v>25197</v>
      </c>
      <c r="E1145" t="s">
        <v>25293</v>
      </c>
      <c r="F1145" t="s">
        <v>25293</v>
      </c>
      <c r="G1145" t="s">
        <v>25664</v>
      </c>
      <c r="H1145" t="s">
        <v>51</v>
      </c>
      <c r="I1145" t="s">
        <v>52</v>
      </c>
      <c r="J1145" t="str">
        <f>"1915016"</f>
        <v>1915016</v>
      </c>
      <c r="K1145">
        <v>2392020800</v>
      </c>
      <c r="L1145">
        <v>2392306786</v>
      </c>
      <c r="M1145" t="s">
        <v>25666</v>
      </c>
      <c r="N1145" t="s">
        <v>25667</v>
      </c>
      <c r="O1145" t="s">
        <v>25668</v>
      </c>
      <c r="P1145">
        <v>57019</v>
      </c>
      <c r="Q1145" t="str">
        <f>"40.507206"</f>
        <v>40.507206</v>
      </c>
      <c r="R1145" t="str">
        <f>"22.929126"</f>
        <v>22.929126</v>
      </c>
      <c r="S1145" t="s">
        <v>26</v>
      </c>
    </row>
    <row r="1146" spans="1:19" x14ac:dyDescent="0.3">
      <c r="A1146" t="s">
        <v>25190</v>
      </c>
      <c r="B1146" t="s">
        <v>25243</v>
      </c>
      <c r="C1146" t="s">
        <v>25670</v>
      </c>
      <c r="D1146" t="s">
        <v>25197</v>
      </c>
      <c r="E1146" t="s">
        <v>25197</v>
      </c>
      <c r="F1146" t="s">
        <v>25197</v>
      </c>
      <c r="G1146" t="s">
        <v>25235</v>
      </c>
      <c r="H1146" t="s">
        <v>51</v>
      </c>
      <c r="I1146" t="s">
        <v>52</v>
      </c>
      <c r="J1146" t="str">
        <f>"1901170"</f>
        <v>1901170</v>
      </c>
      <c r="K1146">
        <v>2310514114</v>
      </c>
      <c r="L1146">
        <v>2310531395</v>
      </c>
      <c r="M1146" t="s">
        <v>25671</v>
      </c>
      <c r="N1146" t="s">
        <v>25197</v>
      </c>
      <c r="O1146" t="s">
        <v>25672</v>
      </c>
      <c r="P1146">
        <v>54627</v>
      </c>
      <c r="Q1146" t="str">
        <f>"40.646460"</f>
        <v>40.646460</v>
      </c>
      <c r="R1146" t="str">
        <f>"22.918058"</f>
        <v>22.918058</v>
      </c>
      <c r="S1146" t="s">
        <v>26</v>
      </c>
    </row>
    <row r="1147" spans="1:19" x14ac:dyDescent="0.3">
      <c r="A1147" t="s">
        <v>25190</v>
      </c>
      <c r="B1147" t="s">
        <v>25243</v>
      </c>
      <c r="C1147" t="s">
        <v>25673</v>
      </c>
      <c r="D1147" t="s">
        <v>25197</v>
      </c>
      <c r="E1147" t="s">
        <v>25197</v>
      </c>
      <c r="F1147" t="s">
        <v>25197</v>
      </c>
      <c r="G1147" t="s">
        <v>25283</v>
      </c>
      <c r="H1147" t="s">
        <v>51</v>
      </c>
      <c r="I1147" t="s">
        <v>52</v>
      </c>
      <c r="J1147" t="str">
        <f>"1901200"</f>
        <v>1901200</v>
      </c>
      <c r="K1147">
        <v>2310941673</v>
      </c>
      <c r="L1147">
        <v>2310988122</v>
      </c>
      <c r="M1147" t="s">
        <v>25674</v>
      </c>
      <c r="N1147" t="s">
        <v>25247</v>
      </c>
      <c r="O1147" t="s">
        <v>25477</v>
      </c>
      <c r="P1147">
        <v>54453</v>
      </c>
      <c r="Q1147" t="str">
        <f>"40.611790"</f>
        <v>40.611790</v>
      </c>
      <c r="R1147" t="str">
        <f>"22.967495"</f>
        <v>22.967495</v>
      </c>
      <c r="S1147" t="s">
        <v>26</v>
      </c>
    </row>
    <row r="1148" spans="1:19" x14ac:dyDescent="0.3">
      <c r="A1148" t="s">
        <v>25190</v>
      </c>
      <c r="B1148" t="s">
        <v>25243</v>
      </c>
      <c r="C1148" t="s">
        <v>25675</v>
      </c>
      <c r="D1148" t="s">
        <v>25197</v>
      </c>
      <c r="E1148" t="s">
        <v>25197</v>
      </c>
      <c r="F1148" t="s">
        <v>25197</v>
      </c>
      <c r="G1148" t="s">
        <v>25283</v>
      </c>
      <c r="H1148" t="s">
        <v>51</v>
      </c>
      <c r="I1148" t="s">
        <v>52</v>
      </c>
      <c r="J1148" t="str">
        <f>"1919022"</f>
        <v>1919022</v>
      </c>
      <c r="K1148">
        <v>2310942531</v>
      </c>
      <c r="L1148">
        <v>2310942531</v>
      </c>
      <c r="M1148" t="s">
        <v>25676</v>
      </c>
      <c r="N1148" t="s">
        <v>25247</v>
      </c>
      <c r="O1148" t="s">
        <v>25677</v>
      </c>
      <c r="P1148">
        <v>54352</v>
      </c>
      <c r="Q1148" t="str">
        <f>"40.611575"</f>
        <v>40.611575</v>
      </c>
      <c r="R1148" t="str">
        <f>"22.987740"</f>
        <v>22.987740</v>
      </c>
      <c r="S1148" t="s">
        <v>26</v>
      </c>
    </row>
    <row r="1149" spans="1:19" x14ac:dyDescent="0.3">
      <c r="A1149" t="s">
        <v>25190</v>
      </c>
      <c r="B1149" t="s">
        <v>25243</v>
      </c>
      <c r="C1149" t="s">
        <v>25678</v>
      </c>
      <c r="D1149" t="s">
        <v>25197</v>
      </c>
      <c r="E1149" t="s">
        <v>25264</v>
      </c>
      <c r="F1149" t="s">
        <v>25400</v>
      </c>
      <c r="G1149" t="s">
        <v>25400</v>
      </c>
      <c r="H1149" t="s">
        <v>51</v>
      </c>
      <c r="I1149" t="s">
        <v>52</v>
      </c>
      <c r="J1149" t="str">
        <f>"1901210"</f>
        <v>1901210</v>
      </c>
      <c r="K1149">
        <v>2310342511</v>
      </c>
      <c r="L1149">
        <v>2310342805</v>
      </c>
      <c r="M1149" t="s">
        <v>25679</v>
      </c>
      <c r="N1149" t="s">
        <v>25497</v>
      </c>
      <c r="O1149" t="s">
        <v>25680</v>
      </c>
      <c r="P1149">
        <v>55236</v>
      </c>
      <c r="Q1149" t="str">
        <f>"40.588508"</f>
        <v>40.588508</v>
      </c>
      <c r="R1149" t="str">
        <f>"23.025756"</f>
        <v>23.025756</v>
      </c>
      <c r="S1149" t="s">
        <v>26</v>
      </c>
    </row>
    <row r="1150" spans="1:19" x14ac:dyDescent="0.3">
      <c r="A1150" t="s">
        <v>25190</v>
      </c>
      <c r="B1150" t="s">
        <v>25243</v>
      </c>
      <c r="C1150" t="s">
        <v>25681</v>
      </c>
      <c r="D1150" t="s">
        <v>25197</v>
      </c>
      <c r="E1150" t="s">
        <v>25197</v>
      </c>
      <c r="F1150" t="s">
        <v>25197</v>
      </c>
      <c r="G1150" t="s">
        <v>25250</v>
      </c>
      <c r="H1150" t="s">
        <v>51</v>
      </c>
      <c r="I1150" t="s">
        <v>52</v>
      </c>
      <c r="J1150" t="str">
        <f>"1901250"</f>
        <v>1901250</v>
      </c>
      <c r="K1150">
        <v>2310316926</v>
      </c>
      <c r="L1150">
        <v>2310321379</v>
      </c>
      <c r="M1150" t="s">
        <v>25682</v>
      </c>
      <c r="N1150" t="s">
        <v>25247</v>
      </c>
      <c r="O1150" t="s">
        <v>25415</v>
      </c>
      <c r="P1150">
        <v>54250</v>
      </c>
      <c r="Q1150" t="str">
        <f>"40.595879"</f>
        <v>40.595879</v>
      </c>
      <c r="R1150" t="str">
        <f>"22.974410"</f>
        <v>22.974410</v>
      </c>
      <c r="S1150" t="s">
        <v>26</v>
      </c>
    </row>
    <row r="1151" spans="1:19" x14ac:dyDescent="0.3">
      <c r="A1151" t="s">
        <v>25190</v>
      </c>
      <c r="B1151" t="s">
        <v>25243</v>
      </c>
      <c r="C1151" t="s">
        <v>25686</v>
      </c>
      <c r="D1151" t="s">
        <v>25197</v>
      </c>
      <c r="E1151" t="s">
        <v>25293</v>
      </c>
      <c r="F1151" t="s">
        <v>25293</v>
      </c>
      <c r="G1151" t="s">
        <v>25664</v>
      </c>
      <c r="H1151" t="s">
        <v>51</v>
      </c>
      <c r="I1151" t="s">
        <v>52</v>
      </c>
      <c r="J1151" t="str">
        <f>"1915015"</f>
        <v>1915015</v>
      </c>
      <c r="K1151">
        <v>2392025111</v>
      </c>
      <c r="L1151">
        <v>2392028477</v>
      </c>
      <c r="M1151" t="s">
        <v>25687</v>
      </c>
      <c r="N1151" t="s">
        <v>25688</v>
      </c>
      <c r="O1151" t="s">
        <v>25689</v>
      </c>
      <c r="P1151">
        <v>57019</v>
      </c>
      <c r="Q1151" t="str">
        <f>"40.500363"</f>
        <v>40.500363</v>
      </c>
      <c r="R1151" t="str">
        <f>"22.919971"</f>
        <v>22.919971</v>
      </c>
      <c r="S1151" t="s">
        <v>26</v>
      </c>
    </row>
    <row r="1152" spans="1:19" x14ac:dyDescent="0.3">
      <c r="A1152" t="s">
        <v>25190</v>
      </c>
      <c r="B1152" t="s">
        <v>25243</v>
      </c>
      <c r="C1152" t="s">
        <v>25691</v>
      </c>
      <c r="D1152" t="s">
        <v>25197</v>
      </c>
      <c r="E1152" t="s">
        <v>25197</v>
      </c>
      <c r="F1152" t="s">
        <v>25197</v>
      </c>
      <c r="G1152" t="s">
        <v>25255</v>
      </c>
      <c r="H1152" t="s">
        <v>51</v>
      </c>
      <c r="I1152" t="s">
        <v>807</v>
      </c>
      <c r="J1152" t="str">
        <f>"1901231"</f>
        <v>1901231</v>
      </c>
      <c r="K1152">
        <v>2310329056</v>
      </c>
      <c r="L1152">
        <v>2310329056</v>
      </c>
      <c r="M1152" t="s">
        <v>25692</v>
      </c>
      <c r="N1152" t="s">
        <v>25247</v>
      </c>
      <c r="O1152" t="s">
        <v>25693</v>
      </c>
      <c r="P1152">
        <v>54621</v>
      </c>
      <c r="Q1152" t="str">
        <f>"40.627386"</f>
        <v>40.627386</v>
      </c>
      <c r="R1152" t="str">
        <f>"22.950308"</f>
        <v>22.950308</v>
      </c>
      <c r="S1152" t="s">
        <v>26</v>
      </c>
    </row>
    <row r="1153" spans="1:19" x14ac:dyDescent="0.3">
      <c r="A1153" t="s">
        <v>25190</v>
      </c>
      <c r="B1153" t="s">
        <v>25243</v>
      </c>
      <c r="C1153" t="s">
        <v>25709</v>
      </c>
      <c r="D1153" t="s">
        <v>25197</v>
      </c>
      <c r="E1153" t="s">
        <v>25198</v>
      </c>
      <c r="F1153" t="s">
        <v>25198</v>
      </c>
      <c r="G1153" t="s">
        <v>25198</v>
      </c>
      <c r="H1153" t="s">
        <v>51</v>
      </c>
      <c r="I1153" t="s">
        <v>52</v>
      </c>
      <c r="J1153" t="str">
        <f>"1919018"</f>
        <v>1919018</v>
      </c>
      <c r="K1153">
        <v>2310473421</v>
      </c>
      <c r="L1153">
        <v>2310473451</v>
      </c>
      <c r="M1153" t="s">
        <v>25710</v>
      </c>
      <c r="N1153" t="s">
        <v>25201</v>
      </c>
      <c r="O1153" t="s">
        <v>25711</v>
      </c>
      <c r="P1153">
        <v>57001</v>
      </c>
      <c r="Q1153" t="str">
        <f>"40.543624"</f>
        <v>40.543624</v>
      </c>
      <c r="R1153" t="str">
        <f>"22.995907"</f>
        <v>22.995907</v>
      </c>
      <c r="S1153" t="s">
        <v>26</v>
      </c>
    </row>
    <row r="1154" spans="1:19" x14ac:dyDescent="0.3">
      <c r="A1154" t="s">
        <v>25190</v>
      </c>
      <c r="B1154" t="s">
        <v>25243</v>
      </c>
      <c r="C1154" t="s">
        <v>25713</v>
      </c>
      <c r="D1154" t="s">
        <v>25197</v>
      </c>
      <c r="E1154" t="s">
        <v>25198</v>
      </c>
      <c r="F1154" t="s">
        <v>25323</v>
      </c>
      <c r="G1154" t="s">
        <v>25324</v>
      </c>
      <c r="H1154" t="s">
        <v>51</v>
      </c>
      <c r="I1154" t="s">
        <v>52</v>
      </c>
      <c r="J1154" t="str">
        <f>"1915012"</f>
        <v>1915012</v>
      </c>
      <c r="K1154">
        <v>2392065320</v>
      </c>
      <c r="L1154">
        <v>2392061391</v>
      </c>
      <c r="M1154" t="s">
        <v>25714</v>
      </c>
      <c r="N1154" t="s">
        <v>25327</v>
      </c>
      <c r="O1154" t="s">
        <v>25715</v>
      </c>
      <c r="P1154">
        <v>57500</v>
      </c>
      <c r="Q1154" t="str">
        <f>"40.472813"</f>
        <v>40.472813</v>
      </c>
      <c r="R1154" t="str">
        <f>"22.971754"</f>
        <v>22.971754</v>
      </c>
      <c r="S1154" t="s">
        <v>26</v>
      </c>
    </row>
    <row r="1155" spans="1:19" x14ac:dyDescent="0.3">
      <c r="A1155" t="s">
        <v>25190</v>
      </c>
      <c r="B1155" t="s">
        <v>25243</v>
      </c>
      <c r="C1155" t="s">
        <v>25721</v>
      </c>
      <c r="D1155" t="s">
        <v>25197</v>
      </c>
      <c r="E1155" t="s">
        <v>25197</v>
      </c>
      <c r="F1155" t="s">
        <v>25197</v>
      </c>
      <c r="G1155" t="s">
        <v>25255</v>
      </c>
      <c r="H1155" t="s">
        <v>51</v>
      </c>
      <c r="I1155" t="s">
        <v>52</v>
      </c>
      <c r="J1155" t="str">
        <f>"1901020"</f>
        <v>1901020</v>
      </c>
      <c r="K1155">
        <v>2310238410</v>
      </c>
      <c r="L1155">
        <v>2310238410</v>
      </c>
      <c r="M1155" t="s">
        <v>25722</v>
      </c>
      <c r="N1155" t="s">
        <v>25247</v>
      </c>
      <c r="O1155" t="s">
        <v>25527</v>
      </c>
      <c r="P1155">
        <v>54622</v>
      </c>
      <c r="Q1155" t="str">
        <f>"40.632045"</f>
        <v>40.632045</v>
      </c>
      <c r="R1155" t="str">
        <f>"22.946103"</f>
        <v>22.946103</v>
      </c>
      <c r="S1155" t="s">
        <v>26</v>
      </c>
    </row>
    <row r="1156" spans="1:19" x14ac:dyDescent="0.3">
      <c r="A1156" t="s">
        <v>25190</v>
      </c>
      <c r="B1156" t="s">
        <v>25243</v>
      </c>
      <c r="C1156" t="s">
        <v>25732</v>
      </c>
      <c r="D1156" t="s">
        <v>25197</v>
      </c>
      <c r="E1156" t="s">
        <v>25198</v>
      </c>
      <c r="F1156" t="s">
        <v>25198</v>
      </c>
      <c r="G1156" t="s">
        <v>25198</v>
      </c>
      <c r="H1156" t="s">
        <v>51</v>
      </c>
      <c r="I1156" t="s">
        <v>199</v>
      </c>
      <c r="J1156" t="str">
        <f>"1901017"</f>
        <v>1901017</v>
      </c>
      <c r="K1156">
        <v>2310467272</v>
      </c>
      <c r="L1156">
        <v>2310467272</v>
      </c>
      <c r="M1156" t="s">
        <v>25733</v>
      </c>
      <c r="N1156" t="s">
        <v>25394</v>
      </c>
      <c r="O1156" t="s">
        <v>25734</v>
      </c>
      <c r="P1156">
        <v>57001</v>
      </c>
      <c r="Q1156" t="str">
        <f>"40.512333"</f>
        <v>40.512333</v>
      </c>
      <c r="R1156" t="str">
        <f>"22.989861"</f>
        <v>22.989861</v>
      </c>
      <c r="S1156" t="s">
        <v>26</v>
      </c>
    </row>
    <row r="1157" spans="1:19" x14ac:dyDescent="0.3">
      <c r="A1157" t="s">
        <v>25190</v>
      </c>
      <c r="B1157" t="s">
        <v>25243</v>
      </c>
      <c r="C1157" t="s">
        <v>25736</v>
      </c>
      <c r="D1157" t="s">
        <v>25197</v>
      </c>
      <c r="E1157" t="s">
        <v>25293</v>
      </c>
      <c r="F1157" t="s">
        <v>25433</v>
      </c>
      <c r="G1157" t="s">
        <v>25434</v>
      </c>
      <c r="H1157" t="s">
        <v>51</v>
      </c>
      <c r="I1157" t="s">
        <v>52</v>
      </c>
      <c r="J1157" t="str">
        <f>"1912015"</f>
        <v>1912015</v>
      </c>
      <c r="K1157">
        <v>2392035455</v>
      </c>
      <c r="L1157">
        <v>2392035454</v>
      </c>
      <c r="M1157" t="s">
        <v>25737</v>
      </c>
      <c r="N1157" t="s">
        <v>25738</v>
      </c>
      <c r="O1157" t="s">
        <v>25739</v>
      </c>
      <c r="P1157">
        <v>57004</v>
      </c>
      <c r="Q1157" t="str">
        <f>"40.463740"</f>
        <v>40.463740</v>
      </c>
      <c r="R1157" t="str">
        <f>"22.866366"</f>
        <v>22.866366</v>
      </c>
      <c r="S1157" t="s">
        <v>26</v>
      </c>
    </row>
    <row r="1158" spans="1:19" x14ac:dyDescent="0.3">
      <c r="A1158" t="s">
        <v>25190</v>
      </c>
      <c r="B1158" t="s">
        <v>25243</v>
      </c>
      <c r="C1158" t="s">
        <v>25741</v>
      </c>
      <c r="D1158" t="s">
        <v>25197</v>
      </c>
      <c r="E1158" t="s">
        <v>25198</v>
      </c>
      <c r="F1158" t="s">
        <v>25323</v>
      </c>
      <c r="G1158" t="s">
        <v>25740</v>
      </c>
      <c r="H1158" t="s">
        <v>51</v>
      </c>
      <c r="I1158" t="s">
        <v>52</v>
      </c>
      <c r="J1158" t="str">
        <f>"1915013"</f>
        <v>1915013</v>
      </c>
      <c r="K1158">
        <v>2392066156</v>
      </c>
      <c r="L1158">
        <v>2392066162</v>
      </c>
      <c r="M1158" t="s">
        <v>25742</v>
      </c>
      <c r="N1158" t="s">
        <v>25743</v>
      </c>
      <c r="O1158" t="s">
        <v>25744</v>
      </c>
      <c r="P1158">
        <v>57500</v>
      </c>
      <c r="Q1158" t="str">
        <f>"40.465602"</f>
        <v>40.465602</v>
      </c>
      <c r="R1158" t="str">
        <f>"22.992251"</f>
        <v>22.992251</v>
      </c>
      <c r="S1158" t="s">
        <v>26</v>
      </c>
    </row>
    <row r="1159" spans="1:19" x14ac:dyDescent="0.3">
      <c r="A1159" t="s">
        <v>25190</v>
      </c>
      <c r="B1159" t="s">
        <v>25243</v>
      </c>
      <c r="C1159" t="s">
        <v>25746</v>
      </c>
      <c r="D1159" t="s">
        <v>25197</v>
      </c>
      <c r="E1159" t="s">
        <v>25264</v>
      </c>
      <c r="F1159" t="s">
        <v>25270</v>
      </c>
      <c r="G1159" t="s">
        <v>2344</v>
      </c>
      <c r="H1159" t="s">
        <v>51</v>
      </c>
      <c r="I1159" t="s">
        <v>25494</v>
      </c>
      <c r="J1159" t="str">
        <f>"1915022"</f>
        <v>1915022</v>
      </c>
      <c r="K1159">
        <v>2313307989</v>
      </c>
      <c r="L1159">
        <v>2313307864</v>
      </c>
      <c r="M1159" t="s">
        <v>25747</v>
      </c>
      <c r="N1159" t="s">
        <v>25748</v>
      </c>
      <c r="O1159" t="s">
        <v>25749</v>
      </c>
      <c r="P1159">
        <v>57010</v>
      </c>
      <c r="Q1159" t="str">
        <f>"40.632577"</f>
        <v>40.632577</v>
      </c>
      <c r="R1159" t="str">
        <f>"23.042168"</f>
        <v>23.042168</v>
      </c>
      <c r="S1159" t="s">
        <v>26</v>
      </c>
    </row>
    <row r="1160" spans="1:19" x14ac:dyDescent="0.3">
      <c r="A1160" t="s">
        <v>25190</v>
      </c>
      <c r="B1160" t="s">
        <v>25243</v>
      </c>
      <c r="C1160" t="s">
        <v>25759</v>
      </c>
      <c r="D1160" t="s">
        <v>25197</v>
      </c>
      <c r="E1160" t="s">
        <v>25293</v>
      </c>
      <c r="F1160" t="s">
        <v>25294</v>
      </c>
      <c r="G1160" t="s">
        <v>25758</v>
      </c>
      <c r="H1160" t="s">
        <v>51</v>
      </c>
      <c r="I1160" t="s">
        <v>52</v>
      </c>
      <c r="J1160" t="str">
        <f>"1935007"</f>
        <v>1935007</v>
      </c>
      <c r="Q1160" t="str">
        <f>""</f>
        <v/>
      </c>
      <c r="R1160" t="str">
        <f>""</f>
        <v/>
      </c>
      <c r="S1160" t="s">
        <v>26</v>
      </c>
    </row>
    <row r="1161" spans="1:19" x14ac:dyDescent="0.3">
      <c r="A1161" t="s">
        <v>25190</v>
      </c>
      <c r="B1161" t="s">
        <v>25764</v>
      </c>
      <c r="C1161" t="s">
        <v>25768</v>
      </c>
      <c r="D1161" t="s">
        <v>25197</v>
      </c>
      <c r="E1161" t="s">
        <v>25765</v>
      </c>
      <c r="F1161" t="s">
        <v>25766</v>
      </c>
      <c r="G1161" t="s">
        <v>25767</v>
      </c>
      <c r="H1161" t="s">
        <v>51</v>
      </c>
      <c r="I1161" t="s">
        <v>52</v>
      </c>
      <c r="J1161" t="str">
        <f>"1909010"</f>
        <v>1909010</v>
      </c>
      <c r="K1161">
        <v>2397041207</v>
      </c>
      <c r="L1161">
        <v>2397041207</v>
      </c>
      <c r="M1161" t="s">
        <v>25769</v>
      </c>
      <c r="N1161" t="s">
        <v>25770</v>
      </c>
      <c r="O1161" t="s">
        <v>25770</v>
      </c>
      <c r="P1161">
        <v>57014</v>
      </c>
      <c r="Q1161" t="str">
        <f>"40.625612"</f>
        <v>40.625612</v>
      </c>
      <c r="R1161" t="str">
        <f>"23.563764"</f>
        <v>23.563764</v>
      </c>
      <c r="S1161" t="s">
        <v>26</v>
      </c>
    </row>
    <row r="1162" spans="1:19" x14ac:dyDescent="0.3">
      <c r="A1162" t="s">
        <v>25190</v>
      </c>
      <c r="B1162" t="s">
        <v>25764</v>
      </c>
      <c r="C1162" t="s">
        <v>25772</v>
      </c>
      <c r="D1162" t="s">
        <v>25197</v>
      </c>
      <c r="E1162" t="s">
        <v>25765</v>
      </c>
      <c r="F1162" t="s">
        <v>21848</v>
      </c>
      <c r="G1162" t="s">
        <v>21878</v>
      </c>
      <c r="H1162" t="s">
        <v>51</v>
      </c>
      <c r="I1162" t="s">
        <v>52</v>
      </c>
      <c r="J1162" t="str">
        <f>"1904040"</f>
        <v>1904040</v>
      </c>
      <c r="K1162">
        <v>2397061398</v>
      </c>
      <c r="L1162">
        <v>2397061326</v>
      </c>
      <c r="M1162" t="s">
        <v>25773</v>
      </c>
      <c r="N1162" t="s">
        <v>25774</v>
      </c>
      <c r="O1162" t="s">
        <v>21881</v>
      </c>
      <c r="P1162">
        <v>57014</v>
      </c>
      <c r="Q1162" t="str">
        <f>"40.664572"</f>
        <v>40.664572</v>
      </c>
      <c r="R1162" t="str">
        <f>"23.694572"</f>
        <v>23.694572</v>
      </c>
      <c r="S1162" t="s">
        <v>26</v>
      </c>
    </row>
    <row r="1163" spans="1:19" x14ac:dyDescent="0.3">
      <c r="A1163" t="s">
        <v>25190</v>
      </c>
      <c r="B1163" t="s">
        <v>25764</v>
      </c>
      <c r="C1163" t="s">
        <v>25779</v>
      </c>
      <c r="D1163" t="s">
        <v>25197</v>
      </c>
      <c r="E1163" t="s">
        <v>25765</v>
      </c>
      <c r="F1163" t="s">
        <v>25777</v>
      </c>
      <c r="G1163" t="s">
        <v>25778</v>
      </c>
      <c r="H1163" t="s">
        <v>51</v>
      </c>
      <c r="I1163" t="s">
        <v>52</v>
      </c>
      <c r="J1163" t="str">
        <f>"1904030"</f>
        <v>1904030</v>
      </c>
      <c r="K1163">
        <v>2393041215</v>
      </c>
      <c r="L1163">
        <v>2393041210</v>
      </c>
      <c r="M1163" t="s">
        <v>25780</v>
      </c>
      <c r="N1163" t="s">
        <v>25781</v>
      </c>
      <c r="O1163" t="s">
        <v>25782</v>
      </c>
      <c r="P1163">
        <v>57015</v>
      </c>
      <c r="Q1163" t="str">
        <f>"40.633544"</f>
        <v>40.633544</v>
      </c>
      <c r="R1163" t="str">
        <f>"23.441679"</f>
        <v>23.441679</v>
      </c>
      <c r="S1163" t="s">
        <v>26</v>
      </c>
    </row>
    <row r="1164" spans="1:19" x14ac:dyDescent="0.3">
      <c r="A1164" t="s">
        <v>25190</v>
      </c>
      <c r="B1164" t="s">
        <v>25764</v>
      </c>
      <c r="C1164" t="s">
        <v>25803</v>
      </c>
      <c r="D1164" t="s">
        <v>25197</v>
      </c>
      <c r="E1164" t="s">
        <v>13689</v>
      </c>
      <c r="F1164" t="s">
        <v>25801</v>
      </c>
      <c r="G1164" t="s">
        <v>25802</v>
      </c>
      <c r="H1164" t="s">
        <v>51</v>
      </c>
      <c r="I1164" t="s">
        <v>52</v>
      </c>
      <c r="J1164" t="str">
        <f>"1903010"</f>
        <v>1903010</v>
      </c>
      <c r="K1164">
        <v>2393031223</v>
      </c>
      <c r="L1164">
        <v>2393021100</v>
      </c>
      <c r="M1164" t="s">
        <v>25804</v>
      </c>
      <c r="N1164" t="s">
        <v>25805</v>
      </c>
      <c r="O1164" t="s">
        <v>25806</v>
      </c>
      <c r="P1164">
        <v>57012</v>
      </c>
      <c r="Q1164" t="str">
        <f>"40.570145"</f>
        <v>40.570145</v>
      </c>
      <c r="R1164" t="str">
        <f>"23.292830"</f>
        <v>23.292830</v>
      </c>
      <c r="S1164" t="s">
        <v>26</v>
      </c>
    </row>
    <row r="1165" spans="1:19" x14ac:dyDescent="0.3">
      <c r="A1165" t="s">
        <v>25190</v>
      </c>
      <c r="B1165" t="s">
        <v>25764</v>
      </c>
      <c r="C1165" t="s">
        <v>25810</v>
      </c>
      <c r="D1165" t="s">
        <v>25197</v>
      </c>
      <c r="E1165" t="s">
        <v>13689</v>
      </c>
      <c r="F1165" t="s">
        <v>25808</v>
      </c>
      <c r="G1165" t="s">
        <v>25809</v>
      </c>
      <c r="H1165" t="s">
        <v>51</v>
      </c>
      <c r="I1165" t="s">
        <v>52</v>
      </c>
      <c r="J1165" t="str">
        <f>"1904020"</f>
        <v>1904020</v>
      </c>
      <c r="K1165">
        <v>2393022119</v>
      </c>
      <c r="L1165">
        <v>2393022119</v>
      </c>
      <c r="M1165" t="s">
        <v>25811</v>
      </c>
      <c r="N1165" t="s">
        <v>25812</v>
      </c>
      <c r="O1165" t="s">
        <v>25813</v>
      </c>
      <c r="P1165">
        <v>57020</v>
      </c>
      <c r="Q1165" t="str">
        <f>"40.634899"</f>
        <v>40.634899</v>
      </c>
      <c r="R1165" t="str">
        <f>"23.244076"</f>
        <v>23.244076</v>
      </c>
      <c r="S1165" t="s">
        <v>26</v>
      </c>
    </row>
    <row r="1166" spans="1:19" x14ac:dyDescent="0.3">
      <c r="A1166" t="s">
        <v>25190</v>
      </c>
      <c r="B1166" t="s">
        <v>25764</v>
      </c>
      <c r="C1166" t="s">
        <v>25816</v>
      </c>
      <c r="D1166" t="s">
        <v>25197</v>
      </c>
      <c r="E1166" t="s">
        <v>25815</v>
      </c>
      <c r="F1166" t="s">
        <v>25815</v>
      </c>
      <c r="G1166" t="s">
        <v>25815</v>
      </c>
      <c r="H1166" t="s">
        <v>51</v>
      </c>
      <c r="I1166" t="s">
        <v>52</v>
      </c>
      <c r="J1166" t="str">
        <f>"1906020"</f>
        <v>1906020</v>
      </c>
      <c r="K1166">
        <v>2391022389</v>
      </c>
      <c r="L1166">
        <v>2391023492</v>
      </c>
      <c r="M1166" t="s">
        <v>25817</v>
      </c>
      <c r="N1166" t="s">
        <v>25818</v>
      </c>
      <c r="O1166" t="s">
        <v>25819</v>
      </c>
      <c r="P1166">
        <v>57007</v>
      </c>
      <c r="Q1166" t="str">
        <f>"40.731959"</f>
        <v>40.731959</v>
      </c>
      <c r="R1166" t="str">
        <f>"22.606828"</f>
        <v>22.606828</v>
      </c>
      <c r="S1166" t="s">
        <v>26</v>
      </c>
    </row>
    <row r="1167" spans="1:19" x14ac:dyDescent="0.3">
      <c r="A1167" t="s">
        <v>25190</v>
      </c>
      <c r="B1167" t="s">
        <v>25764</v>
      </c>
      <c r="C1167" t="s">
        <v>25834</v>
      </c>
      <c r="D1167" t="s">
        <v>25197</v>
      </c>
      <c r="E1167" t="s">
        <v>25826</v>
      </c>
      <c r="F1167" t="s">
        <v>25833</v>
      </c>
      <c r="G1167" t="s">
        <v>25833</v>
      </c>
      <c r="H1167" t="s">
        <v>51</v>
      </c>
      <c r="I1167" t="s">
        <v>52</v>
      </c>
      <c r="J1167" t="str">
        <f>"1901280"</f>
        <v>1901280</v>
      </c>
      <c r="K1167">
        <v>2310587093</v>
      </c>
      <c r="L1167">
        <v>2311821592</v>
      </c>
      <c r="M1167" t="s">
        <v>25835</v>
      </c>
      <c r="N1167" t="s">
        <v>25836</v>
      </c>
      <c r="O1167" t="s">
        <v>25837</v>
      </c>
      <c r="P1167">
        <v>56224</v>
      </c>
      <c r="Q1167" t="str">
        <f>"40.667124"</f>
        <v>40.667124</v>
      </c>
      <c r="R1167" t="str">
        <f>"22.919355"</f>
        <v>22.919355</v>
      </c>
      <c r="S1167" t="s">
        <v>26</v>
      </c>
    </row>
    <row r="1168" spans="1:19" x14ac:dyDescent="0.3">
      <c r="A1168" t="s">
        <v>25190</v>
      </c>
      <c r="B1168" t="s">
        <v>25764</v>
      </c>
      <c r="C1168" t="s">
        <v>25841</v>
      </c>
      <c r="D1168" t="s">
        <v>25197</v>
      </c>
      <c r="E1168" t="s">
        <v>25765</v>
      </c>
      <c r="F1168" t="s">
        <v>1872</v>
      </c>
      <c r="G1168" t="s">
        <v>25840</v>
      </c>
      <c r="H1168" t="s">
        <v>51</v>
      </c>
      <c r="I1168" t="s">
        <v>52</v>
      </c>
      <c r="J1168" t="str">
        <f>"1904042"</f>
        <v>1904042</v>
      </c>
      <c r="K1168">
        <v>2397023923</v>
      </c>
      <c r="L1168">
        <v>2397021785</v>
      </c>
      <c r="M1168" t="s">
        <v>25842</v>
      </c>
      <c r="N1168" t="s">
        <v>25843</v>
      </c>
      <c r="O1168" t="s">
        <v>70</v>
      </c>
      <c r="P1168">
        <v>57021</v>
      </c>
      <c r="Q1168" t="str">
        <f>"40.703120"</f>
        <v>40.703120</v>
      </c>
      <c r="R1168" t="str">
        <f>"23.700705"</f>
        <v>23.700705</v>
      </c>
      <c r="S1168" t="s">
        <v>26</v>
      </c>
    </row>
    <row r="1169" spans="1:19" x14ac:dyDescent="0.3">
      <c r="A1169" t="s">
        <v>25190</v>
      </c>
      <c r="B1169" t="s">
        <v>25764</v>
      </c>
      <c r="C1169" t="s">
        <v>25846</v>
      </c>
      <c r="D1169" t="s">
        <v>25197</v>
      </c>
      <c r="E1169" t="s">
        <v>13689</v>
      </c>
      <c r="F1169" t="s">
        <v>25845</v>
      </c>
      <c r="G1169" t="s">
        <v>25845</v>
      </c>
      <c r="H1169" t="s">
        <v>51</v>
      </c>
      <c r="I1169" t="s">
        <v>52</v>
      </c>
      <c r="J1169" t="str">
        <f>"1907010"</f>
        <v>1907010</v>
      </c>
      <c r="K1169">
        <v>2395022250</v>
      </c>
      <c r="L1169">
        <v>2395022250</v>
      </c>
      <c r="M1169" t="s">
        <v>25847</v>
      </c>
      <c r="N1169" t="s">
        <v>25848</v>
      </c>
      <c r="O1169" t="s">
        <v>25849</v>
      </c>
      <c r="P1169">
        <v>57002</v>
      </c>
      <c r="Q1169" t="str">
        <f>"40.816266"</f>
        <v>40.816266</v>
      </c>
      <c r="R1169" t="str">
        <f>"23.358447"</f>
        <v>23.358447</v>
      </c>
      <c r="S1169" t="s">
        <v>26</v>
      </c>
    </row>
    <row r="1170" spans="1:19" x14ac:dyDescent="0.3">
      <c r="A1170" t="s">
        <v>25190</v>
      </c>
      <c r="B1170" t="s">
        <v>25764</v>
      </c>
      <c r="C1170" t="s">
        <v>25879</v>
      </c>
      <c r="D1170" t="s">
        <v>25197</v>
      </c>
      <c r="E1170" t="s">
        <v>25203</v>
      </c>
      <c r="F1170" t="s">
        <v>25878</v>
      </c>
      <c r="G1170" t="s">
        <v>25878</v>
      </c>
      <c r="H1170" t="s">
        <v>51</v>
      </c>
      <c r="I1170" t="s">
        <v>52</v>
      </c>
      <c r="J1170" t="str">
        <f>"1909016"</f>
        <v>1909016</v>
      </c>
      <c r="K1170">
        <v>2310681695</v>
      </c>
      <c r="L1170">
        <v>2310685324</v>
      </c>
      <c r="M1170" t="s">
        <v>25880</v>
      </c>
      <c r="N1170" t="s">
        <v>25881</v>
      </c>
      <c r="O1170" t="s">
        <v>25882</v>
      </c>
      <c r="P1170">
        <v>56429</v>
      </c>
      <c r="Q1170" t="str">
        <f>"40.684197"</f>
        <v>40.684197</v>
      </c>
      <c r="R1170" t="str">
        <f>"22.952496"</f>
        <v>22.952496</v>
      </c>
      <c r="S1170" t="s">
        <v>26</v>
      </c>
    </row>
    <row r="1171" spans="1:19" x14ac:dyDescent="0.3">
      <c r="A1171" t="s">
        <v>25190</v>
      </c>
      <c r="B1171" t="s">
        <v>25764</v>
      </c>
      <c r="C1171" t="s">
        <v>26096</v>
      </c>
      <c r="D1171" t="s">
        <v>25197</v>
      </c>
      <c r="E1171" t="s">
        <v>25889</v>
      </c>
      <c r="F1171" t="s">
        <v>25890</v>
      </c>
      <c r="G1171" t="s">
        <v>25890</v>
      </c>
      <c r="H1171" t="s">
        <v>51</v>
      </c>
      <c r="I1171" t="s">
        <v>52</v>
      </c>
      <c r="J1171" t="str">
        <f>"1901176"</f>
        <v>1901176</v>
      </c>
      <c r="K1171">
        <v>2310612853</v>
      </c>
      <c r="L1171">
        <v>2310612853</v>
      </c>
      <c r="M1171" t="s">
        <v>26097</v>
      </c>
      <c r="N1171" t="s">
        <v>26098</v>
      </c>
      <c r="O1171" t="s">
        <v>26088</v>
      </c>
      <c r="P1171">
        <v>56701</v>
      </c>
      <c r="Q1171" t="str">
        <f>"40.655335"</f>
        <v>40.655335</v>
      </c>
      <c r="R1171" t="str">
        <f>"22.948518"</f>
        <v>22.948518</v>
      </c>
      <c r="S1171" t="s">
        <v>26</v>
      </c>
    </row>
    <row r="1172" spans="1:19" x14ac:dyDescent="0.3">
      <c r="A1172" t="s">
        <v>25190</v>
      </c>
      <c r="B1172" t="s">
        <v>25764</v>
      </c>
      <c r="C1172" t="s">
        <v>26101</v>
      </c>
      <c r="D1172" t="s">
        <v>25197</v>
      </c>
      <c r="E1172" t="s">
        <v>25815</v>
      </c>
      <c r="F1172" t="s">
        <v>60</v>
      </c>
      <c r="G1172" t="s">
        <v>26100</v>
      </c>
      <c r="H1172" t="s">
        <v>51</v>
      </c>
      <c r="I1172" t="s">
        <v>52</v>
      </c>
      <c r="J1172" t="str">
        <f>"1916050"</f>
        <v>1916050</v>
      </c>
      <c r="K1172">
        <v>2310719719</v>
      </c>
      <c r="L1172">
        <v>2310719567</v>
      </c>
      <c r="M1172" t="s">
        <v>26102</v>
      </c>
      <c r="N1172" t="s">
        <v>26103</v>
      </c>
      <c r="O1172" t="s">
        <v>26104</v>
      </c>
      <c r="P1172">
        <v>57011</v>
      </c>
      <c r="Q1172" t="str">
        <f>"40.772182"</f>
        <v>40.772182</v>
      </c>
      <c r="R1172" t="str">
        <f>"22.710620"</f>
        <v>22.710620</v>
      </c>
      <c r="S1172" t="s">
        <v>26</v>
      </c>
    </row>
    <row r="1173" spans="1:19" x14ac:dyDescent="0.3">
      <c r="A1173" t="s">
        <v>25190</v>
      </c>
      <c r="B1173" t="s">
        <v>25764</v>
      </c>
      <c r="C1173" t="s">
        <v>26106</v>
      </c>
      <c r="D1173" t="s">
        <v>25197</v>
      </c>
      <c r="E1173" t="s">
        <v>25815</v>
      </c>
      <c r="F1173" t="s">
        <v>25815</v>
      </c>
      <c r="G1173" t="s">
        <v>25821</v>
      </c>
      <c r="H1173" t="s">
        <v>51</v>
      </c>
      <c r="I1173" t="s">
        <v>52</v>
      </c>
      <c r="J1173" t="str">
        <f>"1906030"</f>
        <v>1906030</v>
      </c>
      <c r="K1173">
        <v>2391031494</v>
      </c>
      <c r="L1173">
        <v>2391031438</v>
      </c>
      <c r="M1173" t="s">
        <v>26107</v>
      </c>
      <c r="N1173" t="s">
        <v>26108</v>
      </c>
      <c r="O1173" t="s">
        <v>25824</v>
      </c>
      <c r="P1173">
        <v>57007</v>
      </c>
      <c r="Q1173" t="str">
        <f>"40.670604"</f>
        <v>40.670604</v>
      </c>
      <c r="R1173" t="str">
        <f>"22.593912"</f>
        <v>22.593912</v>
      </c>
      <c r="S1173" t="s">
        <v>26</v>
      </c>
    </row>
    <row r="1174" spans="1:19" x14ac:dyDescent="0.3">
      <c r="A1174" t="s">
        <v>25190</v>
      </c>
      <c r="B1174" t="s">
        <v>25764</v>
      </c>
      <c r="C1174" t="s">
        <v>26109</v>
      </c>
      <c r="D1174" t="s">
        <v>25197</v>
      </c>
      <c r="E1174" t="s">
        <v>25889</v>
      </c>
      <c r="F1174" t="s">
        <v>25924</v>
      </c>
      <c r="G1174" t="s">
        <v>25924</v>
      </c>
      <c r="H1174" t="s">
        <v>51</v>
      </c>
      <c r="I1174" t="s">
        <v>52</v>
      </c>
      <c r="J1174" t="str">
        <f>"1901258"</f>
        <v>1901258</v>
      </c>
      <c r="K1174">
        <v>2310215586</v>
      </c>
      <c r="L1174">
        <v>2310215508</v>
      </c>
      <c r="M1174" t="s">
        <v>26110</v>
      </c>
      <c r="N1174" t="s">
        <v>26111</v>
      </c>
      <c r="O1174" t="s">
        <v>26112</v>
      </c>
      <c r="P1174">
        <v>56626</v>
      </c>
      <c r="Q1174" t="str">
        <f>"40.647424"</f>
        <v>40.647424</v>
      </c>
      <c r="R1174" t="str">
        <f>"22.956013"</f>
        <v>22.956013</v>
      </c>
      <c r="S1174" t="s">
        <v>26</v>
      </c>
    </row>
    <row r="1175" spans="1:19" x14ac:dyDescent="0.3">
      <c r="A1175" t="s">
        <v>25190</v>
      </c>
      <c r="B1175" t="s">
        <v>25764</v>
      </c>
      <c r="C1175" t="s">
        <v>26113</v>
      </c>
      <c r="D1175" t="s">
        <v>25197</v>
      </c>
      <c r="E1175" t="s">
        <v>25815</v>
      </c>
      <c r="F1175" t="s">
        <v>60</v>
      </c>
      <c r="G1175" t="s">
        <v>25914</v>
      </c>
      <c r="H1175" t="s">
        <v>51</v>
      </c>
      <c r="I1175" t="s">
        <v>52</v>
      </c>
      <c r="J1175" t="str">
        <f>"1910010"</f>
        <v>1910010</v>
      </c>
      <c r="K1175">
        <v>2310713204</v>
      </c>
      <c r="L1175">
        <v>2310713167</v>
      </c>
      <c r="M1175" t="s">
        <v>26114</v>
      </c>
      <c r="N1175" t="s">
        <v>26115</v>
      </c>
      <c r="O1175" t="s">
        <v>26116</v>
      </c>
      <c r="P1175">
        <v>57011</v>
      </c>
      <c r="Q1175" t="str">
        <f>"40.752517"</f>
        <v>40.752517</v>
      </c>
      <c r="R1175" t="str">
        <f>"22.770323"</f>
        <v>22.770323</v>
      </c>
      <c r="S1175" t="s">
        <v>26</v>
      </c>
    </row>
    <row r="1176" spans="1:19" x14ac:dyDescent="0.3">
      <c r="A1176" t="s">
        <v>25190</v>
      </c>
      <c r="B1176" t="s">
        <v>25764</v>
      </c>
      <c r="C1176" t="s">
        <v>26117</v>
      </c>
      <c r="D1176" t="s">
        <v>25197</v>
      </c>
      <c r="E1176" t="s">
        <v>25203</v>
      </c>
      <c r="F1176" t="s">
        <v>595</v>
      </c>
      <c r="G1176" t="s">
        <v>595</v>
      </c>
      <c r="H1176" t="s">
        <v>51</v>
      </c>
      <c r="I1176" t="s">
        <v>52</v>
      </c>
      <c r="J1176" t="str">
        <f>"1901276"</f>
        <v>1901276</v>
      </c>
      <c r="K1176">
        <v>2310656197</v>
      </c>
      <c r="L1176">
        <v>2310654266</v>
      </c>
      <c r="M1176" t="s">
        <v>26118</v>
      </c>
      <c r="N1176" t="s">
        <v>26119</v>
      </c>
      <c r="O1176" t="s">
        <v>26120</v>
      </c>
      <c r="P1176">
        <v>56429</v>
      </c>
      <c r="Q1176" t="str">
        <f>"40.664144"</f>
        <v>40.664144</v>
      </c>
      <c r="R1176" t="str">
        <f>"22.939845"</f>
        <v>22.939845</v>
      </c>
      <c r="S1176" t="s">
        <v>26</v>
      </c>
    </row>
    <row r="1177" spans="1:19" x14ac:dyDescent="0.3">
      <c r="A1177" t="s">
        <v>25190</v>
      </c>
      <c r="B1177" t="s">
        <v>25764</v>
      </c>
      <c r="C1177" t="s">
        <v>26122</v>
      </c>
      <c r="D1177" t="s">
        <v>25197</v>
      </c>
      <c r="E1177" t="s">
        <v>25203</v>
      </c>
      <c r="F1177" t="s">
        <v>25784</v>
      </c>
      <c r="G1177" t="s">
        <v>25784</v>
      </c>
      <c r="H1177" t="s">
        <v>51</v>
      </c>
      <c r="I1177" t="s">
        <v>52</v>
      </c>
      <c r="J1177" t="str">
        <f>"1901271"</f>
        <v>1901271</v>
      </c>
      <c r="K1177">
        <v>2310663963</v>
      </c>
      <c r="L1177">
        <v>2310663963</v>
      </c>
      <c r="M1177" t="s">
        <v>26123</v>
      </c>
      <c r="N1177" t="s">
        <v>25787</v>
      </c>
      <c r="O1177" t="s">
        <v>26034</v>
      </c>
      <c r="P1177">
        <v>56429</v>
      </c>
      <c r="Q1177" t="str">
        <f>"40.676476"</f>
        <v>40.676476</v>
      </c>
      <c r="R1177" t="str">
        <f>"22.945179"</f>
        <v>22.945179</v>
      </c>
      <c r="S1177" t="s">
        <v>26</v>
      </c>
    </row>
    <row r="1178" spans="1:19" x14ac:dyDescent="0.3">
      <c r="A1178" t="s">
        <v>25190</v>
      </c>
      <c r="B1178" t="s">
        <v>25764</v>
      </c>
      <c r="C1178" t="s">
        <v>26124</v>
      </c>
      <c r="D1178" t="s">
        <v>25197</v>
      </c>
      <c r="E1178" t="s">
        <v>25889</v>
      </c>
      <c r="F1178" t="s">
        <v>25890</v>
      </c>
      <c r="G1178" t="s">
        <v>25890</v>
      </c>
      <c r="H1178" t="s">
        <v>51</v>
      </c>
      <c r="I1178" t="s">
        <v>52</v>
      </c>
      <c r="J1178" t="str">
        <f>"1901133"</f>
        <v>1901133</v>
      </c>
      <c r="K1178">
        <v>2310619168</v>
      </c>
      <c r="L1178">
        <v>2310619168</v>
      </c>
      <c r="M1178" t="s">
        <v>26125</v>
      </c>
      <c r="N1178" t="s">
        <v>26098</v>
      </c>
      <c r="O1178" t="s">
        <v>26088</v>
      </c>
      <c r="P1178">
        <v>56701</v>
      </c>
      <c r="Q1178" t="str">
        <f>"40.655315"</f>
        <v>40.655315</v>
      </c>
      <c r="R1178" t="str">
        <f>"22.947692"</f>
        <v>22.947692</v>
      </c>
      <c r="S1178" t="s">
        <v>26</v>
      </c>
    </row>
    <row r="1179" spans="1:19" x14ac:dyDescent="0.3">
      <c r="A1179" t="s">
        <v>25190</v>
      </c>
      <c r="B1179" t="s">
        <v>25764</v>
      </c>
      <c r="C1179" t="s">
        <v>26126</v>
      </c>
      <c r="D1179" t="s">
        <v>25197</v>
      </c>
      <c r="E1179" t="s">
        <v>13689</v>
      </c>
      <c r="F1179" t="s">
        <v>13689</v>
      </c>
      <c r="G1179" t="s">
        <v>13689</v>
      </c>
      <c r="H1179" t="s">
        <v>51</v>
      </c>
      <c r="I1179" t="s">
        <v>52</v>
      </c>
      <c r="J1179" t="str">
        <f>"1904010"</f>
        <v>1904010</v>
      </c>
      <c r="K1179">
        <v>2394022537</v>
      </c>
      <c r="L1179">
        <v>2394022537</v>
      </c>
      <c r="M1179" t="s">
        <v>26127</v>
      </c>
      <c r="N1179" t="s">
        <v>13686</v>
      </c>
      <c r="O1179" t="s">
        <v>26128</v>
      </c>
      <c r="P1179">
        <v>57200</v>
      </c>
      <c r="Q1179" t="str">
        <f>"40.747730"</f>
        <v>40.747730</v>
      </c>
      <c r="R1179" t="str">
        <f>"23.070573"</f>
        <v>23.070573</v>
      </c>
      <c r="S1179" t="s">
        <v>26</v>
      </c>
    </row>
    <row r="1180" spans="1:19" x14ac:dyDescent="0.3">
      <c r="A1180" t="s">
        <v>25190</v>
      </c>
      <c r="B1180" t="s">
        <v>25764</v>
      </c>
      <c r="C1180" t="s">
        <v>26130</v>
      </c>
      <c r="D1180" t="s">
        <v>25197</v>
      </c>
      <c r="E1180" t="s">
        <v>25873</v>
      </c>
      <c r="F1180" t="s">
        <v>17906</v>
      </c>
      <c r="G1180" t="s">
        <v>17906</v>
      </c>
      <c r="H1180" t="s">
        <v>51</v>
      </c>
      <c r="I1180" t="s">
        <v>52</v>
      </c>
      <c r="J1180" t="str">
        <f>"1901263"</f>
        <v>1901263</v>
      </c>
      <c r="K1180">
        <v>2310730038</v>
      </c>
      <c r="L1180">
        <v>2310730038</v>
      </c>
      <c r="M1180" t="s">
        <v>26131</v>
      </c>
      <c r="N1180" t="s">
        <v>25838</v>
      </c>
      <c r="O1180" t="s">
        <v>26132</v>
      </c>
      <c r="P1180">
        <v>56121</v>
      </c>
      <c r="Q1180" t="str">
        <f>"40.659211"</f>
        <v>40.659211</v>
      </c>
      <c r="R1180" t="str">
        <f>"22.921475"</f>
        <v>22.921475</v>
      </c>
      <c r="S1180" t="s">
        <v>26</v>
      </c>
    </row>
    <row r="1181" spans="1:19" x14ac:dyDescent="0.3">
      <c r="A1181" t="s">
        <v>25190</v>
      </c>
      <c r="B1181" t="s">
        <v>25764</v>
      </c>
      <c r="C1181" t="s">
        <v>26133</v>
      </c>
      <c r="D1181" t="s">
        <v>25197</v>
      </c>
      <c r="E1181" t="s">
        <v>25790</v>
      </c>
      <c r="F1181" t="s">
        <v>25851</v>
      </c>
      <c r="G1181" t="s">
        <v>17983</v>
      </c>
      <c r="H1181" t="s">
        <v>51</v>
      </c>
      <c r="I1181" t="s">
        <v>52</v>
      </c>
      <c r="J1181" t="str">
        <f>"1901225"</f>
        <v>1901225</v>
      </c>
      <c r="K1181">
        <v>2310751790</v>
      </c>
      <c r="L1181">
        <v>2310751790</v>
      </c>
      <c r="M1181" t="s">
        <v>26134</v>
      </c>
      <c r="N1181" t="s">
        <v>26073</v>
      </c>
      <c r="O1181" t="s">
        <v>26135</v>
      </c>
      <c r="P1181">
        <v>57009</v>
      </c>
      <c r="Q1181" t="str">
        <f>"40.642395"</f>
        <v>40.642395</v>
      </c>
      <c r="R1181" t="str">
        <f>"22.850895"</f>
        <v>22.850895</v>
      </c>
      <c r="S1181" t="s">
        <v>26</v>
      </c>
    </row>
    <row r="1182" spans="1:19" x14ac:dyDescent="0.3">
      <c r="A1182" t="s">
        <v>25190</v>
      </c>
      <c r="B1182" t="s">
        <v>25764</v>
      </c>
      <c r="C1182" t="s">
        <v>26137</v>
      </c>
      <c r="D1182" t="s">
        <v>25197</v>
      </c>
      <c r="E1182" t="s">
        <v>13689</v>
      </c>
      <c r="F1182" t="s">
        <v>13689</v>
      </c>
      <c r="G1182" t="s">
        <v>26136</v>
      </c>
      <c r="H1182" t="s">
        <v>51</v>
      </c>
      <c r="I1182" t="s">
        <v>89</v>
      </c>
      <c r="J1182" t="str">
        <f>"1904060"</f>
        <v>1904060</v>
      </c>
      <c r="K1182">
        <v>2394041251</v>
      </c>
      <c r="L1182">
        <v>2394041062</v>
      </c>
      <c r="M1182" t="s">
        <v>26138</v>
      </c>
      <c r="N1182" t="s">
        <v>26139</v>
      </c>
      <c r="O1182" t="s">
        <v>26140</v>
      </c>
      <c r="P1182">
        <v>57200</v>
      </c>
      <c r="Q1182" t="str">
        <f>"40.753734"</f>
        <v>40.753734</v>
      </c>
      <c r="R1182" t="str">
        <f>"23.131236"</f>
        <v>23.131236</v>
      </c>
      <c r="S1182" t="s">
        <v>26</v>
      </c>
    </row>
    <row r="1183" spans="1:19" x14ac:dyDescent="0.3">
      <c r="A1183" t="s">
        <v>25190</v>
      </c>
      <c r="B1183" t="s">
        <v>25764</v>
      </c>
      <c r="C1183" t="s">
        <v>26143</v>
      </c>
      <c r="D1183" t="s">
        <v>25197</v>
      </c>
      <c r="E1183" t="s">
        <v>25966</v>
      </c>
      <c r="F1183" t="s">
        <v>25966</v>
      </c>
      <c r="G1183" t="s">
        <v>25966</v>
      </c>
      <c r="H1183" t="s">
        <v>51</v>
      </c>
      <c r="I1183" t="s">
        <v>52</v>
      </c>
      <c r="J1183" t="str">
        <f>"1914010"</f>
        <v>1914010</v>
      </c>
      <c r="K1183">
        <v>2310696060</v>
      </c>
      <c r="L1183">
        <v>2310692038</v>
      </c>
      <c r="M1183" t="s">
        <v>26144</v>
      </c>
      <c r="N1183" t="s">
        <v>25969</v>
      </c>
      <c r="O1183" t="s">
        <v>26145</v>
      </c>
      <c r="P1183">
        <v>57013</v>
      </c>
      <c r="Q1183" t="str">
        <f>"40.734902"</f>
        <v>40.734902</v>
      </c>
      <c r="R1183" t="str">
        <f>"22.917951"</f>
        <v>22.917951</v>
      </c>
      <c r="S1183" t="s">
        <v>26</v>
      </c>
    </row>
    <row r="1184" spans="1:19" x14ac:dyDescent="0.3">
      <c r="A1184" t="s">
        <v>25190</v>
      </c>
      <c r="B1184" t="s">
        <v>25764</v>
      </c>
      <c r="C1184" t="s">
        <v>26146</v>
      </c>
      <c r="D1184" t="s">
        <v>25197</v>
      </c>
      <c r="E1184" t="s">
        <v>25889</v>
      </c>
      <c r="F1184" t="s">
        <v>25924</v>
      </c>
      <c r="G1184" t="s">
        <v>25924</v>
      </c>
      <c r="H1184" t="s">
        <v>51</v>
      </c>
      <c r="I1184" t="s">
        <v>52</v>
      </c>
      <c r="J1184" t="str">
        <f>"1901257"</f>
        <v>1901257</v>
      </c>
      <c r="K1184">
        <v>2310219769</v>
      </c>
      <c r="L1184">
        <v>2310219771</v>
      </c>
      <c r="M1184" t="s">
        <v>26147</v>
      </c>
      <c r="N1184" t="s">
        <v>26111</v>
      </c>
      <c r="O1184" t="s">
        <v>25928</v>
      </c>
      <c r="P1184">
        <v>56626</v>
      </c>
      <c r="Q1184" t="str">
        <f>"40.645211"</f>
        <v>40.645211</v>
      </c>
      <c r="R1184" t="str">
        <f>"22.962859"</f>
        <v>22.962859</v>
      </c>
      <c r="S1184" t="s">
        <v>26</v>
      </c>
    </row>
    <row r="1185" spans="1:19" x14ac:dyDescent="0.3">
      <c r="A1185" t="s">
        <v>25190</v>
      </c>
      <c r="B1185" t="s">
        <v>25764</v>
      </c>
      <c r="C1185" t="s">
        <v>26148</v>
      </c>
      <c r="D1185" t="s">
        <v>25197</v>
      </c>
      <c r="E1185" t="s">
        <v>25826</v>
      </c>
      <c r="F1185" t="s">
        <v>25833</v>
      </c>
      <c r="G1185" t="s">
        <v>25833</v>
      </c>
      <c r="H1185" t="s">
        <v>51</v>
      </c>
      <c r="I1185" t="s">
        <v>52</v>
      </c>
      <c r="J1185" t="str">
        <f>"1901268"</f>
        <v>1901268</v>
      </c>
      <c r="K1185">
        <v>2310765921</v>
      </c>
      <c r="L1185">
        <v>2310765921</v>
      </c>
      <c r="M1185" t="s">
        <v>26149</v>
      </c>
      <c r="N1185" t="s">
        <v>25836</v>
      </c>
      <c r="O1185" t="s">
        <v>26150</v>
      </c>
      <c r="P1185">
        <v>56224</v>
      </c>
      <c r="Q1185" t="str">
        <f>"40.672884"</f>
        <v>40.672884</v>
      </c>
      <c r="R1185" t="str">
        <f>"22.904915"</f>
        <v>22.904915</v>
      </c>
      <c r="S1185" t="s">
        <v>26</v>
      </c>
    </row>
    <row r="1186" spans="1:19" x14ac:dyDescent="0.3">
      <c r="A1186" t="s">
        <v>25190</v>
      </c>
      <c r="B1186" t="s">
        <v>25764</v>
      </c>
      <c r="C1186" t="s">
        <v>26157</v>
      </c>
      <c r="D1186" t="s">
        <v>25197</v>
      </c>
      <c r="E1186" t="s">
        <v>13689</v>
      </c>
      <c r="F1186" t="s">
        <v>26156</v>
      </c>
      <c r="G1186" t="s">
        <v>26156</v>
      </c>
      <c r="H1186" t="s">
        <v>51</v>
      </c>
      <c r="I1186" t="s">
        <v>52</v>
      </c>
      <c r="J1186" t="str">
        <f>"1920010"</f>
        <v>1920010</v>
      </c>
      <c r="K1186">
        <v>2394061385</v>
      </c>
      <c r="L1186">
        <v>2394061225</v>
      </c>
      <c r="M1186" t="s">
        <v>26158</v>
      </c>
      <c r="N1186" t="s">
        <v>26159</v>
      </c>
      <c r="O1186" t="s">
        <v>26159</v>
      </c>
      <c r="P1186">
        <v>57200</v>
      </c>
      <c r="Q1186" t="str">
        <f>"40.817659"</f>
        <v>40.817659</v>
      </c>
      <c r="R1186" t="str">
        <f>"23.029765"</f>
        <v>23.029765</v>
      </c>
      <c r="S1186" t="s">
        <v>26</v>
      </c>
    </row>
    <row r="1187" spans="1:19" x14ac:dyDescent="0.3">
      <c r="A1187" t="s">
        <v>25190</v>
      </c>
      <c r="B1187" t="s">
        <v>25764</v>
      </c>
      <c r="C1187" t="s">
        <v>26162</v>
      </c>
      <c r="D1187" t="s">
        <v>25197</v>
      </c>
      <c r="E1187" t="s">
        <v>25765</v>
      </c>
      <c r="F1187" t="s">
        <v>19230</v>
      </c>
      <c r="G1187" t="s">
        <v>26161</v>
      </c>
      <c r="H1187" t="s">
        <v>51</v>
      </c>
      <c r="I1187" t="s">
        <v>52</v>
      </c>
      <c r="J1187" t="str">
        <f>"1904070"</f>
        <v>1904070</v>
      </c>
      <c r="K1187">
        <v>2393051260</v>
      </c>
      <c r="L1187">
        <v>2393051260</v>
      </c>
      <c r="M1187" t="s">
        <v>26163</v>
      </c>
      <c r="N1187" t="s">
        <v>13689</v>
      </c>
      <c r="O1187" t="s">
        <v>26164</v>
      </c>
      <c r="P1187">
        <v>57200</v>
      </c>
      <c r="Q1187" t="str">
        <f>"40.686854"</f>
        <v>40.686854</v>
      </c>
      <c r="R1187" t="str">
        <f>"23.277337"</f>
        <v>23.277337</v>
      </c>
      <c r="S1187" t="s">
        <v>26</v>
      </c>
    </row>
    <row r="1188" spans="1:19" x14ac:dyDescent="0.3">
      <c r="A1188" t="s">
        <v>25190</v>
      </c>
      <c r="B1188" t="s">
        <v>25764</v>
      </c>
      <c r="C1188" t="s">
        <v>26166</v>
      </c>
      <c r="D1188" t="s">
        <v>25197</v>
      </c>
      <c r="E1188" t="s">
        <v>25966</v>
      </c>
      <c r="F1188" t="s">
        <v>26056</v>
      </c>
      <c r="G1188" t="s">
        <v>15683</v>
      </c>
      <c r="H1188" t="s">
        <v>51</v>
      </c>
      <c r="I1188" t="s">
        <v>52</v>
      </c>
      <c r="J1188" t="str">
        <f>"1908010"</f>
        <v>1908010</v>
      </c>
      <c r="K1188">
        <v>2394031302</v>
      </c>
      <c r="L1188">
        <v>2394032802</v>
      </c>
      <c r="M1188" t="s">
        <v>26167</v>
      </c>
      <c r="N1188" t="s">
        <v>26168</v>
      </c>
      <c r="O1188" t="s">
        <v>26059</v>
      </c>
      <c r="P1188">
        <v>57200</v>
      </c>
      <c r="Q1188" t="str">
        <f>"40.779661"</f>
        <v>40.779661</v>
      </c>
      <c r="R1188" t="str">
        <f>"22.952648"</f>
        <v>22.952648</v>
      </c>
      <c r="S1188" t="s">
        <v>26</v>
      </c>
    </row>
    <row r="1189" spans="1:19" x14ac:dyDescent="0.3">
      <c r="A1189" t="s">
        <v>25190</v>
      </c>
      <c r="B1189" t="s">
        <v>25764</v>
      </c>
      <c r="C1189" t="s">
        <v>26169</v>
      </c>
      <c r="D1189" t="s">
        <v>25197</v>
      </c>
      <c r="E1189" t="s">
        <v>25203</v>
      </c>
      <c r="F1189" t="s">
        <v>25784</v>
      </c>
      <c r="G1189" t="s">
        <v>25784</v>
      </c>
      <c r="H1189" t="s">
        <v>51</v>
      </c>
      <c r="I1189" t="s">
        <v>52</v>
      </c>
      <c r="J1189" t="str">
        <f>"1901273"</f>
        <v>1901273</v>
      </c>
      <c r="K1189">
        <v>2310619718</v>
      </c>
      <c r="L1189">
        <v>2310619718</v>
      </c>
      <c r="M1189" t="s">
        <v>26170</v>
      </c>
      <c r="N1189" t="s">
        <v>25787</v>
      </c>
      <c r="O1189" t="s">
        <v>26171</v>
      </c>
      <c r="P1189">
        <v>56532</v>
      </c>
      <c r="Q1189" t="str">
        <f>"40.663188"</f>
        <v>40.663188</v>
      </c>
      <c r="R1189" t="str">
        <f>"22.959179"</f>
        <v>22.959179</v>
      </c>
      <c r="S1189" t="s">
        <v>26</v>
      </c>
    </row>
    <row r="1190" spans="1:19" x14ac:dyDescent="0.3">
      <c r="A1190" t="s">
        <v>25190</v>
      </c>
      <c r="B1190" t="s">
        <v>25764</v>
      </c>
      <c r="C1190" t="s">
        <v>26172</v>
      </c>
      <c r="D1190" t="s">
        <v>25197</v>
      </c>
      <c r="E1190" t="s">
        <v>25815</v>
      </c>
      <c r="F1190" t="s">
        <v>25864</v>
      </c>
      <c r="G1190" t="s">
        <v>25864</v>
      </c>
      <c r="H1190" t="s">
        <v>51</v>
      </c>
      <c r="I1190" t="s">
        <v>52</v>
      </c>
      <c r="J1190" t="str">
        <f>"1906010"</f>
        <v>1906010</v>
      </c>
      <c r="K1190">
        <v>2391051247</v>
      </c>
      <c r="L1190">
        <v>2391051245</v>
      </c>
      <c r="M1190" t="s">
        <v>26173</v>
      </c>
      <c r="N1190" t="s">
        <v>25940</v>
      </c>
      <c r="O1190" t="s">
        <v>26174</v>
      </c>
      <c r="P1190">
        <v>57100</v>
      </c>
      <c r="Q1190" t="str">
        <f>"40.780648"</f>
        <v>40.780648</v>
      </c>
      <c r="R1190" t="str">
        <f>"22.571149"</f>
        <v>22.571149</v>
      </c>
      <c r="S1190" t="s">
        <v>26</v>
      </c>
    </row>
    <row r="1191" spans="1:19" x14ac:dyDescent="0.3">
      <c r="A1191" t="s">
        <v>25190</v>
      </c>
      <c r="B1191" t="s">
        <v>25764</v>
      </c>
      <c r="C1191" t="s">
        <v>26175</v>
      </c>
      <c r="D1191" t="s">
        <v>25197</v>
      </c>
      <c r="E1191" t="s">
        <v>25826</v>
      </c>
      <c r="F1191" t="s">
        <v>25827</v>
      </c>
      <c r="G1191" t="s">
        <v>25827</v>
      </c>
      <c r="H1191" t="s">
        <v>51</v>
      </c>
      <c r="I1191" t="s">
        <v>52</v>
      </c>
      <c r="J1191" t="str">
        <f>"1901226"</f>
        <v>1901226</v>
      </c>
      <c r="K1191">
        <v>2310707898</v>
      </c>
      <c r="L1191">
        <v>2310707454</v>
      </c>
      <c r="M1191" t="s">
        <v>26176</v>
      </c>
      <c r="N1191" t="s">
        <v>26177</v>
      </c>
      <c r="O1191" t="s">
        <v>26178</v>
      </c>
      <c r="P1191">
        <v>56334</v>
      </c>
      <c r="Q1191" t="str">
        <f>"40.672701"</f>
        <v>40.672701</v>
      </c>
      <c r="R1191" t="str">
        <f>"22.890453"</f>
        <v>22.890453</v>
      </c>
      <c r="S1191" t="s">
        <v>26</v>
      </c>
    </row>
    <row r="1192" spans="1:19" x14ac:dyDescent="0.3">
      <c r="A1192" t="s">
        <v>25190</v>
      </c>
      <c r="B1192" t="s">
        <v>25764</v>
      </c>
      <c r="C1192" t="s">
        <v>26179</v>
      </c>
      <c r="D1192" t="s">
        <v>25197</v>
      </c>
      <c r="E1192" t="s">
        <v>25203</v>
      </c>
      <c r="F1192" t="s">
        <v>595</v>
      </c>
      <c r="G1192" t="s">
        <v>595</v>
      </c>
      <c r="H1192" t="s">
        <v>51</v>
      </c>
      <c r="I1192" t="s">
        <v>52</v>
      </c>
      <c r="J1192" t="str">
        <f>"1901272"</f>
        <v>1901272</v>
      </c>
      <c r="K1192">
        <v>2310650002</v>
      </c>
      <c r="L1192">
        <v>2310650506</v>
      </c>
      <c r="M1192" t="s">
        <v>26180</v>
      </c>
      <c r="N1192" t="s">
        <v>25984</v>
      </c>
      <c r="O1192" t="s">
        <v>26181</v>
      </c>
      <c r="P1192">
        <v>56431</v>
      </c>
      <c r="Q1192" t="str">
        <f>"40.672741"</f>
        <v>40.672741</v>
      </c>
      <c r="R1192" t="str">
        <f>"22.925530"</f>
        <v>22.925530</v>
      </c>
      <c r="S1192" t="s">
        <v>26</v>
      </c>
    </row>
    <row r="1193" spans="1:19" x14ac:dyDescent="0.3">
      <c r="A1193" t="s">
        <v>25190</v>
      </c>
      <c r="B1193" t="s">
        <v>25764</v>
      </c>
      <c r="C1193" t="s">
        <v>26182</v>
      </c>
      <c r="D1193" t="s">
        <v>25197</v>
      </c>
      <c r="E1193" t="s">
        <v>25873</v>
      </c>
      <c r="F1193" t="s">
        <v>17906</v>
      </c>
      <c r="G1193" t="s">
        <v>17906</v>
      </c>
      <c r="H1193" t="s">
        <v>51</v>
      </c>
      <c r="I1193" t="s">
        <v>52</v>
      </c>
      <c r="J1193" t="str">
        <f>"1901260"</f>
        <v>1901260</v>
      </c>
      <c r="K1193">
        <v>2310731300</v>
      </c>
      <c r="L1193">
        <v>2310748803</v>
      </c>
      <c r="M1193" t="s">
        <v>26183</v>
      </c>
      <c r="N1193" t="s">
        <v>25838</v>
      </c>
      <c r="O1193" t="s">
        <v>26184</v>
      </c>
      <c r="P1193">
        <v>56121</v>
      </c>
      <c r="Q1193" t="str">
        <f>"40.658568"</f>
        <v>40.658568</v>
      </c>
      <c r="R1193" t="str">
        <f>"22.921540"</f>
        <v>22.921540</v>
      </c>
      <c r="S1193" t="s">
        <v>26</v>
      </c>
    </row>
    <row r="1194" spans="1:19" x14ac:dyDescent="0.3">
      <c r="A1194" t="s">
        <v>25190</v>
      </c>
      <c r="B1194" t="s">
        <v>25764</v>
      </c>
      <c r="C1194" t="s">
        <v>26185</v>
      </c>
      <c r="D1194" t="s">
        <v>25197</v>
      </c>
      <c r="E1194" t="s">
        <v>25203</v>
      </c>
      <c r="F1194" t="s">
        <v>595</v>
      </c>
      <c r="G1194" t="s">
        <v>595</v>
      </c>
      <c r="H1194" t="s">
        <v>51</v>
      </c>
      <c r="I1194" t="s">
        <v>52</v>
      </c>
      <c r="J1194" t="str">
        <f>"1901060"</f>
        <v>1901060</v>
      </c>
      <c r="K1194">
        <v>2310657108</v>
      </c>
      <c r="L1194">
        <v>2310657108</v>
      </c>
      <c r="M1194" t="s">
        <v>26186</v>
      </c>
      <c r="N1194" t="s">
        <v>26187</v>
      </c>
      <c r="O1194" t="s">
        <v>26078</v>
      </c>
      <c r="P1194">
        <v>56430</v>
      </c>
      <c r="Q1194" t="str">
        <f>"40.661650"</f>
        <v>40.661650</v>
      </c>
      <c r="R1194" t="str">
        <f>"22.934601"</f>
        <v>22.934601</v>
      </c>
      <c r="S1194" t="s">
        <v>26</v>
      </c>
    </row>
    <row r="1195" spans="1:19" x14ac:dyDescent="0.3">
      <c r="A1195" t="s">
        <v>25190</v>
      </c>
      <c r="B1195" t="s">
        <v>25764</v>
      </c>
      <c r="C1195" t="s">
        <v>26188</v>
      </c>
      <c r="D1195" t="s">
        <v>25197</v>
      </c>
      <c r="E1195" t="s">
        <v>25826</v>
      </c>
      <c r="F1195" t="s">
        <v>25833</v>
      </c>
      <c r="G1195" t="s">
        <v>25833</v>
      </c>
      <c r="H1195" t="s">
        <v>51</v>
      </c>
      <c r="I1195" t="s">
        <v>52</v>
      </c>
      <c r="J1195" t="str">
        <f>"1901266"</f>
        <v>1901266</v>
      </c>
      <c r="K1195">
        <v>2310764026</v>
      </c>
      <c r="L1195">
        <v>2310764026</v>
      </c>
      <c r="M1195" t="s">
        <v>26189</v>
      </c>
      <c r="N1195" t="s">
        <v>25836</v>
      </c>
      <c r="O1195" t="s">
        <v>26190</v>
      </c>
      <c r="P1195">
        <v>56224</v>
      </c>
      <c r="Q1195" t="str">
        <f>"40.667036"</f>
        <v>40.667036</v>
      </c>
      <c r="R1195" t="str">
        <f>"22.910492"</f>
        <v>22.910492</v>
      </c>
      <c r="S1195" t="s">
        <v>26</v>
      </c>
    </row>
    <row r="1196" spans="1:19" x14ac:dyDescent="0.3">
      <c r="A1196" t="s">
        <v>25190</v>
      </c>
      <c r="B1196" t="s">
        <v>25764</v>
      </c>
      <c r="C1196" t="s">
        <v>26193</v>
      </c>
      <c r="D1196" t="s">
        <v>25197</v>
      </c>
      <c r="E1196" t="s">
        <v>25966</v>
      </c>
      <c r="F1196" t="s">
        <v>5563</v>
      </c>
      <c r="G1196" t="s">
        <v>26192</v>
      </c>
      <c r="H1196" t="s">
        <v>51</v>
      </c>
      <c r="I1196" t="s">
        <v>52</v>
      </c>
      <c r="J1196" t="str">
        <f>"1921010"</f>
        <v>1921010</v>
      </c>
      <c r="K1196">
        <v>2310778219</v>
      </c>
      <c r="L1196">
        <v>2310788051</v>
      </c>
      <c r="M1196" t="s">
        <v>26194</v>
      </c>
      <c r="N1196" t="s">
        <v>26195</v>
      </c>
      <c r="O1196" t="s">
        <v>26196</v>
      </c>
      <c r="P1196">
        <v>54500</v>
      </c>
      <c r="Q1196" t="str">
        <f>"40.741675"</f>
        <v>40.741675</v>
      </c>
      <c r="R1196" t="str">
        <f>"22.865691"</f>
        <v>22.865691</v>
      </c>
      <c r="S1196" t="s">
        <v>26</v>
      </c>
    </row>
    <row r="1197" spans="1:19" x14ac:dyDescent="0.3">
      <c r="A1197" t="s">
        <v>25190</v>
      </c>
      <c r="B1197" t="s">
        <v>25764</v>
      </c>
      <c r="C1197" t="s">
        <v>26199</v>
      </c>
      <c r="D1197" t="s">
        <v>25197</v>
      </c>
      <c r="E1197" t="s">
        <v>25889</v>
      </c>
      <c r="F1197" t="s">
        <v>25890</v>
      </c>
      <c r="G1197" t="s">
        <v>25890</v>
      </c>
      <c r="H1197" t="s">
        <v>51</v>
      </c>
      <c r="I1197" t="s">
        <v>14572</v>
      </c>
      <c r="J1197" t="str">
        <f>"1915018"</f>
        <v>1915018</v>
      </c>
      <c r="K1197">
        <v>2310587282</v>
      </c>
      <c r="L1197">
        <v>2310587282</v>
      </c>
      <c r="M1197" t="s">
        <v>26200</v>
      </c>
      <c r="N1197" t="s">
        <v>613</v>
      </c>
      <c r="O1197" t="s">
        <v>26201</v>
      </c>
      <c r="P1197">
        <v>56701</v>
      </c>
      <c r="Q1197" t="str">
        <f>"40.657051"</f>
        <v>40.657051</v>
      </c>
      <c r="R1197" t="str">
        <f>"22.944902"</f>
        <v>22.944902</v>
      </c>
      <c r="S1197" t="s">
        <v>26</v>
      </c>
    </row>
    <row r="1198" spans="1:19" x14ac:dyDescent="0.3">
      <c r="A1198" t="s">
        <v>25190</v>
      </c>
      <c r="B1198" t="s">
        <v>25764</v>
      </c>
      <c r="C1198" t="s">
        <v>26202</v>
      </c>
      <c r="D1198" t="s">
        <v>25197</v>
      </c>
      <c r="E1198" t="s">
        <v>25873</v>
      </c>
      <c r="F1198" t="s">
        <v>25992</v>
      </c>
      <c r="G1198" t="s">
        <v>25992</v>
      </c>
      <c r="H1198" t="s">
        <v>51</v>
      </c>
      <c r="I1198" t="s">
        <v>52</v>
      </c>
      <c r="J1198" t="str">
        <f>"1901185"</f>
        <v>1901185</v>
      </c>
      <c r="K1198">
        <v>2310732923</v>
      </c>
      <c r="L1198">
        <v>2310732923</v>
      </c>
      <c r="M1198" t="s">
        <v>26203</v>
      </c>
      <c r="N1198" t="s">
        <v>26204</v>
      </c>
      <c r="O1198" t="s">
        <v>26205</v>
      </c>
      <c r="P1198">
        <v>56122</v>
      </c>
      <c r="Q1198" t="str">
        <f>"40.657473"</f>
        <v>40.657473</v>
      </c>
      <c r="R1198" t="str">
        <f>"22.909033"</f>
        <v>22.909033</v>
      </c>
      <c r="S1198" t="s">
        <v>26</v>
      </c>
    </row>
    <row r="1199" spans="1:19" x14ac:dyDescent="0.3">
      <c r="A1199" t="s">
        <v>25190</v>
      </c>
      <c r="B1199" t="s">
        <v>25764</v>
      </c>
      <c r="C1199" t="s">
        <v>26206</v>
      </c>
      <c r="D1199" t="s">
        <v>25197</v>
      </c>
      <c r="E1199" t="s">
        <v>25790</v>
      </c>
      <c r="F1199" t="s">
        <v>25896</v>
      </c>
      <c r="G1199" t="s">
        <v>25896</v>
      </c>
      <c r="H1199" t="s">
        <v>51</v>
      </c>
      <c r="I1199" t="s">
        <v>52</v>
      </c>
      <c r="J1199" t="str">
        <f>"1913010"</f>
        <v>1913010</v>
      </c>
      <c r="K1199">
        <v>2310792216</v>
      </c>
      <c r="L1199">
        <v>2310792253</v>
      </c>
      <c r="M1199" t="s">
        <v>26207</v>
      </c>
      <c r="N1199" t="s">
        <v>25900</v>
      </c>
      <c r="O1199" t="s">
        <v>25900</v>
      </c>
      <c r="P1199">
        <v>57300</v>
      </c>
      <c r="Q1199" t="str">
        <f>"40.631014"</f>
        <v>40.631014</v>
      </c>
      <c r="R1199" t="str">
        <f>"22.743969"</f>
        <v>22.743969</v>
      </c>
      <c r="S1199" t="s">
        <v>26</v>
      </c>
    </row>
    <row r="1200" spans="1:19" x14ac:dyDescent="0.3">
      <c r="A1200" t="s">
        <v>25190</v>
      </c>
      <c r="B1200" t="s">
        <v>25764</v>
      </c>
      <c r="C1200" t="s">
        <v>26208</v>
      </c>
      <c r="D1200" t="s">
        <v>25197</v>
      </c>
      <c r="E1200" t="s">
        <v>25203</v>
      </c>
      <c r="F1200" t="s">
        <v>595</v>
      </c>
      <c r="G1200" t="s">
        <v>595</v>
      </c>
      <c r="H1200" t="s">
        <v>51</v>
      </c>
      <c r="I1200" t="s">
        <v>52</v>
      </c>
      <c r="J1200" t="str">
        <f>"1901282"</f>
        <v>1901282</v>
      </c>
      <c r="K1200">
        <v>2310667513</v>
      </c>
      <c r="L1200">
        <v>2310667513</v>
      </c>
      <c r="M1200" t="s">
        <v>26209</v>
      </c>
      <c r="N1200" t="s">
        <v>25984</v>
      </c>
      <c r="O1200" t="s">
        <v>26210</v>
      </c>
      <c r="P1200">
        <v>56430</v>
      </c>
      <c r="Q1200" t="str">
        <f>"40.673879"</f>
        <v>40.673879</v>
      </c>
      <c r="R1200" t="str">
        <f>"22.937701"</f>
        <v>22.937701</v>
      </c>
      <c r="S1200" t="s">
        <v>26</v>
      </c>
    </row>
    <row r="1201" spans="1:19" x14ac:dyDescent="0.3">
      <c r="A1201" t="s">
        <v>25190</v>
      </c>
      <c r="B1201" t="s">
        <v>25764</v>
      </c>
      <c r="C1201" t="s">
        <v>26212</v>
      </c>
      <c r="D1201" t="s">
        <v>25197</v>
      </c>
      <c r="E1201" t="s">
        <v>25815</v>
      </c>
      <c r="F1201" t="s">
        <v>25864</v>
      </c>
      <c r="G1201" t="s">
        <v>26044</v>
      </c>
      <c r="H1201" t="s">
        <v>51</v>
      </c>
      <c r="I1201" t="s">
        <v>52</v>
      </c>
      <c r="J1201" t="str">
        <f>"1911010"</f>
        <v>1911010</v>
      </c>
      <c r="K1201">
        <v>2310711307</v>
      </c>
      <c r="L1201">
        <v>2310711303</v>
      </c>
      <c r="M1201" t="s">
        <v>26213</v>
      </c>
      <c r="N1201" t="s">
        <v>26048</v>
      </c>
      <c r="O1201" t="s">
        <v>26048</v>
      </c>
      <c r="P1201">
        <v>57011</v>
      </c>
      <c r="Q1201" t="str">
        <f>"40.795585"</f>
        <v>40.795585</v>
      </c>
      <c r="R1201" t="str">
        <f>"22.671029"</f>
        <v>22.671029</v>
      </c>
      <c r="S1201" t="s">
        <v>26</v>
      </c>
    </row>
    <row r="1202" spans="1:19" x14ac:dyDescent="0.3">
      <c r="A1202" t="s">
        <v>25190</v>
      </c>
      <c r="B1202" t="s">
        <v>25764</v>
      </c>
      <c r="C1202" t="s">
        <v>26214</v>
      </c>
      <c r="D1202" t="s">
        <v>25197</v>
      </c>
      <c r="E1202" t="s">
        <v>25889</v>
      </c>
      <c r="F1202" t="s">
        <v>25924</v>
      </c>
      <c r="G1202" t="s">
        <v>25924</v>
      </c>
      <c r="H1202" t="s">
        <v>51</v>
      </c>
      <c r="I1202" t="s">
        <v>52</v>
      </c>
      <c r="J1202" t="str">
        <f>"1901141"</f>
        <v>1901141</v>
      </c>
      <c r="K1202">
        <v>2310630925</v>
      </c>
      <c r="L1202">
        <v>2310613144</v>
      </c>
      <c r="M1202" t="s">
        <v>26215</v>
      </c>
      <c r="N1202" t="s">
        <v>25952</v>
      </c>
      <c r="O1202" t="s">
        <v>26216</v>
      </c>
      <c r="P1202">
        <v>56626</v>
      </c>
      <c r="Q1202" t="str">
        <f>"40.653263"</f>
        <v>40.653263</v>
      </c>
      <c r="R1202" t="str">
        <f>"22.959534"</f>
        <v>22.959534</v>
      </c>
      <c r="S1202" t="s">
        <v>26</v>
      </c>
    </row>
    <row r="1203" spans="1:19" x14ac:dyDescent="0.3">
      <c r="A1203" t="s">
        <v>25190</v>
      </c>
      <c r="B1203" t="s">
        <v>25764</v>
      </c>
      <c r="C1203" t="s">
        <v>26217</v>
      </c>
      <c r="D1203" t="s">
        <v>25197</v>
      </c>
      <c r="E1203" t="s">
        <v>25203</v>
      </c>
      <c r="F1203" t="s">
        <v>25784</v>
      </c>
      <c r="G1203" t="s">
        <v>25784</v>
      </c>
      <c r="H1203" t="s">
        <v>51</v>
      </c>
      <c r="I1203" t="s">
        <v>52</v>
      </c>
      <c r="J1203" t="str">
        <f>"1901270"</f>
        <v>1901270</v>
      </c>
      <c r="K1203">
        <v>2310655704</v>
      </c>
      <c r="L1203">
        <v>2310655704</v>
      </c>
      <c r="M1203" t="s">
        <v>26218</v>
      </c>
      <c r="N1203" t="s">
        <v>26219</v>
      </c>
      <c r="O1203" t="s">
        <v>26220</v>
      </c>
      <c r="P1203">
        <v>56533</v>
      </c>
      <c r="Q1203" t="str">
        <f>"40.662905"</f>
        <v>40.662905</v>
      </c>
      <c r="R1203" t="str">
        <f>"22.949425"</f>
        <v>22.949425</v>
      </c>
      <c r="S1203" t="s">
        <v>26</v>
      </c>
    </row>
    <row r="1204" spans="1:19" x14ac:dyDescent="0.3">
      <c r="A1204" t="s">
        <v>25190</v>
      </c>
      <c r="B1204" t="s">
        <v>25764</v>
      </c>
      <c r="C1204" t="s">
        <v>26222</v>
      </c>
      <c r="D1204" t="s">
        <v>25197</v>
      </c>
      <c r="E1204" t="s">
        <v>25889</v>
      </c>
      <c r="F1204" t="s">
        <v>25924</v>
      </c>
      <c r="G1204" t="s">
        <v>25924</v>
      </c>
      <c r="H1204" t="s">
        <v>51</v>
      </c>
      <c r="I1204" t="s">
        <v>52</v>
      </c>
      <c r="J1204" t="str">
        <f>"1901256"</f>
        <v>1901256</v>
      </c>
      <c r="K1204">
        <v>2310203027</v>
      </c>
      <c r="L1204">
        <v>2310203243</v>
      </c>
      <c r="M1204" t="s">
        <v>26223</v>
      </c>
      <c r="N1204" t="s">
        <v>25952</v>
      </c>
      <c r="O1204" t="s">
        <v>26224</v>
      </c>
      <c r="P1204">
        <v>56626</v>
      </c>
      <c r="Q1204" t="str">
        <f>"40.644926"</f>
        <v>40.644926</v>
      </c>
      <c r="R1204" t="str">
        <f>"22.957097"</f>
        <v>22.957097</v>
      </c>
      <c r="S1204" t="s">
        <v>26</v>
      </c>
    </row>
    <row r="1205" spans="1:19" x14ac:dyDescent="0.3">
      <c r="A1205" t="s">
        <v>25190</v>
      </c>
      <c r="B1205" t="s">
        <v>25764</v>
      </c>
      <c r="C1205" t="s">
        <v>26225</v>
      </c>
      <c r="D1205" t="s">
        <v>25197</v>
      </c>
      <c r="E1205" t="s">
        <v>25873</v>
      </c>
      <c r="F1205" t="s">
        <v>17906</v>
      </c>
      <c r="G1205" t="s">
        <v>17906</v>
      </c>
      <c r="H1205" t="s">
        <v>51</v>
      </c>
      <c r="I1205" t="s">
        <v>52</v>
      </c>
      <c r="J1205" t="str">
        <f>"1901261"</f>
        <v>1901261</v>
      </c>
      <c r="K1205">
        <v>2310737265</v>
      </c>
      <c r="L1205">
        <v>2316010087</v>
      </c>
      <c r="M1205" t="s">
        <v>26226</v>
      </c>
      <c r="N1205" t="s">
        <v>25838</v>
      </c>
      <c r="O1205" t="s">
        <v>26227</v>
      </c>
      <c r="P1205">
        <v>56123</v>
      </c>
      <c r="Q1205" t="str">
        <f>"40.651856"</f>
        <v>40.651856</v>
      </c>
      <c r="R1205" t="str">
        <f>"22.929675"</f>
        <v>22.929675</v>
      </c>
      <c r="S1205" t="s">
        <v>26</v>
      </c>
    </row>
    <row r="1206" spans="1:19" x14ac:dyDescent="0.3">
      <c r="A1206" t="s">
        <v>25190</v>
      </c>
      <c r="B1206" t="s">
        <v>25764</v>
      </c>
      <c r="C1206" t="s">
        <v>26229</v>
      </c>
      <c r="D1206" t="s">
        <v>25197</v>
      </c>
      <c r="E1206" t="s">
        <v>25966</v>
      </c>
      <c r="F1206" t="s">
        <v>25966</v>
      </c>
      <c r="G1206" t="s">
        <v>25966</v>
      </c>
      <c r="H1206" t="s">
        <v>51</v>
      </c>
      <c r="I1206" t="s">
        <v>52</v>
      </c>
      <c r="J1206" t="str">
        <f>"1914015"</f>
        <v>1914015</v>
      </c>
      <c r="K1206">
        <v>2310695106</v>
      </c>
      <c r="M1206" t="s">
        <v>26230</v>
      </c>
      <c r="N1206" t="s">
        <v>25969</v>
      </c>
      <c r="O1206" t="s">
        <v>26231</v>
      </c>
      <c r="P1206">
        <v>57013</v>
      </c>
      <c r="Q1206" t="str">
        <f>"40.724185"</f>
        <v>40.724185</v>
      </c>
      <c r="R1206" t="str">
        <f>"22.919336"</f>
        <v>22.919336</v>
      </c>
      <c r="S1206" t="s">
        <v>26</v>
      </c>
    </row>
    <row r="1207" spans="1:19" x14ac:dyDescent="0.3">
      <c r="A1207" t="s">
        <v>25190</v>
      </c>
      <c r="B1207" t="s">
        <v>25764</v>
      </c>
      <c r="C1207" t="s">
        <v>26234</v>
      </c>
      <c r="D1207" t="s">
        <v>25197</v>
      </c>
      <c r="E1207" t="s">
        <v>13689</v>
      </c>
      <c r="F1207" t="s">
        <v>26232</v>
      </c>
      <c r="G1207" t="s">
        <v>26233</v>
      </c>
      <c r="H1207" t="s">
        <v>51</v>
      </c>
      <c r="I1207" t="s">
        <v>52</v>
      </c>
      <c r="J1207" t="str">
        <f>"1904052"</f>
        <v>1904052</v>
      </c>
      <c r="K1207">
        <v>2394093208</v>
      </c>
      <c r="L1207">
        <v>2394093208</v>
      </c>
      <c r="M1207" t="s">
        <v>26235</v>
      </c>
      <c r="N1207" t="s">
        <v>26236</v>
      </c>
      <c r="O1207" t="s">
        <v>26237</v>
      </c>
      <c r="P1207">
        <v>57017</v>
      </c>
      <c r="Q1207" t="str">
        <f>"40.928101"</f>
        <v>40.928101</v>
      </c>
      <c r="R1207" t="str">
        <f>"23.179511"</f>
        <v>23.179511</v>
      </c>
      <c r="S1207" t="s">
        <v>26</v>
      </c>
    </row>
    <row r="1208" spans="1:19" x14ac:dyDescent="0.3">
      <c r="A1208" t="s">
        <v>25190</v>
      </c>
      <c r="B1208" t="s">
        <v>25764</v>
      </c>
      <c r="C1208" t="s">
        <v>26239</v>
      </c>
      <c r="D1208" t="s">
        <v>25197</v>
      </c>
      <c r="E1208" t="s">
        <v>25203</v>
      </c>
      <c r="F1208" t="s">
        <v>25784</v>
      </c>
      <c r="G1208" t="s">
        <v>25784</v>
      </c>
      <c r="H1208" t="s">
        <v>51</v>
      </c>
      <c r="I1208" t="s">
        <v>52</v>
      </c>
      <c r="J1208" t="str">
        <f>"1901275"</f>
        <v>1901275</v>
      </c>
      <c r="K1208">
        <v>2310652011</v>
      </c>
      <c r="L1208">
        <v>2310587329</v>
      </c>
      <c r="M1208" t="s">
        <v>26240</v>
      </c>
      <c r="N1208" t="s">
        <v>25787</v>
      </c>
      <c r="O1208" t="s">
        <v>25912</v>
      </c>
      <c r="P1208">
        <v>56533</v>
      </c>
      <c r="Q1208" t="str">
        <f>"40.666838"</f>
        <v>40.666838</v>
      </c>
      <c r="R1208" t="str">
        <f>"22.953639"</f>
        <v>22.953639</v>
      </c>
      <c r="S1208" t="s">
        <v>26</v>
      </c>
    </row>
    <row r="1209" spans="1:19" x14ac:dyDescent="0.3">
      <c r="A1209" t="s">
        <v>25190</v>
      </c>
      <c r="B1209" t="s">
        <v>25764</v>
      </c>
      <c r="C1209" t="s">
        <v>26242</v>
      </c>
      <c r="D1209" t="s">
        <v>25197</v>
      </c>
      <c r="E1209" t="s">
        <v>25790</v>
      </c>
      <c r="F1209" t="s">
        <v>25851</v>
      </c>
      <c r="G1209" t="s">
        <v>26241</v>
      </c>
      <c r="H1209" t="s">
        <v>51</v>
      </c>
      <c r="I1209" t="s">
        <v>52</v>
      </c>
      <c r="J1209" t="str">
        <f>"1901222"</f>
        <v>1901222</v>
      </c>
      <c r="K1209">
        <v>2310781804</v>
      </c>
      <c r="L1209">
        <v>2310781804</v>
      </c>
      <c r="M1209" t="s">
        <v>26243</v>
      </c>
      <c r="N1209" t="s">
        <v>26244</v>
      </c>
      <c r="O1209" t="s">
        <v>26245</v>
      </c>
      <c r="P1209">
        <v>57008</v>
      </c>
      <c r="Q1209" t="str">
        <f>"40.687455"</f>
        <v>40.687455</v>
      </c>
      <c r="R1209" t="str">
        <f>"22.858223"</f>
        <v>22.858223</v>
      </c>
      <c r="S1209" t="s">
        <v>26</v>
      </c>
    </row>
    <row r="1210" spans="1:19" x14ac:dyDescent="0.3">
      <c r="A1210" t="s">
        <v>25190</v>
      </c>
      <c r="B1210" t="s">
        <v>25764</v>
      </c>
      <c r="C1210" t="s">
        <v>26247</v>
      </c>
      <c r="D1210" t="s">
        <v>25197</v>
      </c>
      <c r="E1210" t="s">
        <v>25826</v>
      </c>
      <c r="F1210" t="s">
        <v>25833</v>
      </c>
      <c r="G1210" t="s">
        <v>25833</v>
      </c>
      <c r="H1210" t="s">
        <v>51</v>
      </c>
      <c r="I1210" t="s">
        <v>807</v>
      </c>
      <c r="J1210" t="str">
        <f>"1901192"</f>
        <v>1901192</v>
      </c>
      <c r="K1210">
        <v>2310602559</v>
      </c>
      <c r="L1210">
        <v>2311821589</v>
      </c>
      <c r="M1210" t="s">
        <v>26248</v>
      </c>
      <c r="N1210" t="s">
        <v>26010</v>
      </c>
      <c r="O1210" t="s">
        <v>26249</v>
      </c>
      <c r="P1210">
        <v>56225</v>
      </c>
      <c r="Q1210" t="str">
        <f>"40.671991"</f>
        <v>40.671991</v>
      </c>
      <c r="R1210" t="str">
        <f>"22.912241"</f>
        <v>22.912241</v>
      </c>
      <c r="S1210" t="s">
        <v>26</v>
      </c>
    </row>
    <row r="1211" spans="1:19" x14ac:dyDescent="0.3">
      <c r="A1211" t="s">
        <v>25190</v>
      </c>
      <c r="B1211" t="s">
        <v>25764</v>
      </c>
      <c r="C1211" t="s">
        <v>26251</v>
      </c>
      <c r="D1211" t="s">
        <v>25197</v>
      </c>
      <c r="E1211" t="s">
        <v>25815</v>
      </c>
      <c r="F1211" t="s">
        <v>60</v>
      </c>
      <c r="G1211" t="s">
        <v>26250</v>
      </c>
      <c r="H1211" t="s">
        <v>51</v>
      </c>
      <c r="I1211" t="s">
        <v>52</v>
      </c>
      <c r="J1211" t="str">
        <f>"1916010"</f>
        <v>1916010</v>
      </c>
      <c r="K1211">
        <v>2310715301</v>
      </c>
      <c r="L1211">
        <v>2310729937</v>
      </c>
      <c r="M1211" t="s">
        <v>26252</v>
      </c>
      <c r="N1211" t="s">
        <v>26253</v>
      </c>
      <c r="O1211" t="s">
        <v>26254</v>
      </c>
      <c r="P1211">
        <v>57011</v>
      </c>
      <c r="Q1211" t="str">
        <f>"40.734187"</f>
        <v>40.734187</v>
      </c>
      <c r="R1211" t="str">
        <f>"22.691519"</f>
        <v>22.691519</v>
      </c>
      <c r="S1211" t="s">
        <v>26</v>
      </c>
    </row>
    <row r="1212" spans="1:19" x14ac:dyDescent="0.3">
      <c r="A1212" t="s">
        <v>25190</v>
      </c>
      <c r="B1212" t="s">
        <v>25764</v>
      </c>
      <c r="C1212" t="s">
        <v>26256</v>
      </c>
      <c r="D1212" t="s">
        <v>25197</v>
      </c>
      <c r="E1212" t="s">
        <v>25790</v>
      </c>
      <c r="F1212" t="s">
        <v>25896</v>
      </c>
      <c r="G1212" t="s">
        <v>17625</v>
      </c>
      <c r="H1212" t="s">
        <v>51</v>
      </c>
      <c r="I1212" t="s">
        <v>52</v>
      </c>
      <c r="J1212" t="str">
        <f>"1915020"</f>
        <v>1915020</v>
      </c>
      <c r="K1212">
        <v>2310718050</v>
      </c>
      <c r="L1212">
        <v>2310718050</v>
      </c>
      <c r="M1212" t="s">
        <v>26257</v>
      </c>
      <c r="N1212" t="s">
        <v>26258</v>
      </c>
      <c r="O1212" t="s">
        <v>18130</v>
      </c>
      <c r="P1212">
        <v>57300</v>
      </c>
      <c r="Q1212" t="str">
        <f>"40.659270"</f>
        <v>40.659270</v>
      </c>
      <c r="R1212" t="str">
        <f>"22.716130"</f>
        <v>22.716130</v>
      </c>
      <c r="S1212" t="s">
        <v>26</v>
      </c>
    </row>
    <row r="1213" spans="1:19" x14ac:dyDescent="0.3">
      <c r="A1213" t="s">
        <v>25190</v>
      </c>
      <c r="B1213" t="s">
        <v>25764</v>
      </c>
      <c r="C1213" t="s">
        <v>26260</v>
      </c>
      <c r="D1213" t="s">
        <v>25197</v>
      </c>
      <c r="E1213" t="s">
        <v>25889</v>
      </c>
      <c r="F1213" t="s">
        <v>26080</v>
      </c>
      <c r="G1213" t="s">
        <v>26080</v>
      </c>
      <c r="H1213" t="s">
        <v>51</v>
      </c>
      <c r="I1213" t="s">
        <v>52</v>
      </c>
      <c r="J1213" t="str">
        <f>"1909018"</f>
        <v>1909018</v>
      </c>
      <c r="K1213">
        <v>2310674659</v>
      </c>
      <c r="L1213">
        <v>2310673944</v>
      </c>
      <c r="M1213" t="s">
        <v>26261</v>
      </c>
      <c r="N1213" t="s">
        <v>26262</v>
      </c>
      <c r="O1213" t="s">
        <v>26263</v>
      </c>
      <c r="P1213">
        <v>57010</v>
      </c>
      <c r="Q1213" t="str">
        <f>"40.656769"</f>
        <v>40.656769</v>
      </c>
      <c r="R1213" t="str">
        <f>"22.998798"</f>
        <v>22.998798</v>
      </c>
      <c r="S1213" t="s">
        <v>26</v>
      </c>
    </row>
    <row r="1214" spans="1:19" x14ac:dyDescent="0.3">
      <c r="A1214" t="s">
        <v>25190</v>
      </c>
      <c r="B1214" t="s">
        <v>25764</v>
      </c>
      <c r="C1214" t="s">
        <v>26265</v>
      </c>
      <c r="D1214" t="s">
        <v>25197</v>
      </c>
      <c r="E1214" t="s">
        <v>25790</v>
      </c>
      <c r="F1214" t="s">
        <v>25791</v>
      </c>
      <c r="G1214" t="s">
        <v>25792</v>
      </c>
      <c r="H1214" t="s">
        <v>51</v>
      </c>
      <c r="I1214" t="s">
        <v>52</v>
      </c>
      <c r="J1214" t="str">
        <f>"1913020"</f>
        <v>1913020</v>
      </c>
      <c r="K1214">
        <v>2391041285</v>
      </c>
      <c r="L1214">
        <v>2391043234</v>
      </c>
      <c r="M1214" t="s">
        <v>26266</v>
      </c>
      <c r="N1214" t="s">
        <v>26267</v>
      </c>
      <c r="O1214" t="s">
        <v>26268</v>
      </c>
      <c r="P1214">
        <v>57300</v>
      </c>
      <c r="Q1214" t="str">
        <f>"40.618071"</f>
        <v>40.618071</v>
      </c>
      <c r="R1214" t="str">
        <f>"22.699303"</f>
        <v>22.699303</v>
      </c>
      <c r="S1214" t="s">
        <v>26</v>
      </c>
    </row>
    <row r="1215" spans="1:19" x14ac:dyDescent="0.3">
      <c r="A1215" t="s">
        <v>25190</v>
      </c>
      <c r="B1215" t="s">
        <v>25764</v>
      </c>
      <c r="C1215" t="s">
        <v>26269</v>
      </c>
      <c r="D1215" t="s">
        <v>25197</v>
      </c>
      <c r="E1215" t="s">
        <v>25826</v>
      </c>
      <c r="F1215" t="s">
        <v>25833</v>
      </c>
      <c r="G1215" t="s">
        <v>25833</v>
      </c>
      <c r="H1215" t="s">
        <v>51</v>
      </c>
      <c r="I1215" t="s">
        <v>52</v>
      </c>
      <c r="J1215" t="str">
        <f>"1901274"</f>
        <v>1901274</v>
      </c>
      <c r="K1215">
        <v>2310666443</v>
      </c>
      <c r="L1215">
        <v>2310666443</v>
      </c>
      <c r="M1215" t="s">
        <v>26270</v>
      </c>
      <c r="N1215" t="s">
        <v>25836</v>
      </c>
      <c r="O1215" t="s">
        <v>26271</v>
      </c>
      <c r="P1215">
        <v>56431</v>
      </c>
      <c r="Q1215" t="str">
        <f>"40.665638"</f>
        <v>40.665638</v>
      </c>
      <c r="R1215" t="str">
        <f>"22.924822"</f>
        <v>22.924822</v>
      </c>
      <c r="S1215" t="s">
        <v>26</v>
      </c>
    </row>
    <row r="1216" spans="1:19" x14ac:dyDescent="0.3">
      <c r="A1216" t="s">
        <v>25190</v>
      </c>
      <c r="B1216" t="s">
        <v>25764</v>
      </c>
      <c r="C1216" t="s">
        <v>26272</v>
      </c>
      <c r="D1216" t="s">
        <v>25197</v>
      </c>
      <c r="E1216" t="s">
        <v>25873</v>
      </c>
      <c r="F1216" t="s">
        <v>17906</v>
      </c>
      <c r="G1216" t="s">
        <v>17906</v>
      </c>
      <c r="H1216" t="s">
        <v>51</v>
      </c>
      <c r="I1216" t="s">
        <v>52</v>
      </c>
      <c r="J1216" t="str">
        <f>"1901264"</f>
        <v>1901264</v>
      </c>
      <c r="K1216">
        <v>2310737590</v>
      </c>
      <c r="L1216">
        <v>2310724347</v>
      </c>
      <c r="M1216" t="s">
        <v>26273</v>
      </c>
      <c r="N1216" t="s">
        <v>25838</v>
      </c>
      <c r="O1216" t="s">
        <v>26274</v>
      </c>
      <c r="P1216">
        <v>56121</v>
      </c>
      <c r="Q1216" t="str">
        <f>"40.651524"</f>
        <v>40.651524</v>
      </c>
      <c r="R1216" t="str">
        <f>"22.918975"</f>
        <v>22.918975</v>
      </c>
      <c r="S1216" t="s">
        <v>26</v>
      </c>
    </row>
    <row r="1217" spans="1:19" x14ac:dyDescent="0.3">
      <c r="A1217" t="s">
        <v>25190</v>
      </c>
      <c r="B1217" t="s">
        <v>25764</v>
      </c>
      <c r="C1217" t="s">
        <v>26276</v>
      </c>
      <c r="D1217" t="s">
        <v>25197</v>
      </c>
      <c r="E1217" t="s">
        <v>25203</v>
      </c>
      <c r="F1217" t="s">
        <v>595</v>
      </c>
      <c r="G1217" t="s">
        <v>595</v>
      </c>
      <c r="H1217" t="s">
        <v>51</v>
      </c>
      <c r="I1217" t="s">
        <v>52</v>
      </c>
      <c r="J1217" t="str">
        <f>"1901283"</f>
        <v>1901283</v>
      </c>
      <c r="K1217">
        <v>2310601097</v>
      </c>
      <c r="L1217">
        <v>2310601097</v>
      </c>
      <c r="M1217" t="s">
        <v>26277</v>
      </c>
      <c r="N1217" t="s">
        <v>2473</v>
      </c>
      <c r="O1217" t="s">
        <v>26278</v>
      </c>
      <c r="P1217">
        <v>56430</v>
      </c>
      <c r="Q1217" t="str">
        <f>"40.680692"</f>
        <v>40.680692</v>
      </c>
      <c r="R1217" t="str">
        <f>"22.933400"</f>
        <v>22.933400</v>
      </c>
      <c r="S1217" t="s">
        <v>26</v>
      </c>
    </row>
    <row r="1218" spans="1:19" x14ac:dyDescent="0.3">
      <c r="A1218" t="s">
        <v>25190</v>
      </c>
      <c r="B1218" t="s">
        <v>25764</v>
      </c>
      <c r="C1218" t="s">
        <v>26280</v>
      </c>
      <c r="D1218" t="s">
        <v>25197</v>
      </c>
      <c r="E1218" t="s">
        <v>25873</v>
      </c>
      <c r="F1218" t="s">
        <v>17906</v>
      </c>
      <c r="G1218" t="s">
        <v>17906</v>
      </c>
      <c r="H1218" t="s">
        <v>51</v>
      </c>
      <c r="I1218" t="s">
        <v>184</v>
      </c>
      <c r="J1218" t="str">
        <f>"1901255"</f>
        <v>1901255</v>
      </c>
      <c r="K1218">
        <v>2310742004</v>
      </c>
      <c r="L1218">
        <v>2310742004</v>
      </c>
      <c r="M1218" t="s">
        <v>26281</v>
      </c>
      <c r="N1218" t="s">
        <v>26282</v>
      </c>
      <c r="O1218" t="s">
        <v>26283</v>
      </c>
      <c r="P1218">
        <v>56121</v>
      </c>
      <c r="Q1218" t="str">
        <f>"40.651763"</f>
        <v>40.651763</v>
      </c>
      <c r="R1218" t="str">
        <f>"22.919154"</f>
        <v>22.919154</v>
      </c>
      <c r="S1218" t="s">
        <v>26</v>
      </c>
    </row>
    <row r="1219" spans="1:19" x14ac:dyDescent="0.3">
      <c r="A1219" t="s">
        <v>25190</v>
      </c>
      <c r="B1219" t="s">
        <v>25764</v>
      </c>
      <c r="C1219" t="s">
        <v>26284</v>
      </c>
      <c r="D1219" t="s">
        <v>25197</v>
      </c>
      <c r="E1219" t="s">
        <v>25826</v>
      </c>
      <c r="F1219" t="s">
        <v>25833</v>
      </c>
      <c r="G1219" t="s">
        <v>25833</v>
      </c>
      <c r="H1219" t="s">
        <v>51</v>
      </c>
      <c r="I1219" t="s">
        <v>52</v>
      </c>
      <c r="J1219" t="str">
        <f>"1901279"</f>
        <v>1901279</v>
      </c>
      <c r="K1219">
        <v>2310759019</v>
      </c>
      <c r="L1219">
        <v>2310759035</v>
      </c>
      <c r="M1219" t="s">
        <v>26285</v>
      </c>
      <c r="N1219" t="s">
        <v>26286</v>
      </c>
      <c r="O1219" t="s">
        <v>26287</v>
      </c>
      <c r="P1219">
        <v>56224</v>
      </c>
      <c r="Q1219" t="str">
        <f>"40.662242"</f>
        <v>40.662242</v>
      </c>
      <c r="R1219" t="str">
        <f>"22.901104"</f>
        <v>22.901104</v>
      </c>
      <c r="S1219" t="s">
        <v>26</v>
      </c>
    </row>
    <row r="1220" spans="1:19" x14ac:dyDescent="0.3">
      <c r="A1220" t="s">
        <v>25190</v>
      </c>
      <c r="B1220" t="s">
        <v>25764</v>
      </c>
      <c r="C1220" t="s">
        <v>26289</v>
      </c>
      <c r="D1220" t="s">
        <v>25197</v>
      </c>
      <c r="E1220" t="s">
        <v>25826</v>
      </c>
      <c r="F1220" t="s">
        <v>25827</v>
      </c>
      <c r="G1220" t="s">
        <v>25827</v>
      </c>
      <c r="H1220" t="s">
        <v>51</v>
      </c>
      <c r="I1220" t="s">
        <v>52</v>
      </c>
      <c r="J1220" t="str">
        <f>"1901229"</f>
        <v>1901229</v>
      </c>
      <c r="K1220">
        <v>2310761800</v>
      </c>
      <c r="L1220">
        <v>2310761800</v>
      </c>
      <c r="M1220" t="s">
        <v>26290</v>
      </c>
      <c r="N1220" t="s">
        <v>26291</v>
      </c>
      <c r="O1220" t="s">
        <v>26145</v>
      </c>
      <c r="P1220">
        <v>56334</v>
      </c>
      <c r="Q1220" t="str">
        <f>"40.672948"</f>
        <v>40.672948</v>
      </c>
      <c r="R1220" t="str">
        <f>"22.890096"</f>
        <v>22.890096</v>
      </c>
      <c r="S1220" t="s">
        <v>26</v>
      </c>
    </row>
    <row r="1221" spans="1:19" x14ac:dyDescent="0.3">
      <c r="A1221" t="s">
        <v>25190</v>
      </c>
      <c r="B1221" t="s">
        <v>25764</v>
      </c>
      <c r="C1221" t="s">
        <v>26292</v>
      </c>
      <c r="D1221" t="s">
        <v>25197</v>
      </c>
      <c r="E1221" t="s">
        <v>25790</v>
      </c>
      <c r="F1221" t="s">
        <v>25851</v>
      </c>
      <c r="G1221" t="s">
        <v>25852</v>
      </c>
      <c r="H1221" t="s">
        <v>51</v>
      </c>
      <c r="I1221" t="s">
        <v>52</v>
      </c>
      <c r="J1221" t="str">
        <f>"1918010"</f>
        <v>1918010</v>
      </c>
      <c r="K1221">
        <v>2310796601</v>
      </c>
      <c r="L1221">
        <v>2310797801</v>
      </c>
      <c r="M1221" t="s">
        <v>26293</v>
      </c>
      <c r="N1221" t="s">
        <v>25855</v>
      </c>
      <c r="O1221" t="s">
        <v>8806</v>
      </c>
      <c r="P1221">
        <v>57400</v>
      </c>
      <c r="Q1221" t="str">
        <f>"40.663853"</f>
        <v>40.663853</v>
      </c>
      <c r="R1221" t="str">
        <f>"22.805296"</f>
        <v>22.805296</v>
      </c>
      <c r="S1221" t="s">
        <v>26</v>
      </c>
    </row>
    <row r="1222" spans="1:19" x14ac:dyDescent="0.3">
      <c r="A1222" t="s">
        <v>25190</v>
      </c>
      <c r="B1222" t="s">
        <v>25764</v>
      </c>
      <c r="C1222" t="s">
        <v>26295</v>
      </c>
      <c r="D1222" t="s">
        <v>25197</v>
      </c>
      <c r="E1222" t="s">
        <v>13689</v>
      </c>
      <c r="F1222" t="s">
        <v>13689</v>
      </c>
      <c r="G1222" t="s">
        <v>13689</v>
      </c>
      <c r="H1222" t="s">
        <v>51</v>
      </c>
      <c r="I1222" t="s">
        <v>52</v>
      </c>
      <c r="J1222" t="str">
        <f>"1904011"</f>
        <v>1904011</v>
      </c>
      <c r="K1222">
        <v>2394024354</v>
      </c>
      <c r="L1222">
        <v>2394024354</v>
      </c>
      <c r="M1222" t="s">
        <v>26296</v>
      </c>
      <c r="N1222" t="s">
        <v>26297</v>
      </c>
      <c r="O1222" t="s">
        <v>26128</v>
      </c>
      <c r="P1222">
        <v>57200</v>
      </c>
      <c r="Q1222" t="str">
        <f>"40.747729"</f>
        <v>40.747729</v>
      </c>
      <c r="R1222" t="str">
        <f>"23.071461"</f>
        <v>23.071461</v>
      </c>
      <c r="S1222" t="s">
        <v>26</v>
      </c>
    </row>
    <row r="1223" spans="1:19" x14ac:dyDescent="0.3">
      <c r="A1223" t="s">
        <v>25190</v>
      </c>
      <c r="B1223" t="s">
        <v>25764</v>
      </c>
      <c r="C1223" t="s">
        <v>26298</v>
      </c>
      <c r="D1223" t="s">
        <v>25197</v>
      </c>
      <c r="E1223" t="s">
        <v>25889</v>
      </c>
      <c r="F1223" t="s">
        <v>25890</v>
      </c>
      <c r="G1223" t="s">
        <v>25890</v>
      </c>
      <c r="H1223" t="s">
        <v>51</v>
      </c>
      <c r="I1223" t="s">
        <v>52</v>
      </c>
      <c r="J1223" t="str">
        <f>"1901228"</f>
        <v>1901228</v>
      </c>
      <c r="K1223">
        <v>2310622809</v>
      </c>
      <c r="L1223">
        <v>2310622809</v>
      </c>
      <c r="M1223" t="s">
        <v>26299</v>
      </c>
      <c r="N1223" t="s">
        <v>26098</v>
      </c>
      <c r="O1223" t="s">
        <v>26088</v>
      </c>
      <c r="P1223">
        <v>56700</v>
      </c>
      <c r="Q1223" t="str">
        <f>"40.655732"</f>
        <v>40.655732</v>
      </c>
      <c r="R1223" t="str">
        <f>"22.942620"</f>
        <v>22.942620</v>
      </c>
      <c r="S1223" t="s">
        <v>26</v>
      </c>
    </row>
    <row r="1224" spans="1:19" x14ac:dyDescent="0.3">
      <c r="A1224" t="s">
        <v>25190</v>
      </c>
      <c r="B1224" t="s">
        <v>25764</v>
      </c>
      <c r="C1224" t="s">
        <v>26301</v>
      </c>
      <c r="D1224" t="s">
        <v>25197</v>
      </c>
      <c r="E1224" t="s">
        <v>25889</v>
      </c>
      <c r="F1224" t="s">
        <v>25890</v>
      </c>
      <c r="G1224" t="s">
        <v>25890</v>
      </c>
      <c r="H1224" t="s">
        <v>51</v>
      </c>
      <c r="I1224" t="s">
        <v>52</v>
      </c>
      <c r="J1224" t="str">
        <f>"1901131"</f>
        <v>1901131</v>
      </c>
      <c r="K1224">
        <v>2310614082</v>
      </c>
      <c r="L1224">
        <v>2310614082</v>
      </c>
      <c r="M1224" t="s">
        <v>26302</v>
      </c>
      <c r="N1224" t="s">
        <v>26098</v>
      </c>
      <c r="O1224" t="s">
        <v>26088</v>
      </c>
      <c r="P1224">
        <v>56700</v>
      </c>
      <c r="Q1224" t="str">
        <f>"40.656261"</f>
        <v>40.656261</v>
      </c>
      <c r="R1224" t="str">
        <f>"22.942311"</f>
        <v>22.942311</v>
      </c>
      <c r="S1224" t="s">
        <v>26</v>
      </c>
    </row>
    <row r="1225" spans="1:19" x14ac:dyDescent="0.3">
      <c r="A1225" t="s">
        <v>25190</v>
      </c>
      <c r="B1225" t="s">
        <v>25764</v>
      </c>
      <c r="C1225" t="s">
        <v>26303</v>
      </c>
      <c r="D1225" t="s">
        <v>25197</v>
      </c>
      <c r="E1225" t="s">
        <v>25203</v>
      </c>
      <c r="F1225" t="s">
        <v>595</v>
      </c>
      <c r="G1225" t="s">
        <v>595</v>
      </c>
      <c r="H1225" t="s">
        <v>51</v>
      </c>
      <c r="I1225" t="s">
        <v>52</v>
      </c>
      <c r="J1225" t="str">
        <f>"1901267"</f>
        <v>1901267</v>
      </c>
      <c r="K1225">
        <v>2310641200</v>
      </c>
      <c r="L1225">
        <v>2310641200</v>
      </c>
      <c r="M1225" t="s">
        <v>26304</v>
      </c>
      <c r="N1225" t="s">
        <v>2473</v>
      </c>
      <c r="O1225" t="s">
        <v>26305</v>
      </c>
      <c r="P1225">
        <v>56431</v>
      </c>
      <c r="Q1225" t="str">
        <f>"40.671747"</f>
        <v>40.671747</v>
      </c>
      <c r="R1225" t="str">
        <f>"22.931837"</f>
        <v>22.931837</v>
      </c>
      <c r="S1225" t="s">
        <v>26</v>
      </c>
    </row>
    <row r="1226" spans="1:19" x14ac:dyDescent="0.3">
      <c r="A1226" t="s">
        <v>25190</v>
      </c>
      <c r="B1226" t="s">
        <v>25764</v>
      </c>
      <c r="C1226" t="s">
        <v>26307</v>
      </c>
      <c r="D1226" t="s">
        <v>25197</v>
      </c>
      <c r="E1226" t="s">
        <v>25815</v>
      </c>
      <c r="F1226" t="s">
        <v>60</v>
      </c>
      <c r="G1226" t="s">
        <v>60</v>
      </c>
      <c r="H1226" t="s">
        <v>51</v>
      </c>
      <c r="I1226" t="s">
        <v>52</v>
      </c>
      <c r="J1226" t="str">
        <f>"1901220"</f>
        <v>1901220</v>
      </c>
      <c r="K1226">
        <v>2310701366</v>
      </c>
      <c r="L1226">
        <v>2310701323</v>
      </c>
      <c r="M1226" t="s">
        <v>26308</v>
      </c>
      <c r="N1226" t="s">
        <v>25957</v>
      </c>
      <c r="O1226" t="s">
        <v>26309</v>
      </c>
      <c r="P1226">
        <v>57003</v>
      </c>
      <c r="Q1226" t="str">
        <f>"40.712246"</f>
        <v>40.712246</v>
      </c>
      <c r="R1226" t="str">
        <f>"22.729603"</f>
        <v>22.729603</v>
      </c>
      <c r="S1226" t="s">
        <v>26</v>
      </c>
    </row>
    <row r="1227" spans="1:19" x14ac:dyDescent="0.3">
      <c r="A1227" t="s">
        <v>25190</v>
      </c>
      <c r="B1227" t="s">
        <v>25764</v>
      </c>
      <c r="C1227" t="s">
        <v>26318</v>
      </c>
      <c r="D1227" t="s">
        <v>25197</v>
      </c>
      <c r="E1227" t="s">
        <v>25873</v>
      </c>
      <c r="F1227" t="s">
        <v>25992</v>
      </c>
      <c r="G1227" t="s">
        <v>25992</v>
      </c>
      <c r="H1227" t="s">
        <v>51</v>
      </c>
      <c r="I1227" t="s">
        <v>89</v>
      </c>
      <c r="J1227" t="str">
        <f>"1901041"</f>
        <v>1901041</v>
      </c>
      <c r="K1227">
        <v>2310764115</v>
      </c>
      <c r="L1227">
        <v>2310700146</v>
      </c>
      <c r="M1227" t="s">
        <v>26319</v>
      </c>
      <c r="N1227" t="s">
        <v>26320</v>
      </c>
      <c r="O1227" t="s">
        <v>26321</v>
      </c>
      <c r="P1227">
        <v>54628</v>
      </c>
      <c r="Q1227" t="str">
        <f>"40.657133"</f>
        <v>40.657133</v>
      </c>
      <c r="R1227" t="str">
        <f>"22.896178"</f>
        <v>22.896178</v>
      </c>
      <c r="S1227" t="s">
        <v>26</v>
      </c>
    </row>
    <row r="1228" spans="1:19" x14ac:dyDescent="0.3">
      <c r="A1228" t="s">
        <v>25190</v>
      </c>
      <c r="B1228" t="s">
        <v>25764</v>
      </c>
      <c r="C1228" t="s">
        <v>26322</v>
      </c>
      <c r="D1228" t="s">
        <v>25197</v>
      </c>
      <c r="E1228" t="s">
        <v>25889</v>
      </c>
      <c r="F1228" t="s">
        <v>25890</v>
      </c>
      <c r="G1228" t="s">
        <v>25890</v>
      </c>
      <c r="H1228" t="s">
        <v>51</v>
      </c>
      <c r="I1228" t="s">
        <v>52</v>
      </c>
      <c r="J1228" t="str">
        <f>"1901061"</f>
        <v>1901061</v>
      </c>
      <c r="K1228">
        <v>2310619653</v>
      </c>
      <c r="L1228">
        <v>2310619653</v>
      </c>
      <c r="M1228" t="s">
        <v>26323</v>
      </c>
      <c r="N1228" t="s">
        <v>26098</v>
      </c>
      <c r="O1228" t="s">
        <v>26300</v>
      </c>
      <c r="P1228">
        <v>56701</v>
      </c>
      <c r="Q1228" t="str">
        <f>"40.654446"</f>
        <v>40.654446</v>
      </c>
      <c r="R1228" t="str">
        <f>"22.943639"</f>
        <v>22.943639</v>
      </c>
      <c r="S1228" t="s">
        <v>26</v>
      </c>
    </row>
    <row r="1229" spans="1:19" x14ac:dyDescent="0.3">
      <c r="A1229" t="s">
        <v>25190</v>
      </c>
      <c r="B1229" t="s">
        <v>25764</v>
      </c>
      <c r="C1229" t="s">
        <v>26324</v>
      </c>
      <c r="D1229" t="s">
        <v>25197</v>
      </c>
      <c r="E1229" t="s">
        <v>25826</v>
      </c>
      <c r="F1229" t="s">
        <v>25833</v>
      </c>
      <c r="G1229" t="s">
        <v>25833</v>
      </c>
      <c r="H1229" t="s">
        <v>51</v>
      </c>
      <c r="I1229" t="s">
        <v>52</v>
      </c>
      <c r="J1229" t="str">
        <f>"1901269"</f>
        <v>1901269</v>
      </c>
      <c r="K1229">
        <v>2310607515</v>
      </c>
      <c r="L1229">
        <v>2310607515</v>
      </c>
      <c r="M1229" t="s">
        <v>26325</v>
      </c>
      <c r="N1229" t="s">
        <v>26010</v>
      </c>
      <c r="O1229" t="s">
        <v>26326</v>
      </c>
      <c r="P1229">
        <v>56431</v>
      </c>
      <c r="Q1229" t="str">
        <f>"40.665819"</f>
        <v>40.665819</v>
      </c>
      <c r="R1229" t="str">
        <f>"22.924720"</f>
        <v>22.924720</v>
      </c>
      <c r="S1229" t="s">
        <v>26</v>
      </c>
    </row>
    <row r="1230" spans="1:19" x14ac:dyDescent="0.3">
      <c r="A1230" t="s">
        <v>25190</v>
      </c>
      <c r="B1230" t="s">
        <v>25764</v>
      </c>
      <c r="C1230" t="s">
        <v>26328</v>
      </c>
      <c r="D1230" t="s">
        <v>25197</v>
      </c>
      <c r="E1230" t="s">
        <v>25765</v>
      </c>
      <c r="F1230" t="s">
        <v>26327</v>
      </c>
      <c r="G1230" t="s">
        <v>26327</v>
      </c>
      <c r="H1230" t="s">
        <v>51</v>
      </c>
      <c r="I1230" t="s">
        <v>52</v>
      </c>
      <c r="J1230" t="str">
        <f>"1907030"</f>
        <v>1907030</v>
      </c>
      <c r="K1230">
        <v>2395041325</v>
      </c>
      <c r="L1230">
        <v>2395041325</v>
      </c>
      <c r="M1230" t="s">
        <v>26329</v>
      </c>
      <c r="N1230" t="s">
        <v>26330</v>
      </c>
      <c r="O1230" t="s">
        <v>26331</v>
      </c>
      <c r="P1230">
        <v>57021</v>
      </c>
      <c r="Q1230" t="str">
        <f>"40.741829"</f>
        <v>40.741829</v>
      </c>
      <c r="R1230" t="str">
        <f>"23.589837"</f>
        <v>23.589837</v>
      </c>
      <c r="S1230" t="s">
        <v>26</v>
      </c>
    </row>
    <row r="1231" spans="1:19" x14ac:dyDescent="0.3">
      <c r="A1231" t="s">
        <v>25190</v>
      </c>
      <c r="B1231" t="s">
        <v>25764</v>
      </c>
      <c r="C1231" t="s">
        <v>26333</v>
      </c>
      <c r="D1231" t="s">
        <v>25197</v>
      </c>
      <c r="E1231" t="s">
        <v>25826</v>
      </c>
      <c r="F1231" t="s">
        <v>25827</v>
      </c>
      <c r="G1231" t="s">
        <v>25827</v>
      </c>
      <c r="H1231" t="s">
        <v>51</v>
      </c>
      <c r="I1231" t="s">
        <v>52</v>
      </c>
      <c r="J1231" t="str">
        <f>"1901227"</f>
        <v>1901227</v>
      </c>
      <c r="K1231">
        <v>2310765777</v>
      </c>
      <c r="L1231">
        <v>2310700182</v>
      </c>
      <c r="M1231" t="s">
        <v>26334</v>
      </c>
      <c r="N1231" t="s">
        <v>26335</v>
      </c>
      <c r="O1231" t="s">
        <v>26336</v>
      </c>
      <c r="P1231">
        <v>56334</v>
      </c>
      <c r="Q1231" t="str">
        <f>"40.658877"</f>
        <v>40.658877</v>
      </c>
      <c r="R1231" t="str">
        <f>"22.922557"</f>
        <v>22.922557</v>
      </c>
      <c r="S1231" t="s">
        <v>26</v>
      </c>
    </row>
    <row r="1232" spans="1:19" x14ac:dyDescent="0.3">
      <c r="A1232" t="s">
        <v>25190</v>
      </c>
      <c r="B1232" t="s">
        <v>25764</v>
      </c>
      <c r="C1232" t="s">
        <v>26347</v>
      </c>
      <c r="D1232" t="s">
        <v>25197</v>
      </c>
      <c r="E1232" t="s">
        <v>25966</v>
      </c>
      <c r="F1232" t="s">
        <v>25966</v>
      </c>
      <c r="G1232" t="s">
        <v>25966</v>
      </c>
      <c r="H1232" t="s">
        <v>51</v>
      </c>
      <c r="I1232" t="s">
        <v>52</v>
      </c>
      <c r="J1232" t="str">
        <f>"1914020"</f>
        <v>1914020</v>
      </c>
      <c r="K1232">
        <v>2310699639</v>
      </c>
      <c r="L1232">
        <v>2310699639</v>
      </c>
      <c r="M1232" t="s">
        <v>26348</v>
      </c>
      <c r="N1232" t="s">
        <v>13558</v>
      </c>
      <c r="O1232" t="s">
        <v>26349</v>
      </c>
      <c r="P1232">
        <v>57013</v>
      </c>
      <c r="Q1232" t="str">
        <f>"40.722609"</f>
        <v>40.722609</v>
      </c>
      <c r="R1232" t="str">
        <f>"22.911019"</f>
        <v>22.911019</v>
      </c>
      <c r="S1232" t="s">
        <v>26</v>
      </c>
    </row>
    <row r="1233" spans="1:19" x14ac:dyDescent="0.3">
      <c r="A1233" t="s">
        <v>25190</v>
      </c>
      <c r="B1233" t="s">
        <v>25764</v>
      </c>
      <c r="C1233" t="s">
        <v>26351</v>
      </c>
      <c r="D1233" t="s">
        <v>25197</v>
      </c>
      <c r="E1233" t="s">
        <v>25873</v>
      </c>
      <c r="F1233" t="s">
        <v>17906</v>
      </c>
      <c r="G1233" t="s">
        <v>17906</v>
      </c>
      <c r="H1233" t="s">
        <v>51</v>
      </c>
      <c r="I1233" t="s">
        <v>4194</v>
      </c>
      <c r="J1233" t="str">
        <f>"1915025"</f>
        <v>1915025</v>
      </c>
      <c r="K1233">
        <v>2310727341</v>
      </c>
      <c r="L1233">
        <v>2316010971</v>
      </c>
      <c r="M1233" t="s">
        <v>26352</v>
      </c>
      <c r="N1233" t="s">
        <v>26353</v>
      </c>
      <c r="O1233" t="s">
        <v>26354</v>
      </c>
      <c r="P1233">
        <v>56121</v>
      </c>
      <c r="Q1233" t="str">
        <f>"40.655231"</f>
        <v>40.655231</v>
      </c>
      <c r="R1233" t="str">
        <f>"22.922376"</f>
        <v>22.922376</v>
      </c>
      <c r="S1233" t="s">
        <v>26</v>
      </c>
    </row>
    <row r="1234" spans="1:19" x14ac:dyDescent="0.3">
      <c r="A1234" t="s">
        <v>25190</v>
      </c>
      <c r="B1234" t="s">
        <v>25764</v>
      </c>
      <c r="C1234" t="s">
        <v>26362</v>
      </c>
      <c r="D1234" t="s">
        <v>25197</v>
      </c>
      <c r="E1234" t="s">
        <v>25889</v>
      </c>
      <c r="F1234" t="s">
        <v>26080</v>
      </c>
      <c r="G1234" t="s">
        <v>26080</v>
      </c>
      <c r="H1234" t="s">
        <v>51</v>
      </c>
      <c r="I1234" t="s">
        <v>199</v>
      </c>
      <c r="J1234" t="str">
        <f>"1951006"</f>
        <v>1951006</v>
      </c>
      <c r="K1234">
        <v>2310676280</v>
      </c>
      <c r="L1234">
        <v>2310676280</v>
      </c>
      <c r="M1234" t="s">
        <v>26363</v>
      </c>
      <c r="N1234" t="s">
        <v>26262</v>
      </c>
      <c r="O1234" t="s">
        <v>26364</v>
      </c>
      <c r="P1234">
        <v>57010</v>
      </c>
      <c r="Q1234" t="str">
        <f>"40.665610"</f>
        <v>40.665610</v>
      </c>
      <c r="R1234" t="str">
        <f>"22.985623"</f>
        <v>22.985623</v>
      </c>
      <c r="S1234" t="s">
        <v>26</v>
      </c>
    </row>
    <row r="1235" spans="1:19" x14ac:dyDescent="0.3">
      <c r="A1235" t="s">
        <v>25190</v>
      </c>
      <c r="B1235" t="s">
        <v>25764</v>
      </c>
      <c r="C1235" t="s">
        <v>26375</v>
      </c>
      <c r="D1235" t="s">
        <v>25197</v>
      </c>
      <c r="E1235" t="s">
        <v>25826</v>
      </c>
      <c r="F1235" t="s">
        <v>25833</v>
      </c>
      <c r="G1235" t="s">
        <v>25833</v>
      </c>
      <c r="H1235" t="s">
        <v>51</v>
      </c>
      <c r="I1235" t="s">
        <v>52</v>
      </c>
      <c r="J1235" t="str">
        <f>"1935002"</f>
        <v>1935002</v>
      </c>
      <c r="N1235" t="s">
        <v>25836</v>
      </c>
      <c r="P1235">
        <v>0</v>
      </c>
      <c r="Q1235" t="str">
        <f>""</f>
        <v/>
      </c>
      <c r="R1235" t="str">
        <f>""</f>
        <v/>
      </c>
      <c r="S1235" t="s">
        <v>26</v>
      </c>
    </row>
    <row r="1236" spans="1:19" x14ac:dyDescent="0.3">
      <c r="A1236" t="s">
        <v>25190</v>
      </c>
      <c r="B1236" t="s">
        <v>25764</v>
      </c>
      <c r="C1236" t="s">
        <v>26378</v>
      </c>
      <c r="D1236" t="s">
        <v>25197</v>
      </c>
      <c r="E1236" t="s">
        <v>25790</v>
      </c>
      <c r="F1236" t="s">
        <v>25851</v>
      </c>
      <c r="G1236" t="s">
        <v>25852</v>
      </c>
      <c r="H1236" t="s">
        <v>51</v>
      </c>
      <c r="I1236" t="s">
        <v>52</v>
      </c>
      <c r="J1236" t="str">
        <f>"1935003"</f>
        <v>1935003</v>
      </c>
      <c r="K1236">
        <v>2316009407</v>
      </c>
      <c r="L1236">
        <v>2316009408</v>
      </c>
      <c r="M1236" t="s">
        <v>26379</v>
      </c>
      <c r="N1236" t="s">
        <v>26380</v>
      </c>
      <c r="O1236" t="s">
        <v>26381</v>
      </c>
      <c r="P1236">
        <v>57008</v>
      </c>
      <c r="Q1236" t="str">
        <f>"40.686834"</f>
        <v>40.686834</v>
      </c>
      <c r="R1236" t="str">
        <f>"22.836074"</f>
        <v>22.836074</v>
      </c>
      <c r="S1236" t="s">
        <v>26</v>
      </c>
    </row>
    <row r="1237" spans="1:19" x14ac:dyDescent="0.3">
      <c r="A1237" t="s">
        <v>25190</v>
      </c>
      <c r="B1237" t="s">
        <v>25764</v>
      </c>
      <c r="C1237" t="s">
        <v>26383</v>
      </c>
      <c r="D1237" t="s">
        <v>25197</v>
      </c>
      <c r="E1237" t="s">
        <v>13689</v>
      </c>
      <c r="F1237" t="s">
        <v>13689</v>
      </c>
      <c r="G1237" t="s">
        <v>26382</v>
      </c>
      <c r="H1237" t="s">
        <v>51</v>
      </c>
      <c r="I1237" t="s">
        <v>89</v>
      </c>
      <c r="J1237" t="str">
        <f>"1935004"</f>
        <v>1935004</v>
      </c>
      <c r="K1237">
        <v>2394073736</v>
      </c>
      <c r="L1237">
        <v>2394073714</v>
      </c>
      <c r="M1237" t="s">
        <v>26384</v>
      </c>
      <c r="N1237" t="s">
        <v>26385</v>
      </c>
      <c r="O1237" t="s">
        <v>26386</v>
      </c>
      <c r="P1237">
        <v>57200</v>
      </c>
      <c r="Q1237" t="str">
        <f>"40.729528"</f>
        <v>40.729528</v>
      </c>
      <c r="R1237" t="str">
        <f>"23.000909"</f>
        <v>23.000909</v>
      </c>
      <c r="S1237" t="s">
        <v>26</v>
      </c>
    </row>
    <row r="1238" spans="1:19" x14ac:dyDescent="0.3">
      <c r="A1238" t="s">
        <v>25190</v>
      </c>
      <c r="B1238" t="s">
        <v>25764</v>
      </c>
      <c r="C1238" t="s">
        <v>26388</v>
      </c>
      <c r="D1238" t="s">
        <v>25197</v>
      </c>
      <c r="E1238" t="s">
        <v>25966</v>
      </c>
      <c r="F1238" t="s">
        <v>26056</v>
      </c>
      <c r="G1238" t="s">
        <v>22434</v>
      </c>
      <c r="H1238" t="s">
        <v>51</v>
      </c>
      <c r="I1238" t="s">
        <v>89</v>
      </c>
      <c r="J1238" t="str">
        <f>"1935005"</f>
        <v>1935005</v>
      </c>
      <c r="K1238">
        <v>2394033371</v>
      </c>
      <c r="L1238">
        <v>2394033371</v>
      </c>
      <c r="M1238" t="s">
        <v>26389</v>
      </c>
      <c r="N1238" t="s">
        <v>26360</v>
      </c>
      <c r="O1238" t="s">
        <v>26390</v>
      </c>
      <c r="P1238">
        <v>57018</v>
      </c>
      <c r="Q1238" t="str">
        <f>"40.761656"</f>
        <v>40.761656</v>
      </c>
      <c r="R1238" t="str">
        <f>"22.949624"</f>
        <v>22.949624</v>
      </c>
      <c r="S1238" t="s">
        <v>26</v>
      </c>
    </row>
    <row r="1239" spans="1:19" x14ac:dyDescent="0.3">
      <c r="A1239" t="s">
        <v>25190</v>
      </c>
      <c r="B1239" t="s">
        <v>25764</v>
      </c>
      <c r="C1239" t="s">
        <v>26394</v>
      </c>
      <c r="D1239" t="s">
        <v>25197</v>
      </c>
      <c r="E1239" t="s">
        <v>25203</v>
      </c>
      <c r="F1239" t="s">
        <v>25878</v>
      </c>
      <c r="G1239" t="s">
        <v>25878</v>
      </c>
      <c r="H1239" t="s">
        <v>51</v>
      </c>
      <c r="I1239" t="s">
        <v>52</v>
      </c>
      <c r="J1239" t="str">
        <f>"1935006"</f>
        <v>1935006</v>
      </c>
      <c r="K1239">
        <v>2310689173</v>
      </c>
      <c r="L1239">
        <v>2310689173</v>
      </c>
      <c r="M1239" t="s">
        <v>26395</v>
      </c>
      <c r="N1239" t="s">
        <v>25881</v>
      </c>
      <c r="O1239" t="s">
        <v>26396</v>
      </c>
      <c r="P1239">
        <v>56429</v>
      </c>
      <c r="Q1239" t="str">
        <f>"40.683081"</f>
        <v>40.683081</v>
      </c>
      <c r="R1239" t="str">
        <f>"22.954865"</f>
        <v>22.954865</v>
      </c>
      <c r="S1239" t="s">
        <v>26</v>
      </c>
    </row>
    <row r="1240" spans="1:19" x14ac:dyDescent="0.3">
      <c r="A1240" t="s">
        <v>25190</v>
      </c>
      <c r="B1240" t="s">
        <v>25764</v>
      </c>
      <c r="C1240" t="s">
        <v>26401</v>
      </c>
      <c r="D1240" t="s">
        <v>25197</v>
      </c>
      <c r="E1240" t="s">
        <v>25203</v>
      </c>
      <c r="F1240" t="s">
        <v>595</v>
      </c>
      <c r="G1240" t="s">
        <v>595</v>
      </c>
      <c r="H1240" t="s">
        <v>51</v>
      </c>
      <c r="I1240" t="s">
        <v>199</v>
      </c>
      <c r="J1240" t="str">
        <f>"1904001"</f>
        <v>1904001</v>
      </c>
      <c r="Q1240" t="str">
        <f>""</f>
        <v/>
      </c>
      <c r="R1240" t="str">
        <f>""</f>
        <v/>
      </c>
      <c r="S1240" t="s">
        <v>26</v>
      </c>
    </row>
    <row r="1241" spans="1:19" x14ac:dyDescent="0.3">
      <c r="A1241" t="s">
        <v>25190</v>
      </c>
      <c r="B1241" t="s">
        <v>26402</v>
      </c>
      <c r="C1241" t="s">
        <v>26405</v>
      </c>
      <c r="D1241" t="s">
        <v>25191</v>
      </c>
      <c r="E1241" t="s">
        <v>26403</v>
      </c>
      <c r="F1241" t="s">
        <v>26403</v>
      </c>
      <c r="G1241" t="s">
        <v>26404</v>
      </c>
      <c r="H1241" t="s">
        <v>51</v>
      </c>
      <c r="I1241" t="s">
        <v>52</v>
      </c>
      <c r="J1241" t="str">
        <f>"1603011"</f>
        <v>1603011</v>
      </c>
      <c r="K1241">
        <v>2332022754</v>
      </c>
      <c r="L1241">
        <v>2332022780</v>
      </c>
      <c r="M1241" t="s">
        <v>26406</v>
      </c>
      <c r="N1241" t="s">
        <v>26407</v>
      </c>
      <c r="O1241" t="s">
        <v>26408</v>
      </c>
      <c r="P1241">
        <v>59200</v>
      </c>
      <c r="Q1241" t="str">
        <f>"40.636961"</f>
        <v>40.636961</v>
      </c>
      <c r="R1241" t="str">
        <f>"22.067021"</f>
        <v>22.067021</v>
      </c>
      <c r="S1241" t="s">
        <v>26</v>
      </c>
    </row>
    <row r="1242" spans="1:19" x14ac:dyDescent="0.3">
      <c r="A1242" t="s">
        <v>25190</v>
      </c>
      <c r="B1242" t="s">
        <v>26402</v>
      </c>
      <c r="C1242" t="s">
        <v>26472</v>
      </c>
      <c r="D1242" t="s">
        <v>25191</v>
      </c>
      <c r="E1242" t="s">
        <v>26414</v>
      </c>
      <c r="F1242" t="s">
        <v>26414</v>
      </c>
      <c r="G1242" t="s">
        <v>26414</v>
      </c>
      <c r="H1242" t="s">
        <v>51</v>
      </c>
      <c r="I1242" t="s">
        <v>52</v>
      </c>
      <c r="J1242" t="str">
        <f>"1602011"</f>
        <v>1602011</v>
      </c>
      <c r="K1242">
        <v>2333023455</v>
      </c>
      <c r="L1242">
        <v>2333023455</v>
      </c>
      <c r="M1242" t="s">
        <v>26473</v>
      </c>
      <c r="N1242" t="s">
        <v>26417</v>
      </c>
      <c r="O1242" t="s">
        <v>26439</v>
      </c>
      <c r="P1242">
        <v>59300</v>
      </c>
      <c r="Q1242" t="str">
        <f>"40.622118"</f>
        <v>40.622118</v>
      </c>
      <c r="R1242" t="str">
        <f>"22.444667"</f>
        <v>22.444667</v>
      </c>
      <c r="S1242" t="s">
        <v>26</v>
      </c>
    </row>
    <row r="1243" spans="1:19" x14ac:dyDescent="0.3">
      <c r="A1243" t="s">
        <v>25190</v>
      </c>
      <c r="B1243" t="s">
        <v>26402</v>
      </c>
      <c r="C1243" t="s">
        <v>26474</v>
      </c>
      <c r="D1243" t="s">
        <v>25191</v>
      </c>
      <c r="E1243" t="s">
        <v>26414</v>
      </c>
      <c r="F1243" t="s">
        <v>13055</v>
      </c>
      <c r="G1243" t="s">
        <v>13055</v>
      </c>
      <c r="H1243" t="s">
        <v>51</v>
      </c>
      <c r="I1243" t="s">
        <v>52</v>
      </c>
      <c r="J1243" t="str">
        <f>"1602020"</f>
        <v>1602020</v>
      </c>
      <c r="K1243">
        <v>2333063268</v>
      </c>
      <c r="L1243">
        <v>2333063268</v>
      </c>
      <c r="M1243" t="s">
        <v>26475</v>
      </c>
      <c r="N1243" t="s">
        <v>26476</v>
      </c>
      <c r="O1243" t="s">
        <v>26477</v>
      </c>
      <c r="P1243">
        <v>59300</v>
      </c>
      <c r="Q1243" t="str">
        <f>"40.641989"</f>
        <v>40.641989</v>
      </c>
      <c r="R1243" t="str">
        <f>"22.529902"</f>
        <v>22.529902</v>
      </c>
      <c r="S1243" t="s">
        <v>26</v>
      </c>
    </row>
    <row r="1244" spans="1:19" x14ac:dyDescent="0.3">
      <c r="A1244" t="s">
        <v>25190</v>
      </c>
      <c r="B1244" t="s">
        <v>26402</v>
      </c>
      <c r="C1244" t="s">
        <v>26480</v>
      </c>
      <c r="D1244" t="s">
        <v>25191</v>
      </c>
      <c r="E1244" t="s">
        <v>26403</v>
      </c>
      <c r="F1244" t="s">
        <v>26478</v>
      </c>
      <c r="G1244" t="s">
        <v>26479</v>
      </c>
      <c r="H1244" t="s">
        <v>51</v>
      </c>
      <c r="I1244" t="s">
        <v>89</v>
      </c>
      <c r="J1244" t="str">
        <f>"1605010"</f>
        <v>1605010</v>
      </c>
      <c r="K1244">
        <v>2332047409</v>
      </c>
      <c r="L1244">
        <v>2332047499</v>
      </c>
      <c r="M1244" t="s">
        <v>26481</v>
      </c>
      <c r="N1244" t="s">
        <v>26482</v>
      </c>
      <c r="O1244" t="s">
        <v>26483</v>
      </c>
      <c r="P1244">
        <v>59034</v>
      </c>
      <c r="Q1244" t="str">
        <f>"40.671753"</f>
        <v>40.671753</v>
      </c>
      <c r="R1244" t="str">
        <f>"22.200846"</f>
        <v>22.200846</v>
      </c>
      <c r="S1244" t="s">
        <v>26</v>
      </c>
    </row>
    <row r="1245" spans="1:19" x14ac:dyDescent="0.3">
      <c r="A1245" t="s">
        <v>25190</v>
      </c>
      <c r="B1245" t="s">
        <v>26402</v>
      </c>
      <c r="C1245" t="s">
        <v>26487</v>
      </c>
      <c r="D1245" t="s">
        <v>25191</v>
      </c>
      <c r="E1245" t="s">
        <v>25192</v>
      </c>
      <c r="F1245" t="s">
        <v>26485</v>
      </c>
      <c r="G1245" t="s">
        <v>26486</v>
      </c>
      <c r="H1245" t="s">
        <v>51</v>
      </c>
      <c r="I1245" t="s">
        <v>52</v>
      </c>
      <c r="J1245" t="str">
        <f>"1604030"</f>
        <v>1604030</v>
      </c>
      <c r="K1245">
        <v>2331092398</v>
      </c>
      <c r="L1245">
        <v>2331092114</v>
      </c>
      <c r="M1245" t="s">
        <v>26488</v>
      </c>
      <c r="N1245" t="s">
        <v>26489</v>
      </c>
      <c r="O1245" t="s">
        <v>26490</v>
      </c>
      <c r="P1245">
        <v>59031</v>
      </c>
      <c r="Q1245" t="str">
        <f>"40.487886"</f>
        <v>40.487886</v>
      </c>
      <c r="R1245" t="str">
        <f>"22.311029"</f>
        <v>22.311029</v>
      </c>
      <c r="S1245" t="s">
        <v>26</v>
      </c>
    </row>
    <row r="1246" spans="1:19" x14ac:dyDescent="0.3">
      <c r="A1246" t="s">
        <v>25190</v>
      </c>
      <c r="B1246" t="s">
        <v>26402</v>
      </c>
      <c r="C1246" t="s">
        <v>26492</v>
      </c>
      <c r="D1246" t="s">
        <v>25191</v>
      </c>
      <c r="E1246" t="s">
        <v>26414</v>
      </c>
      <c r="F1246" t="s">
        <v>13055</v>
      </c>
      <c r="G1246" t="s">
        <v>20680</v>
      </c>
      <c r="H1246" t="s">
        <v>51</v>
      </c>
      <c r="I1246" t="s">
        <v>52</v>
      </c>
      <c r="J1246" t="str">
        <f>"1602040"</f>
        <v>1602040</v>
      </c>
      <c r="K1246">
        <v>2333081081</v>
      </c>
      <c r="L1246">
        <v>2333081081</v>
      </c>
      <c r="M1246" t="s">
        <v>26493</v>
      </c>
      <c r="N1246" t="s">
        <v>26494</v>
      </c>
      <c r="O1246" t="s">
        <v>26494</v>
      </c>
      <c r="P1246">
        <v>59032</v>
      </c>
      <c r="Q1246" t="str">
        <f>"40.594512"</f>
        <v>40.594512</v>
      </c>
      <c r="R1246" t="str">
        <f>"22.558544"</f>
        <v>22.558544</v>
      </c>
      <c r="S1246" t="s">
        <v>26</v>
      </c>
    </row>
    <row r="1247" spans="1:19" x14ac:dyDescent="0.3">
      <c r="A1247" t="s">
        <v>25190</v>
      </c>
      <c r="B1247" t="s">
        <v>26402</v>
      </c>
      <c r="C1247" t="s">
        <v>26496</v>
      </c>
      <c r="D1247" t="s">
        <v>25191</v>
      </c>
      <c r="E1247" t="s">
        <v>25192</v>
      </c>
      <c r="F1247" t="s">
        <v>25192</v>
      </c>
      <c r="G1247" t="s">
        <v>25192</v>
      </c>
      <c r="H1247" t="s">
        <v>51</v>
      </c>
      <c r="I1247" t="s">
        <v>52</v>
      </c>
      <c r="J1247" t="str">
        <f>"1601010"</f>
        <v>1601010</v>
      </c>
      <c r="K1247">
        <v>2331063190</v>
      </c>
      <c r="L1247">
        <v>2331075216</v>
      </c>
      <c r="M1247" t="s">
        <v>26497</v>
      </c>
      <c r="N1247" t="s">
        <v>25195</v>
      </c>
      <c r="O1247" t="s">
        <v>26498</v>
      </c>
      <c r="P1247">
        <v>59132</v>
      </c>
      <c r="Q1247" t="str">
        <f>"40.509492"</f>
        <v>40.509492</v>
      </c>
      <c r="R1247" t="str">
        <f>"22.195036"</f>
        <v>22.195036</v>
      </c>
      <c r="S1247" t="s">
        <v>26</v>
      </c>
    </row>
    <row r="1248" spans="1:19" x14ac:dyDescent="0.3">
      <c r="A1248" t="s">
        <v>25190</v>
      </c>
      <c r="B1248" t="s">
        <v>26402</v>
      </c>
      <c r="C1248" t="s">
        <v>26499</v>
      </c>
      <c r="D1248" t="s">
        <v>25191</v>
      </c>
      <c r="E1248" t="s">
        <v>26403</v>
      </c>
      <c r="F1248" t="s">
        <v>26403</v>
      </c>
      <c r="G1248" t="s">
        <v>26404</v>
      </c>
      <c r="H1248" t="s">
        <v>51</v>
      </c>
      <c r="I1248" t="s">
        <v>52</v>
      </c>
      <c r="J1248" t="str">
        <f>"1603012"</f>
        <v>1603012</v>
      </c>
      <c r="K1248">
        <v>2332022755</v>
      </c>
      <c r="L1248">
        <v>2332022755</v>
      </c>
      <c r="M1248" t="s">
        <v>26500</v>
      </c>
      <c r="N1248" t="s">
        <v>26404</v>
      </c>
      <c r="O1248" t="s">
        <v>26501</v>
      </c>
      <c r="P1248">
        <v>59200</v>
      </c>
      <c r="Q1248" t="str">
        <f>"40.625684"</f>
        <v>40.625684</v>
      </c>
      <c r="R1248" t="str">
        <f>"22.057553"</f>
        <v>22.057553</v>
      </c>
      <c r="S1248" t="s">
        <v>26</v>
      </c>
    </row>
    <row r="1249" spans="1:19" x14ac:dyDescent="0.3">
      <c r="A1249" t="s">
        <v>25190</v>
      </c>
      <c r="B1249" t="s">
        <v>26402</v>
      </c>
      <c r="C1249" t="s">
        <v>26509</v>
      </c>
      <c r="D1249" t="s">
        <v>25191</v>
      </c>
      <c r="E1249" t="s">
        <v>26403</v>
      </c>
      <c r="F1249" t="s">
        <v>26507</v>
      </c>
      <c r="G1249" t="s">
        <v>26508</v>
      </c>
      <c r="H1249" t="s">
        <v>51</v>
      </c>
      <c r="I1249" t="s">
        <v>52</v>
      </c>
      <c r="J1249" t="str">
        <f>"1607010"</f>
        <v>1607010</v>
      </c>
      <c r="K1249">
        <v>2332041366</v>
      </c>
      <c r="L1249">
        <v>2332041181</v>
      </c>
      <c r="M1249" t="s">
        <v>26510</v>
      </c>
      <c r="N1249" t="s">
        <v>26511</v>
      </c>
      <c r="O1249" t="s">
        <v>26511</v>
      </c>
      <c r="P1249">
        <v>59035</v>
      </c>
      <c r="Q1249" t="str">
        <f>"40.634969"</f>
        <v>40.634969</v>
      </c>
      <c r="R1249" t="str">
        <f>"22.124834"</f>
        <v>22.124834</v>
      </c>
      <c r="S1249" t="s">
        <v>26</v>
      </c>
    </row>
    <row r="1250" spans="1:19" x14ac:dyDescent="0.3">
      <c r="A1250" t="s">
        <v>25190</v>
      </c>
      <c r="B1250" t="s">
        <v>26402</v>
      </c>
      <c r="C1250" t="s">
        <v>26514</v>
      </c>
      <c r="D1250" t="s">
        <v>25191</v>
      </c>
      <c r="E1250" t="s">
        <v>26403</v>
      </c>
      <c r="F1250" t="s">
        <v>26507</v>
      </c>
      <c r="G1250" t="s">
        <v>26513</v>
      </c>
      <c r="H1250" t="s">
        <v>51</v>
      </c>
      <c r="I1250" t="s">
        <v>52</v>
      </c>
      <c r="J1250" t="str">
        <f>"1610010"</f>
        <v>1610010</v>
      </c>
      <c r="K1250">
        <v>2332044389</v>
      </c>
      <c r="L1250">
        <v>2332044389</v>
      </c>
      <c r="M1250" t="s">
        <v>26515</v>
      </c>
      <c r="N1250" t="s">
        <v>26516</v>
      </c>
      <c r="O1250" t="s">
        <v>26517</v>
      </c>
      <c r="P1250">
        <v>59200</v>
      </c>
      <c r="Q1250" t="str">
        <f>"40.690613"</f>
        <v>40.690613</v>
      </c>
      <c r="R1250" t="str">
        <f>"22.138802"</f>
        <v>22.138802</v>
      </c>
      <c r="S1250" t="s">
        <v>26</v>
      </c>
    </row>
    <row r="1251" spans="1:19" x14ac:dyDescent="0.3">
      <c r="A1251" t="s">
        <v>25190</v>
      </c>
      <c r="B1251" t="s">
        <v>26402</v>
      </c>
      <c r="C1251" t="s">
        <v>26521</v>
      </c>
      <c r="D1251" t="s">
        <v>25191</v>
      </c>
      <c r="E1251" t="s">
        <v>26414</v>
      </c>
      <c r="F1251" t="s">
        <v>26519</v>
      </c>
      <c r="G1251" t="s">
        <v>26520</v>
      </c>
      <c r="H1251" t="s">
        <v>51</v>
      </c>
      <c r="I1251" t="s">
        <v>52</v>
      </c>
      <c r="J1251" t="str">
        <f>"1608010"</f>
        <v>1608010</v>
      </c>
      <c r="K1251">
        <v>2331039521</v>
      </c>
      <c r="L1251">
        <v>2331039517</v>
      </c>
      <c r="M1251" t="s">
        <v>26522</v>
      </c>
      <c r="N1251" t="s">
        <v>26523</v>
      </c>
      <c r="O1251" t="s">
        <v>26524</v>
      </c>
      <c r="P1251">
        <v>59100</v>
      </c>
      <c r="Q1251" t="str">
        <f>"40.592018"</f>
        <v>40.592018</v>
      </c>
      <c r="R1251" t="str">
        <f>"22.329151"</f>
        <v>22.329151</v>
      </c>
      <c r="S1251" t="s">
        <v>26</v>
      </c>
    </row>
    <row r="1252" spans="1:19" x14ac:dyDescent="0.3">
      <c r="A1252" t="s">
        <v>25190</v>
      </c>
      <c r="B1252" t="s">
        <v>26402</v>
      </c>
      <c r="C1252" t="s">
        <v>26526</v>
      </c>
      <c r="D1252" t="s">
        <v>25191</v>
      </c>
      <c r="E1252" t="s">
        <v>25192</v>
      </c>
      <c r="F1252" t="s">
        <v>25192</v>
      </c>
      <c r="G1252" t="s">
        <v>25192</v>
      </c>
      <c r="H1252" t="s">
        <v>51</v>
      </c>
      <c r="I1252" t="s">
        <v>184</v>
      </c>
      <c r="J1252" t="str">
        <f>"1601035"</f>
        <v>1601035</v>
      </c>
      <c r="K1252">
        <v>2331024515</v>
      </c>
      <c r="L1252">
        <v>2331024515</v>
      </c>
      <c r="M1252" t="s">
        <v>26527</v>
      </c>
      <c r="N1252" t="s">
        <v>25195</v>
      </c>
      <c r="O1252" t="s">
        <v>26528</v>
      </c>
      <c r="P1252">
        <v>59132</v>
      </c>
      <c r="Q1252" t="str">
        <f>"40.522171"</f>
        <v>40.522171</v>
      </c>
      <c r="R1252" t="str">
        <f>"22.210399"</f>
        <v>22.210399</v>
      </c>
      <c r="S1252" t="s">
        <v>26</v>
      </c>
    </row>
    <row r="1253" spans="1:19" x14ac:dyDescent="0.3">
      <c r="A1253" t="s">
        <v>25190</v>
      </c>
      <c r="B1253" t="s">
        <v>26402</v>
      </c>
      <c r="C1253" t="s">
        <v>26532</v>
      </c>
      <c r="D1253" t="s">
        <v>25191</v>
      </c>
      <c r="E1253" t="s">
        <v>25192</v>
      </c>
      <c r="F1253" t="s">
        <v>25192</v>
      </c>
      <c r="G1253" t="s">
        <v>25192</v>
      </c>
      <c r="H1253" t="s">
        <v>51</v>
      </c>
      <c r="I1253" t="s">
        <v>52</v>
      </c>
      <c r="J1253" t="str">
        <f>"1601031"</f>
        <v>1601031</v>
      </c>
      <c r="K1253">
        <v>2331062563</v>
      </c>
      <c r="L1253">
        <v>2331062563</v>
      </c>
      <c r="M1253" t="s">
        <v>26533</v>
      </c>
      <c r="N1253" t="s">
        <v>25195</v>
      </c>
      <c r="O1253" t="s">
        <v>26534</v>
      </c>
      <c r="P1253">
        <v>59131</v>
      </c>
      <c r="Q1253" t="str">
        <f>"40.541478"</f>
        <v>40.541478</v>
      </c>
      <c r="R1253" t="str">
        <f>"22.197162"</f>
        <v>22.197162</v>
      </c>
      <c r="S1253" t="s">
        <v>26</v>
      </c>
    </row>
    <row r="1254" spans="1:19" x14ac:dyDescent="0.3">
      <c r="A1254" t="s">
        <v>25190</v>
      </c>
      <c r="B1254" t="s">
        <v>26402</v>
      </c>
      <c r="C1254" t="s">
        <v>26537</v>
      </c>
      <c r="D1254" t="s">
        <v>25191</v>
      </c>
      <c r="E1254" t="s">
        <v>25192</v>
      </c>
      <c r="F1254" t="s">
        <v>26535</v>
      </c>
      <c r="G1254" t="s">
        <v>26536</v>
      </c>
      <c r="H1254" t="s">
        <v>51</v>
      </c>
      <c r="I1254" t="s">
        <v>89</v>
      </c>
      <c r="J1254" t="str">
        <f>"1606010"</f>
        <v>1606010</v>
      </c>
      <c r="K1254">
        <v>2331096333</v>
      </c>
      <c r="L1254">
        <v>2331096333</v>
      </c>
      <c r="M1254" t="s">
        <v>26538</v>
      </c>
      <c r="N1254" t="s">
        <v>26539</v>
      </c>
      <c r="O1254" t="s">
        <v>26540</v>
      </c>
      <c r="P1254">
        <v>59100</v>
      </c>
      <c r="Q1254" t="str">
        <f>"40.351994"</f>
        <v>40.351994</v>
      </c>
      <c r="R1254" t="str">
        <f>"22.208946"</f>
        <v>22.208946</v>
      </c>
      <c r="S1254" t="s">
        <v>26</v>
      </c>
    </row>
    <row r="1255" spans="1:19" x14ac:dyDescent="0.3">
      <c r="A1255" t="s">
        <v>25190</v>
      </c>
      <c r="B1255" t="s">
        <v>26402</v>
      </c>
      <c r="C1255" t="s">
        <v>26542</v>
      </c>
      <c r="D1255" t="s">
        <v>25191</v>
      </c>
      <c r="E1255" t="s">
        <v>26403</v>
      </c>
      <c r="F1255" t="s">
        <v>26403</v>
      </c>
      <c r="G1255" t="s">
        <v>26404</v>
      </c>
      <c r="H1255" t="s">
        <v>51</v>
      </c>
      <c r="I1255" t="s">
        <v>52</v>
      </c>
      <c r="J1255" t="str">
        <f>"1603010"</f>
        <v>1603010</v>
      </c>
      <c r="K1255">
        <v>2332022351</v>
      </c>
      <c r="L1255">
        <v>2332022351</v>
      </c>
      <c r="M1255" t="s">
        <v>26543</v>
      </c>
      <c r="N1255" t="s">
        <v>26407</v>
      </c>
      <c r="O1255" t="s">
        <v>26544</v>
      </c>
      <c r="P1255">
        <v>59200</v>
      </c>
      <c r="Q1255" t="str">
        <f>"40.632841"</f>
        <v>40.632841</v>
      </c>
      <c r="R1255" t="str">
        <f>"22.068663"</f>
        <v>22.068663</v>
      </c>
      <c r="S1255" t="s">
        <v>26</v>
      </c>
    </row>
    <row r="1256" spans="1:19" x14ac:dyDescent="0.3">
      <c r="A1256" t="s">
        <v>25190</v>
      </c>
      <c r="B1256" t="s">
        <v>26402</v>
      </c>
      <c r="C1256" t="s">
        <v>26546</v>
      </c>
      <c r="D1256" t="s">
        <v>25191</v>
      </c>
      <c r="E1256" t="s">
        <v>26414</v>
      </c>
      <c r="F1256" t="s">
        <v>26422</v>
      </c>
      <c r="G1256" t="s">
        <v>26422</v>
      </c>
      <c r="H1256" t="s">
        <v>51</v>
      </c>
      <c r="I1256" t="s">
        <v>52</v>
      </c>
      <c r="J1256" t="str">
        <f>"1604010"</f>
        <v>1604010</v>
      </c>
      <c r="K1256">
        <v>2331077260</v>
      </c>
      <c r="L1256">
        <v>2331082390</v>
      </c>
      <c r="M1256" t="s">
        <v>26547</v>
      </c>
      <c r="N1256" t="s">
        <v>26425</v>
      </c>
      <c r="O1256" t="s">
        <v>26548</v>
      </c>
      <c r="P1256">
        <v>59031</v>
      </c>
      <c r="Q1256" t="str">
        <f>"40.522240"</f>
        <v>40.522240</v>
      </c>
      <c r="R1256" t="str">
        <f>"22.400405"</f>
        <v>22.400405</v>
      </c>
      <c r="S1256" t="s">
        <v>26</v>
      </c>
    </row>
    <row r="1257" spans="1:19" x14ac:dyDescent="0.3">
      <c r="A1257" t="s">
        <v>25190</v>
      </c>
      <c r="B1257" t="s">
        <v>26402</v>
      </c>
      <c r="C1257" t="s">
        <v>26549</v>
      </c>
      <c r="D1257" t="s">
        <v>25191</v>
      </c>
      <c r="E1257" t="s">
        <v>25192</v>
      </c>
      <c r="F1257" t="s">
        <v>25192</v>
      </c>
      <c r="G1257" t="s">
        <v>25192</v>
      </c>
      <c r="H1257" t="s">
        <v>51</v>
      </c>
      <c r="I1257" t="s">
        <v>52</v>
      </c>
      <c r="J1257" t="str">
        <f>"1601021"</f>
        <v>1601021</v>
      </c>
      <c r="K1257">
        <v>2331023309</v>
      </c>
      <c r="L1257">
        <v>2331023362</v>
      </c>
      <c r="M1257" t="s">
        <v>26550</v>
      </c>
      <c r="N1257" t="s">
        <v>25195</v>
      </c>
      <c r="O1257" t="s">
        <v>26551</v>
      </c>
      <c r="P1257">
        <v>59132</v>
      </c>
      <c r="Q1257" t="str">
        <f>"40.522171"</f>
        <v>40.522171</v>
      </c>
      <c r="R1257" t="str">
        <f>"22.210399"</f>
        <v>22.210399</v>
      </c>
      <c r="S1257" t="s">
        <v>26</v>
      </c>
    </row>
    <row r="1258" spans="1:19" x14ac:dyDescent="0.3">
      <c r="A1258" t="s">
        <v>25190</v>
      </c>
      <c r="B1258" t="s">
        <v>26402</v>
      </c>
      <c r="C1258" t="s">
        <v>26552</v>
      </c>
      <c r="D1258" t="s">
        <v>25191</v>
      </c>
      <c r="E1258" t="s">
        <v>25192</v>
      </c>
      <c r="F1258" t="s">
        <v>25192</v>
      </c>
      <c r="G1258" t="s">
        <v>25192</v>
      </c>
      <c r="H1258" t="s">
        <v>51</v>
      </c>
      <c r="I1258" t="s">
        <v>52</v>
      </c>
      <c r="J1258" t="str">
        <f>"1601030"</f>
        <v>1601030</v>
      </c>
      <c r="K1258">
        <v>2331062161</v>
      </c>
      <c r="L1258">
        <v>2331062871</v>
      </c>
      <c r="M1258" t="s">
        <v>26553</v>
      </c>
      <c r="N1258" t="s">
        <v>25195</v>
      </c>
      <c r="O1258" t="s">
        <v>26554</v>
      </c>
      <c r="P1258">
        <v>59132</v>
      </c>
      <c r="Q1258" t="str">
        <f>"40.509134"</f>
        <v>40.509134</v>
      </c>
      <c r="R1258" t="str">
        <f>"22.215591"</f>
        <v>22.215591</v>
      </c>
      <c r="S1258" t="s">
        <v>26</v>
      </c>
    </row>
    <row r="1259" spans="1:19" x14ac:dyDescent="0.3">
      <c r="A1259" t="s">
        <v>25190</v>
      </c>
      <c r="B1259" t="s">
        <v>26402</v>
      </c>
      <c r="C1259" t="s">
        <v>26555</v>
      </c>
      <c r="D1259" t="s">
        <v>25191</v>
      </c>
      <c r="E1259" t="s">
        <v>25192</v>
      </c>
      <c r="F1259" t="s">
        <v>25192</v>
      </c>
      <c r="G1259" t="s">
        <v>25192</v>
      </c>
      <c r="H1259" t="s">
        <v>51</v>
      </c>
      <c r="I1259" t="s">
        <v>52</v>
      </c>
      <c r="J1259" t="str">
        <f>"1601020"</f>
        <v>1601020</v>
      </c>
      <c r="K1259">
        <v>2331024782</v>
      </c>
      <c r="L1259">
        <v>2331075191</v>
      </c>
      <c r="M1259" t="s">
        <v>26556</v>
      </c>
      <c r="N1259" t="s">
        <v>25195</v>
      </c>
      <c r="O1259" t="s">
        <v>26557</v>
      </c>
      <c r="P1259">
        <v>59132</v>
      </c>
      <c r="Q1259" t="str">
        <f>"40.520985"</f>
        <v>40.520985</v>
      </c>
      <c r="R1259" t="str">
        <f>"22.207558"</f>
        <v>22.207558</v>
      </c>
      <c r="S1259" t="s">
        <v>26</v>
      </c>
    </row>
    <row r="1260" spans="1:19" x14ac:dyDescent="0.3">
      <c r="A1260" t="s">
        <v>25190</v>
      </c>
      <c r="B1260" t="s">
        <v>26402</v>
      </c>
      <c r="C1260" t="s">
        <v>26558</v>
      </c>
      <c r="D1260" t="s">
        <v>25191</v>
      </c>
      <c r="E1260" t="s">
        <v>25192</v>
      </c>
      <c r="F1260" t="s">
        <v>25192</v>
      </c>
      <c r="G1260" t="s">
        <v>25192</v>
      </c>
      <c r="H1260" t="s">
        <v>51</v>
      </c>
      <c r="I1260" t="s">
        <v>52</v>
      </c>
      <c r="J1260" t="str">
        <f>"1601011"</f>
        <v>1601011</v>
      </c>
      <c r="K1260">
        <v>2331027150</v>
      </c>
      <c r="L1260">
        <v>2331027181</v>
      </c>
      <c r="M1260" t="s">
        <v>26559</v>
      </c>
      <c r="N1260" t="s">
        <v>25195</v>
      </c>
      <c r="O1260" t="s">
        <v>26560</v>
      </c>
      <c r="P1260">
        <v>59132</v>
      </c>
      <c r="Q1260" t="str">
        <f>"40.528612"</f>
        <v>40.528612</v>
      </c>
      <c r="R1260" t="str">
        <f>"22.196351"</f>
        <v>22.196351</v>
      </c>
      <c r="S1260" t="s">
        <v>26</v>
      </c>
    </row>
    <row r="1261" spans="1:19" x14ac:dyDescent="0.3">
      <c r="A1261" t="s">
        <v>25190</v>
      </c>
      <c r="B1261" t="s">
        <v>26402</v>
      </c>
      <c r="C1261" t="s">
        <v>26565</v>
      </c>
      <c r="D1261" t="s">
        <v>25191</v>
      </c>
      <c r="E1261" t="s">
        <v>26414</v>
      </c>
      <c r="F1261" t="s">
        <v>26414</v>
      </c>
      <c r="G1261" t="s">
        <v>26414</v>
      </c>
      <c r="H1261" t="s">
        <v>51</v>
      </c>
      <c r="I1261" t="s">
        <v>52</v>
      </c>
      <c r="J1261" t="str">
        <f>"1602010"</f>
        <v>1602010</v>
      </c>
      <c r="K1261">
        <v>2333023454</v>
      </c>
      <c r="L1261">
        <v>2333023454</v>
      </c>
      <c r="M1261" t="s">
        <v>26566</v>
      </c>
      <c r="N1261" t="s">
        <v>26417</v>
      </c>
      <c r="O1261" t="s">
        <v>26567</v>
      </c>
      <c r="P1261">
        <v>59300</v>
      </c>
      <c r="Q1261" t="str">
        <f>"40.631945"</f>
        <v>40.631945</v>
      </c>
      <c r="R1261" t="str">
        <f>"22.441182"</f>
        <v>22.441182</v>
      </c>
      <c r="S1261" t="s">
        <v>26</v>
      </c>
    </row>
    <row r="1262" spans="1:19" x14ac:dyDescent="0.3">
      <c r="A1262" t="s">
        <v>25190</v>
      </c>
      <c r="B1262" t="s">
        <v>26402</v>
      </c>
      <c r="C1262" t="s">
        <v>26568</v>
      </c>
      <c r="D1262" t="s">
        <v>25191</v>
      </c>
      <c r="E1262" t="s">
        <v>25192</v>
      </c>
      <c r="F1262" t="s">
        <v>26460</v>
      </c>
      <c r="G1262" t="s">
        <v>18057</v>
      </c>
      <c r="H1262" t="s">
        <v>51</v>
      </c>
      <c r="I1262" t="s">
        <v>52</v>
      </c>
      <c r="J1262" t="str">
        <f>"1609010"</f>
        <v>1609010</v>
      </c>
      <c r="K1262">
        <v>2331041334</v>
      </c>
      <c r="M1262" t="s">
        <v>26569</v>
      </c>
      <c r="N1262" t="s">
        <v>26570</v>
      </c>
      <c r="O1262" t="s">
        <v>26571</v>
      </c>
      <c r="P1262">
        <v>59033</v>
      </c>
      <c r="Q1262" t="str">
        <f>"40.552488"</f>
        <v>40.552488</v>
      </c>
      <c r="R1262" t="str">
        <f>"22.249460"</f>
        <v>22.249460</v>
      </c>
      <c r="S1262" t="s">
        <v>26</v>
      </c>
    </row>
    <row r="1263" spans="1:19" x14ac:dyDescent="0.3">
      <c r="A1263" t="s">
        <v>25190</v>
      </c>
      <c r="B1263" t="s">
        <v>26402</v>
      </c>
      <c r="C1263" t="s">
        <v>26577</v>
      </c>
      <c r="D1263" t="s">
        <v>25191</v>
      </c>
      <c r="E1263" t="s">
        <v>25192</v>
      </c>
      <c r="F1263" t="s">
        <v>25192</v>
      </c>
      <c r="G1263" t="s">
        <v>25192</v>
      </c>
      <c r="H1263" t="s">
        <v>51</v>
      </c>
      <c r="I1263" t="s">
        <v>190</v>
      </c>
      <c r="J1263" t="str">
        <f>"1601037"</f>
        <v>1601037</v>
      </c>
      <c r="K1263">
        <v>2331065787</v>
      </c>
      <c r="L1263">
        <v>2331065787</v>
      </c>
      <c r="M1263" t="s">
        <v>26578</v>
      </c>
      <c r="N1263" t="s">
        <v>25195</v>
      </c>
      <c r="O1263" t="s">
        <v>5165</v>
      </c>
      <c r="P1263">
        <v>59100</v>
      </c>
      <c r="Q1263" t="str">
        <f>"40.496121"</f>
        <v>40.496121</v>
      </c>
      <c r="R1263" t="str">
        <f>"22.238867"</f>
        <v>22.238867</v>
      </c>
      <c r="S1263" t="s">
        <v>26</v>
      </c>
    </row>
    <row r="1264" spans="1:19" x14ac:dyDescent="0.3">
      <c r="A1264" t="s">
        <v>25190</v>
      </c>
      <c r="B1264" t="s">
        <v>26402</v>
      </c>
      <c r="C1264" t="s">
        <v>26579</v>
      </c>
      <c r="D1264" t="s">
        <v>25191</v>
      </c>
      <c r="E1264" t="s">
        <v>25192</v>
      </c>
      <c r="F1264" t="s">
        <v>25192</v>
      </c>
      <c r="G1264" t="s">
        <v>25192</v>
      </c>
      <c r="H1264" t="s">
        <v>51</v>
      </c>
      <c r="I1264" t="s">
        <v>199</v>
      </c>
      <c r="J1264" t="str">
        <f>"1658001"</f>
        <v>1658001</v>
      </c>
      <c r="K1264">
        <v>2331026816</v>
      </c>
      <c r="L1264">
        <v>2331071297</v>
      </c>
      <c r="M1264" t="s">
        <v>26580</v>
      </c>
      <c r="N1264" t="s">
        <v>26581</v>
      </c>
      <c r="O1264" t="s">
        <v>26582</v>
      </c>
      <c r="P1264">
        <v>59131</v>
      </c>
      <c r="Q1264" t="str">
        <f>"40.542893"</f>
        <v>40.542893</v>
      </c>
      <c r="R1264" t="str">
        <f>"22.198914"</f>
        <v>22.198914</v>
      </c>
      <c r="S1264" t="s">
        <v>26</v>
      </c>
    </row>
    <row r="1265" spans="1:19" x14ac:dyDescent="0.3">
      <c r="A1265" t="s">
        <v>25190</v>
      </c>
      <c r="B1265" t="s">
        <v>26583</v>
      </c>
      <c r="C1265" t="s">
        <v>26586</v>
      </c>
      <c r="D1265" t="s">
        <v>25207</v>
      </c>
      <c r="E1265" t="s">
        <v>25207</v>
      </c>
      <c r="F1265" t="s">
        <v>26584</v>
      </c>
      <c r="G1265" t="s">
        <v>26585</v>
      </c>
      <c r="H1265" t="s">
        <v>51</v>
      </c>
      <c r="I1265" t="s">
        <v>52</v>
      </c>
      <c r="J1265" t="str">
        <f>"2608010"</f>
        <v>2608010</v>
      </c>
      <c r="K1265">
        <v>2341094002</v>
      </c>
      <c r="L1265">
        <v>2341094002</v>
      </c>
      <c r="M1265" t="s">
        <v>26587</v>
      </c>
      <c r="N1265" t="s">
        <v>26588</v>
      </c>
      <c r="O1265" t="s">
        <v>26589</v>
      </c>
      <c r="P1265">
        <v>61100</v>
      </c>
      <c r="Q1265" t="str">
        <f>"40.914804"</f>
        <v>40.914804</v>
      </c>
      <c r="R1265" t="str">
        <f>"22.750231"</f>
        <v>22.750231</v>
      </c>
      <c r="S1265" t="s">
        <v>26</v>
      </c>
    </row>
    <row r="1266" spans="1:19" x14ac:dyDescent="0.3">
      <c r="A1266" t="s">
        <v>25190</v>
      </c>
      <c r="B1266" t="s">
        <v>26583</v>
      </c>
      <c r="C1266" t="s">
        <v>26593</v>
      </c>
      <c r="D1266" t="s">
        <v>25207</v>
      </c>
      <c r="E1266" t="s">
        <v>25207</v>
      </c>
      <c r="F1266" t="s">
        <v>26591</v>
      </c>
      <c r="G1266" t="s">
        <v>26592</v>
      </c>
      <c r="H1266" t="s">
        <v>51</v>
      </c>
      <c r="I1266" t="s">
        <v>52</v>
      </c>
      <c r="J1266" t="str">
        <f>"2605010"</f>
        <v>2605010</v>
      </c>
      <c r="K1266">
        <v>2341031202</v>
      </c>
      <c r="L1266">
        <v>2341031202</v>
      </c>
      <c r="M1266" t="s">
        <v>26594</v>
      </c>
      <c r="N1266" t="s">
        <v>26595</v>
      </c>
      <c r="O1266" t="s">
        <v>26596</v>
      </c>
      <c r="P1266">
        <v>61003</v>
      </c>
      <c r="Q1266" t="str">
        <f>"41.261460"</f>
        <v>41.261460</v>
      </c>
      <c r="R1266" t="str">
        <f>"22.839919"</f>
        <v>22.839919</v>
      </c>
      <c r="S1266" t="s">
        <v>26</v>
      </c>
    </row>
    <row r="1267" spans="1:19" x14ac:dyDescent="0.3">
      <c r="A1267" t="s">
        <v>25190</v>
      </c>
      <c r="B1267" t="s">
        <v>26583</v>
      </c>
      <c r="C1267" t="s">
        <v>26600</v>
      </c>
      <c r="D1267" t="s">
        <v>25207</v>
      </c>
      <c r="E1267" t="s">
        <v>25207</v>
      </c>
      <c r="F1267" t="s">
        <v>26599</v>
      </c>
      <c r="G1267" t="s">
        <v>25878</v>
      </c>
      <c r="H1267" t="s">
        <v>51</v>
      </c>
      <c r="I1267" t="s">
        <v>52</v>
      </c>
      <c r="J1267" t="str">
        <f>"2610010"</f>
        <v>2610010</v>
      </c>
      <c r="K1267">
        <v>2341086278</v>
      </c>
      <c r="L1267">
        <v>2341086278</v>
      </c>
      <c r="M1267" t="s">
        <v>26601</v>
      </c>
      <c r="N1267" t="s">
        <v>26602</v>
      </c>
      <c r="O1267" t="s">
        <v>26602</v>
      </c>
      <c r="P1267">
        <v>61100</v>
      </c>
      <c r="Q1267" t="str">
        <f>"41.079442"</f>
        <v>41.079442</v>
      </c>
      <c r="R1267" t="str">
        <f>"22.908150"</f>
        <v>22.908150</v>
      </c>
      <c r="S1267" t="s">
        <v>26</v>
      </c>
    </row>
    <row r="1268" spans="1:19" x14ac:dyDescent="0.3">
      <c r="A1268" t="s">
        <v>25190</v>
      </c>
      <c r="B1268" t="s">
        <v>26583</v>
      </c>
      <c r="C1268" t="s">
        <v>26656</v>
      </c>
      <c r="D1268" t="s">
        <v>25207</v>
      </c>
      <c r="E1268" t="s">
        <v>26604</v>
      </c>
      <c r="F1268" t="s">
        <v>26637</v>
      </c>
      <c r="G1268" t="s">
        <v>26637</v>
      </c>
      <c r="H1268" t="s">
        <v>51</v>
      </c>
      <c r="I1268" t="s">
        <v>52</v>
      </c>
      <c r="J1268" t="str">
        <f>"2607010"</f>
        <v>2607010</v>
      </c>
      <c r="K1268">
        <v>2343061261</v>
      </c>
      <c r="L1268">
        <v>2343061734</v>
      </c>
      <c r="M1268" t="s">
        <v>26657</v>
      </c>
      <c r="N1268" t="s">
        <v>26640</v>
      </c>
      <c r="O1268" t="s">
        <v>26640</v>
      </c>
      <c r="P1268">
        <v>61007</v>
      </c>
      <c r="Q1268" t="str">
        <f>"40.898660"</f>
        <v>40.898660</v>
      </c>
      <c r="R1268" t="str">
        <f>"22.550927"</f>
        <v>22.550927</v>
      </c>
      <c r="S1268" t="s">
        <v>26</v>
      </c>
    </row>
    <row r="1269" spans="1:19" x14ac:dyDescent="0.3">
      <c r="A1269" t="s">
        <v>25190</v>
      </c>
      <c r="B1269" t="s">
        <v>26583</v>
      </c>
      <c r="C1269" t="s">
        <v>26658</v>
      </c>
      <c r="D1269" t="s">
        <v>25207</v>
      </c>
      <c r="E1269" t="s">
        <v>25207</v>
      </c>
      <c r="F1269" t="s">
        <v>25207</v>
      </c>
      <c r="G1269" t="s">
        <v>25207</v>
      </c>
      <c r="H1269" t="s">
        <v>51</v>
      </c>
      <c r="I1269" t="s">
        <v>52</v>
      </c>
      <c r="J1269" t="str">
        <f>"2601020"</f>
        <v>2601020</v>
      </c>
      <c r="K1269">
        <v>2341022682</v>
      </c>
      <c r="L1269">
        <v>2341024864</v>
      </c>
      <c r="M1269" t="s">
        <v>26659</v>
      </c>
      <c r="N1269" t="s">
        <v>25207</v>
      </c>
      <c r="O1269" t="s">
        <v>26660</v>
      </c>
      <c r="P1269">
        <v>61100</v>
      </c>
      <c r="Q1269" t="str">
        <f>"40.997515"</f>
        <v>40.997515</v>
      </c>
      <c r="R1269" t="str">
        <f>"22.880824"</f>
        <v>22.880824</v>
      </c>
      <c r="S1269" t="s">
        <v>26</v>
      </c>
    </row>
    <row r="1270" spans="1:19" x14ac:dyDescent="0.3">
      <c r="A1270" t="s">
        <v>25190</v>
      </c>
      <c r="B1270" t="s">
        <v>26583</v>
      </c>
      <c r="C1270" t="s">
        <v>26662</v>
      </c>
      <c r="D1270" t="s">
        <v>25207</v>
      </c>
      <c r="E1270" t="s">
        <v>25207</v>
      </c>
      <c r="F1270" t="s">
        <v>26584</v>
      </c>
      <c r="G1270" t="s">
        <v>26661</v>
      </c>
      <c r="H1270" t="s">
        <v>51</v>
      </c>
      <c r="I1270" t="s">
        <v>52</v>
      </c>
      <c r="J1270" t="str">
        <f>"2613010"</f>
        <v>2613010</v>
      </c>
      <c r="K1270">
        <v>2341093204</v>
      </c>
      <c r="L1270">
        <v>2341093204</v>
      </c>
      <c r="M1270" t="s">
        <v>26663</v>
      </c>
      <c r="N1270" t="s">
        <v>26664</v>
      </c>
      <c r="O1270" t="s">
        <v>26664</v>
      </c>
      <c r="P1270">
        <v>57011</v>
      </c>
      <c r="Q1270" t="str">
        <f>"40.812953"</f>
        <v>40.812953</v>
      </c>
      <c r="R1270" t="str">
        <f>"22.707943"</f>
        <v>22.707943</v>
      </c>
      <c r="S1270" t="s">
        <v>26</v>
      </c>
    </row>
    <row r="1271" spans="1:19" x14ac:dyDescent="0.3">
      <c r="A1271" t="s">
        <v>25190</v>
      </c>
      <c r="B1271" t="s">
        <v>26583</v>
      </c>
      <c r="C1271" t="s">
        <v>26666</v>
      </c>
      <c r="D1271" t="s">
        <v>25207</v>
      </c>
      <c r="E1271" t="s">
        <v>25207</v>
      </c>
      <c r="F1271" t="s">
        <v>26631</v>
      </c>
      <c r="G1271" t="s">
        <v>26631</v>
      </c>
      <c r="H1271" t="s">
        <v>51</v>
      </c>
      <c r="I1271" t="s">
        <v>52</v>
      </c>
      <c r="J1271" t="str">
        <f>"2604010"</f>
        <v>2604010</v>
      </c>
      <c r="K1271">
        <v>2341051203</v>
      </c>
      <c r="L1271">
        <v>2341051203</v>
      </c>
      <c r="M1271" t="s">
        <v>26667</v>
      </c>
      <c r="N1271" t="s">
        <v>26634</v>
      </c>
      <c r="O1271" t="s">
        <v>26668</v>
      </c>
      <c r="P1271">
        <v>61002</v>
      </c>
      <c r="Q1271" t="str">
        <f>"41.088624"</f>
        <v>41.088624</v>
      </c>
      <c r="R1271" t="str">
        <f>"22.780241"</f>
        <v>22.780241</v>
      </c>
      <c r="S1271" t="s">
        <v>26</v>
      </c>
    </row>
    <row r="1272" spans="1:19" x14ac:dyDescent="0.3">
      <c r="A1272" t="s">
        <v>25190</v>
      </c>
      <c r="B1272" t="s">
        <v>26583</v>
      </c>
      <c r="C1272" t="s">
        <v>26674</v>
      </c>
      <c r="D1272" t="s">
        <v>25207</v>
      </c>
      <c r="E1272" t="s">
        <v>26604</v>
      </c>
      <c r="F1272" t="s">
        <v>26645</v>
      </c>
      <c r="G1272" t="s">
        <v>26645</v>
      </c>
      <c r="H1272" t="s">
        <v>51</v>
      </c>
      <c r="I1272" t="s">
        <v>52</v>
      </c>
      <c r="J1272" t="str">
        <f>"2606010"</f>
        <v>2606010</v>
      </c>
      <c r="K1272">
        <v>2343024821</v>
      </c>
      <c r="L1272">
        <v>2343024821</v>
      </c>
      <c r="M1272" t="s">
        <v>26675</v>
      </c>
      <c r="N1272" t="s">
        <v>26676</v>
      </c>
      <c r="O1272" t="s">
        <v>26677</v>
      </c>
      <c r="P1272">
        <v>61200</v>
      </c>
      <c r="Q1272" t="str">
        <f>"40.996783"</f>
        <v>40.996783</v>
      </c>
      <c r="R1272" t="str">
        <f>"22.570687"</f>
        <v>22.570687</v>
      </c>
      <c r="S1272" t="s">
        <v>26</v>
      </c>
    </row>
    <row r="1273" spans="1:19" x14ac:dyDescent="0.3">
      <c r="A1273" t="s">
        <v>25190</v>
      </c>
      <c r="B1273" t="s">
        <v>26583</v>
      </c>
      <c r="C1273" t="s">
        <v>26678</v>
      </c>
      <c r="D1273" t="s">
        <v>25207</v>
      </c>
      <c r="E1273" t="s">
        <v>25207</v>
      </c>
      <c r="F1273" t="s">
        <v>25207</v>
      </c>
      <c r="G1273" t="s">
        <v>25207</v>
      </c>
      <c r="H1273" t="s">
        <v>51</v>
      </c>
      <c r="I1273" t="s">
        <v>52</v>
      </c>
      <c r="J1273" t="str">
        <f>"2601010"</f>
        <v>2601010</v>
      </c>
      <c r="K1273">
        <v>2341022338</v>
      </c>
      <c r="M1273" t="s">
        <v>26679</v>
      </c>
      <c r="N1273" t="s">
        <v>25207</v>
      </c>
      <c r="O1273" t="s">
        <v>26680</v>
      </c>
      <c r="P1273">
        <v>61100</v>
      </c>
      <c r="Q1273" t="str">
        <f>"40.986016"</f>
        <v>40.986016</v>
      </c>
      <c r="R1273" t="str">
        <f>"22.865857"</f>
        <v>22.865857</v>
      </c>
      <c r="S1273" t="s">
        <v>26</v>
      </c>
    </row>
    <row r="1274" spans="1:19" x14ac:dyDescent="0.3">
      <c r="A1274" t="s">
        <v>25190</v>
      </c>
      <c r="B1274" t="s">
        <v>26583</v>
      </c>
      <c r="C1274" t="s">
        <v>26689</v>
      </c>
      <c r="D1274" t="s">
        <v>25207</v>
      </c>
      <c r="E1274" t="s">
        <v>25207</v>
      </c>
      <c r="F1274" t="s">
        <v>26682</v>
      </c>
      <c r="G1274" t="s">
        <v>26683</v>
      </c>
      <c r="H1274" t="s">
        <v>51</v>
      </c>
      <c r="I1274" t="s">
        <v>52</v>
      </c>
      <c r="J1274" t="str">
        <f>"2609010"</f>
        <v>2609010</v>
      </c>
      <c r="K1274">
        <v>2341041165</v>
      </c>
      <c r="L1274">
        <v>2341042232</v>
      </c>
      <c r="M1274" t="s">
        <v>26690</v>
      </c>
      <c r="N1274" t="s">
        <v>26686</v>
      </c>
      <c r="O1274" t="s">
        <v>26687</v>
      </c>
      <c r="P1274">
        <v>61100</v>
      </c>
      <c r="Q1274" t="str">
        <f>"40.896497"</f>
        <v>40.896497</v>
      </c>
      <c r="R1274" t="str">
        <f>"22.916984"</f>
        <v>22.916984</v>
      </c>
      <c r="S1274" t="s">
        <v>26</v>
      </c>
    </row>
    <row r="1275" spans="1:19" x14ac:dyDescent="0.3">
      <c r="A1275" t="s">
        <v>25190</v>
      </c>
      <c r="B1275" t="s">
        <v>26583</v>
      </c>
      <c r="C1275" t="s">
        <v>26692</v>
      </c>
      <c r="D1275" t="s">
        <v>25207</v>
      </c>
      <c r="E1275" t="s">
        <v>26604</v>
      </c>
      <c r="F1275" t="s">
        <v>26645</v>
      </c>
      <c r="G1275" t="s">
        <v>26691</v>
      </c>
      <c r="H1275" t="s">
        <v>51</v>
      </c>
      <c r="I1275" t="s">
        <v>52</v>
      </c>
      <c r="J1275" t="str">
        <f>"2614010"</f>
        <v>2614010</v>
      </c>
      <c r="K1275">
        <v>2343092217</v>
      </c>
      <c r="L1275">
        <v>2343092207</v>
      </c>
      <c r="M1275" t="s">
        <v>26693</v>
      </c>
      <c r="N1275" t="s">
        <v>26694</v>
      </c>
      <c r="O1275" t="s">
        <v>20356</v>
      </c>
      <c r="P1275">
        <v>61200</v>
      </c>
      <c r="Q1275" t="str">
        <f>"41.062412"</f>
        <v>41.062412</v>
      </c>
      <c r="R1275" t="str">
        <f>"22.594856"</f>
        <v>22.594856</v>
      </c>
      <c r="S1275" t="s">
        <v>26</v>
      </c>
    </row>
    <row r="1276" spans="1:19" x14ac:dyDescent="0.3">
      <c r="A1276" t="s">
        <v>25190</v>
      </c>
      <c r="B1276" t="s">
        <v>26583</v>
      </c>
      <c r="C1276" t="s">
        <v>26697</v>
      </c>
      <c r="D1276" t="s">
        <v>25207</v>
      </c>
      <c r="E1276" t="s">
        <v>25207</v>
      </c>
      <c r="F1276" t="s">
        <v>25207</v>
      </c>
      <c r="G1276" t="s">
        <v>26696</v>
      </c>
      <c r="H1276" t="s">
        <v>51</v>
      </c>
      <c r="I1276" t="s">
        <v>52</v>
      </c>
      <c r="J1276" t="str">
        <f>"2612010"</f>
        <v>2612010</v>
      </c>
      <c r="K1276">
        <v>2341071362</v>
      </c>
      <c r="L1276">
        <v>2341071362</v>
      </c>
      <c r="M1276" t="s">
        <v>26698</v>
      </c>
      <c r="N1276" t="s">
        <v>26699</v>
      </c>
      <c r="O1276" t="s">
        <v>26700</v>
      </c>
      <c r="P1276">
        <v>61100</v>
      </c>
      <c r="Q1276" t="str">
        <f>"40.993557"</f>
        <v>40.993557</v>
      </c>
      <c r="R1276" t="str">
        <f>"22.768597"</f>
        <v>22.768597</v>
      </c>
      <c r="S1276" t="s">
        <v>26</v>
      </c>
    </row>
    <row r="1277" spans="1:19" x14ac:dyDescent="0.3">
      <c r="A1277" t="s">
        <v>25190</v>
      </c>
      <c r="B1277" t="s">
        <v>26583</v>
      </c>
      <c r="C1277" t="s">
        <v>26702</v>
      </c>
      <c r="D1277" t="s">
        <v>25207</v>
      </c>
      <c r="E1277" t="s">
        <v>25207</v>
      </c>
      <c r="F1277" t="s">
        <v>25207</v>
      </c>
      <c r="G1277" t="s">
        <v>25207</v>
      </c>
      <c r="H1277" t="s">
        <v>51</v>
      </c>
      <c r="I1277" t="s">
        <v>52</v>
      </c>
      <c r="J1277" t="str">
        <f>"2601025"</f>
        <v>2601025</v>
      </c>
      <c r="K1277">
        <v>2341025267</v>
      </c>
      <c r="L1277">
        <v>2341025245</v>
      </c>
      <c r="M1277" t="s">
        <v>26703</v>
      </c>
      <c r="N1277" t="s">
        <v>25207</v>
      </c>
      <c r="O1277" t="s">
        <v>26704</v>
      </c>
      <c r="P1277">
        <v>61100</v>
      </c>
      <c r="Q1277" t="str">
        <f>"41.000792"</f>
        <v>41.000792</v>
      </c>
      <c r="R1277" t="str">
        <f>"22.867643"</f>
        <v>22.867643</v>
      </c>
      <c r="S1277" t="s">
        <v>26</v>
      </c>
    </row>
    <row r="1278" spans="1:19" x14ac:dyDescent="0.3">
      <c r="A1278" t="s">
        <v>25190</v>
      </c>
      <c r="B1278" t="s">
        <v>26583</v>
      </c>
      <c r="C1278" t="s">
        <v>26708</v>
      </c>
      <c r="D1278" t="s">
        <v>25207</v>
      </c>
      <c r="E1278" t="s">
        <v>26604</v>
      </c>
      <c r="F1278" t="s">
        <v>26614</v>
      </c>
      <c r="G1278" t="s">
        <v>26614</v>
      </c>
      <c r="H1278" t="s">
        <v>51</v>
      </c>
      <c r="I1278" t="s">
        <v>52</v>
      </c>
      <c r="J1278" t="str">
        <f>"2603010"</f>
        <v>2603010</v>
      </c>
      <c r="K1278">
        <v>2343041229</v>
      </c>
      <c r="L1278">
        <v>2343041229</v>
      </c>
      <c r="M1278" t="s">
        <v>26709</v>
      </c>
      <c r="N1278" t="s">
        <v>26710</v>
      </c>
      <c r="O1278" t="s">
        <v>26711</v>
      </c>
      <c r="P1278">
        <v>61300</v>
      </c>
      <c r="Q1278" t="str">
        <f>"40.950578"</f>
        <v>40.950578</v>
      </c>
      <c r="R1278" t="str">
        <f>"22.450130"</f>
        <v>22.450130</v>
      </c>
      <c r="S1278" t="s">
        <v>26</v>
      </c>
    </row>
    <row r="1279" spans="1:19" x14ac:dyDescent="0.3">
      <c r="A1279" t="s">
        <v>25190</v>
      </c>
      <c r="B1279" t="s">
        <v>26583</v>
      </c>
      <c r="C1279" t="s">
        <v>26712</v>
      </c>
      <c r="D1279" t="s">
        <v>25207</v>
      </c>
      <c r="E1279" t="s">
        <v>26604</v>
      </c>
      <c r="F1279" t="s">
        <v>26605</v>
      </c>
      <c r="G1279" t="s">
        <v>26606</v>
      </c>
      <c r="H1279" t="s">
        <v>51</v>
      </c>
      <c r="I1279" t="s">
        <v>52</v>
      </c>
      <c r="J1279" t="str">
        <f>"2602010"</f>
        <v>2602010</v>
      </c>
      <c r="K1279">
        <v>2343031233</v>
      </c>
      <c r="L1279">
        <v>2343032865</v>
      </c>
      <c r="M1279" t="s">
        <v>26713</v>
      </c>
      <c r="N1279" t="s">
        <v>26653</v>
      </c>
      <c r="O1279" t="s">
        <v>25654</v>
      </c>
      <c r="P1279">
        <v>61400</v>
      </c>
      <c r="Q1279" t="str">
        <f>"40.986545"</f>
        <v>40.986545</v>
      </c>
      <c r="R1279" t="str">
        <f>"22.535754"</f>
        <v>22.535754</v>
      </c>
      <c r="S1279" t="s">
        <v>26</v>
      </c>
    </row>
    <row r="1280" spans="1:19" x14ac:dyDescent="0.3">
      <c r="A1280" t="s">
        <v>25190</v>
      </c>
      <c r="B1280" t="s">
        <v>26583</v>
      </c>
      <c r="C1280" t="s">
        <v>26718</v>
      </c>
      <c r="D1280" t="s">
        <v>25207</v>
      </c>
      <c r="E1280" t="s">
        <v>25207</v>
      </c>
      <c r="F1280" t="s">
        <v>25207</v>
      </c>
      <c r="G1280" t="s">
        <v>25207</v>
      </c>
      <c r="H1280" t="s">
        <v>51</v>
      </c>
      <c r="I1280" t="s">
        <v>184</v>
      </c>
      <c r="J1280" t="str">
        <f>"2601030"</f>
        <v>2601030</v>
      </c>
      <c r="K1280">
        <v>2341075314</v>
      </c>
      <c r="L1280">
        <v>2341075314</v>
      </c>
      <c r="M1280" t="s">
        <v>26719</v>
      </c>
      <c r="N1280" t="s">
        <v>25207</v>
      </c>
      <c r="O1280" t="s">
        <v>26720</v>
      </c>
      <c r="P1280">
        <v>61100</v>
      </c>
      <c r="Q1280" t="str">
        <f>"40.990711"</f>
        <v>40.990711</v>
      </c>
      <c r="R1280" t="str">
        <f>"22.884414"</f>
        <v>22.884414</v>
      </c>
      <c r="S1280" t="s">
        <v>26</v>
      </c>
    </row>
    <row r="1281" spans="1:19" x14ac:dyDescent="0.3">
      <c r="A1281" t="s">
        <v>25190</v>
      </c>
      <c r="B1281" t="s">
        <v>26583</v>
      </c>
      <c r="C1281" t="s">
        <v>26724</v>
      </c>
      <c r="D1281" t="s">
        <v>25207</v>
      </c>
      <c r="E1281" t="s">
        <v>25207</v>
      </c>
      <c r="F1281" t="s">
        <v>25207</v>
      </c>
      <c r="G1281" t="s">
        <v>25207</v>
      </c>
      <c r="H1281" t="s">
        <v>51</v>
      </c>
      <c r="I1281" t="s">
        <v>199</v>
      </c>
      <c r="J1281" t="str">
        <f>"2604000"</f>
        <v>2604000</v>
      </c>
      <c r="M1281" t="s">
        <v>26725</v>
      </c>
      <c r="N1281" t="s">
        <v>25207</v>
      </c>
      <c r="O1281" t="s">
        <v>26707</v>
      </c>
      <c r="P1281">
        <v>61100</v>
      </c>
      <c r="Q1281" t="str">
        <f>"40.991391"</f>
        <v>40.991391</v>
      </c>
      <c r="R1281" t="str">
        <f>"22.885853"</f>
        <v>22.885853</v>
      </c>
      <c r="S1281" t="s">
        <v>26</v>
      </c>
    </row>
    <row r="1282" spans="1:19" x14ac:dyDescent="0.3">
      <c r="A1282" t="s">
        <v>25190</v>
      </c>
      <c r="B1282" t="s">
        <v>26726</v>
      </c>
      <c r="C1282" t="s">
        <v>26727</v>
      </c>
      <c r="D1282" t="s">
        <v>25211</v>
      </c>
      <c r="E1282" t="s">
        <v>25211</v>
      </c>
      <c r="F1282" t="s">
        <v>21739</v>
      </c>
      <c r="G1282" t="s">
        <v>21739</v>
      </c>
      <c r="H1282" t="s">
        <v>51</v>
      </c>
      <c r="I1282" t="s">
        <v>52</v>
      </c>
      <c r="J1282" t="str">
        <f>"3806015"</f>
        <v>3806015</v>
      </c>
      <c r="K1282">
        <v>2382062795</v>
      </c>
      <c r="L1282">
        <v>2382062795</v>
      </c>
      <c r="M1282" t="s">
        <v>26728</v>
      </c>
      <c r="N1282" t="s">
        <v>26729</v>
      </c>
      <c r="O1282" t="s">
        <v>26730</v>
      </c>
      <c r="P1282">
        <v>58300</v>
      </c>
      <c r="Q1282" t="str">
        <f>"40.690327"</f>
        <v>40.690327</v>
      </c>
      <c r="R1282" t="str">
        <f>"22.314870"</f>
        <v>22.314870</v>
      </c>
      <c r="S1282" t="s">
        <v>26</v>
      </c>
    </row>
    <row r="1283" spans="1:19" x14ac:dyDescent="0.3">
      <c r="A1283" t="s">
        <v>25190</v>
      </c>
      <c r="B1283" t="s">
        <v>26726</v>
      </c>
      <c r="C1283" t="s">
        <v>26735</v>
      </c>
      <c r="D1283" t="s">
        <v>25211</v>
      </c>
      <c r="E1283" t="s">
        <v>25211</v>
      </c>
      <c r="F1283" t="s">
        <v>26733</v>
      </c>
      <c r="G1283" t="s">
        <v>26734</v>
      </c>
      <c r="H1283" t="s">
        <v>51</v>
      </c>
      <c r="I1283" t="s">
        <v>52</v>
      </c>
      <c r="J1283" t="str">
        <f>"3808010"</f>
        <v>3808010</v>
      </c>
      <c r="K1283">
        <v>2382099414</v>
      </c>
      <c r="L1283">
        <v>2382099414</v>
      </c>
      <c r="M1283" t="s">
        <v>26736</v>
      </c>
      <c r="N1283" t="s">
        <v>26737</v>
      </c>
      <c r="O1283" t="s">
        <v>26737</v>
      </c>
      <c r="P1283">
        <v>58100</v>
      </c>
      <c r="Q1283" t="str">
        <f>"40.845371"</f>
        <v>40.845371</v>
      </c>
      <c r="R1283" t="str">
        <f>"22.304970"</f>
        <v>22.304970</v>
      </c>
      <c r="S1283" t="s">
        <v>26</v>
      </c>
    </row>
    <row r="1284" spans="1:19" x14ac:dyDescent="0.3">
      <c r="A1284" t="s">
        <v>25190</v>
      </c>
      <c r="B1284" t="s">
        <v>26726</v>
      </c>
      <c r="C1284" t="s">
        <v>26748</v>
      </c>
      <c r="D1284" t="s">
        <v>25211</v>
      </c>
      <c r="E1284" t="s">
        <v>25211</v>
      </c>
      <c r="F1284" t="s">
        <v>25211</v>
      </c>
      <c r="G1284" t="s">
        <v>26747</v>
      </c>
      <c r="H1284" t="s">
        <v>51</v>
      </c>
      <c r="I1284" t="s">
        <v>52</v>
      </c>
      <c r="J1284" t="str">
        <f>"3813010"</f>
        <v>3813010</v>
      </c>
      <c r="K1284">
        <v>2382031249</v>
      </c>
      <c r="L1284">
        <v>2382031249</v>
      </c>
      <c r="M1284" t="s">
        <v>26749</v>
      </c>
      <c r="N1284" t="s">
        <v>26750</v>
      </c>
      <c r="O1284" t="s">
        <v>26751</v>
      </c>
      <c r="P1284">
        <v>58005</v>
      </c>
      <c r="Q1284" t="str">
        <f>"40.756388"</f>
        <v>40.756388</v>
      </c>
      <c r="R1284" t="str">
        <f>"22.520957"</f>
        <v>22.520957</v>
      </c>
      <c r="S1284" t="s">
        <v>26</v>
      </c>
    </row>
    <row r="1285" spans="1:19" x14ac:dyDescent="0.3">
      <c r="A1285" t="s">
        <v>25190</v>
      </c>
      <c r="B1285" t="s">
        <v>26726</v>
      </c>
      <c r="C1285" t="s">
        <v>26812</v>
      </c>
      <c r="D1285" t="s">
        <v>25211</v>
      </c>
      <c r="E1285" t="s">
        <v>25212</v>
      </c>
      <c r="F1285" t="s">
        <v>25212</v>
      </c>
      <c r="G1285" t="s">
        <v>25213</v>
      </c>
      <c r="H1285" t="s">
        <v>51</v>
      </c>
      <c r="I1285" t="s">
        <v>52</v>
      </c>
      <c r="J1285" t="str">
        <f>"3801020"</f>
        <v>3801020</v>
      </c>
      <c r="K1285">
        <v>2381024285</v>
      </c>
      <c r="L1285">
        <v>2381024285</v>
      </c>
      <c r="M1285" t="s">
        <v>26813</v>
      </c>
      <c r="N1285" t="s">
        <v>25216</v>
      </c>
      <c r="O1285" t="s">
        <v>26814</v>
      </c>
      <c r="P1285">
        <v>58200</v>
      </c>
      <c r="Q1285" t="str">
        <f>"40.795360"</f>
        <v>40.795360</v>
      </c>
      <c r="R1285" t="str">
        <f>"22.045968"</f>
        <v>22.045968</v>
      </c>
      <c r="S1285" t="s">
        <v>26</v>
      </c>
    </row>
    <row r="1286" spans="1:19" x14ac:dyDescent="0.3">
      <c r="A1286" t="s">
        <v>25190</v>
      </c>
      <c r="B1286" t="s">
        <v>26726</v>
      </c>
      <c r="C1286" t="s">
        <v>26817</v>
      </c>
      <c r="D1286" t="s">
        <v>25211</v>
      </c>
      <c r="E1286" t="s">
        <v>25212</v>
      </c>
      <c r="F1286" t="s">
        <v>26815</v>
      </c>
      <c r="G1286" t="s">
        <v>26816</v>
      </c>
      <c r="H1286" t="s">
        <v>51</v>
      </c>
      <c r="I1286" t="s">
        <v>89</v>
      </c>
      <c r="J1286" t="str">
        <f>"3809010"</f>
        <v>3809010</v>
      </c>
      <c r="K1286">
        <v>2381031353</v>
      </c>
      <c r="M1286" t="s">
        <v>26818</v>
      </c>
      <c r="N1286" t="s">
        <v>26819</v>
      </c>
      <c r="O1286" t="s">
        <v>26820</v>
      </c>
      <c r="P1286">
        <v>58002</v>
      </c>
      <c r="Q1286" t="str">
        <f>"40.795668"</f>
        <v>40.795668</v>
      </c>
      <c r="R1286" t="str">
        <f>"21.834592"</f>
        <v>21.834592</v>
      </c>
      <c r="S1286" t="s">
        <v>26</v>
      </c>
    </row>
    <row r="1287" spans="1:19" x14ac:dyDescent="0.3">
      <c r="A1287" t="s">
        <v>25190</v>
      </c>
      <c r="B1287" t="s">
        <v>26726</v>
      </c>
      <c r="C1287" t="s">
        <v>26822</v>
      </c>
      <c r="D1287" t="s">
        <v>25211</v>
      </c>
      <c r="E1287" t="s">
        <v>25211</v>
      </c>
      <c r="F1287" t="s">
        <v>26731</v>
      </c>
      <c r="G1287" t="s">
        <v>26731</v>
      </c>
      <c r="H1287" t="s">
        <v>51</v>
      </c>
      <c r="I1287" t="s">
        <v>52</v>
      </c>
      <c r="J1287" t="str">
        <f>"3803040"</f>
        <v>3803040</v>
      </c>
      <c r="K1287">
        <v>2382025221</v>
      </c>
      <c r="L1287">
        <v>2382025221</v>
      </c>
      <c r="M1287" t="s">
        <v>26823</v>
      </c>
      <c r="N1287" t="s">
        <v>26824</v>
      </c>
      <c r="O1287" t="s">
        <v>26825</v>
      </c>
      <c r="P1287">
        <v>58100</v>
      </c>
      <c r="Q1287" t="str">
        <f>"40.798354"</f>
        <v>40.798354</v>
      </c>
      <c r="R1287" t="str">
        <f>"22.423942"</f>
        <v>22.423942</v>
      </c>
      <c r="S1287" t="s">
        <v>26</v>
      </c>
    </row>
    <row r="1288" spans="1:19" x14ac:dyDescent="0.3">
      <c r="A1288" t="s">
        <v>25190</v>
      </c>
      <c r="B1288" t="s">
        <v>26726</v>
      </c>
      <c r="C1288" t="s">
        <v>26828</v>
      </c>
      <c r="D1288" t="s">
        <v>25211</v>
      </c>
      <c r="E1288" t="s">
        <v>26753</v>
      </c>
      <c r="F1288" t="s">
        <v>26775</v>
      </c>
      <c r="G1288" t="s">
        <v>26827</v>
      </c>
      <c r="H1288" t="s">
        <v>51</v>
      </c>
      <c r="I1288" t="s">
        <v>52</v>
      </c>
      <c r="J1288" t="str">
        <f>"3812010"</f>
        <v>3812010</v>
      </c>
      <c r="K1288">
        <v>2384075270</v>
      </c>
      <c r="L1288">
        <v>2384075270</v>
      </c>
      <c r="M1288" t="s">
        <v>26829</v>
      </c>
      <c r="N1288" t="s">
        <v>26830</v>
      </c>
      <c r="O1288" t="s">
        <v>26830</v>
      </c>
      <c r="P1288">
        <v>58400</v>
      </c>
      <c r="Q1288" t="str">
        <f>"41.022393"</f>
        <v>41.022393</v>
      </c>
      <c r="R1288" t="str">
        <f>"22.006808"</f>
        <v>22.006808</v>
      </c>
      <c r="S1288" t="s">
        <v>26</v>
      </c>
    </row>
    <row r="1289" spans="1:19" x14ac:dyDescent="0.3">
      <c r="A1289" t="s">
        <v>25190</v>
      </c>
      <c r="B1289" t="s">
        <v>26726</v>
      </c>
      <c r="C1289" t="s">
        <v>26832</v>
      </c>
      <c r="D1289" t="s">
        <v>25211</v>
      </c>
      <c r="E1289" t="s">
        <v>26760</v>
      </c>
      <c r="F1289" t="s">
        <v>26785</v>
      </c>
      <c r="G1289" t="s">
        <v>26786</v>
      </c>
      <c r="H1289" t="s">
        <v>51</v>
      </c>
      <c r="I1289" t="s">
        <v>52</v>
      </c>
      <c r="J1289" t="str">
        <f>"3815010"</f>
        <v>3815010</v>
      </c>
      <c r="K1289">
        <v>2381041173</v>
      </c>
      <c r="L1289">
        <v>2381041173</v>
      </c>
      <c r="M1289" t="s">
        <v>26833</v>
      </c>
      <c r="N1289" t="s">
        <v>26834</v>
      </c>
      <c r="O1289" t="s">
        <v>26835</v>
      </c>
      <c r="P1289">
        <v>58500</v>
      </c>
      <c r="Q1289" t="str">
        <f>"40.823549"</f>
        <v>40.823549</v>
      </c>
      <c r="R1289" t="str">
        <f>"22.180388"</f>
        <v>22.180388</v>
      </c>
      <c r="S1289" t="s">
        <v>26</v>
      </c>
    </row>
    <row r="1290" spans="1:19" x14ac:dyDescent="0.3">
      <c r="A1290" t="s">
        <v>25190</v>
      </c>
      <c r="B1290" t="s">
        <v>26726</v>
      </c>
      <c r="C1290" t="s">
        <v>26836</v>
      </c>
      <c r="D1290" t="s">
        <v>25211</v>
      </c>
      <c r="E1290" t="s">
        <v>25211</v>
      </c>
      <c r="F1290" t="s">
        <v>26731</v>
      </c>
      <c r="G1290" t="s">
        <v>26731</v>
      </c>
      <c r="H1290" t="s">
        <v>51</v>
      </c>
      <c r="I1290" t="s">
        <v>52</v>
      </c>
      <c r="J1290" t="str">
        <f>"3803010"</f>
        <v>3803010</v>
      </c>
      <c r="K1290">
        <v>2382023890</v>
      </c>
      <c r="L1290">
        <v>2382081419</v>
      </c>
      <c r="M1290" t="s">
        <v>26837</v>
      </c>
      <c r="N1290" t="s">
        <v>26824</v>
      </c>
      <c r="O1290" t="s">
        <v>26783</v>
      </c>
      <c r="P1290">
        <v>58100</v>
      </c>
      <c r="Q1290" t="str">
        <f>"40.791226"</f>
        <v>40.791226</v>
      </c>
      <c r="R1290" t="str">
        <f>"22.416318"</f>
        <v>22.416318</v>
      </c>
      <c r="S1290" t="s">
        <v>26</v>
      </c>
    </row>
    <row r="1291" spans="1:19" x14ac:dyDescent="0.3">
      <c r="A1291" t="s">
        <v>25190</v>
      </c>
      <c r="B1291" t="s">
        <v>26726</v>
      </c>
      <c r="C1291" t="s">
        <v>26838</v>
      </c>
      <c r="D1291" t="s">
        <v>25211</v>
      </c>
      <c r="E1291" t="s">
        <v>25211</v>
      </c>
      <c r="F1291" t="s">
        <v>21739</v>
      </c>
      <c r="G1291" t="s">
        <v>21739</v>
      </c>
      <c r="H1291" t="s">
        <v>51</v>
      </c>
      <c r="I1291" t="s">
        <v>52</v>
      </c>
      <c r="J1291" t="str">
        <f>"3806010"</f>
        <v>3806010</v>
      </c>
      <c r="K1291">
        <v>2382062735</v>
      </c>
      <c r="L1291">
        <v>2382062735</v>
      </c>
      <c r="M1291" t="s">
        <v>26839</v>
      </c>
      <c r="N1291" t="s">
        <v>26768</v>
      </c>
      <c r="O1291" t="s">
        <v>26840</v>
      </c>
      <c r="P1291">
        <v>58300</v>
      </c>
      <c r="Q1291" t="str">
        <f>"40.692176"</f>
        <v>40.692176</v>
      </c>
      <c r="R1291" t="str">
        <f>"22.301883"</f>
        <v>22.301883</v>
      </c>
      <c r="S1291" t="s">
        <v>26</v>
      </c>
    </row>
    <row r="1292" spans="1:19" x14ac:dyDescent="0.3">
      <c r="A1292" t="s">
        <v>25190</v>
      </c>
      <c r="B1292" t="s">
        <v>26726</v>
      </c>
      <c r="C1292" t="s">
        <v>26842</v>
      </c>
      <c r="D1292" t="s">
        <v>25211</v>
      </c>
      <c r="E1292" t="s">
        <v>25211</v>
      </c>
      <c r="F1292" t="s">
        <v>26733</v>
      </c>
      <c r="G1292" t="s">
        <v>26841</v>
      </c>
      <c r="H1292" t="s">
        <v>51</v>
      </c>
      <c r="I1292" t="s">
        <v>52</v>
      </c>
      <c r="J1292" t="str">
        <f>"3803060"</f>
        <v>3803060</v>
      </c>
      <c r="K1292">
        <v>2382051588</v>
      </c>
      <c r="L1292">
        <v>2382052290</v>
      </c>
      <c r="M1292" t="s">
        <v>26843</v>
      </c>
      <c r="N1292" t="s">
        <v>26844</v>
      </c>
      <c r="O1292" t="s">
        <v>26845</v>
      </c>
      <c r="P1292">
        <v>58100</v>
      </c>
      <c r="Q1292" t="str">
        <f>"40.816392"</f>
        <v>40.816392</v>
      </c>
      <c r="R1292" t="str">
        <f>"22.349344"</f>
        <v>22.349344</v>
      </c>
      <c r="S1292" t="s">
        <v>26</v>
      </c>
    </row>
    <row r="1293" spans="1:19" x14ac:dyDescent="0.3">
      <c r="A1293" t="s">
        <v>25190</v>
      </c>
      <c r="B1293" t="s">
        <v>26726</v>
      </c>
      <c r="C1293" t="s">
        <v>26847</v>
      </c>
      <c r="D1293" t="s">
        <v>25211</v>
      </c>
      <c r="E1293" t="s">
        <v>26760</v>
      </c>
      <c r="F1293" t="s">
        <v>26760</v>
      </c>
      <c r="G1293" t="s">
        <v>26760</v>
      </c>
      <c r="H1293" t="s">
        <v>51</v>
      </c>
      <c r="I1293" t="s">
        <v>52</v>
      </c>
      <c r="J1293" t="str">
        <f>"3805010"</f>
        <v>3805010</v>
      </c>
      <c r="K1293">
        <v>2381089354</v>
      </c>
      <c r="L1293">
        <v>2381082343</v>
      </c>
      <c r="M1293" t="s">
        <v>26848</v>
      </c>
      <c r="N1293" t="s">
        <v>26763</v>
      </c>
      <c r="O1293" t="s">
        <v>26849</v>
      </c>
      <c r="P1293">
        <v>58500</v>
      </c>
      <c r="Q1293" t="str">
        <f>"40.767606"</f>
        <v>40.767606</v>
      </c>
      <c r="R1293" t="str">
        <f>"22.152772"</f>
        <v>22.152772</v>
      </c>
      <c r="S1293" t="s">
        <v>26</v>
      </c>
    </row>
    <row r="1294" spans="1:19" x14ac:dyDescent="0.3">
      <c r="A1294" t="s">
        <v>25190</v>
      </c>
      <c r="B1294" t="s">
        <v>26726</v>
      </c>
      <c r="C1294" t="s">
        <v>26850</v>
      </c>
      <c r="D1294" t="s">
        <v>25211</v>
      </c>
      <c r="E1294" t="s">
        <v>25212</v>
      </c>
      <c r="F1294" t="s">
        <v>25212</v>
      </c>
      <c r="G1294" t="s">
        <v>25213</v>
      </c>
      <c r="H1294" t="s">
        <v>51</v>
      </c>
      <c r="I1294" t="s">
        <v>52</v>
      </c>
      <c r="J1294" t="str">
        <f>"3801030"</f>
        <v>3801030</v>
      </c>
      <c r="K1294">
        <v>2381025838</v>
      </c>
      <c r="L1294">
        <v>2381029740</v>
      </c>
      <c r="M1294" t="s">
        <v>26851</v>
      </c>
      <c r="N1294" t="s">
        <v>26852</v>
      </c>
      <c r="O1294" t="s">
        <v>26853</v>
      </c>
      <c r="P1294">
        <v>58200</v>
      </c>
      <c r="Q1294" t="str">
        <f>"40.806024"</f>
        <v>40.806024</v>
      </c>
      <c r="R1294" t="str">
        <f>"22.042309"</f>
        <v>22.042309</v>
      </c>
      <c r="S1294" t="s">
        <v>26</v>
      </c>
    </row>
    <row r="1295" spans="1:19" x14ac:dyDescent="0.3">
      <c r="A1295" t="s">
        <v>25190</v>
      </c>
      <c r="B1295" t="s">
        <v>26726</v>
      </c>
      <c r="C1295" t="s">
        <v>26854</v>
      </c>
      <c r="D1295" t="s">
        <v>25211</v>
      </c>
      <c r="E1295" t="s">
        <v>25212</v>
      </c>
      <c r="F1295" t="s">
        <v>25212</v>
      </c>
      <c r="G1295" t="s">
        <v>25213</v>
      </c>
      <c r="H1295" t="s">
        <v>51</v>
      </c>
      <c r="I1295" t="s">
        <v>52</v>
      </c>
      <c r="J1295" t="str">
        <f>"3801010"</f>
        <v>3801010</v>
      </c>
      <c r="K1295">
        <v>2381022866</v>
      </c>
      <c r="L1295">
        <v>2381022816</v>
      </c>
      <c r="M1295" t="s">
        <v>26855</v>
      </c>
      <c r="N1295" t="s">
        <v>26856</v>
      </c>
      <c r="O1295" t="s">
        <v>26857</v>
      </c>
      <c r="P1295">
        <v>58200</v>
      </c>
      <c r="Q1295" t="str">
        <f>"40.797251"</f>
        <v>40.797251</v>
      </c>
      <c r="R1295" t="str">
        <f>"22.041360"</f>
        <v>22.041360</v>
      </c>
      <c r="S1295" t="s">
        <v>26</v>
      </c>
    </row>
    <row r="1296" spans="1:19" x14ac:dyDescent="0.3">
      <c r="A1296" t="s">
        <v>25190</v>
      </c>
      <c r="B1296" t="s">
        <v>26726</v>
      </c>
      <c r="C1296" t="s">
        <v>26859</v>
      </c>
      <c r="D1296" t="s">
        <v>25211</v>
      </c>
      <c r="E1296" t="s">
        <v>25211</v>
      </c>
      <c r="F1296" t="s">
        <v>26731</v>
      </c>
      <c r="G1296" t="s">
        <v>26731</v>
      </c>
      <c r="H1296" t="s">
        <v>51</v>
      </c>
      <c r="I1296" t="s">
        <v>52</v>
      </c>
      <c r="J1296" t="str">
        <f>"3803020"</f>
        <v>3803020</v>
      </c>
      <c r="K1296">
        <v>2382081485</v>
      </c>
      <c r="L1296">
        <v>2382081485</v>
      </c>
      <c r="M1296" t="s">
        <v>26860</v>
      </c>
      <c r="N1296" t="s">
        <v>26861</v>
      </c>
      <c r="O1296" t="s">
        <v>26862</v>
      </c>
      <c r="P1296">
        <v>58100</v>
      </c>
      <c r="Q1296" t="str">
        <f>"40.783222"</f>
        <v>40.783222</v>
      </c>
      <c r="R1296" t="str">
        <f>"22.402302"</f>
        <v>22.402302</v>
      </c>
      <c r="S1296" t="s">
        <v>26</v>
      </c>
    </row>
    <row r="1297" spans="1:19" x14ac:dyDescent="0.3">
      <c r="A1297" t="s">
        <v>25190</v>
      </c>
      <c r="B1297" t="s">
        <v>26726</v>
      </c>
      <c r="C1297" t="s">
        <v>26864</v>
      </c>
      <c r="D1297" t="s">
        <v>25211</v>
      </c>
      <c r="E1297" t="s">
        <v>26753</v>
      </c>
      <c r="F1297" t="s">
        <v>26754</v>
      </c>
      <c r="G1297" t="s">
        <v>26863</v>
      </c>
      <c r="H1297" t="s">
        <v>51</v>
      </c>
      <c r="I1297" t="s">
        <v>52</v>
      </c>
      <c r="J1297" t="str">
        <f>"3807010"</f>
        <v>3807010</v>
      </c>
      <c r="K1297">
        <v>2384062255</v>
      </c>
      <c r="L1297">
        <v>2384062590</v>
      </c>
      <c r="M1297" t="s">
        <v>26865</v>
      </c>
      <c r="N1297" t="s">
        <v>26866</v>
      </c>
      <c r="O1297" t="s">
        <v>26867</v>
      </c>
      <c r="P1297">
        <v>58400</v>
      </c>
      <c r="Q1297" t="str">
        <f>"41.055588"</f>
        <v>41.055588</v>
      </c>
      <c r="R1297" t="str">
        <f>"22.169997"</f>
        <v>22.169997</v>
      </c>
      <c r="S1297" t="s">
        <v>26</v>
      </c>
    </row>
    <row r="1298" spans="1:19" x14ac:dyDescent="0.3">
      <c r="A1298" t="s">
        <v>25190</v>
      </c>
      <c r="B1298" t="s">
        <v>26726</v>
      </c>
      <c r="C1298" t="s">
        <v>26868</v>
      </c>
      <c r="D1298" t="s">
        <v>25211</v>
      </c>
      <c r="E1298" t="s">
        <v>26753</v>
      </c>
      <c r="F1298" t="s">
        <v>26775</v>
      </c>
      <c r="G1298" t="s">
        <v>26775</v>
      </c>
      <c r="H1298" t="s">
        <v>51</v>
      </c>
      <c r="I1298" t="s">
        <v>52</v>
      </c>
      <c r="J1298" t="str">
        <f>"3802020"</f>
        <v>3802020</v>
      </c>
      <c r="K1298">
        <v>2384021379</v>
      </c>
      <c r="L1298">
        <v>2384021379</v>
      </c>
      <c r="M1298" t="s">
        <v>26869</v>
      </c>
      <c r="N1298" t="s">
        <v>26778</v>
      </c>
      <c r="O1298" t="s">
        <v>26870</v>
      </c>
      <c r="P1298">
        <v>58400</v>
      </c>
      <c r="Q1298" t="str">
        <f>"40.974826"</f>
        <v>40.974826</v>
      </c>
      <c r="R1298" t="str">
        <f>"22.063923"</f>
        <v>22.063923</v>
      </c>
      <c r="S1298" t="s">
        <v>26</v>
      </c>
    </row>
    <row r="1299" spans="1:19" x14ac:dyDescent="0.3">
      <c r="A1299" t="s">
        <v>25190</v>
      </c>
      <c r="B1299" t="s">
        <v>26726</v>
      </c>
      <c r="C1299" t="s">
        <v>26871</v>
      </c>
      <c r="D1299" t="s">
        <v>25211</v>
      </c>
      <c r="E1299" t="s">
        <v>26753</v>
      </c>
      <c r="F1299" t="s">
        <v>26754</v>
      </c>
      <c r="G1299" t="s">
        <v>26754</v>
      </c>
      <c r="H1299" t="s">
        <v>51</v>
      </c>
      <c r="I1299" t="s">
        <v>52</v>
      </c>
      <c r="J1299" t="str">
        <f>"3804010"</f>
        <v>3804010</v>
      </c>
      <c r="K1299">
        <v>2384041209</v>
      </c>
      <c r="L1299">
        <v>2384041209</v>
      </c>
      <c r="M1299" t="s">
        <v>26872</v>
      </c>
      <c r="N1299" t="s">
        <v>26873</v>
      </c>
      <c r="O1299" t="s">
        <v>26874</v>
      </c>
      <c r="P1299">
        <v>58400</v>
      </c>
      <c r="Q1299" t="str">
        <f>"40.975322"</f>
        <v>40.975322</v>
      </c>
      <c r="R1299" t="str">
        <f>"22.134780"</f>
        <v>22.134780</v>
      </c>
      <c r="S1299" t="s">
        <v>26</v>
      </c>
    </row>
    <row r="1300" spans="1:19" x14ac:dyDescent="0.3">
      <c r="A1300" t="s">
        <v>25190</v>
      </c>
      <c r="B1300" t="s">
        <v>26726</v>
      </c>
      <c r="C1300" t="s">
        <v>26876</v>
      </c>
      <c r="D1300" t="s">
        <v>25211</v>
      </c>
      <c r="E1300" t="s">
        <v>25211</v>
      </c>
      <c r="F1300" t="s">
        <v>8406</v>
      </c>
      <c r="G1300" t="s">
        <v>26875</v>
      </c>
      <c r="H1300" t="s">
        <v>51</v>
      </c>
      <c r="I1300" t="s">
        <v>52</v>
      </c>
      <c r="J1300" t="str">
        <f>"3814010"</f>
        <v>3814010</v>
      </c>
      <c r="K1300">
        <v>2382041474</v>
      </c>
      <c r="L1300">
        <v>2382041474</v>
      </c>
      <c r="M1300" t="s">
        <v>26877</v>
      </c>
      <c r="N1300" t="s">
        <v>26878</v>
      </c>
      <c r="O1300" t="s">
        <v>26879</v>
      </c>
      <c r="P1300">
        <v>58001</v>
      </c>
      <c r="Q1300" t="str">
        <f>"40.771765"</f>
        <v>40.771765</v>
      </c>
      <c r="R1300" t="str">
        <f>"22.323186"</f>
        <v>22.323186</v>
      </c>
      <c r="S1300" t="s">
        <v>26</v>
      </c>
    </row>
    <row r="1301" spans="1:19" x14ac:dyDescent="0.3">
      <c r="A1301" t="s">
        <v>25190</v>
      </c>
      <c r="B1301" t="s">
        <v>26726</v>
      </c>
      <c r="C1301" t="s">
        <v>26881</v>
      </c>
      <c r="D1301" t="s">
        <v>25211</v>
      </c>
      <c r="E1301" t="s">
        <v>26753</v>
      </c>
      <c r="F1301" t="s">
        <v>26775</v>
      </c>
      <c r="G1301" t="s">
        <v>26775</v>
      </c>
      <c r="H1301" t="s">
        <v>51</v>
      </c>
      <c r="I1301" t="s">
        <v>52</v>
      </c>
      <c r="J1301" t="str">
        <f>"3802010"</f>
        <v>3802010</v>
      </c>
      <c r="K1301">
        <v>2384021277</v>
      </c>
      <c r="L1301">
        <v>2384024923</v>
      </c>
      <c r="M1301" t="s">
        <v>26882</v>
      </c>
      <c r="N1301" t="s">
        <v>26883</v>
      </c>
      <c r="O1301" t="s">
        <v>26884</v>
      </c>
      <c r="P1301">
        <v>58400</v>
      </c>
      <c r="Q1301" t="str">
        <f>"40.970240"</f>
        <v>40.970240</v>
      </c>
      <c r="R1301" t="str">
        <f>"22.063227"</f>
        <v>22.063227</v>
      </c>
      <c r="S1301" t="s">
        <v>26</v>
      </c>
    </row>
    <row r="1302" spans="1:19" x14ac:dyDescent="0.3">
      <c r="A1302" t="s">
        <v>25190</v>
      </c>
      <c r="B1302" t="s">
        <v>26726</v>
      </c>
      <c r="C1302" t="s">
        <v>26887</v>
      </c>
      <c r="D1302" t="s">
        <v>25211</v>
      </c>
      <c r="E1302" t="s">
        <v>26753</v>
      </c>
      <c r="F1302" t="s">
        <v>26775</v>
      </c>
      <c r="G1302" t="s">
        <v>26886</v>
      </c>
      <c r="H1302" t="s">
        <v>51</v>
      </c>
      <c r="I1302" t="s">
        <v>52</v>
      </c>
      <c r="J1302" t="str">
        <f>"3811010"</f>
        <v>3811010</v>
      </c>
      <c r="K1302">
        <v>2384031372</v>
      </c>
      <c r="L1302">
        <v>2384031372</v>
      </c>
      <c r="M1302" t="s">
        <v>26888</v>
      </c>
      <c r="N1302" t="s">
        <v>26889</v>
      </c>
      <c r="O1302" t="s">
        <v>26890</v>
      </c>
      <c r="P1302">
        <v>58400</v>
      </c>
      <c r="Q1302" t="str">
        <f>"40.929989"</f>
        <v>40.929989</v>
      </c>
      <c r="R1302" t="str">
        <f>"22.014024"</f>
        <v>22.014024</v>
      </c>
      <c r="S1302" t="s">
        <v>26</v>
      </c>
    </row>
    <row r="1303" spans="1:19" x14ac:dyDescent="0.3">
      <c r="A1303" t="s">
        <v>25190</v>
      </c>
      <c r="B1303" t="s">
        <v>26726</v>
      </c>
      <c r="C1303" t="s">
        <v>26904</v>
      </c>
      <c r="D1303" t="s">
        <v>25211</v>
      </c>
      <c r="E1303" t="s">
        <v>25211</v>
      </c>
      <c r="F1303" t="s">
        <v>26731</v>
      </c>
      <c r="G1303" t="s">
        <v>26731</v>
      </c>
      <c r="H1303" t="s">
        <v>51</v>
      </c>
      <c r="I1303" t="s">
        <v>52</v>
      </c>
      <c r="J1303" t="str">
        <f>"3803030"</f>
        <v>3803030</v>
      </c>
      <c r="K1303">
        <v>2382022576</v>
      </c>
      <c r="L1303">
        <v>2382022576</v>
      </c>
      <c r="M1303" t="s">
        <v>26905</v>
      </c>
      <c r="N1303" t="s">
        <v>26861</v>
      </c>
      <c r="O1303" t="s">
        <v>26906</v>
      </c>
      <c r="P1303">
        <v>58100</v>
      </c>
      <c r="Q1303" t="str">
        <f>"40.796893"</f>
        <v>40.796893</v>
      </c>
      <c r="R1303" t="str">
        <f>"22.405897"</f>
        <v>22.405897</v>
      </c>
      <c r="S1303" t="s">
        <v>26</v>
      </c>
    </row>
    <row r="1304" spans="1:19" x14ac:dyDescent="0.3">
      <c r="A1304" t="s">
        <v>25190</v>
      </c>
      <c r="B1304" t="s">
        <v>26726</v>
      </c>
      <c r="C1304" t="s">
        <v>26913</v>
      </c>
      <c r="D1304" t="s">
        <v>25211</v>
      </c>
      <c r="E1304" t="s">
        <v>26760</v>
      </c>
      <c r="F1304" t="s">
        <v>26760</v>
      </c>
      <c r="G1304" t="s">
        <v>26912</v>
      </c>
      <c r="H1304" t="s">
        <v>51</v>
      </c>
      <c r="I1304" t="s">
        <v>52</v>
      </c>
      <c r="J1304" t="str">
        <f>"3805060"</f>
        <v>3805060</v>
      </c>
      <c r="K1304">
        <v>2381071394</v>
      </c>
      <c r="L1304">
        <v>2381071394</v>
      </c>
      <c r="M1304" t="s">
        <v>26914</v>
      </c>
      <c r="N1304" t="s">
        <v>26915</v>
      </c>
      <c r="O1304" t="s">
        <v>26915</v>
      </c>
      <c r="P1304">
        <v>58500</v>
      </c>
      <c r="Q1304" t="str">
        <f>"40.721133"</f>
        <v>40.721133</v>
      </c>
      <c r="R1304" t="str">
        <f>"22.136734"</f>
        <v>22.136734</v>
      </c>
      <c r="S1304" t="s">
        <v>26</v>
      </c>
    </row>
    <row r="1305" spans="1:19" x14ac:dyDescent="0.3">
      <c r="A1305" t="s">
        <v>25190</v>
      </c>
      <c r="B1305" t="s">
        <v>26726</v>
      </c>
      <c r="C1305" t="s">
        <v>26927</v>
      </c>
      <c r="D1305" t="s">
        <v>25211</v>
      </c>
      <c r="E1305" t="s">
        <v>25211</v>
      </c>
      <c r="F1305" t="s">
        <v>26731</v>
      </c>
      <c r="G1305" t="s">
        <v>26731</v>
      </c>
      <c r="H1305" t="s">
        <v>51</v>
      </c>
      <c r="I1305" t="s">
        <v>190</v>
      </c>
      <c r="J1305" t="str">
        <f>"3803015"</f>
        <v>3803015</v>
      </c>
      <c r="K1305">
        <v>2382028999</v>
      </c>
      <c r="L1305">
        <v>2382081342</v>
      </c>
      <c r="M1305" t="s">
        <v>26928</v>
      </c>
      <c r="N1305" t="s">
        <v>26772</v>
      </c>
      <c r="O1305" t="s">
        <v>26773</v>
      </c>
      <c r="P1305">
        <v>58100</v>
      </c>
      <c r="Q1305" t="str">
        <f>"40.782868"</f>
        <v>40.782868</v>
      </c>
      <c r="R1305" t="str">
        <f>"22.401853"</f>
        <v>22.401853</v>
      </c>
      <c r="S1305" t="s">
        <v>26</v>
      </c>
    </row>
    <row r="1306" spans="1:19" x14ac:dyDescent="0.3">
      <c r="A1306" t="s">
        <v>25190</v>
      </c>
      <c r="B1306" t="s">
        <v>26726</v>
      </c>
      <c r="C1306" t="s">
        <v>26929</v>
      </c>
      <c r="D1306" t="s">
        <v>25211</v>
      </c>
      <c r="E1306" t="s">
        <v>26760</v>
      </c>
      <c r="F1306" t="s">
        <v>26760</v>
      </c>
      <c r="G1306" t="s">
        <v>26760</v>
      </c>
      <c r="H1306" t="s">
        <v>51</v>
      </c>
      <c r="I1306" t="s">
        <v>199</v>
      </c>
      <c r="J1306" t="str">
        <f>"3811001"</f>
        <v>3811001</v>
      </c>
      <c r="K1306">
        <v>2381097100</v>
      </c>
      <c r="L1306">
        <v>2381097100</v>
      </c>
      <c r="M1306" t="s">
        <v>26930</v>
      </c>
      <c r="N1306" t="s">
        <v>26763</v>
      </c>
      <c r="O1306" t="s">
        <v>26931</v>
      </c>
      <c r="P1306">
        <v>58500</v>
      </c>
      <c r="Q1306" t="str">
        <f>"40.832660"</f>
        <v>40.832660</v>
      </c>
      <c r="R1306" t="str">
        <f>"22.207239"</f>
        <v>22.207239</v>
      </c>
      <c r="S1306" t="s">
        <v>26</v>
      </c>
    </row>
    <row r="1307" spans="1:19" x14ac:dyDescent="0.3">
      <c r="A1307" t="s">
        <v>25190</v>
      </c>
      <c r="B1307" t="s">
        <v>26935</v>
      </c>
      <c r="C1307" t="s">
        <v>26936</v>
      </c>
      <c r="D1307" t="s">
        <v>25218</v>
      </c>
      <c r="E1307" t="s">
        <v>25219</v>
      </c>
      <c r="F1307" t="s">
        <v>25219</v>
      </c>
      <c r="G1307" t="s">
        <v>25219</v>
      </c>
      <c r="H1307" t="s">
        <v>51</v>
      </c>
      <c r="I1307" t="s">
        <v>184</v>
      </c>
      <c r="J1307" t="str">
        <f>"3901027"</f>
        <v>3901027</v>
      </c>
      <c r="K1307">
        <v>2351034112</v>
      </c>
      <c r="L1307">
        <v>2351600921</v>
      </c>
      <c r="M1307" t="s">
        <v>26937</v>
      </c>
      <c r="N1307" t="s">
        <v>26938</v>
      </c>
      <c r="O1307" t="s">
        <v>26939</v>
      </c>
      <c r="P1307">
        <v>60132</v>
      </c>
      <c r="Q1307" t="str">
        <f>"40.269924"</f>
        <v>40.269924</v>
      </c>
      <c r="R1307" t="str">
        <f>"22.513232"</f>
        <v>22.513232</v>
      </c>
      <c r="S1307" t="s">
        <v>26</v>
      </c>
    </row>
    <row r="1308" spans="1:19" x14ac:dyDescent="0.3">
      <c r="A1308" t="s">
        <v>25190</v>
      </c>
      <c r="B1308" t="s">
        <v>26935</v>
      </c>
      <c r="C1308" t="s">
        <v>26944</v>
      </c>
      <c r="D1308" t="s">
        <v>25218</v>
      </c>
      <c r="E1308" t="s">
        <v>26941</v>
      </c>
      <c r="F1308" t="s">
        <v>26942</v>
      </c>
      <c r="G1308" t="s">
        <v>26943</v>
      </c>
      <c r="H1308" t="s">
        <v>51</v>
      </c>
      <c r="I1308" t="s">
        <v>52</v>
      </c>
      <c r="J1308" t="str">
        <f>"3906010"</f>
        <v>3906010</v>
      </c>
      <c r="K1308">
        <v>2352041685</v>
      </c>
      <c r="L1308">
        <v>2352041685</v>
      </c>
      <c r="M1308" t="s">
        <v>26945</v>
      </c>
      <c r="N1308" t="s">
        <v>26946</v>
      </c>
      <c r="O1308" t="s">
        <v>26947</v>
      </c>
      <c r="P1308">
        <v>60065</v>
      </c>
      <c r="Q1308" t="str">
        <f>"39.987985"</f>
        <v>39.987985</v>
      </c>
      <c r="R1308" t="str">
        <f>"22.626416"</f>
        <v>22.626416</v>
      </c>
      <c r="S1308" t="s">
        <v>26</v>
      </c>
    </row>
    <row r="1309" spans="1:19" x14ac:dyDescent="0.3">
      <c r="A1309" t="s">
        <v>25190</v>
      </c>
      <c r="B1309" t="s">
        <v>26935</v>
      </c>
      <c r="C1309" t="s">
        <v>26951</v>
      </c>
      <c r="D1309" t="s">
        <v>25218</v>
      </c>
      <c r="E1309" t="s">
        <v>26949</v>
      </c>
      <c r="F1309" t="s">
        <v>26950</v>
      </c>
      <c r="G1309" t="s">
        <v>26950</v>
      </c>
      <c r="H1309" t="s">
        <v>51</v>
      </c>
      <c r="I1309" t="s">
        <v>52</v>
      </c>
      <c r="J1309" t="str">
        <f>"3902020"</f>
        <v>3902020</v>
      </c>
      <c r="K1309">
        <v>2353031233</v>
      </c>
      <c r="L1309">
        <v>2353031233</v>
      </c>
      <c r="M1309" t="s">
        <v>26952</v>
      </c>
      <c r="N1309" t="s">
        <v>26953</v>
      </c>
      <c r="O1309" t="s">
        <v>26954</v>
      </c>
      <c r="P1309">
        <v>60061</v>
      </c>
      <c r="Q1309" t="str">
        <f>"40.479976"</f>
        <v>40.479976</v>
      </c>
      <c r="R1309" t="str">
        <f>"22.492146"</f>
        <v>22.492146</v>
      </c>
      <c r="S1309" t="s">
        <v>26</v>
      </c>
    </row>
    <row r="1310" spans="1:19" x14ac:dyDescent="0.3">
      <c r="A1310" t="s">
        <v>25190</v>
      </c>
      <c r="B1310" t="s">
        <v>26935</v>
      </c>
      <c r="C1310" t="s">
        <v>26957</v>
      </c>
      <c r="D1310" t="s">
        <v>25218</v>
      </c>
      <c r="E1310" t="s">
        <v>25219</v>
      </c>
      <c r="F1310" t="s">
        <v>25219</v>
      </c>
      <c r="G1310" t="s">
        <v>25219</v>
      </c>
      <c r="H1310" t="s">
        <v>51</v>
      </c>
      <c r="I1310" t="s">
        <v>52</v>
      </c>
      <c r="J1310" t="str">
        <f>"3901021"</f>
        <v>3901021</v>
      </c>
      <c r="K1310">
        <v>2351023032</v>
      </c>
      <c r="L1310">
        <v>2351079054</v>
      </c>
      <c r="M1310" t="s">
        <v>26958</v>
      </c>
      <c r="N1310" t="s">
        <v>26959</v>
      </c>
      <c r="O1310" t="s">
        <v>26960</v>
      </c>
      <c r="P1310">
        <v>60131</v>
      </c>
      <c r="Q1310" t="str">
        <f>"40.269717"</f>
        <v>40.269717</v>
      </c>
      <c r="R1310" t="str">
        <f>"22.500444"</f>
        <v>22.500444</v>
      </c>
      <c r="S1310" t="s">
        <v>26</v>
      </c>
    </row>
    <row r="1311" spans="1:19" x14ac:dyDescent="0.3">
      <c r="A1311" t="s">
        <v>25190</v>
      </c>
      <c r="B1311" t="s">
        <v>26935</v>
      </c>
      <c r="C1311" t="s">
        <v>26976</v>
      </c>
      <c r="D1311" t="s">
        <v>25218</v>
      </c>
      <c r="E1311" t="s">
        <v>25219</v>
      </c>
      <c r="F1311" t="s">
        <v>25219</v>
      </c>
      <c r="G1311" t="s">
        <v>25219</v>
      </c>
      <c r="H1311" t="s">
        <v>51</v>
      </c>
      <c r="I1311" t="s">
        <v>52</v>
      </c>
      <c r="J1311" t="str">
        <f>"3901028"</f>
        <v>3901028</v>
      </c>
      <c r="K1311">
        <v>2351036000</v>
      </c>
      <c r="L1311">
        <v>2351036015</v>
      </c>
      <c r="M1311" t="s">
        <v>26977</v>
      </c>
      <c r="N1311" t="s">
        <v>26978</v>
      </c>
      <c r="O1311" t="s">
        <v>26979</v>
      </c>
      <c r="P1311">
        <v>60100</v>
      </c>
      <c r="Q1311" t="str">
        <f>"40.262910"</f>
        <v>40.262910</v>
      </c>
      <c r="R1311" t="str">
        <f>"22.541404"</f>
        <v>22.541404</v>
      </c>
      <c r="S1311" t="s">
        <v>26</v>
      </c>
    </row>
    <row r="1312" spans="1:19" x14ac:dyDescent="0.3">
      <c r="A1312" t="s">
        <v>25190</v>
      </c>
      <c r="B1312" t="s">
        <v>26935</v>
      </c>
      <c r="C1312" t="s">
        <v>27021</v>
      </c>
      <c r="D1312" t="s">
        <v>25218</v>
      </c>
      <c r="E1312" t="s">
        <v>25219</v>
      </c>
      <c r="F1312" t="s">
        <v>14212</v>
      </c>
      <c r="G1312" t="s">
        <v>27020</v>
      </c>
      <c r="H1312" t="s">
        <v>51</v>
      </c>
      <c r="I1312" t="s">
        <v>52</v>
      </c>
      <c r="J1312" t="str">
        <f>"3911010"</f>
        <v>3911010</v>
      </c>
      <c r="K1312">
        <v>2351029003</v>
      </c>
      <c r="L1312">
        <v>2351029913</v>
      </c>
      <c r="M1312" t="s">
        <v>27022</v>
      </c>
      <c r="N1312" t="s">
        <v>27023</v>
      </c>
      <c r="O1312" t="s">
        <v>27024</v>
      </c>
      <c r="P1312">
        <v>60100</v>
      </c>
      <c r="Q1312" t="str">
        <f>"40.273847"</f>
        <v>40.273847</v>
      </c>
      <c r="R1312" t="str">
        <f>"22.536379"</f>
        <v>22.536379</v>
      </c>
      <c r="S1312" t="s">
        <v>26</v>
      </c>
    </row>
    <row r="1313" spans="1:19" x14ac:dyDescent="0.3">
      <c r="A1313" t="s">
        <v>25190</v>
      </c>
      <c r="B1313" t="s">
        <v>26935</v>
      </c>
      <c r="C1313" t="s">
        <v>27027</v>
      </c>
      <c r="D1313" t="s">
        <v>25218</v>
      </c>
      <c r="E1313" t="s">
        <v>25219</v>
      </c>
      <c r="F1313" t="s">
        <v>27025</v>
      </c>
      <c r="G1313" t="s">
        <v>27026</v>
      </c>
      <c r="H1313" t="s">
        <v>51</v>
      </c>
      <c r="I1313" t="s">
        <v>52</v>
      </c>
      <c r="J1313" t="str">
        <f>"3907010"</f>
        <v>3907010</v>
      </c>
      <c r="K1313">
        <v>2351082208</v>
      </c>
      <c r="L1313">
        <v>2351082208</v>
      </c>
      <c r="M1313" t="s">
        <v>27028</v>
      </c>
      <c r="N1313" t="s">
        <v>27029</v>
      </c>
      <c r="O1313" t="s">
        <v>27029</v>
      </c>
      <c r="P1313">
        <v>60100</v>
      </c>
      <c r="Q1313" t="str">
        <f>"40.286011"</f>
        <v>40.286011</v>
      </c>
      <c r="R1313" t="str">
        <f>"22.283458"</f>
        <v>22.283458</v>
      </c>
      <c r="S1313" t="s">
        <v>26</v>
      </c>
    </row>
    <row r="1314" spans="1:19" x14ac:dyDescent="0.3">
      <c r="A1314" t="s">
        <v>25190</v>
      </c>
      <c r="B1314" t="s">
        <v>26935</v>
      </c>
      <c r="C1314" t="s">
        <v>27032</v>
      </c>
      <c r="D1314" t="s">
        <v>25218</v>
      </c>
      <c r="E1314" t="s">
        <v>25219</v>
      </c>
      <c r="F1314" t="s">
        <v>25219</v>
      </c>
      <c r="G1314" t="s">
        <v>25219</v>
      </c>
      <c r="H1314" t="s">
        <v>51</v>
      </c>
      <c r="I1314" t="s">
        <v>52</v>
      </c>
      <c r="J1314" t="str">
        <f>"3901010"</f>
        <v>3901010</v>
      </c>
      <c r="K1314">
        <v>2351029082</v>
      </c>
      <c r="L1314">
        <v>2351029082</v>
      </c>
      <c r="M1314" t="s">
        <v>27033</v>
      </c>
      <c r="N1314" t="s">
        <v>26959</v>
      </c>
      <c r="O1314" t="s">
        <v>26999</v>
      </c>
      <c r="P1314">
        <v>60100</v>
      </c>
      <c r="Q1314" t="str">
        <f>"40.264805"</f>
        <v>40.264805</v>
      </c>
      <c r="R1314" t="str">
        <f>"22.513498"</f>
        <v>22.513498</v>
      </c>
      <c r="S1314" t="s">
        <v>26</v>
      </c>
    </row>
    <row r="1315" spans="1:19" x14ac:dyDescent="0.3">
      <c r="A1315" t="s">
        <v>25190</v>
      </c>
      <c r="B1315" t="s">
        <v>26935</v>
      </c>
      <c r="C1315" t="s">
        <v>27035</v>
      </c>
      <c r="D1315" t="s">
        <v>25218</v>
      </c>
      <c r="E1315" t="s">
        <v>25219</v>
      </c>
      <c r="F1315" t="s">
        <v>12466</v>
      </c>
      <c r="G1315" t="s">
        <v>27034</v>
      </c>
      <c r="H1315" t="s">
        <v>51</v>
      </c>
      <c r="I1315" t="s">
        <v>52</v>
      </c>
      <c r="J1315" t="str">
        <f>"3909010"</f>
        <v>3909010</v>
      </c>
      <c r="K1315">
        <v>2351081059</v>
      </c>
      <c r="L1315">
        <v>2351081059</v>
      </c>
      <c r="M1315" t="s">
        <v>27036</v>
      </c>
      <c r="N1315" t="s">
        <v>27037</v>
      </c>
      <c r="O1315" t="s">
        <v>27037</v>
      </c>
      <c r="P1315">
        <v>60100</v>
      </c>
      <c r="Q1315" t="str">
        <f>"40.252214"</f>
        <v>40.252214</v>
      </c>
      <c r="R1315" t="str">
        <f>"22.340671"</f>
        <v>22.340671</v>
      </c>
      <c r="S1315" t="s">
        <v>26</v>
      </c>
    </row>
    <row r="1316" spans="1:19" x14ac:dyDescent="0.3">
      <c r="A1316" t="s">
        <v>25190</v>
      </c>
      <c r="B1316" t="s">
        <v>26935</v>
      </c>
      <c r="C1316" t="s">
        <v>27039</v>
      </c>
      <c r="D1316" t="s">
        <v>25218</v>
      </c>
      <c r="E1316" t="s">
        <v>26941</v>
      </c>
      <c r="F1316" t="s">
        <v>26942</v>
      </c>
      <c r="G1316" t="s">
        <v>19920</v>
      </c>
      <c r="H1316" t="s">
        <v>51</v>
      </c>
      <c r="I1316" t="s">
        <v>52</v>
      </c>
      <c r="J1316" t="str">
        <f>"3905010"</f>
        <v>3905010</v>
      </c>
      <c r="K1316">
        <v>2352031256</v>
      </c>
      <c r="L1316">
        <v>2352033540</v>
      </c>
      <c r="M1316" t="s">
        <v>27040</v>
      </c>
      <c r="N1316" t="s">
        <v>27041</v>
      </c>
      <c r="O1316" t="s">
        <v>27042</v>
      </c>
      <c r="P1316">
        <v>60063</v>
      </c>
      <c r="Q1316" t="str">
        <f>"40.061285"</f>
        <v>40.061285</v>
      </c>
      <c r="R1316" t="str">
        <f>"22.563466"</f>
        <v>22.563466</v>
      </c>
      <c r="S1316" t="s">
        <v>26</v>
      </c>
    </row>
    <row r="1317" spans="1:19" x14ac:dyDescent="0.3">
      <c r="A1317" t="s">
        <v>25190</v>
      </c>
      <c r="B1317" t="s">
        <v>26935</v>
      </c>
      <c r="C1317" t="s">
        <v>27044</v>
      </c>
      <c r="D1317" t="s">
        <v>25218</v>
      </c>
      <c r="E1317" t="s">
        <v>26941</v>
      </c>
      <c r="F1317" t="s">
        <v>26981</v>
      </c>
      <c r="G1317" t="s">
        <v>26982</v>
      </c>
      <c r="H1317" t="s">
        <v>51</v>
      </c>
      <c r="I1317" t="s">
        <v>52</v>
      </c>
      <c r="J1317" t="str">
        <f>"3908010"</f>
        <v>3908010</v>
      </c>
      <c r="K1317">
        <v>2351051325</v>
      </c>
      <c r="L1317">
        <v>2351052260</v>
      </c>
      <c r="M1317" t="s">
        <v>27045</v>
      </c>
      <c r="N1317" t="s">
        <v>27046</v>
      </c>
      <c r="O1317" t="s">
        <v>26985</v>
      </c>
      <c r="P1317">
        <v>60100</v>
      </c>
      <c r="Q1317" t="str">
        <f>"40.227935"</f>
        <v>40.227935</v>
      </c>
      <c r="R1317" t="str">
        <f>"22.467808"</f>
        <v>22.467808</v>
      </c>
      <c r="S1317" t="s">
        <v>26</v>
      </c>
    </row>
    <row r="1318" spans="1:19" x14ac:dyDescent="0.3">
      <c r="A1318" t="s">
        <v>25190</v>
      </c>
      <c r="B1318" t="s">
        <v>26935</v>
      </c>
      <c r="C1318" t="s">
        <v>27049</v>
      </c>
      <c r="D1318" t="s">
        <v>25218</v>
      </c>
      <c r="E1318" t="s">
        <v>26949</v>
      </c>
      <c r="F1318" t="s">
        <v>27047</v>
      </c>
      <c r="G1318" t="s">
        <v>27048</v>
      </c>
      <c r="H1318" t="s">
        <v>51</v>
      </c>
      <c r="I1318" t="s">
        <v>52</v>
      </c>
      <c r="J1318" t="str">
        <f>"3904010"</f>
        <v>3904010</v>
      </c>
      <c r="K1318">
        <v>2351071490</v>
      </c>
      <c r="L1318">
        <v>2351071650</v>
      </c>
      <c r="M1318" t="s">
        <v>27050</v>
      </c>
      <c r="N1318" t="s">
        <v>27051</v>
      </c>
      <c r="O1318" t="s">
        <v>27051</v>
      </c>
      <c r="P1318">
        <v>60300</v>
      </c>
      <c r="Q1318" t="str">
        <f>"40.389609"</f>
        <v>40.389609</v>
      </c>
      <c r="R1318" t="str">
        <f>"22.550145"</f>
        <v>22.550145</v>
      </c>
      <c r="S1318" t="s">
        <v>26</v>
      </c>
    </row>
    <row r="1319" spans="1:19" x14ac:dyDescent="0.3">
      <c r="A1319" t="s">
        <v>25190</v>
      </c>
      <c r="B1319" t="s">
        <v>26935</v>
      </c>
      <c r="C1319" t="s">
        <v>27053</v>
      </c>
      <c r="D1319" t="s">
        <v>25218</v>
      </c>
      <c r="E1319" t="s">
        <v>25219</v>
      </c>
      <c r="F1319" t="s">
        <v>25219</v>
      </c>
      <c r="G1319" t="s">
        <v>25219</v>
      </c>
      <c r="H1319" t="s">
        <v>51</v>
      </c>
      <c r="I1319" t="s">
        <v>52</v>
      </c>
      <c r="J1319" t="str">
        <f>"3901025"</f>
        <v>3901025</v>
      </c>
      <c r="K1319">
        <v>2351026361</v>
      </c>
      <c r="L1319">
        <v>2351036225</v>
      </c>
      <c r="M1319" t="s">
        <v>27054</v>
      </c>
      <c r="N1319" t="s">
        <v>26969</v>
      </c>
      <c r="O1319" t="s">
        <v>26939</v>
      </c>
      <c r="P1319">
        <v>60100</v>
      </c>
      <c r="Q1319" t="str">
        <f>"40.269924"</f>
        <v>40.269924</v>
      </c>
      <c r="R1319" t="str">
        <f>"22.513232"</f>
        <v>22.513232</v>
      </c>
      <c r="S1319" t="s">
        <v>26</v>
      </c>
    </row>
    <row r="1320" spans="1:19" x14ac:dyDescent="0.3">
      <c r="A1320" t="s">
        <v>25190</v>
      </c>
      <c r="B1320" t="s">
        <v>26935</v>
      </c>
      <c r="C1320" t="s">
        <v>27055</v>
      </c>
      <c r="D1320" t="s">
        <v>25218</v>
      </c>
      <c r="E1320" t="s">
        <v>25219</v>
      </c>
      <c r="F1320" t="s">
        <v>25219</v>
      </c>
      <c r="G1320" t="s">
        <v>25219</v>
      </c>
      <c r="H1320" t="s">
        <v>51</v>
      </c>
      <c r="I1320" t="s">
        <v>52</v>
      </c>
      <c r="J1320" t="str">
        <f>"3901026"</f>
        <v>3901026</v>
      </c>
      <c r="K1320">
        <v>2351027805</v>
      </c>
      <c r="L1320">
        <v>2351027833</v>
      </c>
      <c r="M1320" t="s">
        <v>27056</v>
      </c>
      <c r="N1320" t="s">
        <v>26978</v>
      </c>
      <c r="O1320" t="s">
        <v>27057</v>
      </c>
      <c r="P1320">
        <v>60100</v>
      </c>
      <c r="Q1320" t="str">
        <f>"40.265497"</f>
        <v>40.265497</v>
      </c>
      <c r="R1320" t="str">
        <f>"22.494883"</f>
        <v>22.494883</v>
      </c>
      <c r="S1320" t="s">
        <v>26</v>
      </c>
    </row>
    <row r="1321" spans="1:19" x14ac:dyDescent="0.3">
      <c r="A1321" t="s">
        <v>25190</v>
      </c>
      <c r="B1321" t="s">
        <v>26935</v>
      </c>
      <c r="C1321" t="s">
        <v>27059</v>
      </c>
      <c r="D1321" t="s">
        <v>25218</v>
      </c>
      <c r="E1321" t="s">
        <v>25219</v>
      </c>
      <c r="F1321" t="s">
        <v>25219</v>
      </c>
      <c r="G1321" t="s">
        <v>25219</v>
      </c>
      <c r="H1321" t="s">
        <v>51</v>
      </c>
      <c r="I1321" t="s">
        <v>52</v>
      </c>
      <c r="J1321" t="str">
        <f>"3901011"</f>
        <v>3901011</v>
      </c>
      <c r="K1321">
        <v>2351029856</v>
      </c>
      <c r="L1321">
        <v>2351600920</v>
      </c>
      <c r="M1321" t="s">
        <v>27060</v>
      </c>
      <c r="N1321" t="s">
        <v>26969</v>
      </c>
      <c r="O1321" t="s">
        <v>26999</v>
      </c>
      <c r="P1321">
        <v>60132</v>
      </c>
      <c r="Q1321" t="str">
        <f>"40.265357"</f>
        <v>40.265357</v>
      </c>
      <c r="R1321" t="str">
        <f>"22.512781"</f>
        <v>22.512781</v>
      </c>
      <c r="S1321" t="s">
        <v>26</v>
      </c>
    </row>
    <row r="1322" spans="1:19" x14ac:dyDescent="0.3">
      <c r="A1322" t="s">
        <v>25190</v>
      </c>
      <c r="B1322" t="s">
        <v>26935</v>
      </c>
      <c r="C1322" t="s">
        <v>27061</v>
      </c>
      <c r="D1322" t="s">
        <v>25218</v>
      </c>
      <c r="E1322" t="s">
        <v>25219</v>
      </c>
      <c r="F1322" t="s">
        <v>25219</v>
      </c>
      <c r="G1322" t="s">
        <v>25219</v>
      </c>
      <c r="H1322" t="s">
        <v>51</v>
      </c>
      <c r="I1322" t="s">
        <v>52</v>
      </c>
      <c r="J1322" t="str">
        <f>"3901020"</f>
        <v>3901020</v>
      </c>
      <c r="K1322">
        <v>2351029864</v>
      </c>
      <c r="L1322">
        <v>2351045573</v>
      </c>
      <c r="M1322" t="s">
        <v>27062</v>
      </c>
      <c r="N1322" t="s">
        <v>26959</v>
      </c>
      <c r="O1322" t="s">
        <v>27063</v>
      </c>
      <c r="P1322">
        <v>60100</v>
      </c>
      <c r="Q1322" t="str">
        <f>"40.284760"</f>
        <v>40.284760</v>
      </c>
      <c r="R1322" t="str">
        <f>"22.501298"</f>
        <v>22.501298</v>
      </c>
      <c r="S1322" t="s">
        <v>26</v>
      </c>
    </row>
    <row r="1323" spans="1:19" x14ac:dyDescent="0.3">
      <c r="A1323" t="s">
        <v>25190</v>
      </c>
      <c r="B1323" t="s">
        <v>26935</v>
      </c>
      <c r="C1323" t="s">
        <v>27064</v>
      </c>
      <c r="D1323" t="s">
        <v>25218</v>
      </c>
      <c r="E1323" t="s">
        <v>26949</v>
      </c>
      <c r="F1323" t="s">
        <v>26955</v>
      </c>
      <c r="G1323" t="s">
        <v>26955</v>
      </c>
      <c r="H1323" t="s">
        <v>51</v>
      </c>
      <c r="I1323" t="s">
        <v>52</v>
      </c>
      <c r="J1323" t="str">
        <f>"3902010"</f>
        <v>3902010</v>
      </c>
      <c r="K1323">
        <v>2353022313</v>
      </c>
      <c r="L1323">
        <v>2353022313</v>
      </c>
      <c r="M1323" t="s">
        <v>27065</v>
      </c>
      <c r="N1323" t="s">
        <v>27010</v>
      </c>
      <c r="O1323" t="s">
        <v>27011</v>
      </c>
      <c r="P1323">
        <v>60300</v>
      </c>
      <c r="Q1323" t="str">
        <f>"40.499777"</f>
        <v>40.499777</v>
      </c>
      <c r="R1323" t="str">
        <f>"22.538611"</f>
        <v>22.538611</v>
      </c>
      <c r="S1323" t="s">
        <v>26</v>
      </c>
    </row>
    <row r="1324" spans="1:19" x14ac:dyDescent="0.3">
      <c r="A1324" t="s">
        <v>25190</v>
      </c>
      <c r="B1324" t="s">
        <v>26935</v>
      </c>
      <c r="C1324" t="s">
        <v>27068</v>
      </c>
      <c r="D1324" t="s">
        <v>25218</v>
      </c>
      <c r="E1324" t="s">
        <v>26949</v>
      </c>
      <c r="F1324" t="s">
        <v>27066</v>
      </c>
      <c r="G1324" t="s">
        <v>27067</v>
      </c>
      <c r="H1324" t="s">
        <v>51</v>
      </c>
      <c r="I1324" t="s">
        <v>52</v>
      </c>
      <c r="J1324" t="str">
        <f>"3906030"</f>
        <v>3906030</v>
      </c>
      <c r="K1324">
        <v>2353041370</v>
      </c>
      <c r="L1324">
        <v>2353041370</v>
      </c>
      <c r="M1324" t="s">
        <v>27069</v>
      </c>
      <c r="N1324" t="s">
        <v>27070</v>
      </c>
      <c r="O1324" t="s">
        <v>27070</v>
      </c>
      <c r="P1324">
        <v>60066</v>
      </c>
      <c r="Q1324" t="str">
        <f>"40.417570"</f>
        <v>40.417570</v>
      </c>
      <c r="R1324" t="str">
        <f>"22.608262"</f>
        <v>22.608262</v>
      </c>
      <c r="S1324" t="s">
        <v>26</v>
      </c>
    </row>
    <row r="1325" spans="1:19" x14ac:dyDescent="0.3">
      <c r="A1325" t="s">
        <v>25190</v>
      </c>
      <c r="B1325" t="s">
        <v>26935</v>
      </c>
      <c r="C1325" t="s">
        <v>27072</v>
      </c>
      <c r="D1325" t="s">
        <v>25218</v>
      </c>
      <c r="E1325" t="s">
        <v>26941</v>
      </c>
      <c r="F1325" t="s">
        <v>26962</v>
      </c>
      <c r="G1325" t="s">
        <v>26962</v>
      </c>
      <c r="H1325" t="s">
        <v>51</v>
      </c>
      <c r="I1325" t="s">
        <v>52</v>
      </c>
      <c r="J1325" t="str">
        <f>"3903010"</f>
        <v>3903010</v>
      </c>
      <c r="K1325">
        <v>2352081230</v>
      </c>
      <c r="L1325">
        <v>2352081230</v>
      </c>
      <c r="M1325" t="s">
        <v>27073</v>
      </c>
      <c r="N1325" t="s">
        <v>27074</v>
      </c>
      <c r="O1325" t="s">
        <v>26965</v>
      </c>
      <c r="P1325">
        <v>60200</v>
      </c>
      <c r="Q1325" t="str">
        <f>"40.099441"</f>
        <v>40.099441</v>
      </c>
      <c r="R1325" t="str">
        <f>"22.506416"</f>
        <v>22.506416</v>
      </c>
      <c r="S1325" t="s">
        <v>26</v>
      </c>
    </row>
    <row r="1326" spans="1:19" x14ac:dyDescent="0.3">
      <c r="A1326" t="s">
        <v>25190</v>
      </c>
      <c r="B1326" t="s">
        <v>26935</v>
      </c>
      <c r="C1326" t="s">
        <v>27078</v>
      </c>
      <c r="D1326" t="s">
        <v>25218</v>
      </c>
      <c r="E1326" t="s">
        <v>25219</v>
      </c>
      <c r="F1326" t="s">
        <v>27077</v>
      </c>
      <c r="G1326" t="s">
        <v>27077</v>
      </c>
      <c r="H1326" t="s">
        <v>51</v>
      </c>
      <c r="I1326" t="s">
        <v>52</v>
      </c>
      <c r="J1326" t="str">
        <f>"3910010"</f>
        <v>3910010</v>
      </c>
      <c r="K1326">
        <v>2351041487</v>
      </c>
      <c r="L1326">
        <v>2351041465</v>
      </c>
      <c r="M1326" t="s">
        <v>27079</v>
      </c>
      <c r="N1326" t="s">
        <v>27080</v>
      </c>
      <c r="O1326" t="s">
        <v>25628</v>
      </c>
      <c r="P1326">
        <v>60062</v>
      </c>
      <c r="Q1326" t="str">
        <f>"40.319338"</f>
        <v>40.319338</v>
      </c>
      <c r="R1326" t="str">
        <f>"22.592955"</f>
        <v>22.592955</v>
      </c>
      <c r="S1326" t="s">
        <v>26</v>
      </c>
    </row>
    <row r="1327" spans="1:19" x14ac:dyDescent="0.3">
      <c r="A1327" t="s">
        <v>25190</v>
      </c>
      <c r="B1327" t="s">
        <v>26935</v>
      </c>
      <c r="C1327" t="s">
        <v>27082</v>
      </c>
      <c r="D1327" t="s">
        <v>25218</v>
      </c>
      <c r="E1327" t="s">
        <v>25219</v>
      </c>
      <c r="F1327" t="s">
        <v>25219</v>
      </c>
      <c r="G1327" t="s">
        <v>25219</v>
      </c>
      <c r="H1327" t="s">
        <v>51</v>
      </c>
      <c r="I1327" t="s">
        <v>190</v>
      </c>
      <c r="J1327" t="str">
        <f>"3901005"</f>
        <v>3901005</v>
      </c>
      <c r="K1327">
        <v>2351031444</v>
      </c>
      <c r="L1327">
        <v>2351075228</v>
      </c>
      <c r="M1327" t="s">
        <v>27083</v>
      </c>
      <c r="N1327" t="s">
        <v>26969</v>
      </c>
      <c r="O1327" t="s">
        <v>27084</v>
      </c>
      <c r="P1327">
        <v>60132</v>
      </c>
      <c r="Q1327" t="str">
        <f>"40.262754"</f>
        <v>40.262754</v>
      </c>
      <c r="R1327" t="str">
        <f>"22.509472"</f>
        <v>22.509472</v>
      </c>
      <c r="S1327" t="s">
        <v>26</v>
      </c>
    </row>
    <row r="1328" spans="1:19" x14ac:dyDescent="0.3">
      <c r="A1328" t="s">
        <v>25190</v>
      </c>
      <c r="B1328" t="s">
        <v>26935</v>
      </c>
      <c r="C1328" t="s">
        <v>27092</v>
      </c>
      <c r="D1328" t="s">
        <v>25218</v>
      </c>
      <c r="E1328" t="s">
        <v>25219</v>
      </c>
      <c r="F1328" t="s">
        <v>25219</v>
      </c>
      <c r="G1328" t="s">
        <v>25219</v>
      </c>
      <c r="H1328" t="s">
        <v>51</v>
      </c>
      <c r="I1328" t="s">
        <v>199</v>
      </c>
      <c r="J1328" t="str">
        <f>"3940056"</f>
        <v>3940056</v>
      </c>
      <c r="K1328">
        <v>2351030850</v>
      </c>
      <c r="L1328">
        <v>2351030850</v>
      </c>
      <c r="M1328" t="s">
        <v>27093</v>
      </c>
      <c r="N1328" t="s">
        <v>26969</v>
      </c>
      <c r="O1328" t="s">
        <v>27094</v>
      </c>
      <c r="P1328">
        <v>60100</v>
      </c>
      <c r="Q1328" t="str">
        <f>"40.260199"</f>
        <v>40.260199</v>
      </c>
      <c r="R1328" t="str">
        <f>"22.506937"</f>
        <v>22.506937</v>
      </c>
      <c r="S1328" t="s">
        <v>26</v>
      </c>
    </row>
    <row r="1329" spans="1:19" x14ac:dyDescent="0.3">
      <c r="A1329" t="s">
        <v>25190</v>
      </c>
      <c r="B1329" t="s">
        <v>27105</v>
      </c>
      <c r="C1329" t="s">
        <v>27108</v>
      </c>
      <c r="D1329" t="s">
        <v>25224</v>
      </c>
      <c r="E1329" t="s">
        <v>27106</v>
      </c>
      <c r="F1329" t="s">
        <v>27107</v>
      </c>
      <c r="G1329" t="s">
        <v>27107</v>
      </c>
      <c r="H1329" t="s">
        <v>51</v>
      </c>
      <c r="I1329" t="s">
        <v>52</v>
      </c>
      <c r="J1329" t="str">
        <f>"4421010"</f>
        <v>4421010</v>
      </c>
      <c r="K1329">
        <v>2323061249</v>
      </c>
      <c r="L1329">
        <v>2323061249</v>
      </c>
      <c r="M1329" t="s">
        <v>27109</v>
      </c>
      <c r="N1329" t="s">
        <v>27110</v>
      </c>
      <c r="O1329" t="s">
        <v>27110</v>
      </c>
      <c r="P1329">
        <v>62300</v>
      </c>
      <c r="Q1329" t="str">
        <f>"41.320068"</f>
        <v>41.320068</v>
      </c>
      <c r="R1329" t="str">
        <f>"23.542341"</f>
        <v>23.542341</v>
      </c>
      <c r="S1329" t="s">
        <v>26</v>
      </c>
    </row>
    <row r="1330" spans="1:19" x14ac:dyDescent="0.3">
      <c r="A1330" t="s">
        <v>25190</v>
      </c>
      <c r="B1330" t="s">
        <v>27105</v>
      </c>
      <c r="C1330" t="s">
        <v>27133</v>
      </c>
      <c r="D1330" t="s">
        <v>25224</v>
      </c>
      <c r="E1330" t="s">
        <v>27106</v>
      </c>
      <c r="F1330" t="s">
        <v>27118</v>
      </c>
      <c r="G1330" t="s">
        <v>27132</v>
      </c>
      <c r="H1330" t="s">
        <v>51</v>
      </c>
      <c r="I1330" t="s">
        <v>52</v>
      </c>
      <c r="J1330" t="str">
        <f>"4404020"</f>
        <v>4404020</v>
      </c>
      <c r="K1330">
        <v>2327031212</v>
      </c>
      <c r="L1330">
        <v>2327031242</v>
      </c>
      <c r="M1330" t="s">
        <v>27134</v>
      </c>
      <c r="N1330" t="s">
        <v>27135</v>
      </c>
      <c r="O1330" t="s">
        <v>27135</v>
      </c>
      <c r="P1330">
        <v>62055</v>
      </c>
      <c r="Q1330" t="str">
        <f>"41.256343"</f>
        <v>41.256343</v>
      </c>
      <c r="R1330" t="str">
        <f>"23.072252"</f>
        <v>23.072252</v>
      </c>
      <c r="S1330" t="s">
        <v>26</v>
      </c>
    </row>
    <row r="1331" spans="1:19" x14ac:dyDescent="0.3">
      <c r="A1331" t="s">
        <v>25190</v>
      </c>
      <c r="B1331" t="s">
        <v>27105</v>
      </c>
      <c r="C1331" t="s">
        <v>27138</v>
      </c>
      <c r="D1331" t="s">
        <v>25224</v>
      </c>
      <c r="E1331" t="s">
        <v>18832</v>
      </c>
      <c r="F1331" t="s">
        <v>27137</v>
      </c>
      <c r="G1331" t="s">
        <v>27137</v>
      </c>
      <c r="H1331" t="s">
        <v>51</v>
      </c>
      <c r="I1331" t="s">
        <v>52</v>
      </c>
      <c r="J1331" t="str">
        <f>"4411010"</f>
        <v>4411010</v>
      </c>
      <c r="K1331">
        <v>2321099120</v>
      </c>
      <c r="L1331">
        <v>2321099122</v>
      </c>
      <c r="M1331" t="s">
        <v>27139</v>
      </c>
      <c r="N1331" t="s">
        <v>27140</v>
      </c>
      <c r="O1331" t="s">
        <v>27141</v>
      </c>
      <c r="P1331">
        <v>62400</v>
      </c>
      <c r="Q1331" t="str">
        <f>"41.125793"</f>
        <v>41.125793</v>
      </c>
      <c r="R1331" t="str">
        <f>"23.376204"</f>
        <v>23.376204</v>
      </c>
      <c r="S1331" t="s">
        <v>26</v>
      </c>
    </row>
    <row r="1332" spans="1:19" x14ac:dyDescent="0.3">
      <c r="A1332" t="s">
        <v>25190</v>
      </c>
      <c r="B1332" t="s">
        <v>27105</v>
      </c>
      <c r="C1332" t="s">
        <v>27145</v>
      </c>
      <c r="D1332" t="s">
        <v>25224</v>
      </c>
      <c r="E1332" t="s">
        <v>27143</v>
      </c>
      <c r="F1332" t="s">
        <v>27143</v>
      </c>
      <c r="G1332" t="s">
        <v>27144</v>
      </c>
      <c r="H1332" t="s">
        <v>51</v>
      </c>
      <c r="I1332" t="s">
        <v>52</v>
      </c>
      <c r="J1332" t="str">
        <f>"4426010"</f>
        <v>4426010</v>
      </c>
      <c r="K1332">
        <v>2321091563</v>
      </c>
      <c r="L1332">
        <v>2321091563</v>
      </c>
      <c r="M1332" t="s">
        <v>27146</v>
      </c>
      <c r="O1332" t="s">
        <v>27147</v>
      </c>
      <c r="P1332">
        <v>62100</v>
      </c>
      <c r="Q1332" t="str">
        <f>"41.082043"</f>
        <v>41.082043</v>
      </c>
      <c r="R1332" t="str">
        <f>"23.461703"</f>
        <v>23.461703</v>
      </c>
      <c r="S1332" t="s">
        <v>26</v>
      </c>
    </row>
    <row r="1333" spans="1:19" x14ac:dyDescent="0.3">
      <c r="A1333" t="s">
        <v>25190</v>
      </c>
      <c r="B1333" t="s">
        <v>27105</v>
      </c>
      <c r="C1333" t="s">
        <v>27255</v>
      </c>
      <c r="D1333" t="s">
        <v>25224</v>
      </c>
      <c r="E1333" t="s">
        <v>18832</v>
      </c>
      <c r="F1333" t="s">
        <v>18832</v>
      </c>
      <c r="G1333" t="s">
        <v>18832</v>
      </c>
      <c r="H1333" t="s">
        <v>51</v>
      </c>
      <c r="I1333" t="s">
        <v>52</v>
      </c>
      <c r="J1333" t="str">
        <f>"4403010"</f>
        <v>4403010</v>
      </c>
      <c r="K1333">
        <v>2325022288</v>
      </c>
      <c r="L1333">
        <v>2325022287</v>
      </c>
      <c r="M1333" t="s">
        <v>27256</v>
      </c>
      <c r="N1333" t="s">
        <v>27115</v>
      </c>
      <c r="O1333" t="s">
        <v>27257</v>
      </c>
      <c r="P1333">
        <v>62400</v>
      </c>
      <c r="Q1333" t="str">
        <f>"41.187965"</f>
        <v>41.187965</v>
      </c>
      <c r="R1333" t="str">
        <f>"23.280627"</f>
        <v>23.280627</v>
      </c>
      <c r="S1333" t="s">
        <v>26</v>
      </c>
    </row>
    <row r="1334" spans="1:19" x14ac:dyDescent="0.3">
      <c r="A1334" t="s">
        <v>25190</v>
      </c>
      <c r="B1334" t="s">
        <v>27105</v>
      </c>
      <c r="C1334" t="s">
        <v>27258</v>
      </c>
      <c r="D1334" t="s">
        <v>25224</v>
      </c>
      <c r="E1334" t="s">
        <v>25224</v>
      </c>
      <c r="F1334" t="s">
        <v>27201</v>
      </c>
      <c r="G1334" t="s">
        <v>27201</v>
      </c>
      <c r="H1334" t="s">
        <v>51</v>
      </c>
      <c r="I1334" t="s">
        <v>52</v>
      </c>
      <c r="J1334" t="str">
        <f>"4425010"</f>
        <v>4425010</v>
      </c>
      <c r="K1334">
        <v>2321041555</v>
      </c>
      <c r="M1334" t="s">
        <v>27259</v>
      </c>
      <c r="N1334" t="s">
        <v>27260</v>
      </c>
      <c r="O1334" t="s">
        <v>27261</v>
      </c>
      <c r="P1334">
        <v>62100</v>
      </c>
      <c r="Q1334" t="str">
        <f>"41.022118"</f>
        <v>41.022118</v>
      </c>
      <c r="R1334" t="str">
        <f>"23.520406"</f>
        <v>23.520406</v>
      </c>
      <c r="S1334" t="s">
        <v>26</v>
      </c>
    </row>
    <row r="1335" spans="1:19" x14ac:dyDescent="0.3">
      <c r="A1335" t="s">
        <v>25190</v>
      </c>
      <c r="B1335" t="s">
        <v>27105</v>
      </c>
      <c r="C1335" t="s">
        <v>27262</v>
      </c>
      <c r="D1335" t="s">
        <v>25224</v>
      </c>
      <c r="E1335" t="s">
        <v>25224</v>
      </c>
      <c r="F1335" t="s">
        <v>25224</v>
      </c>
      <c r="G1335" t="s">
        <v>25224</v>
      </c>
      <c r="H1335" t="s">
        <v>51</v>
      </c>
      <c r="I1335" t="s">
        <v>52</v>
      </c>
      <c r="J1335" t="str">
        <f>"4401010"</f>
        <v>4401010</v>
      </c>
      <c r="K1335">
        <v>2321022506</v>
      </c>
      <c r="L1335">
        <v>2321098245</v>
      </c>
      <c r="M1335" t="s">
        <v>27263</v>
      </c>
      <c r="N1335" t="s">
        <v>25227</v>
      </c>
      <c r="O1335" t="s">
        <v>27264</v>
      </c>
      <c r="P1335">
        <v>62122</v>
      </c>
      <c r="Q1335" t="str">
        <f>"41.093157"</f>
        <v>41.093157</v>
      </c>
      <c r="R1335" t="str">
        <f>"23.550165"</f>
        <v>23.550165</v>
      </c>
      <c r="S1335" t="s">
        <v>26</v>
      </c>
    </row>
    <row r="1336" spans="1:19" x14ac:dyDescent="0.3">
      <c r="A1336" t="s">
        <v>25190</v>
      </c>
      <c r="B1336" t="s">
        <v>27105</v>
      </c>
      <c r="C1336" t="s">
        <v>27266</v>
      </c>
      <c r="D1336" t="s">
        <v>25224</v>
      </c>
      <c r="E1336" t="s">
        <v>27106</v>
      </c>
      <c r="F1336" t="s">
        <v>27118</v>
      </c>
      <c r="G1336" t="s">
        <v>27119</v>
      </c>
      <c r="H1336" t="s">
        <v>51</v>
      </c>
      <c r="I1336" t="s">
        <v>52</v>
      </c>
      <c r="J1336" t="str">
        <f>"4404010"</f>
        <v>4404010</v>
      </c>
      <c r="K1336">
        <v>2327022137</v>
      </c>
      <c r="L1336">
        <v>2327028003</v>
      </c>
      <c r="M1336" t="s">
        <v>27267</v>
      </c>
      <c r="N1336" t="s">
        <v>27122</v>
      </c>
      <c r="O1336" t="s">
        <v>27268</v>
      </c>
      <c r="P1336">
        <v>62055</v>
      </c>
      <c r="Q1336" t="str">
        <f>"41.281285"</f>
        <v>41.281285</v>
      </c>
      <c r="R1336" t="str">
        <f>"23.008404"</f>
        <v>23.008404</v>
      </c>
      <c r="S1336" t="s">
        <v>26</v>
      </c>
    </row>
    <row r="1337" spans="1:19" x14ac:dyDescent="0.3">
      <c r="A1337" t="s">
        <v>25190</v>
      </c>
      <c r="B1337" t="s">
        <v>27105</v>
      </c>
      <c r="C1337" t="s">
        <v>27274</v>
      </c>
      <c r="D1337" t="s">
        <v>25224</v>
      </c>
      <c r="E1337" t="s">
        <v>18832</v>
      </c>
      <c r="F1337" t="s">
        <v>27273</v>
      </c>
      <c r="G1337" t="s">
        <v>27273</v>
      </c>
      <c r="H1337" t="s">
        <v>51</v>
      </c>
      <c r="I1337" t="s">
        <v>52</v>
      </c>
      <c r="J1337" t="str">
        <f>"4414010"</f>
        <v>4414010</v>
      </c>
      <c r="K1337">
        <v>2321086209</v>
      </c>
      <c r="L1337">
        <v>2321086082</v>
      </c>
      <c r="M1337" t="s">
        <v>27275</v>
      </c>
      <c r="N1337" t="s">
        <v>27276</v>
      </c>
      <c r="O1337" t="s">
        <v>27277</v>
      </c>
      <c r="P1337">
        <v>62400</v>
      </c>
      <c r="Q1337" t="str">
        <f>"41.043219"</f>
        <v>41.043219</v>
      </c>
      <c r="R1337" t="str">
        <f>"23.314975"</f>
        <v>23.314975</v>
      </c>
      <c r="S1337" t="s">
        <v>26</v>
      </c>
    </row>
    <row r="1338" spans="1:19" x14ac:dyDescent="0.3">
      <c r="A1338" t="s">
        <v>25190</v>
      </c>
      <c r="B1338" t="s">
        <v>27105</v>
      </c>
      <c r="C1338" t="s">
        <v>27280</v>
      </c>
      <c r="D1338" t="s">
        <v>25224</v>
      </c>
      <c r="E1338" t="s">
        <v>18832</v>
      </c>
      <c r="F1338" t="s">
        <v>18832</v>
      </c>
      <c r="G1338" t="s">
        <v>27279</v>
      </c>
      <c r="H1338" t="s">
        <v>51</v>
      </c>
      <c r="I1338" t="s">
        <v>52</v>
      </c>
      <c r="J1338" t="str">
        <f>"4423010"</f>
        <v>4423010</v>
      </c>
      <c r="K1338">
        <v>2325023229</v>
      </c>
      <c r="L1338">
        <v>2325023232</v>
      </c>
      <c r="M1338" t="s">
        <v>27281</v>
      </c>
      <c r="N1338" t="s">
        <v>27282</v>
      </c>
      <c r="O1338" t="s">
        <v>27283</v>
      </c>
      <c r="P1338">
        <v>62400</v>
      </c>
      <c r="Q1338" t="str">
        <f>"41.213033"</f>
        <v>41.213033</v>
      </c>
      <c r="R1338" t="str">
        <f>"23.299638"</f>
        <v>23.299638</v>
      </c>
      <c r="S1338" t="s">
        <v>26</v>
      </c>
    </row>
    <row r="1339" spans="1:19" x14ac:dyDescent="0.3">
      <c r="A1339" t="s">
        <v>25190</v>
      </c>
      <c r="B1339" t="s">
        <v>27105</v>
      </c>
      <c r="C1339" t="s">
        <v>27285</v>
      </c>
      <c r="D1339" t="s">
        <v>25224</v>
      </c>
      <c r="E1339" t="s">
        <v>25224</v>
      </c>
      <c r="F1339" t="s">
        <v>25224</v>
      </c>
      <c r="G1339" t="s">
        <v>25224</v>
      </c>
      <c r="H1339" t="s">
        <v>51</v>
      </c>
      <c r="I1339" t="s">
        <v>52</v>
      </c>
      <c r="J1339" t="str">
        <f>"4401040"</f>
        <v>4401040</v>
      </c>
      <c r="K1339">
        <v>2321022113</v>
      </c>
      <c r="L1339">
        <v>2321022013</v>
      </c>
      <c r="M1339" t="s">
        <v>27286</v>
      </c>
      <c r="N1339" t="s">
        <v>25227</v>
      </c>
      <c r="O1339" t="s">
        <v>27287</v>
      </c>
      <c r="P1339">
        <v>62121</v>
      </c>
      <c r="Q1339" t="str">
        <f>"41.089939"</f>
        <v>41.089939</v>
      </c>
      <c r="R1339" t="str">
        <f>"23.541658"</f>
        <v>23.541658</v>
      </c>
      <c r="S1339" t="s">
        <v>26</v>
      </c>
    </row>
    <row r="1340" spans="1:19" x14ac:dyDescent="0.3">
      <c r="A1340" t="s">
        <v>25190</v>
      </c>
      <c r="B1340" t="s">
        <v>27105</v>
      </c>
      <c r="C1340" t="s">
        <v>27290</v>
      </c>
      <c r="D1340" t="s">
        <v>25224</v>
      </c>
      <c r="E1340" t="s">
        <v>25224</v>
      </c>
      <c r="F1340" t="s">
        <v>27289</v>
      </c>
      <c r="G1340" t="s">
        <v>27289</v>
      </c>
      <c r="H1340" t="s">
        <v>51</v>
      </c>
      <c r="I1340" t="s">
        <v>52</v>
      </c>
      <c r="J1340" t="str">
        <f>"4406060"</f>
        <v>4406060</v>
      </c>
      <c r="K1340">
        <v>2321050196</v>
      </c>
      <c r="L1340">
        <v>2321050196</v>
      </c>
      <c r="M1340" t="s">
        <v>27291</v>
      </c>
      <c r="N1340" t="s">
        <v>27292</v>
      </c>
      <c r="O1340" t="s">
        <v>27293</v>
      </c>
      <c r="P1340">
        <v>62100</v>
      </c>
      <c r="Q1340" t="str">
        <f>"41.101674"</f>
        <v>41.101674</v>
      </c>
      <c r="R1340" t="str">
        <f>"23.489082"</f>
        <v>23.489082</v>
      </c>
      <c r="S1340" t="s">
        <v>26</v>
      </c>
    </row>
    <row r="1341" spans="1:19" x14ac:dyDescent="0.3">
      <c r="A1341" t="s">
        <v>25190</v>
      </c>
      <c r="B1341" t="s">
        <v>27105</v>
      </c>
      <c r="C1341" t="s">
        <v>27295</v>
      </c>
      <c r="D1341" t="s">
        <v>25224</v>
      </c>
      <c r="E1341" t="s">
        <v>27163</v>
      </c>
      <c r="F1341" t="s">
        <v>27243</v>
      </c>
      <c r="G1341" t="s">
        <v>27243</v>
      </c>
      <c r="H1341" t="s">
        <v>51</v>
      </c>
      <c r="I1341" t="s">
        <v>52</v>
      </c>
      <c r="J1341" t="str">
        <f>"4402010"</f>
        <v>4402010</v>
      </c>
      <c r="K1341">
        <v>2324031213</v>
      </c>
      <c r="L1341">
        <v>2324031219</v>
      </c>
      <c r="M1341" t="s">
        <v>27296</v>
      </c>
      <c r="N1341" t="s">
        <v>27297</v>
      </c>
      <c r="O1341" t="s">
        <v>27247</v>
      </c>
      <c r="P1341">
        <v>62042</v>
      </c>
      <c r="Q1341" t="str">
        <f>"41.063548"</f>
        <v>41.063548</v>
      </c>
      <c r="R1341" t="str">
        <f>"23.958972"</f>
        <v>23.958972</v>
      </c>
      <c r="S1341" t="s">
        <v>26</v>
      </c>
    </row>
    <row r="1342" spans="1:19" x14ac:dyDescent="0.3">
      <c r="A1342" t="s">
        <v>25190</v>
      </c>
      <c r="B1342" t="s">
        <v>27105</v>
      </c>
      <c r="C1342" t="s">
        <v>27299</v>
      </c>
      <c r="D1342" t="s">
        <v>25224</v>
      </c>
      <c r="E1342" t="s">
        <v>27181</v>
      </c>
      <c r="F1342" t="s">
        <v>27182</v>
      </c>
      <c r="G1342" t="s">
        <v>27182</v>
      </c>
      <c r="H1342" t="s">
        <v>51</v>
      </c>
      <c r="I1342" t="s">
        <v>52</v>
      </c>
      <c r="J1342" t="str">
        <f>"4406010"</f>
        <v>4406010</v>
      </c>
      <c r="K1342">
        <v>2322022220</v>
      </c>
      <c r="L1342">
        <v>2322020075</v>
      </c>
      <c r="M1342" t="s">
        <v>27300</v>
      </c>
      <c r="N1342" t="s">
        <v>27190</v>
      </c>
      <c r="O1342" t="s">
        <v>27254</v>
      </c>
      <c r="P1342">
        <v>62200</v>
      </c>
      <c r="Q1342" t="str">
        <f>"40.912988"</f>
        <v>40.912988</v>
      </c>
      <c r="R1342" t="str">
        <f>"23.500352"</f>
        <v>23.500352</v>
      </c>
      <c r="S1342" t="s">
        <v>26</v>
      </c>
    </row>
    <row r="1343" spans="1:19" x14ac:dyDescent="0.3">
      <c r="A1343" t="s">
        <v>25190</v>
      </c>
      <c r="B1343" t="s">
        <v>27105</v>
      </c>
      <c r="C1343" t="s">
        <v>27302</v>
      </c>
      <c r="D1343" t="s">
        <v>25224</v>
      </c>
      <c r="E1343" t="s">
        <v>27106</v>
      </c>
      <c r="F1343" t="s">
        <v>27149</v>
      </c>
      <c r="G1343" t="s">
        <v>27301</v>
      </c>
      <c r="H1343" t="s">
        <v>51</v>
      </c>
      <c r="I1343" t="s">
        <v>52</v>
      </c>
      <c r="J1343" t="str">
        <f>"4410010"</f>
        <v>4410010</v>
      </c>
      <c r="K1343">
        <v>2323031286</v>
      </c>
      <c r="L1343">
        <v>2323032462</v>
      </c>
      <c r="M1343" t="s">
        <v>27303</v>
      </c>
      <c r="N1343" t="s">
        <v>27304</v>
      </c>
      <c r="O1343" t="s">
        <v>27305</v>
      </c>
      <c r="P1343">
        <v>62043</v>
      </c>
      <c r="Q1343" t="str">
        <f>"41.272953"</f>
        <v>41.272953</v>
      </c>
      <c r="R1343" t="str">
        <f>"23.294976"</f>
        <v>23.294976</v>
      </c>
      <c r="S1343" t="s">
        <v>26</v>
      </c>
    </row>
    <row r="1344" spans="1:19" x14ac:dyDescent="0.3">
      <c r="A1344" t="s">
        <v>25190</v>
      </c>
      <c r="B1344" t="s">
        <v>27105</v>
      </c>
      <c r="C1344" t="s">
        <v>27307</v>
      </c>
      <c r="D1344" t="s">
        <v>25224</v>
      </c>
      <c r="E1344" t="s">
        <v>25224</v>
      </c>
      <c r="F1344" t="s">
        <v>25224</v>
      </c>
      <c r="G1344" t="s">
        <v>25224</v>
      </c>
      <c r="H1344" t="s">
        <v>51</v>
      </c>
      <c r="I1344" t="s">
        <v>52</v>
      </c>
      <c r="J1344" t="str">
        <f>"4401050"</f>
        <v>4401050</v>
      </c>
      <c r="K1344">
        <v>2321055728</v>
      </c>
      <c r="M1344" t="s">
        <v>27308</v>
      </c>
      <c r="N1344" t="s">
        <v>25224</v>
      </c>
      <c r="O1344" t="s">
        <v>27309</v>
      </c>
      <c r="P1344">
        <v>62124</v>
      </c>
      <c r="Q1344" t="str">
        <f>"41.087166"</f>
        <v>41.087166</v>
      </c>
      <c r="R1344" t="str">
        <f>"23.563584"</f>
        <v>23.563584</v>
      </c>
      <c r="S1344" t="s">
        <v>26</v>
      </c>
    </row>
    <row r="1345" spans="1:19" x14ac:dyDescent="0.3">
      <c r="A1345" t="s">
        <v>25190</v>
      </c>
      <c r="B1345" t="s">
        <v>27105</v>
      </c>
      <c r="C1345" t="s">
        <v>27310</v>
      </c>
      <c r="D1345" t="s">
        <v>25224</v>
      </c>
      <c r="E1345" t="s">
        <v>27106</v>
      </c>
      <c r="F1345" t="s">
        <v>27149</v>
      </c>
      <c r="G1345" t="s">
        <v>27150</v>
      </c>
      <c r="H1345" t="s">
        <v>51</v>
      </c>
      <c r="I1345" t="s">
        <v>52</v>
      </c>
      <c r="J1345" t="str">
        <f>"4412010"</f>
        <v>4412010</v>
      </c>
      <c r="K1345">
        <v>2323031562</v>
      </c>
      <c r="L1345">
        <v>2323028401</v>
      </c>
      <c r="M1345" t="s">
        <v>27311</v>
      </c>
      <c r="N1345" t="s">
        <v>27312</v>
      </c>
      <c r="O1345" t="s">
        <v>27153</v>
      </c>
      <c r="P1345">
        <v>62300</v>
      </c>
      <c r="Q1345" t="str">
        <f>"41.269208"</f>
        <v>41.269208</v>
      </c>
      <c r="R1345" t="str">
        <f>"23.252163"</f>
        <v>23.252163</v>
      </c>
      <c r="S1345" t="s">
        <v>26</v>
      </c>
    </row>
    <row r="1346" spans="1:19" x14ac:dyDescent="0.3">
      <c r="A1346" t="s">
        <v>25190</v>
      </c>
      <c r="B1346" t="s">
        <v>27105</v>
      </c>
      <c r="C1346" t="s">
        <v>27314</v>
      </c>
      <c r="D1346" t="s">
        <v>25224</v>
      </c>
      <c r="E1346" t="s">
        <v>27218</v>
      </c>
      <c r="F1346" t="s">
        <v>27218</v>
      </c>
      <c r="G1346" t="s">
        <v>27313</v>
      </c>
      <c r="H1346" t="s">
        <v>51</v>
      </c>
      <c r="I1346" t="s">
        <v>52</v>
      </c>
      <c r="J1346" t="str">
        <f>"4424010"</f>
        <v>4424010</v>
      </c>
      <c r="K1346">
        <v>2324093207</v>
      </c>
      <c r="L1346">
        <v>2324094855</v>
      </c>
      <c r="M1346" t="s">
        <v>27315</v>
      </c>
      <c r="N1346" t="s">
        <v>27316</v>
      </c>
      <c r="O1346" t="s">
        <v>27317</v>
      </c>
      <c r="P1346">
        <v>62041</v>
      </c>
      <c r="Q1346" t="str">
        <f>"40.876751"</f>
        <v>40.876751</v>
      </c>
      <c r="R1346" t="str">
        <f>"23.903984"</f>
        <v>23.903984</v>
      </c>
      <c r="S1346" t="s">
        <v>26</v>
      </c>
    </row>
    <row r="1347" spans="1:19" x14ac:dyDescent="0.3">
      <c r="A1347" t="s">
        <v>25190</v>
      </c>
      <c r="B1347" t="s">
        <v>27105</v>
      </c>
      <c r="C1347" t="s">
        <v>27323</v>
      </c>
      <c r="D1347" t="s">
        <v>25224</v>
      </c>
      <c r="E1347" t="s">
        <v>27218</v>
      </c>
      <c r="F1347" t="s">
        <v>27322</v>
      </c>
      <c r="G1347" t="s">
        <v>27322</v>
      </c>
      <c r="H1347" t="s">
        <v>51</v>
      </c>
      <c r="I1347" t="s">
        <v>52</v>
      </c>
      <c r="J1347" t="str">
        <f>"4407010"</f>
        <v>4407010</v>
      </c>
      <c r="K1347">
        <v>2324061217</v>
      </c>
      <c r="L1347">
        <v>2324061217</v>
      </c>
      <c r="M1347" t="s">
        <v>27324</v>
      </c>
      <c r="N1347" t="s">
        <v>27325</v>
      </c>
      <c r="O1347" t="s">
        <v>27326</v>
      </c>
      <c r="P1347">
        <v>62047</v>
      </c>
      <c r="Q1347" t="str">
        <f>"40.941090"</f>
        <v>40.941090</v>
      </c>
      <c r="R1347" t="str">
        <f>"24.003001"</f>
        <v>24.003001</v>
      </c>
      <c r="S1347" t="s">
        <v>26</v>
      </c>
    </row>
    <row r="1348" spans="1:19" x14ac:dyDescent="0.3">
      <c r="A1348" t="s">
        <v>25190</v>
      </c>
      <c r="B1348" t="s">
        <v>27105</v>
      </c>
      <c r="C1348" t="s">
        <v>27329</v>
      </c>
      <c r="D1348" t="s">
        <v>25224</v>
      </c>
      <c r="E1348" t="s">
        <v>27163</v>
      </c>
      <c r="F1348" t="s">
        <v>27163</v>
      </c>
      <c r="G1348" t="s">
        <v>27328</v>
      </c>
      <c r="H1348" t="s">
        <v>51</v>
      </c>
      <c r="I1348" t="s">
        <v>52</v>
      </c>
      <c r="J1348" t="str">
        <f>"4422010"</f>
        <v>4422010</v>
      </c>
      <c r="K1348">
        <v>2324051312</v>
      </c>
      <c r="L1348">
        <v>2324051312</v>
      </c>
      <c r="M1348" t="s">
        <v>27330</v>
      </c>
      <c r="N1348" t="s">
        <v>27328</v>
      </c>
      <c r="O1348" t="s">
        <v>27331</v>
      </c>
      <c r="P1348">
        <v>62042</v>
      </c>
      <c r="Q1348" t="str">
        <f>"40.917679"</f>
        <v>40.917679</v>
      </c>
      <c r="R1348" t="str">
        <f>"23.871170"</f>
        <v>23.871170</v>
      </c>
      <c r="S1348" t="s">
        <v>26</v>
      </c>
    </row>
    <row r="1349" spans="1:19" x14ac:dyDescent="0.3">
      <c r="A1349" t="s">
        <v>25190</v>
      </c>
      <c r="B1349" t="s">
        <v>27105</v>
      </c>
      <c r="C1349" t="s">
        <v>27333</v>
      </c>
      <c r="D1349" t="s">
        <v>25224</v>
      </c>
      <c r="E1349" t="s">
        <v>27181</v>
      </c>
      <c r="F1349" t="s">
        <v>27225</v>
      </c>
      <c r="G1349" t="s">
        <v>27226</v>
      </c>
      <c r="H1349" t="s">
        <v>51</v>
      </c>
      <c r="I1349" t="s">
        <v>52</v>
      </c>
      <c r="J1349" t="str">
        <f>"4415010"</f>
        <v>4415010</v>
      </c>
      <c r="K1349">
        <v>2322031220</v>
      </c>
      <c r="L1349">
        <v>2322031220</v>
      </c>
      <c r="M1349" t="s">
        <v>27334</v>
      </c>
      <c r="N1349" t="s">
        <v>27229</v>
      </c>
      <c r="O1349" t="s">
        <v>27230</v>
      </c>
      <c r="P1349">
        <v>62049</v>
      </c>
      <c r="Q1349" t="str">
        <f>"40.888672"</f>
        <v>40.888672</v>
      </c>
      <c r="R1349" t="str">
        <f>"23.748852"</f>
        <v>23.748852</v>
      </c>
      <c r="S1349" t="s">
        <v>26</v>
      </c>
    </row>
    <row r="1350" spans="1:19" x14ac:dyDescent="0.3">
      <c r="A1350" t="s">
        <v>25190</v>
      </c>
      <c r="B1350" t="s">
        <v>27105</v>
      </c>
      <c r="C1350" t="s">
        <v>27335</v>
      </c>
      <c r="D1350" t="s">
        <v>25224</v>
      </c>
      <c r="E1350" t="s">
        <v>27163</v>
      </c>
      <c r="F1350" t="s">
        <v>27163</v>
      </c>
      <c r="G1350" t="s">
        <v>27163</v>
      </c>
      <c r="H1350" t="s">
        <v>51</v>
      </c>
      <c r="I1350" t="s">
        <v>52</v>
      </c>
      <c r="J1350" t="str">
        <f>"4405010"</f>
        <v>4405010</v>
      </c>
      <c r="K1350">
        <v>2324022030</v>
      </c>
      <c r="L1350">
        <v>2324020052</v>
      </c>
      <c r="M1350" t="s">
        <v>27336</v>
      </c>
      <c r="N1350" t="s">
        <v>27166</v>
      </c>
      <c r="O1350" t="s">
        <v>27337</v>
      </c>
      <c r="P1350">
        <v>62042</v>
      </c>
      <c r="Q1350" t="str">
        <f>"41.027959"</f>
        <v>41.027959</v>
      </c>
      <c r="R1350" t="str">
        <f>"23.829408"</f>
        <v>23.829408</v>
      </c>
      <c r="S1350" t="s">
        <v>26</v>
      </c>
    </row>
    <row r="1351" spans="1:19" x14ac:dyDescent="0.3">
      <c r="A1351" t="s">
        <v>25190</v>
      </c>
      <c r="B1351" t="s">
        <v>27105</v>
      </c>
      <c r="C1351" t="s">
        <v>27339</v>
      </c>
      <c r="D1351" t="s">
        <v>25224</v>
      </c>
      <c r="E1351" t="s">
        <v>27181</v>
      </c>
      <c r="F1351" t="s">
        <v>27181</v>
      </c>
      <c r="G1351" t="s">
        <v>27338</v>
      </c>
      <c r="H1351" t="s">
        <v>51</v>
      </c>
      <c r="I1351" t="s">
        <v>52</v>
      </c>
      <c r="J1351" t="str">
        <f>"4406020"</f>
        <v>4406020</v>
      </c>
      <c r="K1351">
        <v>2322061260</v>
      </c>
      <c r="L1351">
        <v>2322020602</v>
      </c>
      <c r="M1351" t="s">
        <v>27340</v>
      </c>
      <c r="N1351" t="s">
        <v>27341</v>
      </c>
      <c r="O1351" t="s">
        <v>27341</v>
      </c>
      <c r="P1351">
        <v>62200</v>
      </c>
      <c r="Q1351" t="str">
        <f>"40.988856"</f>
        <v>40.988856</v>
      </c>
      <c r="R1351" t="str">
        <f>"23.413420"</f>
        <v>23.413420</v>
      </c>
      <c r="S1351" t="s">
        <v>26</v>
      </c>
    </row>
    <row r="1352" spans="1:19" x14ac:dyDescent="0.3">
      <c r="A1352" t="s">
        <v>25190</v>
      </c>
      <c r="B1352" t="s">
        <v>27105</v>
      </c>
      <c r="C1352" t="s">
        <v>27343</v>
      </c>
      <c r="D1352" t="s">
        <v>25224</v>
      </c>
      <c r="E1352" t="s">
        <v>25224</v>
      </c>
      <c r="F1352" t="s">
        <v>25224</v>
      </c>
      <c r="G1352" t="s">
        <v>25224</v>
      </c>
      <c r="H1352" t="s">
        <v>51</v>
      </c>
      <c r="I1352" t="s">
        <v>52</v>
      </c>
      <c r="J1352" t="str">
        <f>"4401031"</f>
        <v>4401031</v>
      </c>
      <c r="K1352">
        <v>2321035141</v>
      </c>
      <c r="L1352">
        <v>2321035461</v>
      </c>
      <c r="M1352" t="s">
        <v>27344</v>
      </c>
      <c r="N1352" t="s">
        <v>25227</v>
      </c>
      <c r="O1352" t="s">
        <v>27345</v>
      </c>
      <c r="P1352">
        <v>62125</v>
      </c>
      <c r="Q1352" t="str">
        <f>"41.081915"</f>
        <v>41.081915</v>
      </c>
      <c r="R1352" t="str">
        <f>"23.543119"</f>
        <v>23.543119</v>
      </c>
      <c r="S1352" t="s">
        <v>26</v>
      </c>
    </row>
    <row r="1353" spans="1:19" x14ac:dyDescent="0.3">
      <c r="A1353" t="s">
        <v>25190</v>
      </c>
      <c r="B1353" t="s">
        <v>27105</v>
      </c>
      <c r="C1353" t="s">
        <v>27346</v>
      </c>
      <c r="D1353" t="s">
        <v>25224</v>
      </c>
      <c r="E1353" t="s">
        <v>27143</v>
      </c>
      <c r="F1353" t="s">
        <v>27174</v>
      </c>
      <c r="G1353" t="s">
        <v>27175</v>
      </c>
      <c r="H1353" t="s">
        <v>51</v>
      </c>
      <c r="I1353" t="s">
        <v>52</v>
      </c>
      <c r="J1353" t="str">
        <f>"4418010"</f>
        <v>4418010</v>
      </c>
      <c r="K1353">
        <v>2321031490</v>
      </c>
      <c r="L1353">
        <v>2321031490</v>
      </c>
      <c r="M1353" t="s">
        <v>27347</v>
      </c>
      <c r="N1353" t="s">
        <v>27348</v>
      </c>
      <c r="O1353" t="s">
        <v>27349</v>
      </c>
      <c r="P1353">
        <v>62500</v>
      </c>
      <c r="Q1353" t="str">
        <f>"41.026820"</f>
        <v>41.026820</v>
      </c>
      <c r="R1353" t="str">
        <f>"23.613284"</f>
        <v>23.613284</v>
      </c>
      <c r="S1353" t="s">
        <v>26</v>
      </c>
    </row>
    <row r="1354" spans="1:19" x14ac:dyDescent="0.3">
      <c r="A1354" t="s">
        <v>25190</v>
      </c>
      <c r="B1354" t="s">
        <v>27105</v>
      </c>
      <c r="C1354" t="s">
        <v>27354</v>
      </c>
      <c r="D1354" t="s">
        <v>25224</v>
      </c>
      <c r="E1354" t="s">
        <v>25224</v>
      </c>
      <c r="F1354" t="s">
        <v>25224</v>
      </c>
      <c r="G1354" t="s">
        <v>25224</v>
      </c>
      <c r="H1354" t="s">
        <v>51</v>
      </c>
      <c r="I1354" t="s">
        <v>52</v>
      </c>
      <c r="J1354" t="str">
        <f>"4401030"</f>
        <v>4401030</v>
      </c>
      <c r="K1354">
        <v>2321022771</v>
      </c>
      <c r="L1354">
        <v>2321062008</v>
      </c>
      <c r="M1354" t="s">
        <v>27355</v>
      </c>
      <c r="N1354" t="s">
        <v>25227</v>
      </c>
      <c r="O1354" t="s">
        <v>27356</v>
      </c>
      <c r="P1354">
        <v>62122</v>
      </c>
      <c r="Q1354" t="str">
        <f>"41.095362"</f>
        <v>41.095362</v>
      </c>
      <c r="R1354" t="str">
        <f>"23.550947"</f>
        <v>23.550947</v>
      </c>
      <c r="S1354" t="s">
        <v>26</v>
      </c>
    </row>
    <row r="1355" spans="1:19" x14ac:dyDescent="0.3">
      <c r="A1355" t="s">
        <v>25190</v>
      </c>
      <c r="B1355" t="s">
        <v>27105</v>
      </c>
      <c r="C1355" t="s">
        <v>27358</v>
      </c>
      <c r="D1355" t="s">
        <v>25224</v>
      </c>
      <c r="E1355" t="s">
        <v>27106</v>
      </c>
      <c r="F1355" t="s">
        <v>27111</v>
      </c>
      <c r="G1355" t="s">
        <v>27111</v>
      </c>
      <c r="H1355" t="s">
        <v>51</v>
      </c>
      <c r="I1355" t="s">
        <v>52</v>
      </c>
      <c r="J1355" t="str">
        <f>"4409010"</f>
        <v>4409010</v>
      </c>
      <c r="K1355">
        <v>2323022239</v>
      </c>
      <c r="L1355">
        <v>2323028155</v>
      </c>
      <c r="M1355" t="s">
        <v>27359</v>
      </c>
      <c r="N1355" t="s">
        <v>27360</v>
      </c>
      <c r="O1355" t="s">
        <v>27361</v>
      </c>
      <c r="P1355">
        <v>62300</v>
      </c>
      <c r="Q1355" t="str">
        <f>"41.235692"</f>
        <v>41.235692</v>
      </c>
      <c r="R1355" t="str">
        <f>"23.387287"</f>
        <v>23.387287</v>
      </c>
      <c r="S1355" t="s">
        <v>26</v>
      </c>
    </row>
    <row r="1356" spans="1:19" x14ac:dyDescent="0.3">
      <c r="A1356" t="s">
        <v>25190</v>
      </c>
      <c r="B1356" t="s">
        <v>27105</v>
      </c>
      <c r="C1356" t="s">
        <v>27367</v>
      </c>
      <c r="D1356" t="s">
        <v>25224</v>
      </c>
      <c r="E1356" t="s">
        <v>25224</v>
      </c>
      <c r="F1356" t="s">
        <v>25224</v>
      </c>
      <c r="G1356" t="s">
        <v>25224</v>
      </c>
      <c r="H1356" t="s">
        <v>51</v>
      </c>
      <c r="I1356" t="s">
        <v>52</v>
      </c>
      <c r="J1356" t="str">
        <f>"4401020"</f>
        <v>4401020</v>
      </c>
      <c r="K1356">
        <v>2321038262</v>
      </c>
      <c r="L1356">
        <v>2321038650</v>
      </c>
      <c r="M1356" t="s">
        <v>27368</v>
      </c>
      <c r="N1356" t="s">
        <v>27366</v>
      </c>
      <c r="O1356" t="s">
        <v>27194</v>
      </c>
      <c r="P1356">
        <v>62125</v>
      </c>
      <c r="Q1356" t="str">
        <f>"41.083550"</f>
        <v>41.083550</v>
      </c>
      <c r="R1356" t="str">
        <f>"23.539389"</f>
        <v>23.539389</v>
      </c>
      <c r="S1356" t="s">
        <v>26</v>
      </c>
    </row>
    <row r="1357" spans="1:19" x14ac:dyDescent="0.3">
      <c r="A1357" t="s">
        <v>25190</v>
      </c>
      <c r="B1357" t="s">
        <v>27105</v>
      </c>
      <c r="C1357" t="s">
        <v>27369</v>
      </c>
      <c r="D1357" t="s">
        <v>25224</v>
      </c>
      <c r="E1357" t="s">
        <v>25224</v>
      </c>
      <c r="F1357" t="s">
        <v>25224</v>
      </c>
      <c r="G1357" t="s">
        <v>25224</v>
      </c>
      <c r="H1357" t="s">
        <v>51</v>
      </c>
      <c r="I1357" t="s">
        <v>4556</v>
      </c>
      <c r="J1357" t="str">
        <f>"4401055"</f>
        <v>4401055</v>
      </c>
      <c r="K1357">
        <v>2321037110</v>
      </c>
      <c r="L1357">
        <v>2321037110</v>
      </c>
      <c r="M1357" t="s">
        <v>27370</v>
      </c>
      <c r="N1357" t="s">
        <v>25227</v>
      </c>
      <c r="O1357" t="s">
        <v>27345</v>
      </c>
      <c r="P1357">
        <v>62123</v>
      </c>
      <c r="Q1357" t="str">
        <f>"41.081257"</f>
        <v>41.081257</v>
      </c>
      <c r="R1357" t="str">
        <f>"23.543578"</f>
        <v>23.543578</v>
      </c>
      <c r="S1357" t="s">
        <v>26</v>
      </c>
    </row>
    <row r="1358" spans="1:19" x14ac:dyDescent="0.3">
      <c r="A1358" t="s">
        <v>25190</v>
      </c>
      <c r="B1358" t="s">
        <v>27105</v>
      </c>
      <c r="C1358" t="s">
        <v>27371</v>
      </c>
      <c r="D1358" t="s">
        <v>25224</v>
      </c>
      <c r="E1358" t="s">
        <v>25224</v>
      </c>
      <c r="F1358" t="s">
        <v>25224</v>
      </c>
      <c r="G1358" t="s">
        <v>25224</v>
      </c>
      <c r="H1358" t="s">
        <v>51</v>
      </c>
      <c r="I1358" t="s">
        <v>190</v>
      </c>
      <c r="J1358" t="str">
        <f>"4401065"</f>
        <v>4401065</v>
      </c>
      <c r="K1358">
        <v>2321035353</v>
      </c>
      <c r="L1358">
        <v>2321035820</v>
      </c>
      <c r="M1358" t="s">
        <v>27372</v>
      </c>
      <c r="N1358" t="s">
        <v>25227</v>
      </c>
      <c r="O1358" t="s">
        <v>27373</v>
      </c>
      <c r="P1358">
        <v>62124</v>
      </c>
      <c r="Q1358" t="str">
        <f>"41.073276"</f>
        <v>41.073276</v>
      </c>
      <c r="R1358" t="str">
        <f>"23.556251"</f>
        <v>23.556251</v>
      </c>
      <c r="S1358" t="s">
        <v>26</v>
      </c>
    </row>
    <row r="1359" spans="1:19" x14ac:dyDescent="0.3">
      <c r="A1359" t="s">
        <v>25190</v>
      </c>
      <c r="B1359" t="s">
        <v>27105</v>
      </c>
      <c r="C1359" t="s">
        <v>27375</v>
      </c>
      <c r="D1359" t="s">
        <v>25224</v>
      </c>
      <c r="E1359" t="s">
        <v>25224</v>
      </c>
      <c r="F1359" t="s">
        <v>25224</v>
      </c>
      <c r="G1359" t="s">
        <v>25224</v>
      </c>
      <c r="H1359" t="s">
        <v>51</v>
      </c>
      <c r="I1359" t="s">
        <v>199</v>
      </c>
      <c r="J1359" t="str">
        <f>"4440095"</f>
        <v>4440095</v>
      </c>
      <c r="K1359">
        <v>2321099604</v>
      </c>
      <c r="L1359">
        <v>2321099603</v>
      </c>
      <c r="M1359" t="s">
        <v>27376</v>
      </c>
      <c r="N1359" t="s">
        <v>25227</v>
      </c>
      <c r="O1359" t="s">
        <v>27377</v>
      </c>
      <c r="P1359">
        <v>62100</v>
      </c>
      <c r="Q1359" t="str">
        <f>"41.089838"</f>
        <v>41.089838</v>
      </c>
      <c r="R1359" t="str">
        <f>"23.586029"</f>
        <v>23.586029</v>
      </c>
      <c r="S1359" t="s">
        <v>26</v>
      </c>
    </row>
    <row r="1360" spans="1:19" x14ac:dyDescent="0.3">
      <c r="A1360" t="s">
        <v>25190</v>
      </c>
      <c r="B1360" t="s">
        <v>27105</v>
      </c>
      <c r="C1360" t="s">
        <v>27381</v>
      </c>
      <c r="D1360" t="s">
        <v>25224</v>
      </c>
      <c r="E1360" t="s">
        <v>27143</v>
      </c>
      <c r="F1360" t="s">
        <v>27143</v>
      </c>
      <c r="G1360" t="s">
        <v>27380</v>
      </c>
      <c r="H1360" t="s">
        <v>51</v>
      </c>
      <c r="I1360" t="s">
        <v>52</v>
      </c>
      <c r="J1360" t="str">
        <f>"4435001"</f>
        <v>4435001</v>
      </c>
      <c r="K1360">
        <v>2321091436</v>
      </c>
      <c r="L1360">
        <v>2321091826</v>
      </c>
      <c r="M1360" t="s">
        <v>27382</v>
      </c>
      <c r="N1360" t="s">
        <v>27383</v>
      </c>
      <c r="O1360" t="s">
        <v>27384</v>
      </c>
      <c r="P1360">
        <v>62051</v>
      </c>
      <c r="Q1360" t="str">
        <f>"41.097333"</f>
        <v>41.097333</v>
      </c>
      <c r="R1360" t="str">
        <f>"23.678980"</f>
        <v>23.678980</v>
      </c>
      <c r="S1360" t="s">
        <v>26</v>
      </c>
    </row>
    <row r="1361" spans="1:19" x14ac:dyDescent="0.3">
      <c r="A1361" t="s">
        <v>25190</v>
      </c>
      <c r="B1361" t="s">
        <v>27386</v>
      </c>
      <c r="C1361" t="s">
        <v>27390</v>
      </c>
      <c r="D1361" t="s">
        <v>25229</v>
      </c>
      <c r="E1361" t="s">
        <v>27387</v>
      </c>
      <c r="F1361" t="s">
        <v>27388</v>
      </c>
      <c r="G1361" t="s">
        <v>27389</v>
      </c>
      <c r="H1361" t="s">
        <v>51</v>
      </c>
      <c r="I1361" t="s">
        <v>52</v>
      </c>
      <c r="J1361" t="str">
        <f>"4908010"</f>
        <v>4908010</v>
      </c>
      <c r="K1361">
        <v>2375041228</v>
      </c>
      <c r="L1361">
        <v>2375041228</v>
      </c>
      <c r="M1361" t="s">
        <v>27391</v>
      </c>
      <c r="N1361" t="s">
        <v>27392</v>
      </c>
      <c r="O1361" t="s">
        <v>27392</v>
      </c>
      <c r="P1361">
        <v>63072</v>
      </c>
      <c r="Q1361" t="str">
        <f>"40.038671"</f>
        <v>40.038671</v>
      </c>
      <c r="R1361" t="str">
        <f>"23.950807"</f>
        <v>23.950807</v>
      </c>
      <c r="S1361" t="s">
        <v>26</v>
      </c>
    </row>
    <row r="1362" spans="1:19" x14ac:dyDescent="0.3">
      <c r="A1362" t="s">
        <v>25190</v>
      </c>
      <c r="B1362" t="s">
        <v>27386</v>
      </c>
      <c r="C1362" t="s">
        <v>27463</v>
      </c>
      <c r="D1362" t="s">
        <v>25229</v>
      </c>
      <c r="E1362" t="s">
        <v>27403</v>
      </c>
      <c r="F1362" t="s">
        <v>27430</v>
      </c>
      <c r="G1362" t="s">
        <v>27430</v>
      </c>
      <c r="H1362" t="s">
        <v>51</v>
      </c>
      <c r="I1362" t="s">
        <v>52</v>
      </c>
      <c r="J1362" t="str">
        <f>"4903010"</f>
        <v>4903010</v>
      </c>
      <c r="K1362">
        <v>2372022220</v>
      </c>
      <c r="L1362">
        <v>2372022220</v>
      </c>
      <c r="M1362" t="s">
        <v>27464</v>
      </c>
      <c r="N1362" t="s">
        <v>27465</v>
      </c>
      <c r="O1362" t="s">
        <v>27435</v>
      </c>
      <c r="P1362">
        <v>63074</v>
      </c>
      <c r="Q1362" t="str">
        <f>"40.493174"</f>
        <v>40.493174</v>
      </c>
      <c r="R1362" t="str">
        <f>"23.598782"</f>
        <v>23.598782</v>
      </c>
      <c r="S1362" t="s">
        <v>26</v>
      </c>
    </row>
    <row r="1363" spans="1:19" x14ac:dyDescent="0.3">
      <c r="A1363" t="s">
        <v>25190</v>
      </c>
      <c r="B1363" t="s">
        <v>27386</v>
      </c>
      <c r="C1363" t="s">
        <v>27466</v>
      </c>
      <c r="D1363" t="s">
        <v>25229</v>
      </c>
      <c r="E1363" t="s">
        <v>27394</v>
      </c>
      <c r="F1363" t="s">
        <v>27447</v>
      </c>
      <c r="G1363" t="s">
        <v>2180</v>
      </c>
      <c r="H1363" t="s">
        <v>51</v>
      </c>
      <c r="I1363" t="s">
        <v>89</v>
      </c>
      <c r="J1363" t="str">
        <f>"4913010"</f>
        <v>4913010</v>
      </c>
      <c r="K1363">
        <v>2373061340</v>
      </c>
      <c r="L1363">
        <v>2373061770</v>
      </c>
      <c r="M1363" t="s">
        <v>27467</v>
      </c>
      <c r="N1363" t="s">
        <v>2181</v>
      </c>
      <c r="O1363" t="s">
        <v>27468</v>
      </c>
      <c r="P1363">
        <v>63200</v>
      </c>
      <c r="Q1363" t="str">
        <f>"40.342118"</f>
        <v>40.342118</v>
      </c>
      <c r="R1363" t="str">
        <f>"23.310391"</f>
        <v>23.310391</v>
      </c>
      <c r="S1363" t="s">
        <v>26</v>
      </c>
    </row>
    <row r="1364" spans="1:19" x14ac:dyDescent="0.3">
      <c r="A1364" t="s">
        <v>25190</v>
      </c>
      <c r="B1364" t="s">
        <v>27386</v>
      </c>
      <c r="C1364" t="s">
        <v>27471</v>
      </c>
      <c r="D1364" t="s">
        <v>25229</v>
      </c>
      <c r="E1364" t="s">
        <v>25230</v>
      </c>
      <c r="F1364" t="s">
        <v>27470</v>
      </c>
      <c r="G1364" t="s">
        <v>27470</v>
      </c>
      <c r="H1364" t="s">
        <v>51</v>
      </c>
      <c r="I1364" t="s">
        <v>52</v>
      </c>
      <c r="J1364" t="str">
        <f>"4912010"</f>
        <v>4912010</v>
      </c>
      <c r="K1364">
        <v>2371021214</v>
      </c>
      <c r="L1364">
        <v>2371041866</v>
      </c>
      <c r="M1364" t="s">
        <v>27472</v>
      </c>
      <c r="N1364" t="s">
        <v>25229</v>
      </c>
      <c r="O1364" t="s">
        <v>27473</v>
      </c>
      <c r="P1364">
        <v>63071</v>
      </c>
      <c r="Q1364" t="str">
        <f>"40.289888"</f>
        <v>40.289888</v>
      </c>
      <c r="R1364" t="str">
        <f>"23.542441"</f>
        <v>23.542441</v>
      </c>
      <c r="S1364" t="s">
        <v>26</v>
      </c>
    </row>
    <row r="1365" spans="1:19" x14ac:dyDescent="0.3">
      <c r="A1365" t="s">
        <v>25190</v>
      </c>
      <c r="B1365" t="s">
        <v>27386</v>
      </c>
      <c r="C1365" t="s">
        <v>27477</v>
      </c>
      <c r="D1365" t="s">
        <v>25229</v>
      </c>
      <c r="E1365" t="s">
        <v>27403</v>
      </c>
      <c r="F1365" t="s">
        <v>27404</v>
      </c>
      <c r="G1365" t="s">
        <v>27476</v>
      </c>
      <c r="H1365" t="s">
        <v>51</v>
      </c>
      <c r="I1365" t="s">
        <v>89</v>
      </c>
      <c r="J1365" t="str">
        <f>"4903050"</f>
        <v>4903050</v>
      </c>
      <c r="K1365">
        <v>2376022048</v>
      </c>
      <c r="L1365">
        <v>2376022048</v>
      </c>
      <c r="M1365" t="s">
        <v>27478</v>
      </c>
      <c r="N1365" t="s">
        <v>27479</v>
      </c>
      <c r="O1365" t="s">
        <v>27479</v>
      </c>
      <c r="P1365">
        <v>63082</v>
      </c>
      <c r="Q1365" t="str">
        <f>"40.512151"</f>
        <v>40.512151</v>
      </c>
      <c r="R1365" t="str">
        <f>"23.825496"</f>
        <v>23.825496</v>
      </c>
      <c r="S1365" t="s">
        <v>26</v>
      </c>
    </row>
    <row r="1366" spans="1:19" x14ac:dyDescent="0.3">
      <c r="A1366" t="s">
        <v>25190</v>
      </c>
      <c r="B1366" t="s">
        <v>27386</v>
      </c>
      <c r="C1366" t="s">
        <v>27488</v>
      </c>
      <c r="D1366" t="s">
        <v>25229</v>
      </c>
      <c r="E1366" t="s">
        <v>27387</v>
      </c>
      <c r="F1366" t="s">
        <v>27387</v>
      </c>
      <c r="G1366" t="s">
        <v>27487</v>
      </c>
      <c r="H1366" t="s">
        <v>51</v>
      </c>
      <c r="I1366" t="s">
        <v>52</v>
      </c>
      <c r="J1366" t="str">
        <f>"4917010"</f>
        <v>4917010</v>
      </c>
      <c r="K1366">
        <v>2375071139</v>
      </c>
      <c r="L1366">
        <v>2375071139</v>
      </c>
      <c r="M1366" t="s">
        <v>27489</v>
      </c>
      <c r="N1366" t="s">
        <v>27490</v>
      </c>
      <c r="O1366" t="s">
        <v>27490</v>
      </c>
      <c r="P1366">
        <v>63081</v>
      </c>
      <c r="Q1366" t="str">
        <f>"40.095861"</f>
        <v>40.095861</v>
      </c>
      <c r="R1366" t="str">
        <f>"23.786345"</f>
        <v>23.786345</v>
      </c>
      <c r="S1366" t="s">
        <v>26</v>
      </c>
    </row>
    <row r="1367" spans="1:19" x14ac:dyDescent="0.3">
      <c r="A1367" t="s">
        <v>25190</v>
      </c>
      <c r="B1367" t="s">
        <v>27386</v>
      </c>
      <c r="C1367" t="s">
        <v>27492</v>
      </c>
      <c r="D1367" t="s">
        <v>25229</v>
      </c>
      <c r="E1367" t="s">
        <v>25230</v>
      </c>
      <c r="F1367" t="s">
        <v>25230</v>
      </c>
      <c r="G1367" t="s">
        <v>25230</v>
      </c>
      <c r="H1367" t="s">
        <v>51</v>
      </c>
      <c r="I1367" t="s">
        <v>184</v>
      </c>
      <c r="J1367" t="str">
        <f>"4901015"</f>
        <v>4901015</v>
      </c>
      <c r="K1367">
        <v>2371021732</v>
      </c>
      <c r="L1367">
        <v>2371021732</v>
      </c>
      <c r="M1367" t="s">
        <v>27493</v>
      </c>
      <c r="N1367" t="s">
        <v>25233</v>
      </c>
      <c r="O1367" t="s">
        <v>27445</v>
      </c>
      <c r="P1367">
        <v>63100</v>
      </c>
      <c r="Q1367" t="str">
        <f>"40.380077"</f>
        <v>40.380077</v>
      </c>
      <c r="R1367" t="str">
        <f>"23.439004"</f>
        <v>23.439004</v>
      </c>
      <c r="S1367" t="s">
        <v>26</v>
      </c>
    </row>
    <row r="1368" spans="1:19" x14ac:dyDescent="0.3">
      <c r="A1368" t="s">
        <v>25190</v>
      </c>
      <c r="B1368" t="s">
        <v>27386</v>
      </c>
      <c r="C1368" t="s">
        <v>27495</v>
      </c>
      <c r="D1368" t="s">
        <v>25229</v>
      </c>
      <c r="E1368" t="s">
        <v>27415</v>
      </c>
      <c r="F1368" t="s">
        <v>4024</v>
      </c>
      <c r="G1368" t="s">
        <v>27494</v>
      </c>
      <c r="H1368" t="s">
        <v>51</v>
      </c>
      <c r="I1368" t="s">
        <v>52</v>
      </c>
      <c r="J1368" t="str">
        <f>"4918010"</f>
        <v>4918010</v>
      </c>
      <c r="K1368">
        <v>2374092386</v>
      </c>
      <c r="L1368">
        <v>2374092386</v>
      </c>
      <c r="M1368" t="s">
        <v>27496</v>
      </c>
      <c r="N1368" t="s">
        <v>27497</v>
      </c>
      <c r="O1368" t="s">
        <v>27497</v>
      </c>
      <c r="P1368">
        <v>63085</v>
      </c>
      <c r="Q1368" t="str">
        <f>"39.945823"</f>
        <v>39.945823</v>
      </c>
      <c r="R1368" t="str">
        <f>"23.663198"</f>
        <v>23.663198</v>
      </c>
      <c r="S1368" t="s">
        <v>26</v>
      </c>
    </row>
    <row r="1369" spans="1:19" x14ac:dyDescent="0.3">
      <c r="A1369" t="s">
        <v>25190</v>
      </c>
      <c r="B1369" t="s">
        <v>27386</v>
      </c>
      <c r="C1369" t="s">
        <v>27500</v>
      </c>
      <c r="D1369" t="s">
        <v>25229</v>
      </c>
      <c r="E1369" t="s">
        <v>27387</v>
      </c>
      <c r="F1369" t="s">
        <v>27387</v>
      </c>
      <c r="G1369" t="s">
        <v>27425</v>
      </c>
      <c r="H1369" t="s">
        <v>51</v>
      </c>
      <c r="I1369" t="s">
        <v>52</v>
      </c>
      <c r="J1369" t="str">
        <f>"4911010"</f>
        <v>4911010</v>
      </c>
      <c r="K1369">
        <v>2375022305</v>
      </c>
      <c r="L1369">
        <v>2375022305</v>
      </c>
      <c r="M1369" t="s">
        <v>27501</v>
      </c>
      <c r="N1369" t="s">
        <v>27428</v>
      </c>
      <c r="O1369" t="s">
        <v>27428</v>
      </c>
      <c r="P1369">
        <v>63088</v>
      </c>
      <c r="Q1369" t="str">
        <f>"40.221352"</f>
        <v>40.221352</v>
      </c>
      <c r="R1369" t="str">
        <f>"23.673927"</f>
        <v>23.673927</v>
      </c>
      <c r="S1369" t="s">
        <v>26</v>
      </c>
    </row>
    <row r="1370" spans="1:19" x14ac:dyDescent="0.3">
      <c r="A1370" t="s">
        <v>25190</v>
      </c>
      <c r="B1370" t="s">
        <v>27386</v>
      </c>
      <c r="C1370" t="s">
        <v>27504</v>
      </c>
      <c r="D1370" t="s">
        <v>25229</v>
      </c>
      <c r="E1370" t="s">
        <v>25230</v>
      </c>
      <c r="F1370" t="s">
        <v>27502</v>
      </c>
      <c r="G1370" t="s">
        <v>27503</v>
      </c>
      <c r="H1370" t="s">
        <v>51</v>
      </c>
      <c r="I1370" t="s">
        <v>52</v>
      </c>
      <c r="J1370" t="str">
        <f>"4910010"</f>
        <v>4910010</v>
      </c>
      <c r="K1370">
        <v>2371061325</v>
      </c>
      <c r="L1370">
        <v>2371061325</v>
      </c>
      <c r="M1370" t="s">
        <v>27505</v>
      </c>
      <c r="N1370" t="s">
        <v>27506</v>
      </c>
      <c r="O1370" t="s">
        <v>27507</v>
      </c>
      <c r="P1370">
        <v>63073</v>
      </c>
      <c r="Q1370" t="str">
        <f>"40.502060"</f>
        <v>40.502060</v>
      </c>
      <c r="R1370" t="str">
        <f>"23.456430"</f>
        <v>23.456430</v>
      </c>
      <c r="S1370" t="s">
        <v>26</v>
      </c>
    </row>
    <row r="1371" spans="1:19" x14ac:dyDescent="0.3">
      <c r="A1371" t="s">
        <v>25190</v>
      </c>
      <c r="B1371" t="s">
        <v>27386</v>
      </c>
      <c r="C1371" t="s">
        <v>27509</v>
      </c>
      <c r="D1371" t="s">
        <v>25229</v>
      </c>
      <c r="E1371" t="s">
        <v>27394</v>
      </c>
      <c r="F1371" t="s">
        <v>27447</v>
      </c>
      <c r="G1371" t="s">
        <v>27401</v>
      </c>
      <c r="H1371" t="s">
        <v>51</v>
      </c>
      <c r="I1371" t="s">
        <v>52</v>
      </c>
      <c r="J1371" t="str">
        <f>"4906010"</f>
        <v>4906010</v>
      </c>
      <c r="K1371">
        <v>2373022256</v>
      </c>
      <c r="L1371">
        <v>2373022256</v>
      </c>
      <c r="M1371" t="s">
        <v>27510</v>
      </c>
      <c r="N1371" t="s">
        <v>27511</v>
      </c>
      <c r="O1371" t="s">
        <v>27512</v>
      </c>
      <c r="P1371">
        <v>63200</v>
      </c>
      <c r="Q1371" t="str">
        <f>"40.238082"</f>
        <v>40.238082</v>
      </c>
      <c r="R1371" t="str">
        <f>"23.290871"</f>
        <v>23.290871</v>
      </c>
      <c r="S1371" t="s">
        <v>26</v>
      </c>
    </row>
    <row r="1372" spans="1:19" x14ac:dyDescent="0.3">
      <c r="A1372" t="s">
        <v>25190</v>
      </c>
      <c r="B1372" t="s">
        <v>27386</v>
      </c>
      <c r="C1372" t="s">
        <v>27513</v>
      </c>
      <c r="D1372" t="s">
        <v>25229</v>
      </c>
      <c r="E1372" t="s">
        <v>27415</v>
      </c>
      <c r="F1372" t="s">
        <v>27415</v>
      </c>
      <c r="G1372" t="s">
        <v>27416</v>
      </c>
      <c r="H1372" t="s">
        <v>51</v>
      </c>
      <c r="I1372" t="s">
        <v>52</v>
      </c>
      <c r="J1372" t="str">
        <f>"4904010"</f>
        <v>4904010</v>
      </c>
      <c r="K1372">
        <v>2374022236</v>
      </c>
      <c r="L1372">
        <v>2374020698</v>
      </c>
      <c r="M1372" t="s">
        <v>27514</v>
      </c>
      <c r="N1372" t="s">
        <v>27419</v>
      </c>
      <c r="O1372" t="s">
        <v>27420</v>
      </c>
      <c r="P1372">
        <v>63077</v>
      </c>
      <c r="Q1372" t="str">
        <f>"40.051965"</f>
        <v>40.051965</v>
      </c>
      <c r="R1372" t="str">
        <f>"23.418578"</f>
        <v>23.418578</v>
      </c>
      <c r="S1372" t="s">
        <v>26</v>
      </c>
    </row>
    <row r="1373" spans="1:19" x14ac:dyDescent="0.3">
      <c r="A1373" t="s">
        <v>25190</v>
      </c>
      <c r="B1373" t="s">
        <v>27386</v>
      </c>
      <c r="C1373" t="s">
        <v>27516</v>
      </c>
      <c r="D1373" t="s">
        <v>25229</v>
      </c>
      <c r="E1373" t="s">
        <v>27394</v>
      </c>
      <c r="F1373" t="s">
        <v>27447</v>
      </c>
      <c r="G1373" t="s">
        <v>27401</v>
      </c>
      <c r="H1373" t="s">
        <v>51</v>
      </c>
      <c r="I1373" t="s">
        <v>52</v>
      </c>
      <c r="J1373" t="str">
        <f>"4906015"</f>
        <v>4906015</v>
      </c>
      <c r="K1373">
        <v>2373065455</v>
      </c>
      <c r="L1373">
        <v>2373065455</v>
      </c>
      <c r="M1373" t="s">
        <v>27517</v>
      </c>
      <c r="N1373" t="s">
        <v>27484</v>
      </c>
      <c r="O1373" t="s">
        <v>27518</v>
      </c>
      <c r="P1373">
        <v>63200</v>
      </c>
      <c r="Q1373" t="str">
        <f>"40.235420"</f>
        <v>40.235420</v>
      </c>
      <c r="R1373" t="str">
        <f>"23.299819"</f>
        <v>23.299819</v>
      </c>
      <c r="S1373" t="s">
        <v>26</v>
      </c>
    </row>
    <row r="1374" spans="1:19" x14ac:dyDescent="0.3">
      <c r="A1374" t="s">
        <v>25190</v>
      </c>
      <c r="B1374" t="s">
        <v>27386</v>
      </c>
      <c r="C1374" t="s">
        <v>27522</v>
      </c>
      <c r="D1374" t="s">
        <v>25229</v>
      </c>
      <c r="E1374" t="s">
        <v>25230</v>
      </c>
      <c r="F1374" t="s">
        <v>27520</v>
      </c>
      <c r="G1374" t="s">
        <v>27521</v>
      </c>
      <c r="H1374" t="s">
        <v>51</v>
      </c>
      <c r="I1374" t="s">
        <v>89</v>
      </c>
      <c r="J1374" t="str">
        <f>"4901020"</f>
        <v>4901020</v>
      </c>
      <c r="K1374">
        <v>2371031315</v>
      </c>
      <c r="L1374">
        <v>2371031315</v>
      </c>
      <c r="M1374" t="s">
        <v>27523</v>
      </c>
      <c r="N1374" t="s">
        <v>27524</v>
      </c>
      <c r="O1374" t="s">
        <v>27525</v>
      </c>
      <c r="P1374">
        <v>63073</v>
      </c>
      <c r="Q1374" t="str">
        <f>"40.467142"</f>
        <v>40.467142</v>
      </c>
      <c r="R1374" t="str">
        <f>"23.281245"</f>
        <v>23.281245</v>
      </c>
      <c r="S1374" t="s">
        <v>26</v>
      </c>
    </row>
    <row r="1375" spans="1:19" x14ac:dyDescent="0.3">
      <c r="A1375" t="s">
        <v>25190</v>
      </c>
      <c r="B1375" t="s">
        <v>27386</v>
      </c>
      <c r="C1375" t="s">
        <v>27527</v>
      </c>
      <c r="D1375" t="s">
        <v>25229</v>
      </c>
      <c r="E1375" t="s">
        <v>27387</v>
      </c>
      <c r="F1375" t="s">
        <v>27387</v>
      </c>
      <c r="G1375" t="s">
        <v>1969</v>
      </c>
      <c r="H1375" t="s">
        <v>51</v>
      </c>
      <c r="I1375" t="s">
        <v>52</v>
      </c>
      <c r="J1375" t="str">
        <f>"4902010"</f>
        <v>4902010</v>
      </c>
      <c r="K1375">
        <v>2375031309</v>
      </c>
      <c r="L1375">
        <v>2375110243</v>
      </c>
      <c r="M1375" t="s">
        <v>27528</v>
      </c>
      <c r="N1375" t="s">
        <v>27439</v>
      </c>
      <c r="O1375" t="s">
        <v>14960</v>
      </c>
      <c r="P1375">
        <v>63078</v>
      </c>
      <c r="Q1375" t="str">
        <f>"40.249962"</f>
        <v>40.249962</v>
      </c>
      <c r="R1375" t="str">
        <f>"23.701736"</f>
        <v>23.701736</v>
      </c>
      <c r="S1375" t="s">
        <v>26</v>
      </c>
    </row>
    <row r="1376" spans="1:19" x14ac:dyDescent="0.3">
      <c r="A1376" t="s">
        <v>25190</v>
      </c>
      <c r="B1376" t="s">
        <v>27386</v>
      </c>
      <c r="C1376" t="s">
        <v>27530</v>
      </c>
      <c r="D1376" t="s">
        <v>25229</v>
      </c>
      <c r="E1376" t="s">
        <v>27403</v>
      </c>
      <c r="F1376" t="s">
        <v>1800</v>
      </c>
      <c r="G1376" t="s">
        <v>27529</v>
      </c>
      <c r="H1376" t="s">
        <v>51</v>
      </c>
      <c r="I1376" t="s">
        <v>52</v>
      </c>
      <c r="J1376" t="str">
        <f>"4909010"</f>
        <v>4909010</v>
      </c>
      <c r="K1376">
        <v>2372031355</v>
      </c>
      <c r="L1376">
        <v>2372031355</v>
      </c>
      <c r="M1376" t="s">
        <v>27531</v>
      </c>
      <c r="N1376" t="s">
        <v>27532</v>
      </c>
      <c r="O1376" t="s">
        <v>27533</v>
      </c>
      <c r="P1376">
        <v>63076</v>
      </c>
      <c r="Q1376" t="str">
        <f>"40.445696"</f>
        <v>40.445696</v>
      </c>
      <c r="R1376" t="str">
        <f>"23.674784"</f>
        <v>23.674784</v>
      </c>
      <c r="S1376" t="s">
        <v>26</v>
      </c>
    </row>
    <row r="1377" spans="1:19" x14ac:dyDescent="0.3">
      <c r="A1377" t="s">
        <v>25190</v>
      </c>
      <c r="B1377" t="s">
        <v>27386</v>
      </c>
      <c r="C1377" t="s">
        <v>27535</v>
      </c>
      <c r="D1377" t="s">
        <v>25229</v>
      </c>
      <c r="E1377" t="s">
        <v>25230</v>
      </c>
      <c r="F1377" t="s">
        <v>25230</v>
      </c>
      <c r="G1377" t="s">
        <v>25230</v>
      </c>
      <c r="H1377" t="s">
        <v>51</v>
      </c>
      <c r="I1377" t="s">
        <v>52</v>
      </c>
      <c r="J1377" t="str">
        <f>"4901010"</f>
        <v>4901010</v>
      </c>
      <c r="K1377">
        <v>2371022354</v>
      </c>
      <c r="L1377">
        <v>2371021331</v>
      </c>
      <c r="M1377" t="s">
        <v>27536</v>
      </c>
      <c r="N1377" t="s">
        <v>27413</v>
      </c>
      <c r="O1377" t="s">
        <v>27537</v>
      </c>
      <c r="P1377">
        <v>63100</v>
      </c>
      <c r="Q1377" t="str">
        <f>"40.380422"</f>
        <v>40.380422</v>
      </c>
      <c r="R1377" t="str">
        <f>"23.439117"</f>
        <v>23.439117</v>
      </c>
      <c r="S1377" t="s">
        <v>26</v>
      </c>
    </row>
    <row r="1378" spans="1:19" x14ac:dyDescent="0.3">
      <c r="A1378" t="s">
        <v>25190</v>
      </c>
      <c r="B1378" t="s">
        <v>27386</v>
      </c>
      <c r="C1378" t="s">
        <v>27538</v>
      </c>
      <c r="D1378" t="s">
        <v>25229</v>
      </c>
      <c r="E1378" t="s">
        <v>27394</v>
      </c>
      <c r="F1378" t="s">
        <v>27453</v>
      </c>
      <c r="G1378" t="s">
        <v>27454</v>
      </c>
      <c r="H1378" t="s">
        <v>51</v>
      </c>
      <c r="I1378" t="s">
        <v>52</v>
      </c>
      <c r="J1378" t="str">
        <f>"4905010"</f>
        <v>4905010</v>
      </c>
      <c r="K1378">
        <v>2399021319</v>
      </c>
      <c r="L1378">
        <v>2399021319</v>
      </c>
      <c r="M1378" t="s">
        <v>27539</v>
      </c>
      <c r="N1378" t="s">
        <v>27540</v>
      </c>
      <c r="O1378" t="s">
        <v>27541</v>
      </c>
      <c r="P1378">
        <v>63080</v>
      </c>
      <c r="Q1378" t="str">
        <f>"40.315591"</f>
        <v>40.315591</v>
      </c>
      <c r="R1378" t="str">
        <f>"23.060042"</f>
        <v>23.060042</v>
      </c>
      <c r="S1378" t="s">
        <v>26</v>
      </c>
    </row>
    <row r="1379" spans="1:19" x14ac:dyDescent="0.3">
      <c r="A1379" t="s">
        <v>25190</v>
      </c>
      <c r="B1379" t="s">
        <v>27386</v>
      </c>
      <c r="C1379" t="s">
        <v>27545</v>
      </c>
      <c r="D1379" t="s">
        <v>25229</v>
      </c>
      <c r="E1379" t="s">
        <v>27403</v>
      </c>
      <c r="F1379" t="s">
        <v>27430</v>
      </c>
      <c r="G1379" t="s">
        <v>1684</v>
      </c>
      <c r="H1379" t="s">
        <v>51</v>
      </c>
      <c r="I1379" t="s">
        <v>52</v>
      </c>
      <c r="J1379" t="str">
        <f>"4916010"</f>
        <v>4916010</v>
      </c>
      <c r="K1379">
        <v>2372041553</v>
      </c>
      <c r="L1379">
        <v>2372041553</v>
      </c>
      <c r="M1379" t="s">
        <v>27546</v>
      </c>
      <c r="N1379" t="s">
        <v>27547</v>
      </c>
      <c r="O1379" t="s">
        <v>27547</v>
      </c>
      <c r="P1379">
        <v>63074</v>
      </c>
      <c r="Q1379" t="str">
        <f>"40.486884"</f>
        <v>40.486884</v>
      </c>
      <c r="R1379" t="str">
        <f>"23.646062"</f>
        <v>23.646062</v>
      </c>
      <c r="S1379" t="s">
        <v>26</v>
      </c>
    </row>
    <row r="1380" spans="1:19" x14ac:dyDescent="0.3">
      <c r="A1380" t="s">
        <v>25190</v>
      </c>
      <c r="B1380" t="s">
        <v>27386</v>
      </c>
      <c r="C1380" t="s">
        <v>27550</v>
      </c>
      <c r="D1380" t="s">
        <v>25229</v>
      </c>
      <c r="E1380" t="s">
        <v>27415</v>
      </c>
      <c r="F1380" t="s">
        <v>4024</v>
      </c>
      <c r="G1380" t="s">
        <v>27549</v>
      </c>
      <c r="H1380" t="s">
        <v>51</v>
      </c>
      <c r="I1380" t="s">
        <v>52</v>
      </c>
      <c r="J1380" t="str">
        <f>"4904030"</f>
        <v>4904030</v>
      </c>
      <c r="K1380">
        <v>2374061402</v>
      </c>
      <c r="L1380">
        <v>2374062008</v>
      </c>
      <c r="M1380" t="s">
        <v>27551</v>
      </c>
      <c r="N1380" t="s">
        <v>27552</v>
      </c>
      <c r="O1380" t="s">
        <v>27553</v>
      </c>
      <c r="P1380">
        <v>63085</v>
      </c>
      <c r="Q1380" t="str">
        <f>"39.990090"</f>
        <v>39.990090</v>
      </c>
      <c r="R1380" t="str">
        <f>"23.606448"</f>
        <v>23.606448</v>
      </c>
      <c r="S1380" t="s">
        <v>26</v>
      </c>
    </row>
    <row r="1381" spans="1:19" x14ac:dyDescent="0.3">
      <c r="A1381" t="s">
        <v>25190</v>
      </c>
      <c r="B1381" t="s">
        <v>27386</v>
      </c>
      <c r="C1381" t="s">
        <v>27558</v>
      </c>
      <c r="D1381" t="s">
        <v>25229</v>
      </c>
      <c r="E1381" t="s">
        <v>27403</v>
      </c>
      <c r="F1381" t="s">
        <v>27404</v>
      </c>
      <c r="G1381" t="s">
        <v>27405</v>
      </c>
      <c r="H1381" t="s">
        <v>51</v>
      </c>
      <c r="I1381" t="s">
        <v>52</v>
      </c>
      <c r="J1381" t="str">
        <f>"4907010"</f>
        <v>4907010</v>
      </c>
      <c r="K1381">
        <v>2377022372</v>
      </c>
      <c r="L1381">
        <v>2377022372</v>
      </c>
      <c r="M1381" t="s">
        <v>27559</v>
      </c>
      <c r="N1381" t="s">
        <v>27560</v>
      </c>
      <c r="O1381" t="s">
        <v>27561</v>
      </c>
      <c r="P1381">
        <v>63075</v>
      </c>
      <c r="Q1381" t="str">
        <f>"40.394821"</f>
        <v>40.394821</v>
      </c>
      <c r="R1381" t="str">
        <f>"23.874637"</f>
        <v>23.874637</v>
      </c>
      <c r="S1381" t="s">
        <v>26</v>
      </c>
    </row>
    <row r="1382" spans="1:19" x14ac:dyDescent="0.3">
      <c r="A1382" t="s">
        <v>25190</v>
      </c>
      <c r="B1382" t="s">
        <v>27386</v>
      </c>
      <c r="C1382" t="s">
        <v>27562</v>
      </c>
      <c r="D1382" t="s">
        <v>25229</v>
      </c>
      <c r="E1382" t="s">
        <v>27394</v>
      </c>
      <c r="F1382" t="s">
        <v>27395</v>
      </c>
      <c r="G1382" t="s">
        <v>27396</v>
      </c>
      <c r="H1382" t="s">
        <v>51</v>
      </c>
      <c r="I1382" t="s">
        <v>52</v>
      </c>
      <c r="J1382" t="str">
        <f>"4915010"</f>
        <v>4915010</v>
      </c>
      <c r="K1382">
        <v>2373051472</v>
      </c>
      <c r="L1382">
        <v>2373051107</v>
      </c>
      <c r="M1382" t="s">
        <v>27563</v>
      </c>
      <c r="O1382" t="s">
        <v>27564</v>
      </c>
      <c r="P1382">
        <v>63079</v>
      </c>
      <c r="Q1382" t="str">
        <f>"40.308919"</f>
        <v>40.308919</v>
      </c>
      <c r="R1382" t="str">
        <f>"23.201911"</f>
        <v>23.201911</v>
      </c>
      <c r="S1382" t="s">
        <v>26</v>
      </c>
    </row>
    <row r="1383" spans="1:19" x14ac:dyDescent="0.3">
      <c r="A1383" t="s">
        <v>25190</v>
      </c>
      <c r="B1383" t="s">
        <v>27386</v>
      </c>
      <c r="C1383" t="s">
        <v>27577</v>
      </c>
      <c r="D1383" t="s">
        <v>25229</v>
      </c>
      <c r="E1383" t="s">
        <v>27415</v>
      </c>
      <c r="F1383" t="s">
        <v>27415</v>
      </c>
      <c r="G1383" t="s">
        <v>27576</v>
      </c>
      <c r="H1383" t="s">
        <v>51</v>
      </c>
      <c r="I1383" t="s">
        <v>52</v>
      </c>
      <c r="J1383" t="str">
        <f>"4918015"</f>
        <v>4918015</v>
      </c>
      <c r="K1383">
        <v>2374081022</v>
      </c>
      <c r="L1383">
        <v>2374081022</v>
      </c>
      <c r="M1383" t="s">
        <v>27578</v>
      </c>
      <c r="N1383" t="s">
        <v>27579</v>
      </c>
      <c r="O1383" t="s">
        <v>27579</v>
      </c>
      <c r="P1383">
        <v>63077</v>
      </c>
      <c r="Q1383" t="str">
        <f>"40.134570"</f>
        <v>40.134570</v>
      </c>
      <c r="R1383" t="str">
        <f>"23.399016"</f>
        <v>23.399016</v>
      </c>
      <c r="S1383" t="s">
        <v>26</v>
      </c>
    </row>
    <row r="1384" spans="1:19" x14ac:dyDescent="0.3">
      <c r="A1384" t="s">
        <v>25190</v>
      </c>
      <c r="B1384" t="s">
        <v>27386</v>
      </c>
      <c r="C1384" t="s">
        <v>27594</v>
      </c>
      <c r="D1384" t="s">
        <v>25229</v>
      </c>
      <c r="E1384" t="s">
        <v>27394</v>
      </c>
      <c r="F1384" t="s">
        <v>27447</v>
      </c>
      <c r="G1384" t="s">
        <v>27401</v>
      </c>
      <c r="H1384" t="s">
        <v>51</v>
      </c>
      <c r="I1384" t="s">
        <v>199</v>
      </c>
      <c r="J1384" t="str">
        <f>"4944000"</f>
        <v>4944000</v>
      </c>
      <c r="K1384">
        <v>2373023598</v>
      </c>
      <c r="L1384">
        <v>2373023598</v>
      </c>
      <c r="M1384" t="s">
        <v>27595</v>
      </c>
      <c r="N1384" t="s">
        <v>27596</v>
      </c>
      <c r="O1384" t="s">
        <v>27597</v>
      </c>
      <c r="P1384">
        <v>63200</v>
      </c>
      <c r="Q1384" t="str">
        <f>"40.284319"</f>
        <v>40.284319</v>
      </c>
      <c r="R1384" t="str">
        <f>"23.295061"</f>
        <v>23.295061</v>
      </c>
      <c r="S1384" t="s">
        <v>26</v>
      </c>
    </row>
    <row r="1385" spans="1:19" x14ac:dyDescent="0.3">
      <c r="A1385" t="s">
        <v>32470</v>
      </c>
      <c r="B1385" t="s">
        <v>32491</v>
      </c>
      <c r="C1385" t="s">
        <v>32493</v>
      </c>
      <c r="D1385" t="s">
        <v>4618</v>
      </c>
      <c r="E1385" t="s">
        <v>4618</v>
      </c>
      <c r="F1385" t="s">
        <v>2421</v>
      </c>
      <c r="G1385" t="s">
        <v>32492</v>
      </c>
      <c r="H1385" t="s">
        <v>51</v>
      </c>
      <c r="I1385" t="s">
        <v>52</v>
      </c>
      <c r="J1385" t="str">
        <f>"1701090"</f>
        <v>1701090</v>
      </c>
      <c r="K1385">
        <v>2810871288</v>
      </c>
      <c r="L1385">
        <v>2810871734</v>
      </c>
      <c r="M1385" t="s">
        <v>32494</v>
      </c>
      <c r="N1385" t="s">
        <v>32495</v>
      </c>
      <c r="O1385" t="s">
        <v>31050</v>
      </c>
      <c r="P1385">
        <v>71500</v>
      </c>
      <c r="Q1385" t="str">
        <f>"35.209784"</f>
        <v>35.209784</v>
      </c>
      <c r="R1385" t="str">
        <f>"25.100681"</f>
        <v>25.100681</v>
      </c>
      <c r="S1385" t="s">
        <v>26</v>
      </c>
    </row>
    <row r="1386" spans="1:19" x14ac:dyDescent="0.3">
      <c r="A1386" t="s">
        <v>32470</v>
      </c>
      <c r="B1386" t="s">
        <v>32491</v>
      </c>
      <c r="C1386" t="s">
        <v>32497</v>
      </c>
      <c r="D1386" t="s">
        <v>4618</v>
      </c>
      <c r="E1386" t="s">
        <v>4618</v>
      </c>
      <c r="F1386" t="s">
        <v>4618</v>
      </c>
      <c r="G1386" t="s">
        <v>32471</v>
      </c>
      <c r="H1386" t="s">
        <v>51</v>
      </c>
      <c r="I1386" t="s">
        <v>52</v>
      </c>
      <c r="J1386" t="str">
        <f>"1701010"</f>
        <v>1701010</v>
      </c>
      <c r="K1386">
        <v>2810227148</v>
      </c>
      <c r="L1386">
        <v>2810346035</v>
      </c>
      <c r="M1386" t="s">
        <v>32498</v>
      </c>
      <c r="N1386" t="s">
        <v>4618</v>
      </c>
      <c r="O1386" t="s">
        <v>32499</v>
      </c>
      <c r="P1386">
        <v>71306</v>
      </c>
      <c r="Q1386" t="str">
        <f>"35.337040"</f>
        <v>35.337040</v>
      </c>
      <c r="R1386" t="str">
        <f>"25.139023"</f>
        <v>25.139023</v>
      </c>
      <c r="S1386" t="s">
        <v>26</v>
      </c>
    </row>
    <row r="1387" spans="1:19" x14ac:dyDescent="0.3">
      <c r="A1387" t="s">
        <v>32470</v>
      </c>
      <c r="B1387" t="s">
        <v>32491</v>
      </c>
      <c r="C1387" t="s">
        <v>32515</v>
      </c>
      <c r="D1387" t="s">
        <v>4618</v>
      </c>
      <c r="E1387" t="s">
        <v>4618</v>
      </c>
      <c r="F1387" t="s">
        <v>4618</v>
      </c>
      <c r="G1387" t="s">
        <v>32514</v>
      </c>
      <c r="H1387" t="s">
        <v>51</v>
      </c>
      <c r="I1387" t="s">
        <v>3708</v>
      </c>
      <c r="J1387" t="str">
        <f>"1701001"</f>
        <v>1701001</v>
      </c>
      <c r="K1387">
        <v>2810252298</v>
      </c>
      <c r="L1387">
        <v>2810252298</v>
      </c>
      <c r="M1387" t="s">
        <v>32516</v>
      </c>
      <c r="N1387" t="s">
        <v>4741</v>
      </c>
      <c r="O1387" t="s">
        <v>32517</v>
      </c>
      <c r="P1387">
        <v>71503</v>
      </c>
      <c r="Q1387" t="str">
        <f>"35.311155"</f>
        <v>35.311155</v>
      </c>
      <c r="R1387" t="str">
        <f>"25.102762"</f>
        <v>25.102762</v>
      </c>
      <c r="S1387" t="s">
        <v>26</v>
      </c>
    </row>
    <row r="1388" spans="1:19" x14ac:dyDescent="0.3">
      <c r="A1388" t="s">
        <v>32470</v>
      </c>
      <c r="B1388" t="s">
        <v>32491</v>
      </c>
      <c r="C1388" t="s">
        <v>32520</v>
      </c>
      <c r="D1388" t="s">
        <v>4618</v>
      </c>
      <c r="E1388" t="s">
        <v>32508</v>
      </c>
      <c r="F1388" t="s">
        <v>32519</v>
      </c>
      <c r="G1388" t="s">
        <v>32519</v>
      </c>
      <c r="H1388" t="s">
        <v>51</v>
      </c>
      <c r="I1388" t="s">
        <v>4194</v>
      </c>
      <c r="J1388" t="str">
        <f>"1741002"</f>
        <v>1741002</v>
      </c>
      <c r="K1388">
        <v>2810762610</v>
      </c>
      <c r="L1388">
        <v>2810762607</v>
      </c>
      <c r="M1388" t="s">
        <v>32521</v>
      </c>
      <c r="N1388" t="s">
        <v>28925</v>
      </c>
      <c r="O1388" t="s">
        <v>32522</v>
      </c>
      <c r="P1388">
        <v>71500</v>
      </c>
      <c r="Q1388" t="str">
        <f>"35.327482"</f>
        <v>35.327482</v>
      </c>
      <c r="R1388" t="str">
        <f>"25.282250"</f>
        <v>25.282250</v>
      </c>
      <c r="S1388" t="s">
        <v>26</v>
      </c>
    </row>
    <row r="1389" spans="1:19" x14ac:dyDescent="0.3">
      <c r="A1389" t="s">
        <v>32470</v>
      </c>
      <c r="B1389" t="s">
        <v>32491</v>
      </c>
      <c r="C1389" t="s">
        <v>32525</v>
      </c>
      <c r="D1389" t="s">
        <v>4618</v>
      </c>
      <c r="E1389" t="s">
        <v>32508</v>
      </c>
      <c r="F1389" t="s">
        <v>32519</v>
      </c>
      <c r="G1389" t="s">
        <v>32519</v>
      </c>
      <c r="H1389" t="s">
        <v>51</v>
      </c>
      <c r="I1389" t="s">
        <v>52</v>
      </c>
      <c r="J1389" t="str">
        <f>"1714012"</f>
        <v>1714012</v>
      </c>
      <c r="K1389">
        <v>2810762261</v>
      </c>
      <c r="L1389">
        <v>2810762361</v>
      </c>
      <c r="M1389" t="s">
        <v>32526</v>
      </c>
      <c r="N1389" t="s">
        <v>32527</v>
      </c>
      <c r="O1389" t="s">
        <v>32528</v>
      </c>
      <c r="P1389">
        <v>71500</v>
      </c>
      <c r="Q1389" t="str">
        <f>"35.326324"</f>
        <v>35.326324</v>
      </c>
      <c r="R1389" t="str">
        <f>"25.282844"</f>
        <v>25.282844</v>
      </c>
      <c r="S1389" t="s">
        <v>26</v>
      </c>
    </row>
    <row r="1390" spans="1:19" x14ac:dyDescent="0.3">
      <c r="A1390" t="s">
        <v>32470</v>
      </c>
      <c r="B1390" t="s">
        <v>32491</v>
      </c>
      <c r="C1390" t="s">
        <v>32715</v>
      </c>
      <c r="D1390" t="s">
        <v>4618</v>
      </c>
      <c r="E1390" t="s">
        <v>4618</v>
      </c>
      <c r="F1390" t="s">
        <v>4618</v>
      </c>
      <c r="G1390" t="s">
        <v>32537</v>
      </c>
      <c r="H1390" t="s">
        <v>51</v>
      </c>
      <c r="I1390" t="s">
        <v>52</v>
      </c>
      <c r="J1390" t="str">
        <f>"1701030"</f>
        <v>1701030</v>
      </c>
      <c r="K1390">
        <v>2810361015</v>
      </c>
      <c r="L1390">
        <v>2810325810</v>
      </c>
      <c r="M1390" t="s">
        <v>32716</v>
      </c>
      <c r="N1390" t="s">
        <v>28925</v>
      </c>
      <c r="O1390" t="s">
        <v>32717</v>
      </c>
      <c r="P1390">
        <v>71307</v>
      </c>
      <c r="Q1390" t="str">
        <f>"35.325474"</f>
        <v>35.325474</v>
      </c>
      <c r="R1390" t="str">
        <f>"25.141655"</f>
        <v>25.141655</v>
      </c>
      <c r="S1390" t="s">
        <v>26</v>
      </c>
    </row>
    <row r="1391" spans="1:19" x14ac:dyDescent="0.3">
      <c r="A1391" t="s">
        <v>32470</v>
      </c>
      <c r="B1391" t="s">
        <v>32491</v>
      </c>
      <c r="C1391" t="s">
        <v>32718</v>
      </c>
      <c r="D1391" t="s">
        <v>4618</v>
      </c>
      <c r="E1391" t="s">
        <v>32529</v>
      </c>
      <c r="F1391" t="s">
        <v>32530</v>
      </c>
      <c r="G1391" t="s">
        <v>32531</v>
      </c>
      <c r="H1391" t="s">
        <v>51</v>
      </c>
      <c r="I1391" t="s">
        <v>52</v>
      </c>
      <c r="J1391" t="str">
        <f>"1710010"</f>
        <v>1710010</v>
      </c>
      <c r="K1391">
        <v>2810711220</v>
      </c>
      <c r="L1391">
        <v>2810711220</v>
      </c>
      <c r="M1391" t="s">
        <v>32719</v>
      </c>
      <c r="N1391" t="s">
        <v>32720</v>
      </c>
      <c r="O1391" t="s">
        <v>32535</v>
      </c>
      <c r="P1391">
        <v>70001</v>
      </c>
      <c r="Q1391" t="str">
        <f>"35.230414"</f>
        <v>35.230414</v>
      </c>
      <c r="R1391" t="str">
        <f>"24.983053"</f>
        <v>24.983053</v>
      </c>
      <c r="S1391" t="s">
        <v>26</v>
      </c>
    </row>
    <row r="1392" spans="1:19" x14ac:dyDescent="0.3">
      <c r="A1392" t="s">
        <v>32470</v>
      </c>
      <c r="B1392" t="s">
        <v>32491</v>
      </c>
      <c r="C1392" t="s">
        <v>32722</v>
      </c>
      <c r="D1392" t="s">
        <v>4618</v>
      </c>
      <c r="E1392" t="s">
        <v>32629</v>
      </c>
      <c r="F1392" t="s">
        <v>32630</v>
      </c>
      <c r="G1392" t="s">
        <v>32631</v>
      </c>
      <c r="H1392" t="s">
        <v>51</v>
      </c>
      <c r="I1392" t="s">
        <v>52</v>
      </c>
      <c r="J1392" t="str">
        <f>"1715010"</f>
        <v>1715010</v>
      </c>
      <c r="K1392">
        <v>2893031193</v>
      </c>
      <c r="L1392">
        <v>2893031193</v>
      </c>
      <c r="M1392" t="s">
        <v>32723</v>
      </c>
      <c r="O1392" t="s">
        <v>32634</v>
      </c>
      <c r="P1392">
        <v>70016</v>
      </c>
      <c r="Q1392" t="str">
        <f>"35.043519"</f>
        <v>35.043519</v>
      </c>
      <c r="R1392" t="str">
        <f>"25.092870"</f>
        <v>25.092870</v>
      </c>
      <c r="S1392" t="s">
        <v>26</v>
      </c>
    </row>
    <row r="1393" spans="1:19" x14ac:dyDescent="0.3">
      <c r="A1393" t="s">
        <v>32470</v>
      </c>
      <c r="B1393" t="s">
        <v>32491</v>
      </c>
      <c r="C1393" t="s">
        <v>32725</v>
      </c>
      <c r="D1393" t="s">
        <v>4618</v>
      </c>
      <c r="E1393" t="s">
        <v>32501</v>
      </c>
      <c r="F1393" t="s">
        <v>32571</v>
      </c>
      <c r="G1393" t="s">
        <v>32572</v>
      </c>
      <c r="H1393" t="s">
        <v>51</v>
      </c>
      <c r="I1393" t="s">
        <v>52</v>
      </c>
      <c r="J1393" t="str">
        <f>"1708010"</f>
        <v>1708010</v>
      </c>
      <c r="K1393">
        <v>2893022204</v>
      </c>
      <c r="L1393">
        <v>2893022204</v>
      </c>
      <c r="M1393" t="s">
        <v>32726</v>
      </c>
      <c r="O1393" t="s">
        <v>32727</v>
      </c>
      <c r="P1393">
        <v>70010</v>
      </c>
      <c r="Q1393" t="str">
        <f>"35.015751"</f>
        <v>35.015751</v>
      </c>
      <c r="R1393" t="str">
        <f>"25.119789"</f>
        <v>25.119789</v>
      </c>
      <c r="S1393" t="s">
        <v>26</v>
      </c>
    </row>
    <row r="1394" spans="1:19" x14ac:dyDescent="0.3">
      <c r="A1394" t="s">
        <v>32470</v>
      </c>
      <c r="B1394" t="s">
        <v>32491</v>
      </c>
      <c r="C1394" t="s">
        <v>32728</v>
      </c>
      <c r="D1394" t="s">
        <v>4618</v>
      </c>
      <c r="E1394" t="s">
        <v>32529</v>
      </c>
      <c r="F1394" t="s">
        <v>32650</v>
      </c>
      <c r="G1394" t="s">
        <v>32650</v>
      </c>
      <c r="H1394" t="s">
        <v>51</v>
      </c>
      <c r="I1394" t="s">
        <v>52</v>
      </c>
      <c r="J1394" t="str">
        <f>"1728010"</f>
        <v>1728010</v>
      </c>
      <c r="K1394">
        <v>2810824651</v>
      </c>
      <c r="L1394">
        <v>2810821015</v>
      </c>
      <c r="M1394" t="s">
        <v>32729</v>
      </c>
      <c r="N1394" t="s">
        <v>32730</v>
      </c>
      <c r="O1394" t="s">
        <v>32731</v>
      </c>
      <c r="P1394">
        <v>71414</v>
      </c>
      <c r="Q1394" t="str">
        <f>"35.322052"</f>
        <v>35.322052</v>
      </c>
      <c r="R1394" t="str">
        <f>"25.069612"</f>
        <v>25.069612</v>
      </c>
      <c r="S1394" t="s">
        <v>26</v>
      </c>
    </row>
    <row r="1395" spans="1:19" x14ac:dyDescent="0.3">
      <c r="A1395" t="s">
        <v>32470</v>
      </c>
      <c r="B1395" t="s">
        <v>32491</v>
      </c>
      <c r="C1395" t="s">
        <v>32734</v>
      </c>
      <c r="D1395" t="s">
        <v>4618</v>
      </c>
      <c r="E1395" t="s">
        <v>32629</v>
      </c>
      <c r="F1395" t="s">
        <v>32732</v>
      </c>
      <c r="G1395" t="s">
        <v>32733</v>
      </c>
      <c r="H1395" t="s">
        <v>51</v>
      </c>
      <c r="I1395" t="s">
        <v>52</v>
      </c>
      <c r="J1395" t="str">
        <f>"1722010"</f>
        <v>1722010</v>
      </c>
      <c r="K1395">
        <v>2894041298</v>
      </c>
      <c r="L1395">
        <v>2894041298</v>
      </c>
      <c r="M1395" t="s">
        <v>32735</v>
      </c>
      <c r="N1395" t="s">
        <v>32736</v>
      </c>
      <c r="O1395" t="s">
        <v>32737</v>
      </c>
      <c r="P1395">
        <v>70003</v>
      </c>
      <c r="Q1395" t="str">
        <f>"35.131545"</f>
        <v>35.131545</v>
      </c>
      <c r="R1395" t="str">
        <f>"24.940540"</f>
        <v>24.940540</v>
      </c>
      <c r="S1395" t="s">
        <v>26</v>
      </c>
    </row>
    <row r="1396" spans="1:19" x14ac:dyDescent="0.3">
      <c r="A1396" t="s">
        <v>32470</v>
      </c>
      <c r="B1396" t="s">
        <v>32491</v>
      </c>
      <c r="C1396" t="s">
        <v>32739</v>
      </c>
      <c r="D1396" t="s">
        <v>4618</v>
      </c>
      <c r="E1396" t="s">
        <v>4618</v>
      </c>
      <c r="F1396" t="s">
        <v>4618</v>
      </c>
      <c r="G1396" t="s">
        <v>32537</v>
      </c>
      <c r="H1396" t="s">
        <v>51</v>
      </c>
      <c r="I1396" t="s">
        <v>52</v>
      </c>
      <c r="J1396" t="str">
        <f>"1701057"</f>
        <v>1701057</v>
      </c>
      <c r="K1396">
        <v>2810234488</v>
      </c>
      <c r="L1396">
        <v>2810326908</v>
      </c>
      <c r="M1396" t="s">
        <v>32740</v>
      </c>
      <c r="N1396" t="s">
        <v>28925</v>
      </c>
      <c r="O1396" t="s">
        <v>32741</v>
      </c>
      <c r="P1396">
        <v>71409</v>
      </c>
      <c r="Q1396" t="str">
        <f>"35.312744"</f>
        <v>35.312744</v>
      </c>
      <c r="R1396" t="str">
        <f>"25.152762"</f>
        <v>25.152762</v>
      </c>
      <c r="S1396" t="s">
        <v>26</v>
      </c>
    </row>
    <row r="1397" spans="1:19" x14ac:dyDescent="0.3">
      <c r="A1397" t="s">
        <v>32470</v>
      </c>
      <c r="B1397" t="s">
        <v>32491</v>
      </c>
      <c r="C1397" t="s">
        <v>32742</v>
      </c>
      <c r="D1397" t="s">
        <v>4618</v>
      </c>
      <c r="E1397" t="s">
        <v>32584</v>
      </c>
      <c r="F1397" t="s">
        <v>32585</v>
      </c>
      <c r="G1397" t="s">
        <v>32585</v>
      </c>
      <c r="H1397" t="s">
        <v>51</v>
      </c>
      <c r="I1397" t="s">
        <v>52</v>
      </c>
      <c r="J1397" t="str">
        <f>"1713010"</f>
        <v>1713010</v>
      </c>
      <c r="K1397">
        <v>2892051686</v>
      </c>
      <c r="L1397">
        <v>2892053233</v>
      </c>
      <c r="M1397" t="s">
        <v>32743</v>
      </c>
      <c r="N1397" t="s">
        <v>32589</v>
      </c>
      <c r="O1397" t="s">
        <v>32590</v>
      </c>
      <c r="P1397">
        <v>70200</v>
      </c>
      <c r="Q1397" t="str">
        <f>"35.067092"</f>
        <v>35.067092</v>
      </c>
      <c r="R1397" t="str">
        <f>"24.766217"</f>
        <v>24.766217</v>
      </c>
      <c r="S1397" t="s">
        <v>26</v>
      </c>
    </row>
    <row r="1398" spans="1:19" x14ac:dyDescent="0.3">
      <c r="A1398" t="s">
        <v>32470</v>
      </c>
      <c r="B1398" t="s">
        <v>32491</v>
      </c>
      <c r="C1398" t="s">
        <v>32744</v>
      </c>
      <c r="D1398" t="s">
        <v>4618</v>
      </c>
      <c r="E1398" t="s">
        <v>4618</v>
      </c>
      <c r="F1398" t="s">
        <v>32623</v>
      </c>
      <c r="G1398" t="s">
        <v>32623</v>
      </c>
      <c r="H1398" t="s">
        <v>51</v>
      </c>
      <c r="I1398" t="s">
        <v>52</v>
      </c>
      <c r="J1398" t="str">
        <f>"1727010"</f>
        <v>1727010</v>
      </c>
      <c r="K1398">
        <v>2810229231</v>
      </c>
      <c r="L1398">
        <v>2810343414</v>
      </c>
      <c r="M1398" t="s">
        <v>32745</v>
      </c>
      <c r="N1398" t="s">
        <v>32746</v>
      </c>
      <c r="O1398" t="s">
        <v>32747</v>
      </c>
      <c r="P1398">
        <v>71601</v>
      </c>
      <c r="Q1398" t="str">
        <f>"35.334014"</f>
        <v>35.334014</v>
      </c>
      <c r="R1398" t="str">
        <f>"25.162856"</f>
        <v>25.162856</v>
      </c>
      <c r="S1398" t="s">
        <v>26</v>
      </c>
    </row>
    <row r="1399" spans="1:19" x14ac:dyDescent="0.3">
      <c r="A1399" t="s">
        <v>32470</v>
      </c>
      <c r="B1399" t="s">
        <v>32491</v>
      </c>
      <c r="C1399" t="s">
        <v>32748</v>
      </c>
      <c r="D1399" t="s">
        <v>4618</v>
      </c>
      <c r="E1399" t="s">
        <v>4618</v>
      </c>
      <c r="F1399" t="s">
        <v>32607</v>
      </c>
      <c r="G1399" t="s">
        <v>32608</v>
      </c>
      <c r="H1399" t="s">
        <v>51</v>
      </c>
      <c r="I1399" t="s">
        <v>52</v>
      </c>
      <c r="J1399" t="str">
        <f>"1701080"</f>
        <v>1701080</v>
      </c>
      <c r="K1399">
        <v>2810721263</v>
      </c>
      <c r="L1399">
        <v>2810721263</v>
      </c>
      <c r="M1399" t="s">
        <v>32749</v>
      </c>
      <c r="N1399" t="s">
        <v>32611</v>
      </c>
      <c r="O1399" t="s">
        <v>32611</v>
      </c>
      <c r="P1399">
        <v>70013</v>
      </c>
      <c r="Q1399" t="str">
        <f>"35.236837"</f>
        <v>35.236837</v>
      </c>
      <c r="R1399" t="str">
        <f>"25.030019"</f>
        <v>25.030019</v>
      </c>
      <c r="S1399" t="s">
        <v>26</v>
      </c>
    </row>
    <row r="1400" spans="1:19" x14ac:dyDescent="0.3">
      <c r="A1400" t="s">
        <v>32470</v>
      </c>
      <c r="B1400" t="s">
        <v>32491</v>
      </c>
      <c r="C1400" t="s">
        <v>32750</v>
      </c>
      <c r="D1400" t="s">
        <v>4618</v>
      </c>
      <c r="E1400" t="s">
        <v>32501</v>
      </c>
      <c r="F1400" t="s">
        <v>32502</v>
      </c>
      <c r="G1400" t="s">
        <v>32502</v>
      </c>
      <c r="H1400" t="s">
        <v>51</v>
      </c>
      <c r="I1400" t="s">
        <v>52</v>
      </c>
      <c r="J1400" t="str">
        <f>"1703010"</f>
        <v>1703010</v>
      </c>
      <c r="K1400">
        <v>2810751808</v>
      </c>
      <c r="L1400">
        <v>2810751808</v>
      </c>
      <c r="M1400" t="s">
        <v>32751</v>
      </c>
      <c r="N1400" t="s">
        <v>32752</v>
      </c>
      <c r="O1400" t="s">
        <v>32753</v>
      </c>
      <c r="P1400">
        <v>70100</v>
      </c>
      <c r="Q1400" t="str">
        <f>"35.230426"</f>
        <v>35.230426</v>
      </c>
      <c r="R1400" t="str">
        <f>"25.157339"</f>
        <v>25.157339</v>
      </c>
      <c r="S1400" t="s">
        <v>26</v>
      </c>
    </row>
    <row r="1401" spans="1:19" x14ac:dyDescent="0.3">
      <c r="A1401" t="s">
        <v>32470</v>
      </c>
      <c r="B1401" t="s">
        <v>32491</v>
      </c>
      <c r="C1401" t="s">
        <v>32760</v>
      </c>
      <c r="D1401" t="s">
        <v>4618</v>
      </c>
      <c r="E1401" t="s">
        <v>32501</v>
      </c>
      <c r="F1401" t="s">
        <v>32571</v>
      </c>
      <c r="G1401" t="s">
        <v>32759</v>
      </c>
      <c r="H1401" t="s">
        <v>51</v>
      </c>
      <c r="I1401" t="s">
        <v>52</v>
      </c>
      <c r="J1401" t="str">
        <f>"1725010"</f>
        <v>1725010</v>
      </c>
      <c r="K1401">
        <v>2893051228</v>
      </c>
      <c r="L1401">
        <v>2893051228</v>
      </c>
      <c r="M1401" t="s">
        <v>32761</v>
      </c>
      <c r="N1401" t="s">
        <v>32762</v>
      </c>
      <c r="O1401" t="s">
        <v>32763</v>
      </c>
      <c r="P1401">
        <v>70010</v>
      </c>
      <c r="Q1401" t="str">
        <f>"35.094726"</f>
        <v>35.094726</v>
      </c>
      <c r="R1401" t="str">
        <f>"25.159234"</f>
        <v>25.159234</v>
      </c>
      <c r="S1401" t="s">
        <v>26</v>
      </c>
    </row>
    <row r="1402" spans="1:19" x14ac:dyDescent="0.3">
      <c r="A1402" t="s">
        <v>32470</v>
      </c>
      <c r="B1402" t="s">
        <v>32491</v>
      </c>
      <c r="C1402" t="s">
        <v>32765</v>
      </c>
      <c r="D1402" t="s">
        <v>4618</v>
      </c>
      <c r="E1402" t="s">
        <v>32508</v>
      </c>
      <c r="F1402" t="s">
        <v>32602</v>
      </c>
      <c r="G1402" t="s">
        <v>32602</v>
      </c>
      <c r="H1402" t="s">
        <v>51</v>
      </c>
      <c r="I1402" t="s">
        <v>52</v>
      </c>
      <c r="J1402" t="str">
        <f>"1718010"</f>
        <v>1718010</v>
      </c>
      <c r="K1402">
        <v>2897031471</v>
      </c>
      <c r="L1402">
        <v>2897031448</v>
      </c>
      <c r="M1402" t="s">
        <v>32766</v>
      </c>
      <c r="N1402" t="s">
        <v>32605</v>
      </c>
      <c r="O1402" t="s">
        <v>32767</v>
      </c>
      <c r="P1402">
        <v>70007</v>
      </c>
      <c r="Q1402" t="str">
        <f>"35.284476"</f>
        <v>35.284476</v>
      </c>
      <c r="R1402" t="str">
        <f>"25.456770"</f>
        <v>25.456770</v>
      </c>
      <c r="S1402" t="s">
        <v>26</v>
      </c>
    </row>
    <row r="1403" spans="1:19" x14ac:dyDescent="0.3">
      <c r="A1403" t="s">
        <v>32470</v>
      </c>
      <c r="B1403" t="s">
        <v>32491</v>
      </c>
      <c r="C1403" t="s">
        <v>32769</v>
      </c>
      <c r="D1403" t="s">
        <v>4618</v>
      </c>
      <c r="E1403" t="s">
        <v>32508</v>
      </c>
      <c r="F1403" t="s">
        <v>32602</v>
      </c>
      <c r="G1403" t="s">
        <v>32640</v>
      </c>
      <c r="H1403" t="s">
        <v>51</v>
      </c>
      <c r="I1403" t="s">
        <v>52</v>
      </c>
      <c r="J1403" t="str">
        <f>"1712010"</f>
        <v>1712010</v>
      </c>
      <c r="K1403">
        <v>2897061328</v>
      </c>
      <c r="L1403">
        <v>2897061329</v>
      </c>
      <c r="M1403" t="s">
        <v>32770</v>
      </c>
      <c r="N1403" t="s">
        <v>32643</v>
      </c>
      <c r="P1403">
        <v>70005</v>
      </c>
      <c r="Q1403" t="str">
        <f>"35.264315"</f>
        <v>35.264315</v>
      </c>
      <c r="R1403" t="str">
        <f>"25.423154"</f>
        <v>25.423154</v>
      </c>
      <c r="S1403" t="s">
        <v>26</v>
      </c>
    </row>
    <row r="1404" spans="1:19" x14ac:dyDescent="0.3">
      <c r="A1404" t="s">
        <v>32470</v>
      </c>
      <c r="B1404" t="s">
        <v>32491</v>
      </c>
      <c r="C1404" t="s">
        <v>32771</v>
      </c>
      <c r="D1404" t="s">
        <v>4618</v>
      </c>
      <c r="E1404" t="s">
        <v>32508</v>
      </c>
      <c r="F1404" t="s">
        <v>32508</v>
      </c>
      <c r="G1404" t="s">
        <v>32768</v>
      </c>
      <c r="H1404" t="s">
        <v>51</v>
      </c>
      <c r="I1404" t="s">
        <v>52</v>
      </c>
      <c r="J1404" t="str">
        <f>"1717011"</f>
        <v>1717011</v>
      </c>
      <c r="K1404">
        <v>2897023342</v>
      </c>
      <c r="L1404">
        <v>2897023342</v>
      </c>
      <c r="M1404" t="s">
        <v>32772</v>
      </c>
      <c r="N1404" t="s">
        <v>32773</v>
      </c>
      <c r="O1404" t="s">
        <v>32774</v>
      </c>
      <c r="P1404">
        <v>70014</v>
      </c>
      <c r="Q1404" t="str">
        <f>"35.313168"</f>
        <v>35.313168</v>
      </c>
      <c r="R1404" t="str">
        <f>"25.387150"</f>
        <v>25.387150</v>
      </c>
      <c r="S1404" t="s">
        <v>26</v>
      </c>
    </row>
    <row r="1405" spans="1:19" x14ac:dyDescent="0.3">
      <c r="A1405" t="s">
        <v>32470</v>
      </c>
      <c r="B1405" t="s">
        <v>32491</v>
      </c>
      <c r="C1405" t="s">
        <v>32776</v>
      </c>
      <c r="D1405" t="s">
        <v>4618</v>
      </c>
      <c r="E1405" t="s">
        <v>4618</v>
      </c>
      <c r="F1405" t="s">
        <v>4618</v>
      </c>
      <c r="G1405" t="s">
        <v>32514</v>
      </c>
      <c r="H1405" t="s">
        <v>51</v>
      </c>
      <c r="I1405" t="s">
        <v>52</v>
      </c>
      <c r="J1405" t="str">
        <f>"1701055"</f>
        <v>1701055</v>
      </c>
      <c r="K1405">
        <v>2810257353</v>
      </c>
      <c r="L1405">
        <v>2810257367</v>
      </c>
      <c r="M1405" t="s">
        <v>32777</v>
      </c>
      <c r="N1405" t="s">
        <v>28925</v>
      </c>
      <c r="O1405" t="s">
        <v>32569</v>
      </c>
      <c r="P1405">
        <v>71303</v>
      </c>
      <c r="Q1405" t="str">
        <f>"35.339645"</f>
        <v>35.339645</v>
      </c>
      <c r="R1405" t="str">
        <f>"25.117912"</f>
        <v>25.117912</v>
      </c>
      <c r="S1405" t="s">
        <v>26</v>
      </c>
    </row>
    <row r="1406" spans="1:19" x14ac:dyDescent="0.3">
      <c r="A1406" t="s">
        <v>32470</v>
      </c>
      <c r="B1406" t="s">
        <v>32491</v>
      </c>
      <c r="C1406" t="s">
        <v>32778</v>
      </c>
      <c r="D1406" t="s">
        <v>4618</v>
      </c>
      <c r="E1406" t="s">
        <v>32690</v>
      </c>
      <c r="F1406" t="s">
        <v>32690</v>
      </c>
      <c r="G1406" t="s">
        <v>32691</v>
      </c>
      <c r="H1406" t="s">
        <v>51</v>
      </c>
      <c r="I1406" t="s">
        <v>52</v>
      </c>
      <c r="J1406" t="str">
        <f>"1704010"</f>
        <v>1704010</v>
      </c>
      <c r="K1406">
        <v>2895022230</v>
      </c>
      <c r="L1406">
        <v>2895022230</v>
      </c>
      <c r="M1406" t="s">
        <v>32779</v>
      </c>
      <c r="N1406" t="s">
        <v>32780</v>
      </c>
      <c r="O1406" t="s">
        <v>32695</v>
      </c>
      <c r="P1406">
        <v>70004</v>
      </c>
      <c r="Q1406" t="str">
        <f>"35.051575"</f>
        <v>35.051575</v>
      </c>
      <c r="R1406" t="str">
        <f>"25.412631"</f>
        <v>25.412631</v>
      </c>
      <c r="S1406" t="s">
        <v>26</v>
      </c>
    </row>
    <row r="1407" spans="1:19" x14ac:dyDescent="0.3">
      <c r="A1407" t="s">
        <v>32470</v>
      </c>
      <c r="B1407" t="s">
        <v>32491</v>
      </c>
      <c r="C1407" t="s">
        <v>32781</v>
      </c>
      <c r="D1407" t="s">
        <v>4618</v>
      </c>
      <c r="E1407" t="s">
        <v>4618</v>
      </c>
      <c r="F1407" t="s">
        <v>4618</v>
      </c>
      <c r="G1407" t="s">
        <v>32537</v>
      </c>
      <c r="H1407" t="s">
        <v>51</v>
      </c>
      <c r="I1407" t="s">
        <v>52</v>
      </c>
      <c r="J1407" t="str">
        <f>"1701020"</f>
        <v>1701020</v>
      </c>
      <c r="K1407">
        <v>2810252111</v>
      </c>
      <c r="L1407">
        <v>2810252109</v>
      </c>
      <c r="M1407" t="s">
        <v>32782</v>
      </c>
      <c r="N1407" t="s">
        <v>28925</v>
      </c>
      <c r="O1407" t="s">
        <v>32783</v>
      </c>
      <c r="P1407">
        <v>71305</v>
      </c>
      <c r="Q1407" t="str">
        <f>"35.331439"</f>
        <v>35.331439</v>
      </c>
      <c r="R1407" t="str">
        <f>"25.125696"</f>
        <v>25.125696</v>
      </c>
      <c r="S1407" t="s">
        <v>26</v>
      </c>
    </row>
    <row r="1408" spans="1:19" x14ac:dyDescent="0.3">
      <c r="A1408" t="s">
        <v>32470</v>
      </c>
      <c r="B1408" t="s">
        <v>32491</v>
      </c>
      <c r="C1408" t="s">
        <v>32784</v>
      </c>
      <c r="D1408" t="s">
        <v>4618</v>
      </c>
      <c r="E1408" t="s">
        <v>32584</v>
      </c>
      <c r="F1408" t="s">
        <v>32616</v>
      </c>
      <c r="G1408" t="s">
        <v>32617</v>
      </c>
      <c r="H1408" t="s">
        <v>51</v>
      </c>
      <c r="I1408" t="s">
        <v>52</v>
      </c>
      <c r="J1408" t="str">
        <f>"1707010"</f>
        <v>1707010</v>
      </c>
      <c r="K1408">
        <v>2892041211</v>
      </c>
      <c r="L1408">
        <v>2892041211</v>
      </c>
      <c r="M1408" t="s">
        <v>32785</v>
      </c>
      <c r="N1408" t="s">
        <v>32621</v>
      </c>
      <c r="O1408" t="s">
        <v>32786</v>
      </c>
      <c r="P1408">
        <v>70400</v>
      </c>
      <c r="Q1408" t="str">
        <f>"35.010610"</f>
        <v>35.010610</v>
      </c>
      <c r="R1408" t="str">
        <f>"24.865016"</f>
        <v>24.865016</v>
      </c>
      <c r="S1408" t="s">
        <v>26</v>
      </c>
    </row>
    <row r="1409" spans="1:19" x14ac:dyDescent="0.3">
      <c r="A1409" t="s">
        <v>32470</v>
      </c>
      <c r="B1409" t="s">
        <v>32491</v>
      </c>
      <c r="C1409" t="s">
        <v>32787</v>
      </c>
      <c r="D1409" t="s">
        <v>4618</v>
      </c>
      <c r="E1409" t="s">
        <v>4618</v>
      </c>
      <c r="F1409" t="s">
        <v>4618</v>
      </c>
      <c r="G1409" t="s">
        <v>32514</v>
      </c>
      <c r="H1409" t="s">
        <v>51</v>
      </c>
      <c r="I1409" t="s">
        <v>52</v>
      </c>
      <c r="J1409" t="str">
        <f>"1701052"</f>
        <v>1701052</v>
      </c>
      <c r="K1409">
        <v>2810252514</v>
      </c>
      <c r="L1409">
        <v>2810318372</v>
      </c>
      <c r="M1409" t="s">
        <v>32788</v>
      </c>
      <c r="N1409" t="s">
        <v>28925</v>
      </c>
      <c r="O1409" t="s">
        <v>32789</v>
      </c>
      <c r="P1409">
        <v>71303</v>
      </c>
      <c r="Q1409" t="str">
        <f>"35.333722"</f>
        <v>35.333722</v>
      </c>
      <c r="R1409" t="str">
        <f>"25.110010"</f>
        <v>25.110010</v>
      </c>
      <c r="S1409" t="s">
        <v>26</v>
      </c>
    </row>
    <row r="1410" spans="1:19" x14ac:dyDescent="0.3">
      <c r="A1410" t="s">
        <v>32470</v>
      </c>
      <c r="B1410" t="s">
        <v>32491</v>
      </c>
      <c r="C1410" t="s">
        <v>32790</v>
      </c>
      <c r="D1410" t="s">
        <v>4618</v>
      </c>
      <c r="E1410" t="s">
        <v>4618</v>
      </c>
      <c r="F1410" t="s">
        <v>4618</v>
      </c>
      <c r="G1410" t="s">
        <v>32537</v>
      </c>
      <c r="H1410" t="s">
        <v>51</v>
      </c>
      <c r="I1410" t="s">
        <v>52</v>
      </c>
      <c r="J1410" t="str">
        <f>"1701041"</f>
        <v>1701041</v>
      </c>
      <c r="K1410">
        <v>2810327052</v>
      </c>
      <c r="L1410">
        <v>2810239185</v>
      </c>
      <c r="M1410" t="s">
        <v>32791</v>
      </c>
      <c r="N1410" t="s">
        <v>32792</v>
      </c>
      <c r="O1410" t="s">
        <v>32793</v>
      </c>
      <c r="P1410">
        <v>71409</v>
      </c>
      <c r="Q1410" t="str">
        <f>"35.311855"</f>
        <v>35.311855</v>
      </c>
      <c r="R1410" t="str">
        <f>"25.137228"</f>
        <v>25.137228</v>
      </c>
      <c r="S1410" t="s">
        <v>26</v>
      </c>
    </row>
    <row r="1411" spans="1:19" x14ac:dyDescent="0.3">
      <c r="A1411" t="s">
        <v>32470</v>
      </c>
      <c r="B1411" t="s">
        <v>32491</v>
      </c>
      <c r="C1411" t="s">
        <v>32795</v>
      </c>
      <c r="D1411" t="s">
        <v>4618</v>
      </c>
      <c r="E1411" t="s">
        <v>32549</v>
      </c>
      <c r="F1411" t="s">
        <v>32794</v>
      </c>
      <c r="G1411" t="s">
        <v>32794</v>
      </c>
      <c r="H1411" t="s">
        <v>51</v>
      </c>
      <c r="I1411" t="s">
        <v>52</v>
      </c>
      <c r="J1411" t="str">
        <f>"1724010"</f>
        <v>1724010</v>
      </c>
      <c r="K1411">
        <v>2891041322</v>
      </c>
      <c r="L1411">
        <v>2891041322</v>
      </c>
      <c r="M1411" t="s">
        <v>32796</v>
      </c>
      <c r="N1411" t="s">
        <v>32797</v>
      </c>
      <c r="O1411" t="s">
        <v>32797</v>
      </c>
      <c r="P1411">
        <v>70006</v>
      </c>
      <c r="Q1411" t="str">
        <f>"35.187826"</f>
        <v>35.187826</v>
      </c>
      <c r="R1411" t="str">
        <f>"25.281133"</f>
        <v>25.281133</v>
      </c>
      <c r="S1411" t="s">
        <v>26</v>
      </c>
    </row>
    <row r="1412" spans="1:19" x14ac:dyDescent="0.3">
      <c r="A1412" t="s">
        <v>32470</v>
      </c>
      <c r="B1412" t="s">
        <v>32491</v>
      </c>
      <c r="C1412" t="s">
        <v>32799</v>
      </c>
      <c r="D1412" t="s">
        <v>4618</v>
      </c>
      <c r="E1412" t="s">
        <v>4618</v>
      </c>
      <c r="F1412" t="s">
        <v>4618</v>
      </c>
      <c r="G1412" t="s">
        <v>32514</v>
      </c>
      <c r="H1412" t="s">
        <v>51</v>
      </c>
      <c r="I1412" t="s">
        <v>52</v>
      </c>
      <c r="J1412" t="str">
        <f>"1701040"</f>
        <v>1701040</v>
      </c>
      <c r="K1412">
        <v>2810252459</v>
      </c>
      <c r="L1412">
        <v>2810259015</v>
      </c>
      <c r="M1412" t="s">
        <v>32800</v>
      </c>
      <c r="N1412" t="s">
        <v>28925</v>
      </c>
      <c r="O1412" t="s">
        <v>32582</v>
      </c>
      <c r="P1412">
        <v>71305</v>
      </c>
      <c r="Q1412" t="str">
        <f>"35.331127"</f>
        <v>35.331127</v>
      </c>
      <c r="R1412" t="str">
        <f>"25.122011"</f>
        <v>25.122011</v>
      </c>
      <c r="S1412" t="s">
        <v>26</v>
      </c>
    </row>
    <row r="1413" spans="1:19" x14ac:dyDescent="0.3">
      <c r="A1413" t="s">
        <v>32470</v>
      </c>
      <c r="B1413" t="s">
        <v>32491</v>
      </c>
      <c r="C1413" t="s">
        <v>32802</v>
      </c>
      <c r="D1413" t="s">
        <v>4618</v>
      </c>
      <c r="E1413" t="s">
        <v>32584</v>
      </c>
      <c r="F1413" t="s">
        <v>32801</v>
      </c>
      <c r="G1413" t="s">
        <v>32801</v>
      </c>
      <c r="H1413" t="s">
        <v>51</v>
      </c>
      <c r="I1413" t="s">
        <v>52</v>
      </c>
      <c r="J1413" t="str">
        <f>"1714010"</f>
        <v>1714010</v>
      </c>
      <c r="K1413">
        <v>2894031333</v>
      </c>
      <c r="L1413">
        <v>2894031333</v>
      </c>
      <c r="M1413" t="s">
        <v>32803</v>
      </c>
      <c r="N1413" t="s">
        <v>32804</v>
      </c>
      <c r="O1413" t="s">
        <v>32804</v>
      </c>
      <c r="P1413">
        <v>70002</v>
      </c>
      <c r="Q1413" t="str">
        <f>"35.127589"</f>
        <v>35.127589</v>
      </c>
      <c r="R1413" t="str">
        <f>"24.900029"</f>
        <v>24.900029</v>
      </c>
      <c r="S1413" t="s">
        <v>26</v>
      </c>
    </row>
    <row r="1414" spans="1:19" x14ac:dyDescent="0.3">
      <c r="A1414" t="s">
        <v>32470</v>
      </c>
      <c r="B1414" t="s">
        <v>32491</v>
      </c>
      <c r="C1414" t="s">
        <v>32806</v>
      </c>
      <c r="D1414" t="s">
        <v>4618</v>
      </c>
      <c r="E1414" t="s">
        <v>4618</v>
      </c>
      <c r="F1414" t="s">
        <v>4618</v>
      </c>
      <c r="G1414" t="s">
        <v>32754</v>
      </c>
      <c r="H1414" t="s">
        <v>51</v>
      </c>
      <c r="I1414" t="s">
        <v>52</v>
      </c>
      <c r="J1414" t="str">
        <f>"1701056"</f>
        <v>1701056</v>
      </c>
      <c r="K1414">
        <v>2810245445</v>
      </c>
      <c r="L1414">
        <v>2810300249</v>
      </c>
      <c r="M1414" t="s">
        <v>32807</v>
      </c>
      <c r="N1414" t="s">
        <v>28925</v>
      </c>
      <c r="O1414" t="s">
        <v>32808</v>
      </c>
      <c r="P1414">
        <v>71307</v>
      </c>
      <c r="Q1414" t="str">
        <f>"35.335856"</f>
        <v>35.335856</v>
      </c>
      <c r="R1414" t="str">
        <f>"25.150266"</f>
        <v>25.150266</v>
      </c>
      <c r="S1414" t="s">
        <v>26</v>
      </c>
    </row>
    <row r="1415" spans="1:19" x14ac:dyDescent="0.3">
      <c r="A1415" t="s">
        <v>32470</v>
      </c>
      <c r="B1415" t="s">
        <v>32491</v>
      </c>
      <c r="C1415" t="s">
        <v>32810</v>
      </c>
      <c r="D1415" t="s">
        <v>4618</v>
      </c>
      <c r="E1415" t="s">
        <v>4618</v>
      </c>
      <c r="F1415" t="s">
        <v>4618</v>
      </c>
      <c r="G1415" t="s">
        <v>32471</v>
      </c>
      <c r="H1415" t="s">
        <v>51</v>
      </c>
      <c r="I1415" t="s">
        <v>184</v>
      </c>
      <c r="J1415" t="str">
        <f>"1701060"</f>
        <v>1701060</v>
      </c>
      <c r="K1415">
        <v>2810223424</v>
      </c>
      <c r="L1415">
        <v>2810223424</v>
      </c>
      <c r="M1415" t="s">
        <v>32811</v>
      </c>
      <c r="N1415" t="s">
        <v>28925</v>
      </c>
      <c r="O1415" t="s">
        <v>32499</v>
      </c>
      <c r="P1415">
        <v>71306</v>
      </c>
      <c r="Q1415" t="str">
        <f>"35.333040"</f>
        <v>35.333040</v>
      </c>
      <c r="R1415" t="str">
        <f>"25.138841"</f>
        <v>25.138841</v>
      </c>
      <c r="S1415" t="s">
        <v>26</v>
      </c>
    </row>
    <row r="1416" spans="1:19" x14ac:dyDescent="0.3">
      <c r="A1416" t="s">
        <v>32470</v>
      </c>
      <c r="B1416" t="s">
        <v>32491</v>
      </c>
      <c r="C1416" t="s">
        <v>32812</v>
      </c>
      <c r="D1416" t="s">
        <v>4618</v>
      </c>
      <c r="E1416" t="s">
        <v>32508</v>
      </c>
      <c r="F1416" t="s">
        <v>32519</v>
      </c>
      <c r="G1416" t="s">
        <v>32519</v>
      </c>
      <c r="H1416" t="s">
        <v>51</v>
      </c>
      <c r="I1416" t="s">
        <v>190</v>
      </c>
      <c r="J1416" t="str">
        <f>"1701015"</f>
        <v>1701015</v>
      </c>
      <c r="K1416">
        <v>2810761696</v>
      </c>
      <c r="L1416">
        <v>2810761696</v>
      </c>
      <c r="M1416" t="s">
        <v>32813</v>
      </c>
      <c r="N1416" t="s">
        <v>32814</v>
      </c>
      <c r="O1416" t="s">
        <v>32815</v>
      </c>
      <c r="P1416">
        <v>71500</v>
      </c>
      <c r="Q1416" t="str">
        <f>"35.327705"</f>
        <v>35.327705</v>
      </c>
      <c r="R1416" t="str">
        <f>"25.283541"</f>
        <v>25.283541</v>
      </c>
      <c r="S1416" t="s">
        <v>26</v>
      </c>
    </row>
    <row r="1417" spans="1:19" x14ac:dyDescent="0.3">
      <c r="A1417" t="s">
        <v>32470</v>
      </c>
      <c r="B1417" t="s">
        <v>32491</v>
      </c>
      <c r="C1417" t="s">
        <v>32816</v>
      </c>
      <c r="D1417" t="s">
        <v>4618</v>
      </c>
      <c r="E1417" t="s">
        <v>32629</v>
      </c>
      <c r="F1417" t="s">
        <v>5162</v>
      </c>
      <c r="G1417" t="s">
        <v>5162</v>
      </c>
      <c r="H1417" t="s">
        <v>51</v>
      </c>
      <c r="I1417" t="s">
        <v>52</v>
      </c>
      <c r="J1417" t="str">
        <f>"1709010"</f>
        <v>1709010</v>
      </c>
      <c r="K1417">
        <v>2894022227</v>
      </c>
      <c r="L1417">
        <v>2894022227</v>
      </c>
      <c r="M1417" t="s">
        <v>32817</v>
      </c>
      <c r="O1417" t="s">
        <v>32700</v>
      </c>
      <c r="P1417">
        <v>70003</v>
      </c>
      <c r="Q1417" t="str">
        <f>"35.139285"</f>
        <v>35.139285</v>
      </c>
      <c r="R1417" t="str">
        <f>"25.001129"</f>
        <v>25.001129</v>
      </c>
      <c r="S1417" t="s">
        <v>26</v>
      </c>
    </row>
    <row r="1418" spans="1:19" x14ac:dyDescent="0.3">
      <c r="A1418" t="s">
        <v>32470</v>
      </c>
      <c r="B1418" t="s">
        <v>32491</v>
      </c>
      <c r="C1418" t="s">
        <v>32819</v>
      </c>
      <c r="D1418" t="s">
        <v>4618</v>
      </c>
      <c r="E1418" t="s">
        <v>32629</v>
      </c>
      <c r="F1418" t="s">
        <v>32629</v>
      </c>
      <c r="G1418" t="s">
        <v>32818</v>
      </c>
      <c r="H1418" t="s">
        <v>51</v>
      </c>
      <c r="I1418" t="s">
        <v>52</v>
      </c>
      <c r="J1418" t="str">
        <f>"1720010"</f>
        <v>1720010</v>
      </c>
      <c r="K1418">
        <v>2893034185</v>
      </c>
      <c r="L1418">
        <v>2893034185</v>
      </c>
      <c r="M1418" t="s">
        <v>32820</v>
      </c>
      <c r="N1418" t="s">
        <v>32821</v>
      </c>
      <c r="O1418" t="s">
        <v>32822</v>
      </c>
      <c r="P1418">
        <v>70012</v>
      </c>
      <c r="Q1418" t="str">
        <f>"35.009544"</f>
        <v>35.009544</v>
      </c>
      <c r="R1418" t="str">
        <f>"24.996222"</f>
        <v>24.996222</v>
      </c>
      <c r="S1418" t="s">
        <v>26</v>
      </c>
    </row>
    <row r="1419" spans="1:19" x14ac:dyDescent="0.3">
      <c r="A1419" t="s">
        <v>32470</v>
      </c>
      <c r="B1419" t="s">
        <v>32491</v>
      </c>
      <c r="C1419" t="s">
        <v>32826</v>
      </c>
      <c r="D1419" t="s">
        <v>4618</v>
      </c>
      <c r="E1419" t="s">
        <v>4618</v>
      </c>
      <c r="F1419" t="s">
        <v>32824</v>
      </c>
      <c r="G1419" t="s">
        <v>32825</v>
      </c>
      <c r="H1419" t="s">
        <v>51</v>
      </c>
      <c r="I1419" t="s">
        <v>52</v>
      </c>
      <c r="J1419" t="str">
        <f>"1716010"</f>
        <v>1716010</v>
      </c>
      <c r="K1419">
        <v>2810791374</v>
      </c>
      <c r="L1419">
        <v>2810791370</v>
      </c>
      <c r="M1419" t="s">
        <v>32827</v>
      </c>
      <c r="N1419" t="s">
        <v>32825</v>
      </c>
      <c r="O1419" t="s">
        <v>32828</v>
      </c>
      <c r="P1419">
        <v>70003</v>
      </c>
      <c r="Q1419" t="str">
        <f>"35.198645"</f>
        <v>35.198645</v>
      </c>
      <c r="R1419" t="str">
        <f>"25.038666"</f>
        <v>25.038666</v>
      </c>
      <c r="S1419" t="s">
        <v>26</v>
      </c>
    </row>
    <row r="1420" spans="1:19" x14ac:dyDescent="0.3">
      <c r="A1420" t="s">
        <v>32470</v>
      </c>
      <c r="B1420" t="s">
        <v>32491</v>
      </c>
      <c r="C1420" t="s">
        <v>32832</v>
      </c>
      <c r="D1420" t="s">
        <v>4618</v>
      </c>
      <c r="E1420" t="s">
        <v>32529</v>
      </c>
      <c r="F1420" t="s">
        <v>32831</v>
      </c>
      <c r="G1420" t="s">
        <v>32831</v>
      </c>
      <c r="H1420" t="s">
        <v>51</v>
      </c>
      <c r="I1420" t="s">
        <v>52</v>
      </c>
      <c r="J1420" t="str">
        <f>"1726010"</f>
        <v>1726010</v>
      </c>
      <c r="K1420">
        <v>2810831228</v>
      </c>
      <c r="L1420">
        <v>2810831228</v>
      </c>
      <c r="M1420" t="s">
        <v>32833</v>
      </c>
      <c r="N1420" t="s">
        <v>32834</v>
      </c>
      <c r="O1420" t="s">
        <v>32834</v>
      </c>
      <c r="P1420">
        <v>71500</v>
      </c>
      <c r="Q1420" t="str">
        <f>"35.304775"</f>
        <v>35.304775</v>
      </c>
      <c r="R1420" t="str">
        <f>"25.017868"</f>
        <v>25.017868</v>
      </c>
      <c r="S1420" t="s">
        <v>26</v>
      </c>
    </row>
    <row r="1421" spans="1:19" x14ac:dyDescent="0.3">
      <c r="A1421" t="s">
        <v>32470</v>
      </c>
      <c r="B1421" t="s">
        <v>32491</v>
      </c>
      <c r="C1421" t="s">
        <v>32836</v>
      </c>
      <c r="D1421" t="s">
        <v>4618</v>
      </c>
      <c r="E1421" t="s">
        <v>32549</v>
      </c>
      <c r="F1421" t="s">
        <v>32669</v>
      </c>
      <c r="G1421" t="s">
        <v>32669</v>
      </c>
      <c r="H1421" t="s">
        <v>51</v>
      </c>
      <c r="I1421" t="s">
        <v>52</v>
      </c>
      <c r="J1421" t="str">
        <f>"1705010"</f>
        <v>1705010</v>
      </c>
      <c r="K1421">
        <v>2891031232</v>
      </c>
      <c r="L1421">
        <v>2891031232</v>
      </c>
      <c r="M1421" t="s">
        <v>32837</v>
      </c>
      <c r="N1421" t="s">
        <v>32838</v>
      </c>
      <c r="O1421" t="s">
        <v>32839</v>
      </c>
      <c r="P1421">
        <v>70006</v>
      </c>
      <c r="Q1421" t="str">
        <f>"35.206553"</f>
        <v>35.206553</v>
      </c>
      <c r="R1421" t="str">
        <f>"25.340406"</f>
        <v>25.340406</v>
      </c>
      <c r="S1421" t="s">
        <v>26</v>
      </c>
    </row>
    <row r="1422" spans="1:19" x14ac:dyDescent="0.3">
      <c r="A1422" t="s">
        <v>32470</v>
      </c>
      <c r="B1422" t="s">
        <v>32491</v>
      </c>
      <c r="C1422" t="s">
        <v>32841</v>
      </c>
      <c r="D1422" t="s">
        <v>4618</v>
      </c>
      <c r="E1422" t="s">
        <v>32501</v>
      </c>
      <c r="F1422" t="s">
        <v>32571</v>
      </c>
      <c r="G1422" t="s">
        <v>1210</v>
      </c>
      <c r="H1422" t="s">
        <v>51</v>
      </c>
      <c r="I1422" t="s">
        <v>52</v>
      </c>
      <c r="J1422" t="str">
        <f>"1725030"</f>
        <v>1725030</v>
      </c>
      <c r="K1422">
        <v>2893022872</v>
      </c>
      <c r="L1422">
        <v>2893022872</v>
      </c>
      <c r="M1422" t="s">
        <v>32842</v>
      </c>
      <c r="N1422" t="s">
        <v>32843</v>
      </c>
      <c r="O1422" t="s">
        <v>32843</v>
      </c>
      <c r="P1422">
        <v>70010</v>
      </c>
      <c r="Q1422" t="str">
        <f>"35.007972"</f>
        <v>35.007972</v>
      </c>
      <c r="R1422" t="str">
        <f>"25.151380"</f>
        <v>25.151380</v>
      </c>
      <c r="S1422" t="s">
        <v>26</v>
      </c>
    </row>
    <row r="1423" spans="1:19" x14ac:dyDescent="0.3">
      <c r="A1423" t="s">
        <v>32470</v>
      </c>
      <c r="B1423" t="s">
        <v>32491</v>
      </c>
      <c r="C1423" t="s">
        <v>32844</v>
      </c>
      <c r="D1423" t="s">
        <v>4618</v>
      </c>
      <c r="E1423" t="s">
        <v>32549</v>
      </c>
      <c r="F1423" t="s">
        <v>32550</v>
      </c>
      <c r="G1423" t="s">
        <v>32550</v>
      </c>
      <c r="H1423" t="s">
        <v>51</v>
      </c>
      <c r="I1423" t="s">
        <v>52</v>
      </c>
      <c r="J1423" t="str">
        <f>"1702010"</f>
        <v>1702010</v>
      </c>
      <c r="K1423">
        <v>2891022228</v>
      </c>
      <c r="L1423">
        <v>2891023612</v>
      </c>
      <c r="M1423" t="s">
        <v>32845</v>
      </c>
      <c r="N1423" t="s">
        <v>32553</v>
      </c>
      <c r="O1423" t="s">
        <v>32846</v>
      </c>
      <c r="P1423">
        <v>70300</v>
      </c>
      <c r="Q1423" t="str">
        <f>"35.148713"</f>
        <v>35.148713</v>
      </c>
      <c r="R1423" t="str">
        <f>"25.268048"</f>
        <v>25.268048</v>
      </c>
      <c r="S1423" t="s">
        <v>26</v>
      </c>
    </row>
    <row r="1424" spans="1:19" x14ac:dyDescent="0.3">
      <c r="A1424" t="s">
        <v>32470</v>
      </c>
      <c r="B1424" t="s">
        <v>32491</v>
      </c>
      <c r="C1424" t="s">
        <v>32847</v>
      </c>
      <c r="D1424" t="s">
        <v>4618</v>
      </c>
      <c r="E1424" t="s">
        <v>32501</v>
      </c>
      <c r="F1424" t="s">
        <v>32596</v>
      </c>
      <c r="G1424" t="s">
        <v>32597</v>
      </c>
      <c r="H1424" t="s">
        <v>51</v>
      </c>
      <c r="I1424" t="s">
        <v>52</v>
      </c>
      <c r="J1424" t="str">
        <f>"1711010"</f>
        <v>1711010</v>
      </c>
      <c r="K1424">
        <v>2810741301</v>
      </c>
      <c r="L1424">
        <v>2810741301</v>
      </c>
      <c r="M1424" t="s">
        <v>32848</v>
      </c>
      <c r="N1424" t="s">
        <v>32849</v>
      </c>
      <c r="O1424" t="s">
        <v>32849</v>
      </c>
      <c r="P1424">
        <v>70300</v>
      </c>
      <c r="Q1424" t="str">
        <f>"35.190647"</f>
        <v>35.190647</v>
      </c>
      <c r="R1424" t="str">
        <f>"25.199642"</f>
        <v>25.199642</v>
      </c>
      <c r="S1424" t="s">
        <v>26</v>
      </c>
    </row>
    <row r="1425" spans="1:19" x14ac:dyDescent="0.3">
      <c r="A1425" t="s">
        <v>32470</v>
      </c>
      <c r="B1425" t="s">
        <v>32491</v>
      </c>
      <c r="C1425" t="s">
        <v>32850</v>
      </c>
      <c r="D1425" t="s">
        <v>4618</v>
      </c>
      <c r="E1425" t="s">
        <v>4618</v>
      </c>
      <c r="F1425" t="s">
        <v>4618</v>
      </c>
      <c r="G1425" t="s">
        <v>32537</v>
      </c>
      <c r="H1425" t="s">
        <v>51</v>
      </c>
      <c r="I1425" t="s">
        <v>52</v>
      </c>
      <c r="J1425" t="str">
        <f>"1701051"</f>
        <v>1701051</v>
      </c>
      <c r="K1425">
        <v>2810325815</v>
      </c>
      <c r="L1425">
        <v>2810234022</v>
      </c>
      <c r="M1425" t="s">
        <v>32851</v>
      </c>
      <c r="N1425" t="s">
        <v>4741</v>
      </c>
      <c r="O1425" t="s">
        <v>32852</v>
      </c>
      <c r="P1425">
        <v>71409</v>
      </c>
      <c r="Q1425" t="str">
        <f>"35.307585"</f>
        <v>35.307585</v>
      </c>
      <c r="R1425" t="str">
        <f>"25.148360"</f>
        <v>25.148360</v>
      </c>
      <c r="S1425" t="s">
        <v>26</v>
      </c>
    </row>
    <row r="1426" spans="1:19" x14ac:dyDescent="0.3">
      <c r="A1426" t="s">
        <v>32470</v>
      </c>
      <c r="B1426" t="s">
        <v>32491</v>
      </c>
      <c r="C1426" t="s">
        <v>32853</v>
      </c>
      <c r="D1426" t="s">
        <v>4618</v>
      </c>
      <c r="E1426" t="s">
        <v>4618</v>
      </c>
      <c r="F1426" t="s">
        <v>4618</v>
      </c>
      <c r="G1426" t="s">
        <v>32514</v>
      </c>
      <c r="H1426" t="s">
        <v>51</v>
      </c>
      <c r="I1426" t="s">
        <v>52</v>
      </c>
      <c r="J1426" t="str">
        <f>"1701053"</f>
        <v>1701053</v>
      </c>
      <c r="K1426">
        <v>2810251434</v>
      </c>
      <c r="L1426">
        <v>2810317542</v>
      </c>
      <c r="M1426" t="s">
        <v>32854</v>
      </c>
      <c r="N1426" t="s">
        <v>4618</v>
      </c>
      <c r="O1426" t="s">
        <v>32638</v>
      </c>
      <c r="P1426">
        <v>71304</v>
      </c>
      <c r="Q1426" t="str">
        <f>"35.330931"</f>
        <v>35.330931</v>
      </c>
      <c r="R1426" t="str">
        <f>"25.117642"</f>
        <v>25.117642</v>
      </c>
      <c r="S1426" t="s">
        <v>26</v>
      </c>
    </row>
    <row r="1427" spans="1:19" x14ac:dyDescent="0.3">
      <c r="A1427" t="s">
        <v>32470</v>
      </c>
      <c r="B1427" t="s">
        <v>32491</v>
      </c>
      <c r="C1427" t="s">
        <v>32858</v>
      </c>
      <c r="D1427" t="s">
        <v>4618</v>
      </c>
      <c r="E1427" t="s">
        <v>32584</v>
      </c>
      <c r="F1427" t="s">
        <v>32616</v>
      </c>
      <c r="G1427" t="s">
        <v>32616</v>
      </c>
      <c r="H1427" t="s">
        <v>51</v>
      </c>
      <c r="I1427" t="s">
        <v>52</v>
      </c>
      <c r="J1427" t="str">
        <f>"1706010"</f>
        <v>1706010</v>
      </c>
      <c r="K1427">
        <v>2892022286</v>
      </c>
      <c r="L1427">
        <v>2892022072</v>
      </c>
      <c r="M1427" t="s">
        <v>32859</v>
      </c>
      <c r="N1427" t="s">
        <v>32860</v>
      </c>
      <c r="O1427" t="s">
        <v>32861</v>
      </c>
      <c r="P1427">
        <v>70400</v>
      </c>
      <c r="Q1427" t="str">
        <f>"35.053472"</f>
        <v>35.053472</v>
      </c>
      <c r="R1427" t="str">
        <f>"24.868742"</f>
        <v>24.868742</v>
      </c>
      <c r="S1427" t="s">
        <v>26</v>
      </c>
    </row>
    <row r="1428" spans="1:19" x14ac:dyDescent="0.3">
      <c r="A1428" t="s">
        <v>32470</v>
      </c>
      <c r="B1428" t="s">
        <v>32491</v>
      </c>
      <c r="C1428" t="s">
        <v>32862</v>
      </c>
      <c r="D1428" t="s">
        <v>4618</v>
      </c>
      <c r="E1428" t="s">
        <v>4618</v>
      </c>
      <c r="F1428" t="s">
        <v>4618</v>
      </c>
      <c r="G1428" t="s">
        <v>32514</v>
      </c>
      <c r="H1428" t="s">
        <v>51</v>
      </c>
      <c r="I1428" t="s">
        <v>52</v>
      </c>
      <c r="J1428" t="str">
        <f>"1701054"</f>
        <v>1701054</v>
      </c>
      <c r="K1428">
        <v>2810252418</v>
      </c>
      <c r="L1428">
        <v>2810262999</v>
      </c>
      <c r="M1428" t="s">
        <v>32863</v>
      </c>
      <c r="N1428" t="s">
        <v>32864</v>
      </c>
      <c r="O1428" t="s">
        <v>32865</v>
      </c>
      <c r="P1428">
        <v>71304</v>
      </c>
      <c r="Q1428" t="str">
        <f>"35.329292"</f>
        <v>35.329292</v>
      </c>
      <c r="R1428" t="str">
        <f>"25.105853"</f>
        <v>25.105853</v>
      </c>
      <c r="S1428" t="s">
        <v>26</v>
      </c>
    </row>
    <row r="1429" spans="1:19" x14ac:dyDescent="0.3">
      <c r="A1429" t="s">
        <v>32470</v>
      </c>
      <c r="B1429" t="s">
        <v>32491</v>
      </c>
      <c r="C1429" t="s">
        <v>32867</v>
      </c>
      <c r="D1429" t="s">
        <v>4618</v>
      </c>
      <c r="E1429" t="s">
        <v>32508</v>
      </c>
      <c r="F1429" t="s">
        <v>30112</v>
      </c>
      <c r="G1429" t="s">
        <v>30112</v>
      </c>
      <c r="H1429" t="s">
        <v>51</v>
      </c>
      <c r="I1429" t="s">
        <v>52</v>
      </c>
      <c r="J1429" t="str">
        <f>"1701070"</f>
        <v>1701070</v>
      </c>
      <c r="K1429">
        <v>2810771241</v>
      </c>
      <c r="L1429">
        <v>2810771241</v>
      </c>
      <c r="M1429" t="s">
        <v>32868</v>
      </c>
      <c r="O1429" t="s">
        <v>32869</v>
      </c>
      <c r="P1429">
        <v>70008</v>
      </c>
      <c r="Q1429" t="str">
        <f>"35.260394"</f>
        <v>35.260394</v>
      </c>
      <c r="R1429" t="str">
        <f>"25.233594"</f>
        <v>25.233594</v>
      </c>
      <c r="S1429" t="s">
        <v>26</v>
      </c>
    </row>
    <row r="1430" spans="1:19" x14ac:dyDescent="0.3">
      <c r="A1430" t="s">
        <v>32470</v>
      </c>
      <c r="B1430" t="s">
        <v>32491</v>
      </c>
      <c r="C1430" t="s">
        <v>32870</v>
      </c>
      <c r="D1430" t="s">
        <v>4618</v>
      </c>
      <c r="E1430" t="s">
        <v>4618</v>
      </c>
      <c r="F1430" t="s">
        <v>4618</v>
      </c>
      <c r="G1430" t="s">
        <v>32537</v>
      </c>
      <c r="H1430" t="s">
        <v>51</v>
      </c>
      <c r="I1430" t="s">
        <v>3951</v>
      </c>
      <c r="J1430" t="str">
        <f>"1701002"</f>
        <v>1701002</v>
      </c>
      <c r="K1430">
        <v>2810213569</v>
      </c>
      <c r="L1430">
        <v>2810213514</v>
      </c>
      <c r="M1430" t="s">
        <v>32871</v>
      </c>
      <c r="N1430" t="s">
        <v>28925</v>
      </c>
      <c r="O1430" t="s">
        <v>32684</v>
      </c>
      <c r="P1430">
        <v>71409</v>
      </c>
      <c r="Q1430" t="str">
        <f>"35.313603"</f>
        <v>35.313603</v>
      </c>
      <c r="R1430" t="str">
        <f>"25.152255"</f>
        <v>25.152255</v>
      </c>
      <c r="S1430" t="s">
        <v>26</v>
      </c>
    </row>
    <row r="1431" spans="1:19" x14ac:dyDescent="0.3">
      <c r="A1431" t="s">
        <v>32470</v>
      </c>
      <c r="B1431" t="s">
        <v>32491</v>
      </c>
      <c r="C1431" t="s">
        <v>32872</v>
      </c>
      <c r="D1431" t="s">
        <v>4618</v>
      </c>
      <c r="E1431" t="s">
        <v>4618</v>
      </c>
      <c r="F1431" t="s">
        <v>4618</v>
      </c>
      <c r="G1431" t="s">
        <v>32471</v>
      </c>
      <c r="H1431" t="s">
        <v>51</v>
      </c>
      <c r="I1431" t="s">
        <v>52</v>
      </c>
      <c r="J1431" t="str">
        <f>"1701050"</f>
        <v>1701050</v>
      </c>
      <c r="K1431">
        <v>2810220729</v>
      </c>
      <c r="L1431">
        <v>2810301294</v>
      </c>
      <c r="M1431" t="s">
        <v>32873</v>
      </c>
      <c r="N1431" t="s">
        <v>28925</v>
      </c>
      <c r="O1431" t="s">
        <v>32874</v>
      </c>
      <c r="P1431">
        <v>71202</v>
      </c>
      <c r="Q1431" t="str">
        <f>"35.340343"</f>
        <v>35.340343</v>
      </c>
      <c r="R1431" t="str">
        <f>"25.139281"</f>
        <v>25.139281</v>
      </c>
      <c r="S1431" t="s">
        <v>26</v>
      </c>
    </row>
    <row r="1432" spans="1:19" x14ac:dyDescent="0.3">
      <c r="A1432" t="s">
        <v>32470</v>
      </c>
      <c r="B1432" t="s">
        <v>32491</v>
      </c>
      <c r="C1432" t="s">
        <v>32876</v>
      </c>
      <c r="D1432" t="s">
        <v>4618</v>
      </c>
      <c r="E1432" t="s">
        <v>32629</v>
      </c>
      <c r="F1432" t="s">
        <v>32629</v>
      </c>
      <c r="G1432" t="s">
        <v>32702</v>
      </c>
      <c r="H1432" t="s">
        <v>51</v>
      </c>
      <c r="I1432" t="s">
        <v>52</v>
      </c>
      <c r="J1432" t="str">
        <f>"1721010"</f>
        <v>1721010</v>
      </c>
      <c r="K1432">
        <v>2892031207</v>
      </c>
      <c r="L1432">
        <v>2892031749</v>
      </c>
      <c r="M1432" t="s">
        <v>32877</v>
      </c>
      <c r="N1432" t="s">
        <v>32878</v>
      </c>
      <c r="O1432" t="s">
        <v>32879</v>
      </c>
      <c r="P1432">
        <v>70012</v>
      </c>
      <c r="Q1432" t="str">
        <f>"35.060000"</f>
        <v>35.060000</v>
      </c>
      <c r="R1432" t="str">
        <f>"24.960000"</f>
        <v>24.960000</v>
      </c>
      <c r="S1432" t="s">
        <v>26</v>
      </c>
    </row>
    <row r="1433" spans="1:19" x14ac:dyDescent="0.3">
      <c r="A1433" t="s">
        <v>32470</v>
      </c>
      <c r="B1433" t="s">
        <v>32491</v>
      </c>
      <c r="C1433" t="s">
        <v>32887</v>
      </c>
      <c r="D1433" t="s">
        <v>4618</v>
      </c>
      <c r="E1433" t="s">
        <v>4618</v>
      </c>
      <c r="F1433" t="s">
        <v>4618</v>
      </c>
      <c r="G1433" t="s">
        <v>32514</v>
      </c>
      <c r="H1433" t="s">
        <v>51</v>
      </c>
      <c r="I1433" t="s">
        <v>32886</v>
      </c>
      <c r="J1433" t="str">
        <f>"1501650"</f>
        <v>1501650</v>
      </c>
      <c r="K1433">
        <v>2810301780</v>
      </c>
      <c r="L1433">
        <v>2810222712</v>
      </c>
      <c r="M1433" t="s">
        <v>32888</v>
      </c>
      <c r="N1433" t="s">
        <v>4618</v>
      </c>
      <c r="O1433" t="s">
        <v>32889</v>
      </c>
      <c r="P1433">
        <v>71202</v>
      </c>
      <c r="Q1433" t="str">
        <f>"35.340158"</f>
        <v>35.340158</v>
      </c>
      <c r="R1433" t="str">
        <f>"25.127170"</f>
        <v>25.127170</v>
      </c>
      <c r="S1433" t="s">
        <v>26</v>
      </c>
    </row>
    <row r="1434" spans="1:19" x14ac:dyDescent="0.3">
      <c r="A1434" t="s">
        <v>32470</v>
      </c>
      <c r="B1434" t="s">
        <v>32491</v>
      </c>
      <c r="C1434" t="s">
        <v>32891</v>
      </c>
      <c r="D1434" t="s">
        <v>4618</v>
      </c>
      <c r="E1434" t="s">
        <v>4618</v>
      </c>
      <c r="F1434" t="s">
        <v>4618</v>
      </c>
      <c r="G1434" t="s">
        <v>32514</v>
      </c>
      <c r="H1434" t="s">
        <v>51</v>
      </c>
      <c r="I1434" t="s">
        <v>199</v>
      </c>
      <c r="J1434" t="str">
        <f>"1740060"</f>
        <v>1740060</v>
      </c>
      <c r="K1434">
        <v>2810232117</v>
      </c>
      <c r="L1434">
        <v>2810232117</v>
      </c>
      <c r="M1434" t="s">
        <v>32892</v>
      </c>
      <c r="N1434" t="s">
        <v>4618</v>
      </c>
      <c r="O1434" t="s">
        <v>32893</v>
      </c>
      <c r="P1434">
        <v>71410</v>
      </c>
      <c r="Q1434" t="str">
        <f>"35.318611"</f>
        <v>35.318611</v>
      </c>
      <c r="R1434" t="str">
        <f>"25.114602"</f>
        <v>25.114602</v>
      </c>
      <c r="S1434" t="s">
        <v>26</v>
      </c>
    </row>
    <row r="1435" spans="1:19" x14ac:dyDescent="0.3">
      <c r="A1435" t="s">
        <v>32470</v>
      </c>
      <c r="B1435" t="s">
        <v>32491</v>
      </c>
      <c r="C1435" t="s">
        <v>32895</v>
      </c>
      <c r="D1435" t="s">
        <v>4618</v>
      </c>
      <c r="E1435" t="s">
        <v>32584</v>
      </c>
      <c r="F1435" t="s">
        <v>32585</v>
      </c>
      <c r="G1435" t="s">
        <v>32585</v>
      </c>
      <c r="H1435" t="s">
        <v>51</v>
      </c>
      <c r="I1435" t="s">
        <v>4556</v>
      </c>
      <c r="J1435" t="str">
        <f>"1713015"</f>
        <v>1713015</v>
      </c>
      <c r="K1435">
        <v>2892051870</v>
      </c>
      <c r="L1435">
        <v>2892051873</v>
      </c>
      <c r="M1435" t="s">
        <v>32896</v>
      </c>
      <c r="N1435" t="s">
        <v>32897</v>
      </c>
      <c r="O1435" t="s">
        <v>32589</v>
      </c>
      <c r="P1435">
        <v>70200</v>
      </c>
      <c r="Q1435" t="str">
        <f>"35.067224"</f>
        <v>35.067224</v>
      </c>
      <c r="R1435" t="str">
        <f>"24.766467"</f>
        <v>24.766467</v>
      </c>
      <c r="S1435" t="s">
        <v>26</v>
      </c>
    </row>
    <row r="1436" spans="1:19" x14ac:dyDescent="0.3">
      <c r="A1436" t="s">
        <v>32470</v>
      </c>
      <c r="B1436" t="s">
        <v>32904</v>
      </c>
      <c r="C1436" t="s">
        <v>32906</v>
      </c>
      <c r="D1436" t="s">
        <v>32475</v>
      </c>
      <c r="E1436" t="s">
        <v>32905</v>
      </c>
      <c r="F1436" t="s">
        <v>32905</v>
      </c>
      <c r="G1436" t="s">
        <v>32905</v>
      </c>
      <c r="H1436" t="s">
        <v>51</v>
      </c>
      <c r="I1436" t="s">
        <v>52</v>
      </c>
      <c r="J1436" t="str">
        <f>"3204010"</f>
        <v>3204010</v>
      </c>
      <c r="K1436">
        <v>2843022503</v>
      </c>
      <c r="L1436">
        <v>2843022503</v>
      </c>
      <c r="M1436" t="s">
        <v>32907</v>
      </c>
      <c r="N1436" t="s">
        <v>32908</v>
      </c>
      <c r="O1436" t="s">
        <v>32909</v>
      </c>
      <c r="P1436">
        <v>72300</v>
      </c>
      <c r="Q1436" t="str">
        <f>"35.207850"</f>
        <v>35.207850</v>
      </c>
      <c r="R1436" t="str">
        <f>"26.100412"</f>
        <v>26.100412</v>
      </c>
      <c r="S1436" t="s">
        <v>26</v>
      </c>
    </row>
    <row r="1437" spans="1:19" x14ac:dyDescent="0.3">
      <c r="A1437" t="s">
        <v>32470</v>
      </c>
      <c r="B1437" t="s">
        <v>32904</v>
      </c>
      <c r="C1437" t="s">
        <v>32912</v>
      </c>
      <c r="D1437" t="s">
        <v>32475</v>
      </c>
      <c r="E1437" t="s">
        <v>32905</v>
      </c>
      <c r="F1437" t="s">
        <v>17070</v>
      </c>
      <c r="G1437" t="s">
        <v>32911</v>
      </c>
      <c r="H1437" t="s">
        <v>51</v>
      </c>
      <c r="I1437" t="s">
        <v>52</v>
      </c>
      <c r="J1437" t="str">
        <f>"3206010"</f>
        <v>3206010</v>
      </c>
      <c r="K1437">
        <v>2843031222</v>
      </c>
      <c r="L1437">
        <v>2843031222</v>
      </c>
      <c r="M1437" t="s">
        <v>32913</v>
      </c>
      <c r="N1437" t="s">
        <v>32914</v>
      </c>
      <c r="O1437" t="s">
        <v>32915</v>
      </c>
      <c r="P1437">
        <v>72059</v>
      </c>
      <c r="Q1437" t="str">
        <f>"35.080237"</f>
        <v>35.080237</v>
      </c>
      <c r="R1437" t="str">
        <f>"26.097032"</f>
        <v>26.097032</v>
      </c>
      <c r="S1437" t="s">
        <v>57</v>
      </c>
    </row>
    <row r="1438" spans="1:19" x14ac:dyDescent="0.3">
      <c r="A1438" t="s">
        <v>32470</v>
      </c>
      <c r="B1438" t="s">
        <v>32904</v>
      </c>
      <c r="C1438" t="s">
        <v>32919</v>
      </c>
      <c r="D1438" t="s">
        <v>32475</v>
      </c>
      <c r="E1438" t="s">
        <v>32917</v>
      </c>
      <c r="F1438" t="s">
        <v>32918</v>
      </c>
      <c r="G1438" t="s">
        <v>30150</v>
      </c>
      <c r="H1438" t="s">
        <v>51</v>
      </c>
      <c r="I1438" t="s">
        <v>52</v>
      </c>
      <c r="J1438" t="str">
        <f>"3210015"</f>
        <v>3210015</v>
      </c>
      <c r="K1438">
        <v>2843051800</v>
      </c>
      <c r="L1438">
        <v>2843051800</v>
      </c>
      <c r="M1438" t="s">
        <v>32920</v>
      </c>
      <c r="N1438" t="s">
        <v>32921</v>
      </c>
      <c r="O1438" t="s">
        <v>32922</v>
      </c>
      <c r="P1438">
        <v>72055</v>
      </c>
      <c r="Q1438" t="str">
        <f>"35.034159"</f>
        <v>35.034159</v>
      </c>
      <c r="R1438" t="str">
        <f>"25.929784"</f>
        <v>25.929784</v>
      </c>
      <c r="S1438" t="s">
        <v>26</v>
      </c>
    </row>
    <row r="1439" spans="1:19" x14ac:dyDescent="0.3">
      <c r="A1439" t="s">
        <v>32470</v>
      </c>
      <c r="B1439" t="s">
        <v>32904</v>
      </c>
      <c r="C1439" t="s">
        <v>32930</v>
      </c>
      <c r="D1439" t="s">
        <v>32475</v>
      </c>
      <c r="E1439" t="s">
        <v>1969</v>
      </c>
      <c r="F1439" t="s">
        <v>11666</v>
      </c>
      <c r="G1439" t="s">
        <v>25890</v>
      </c>
      <c r="H1439" t="s">
        <v>51</v>
      </c>
      <c r="I1439" t="s">
        <v>52</v>
      </c>
      <c r="J1439" t="str">
        <f>"3203010"</f>
        <v>3203010</v>
      </c>
      <c r="K1439">
        <v>2841034140</v>
      </c>
      <c r="L1439">
        <v>2841032237</v>
      </c>
      <c r="M1439" t="s">
        <v>32931</v>
      </c>
      <c r="N1439" t="s">
        <v>32932</v>
      </c>
      <c r="O1439" t="s">
        <v>32933</v>
      </c>
      <c r="P1439">
        <v>72400</v>
      </c>
      <c r="Q1439" t="str">
        <f>"35.256497"</f>
        <v>35.256497</v>
      </c>
      <c r="R1439" t="str">
        <f>"25.608637"</f>
        <v>25.608637</v>
      </c>
      <c r="S1439" t="s">
        <v>26</v>
      </c>
    </row>
    <row r="1440" spans="1:19" x14ac:dyDescent="0.3">
      <c r="A1440" t="s">
        <v>32470</v>
      </c>
      <c r="B1440" t="s">
        <v>32904</v>
      </c>
      <c r="C1440" t="s">
        <v>32963</v>
      </c>
      <c r="D1440" t="s">
        <v>32475</v>
      </c>
      <c r="E1440" t="s">
        <v>32924</v>
      </c>
      <c r="F1440" t="s">
        <v>32924</v>
      </c>
      <c r="G1440" t="s">
        <v>32925</v>
      </c>
      <c r="H1440" t="s">
        <v>51</v>
      </c>
      <c r="I1440" t="s">
        <v>52</v>
      </c>
      <c r="J1440" t="str">
        <f>"3205010"</f>
        <v>3205010</v>
      </c>
      <c r="K1440">
        <v>2844022217</v>
      </c>
      <c r="L1440">
        <v>2844022222</v>
      </c>
      <c r="M1440" t="s">
        <v>32964</v>
      </c>
      <c r="N1440" t="s">
        <v>32965</v>
      </c>
      <c r="O1440" t="s">
        <v>32966</v>
      </c>
      <c r="P1440">
        <v>72052</v>
      </c>
      <c r="Q1440" t="str">
        <f>"35.197577"</f>
        <v>35.197577</v>
      </c>
      <c r="R1440" t="str">
        <f>"25.490212"</f>
        <v>25.490212</v>
      </c>
      <c r="S1440" t="s">
        <v>57</v>
      </c>
    </row>
    <row r="1441" spans="1:19" x14ac:dyDescent="0.3">
      <c r="A1441" t="s">
        <v>32470</v>
      </c>
      <c r="B1441" t="s">
        <v>32904</v>
      </c>
      <c r="C1441" t="s">
        <v>32969</v>
      </c>
      <c r="D1441" t="s">
        <v>32475</v>
      </c>
      <c r="E1441" t="s">
        <v>32905</v>
      </c>
      <c r="F1441" t="s">
        <v>32967</v>
      </c>
      <c r="G1441" t="s">
        <v>32968</v>
      </c>
      <c r="H1441" t="s">
        <v>51</v>
      </c>
      <c r="I1441" t="s">
        <v>52</v>
      </c>
      <c r="J1441" t="str">
        <f>"3209010"</f>
        <v>3209010</v>
      </c>
      <c r="K1441">
        <v>2843061207</v>
      </c>
      <c r="L1441">
        <v>2843061207</v>
      </c>
      <c r="M1441" t="s">
        <v>32970</v>
      </c>
      <c r="N1441" t="s">
        <v>32971</v>
      </c>
      <c r="O1441" t="s">
        <v>32972</v>
      </c>
      <c r="P1441">
        <v>72300</v>
      </c>
      <c r="Q1441" t="str">
        <f>"35.201232"</f>
        <v>35.201232</v>
      </c>
      <c r="R1441" t="str">
        <f>"26.249312"</f>
        <v>26.249312</v>
      </c>
      <c r="S1441" t="s">
        <v>57</v>
      </c>
    </row>
    <row r="1442" spans="1:19" x14ac:dyDescent="0.3">
      <c r="A1442" t="s">
        <v>32470</v>
      </c>
      <c r="B1442" t="s">
        <v>32904</v>
      </c>
      <c r="C1442" t="s">
        <v>32979</v>
      </c>
      <c r="D1442" t="s">
        <v>32475</v>
      </c>
      <c r="E1442" t="s">
        <v>32917</v>
      </c>
      <c r="F1442" t="s">
        <v>32917</v>
      </c>
      <c r="G1442" t="s">
        <v>32917</v>
      </c>
      <c r="H1442" t="s">
        <v>51</v>
      </c>
      <c r="I1442" t="s">
        <v>52</v>
      </c>
      <c r="J1442" t="str">
        <f>"3202010"</f>
        <v>3202010</v>
      </c>
      <c r="K1442">
        <v>2842028229</v>
      </c>
      <c r="L1442">
        <v>2842022336</v>
      </c>
      <c r="M1442" t="s">
        <v>32980</v>
      </c>
      <c r="N1442" t="s">
        <v>32937</v>
      </c>
      <c r="O1442" t="s">
        <v>32981</v>
      </c>
      <c r="P1442">
        <v>72200</v>
      </c>
      <c r="Q1442" t="str">
        <f>"35.012211"</f>
        <v>35.012211</v>
      </c>
      <c r="R1442" t="str">
        <f>"25.743167"</f>
        <v>25.743167</v>
      </c>
      <c r="S1442" t="s">
        <v>26</v>
      </c>
    </row>
    <row r="1443" spans="1:19" x14ac:dyDescent="0.3">
      <c r="A1443" t="s">
        <v>32470</v>
      </c>
      <c r="B1443" t="s">
        <v>32904</v>
      </c>
      <c r="C1443" t="s">
        <v>32982</v>
      </c>
      <c r="D1443" t="s">
        <v>32475</v>
      </c>
      <c r="E1443" t="s">
        <v>32917</v>
      </c>
      <c r="F1443" t="s">
        <v>32917</v>
      </c>
      <c r="G1443" t="s">
        <v>32917</v>
      </c>
      <c r="H1443" t="s">
        <v>51</v>
      </c>
      <c r="I1443" t="s">
        <v>52</v>
      </c>
      <c r="J1443" t="str">
        <f>"3202020"</f>
        <v>3202020</v>
      </c>
      <c r="K1443">
        <v>2842022289</v>
      </c>
      <c r="L1443">
        <v>2842022279</v>
      </c>
      <c r="M1443" t="s">
        <v>32983</v>
      </c>
      <c r="N1443" t="s">
        <v>32937</v>
      </c>
      <c r="O1443" t="s">
        <v>32984</v>
      </c>
      <c r="P1443">
        <v>72200</v>
      </c>
      <c r="Q1443" t="str">
        <f>"35.023236"</f>
        <v>35.023236</v>
      </c>
      <c r="R1443" t="str">
        <f>"25.802074"</f>
        <v>25.802074</v>
      </c>
      <c r="S1443" t="s">
        <v>26</v>
      </c>
    </row>
    <row r="1444" spans="1:19" x14ac:dyDescent="0.3">
      <c r="A1444" t="s">
        <v>32470</v>
      </c>
      <c r="B1444" t="s">
        <v>32904</v>
      </c>
      <c r="C1444" t="s">
        <v>32987</v>
      </c>
      <c r="D1444" t="s">
        <v>32475</v>
      </c>
      <c r="E1444" t="s">
        <v>1969</v>
      </c>
      <c r="F1444" t="s">
        <v>1969</v>
      </c>
      <c r="G1444" t="s">
        <v>32986</v>
      </c>
      <c r="H1444" t="s">
        <v>51</v>
      </c>
      <c r="I1444" t="s">
        <v>52</v>
      </c>
      <c r="J1444" t="str">
        <f>"3207010"</f>
        <v>3207010</v>
      </c>
      <c r="K1444">
        <v>2841051452</v>
      </c>
      <c r="L1444">
        <v>2841051452</v>
      </c>
      <c r="M1444" t="s">
        <v>32988</v>
      </c>
      <c r="N1444" t="s">
        <v>32989</v>
      </c>
      <c r="O1444" t="s">
        <v>32990</v>
      </c>
      <c r="P1444">
        <v>72051</v>
      </c>
      <c r="Q1444" t="str">
        <f>"35.156425"</f>
        <v>35.156425</v>
      </c>
      <c r="R1444" t="str">
        <f>"25.646192"</f>
        <v>25.646192</v>
      </c>
      <c r="S1444" t="s">
        <v>26</v>
      </c>
    </row>
    <row r="1445" spans="1:19" x14ac:dyDescent="0.3">
      <c r="A1445" t="s">
        <v>32470</v>
      </c>
      <c r="B1445" t="s">
        <v>32904</v>
      </c>
      <c r="C1445" t="s">
        <v>32992</v>
      </c>
      <c r="D1445" t="s">
        <v>32475</v>
      </c>
      <c r="E1445" t="s">
        <v>1969</v>
      </c>
      <c r="F1445" t="s">
        <v>1969</v>
      </c>
      <c r="G1445" t="s">
        <v>1969</v>
      </c>
      <c r="H1445" t="s">
        <v>51</v>
      </c>
      <c r="I1445" t="s">
        <v>52</v>
      </c>
      <c r="J1445" t="str">
        <f>"3201020"</f>
        <v>3201020</v>
      </c>
      <c r="K1445">
        <v>2841024586</v>
      </c>
      <c r="L1445">
        <v>2841024519</v>
      </c>
      <c r="M1445" t="s">
        <v>32993</v>
      </c>
      <c r="N1445" t="s">
        <v>32957</v>
      </c>
      <c r="O1445" t="s">
        <v>32994</v>
      </c>
      <c r="P1445">
        <v>72100</v>
      </c>
      <c r="Q1445" t="str">
        <f>"35.200305"</f>
        <v>35.200305</v>
      </c>
      <c r="R1445" t="str">
        <f>"25.708262"</f>
        <v>25.708262</v>
      </c>
      <c r="S1445" t="s">
        <v>26</v>
      </c>
    </row>
    <row r="1446" spans="1:19" x14ac:dyDescent="0.3">
      <c r="A1446" t="s">
        <v>32470</v>
      </c>
      <c r="B1446" t="s">
        <v>32904</v>
      </c>
      <c r="C1446" t="s">
        <v>32998</v>
      </c>
      <c r="D1446" t="s">
        <v>32475</v>
      </c>
      <c r="E1446" t="s">
        <v>32905</v>
      </c>
      <c r="F1446" t="s">
        <v>32905</v>
      </c>
      <c r="G1446" t="s">
        <v>32905</v>
      </c>
      <c r="H1446" t="s">
        <v>51</v>
      </c>
      <c r="I1446" t="s">
        <v>52</v>
      </c>
      <c r="J1446" t="str">
        <f>"3204020"</f>
        <v>3204020</v>
      </c>
      <c r="K1446">
        <v>2843023923</v>
      </c>
      <c r="L1446">
        <v>2843023336</v>
      </c>
      <c r="M1446" t="s">
        <v>32999</v>
      </c>
      <c r="N1446" t="s">
        <v>33000</v>
      </c>
      <c r="O1446" t="s">
        <v>33001</v>
      </c>
      <c r="P1446">
        <v>72300</v>
      </c>
      <c r="Q1446" t="str">
        <f>"35.208325"</f>
        <v>35.208325</v>
      </c>
      <c r="R1446" t="str">
        <f>"26.100439"</f>
        <v>26.100439</v>
      </c>
      <c r="S1446" t="s">
        <v>26</v>
      </c>
    </row>
    <row r="1447" spans="1:19" x14ac:dyDescent="0.3">
      <c r="A1447" t="s">
        <v>32470</v>
      </c>
      <c r="B1447" t="s">
        <v>32904</v>
      </c>
      <c r="C1447" t="s">
        <v>33002</v>
      </c>
      <c r="D1447" t="s">
        <v>32475</v>
      </c>
      <c r="E1447" t="s">
        <v>1969</v>
      </c>
      <c r="F1447" t="s">
        <v>1969</v>
      </c>
      <c r="G1447" t="s">
        <v>1969</v>
      </c>
      <c r="H1447" t="s">
        <v>51</v>
      </c>
      <c r="I1447" t="s">
        <v>52</v>
      </c>
      <c r="J1447" t="str">
        <f>"3201010"</f>
        <v>3201010</v>
      </c>
      <c r="K1447">
        <v>2841022301</v>
      </c>
      <c r="L1447">
        <v>2841022384</v>
      </c>
      <c r="M1447" t="s">
        <v>33003</v>
      </c>
      <c r="N1447" t="s">
        <v>32957</v>
      </c>
      <c r="O1447" t="s">
        <v>33004</v>
      </c>
      <c r="P1447">
        <v>72100</v>
      </c>
      <c r="Q1447" t="str">
        <f>"35.189749"</f>
        <v>35.189749</v>
      </c>
      <c r="R1447" t="str">
        <f>"25.716165"</f>
        <v>25.716165</v>
      </c>
      <c r="S1447" t="s">
        <v>26</v>
      </c>
    </row>
    <row r="1448" spans="1:19" x14ac:dyDescent="0.3">
      <c r="A1448" t="s">
        <v>32470</v>
      </c>
      <c r="B1448" t="s">
        <v>32904</v>
      </c>
      <c r="C1448" t="s">
        <v>33006</v>
      </c>
      <c r="D1448" t="s">
        <v>32475</v>
      </c>
      <c r="E1448" t="s">
        <v>32917</v>
      </c>
      <c r="F1448" t="s">
        <v>32917</v>
      </c>
      <c r="G1448" t="s">
        <v>32917</v>
      </c>
      <c r="H1448" t="s">
        <v>51</v>
      </c>
      <c r="I1448" t="s">
        <v>52</v>
      </c>
      <c r="J1448" t="str">
        <f>"3202030"</f>
        <v>3202030</v>
      </c>
      <c r="K1448">
        <v>2842028751</v>
      </c>
      <c r="L1448">
        <v>2842028588</v>
      </c>
      <c r="M1448" t="s">
        <v>33007</v>
      </c>
      <c r="N1448" t="s">
        <v>33008</v>
      </c>
      <c r="O1448" t="s">
        <v>33009</v>
      </c>
      <c r="P1448">
        <v>72200</v>
      </c>
      <c r="Q1448" t="str">
        <f>"35.010750"</f>
        <v>35.010750</v>
      </c>
      <c r="R1448" t="str">
        <f>"25.744943"</f>
        <v>25.744943</v>
      </c>
      <c r="S1448" t="s">
        <v>26</v>
      </c>
    </row>
    <row r="1449" spans="1:19" x14ac:dyDescent="0.3">
      <c r="A1449" t="s">
        <v>32470</v>
      </c>
      <c r="B1449" t="s">
        <v>32904</v>
      </c>
      <c r="C1449" t="s">
        <v>33011</v>
      </c>
      <c r="D1449" t="s">
        <v>32475</v>
      </c>
      <c r="E1449" t="s">
        <v>32905</v>
      </c>
      <c r="F1449" t="s">
        <v>32905</v>
      </c>
      <c r="G1449" t="s">
        <v>33010</v>
      </c>
      <c r="H1449" t="s">
        <v>51</v>
      </c>
      <c r="I1449" t="s">
        <v>52</v>
      </c>
      <c r="J1449" t="str">
        <f>"3208010"</f>
        <v>3208010</v>
      </c>
      <c r="K1449">
        <v>2843094338</v>
      </c>
      <c r="L1449">
        <v>2843094338</v>
      </c>
      <c r="M1449" t="s">
        <v>33012</v>
      </c>
      <c r="N1449" t="s">
        <v>33013</v>
      </c>
      <c r="O1449" t="s">
        <v>33014</v>
      </c>
      <c r="P1449">
        <v>72057</v>
      </c>
      <c r="Q1449" t="str">
        <f>"35.160855"</f>
        <v>35.160855</v>
      </c>
      <c r="R1449" t="str">
        <f>"25.937408"</f>
        <v>25.937408</v>
      </c>
      <c r="S1449" t="s">
        <v>26</v>
      </c>
    </row>
    <row r="1450" spans="1:19" x14ac:dyDescent="0.3">
      <c r="A1450" t="s">
        <v>32470</v>
      </c>
      <c r="B1450" t="s">
        <v>32904</v>
      </c>
      <c r="C1450" t="s">
        <v>33037</v>
      </c>
      <c r="D1450" t="s">
        <v>32475</v>
      </c>
      <c r="E1450" t="s">
        <v>1969</v>
      </c>
      <c r="F1450" t="s">
        <v>1969</v>
      </c>
      <c r="G1450" t="s">
        <v>1969</v>
      </c>
      <c r="H1450" t="s">
        <v>51</v>
      </c>
      <c r="I1450" t="s">
        <v>52</v>
      </c>
      <c r="J1450" t="str">
        <f>"3201025"</f>
        <v>3201025</v>
      </c>
      <c r="K1450">
        <v>2841021388</v>
      </c>
      <c r="L1450">
        <v>2841021389</v>
      </c>
      <c r="M1450" t="s">
        <v>33038</v>
      </c>
      <c r="N1450" t="s">
        <v>14960</v>
      </c>
      <c r="O1450" t="s">
        <v>33039</v>
      </c>
      <c r="P1450">
        <v>72100</v>
      </c>
      <c r="Q1450" t="str">
        <f>"35.200255"</f>
        <v>35.200255</v>
      </c>
      <c r="R1450" t="str">
        <f>"25.707771"</f>
        <v>25.707771</v>
      </c>
      <c r="S1450" t="s">
        <v>26</v>
      </c>
    </row>
    <row r="1451" spans="1:19" x14ac:dyDescent="0.3">
      <c r="A1451" t="s">
        <v>32470</v>
      </c>
      <c r="B1451" t="s">
        <v>32904</v>
      </c>
      <c r="C1451" t="s">
        <v>33041</v>
      </c>
      <c r="D1451" t="s">
        <v>32475</v>
      </c>
      <c r="E1451" t="s">
        <v>32917</v>
      </c>
      <c r="F1451" t="s">
        <v>32917</v>
      </c>
      <c r="G1451" t="s">
        <v>33040</v>
      </c>
      <c r="H1451" t="s">
        <v>51</v>
      </c>
      <c r="I1451" t="s">
        <v>4349</v>
      </c>
      <c r="J1451" t="str">
        <f>"3209000"</f>
        <v>3209000</v>
      </c>
      <c r="K1451">
        <v>2842094886</v>
      </c>
      <c r="M1451" t="s">
        <v>33042</v>
      </c>
      <c r="N1451" t="s">
        <v>33043</v>
      </c>
      <c r="O1451" t="s">
        <v>33043</v>
      </c>
      <c r="P1451">
        <v>72200</v>
      </c>
      <c r="Q1451" t="str">
        <f>"35.122530"</f>
        <v>35.122530</v>
      </c>
      <c r="R1451" t="str">
        <f>"25.858390"</f>
        <v>25.858390</v>
      </c>
      <c r="S1451" t="s">
        <v>26</v>
      </c>
    </row>
    <row r="1452" spans="1:19" x14ac:dyDescent="0.3">
      <c r="A1452" t="s">
        <v>32470</v>
      </c>
      <c r="B1452" t="s">
        <v>33044</v>
      </c>
      <c r="C1452" t="s">
        <v>33094</v>
      </c>
      <c r="D1452" t="s">
        <v>32480</v>
      </c>
      <c r="E1452" t="s">
        <v>32481</v>
      </c>
      <c r="F1452" t="s">
        <v>32481</v>
      </c>
      <c r="G1452" t="s">
        <v>32481</v>
      </c>
      <c r="H1452" t="s">
        <v>51</v>
      </c>
      <c r="I1452" t="s">
        <v>52</v>
      </c>
      <c r="J1452" t="str">
        <f>"4101010"</f>
        <v>4101010</v>
      </c>
      <c r="K1452">
        <v>2831022283</v>
      </c>
      <c r="L1452">
        <v>2831021187</v>
      </c>
      <c r="M1452" t="s">
        <v>33095</v>
      </c>
      <c r="N1452" t="s">
        <v>32484</v>
      </c>
      <c r="O1452" t="s">
        <v>33096</v>
      </c>
      <c r="P1452">
        <v>74100</v>
      </c>
      <c r="Q1452" t="str">
        <f>"35.363418"</f>
        <v>35.363418</v>
      </c>
      <c r="R1452" t="str">
        <f>"24.468559"</f>
        <v>24.468559</v>
      </c>
      <c r="S1452" t="s">
        <v>26</v>
      </c>
    </row>
    <row r="1453" spans="1:19" x14ac:dyDescent="0.3">
      <c r="A1453" t="s">
        <v>32470</v>
      </c>
      <c r="B1453" t="s">
        <v>33044</v>
      </c>
      <c r="C1453" t="s">
        <v>33098</v>
      </c>
      <c r="D1453" t="s">
        <v>32480</v>
      </c>
      <c r="E1453" t="s">
        <v>995</v>
      </c>
      <c r="F1453" t="s">
        <v>33045</v>
      </c>
      <c r="G1453" t="s">
        <v>6203</v>
      </c>
      <c r="H1453" t="s">
        <v>51</v>
      </c>
      <c r="I1453" t="s">
        <v>52</v>
      </c>
      <c r="J1453" t="str">
        <f>"4104010"</f>
        <v>4104010</v>
      </c>
      <c r="K1453">
        <v>2834022235</v>
      </c>
      <c r="L1453">
        <v>2834022235</v>
      </c>
      <c r="M1453" t="s">
        <v>33099</v>
      </c>
      <c r="N1453" t="s">
        <v>33100</v>
      </c>
      <c r="O1453" t="s">
        <v>33101</v>
      </c>
      <c r="P1453">
        <v>74052</v>
      </c>
      <c r="Q1453" t="str">
        <f>"35.366926"</f>
        <v>35.366926</v>
      </c>
      <c r="R1453" t="str">
        <f>"24.706407"</f>
        <v>24.706407</v>
      </c>
      <c r="S1453" t="s">
        <v>26</v>
      </c>
    </row>
    <row r="1454" spans="1:19" x14ac:dyDescent="0.3">
      <c r="A1454" t="s">
        <v>32470</v>
      </c>
      <c r="B1454" t="s">
        <v>33044</v>
      </c>
      <c r="C1454" t="s">
        <v>33103</v>
      </c>
      <c r="D1454" t="s">
        <v>32480</v>
      </c>
      <c r="E1454" t="s">
        <v>32481</v>
      </c>
      <c r="F1454" t="s">
        <v>33102</v>
      </c>
      <c r="G1454" t="s">
        <v>30112</v>
      </c>
      <c r="H1454" t="s">
        <v>51</v>
      </c>
      <c r="I1454" t="s">
        <v>52</v>
      </c>
      <c r="J1454" t="str">
        <f>"4102020"</f>
        <v>4102020</v>
      </c>
      <c r="K1454">
        <v>2831061491</v>
      </c>
      <c r="M1454" t="s">
        <v>33104</v>
      </c>
      <c r="N1454" t="s">
        <v>33105</v>
      </c>
      <c r="O1454" t="s">
        <v>33106</v>
      </c>
      <c r="P1454">
        <v>74055</v>
      </c>
      <c r="Q1454" t="str">
        <f>"35.323130"</f>
        <v>35.323130</v>
      </c>
      <c r="R1454" t="str">
        <f>"24.337608"</f>
        <v>24.337608</v>
      </c>
      <c r="S1454" t="s">
        <v>26</v>
      </c>
    </row>
    <row r="1455" spans="1:19" x14ac:dyDescent="0.3">
      <c r="A1455" t="s">
        <v>32470</v>
      </c>
      <c r="B1455" t="s">
        <v>33044</v>
      </c>
      <c r="C1455" t="s">
        <v>33110</v>
      </c>
      <c r="D1455" t="s">
        <v>32480</v>
      </c>
      <c r="E1455" t="s">
        <v>33080</v>
      </c>
      <c r="F1455" t="s">
        <v>33108</v>
      </c>
      <c r="G1455" t="s">
        <v>33109</v>
      </c>
      <c r="H1455" t="s">
        <v>51</v>
      </c>
      <c r="I1455" t="s">
        <v>52</v>
      </c>
      <c r="J1455" t="str">
        <f>"4111010"</f>
        <v>4111010</v>
      </c>
      <c r="K1455">
        <v>2833022325</v>
      </c>
      <c r="L1455">
        <v>2833022325</v>
      </c>
      <c r="M1455" t="s">
        <v>33111</v>
      </c>
      <c r="N1455" t="s">
        <v>33112</v>
      </c>
      <c r="O1455" t="s">
        <v>33113</v>
      </c>
      <c r="P1455">
        <v>74061</v>
      </c>
      <c r="Q1455" t="str">
        <f>"35.221909"</f>
        <v>35.221909</v>
      </c>
      <c r="R1455" t="str">
        <f>"24.636743"</f>
        <v>24.636743</v>
      </c>
      <c r="S1455" t="s">
        <v>26</v>
      </c>
    </row>
    <row r="1456" spans="1:19" x14ac:dyDescent="0.3">
      <c r="A1456" t="s">
        <v>32470</v>
      </c>
      <c r="B1456" t="s">
        <v>33044</v>
      </c>
      <c r="C1456" t="s">
        <v>33115</v>
      </c>
      <c r="D1456" t="s">
        <v>32480</v>
      </c>
      <c r="E1456" t="s">
        <v>14541</v>
      </c>
      <c r="F1456" t="s">
        <v>33065</v>
      </c>
      <c r="G1456" t="s">
        <v>33066</v>
      </c>
      <c r="H1456" t="s">
        <v>51</v>
      </c>
      <c r="I1456" t="s">
        <v>52</v>
      </c>
      <c r="J1456" t="str">
        <f>"4106010"</f>
        <v>4106010</v>
      </c>
      <c r="K1456">
        <v>2832022035</v>
      </c>
      <c r="L1456">
        <v>2832022035</v>
      </c>
      <c r="M1456" t="s">
        <v>33116</v>
      </c>
      <c r="N1456" t="s">
        <v>33117</v>
      </c>
      <c r="O1456" t="s">
        <v>33118</v>
      </c>
      <c r="P1456">
        <v>74053</v>
      </c>
      <c r="Q1456" t="str">
        <f>"35.220082"</f>
        <v>35.220082</v>
      </c>
      <c r="R1456" t="str">
        <f>"24.531723"</f>
        <v>24.531723</v>
      </c>
      <c r="S1456" t="s">
        <v>26</v>
      </c>
    </row>
    <row r="1457" spans="1:19" x14ac:dyDescent="0.3">
      <c r="A1457" t="s">
        <v>32470</v>
      </c>
      <c r="B1457" t="s">
        <v>33044</v>
      </c>
      <c r="C1457" t="s">
        <v>33119</v>
      </c>
      <c r="D1457" t="s">
        <v>32480</v>
      </c>
      <c r="E1457" t="s">
        <v>32481</v>
      </c>
      <c r="F1457" t="s">
        <v>32481</v>
      </c>
      <c r="G1457" t="s">
        <v>32481</v>
      </c>
      <c r="H1457" t="s">
        <v>51</v>
      </c>
      <c r="I1457" t="s">
        <v>52</v>
      </c>
      <c r="J1457" t="str">
        <f>"4101030"</f>
        <v>4101030</v>
      </c>
      <c r="K1457">
        <v>2831022359</v>
      </c>
      <c r="L1457">
        <v>2831053695</v>
      </c>
      <c r="M1457" t="s">
        <v>33120</v>
      </c>
      <c r="N1457" t="s">
        <v>32484</v>
      </c>
      <c r="O1457" t="s">
        <v>33121</v>
      </c>
      <c r="P1457">
        <v>74132</v>
      </c>
      <c r="Q1457" t="str">
        <f>"35.366123"</f>
        <v>35.366123</v>
      </c>
      <c r="R1457" t="str">
        <f>"24.475202"</f>
        <v>24.475202</v>
      </c>
      <c r="S1457" t="s">
        <v>26</v>
      </c>
    </row>
    <row r="1458" spans="1:19" x14ac:dyDescent="0.3">
      <c r="A1458" t="s">
        <v>32470</v>
      </c>
      <c r="B1458" t="s">
        <v>33044</v>
      </c>
      <c r="C1458" t="s">
        <v>33123</v>
      </c>
      <c r="D1458" t="s">
        <v>32480</v>
      </c>
      <c r="E1458" t="s">
        <v>995</v>
      </c>
      <c r="F1458" t="s">
        <v>33045</v>
      </c>
      <c r="G1458" t="s">
        <v>33122</v>
      </c>
      <c r="H1458" t="s">
        <v>51</v>
      </c>
      <c r="I1458" t="s">
        <v>52</v>
      </c>
      <c r="J1458" t="str">
        <f>"4103010"</f>
        <v>4103010</v>
      </c>
      <c r="K1458">
        <v>2834051206</v>
      </c>
      <c r="L1458">
        <v>2834051206</v>
      </c>
      <c r="M1458" t="s">
        <v>33124</v>
      </c>
      <c r="N1458" t="s">
        <v>33125</v>
      </c>
      <c r="O1458" t="s">
        <v>33126</v>
      </c>
      <c r="P1458">
        <v>74057</v>
      </c>
      <c r="Q1458" t="str">
        <f>"35.416439"</f>
        <v>35.416439</v>
      </c>
      <c r="R1458" t="str">
        <f>"24.688816"</f>
        <v>24.688816</v>
      </c>
      <c r="S1458" t="s">
        <v>26</v>
      </c>
    </row>
    <row r="1459" spans="1:19" x14ac:dyDescent="0.3">
      <c r="A1459" t="s">
        <v>32470</v>
      </c>
      <c r="B1459" t="s">
        <v>33044</v>
      </c>
      <c r="C1459" t="s">
        <v>33128</v>
      </c>
      <c r="D1459" t="s">
        <v>32480</v>
      </c>
      <c r="E1459" t="s">
        <v>32481</v>
      </c>
      <c r="F1459" t="s">
        <v>32481</v>
      </c>
      <c r="G1459" t="s">
        <v>32481</v>
      </c>
      <c r="H1459" t="s">
        <v>51</v>
      </c>
      <c r="I1459" t="s">
        <v>190</v>
      </c>
      <c r="J1459" t="str">
        <f>"4101045"</f>
        <v>4101045</v>
      </c>
      <c r="K1459">
        <v>2831027553</v>
      </c>
      <c r="L1459">
        <v>2831050216</v>
      </c>
      <c r="M1459" t="s">
        <v>33129</v>
      </c>
      <c r="N1459" t="s">
        <v>32480</v>
      </c>
      <c r="O1459" t="s">
        <v>33130</v>
      </c>
      <c r="P1459">
        <v>74100</v>
      </c>
      <c r="Q1459" t="str">
        <f>"35.364426"</f>
        <v>35.364426</v>
      </c>
      <c r="R1459" t="str">
        <f>"24.482425"</f>
        <v>24.482425</v>
      </c>
      <c r="S1459" t="s">
        <v>26</v>
      </c>
    </row>
    <row r="1460" spans="1:19" x14ac:dyDescent="0.3">
      <c r="A1460" t="s">
        <v>32470</v>
      </c>
      <c r="B1460" t="s">
        <v>33044</v>
      </c>
      <c r="C1460" t="s">
        <v>33131</v>
      </c>
      <c r="D1460" t="s">
        <v>32480</v>
      </c>
      <c r="E1460" t="s">
        <v>33080</v>
      </c>
      <c r="F1460" t="s">
        <v>33081</v>
      </c>
      <c r="G1460" t="s">
        <v>33082</v>
      </c>
      <c r="H1460" t="s">
        <v>51</v>
      </c>
      <c r="I1460" t="s">
        <v>52</v>
      </c>
      <c r="J1460" t="str">
        <f>"4108010"</f>
        <v>4108010</v>
      </c>
      <c r="K1460">
        <v>2833041264</v>
      </c>
      <c r="L1460">
        <v>2833041264</v>
      </c>
      <c r="M1460" t="s">
        <v>33132</v>
      </c>
      <c r="N1460" t="s">
        <v>33085</v>
      </c>
      <c r="O1460" t="s">
        <v>33086</v>
      </c>
      <c r="P1460">
        <v>74062</v>
      </c>
      <c r="Q1460" t="str">
        <f>"35.212002"</f>
        <v>35.212002</v>
      </c>
      <c r="R1460" t="str">
        <f>"24.711741"</f>
        <v>24.711741</v>
      </c>
      <c r="S1460" t="s">
        <v>26</v>
      </c>
    </row>
    <row r="1461" spans="1:19" x14ac:dyDescent="0.3">
      <c r="A1461" t="s">
        <v>32470</v>
      </c>
      <c r="B1461" t="s">
        <v>33044</v>
      </c>
      <c r="C1461" t="s">
        <v>33133</v>
      </c>
      <c r="D1461" t="s">
        <v>32480</v>
      </c>
      <c r="E1461" t="s">
        <v>32481</v>
      </c>
      <c r="F1461" t="s">
        <v>32481</v>
      </c>
      <c r="G1461" t="s">
        <v>32481</v>
      </c>
      <c r="H1461" t="s">
        <v>51</v>
      </c>
      <c r="I1461" t="s">
        <v>14572</v>
      </c>
      <c r="J1461" t="str">
        <f>"4101042"</f>
        <v>4101042</v>
      </c>
      <c r="K1461">
        <v>2831027230</v>
      </c>
      <c r="L1461">
        <v>2831027230</v>
      </c>
      <c r="M1461" t="s">
        <v>33134</v>
      </c>
      <c r="N1461" t="s">
        <v>32484</v>
      </c>
      <c r="O1461" t="s">
        <v>33135</v>
      </c>
      <c r="P1461">
        <v>74100</v>
      </c>
      <c r="Q1461" t="str">
        <f>"35.365193"</f>
        <v>35.365193</v>
      </c>
      <c r="R1461" t="str">
        <f>"24.502516"</f>
        <v>24.502516</v>
      </c>
      <c r="S1461" t="s">
        <v>26</v>
      </c>
    </row>
    <row r="1462" spans="1:19" x14ac:dyDescent="0.3">
      <c r="A1462" t="s">
        <v>32470</v>
      </c>
      <c r="B1462" t="s">
        <v>33044</v>
      </c>
      <c r="C1462" t="s">
        <v>33138</v>
      </c>
      <c r="D1462" t="s">
        <v>32480</v>
      </c>
      <c r="E1462" t="s">
        <v>14541</v>
      </c>
      <c r="F1462" t="s">
        <v>33136</v>
      </c>
      <c r="G1462" t="s">
        <v>33137</v>
      </c>
      <c r="H1462" t="s">
        <v>51</v>
      </c>
      <c r="I1462" t="s">
        <v>52</v>
      </c>
      <c r="J1462" t="str">
        <f>"4106030"</f>
        <v>4106030</v>
      </c>
      <c r="K1462">
        <v>2832051138</v>
      </c>
      <c r="L1462">
        <v>2832051138</v>
      </c>
      <c r="M1462" t="s">
        <v>33139</v>
      </c>
      <c r="N1462" t="s">
        <v>33140</v>
      </c>
      <c r="O1462" t="s">
        <v>33141</v>
      </c>
      <c r="P1462">
        <v>74053</v>
      </c>
      <c r="Q1462" t="str">
        <f>"35.224937"</f>
        <v>35.224937</v>
      </c>
      <c r="R1462" t="str">
        <f>"24.466308"</f>
        <v>24.466308</v>
      </c>
      <c r="S1462" t="s">
        <v>26</v>
      </c>
    </row>
    <row r="1463" spans="1:19" x14ac:dyDescent="0.3">
      <c r="A1463" t="s">
        <v>32470</v>
      </c>
      <c r="B1463" t="s">
        <v>33044</v>
      </c>
      <c r="C1463" t="s">
        <v>33143</v>
      </c>
      <c r="D1463" t="s">
        <v>32480</v>
      </c>
      <c r="E1463" t="s">
        <v>32481</v>
      </c>
      <c r="F1463" t="s">
        <v>32481</v>
      </c>
      <c r="G1463" t="s">
        <v>32481</v>
      </c>
      <c r="H1463" t="s">
        <v>51</v>
      </c>
      <c r="I1463" t="s">
        <v>52</v>
      </c>
      <c r="J1463" t="str">
        <f>"4101040"</f>
        <v>4101040</v>
      </c>
      <c r="K1463">
        <v>2831029261</v>
      </c>
      <c r="L1463">
        <v>2831029261</v>
      </c>
      <c r="M1463" t="s">
        <v>33144</v>
      </c>
      <c r="N1463" t="s">
        <v>32484</v>
      </c>
      <c r="O1463" t="s">
        <v>33145</v>
      </c>
      <c r="P1463">
        <v>74100</v>
      </c>
      <c r="Q1463" t="str">
        <f>"35.366004"</f>
        <v>35.366004</v>
      </c>
      <c r="R1463" t="str">
        <f>"24.510652"</f>
        <v>24.510652</v>
      </c>
      <c r="S1463" t="s">
        <v>26</v>
      </c>
    </row>
    <row r="1464" spans="1:19" x14ac:dyDescent="0.3">
      <c r="A1464" t="s">
        <v>32470</v>
      </c>
      <c r="B1464" t="s">
        <v>33044</v>
      </c>
      <c r="C1464" t="s">
        <v>33148</v>
      </c>
      <c r="D1464" t="s">
        <v>32480</v>
      </c>
      <c r="E1464" t="s">
        <v>995</v>
      </c>
      <c r="F1464" t="s">
        <v>33146</v>
      </c>
      <c r="G1464" t="s">
        <v>33147</v>
      </c>
      <c r="H1464" t="s">
        <v>51</v>
      </c>
      <c r="I1464" t="s">
        <v>52</v>
      </c>
      <c r="J1464" t="str">
        <f>"4109010"</f>
        <v>4109010</v>
      </c>
      <c r="K1464">
        <v>2834041366</v>
      </c>
      <c r="L1464">
        <v>2834041366</v>
      </c>
      <c r="M1464" t="s">
        <v>33149</v>
      </c>
      <c r="N1464" t="s">
        <v>33150</v>
      </c>
      <c r="O1464" t="s">
        <v>33151</v>
      </c>
      <c r="P1464">
        <v>74054</v>
      </c>
      <c r="Q1464" t="str">
        <f>"35.343599"</f>
        <v>35.343599</v>
      </c>
      <c r="R1464" t="str">
        <f>"24.783705"</f>
        <v>24.783705</v>
      </c>
      <c r="S1464" t="s">
        <v>26</v>
      </c>
    </row>
    <row r="1465" spans="1:19" x14ac:dyDescent="0.3">
      <c r="A1465" t="s">
        <v>32470</v>
      </c>
      <c r="B1465" t="s">
        <v>33044</v>
      </c>
      <c r="C1465" t="s">
        <v>33153</v>
      </c>
      <c r="D1465" t="s">
        <v>32480</v>
      </c>
      <c r="E1465" t="s">
        <v>995</v>
      </c>
      <c r="F1465" t="s">
        <v>33146</v>
      </c>
      <c r="G1465" t="s">
        <v>13684</v>
      </c>
      <c r="H1465" t="s">
        <v>51</v>
      </c>
      <c r="I1465" t="s">
        <v>52</v>
      </c>
      <c r="J1465" t="str">
        <f>"4110010"</f>
        <v>4110010</v>
      </c>
      <c r="K1465">
        <v>2834061417</v>
      </c>
      <c r="L1465">
        <v>2834061417</v>
      </c>
      <c r="M1465" t="s">
        <v>33154</v>
      </c>
      <c r="N1465" t="s">
        <v>33155</v>
      </c>
      <c r="O1465" t="s">
        <v>33156</v>
      </c>
      <c r="P1465">
        <v>74051</v>
      </c>
      <c r="Q1465" t="str">
        <f>"35.300866"</f>
        <v>35.300866</v>
      </c>
      <c r="R1465" t="str">
        <f>"24.813174"</f>
        <v>24.813174</v>
      </c>
      <c r="S1465" t="s">
        <v>26</v>
      </c>
    </row>
    <row r="1466" spans="1:19" x14ac:dyDescent="0.3">
      <c r="A1466" t="s">
        <v>32470</v>
      </c>
      <c r="B1466" t="s">
        <v>33044</v>
      </c>
      <c r="C1466" t="s">
        <v>33161</v>
      </c>
      <c r="D1466" t="s">
        <v>32480</v>
      </c>
      <c r="E1466" t="s">
        <v>33059</v>
      </c>
      <c r="F1466" t="s">
        <v>33059</v>
      </c>
      <c r="G1466" t="s">
        <v>33059</v>
      </c>
      <c r="H1466" t="s">
        <v>51</v>
      </c>
      <c r="I1466" t="s">
        <v>52</v>
      </c>
      <c r="J1466" t="str">
        <f>"4102010"</f>
        <v>4102010</v>
      </c>
      <c r="K1466">
        <v>2834031331</v>
      </c>
      <c r="L1466">
        <v>2834031467</v>
      </c>
      <c r="M1466" t="s">
        <v>33162</v>
      </c>
      <c r="N1466" t="s">
        <v>33163</v>
      </c>
      <c r="O1466" t="s">
        <v>33063</v>
      </c>
      <c r="P1466">
        <v>74051</v>
      </c>
      <c r="Q1466" t="str">
        <f>"35.291848"</f>
        <v>35.291848</v>
      </c>
      <c r="R1466" t="str">
        <f>"24.880729"</f>
        <v>24.880729</v>
      </c>
      <c r="S1466" t="s">
        <v>57</v>
      </c>
    </row>
    <row r="1467" spans="1:19" x14ac:dyDescent="0.3">
      <c r="A1467" t="s">
        <v>32470</v>
      </c>
      <c r="B1467" t="s">
        <v>33044</v>
      </c>
      <c r="C1467" t="s">
        <v>33164</v>
      </c>
      <c r="D1467" t="s">
        <v>32480</v>
      </c>
      <c r="E1467" t="s">
        <v>32481</v>
      </c>
      <c r="F1467" t="s">
        <v>32481</v>
      </c>
      <c r="G1467" t="s">
        <v>32481</v>
      </c>
      <c r="H1467" t="s">
        <v>51</v>
      </c>
      <c r="I1467" t="s">
        <v>52</v>
      </c>
      <c r="J1467" t="str">
        <f>"4101020"</f>
        <v>4101020</v>
      </c>
      <c r="K1467">
        <v>2831023560</v>
      </c>
      <c r="L1467">
        <v>2831023562</v>
      </c>
      <c r="M1467" t="s">
        <v>33165</v>
      </c>
      <c r="N1467" t="s">
        <v>32484</v>
      </c>
      <c r="O1467" t="s">
        <v>33166</v>
      </c>
      <c r="P1467">
        <v>74100</v>
      </c>
      <c r="Q1467" t="str">
        <f>"35.362464"</f>
        <v>35.362464</v>
      </c>
      <c r="R1467" t="str">
        <f>"24.480405"</f>
        <v>24.480405</v>
      </c>
      <c r="S1467" t="s">
        <v>26</v>
      </c>
    </row>
    <row r="1468" spans="1:19" x14ac:dyDescent="0.3">
      <c r="A1468" t="s">
        <v>32470</v>
      </c>
      <c r="B1468" t="s">
        <v>33044</v>
      </c>
      <c r="C1468" t="s">
        <v>33175</v>
      </c>
      <c r="D1468" t="s">
        <v>32480</v>
      </c>
      <c r="E1468" t="s">
        <v>32481</v>
      </c>
      <c r="F1468" t="s">
        <v>33173</v>
      </c>
      <c r="G1468" t="s">
        <v>33174</v>
      </c>
      <c r="H1468" t="s">
        <v>51</v>
      </c>
      <c r="I1468" t="s">
        <v>52</v>
      </c>
      <c r="J1468" t="str">
        <f>"4110015"</f>
        <v>4110015</v>
      </c>
      <c r="K1468">
        <v>2831022741</v>
      </c>
      <c r="L1468">
        <v>2831022742</v>
      </c>
      <c r="M1468" t="s">
        <v>33176</v>
      </c>
      <c r="N1468" t="s">
        <v>33177</v>
      </c>
      <c r="O1468" t="s">
        <v>33178</v>
      </c>
      <c r="P1468">
        <v>74100</v>
      </c>
      <c r="Q1468" t="str">
        <f>"35.345714"</f>
        <v>35.345714</v>
      </c>
      <c r="R1468" t="str">
        <f>"24.432778"</f>
        <v>24.432778</v>
      </c>
      <c r="S1468" t="s">
        <v>26</v>
      </c>
    </row>
    <row r="1469" spans="1:19" x14ac:dyDescent="0.3">
      <c r="A1469" t="s">
        <v>32470</v>
      </c>
      <c r="B1469" t="s">
        <v>33044</v>
      </c>
      <c r="C1469" t="s">
        <v>33191</v>
      </c>
      <c r="D1469" t="s">
        <v>32480</v>
      </c>
      <c r="E1469" t="s">
        <v>32481</v>
      </c>
      <c r="F1469" t="s">
        <v>32481</v>
      </c>
      <c r="G1469" t="s">
        <v>32481</v>
      </c>
      <c r="H1469" t="s">
        <v>51</v>
      </c>
      <c r="I1469" t="s">
        <v>52</v>
      </c>
      <c r="J1469" t="str">
        <f>"4135001"</f>
        <v>4135001</v>
      </c>
      <c r="K1469">
        <v>2831073938</v>
      </c>
      <c r="L1469">
        <v>2831073939</v>
      </c>
      <c r="M1469" t="s">
        <v>33192</v>
      </c>
      <c r="N1469" t="s">
        <v>33193</v>
      </c>
      <c r="O1469" t="s">
        <v>33194</v>
      </c>
      <c r="P1469">
        <v>74150</v>
      </c>
      <c r="Q1469" t="str">
        <f>"35.382279"</f>
        <v>35.382279</v>
      </c>
      <c r="R1469" t="str">
        <f>"24.587593"</f>
        <v>24.587593</v>
      </c>
      <c r="S1469" t="s">
        <v>26</v>
      </c>
    </row>
    <row r="1470" spans="1:19" x14ac:dyDescent="0.3">
      <c r="A1470" t="s">
        <v>32470</v>
      </c>
      <c r="B1470" t="s">
        <v>33044</v>
      </c>
      <c r="C1470" t="s">
        <v>33204</v>
      </c>
      <c r="D1470" t="s">
        <v>32480</v>
      </c>
      <c r="E1470" t="s">
        <v>32481</v>
      </c>
      <c r="F1470" t="s">
        <v>32481</v>
      </c>
      <c r="G1470" t="s">
        <v>32481</v>
      </c>
      <c r="H1470" t="s">
        <v>51</v>
      </c>
      <c r="I1470" t="s">
        <v>199</v>
      </c>
      <c r="J1470" t="str">
        <f>"4111001"</f>
        <v>4111001</v>
      </c>
      <c r="K1470">
        <v>2831031320</v>
      </c>
      <c r="M1470" t="s">
        <v>33205</v>
      </c>
      <c r="N1470" t="s">
        <v>32484</v>
      </c>
      <c r="O1470" t="s">
        <v>33206</v>
      </c>
      <c r="P1470">
        <v>74100</v>
      </c>
      <c r="Q1470" t="str">
        <f>"35.352913"</f>
        <v>35.352913</v>
      </c>
      <c r="R1470" t="str">
        <f>"24.400774"</f>
        <v>24.400774</v>
      </c>
      <c r="S1470" t="s">
        <v>26</v>
      </c>
    </row>
    <row r="1471" spans="1:19" x14ac:dyDescent="0.3">
      <c r="A1471" t="s">
        <v>32470</v>
      </c>
      <c r="B1471" t="s">
        <v>33207</v>
      </c>
      <c r="C1471" t="s">
        <v>33208</v>
      </c>
      <c r="D1471" t="s">
        <v>32486</v>
      </c>
      <c r="E1471" t="s">
        <v>32486</v>
      </c>
      <c r="F1471" t="s">
        <v>32486</v>
      </c>
      <c r="G1471" t="s">
        <v>32486</v>
      </c>
      <c r="H1471" t="s">
        <v>51</v>
      </c>
      <c r="I1471" t="s">
        <v>52</v>
      </c>
      <c r="J1471" t="str">
        <f>"5001073"</f>
        <v>5001073</v>
      </c>
      <c r="K1471">
        <v>2821028553</v>
      </c>
      <c r="M1471" t="s">
        <v>33209</v>
      </c>
      <c r="N1471" t="s">
        <v>32489</v>
      </c>
      <c r="O1471" t="s">
        <v>33210</v>
      </c>
      <c r="P1471">
        <v>73133</v>
      </c>
      <c r="Q1471" t="str">
        <f>"35.533841"</f>
        <v>35.533841</v>
      </c>
      <c r="R1471" t="str">
        <f>"24.051478"</f>
        <v>24.051478</v>
      </c>
      <c r="S1471" t="s">
        <v>26</v>
      </c>
    </row>
    <row r="1472" spans="1:19" x14ac:dyDescent="0.3">
      <c r="A1472" t="s">
        <v>32470</v>
      </c>
      <c r="B1472" t="s">
        <v>33207</v>
      </c>
      <c r="C1472" t="s">
        <v>33213</v>
      </c>
      <c r="D1472" t="s">
        <v>32486</v>
      </c>
      <c r="E1472" t="s">
        <v>20356</v>
      </c>
      <c r="F1472" t="s">
        <v>33212</v>
      </c>
      <c r="G1472" t="s">
        <v>33212</v>
      </c>
      <c r="H1472" t="s">
        <v>51</v>
      </c>
      <c r="I1472" t="s">
        <v>52</v>
      </c>
      <c r="J1472" t="str">
        <f>"5007010"</f>
        <v>5007010</v>
      </c>
      <c r="K1472">
        <v>2824022241</v>
      </c>
      <c r="L1472">
        <v>2824022511</v>
      </c>
      <c r="M1472" t="s">
        <v>33214</v>
      </c>
      <c r="O1472" t="s">
        <v>33215</v>
      </c>
      <c r="P1472">
        <v>73006</v>
      </c>
      <c r="Q1472" t="str">
        <f>"35.537923"</f>
        <v>35.537923</v>
      </c>
      <c r="R1472" t="str">
        <f>"23.780395"</f>
        <v>23.780395</v>
      </c>
      <c r="S1472" t="s">
        <v>26</v>
      </c>
    </row>
    <row r="1473" spans="1:19" x14ac:dyDescent="0.3">
      <c r="A1473" t="s">
        <v>32470</v>
      </c>
      <c r="B1473" t="s">
        <v>33207</v>
      </c>
      <c r="C1473" t="s">
        <v>33227</v>
      </c>
      <c r="D1473" t="s">
        <v>32486</v>
      </c>
      <c r="E1473" t="s">
        <v>32486</v>
      </c>
      <c r="F1473" t="s">
        <v>32486</v>
      </c>
      <c r="G1473" t="s">
        <v>32486</v>
      </c>
      <c r="H1473" t="s">
        <v>51</v>
      </c>
      <c r="I1473" t="s">
        <v>184</v>
      </c>
      <c r="J1473" t="str">
        <f>"5001015"</f>
        <v>5001015</v>
      </c>
      <c r="K1473">
        <v>2821043161</v>
      </c>
      <c r="L1473">
        <v>2821043161</v>
      </c>
      <c r="M1473" t="s">
        <v>33228</v>
      </c>
      <c r="N1473" t="s">
        <v>32489</v>
      </c>
      <c r="O1473" t="s">
        <v>33229</v>
      </c>
      <c r="P1473">
        <v>73100</v>
      </c>
      <c r="Q1473" t="str">
        <f>"35.513293"</f>
        <v>35.513293</v>
      </c>
      <c r="R1473" t="str">
        <f>"24.036861"</f>
        <v>24.036861</v>
      </c>
      <c r="S1473" t="s">
        <v>26</v>
      </c>
    </row>
    <row r="1474" spans="1:19" x14ac:dyDescent="0.3">
      <c r="A1474" t="s">
        <v>32470</v>
      </c>
      <c r="B1474" t="s">
        <v>33207</v>
      </c>
      <c r="C1474" t="s">
        <v>33318</v>
      </c>
      <c r="D1474" t="s">
        <v>32486</v>
      </c>
      <c r="E1474" t="s">
        <v>33218</v>
      </c>
      <c r="F1474" t="s">
        <v>33239</v>
      </c>
      <c r="G1474" t="s">
        <v>33240</v>
      </c>
      <c r="H1474" t="s">
        <v>51</v>
      </c>
      <c r="I1474" t="s">
        <v>52</v>
      </c>
      <c r="J1474" t="str">
        <f>"5003010"</f>
        <v>5003010</v>
      </c>
      <c r="K1474">
        <v>2823022716</v>
      </c>
      <c r="L1474">
        <v>2823022716</v>
      </c>
      <c r="M1474" t="s">
        <v>33319</v>
      </c>
      <c r="N1474" t="s">
        <v>33320</v>
      </c>
      <c r="O1474" t="s">
        <v>33320</v>
      </c>
      <c r="P1474">
        <v>73004</v>
      </c>
      <c r="Q1474" t="str">
        <f>"35.328239"</f>
        <v>35.328239</v>
      </c>
      <c r="R1474" t="str">
        <f>"23.745364"</f>
        <v>23.745364</v>
      </c>
      <c r="S1474" t="s">
        <v>57</v>
      </c>
    </row>
    <row r="1475" spans="1:19" x14ac:dyDescent="0.3">
      <c r="A1475" t="s">
        <v>32470</v>
      </c>
      <c r="B1475" t="s">
        <v>33207</v>
      </c>
      <c r="C1475" t="s">
        <v>33321</v>
      </c>
      <c r="D1475" t="s">
        <v>32486</v>
      </c>
      <c r="E1475" t="s">
        <v>32486</v>
      </c>
      <c r="F1475" t="s">
        <v>32486</v>
      </c>
      <c r="G1475" t="s">
        <v>32486</v>
      </c>
      <c r="H1475" t="s">
        <v>51</v>
      </c>
      <c r="I1475" t="s">
        <v>52</v>
      </c>
      <c r="J1475" t="str">
        <f>"5001060"</f>
        <v>5001060</v>
      </c>
      <c r="K1475">
        <v>2821091763</v>
      </c>
      <c r="L1475">
        <v>2821091763</v>
      </c>
      <c r="M1475" t="s">
        <v>33322</v>
      </c>
      <c r="N1475" t="s">
        <v>33315</v>
      </c>
      <c r="O1475" t="s">
        <v>33316</v>
      </c>
      <c r="P1475">
        <v>73131</v>
      </c>
      <c r="Q1475" t="str">
        <f>"35.516822"</f>
        <v>35.516822</v>
      </c>
      <c r="R1475" t="str">
        <f>"24.011495"</f>
        <v>24.011495</v>
      </c>
      <c r="S1475" t="s">
        <v>26</v>
      </c>
    </row>
    <row r="1476" spans="1:19" x14ac:dyDescent="0.3">
      <c r="A1476" t="s">
        <v>32470</v>
      </c>
      <c r="B1476" t="s">
        <v>33207</v>
      </c>
      <c r="C1476" t="s">
        <v>33323</v>
      </c>
      <c r="D1476" t="s">
        <v>32486</v>
      </c>
      <c r="E1476" t="s">
        <v>32486</v>
      </c>
      <c r="F1476" t="s">
        <v>32486</v>
      </c>
      <c r="G1476" t="s">
        <v>32486</v>
      </c>
      <c r="H1476" t="s">
        <v>51</v>
      </c>
      <c r="I1476" t="s">
        <v>52</v>
      </c>
      <c r="J1476" t="str">
        <f>"5001040"</f>
        <v>5001040</v>
      </c>
      <c r="K1476">
        <v>2821088010</v>
      </c>
      <c r="L1476">
        <v>2821088010</v>
      </c>
      <c r="M1476" t="s">
        <v>33324</v>
      </c>
      <c r="N1476" t="s">
        <v>32486</v>
      </c>
      <c r="O1476" t="s">
        <v>33325</v>
      </c>
      <c r="P1476">
        <v>73134</v>
      </c>
      <c r="Q1476" t="str">
        <f>"35.506671"</f>
        <v>35.506671</v>
      </c>
      <c r="R1476" t="str">
        <f>"24.023652"</f>
        <v>24.023652</v>
      </c>
      <c r="S1476" t="s">
        <v>26</v>
      </c>
    </row>
    <row r="1477" spans="1:19" x14ac:dyDescent="0.3">
      <c r="A1477" t="s">
        <v>32470</v>
      </c>
      <c r="B1477" t="s">
        <v>33207</v>
      </c>
      <c r="C1477" t="s">
        <v>33327</v>
      </c>
      <c r="D1477" t="s">
        <v>32486</v>
      </c>
      <c r="E1477" t="s">
        <v>33218</v>
      </c>
      <c r="F1477" t="s">
        <v>33219</v>
      </c>
      <c r="G1477" t="s">
        <v>27503</v>
      </c>
      <c r="H1477" t="s">
        <v>51</v>
      </c>
      <c r="I1477" t="s">
        <v>52</v>
      </c>
      <c r="J1477" t="str">
        <f>"5005010"</f>
        <v>5005010</v>
      </c>
      <c r="K1477">
        <v>2823041217</v>
      </c>
      <c r="L1477">
        <v>2823041217</v>
      </c>
      <c r="M1477" t="s">
        <v>33328</v>
      </c>
      <c r="N1477" t="s">
        <v>33222</v>
      </c>
      <c r="O1477" t="s">
        <v>33222</v>
      </c>
      <c r="P1477">
        <v>73001</v>
      </c>
      <c r="Q1477" t="str">
        <f>"35.233120"</f>
        <v>35.233120</v>
      </c>
      <c r="R1477" t="str">
        <f>"23.681965"</f>
        <v>23.681965</v>
      </c>
      <c r="S1477" t="s">
        <v>57</v>
      </c>
    </row>
    <row r="1478" spans="1:19" x14ac:dyDescent="0.3">
      <c r="A1478" t="s">
        <v>32470</v>
      </c>
      <c r="B1478" t="s">
        <v>33207</v>
      </c>
      <c r="C1478" t="s">
        <v>33329</v>
      </c>
      <c r="D1478" t="s">
        <v>32486</v>
      </c>
      <c r="E1478" t="s">
        <v>32486</v>
      </c>
      <c r="F1478" t="s">
        <v>32486</v>
      </c>
      <c r="G1478" t="s">
        <v>32486</v>
      </c>
      <c r="H1478" t="s">
        <v>51</v>
      </c>
      <c r="I1478" t="s">
        <v>52</v>
      </c>
      <c r="J1478" t="str">
        <f>"5001050"</f>
        <v>5001050</v>
      </c>
      <c r="K1478">
        <v>2821088012</v>
      </c>
      <c r="L1478">
        <v>2821088012</v>
      </c>
      <c r="M1478" t="s">
        <v>33330</v>
      </c>
      <c r="N1478" t="s">
        <v>32486</v>
      </c>
      <c r="O1478" t="s">
        <v>33325</v>
      </c>
      <c r="P1478">
        <v>73135</v>
      </c>
      <c r="Q1478" t="str">
        <f>"35.506611"</f>
        <v>35.506611</v>
      </c>
      <c r="R1478" t="str">
        <f>"24.023918"</f>
        <v>24.023918</v>
      </c>
      <c r="S1478" t="s">
        <v>26</v>
      </c>
    </row>
    <row r="1479" spans="1:19" x14ac:dyDescent="0.3">
      <c r="A1479" t="s">
        <v>32470</v>
      </c>
      <c r="B1479" t="s">
        <v>33207</v>
      </c>
      <c r="C1479" t="s">
        <v>33331</v>
      </c>
      <c r="D1479" t="s">
        <v>32486</v>
      </c>
      <c r="E1479" t="s">
        <v>33231</v>
      </c>
      <c r="F1479" t="s">
        <v>33286</v>
      </c>
      <c r="G1479" t="s">
        <v>33286</v>
      </c>
      <c r="H1479" t="s">
        <v>51</v>
      </c>
      <c r="I1479" t="s">
        <v>52</v>
      </c>
      <c r="J1479" t="str">
        <f>"5002010"</f>
        <v>5002010</v>
      </c>
      <c r="K1479">
        <v>2825022249</v>
      </c>
      <c r="L1479">
        <v>2825022249</v>
      </c>
      <c r="M1479" t="s">
        <v>33332</v>
      </c>
      <c r="N1479" t="s">
        <v>33289</v>
      </c>
      <c r="O1479" t="s">
        <v>33333</v>
      </c>
      <c r="P1479">
        <v>73008</v>
      </c>
      <c r="Q1479" t="str">
        <f>"35.405935"</f>
        <v>35.405935</v>
      </c>
      <c r="R1479" t="str">
        <f>"24.198942"</f>
        <v>24.198942</v>
      </c>
      <c r="S1479" t="s">
        <v>26</v>
      </c>
    </row>
    <row r="1480" spans="1:19" x14ac:dyDescent="0.3">
      <c r="A1480" t="s">
        <v>32470</v>
      </c>
      <c r="B1480" t="s">
        <v>33207</v>
      </c>
      <c r="C1480" t="s">
        <v>33339</v>
      </c>
      <c r="D1480" t="s">
        <v>32486</v>
      </c>
      <c r="E1480" t="s">
        <v>32486</v>
      </c>
      <c r="F1480" t="s">
        <v>33262</v>
      </c>
      <c r="G1480" t="s">
        <v>33262</v>
      </c>
      <c r="H1480" t="s">
        <v>51</v>
      </c>
      <c r="I1480" t="s">
        <v>52</v>
      </c>
      <c r="J1480" t="str">
        <f>"5011010"</f>
        <v>5011010</v>
      </c>
      <c r="K1480">
        <v>2821081330</v>
      </c>
      <c r="M1480" t="s">
        <v>33340</v>
      </c>
      <c r="N1480" t="s">
        <v>33265</v>
      </c>
      <c r="O1480" t="s">
        <v>33341</v>
      </c>
      <c r="P1480">
        <v>73200</v>
      </c>
      <c r="Q1480" t="str">
        <f>"35.488309"</f>
        <v>35.488309</v>
      </c>
      <c r="R1480" t="str">
        <f>"24.067491"</f>
        <v>24.067491</v>
      </c>
      <c r="S1480" t="s">
        <v>26</v>
      </c>
    </row>
    <row r="1481" spans="1:19" x14ac:dyDescent="0.3">
      <c r="A1481" t="s">
        <v>32470</v>
      </c>
      <c r="B1481" t="s">
        <v>33207</v>
      </c>
      <c r="C1481" t="s">
        <v>33342</v>
      </c>
      <c r="D1481" t="s">
        <v>32486</v>
      </c>
      <c r="E1481" t="s">
        <v>33276</v>
      </c>
      <c r="F1481" t="s">
        <v>33276</v>
      </c>
      <c r="G1481" t="s">
        <v>33277</v>
      </c>
      <c r="H1481" t="s">
        <v>51</v>
      </c>
      <c r="I1481" t="s">
        <v>52</v>
      </c>
      <c r="J1481" t="str">
        <f>"5008010"</f>
        <v>5008010</v>
      </c>
      <c r="K1481">
        <v>2825091207</v>
      </c>
      <c r="L1481">
        <v>2825091207</v>
      </c>
      <c r="M1481" t="s">
        <v>33343</v>
      </c>
      <c r="N1481" t="s">
        <v>33344</v>
      </c>
      <c r="O1481" t="s">
        <v>33281</v>
      </c>
      <c r="P1481">
        <v>73011</v>
      </c>
      <c r="Q1481" t="str">
        <f>"35.202269"</f>
        <v>35.202269</v>
      </c>
      <c r="R1481" t="str">
        <f>"24.139840"</f>
        <v>24.139840</v>
      </c>
      <c r="S1481" t="s">
        <v>57</v>
      </c>
    </row>
    <row r="1482" spans="1:19" x14ac:dyDescent="0.3">
      <c r="A1482" t="s">
        <v>32470</v>
      </c>
      <c r="B1482" t="s">
        <v>33207</v>
      </c>
      <c r="C1482" t="s">
        <v>33345</v>
      </c>
      <c r="D1482" t="s">
        <v>32486</v>
      </c>
      <c r="E1482" t="s">
        <v>20356</v>
      </c>
      <c r="F1482" t="s">
        <v>20356</v>
      </c>
      <c r="G1482" t="s">
        <v>20356</v>
      </c>
      <c r="H1482" t="s">
        <v>51</v>
      </c>
      <c r="I1482" t="s">
        <v>52</v>
      </c>
      <c r="J1482" t="str">
        <f>"5001080"</f>
        <v>5001080</v>
      </c>
      <c r="K1482">
        <v>2821068020</v>
      </c>
      <c r="L1482">
        <v>2821068020</v>
      </c>
      <c r="M1482" t="s">
        <v>33346</v>
      </c>
      <c r="N1482" t="s">
        <v>33347</v>
      </c>
      <c r="O1482" t="s">
        <v>20356</v>
      </c>
      <c r="P1482">
        <v>73014</v>
      </c>
      <c r="Q1482" t="str">
        <f>"35.517898"</f>
        <v>35.517898</v>
      </c>
      <c r="R1482" t="str">
        <f>"23.898545"</f>
        <v>23.898545</v>
      </c>
      <c r="S1482" t="s">
        <v>26</v>
      </c>
    </row>
    <row r="1483" spans="1:19" x14ac:dyDescent="0.3">
      <c r="A1483" t="s">
        <v>32470</v>
      </c>
      <c r="B1483" t="s">
        <v>33207</v>
      </c>
      <c r="C1483" t="s">
        <v>33349</v>
      </c>
      <c r="D1483" t="s">
        <v>32486</v>
      </c>
      <c r="E1483" t="s">
        <v>20356</v>
      </c>
      <c r="F1483" t="s">
        <v>33294</v>
      </c>
      <c r="G1483" t="s">
        <v>33295</v>
      </c>
      <c r="H1483" t="s">
        <v>51</v>
      </c>
      <c r="I1483" t="s">
        <v>52</v>
      </c>
      <c r="J1483" t="str">
        <f>"5009010"</f>
        <v>5009010</v>
      </c>
      <c r="K1483">
        <v>2821077212</v>
      </c>
      <c r="L1483">
        <v>2821077212</v>
      </c>
      <c r="M1483" t="s">
        <v>33350</v>
      </c>
      <c r="N1483" t="s">
        <v>33351</v>
      </c>
      <c r="O1483" t="s">
        <v>33351</v>
      </c>
      <c r="P1483">
        <v>73005</v>
      </c>
      <c r="Q1483" t="str">
        <f>"35.452948"</f>
        <v>35.452948</v>
      </c>
      <c r="R1483" t="str">
        <f>"23.916213"</f>
        <v>23.916213</v>
      </c>
      <c r="S1483" t="s">
        <v>26</v>
      </c>
    </row>
    <row r="1484" spans="1:19" x14ac:dyDescent="0.3">
      <c r="A1484" t="s">
        <v>32470</v>
      </c>
      <c r="B1484" t="s">
        <v>33207</v>
      </c>
      <c r="C1484" t="s">
        <v>33353</v>
      </c>
      <c r="D1484" t="s">
        <v>32486</v>
      </c>
      <c r="E1484" t="s">
        <v>33231</v>
      </c>
      <c r="F1484" t="s">
        <v>33232</v>
      </c>
      <c r="G1484" t="s">
        <v>33233</v>
      </c>
      <c r="H1484" t="s">
        <v>51</v>
      </c>
      <c r="I1484" t="s">
        <v>52</v>
      </c>
      <c r="J1484" t="str">
        <f>"5010010"</f>
        <v>5010010</v>
      </c>
      <c r="K1484">
        <v>2825051288</v>
      </c>
      <c r="L1484">
        <v>2825051288</v>
      </c>
      <c r="M1484" t="s">
        <v>33354</v>
      </c>
      <c r="N1484" t="s">
        <v>33355</v>
      </c>
      <c r="O1484" t="s">
        <v>33237</v>
      </c>
      <c r="P1484">
        <v>73007</v>
      </c>
      <c r="Q1484" t="str">
        <f>"35.369261"</f>
        <v>35.369261</v>
      </c>
      <c r="R1484" t="str">
        <f>"24.191717"</f>
        <v>24.191717</v>
      </c>
      <c r="S1484" t="s">
        <v>26</v>
      </c>
    </row>
    <row r="1485" spans="1:19" x14ac:dyDescent="0.3">
      <c r="A1485" t="s">
        <v>32470</v>
      </c>
      <c r="B1485" t="s">
        <v>33207</v>
      </c>
      <c r="C1485" t="s">
        <v>33356</v>
      </c>
      <c r="D1485" t="s">
        <v>32486</v>
      </c>
      <c r="E1485" t="s">
        <v>33301</v>
      </c>
      <c r="F1485" t="s">
        <v>33301</v>
      </c>
      <c r="G1485" t="s">
        <v>33301</v>
      </c>
      <c r="H1485" t="s">
        <v>51</v>
      </c>
      <c r="I1485" t="s">
        <v>52</v>
      </c>
      <c r="J1485" t="str">
        <f>"5004010"</f>
        <v>5004010</v>
      </c>
      <c r="K1485">
        <v>2822022067</v>
      </c>
      <c r="M1485" t="s">
        <v>33357</v>
      </c>
      <c r="N1485" t="s">
        <v>33358</v>
      </c>
      <c r="O1485" t="s">
        <v>33359</v>
      </c>
      <c r="P1485">
        <v>73400</v>
      </c>
      <c r="Q1485" t="str">
        <f>"35.492760"</f>
        <v>35.492760</v>
      </c>
      <c r="R1485" t="str">
        <f>"23.660055"</f>
        <v>23.660055</v>
      </c>
      <c r="S1485" t="s">
        <v>26</v>
      </c>
    </row>
    <row r="1486" spans="1:19" x14ac:dyDescent="0.3">
      <c r="A1486" t="s">
        <v>32470</v>
      </c>
      <c r="B1486" t="s">
        <v>33207</v>
      </c>
      <c r="C1486" t="s">
        <v>33361</v>
      </c>
      <c r="D1486" t="s">
        <v>32486</v>
      </c>
      <c r="E1486" t="s">
        <v>32486</v>
      </c>
      <c r="F1486" t="s">
        <v>13933</v>
      </c>
      <c r="G1486" t="s">
        <v>33360</v>
      </c>
      <c r="H1486" t="s">
        <v>51</v>
      </c>
      <c r="I1486" t="s">
        <v>52</v>
      </c>
      <c r="J1486" t="str">
        <f>"5001070"</f>
        <v>5001070</v>
      </c>
      <c r="K1486">
        <v>2821088045</v>
      </c>
      <c r="L1486">
        <v>2821095830</v>
      </c>
      <c r="M1486" t="s">
        <v>33362</v>
      </c>
      <c r="N1486" t="s">
        <v>15535</v>
      </c>
      <c r="O1486" t="s">
        <v>33363</v>
      </c>
      <c r="P1486">
        <v>73100</v>
      </c>
      <c r="Q1486" t="str">
        <f>"35.495297"</f>
        <v>35.495297</v>
      </c>
      <c r="R1486" t="str">
        <f>"24.030470"</f>
        <v>24.030470</v>
      </c>
      <c r="S1486" t="s">
        <v>26</v>
      </c>
    </row>
    <row r="1487" spans="1:19" x14ac:dyDescent="0.3">
      <c r="A1487" t="s">
        <v>32470</v>
      </c>
      <c r="B1487" t="s">
        <v>33207</v>
      </c>
      <c r="C1487" t="s">
        <v>33364</v>
      </c>
      <c r="D1487" t="s">
        <v>32486</v>
      </c>
      <c r="E1487" t="s">
        <v>32486</v>
      </c>
      <c r="F1487" t="s">
        <v>32486</v>
      </c>
      <c r="G1487" t="s">
        <v>32486</v>
      </c>
      <c r="H1487" t="s">
        <v>51</v>
      </c>
      <c r="I1487" t="s">
        <v>52</v>
      </c>
      <c r="J1487" t="str">
        <f>"5001010"</f>
        <v>5001010</v>
      </c>
      <c r="K1487">
        <v>2821052130</v>
      </c>
      <c r="M1487" t="s">
        <v>33365</v>
      </c>
      <c r="N1487" t="s">
        <v>32489</v>
      </c>
      <c r="O1487" t="s">
        <v>30620</v>
      </c>
      <c r="P1487">
        <v>73132</v>
      </c>
      <c r="Q1487" t="str">
        <f>"35.514951"</f>
        <v>35.514951</v>
      </c>
      <c r="R1487" t="str">
        <f>"24.021515"</f>
        <v>24.021515</v>
      </c>
      <c r="S1487" t="s">
        <v>26</v>
      </c>
    </row>
    <row r="1488" spans="1:19" x14ac:dyDescent="0.3">
      <c r="A1488" t="s">
        <v>32470</v>
      </c>
      <c r="B1488" t="s">
        <v>33207</v>
      </c>
      <c r="C1488" t="s">
        <v>33367</v>
      </c>
      <c r="D1488" t="s">
        <v>32486</v>
      </c>
      <c r="E1488" t="s">
        <v>33301</v>
      </c>
      <c r="F1488" t="s">
        <v>33301</v>
      </c>
      <c r="G1488" t="s">
        <v>33301</v>
      </c>
      <c r="H1488" t="s">
        <v>51</v>
      </c>
      <c r="I1488" t="s">
        <v>52</v>
      </c>
      <c r="J1488" t="str">
        <f>"5004020"</f>
        <v>5004020</v>
      </c>
      <c r="K1488">
        <v>2822022103</v>
      </c>
      <c r="L1488">
        <v>2822022103</v>
      </c>
      <c r="M1488" t="s">
        <v>33368</v>
      </c>
      <c r="N1488" t="s">
        <v>33369</v>
      </c>
      <c r="O1488" t="s">
        <v>33370</v>
      </c>
      <c r="P1488">
        <v>73400</v>
      </c>
      <c r="Q1488" t="str">
        <f>"35.489294"</f>
        <v>35.489294</v>
      </c>
      <c r="R1488" t="str">
        <f>"23.655420"</f>
        <v>23.655420</v>
      </c>
      <c r="S1488" t="s">
        <v>26</v>
      </c>
    </row>
    <row r="1489" spans="1:19" x14ac:dyDescent="0.3">
      <c r="A1489" t="s">
        <v>32470</v>
      </c>
      <c r="B1489" t="s">
        <v>33207</v>
      </c>
      <c r="C1489" t="s">
        <v>33374</v>
      </c>
      <c r="D1489" t="s">
        <v>32486</v>
      </c>
      <c r="E1489" t="s">
        <v>32486</v>
      </c>
      <c r="F1489" t="s">
        <v>33372</v>
      </c>
      <c r="G1489" t="s">
        <v>33373</v>
      </c>
      <c r="H1489" t="s">
        <v>51</v>
      </c>
      <c r="I1489" t="s">
        <v>52</v>
      </c>
      <c r="J1489" t="str">
        <f>"5012010"</f>
        <v>5012010</v>
      </c>
      <c r="K1489">
        <v>2821033195</v>
      </c>
      <c r="L1489">
        <v>2821033195</v>
      </c>
      <c r="M1489" t="s">
        <v>33375</v>
      </c>
      <c r="N1489" t="s">
        <v>33376</v>
      </c>
      <c r="O1489" t="s">
        <v>33377</v>
      </c>
      <c r="P1489">
        <v>73100</v>
      </c>
      <c r="Q1489" t="str">
        <f>"35.499508"</f>
        <v>35.499508</v>
      </c>
      <c r="R1489" t="str">
        <f>"23.974438"</f>
        <v>23.974438</v>
      </c>
      <c r="S1489" t="s">
        <v>26</v>
      </c>
    </row>
    <row r="1490" spans="1:19" x14ac:dyDescent="0.3">
      <c r="A1490" t="s">
        <v>32470</v>
      </c>
      <c r="B1490" t="s">
        <v>33207</v>
      </c>
      <c r="C1490" t="s">
        <v>33383</v>
      </c>
      <c r="D1490" t="s">
        <v>32486</v>
      </c>
      <c r="E1490" t="s">
        <v>32486</v>
      </c>
      <c r="F1490" t="s">
        <v>32486</v>
      </c>
      <c r="G1490" t="s">
        <v>32486</v>
      </c>
      <c r="H1490" t="s">
        <v>51</v>
      </c>
      <c r="I1490" t="s">
        <v>52</v>
      </c>
      <c r="J1490" t="str">
        <f>"5001020"</f>
        <v>5001020</v>
      </c>
      <c r="K1490">
        <v>2821042664</v>
      </c>
      <c r="L1490">
        <v>2821050211</v>
      </c>
      <c r="M1490" t="s">
        <v>33384</v>
      </c>
      <c r="N1490" t="s">
        <v>32489</v>
      </c>
      <c r="O1490" t="s">
        <v>28777</v>
      </c>
      <c r="P1490">
        <v>73132</v>
      </c>
      <c r="Q1490" t="str">
        <f>"35.514224"</f>
        <v>35.514224</v>
      </c>
      <c r="R1490" t="str">
        <f>"24.026291"</f>
        <v>24.026291</v>
      </c>
      <c r="S1490" t="s">
        <v>26</v>
      </c>
    </row>
    <row r="1491" spans="1:19" x14ac:dyDescent="0.3">
      <c r="A1491" t="s">
        <v>32470</v>
      </c>
      <c r="B1491" t="s">
        <v>33207</v>
      </c>
      <c r="C1491" t="s">
        <v>33385</v>
      </c>
      <c r="D1491" t="s">
        <v>32486</v>
      </c>
      <c r="E1491" t="s">
        <v>20356</v>
      </c>
      <c r="F1491" t="s">
        <v>33307</v>
      </c>
      <c r="G1491" t="s">
        <v>33307</v>
      </c>
      <c r="H1491" t="s">
        <v>51</v>
      </c>
      <c r="I1491" t="s">
        <v>52</v>
      </c>
      <c r="J1491" t="str">
        <f>"5006010"</f>
        <v>5006010</v>
      </c>
      <c r="K1491">
        <v>2824031620</v>
      </c>
      <c r="L1491">
        <v>2824031620</v>
      </c>
      <c r="M1491" t="s">
        <v>33386</v>
      </c>
      <c r="N1491" t="s">
        <v>33311</v>
      </c>
      <c r="O1491" t="s">
        <v>33310</v>
      </c>
      <c r="P1491">
        <v>73002</v>
      </c>
      <c r="Q1491" t="str">
        <f>"35.468607"</f>
        <v>35.468607</v>
      </c>
      <c r="R1491" t="str">
        <f>"23.802057"</f>
        <v>23.802057</v>
      </c>
      <c r="S1491" t="s">
        <v>26</v>
      </c>
    </row>
    <row r="1492" spans="1:19" x14ac:dyDescent="0.3">
      <c r="A1492" t="s">
        <v>32470</v>
      </c>
      <c r="B1492" t="s">
        <v>33207</v>
      </c>
      <c r="C1492" t="s">
        <v>33389</v>
      </c>
      <c r="D1492" t="s">
        <v>32486</v>
      </c>
      <c r="E1492" t="s">
        <v>32486</v>
      </c>
      <c r="F1492" t="s">
        <v>33268</v>
      </c>
      <c r="G1492" t="s">
        <v>33269</v>
      </c>
      <c r="H1492" t="s">
        <v>51</v>
      </c>
      <c r="I1492" t="s">
        <v>52</v>
      </c>
      <c r="J1492" t="str">
        <f>"5001075"</f>
        <v>5001075</v>
      </c>
      <c r="K1492">
        <v>2821064200</v>
      </c>
      <c r="L1492">
        <v>2821064200</v>
      </c>
      <c r="M1492" t="s">
        <v>33390</v>
      </c>
      <c r="N1492" t="s">
        <v>33391</v>
      </c>
      <c r="O1492" t="s">
        <v>33392</v>
      </c>
      <c r="P1492">
        <v>73100</v>
      </c>
      <c r="Q1492" t="str">
        <f>"35.526867"</f>
        <v>35.526867</v>
      </c>
      <c r="R1492" t="str">
        <f>"24.079804"</f>
        <v>24.079804</v>
      </c>
      <c r="S1492" t="s">
        <v>26</v>
      </c>
    </row>
    <row r="1493" spans="1:19" x14ac:dyDescent="0.3">
      <c r="A1493" t="s">
        <v>32470</v>
      </c>
      <c r="B1493" t="s">
        <v>33207</v>
      </c>
      <c r="C1493" t="s">
        <v>33397</v>
      </c>
      <c r="D1493" t="s">
        <v>32486</v>
      </c>
      <c r="E1493" t="s">
        <v>32486</v>
      </c>
      <c r="F1493" t="s">
        <v>13933</v>
      </c>
      <c r="G1493" t="s">
        <v>33253</v>
      </c>
      <c r="H1493" t="s">
        <v>51</v>
      </c>
      <c r="I1493" t="s">
        <v>52</v>
      </c>
      <c r="J1493" t="str">
        <f>"5001076"</f>
        <v>5001076</v>
      </c>
      <c r="K1493">
        <v>2821088808</v>
      </c>
      <c r="L1493">
        <v>2821088808</v>
      </c>
      <c r="M1493" t="s">
        <v>33398</v>
      </c>
      <c r="N1493" t="s">
        <v>33399</v>
      </c>
      <c r="O1493" t="s">
        <v>33400</v>
      </c>
      <c r="P1493">
        <v>73300</v>
      </c>
      <c r="Q1493" t="str">
        <f>"35.483548"</f>
        <v>35.483548</v>
      </c>
      <c r="R1493" t="str">
        <f>"24.016155"</f>
        <v>24.016155</v>
      </c>
      <c r="S1493" t="s">
        <v>26</v>
      </c>
    </row>
    <row r="1494" spans="1:19" x14ac:dyDescent="0.3">
      <c r="A1494" t="s">
        <v>32470</v>
      </c>
      <c r="B1494" t="s">
        <v>33207</v>
      </c>
      <c r="C1494" t="s">
        <v>33401</v>
      </c>
      <c r="D1494" t="s">
        <v>32486</v>
      </c>
      <c r="E1494" t="s">
        <v>32486</v>
      </c>
      <c r="F1494" t="s">
        <v>32486</v>
      </c>
      <c r="G1494" t="s">
        <v>32486</v>
      </c>
      <c r="H1494" t="s">
        <v>51</v>
      </c>
      <c r="I1494" t="s">
        <v>52</v>
      </c>
      <c r="J1494" t="str">
        <f>"5001072"</f>
        <v>5001072</v>
      </c>
      <c r="K1494">
        <v>2821028719</v>
      </c>
      <c r="L1494">
        <v>2821055471</v>
      </c>
      <c r="M1494" t="s">
        <v>33402</v>
      </c>
      <c r="N1494" t="s">
        <v>32489</v>
      </c>
      <c r="O1494" t="s">
        <v>33229</v>
      </c>
      <c r="P1494">
        <v>73133</v>
      </c>
      <c r="Q1494" t="str">
        <f>"35.512341"</f>
        <v>35.512341</v>
      </c>
      <c r="R1494" t="str">
        <f>"24.037129"</f>
        <v>24.037129</v>
      </c>
      <c r="S1494" t="s">
        <v>26</v>
      </c>
    </row>
    <row r="1495" spans="1:19" x14ac:dyDescent="0.3">
      <c r="A1495" t="s">
        <v>32470</v>
      </c>
      <c r="B1495" t="s">
        <v>33207</v>
      </c>
      <c r="C1495" t="s">
        <v>33415</v>
      </c>
      <c r="D1495" t="s">
        <v>32486</v>
      </c>
      <c r="E1495" t="s">
        <v>32486</v>
      </c>
      <c r="F1495" t="s">
        <v>32486</v>
      </c>
      <c r="G1495" t="s">
        <v>32486</v>
      </c>
      <c r="H1495" t="s">
        <v>51</v>
      </c>
      <c r="I1495" t="s">
        <v>190</v>
      </c>
      <c r="J1495" t="str">
        <f>"5012017"</f>
        <v>5012017</v>
      </c>
      <c r="K1495">
        <v>2821088065</v>
      </c>
      <c r="L1495">
        <v>2821088065</v>
      </c>
      <c r="M1495" t="s">
        <v>33416</v>
      </c>
      <c r="N1495" t="s">
        <v>32489</v>
      </c>
      <c r="O1495" t="s">
        <v>33417</v>
      </c>
      <c r="P1495">
        <v>73134</v>
      </c>
      <c r="Q1495" t="str">
        <f>"35.523366"</f>
        <v>35.523366</v>
      </c>
      <c r="R1495" t="str">
        <f>"24.052069"</f>
        <v>24.052069</v>
      </c>
      <c r="S1495" t="s">
        <v>26</v>
      </c>
    </row>
    <row r="1496" spans="1:19" x14ac:dyDescent="0.3">
      <c r="A1496" t="s">
        <v>32470</v>
      </c>
      <c r="B1496" t="s">
        <v>33207</v>
      </c>
      <c r="C1496" t="s">
        <v>33421</v>
      </c>
      <c r="D1496" t="s">
        <v>32486</v>
      </c>
      <c r="E1496" t="s">
        <v>32486</v>
      </c>
      <c r="F1496" t="s">
        <v>33268</v>
      </c>
      <c r="G1496" t="s">
        <v>33269</v>
      </c>
      <c r="H1496" t="s">
        <v>51</v>
      </c>
      <c r="I1496" t="s">
        <v>52</v>
      </c>
      <c r="J1496" t="str">
        <f>"5035006"</f>
        <v>5035006</v>
      </c>
      <c r="Q1496" t="str">
        <f>""</f>
        <v/>
      </c>
      <c r="R1496" t="str">
        <f>""</f>
        <v/>
      </c>
      <c r="S1496" t="s">
        <v>26</v>
      </c>
    </row>
    <row r="1497" spans="1:19" x14ac:dyDescent="0.3">
      <c r="A1497" t="s">
        <v>32470</v>
      </c>
      <c r="B1497" t="s">
        <v>33207</v>
      </c>
      <c r="C1497" t="s">
        <v>33422</v>
      </c>
      <c r="D1497" t="s">
        <v>32486</v>
      </c>
      <c r="E1497" t="s">
        <v>32486</v>
      </c>
      <c r="F1497" t="s">
        <v>32486</v>
      </c>
      <c r="G1497" t="s">
        <v>32486</v>
      </c>
      <c r="H1497" t="s">
        <v>51</v>
      </c>
      <c r="I1497" t="s">
        <v>199</v>
      </c>
      <c r="J1497" t="str">
        <f>"5011201"</f>
        <v>5011201</v>
      </c>
      <c r="K1497">
        <v>2821087122</v>
      </c>
      <c r="L1497">
        <v>2821090279</v>
      </c>
      <c r="M1497" t="s">
        <v>33423</v>
      </c>
      <c r="N1497" t="s">
        <v>33424</v>
      </c>
      <c r="O1497" t="s">
        <v>33425</v>
      </c>
      <c r="P1497">
        <v>73300</v>
      </c>
      <c r="Q1497" t="str">
        <f>"35.481030"</f>
        <v>35.481030</v>
      </c>
      <c r="R1497" t="str">
        <f>"24.012293"</f>
        <v>24.012293</v>
      </c>
      <c r="S1497" t="s">
        <v>26</v>
      </c>
    </row>
    <row r="1498" spans="1:19" x14ac:dyDescent="0.3">
      <c r="A1498" t="s">
        <v>35638</v>
      </c>
      <c r="B1498" t="s">
        <v>35670</v>
      </c>
      <c r="C1498" t="s">
        <v>35671</v>
      </c>
      <c r="D1498" t="s">
        <v>35651</v>
      </c>
      <c r="E1498" t="s">
        <v>35652</v>
      </c>
      <c r="F1498" t="s">
        <v>35652</v>
      </c>
      <c r="G1498" t="s">
        <v>35652</v>
      </c>
      <c r="H1498" t="s">
        <v>51</v>
      </c>
      <c r="I1498" t="s">
        <v>52</v>
      </c>
      <c r="J1498" t="str">
        <f>"1003090"</f>
        <v>1003090</v>
      </c>
      <c r="K1498">
        <v>2243029717</v>
      </c>
      <c r="L1498">
        <v>2243029717</v>
      </c>
      <c r="M1498" t="s">
        <v>35672</v>
      </c>
      <c r="N1498" t="s">
        <v>35673</v>
      </c>
      <c r="O1498" t="s">
        <v>35674</v>
      </c>
      <c r="P1498">
        <v>85200</v>
      </c>
      <c r="Q1498" t="str">
        <f>"36.964168"</f>
        <v>36.964168</v>
      </c>
      <c r="R1498" t="str">
        <f>"26.961696"</f>
        <v>26.961696</v>
      </c>
      <c r="S1498" t="s">
        <v>26</v>
      </c>
    </row>
    <row r="1499" spans="1:19" x14ac:dyDescent="0.3">
      <c r="A1499" t="s">
        <v>35638</v>
      </c>
      <c r="B1499" t="s">
        <v>35670</v>
      </c>
      <c r="C1499" t="s">
        <v>35678</v>
      </c>
      <c r="D1499" t="s">
        <v>35657</v>
      </c>
      <c r="E1499" t="s">
        <v>35676</v>
      </c>
      <c r="F1499" t="s">
        <v>35676</v>
      </c>
      <c r="G1499" t="s">
        <v>35677</v>
      </c>
      <c r="H1499" t="s">
        <v>51</v>
      </c>
      <c r="I1499" t="s">
        <v>89</v>
      </c>
      <c r="J1499" t="str">
        <f>"1010010"</f>
        <v>1010010</v>
      </c>
      <c r="K1499">
        <v>2242031220</v>
      </c>
      <c r="L1499">
        <v>2242031210</v>
      </c>
      <c r="M1499" t="s">
        <v>35679</v>
      </c>
      <c r="N1499" t="s">
        <v>35680</v>
      </c>
      <c r="O1499" t="s">
        <v>35681</v>
      </c>
      <c r="P1499">
        <v>85303</v>
      </c>
      <c r="Q1499" t="str">
        <f>"36.609649"</f>
        <v>36.609649</v>
      </c>
      <c r="R1499" t="str">
        <f>"27.133250"</f>
        <v>27.133250</v>
      </c>
      <c r="S1499" t="s">
        <v>57</v>
      </c>
    </row>
    <row r="1500" spans="1:19" x14ac:dyDescent="0.3">
      <c r="A1500" t="s">
        <v>35638</v>
      </c>
      <c r="B1500" t="s">
        <v>35670</v>
      </c>
      <c r="C1500" t="s">
        <v>35690</v>
      </c>
      <c r="D1500" t="s">
        <v>35689</v>
      </c>
      <c r="E1500" t="s">
        <v>35689</v>
      </c>
      <c r="F1500" t="s">
        <v>35689</v>
      </c>
      <c r="G1500" t="s">
        <v>35689</v>
      </c>
      <c r="H1500" t="s">
        <v>51</v>
      </c>
      <c r="I1500" t="s">
        <v>52</v>
      </c>
      <c r="J1500" t="str">
        <f>"1004010"</f>
        <v>1004010</v>
      </c>
      <c r="K1500">
        <v>2245031245</v>
      </c>
      <c r="L1500">
        <v>2245031245</v>
      </c>
      <c r="M1500" t="s">
        <v>35691</v>
      </c>
      <c r="N1500" t="s">
        <v>35692</v>
      </c>
      <c r="O1500" t="s">
        <v>35693</v>
      </c>
      <c r="P1500">
        <v>85700</v>
      </c>
      <c r="Q1500" t="str">
        <f>"35.550198"</f>
        <v>35.550198</v>
      </c>
      <c r="R1500" t="str">
        <f>"27.171904"</f>
        <v>27.171904</v>
      </c>
      <c r="S1500" t="s">
        <v>57</v>
      </c>
    </row>
    <row r="1501" spans="1:19" x14ac:dyDescent="0.3">
      <c r="A1501" t="s">
        <v>35638</v>
      </c>
      <c r="B1501" t="s">
        <v>35670</v>
      </c>
      <c r="C1501" t="s">
        <v>35712</v>
      </c>
      <c r="D1501" t="s">
        <v>35651</v>
      </c>
      <c r="E1501" t="s">
        <v>35711</v>
      </c>
      <c r="F1501" t="s">
        <v>35711</v>
      </c>
      <c r="G1501" t="s">
        <v>35711</v>
      </c>
      <c r="H1501" t="s">
        <v>51</v>
      </c>
      <c r="I1501" t="s">
        <v>89</v>
      </c>
      <c r="J1501" t="str">
        <f>"1003060"</f>
        <v>1003060</v>
      </c>
      <c r="K1501">
        <v>2247041203</v>
      </c>
      <c r="L1501">
        <v>2247041203</v>
      </c>
      <c r="M1501" t="s">
        <v>35713</v>
      </c>
      <c r="N1501" t="s">
        <v>35714</v>
      </c>
      <c r="O1501" t="s">
        <v>35714</v>
      </c>
      <c r="P1501">
        <v>85001</v>
      </c>
      <c r="Q1501" t="str">
        <f>"37.297405"</f>
        <v>37.297405</v>
      </c>
      <c r="R1501" t="str">
        <f>"26.773128"</f>
        <v>26.773128</v>
      </c>
      <c r="S1501" t="s">
        <v>57</v>
      </c>
    </row>
    <row r="1502" spans="1:19" x14ac:dyDescent="0.3">
      <c r="A1502" t="s">
        <v>35638</v>
      </c>
      <c r="B1502" t="s">
        <v>35670</v>
      </c>
      <c r="C1502" t="s">
        <v>35808</v>
      </c>
      <c r="D1502" t="s">
        <v>35639</v>
      </c>
      <c r="E1502" t="s">
        <v>35639</v>
      </c>
      <c r="F1502" t="s">
        <v>35639</v>
      </c>
      <c r="G1502" t="s">
        <v>35639</v>
      </c>
      <c r="H1502" t="s">
        <v>51</v>
      </c>
      <c r="I1502" t="s">
        <v>52</v>
      </c>
      <c r="J1502" t="str">
        <f>"1001031"</f>
        <v>1001031</v>
      </c>
      <c r="K1502">
        <v>2241028216</v>
      </c>
      <c r="L1502">
        <v>2241028216</v>
      </c>
      <c r="M1502" t="s">
        <v>35809</v>
      </c>
      <c r="N1502" t="s">
        <v>35703</v>
      </c>
      <c r="O1502" t="s">
        <v>35810</v>
      </c>
      <c r="P1502">
        <v>85132</v>
      </c>
      <c r="Q1502" t="str">
        <f>"36.427163"</f>
        <v>36.427163</v>
      </c>
      <c r="R1502" t="str">
        <f>"28.222488"</f>
        <v>28.222488</v>
      </c>
      <c r="S1502" t="s">
        <v>26</v>
      </c>
    </row>
    <row r="1503" spans="1:19" x14ac:dyDescent="0.3">
      <c r="A1503" t="s">
        <v>35638</v>
      </c>
      <c r="B1503" t="s">
        <v>35670</v>
      </c>
      <c r="C1503" t="s">
        <v>35812</v>
      </c>
      <c r="D1503" t="s">
        <v>35657</v>
      </c>
      <c r="E1503" t="s">
        <v>35657</v>
      </c>
      <c r="F1503" t="s">
        <v>35776</v>
      </c>
      <c r="G1503" t="s">
        <v>35777</v>
      </c>
      <c r="H1503" t="s">
        <v>51</v>
      </c>
      <c r="I1503" t="s">
        <v>52</v>
      </c>
      <c r="J1503" t="str">
        <f>"1012010"</f>
        <v>1012010</v>
      </c>
      <c r="K1503">
        <v>2242051233</v>
      </c>
      <c r="L1503">
        <v>2242051233</v>
      </c>
      <c r="M1503" t="s">
        <v>35813</v>
      </c>
      <c r="N1503" t="s">
        <v>35781</v>
      </c>
      <c r="O1503" t="s">
        <v>35814</v>
      </c>
      <c r="P1503">
        <v>85302</v>
      </c>
      <c r="Q1503" t="str">
        <f>"36.804353"</f>
        <v>36.804353</v>
      </c>
      <c r="R1503" t="str">
        <f>"27.088145"</f>
        <v>27.088145</v>
      </c>
      <c r="S1503" t="s">
        <v>26</v>
      </c>
    </row>
    <row r="1504" spans="1:19" x14ac:dyDescent="0.3">
      <c r="A1504" t="s">
        <v>35638</v>
      </c>
      <c r="B1504" t="s">
        <v>35670</v>
      </c>
      <c r="C1504" t="s">
        <v>35817</v>
      </c>
      <c r="D1504" t="s">
        <v>35639</v>
      </c>
      <c r="E1504" t="s">
        <v>35639</v>
      </c>
      <c r="F1504" t="s">
        <v>35815</v>
      </c>
      <c r="G1504" t="s">
        <v>35816</v>
      </c>
      <c r="H1504" t="s">
        <v>51</v>
      </c>
      <c r="I1504" t="s">
        <v>89</v>
      </c>
      <c r="J1504" t="str">
        <f>"1001021"</f>
        <v>1001021</v>
      </c>
      <c r="K1504">
        <v>2244043221</v>
      </c>
      <c r="L1504">
        <v>2244043630</v>
      </c>
      <c r="M1504" t="s">
        <v>35818</v>
      </c>
      <c r="N1504" t="s">
        <v>35819</v>
      </c>
      <c r="O1504" t="s">
        <v>35820</v>
      </c>
      <c r="P1504">
        <v>85109</v>
      </c>
      <c r="Q1504" t="str">
        <f>"36.022695"</f>
        <v>36.022695</v>
      </c>
      <c r="R1504" t="str">
        <f>"27.924556"</f>
        <v>27.924556</v>
      </c>
      <c r="S1504" t="s">
        <v>57</v>
      </c>
    </row>
    <row r="1505" spans="1:19" x14ac:dyDescent="0.3">
      <c r="A1505" t="s">
        <v>35638</v>
      </c>
      <c r="B1505" t="s">
        <v>35670</v>
      </c>
      <c r="C1505" t="s">
        <v>35822</v>
      </c>
      <c r="D1505" t="s">
        <v>35639</v>
      </c>
      <c r="E1505" t="s">
        <v>35639</v>
      </c>
      <c r="F1505" t="s">
        <v>35639</v>
      </c>
      <c r="G1505" t="s">
        <v>35639</v>
      </c>
      <c r="H1505" t="s">
        <v>51</v>
      </c>
      <c r="I1505" t="s">
        <v>52</v>
      </c>
      <c r="J1505" t="str">
        <f>"1001020"</f>
        <v>1001020</v>
      </c>
      <c r="K1505">
        <v>2241025380</v>
      </c>
      <c r="L1505">
        <v>2241025380</v>
      </c>
      <c r="M1505" t="s">
        <v>35823</v>
      </c>
      <c r="N1505" t="s">
        <v>35703</v>
      </c>
      <c r="O1505" t="s">
        <v>35824</v>
      </c>
      <c r="P1505">
        <v>85132</v>
      </c>
      <c r="Q1505" t="str">
        <f>"36.436793"</f>
        <v>36.436793</v>
      </c>
      <c r="R1505" t="str">
        <f>"28.227892"</f>
        <v>28.227892</v>
      </c>
      <c r="S1505" t="s">
        <v>26</v>
      </c>
    </row>
    <row r="1506" spans="1:19" x14ac:dyDescent="0.3">
      <c r="A1506" t="s">
        <v>35638</v>
      </c>
      <c r="B1506" t="s">
        <v>35670</v>
      </c>
      <c r="C1506" t="s">
        <v>35826</v>
      </c>
      <c r="D1506" t="s">
        <v>35639</v>
      </c>
      <c r="E1506" t="s">
        <v>35639</v>
      </c>
      <c r="F1506" t="s">
        <v>35784</v>
      </c>
      <c r="G1506" t="s">
        <v>35785</v>
      </c>
      <c r="H1506" t="s">
        <v>51</v>
      </c>
      <c r="I1506" t="s">
        <v>52</v>
      </c>
      <c r="J1506" t="str">
        <f>"1001040"</f>
        <v>1001040</v>
      </c>
      <c r="K1506">
        <v>2241041231</v>
      </c>
      <c r="L1506">
        <v>2241098046</v>
      </c>
      <c r="M1506" t="s">
        <v>35827</v>
      </c>
      <c r="N1506" t="s">
        <v>35828</v>
      </c>
      <c r="O1506" t="s">
        <v>35829</v>
      </c>
      <c r="P1506">
        <v>85101</v>
      </c>
      <c r="Q1506" t="str">
        <f>"36.363644"</f>
        <v>36.363644</v>
      </c>
      <c r="R1506" t="str">
        <f>"28.005159"</f>
        <v>28.005159</v>
      </c>
      <c r="S1506" t="s">
        <v>26</v>
      </c>
    </row>
    <row r="1507" spans="1:19" x14ac:dyDescent="0.3">
      <c r="A1507" t="s">
        <v>35638</v>
      </c>
      <c r="B1507" t="s">
        <v>35670</v>
      </c>
      <c r="C1507" t="s">
        <v>35830</v>
      </c>
      <c r="D1507" t="s">
        <v>35639</v>
      </c>
      <c r="E1507" t="s">
        <v>35639</v>
      </c>
      <c r="F1507" t="s">
        <v>29736</v>
      </c>
      <c r="G1507" t="s">
        <v>29736</v>
      </c>
      <c r="H1507" t="s">
        <v>51</v>
      </c>
      <c r="I1507" t="s">
        <v>52</v>
      </c>
      <c r="J1507" t="str">
        <f>"1002010"</f>
        <v>1002010</v>
      </c>
      <c r="K1507">
        <v>2244022328</v>
      </c>
      <c r="L1507">
        <v>2244024121</v>
      </c>
      <c r="M1507" t="s">
        <v>35831</v>
      </c>
      <c r="N1507" t="s">
        <v>35639</v>
      </c>
      <c r="O1507" t="s">
        <v>19424</v>
      </c>
      <c r="P1507">
        <v>85102</v>
      </c>
      <c r="Q1507" t="str">
        <f>"36.215680"</f>
        <v>36.215680</v>
      </c>
      <c r="R1507" t="str">
        <f>"28.116636"</f>
        <v>28.116636</v>
      </c>
      <c r="S1507" t="s">
        <v>26</v>
      </c>
    </row>
    <row r="1508" spans="1:19" x14ac:dyDescent="0.3">
      <c r="A1508" t="s">
        <v>35638</v>
      </c>
      <c r="B1508" t="s">
        <v>35670</v>
      </c>
      <c r="C1508" t="s">
        <v>35832</v>
      </c>
      <c r="D1508" t="s">
        <v>35639</v>
      </c>
      <c r="E1508" t="s">
        <v>35706</v>
      </c>
      <c r="F1508" t="s">
        <v>35706</v>
      </c>
      <c r="G1508" t="s">
        <v>35706</v>
      </c>
      <c r="H1508" t="s">
        <v>51</v>
      </c>
      <c r="I1508" t="s">
        <v>89</v>
      </c>
      <c r="J1508" t="str">
        <f>"1007010"</f>
        <v>1007010</v>
      </c>
      <c r="K1508">
        <v>2246071221</v>
      </c>
      <c r="L1508">
        <v>2246071672</v>
      </c>
      <c r="M1508" t="s">
        <v>35833</v>
      </c>
      <c r="N1508" t="s">
        <v>35834</v>
      </c>
      <c r="O1508" t="s">
        <v>35835</v>
      </c>
      <c r="P1508">
        <v>85600</v>
      </c>
      <c r="Q1508" t="str">
        <f>"36.614587"</f>
        <v>36.614587</v>
      </c>
      <c r="R1508" t="str">
        <f>"27.839781"</f>
        <v>27.839781</v>
      </c>
      <c r="S1508" t="s">
        <v>57</v>
      </c>
    </row>
    <row r="1509" spans="1:19" x14ac:dyDescent="0.3">
      <c r="A1509" t="s">
        <v>35638</v>
      </c>
      <c r="B1509" t="s">
        <v>35670</v>
      </c>
      <c r="C1509" t="s">
        <v>35837</v>
      </c>
      <c r="D1509" t="s">
        <v>35639</v>
      </c>
      <c r="E1509" t="s">
        <v>35639</v>
      </c>
      <c r="F1509" t="s">
        <v>35639</v>
      </c>
      <c r="G1509" t="s">
        <v>35639</v>
      </c>
      <c r="H1509" t="s">
        <v>51</v>
      </c>
      <c r="I1509" t="s">
        <v>52</v>
      </c>
      <c r="J1509" t="str">
        <f>"1001023"</f>
        <v>1001023</v>
      </c>
      <c r="K1509">
        <v>2241021959</v>
      </c>
      <c r="L1509">
        <v>2241021959</v>
      </c>
      <c r="M1509" t="s">
        <v>35838</v>
      </c>
      <c r="N1509" t="s">
        <v>35839</v>
      </c>
      <c r="O1509" t="s">
        <v>35840</v>
      </c>
      <c r="P1509">
        <v>85131</v>
      </c>
      <c r="Q1509" t="str">
        <f>"36.449252"</f>
        <v>36.449252</v>
      </c>
      <c r="R1509" t="str">
        <f>"28.219166"</f>
        <v>28.219166</v>
      </c>
      <c r="S1509" t="s">
        <v>26</v>
      </c>
    </row>
    <row r="1510" spans="1:19" x14ac:dyDescent="0.3">
      <c r="A1510" t="s">
        <v>35638</v>
      </c>
      <c r="B1510" t="s">
        <v>35670</v>
      </c>
      <c r="C1510" t="s">
        <v>35842</v>
      </c>
      <c r="D1510" t="s">
        <v>35639</v>
      </c>
      <c r="E1510" t="s">
        <v>35639</v>
      </c>
      <c r="F1510" t="s">
        <v>35721</v>
      </c>
      <c r="G1510" t="s">
        <v>35722</v>
      </c>
      <c r="H1510" t="s">
        <v>51</v>
      </c>
      <c r="I1510" t="s">
        <v>52</v>
      </c>
      <c r="J1510" t="str">
        <f>"1002015"</f>
        <v>1002015</v>
      </c>
      <c r="K1510">
        <v>2241082049</v>
      </c>
      <c r="L1510">
        <v>224134389</v>
      </c>
      <c r="M1510" t="s">
        <v>35843</v>
      </c>
      <c r="N1510" t="s">
        <v>35844</v>
      </c>
      <c r="O1510" t="s">
        <v>35845</v>
      </c>
      <c r="P1510">
        <v>85106</v>
      </c>
      <c r="Q1510" t="str">
        <f>"36.400406"</f>
        <v>36.400406</v>
      </c>
      <c r="R1510" t="str">
        <f>"28.082449"</f>
        <v>28.082449</v>
      </c>
      <c r="S1510" t="s">
        <v>26</v>
      </c>
    </row>
    <row r="1511" spans="1:19" x14ac:dyDescent="0.3">
      <c r="A1511" t="s">
        <v>35638</v>
      </c>
      <c r="B1511" t="s">
        <v>35670</v>
      </c>
      <c r="C1511" t="s">
        <v>35846</v>
      </c>
      <c r="D1511" t="s">
        <v>35639</v>
      </c>
      <c r="E1511" t="s">
        <v>35639</v>
      </c>
      <c r="F1511" t="s">
        <v>35721</v>
      </c>
      <c r="G1511" t="s">
        <v>35756</v>
      </c>
      <c r="H1511" t="s">
        <v>51</v>
      </c>
      <c r="I1511" t="s">
        <v>52</v>
      </c>
      <c r="J1511" t="str">
        <f>"1001060"</f>
        <v>1001060</v>
      </c>
      <c r="K1511">
        <v>2241092900</v>
      </c>
      <c r="L1511">
        <v>2241092900</v>
      </c>
      <c r="M1511" t="s">
        <v>35847</v>
      </c>
      <c r="N1511" t="s">
        <v>35848</v>
      </c>
      <c r="O1511" t="s">
        <v>35849</v>
      </c>
      <c r="P1511">
        <v>85104</v>
      </c>
      <c r="Q1511" t="str">
        <f>"36.412707"</f>
        <v>36.412707</v>
      </c>
      <c r="R1511" t="str">
        <f>"28.120448"</f>
        <v>28.120448</v>
      </c>
      <c r="S1511" t="s">
        <v>26</v>
      </c>
    </row>
    <row r="1512" spans="1:19" x14ac:dyDescent="0.3">
      <c r="A1512" t="s">
        <v>35638</v>
      </c>
      <c r="B1512" t="s">
        <v>35670</v>
      </c>
      <c r="C1512" t="s">
        <v>35850</v>
      </c>
      <c r="D1512" t="s">
        <v>35639</v>
      </c>
      <c r="E1512" t="s">
        <v>35639</v>
      </c>
      <c r="F1512" t="s">
        <v>35746</v>
      </c>
      <c r="G1512" t="s">
        <v>35746</v>
      </c>
      <c r="H1512" t="s">
        <v>51</v>
      </c>
      <c r="I1512" t="s">
        <v>52</v>
      </c>
      <c r="J1512" t="str">
        <f>"1001070"</f>
        <v>1001070</v>
      </c>
      <c r="K1512">
        <v>2241051031</v>
      </c>
      <c r="L1512">
        <v>2241051031</v>
      </c>
      <c r="M1512" t="s">
        <v>35851</v>
      </c>
      <c r="N1512" t="s">
        <v>35749</v>
      </c>
      <c r="O1512" t="s">
        <v>35852</v>
      </c>
      <c r="P1512">
        <v>85103</v>
      </c>
      <c r="Q1512" t="str">
        <f>"36.300764"</f>
        <v>36.300764</v>
      </c>
      <c r="R1512" t="str">
        <f>"28.166436"</f>
        <v>28.166436</v>
      </c>
      <c r="S1512" t="s">
        <v>26</v>
      </c>
    </row>
    <row r="1513" spans="1:19" x14ac:dyDescent="0.3">
      <c r="A1513" t="s">
        <v>35638</v>
      </c>
      <c r="B1513" t="s">
        <v>35670</v>
      </c>
      <c r="C1513" t="s">
        <v>35854</v>
      </c>
      <c r="D1513" t="s">
        <v>35639</v>
      </c>
      <c r="E1513" t="s">
        <v>35639</v>
      </c>
      <c r="F1513" t="s">
        <v>5563</v>
      </c>
      <c r="G1513" t="s">
        <v>35853</v>
      </c>
      <c r="H1513" t="s">
        <v>51</v>
      </c>
      <c r="I1513" t="s">
        <v>52</v>
      </c>
      <c r="J1513" t="str">
        <f>"1001090"</f>
        <v>1001090</v>
      </c>
      <c r="K1513">
        <v>2241085720</v>
      </c>
      <c r="L1513">
        <v>2241087335</v>
      </c>
      <c r="M1513" t="s">
        <v>35855</v>
      </c>
      <c r="N1513" t="s">
        <v>35856</v>
      </c>
      <c r="O1513" t="s">
        <v>35856</v>
      </c>
      <c r="P1513">
        <v>85105</v>
      </c>
      <c r="Q1513" t="str">
        <f>"36.341060"</f>
        <v>36.341060</v>
      </c>
      <c r="R1513" t="str">
        <f>"28.177487"</f>
        <v>28.177487</v>
      </c>
      <c r="S1513" t="s">
        <v>26</v>
      </c>
    </row>
    <row r="1514" spans="1:19" x14ac:dyDescent="0.3">
      <c r="A1514" t="s">
        <v>35638</v>
      </c>
      <c r="B1514" t="s">
        <v>35670</v>
      </c>
      <c r="C1514" t="s">
        <v>35860</v>
      </c>
      <c r="D1514" t="s">
        <v>35689</v>
      </c>
      <c r="E1514" t="s">
        <v>35858</v>
      </c>
      <c r="F1514" t="s">
        <v>35858</v>
      </c>
      <c r="G1514" t="s">
        <v>35859</v>
      </c>
      <c r="H1514" t="s">
        <v>51</v>
      </c>
      <c r="I1514" t="s">
        <v>89</v>
      </c>
      <c r="J1514" t="str">
        <f>"1009010"</f>
        <v>1009010</v>
      </c>
      <c r="K1514">
        <v>2245041324</v>
      </c>
      <c r="L1514">
        <v>2245041324</v>
      </c>
      <c r="M1514" t="s">
        <v>35861</v>
      </c>
      <c r="N1514" t="s">
        <v>35859</v>
      </c>
      <c r="O1514" t="s">
        <v>35862</v>
      </c>
      <c r="P1514">
        <v>85800</v>
      </c>
      <c r="Q1514" t="str">
        <f>"35.413309"</f>
        <v>35.413309</v>
      </c>
      <c r="R1514" t="str">
        <f>"26.921061"</f>
        <v>26.921061</v>
      </c>
      <c r="S1514" t="s">
        <v>57</v>
      </c>
    </row>
    <row r="1515" spans="1:19" x14ac:dyDescent="0.3">
      <c r="A1515" t="s">
        <v>35638</v>
      </c>
      <c r="B1515" t="s">
        <v>35670</v>
      </c>
      <c r="C1515" t="s">
        <v>35865</v>
      </c>
      <c r="D1515" t="s">
        <v>35639</v>
      </c>
      <c r="E1515" t="s">
        <v>35864</v>
      </c>
      <c r="F1515" t="s">
        <v>35864</v>
      </c>
      <c r="G1515" t="s">
        <v>35864</v>
      </c>
      <c r="H1515" t="s">
        <v>51</v>
      </c>
      <c r="I1515" t="s">
        <v>89</v>
      </c>
      <c r="J1515" t="str">
        <f>"1001015"</f>
        <v>1001015</v>
      </c>
      <c r="K1515">
        <v>2246049254</v>
      </c>
      <c r="L1515">
        <v>2246049254</v>
      </c>
      <c r="M1515" t="s">
        <v>35866</v>
      </c>
      <c r="N1515" t="s">
        <v>35864</v>
      </c>
      <c r="O1515" t="s">
        <v>35867</v>
      </c>
      <c r="P1515">
        <v>85111</v>
      </c>
      <c r="Q1515" t="str">
        <f>"36.147775"</f>
        <v>36.147775</v>
      </c>
      <c r="R1515" t="str">
        <f>"29.589379"</f>
        <v>29.589379</v>
      </c>
      <c r="S1515" t="s">
        <v>57</v>
      </c>
    </row>
    <row r="1516" spans="1:19" x14ac:dyDescent="0.3">
      <c r="A1516" t="s">
        <v>35638</v>
      </c>
      <c r="B1516" t="s">
        <v>35670</v>
      </c>
      <c r="C1516" t="s">
        <v>35870</v>
      </c>
      <c r="D1516" t="s">
        <v>35639</v>
      </c>
      <c r="E1516" t="s">
        <v>22147</v>
      </c>
      <c r="F1516" t="s">
        <v>22147</v>
      </c>
      <c r="G1516" t="s">
        <v>22147</v>
      </c>
      <c r="H1516" t="s">
        <v>51</v>
      </c>
      <c r="I1516" t="s">
        <v>89</v>
      </c>
      <c r="J1516" t="str">
        <f>"1002090"</f>
        <v>1002090</v>
      </c>
      <c r="K1516">
        <v>2246045290</v>
      </c>
      <c r="L1516">
        <v>2246045020</v>
      </c>
      <c r="M1516" t="s">
        <v>35871</v>
      </c>
      <c r="N1516" t="s">
        <v>22147</v>
      </c>
      <c r="O1516" t="s">
        <v>22150</v>
      </c>
      <c r="P1516">
        <v>85110</v>
      </c>
      <c r="Q1516" t="str">
        <f>"36.223207"</f>
        <v>36.223207</v>
      </c>
      <c r="R1516" t="str">
        <f>"27.609920"</f>
        <v>27.609920</v>
      </c>
      <c r="S1516" t="s">
        <v>57</v>
      </c>
    </row>
    <row r="1517" spans="1:19" x14ac:dyDescent="0.3">
      <c r="A1517" t="s">
        <v>35638</v>
      </c>
      <c r="B1517" t="s">
        <v>35670</v>
      </c>
      <c r="C1517" t="s">
        <v>35873</v>
      </c>
      <c r="D1517" t="s">
        <v>35657</v>
      </c>
      <c r="E1517" t="s">
        <v>35657</v>
      </c>
      <c r="F1517" t="s">
        <v>35657</v>
      </c>
      <c r="G1517" t="s">
        <v>35657</v>
      </c>
      <c r="H1517" t="s">
        <v>51</v>
      </c>
      <c r="I1517" t="s">
        <v>4556</v>
      </c>
      <c r="J1517" t="str">
        <f>"1012016"</f>
        <v>1012016</v>
      </c>
      <c r="K1517">
        <v>2242041914</v>
      </c>
      <c r="L1517">
        <v>2242041951</v>
      </c>
      <c r="M1517" t="s">
        <v>35874</v>
      </c>
      <c r="N1517" t="s">
        <v>35657</v>
      </c>
      <c r="O1517" t="s">
        <v>35875</v>
      </c>
      <c r="P1517">
        <v>85300</v>
      </c>
      <c r="Q1517" t="str">
        <f>"36.842546"</f>
        <v>36.842546</v>
      </c>
      <c r="R1517" t="str">
        <f>"27.157868"</f>
        <v>27.157868</v>
      </c>
      <c r="S1517" t="s">
        <v>26</v>
      </c>
    </row>
    <row r="1518" spans="1:19" x14ac:dyDescent="0.3">
      <c r="A1518" t="s">
        <v>35638</v>
      </c>
      <c r="B1518" t="s">
        <v>35670</v>
      </c>
      <c r="C1518" t="s">
        <v>35882</v>
      </c>
      <c r="D1518" t="s">
        <v>35651</v>
      </c>
      <c r="E1518" t="s">
        <v>35762</v>
      </c>
      <c r="F1518" t="s">
        <v>35762</v>
      </c>
      <c r="G1518" t="s">
        <v>35762</v>
      </c>
      <c r="H1518" t="s">
        <v>51</v>
      </c>
      <c r="I1518" t="s">
        <v>52</v>
      </c>
      <c r="J1518" t="str">
        <f>"1011010"</f>
        <v>1011010</v>
      </c>
      <c r="K1518">
        <v>2247031315</v>
      </c>
      <c r="L1518">
        <v>2247031315</v>
      </c>
      <c r="M1518" t="s">
        <v>35883</v>
      </c>
      <c r="N1518" t="s">
        <v>35765</v>
      </c>
      <c r="O1518" t="s">
        <v>35766</v>
      </c>
      <c r="P1518">
        <v>85500</v>
      </c>
      <c r="Q1518" t="str">
        <f>"37.315626"</f>
        <v>37.315626</v>
      </c>
      <c r="R1518" t="str">
        <f>"26.540422"</f>
        <v>26.540422</v>
      </c>
      <c r="S1518" t="s">
        <v>57</v>
      </c>
    </row>
    <row r="1519" spans="1:19" x14ac:dyDescent="0.3">
      <c r="A1519" t="s">
        <v>35638</v>
      </c>
      <c r="B1519" t="s">
        <v>35670</v>
      </c>
      <c r="C1519" t="s">
        <v>35884</v>
      </c>
      <c r="D1519" t="s">
        <v>35657</v>
      </c>
      <c r="E1519" t="s">
        <v>35657</v>
      </c>
      <c r="F1519" t="s">
        <v>35657</v>
      </c>
      <c r="G1519" t="s">
        <v>35657</v>
      </c>
      <c r="H1519" t="s">
        <v>51</v>
      </c>
      <c r="I1519" t="s">
        <v>52</v>
      </c>
      <c r="J1519" t="str">
        <f>"1005010"</f>
        <v>1005010</v>
      </c>
      <c r="K1519">
        <v>2242022325</v>
      </c>
      <c r="L1519">
        <v>2242022325</v>
      </c>
      <c r="M1519" t="s">
        <v>35885</v>
      </c>
      <c r="N1519" t="s">
        <v>35657</v>
      </c>
      <c r="O1519" t="s">
        <v>35886</v>
      </c>
      <c r="P1519">
        <v>85300</v>
      </c>
      <c r="Q1519" t="str">
        <f>"36.887748"</f>
        <v>36.887748</v>
      </c>
      <c r="R1519" t="str">
        <f>"27.296103"</f>
        <v>27.296103</v>
      </c>
      <c r="S1519" t="s">
        <v>26</v>
      </c>
    </row>
    <row r="1520" spans="1:19" x14ac:dyDescent="0.3">
      <c r="A1520" t="s">
        <v>35638</v>
      </c>
      <c r="B1520" t="s">
        <v>35670</v>
      </c>
      <c r="C1520" t="s">
        <v>35888</v>
      </c>
      <c r="D1520" t="s">
        <v>35639</v>
      </c>
      <c r="E1520" t="s">
        <v>35639</v>
      </c>
      <c r="F1520" t="s">
        <v>29736</v>
      </c>
      <c r="G1520" t="s">
        <v>35887</v>
      </c>
      <c r="H1520" t="s">
        <v>51</v>
      </c>
      <c r="I1520" t="s">
        <v>52</v>
      </c>
      <c r="J1520" t="str">
        <f>"1001100"</f>
        <v>1001100</v>
      </c>
      <c r="K1520">
        <v>2244051437</v>
      </c>
      <c r="L1520">
        <v>2244051803</v>
      </c>
      <c r="M1520" t="s">
        <v>35889</v>
      </c>
      <c r="N1520" t="s">
        <v>35890</v>
      </c>
      <c r="O1520" t="s">
        <v>35890</v>
      </c>
      <c r="P1520">
        <v>85102</v>
      </c>
      <c r="Q1520" t="str">
        <f>"36.179616"</f>
        <v>36.179616</v>
      </c>
      <c r="R1520" t="str">
        <f>"28.072715"</f>
        <v>28.072715</v>
      </c>
      <c r="S1520" t="s">
        <v>26</v>
      </c>
    </row>
    <row r="1521" spans="1:19" x14ac:dyDescent="0.3">
      <c r="A1521" t="s">
        <v>35638</v>
      </c>
      <c r="B1521" t="s">
        <v>35670</v>
      </c>
      <c r="C1521" t="s">
        <v>35892</v>
      </c>
      <c r="D1521" t="s">
        <v>35639</v>
      </c>
      <c r="E1521" t="s">
        <v>35639</v>
      </c>
      <c r="F1521" t="s">
        <v>35735</v>
      </c>
      <c r="G1521" t="s">
        <v>35736</v>
      </c>
      <c r="H1521" t="s">
        <v>51</v>
      </c>
      <c r="I1521" t="s">
        <v>52</v>
      </c>
      <c r="J1521" t="str">
        <f>"1001080"</f>
        <v>1001080</v>
      </c>
      <c r="K1521">
        <v>2241091810</v>
      </c>
      <c r="L1521">
        <v>2241091426</v>
      </c>
      <c r="M1521" t="s">
        <v>35893</v>
      </c>
      <c r="N1521" t="s">
        <v>35739</v>
      </c>
      <c r="O1521" t="s">
        <v>14943</v>
      </c>
      <c r="P1521">
        <v>85101</v>
      </c>
      <c r="Q1521" t="str">
        <f>"36.414843"</f>
        <v>36.414843</v>
      </c>
      <c r="R1521" t="str">
        <f>"28.145165"</f>
        <v>28.145165</v>
      </c>
      <c r="S1521" t="s">
        <v>26</v>
      </c>
    </row>
    <row r="1522" spans="1:19" x14ac:dyDescent="0.3">
      <c r="A1522" t="s">
        <v>35638</v>
      </c>
      <c r="B1522" t="s">
        <v>35670</v>
      </c>
      <c r="C1522" t="s">
        <v>35894</v>
      </c>
      <c r="D1522" t="s">
        <v>35689</v>
      </c>
      <c r="E1522" t="s">
        <v>35689</v>
      </c>
      <c r="F1522" t="s">
        <v>35689</v>
      </c>
      <c r="G1522" t="s">
        <v>35689</v>
      </c>
      <c r="H1522" t="s">
        <v>51</v>
      </c>
      <c r="I1522" t="s">
        <v>52</v>
      </c>
      <c r="J1522" t="str">
        <f>"1004090"</f>
        <v>1004090</v>
      </c>
      <c r="K1522">
        <v>2245022719</v>
      </c>
      <c r="L1522">
        <v>2245022719</v>
      </c>
      <c r="M1522" t="s">
        <v>35895</v>
      </c>
      <c r="N1522" t="s">
        <v>35896</v>
      </c>
      <c r="O1522" t="s">
        <v>35897</v>
      </c>
      <c r="P1522">
        <v>85700</v>
      </c>
      <c r="Q1522" t="str">
        <f>"35.507544"</f>
        <v>35.507544</v>
      </c>
      <c r="R1522" t="str">
        <f>"27.214436"</f>
        <v>27.214436</v>
      </c>
      <c r="S1522" t="s">
        <v>57</v>
      </c>
    </row>
    <row r="1523" spans="1:19" x14ac:dyDescent="0.3">
      <c r="A1523" t="s">
        <v>35638</v>
      </c>
      <c r="B1523" t="s">
        <v>35670</v>
      </c>
      <c r="C1523" t="s">
        <v>35902</v>
      </c>
      <c r="D1523" t="s">
        <v>35651</v>
      </c>
      <c r="E1523" t="s">
        <v>35901</v>
      </c>
      <c r="F1523" t="s">
        <v>35901</v>
      </c>
      <c r="G1523" t="s">
        <v>35901</v>
      </c>
      <c r="H1523" t="s">
        <v>51</v>
      </c>
      <c r="I1523" t="s">
        <v>89</v>
      </c>
      <c r="J1523" t="str">
        <f>"1008010"</f>
        <v>1008010</v>
      </c>
      <c r="K1523">
        <v>2243061284</v>
      </c>
      <c r="L1523">
        <v>2243061284</v>
      </c>
      <c r="M1523" t="s">
        <v>35903</v>
      </c>
      <c r="N1523" t="s">
        <v>35904</v>
      </c>
      <c r="O1523" t="s">
        <v>35905</v>
      </c>
      <c r="P1523">
        <v>85900</v>
      </c>
      <c r="Q1523" t="str">
        <f>"36.550182"</f>
        <v>36.550182</v>
      </c>
      <c r="R1523" t="str">
        <f>"26.353970"</f>
        <v>26.353970</v>
      </c>
      <c r="S1523" t="s">
        <v>57</v>
      </c>
    </row>
    <row r="1524" spans="1:19" x14ac:dyDescent="0.3">
      <c r="A1524" t="s">
        <v>35638</v>
      </c>
      <c r="B1524" t="s">
        <v>35670</v>
      </c>
      <c r="C1524" t="s">
        <v>35907</v>
      </c>
      <c r="D1524" t="s">
        <v>35639</v>
      </c>
      <c r="E1524" t="s">
        <v>35639</v>
      </c>
      <c r="F1524" t="s">
        <v>35639</v>
      </c>
      <c r="G1524" t="s">
        <v>35639</v>
      </c>
      <c r="H1524" t="s">
        <v>51</v>
      </c>
      <c r="I1524" t="s">
        <v>52</v>
      </c>
      <c r="J1524" t="str">
        <f>"1001022"</f>
        <v>1001022</v>
      </c>
      <c r="K1524">
        <v>2241027656</v>
      </c>
      <c r="L1524">
        <v>2241027656</v>
      </c>
      <c r="M1524" t="s">
        <v>35908</v>
      </c>
      <c r="N1524" t="s">
        <v>35703</v>
      </c>
      <c r="O1524" t="s">
        <v>35909</v>
      </c>
      <c r="P1524">
        <v>85132</v>
      </c>
      <c r="Q1524" t="str">
        <f>"36.421618"</f>
        <v>36.421618</v>
      </c>
      <c r="R1524" t="str">
        <f>"28.219691"</f>
        <v>28.219691</v>
      </c>
      <c r="S1524" t="s">
        <v>26</v>
      </c>
    </row>
    <row r="1525" spans="1:19" x14ac:dyDescent="0.3">
      <c r="A1525" t="s">
        <v>35638</v>
      </c>
      <c r="B1525" t="s">
        <v>35670</v>
      </c>
      <c r="C1525" t="s">
        <v>35911</v>
      </c>
      <c r="D1525" t="s">
        <v>35639</v>
      </c>
      <c r="E1525" t="s">
        <v>35639</v>
      </c>
      <c r="F1525" t="s">
        <v>35639</v>
      </c>
      <c r="G1525" t="s">
        <v>35639</v>
      </c>
      <c r="H1525" t="s">
        <v>51</v>
      </c>
      <c r="I1525" t="s">
        <v>184</v>
      </c>
      <c r="J1525" t="str">
        <f>"1001028"</f>
        <v>1001028</v>
      </c>
      <c r="K1525">
        <v>2241028366</v>
      </c>
      <c r="L1525">
        <v>2241028366</v>
      </c>
      <c r="M1525" t="s">
        <v>35912</v>
      </c>
      <c r="N1525" t="s">
        <v>35703</v>
      </c>
      <c r="O1525" t="s">
        <v>35913</v>
      </c>
      <c r="P1525">
        <v>85133</v>
      </c>
      <c r="Q1525" t="str">
        <f>"36.436707"</f>
        <v>36.436707</v>
      </c>
      <c r="R1525" t="str">
        <f>"28.223258"</f>
        <v>28.223258</v>
      </c>
      <c r="S1525" t="s">
        <v>26</v>
      </c>
    </row>
    <row r="1526" spans="1:19" x14ac:dyDescent="0.3">
      <c r="A1526" t="s">
        <v>35638</v>
      </c>
      <c r="B1526" t="s">
        <v>35670</v>
      </c>
      <c r="C1526" t="s">
        <v>35914</v>
      </c>
      <c r="D1526" t="s">
        <v>35639</v>
      </c>
      <c r="E1526" t="s">
        <v>35639</v>
      </c>
      <c r="F1526" t="s">
        <v>29736</v>
      </c>
      <c r="G1526" t="s">
        <v>29736</v>
      </c>
      <c r="H1526" t="s">
        <v>51</v>
      </c>
      <c r="I1526" t="s">
        <v>4556</v>
      </c>
      <c r="J1526" t="str">
        <f>"1002012"</f>
        <v>1002012</v>
      </c>
      <c r="K1526">
        <v>2244023747</v>
      </c>
      <c r="L1526">
        <v>2244024075</v>
      </c>
      <c r="M1526" t="s">
        <v>35915</v>
      </c>
      <c r="N1526" t="s">
        <v>29736</v>
      </c>
      <c r="O1526" t="s">
        <v>35916</v>
      </c>
      <c r="P1526">
        <v>85102</v>
      </c>
      <c r="Q1526" t="str">
        <f>"36.215693"</f>
        <v>36.215693</v>
      </c>
      <c r="R1526" t="str">
        <f>"28.116620"</f>
        <v>28.116620</v>
      </c>
      <c r="S1526" t="s">
        <v>26</v>
      </c>
    </row>
    <row r="1527" spans="1:19" x14ac:dyDescent="0.3">
      <c r="A1527" t="s">
        <v>35638</v>
      </c>
      <c r="B1527" t="s">
        <v>35670</v>
      </c>
      <c r="C1527" t="s">
        <v>35917</v>
      </c>
      <c r="D1527" t="s">
        <v>35651</v>
      </c>
      <c r="E1527" t="s">
        <v>35652</v>
      </c>
      <c r="F1527" t="s">
        <v>35652</v>
      </c>
      <c r="G1527" t="s">
        <v>35652</v>
      </c>
      <c r="H1527" t="s">
        <v>51</v>
      </c>
      <c r="I1527" t="s">
        <v>52</v>
      </c>
      <c r="J1527" t="str">
        <f>"1003020"</f>
        <v>1003020</v>
      </c>
      <c r="K1527">
        <v>2243029078</v>
      </c>
      <c r="L1527">
        <v>2243029078</v>
      </c>
      <c r="M1527" t="s">
        <v>35918</v>
      </c>
      <c r="N1527" t="s">
        <v>35673</v>
      </c>
      <c r="O1527" t="s">
        <v>35919</v>
      </c>
      <c r="P1527">
        <v>85200</v>
      </c>
      <c r="Q1527" t="str">
        <f>"36.956781"</f>
        <v>36.956781</v>
      </c>
      <c r="R1527" t="str">
        <f>"26.978247"</f>
        <v>26.978247</v>
      </c>
      <c r="S1527" t="s">
        <v>26</v>
      </c>
    </row>
    <row r="1528" spans="1:19" x14ac:dyDescent="0.3">
      <c r="A1528" t="s">
        <v>35638</v>
      </c>
      <c r="B1528" t="s">
        <v>35670</v>
      </c>
      <c r="C1528" t="s">
        <v>35921</v>
      </c>
      <c r="D1528" t="s">
        <v>35639</v>
      </c>
      <c r="E1528" t="s">
        <v>35639</v>
      </c>
      <c r="F1528" t="s">
        <v>35639</v>
      </c>
      <c r="G1528" t="s">
        <v>35639</v>
      </c>
      <c r="H1528" t="s">
        <v>51</v>
      </c>
      <c r="I1528" t="s">
        <v>52</v>
      </c>
      <c r="J1528" t="str">
        <f>"1001010"</f>
        <v>1001010</v>
      </c>
      <c r="K1528">
        <v>2241022211</v>
      </c>
      <c r="L1528">
        <v>2241022211</v>
      </c>
      <c r="M1528" t="s">
        <v>35922</v>
      </c>
      <c r="N1528" t="s">
        <v>35703</v>
      </c>
      <c r="O1528" t="s">
        <v>35913</v>
      </c>
      <c r="P1528">
        <v>85133</v>
      </c>
      <c r="Q1528" t="str">
        <f>"36.436070"</f>
        <v>36.436070</v>
      </c>
      <c r="R1528" t="str">
        <f>"28.222827"</f>
        <v>28.222827</v>
      </c>
      <c r="S1528" t="s">
        <v>26</v>
      </c>
    </row>
    <row r="1529" spans="1:19" x14ac:dyDescent="0.3">
      <c r="A1529" t="s">
        <v>35638</v>
      </c>
      <c r="B1529" t="s">
        <v>35670</v>
      </c>
      <c r="C1529" t="s">
        <v>35924</v>
      </c>
      <c r="D1529" t="s">
        <v>35657</v>
      </c>
      <c r="E1529" t="s">
        <v>35657</v>
      </c>
      <c r="F1529" t="s">
        <v>35776</v>
      </c>
      <c r="G1529" t="s">
        <v>35923</v>
      </c>
      <c r="H1529" t="s">
        <v>51</v>
      </c>
      <c r="I1529" t="s">
        <v>52</v>
      </c>
      <c r="J1529" t="str">
        <f>"1005030"</f>
        <v>1005030</v>
      </c>
      <c r="K1529">
        <v>2242072229</v>
      </c>
      <c r="L1529">
        <v>2242071333</v>
      </c>
      <c r="M1529" t="s">
        <v>35925</v>
      </c>
      <c r="N1529" t="s">
        <v>35923</v>
      </c>
      <c r="O1529" t="s">
        <v>35926</v>
      </c>
      <c r="P1529">
        <v>85301</v>
      </c>
      <c r="Q1529" t="str">
        <f>"36.742017"</f>
        <v>36.742017</v>
      </c>
      <c r="R1529" t="str">
        <f>"26.959221"</f>
        <v>26.959221</v>
      </c>
      <c r="S1529" t="s">
        <v>57</v>
      </c>
    </row>
    <row r="1530" spans="1:19" x14ac:dyDescent="0.3">
      <c r="A1530" t="s">
        <v>35638</v>
      </c>
      <c r="B1530" t="s">
        <v>35670</v>
      </c>
      <c r="C1530" t="s">
        <v>35930</v>
      </c>
      <c r="D1530" t="s">
        <v>35651</v>
      </c>
      <c r="E1530" t="s">
        <v>35729</v>
      </c>
      <c r="F1530" t="s">
        <v>35729</v>
      </c>
      <c r="G1530" t="s">
        <v>35729</v>
      </c>
      <c r="H1530" t="s">
        <v>51</v>
      </c>
      <c r="I1530" t="s">
        <v>52</v>
      </c>
      <c r="J1530" t="str">
        <f>"1006010"</f>
        <v>1006010</v>
      </c>
      <c r="K1530">
        <v>2247022555</v>
      </c>
      <c r="L1530">
        <v>2247025450</v>
      </c>
      <c r="M1530" t="s">
        <v>35931</v>
      </c>
      <c r="N1530" t="s">
        <v>35732</v>
      </c>
      <c r="O1530" t="s">
        <v>35932</v>
      </c>
      <c r="P1530">
        <v>85400</v>
      </c>
      <c r="Q1530" t="str">
        <f>"37.154032"</f>
        <v>37.154032</v>
      </c>
      <c r="R1530" t="str">
        <f>"26.855180"</f>
        <v>26.855180</v>
      </c>
      <c r="S1530" t="s">
        <v>57</v>
      </c>
    </row>
    <row r="1531" spans="1:19" x14ac:dyDescent="0.3">
      <c r="A1531" t="s">
        <v>35638</v>
      </c>
      <c r="B1531" t="s">
        <v>35670</v>
      </c>
      <c r="C1531" t="s">
        <v>35934</v>
      </c>
      <c r="D1531" t="s">
        <v>35657</v>
      </c>
      <c r="E1531" t="s">
        <v>35657</v>
      </c>
      <c r="F1531" t="s">
        <v>35658</v>
      </c>
      <c r="G1531" t="s">
        <v>35659</v>
      </c>
      <c r="H1531" t="s">
        <v>51</v>
      </c>
      <c r="I1531" t="s">
        <v>52</v>
      </c>
      <c r="J1531" t="str">
        <f>"1005035"</f>
        <v>1005035</v>
      </c>
      <c r="K1531">
        <v>2242069379</v>
      </c>
      <c r="L1531">
        <v>2242069379</v>
      </c>
      <c r="M1531" t="s">
        <v>35935</v>
      </c>
      <c r="N1531" t="s">
        <v>35936</v>
      </c>
      <c r="O1531" t="s">
        <v>35937</v>
      </c>
      <c r="P1531">
        <v>85300</v>
      </c>
      <c r="Q1531" t="str">
        <f>"36.874101"</f>
        <v>36.874101</v>
      </c>
      <c r="R1531" t="str">
        <f>"27.207699"</f>
        <v>27.207699</v>
      </c>
      <c r="S1531" t="s">
        <v>26</v>
      </c>
    </row>
    <row r="1532" spans="1:19" x14ac:dyDescent="0.3">
      <c r="A1532" t="s">
        <v>35638</v>
      </c>
      <c r="B1532" t="s">
        <v>35670</v>
      </c>
      <c r="C1532" t="s">
        <v>35939</v>
      </c>
      <c r="D1532" t="s">
        <v>35651</v>
      </c>
      <c r="E1532" t="s">
        <v>35729</v>
      </c>
      <c r="F1532" t="s">
        <v>35729</v>
      </c>
      <c r="G1532" t="s">
        <v>35729</v>
      </c>
      <c r="H1532" t="s">
        <v>51</v>
      </c>
      <c r="I1532" t="s">
        <v>52</v>
      </c>
      <c r="J1532" t="str">
        <f>"1006020"</f>
        <v>1006020</v>
      </c>
      <c r="K1532">
        <v>2247023508</v>
      </c>
      <c r="L1532">
        <v>2247023508</v>
      </c>
      <c r="M1532" t="s">
        <v>35940</v>
      </c>
      <c r="N1532" t="s">
        <v>35732</v>
      </c>
      <c r="O1532" t="s">
        <v>35941</v>
      </c>
      <c r="P1532">
        <v>85400</v>
      </c>
      <c r="Q1532" t="str">
        <f>"37.130724"</f>
        <v>37.130724</v>
      </c>
      <c r="R1532" t="str">
        <f>"26.850341"</f>
        <v>26.850341</v>
      </c>
      <c r="S1532" t="s">
        <v>57</v>
      </c>
    </row>
    <row r="1533" spans="1:19" x14ac:dyDescent="0.3">
      <c r="A1533" t="s">
        <v>35638</v>
      </c>
      <c r="B1533" t="s">
        <v>35670</v>
      </c>
      <c r="C1533" t="s">
        <v>35942</v>
      </c>
      <c r="D1533" t="s">
        <v>35639</v>
      </c>
      <c r="E1533" t="s">
        <v>35639</v>
      </c>
      <c r="F1533" t="s">
        <v>35639</v>
      </c>
      <c r="G1533" t="s">
        <v>35639</v>
      </c>
      <c r="H1533" t="s">
        <v>51</v>
      </c>
      <c r="I1533" t="s">
        <v>52</v>
      </c>
      <c r="J1533" t="str">
        <f>"1001024"</f>
        <v>1001024</v>
      </c>
      <c r="K1533">
        <v>2241023535</v>
      </c>
      <c r="L1533">
        <v>2241028611</v>
      </c>
      <c r="M1533" t="s">
        <v>35943</v>
      </c>
      <c r="N1533" t="s">
        <v>35703</v>
      </c>
      <c r="O1533" t="s">
        <v>35944</v>
      </c>
      <c r="P1533">
        <v>85133</v>
      </c>
      <c r="Q1533" t="str">
        <f>"36.431716"</f>
        <v>36.431716</v>
      </c>
      <c r="R1533" t="str">
        <f>"28.213543"</f>
        <v>28.213543</v>
      </c>
      <c r="S1533" t="s">
        <v>26</v>
      </c>
    </row>
    <row r="1534" spans="1:19" x14ac:dyDescent="0.3">
      <c r="A1534" t="s">
        <v>35638</v>
      </c>
      <c r="B1534" t="s">
        <v>35670</v>
      </c>
      <c r="C1534" t="s">
        <v>35948</v>
      </c>
      <c r="D1534" t="s">
        <v>35639</v>
      </c>
      <c r="E1534" t="s">
        <v>35946</v>
      </c>
      <c r="F1534" t="s">
        <v>35946</v>
      </c>
      <c r="G1534" t="s">
        <v>35947</v>
      </c>
      <c r="H1534" t="s">
        <v>51</v>
      </c>
      <c r="I1534" t="s">
        <v>89</v>
      </c>
      <c r="J1534" t="str">
        <f>"1007090"</f>
        <v>1007090</v>
      </c>
      <c r="K1534">
        <v>2246044248</v>
      </c>
      <c r="L1534">
        <v>2246044140</v>
      </c>
      <c r="M1534" t="s">
        <v>35949</v>
      </c>
      <c r="N1534" t="s">
        <v>35950</v>
      </c>
      <c r="O1534" t="s">
        <v>35951</v>
      </c>
      <c r="P1534">
        <v>85002</v>
      </c>
      <c r="Q1534" t="str">
        <f>"36.452491"</f>
        <v>36.452491</v>
      </c>
      <c r="R1534" t="str">
        <f>"27.346656"</f>
        <v>27.346656</v>
      </c>
      <c r="S1534" t="s">
        <v>57</v>
      </c>
    </row>
    <row r="1535" spans="1:19" x14ac:dyDescent="0.3">
      <c r="A1535" t="s">
        <v>35638</v>
      </c>
      <c r="B1535" t="s">
        <v>35670</v>
      </c>
      <c r="C1535" t="s">
        <v>35953</v>
      </c>
      <c r="D1535" t="s">
        <v>35639</v>
      </c>
      <c r="E1535" t="s">
        <v>35639</v>
      </c>
      <c r="F1535" t="s">
        <v>35639</v>
      </c>
      <c r="G1535" t="s">
        <v>35639</v>
      </c>
      <c r="H1535" t="s">
        <v>51</v>
      </c>
      <c r="I1535" t="s">
        <v>52</v>
      </c>
      <c r="J1535" t="str">
        <f>"1001030"</f>
        <v>1001030</v>
      </c>
      <c r="K1535">
        <v>2241029653</v>
      </c>
      <c r="L1535">
        <v>2241031912</v>
      </c>
      <c r="M1535" t="s">
        <v>35954</v>
      </c>
      <c r="N1535" t="s">
        <v>35639</v>
      </c>
      <c r="O1535" t="s">
        <v>35798</v>
      </c>
      <c r="P1535">
        <v>85133</v>
      </c>
      <c r="Q1535" t="str">
        <f>"36.439686"</f>
        <v>36.439686</v>
      </c>
      <c r="R1535" t="str">
        <f>"28.221442"</f>
        <v>28.221442</v>
      </c>
      <c r="S1535" t="s">
        <v>26</v>
      </c>
    </row>
    <row r="1536" spans="1:19" x14ac:dyDescent="0.3">
      <c r="A1536" t="s">
        <v>35638</v>
      </c>
      <c r="B1536" t="s">
        <v>35670</v>
      </c>
      <c r="C1536" t="s">
        <v>35957</v>
      </c>
      <c r="D1536" t="s">
        <v>35639</v>
      </c>
      <c r="E1536" t="s">
        <v>35639</v>
      </c>
      <c r="F1536" t="s">
        <v>35955</v>
      </c>
      <c r="G1536" t="s">
        <v>35956</v>
      </c>
      <c r="H1536" t="s">
        <v>51</v>
      </c>
      <c r="I1536" t="s">
        <v>89</v>
      </c>
      <c r="J1536" t="str">
        <f>"1001050"</f>
        <v>1001050</v>
      </c>
      <c r="K1536">
        <v>2246041258</v>
      </c>
      <c r="L1536">
        <v>2246041258</v>
      </c>
      <c r="M1536" t="s">
        <v>35958</v>
      </c>
      <c r="N1536" t="s">
        <v>35956</v>
      </c>
      <c r="O1536" t="s">
        <v>35959</v>
      </c>
      <c r="P1536">
        <v>85108</v>
      </c>
      <c r="Q1536" t="str">
        <f>"36.229304"</f>
        <v>36.229304</v>
      </c>
      <c r="R1536" t="str">
        <f>"27.856514"</f>
        <v>27.856514</v>
      </c>
      <c r="S1536" t="s">
        <v>57</v>
      </c>
    </row>
    <row r="1537" spans="1:19" x14ac:dyDescent="0.3">
      <c r="A1537" t="s">
        <v>35638</v>
      </c>
      <c r="B1537" t="s">
        <v>35670</v>
      </c>
      <c r="C1537" t="s">
        <v>35961</v>
      </c>
      <c r="D1537" t="s">
        <v>35657</v>
      </c>
      <c r="E1537" t="s">
        <v>35657</v>
      </c>
      <c r="F1537" t="s">
        <v>35657</v>
      </c>
      <c r="G1537" t="s">
        <v>35657</v>
      </c>
      <c r="H1537" t="s">
        <v>51</v>
      </c>
      <c r="I1537" t="s">
        <v>52</v>
      </c>
      <c r="J1537" t="str">
        <f>"1005015"</f>
        <v>1005015</v>
      </c>
      <c r="K1537">
        <v>2242026525</v>
      </c>
      <c r="L1537">
        <v>2242048737</v>
      </c>
      <c r="M1537" t="s">
        <v>35962</v>
      </c>
      <c r="N1537" t="s">
        <v>35718</v>
      </c>
      <c r="O1537" t="s">
        <v>35963</v>
      </c>
      <c r="P1537">
        <v>85300</v>
      </c>
      <c r="Q1537" t="str">
        <f>"36.908674"</f>
        <v>36.908674</v>
      </c>
      <c r="R1537" t="str">
        <f>"27.281645"</f>
        <v>27.281645</v>
      </c>
      <c r="S1537" t="s">
        <v>26</v>
      </c>
    </row>
    <row r="1538" spans="1:19" x14ac:dyDescent="0.3">
      <c r="A1538" t="s">
        <v>35638</v>
      </c>
      <c r="B1538" t="s">
        <v>35670</v>
      </c>
      <c r="C1538" t="s">
        <v>35969</v>
      </c>
      <c r="D1538" t="s">
        <v>35689</v>
      </c>
      <c r="E1538" t="s">
        <v>35689</v>
      </c>
      <c r="F1538" t="s">
        <v>21128</v>
      </c>
      <c r="G1538" t="s">
        <v>21128</v>
      </c>
      <c r="H1538" t="s">
        <v>51</v>
      </c>
      <c r="I1538" t="s">
        <v>89</v>
      </c>
      <c r="J1538" t="str">
        <f>"1004080"</f>
        <v>1004080</v>
      </c>
      <c r="K1538">
        <v>2245051456</v>
      </c>
      <c r="L1538">
        <v>2245051456</v>
      </c>
      <c r="M1538" t="s">
        <v>35970</v>
      </c>
      <c r="N1538" t="s">
        <v>35971</v>
      </c>
      <c r="O1538" t="s">
        <v>35972</v>
      </c>
      <c r="P1538">
        <v>85700</v>
      </c>
      <c r="Q1538" t="str">
        <f>"35.741306"</f>
        <v>35.741306</v>
      </c>
      <c r="R1538" t="str">
        <f>"27.171309"</f>
        <v>27.171309</v>
      </c>
      <c r="S1538" t="s">
        <v>57</v>
      </c>
    </row>
    <row r="1539" spans="1:19" x14ac:dyDescent="0.3">
      <c r="A1539" t="s">
        <v>35638</v>
      </c>
      <c r="B1539" t="s">
        <v>35670</v>
      </c>
      <c r="C1539" t="s">
        <v>35974</v>
      </c>
      <c r="D1539" t="s">
        <v>35639</v>
      </c>
      <c r="E1539" t="s">
        <v>35639</v>
      </c>
      <c r="F1539" t="s">
        <v>35639</v>
      </c>
      <c r="G1539" t="s">
        <v>35639</v>
      </c>
      <c r="H1539" t="s">
        <v>51</v>
      </c>
      <c r="I1539" t="s">
        <v>190</v>
      </c>
      <c r="J1539" t="str">
        <f>"1002013"</f>
        <v>1002013</v>
      </c>
      <c r="K1539">
        <v>2241065651</v>
      </c>
      <c r="L1539">
        <v>2241067850</v>
      </c>
      <c r="M1539" t="s">
        <v>35975</v>
      </c>
      <c r="N1539" t="s">
        <v>35639</v>
      </c>
      <c r="O1539" t="s">
        <v>35976</v>
      </c>
      <c r="P1539">
        <v>85100</v>
      </c>
      <c r="Q1539" t="str">
        <f>"36.386639"</f>
        <v>36.386639</v>
      </c>
      <c r="R1539" t="str">
        <f>"28.200029"</f>
        <v>28.200029</v>
      </c>
      <c r="S1539" t="s">
        <v>26</v>
      </c>
    </row>
    <row r="1540" spans="1:19" x14ac:dyDescent="0.3">
      <c r="A1540" t="s">
        <v>35638</v>
      </c>
      <c r="B1540" t="s">
        <v>35670</v>
      </c>
      <c r="C1540" t="s">
        <v>35984</v>
      </c>
      <c r="D1540" t="s">
        <v>35651</v>
      </c>
      <c r="E1540" t="s">
        <v>35652</v>
      </c>
      <c r="F1540" t="s">
        <v>35652</v>
      </c>
      <c r="G1540" t="s">
        <v>35652</v>
      </c>
      <c r="H1540" t="s">
        <v>51</v>
      </c>
      <c r="I1540" t="s">
        <v>4556</v>
      </c>
      <c r="J1540" t="str">
        <f>"1012015"</f>
        <v>1012015</v>
      </c>
      <c r="K1540">
        <v>2243023448</v>
      </c>
      <c r="L1540">
        <v>2243023448</v>
      </c>
      <c r="M1540" t="s">
        <v>35985</v>
      </c>
      <c r="N1540" t="s">
        <v>35673</v>
      </c>
      <c r="O1540" t="s">
        <v>35793</v>
      </c>
      <c r="P1540">
        <v>85200</v>
      </c>
      <c r="Q1540" t="str">
        <f>"36.954580"</f>
        <v>36.954580</v>
      </c>
      <c r="R1540" t="str">
        <f>"26.977172"</f>
        <v>26.977172</v>
      </c>
      <c r="S1540" t="s">
        <v>26</v>
      </c>
    </row>
    <row r="1541" spans="1:19" x14ac:dyDescent="0.3">
      <c r="A1541" t="s">
        <v>35638</v>
      </c>
      <c r="B1541" t="s">
        <v>35670</v>
      </c>
      <c r="C1541" t="s">
        <v>35994</v>
      </c>
      <c r="D1541" t="s">
        <v>35651</v>
      </c>
      <c r="E1541" t="s">
        <v>35652</v>
      </c>
      <c r="F1541" t="s">
        <v>35652</v>
      </c>
      <c r="G1541" t="s">
        <v>35652</v>
      </c>
      <c r="H1541" t="s">
        <v>51</v>
      </c>
      <c r="I1541" t="s">
        <v>52</v>
      </c>
      <c r="J1541" t="str">
        <f>"1003010"</f>
        <v>1003010</v>
      </c>
      <c r="K1541">
        <v>2243029870</v>
      </c>
      <c r="L1541">
        <v>2243028951</v>
      </c>
      <c r="M1541" t="s">
        <v>35995</v>
      </c>
      <c r="N1541" t="s">
        <v>35673</v>
      </c>
      <c r="O1541" t="s">
        <v>35794</v>
      </c>
      <c r="P1541">
        <v>85200</v>
      </c>
      <c r="Q1541" t="str">
        <f>"36.957184"</f>
        <v>36.957184</v>
      </c>
      <c r="R1541" t="str">
        <f>"26.970926"</f>
        <v>26.970926</v>
      </c>
      <c r="S1541" t="s">
        <v>26</v>
      </c>
    </row>
    <row r="1542" spans="1:19" x14ac:dyDescent="0.3">
      <c r="A1542" t="s">
        <v>35638</v>
      </c>
      <c r="B1542" t="s">
        <v>35670</v>
      </c>
      <c r="C1542" t="s">
        <v>35999</v>
      </c>
      <c r="D1542" t="s">
        <v>35651</v>
      </c>
      <c r="E1542" t="s">
        <v>35729</v>
      </c>
      <c r="F1542" t="s">
        <v>35729</v>
      </c>
      <c r="G1542" t="s">
        <v>35729</v>
      </c>
      <c r="H1542" t="s">
        <v>51</v>
      </c>
      <c r="I1542" t="s">
        <v>4556</v>
      </c>
      <c r="J1542" t="str">
        <f>"1006017"</f>
        <v>1006017</v>
      </c>
      <c r="K1542">
        <v>2247028600</v>
      </c>
      <c r="L1542">
        <v>2247028601</v>
      </c>
      <c r="M1542" t="s">
        <v>36000</v>
      </c>
      <c r="N1542" t="s">
        <v>35732</v>
      </c>
      <c r="O1542" t="s">
        <v>13389</v>
      </c>
      <c r="P1542">
        <v>85400</v>
      </c>
      <c r="Q1542" t="str">
        <f>"37.154049"</f>
        <v>37.154049</v>
      </c>
      <c r="R1542" t="str">
        <f>"26.855255"</f>
        <v>26.855255</v>
      </c>
      <c r="S1542" t="s">
        <v>57</v>
      </c>
    </row>
    <row r="1543" spans="1:19" x14ac:dyDescent="0.3">
      <c r="A1543" t="s">
        <v>35638</v>
      </c>
      <c r="B1543" t="s">
        <v>35670</v>
      </c>
      <c r="C1543" t="s">
        <v>36002</v>
      </c>
      <c r="D1543" t="s">
        <v>35651</v>
      </c>
      <c r="E1543" t="s">
        <v>36001</v>
      </c>
      <c r="F1543" t="s">
        <v>36001</v>
      </c>
      <c r="G1543" t="s">
        <v>36001</v>
      </c>
      <c r="H1543" t="s">
        <v>51</v>
      </c>
      <c r="I1543" t="s">
        <v>89</v>
      </c>
      <c r="J1543" t="str">
        <f>"1006025"</f>
        <v>1006025</v>
      </c>
      <c r="K1543">
        <v>2247029069</v>
      </c>
      <c r="L1543">
        <v>2247029069</v>
      </c>
      <c r="M1543" t="s">
        <v>36003</v>
      </c>
      <c r="O1543" t="s">
        <v>36004</v>
      </c>
      <c r="P1543">
        <v>85003</v>
      </c>
      <c r="Q1543" t="str">
        <f>"37.458903"</f>
        <v>37.458903</v>
      </c>
      <c r="R1543" t="str">
        <f>"26.971393"</f>
        <v>26.971393</v>
      </c>
      <c r="S1543" t="s">
        <v>57</v>
      </c>
    </row>
    <row r="1544" spans="1:19" x14ac:dyDescent="0.3">
      <c r="A1544" t="s">
        <v>35638</v>
      </c>
      <c r="B1544" t="s">
        <v>35670</v>
      </c>
      <c r="C1544" t="s">
        <v>36013</v>
      </c>
      <c r="D1544" t="s">
        <v>35639</v>
      </c>
      <c r="E1544" t="s">
        <v>35639</v>
      </c>
      <c r="F1544" t="s">
        <v>35639</v>
      </c>
      <c r="G1544" t="s">
        <v>35639</v>
      </c>
      <c r="H1544" t="s">
        <v>51</v>
      </c>
      <c r="I1544" t="s">
        <v>199</v>
      </c>
      <c r="J1544" t="str">
        <f>"1040064"</f>
        <v>1040064</v>
      </c>
      <c r="K1544">
        <v>2241027530</v>
      </c>
      <c r="L1544">
        <v>2241027530</v>
      </c>
      <c r="M1544" t="s">
        <v>36014</v>
      </c>
      <c r="N1544" t="s">
        <v>35639</v>
      </c>
      <c r="O1544" t="s">
        <v>36015</v>
      </c>
      <c r="P1544">
        <v>85132</v>
      </c>
      <c r="Q1544" t="str">
        <f>"36.435257"</f>
        <v>36.435257</v>
      </c>
      <c r="R1544" t="str">
        <f>"28.228338"</f>
        <v>28.228338</v>
      </c>
      <c r="S1544" t="s">
        <v>26</v>
      </c>
    </row>
    <row r="1545" spans="1:19" x14ac:dyDescent="0.3">
      <c r="A1545" t="s">
        <v>35638</v>
      </c>
      <c r="B1545" t="s">
        <v>36020</v>
      </c>
      <c r="C1545" t="s">
        <v>36023</v>
      </c>
      <c r="D1545" t="s">
        <v>36021</v>
      </c>
      <c r="E1545" t="s">
        <v>36022</v>
      </c>
      <c r="F1545" t="s">
        <v>36022</v>
      </c>
      <c r="G1545" t="s">
        <v>36022</v>
      </c>
      <c r="H1545" t="s">
        <v>51</v>
      </c>
      <c r="I1545" t="s">
        <v>89</v>
      </c>
      <c r="J1545" t="str">
        <f>"2904080"</f>
        <v>2904080</v>
      </c>
      <c r="K1545">
        <v>2286041296</v>
      </c>
      <c r="L1545">
        <v>2286041296</v>
      </c>
      <c r="M1545" t="s">
        <v>36024</v>
      </c>
      <c r="N1545" t="s">
        <v>36025</v>
      </c>
      <c r="O1545" t="s">
        <v>36026</v>
      </c>
      <c r="P1545">
        <v>84011</v>
      </c>
      <c r="Q1545" t="str">
        <f>"36.627721"</f>
        <v>36.627721</v>
      </c>
      <c r="R1545" t="str">
        <f>"24.921897"</f>
        <v>24.921897</v>
      </c>
      <c r="S1545" t="s">
        <v>57</v>
      </c>
    </row>
    <row r="1546" spans="1:19" x14ac:dyDescent="0.3">
      <c r="A1546" t="s">
        <v>35638</v>
      </c>
      <c r="B1546" t="s">
        <v>36020</v>
      </c>
      <c r="C1546" t="s">
        <v>36030</v>
      </c>
      <c r="D1546" t="s">
        <v>36028</v>
      </c>
      <c r="E1546" t="s">
        <v>36029</v>
      </c>
      <c r="F1546" t="s">
        <v>36029</v>
      </c>
      <c r="G1546" t="s">
        <v>36029</v>
      </c>
      <c r="H1546" t="s">
        <v>51</v>
      </c>
      <c r="I1546" t="s">
        <v>89</v>
      </c>
      <c r="J1546" t="str">
        <f>"2915010"</f>
        <v>2915010</v>
      </c>
      <c r="K1546">
        <v>2281051472</v>
      </c>
      <c r="L1546">
        <v>2281051472</v>
      </c>
      <c r="M1546" t="s">
        <v>36031</v>
      </c>
      <c r="N1546" t="s">
        <v>36032</v>
      </c>
      <c r="O1546" t="s">
        <v>36033</v>
      </c>
      <c r="P1546">
        <v>84005</v>
      </c>
      <c r="Q1546" t="str">
        <f>"37.141507"</f>
        <v>37.141507</v>
      </c>
      <c r="R1546" t="str">
        <f>"24.514538"</f>
        <v>24.514538</v>
      </c>
      <c r="S1546" t="s">
        <v>57</v>
      </c>
    </row>
    <row r="1547" spans="1:19" x14ac:dyDescent="0.3">
      <c r="A1547" t="s">
        <v>35638</v>
      </c>
      <c r="B1547" t="s">
        <v>36020</v>
      </c>
      <c r="C1547" t="s">
        <v>36036</v>
      </c>
      <c r="D1547" t="s">
        <v>4806</v>
      </c>
      <c r="E1547" t="s">
        <v>35664</v>
      </c>
      <c r="F1547" t="s">
        <v>4806</v>
      </c>
      <c r="G1547" t="s">
        <v>36035</v>
      </c>
      <c r="H1547" t="s">
        <v>51</v>
      </c>
      <c r="I1547" t="s">
        <v>52</v>
      </c>
      <c r="J1547" t="str">
        <f>"2908020"</f>
        <v>2908020</v>
      </c>
      <c r="K1547">
        <v>2285041472</v>
      </c>
      <c r="L1547">
        <v>2285041472</v>
      </c>
      <c r="M1547" t="s">
        <v>36037</v>
      </c>
      <c r="N1547" t="s">
        <v>36038</v>
      </c>
      <c r="O1547" t="s">
        <v>36039</v>
      </c>
      <c r="P1547">
        <v>84300</v>
      </c>
      <c r="Q1547" t="str">
        <f>"37.061841"</f>
        <v>37.061841</v>
      </c>
      <c r="R1547" t="str">
        <f>"25.410252"</f>
        <v>25.410252</v>
      </c>
      <c r="S1547" t="s">
        <v>26</v>
      </c>
    </row>
    <row r="1548" spans="1:19" x14ac:dyDescent="0.3">
      <c r="A1548" t="s">
        <v>35638</v>
      </c>
      <c r="B1548" t="s">
        <v>36020</v>
      </c>
      <c r="C1548" t="s">
        <v>36048</v>
      </c>
      <c r="D1548" t="s">
        <v>36021</v>
      </c>
      <c r="E1548" t="s">
        <v>36021</v>
      </c>
      <c r="F1548" t="s">
        <v>36021</v>
      </c>
      <c r="G1548" t="s">
        <v>36047</v>
      </c>
      <c r="H1548" t="s">
        <v>51</v>
      </c>
      <c r="I1548" t="s">
        <v>52</v>
      </c>
      <c r="J1548" t="str">
        <f>"2913016"</f>
        <v>2913016</v>
      </c>
      <c r="K1548">
        <v>2286033933</v>
      </c>
      <c r="L1548">
        <v>2286033299</v>
      </c>
      <c r="M1548" t="s">
        <v>36049</v>
      </c>
      <c r="N1548" t="s">
        <v>36050</v>
      </c>
      <c r="O1548" t="s">
        <v>36051</v>
      </c>
      <c r="P1548">
        <v>84700</v>
      </c>
      <c r="Q1548" t="str">
        <f>"36.398256"</f>
        <v>36.398256</v>
      </c>
      <c r="R1548" t="str">
        <f>"25.450292"</f>
        <v>25.450292</v>
      </c>
      <c r="S1548" t="s">
        <v>26</v>
      </c>
    </row>
    <row r="1549" spans="1:19" x14ac:dyDescent="0.3">
      <c r="A1549" t="s">
        <v>35638</v>
      </c>
      <c r="B1549" t="s">
        <v>36020</v>
      </c>
      <c r="C1549" t="s">
        <v>36053</v>
      </c>
      <c r="D1549" t="s">
        <v>4806</v>
      </c>
      <c r="E1549" t="s">
        <v>35664</v>
      </c>
      <c r="F1549" t="s">
        <v>18832</v>
      </c>
      <c r="G1549" t="s">
        <v>18832</v>
      </c>
      <c r="H1549" t="s">
        <v>51</v>
      </c>
      <c r="I1549" t="s">
        <v>89</v>
      </c>
      <c r="J1549" t="str">
        <f>"2908021"</f>
        <v>2908021</v>
      </c>
      <c r="K1549">
        <v>2285071544</v>
      </c>
      <c r="L1549">
        <v>2285071544</v>
      </c>
      <c r="M1549" t="s">
        <v>36054</v>
      </c>
      <c r="N1549" t="s">
        <v>18832</v>
      </c>
      <c r="O1549" t="s">
        <v>32017</v>
      </c>
      <c r="P1549">
        <v>84300</v>
      </c>
      <c r="Q1549" t="str">
        <f>"36.860026"</f>
        <v>36.860026</v>
      </c>
      <c r="R1549" t="str">
        <f>"25.467261"</f>
        <v>25.467261</v>
      </c>
      <c r="S1549" t="s">
        <v>57</v>
      </c>
    </row>
    <row r="1550" spans="1:19" x14ac:dyDescent="0.3">
      <c r="A1550" t="s">
        <v>35638</v>
      </c>
      <c r="B1550" t="s">
        <v>36020</v>
      </c>
      <c r="C1550" t="s">
        <v>36075</v>
      </c>
      <c r="D1550" t="s">
        <v>4806</v>
      </c>
      <c r="E1550" t="s">
        <v>35664</v>
      </c>
      <c r="F1550" t="s">
        <v>36073</v>
      </c>
      <c r="G1550" t="s">
        <v>36074</v>
      </c>
      <c r="H1550" t="s">
        <v>51</v>
      </c>
      <c r="I1550" t="s">
        <v>199</v>
      </c>
      <c r="J1550" t="str">
        <f>"2940090"</f>
        <v>2940090</v>
      </c>
      <c r="K1550">
        <v>2285032289</v>
      </c>
      <c r="L1550">
        <v>2285032289</v>
      </c>
      <c r="M1550" t="s">
        <v>36076</v>
      </c>
      <c r="N1550" t="s">
        <v>36077</v>
      </c>
      <c r="O1550" t="s">
        <v>36078</v>
      </c>
      <c r="P1550">
        <v>84302</v>
      </c>
      <c r="Q1550" t="str">
        <f>"37.057406"</f>
        <v>37.057406</v>
      </c>
      <c r="R1550" t="str">
        <f>"25.495573"</f>
        <v>25.495573</v>
      </c>
      <c r="S1550" t="s">
        <v>26</v>
      </c>
    </row>
    <row r="1551" spans="1:19" x14ac:dyDescent="0.3">
      <c r="A1551" t="s">
        <v>35638</v>
      </c>
      <c r="B1551" t="s">
        <v>36020</v>
      </c>
      <c r="C1551" t="s">
        <v>36109</v>
      </c>
      <c r="D1551" t="s">
        <v>36095</v>
      </c>
      <c r="E1551" t="s">
        <v>36095</v>
      </c>
      <c r="F1551" t="s">
        <v>36107</v>
      </c>
      <c r="G1551" t="s">
        <v>36108</v>
      </c>
      <c r="H1551" t="s">
        <v>51</v>
      </c>
      <c r="I1551" t="s">
        <v>89</v>
      </c>
      <c r="J1551" t="str">
        <f>"2902020"</f>
        <v>2902020</v>
      </c>
      <c r="K1551">
        <v>2282061205</v>
      </c>
      <c r="L1551">
        <v>2282061115</v>
      </c>
      <c r="M1551" t="s">
        <v>36110</v>
      </c>
      <c r="N1551" t="s">
        <v>36111</v>
      </c>
      <c r="O1551" t="s">
        <v>36112</v>
      </c>
      <c r="P1551">
        <v>84502</v>
      </c>
      <c r="Q1551" t="str">
        <f>"37.764189"</f>
        <v>37.764189</v>
      </c>
      <c r="R1551" t="str">
        <f>"24.948901"</f>
        <v>24.948901</v>
      </c>
      <c r="S1551" t="s">
        <v>26</v>
      </c>
    </row>
    <row r="1552" spans="1:19" x14ac:dyDescent="0.3">
      <c r="A1552" t="s">
        <v>35638</v>
      </c>
      <c r="B1552" t="s">
        <v>36020</v>
      </c>
      <c r="C1552" t="s">
        <v>36161</v>
      </c>
      <c r="D1552" t="s">
        <v>36057</v>
      </c>
      <c r="E1552" t="s">
        <v>36057</v>
      </c>
      <c r="F1552" t="s">
        <v>36057</v>
      </c>
      <c r="G1552" t="s">
        <v>36058</v>
      </c>
      <c r="H1552" t="s">
        <v>51</v>
      </c>
      <c r="I1552" t="s">
        <v>52</v>
      </c>
      <c r="J1552" t="str">
        <f>"2909010"</f>
        <v>2909010</v>
      </c>
      <c r="K1552">
        <v>2289022288</v>
      </c>
      <c r="L1552">
        <v>2289027747</v>
      </c>
      <c r="M1552" t="s">
        <v>36162</v>
      </c>
      <c r="N1552" t="s">
        <v>36061</v>
      </c>
      <c r="O1552" t="s">
        <v>36163</v>
      </c>
      <c r="P1552">
        <v>84600</v>
      </c>
      <c r="Q1552" t="str">
        <f>"37.438702"</f>
        <v>37.438702</v>
      </c>
      <c r="R1552" t="str">
        <f>"25.331207"</f>
        <v>25.331207</v>
      </c>
      <c r="S1552" t="s">
        <v>26</v>
      </c>
    </row>
    <row r="1553" spans="1:19" x14ac:dyDescent="0.3">
      <c r="A1553" t="s">
        <v>35638</v>
      </c>
      <c r="B1553" t="s">
        <v>36020</v>
      </c>
      <c r="C1553" t="s">
        <v>36168</v>
      </c>
      <c r="D1553" t="s">
        <v>36041</v>
      </c>
      <c r="E1553" t="s">
        <v>36041</v>
      </c>
      <c r="F1553" t="s">
        <v>36041</v>
      </c>
      <c r="G1553" t="s">
        <v>36041</v>
      </c>
      <c r="H1553" t="s">
        <v>51</v>
      </c>
      <c r="I1553" t="s">
        <v>52</v>
      </c>
      <c r="J1553" t="str">
        <f>"2907010"</f>
        <v>2907010</v>
      </c>
      <c r="K1553">
        <v>2283022589</v>
      </c>
      <c r="L1553">
        <v>2283025789</v>
      </c>
      <c r="M1553" t="s">
        <v>36169</v>
      </c>
      <c r="N1553" t="s">
        <v>36044</v>
      </c>
      <c r="O1553" t="s">
        <v>36170</v>
      </c>
      <c r="P1553">
        <v>84200</v>
      </c>
      <c r="Q1553" t="str">
        <f>"37.540322"</f>
        <v>37.540322</v>
      </c>
      <c r="R1553" t="str">
        <f>"25.162509"</f>
        <v>25.162509</v>
      </c>
      <c r="S1553" t="s">
        <v>26</v>
      </c>
    </row>
    <row r="1554" spans="1:19" x14ac:dyDescent="0.3">
      <c r="A1554" t="s">
        <v>35638</v>
      </c>
      <c r="B1554" t="s">
        <v>36020</v>
      </c>
      <c r="C1554" t="s">
        <v>36173</v>
      </c>
      <c r="D1554" t="s">
        <v>36021</v>
      </c>
      <c r="E1554" t="s">
        <v>36021</v>
      </c>
      <c r="F1554" t="s">
        <v>36021</v>
      </c>
      <c r="G1554" t="s">
        <v>36172</v>
      </c>
      <c r="H1554" t="s">
        <v>51</v>
      </c>
      <c r="I1554" t="s">
        <v>52</v>
      </c>
      <c r="J1554" t="str">
        <f>"2913015"</f>
        <v>2913015</v>
      </c>
      <c r="K1554">
        <v>2286081674</v>
      </c>
      <c r="L1554">
        <v>2286028124</v>
      </c>
      <c r="M1554" t="s">
        <v>36174</v>
      </c>
      <c r="N1554" t="s">
        <v>36122</v>
      </c>
      <c r="O1554" t="s">
        <v>36175</v>
      </c>
      <c r="P1554">
        <v>84703</v>
      </c>
      <c r="Q1554" t="str">
        <f>"36.355392"</f>
        <v>36.355392</v>
      </c>
      <c r="R1554" t="str">
        <f>"25.445104"</f>
        <v>25.445104</v>
      </c>
      <c r="S1554" t="s">
        <v>26</v>
      </c>
    </row>
    <row r="1555" spans="1:19" x14ac:dyDescent="0.3">
      <c r="A1555" t="s">
        <v>35638</v>
      </c>
      <c r="B1555" t="s">
        <v>36020</v>
      </c>
      <c r="C1555" t="s">
        <v>36178</v>
      </c>
      <c r="D1555" t="s">
        <v>36095</v>
      </c>
      <c r="E1555" t="s">
        <v>36095</v>
      </c>
      <c r="F1555" t="s">
        <v>18594</v>
      </c>
      <c r="G1555" t="s">
        <v>36177</v>
      </c>
      <c r="H1555" t="s">
        <v>51</v>
      </c>
      <c r="I1555" t="s">
        <v>89</v>
      </c>
      <c r="J1555" t="str">
        <f>"2914010"</f>
        <v>2914010</v>
      </c>
      <c r="K1555">
        <v>2282071488</v>
      </c>
      <c r="L1555">
        <v>2282071488</v>
      </c>
      <c r="M1555" t="s">
        <v>36179</v>
      </c>
      <c r="N1555" t="s">
        <v>36180</v>
      </c>
      <c r="O1555" t="s">
        <v>36181</v>
      </c>
      <c r="P1555">
        <v>84501</v>
      </c>
      <c r="Q1555" t="str">
        <f>"37.873896"</f>
        <v>37.873896</v>
      </c>
      <c r="R1555" t="str">
        <f>"24.813691"</f>
        <v>24.813691</v>
      </c>
      <c r="S1555" t="s">
        <v>26</v>
      </c>
    </row>
    <row r="1556" spans="1:19" x14ac:dyDescent="0.3">
      <c r="A1556" t="s">
        <v>35638</v>
      </c>
      <c r="B1556" t="s">
        <v>36020</v>
      </c>
      <c r="C1556" t="s">
        <v>36184</v>
      </c>
      <c r="D1556" t="s">
        <v>4806</v>
      </c>
      <c r="E1556" t="s">
        <v>35664</v>
      </c>
      <c r="F1556" t="s">
        <v>36183</v>
      </c>
      <c r="G1556" t="s">
        <v>36183</v>
      </c>
      <c r="H1556" t="s">
        <v>51</v>
      </c>
      <c r="I1556" t="s">
        <v>89</v>
      </c>
      <c r="J1556" t="str">
        <f>"2905080"</f>
        <v>2905080</v>
      </c>
      <c r="K1556">
        <v>2285074252</v>
      </c>
      <c r="L1556">
        <v>2285029182</v>
      </c>
      <c r="M1556" t="s">
        <v>36185</v>
      </c>
      <c r="N1556" t="s">
        <v>36186</v>
      </c>
      <c r="O1556" t="s">
        <v>36187</v>
      </c>
      <c r="P1556">
        <v>84300</v>
      </c>
      <c r="Q1556" t="str">
        <f>"36.870066"</f>
        <v>36.870066</v>
      </c>
      <c r="R1556" t="str">
        <f>"25.518682"</f>
        <v>25.518682</v>
      </c>
      <c r="S1556" t="s">
        <v>57</v>
      </c>
    </row>
    <row r="1557" spans="1:19" x14ac:dyDescent="0.3">
      <c r="A1557" t="s">
        <v>35638</v>
      </c>
      <c r="B1557" t="s">
        <v>36020</v>
      </c>
      <c r="C1557" t="s">
        <v>36190</v>
      </c>
      <c r="D1557" t="s">
        <v>4806</v>
      </c>
      <c r="E1557" t="s">
        <v>35664</v>
      </c>
      <c r="F1557" t="s">
        <v>36189</v>
      </c>
      <c r="G1557" t="s">
        <v>36189</v>
      </c>
      <c r="H1557" t="s">
        <v>51</v>
      </c>
      <c r="I1557" t="s">
        <v>89</v>
      </c>
      <c r="J1557" t="str">
        <f>"2905090"</f>
        <v>2905090</v>
      </c>
      <c r="K1557">
        <v>2285071446</v>
      </c>
      <c r="L1557">
        <v>2285071446</v>
      </c>
      <c r="M1557" t="s">
        <v>36191</v>
      </c>
      <c r="N1557" t="s">
        <v>36192</v>
      </c>
      <c r="O1557" t="s">
        <v>36192</v>
      </c>
      <c r="P1557">
        <v>84300</v>
      </c>
      <c r="Q1557" t="str">
        <f>"36.934902"</f>
        <v>36.934902</v>
      </c>
      <c r="R1557" t="str">
        <f>"25.601314"</f>
        <v>25.601314</v>
      </c>
      <c r="S1557" t="s">
        <v>57</v>
      </c>
    </row>
    <row r="1558" spans="1:19" x14ac:dyDescent="0.3">
      <c r="A1558" t="s">
        <v>35638</v>
      </c>
      <c r="B1558" t="s">
        <v>36020</v>
      </c>
      <c r="C1558" t="s">
        <v>36193</v>
      </c>
      <c r="D1558" t="s">
        <v>36021</v>
      </c>
      <c r="E1558" t="s">
        <v>36021</v>
      </c>
      <c r="F1558" t="s">
        <v>36021</v>
      </c>
      <c r="G1558" t="s">
        <v>36021</v>
      </c>
      <c r="H1558" t="s">
        <v>51</v>
      </c>
      <c r="I1558" t="s">
        <v>52</v>
      </c>
      <c r="J1558" t="str">
        <f>"2903010"</f>
        <v>2903010</v>
      </c>
      <c r="K1558">
        <v>2286022272</v>
      </c>
      <c r="L1558">
        <v>2286022272</v>
      </c>
      <c r="M1558" t="s">
        <v>36194</v>
      </c>
      <c r="N1558" t="s">
        <v>36122</v>
      </c>
      <c r="O1558" t="s">
        <v>36195</v>
      </c>
      <c r="P1558">
        <v>84700</v>
      </c>
      <c r="Q1558" t="str">
        <f>"36.416222"</f>
        <v>36.416222</v>
      </c>
      <c r="R1558" t="str">
        <f>"25.433759"</f>
        <v>25.433759</v>
      </c>
      <c r="S1558" t="s">
        <v>26</v>
      </c>
    </row>
    <row r="1559" spans="1:19" x14ac:dyDescent="0.3">
      <c r="A1559" t="s">
        <v>35638</v>
      </c>
      <c r="B1559" t="s">
        <v>36020</v>
      </c>
      <c r="C1559" t="s">
        <v>36196</v>
      </c>
      <c r="D1559" t="s">
        <v>35644</v>
      </c>
      <c r="E1559" t="s">
        <v>35645</v>
      </c>
      <c r="F1559" t="s">
        <v>35646</v>
      </c>
      <c r="G1559" t="s">
        <v>35646</v>
      </c>
      <c r="H1559" t="s">
        <v>51</v>
      </c>
      <c r="I1559" t="s">
        <v>52</v>
      </c>
      <c r="J1559" t="str">
        <f>"2901020"</f>
        <v>2901020</v>
      </c>
      <c r="K1559">
        <v>2281082239</v>
      </c>
      <c r="L1559">
        <v>2281084163</v>
      </c>
      <c r="M1559" t="s">
        <v>36197</v>
      </c>
      <c r="N1559" t="s">
        <v>35644</v>
      </c>
      <c r="O1559" t="s">
        <v>36198</v>
      </c>
      <c r="P1559">
        <v>84100</v>
      </c>
      <c r="Q1559" t="str">
        <f>"37.447709"</f>
        <v>37.447709</v>
      </c>
      <c r="R1559" t="str">
        <f>"24.937553"</f>
        <v>24.937553</v>
      </c>
      <c r="S1559" t="s">
        <v>26</v>
      </c>
    </row>
    <row r="1560" spans="1:19" x14ac:dyDescent="0.3">
      <c r="A1560" t="s">
        <v>35638</v>
      </c>
      <c r="B1560" t="s">
        <v>36020</v>
      </c>
      <c r="C1560" t="s">
        <v>36200</v>
      </c>
      <c r="D1560" t="s">
        <v>35644</v>
      </c>
      <c r="E1560" t="s">
        <v>35645</v>
      </c>
      <c r="F1560" t="s">
        <v>35646</v>
      </c>
      <c r="G1560" t="s">
        <v>35646</v>
      </c>
      <c r="H1560" t="s">
        <v>51</v>
      </c>
      <c r="I1560" t="s">
        <v>52</v>
      </c>
      <c r="J1560" t="str">
        <f>"2901010"</f>
        <v>2901010</v>
      </c>
      <c r="K1560">
        <v>2281082359</v>
      </c>
      <c r="L1560">
        <v>2281082359</v>
      </c>
      <c r="M1560" t="s">
        <v>36201</v>
      </c>
      <c r="N1560" t="s">
        <v>35649</v>
      </c>
      <c r="O1560" t="s">
        <v>36202</v>
      </c>
      <c r="P1560">
        <v>84100</v>
      </c>
      <c r="Q1560" t="str">
        <f>"37.447701"</f>
        <v>37.447701</v>
      </c>
      <c r="R1560" t="str">
        <f>"24.936459"</f>
        <v>24.936459</v>
      </c>
      <c r="S1560" t="s">
        <v>26</v>
      </c>
    </row>
    <row r="1561" spans="1:19" x14ac:dyDescent="0.3">
      <c r="A1561" t="s">
        <v>35638</v>
      </c>
      <c r="B1561" t="s">
        <v>36020</v>
      </c>
      <c r="C1561" t="s">
        <v>36203</v>
      </c>
      <c r="D1561" t="s">
        <v>4806</v>
      </c>
      <c r="E1561" t="s">
        <v>35664</v>
      </c>
      <c r="F1561" t="s">
        <v>36073</v>
      </c>
      <c r="G1561" t="s">
        <v>13599</v>
      </c>
      <c r="H1561" t="s">
        <v>51</v>
      </c>
      <c r="I1561" t="s">
        <v>52</v>
      </c>
      <c r="J1561" t="str">
        <f>"2905020"</f>
        <v>2905020</v>
      </c>
      <c r="K1561">
        <v>2285031205</v>
      </c>
      <c r="L1561">
        <v>2285031205</v>
      </c>
      <c r="M1561" t="s">
        <v>36204</v>
      </c>
      <c r="N1561" t="s">
        <v>36159</v>
      </c>
      <c r="O1561" t="s">
        <v>36159</v>
      </c>
      <c r="P1561">
        <v>84302</v>
      </c>
      <c r="Q1561" t="str">
        <f>"37.064644"</f>
        <v>37.064644</v>
      </c>
      <c r="R1561" t="str">
        <f>"25.484028"</f>
        <v>25.484028</v>
      </c>
      <c r="S1561" t="s">
        <v>26</v>
      </c>
    </row>
    <row r="1562" spans="1:19" x14ac:dyDescent="0.3">
      <c r="A1562" t="s">
        <v>35638</v>
      </c>
      <c r="B1562" t="s">
        <v>36020</v>
      </c>
      <c r="C1562" t="s">
        <v>36205</v>
      </c>
      <c r="D1562" t="s">
        <v>36021</v>
      </c>
      <c r="E1562" t="s">
        <v>36102</v>
      </c>
      <c r="F1562" t="s">
        <v>36102</v>
      </c>
      <c r="G1562" t="s">
        <v>36102</v>
      </c>
      <c r="H1562" t="s">
        <v>51</v>
      </c>
      <c r="I1562" t="s">
        <v>89</v>
      </c>
      <c r="J1562" t="str">
        <f>"2911010"</f>
        <v>2911010</v>
      </c>
      <c r="K1562">
        <v>2286091312</v>
      </c>
      <c r="L1562">
        <v>2286028354</v>
      </c>
      <c r="M1562" t="s">
        <v>36206</v>
      </c>
      <c r="N1562" t="s">
        <v>36207</v>
      </c>
      <c r="O1562" t="s">
        <v>36105</v>
      </c>
      <c r="P1562">
        <v>84001</v>
      </c>
      <c r="Q1562" t="str">
        <f>"36.724094"</f>
        <v>36.724094</v>
      </c>
      <c r="R1562" t="str">
        <f>"25.278341"</f>
        <v>25.278341</v>
      </c>
      <c r="S1562" t="s">
        <v>57</v>
      </c>
    </row>
    <row r="1563" spans="1:19" x14ac:dyDescent="0.3">
      <c r="A1563" t="s">
        <v>35638</v>
      </c>
      <c r="B1563" t="s">
        <v>36020</v>
      </c>
      <c r="C1563" t="s">
        <v>36208</v>
      </c>
      <c r="D1563" t="s">
        <v>36095</v>
      </c>
      <c r="E1563" t="s">
        <v>36095</v>
      </c>
      <c r="F1563" t="s">
        <v>36095</v>
      </c>
      <c r="G1563" t="s">
        <v>36095</v>
      </c>
      <c r="H1563" t="s">
        <v>51</v>
      </c>
      <c r="I1563" t="s">
        <v>52</v>
      </c>
      <c r="J1563" t="str">
        <f>"2902010"</f>
        <v>2902010</v>
      </c>
      <c r="K1563">
        <v>2282022288</v>
      </c>
      <c r="L1563">
        <v>2282022288</v>
      </c>
      <c r="M1563" t="s">
        <v>36209</v>
      </c>
      <c r="N1563" t="s">
        <v>36098</v>
      </c>
      <c r="O1563" t="s">
        <v>36210</v>
      </c>
      <c r="P1563">
        <v>84500</v>
      </c>
      <c r="Q1563" t="str">
        <f>"37.836382"</f>
        <v>37.836382</v>
      </c>
      <c r="R1563" t="str">
        <f>"24.935215"</f>
        <v>24.935215</v>
      </c>
      <c r="S1563" t="s">
        <v>26</v>
      </c>
    </row>
    <row r="1564" spans="1:19" x14ac:dyDescent="0.3">
      <c r="A1564" t="s">
        <v>35638</v>
      </c>
      <c r="B1564" t="s">
        <v>36020</v>
      </c>
      <c r="C1564" t="s">
        <v>36212</v>
      </c>
      <c r="D1564" t="s">
        <v>4806</v>
      </c>
      <c r="E1564" t="s">
        <v>35664</v>
      </c>
      <c r="F1564" t="s">
        <v>36211</v>
      </c>
      <c r="G1564" t="s">
        <v>36211</v>
      </c>
      <c r="H1564" t="s">
        <v>51</v>
      </c>
      <c r="I1564" t="s">
        <v>89</v>
      </c>
      <c r="J1564" t="str">
        <f>"2905070"</f>
        <v>2905070</v>
      </c>
      <c r="K1564">
        <v>2285051826</v>
      </c>
      <c r="L1564">
        <v>2285051596</v>
      </c>
      <c r="M1564" t="s">
        <v>36213</v>
      </c>
      <c r="N1564" t="s">
        <v>36214</v>
      </c>
      <c r="O1564" t="s">
        <v>36214</v>
      </c>
      <c r="P1564">
        <v>84300</v>
      </c>
      <c r="Q1564" t="str">
        <f>"37.100554"</f>
        <v>37.100554</v>
      </c>
      <c r="R1564" t="str">
        <f>"25.795105"</f>
        <v>25.795105</v>
      </c>
      <c r="S1564" t="s">
        <v>57</v>
      </c>
    </row>
    <row r="1565" spans="1:19" x14ac:dyDescent="0.3">
      <c r="A1565" t="s">
        <v>35638</v>
      </c>
      <c r="B1565" t="s">
        <v>36020</v>
      </c>
      <c r="C1565" t="s">
        <v>36216</v>
      </c>
      <c r="D1565" t="s">
        <v>35644</v>
      </c>
      <c r="E1565" t="s">
        <v>35645</v>
      </c>
      <c r="F1565" t="s">
        <v>35646</v>
      </c>
      <c r="G1565" t="s">
        <v>35646</v>
      </c>
      <c r="H1565" t="s">
        <v>51</v>
      </c>
      <c r="I1565" t="s">
        <v>52</v>
      </c>
      <c r="J1565" t="str">
        <f>"2901021"</f>
        <v>2901021</v>
      </c>
      <c r="K1565">
        <v>2281087222</v>
      </c>
      <c r="L1565">
        <v>2281087222</v>
      </c>
      <c r="M1565" t="s">
        <v>36217</v>
      </c>
      <c r="N1565" t="s">
        <v>35649</v>
      </c>
      <c r="O1565" t="s">
        <v>36218</v>
      </c>
      <c r="P1565">
        <v>84100</v>
      </c>
      <c r="Q1565" t="str">
        <f>"37.447627"</f>
        <v>37.447627</v>
      </c>
      <c r="R1565" t="str">
        <f>"24.936683"</f>
        <v>24.936683</v>
      </c>
      <c r="S1565" t="s">
        <v>26</v>
      </c>
    </row>
    <row r="1566" spans="1:19" x14ac:dyDescent="0.3">
      <c r="A1566" t="s">
        <v>35638</v>
      </c>
      <c r="B1566" t="s">
        <v>36020</v>
      </c>
      <c r="C1566" t="s">
        <v>36220</v>
      </c>
      <c r="D1566" t="s">
        <v>36064</v>
      </c>
      <c r="E1566" t="s">
        <v>36219</v>
      </c>
      <c r="F1566" t="s">
        <v>36219</v>
      </c>
      <c r="G1566" t="s">
        <v>36219</v>
      </c>
      <c r="H1566" t="s">
        <v>51</v>
      </c>
      <c r="I1566" t="s">
        <v>89</v>
      </c>
      <c r="J1566" t="str">
        <f>"2913010"</f>
        <v>2913010</v>
      </c>
      <c r="K1566">
        <v>2281032333</v>
      </c>
      <c r="L1566">
        <v>2281032333</v>
      </c>
      <c r="M1566" t="s">
        <v>36221</v>
      </c>
      <c r="N1566" t="s">
        <v>36222</v>
      </c>
      <c r="O1566" t="s">
        <v>36223</v>
      </c>
      <c r="P1566">
        <v>84006</v>
      </c>
      <c r="Q1566" t="str">
        <f>"37.385417"</f>
        <v>37.385417</v>
      </c>
      <c r="R1566" t="str">
        <f>"24.399837"</f>
        <v>24.399837</v>
      </c>
      <c r="S1566" t="s">
        <v>26</v>
      </c>
    </row>
    <row r="1567" spans="1:19" x14ac:dyDescent="0.3">
      <c r="A1567" t="s">
        <v>35638</v>
      </c>
      <c r="B1567" t="s">
        <v>36020</v>
      </c>
      <c r="C1567" t="s">
        <v>36226</v>
      </c>
      <c r="D1567" t="s">
        <v>36021</v>
      </c>
      <c r="E1567" t="s">
        <v>36225</v>
      </c>
      <c r="F1567" t="s">
        <v>36225</v>
      </c>
      <c r="G1567" t="s">
        <v>36225</v>
      </c>
      <c r="H1567" t="s">
        <v>51</v>
      </c>
      <c r="I1567" t="s">
        <v>89</v>
      </c>
      <c r="J1567" t="str">
        <f>"2903090"</f>
        <v>2903090</v>
      </c>
      <c r="K1567">
        <v>2286061389</v>
      </c>
      <c r="L1567">
        <v>2286061389</v>
      </c>
      <c r="M1567" t="s">
        <v>36227</v>
      </c>
      <c r="N1567" t="s">
        <v>36228</v>
      </c>
      <c r="O1567" t="s">
        <v>36228</v>
      </c>
      <c r="P1567">
        <v>84009</v>
      </c>
      <c r="Q1567" t="str">
        <f>"36.351447"</f>
        <v>36.351447</v>
      </c>
      <c r="R1567" t="str">
        <f>"25.768030"</f>
        <v>25.768030</v>
      </c>
      <c r="S1567" t="s">
        <v>57</v>
      </c>
    </row>
    <row r="1568" spans="1:19" x14ac:dyDescent="0.3">
      <c r="A1568" t="s">
        <v>35638</v>
      </c>
      <c r="B1568" t="s">
        <v>36020</v>
      </c>
      <c r="C1568" t="s">
        <v>36231</v>
      </c>
      <c r="D1568" t="s">
        <v>36021</v>
      </c>
      <c r="E1568" t="s">
        <v>36230</v>
      </c>
      <c r="F1568" t="s">
        <v>36230</v>
      </c>
      <c r="G1568" t="s">
        <v>36230</v>
      </c>
      <c r="H1568" t="s">
        <v>51</v>
      </c>
      <c r="I1568" t="s">
        <v>89</v>
      </c>
      <c r="J1568" t="str">
        <f>"2911090"</f>
        <v>2911090</v>
      </c>
      <c r="K1568">
        <v>2286051273</v>
      </c>
      <c r="L1568">
        <v>2286051273</v>
      </c>
      <c r="M1568" t="s">
        <v>36232</v>
      </c>
      <c r="N1568" t="s">
        <v>36233</v>
      </c>
      <c r="O1568" t="s">
        <v>36234</v>
      </c>
      <c r="P1568">
        <v>84010</v>
      </c>
      <c r="Q1568" t="str">
        <f>"36.695343"</f>
        <v>36.695343</v>
      </c>
      <c r="R1568" t="str">
        <f>"25.117995"</f>
        <v>25.117995</v>
      </c>
      <c r="S1568" t="s">
        <v>57</v>
      </c>
    </row>
    <row r="1569" spans="1:19" x14ac:dyDescent="0.3">
      <c r="A1569" t="s">
        <v>35638</v>
      </c>
      <c r="B1569" t="s">
        <v>36020</v>
      </c>
      <c r="C1569" t="s">
        <v>36236</v>
      </c>
      <c r="D1569" t="s">
        <v>4806</v>
      </c>
      <c r="E1569" t="s">
        <v>35664</v>
      </c>
      <c r="F1569" t="s">
        <v>4806</v>
      </c>
      <c r="G1569" t="s">
        <v>4806</v>
      </c>
      <c r="H1569" t="s">
        <v>51</v>
      </c>
      <c r="I1569" t="s">
        <v>52</v>
      </c>
      <c r="J1569" t="str">
        <f>"2905010"</f>
        <v>2905010</v>
      </c>
      <c r="K1569">
        <v>2285022281</v>
      </c>
      <c r="L1569">
        <v>2285024223</v>
      </c>
      <c r="M1569" t="s">
        <v>36237</v>
      </c>
      <c r="N1569" t="s">
        <v>36077</v>
      </c>
      <c r="O1569" t="s">
        <v>36238</v>
      </c>
      <c r="P1569">
        <v>84300</v>
      </c>
      <c r="Q1569" t="str">
        <f>"37.103101"</f>
        <v>37.103101</v>
      </c>
      <c r="R1569" t="str">
        <f>"25.377857"</f>
        <v>25.377857</v>
      </c>
      <c r="S1569" t="s">
        <v>26</v>
      </c>
    </row>
    <row r="1570" spans="1:19" x14ac:dyDescent="0.3">
      <c r="A1570" t="s">
        <v>35638</v>
      </c>
      <c r="B1570" t="s">
        <v>36020</v>
      </c>
      <c r="C1570" t="s">
        <v>36239</v>
      </c>
      <c r="D1570" t="s">
        <v>36064</v>
      </c>
      <c r="E1570" t="s">
        <v>36065</v>
      </c>
      <c r="F1570" t="s">
        <v>36065</v>
      </c>
      <c r="G1570" t="s">
        <v>36066</v>
      </c>
      <c r="H1570" t="s">
        <v>51</v>
      </c>
      <c r="I1570" t="s">
        <v>89</v>
      </c>
      <c r="J1570" t="str">
        <f>"2912010"</f>
        <v>2912010</v>
      </c>
      <c r="K1570">
        <v>2288022208</v>
      </c>
      <c r="L1570">
        <v>2288022208</v>
      </c>
      <c r="M1570" t="s">
        <v>36240</v>
      </c>
      <c r="N1570" t="s">
        <v>36069</v>
      </c>
      <c r="O1570" t="s">
        <v>36071</v>
      </c>
      <c r="P1570">
        <v>84002</v>
      </c>
      <c r="Q1570" t="str">
        <f>"37.637301"</f>
        <v>37.637301</v>
      </c>
      <c r="R1570" t="str">
        <f>"24.340244"</f>
        <v>24.340244</v>
      </c>
      <c r="S1570" t="s">
        <v>26</v>
      </c>
    </row>
    <row r="1571" spans="1:19" x14ac:dyDescent="0.3">
      <c r="A1571" t="s">
        <v>35638</v>
      </c>
      <c r="B1571" t="s">
        <v>36020</v>
      </c>
      <c r="C1571" t="s">
        <v>36241</v>
      </c>
      <c r="D1571" t="s">
        <v>4806</v>
      </c>
      <c r="E1571" t="s">
        <v>36090</v>
      </c>
      <c r="F1571" t="s">
        <v>36090</v>
      </c>
      <c r="G1571" t="s">
        <v>36090</v>
      </c>
      <c r="H1571" t="s">
        <v>51</v>
      </c>
      <c r="I1571" t="s">
        <v>89</v>
      </c>
      <c r="J1571" t="str">
        <f>"2908010"</f>
        <v>2908010</v>
      </c>
      <c r="K1571">
        <v>2285071245</v>
      </c>
      <c r="L1571">
        <v>2285071245</v>
      </c>
      <c r="M1571" t="s">
        <v>36242</v>
      </c>
      <c r="N1571" t="s">
        <v>36093</v>
      </c>
      <c r="O1571" t="s">
        <v>36243</v>
      </c>
      <c r="P1571">
        <v>84008</v>
      </c>
      <c r="Q1571" t="str">
        <f>"36.833123"</f>
        <v>36.833123</v>
      </c>
      <c r="R1571" t="str">
        <f>"25.901993"</f>
        <v>25.901993</v>
      </c>
      <c r="S1571" t="s">
        <v>57</v>
      </c>
    </row>
    <row r="1572" spans="1:19" x14ac:dyDescent="0.3">
      <c r="A1572" t="s">
        <v>35638</v>
      </c>
      <c r="B1572" t="s">
        <v>36020</v>
      </c>
      <c r="C1572" t="s">
        <v>36246</v>
      </c>
      <c r="D1572" t="s">
        <v>36021</v>
      </c>
      <c r="E1572" t="s">
        <v>36021</v>
      </c>
      <c r="F1572" t="s">
        <v>36244</v>
      </c>
      <c r="G1572" t="s">
        <v>36245</v>
      </c>
      <c r="H1572" t="s">
        <v>51</v>
      </c>
      <c r="I1572" t="s">
        <v>89</v>
      </c>
      <c r="J1572" t="str">
        <f>"2913017"</f>
        <v>2913017</v>
      </c>
      <c r="K1572">
        <v>2286029231</v>
      </c>
      <c r="L1572">
        <v>2286029231</v>
      </c>
      <c r="M1572" t="s">
        <v>36247</v>
      </c>
      <c r="N1572" t="s">
        <v>36248</v>
      </c>
      <c r="O1572" t="s">
        <v>36249</v>
      </c>
      <c r="P1572">
        <v>84702</v>
      </c>
      <c r="Q1572" t="str">
        <f>"36.466359"</f>
        <v>36.466359</v>
      </c>
      <c r="R1572" t="str">
        <f>"25.384497"</f>
        <v>25.384497</v>
      </c>
      <c r="S1572" t="s">
        <v>57</v>
      </c>
    </row>
    <row r="1573" spans="1:19" x14ac:dyDescent="0.3">
      <c r="A1573" t="s">
        <v>35638</v>
      </c>
      <c r="B1573" t="s">
        <v>36020</v>
      </c>
      <c r="C1573" t="s">
        <v>36252</v>
      </c>
      <c r="D1573" t="s">
        <v>36133</v>
      </c>
      <c r="E1573" t="s">
        <v>36133</v>
      </c>
      <c r="F1573" t="s">
        <v>36133</v>
      </c>
      <c r="G1573" t="s">
        <v>36251</v>
      </c>
      <c r="H1573" t="s">
        <v>51</v>
      </c>
      <c r="I1573" t="s">
        <v>52</v>
      </c>
      <c r="J1573" t="str">
        <f>"2906055"</f>
        <v>2906055</v>
      </c>
      <c r="K1573">
        <v>2284042480</v>
      </c>
      <c r="L1573">
        <v>2284042480</v>
      </c>
      <c r="M1573" t="s">
        <v>36253</v>
      </c>
      <c r="N1573" t="s">
        <v>36254</v>
      </c>
      <c r="O1573" t="s">
        <v>36255</v>
      </c>
      <c r="P1573">
        <v>84400</v>
      </c>
      <c r="Q1573" t="str">
        <f>"37.050795"</f>
        <v>37.050795</v>
      </c>
      <c r="R1573" t="str">
        <f>"25.247890"</f>
        <v>25.247890</v>
      </c>
      <c r="S1573" t="s">
        <v>26</v>
      </c>
    </row>
    <row r="1574" spans="1:19" x14ac:dyDescent="0.3">
      <c r="A1574" t="s">
        <v>35638</v>
      </c>
      <c r="B1574" t="s">
        <v>36020</v>
      </c>
      <c r="C1574" t="s">
        <v>36263</v>
      </c>
      <c r="D1574" t="s">
        <v>36133</v>
      </c>
      <c r="E1574" t="s">
        <v>36262</v>
      </c>
      <c r="F1574" t="s">
        <v>36262</v>
      </c>
      <c r="G1574" t="s">
        <v>36262</v>
      </c>
      <c r="H1574" t="s">
        <v>51</v>
      </c>
      <c r="I1574" t="s">
        <v>89</v>
      </c>
      <c r="J1574" t="str">
        <f>"2906090"</f>
        <v>2906090</v>
      </c>
      <c r="K1574">
        <v>2284061392</v>
      </c>
      <c r="L1574">
        <v>2284061392</v>
      </c>
      <c r="M1574" t="s">
        <v>36264</v>
      </c>
      <c r="N1574" t="s">
        <v>36262</v>
      </c>
      <c r="O1574" t="s">
        <v>36265</v>
      </c>
      <c r="P1574">
        <v>84007</v>
      </c>
      <c r="Q1574" t="str">
        <f>"37.040340"</f>
        <v>37.040340</v>
      </c>
      <c r="R1574" t="str">
        <f>"25.081415"</f>
        <v>25.081415</v>
      </c>
      <c r="S1574" t="s">
        <v>57</v>
      </c>
    </row>
    <row r="1575" spans="1:19" x14ac:dyDescent="0.3">
      <c r="A1575" t="s">
        <v>35638</v>
      </c>
      <c r="B1575" t="s">
        <v>36020</v>
      </c>
      <c r="C1575" t="s">
        <v>36267</v>
      </c>
      <c r="D1575" t="s">
        <v>36133</v>
      </c>
      <c r="E1575" t="s">
        <v>36133</v>
      </c>
      <c r="F1575" t="s">
        <v>36133</v>
      </c>
      <c r="G1575" t="s">
        <v>36257</v>
      </c>
      <c r="H1575" t="s">
        <v>51</v>
      </c>
      <c r="I1575" t="s">
        <v>52</v>
      </c>
      <c r="J1575" t="str">
        <f>"2906050"</f>
        <v>2906050</v>
      </c>
      <c r="K1575">
        <v>2284053410</v>
      </c>
      <c r="L1575">
        <v>2284051455</v>
      </c>
      <c r="M1575" t="s">
        <v>36268</v>
      </c>
      <c r="N1575" t="s">
        <v>36260</v>
      </c>
      <c r="O1575" t="s">
        <v>36269</v>
      </c>
      <c r="P1575">
        <v>84401</v>
      </c>
      <c r="Q1575" t="str">
        <f>"37.119133"</f>
        <v>37.119133</v>
      </c>
      <c r="R1575" t="str">
        <f>"25.237170"</f>
        <v>25.237170</v>
      </c>
      <c r="S1575" t="s">
        <v>26</v>
      </c>
    </row>
    <row r="1576" spans="1:19" x14ac:dyDescent="0.3">
      <c r="A1576" t="s">
        <v>35638</v>
      </c>
      <c r="B1576" t="s">
        <v>36020</v>
      </c>
      <c r="C1576" t="s">
        <v>36273</v>
      </c>
      <c r="D1576" t="s">
        <v>36133</v>
      </c>
      <c r="E1576" t="s">
        <v>36133</v>
      </c>
      <c r="F1576" t="s">
        <v>36133</v>
      </c>
      <c r="G1576" t="s">
        <v>36133</v>
      </c>
      <c r="H1576" t="s">
        <v>51</v>
      </c>
      <c r="I1576" t="s">
        <v>52</v>
      </c>
      <c r="J1576" t="str">
        <f>"2906010"</f>
        <v>2906010</v>
      </c>
      <c r="K1576">
        <v>2284021350</v>
      </c>
      <c r="L1576">
        <v>2284023340</v>
      </c>
      <c r="M1576" t="s">
        <v>36274</v>
      </c>
      <c r="N1576" t="s">
        <v>36136</v>
      </c>
      <c r="O1576" t="s">
        <v>36272</v>
      </c>
      <c r="P1576">
        <v>84400</v>
      </c>
      <c r="Q1576" t="str">
        <f>"37.083991"</f>
        <v>37.083991</v>
      </c>
      <c r="R1576" t="str">
        <f>"25.152933"</f>
        <v>25.152933</v>
      </c>
      <c r="S1576" t="s">
        <v>26</v>
      </c>
    </row>
    <row r="1577" spans="1:19" x14ac:dyDescent="0.3">
      <c r="A1577" t="s">
        <v>35638</v>
      </c>
      <c r="B1577" t="s">
        <v>36020</v>
      </c>
      <c r="C1577" t="s">
        <v>36276</v>
      </c>
      <c r="D1577" t="s">
        <v>4806</v>
      </c>
      <c r="E1577" t="s">
        <v>35664</v>
      </c>
      <c r="F1577" t="s">
        <v>36073</v>
      </c>
      <c r="G1577" t="s">
        <v>36275</v>
      </c>
      <c r="H1577" t="s">
        <v>51</v>
      </c>
      <c r="I1577" t="s">
        <v>52</v>
      </c>
      <c r="J1577" t="str">
        <f>"2905050"</f>
        <v>2905050</v>
      </c>
      <c r="K1577">
        <v>2285051300</v>
      </c>
      <c r="L1577">
        <v>2285051300</v>
      </c>
      <c r="M1577" t="s">
        <v>36277</v>
      </c>
      <c r="N1577" t="s">
        <v>36278</v>
      </c>
      <c r="O1577" t="s">
        <v>36279</v>
      </c>
      <c r="P1577">
        <v>84301</v>
      </c>
      <c r="Q1577" t="str">
        <f>"37.126388"</f>
        <v>37.126388</v>
      </c>
      <c r="R1577" t="str">
        <f>"25.538690"</f>
        <v>25.538690</v>
      </c>
      <c r="S1577" t="s">
        <v>57</v>
      </c>
    </row>
    <row r="1578" spans="1:19" x14ac:dyDescent="0.3">
      <c r="A1578" t="s">
        <v>35638</v>
      </c>
      <c r="B1578" t="s">
        <v>36020</v>
      </c>
      <c r="C1578" t="s">
        <v>36281</v>
      </c>
      <c r="D1578" t="s">
        <v>36028</v>
      </c>
      <c r="E1578" t="s">
        <v>36028</v>
      </c>
      <c r="F1578" t="s">
        <v>36028</v>
      </c>
      <c r="G1578" t="s">
        <v>36028</v>
      </c>
      <c r="H1578" t="s">
        <v>51</v>
      </c>
      <c r="I1578" t="s">
        <v>52</v>
      </c>
      <c r="J1578" t="str">
        <f>"2904010"</f>
        <v>2904010</v>
      </c>
      <c r="K1578">
        <v>2287021253</v>
      </c>
      <c r="L1578">
        <v>2287021253</v>
      </c>
      <c r="M1578" t="s">
        <v>36282</v>
      </c>
      <c r="N1578" t="s">
        <v>36117</v>
      </c>
      <c r="O1578" t="s">
        <v>1631</v>
      </c>
      <c r="P1578">
        <v>84800</v>
      </c>
      <c r="Q1578" t="str">
        <f>"36.743335"</f>
        <v>36.743335</v>
      </c>
      <c r="R1578" t="str">
        <f>"24.425926"</f>
        <v>24.425926</v>
      </c>
      <c r="S1578" t="s">
        <v>57</v>
      </c>
    </row>
    <row r="1579" spans="1:19" x14ac:dyDescent="0.3">
      <c r="A1579" t="s">
        <v>35638</v>
      </c>
      <c r="B1579" t="s">
        <v>36020</v>
      </c>
      <c r="C1579" t="s">
        <v>36290</v>
      </c>
      <c r="D1579" t="s">
        <v>35644</v>
      </c>
      <c r="E1579" t="s">
        <v>35645</v>
      </c>
      <c r="F1579" t="s">
        <v>36288</v>
      </c>
      <c r="G1579" t="s">
        <v>36289</v>
      </c>
      <c r="H1579" t="s">
        <v>51</v>
      </c>
      <c r="I1579" t="s">
        <v>4556</v>
      </c>
      <c r="J1579" t="str">
        <f>"2901035"</f>
        <v>2901035</v>
      </c>
      <c r="K1579">
        <v>2281082566</v>
      </c>
      <c r="L1579">
        <v>2281082566</v>
      </c>
      <c r="M1579" t="s">
        <v>36291</v>
      </c>
      <c r="N1579" t="s">
        <v>35649</v>
      </c>
      <c r="O1579" t="s">
        <v>36202</v>
      </c>
      <c r="P1579">
        <v>84100</v>
      </c>
      <c r="Q1579" t="str">
        <f>"37.447547"</f>
        <v>37.447547</v>
      </c>
      <c r="R1579" t="str">
        <f>"24.936727"</f>
        <v>24.936727</v>
      </c>
      <c r="S1579" t="s">
        <v>26</v>
      </c>
    </row>
    <row r="1580" spans="1:19" x14ac:dyDescent="0.3">
      <c r="A1580" t="s">
        <v>35638</v>
      </c>
      <c r="B1580" t="s">
        <v>36020</v>
      </c>
      <c r="C1580" t="s">
        <v>36295</v>
      </c>
      <c r="D1580" t="s">
        <v>4806</v>
      </c>
      <c r="E1580" t="s">
        <v>35664</v>
      </c>
      <c r="F1580" t="s">
        <v>4806</v>
      </c>
      <c r="G1580" t="s">
        <v>4806</v>
      </c>
      <c r="H1580" t="s">
        <v>51</v>
      </c>
      <c r="I1580" t="s">
        <v>52</v>
      </c>
      <c r="J1580" t="str">
        <f>"2905015"</f>
        <v>2905015</v>
      </c>
      <c r="K1580">
        <v>2285026008</v>
      </c>
      <c r="L1580">
        <v>2285026008</v>
      </c>
      <c r="M1580" t="s">
        <v>36296</v>
      </c>
      <c r="N1580" t="s">
        <v>36077</v>
      </c>
      <c r="O1580" t="s">
        <v>36238</v>
      </c>
      <c r="P1580">
        <v>84300</v>
      </c>
      <c r="Q1580" t="str">
        <f>"37.102815"</f>
        <v>37.102815</v>
      </c>
      <c r="R1580" t="str">
        <f>"25.378528"</f>
        <v>25.378528</v>
      </c>
      <c r="S1580" t="s">
        <v>26</v>
      </c>
    </row>
    <row r="1581" spans="1:19" x14ac:dyDescent="0.3">
      <c r="A1581" t="s">
        <v>35638</v>
      </c>
      <c r="B1581" t="s">
        <v>36020</v>
      </c>
      <c r="C1581" t="s">
        <v>36297</v>
      </c>
      <c r="D1581" t="s">
        <v>36028</v>
      </c>
      <c r="E1581" t="s">
        <v>36084</v>
      </c>
      <c r="F1581" t="s">
        <v>36084</v>
      </c>
      <c r="G1581" t="s">
        <v>25777</v>
      </c>
      <c r="H1581" t="s">
        <v>51</v>
      </c>
      <c r="I1581" t="s">
        <v>89</v>
      </c>
      <c r="J1581" t="str">
        <f>"2910010"</f>
        <v>2910010</v>
      </c>
      <c r="K1581">
        <v>2284031312</v>
      </c>
      <c r="L1581">
        <v>2284031312</v>
      </c>
      <c r="M1581" t="s">
        <v>36298</v>
      </c>
      <c r="N1581" t="s">
        <v>36087</v>
      </c>
      <c r="O1581" t="s">
        <v>36299</v>
      </c>
      <c r="P1581">
        <v>84003</v>
      </c>
      <c r="Q1581" t="str">
        <f>"36.969962"</f>
        <v>36.969962</v>
      </c>
      <c r="R1581" t="str">
        <f>"24.724079"</f>
        <v>24.724079</v>
      </c>
      <c r="S1581" t="s">
        <v>57</v>
      </c>
    </row>
    <row r="1582" spans="1:19" x14ac:dyDescent="0.3">
      <c r="A1582" t="s">
        <v>35638</v>
      </c>
      <c r="B1582" t="s">
        <v>36020</v>
      </c>
      <c r="C1582" t="s">
        <v>36301</v>
      </c>
      <c r="D1582" t="s">
        <v>36028</v>
      </c>
      <c r="E1582" t="s">
        <v>36300</v>
      </c>
      <c r="F1582" t="s">
        <v>36300</v>
      </c>
      <c r="G1582" t="s">
        <v>36300</v>
      </c>
      <c r="H1582" t="s">
        <v>51</v>
      </c>
      <c r="I1582" t="s">
        <v>89</v>
      </c>
      <c r="J1582" t="str">
        <f>"2904090"</f>
        <v>2904090</v>
      </c>
      <c r="K1582">
        <v>2287051377</v>
      </c>
      <c r="L1582">
        <v>2287051377</v>
      </c>
      <c r="M1582" t="s">
        <v>36302</v>
      </c>
      <c r="N1582" t="s">
        <v>36303</v>
      </c>
      <c r="O1582" t="s">
        <v>36303</v>
      </c>
      <c r="P1582">
        <v>84004</v>
      </c>
      <c r="Q1582" t="str">
        <f>"36.791243"</f>
        <v>36.791243</v>
      </c>
      <c r="R1582" t="str">
        <f>"24.573793"</f>
        <v>24.573793</v>
      </c>
      <c r="S1582" t="s">
        <v>57</v>
      </c>
    </row>
    <row r="1583" spans="1:19" x14ac:dyDescent="0.3">
      <c r="A1583" t="s">
        <v>35638</v>
      </c>
      <c r="B1583" t="s">
        <v>36020</v>
      </c>
      <c r="C1583" t="s">
        <v>36308</v>
      </c>
      <c r="D1583" t="s">
        <v>35644</v>
      </c>
      <c r="E1583" t="s">
        <v>35645</v>
      </c>
      <c r="F1583" t="s">
        <v>35646</v>
      </c>
      <c r="G1583" t="s">
        <v>36128</v>
      </c>
      <c r="H1583" t="s">
        <v>51</v>
      </c>
      <c r="I1583" t="s">
        <v>199</v>
      </c>
      <c r="J1583" t="str">
        <f>"2950065"</f>
        <v>2950065</v>
      </c>
      <c r="K1583">
        <v>2281085018</v>
      </c>
      <c r="L1583">
        <v>2281085018</v>
      </c>
      <c r="M1583" t="s">
        <v>36309</v>
      </c>
      <c r="N1583" t="s">
        <v>35649</v>
      </c>
      <c r="O1583" t="s">
        <v>36150</v>
      </c>
      <c r="P1583">
        <v>84100</v>
      </c>
      <c r="Q1583" t="str">
        <f>"37.424779"</f>
        <v>37.424779</v>
      </c>
      <c r="R1583" t="str">
        <f>"24.937477"</f>
        <v>24.937477</v>
      </c>
      <c r="S1583" t="s">
        <v>26</v>
      </c>
    </row>
    <row r="1584" spans="1:19" x14ac:dyDescent="0.3">
      <c r="A1584" t="s">
        <v>35638</v>
      </c>
      <c r="B1584" t="s">
        <v>36020</v>
      </c>
      <c r="C1584" t="s">
        <v>36319</v>
      </c>
      <c r="D1584" t="s">
        <v>36057</v>
      </c>
      <c r="E1584" t="s">
        <v>36057</v>
      </c>
      <c r="F1584" t="s">
        <v>36057</v>
      </c>
      <c r="G1584" t="s">
        <v>36318</v>
      </c>
      <c r="H1584" t="s">
        <v>51</v>
      </c>
      <c r="I1584" t="s">
        <v>52</v>
      </c>
      <c r="J1584" t="str">
        <f>"2901000"</f>
        <v>2901000</v>
      </c>
      <c r="K1584">
        <v>2289076256</v>
      </c>
      <c r="M1584" t="s">
        <v>36320</v>
      </c>
      <c r="N1584" t="s">
        <v>36321</v>
      </c>
      <c r="O1584" t="s">
        <v>36322</v>
      </c>
      <c r="P1584">
        <v>846</v>
      </c>
      <c r="Q1584" t="str">
        <f>"37.448383"</f>
        <v>37.448383</v>
      </c>
      <c r="R1584" t="str">
        <f>"25.394007"</f>
        <v>25.394007</v>
      </c>
      <c r="S1584" t="s">
        <v>26</v>
      </c>
    </row>
    <row r="1585" spans="1:19" x14ac:dyDescent="0.3">
      <c r="A1585" t="s">
        <v>35638</v>
      </c>
      <c r="B1585" t="s">
        <v>36020</v>
      </c>
      <c r="C1585" t="s">
        <v>36323</v>
      </c>
      <c r="D1585" t="s">
        <v>36133</v>
      </c>
      <c r="E1585" t="s">
        <v>36133</v>
      </c>
      <c r="F1585" t="s">
        <v>36133</v>
      </c>
      <c r="G1585" t="s">
        <v>36133</v>
      </c>
      <c r="H1585" t="s">
        <v>51</v>
      </c>
      <c r="I1585" t="s">
        <v>199</v>
      </c>
      <c r="J1585" t="str">
        <f>"2944000"</f>
        <v>2944000</v>
      </c>
      <c r="K1585">
        <v>2284053157</v>
      </c>
      <c r="M1585" t="s">
        <v>36324</v>
      </c>
      <c r="N1585" t="s">
        <v>36136</v>
      </c>
      <c r="O1585" t="s">
        <v>34411</v>
      </c>
      <c r="P1585">
        <v>84400</v>
      </c>
      <c r="Q1585" t="str">
        <f>"37.113827"</f>
        <v>37.113827</v>
      </c>
      <c r="R1585" t="str">
        <f>"25.186895"</f>
        <v>25.186895</v>
      </c>
      <c r="S1585" t="s">
        <v>26</v>
      </c>
    </row>
    <row r="1586" spans="1:19" x14ac:dyDescent="0.3">
      <c r="A1586" t="s">
        <v>37529</v>
      </c>
      <c r="B1586" t="s">
        <v>37564</v>
      </c>
      <c r="C1586" t="s">
        <v>37567</v>
      </c>
      <c r="D1586" t="s">
        <v>37530</v>
      </c>
      <c r="E1586" t="s">
        <v>37565</v>
      </c>
      <c r="F1586" t="s">
        <v>37566</v>
      </c>
      <c r="G1586" t="s">
        <v>37566</v>
      </c>
      <c r="H1586" t="s">
        <v>51</v>
      </c>
      <c r="I1586" t="s">
        <v>52</v>
      </c>
      <c r="J1586" t="str">
        <f>"0203020"</f>
        <v>0203020</v>
      </c>
      <c r="K1586">
        <v>2754031190</v>
      </c>
      <c r="L1586">
        <v>2754031190</v>
      </c>
      <c r="M1586" t="s">
        <v>37568</v>
      </c>
      <c r="N1586" t="s">
        <v>37569</v>
      </c>
      <c r="O1586" t="s">
        <v>37569</v>
      </c>
      <c r="P1586">
        <v>21051</v>
      </c>
      <c r="Q1586" t="str">
        <f>"37.386967"</f>
        <v>37.386967</v>
      </c>
      <c r="R1586" t="str">
        <f>"23.246769"</f>
        <v>23.246769</v>
      </c>
      <c r="S1586" t="s">
        <v>26</v>
      </c>
    </row>
    <row r="1587" spans="1:19" x14ac:dyDescent="0.3">
      <c r="A1587" t="s">
        <v>37529</v>
      </c>
      <c r="B1587" t="s">
        <v>37564</v>
      </c>
      <c r="C1587" t="s">
        <v>37629</v>
      </c>
      <c r="D1587" t="s">
        <v>37530</v>
      </c>
      <c r="E1587" t="s">
        <v>37565</v>
      </c>
      <c r="F1587" t="s">
        <v>37570</v>
      </c>
      <c r="G1587" t="s">
        <v>37570</v>
      </c>
      <c r="H1587" t="s">
        <v>51</v>
      </c>
      <c r="I1587" t="s">
        <v>52</v>
      </c>
      <c r="J1587" t="str">
        <f>"0203010"</f>
        <v>0203010</v>
      </c>
      <c r="K1587">
        <v>2754021479</v>
      </c>
      <c r="L1587">
        <v>2754029391</v>
      </c>
      <c r="M1587" t="s">
        <v>37630</v>
      </c>
      <c r="N1587" t="s">
        <v>37599</v>
      </c>
      <c r="O1587" t="s">
        <v>37631</v>
      </c>
      <c r="P1587">
        <v>21300</v>
      </c>
      <c r="Q1587" t="str">
        <f>"37.373873"</f>
        <v>37.373873</v>
      </c>
      <c r="R1587" t="str">
        <f>"23.161819"</f>
        <v>23.161819</v>
      </c>
      <c r="S1587" t="s">
        <v>26</v>
      </c>
    </row>
    <row r="1588" spans="1:19" x14ac:dyDescent="0.3">
      <c r="A1588" t="s">
        <v>37529</v>
      </c>
      <c r="B1588" t="s">
        <v>37564</v>
      </c>
      <c r="C1588" t="s">
        <v>37632</v>
      </c>
      <c r="D1588" t="s">
        <v>37530</v>
      </c>
      <c r="E1588" t="s">
        <v>37572</v>
      </c>
      <c r="F1588" t="s">
        <v>37573</v>
      </c>
      <c r="G1588" t="s">
        <v>37573</v>
      </c>
      <c r="H1588" t="s">
        <v>51</v>
      </c>
      <c r="I1588" t="s">
        <v>52</v>
      </c>
      <c r="J1588" t="str">
        <f>"0202020"</f>
        <v>0202020</v>
      </c>
      <c r="K1588">
        <v>2751067770</v>
      </c>
      <c r="L1588">
        <v>2751069173</v>
      </c>
      <c r="M1588" t="s">
        <v>37633</v>
      </c>
      <c r="N1588" t="s">
        <v>37634</v>
      </c>
      <c r="O1588" t="s">
        <v>37624</v>
      </c>
      <c r="P1588">
        <v>21200</v>
      </c>
      <c r="Q1588" t="str">
        <f>"37.642435"</f>
        <v>37.642435</v>
      </c>
      <c r="R1588" t="str">
        <f>"22.730730"</f>
        <v>22.730730</v>
      </c>
      <c r="S1588" t="s">
        <v>26</v>
      </c>
    </row>
    <row r="1589" spans="1:19" x14ac:dyDescent="0.3">
      <c r="A1589" t="s">
        <v>37529</v>
      </c>
      <c r="B1589" t="s">
        <v>37564</v>
      </c>
      <c r="C1589" t="s">
        <v>37635</v>
      </c>
      <c r="D1589" t="s">
        <v>37530</v>
      </c>
      <c r="E1589" t="s">
        <v>37572</v>
      </c>
      <c r="F1589" t="s">
        <v>37573</v>
      </c>
      <c r="G1589" t="s">
        <v>37573</v>
      </c>
      <c r="H1589" t="s">
        <v>51</v>
      </c>
      <c r="I1589" t="s">
        <v>52</v>
      </c>
      <c r="J1589" t="str">
        <f>"0202031"</f>
        <v>0202031</v>
      </c>
      <c r="K1589">
        <v>2751020486</v>
      </c>
      <c r="L1589">
        <v>2751024172</v>
      </c>
      <c r="M1589" t="s">
        <v>37636</v>
      </c>
      <c r="N1589" t="s">
        <v>37637</v>
      </c>
      <c r="O1589" t="s">
        <v>37638</v>
      </c>
      <c r="P1589">
        <v>21200</v>
      </c>
      <c r="Q1589" t="str">
        <f>"37.635678"</f>
        <v>37.635678</v>
      </c>
      <c r="R1589" t="str">
        <f>"22.723833"</f>
        <v>22.723833</v>
      </c>
      <c r="S1589" t="s">
        <v>26</v>
      </c>
    </row>
    <row r="1590" spans="1:19" x14ac:dyDescent="0.3">
      <c r="A1590" t="s">
        <v>37529</v>
      </c>
      <c r="B1590" t="s">
        <v>37564</v>
      </c>
      <c r="C1590" t="s">
        <v>37640</v>
      </c>
      <c r="D1590" t="s">
        <v>37530</v>
      </c>
      <c r="E1590" t="s">
        <v>37531</v>
      </c>
      <c r="F1590" t="s">
        <v>37532</v>
      </c>
      <c r="G1590" t="s">
        <v>37531</v>
      </c>
      <c r="H1590" t="s">
        <v>51</v>
      </c>
      <c r="I1590" t="s">
        <v>52</v>
      </c>
      <c r="J1590" t="str">
        <f>"0201010"</f>
        <v>0201010</v>
      </c>
      <c r="K1590">
        <v>2752027296</v>
      </c>
      <c r="L1590">
        <v>2752097930</v>
      </c>
      <c r="M1590" t="s">
        <v>37641</v>
      </c>
      <c r="N1590" t="s">
        <v>37535</v>
      </c>
      <c r="O1590" t="s">
        <v>37642</v>
      </c>
      <c r="P1590">
        <v>21100</v>
      </c>
      <c r="Q1590" t="str">
        <f>"37.570089"</f>
        <v>37.570089</v>
      </c>
      <c r="R1590" t="str">
        <f>"22.803683"</f>
        <v>22.803683</v>
      </c>
      <c r="S1590" t="s">
        <v>26</v>
      </c>
    </row>
    <row r="1591" spans="1:19" x14ac:dyDescent="0.3">
      <c r="A1591" t="s">
        <v>37529</v>
      </c>
      <c r="B1591" t="s">
        <v>37564</v>
      </c>
      <c r="C1591" t="s">
        <v>37643</v>
      </c>
      <c r="D1591" t="s">
        <v>37530</v>
      </c>
      <c r="E1591" t="s">
        <v>37531</v>
      </c>
      <c r="F1591" t="s">
        <v>37532</v>
      </c>
      <c r="G1591" t="s">
        <v>37531</v>
      </c>
      <c r="H1591" t="s">
        <v>51</v>
      </c>
      <c r="I1591" t="s">
        <v>52</v>
      </c>
      <c r="J1591" t="str">
        <f>"0201020"</f>
        <v>0201020</v>
      </c>
      <c r="K1591">
        <v>2752023365</v>
      </c>
      <c r="L1591">
        <v>2752028261</v>
      </c>
      <c r="M1591" t="s">
        <v>37644</v>
      </c>
      <c r="N1591" t="s">
        <v>37594</v>
      </c>
      <c r="O1591" t="s">
        <v>37645</v>
      </c>
      <c r="P1591">
        <v>21100</v>
      </c>
      <c r="Q1591" t="str">
        <f>"37.570736"</f>
        <v>37.570736</v>
      </c>
      <c r="R1591" t="str">
        <f>"22.804050"</f>
        <v>22.804050</v>
      </c>
      <c r="S1591" t="s">
        <v>26</v>
      </c>
    </row>
    <row r="1592" spans="1:19" x14ac:dyDescent="0.3">
      <c r="A1592" t="s">
        <v>37529</v>
      </c>
      <c r="B1592" t="s">
        <v>37564</v>
      </c>
      <c r="C1592" t="s">
        <v>37652</v>
      </c>
      <c r="D1592" t="s">
        <v>37530</v>
      </c>
      <c r="E1592" t="s">
        <v>37572</v>
      </c>
      <c r="F1592" t="s">
        <v>37573</v>
      </c>
      <c r="G1592" t="s">
        <v>37573</v>
      </c>
      <c r="H1592" t="s">
        <v>51</v>
      </c>
      <c r="I1592" t="s">
        <v>52</v>
      </c>
      <c r="J1592" t="str">
        <f>"0202010"</f>
        <v>0202010</v>
      </c>
      <c r="K1592">
        <v>2751067580</v>
      </c>
      <c r="L1592">
        <v>2751069589</v>
      </c>
      <c r="M1592" t="s">
        <v>37653</v>
      </c>
      <c r="N1592" t="s">
        <v>37577</v>
      </c>
      <c r="O1592" t="s">
        <v>37654</v>
      </c>
      <c r="P1592">
        <v>21232</v>
      </c>
      <c r="Q1592" t="str">
        <f>"37.632516"</f>
        <v>37.632516</v>
      </c>
      <c r="R1592" t="str">
        <f>"22.727034"</f>
        <v>22.727034</v>
      </c>
      <c r="S1592" t="s">
        <v>26</v>
      </c>
    </row>
    <row r="1593" spans="1:19" x14ac:dyDescent="0.3">
      <c r="A1593" t="s">
        <v>37529</v>
      </c>
      <c r="B1593" t="s">
        <v>37564</v>
      </c>
      <c r="C1593" t="s">
        <v>37657</v>
      </c>
      <c r="D1593" t="s">
        <v>37530</v>
      </c>
      <c r="E1593" t="s">
        <v>37531</v>
      </c>
      <c r="F1593" t="s">
        <v>37656</v>
      </c>
      <c r="G1593" t="s">
        <v>15824</v>
      </c>
      <c r="H1593" t="s">
        <v>51</v>
      </c>
      <c r="I1593" t="s">
        <v>52</v>
      </c>
      <c r="J1593" t="str">
        <f>"0201060"</f>
        <v>0201060</v>
      </c>
      <c r="K1593">
        <v>2752092256</v>
      </c>
      <c r="L1593">
        <v>2752092257</v>
      </c>
      <c r="M1593" t="s">
        <v>37658</v>
      </c>
      <c r="N1593" t="s">
        <v>37659</v>
      </c>
      <c r="O1593" t="s">
        <v>37660</v>
      </c>
      <c r="P1593">
        <v>21060</v>
      </c>
      <c r="Q1593" t="str">
        <f>"37.536692"</f>
        <v>37.536692</v>
      </c>
      <c r="R1593" t="str">
        <f>"22.895118"</f>
        <v>22.895118</v>
      </c>
      <c r="S1593" t="s">
        <v>26</v>
      </c>
    </row>
    <row r="1594" spans="1:19" x14ac:dyDescent="0.3">
      <c r="A1594" t="s">
        <v>37529</v>
      </c>
      <c r="B1594" t="s">
        <v>37564</v>
      </c>
      <c r="C1594" t="s">
        <v>37662</v>
      </c>
      <c r="D1594" t="s">
        <v>37530</v>
      </c>
      <c r="E1594" t="s">
        <v>37604</v>
      </c>
      <c r="F1594" t="s">
        <v>37605</v>
      </c>
      <c r="G1594" t="s">
        <v>37605</v>
      </c>
      <c r="H1594" t="s">
        <v>51</v>
      </c>
      <c r="I1594" t="s">
        <v>52</v>
      </c>
      <c r="J1594" t="str">
        <f>"0204010"</f>
        <v>0204010</v>
      </c>
      <c r="K1594">
        <v>2753022240</v>
      </c>
      <c r="L1594">
        <v>2753099900</v>
      </c>
      <c r="M1594" t="s">
        <v>37663</v>
      </c>
      <c r="N1594" t="s">
        <v>37608</v>
      </c>
      <c r="O1594" t="s">
        <v>37609</v>
      </c>
      <c r="P1594">
        <v>21052</v>
      </c>
      <c r="Q1594" t="str">
        <f>"37.613275"</f>
        <v>37.613275</v>
      </c>
      <c r="R1594" t="str">
        <f>"23.045809"</f>
        <v>23.045809</v>
      </c>
      <c r="S1594" t="s">
        <v>26</v>
      </c>
    </row>
    <row r="1595" spans="1:19" x14ac:dyDescent="0.3">
      <c r="A1595" t="s">
        <v>37529</v>
      </c>
      <c r="B1595" t="s">
        <v>37564</v>
      </c>
      <c r="C1595" t="s">
        <v>37665</v>
      </c>
      <c r="D1595" t="s">
        <v>37530</v>
      </c>
      <c r="E1595" t="s">
        <v>37572</v>
      </c>
      <c r="F1595" t="s">
        <v>37664</v>
      </c>
      <c r="G1595" t="s">
        <v>37664</v>
      </c>
      <c r="H1595" t="s">
        <v>51</v>
      </c>
      <c r="I1595" t="s">
        <v>52</v>
      </c>
      <c r="J1595" t="str">
        <f>"0208010"</f>
        <v>0208010</v>
      </c>
      <c r="K1595">
        <v>2751051454</v>
      </c>
      <c r="L1595">
        <v>2751051454</v>
      </c>
      <c r="M1595" t="s">
        <v>37666</v>
      </c>
      <c r="N1595" t="s">
        <v>37667</v>
      </c>
      <c r="O1595" t="s">
        <v>37668</v>
      </c>
      <c r="P1595">
        <v>21053</v>
      </c>
      <c r="Q1595" t="str">
        <f>"37.591108"</f>
        <v>37.591108</v>
      </c>
      <c r="R1595" t="str">
        <f>"22.743658"</f>
        <v>22.743658</v>
      </c>
      <c r="S1595" t="s">
        <v>26</v>
      </c>
    </row>
    <row r="1596" spans="1:19" x14ac:dyDescent="0.3">
      <c r="A1596" t="s">
        <v>37529</v>
      </c>
      <c r="B1596" t="s">
        <v>37564</v>
      </c>
      <c r="C1596" t="s">
        <v>37670</v>
      </c>
      <c r="D1596" t="s">
        <v>37530</v>
      </c>
      <c r="E1596" t="s">
        <v>37572</v>
      </c>
      <c r="F1596" t="s">
        <v>37573</v>
      </c>
      <c r="G1596" t="s">
        <v>37573</v>
      </c>
      <c r="H1596" t="s">
        <v>51</v>
      </c>
      <c r="I1596" t="s">
        <v>52</v>
      </c>
      <c r="J1596" t="str">
        <f>"0202030"</f>
        <v>0202030</v>
      </c>
      <c r="K1596">
        <v>2751062430</v>
      </c>
      <c r="L1596">
        <v>2751061533</v>
      </c>
      <c r="M1596" t="s">
        <v>37671</v>
      </c>
      <c r="N1596" t="s">
        <v>37577</v>
      </c>
      <c r="O1596" t="s">
        <v>37624</v>
      </c>
      <c r="P1596">
        <v>21200</v>
      </c>
      <c r="Q1596" t="str">
        <f>"37.642129"</f>
        <v>37.642129</v>
      </c>
      <c r="R1596" t="str">
        <f>"22.731417"</f>
        <v>22.731417</v>
      </c>
      <c r="S1596" t="s">
        <v>26</v>
      </c>
    </row>
    <row r="1597" spans="1:19" x14ac:dyDescent="0.3">
      <c r="A1597" t="s">
        <v>37529</v>
      </c>
      <c r="B1597" t="s">
        <v>37564</v>
      </c>
      <c r="C1597" t="s">
        <v>37674</v>
      </c>
      <c r="D1597" t="s">
        <v>37530</v>
      </c>
      <c r="E1597" t="s">
        <v>37572</v>
      </c>
      <c r="F1597" t="s">
        <v>37673</v>
      </c>
      <c r="G1597" t="s">
        <v>37673</v>
      </c>
      <c r="H1597" t="s">
        <v>51</v>
      </c>
      <c r="I1597" t="s">
        <v>52</v>
      </c>
      <c r="J1597" t="str">
        <f>"0207010"</f>
        <v>0207010</v>
      </c>
      <c r="K1597">
        <v>2751091540</v>
      </c>
      <c r="L1597">
        <v>2751091941</v>
      </c>
      <c r="M1597" t="s">
        <v>37675</v>
      </c>
      <c r="N1597" t="s">
        <v>37676</v>
      </c>
      <c r="O1597" t="s">
        <v>37677</v>
      </c>
      <c r="P1597">
        <v>21200</v>
      </c>
      <c r="Q1597" t="str">
        <f>"37.692691"</f>
        <v>37.692691</v>
      </c>
      <c r="R1597" t="str">
        <f>"22.698781"</f>
        <v>22.698781</v>
      </c>
      <c r="S1597" t="s">
        <v>26</v>
      </c>
    </row>
    <row r="1598" spans="1:19" x14ac:dyDescent="0.3">
      <c r="A1598" t="s">
        <v>37529</v>
      </c>
      <c r="B1598" t="s">
        <v>37564</v>
      </c>
      <c r="C1598" t="s">
        <v>37679</v>
      </c>
      <c r="D1598" t="s">
        <v>37530</v>
      </c>
      <c r="E1598" t="s">
        <v>37531</v>
      </c>
      <c r="F1598" t="s">
        <v>37646</v>
      </c>
      <c r="G1598" t="s">
        <v>21730</v>
      </c>
      <c r="H1598" t="s">
        <v>51</v>
      </c>
      <c r="I1598" t="s">
        <v>52</v>
      </c>
      <c r="J1598" t="str">
        <f>"0202040"</f>
        <v>0202040</v>
      </c>
      <c r="K1598">
        <v>2752044284</v>
      </c>
      <c r="L1598">
        <v>2752044341</v>
      </c>
      <c r="M1598" t="s">
        <v>37680</v>
      </c>
      <c r="N1598" t="s">
        <v>8902</v>
      </c>
      <c r="O1598" t="s">
        <v>8902</v>
      </c>
      <c r="P1598">
        <v>21055</v>
      </c>
      <c r="Q1598" t="str">
        <f>"37.640719"</f>
        <v>37.640719</v>
      </c>
      <c r="R1598" t="str">
        <f>"22.812890"</f>
        <v>22.812890</v>
      </c>
      <c r="S1598" t="s">
        <v>26</v>
      </c>
    </row>
    <row r="1599" spans="1:19" x14ac:dyDescent="0.3">
      <c r="A1599" t="s">
        <v>37529</v>
      </c>
      <c r="B1599" t="s">
        <v>37564</v>
      </c>
      <c r="C1599" t="s">
        <v>37685</v>
      </c>
      <c r="D1599" t="s">
        <v>37530</v>
      </c>
      <c r="E1599" t="s">
        <v>37572</v>
      </c>
      <c r="F1599" t="s">
        <v>37683</v>
      </c>
      <c r="G1599" t="s">
        <v>37684</v>
      </c>
      <c r="H1599" t="s">
        <v>51</v>
      </c>
      <c r="I1599" t="s">
        <v>190</v>
      </c>
      <c r="J1599" t="str">
        <f>"0202015"</f>
        <v>0202015</v>
      </c>
      <c r="K1599">
        <v>2751089277</v>
      </c>
      <c r="L1599">
        <v>2751089465</v>
      </c>
      <c r="M1599" t="s">
        <v>37686</v>
      </c>
      <c r="N1599" t="s">
        <v>37687</v>
      </c>
      <c r="O1599" t="s">
        <v>37688</v>
      </c>
      <c r="P1599">
        <v>21200</v>
      </c>
      <c r="Q1599" t="str">
        <f>"37.712208"</f>
        <v>37.712208</v>
      </c>
      <c r="R1599" t="str">
        <f>"22.833284"</f>
        <v>22.833284</v>
      </c>
      <c r="S1599" t="s">
        <v>26</v>
      </c>
    </row>
    <row r="1600" spans="1:19" x14ac:dyDescent="0.3">
      <c r="A1600" t="s">
        <v>37529</v>
      </c>
      <c r="B1600" t="s">
        <v>37564</v>
      </c>
      <c r="C1600" t="s">
        <v>37691</v>
      </c>
      <c r="D1600" t="s">
        <v>37530</v>
      </c>
      <c r="E1600" t="s">
        <v>37531</v>
      </c>
      <c r="F1600" t="s">
        <v>37532</v>
      </c>
      <c r="G1600" t="s">
        <v>37690</v>
      </c>
      <c r="H1600" t="s">
        <v>51</v>
      </c>
      <c r="I1600" t="s">
        <v>199</v>
      </c>
      <c r="J1600" t="str">
        <f>"0211001"</f>
        <v>0211001</v>
      </c>
      <c r="K1600">
        <v>2752061638</v>
      </c>
      <c r="L1600">
        <v>2752061638</v>
      </c>
      <c r="M1600" t="s">
        <v>37692</v>
      </c>
      <c r="N1600" t="s">
        <v>37693</v>
      </c>
      <c r="O1600" t="s">
        <v>37694</v>
      </c>
      <c r="P1600">
        <v>21100</v>
      </c>
      <c r="Q1600" t="str">
        <f>"37.556242"</f>
        <v>37.556242</v>
      </c>
      <c r="R1600" t="str">
        <f>"22.862686"</f>
        <v>22.862686</v>
      </c>
      <c r="S1600" t="s">
        <v>26</v>
      </c>
    </row>
    <row r="1601" spans="1:19" x14ac:dyDescent="0.3">
      <c r="A1601" t="s">
        <v>37529</v>
      </c>
      <c r="B1601" t="s">
        <v>37702</v>
      </c>
      <c r="C1601" t="s">
        <v>37775</v>
      </c>
      <c r="D1601" t="s">
        <v>37537</v>
      </c>
      <c r="E1601" t="s">
        <v>37753</v>
      </c>
      <c r="F1601" t="s">
        <v>37774</v>
      </c>
      <c r="G1601" t="s">
        <v>37774</v>
      </c>
      <c r="H1601" t="s">
        <v>51</v>
      </c>
      <c r="I1601" t="s">
        <v>52</v>
      </c>
      <c r="J1601" t="str">
        <f>"0306050"</f>
        <v>0306050</v>
      </c>
      <c r="K1601">
        <v>2757041488</v>
      </c>
      <c r="L1601">
        <v>2757041488</v>
      </c>
      <c r="M1601" t="s">
        <v>37776</v>
      </c>
      <c r="N1601" t="s">
        <v>37777</v>
      </c>
      <c r="O1601" t="s">
        <v>37777</v>
      </c>
      <c r="P1601">
        <v>22029</v>
      </c>
      <c r="Q1601" t="str">
        <f>"37.241949"</f>
        <v>37.241949</v>
      </c>
      <c r="R1601" t="str">
        <f>"22.846277"</f>
        <v>22.846277</v>
      </c>
      <c r="S1601" t="s">
        <v>26</v>
      </c>
    </row>
    <row r="1602" spans="1:19" x14ac:dyDescent="0.3">
      <c r="A1602" t="s">
        <v>37529</v>
      </c>
      <c r="B1602" t="s">
        <v>37702</v>
      </c>
      <c r="C1602" t="s">
        <v>37779</v>
      </c>
      <c r="D1602" t="s">
        <v>37537</v>
      </c>
      <c r="E1602" t="s">
        <v>37717</v>
      </c>
      <c r="F1602" t="s">
        <v>37717</v>
      </c>
      <c r="G1602" t="s">
        <v>37718</v>
      </c>
      <c r="H1602" t="s">
        <v>51</v>
      </c>
      <c r="I1602" t="s">
        <v>52</v>
      </c>
      <c r="J1602" t="str">
        <f>"0307010"</f>
        <v>0307010</v>
      </c>
      <c r="K1602">
        <v>2791022263</v>
      </c>
      <c r="L1602">
        <v>2791021035</v>
      </c>
      <c r="M1602" t="s">
        <v>37780</v>
      </c>
      <c r="N1602" t="s">
        <v>37721</v>
      </c>
      <c r="O1602" t="s">
        <v>31062</v>
      </c>
      <c r="P1602">
        <v>22200</v>
      </c>
      <c r="Q1602" t="str">
        <f>"37.402045"</f>
        <v>37.402045</v>
      </c>
      <c r="R1602" t="str">
        <f>"22.140253"</f>
        <v>22.140253</v>
      </c>
      <c r="S1602" t="s">
        <v>26</v>
      </c>
    </row>
    <row r="1603" spans="1:19" x14ac:dyDescent="0.3">
      <c r="A1603" t="s">
        <v>37529</v>
      </c>
      <c r="B1603" t="s">
        <v>37702</v>
      </c>
      <c r="C1603" t="s">
        <v>37781</v>
      </c>
      <c r="D1603" t="s">
        <v>37537</v>
      </c>
      <c r="E1603" t="s">
        <v>37753</v>
      </c>
      <c r="F1603" t="s">
        <v>37754</v>
      </c>
      <c r="G1603" t="s">
        <v>37754</v>
      </c>
      <c r="H1603" t="s">
        <v>51</v>
      </c>
      <c r="I1603" t="s">
        <v>52</v>
      </c>
      <c r="J1603" t="str">
        <f>"0306010"</f>
        <v>0306010</v>
      </c>
      <c r="K1603">
        <v>2757022073</v>
      </c>
      <c r="L1603">
        <v>2757022073</v>
      </c>
      <c r="M1603" t="s">
        <v>37782</v>
      </c>
      <c r="N1603" t="s">
        <v>37757</v>
      </c>
      <c r="O1603" t="s">
        <v>37757</v>
      </c>
      <c r="P1603">
        <v>22300</v>
      </c>
      <c r="Q1603" t="str">
        <f>"37.162052"</f>
        <v>37.162052</v>
      </c>
      <c r="R1603" t="str">
        <f>"22.861513"</f>
        <v>22.861513</v>
      </c>
      <c r="S1603" t="s">
        <v>26</v>
      </c>
    </row>
    <row r="1604" spans="1:19" x14ac:dyDescent="0.3">
      <c r="A1604" t="s">
        <v>37529</v>
      </c>
      <c r="B1604" t="s">
        <v>37702</v>
      </c>
      <c r="C1604" t="s">
        <v>37783</v>
      </c>
      <c r="D1604" t="s">
        <v>37537</v>
      </c>
      <c r="E1604" t="s">
        <v>37726</v>
      </c>
      <c r="F1604" t="s">
        <v>37726</v>
      </c>
      <c r="G1604" t="s">
        <v>37727</v>
      </c>
      <c r="H1604" t="s">
        <v>51</v>
      </c>
      <c r="I1604" t="s">
        <v>52</v>
      </c>
      <c r="J1604" t="str">
        <f>"0302010"</f>
        <v>0302010</v>
      </c>
      <c r="K1604">
        <v>2755022204</v>
      </c>
      <c r="L1604">
        <v>2755029027</v>
      </c>
      <c r="M1604" t="s">
        <v>37784</v>
      </c>
      <c r="N1604" t="s">
        <v>37785</v>
      </c>
      <c r="O1604" t="s">
        <v>37730</v>
      </c>
      <c r="P1604">
        <v>22001</v>
      </c>
      <c r="Q1604" t="str">
        <f>"37.406141"</f>
        <v>37.406141</v>
      </c>
      <c r="R1604" t="str">
        <f>"22.721785"</f>
        <v>22.721785</v>
      </c>
      <c r="S1604" t="s">
        <v>26</v>
      </c>
    </row>
    <row r="1605" spans="1:19" x14ac:dyDescent="0.3">
      <c r="A1605" t="s">
        <v>37529</v>
      </c>
      <c r="B1605" t="s">
        <v>37702</v>
      </c>
      <c r="C1605" t="s">
        <v>37786</v>
      </c>
      <c r="D1605" t="s">
        <v>37537</v>
      </c>
      <c r="E1605" t="s">
        <v>37538</v>
      </c>
      <c r="F1605" t="s">
        <v>37538</v>
      </c>
      <c r="G1605" t="s">
        <v>37539</v>
      </c>
      <c r="H1605" t="s">
        <v>51</v>
      </c>
      <c r="I1605" t="s">
        <v>52</v>
      </c>
      <c r="J1605" t="str">
        <f>"0301010"</f>
        <v>0301010</v>
      </c>
      <c r="K1605">
        <v>2710222112</v>
      </c>
      <c r="L1605">
        <v>2710221526</v>
      </c>
      <c r="M1605" t="s">
        <v>37787</v>
      </c>
      <c r="N1605" t="s">
        <v>37542</v>
      </c>
      <c r="O1605" t="s">
        <v>37788</v>
      </c>
      <c r="P1605">
        <v>22131</v>
      </c>
      <c r="Q1605" t="str">
        <f>"37.504121"</f>
        <v>37.504121</v>
      </c>
      <c r="R1605" t="str">
        <f>"22.365379"</f>
        <v>22.365379</v>
      </c>
      <c r="S1605" t="s">
        <v>26</v>
      </c>
    </row>
    <row r="1606" spans="1:19" x14ac:dyDescent="0.3">
      <c r="A1606" t="s">
        <v>37529</v>
      </c>
      <c r="B1606" t="s">
        <v>37702</v>
      </c>
      <c r="C1606" t="s">
        <v>37790</v>
      </c>
      <c r="D1606" t="s">
        <v>37537</v>
      </c>
      <c r="E1606" t="s">
        <v>37538</v>
      </c>
      <c r="F1606" t="s">
        <v>37538</v>
      </c>
      <c r="G1606" t="s">
        <v>37539</v>
      </c>
      <c r="H1606" t="s">
        <v>51</v>
      </c>
      <c r="I1606" t="s">
        <v>52</v>
      </c>
      <c r="J1606" t="str">
        <f>"0301001"</f>
        <v>0301001</v>
      </c>
      <c r="K1606">
        <v>2710238036</v>
      </c>
      <c r="L1606">
        <v>2710223907</v>
      </c>
      <c r="M1606" t="s">
        <v>37791</v>
      </c>
      <c r="N1606" t="s">
        <v>37542</v>
      </c>
      <c r="O1606" t="s">
        <v>37792</v>
      </c>
      <c r="P1606">
        <v>22131</v>
      </c>
      <c r="Q1606" t="str">
        <f>"37.522364"</f>
        <v>37.522364</v>
      </c>
      <c r="R1606" t="str">
        <f>"22.375559"</f>
        <v>22.375559</v>
      </c>
      <c r="S1606" t="s">
        <v>26</v>
      </c>
    </row>
    <row r="1607" spans="1:19" x14ac:dyDescent="0.3">
      <c r="A1607" t="s">
        <v>37529</v>
      </c>
      <c r="B1607" t="s">
        <v>37702</v>
      </c>
      <c r="C1607" t="s">
        <v>37794</v>
      </c>
      <c r="D1607" t="s">
        <v>37537</v>
      </c>
      <c r="E1607" t="s">
        <v>37538</v>
      </c>
      <c r="F1607" t="s">
        <v>37538</v>
      </c>
      <c r="G1607" t="s">
        <v>37539</v>
      </c>
      <c r="H1607" t="s">
        <v>51</v>
      </c>
      <c r="I1607" t="s">
        <v>52</v>
      </c>
      <c r="J1607" t="str">
        <f>"0301030"</f>
        <v>0301030</v>
      </c>
      <c r="K1607">
        <v>2710238017</v>
      </c>
      <c r="L1607">
        <v>2710221337</v>
      </c>
      <c r="M1607" t="s">
        <v>37795</v>
      </c>
      <c r="N1607" t="s">
        <v>37542</v>
      </c>
      <c r="O1607" t="s">
        <v>37743</v>
      </c>
      <c r="P1607">
        <v>22132</v>
      </c>
      <c r="Q1607" t="str">
        <f>"37.514737"</f>
        <v>37.514737</v>
      </c>
      <c r="R1607" t="str">
        <f>"22.382857"</f>
        <v>22.382857</v>
      </c>
      <c r="S1607" t="s">
        <v>26</v>
      </c>
    </row>
    <row r="1608" spans="1:19" x14ac:dyDescent="0.3">
      <c r="A1608" t="s">
        <v>37529</v>
      </c>
      <c r="B1608" t="s">
        <v>37702</v>
      </c>
      <c r="C1608" t="s">
        <v>37799</v>
      </c>
      <c r="D1608" t="s">
        <v>37537</v>
      </c>
      <c r="E1608" t="s">
        <v>37760</v>
      </c>
      <c r="F1608" t="s">
        <v>37798</v>
      </c>
      <c r="G1608" t="s">
        <v>37798</v>
      </c>
      <c r="H1608" t="s">
        <v>51</v>
      </c>
      <c r="I1608" t="s">
        <v>52</v>
      </c>
      <c r="J1608" t="str">
        <f>"0314010"</f>
        <v>0314010</v>
      </c>
      <c r="K1608">
        <v>2797023766</v>
      </c>
      <c r="L1608">
        <v>2797023766</v>
      </c>
      <c r="M1608" t="s">
        <v>37800</v>
      </c>
      <c r="N1608" t="s">
        <v>37760</v>
      </c>
      <c r="O1608" t="s">
        <v>37801</v>
      </c>
      <c r="P1608">
        <v>22015</v>
      </c>
      <c r="Q1608" t="str">
        <f>"37.796887"</f>
        <v>37.796887</v>
      </c>
      <c r="R1608" t="str">
        <f>"21.899755"</f>
        <v>21.899755</v>
      </c>
      <c r="S1608" t="s">
        <v>57</v>
      </c>
    </row>
    <row r="1609" spans="1:19" x14ac:dyDescent="0.3">
      <c r="A1609" t="s">
        <v>37529</v>
      </c>
      <c r="B1609" t="s">
        <v>37702</v>
      </c>
      <c r="C1609" t="s">
        <v>37803</v>
      </c>
      <c r="D1609" t="s">
        <v>37537</v>
      </c>
      <c r="E1609" t="s">
        <v>37726</v>
      </c>
      <c r="F1609" t="s">
        <v>37726</v>
      </c>
      <c r="G1609" t="s">
        <v>15303</v>
      </c>
      <c r="H1609" t="s">
        <v>51</v>
      </c>
      <c r="I1609" t="s">
        <v>52</v>
      </c>
      <c r="J1609" t="str">
        <f>"0302020"</f>
        <v>0302020</v>
      </c>
      <c r="K1609">
        <v>2755031320</v>
      </c>
      <c r="L1609">
        <v>2755031331</v>
      </c>
      <c r="M1609" t="s">
        <v>37804</v>
      </c>
      <c r="N1609" t="s">
        <v>37805</v>
      </c>
      <c r="O1609" t="s">
        <v>37806</v>
      </c>
      <c r="P1609">
        <v>22001</v>
      </c>
      <c r="Q1609" t="str">
        <f>"37.348509"</f>
        <v>37.348509</v>
      </c>
      <c r="R1609" t="str">
        <f>"22.768584"</f>
        <v>22.768584</v>
      </c>
      <c r="S1609" t="s">
        <v>26</v>
      </c>
    </row>
    <row r="1610" spans="1:19" x14ac:dyDescent="0.3">
      <c r="A1610" t="s">
        <v>37529</v>
      </c>
      <c r="B1610" t="s">
        <v>37702</v>
      </c>
      <c r="C1610" t="s">
        <v>37809</v>
      </c>
      <c r="D1610" t="s">
        <v>37537</v>
      </c>
      <c r="E1610" t="s">
        <v>37760</v>
      </c>
      <c r="F1610" t="s">
        <v>37808</v>
      </c>
      <c r="G1610" t="s">
        <v>37808</v>
      </c>
      <c r="H1610" t="s">
        <v>51</v>
      </c>
      <c r="I1610" t="s">
        <v>52</v>
      </c>
      <c r="J1610" t="str">
        <f>"0303010"</f>
        <v>0303010</v>
      </c>
      <c r="K1610">
        <v>2795022346</v>
      </c>
      <c r="L1610">
        <v>2795022346</v>
      </c>
      <c r="M1610" t="s">
        <v>37810</v>
      </c>
      <c r="N1610" t="s">
        <v>37811</v>
      </c>
      <c r="O1610" t="s">
        <v>37812</v>
      </c>
      <c r="P1610">
        <v>22010</v>
      </c>
      <c r="Q1610" t="str">
        <f>"37.670162"</f>
        <v>37.670162</v>
      </c>
      <c r="R1610" t="str">
        <f>"22.182665"</f>
        <v>22.182665</v>
      </c>
      <c r="S1610" t="s">
        <v>26</v>
      </c>
    </row>
    <row r="1611" spans="1:19" x14ac:dyDescent="0.3">
      <c r="A1611" t="s">
        <v>37529</v>
      </c>
      <c r="B1611" t="s">
        <v>37702</v>
      </c>
      <c r="C1611" t="s">
        <v>37814</v>
      </c>
      <c r="D1611" t="s">
        <v>37537</v>
      </c>
      <c r="E1611" t="s">
        <v>37538</v>
      </c>
      <c r="F1611" t="s">
        <v>37538</v>
      </c>
      <c r="G1611" t="s">
        <v>37539</v>
      </c>
      <c r="H1611" t="s">
        <v>51</v>
      </c>
      <c r="I1611" t="s">
        <v>52</v>
      </c>
      <c r="J1611" t="str">
        <f>"0301020"</f>
        <v>0301020</v>
      </c>
      <c r="K1611">
        <v>2710239490</v>
      </c>
      <c r="L1611">
        <v>2710230316</v>
      </c>
      <c r="M1611" t="s">
        <v>37815</v>
      </c>
      <c r="N1611" t="s">
        <v>37542</v>
      </c>
      <c r="O1611" t="s">
        <v>37816</v>
      </c>
      <c r="P1611">
        <v>22132</v>
      </c>
      <c r="Q1611" t="str">
        <f>"37.515526"</f>
        <v>37.515526</v>
      </c>
      <c r="R1611" t="str">
        <f>"22.387892"</f>
        <v>22.387892</v>
      </c>
      <c r="S1611" t="s">
        <v>26</v>
      </c>
    </row>
    <row r="1612" spans="1:19" x14ac:dyDescent="0.3">
      <c r="A1612" t="s">
        <v>37529</v>
      </c>
      <c r="B1612" t="s">
        <v>37702</v>
      </c>
      <c r="C1612" t="s">
        <v>37817</v>
      </c>
      <c r="D1612" t="s">
        <v>37537</v>
      </c>
      <c r="E1612" t="s">
        <v>37538</v>
      </c>
      <c r="F1612" t="s">
        <v>37733</v>
      </c>
      <c r="G1612" t="s">
        <v>37733</v>
      </c>
      <c r="H1612" t="s">
        <v>51</v>
      </c>
      <c r="I1612" t="s">
        <v>52</v>
      </c>
      <c r="J1612" t="str">
        <f>"0305010"</f>
        <v>0305010</v>
      </c>
      <c r="K1612">
        <v>2796022000</v>
      </c>
      <c r="L1612">
        <v>2796022150</v>
      </c>
      <c r="M1612" t="s">
        <v>37818</v>
      </c>
      <c r="N1612" t="s">
        <v>37819</v>
      </c>
      <c r="O1612" t="s">
        <v>37820</v>
      </c>
      <c r="P1612">
        <v>22002</v>
      </c>
      <c r="Q1612" t="str">
        <f>"37.679113"</f>
        <v>37.679113</v>
      </c>
      <c r="R1612" t="str">
        <f>"22.296434"</f>
        <v>22.296434</v>
      </c>
      <c r="S1612" t="s">
        <v>26</v>
      </c>
    </row>
    <row r="1613" spans="1:19" x14ac:dyDescent="0.3">
      <c r="A1613" t="s">
        <v>37529</v>
      </c>
      <c r="B1613" t="s">
        <v>37702</v>
      </c>
      <c r="C1613" t="s">
        <v>37821</v>
      </c>
      <c r="D1613" t="s">
        <v>37537</v>
      </c>
      <c r="E1613" t="s">
        <v>37538</v>
      </c>
      <c r="F1613" t="s">
        <v>37538</v>
      </c>
      <c r="G1613" t="s">
        <v>37539</v>
      </c>
      <c r="H1613" t="s">
        <v>51</v>
      </c>
      <c r="I1613" t="s">
        <v>190</v>
      </c>
      <c r="J1613" t="str">
        <f>"0301060"</f>
        <v>0301060</v>
      </c>
      <c r="K1613">
        <v>2710235440</v>
      </c>
      <c r="M1613" t="s">
        <v>37822</v>
      </c>
      <c r="N1613" t="s">
        <v>37542</v>
      </c>
      <c r="O1613" t="s">
        <v>37823</v>
      </c>
      <c r="P1613">
        <v>22132</v>
      </c>
      <c r="Q1613" t="str">
        <f>"37.501028"</f>
        <v>37.501028</v>
      </c>
      <c r="R1613" t="str">
        <f>"22.364208"</f>
        <v>22.364208</v>
      </c>
      <c r="S1613" t="s">
        <v>26</v>
      </c>
    </row>
    <row r="1614" spans="1:19" x14ac:dyDescent="0.3">
      <c r="A1614" t="s">
        <v>37529</v>
      </c>
      <c r="B1614" t="s">
        <v>37702</v>
      </c>
      <c r="C1614" t="s">
        <v>37824</v>
      </c>
      <c r="D1614" t="s">
        <v>37537</v>
      </c>
      <c r="E1614" t="s">
        <v>37760</v>
      </c>
      <c r="F1614" t="s">
        <v>37761</v>
      </c>
      <c r="G1614" t="s">
        <v>37761</v>
      </c>
      <c r="H1614" t="s">
        <v>51</v>
      </c>
      <c r="I1614" t="s">
        <v>52</v>
      </c>
      <c r="J1614" t="str">
        <f>"0309010"</f>
        <v>0309010</v>
      </c>
      <c r="K1614">
        <v>2797022274</v>
      </c>
      <c r="L1614">
        <v>2797022274</v>
      </c>
      <c r="M1614" t="s">
        <v>37825</v>
      </c>
      <c r="N1614" t="s">
        <v>37826</v>
      </c>
      <c r="O1614" t="s">
        <v>37827</v>
      </c>
      <c r="P1614">
        <v>22008</v>
      </c>
      <c r="Q1614" t="str">
        <f>"37.758125"</f>
        <v>37.758125</v>
      </c>
      <c r="R1614" t="str">
        <f>"21.959094"</f>
        <v>21.959094</v>
      </c>
      <c r="S1614" t="s">
        <v>26</v>
      </c>
    </row>
    <row r="1615" spans="1:19" x14ac:dyDescent="0.3">
      <c r="A1615" t="s">
        <v>37529</v>
      </c>
      <c r="B1615" t="s">
        <v>37702</v>
      </c>
      <c r="C1615" t="s">
        <v>37830</v>
      </c>
      <c r="D1615" t="s">
        <v>37537</v>
      </c>
      <c r="E1615" t="s">
        <v>37538</v>
      </c>
      <c r="F1615" t="s">
        <v>37745</v>
      </c>
      <c r="G1615" t="s">
        <v>37746</v>
      </c>
      <c r="H1615" t="s">
        <v>51</v>
      </c>
      <c r="I1615" t="s">
        <v>52</v>
      </c>
      <c r="J1615" t="str">
        <f>"0301040"</f>
        <v>0301040</v>
      </c>
      <c r="K1615">
        <v>2710556224</v>
      </c>
      <c r="L1615">
        <v>2710556130</v>
      </c>
      <c r="M1615" t="s">
        <v>37831</v>
      </c>
      <c r="N1615" t="s">
        <v>37749</v>
      </c>
      <c r="O1615" t="s">
        <v>37832</v>
      </c>
      <c r="P1615">
        <v>22012</v>
      </c>
      <c r="Q1615" t="str">
        <f>"37.453819"</f>
        <v>37.453819</v>
      </c>
      <c r="R1615" t="str">
        <f>"22.424035"</f>
        <v>22.424035</v>
      </c>
      <c r="S1615" t="s">
        <v>26</v>
      </c>
    </row>
    <row r="1616" spans="1:19" x14ac:dyDescent="0.3">
      <c r="A1616" t="s">
        <v>37529</v>
      </c>
      <c r="B1616" t="s">
        <v>37702</v>
      </c>
      <c r="C1616" t="s">
        <v>37842</v>
      </c>
      <c r="D1616" t="s">
        <v>37537</v>
      </c>
      <c r="E1616" t="s">
        <v>37538</v>
      </c>
      <c r="F1616" t="s">
        <v>37745</v>
      </c>
      <c r="G1616" t="s">
        <v>37746</v>
      </c>
      <c r="H1616" t="s">
        <v>51</v>
      </c>
      <c r="I1616" t="s">
        <v>199</v>
      </c>
      <c r="J1616" t="str">
        <f>"0304000"</f>
        <v>0304000</v>
      </c>
      <c r="K1616">
        <v>2710556185</v>
      </c>
      <c r="M1616" t="s">
        <v>37843</v>
      </c>
      <c r="N1616" t="s">
        <v>37749</v>
      </c>
      <c r="O1616" t="s">
        <v>37750</v>
      </c>
      <c r="P1616">
        <v>22012</v>
      </c>
      <c r="Q1616" t="str">
        <f>"37.453342"</f>
        <v>37.453342</v>
      </c>
      <c r="R1616" t="str">
        <f>"22.423486"</f>
        <v>22.423486</v>
      </c>
      <c r="S1616" t="s">
        <v>26</v>
      </c>
    </row>
    <row r="1617" spans="1:19" x14ac:dyDescent="0.3">
      <c r="A1617" t="s">
        <v>37529</v>
      </c>
      <c r="B1617" t="s">
        <v>37844</v>
      </c>
      <c r="C1617" t="s">
        <v>37848</v>
      </c>
      <c r="D1617" t="s">
        <v>37544</v>
      </c>
      <c r="E1617" t="s">
        <v>37845</v>
      </c>
      <c r="F1617" t="s">
        <v>37846</v>
      </c>
      <c r="G1617" t="s">
        <v>37847</v>
      </c>
      <c r="H1617" t="s">
        <v>51</v>
      </c>
      <c r="I1617" t="s">
        <v>52</v>
      </c>
      <c r="J1617" t="str">
        <f>"2806050"</f>
        <v>2806050</v>
      </c>
      <c r="K1617">
        <v>2744079542</v>
      </c>
      <c r="L1617">
        <v>2744079542</v>
      </c>
      <c r="M1617" t="s">
        <v>37849</v>
      </c>
      <c r="N1617" t="s">
        <v>37850</v>
      </c>
      <c r="O1617" t="s">
        <v>37851</v>
      </c>
      <c r="P1617">
        <v>20300</v>
      </c>
      <c r="Q1617" t="str">
        <f>"38.030112"</f>
        <v>38.030112</v>
      </c>
      <c r="R1617" t="str">
        <f>"22.948508"</f>
        <v>22.948508</v>
      </c>
      <c r="S1617" t="s">
        <v>26</v>
      </c>
    </row>
    <row r="1618" spans="1:19" x14ac:dyDescent="0.3">
      <c r="A1618" t="s">
        <v>37529</v>
      </c>
      <c r="B1618" t="s">
        <v>37844</v>
      </c>
      <c r="C1618" t="s">
        <v>37853</v>
      </c>
      <c r="D1618" t="s">
        <v>37544</v>
      </c>
      <c r="E1618" t="s">
        <v>37545</v>
      </c>
      <c r="F1618" t="s">
        <v>37545</v>
      </c>
      <c r="G1618" t="s">
        <v>37546</v>
      </c>
      <c r="H1618" t="s">
        <v>51</v>
      </c>
      <c r="I1618" t="s">
        <v>184</v>
      </c>
      <c r="J1618" t="str">
        <f>"2801036"</f>
        <v>2801036</v>
      </c>
      <c r="K1618">
        <v>2741085421</v>
      </c>
      <c r="L1618">
        <v>2741085421</v>
      </c>
      <c r="M1618" t="s">
        <v>37854</v>
      </c>
      <c r="N1618" t="s">
        <v>37855</v>
      </c>
      <c r="O1618" t="s">
        <v>37856</v>
      </c>
      <c r="P1618">
        <v>20100</v>
      </c>
      <c r="Q1618" t="str">
        <f>"37.933025"</f>
        <v>37.933025</v>
      </c>
      <c r="R1618" t="str">
        <f>"22.927679"</f>
        <v>22.927679</v>
      </c>
      <c r="S1618" t="s">
        <v>26</v>
      </c>
    </row>
    <row r="1619" spans="1:19" x14ac:dyDescent="0.3">
      <c r="A1619" t="s">
        <v>37529</v>
      </c>
      <c r="B1619" t="s">
        <v>37844</v>
      </c>
      <c r="C1619" t="s">
        <v>37886</v>
      </c>
      <c r="D1619" t="s">
        <v>37544</v>
      </c>
      <c r="E1619" t="s">
        <v>37545</v>
      </c>
      <c r="F1619" t="s">
        <v>3997</v>
      </c>
      <c r="G1619" t="s">
        <v>37885</v>
      </c>
      <c r="H1619" t="s">
        <v>51</v>
      </c>
      <c r="I1619" t="s">
        <v>52</v>
      </c>
      <c r="J1619" t="str">
        <f>"2801060"</f>
        <v>2801060</v>
      </c>
      <c r="K1619">
        <v>2741039445</v>
      </c>
      <c r="L1619">
        <v>2741039445</v>
      </c>
      <c r="M1619" t="s">
        <v>37887</v>
      </c>
      <c r="N1619" t="s">
        <v>37888</v>
      </c>
      <c r="O1619" t="s">
        <v>37889</v>
      </c>
      <c r="P1619">
        <v>20005</v>
      </c>
      <c r="Q1619" t="str">
        <f>"37.822318"</f>
        <v>37.822318</v>
      </c>
      <c r="R1619" t="str">
        <f>"22.919925"</f>
        <v>22.919925</v>
      </c>
      <c r="S1619" t="s">
        <v>26</v>
      </c>
    </row>
    <row r="1620" spans="1:19" x14ac:dyDescent="0.3">
      <c r="A1620" t="s">
        <v>37529</v>
      </c>
      <c r="B1620" t="s">
        <v>37844</v>
      </c>
      <c r="C1620" t="s">
        <v>37946</v>
      </c>
      <c r="D1620" t="s">
        <v>37544</v>
      </c>
      <c r="E1620" t="s">
        <v>37895</v>
      </c>
      <c r="F1620" t="s">
        <v>37896</v>
      </c>
      <c r="G1620" t="s">
        <v>37945</v>
      </c>
      <c r="H1620" t="s">
        <v>51</v>
      </c>
      <c r="I1620" t="s">
        <v>52</v>
      </c>
      <c r="J1620" t="str">
        <f>"2801035"</f>
        <v>2801035</v>
      </c>
      <c r="K1620">
        <v>2741054160</v>
      </c>
      <c r="M1620" t="s">
        <v>37947</v>
      </c>
      <c r="N1620" t="s">
        <v>37948</v>
      </c>
      <c r="O1620" t="s">
        <v>37949</v>
      </c>
      <c r="P1620">
        <v>20001</v>
      </c>
      <c r="Q1620" t="str">
        <f>"37.941559"</f>
        <v>37.941559</v>
      </c>
      <c r="R1620" t="str">
        <f>"22.795993"</f>
        <v>22.795993</v>
      </c>
      <c r="S1620" t="s">
        <v>26</v>
      </c>
    </row>
    <row r="1621" spans="1:19" x14ac:dyDescent="0.3">
      <c r="A1621" t="s">
        <v>37529</v>
      </c>
      <c r="B1621" t="s">
        <v>37844</v>
      </c>
      <c r="C1621" t="s">
        <v>37951</v>
      </c>
      <c r="D1621" t="s">
        <v>37544</v>
      </c>
      <c r="E1621" t="s">
        <v>37875</v>
      </c>
      <c r="F1621" t="s">
        <v>37929</v>
      </c>
      <c r="G1621" t="s">
        <v>37930</v>
      </c>
      <c r="H1621" t="s">
        <v>51</v>
      </c>
      <c r="I1621" t="s">
        <v>52</v>
      </c>
      <c r="J1621" t="str">
        <f>"2804010"</f>
        <v>2804010</v>
      </c>
      <c r="K1621">
        <v>2743031352</v>
      </c>
      <c r="L1621">
        <v>2743031352</v>
      </c>
      <c r="M1621" t="s">
        <v>37952</v>
      </c>
      <c r="N1621" t="s">
        <v>37933</v>
      </c>
      <c r="O1621" t="s">
        <v>37934</v>
      </c>
      <c r="P1621">
        <v>20009</v>
      </c>
      <c r="Q1621" t="str">
        <f>"38.128916"</f>
        <v>38.128916</v>
      </c>
      <c r="R1621" t="str">
        <f>"22.449265"</f>
        <v>22.449265</v>
      </c>
      <c r="S1621" t="s">
        <v>26</v>
      </c>
    </row>
    <row r="1622" spans="1:19" x14ac:dyDescent="0.3">
      <c r="A1622" t="s">
        <v>37529</v>
      </c>
      <c r="B1622" t="s">
        <v>37844</v>
      </c>
      <c r="C1622" t="s">
        <v>37954</v>
      </c>
      <c r="D1622" t="s">
        <v>37544</v>
      </c>
      <c r="E1622" t="s">
        <v>37845</v>
      </c>
      <c r="F1622" t="s">
        <v>37846</v>
      </c>
      <c r="G1622" t="s">
        <v>37953</v>
      </c>
      <c r="H1622" t="s">
        <v>51</v>
      </c>
      <c r="I1622" t="s">
        <v>52</v>
      </c>
      <c r="J1622" t="str">
        <f>"2801075"</f>
        <v>2801075</v>
      </c>
      <c r="K1622">
        <v>2741038506</v>
      </c>
      <c r="L1622">
        <v>2741030898</v>
      </c>
      <c r="M1622" t="s">
        <v>37955</v>
      </c>
      <c r="N1622" t="s">
        <v>37956</v>
      </c>
      <c r="O1622" t="s">
        <v>37956</v>
      </c>
      <c r="P1622">
        <v>20100</v>
      </c>
      <c r="Q1622" t="str">
        <f>"37.912235"</f>
        <v>37.912235</v>
      </c>
      <c r="R1622" t="str">
        <f>"22.981102"</f>
        <v>22.981102</v>
      </c>
      <c r="S1622" t="s">
        <v>26</v>
      </c>
    </row>
    <row r="1623" spans="1:19" x14ac:dyDescent="0.3">
      <c r="A1623" t="s">
        <v>37529</v>
      </c>
      <c r="B1623" t="s">
        <v>37844</v>
      </c>
      <c r="C1623" t="s">
        <v>37964</v>
      </c>
      <c r="D1623" t="s">
        <v>37544</v>
      </c>
      <c r="E1623" t="s">
        <v>37922</v>
      </c>
      <c r="F1623" t="s">
        <v>37962</v>
      </c>
      <c r="G1623" t="s">
        <v>37963</v>
      </c>
      <c r="H1623" t="s">
        <v>51</v>
      </c>
      <c r="I1623" t="s">
        <v>89</v>
      </c>
      <c r="J1623" t="str">
        <f>"2803010"</f>
        <v>2803010</v>
      </c>
      <c r="K1623">
        <v>2747051217</v>
      </c>
      <c r="L1623">
        <v>2747051217</v>
      </c>
      <c r="M1623" t="s">
        <v>37965</v>
      </c>
      <c r="N1623" t="s">
        <v>37966</v>
      </c>
      <c r="O1623" t="s">
        <v>37967</v>
      </c>
      <c r="P1623">
        <v>20014</v>
      </c>
      <c r="Q1623" t="str">
        <f>"37.934109"</f>
        <v>37.934109</v>
      </c>
      <c r="R1623" t="str">
        <f>"22.344445"</f>
        <v>22.344445</v>
      </c>
      <c r="S1623" t="s">
        <v>57</v>
      </c>
    </row>
    <row r="1624" spans="1:19" x14ac:dyDescent="0.3">
      <c r="A1624" t="s">
        <v>37529</v>
      </c>
      <c r="B1624" t="s">
        <v>37844</v>
      </c>
      <c r="C1624" t="s">
        <v>37969</v>
      </c>
      <c r="D1624" t="s">
        <v>37544</v>
      </c>
      <c r="E1624" t="s">
        <v>37869</v>
      </c>
      <c r="F1624" t="s">
        <v>37869</v>
      </c>
      <c r="G1624" t="s">
        <v>37869</v>
      </c>
      <c r="H1624" t="s">
        <v>51</v>
      </c>
      <c r="I1624" t="s">
        <v>52</v>
      </c>
      <c r="J1624" t="str">
        <f>"2807010"</f>
        <v>2807010</v>
      </c>
      <c r="K1624">
        <v>2746022320</v>
      </c>
      <c r="L1624">
        <v>2746020250</v>
      </c>
      <c r="M1624" t="s">
        <v>37970</v>
      </c>
      <c r="N1624" t="s">
        <v>37872</v>
      </c>
      <c r="O1624" t="s">
        <v>37971</v>
      </c>
      <c r="P1624">
        <v>20500</v>
      </c>
      <c r="Q1624" t="str">
        <f>"37.818677"</f>
        <v>37.818677</v>
      </c>
      <c r="R1624" t="str">
        <f>"22.659426"</f>
        <v>22.659426</v>
      </c>
      <c r="S1624" t="s">
        <v>26</v>
      </c>
    </row>
    <row r="1625" spans="1:19" x14ac:dyDescent="0.3">
      <c r="A1625" t="s">
        <v>37529</v>
      </c>
      <c r="B1625" t="s">
        <v>37844</v>
      </c>
      <c r="C1625" t="s">
        <v>37972</v>
      </c>
      <c r="D1625" t="s">
        <v>37544</v>
      </c>
      <c r="E1625" t="s">
        <v>37922</v>
      </c>
      <c r="F1625" t="s">
        <v>37922</v>
      </c>
      <c r="G1625" t="s">
        <v>37923</v>
      </c>
      <c r="H1625" t="s">
        <v>51</v>
      </c>
      <c r="I1625" t="s">
        <v>184</v>
      </c>
      <c r="J1625" t="str">
        <f>"2805015"</f>
        <v>2805015</v>
      </c>
      <c r="K1625">
        <v>2742028776</v>
      </c>
      <c r="L1625">
        <v>2742028776</v>
      </c>
      <c r="M1625" t="s">
        <v>37973</v>
      </c>
      <c r="N1625" t="s">
        <v>37926</v>
      </c>
      <c r="O1625" t="s">
        <v>37974</v>
      </c>
      <c r="P1625">
        <v>20200</v>
      </c>
      <c r="Q1625" t="str">
        <f>"38.018686"</f>
        <v>38.018686</v>
      </c>
      <c r="R1625" t="str">
        <f>"22.738378"</f>
        <v>22.738378</v>
      </c>
      <c r="S1625" t="s">
        <v>26</v>
      </c>
    </row>
    <row r="1626" spans="1:19" x14ac:dyDescent="0.3">
      <c r="A1626" t="s">
        <v>37529</v>
      </c>
      <c r="B1626" t="s">
        <v>37844</v>
      </c>
      <c r="C1626" t="s">
        <v>37976</v>
      </c>
      <c r="D1626" t="s">
        <v>37544</v>
      </c>
      <c r="E1626" t="s">
        <v>37875</v>
      </c>
      <c r="F1626" t="s">
        <v>37876</v>
      </c>
      <c r="G1626" t="s">
        <v>37876</v>
      </c>
      <c r="H1626" t="s">
        <v>51</v>
      </c>
      <c r="I1626" t="s">
        <v>52</v>
      </c>
      <c r="J1626" t="str">
        <f>"2805021"</f>
        <v>2805021</v>
      </c>
      <c r="K1626">
        <v>2743029088</v>
      </c>
      <c r="L1626">
        <v>2743029089</v>
      </c>
      <c r="M1626" t="s">
        <v>37977</v>
      </c>
      <c r="N1626" t="s">
        <v>37879</v>
      </c>
      <c r="O1626" t="s">
        <v>37978</v>
      </c>
      <c r="P1626">
        <v>20400</v>
      </c>
      <c r="Q1626" t="str">
        <f>"38.076105"</f>
        <v>38.076105</v>
      </c>
      <c r="R1626" t="str">
        <f>"22.633078"</f>
        <v>22.633078</v>
      </c>
      <c r="S1626" t="s">
        <v>26</v>
      </c>
    </row>
    <row r="1627" spans="1:19" x14ac:dyDescent="0.3">
      <c r="A1627" t="s">
        <v>37529</v>
      </c>
      <c r="B1627" t="s">
        <v>37844</v>
      </c>
      <c r="C1627" t="s">
        <v>37982</v>
      </c>
      <c r="D1627" t="s">
        <v>37544</v>
      </c>
      <c r="E1627" t="s">
        <v>37545</v>
      </c>
      <c r="F1627" t="s">
        <v>37980</v>
      </c>
      <c r="G1627" t="s">
        <v>37981</v>
      </c>
      <c r="H1627" t="s">
        <v>51</v>
      </c>
      <c r="I1627" t="s">
        <v>89</v>
      </c>
      <c r="J1627" t="str">
        <f>"2801070"</f>
        <v>2801070</v>
      </c>
      <c r="K1627">
        <v>2741087500</v>
      </c>
      <c r="L1627">
        <v>2741082023</v>
      </c>
      <c r="M1627" t="s">
        <v>37983</v>
      </c>
      <c r="N1627" t="s">
        <v>37984</v>
      </c>
      <c r="O1627" t="s">
        <v>37985</v>
      </c>
      <c r="P1627">
        <v>20011</v>
      </c>
      <c r="Q1627" t="str">
        <f>"37.936778"</f>
        <v>37.936778</v>
      </c>
      <c r="R1627" t="str">
        <f>"22.842580"</f>
        <v>22.842580</v>
      </c>
      <c r="S1627" t="s">
        <v>26</v>
      </c>
    </row>
    <row r="1628" spans="1:19" x14ac:dyDescent="0.3">
      <c r="A1628" t="s">
        <v>37529</v>
      </c>
      <c r="B1628" t="s">
        <v>37844</v>
      </c>
      <c r="C1628" t="s">
        <v>37987</v>
      </c>
      <c r="D1628" t="s">
        <v>37544</v>
      </c>
      <c r="E1628" t="s">
        <v>37545</v>
      </c>
      <c r="F1628" t="s">
        <v>37545</v>
      </c>
      <c r="G1628" t="s">
        <v>37546</v>
      </c>
      <c r="H1628" t="s">
        <v>51</v>
      </c>
      <c r="I1628" t="s">
        <v>52</v>
      </c>
      <c r="J1628" t="str">
        <f>"2801020"</f>
        <v>2801020</v>
      </c>
      <c r="K1628">
        <v>2741022376</v>
      </c>
      <c r="L1628">
        <v>2741081270</v>
      </c>
      <c r="M1628" t="s">
        <v>37988</v>
      </c>
      <c r="N1628" t="s">
        <v>37855</v>
      </c>
      <c r="O1628" t="s">
        <v>37909</v>
      </c>
      <c r="P1628">
        <v>20100</v>
      </c>
      <c r="Q1628" t="str">
        <f>"37.933461"</f>
        <v>37.933461</v>
      </c>
      <c r="R1628" t="str">
        <f>"22.929154"</f>
        <v>22.929154</v>
      </c>
      <c r="S1628" t="s">
        <v>26</v>
      </c>
    </row>
    <row r="1629" spans="1:19" x14ac:dyDescent="0.3">
      <c r="A1629" t="s">
        <v>37529</v>
      </c>
      <c r="B1629" t="s">
        <v>37844</v>
      </c>
      <c r="C1629" t="s">
        <v>37989</v>
      </c>
      <c r="D1629" t="s">
        <v>37544</v>
      </c>
      <c r="E1629" t="s">
        <v>37922</v>
      </c>
      <c r="F1629" t="s">
        <v>37922</v>
      </c>
      <c r="G1629" t="s">
        <v>4044</v>
      </c>
      <c r="H1629" t="s">
        <v>51</v>
      </c>
      <c r="I1629" t="s">
        <v>52</v>
      </c>
      <c r="J1629" t="str">
        <f>"2802010"</f>
        <v>2802010</v>
      </c>
      <c r="K1629">
        <v>2742051211</v>
      </c>
      <c r="L1629">
        <v>2742051211</v>
      </c>
      <c r="M1629" t="s">
        <v>37990</v>
      </c>
      <c r="N1629" t="s">
        <v>37991</v>
      </c>
      <c r="O1629" t="s">
        <v>37992</v>
      </c>
      <c r="P1629">
        <v>20200</v>
      </c>
      <c r="Q1629" t="str">
        <f>"37.964776"</f>
        <v>37.964776</v>
      </c>
      <c r="R1629" t="str">
        <f>"22.642985"</f>
        <v>22.642985</v>
      </c>
      <c r="S1629" t="s">
        <v>26</v>
      </c>
    </row>
    <row r="1630" spans="1:19" x14ac:dyDescent="0.3">
      <c r="A1630" t="s">
        <v>37529</v>
      </c>
      <c r="B1630" t="s">
        <v>37844</v>
      </c>
      <c r="C1630" t="s">
        <v>37994</v>
      </c>
      <c r="D1630" t="s">
        <v>37544</v>
      </c>
      <c r="E1630" t="s">
        <v>37922</v>
      </c>
      <c r="F1630" t="s">
        <v>37922</v>
      </c>
      <c r="G1630" t="s">
        <v>37923</v>
      </c>
      <c r="H1630" t="s">
        <v>51</v>
      </c>
      <c r="I1630" t="s">
        <v>52</v>
      </c>
      <c r="J1630" t="str">
        <f>"2805040"</f>
        <v>2805040</v>
      </c>
      <c r="K1630">
        <v>2742023057</v>
      </c>
      <c r="L1630">
        <v>2742023094</v>
      </c>
      <c r="M1630" t="s">
        <v>37995</v>
      </c>
      <c r="N1630" t="s">
        <v>37926</v>
      </c>
      <c r="O1630" t="s">
        <v>37996</v>
      </c>
      <c r="P1630">
        <v>20200</v>
      </c>
      <c r="Q1630" t="str">
        <f>"38.017707"</f>
        <v>38.017707</v>
      </c>
      <c r="R1630" t="str">
        <f>"22.736460"</f>
        <v>22.736460</v>
      </c>
      <c r="S1630" t="s">
        <v>26</v>
      </c>
    </row>
    <row r="1631" spans="1:19" x14ac:dyDescent="0.3">
      <c r="A1631" t="s">
        <v>37529</v>
      </c>
      <c r="B1631" t="s">
        <v>37844</v>
      </c>
      <c r="C1631" t="s">
        <v>37997</v>
      </c>
      <c r="D1631" t="s">
        <v>37544</v>
      </c>
      <c r="E1631" t="s">
        <v>37545</v>
      </c>
      <c r="F1631" t="s">
        <v>37545</v>
      </c>
      <c r="G1631" t="s">
        <v>37546</v>
      </c>
      <c r="H1631" t="s">
        <v>51</v>
      </c>
      <c r="I1631" t="s">
        <v>52</v>
      </c>
      <c r="J1631" t="str">
        <f>"2801010"</f>
        <v>2801010</v>
      </c>
      <c r="K1631">
        <v>2741026340</v>
      </c>
      <c r="L1631">
        <v>2741081304</v>
      </c>
      <c r="M1631" t="s">
        <v>37998</v>
      </c>
      <c r="N1631" t="s">
        <v>37855</v>
      </c>
      <c r="O1631" t="s">
        <v>37999</v>
      </c>
      <c r="P1631">
        <v>20100</v>
      </c>
      <c r="Q1631" t="str">
        <f>"37.932869"</f>
        <v>37.932869</v>
      </c>
      <c r="R1631" t="str">
        <f>"22.927822"</f>
        <v>22.927822</v>
      </c>
      <c r="S1631" t="s">
        <v>26</v>
      </c>
    </row>
    <row r="1632" spans="1:19" x14ac:dyDescent="0.3">
      <c r="A1632" t="s">
        <v>37529</v>
      </c>
      <c r="B1632" t="s">
        <v>37844</v>
      </c>
      <c r="C1632" t="s">
        <v>38000</v>
      </c>
      <c r="D1632" t="s">
        <v>37544</v>
      </c>
      <c r="E1632" t="s">
        <v>37895</v>
      </c>
      <c r="F1632" t="s">
        <v>37896</v>
      </c>
      <c r="G1632" t="s">
        <v>37897</v>
      </c>
      <c r="H1632" t="s">
        <v>51</v>
      </c>
      <c r="I1632" t="s">
        <v>52</v>
      </c>
      <c r="J1632" t="str">
        <f>"2801030"</f>
        <v>2801030</v>
      </c>
      <c r="K1632">
        <v>2741055740</v>
      </c>
      <c r="L1632">
        <v>2741055740</v>
      </c>
      <c r="M1632" t="s">
        <v>38001</v>
      </c>
      <c r="N1632" t="s">
        <v>37900</v>
      </c>
      <c r="O1632" t="s">
        <v>38002</v>
      </c>
      <c r="P1632">
        <v>20006</v>
      </c>
      <c r="Q1632" t="str">
        <f>"37.953342"</f>
        <v>37.953342</v>
      </c>
      <c r="R1632" t="str">
        <f>"22.808135"</f>
        <v>22.808135</v>
      </c>
      <c r="S1632" t="s">
        <v>26</v>
      </c>
    </row>
    <row r="1633" spans="1:19" x14ac:dyDescent="0.3">
      <c r="A1633" t="s">
        <v>37529</v>
      </c>
      <c r="B1633" t="s">
        <v>37844</v>
      </c>
      <c r="C1633" t="s">
        <v>38007</v>
      </c>
      <c r="D1633" t="s">
        <v>37544</v>
      </c>
      <c r="E1633" t="s">
        <v>37545</v>
      </c>
      <c r="F1633" t="s">
        <v>37545</v>
      </c>
      <c r="G1633" t="s">
        <v>37546</v>
      </c>
      <c r="H1633" t="s">
        <v>51</v>
      </c>
      <c r="I1633" t="s">
        <v>52</v>
      </c>
      <c r="J1633" t="str">
        <f>"2801055"</f>
        <v>2801055</v>
      </c>
      <c r="K1633">
        <v>2741029081</v>
      </c>
      <c r="L1633">
        <v>2741076075</v>
      </c>
      <c r="M1633" t="s">
        <v>38008</v>
      </c>
      <c r="N1633" t="s">
        <v>37855</v>
      </c>
      <c r="O1633" t="s">
        <v>37905</v>
      </c>
      <c r="P1633">
        <v>20100</v>
      </c>
      <c r="Q1633" t="str">
        <f>"37.936493"</f>
        <v>37.936493</v>
      </c>
      <c r="R1633" t="str">
        <f>"22.950192"</f>
        <v>22.950192</v>
      </c>
      <c r="S1633" t="s">
        <v>26</v>
      </c>
    </row>
    <row r="1634" spans="1:19" x14ac:dyDescent="0.3">
      <c r="A1634" t="s">
        <v>37529</v>
      </c>
      <c r="B1634" t="s">
        <v>37844</v>
      </c>
      <c r="C1634" t="s">
        <v>38013</v>
      </c>
      <c r="D1634" t="s">
        <v>37544</v>
      </c>
      <c r="E1634" t="s">
        <v>37845</v>
      </c>
      <c r="F1634" t="s">
        <v>37846</v>
      </c>
      <c r="G1634" t="s">
        <v>37847</v>
      </c>
      <c r="H1634" t="s">
        <v>51</v>
      </c>
      <c r="I1634" t="s">
        <v>52</v>
      </c>
      <c r="J1634" t="str">
        <f>"2806010"</f>
        <v>2806010</v>
      </c>
      <c r="K1634">
        <v>2744063170</v>
      </c>
      <c r="L1634">
        <v>2744063170</v>
      </c>
      <c r="M1634" t="s">
        <v>38014</v>
      </c>
      <c r="N1634" t="s">
        <v>30857</v>
      </c>
      <c r="O1634" t="s">
        <v>38015</v>
      </c>
      <c r="P1634">
        <v>20300</v>
      </c>
      <c r="Q1634" t="str">
        <f>"37.971249"</f>
        <v>37.971249</v>
      </c>
      <c r="R1634" t="str">
        <f>"22.984213"</f>
        <v>22.984213</v>
      </c>
      <c r="S1634" t="s">
        <v>26</v>
      </c>
    </row>
    <row r="1635" spans="1:19" x14ac:dyDescent="0.3">
      <c r="A1635" t="s">
        <v>37529</v>
      </c>
      <c r="B1635" t="s">
        <v>37844</v>
      </c>
      <c r="C1635" t="s">
        <v>38016</v>
      </c>
      <c r="D1635" t="s">
        <v>37544</v>
      </c>
      <c r="E1635" t="s">
        <v>37545</v>
      </c>
      <c r="F1635" t="s">
        <v>37858</v>
      </c>
      <c r="G1635" t="s">
        <v>37859</v>
      </c>
      <c r="H1635" t="s">
        <v>51</v>
      </c>
      <c r="I1635" t="s">
        <v>52</v>
      </c>
      <c r="J1635" t="str">
        <f>"2809010"</f>
        <v>2809010</v>
      </c>
      <c r="K1635">
        <v>2741098237</v>
      </c>
      <c r="L1635">
        <v>2741099026</v>
      </c>
      <c r="M1635" t="s">
        <v>38017</v>
      </c>
      <c r="N1635" t="s">
        <v>38018</v>
      </c>
      <c r="P1635">
        <v>20008</v>
      </c>
      <c r="Q1635" t="str">
        <f>"37.806983"</f>
        <v>37.806983</v>
      </c>
      <c r="R1635" t="str">
        <f>"22.871514"</f>
        <v>22.871514</v>
      </c>
      <c r="S1635" t="s">
        <v>26</v>
      </c>
    </row>
    <row r="1636" spans="1:19" x14ac:dyDescent="0.3">
      <c r="A1636" t="s">
        <v>37529</v>
      </c>
      <c r="B1636" t="s">
        <v>37844</v>
      </c>
      <c r="C1636" t="s">
        <v>38019</v>
      </c>
      <c r="D1636" t="s">
        <v>37544</v>
      </c>
      <c r="E1636" t="s">
        <v>37845</v>
      </c>
      <c r="F1636" t="s">
        <v>22748</v>
      </c>
      <c r="G1636" t="s">
        <v>22748</v>
      </c>
      <c r="H1636" t="s">
        <v>51</v>
      </c>
      <c r="I1636" t="s">
        <v>52</v>
      </c>
      <c r="J1636" t="str">
        <f>"2811010"</f>
        <v>2811010</v>
      </c>
      <c r="K1636">
        <v>2741062333</v>
      </c>
      <c r="L1636">
        <v>2741062333</v>
      </c>
      <c r="M1636" t="s">
        <v>38020</v>
      </c>
      <c r="N1636" t="s">
        <v>37867</v>
      </c>
      <c r="O1636" t="s">
        <v>22752</v>
      </c>
      <c r="P1636">
        <v>20003</v>
      </c>
      <c r="Q1636" t="str">
        <f>"37.931037"</f>
        <v>37.931037</v>
      </c>
      <c r="R1636" t="str">
        <f>"23.134753"</f>
        <v>23.134753</v>
      </c>
      <c r="S1636" t="s">
        <v>26</v>
      </c>
    </row>
    <row r="1637" spans="1:19" x14ac:dyDescent="0.3">
      <c r="A1637" t="s">
        <v>37529</v>
      </c>
      <c r="B1637" t="s">
        <v>37844</v>
      </c>
      <c r="C1637" t="s">
        <v>38022</v>
      </c>
      <c r="D1637" t="s">
        <v>37544</v>
      </c>
      <c r="E1637" t="s">
        <v>37875</v>
      </c>
      <c r="F1637" t="s">
        <v>37876</v>
      </c>
      <c r="G1637" t="s">
        <v>38021</v>
      </c>
      <c r="H1637" t="s">
        <v>51</v>
      </c>
      <c r="I1637" t="s">
        <v>52</v>
      </c>
      <c r="J1637" t="str">
        <f>"2805060"</f>
        <v>2805060</v>
      </c>
      <c r="K1637">
        <v>2743092228</v>
      </c>
      <c r="L1637">
        <v>2743092228</v>
      </c>
      <c r="M1637" t="s">
        <v>38023</v>
      </c>
      <c r="N1637" t="s">
        <v>38024</v>
      </c>
      <c r="O1637" t="s">
        <v>38025</v>
      </c>
      <c r="P1637">
        <v>20400</v>
      </c>
      <c r="Q1637" t="str">
        <f>"37.990026"</f>
        <v>37.990026</v>
      </c>
      <c r="R1637" t="str">
        <f>"22.543558"</f>
        <v>22.543558</v>
      </c>
      <c r="S1637" t="s">
        <v>26</v>
      </c>
    </row>
    <row r="1638" spans="1:19" x14ac:dyDescent="0.3">
      <c r="A1638" t="s">
        <v>37529</v>
      </c>
      <c r="B1638" t="s">
        <v>37844</v>
      </c>
      <c r="C1638" t="s">
        <v>38029</v>
      </c>
      <c r="D1638" t="s">
        <v>37544</v>
      </c>
      <c r="E1638" t="s">
        <v>37545</v>
      </c>
      <c r="F1638" t="s">
        <v>38027</v>
      </c>
      <c r="G1638" t="s">
        <v>38028</v>
      </c>
      <c r="H1638" t="s">
        <v>51</v>
      </c>
      <c r="I1638" t="s">
        <v>89</v>
      </c>
      <c r="J1638" t="str">
        <f>"2810010"</f>
        <v>2810010</v>
      </c>
      <c r="K1638">
        <v>2741093390</v>
      </c>
      <c r="L1638">
        <v>2741093390</v>
      </c>
      <c r="M1638" t="s">
        <v>38030</v>
      </c>
      <c r="N1638" t="s">
        <v>38031</v>
      </c>
      <c r="O1638" t="s">
        <v>38031</v>
      </c>
      <c r="P1638">
        <v>20004</v>
      </c>
      <c r="Q1638" t="str">
        <f>"37.793653"</f>
        <v>37.793653</v>
      </c>
      <c r="R1638" t="str">
        <f>"23.059877"</f>
        <v>23.059877</v>
      </c>
      <c r="S1638" t="s">
        <v>26</v>
      </c>
    </row>
    <row r="1639" spans="1:19" x14ac:dyDescent="0.3">
      <c r="A1639" t="s">
        <v>37529</v>
      </c>
      <c r="B1639" t="s">
        <v>37844</v>
      </c>
      <c r="C1639" t="s">
        <v>38033</v>
      </c>
      <c r="D1639" t="s">
        <v>37544</v>
      </c>
      <c r="E1639" t="s">
        <v>37922</v>
      </c>
      <c r="F1639" t="s">
        <v>37922</v>
      </c>
      <c r="G1639" t="s">
        <v>37923</v>
      </c>
      <c r="H1639" t="s">
        <v>51</v>
      </c>
      <c r="I1639" t="s">
        <v>52</v>
      </c>
      <c r="J1639" t="str">
        <f>"2805010"</f>
        <v>2805010</v>
      </c>
      <c r="K1639">
        <v>2742022592</v>
      </c>
      <c r="L1639">
        <v>2742022592</v>
      </c>
      <c r="M1639" t="s">
        <v>38034</v>
      </c>
      <c r="N1639" t="s">
        <v>37926</v>
      </c>
      <c r="O1639" t="s">
        <v>38035</v>
      </c>
      <c r="P1639">
        <v>20200</v>
      </c>
      <c r="Q1639" t="str">
        <f>"38.007109"</f>
        <v>38.007109</v>
      </c>
      <c r="R1639" t="str">
        <f>"22.750032"</f>
        <v>22.750032</v>
      </c>
      <c r="S1639" t="s">
        <v>26</v>
      </c>
    </row>
    <row r="1640" spans="1:19" x14ac:dyDescent="0.3">
      <c r="A1640" t="s">
        <v>37529</v>
      </c>
      <c r="B1640" t="s">
        <v>37844</v>
      </c>
      <c r="C1640" t="s">
        <v>38037</v>
      </c>
      <c r="D1640" t="s">
        <v>37544</v>
      </c>
      <c r="E1640" t="s">
        <v>37895</v>
      </c>
      <c r="F1640" t="s">
        <v>37939</v>
      </c>
      <c r="G1640" t="s">
        <v>37939</v>
      </c>
      <c r="H1640" t="s">
        <v>51</v>
      </c>
      <c r="I1640" t="s">
        <v>52</v>
      </c>
      <c r="J1640" t="str">
        <f>"2801040"</f>
        <v>2801040</v>
      </c>
      <c r="K1640">
        <v>2742032270</v>
      </c>
      <c r="L1640">
        <v>2742030041</v>
      </c>
      <c r="M1640" t="s">
        <v>38038</v>
      </c>
      <c r="N1640" t="s">
        <v>37942</v>
      </c>
      <c r="O1640" t="s">
        <v>37943</v>
      </c>
      <c r="P1640">
        <v>20002</v>
      </c>
      <c r="Q1640" t="str">
        <f>"37.976262"</f>
        <v>37.976262</v>
      </c>
      <c r="R1640" t="str">
        <f>"22.767636"</f>
        <v>22.767636</v>
      </c>
      <c r="S1640" t="s">
        <v>26</v>
      </c>
    </row>
    <row r="1641" spans="1:19" x14ac:dyDescent="0.3">
      <c r="A1641" t="s">
        <v>37529</v>
      </c>
      <c r="B1641" t="s">
        <v>37844</v>
      </c>
      <c r="C1641" t="s">
        <v>38041</v>
      </c>
      <c r="D1641" t="s">
        <v>37544</v>
      </c>
      <c r="E1641" t="s">
        <v>37922</v>
      </c>
      <c r="F1641" t="s">
        <v>38039</v>
      </c>
      <c r="G1641" t="s">
        <v>38040</v>
      </c>
      <c r="H1641" t="s">
        <v>51</v>
      </c>
      <c r="I1641" t="s">
        <v>89</v>
      </c>
      <c r="J1641" t="str">
        <f>"2808010"</f>
        <v>2808010</v>
      </c>
      <c r="K1641">
        <v>2747022227</v>
      </c>
      <c r="L1641">
        <v>2747022227</v>
      </c>
      <c r="M1641" t="s">
        <v>38042</v>
      </c>
      <c r="N1641" t="s">
        <v>38043</v>
      </c>
      <c r="O1641" t="s">
        <v>38044</v>
      </c>
      <c r="P1641">
        <v>20200</v>
      </c>
      <c r="Q1641" t="str">
        <f>"37.888284"</f>
        <v>37.888284</v>
      </c>
      <c r="R1641" t="str">
        <f>"22.497014"</f>
        <v>22.497014</v>
      </c>
      <c r="S1641" t="s">
        <v>26</v>
      </c>
    </row>
    <row r="1642" spans="1:19" x14ac:dyDescent="0.3">
      <c r="A1642" t="s">
        <v>37529</v>
      </c>
      <c r="B1642" t="s">
        <v>37844</v>
      </c>
      <c r="C1642" t="s">
        <v>38049</v>
      </c>
      <c r="D1642" t="s">
        <v>37544</v>
      </c>
      <c r="E1642" t="s">
        <v>37875</v>
      </c>
      <c r="F1642" t="s">
        <v>37876</v>
      </c>
      <c r="G1642" t="s">
        <v>37876</v>
      </c>
      <c r="H1642" t="s">
        <v>51</v>
      </c>
      <c r="I1642" t="s">
        <v>52</v>
      </c>
      <c r="J1642" t="str">
        <f>"2805020"</f>
        <v>2805020</v>
      </c>
      <c r="K1642">
        <v>2743022333</v>
      </c>
      <c r="L1642">
        <v>2743029084</v>
      </c>
      <c r="M1642" t="s">
        <v>38050</v>
      </c>
      <c r="N1642" t="s">
        <v>37879</v>
      </c>
      <c r="O1642" t="s">
        <v>38051</v>
      </c>
      <c r="P1642">
        <v>20400</v>
      </c>
      <c r="Q1642" t="str">
        <f>"38.075159"</f>
        <v>38.075159</v>
      </c>
      <c r="R1642" t="str">
        <f>"22.638565"</f>
        <v>22.638565</v>
      </c>
      <c r="S1642" t="s">
        <v>26</v>
      </c>
    </row>
    <row r="1643" spans="1:19" x14ac:dyDescent="0.3">
      <c r="A1643" t="s">
        <v>37529</v>
      </c>
      <c r="B1643" t="s">
        <v>37844</v>
      </c>
      <c r="C1643" t="s">
        <v>38059</v>
      </c>
      <c r="D1643" t="s">
        <v>37544</v>
      </c>
      <c r="E1643" t="s">
        <v>37545</v>
      </c>
      <c r="F1643" t="s">
        <v>37545</v>
      </c>
      <c r="G1643" t="s">
        <v>37546</v>
      </c>
      <c r="H1643" t="s">
        <v>51</v>
      </c>
      <c r="I1643" t="s">
        <v>52</v>
      </c>
      <c r="J1643" t="str">
        <f>"2801050"</f>
        <v>2801050</v>
      </c>
      <c r="K1643">
        <v>2741028373</v>
      </c>
      <c r="L1643">
        <v>2741026642</v>
      </c>
      <c r="M1643" t="s">
        <v>38060</v>
      </c>
      <c r="N1643" t="s">
        <v>37855</v>
      </c>
      <c r="O1643" t="s">
        <v>38061</v>
      </c>
      <c r="P1643">
        <v>20100</v>
      </c>
      <c r="Q1643" t="str">
        <f>"37.934925"</f>
        <v>37.934925</v>
      </c>
      <c r="R1643" t="str">
        <f>"22.920235"</f>
        <v>22.920235</v>
      </c>
      <c r="S1643" t="s">
        <v>26</v>
      </c>
    </row>
    <row r="1644" spans="1:19" x14ac:dyDescent="0.3">
      <c r="A1644" t="s">
        <v>37529</v>
      </c>
      <c r="B1644" t="s">
        <v>37844</v>
      </c>
      <c r="C1644" t="s">
        <v>38069</v>
      </c>
      <c r="D1644" t="s">
        <v>37544</v>
      </c>
      <c r="E1644" t="s">
        <v>37545</v>
      </c>
      <c r="F1644" t="s">
        <v>37545</v>
      </c>
      <c r="G1644" t="s">
        <v>37546</v>
      </c>
      <c r="H1644" t="s">
        <v>51</v>
      </c>
      <c r="I1644" t="s">
        <v>190</v>
      </c>
      <c r="J1644" t="str">
        <f>"2801058"</f>
        <v>2801058</v>
      </c>
      <c r="K1644">
        <v>2741080251</v>
      </c>
      <c r="L1644">
        <v>2741080251</v>
      </c>
      <c r="M1644" t="s">
        <v>38070</v>
      </c>
      <c r="N1644" t="s">
        <v>37855</v>
      </c>
      <c r="O1644" t="s">
        <v>38071</v>
      </c>
      <c r="P1644">
        <v>20100</v>
      </c>
      <c r="Q1644" t="str">
        <f>"37.933719"</f>
        <v>37.933719</v>
      </c>
      <c r="R1644" t="str">
        <f>"22.970008"</f>
        <v>22.970008</v>
      </c>
      <c r="S1644" t="s">
        <v>26</v>
      </c>
    </row>
    <row r="1645" spans="1:19" x14ac:dyDescent="0.3">
      <c r="A1645" t="s">
        <v>37529</v>
      </c>
      <c r="B1645" t="s">
        <v>37844</v>
      </c>
      <c r="C1645" t="s">
        <v>38073</v>
      </c>
      <c r="D1645" t="s">
        <v>37544</v>
      </c>
      <c r="E1645" t="s">
        <v>37845</v>
      </c>
      <c r="F1645" t="s">
        <v>37846</v>
      </c>
      <c r="G1645" t="s">
        <v>37953</v>
      </c>
      <c r="H1645" t="s">
        <v>51</v>
      </c>
      <c r="I1645" t="s">
        <v>199</v>
      </c>
      <c r="J1645" t="str">
        <f>"2811001"</f>
        <v>2811001</v>
      </c>
      <c r="K1645">
        <v>2741038383</v>
      </c>
      <c r="L1645">
        <v>2741038383</v>
      </c>
      <c r="M1645" t="s">
        <v>38074</v>
      </c>
      <c r="N1645" t="s">
        <v>38075</v>
      </c>
      <c r="O1645" t="s">
        <v>38076</v>
      </c>
      <c r="P1645">
        <v>20010</v>
      </c>
      <c r="Q1645" t="str">
        <f>"37.904916"</f>
        <v>37.904916</v>
      </c>
      <c r="R1645" t="str">
        <f>"23.001005"</f>
        <v>23.001005</v>
      </c>
      <c r="S1645" t="s">
        <v>26</v>
      </c>
    </row>
    <row r="1646" spans="1:19" x14ac:dyDescent="0.3">
      <c r="A1646" t="s">
        <v>37529</v>
      </c>
      <c r="B1646" t="s">
        <v>38077</v>
      </c>
      <c r="C1646" t="s">
        <v>38099</v>
      </c>
      <c r="D1646" t="s">
        <v>37551</v>
      </c>
      <c r="E1646" t="s">
        <v>38097</v>
      </c>
      <c r="F1646" t="s">
        <v>38098</v>
      </c>
      <c r="G1646" t="s">
        <v>16876</v>
      </c>
      <c r="H1646" t="s">
        <v>51</v>
      </c>
      <c r="I1646" t="s">
        <v>52</v>
      </c>
      <c r="J1646" t="str">
        <f>"3010010"</f>
        <v>3010010</v>
      </c>
      <c r="K1646">
        <v>2731071262</v>
      </c>
      <c r="L1646">
        <v>2731071262</v>
      </c>
      <c r="M1646" t="s">
        <v>38100</v>
      </c>
      <c r="N1646" t="s">
        <v>16879</v>
      </c>
      <c r="O1646" t="s">
        <v>38101</v>
      </c>
      <c r="P1646">
        <v>23055</v>
      </c>
      <c r="Q1646" t="str">
        <f>"36.995895"</f>
        <v>36.995895</v>
      </c>
      <c r="R1646" t="str">
        <f>"22.697631"</f>
        <v>22.697631</v>
      </c>
      <c r="S1646" t="s">
        <v>26</v>
      </c>
    </row>
    <row r="1647" spans="1:19" x14ac:dyDescent="0.3">
      <c r="A1647" t="s">
        <v>37529</v>
      </c>
      <c r="B1647" t="s">
        <v>38077</v>
      </c>
      <c r="C1647" t="s">
        <v>38111</v>
      </c>
      <c r="D1647" t="s">
        <v>37551</v>
      </c>
      <c r="E1647" t="s">
        <v>38078</v>
      </c>
      <c r="F1647" t="s">
        <v>38109</v>
      </c>
      <c r="G1647" t="s">
        <v>38110</v>
      </c>
      <c r="H1647" t="s">
        <v>51</v>
      </c>
      <c r="I1647" t="s">
        <v>52</v>
      </c>
      <c r="J1647" t="str">
        <f>"3011010"</f>
        <v>3011010</v>
      </c>
      <c r="K1647">
        <v>2732082232</v>
      </c>
      <c r="L1647">
        <v>2732082232</v>
      </c>
      <c r="M1647" t="s">
        <v>38112</v>
      </c>
      <c r="N1647" t="s">
        <v>38113</v>
      </c>
      <c r="O1647" t="s">
        <v>38114</v>
      </c>
      <c r="P1647">
        <v>23052</v>
      </c>
      <c r="Q1647" t="str">
        <f>"36.720328"</f>
        <v>36.720328</v>
      </c>
      <c r="R1647" t="str">
        <f>"22.856588"</f>
        <v>22.856588</v>
      </c>
      <c r="S1647" t="s">
        <v>26</v>
      </c>
    </row>
    <row r="1648" spans="1:19" x14ac:dyDescent="0.3">
      <c r="A1648" t="s">
        <v>37529</v>
      </c>
      <c r="B1648" t="s">
        <v>38077</v>
      </c>
      <c r="C1648" t="s">
        <v>38183</v>
      </c>
      <c r="D1648" t="s">
        <v>37551</v>
      </c>
      <c r="E1648" t="s">
        <v>37552</v>
      </c>
      <c r="F1648" t="s">
        <v>37553</v>
      </c>
      <c r="G1648" t="s">
        <v>37552</v>
      </c>
      <c r="H1648" t="s">
        <v>51</v>
      </c>
      <c r="I1648" t="s">
        <v>52</v>
      </c>
      <c r="J1648" t="str">
        <f>"3001010"</f>
        <v>3001010</v>
      </c>
      <c r="K1648">
        <v>2731028679</v>
      </c>
      <c r="L1648">
        <v>2731028679</v>
      </c>
      <c r="M1648" t="s">
        <v>38184</v>
      </c>
      <c r="N1648" t="s">
        <v>37556</v>
      </c>
      <c r="O1648" t="s">
        <v>38138</v>
      </c>
      <c r="P1648">
        <v>23100</v>
      </c>
      <c r="Q1648" t="str">
        <f>"37.070724"</f>
        <v>37.070724</v>
      </c>
      <c r="R1648" t="str">
        <f>"22.432949"</f>
        <v>22.432949</v>
      </c>
      <c r="S1648" t="s">
        <v>26</v>
      </c>
    </row>
    <row r="1649" spans="1:19" x14ac:dyDescent="0.3">
      <c r="A1649" t="s">
        <v>37529</v>
      </c>
      <c r="B1649" t="s">
        <v>38077</v>
      </c>
      <c r="C1649" t="s">
        <v>38185</v>
      </c>
      <c r="D1649" t="s">
        <v>37551</v>
      </c>
      <c r="E1649" t="s">
        <v>38078</v>
      </c>
      <c r="F1649" t="s">
        <v>38078</v>
      </c>
      <c r="G1649" t="s">
        <v>38078</v>
      </c>
      <c r="H1649" t="s">
        <v>51</v>
      </c>
      <c r="I1649" t="s">
        <v>52</v>
      </c>
      <c r="J1649" t="str">
        <f>"3012010"</f>
        <v>3012010</v>
      </c>
      <c r="K1649">
        <v>2732061796</v>
      </c>
      <c r="L1649">
        <v>2732061796</v>
      </c>
      <c r="M1649" t="s">
        <v>38186</v>
      </c>
      <c r="N1649" t="s">
        <v>38187</v>
      </c>
      <c r="O1649" t="s">
        <v>38188</v>
      </c>
      <c r="P1649">
        <v>23070</v>
      </c>
      <c r="Q1649" t="str">
        <f>"36.687602"</f>
        <v>36.687602</v>
      </c>
      <c r="R1649" t="str">
        <f>"23.056032"</f>
        <v>23.056032</v>
      </c>
      <c r="S1649" t="s">
        <v>26</v>
      </c>
    </row>
    <row r="1650" spans="1:19" x14ac:dyDescent="0.3">
      <c r="A1650" t="s">
        <v>37529</v>
      </c>
      <c r="B1650" t="s">
        <v>38077</v>
      </c>
      <c r="C1650" t="s">
        <v>38191</v>
      </c>
      <c r="D1650" t="s">
        <v>37551</v>
      </c>
      <c r="E1650" t="s">
        <v>37552</v>
      </c>
      <c r="F1650" t="s">
        <v>38189</v>
      </c>
      <c r="G1650" t="s">
        <v>38190</v>
      </c>
      <c r="H1650" t="s">
        <v>51</v>
      </c>
      <c r="I1650" t="s">
        <v>89</v>
      </c>
      <c r="J1650" t="str">
        <f>"3009010"</f>
        <v>3009010</v>
      </c>
      <c r="K1650">
        <v>2731035300</v>
      </c>
      <c r="L1650">
        <v>2731035300</v>
      </c>
      <c r="M1650" t="s">
        <v>38192</v>
      </c>
      <c r="N1650" t="s">
        <v>38193</v>
      </c>
      <c r="O1650" t="s">
        <v>38193</v>
      </c>
      <c r="P1650">
        <v>23054</v>
      </c>
      <c r="Q1650" t="str">
        <f>"36.968879"</f>
        <v>36.968879</v>
      </c>
      <c r="R1650" t="str">
        <f>"22.466751"</f>
        <v>22.466751</v>
      </c>
      <c r="S1650" t="s">
        <v>26</v>
      </c>
    </row>
    <row r="1651" spans="1:19" x14ac:dyDescent="0.3">
      <c r="A1651" t="s">
        <v>37529</v>
      </c>
      <c r="B1651" t="s">
        <v>38077</v>
      </c>
      <c r="C1651" t="s">
        <v>38199</v>
      </c>
      <c r="D1651" t="s">
        <v>37551</v>
      </c>
      <c r="E1651" t="s">
        <v>38097</v>
      </c>
      <c r="F1651" t="s">
        <v>24992</v>
      </c>
      <c r="G1651" t="s">
        <v>24992</v>
      </c>
      <c r="H1651" t="s">
        <v>51</v>
      </c>
      <c r="I1651" t="s">
        <v>52</v>
      </c>
      <c r="J1651" t="str">
        <f>"3006020"</f>
        <v>3006020</v>
      </c>
      <c r="K1651">
        <v>2735022377</v>
      </c>
      <c r="L1651">
        <v>2735022377</v>
      </c>
      <c r="M1651" t="s">
        <v>38200</v>
      </c>
      <c r="N1651" t="s">
        <v>38201</v>
      </c>
      <c r="O1651" t="s">
        <v>6596</v>
      </c>
      <c r="P1651">
        <v>23051</v>
      </c>
      <c r="Q1651" t="str">
        <f>"36.847253"</f>
        <v>36.847253</v>
      </c>
      <c r="R1651" t="str">
        <f>"22.660516"</f>
        <v>22.660516</v>
      </c>
      <c r="S1651" t="s">
        <v>26</v>
      </c>
    </row>
    <row r="1652" spans="1:19" x14ac:dyDescent="0.3">
      <c r="A1652" t="s">
        <v>37529</v>
      </c>
      <c r="B1652" t="s">
        <v>38077</v>
      </c>
      <c r="C1652" t="s">
        <v>38202</v>
      </c>
      <c r="D1652" t="s">
        <v>37551</v>
      </c>
      <c r="E1652" t="s">
        <v>38078</v>
      </c>
      <c r="F1652" t="s">
        <v>38116</v>
      </c>
      <c r="G1652" t="s">
        <v>38116</v>
      </c>
      <c r="H1652" t="s">
        <v>51</v>
      </c>
      <c r="I1652" t="s">
        <v>52</v>
      </c>
      <c r="J1652" t="str">
        <f>"3007010"</f>
        <v>3007010</v>
      </c>
      <c r="K1652">
        <v>2732022581</v>
      </c>
      <c r="L1652">
        <v>2732022581</v>
      </c>
      <c r="M1652" t="s">
        <v>38203</v>
      </c>
      <c r="N1652" t="s">
        <v>38120</v>
      </c>
      <c r="O1652" t="s">
        <v>38204</v>
      </c>
      <c r="P1652">
        <v>23052</v>
      </c>
      <c r="Q1652" t="str">
        <f>"36.801938"</f>
        <v>36.801938</v>
      </c>
      <c r="R1652" t="str">
        <f>"22.858504"</f>
        <v>22.858504</v>
      </c>
      <c r="S1652" t="s">
        <v>26</v>
      </c>
    </row>
    <row r="1653" spans="1:19" x14ac:dyDescent="0.3">
      <c r="A1653" t="s">
        <v>37529</v>
      </c>
      <c r="B1653" t="s">
        <v>38077</v>
      </c>
      <c r="C1653" t="s">
        <v>38205</v>
      </c>
      <c r="D1653" t="s">
        <v>37551</v>
      </c>
      <c r="E1653" t="s">
        <v>38089</v>
      </c>
      <c r="F1653" t="s">
        <v>38156</v>
      </c>
      <c r="G1653" t="s">
        <v>38157</v>
      </c>
      <c r="H1653" t="s">
        <v>51</v>
      </c>
      <c r="I1653" t="s">
        <v>52</v>
      </c>
      <c r="J1653" t="str">
        <f>"3002010"</f>
        <v>3002010</v>
      </c>
      <c r="K1653">
        <v>2733051398</v>
      </c>
      <c r="L1653">
        <v>2733053032</v>
      </c>
      <c r="M1653" t="s">
        <v>38206</v>
      </c>
      <c r="N1653" t="s">
        <v>38160</v>
      </c>
      <c r="O1653" t="s">
        <v>38207</v>
      </c>
      <c r="P1653">
        <v>23062</v>
      </c>
      <c r="Q1653" t="str">
        <f>"36.668613"</f>
        <v>36.668613</v>
      </c>
      <c r="R1653" t="str">
        <f>"22.381887"</f>
        <v>22.381887</v>
      </c>
      <c r="S1653" t="s">
        <v>26</v>
      </c>
    </row>
    <row r="1654" spans="1:19" x14ac:dyDescent="0.3">
      <c r="A1654" t="s">
        <v>37529</v>
      </c>
      <c r="B1654" t="s">
        <v>38077</v>
      </c>
      <c r="C1654" t="s">
        <v>38209</v>
      </c>
      <c r="D1654" t="s">
        <v>37551</v>
      </c>
      <c r="E1654" t="s">
        <v>38097</v>
      </c>
      <c r="F1654" t="s">
        <v>38139</v>
      </c>
      <c r="G1654" t="s">
        <v>38139</v>
      </c>
      <c r="H1654" t="s">
        <v>51</v>
      </c>
      <c r="I1654" t="s">
        <v>52</v>
      </c>
      <c r="J1654" t="str">
        <f>"3006010"</f>
        <v>3006010</v>
      </c>
      <c r="K1654">
        <v>2735071326</v>
      </c>
      <c r="L1654">
        <v>2735071326</v>
      </c>
      <c r="M1654" t="s">
        <v>38210</v>
      </c>
      <c r="N1654" t="s">
        <v>38211</v>
      </c>
      <c r="P1654">
        <v>23057</v>
      </c>
      <c r="Q1654" t="str">
        <f>"36.879503"</f>
        <v>36.879503</v>
      </c>
      <c r="R1654" t="str">
        <f>"22.546200"</f>
        <v>22.546200</v>
      </c>
      <c r="S1654" t="s">
        <v>26</v>
      </c>
    </row>
    <row r="1655" spans="1:19" x14ac:dyDescent="0.3">
      <c r="A1655" t="s">
        <v>37529</v>
      </c>
      <c r="B1655" t="s">
        <v>38077</v>
      </c>
      <c r="C1655" t="s">
        <v>38212</v>
      </c>
      <c r="D1655" t="s">
        <v>37551</v>
      </c>
      <c r="E1655" t="s">
        <v>38078</v>
      </c>
      <c r="F1655" t="s">
        <v>38103</v>
      </c>
      <c r="G1655" t="s">
        <v>25890</v>
      </c>
      <c r="H1655" t="s">
        <v>51</v>
      </c>
      <c r="I1655" t="s">
        <v>52</v>
      </c>
      <c r="J1655" t="str">
        <f>"3008010"</f>
        <v>3008010</v>
      </c>
      <c r="K1655">
        <v>2734022260</v>
      </c>
      <c r="L1655">
        <v>2734022260</v>
      </c>
      <c r="M1655" t="s">
        <v>38213</v>
      </c>
      <c r="N1655" t="s">
        <v>38214</v>
      </c>
      <c r="O1655" t="s">
        <v>38215</v>
      </c>
      <c r="P1655">
        <v>23053</v>
      </c>
      <c r="Q1655" t="str">
        <f>"36.507549"</f>
        <v>36.507549</v>
      </c>
      <c r="R1655" t="str">
        <f>"23.062529"</f>
        <v>23.062529</v>
      </c>
      <c r="S1655" t="s">
        <v>26</v>
      </c>
    </row>
    <row r="1656" spans="1:19" x14ac:dyDescent="0.3">
      <c r="A1656" t="s">
        <v>37529</v>
      </c>
      <c r="B1656" t="s">
        <v>38077</v>
      </c>
      <c r="C1656" t="s">
        <v>38216</v>
      </c>
      <c r="D1656" t="s">
        <v>37551</v>
      </c>
      <c r="E1656" t="s">
        <v>38097</v>
      </c>
      <c r="F1656" t="s">
        <v>35593</v>
      </c>
      <c r="G1656" t="s">
        <v>38177</v>
      </c>
      <c r="H1656" t="s">
        <v>51</v>
      </c>
      <c r="I1656" t="s">
        <v>52</v>
      </c>
      <c r="J1656" t="str">
        <f>"3003010"</f>
        <v>3003010</v>
      </c>
      <c r="K1656">
        <v>2735041228</v>
      </c>
      <c r="L1656">
        <v>2735041228</v>
      </c>
      <c r="M1656" t="s">
        <v>38217</v>
      </c>
      <c r="N1656" t="s">
        <v>38218</v>
      </c>
      <c r="P1656">
        <v>23051</v>
      </c>
      <c r="Q1656" t="str">
        <f>"36.824226"</f>
        <v>36.824226</v>
      </c>
      <c r="R1656" t="str">
        <f>"22.716714"</f>
        <v>22.716714</v>
      </c>
      <c r="S1656" t="s">
        <v>26</v>
      </c>
    </row>
    <row r="1657" spans="1:19" x14ac:dyDescent="0.3">
      <c r="A1657" t="s">
        <v>37529</v>
      </c>
      <c r="B1657" t="s">
        <v>38077</v>
      </c>
      <c r="C1657" t="s">
        <v>38219</v>
      </c>
      <c r="D1657" t="s">
        <v>37551</v>
      </c>
      <c r="E1657" t="s">
        <v>37552</v>
      </c>
      <c r="F1657" t="s">
        <v>37553</v>
      </c>
      <c r="G1657" t="s">
        <v>37552</v>
      </c>
      <c r="H1657" t="s">
        <v>51</v>
      </c>
      <c r="I1657" t="s">
        <v>52</v>
      </c>
      <c r="J1657" t="str">
        <f>"3001030"</f>
        <v>3001030</v>
      </c>
      <c r="K1657">
        <v>2731026764</v>
      </c>
      <c r="L1657">
        <v>2731082941</v>
      </c>
      <c r="M1657" t="s">
        <v>38220</v>
      </c>
      <c r="N1657" t="s">
        <v>37556</v>
      </c>
      <c r="O1657" t="s">
        <v>38221</v>
      </c>
      <c r="P1657">
        <v>23100</v>
      </c>
      <c r="Q1657" t="str">
        <f>"37.070199"</f>
        <v>37.070199</v>
      </c>
      <c r="R1657" t="str">
        <f>"22.430957"</f>
        <v>22.430957</v>
      </c>
      <c r="S1657" t="s">
        <v>26</v>
      </c>
    </row>
    <row r="1658" spans="1:19" x14ac:dyDescent="0.3">
      <c r="A1658" t="s">
        <v>37529</v>
      </c>
      <c r="B1658" t="s">
        <v>38077</v>
      </c>
      <c r="C1658" t="s">
        <v>38222</v>
      </c>
      <c r="D1658" t="s">
        <v>37551</v>
      </c>
      <c r="E1658" t="s">
        <v>37552</v>
      </c>
      <c r="F1658" t="s">
        <v>38165</v>
      </c>
      <c r="G1658" t="s">
        <v>38166</v>
      </c>
      <c r="H1658" t="s">
        <v>51</v>
      </c>
      <c r="I1658" t="s">
        <v>52</v>
      </c>
      <c r="J1658" t="str">
        <f>"3005010"</f>
        <v>3005010</v>
      </c>
      <c r="K1658">
        <v>2731057202</v>
      </c>
      <c r="L1658">
        <v>2731057202</v>
      </c>
      <c r="M1658" t="s">
        <v>38223</v>
      </c>
      <c r="N1658" t="s">
        <v>38169</v>
      </c>
      <c r="O1658" t="s">
        <v>38224</v>
      </c>
      <c r="P1658">
        <v>23059</v>
      </c>
      <c r="Q1658" t="str">
        <f>"37.170757"</f>
        <v>37.170757</v>
      </c>
      <c r="R1658" t="str">
        <f>"22.306367"</f>
        <v>22.306367</v>
      </c>
      <c r="S1658" t="s">
        <v>26</v>
      </c>
    </row>
    <row r="1659" spans="1:19" x14ac:dyDescent="0.3">
      <c r="A1659" t="s">
        <v>37529</v>
      </c>
      <c r="B1659" t="s">
        <v>38077</v>
      </c>
      <c r="C1659" t="s">
        <v>38226</v>
      </c>
      <c r="D1659" t="s">
        <v>37551</v>
      </c>
      <c r="E1659" t="s">
        <v>37552</v>
      </c>
      <c r="F1659" t="s">
        <v>37553</v>
      </c>
      <c r="G1659" t="s">
        <v>37552</v>
      </c>
      <c r="H1659" t="s">
        <v>51</v>
      </c>
      <c r="I1659" t="s">
        <v>190</v>
      </c>
      <c r="J1659" t="str">
        <f>"3001037"</f>
        <v>3001037</v>
      </c>
      <c r="K1659">
        <v>2731089069</v>
      </c>
      <c r="L1659">
        <v>2731089069</v>
      </c>
      <c r="M1659" t="s">
        <v>38227</v>
      </c>
      <c r="N1659" t="s">
        <v>37556</v>
      </c>
      <c r="O1659" t="s">
        <v>38228</v>
      </c>
      <c r="P1659">
        <v>23150</v>
      </c>
      <c r="Q1659" t="str">
        <f>"37.118982"</f>
        <v>37.118982</v>
      </c>
      <c r="R1659" t="str">
        <f>"22.430614"</f>
        <v>22.430614</v>
      </c>
      <c r="S1659" t="s">
        <v>26</v>
      </c>
    </row>
    <row r="1660" spans="1:19" x14ac:dyDescent="0.3">
      <c r="A1660" t="s">
        <v>37529</v>
      </c>
      <c r="B1660" t="s">
        <v>38077</v>
      </c>
      <c r="C1660" t="s">
        <v>38229</v>
      </c>
      <c r="D1660" t="s">
        <v>37551</v>
      </c>
      <c r="E1660" t="s">
        <v>37552</v>
      </c>
      <c r="F1660" t="s">
        <v>37553</v>
      </c>
      <c r="G1660" t="s">
        <v>37552</v>
      </c>
      <c r="H1660" t="s">
        <v>51</v>
      </c>
      <c r="I1660" t="s">
        <v>52</v>
      </c>
      <c r="J1660" t="str">
        <f>"3001040"</f>
        <v>3001040</v>
      </c>
      <c r="K1660">
        <v>2731021966</v>
      </c>
      <c r="L1660">
        <v>2731021966</v>
      </c>
      <c r="M1660" t="s">
        <v>38230</v>
      </c>
      <c r="N1660" t="s">
        <v>37556</v>
      </c>
      <c r="O1660" t="s">
        <v>38147</v>
      </c>
      <c r="P1660">
        <v>23100</v>
      </c>
      <c r="Q1660" t="str">
        <f>"37.079225"</f>
        <v>37.079225</v>
      </c>
      <c r="R1660" t="str">
        <f>"22.421191"</f>
        <v>22.421191</v>
      </c>
      <c r="S1660" t="s">
        <v>26</v>
      </c>
    </row>
    <row r="1661" spans="1:19" x14ac:dyDescent="0.3">
      <c r="A1661" t="s">
        <v>37529</v>
      </c>
      <c r="B1661" t="s">
        <v>38077</v>
      </c>
      <c r="C1661" t="s">
        <v>38232</v>
      </c>
      <c r="D1661" t="s">
        <v>37551</v>
      </c>
      <c r="E1661" t="s">
        <v>38231</v>
      </c>
      <c r="F1661" t="s">
        <v>38231</v>
      </c>
      <c r="G1661" t="s">
        <v>38231</v>
      </c>
      <c r="H1661" t="s">
        <v>51</v>
      </c>
      <c r="I1661" t="s">
        <v>89</v>
      </c>
      <c r="J1661" t="str">
        <f>"3012015"</f>
        <v>3012015</v>
      </c>
      <c r="K1661">
        <v>2734061333</v>
      </c>
      <c r="M1661" t="s">
        <v>38233</v>
      </c>
      <c r="N1661" t="s">
        <v>38234</v>
      </c>
      <c r="O1661" t="s">
        <v>38235</v>
      </c>
      <c r="P1661">
        <v>23053</v>
      </c>
      <c r="Q1661" t="str">
        <f>"36.508737"</f>
        <v>36.508737</v>
      </c>
      <c r="R1661" t="str">
        <f>"22.979520"</f>
        <v>22.979520</v>
      </c>
      <c r="S1661" t="s">
        <v>57</v>
      </c>
    </row>
    <row r="1662" spans="1:19" x14ac:dyDescent="0.3">
      <c r="A1662" t="s">
        <v>37529</v>
      </c>
      <c r="B1662" t="s">
        <v>38077</v>
      </c>
      <c r="C1662" t="s">
        <v>38237</v>
      </c>
      <c r="D1662" t="s">
        <v>37551</v>
      </c>
      <c r="E1662" t="s">
        <v>38089</v>
      </c>
      <c r="F1662" t="s">
        <v>38090</v>
      </c>
      <c r="G1662" t="s">
        <v>38090</v>
      </c>
      <c r="H1662" t="s">
        <v>51</v>
      </c>
      <c r="I1662" t="s">
        <v>52</v>
      </c>
      <c r="J1662" t="str">
        <f>"3004010"</f>
        <v>3004010</v>
      </c>
      <c r="K1662">
        <v>2733022072</v>
      </c>
      <c r="L1662">
        <v>2733022450</v>
      </c>
      <c r="M1662" t="s">
        <v>38238</v>
      </c>
      <c r="N1662" t="s">
        <v>38239</v>
      </c>
      <c r="O1662" t="s">
        <v>38240</v>
      </c>
      <c r="P1662">
        <v>23200</v>
      </c>
      <c r="Q1662" t="str">
        <f>"36.761638"</f>
        <v>36.761638</v>
      </c>
      <c r="R1662" t="str">
        <f>"22.557920"</f>
        <v>22.557920</v>
      </c>
      <c r="S1662" t="s">
        <v>26</v>
      </c>
    </row>
    <row r="1663" spans="1:19" x14ac:dyDescent="0.3">
      <c r="A1663" t="s">
        <v>37529</v>
      </c>
      <c r="B1663" t="s">
        <v>38077</v>
      </c>
      <c r="C1663" t="s">
        <v>38241</v>
      </c>
      <c r="D1663" t="s">
        <v>37551</v>
      </c>
      <c r="E1663" t="s">
        <v>37552</v>
      </c>
      <c r="F1663" t="s">
        <v>37553</v>
      </c>
      <c r="G1663" t="s">
        <v>37552</v>
      </c>
      <c r="H1663" t="s">
        <v>51</v>
      </c>
      <c r="I1663" t="s">
        <v>52</v>
      </c>
      <c r="J1663" t="str">
        <f>"3001020"</f>
        <v>3001020</v>
      </c>
      <c r="K1663">
        <v>2731028772</v>
      </c>
      <c r="L1663">
        <v>2731028669</v>
      </c>
      <c r="M1663" t="s">
        <v>38242</v>
      </c>
      <c r="N1663" t="s">
        <v>37556</v>
      </c>
      <c r="O1663" t="s">
        <v>1927</v>
      </c>
      <c r="P1663">
        <v>23100</v>
      </c>
      <c r="Q1663" t="str">
        <f>"37.070439"</f>
        <v>37.070439</v>
      </c>
      <c r="R1663" t="str">
        <f>"22.431452"</f>
        <v>22.431452</v>
      </c>
      <c r="S1663" t="s">
        <v>26</v>
      </c>
    </row>
    <row r="1664" spans="1:19" x14ac:dyDescent="0.3">
      <c r="A1664" t="s">
        <v>37529</v>
      </c>
      <c r="B1664" t="s">
        <v>38247</v>
      </c>
      <c r="C1664" t="s">
        <v>38248</v>
      </c>
      <c r="D1664" t="s">
        <v>37558</v>
      </c>
      <c r="E1664" t="s">
        <v>37559</v>
      </c>
      <c r="F1664" t="s">
        <v>37559</v>
      </c>
      <c r="G1664" t="s">
        <v>37559</v>
      </c>
      <c r="H1664" t="s">
        <v>51</v>
      </c>
      <c r="I1664" t="s">
        <v>190</v>
      </c>
      <c r="J1664" t="str">
        <f>"3601045"</f>
        <v>3601045</v>
      </c>
      <c r="K1664">
        <v>2721096966</v>
      </c>
      <c r="L1664">
        <v>2721096966</v>
      </c>
      <c r="M1664" t="s">
        <v>38249</v>
      </c>
      <c r="N1664" t="s">
        <v>37562</v>
      </c>
      <c r="O1664" t="s">
        <v>38250</v>
      </c>
      <c r="P1664">
        <v>24100</v>
      </c>
      <c r="Q1664" t="str">
        <f>"37.026054"</f>
        <v>37.026054</v>
      </c>
      <c r="R1664" t="str">
        <f>"22.131660"</f>
        <v>22.131660</v>
      </c>
      <c r="S1664" t="s">
        <v>26</v>
      </c>
    </row>
    <row r="1665" spans="1:19" x14ac:dyDescent="0.3">
      <c r="A1665" t="s">
        <v>37529</v>
      </c>
      <c r="B1665" t="s">
        <v>38247</v>
      </c>
      <c r="C1665" t="s">
        <v>38254</v>
      </c>
      <c r="D1665" t="s">
        <v>37558</v>
      </c>
      <c r="E1665" t="s">
        <v>38252</v>
      </c>
      <c r="F1665" t="s">
        <v>38253</v>
      </c>
      <c r="G1665" t="s">
        <v>38253</v>
      </c>
      <c r="H1665" t="s">
        <v>51</v>
      </c>
      <c r="I1665" t="s">
        <v>52</v>
      </c>
      <c r="J1665" t="str">
        <f>"3609010"</f>
        <v>3609010</v>
      </c>
      <c r="K1665">
        <v>2725022225</v>
      </c>
      <c r="L1665">
        <v>2725022225</v>
      </c>
      <c r="M1665" t="s">
        <v>38255</v>
      </c>
      <c r="N1665" t="s">
        <v>38256</v>
      </c>
      <c r="O1665" t="s">
        <v>38257</v>
      </c>
      <c r="P1665">
        <v>24004</v>
      </c>
      <c r="Q1665" t="str">
        <f>"36.797218"</f>
        <v>36.797218</v>
      </c>
      <c r="R1665" t="str">
        <f>"21.955576"</f>
        <v>21.955576</v>
      </c>
      <c r="S1665" t="s">
        <v>26</v>
      </c>
    </row>
    <row r="1666" spans="1:19" x14ac:dyDescent="0.3">
      <c r="A1666" t="s">
        <v>37529</v>
      </c>
      <c r="B1666" t="s">
        <v>38247</v>
      </c>
      <c r="C1666" t="s">
        <v>38263</v>
      </c>
      <c r="D1666" t="s">
        <v>37558</v>
      </c>
      <c r="E1666" t="s">
        <v>38260</v>
      </c>
      <c r="F1666" t="s">
        <v>38261</v>
      </c>
      <c r="G1666" t="s">
        <v>38262</v>
      </c>
      <c r="H1666" t="s">
        <v>51</v>
      </c>
      <c r="I1666" t="s">
        <v>52</v>
      </c>
      <c r="J1666" t="str">
        <f>"3602010"</f>
        <v>3602010</v>
      </c>
      <c r="K1666">
        <v>2722041222</v>
      </c>
      <c r="L1666">
        <v>2722041222</v>
      </c>
      <c r="M1666" t="s">
        <v>38264</v>
      </c>
      <c r="N1666" t="s">
        <v>38265</v>
      </c>
      <c r="O1666" t="s">
        <v>38266</v>
      </c>
      <c r="P1666">
        <v>24013</v>
      </c>
      <c r="Q1666" t="str">
        <f>"37.108725"</f>
        <v>37.108725</v>
      </c>
      <c r="R1666" t="str">
        <f>"21.941894"</f>
        <v>21.941894</v>
      </c>
      <c r="S1666" t="s">
        <v>26</v>
      </c>
    </row>
    <row r="1667" spans="1:19" x14ac:dyDescent="0.3">
      <c r="A1667" t="s">
        <v>37529</v>
      </c>
      <c r="B1667" t="s">
        <v>38247</v>
      </c>
      <c r="C1667" t="s">
        <v>38271</v>
      </c>
      <c r="D1667" t="s">
        <v>37558</v>
      </c>
      <c r="E1667" t="s">
        <v>38268</v>
      </c>
      <c r="F1667" t="s">
        <v>38269</v>
      </c>
      <c r="G1667" t="s">
        <v>38270</v>
      </c>
      <c r="H1667" t="s">
        <v>51</v>
      </c>
      <c r="I1667" t="s">
        <v>52</v>
      </c>
      <c r="J1667" t="str">
        <f>"3618010"</f>
        <v>3618010</v>
      </c>
      <c r="K1667">
        <v>2721073271</v>
      </c>
      <c r="L1667">
        <v>2721064118</v>
      </c>
      <c r="M1667" t="s">
        <v>38272</v>
      </c>
      <c r="N1667" t="s">
        <v>38273</v>
      </c>
      <c r="O1667" t="s">
        <v>38274</v>
      </c>
      <c r="P1667">
        <v>24022</v>
      </c>
      <c r="Q1667" t="str">
        <f>"36.891988"</f>
        <v>36.891988</v>
      </c>
      <c r="R1667" t="str">
        <f>"22.231271"</f>
        <v>22.231271</v>
      </c>
      <c r="S1667" t="s">
        <v>26</v>
      </c>
    </row>
    <row r="1668" spans="1:19" x14ac:dyDescent="0.3">
      <c r="A1668" t="s">
        <v>37529</v>
      </c>
      <c r="B1668" t="s">
        <v>38247</v>
      </c>
      <c r="C1668" t="s">
        <v>38288</v>
      </c>
      <c r="D1668" t="s">
        <v>37558</v>
      </c>
      <c r="E1668" t="s">
        <v>38286</v>
      </c>
      <c r="F1668" t="s">
        <v>38287</v>
      </c>
      <c r="G1668" t="s">
        <v>38287</v>
      </c>
      <c r="H1668" t="s">
        <v>51</v>
      </c>
      <c r="I1668" t="s">
        <v>52</v>
      </c>
      <c r="J1668" t="str">
        <f>"3615010"</f>
        <v>3615010</v>
      </c>
      <c r="K1668">
        <v>2761032365</v>
      </c>
      <c r="L1668">
        <v>2761032365</v>
      </c>
      <c r="M1668" t="s">
        <v>38289</v>
      </c>
      <c r="N1668" t="s">
        <v>38290</v>
      </c>
      <c r="O1668" t="s">
        <v>38291</v>
      </c>
      <c r="P1668">
        <v>24300</v>
      </c>
      <c r="Q1668" t="str">
        <f>"37.160983"</f>
        <v>37.160983</v>
      </c>
      <c r="R1668" t="str">
        <f>"21.585937"</f>
        <v>21.585937</v>
      </c>
      <c r="S1668" t="s">
        <v>26</v>
      </c>
    </row>
    <row r="1669" spans="1:19" x14ac:dyDescent="0.3">
      <c r="A1669" t="s">
        <v>37529</v>
      </c>
      <c r="B1669" t="s">
        <v>38247</v>
      </c>
      <c r="C1669" t="s">
        <v>38294</v>
      </c>
      <c r="D1669" t="s">
        <v>37558</v>
      </c>
      <c r="E1669" t="s">
        <v>21503</v>
      </c>
      <c r="F1669" t="s">
        <v>38293</v>
      </c>
      <c r="G1669" t="s">
        <v>38293</v>
      </c>
      <c r="H1669" t="s">
        <v>51</v>
      </c>
      <c r="I1669" t="s">
        <v>52</v>
      </c>
      <c r="J1669" t="str">
        <f>"3607010"</f>
        <v>3607010</v>
      </c>
      <c r="K1669">
        <v>2765031252</v>
      </c>
      <c r="L1669">
        <v>2765031252</v>
      </c>
      <c r="M1669" t="s">
        <v>38295</v>
      </c>
      <c r="N1669" t="s">
        <v>38296</v>
      </c>
      <c r="O1669" t="s">
        <v>38297</v>
      </c>
      <c r="P1669">
        <v>24011</v>
      </c>
      <c r="Q1669" t="str">
        <f>"37.290135"</f>
        <v>37.290135</v>
      </c>
      <c r="R1669" t="str">
        <f>"21.858357"</f>
        <v>21.858357</v>
      </c>
      <c r="S1669" t="s">
        <v>26</v>
      </c>
    </row>
    <row r="1670" spans="1:19" x14ac:dyDescent="0.3">
      <c r="A1670" t="s">
        <v>37529</v>
      </c>
      <c r="B1670" t="s">
        <v>38247</v>
      </c>
      <c r="C1670" t="s">
        <v>38396</v>
      </c>
      <c r="D1670" t="s">
        <v>37558</v>
      </c>
      <c r="E1670" t="s">
        <v>38252</v>
      </c>
      <c r="F1670" t="s">
        <v>38258</v>
      </c>
      <c r="G1670" t="s">
        <v>38258</v>
      </c>
      <c r="H1670" t="s">
        <v>51</v>
      </c>
      <c r="I1670" t="s">
        <v>52</v>
      </c>
      <c r="J1670" t="str">
        <f>"3612010"</f>
        <v>3612010</v>
      </c>
      <c r="K1670">
        <v>2723022223</v>
      </c>
      <c r="L1670">
        <v>2723022223</v>
      </c>
      <c r="M1670" t="s">
        <v>38397</v>
      </c>
      <c r="N1670" t="s">
        <v>38398</v>
      </c>
      <c r="O1670" t="s">
        <v>38355</v>
      </c>
      <c r="P1670">
        <v>24001</v>
      </c>
      <c r="Q1670" t="str">
        <f>"36.906193"</f>
        <v>36.906193</v>
      </c>
      <c r="R1670" t="str">
        <f>"21.698071"</f>
        <v>21.698071</v>
      </c>
      <c r="S1670" t="s">
        <v>26</v>
      </c>
    </row>
    <row r="1671" spans="1:19" x14ac:dyDescent="0.3">
      <c r="A1671" t="s">
        <v>37529</v>
      </c>
      <c r="B1671" t="s">
        <v>38247</v>
      </c>
      <c r="C1671" t="s">
        <v>38399</v>
      </c>
      <c r="D1671" t="s">
        <v>37558</v>
      </c>
      <c r="E1671" t="s">
        <v>38252</v>
      </c>
      <c r="F1671" t="s">
        <v>27066</v>
      </c>
      <c r="G1671" t="s">
        <v>27066</v>
      </c>
      <c r="H1671" t="s">
        <v>51</v>
      </c>
      <c r="I1671" t="s">
        <v>52</v>
      </c>
      <c r="J1671" t="str">
        <f>"3612020"</f>
        <v>3612020</v>
      </c>
      <c r="K1671">
        <v>2723031273</v>
      </c>
      <c r="L1671">
        <v>2723031273</v>
      </c>
      <c r="M1671" t="s">
        <v>38400</v>
      </c>
      <c r="N1671" t="s">
        <v>38401</v>
      </c>
      <c r="O1671" t="s">
        <v>38331</v>
      </c>
      <c r="P1671">
        <v>24006</v>
      </c>
      <c r="Q1671" t="str">
        <f>"36.822889"</f>
        <v>36.822889</v>
      </c>
      <c r="R1671" t="str">
        <f>"21.705421"</f>
        <v>21.705421</v>
      </c>
      <c r="S1671" t="s">
        <v>26</v>
      </c>
    </row>
    <row r="1672" spans="1:19" x14ac:dyDescent="0.3">
      <c r="A1672" t="s">
        <v>37529</v>
      </c>
      <c r="B1672" t="s">
        <v>38247</v>
      </c>
      <c r="C1672" t="s">
        <v>38404</v>
      </c>
      <c r="D1672" t="s">
        <v>37558</v>
      </c>
      <c r="E1672" t="s">
        <v>21503</v>
      </c>
      <c r="F1672" t="s">
        <v>38402</v>
      </c>
      <c r="G1672" t="s">
        <v>38403</v>
      </c>
      <c r="H1672" t="s">
        <v>51</v>
      </c>
      <c r="I1672" t="s">
        <v>52</v>
      </c>
      <c r="J1672" t="str">
        <f>"3606020"</f>
        <v>3606020</v>
      </c>
      <c r="K1672">
        <v>2724031217</v>
      </c>
      <c r="L1672">
        <v>2724031217</v>
      </c>
      <c r="M1672" t="s">
        <v>38405</v>
      </c>
      <c r="O1672" t="s">
        <v>38406</v>
      </c>
      <c r="P1672">
        <v>24008</v>
      </c>
      <c r="Q1672" t="str">
        <f>"37.298485"</f>
        <v>37.298485</v>
      </c>
      <c r="R1672" t="str">
        <f>"21.965842"</f>
        <v>21.965842</v>
      </c>
      <c r="S1672" t="s">
        <v>26</v>
      </c>
    </row>
    <row r="1673" spans="1:19" x14ac:dyDescent="0.3">
      <c r="A1673" t="s">
        <v>37529</v>
      </c>
      <c r="B1673" t="s">
        <v>38247</v>
      </c>
      <c r="C1673" t="s">
        <v>38408</v>
      </c>
      <c r="D1673" t="s">
        <v>37558</v>
      </c>
      <c r="E1673" t="s">
        <v>38286</v>
      </c>
      <c r="F1673" t="s">
        <v>38357</v>
      </c>
      <c r="G1673" t="s">
        <v>38357</v>
      </c>
      <c r="H1673" t="s">
        <v>51</v>
      </c>
      <c r="I1673" t="s">
        <v>52</v>
      </c>
      <c r="J1673" t="str">
        <f>"3605010"</f>
        <v>3605010</v>
      </c>
      <c r="K1673">
        <v>2763022316</v>
      </c>
      <c r="L1673">
        <v>2763022265</v>
      </c>
      <c r="M1673" t="s">
        <v>38409</v>
      </c>
      <c r="N1673" t="s">
        <v>38410</v>
      </c>
      <c r="O1673" t="s">
        <v>38411</v>
      </c>
      <c r="P1673">
        <v>24400</v>
      </c>
      <c r="Q1673" t="str">
        <f>"37.065382"</f>
        <v>37.065382</v>
      </c>
      <c r="R1673" t="str">
        <f>"21.637948"</f>
        <v>21.637948</v>
      </c>
      <c r="S1673" t="s">
        <v>26</v>
      </c>
    </row>
    <row r="1674" spans="1:19" x14ac:dyDescent="0.3">
      <c r="A1674" t="s">
        <v>37529</v>
      </c>
      <c r="B1674" t="s">
        <v>38247</v>
      </c>
      <c r="C1674" t="s">
        <v>38412</v>
      </c>
      <c r="D1674" t="s">
        <v>37558</v>
      </c>
      <c r="E1674" t="s">
        <v>38260</v>
      </c>
      <c r="F1674" t="s">
        <v>38346</v>
      </c>
      <c r="G1674" t="s">
        <v>38346</v>
      </c>
      <c r="H1674" t="s">
        <v>51</v>
      </c>
      <c r="I1674" t="s">
        <v>52</v>
      </c>
      <c r="J1674" t="str">
        <f>"3603010"</f>
        <v>3603010</v>
      </c>
      <c r="K1674">
        <v>2722092219</v>
      </c>
      <c r="L1674">
        <v>2722092219</v>
      </c>
      <c r="M1674" t="s">
        <v>38413</v>
      </c>
      <c r="N1674" t="s">
        <v>38414</v>
      </c>
      <c r="O1674" t="s">
        <v>38350</v>
      </c>
      <c r="P1674">
        <v>24015</v>
      </c>
      <c r="Q1674" t="str">
        <f>"37.083591"</f>
        <v>37.083591</v>
      </c>
      <c r="R1674" t="str">
        <f>"21.842943"</f>
        <v>21.842943</v>
      </c>
      <c r="S1674" t="s">
        <v>26</v>
      </c>
    </row>
    <row r="1675" spans="1:19" x14ac:dyDescent="0.3">
      <c r="A1675" t="s">
        <v>37529</v>
      </c>
      <c r="B1675" t="s">
        <v>38247</v>
      </c>
      <c r="C1675" t="s">
        <v>38415</v>
      </c>
      <c r="D1675" t="s">
        <v>37558</v>
      </c>
      <c r="E1675" t="s">
        <v>38260</v>
      </c>
      <c r="F1675" t="s">
        <v>38260</v>
      </c>
      <c r="G1675" t="s">
        <v>38260</v>
      </c>
      <c r="H1675" t="s">
        <v>51</v>
      </c>
      <c r="I1675" t="s">
        <v>52</v>
      </c>
      <c r="J1675" t="str">
        <f>"3601062"</f>
        <v>3601062</v>
      </c>
      <c r="K1675">
        <v>2722023373</v>
      </c>
      <c r="L1675">
        <v>2722023373</v>
      </c>
      <c r="M1675" t="s">
        <v>38416</v>
      </c>
      <c r="N1675" t="s">
        <v>38260</v>
      </c>
      <c r="O1675" t="s">
        <v>38417</v>
      </c>
      <c r="P1675">
        <v>24200</v>
      </c>
      <c r="Q1675" t="str">
        <f>"37.047044"</f>
        <v>37.047044</v>
      </c>
      <c r="R1675" t="str">
        <f>"22.002556"</f>
        <v>22.002556</v>
      </c>
      <c r="S1675" t="s">
        <v>26</v>
      </c>
    </row>
    <row r="1676" spans="1:19" x14ac:dyDescent="0.3">
      <c r="A1676" t="s">
        <v>37529</v>
      </c>
      <c r="B1676" t="s">
        <v>38247</v>
      </c>
      <c r="C1676" t="s">
        <v>38418</v>
      </c>
      <c r="D1676" t="s">
        <v>37558</v>
      </c>
      <c r="E1676" t="s">
        <v>38260</v>
      </c>
      <c r="F1676" t="s">
        <v>38260</v>
      </c>
      <c r="G1676" t="s">
        <v>38260</v>
      </c>
      <c r="H1676" t="s">
        <v>51</v>
      </c>
      <c r="I1676" t="s">
        <v>52</v>
      </c>
      <c r="J1676" t="str">
        <f>"3601060"</f>
        <v>3601060</v>
      </c>
      <c r="K1676">
        <v>2722029034</v>
      </c>
      <c r="L1676">
        <v>2722029064</v>
      </c>
      <c r="M1676" t="s">
        <v>38419</v>
      </c>
      <c r="N1676" t="s">
        <v>38311</v>
      </c>
      <c r="O1676" t="s">
        <v>38420</v>
      </c>
      <c r="P1676">
        <v>24200</v>
      </c>
      <c r="Q1676" t="str">
        <f>"37.046547"</f>
        <v>37.046547</v>
      </c>
      <c r="R1676" t="str">
        <f>"22.000013"</f>
        <v>22.000013</v>
      </c>
      <c r="S1676" t="s">
        <v>26</v>
      </c>
    </row>
    <row r="1677" spans="1:19" x14ac:dyDescent="0.3">
      <c r="A1677" t="s">
        <v>37529</v>
      </c>
      <c r="B1677" t="s">
        <v>38247</v>
      </c>
      <c r="C1677" t="s">
        <v>38421</v>
      </c>
      <c r="D1677" t="s">
        <v>37558</v>
      </c>
      <c r="E1677" t="s">
        <v>37559</v>
      </c>
      <c r="F1677" t="s">
        <v>37559</v>
      </c>
      <c r="G1677" t="s">
        <v>37559</v>
      </c>
      <c r="H1677" t="s">
        <v>51</v>
      </c>
      <c r="I1677" t="s">
        <v>52</v>
      </c>
      <c r="J1677" t="str">
        <f>"3601042"</f>
        <v>3601042</v>
      </c>
      <c r="K1677">
        <v>2721021230</v>
      </c>
      <c r="L1677">
        <v>2721020112</v>
      </c>
      <c r="M1677" t="s">
        <v>38422</v>
      </c>
      <c r="N1677" t="s">
        <v>37562</v>
      </c>
      <c r="O1677" t="s">
        <v>4248</v>
      </c>
      <c r="P1677">
        <v>24100</v>
      </c>
      <c r="Q1677" t="str">
        <f>"37.038761"</f>
        <v>37.038761</v>
      </c>
      <c r="R1677" t="str">
        <f>"22.105849"</f>
        <v>22.105849</v>
      </c>
      <c r="S1677" t="s">
        <v>26</v>
      </c>
    </row>
    <row r="1678" spans="1:19" x14ac:dyDescent="0.3">
      <c r="A1678" t="s">
        <v>37529</v>
      </c>
      <c r="B1678" t="s">
        <v>38247</v>
      </c>
      <c r="C1678" t="s">
        <v>38423</v>
      </c>
      <c r="D1678" t="s">
        <v>37558</v>
      </c>
      <c r="E1678" t="s">
        <v>38252</v>
      </c>
      <c r="F1678" t="s">
        <v>38340</v>
      </c>
      <c r="G1678" t="s">
        <v>1490</v>
      </c>
      <c r="H1678" t="s">
        <v>51</v>
      </c>
      <c r="I1678" t="s">
        <v>52</v>
      </c>
      <c r="J1678" t="str">
        <f>"3605020"</f>
        <v>3605020</v>
      </c>
      <c r="K1678">
        <v>2763031209</v>
      </c>
      <c r="L1678">
        <v>2763031209</v>
      </c>
      <c r="M1678" t="s">
        <v>38424</v>
      </c>
      <c r="N1678" t="s">
        <v>38425</v>
      </c>
      <c r="O1678" t="s">
        <v>38426</v>
      </c>
      <c r="P1678">
        <v>24001</v>
      </c>
      <c r="Q1678" t="str">
        <f>"37.052912"</f>
        <v>37.052912</v>
      </c>
      <c r="R1678" t="str">
        <f>"21.721636"</f>
        <v>21.721636</v>
      </c>
      <c r="S1678" t="s">
        <v>26</v>
      </c>
    </row>
    <row r="1679" spans="1:19" x14ac:dyDescent="0.3">
      <c r="A1679" t="s">
        <v>37529</v>
      </c>
      <c r="B1679" t="s">
        <v>38247</v>
      </c>
      <c r="C1679" t="s">
        <v>38427</v>
      </c>
      <c r="D1679" t="s">
        <v>37558</v>
      </c>
      <c r="E1679" t="s">
        <v>37559</v>
      </c>
      <c r="F1679" t="s">
        <v>37559</v>
      </c>
      <c r="G1679" t="s">
        <v>37559</v>
      </c>
      <c r="H1679" t="s">
        <v>51</v>
      </c>
      <c r="I1679" t="s">
        <v>52</v>
      </c>
      <c r="J1679" t="str">
        <f>"3601010"</f>
        <v>3601010</v>
      </c>
      <c r="K1679">
        <v>2721022579</v>
      </c>
      <c r="L1679">
        <v>2721081825</v>
      </c>
      <c r="M1679" t="s">
        <v>38428</v>
      </c>
      <c r="N1679" t="s">
        <v>37562</v>
      </c>
      <c r="O1679" t="s">
        <v>38429</v>
      </c>
      <c r="P1679">
        <v>24131</v>
      </c>
      <c r="Q1679" t="str">
        <f>"37.034563"</f>
        <v>37.034563</v>
      </c>
      <c r="R1679" t="str">
        <f>"22.113451"</f>
        <v>22.113451</v>
      </c>
      <c r="S1679" t="s">
        <v>26</v>
      </c>
    </row>
    <row r="1680" spans="1:19" x14ac:dyDescent="0.3">
      <c r="A1680" t="s">
        <v>37529</v>
      </c>
      <c r="B1680" t="s">
        <v>38247</v>
      </c>
      <c r="C1680" t="s">
        <v>38430</v>
      </c>
      <c r="D1680" t="s">
        <v>37558</v>
      </c>
      <c r="E1680" t="s">
        <v>37559</v>
      </c>
      <c r="F1680" t="s">
        <v>38333</v>
      </c>
      <c r="G1680" t="s">
        <v>38333</v>
      </c>
      <c r="H1680" t="s">
        <v>51</v>
      </c>
      <c r="I1680" t="s">
        <v>52</v>
      </c>
      <c r="J1680" t="str">
        <f>"3601070"</f>
        <v>3601070</v>
      </c>
      <c r="K1680">
        <v>2721032365</v>
      </c>
      <c r="L1680">
        <v>2721032365</v>
      </c>
      <c r="M1680" t="s">
        <v>38431</v>
      </c>
      <c r="N1680" t="s">
        <v>38432</v>
      </c>
      <c r="O1680" t="s">
        <v>38433</v>
      </c>
      <c r="P1680">
        <v>24009</v>
      </c>
      <c r="Q1680" t="str">
        <f>"37.081285"</f>
        <v>37.081285</v>
      </c>
      <c r="R1680" t="str">
        <f>"22.046453"</f>
        <v>22.046453</v>
      </c>
      <c r="S1680" t="s">
        <v>26</v>
      </c>
    </row>
    <row r="1681" spans="1:19" x14ac:dyDescent="0.3">
      <c r="A1681" t="s">
        <v>37529</v>
      </c>
      <c r="B1681" t="s">
        <v>38247</v>
      </c>
      <c r="C1681" t="s">
        <v>38434</v>
      </c>
      <c r="D1681" t="s">
        <v>37558</v>
      </c>
      <c r="E1681" t="s">
        <v>37559</v>
      </c>
      <c r="F1681" t="s">
        <v>38280</v>
      </c>
      <c r="G1681" t="s">
        <v>38280</v>
      </c>
      <c r="H1681" t="s">
        <v>51</v>
      </c>
      <c r="I1681" t="s">
        <v>52</v>
      </c>
      <c r="J1681" t="str">
        <f>"3604010"</f>
        <v>3604010</v>
      </c>
      <c r="K1681">
        <v>2721052255</v>
      </c>
      <c r="L1681">
        <v>2721052255</v>
      </c>
      <c r="M1681" t="s">
        <v>38435</v>
      </c>
      <c r="N1681" t="s">
        <v>38436</v>
      </c>
      <c r="O1681" t="s">
        <v>38284</v>
      </c>
      <c r="P1681">
        <v>24009</v>
      </c>
      <c r="Q1681" t="str">
        <f>"37.155371"</f>
        <v>37.155371</v>
      </c>
      <c r="R1681" t="str">
        <f>"22.039531"</f>
        <v>22.039531</v>
      </c>
      <c r="S1681" t="s">
        <v>26</v>
      </c>
    </row>
    <row r="1682" spans="1:19" x14ac:dyDescent="0.3">
      <c r="A1682" t="s">
        <v>37529</v>
      </c>
      <c r="B1682" t="s">
        <v>38247</v>
      </c>
      <c r="C1682" t="s">
        <v>38438</v>
      </c>
      <c r="D1682" t="s">
        <v>37558</v>
      </c>
      <c r="E1682" t="s">
        <v>38260</v>
      </c>
      <c r="F1682" t="s">
        <v>38437</v>
      </c>
      <c r="G1682" t="s">
        <v>38437</v>
      </c>
      <c r="H1682" t="s">
        <v>51</v>
      </c>
      <c r="I1682" t="s">
        <v>52</v>
      </c>
      <c r="J1682" t="str">
        <f>"3614010"</f>
        <v>3614010</v>
      </c>
      <c r="K1682">
        <v>2722031247</v>
      </c>
      <c r="L1682">
        <v>2722031247</v>
      </c>
      <c r="M1682" t="s">
        <v>38439</v>
      </c>
      <c r="N1682" t="s">
        <v>38440</v>
      </c>
      <c r="O1682" t="s">
        <v>38441</v>
      </c>
      <c r="P1682">
        <v>24005</v>
      </c>
      <c r="Q1682" t="str">
        <f>"36.956735"</f>
        <v>36.956735</v>
      </c>
      <c r="R1682" t="str">
        <f>"21.924794"</f>
        <v>21.924794</v>
      </c>
      <c r="S1682" t="s">
        <v>26</v>
      </c>
    </row>
    <row r="1683" spans="1:19" x14ac:dyDescent="0.3">
      <c r="A1683" t="s">
        <v>37529</v>
      </c>
      <c r="B1683" t="s">
        <v>38247</v>
      </c>
      <c r="C1683" t="s">
        <v>38443</v>
      </c>
      <c r="D1683" t="s">
        <v>37558</v>
      </c>
      <c r="E1683" t="s">
        <v>37559</v>
      </c>
      <c r="F1683" t="s">
        <v>37559</v>
      </c>
      <c r="G1683" t="s">
        <v>37559</v>
      </c>
      <c r="H1683" t="s">
        <v>51</v>
      </c>
      <c r="I1683" t="s">
        <v>52</v>
      </c>
      <c r="J1683" t="str">
        <f>"3601020"</f>
        <v>3601020</v>
      </c>
      <c r="K1683">
        <v>2721025070</v>
      </c>
      <c r="L1683">
        <v>2721025070</v>
      </c>
      <c r="M1683" t="s">
        <v>38444</v>
      </c>
      <c r="N1683" t="s">
        <v>37562</v>
      </c>
      <c r="O1683" t="s">
        <v>38445</v>
      </c>
      <c r="P1683">
        <v>24100</v>
      </c>
      <c r="Q1683" t="str">
        <f>"37.035210"</f>
        <v>37.035210</v>
      </c>
      <c r="R1683" t="str">
        <f>"22.124445"</f>
        <v>22.124445</v>
      </c>
      <c r="S1683" t="s">
        <v>26</v>
      </c>
    </row>
    <row r="1684" spans="1:19" x14ac:dyDescent="0.3">
      <c r="A1684" t="s">
        <v>37529</v>
      </c>
      <c r="B1684" t="s">
        <v>38247</v>
      </c>
      <c r="C1684" t="s">
        <v>38446</v>
      </c>
      <c r="D1684" t="s">
        <v>37558</v>
      </c>
      <c r="E1684" t="s">
        <v>37559</v>
      </c>
      <c r="F1684" t="s">
        <v>37559</v>
      </c>
      <c r="G1684" t="s">
        <v>37559</v>
      </c>
      <c r="H1684" t="s">
        <v>51</v>
      </c>
      <c r="I1684" t="s">
        <v>89</v>
      </c>
      <c r="J1684" t="str">
        <f>"3601041"</f>
        <v>3601041</v>
      </c>
      <c r="K1684">
        <v>2721021145</v>
      </c>
      <c r="L1684">
        <v>2721063020</v>
      </c>
      <c r="M1684" t="s">
        <v>38447</v>
      </c>
      <c r="N1684" t="s">
        <v>37559</v>
      </c>
      <c r="O1684" t="s">
        <v>38448</v>
      </c>
      <c r="P1684">
        <v>24100</v>
      </c>
      <c r="Q1684" t="str">
        <f>"37.043750"</f>
        <v>37.043750</v>
      </c>
      <c r="R1684" t="str">
        <f>"22.089679"</f>
        <v>22.089679</v>
      </c>
      <c r="S1684" t="s">
        <v>26</v>
      </c>
    </row>
    <row r="1685" spans="1:19" x14ac:dyDescent="0.3">
      <c r="A1685" t="s">
        <v>37529</v>
      </c>
      <c r="B1685" t="s">
        <v>38247</v>
      </c>
      <c r="C1685" t="s">
        <v>38449</v>
      </c>
      <c r="D1685" t="s">
        <v>37558</v>
      </c>
      <c r="E1685" t="s">
        <v>37559</v>
      </c>
      <c r="F1685" t="s">
        <v>37559</v>
      </c>
      <c r="G1685" t="s">
        <v>37559</v>
      </c>
      <c r="H1685" t="s">
        <v>51</v>
      </c>
      <c r="I1685" t="s">
        <v>52</v>
      </c>
      <c r="J1685" t="str">
        <f>"3601050"</f>
        <v>3601050</v>
      </c>
      <c r="K1685">
        <v>2721022828</v>
      </c>
      <c r="L1685">
        <v>2721022828</v>
      </c>
      <c r="M1685" t="s">
        <v>38450</v>
      </c>
      <c r="N1685" t="s">
        <v>38451</v>
      </c>
      <c r="O1685" t="s">
        <v>38452</v>
      </c>
      <c r="P1685">
        <v>24132</v>
      </c>
      <c r="Q1685" t="str">
        <f>"37.028572"</f>
        <v>37.028572</v>
      </c>
      <c r="R1685" t="str">
        <f>"22.118780"</f>
        <v>22.118780</v>
      </c>
      <c r="S1685" t="s">
        <v>26</v>
      </c>
    </row>
    <row r="1686" spans="1:19" x14ac:dyDescent="0.3">
      <c r="A1686" t="s">
        <v>37529</v>
      </c>
      <c r="B1686" t="s">
        <v>38247</v>
      </c>
      <c r="C1686" t="s">
        <v>38455</v>
      </c>
      <c r="D1686" t="s">
        <v>37558</v>
      </c>
      <c r="E1686" t="s">
        <v>38260</v>
      </c>
      <c r="F1686" t="s">
        <v>38453</v>
      </c>
      <c r="G1686" t="s">
        <v>38454</v>
      </c>
      <c r="H1686" t="s">
        <v>51</v>
      </c>
      <c r="I1686" t="s">
        <v>52</v>
      </c>
      <c r="J1686" t="str">
        <f>"3611010"</f>
        <v>3611010</v>
      </c>
      <c r="K1686">
        <v>2725031230</v>
      </c>
      <c r="M1686" t="s">
        <v>38456</v>
      </c>
      <c r="N1686" t="s">
        <v>38457</v>
      </c>
      <c r="O1686" t="s">
        <v>38458</v>
      </c>
      <c r="P1686">
        <v>24010</v>
      </c>
      <c r="Q1686" t="str">
        <f>"36.871801"</f>
        <v>36.871801</v>
      </c>
      <c r="R1686" t="str">
        <f>"21.906259"</f>
        <v>21.906259</v>
      </c>
      <c r="S1686" t="s">
        <v>26</v>
      </c>
    </row>
    <row r="1687" spans="1:19" x14ac:dyDescent="0.3">
      <c r="A1687" t="s">
        <v>37529</v>
      </c>
      <c r="B1687" t="s">
        <v>38247</v>
      </c>
      <c r="C1687" t="s">
        <v>38460</v>
      </c>
      <c r="D1687" t="s">
        <v>37558</v>
      </c>
      <c r="E1687" t="s">
        <v>37559</v>
      </c>
      <c r="F1687" t="s">
        <v>37559</v>
      </c>
      <c r="G1687" t="s">
        <v>37559</v>
      </c>
      <c r="H1687" t="s">
        <v>51</v>
      </c>
      <c r="I1687" t="s">
        <v>52</v>
      </c>
      <c r="J1687" t="str">
        <f>"3601030"</f>
        <v>3601030</v>
      </c>
      <c r="K1687">
        <v>2721022573</v>
      </c>
      <c r="L1687">
        <v>2721022573</v>
      </c>
      <c r="M1687" t="s">
        <v>38461</v>
      </c>
      <c r="N1687" t="s">
        <v>37559</v>
      </c>
      <c r="O1687" t="s">
        <v>38462</v>
      </c>
      <c r="P1687">
        <v>24100</v>
      </c>
      <c r="Q1687" t="str">
        <f>"37.035605"</f>
        <v>37.035605</v>
      </c>
      <c r="R1687" t="str">
        <f>"22.125456"</f>
        <v>22.125456</v>
      </c>
      <c r="S1687" t="s">
        <v>26</v>
      </c>
    </row>
    <row r="1688" spans="1:19" x14ac:dyDescent="0.3">
      <c r="A1688" t="s">
        <v>37529</v>
      </c>
      <c r="B1688" t="s">
        <v>38247</v>
      </c>
      <c r="C1688" t="s">
        <v>38463</v>
      </c>
      <c r="D1688" t="s">
        <v>37558</v>
      </c>
      <c r="E1688" t="s">
        <v>37559</v>
      </c>
      <c r="F1688" t="s">
        <v>37559</v>
      </c>
      <c r="G1688" t="s">
        <v>37559</v>
      </c>
      <c r="H1688" t="s">
        <v>51</v>
      </c>
      <c r="I1688" t="s">
        <v>52</v>
      </c>
      <c r="J1688" t="str">
        <f>"3601040"</f>
        <v>3601040</v>
      </c>
      <c r="K1688">
        <v>2721022830</v>
      </c>
      <c r="L1688">
        <v>2721022830</v>
      </c>
      <c r="M1688" t="s">
        <v>38464</v>
      </c>
      <c r="N1688" t="s">
        <v>37562</v>
      </c>
      <c r="O1688" t="s">
        <v>4248</v>
      </c>
      <c r="P1688">
        <v>24134</v>
      </c>
      <c r="Q1688" t="str">
        <f>"37.039180"</f>
        <v>37.039180</v>
      </c>
      <c r="R1688" t="str">
        <f>"22.106284"</f>
        <v>22.106284</v>
      </c>
      <c r="S1688" t="s">
        <v>26</v>
      </c>
    </row>
    <row r="1689" spans="1:19" x14ac:dyDescent="0.3">
      <c r="A1689" t="s">
        <v>37529</v>
      </c>
      <c r="B1689" t="s">
        <v>38247</v>
      </c>
      <c r="C1689" t="s">
        <v>38465</v>
      </c>
      <c r="D1689" t="s">
        <v>37558</v>
      </c>
      <c r="E1689" t="s">
        <v>38286</v>
      </c>
      <c r="F1689" t="s">
        <v>38313</v>
      </c>
      <c r="G1689" t="s">
        <v>38313</v>
      </c>
      <c r="H1689" t="s">
        <v>51</v>
      </c>
      <c r="I1689" t="s">
        <v>52</v>
      </c>
      <c r="J1689" t="str">
        <f>"3610010"</f>
        <v>3610010</v>
      </c>
      <c r="K1689">
        <v>2761022264</v>
      </c>
      <c r="L1689">
        <v>2761022364</v>
      </c>
      <c r="M1689" t="s">
        <v>38466</v>
      </c>
      <c r="N1689" t="s">
        <v>38313</v>
      </c>
      <c r="O1689" t="s">
        <v>38467</v>
      </c>
      <c r="P1689">
        <v>24500</v>
      </c>
      <c r="Q1689" t="str">
        <f>"37.247693"</f>
        <v>37.247693</v>
      </c>
      <c r="R1689" t="str">
        <f>"21.668128"</f>
        <v>21.668128</v>
      </c>
      <c r="S1689" t="s">
        <v>26</v>
      </c>
    </row>
    <row r="1690" spans="1:19" x14ac:dyDescent="0.3">
      <c r="A1690" t="s">
        <v>37529</v>
      </c>
      <c r="B1690" t="s">
        <v>38247</v>
      </c>
      <c r="C1690" t="s">
        <v>38471</v>
      </c>
      <c r="D1690" t="s">
        <v>37558</v>
      </c>
      <c r="E1690" t="s">
        <v>38260</v>
      </c>
      <c r="F1690" t="s">
        <v>38469</v>
      </c>
      <c r="G1690" t="s">
        <v>38470</v>
      </c>
      <c r="H1690" t="s">
        <v>51</v>
      </c>
      <c r="I1690" t="s">
        <v>52</v>
      </c>
      <c r="J1690" t="str">
        <f>"3616010"</f>
        <v>3616010</v>
      </c>
      <c r="K1690">
        <v>2722081221</v>
      </c>
      <c r="L1690">
        <v>2722081221</v>
      </c>
      <c r="M1690" t="s">
        <v>38472</v>
      </c>
      <c r="N1690" t="s">
        <v>38473</v>
      </c>
      <c r="O1690" t="s">
        <v>38474</v>
      </c>
      <c r="P1690">
        <v>24014</v>
      </c>
      <c r="Q1690" t="str">
        <f>"37.017993"</f>
        <v>37.017993</v>
      </c>
      <c r="R1690" t="str">
        <f>"21.830897"</f>
        <v>21.830897</v>
      </c>
      <c r="S1690" t="s">
        <v>26</v>
      </c>
    </row>
    <row r="1691" spans="1:19" x14ac:dyDescent="0.3">
      <c r="A1691" t="s">
        <v>37529</v>
      </c>
      <c r="B1691" t="s">
        <v>38247</v>
      </c>
      <c r="C1691" t="s">
        <v>38476</v>
      </c>
      <c r="D1691" t="s">
        <v>37558</v>
      </c>
      <c r="E1691" t="s">
        <v>37559</v>
      </c>
      <c r="F1691" t="s">
        <v>37559</v>
      </c>
      <c r="G1691" t="s">
        <v>37559</v>
      </c>
      <c r="H1691" t="s">
        <v>51</v>
      </c>
      <c r="I1691" t="s">
        <v>52</v>
      </c>
      <c r="J1691" t="str">
        <f>"3601043"</f>
        <v>3601043</v>
      </c>
      <c r="K1691">
        <v>2721029567</v>
      </c>
      <c r="L1691">
        <v>2721029567</v>
      </c>
      <c r="M1691" t="s">
        <v>38477</v>
      </c>
      <c r="N1691" t="s">
        <v>37562</v>
      </c>
      <c r="O1691" t="s">
        <v>38478</v>
      </c>
      <c r="P1691">
        <v>24100</v>
      </c>
      <c r="Q1691" t="str">
        <f>"37.050708"</f>
        <v>37.050708</v>
      </c>
      <c r="R1691" t="str">
        <f>"22.113632"</f>
        <v>22.113632</v>
      </c>
      <c r="S1691" t="s">
        <v>26</v>
      </c>
    </row>
    <row r="1692" spans="1:19" x14ac:dyDescent="0.3">
      <c r="A1692" t="s">
        <v>37529</v>
      </c>
      <c r="B1692" t="s">
        <v>38247</v>
      </c>
      <c r="C1692" t="s">
        <v>38482</v>
      </c>
      <c r="D1692" t="s">
        <v>37558</v>
      </c>
      <c r="E1692" t="s">
        <v>37559</v>
      </c>
      <c r="F1692" t="s">
        <v>37559</v>
      </c>
      <c r="G1692" t="s">
        <v>37559</v>
      </c>
      <c r="H1692" t="s">
        <v>51</v>
      </c>
      <c r="I1692" t="s">
        <v>184</v>
      </c>
      <c r="J1692" t="str">
        <f>"3601028"</f>
        <v>3601028</v>
      </c>
      <c r="K1692">
        <v>2721028347</v>
      </c>
      <c r="L1692">
        <v>2721028347</v>
      </c>
      <c r="M1692" t="s">
        <v>38483</v>
      </c>
      <c r="N1692" t="s">
        <v>38391</v>
      </c>
      <c r="O1692" t="s">
        <v>38484</v>
      </c>
      <c r="P1692">
        <v>24100</v>
      </c>
      <c r="Q1692" t="str">
        <f>"37.043816"</f>
        <v>37.043816</v>
      </c>
      <c r="R1692" t="str">
        <f>"22.089727"</f>
        <v>22.089727</v>
      </c>
      <c r="S1692" t="s">
        <v>26</v>
      </c>
    </row>
    <row r="1693" spans="1:19" x14ac:dyDescent="0.3">
      <c r="A1693" t="s">
        <v>37529</v>
      </c>
      <c r="B1693" t="s">
        <v>38247</v>
      </c>
      <c r="C1693" t="s">
        <v>38486</v>
      </c>
      <c r="D1693" t="s">
        <v>37558</v>
      </c>
      <c r="E1693" t="s">
        <v>38268</v>
      </c>
      <c r="F1693" t="s">
        <v>38485</v>
      </c>
      <c r="G1693" t="s">
        <v>21792</v>
      </c>
      <c r="H1693" t="s">
        <v>51</v>
      </c>
      <c r="I1693" t="s">
        <v>52</v>
      </c>
      <c r="J1693" t="str">
        <f>"3617010"</f>
        <v>3617010</v>
      </c>
      <c r="K1693">
        <v>2721071218</v>
      </c>
      <c r="L1693">
        <v>2721071218</v>
      </c>
      <c r="M1693" t="s">
        <v>38487</v>
      </c>
      <c r="N1693" t="s">
        <v>13723</v>
      </c>
      <c r="O1693" t="s">
        <v>38488</v>
      </c>
      <c r="P1693">
        <v>24016</v>
      </c>
      <c r="Q1693" t="str">
        <f>"36.938328"</f>
        <v>36.938328</v>
      </c>
      <c r="R1693" t="str">
        <f>"22.201737"</f>
        <v>22.201737</v>
      </c>
      <c r="S1693" t="s">
        <v>26</v>
      </c>
    </row>
    <row r="1694" spans="1:19" x14ac:dyDescent="0.3">
      <c r="A1694" t="s">
        <v>37529</v>
      </c>
      <c r="B1694" t="s">
        <v>38247</v>
      </c>
      <c r="C1694" t="s">
        <v>38491</v>
      </c>
      <c r="D1694" t="s">
        <v>37558</v>
      </c>
      <c r="E1694" t="s">
        <v>21503</v>
      </c>
      <c r="F1694" t="s">
        <v>38381</v>
      </c>
      <c r="G1694" t="s">
        <v>38381</v>
      </c>
      <c r="H1694" t="s">
        <v>51</v>
      </c>
      <c r="I1694" t="s">
        <v>52</v>
      </c>
      <c r="J1694" t="str">
        <f>"3606010"</f>
        <v>3606010</v>
      </c>
      <c r="K1694">
        <v>2724022207</v>
      </c>
      <c r="L1694">
        <v>2724022196</v>
      </c>
      <c r="M1694" t="s">
        <v>38492</v>
      </c>
      <c r="N1694" t="s">
        <v>38493</v>
      </c>
      <c r="O1694" t="s">
        <v>38494</v>
      </c>
      <c r="P1694">
        <v>24002</v>
      </c>
      <c r="Q1694" t="str">
        <f>"37.221180"</f>
        <v>37.221180</v>
      </c>
      <c r="R1694" t="str">
        <f>"21.975004"</f>
        <v>21.975004</v>
      </c>
      <c r="S1694" t="s">
        <v>26</v>
      </c>
    </row>
    <row r="1695" spans="1:19" x14ac:dyDescent="0.3">
      <c r="A1695" t="s">
        <v>37529</v>
      </c>
      <c r="B1695" t="s">
        <v>38247</v>
      </c>
      <c r="C1695" t="s">
        <v>38506</v>
      </c>
      <c r="D1695" t="s">
        <v>37558</v>
      </c>
      <c r="E1695" t="s">
        <v>37559</v>
      </c>
      <c r="F1695" t="s">
        <v>37559</v>
      </c>
      <c r="G1695" t="s">
        <v>37559</v>
      </c>
      <c r="H1695" t="s">
        <v>51</v>
      </c>
      <c r="I1695" t="s">
        <v>199</v>
      </c>
      <c r="J1695" t="str">
        <f>"3611001"</f>
        <v>3611001</v>
      </c>
      <c r="K1695">
        <v>2721062926</v>
      </c>
      <c r="M1695" t="s">
        <v>38507</v>
      </c>
      <c r="N1695" t="s">
        <v>37562</v>
      </c>
      <c r="O1695" t="s">
        <v>38508</v>
      </c>
      <c r="P1695">
        <v>24100</v>
      </c>
      <c r="Q1695" t="str">
        <f>"37.042015"</f>
        <v>37.042015</v>
      </c>
      <c r="R1695" t="str">
        <f>"22.094212"</f>
        <v>22.094212</v>
      </c>
      <c r="S1695" t="s">
        <v>26</v>
      </c>
    </row>
    <row r="1696" spans="1:19" x14ac:dyDescent="0.3">
      <c r="A1696" t="s">
        <v>40240</v>
      </c>
      <c r="B1696" t="s">
        <v>40273</v>
      </c>
      <c r="C1696" t="s">
        <v>40274</v>
      </c>
      <c r="D1696" t="s">
        <v>40241</v>
      </c>
      <c r="E1696" t="s">
        <v>40242</v>
      </c>
      <c r="F1696" t="s">
        <v>40242</v>
      </c>
      <c r="G1696" t="s">
        <v>40242</v>
      </c>
      <c r="H1696" t="s">
        <v>51</v>
      </c>
      <c r="I1696" t="s">
        <v>52</v>
      </c>
      <c r="J1696" t="str">
        <f>"0701010"</f>
        <v>0701010</v>
      </c>
      <c r="K1696">
        <v>2261028288</v>
      </c>
      <c r="L1696">
        <v>2261089502</v>
      </c>
      <c r="M1696" t="s">
        <v>40275</v>
      </c>
      <c r="N1696" t="s">
        <v>40276</v>
      </c>
      <c r="O1696" t="s">
        <v>40277</v>
      </c>
      <c r="P1696">
        <v>32131</v>
      </c>
      <c r="Q1696" t="str">
        <f>"38.438725"</f>
        <v>38.438725</v>
      </c>
      <c r="R1696" t="str">
        <f>"22.871581"</f>
        <v>22.871581</v>
      </c>
      <c r="S1696" t="s">
        <v>26</v>
      </c>
    </row>
    <row r="1697" spans="1:19" x14ac:dyDescent="0.3">
      <c r="A1697" t="s">
        <v>40240</v>
      </c>
      <c r="B1697" t="s">
        <v>40273</v>
      </c>
      <c r="C1697" t="s">
        <v>40279</v>
      </c>
      <c r="D1697" t="s">
        <v>40241</v>
      </c>
      <c r="E1697" t="s">
        <v>40242</v>
      </c>
      <c r="F1697" t="s">
        <v>40242</v>
      </c>
      <c r="G1697" t="s">
        <v>40242</v>
      </c>
      <c r="H1697" t="s">
        <v>51</v>
      </c>
      <c r="I1697" t="s">
        <v>4556</v>
      </c>
      <c r="J1697" t="str">
        <f>"0701025"</f>
        <v>0701025</v>
      </c>
      <c r="K1697">
        <v>2261081634</v>
      </c>
      <c r="L1697">
        <v>2261081634</v>
      </c>
      <c r="M1697" t="s">
        <v>40280</v>
      </c>
      <c r="N1697" t="s">
        <v>40281</v>
      </c>
      <c r="O1697" t="s">
        <v>40277</v>
      </c>
      <c r="P1697">
        <v>32131</v>
      </c>
      <c r="Q1697" t="str">
        <f>"38.438615"</f>
        <v>38.438615</v>
      </c>
      <c r="R1697" t="str">
        <f>"22.871747"</f>
        <v>22.871747</v>
      </c>
      <c r="S1697" t="s">
        <v>26</v>
      </c>
    </row>
    <row r="1698" spans="1:19" x14ac:dyDescent="0.3">
      <c r="A1698" t="s">
        <v>40240</v>
      </c>
      <c r="B1698" t="s">
        <v>40273</v>
      </c>
      <c r="C1698" t="s">
        <v>40284</v>
      </c>
      <c r="D1698" t="s">
        <v>40241</v>
      </c>
      <c r="E1698" t="s">
        <v>40242</v>
      </c>
      <c r="F1698" t="s">
        <v>40283</v>
      </c>
      <c r="G1698" t="s">
        <v>40283</v>
      </c>
      <c r="H1698" t="s">
        <v>51</v>
      </c>
      <c r="I1698" t="s">
        <v>89</v>
      </c>
      <c r="J1698" t="str">
        <f>"0710010"</f>
        <v>0710010</v>
      </c>
      <c r="K1698">
        <v>2261052293</v>
      </c>
      <c r="L1698">
        <v>2261059017</v>
      </c>
      <c r="M1698" t="s">
        <v>40285</v>
      </c>
      <c r="N1698" t="s">
        <v>40286</v>
      </c>
      <c r="O1698" t="s">
        <v>40287</v>
      </c>
      <c r="P1698">
        <v>32008</v>
      </c>
      <c r="Q1698" t="str">
        <f>"38.516462"</f>
        <v>38.516462</v>
      </c>
      <c r="R1698" t="str">
        <f>"22.728983"</f>
        <v>22.728983</v>
      </c>
      <c r="S1698" t="s">
        <v>26</v>
      </c>
    </row>
    <row r="1699" spans="1:19" x14ac:dyDescent="0.3">
      <c r="A1699" t="s">
        <v>40240</v>
      </c>
      <c r="B1699" t="s">
        <v>40273</v>
      </c>
      <c r="C1699" t="s">
        <v>40304</v>
      </c>
      <c r="D1699" t="s">
        <v>40241</v>
      </c>
      <c r="E1699" t="s">
        <v>40303</v>
      </c>
      <c r="F1699" t="s">
        <v>40303</v>
      </c>
      <c r="G1699" t="s">
        <v>40303</v>
      </c>
      <c r="H1699" t="s">
        <v>51</v>
      </c>
      <c r="I1699" t="s">
        <v>4556</v>
      </c>
      <c r="J1699" t="str">
        <f>"0702035"</f>
        <v>0702035</v>
      </c>
      <c r="K1699">
        <v>2262027639</v>
      </c>
      <c r="L1699">
        <v>2262027024</v>
      </c>
      <c r="M1699" t="s">
        <v>40305</v>
      </c>
      <c r="N1699" t="s">
        <v>40306</v>
      </c>
      <c r="O1699" t="s">
        <v>40307</v>
      </c>
      <c r="P1699">
        <v>32200</v>
      </c>
      <c r="Q1699" t="str">
        <f>"38.321256"</f>
        <v>38.321256</v>
      </c>
      <c r="R1699" t="str">
        <f>"23.320586"</f>
        <v>23.320586</v>
      </c>
      <c r="S1699" t="s">
        <v>26</v>
      </c>
    </row>
    <row r="1700" spans="1:19" x14ac:dyDescent="0.3">
      <c r="A1700" t="s">
        <v>40240</v>
      </c>
      <c r="B1700" t="s">
        <v>40273</v>
      </c>
      <c r="C1700" t="s">
        <v>40313</v>
      </c>
      <c r="D1700" t="s">
        <v>40241</v>
      </c>
      <c r="E1700" t="s">
        <v>40303</v>
      </c>
      <c r="F1700" t="s">
        <v>40303</v>
      </c>
      <c r="G1700" t="s">
        <v>40303</v>
      </c>
      <c r="H1700" t="s">
        <v>51</v>
      </c>
      <c r="I1700" t="s">
        <v>52</v>
      </c>
      <c r="J1700" t="str">
        <f>"0702021"</f>
        <v>0702021</v>
      </c>
      <c r="K1700">
        <v>2262023344</v>
      </c>
      <c r="L1700">
        <v>2262023344</v>
      </c>
      <c r="M1700" t="s">
        <v>40314</v>
      </c>
      <c r="N1700" t="s">
        <v>40306</v>
      </c>
      <c r="O1700" t="s">
        <v>40311</v>
      </c>
      <c r="P1700">
        <v>32200</v>
      </c>
      <c r="Q1700" t="str">
        <f>"38.328627"</f>
        <v>38.328627</v>
      </c>
      <c r="R1700" t="str">
        <f>"23.311205"</f>
        <v>23.311205</v>
      </c>
      <c r="S1700" t="s">
        <v>26</v>
      </c>
    </row>
    <row r="1701" spans="1:19" x14ac:dyDescent="0.3">
      <c r="A1701" t="s">
        <v>40240</v>
      </c>
      <c r="B1701" t="s">
        <v>40273</v>
      </c>
      <c r="C1701" t="s">
        <v>40328</v>
      </c>
      <c r="D1701" t="s">
        <v>40241</v>
      </c>
      <c r="E1701" t="s">
        <v>40289</v>
      </c>
      <c r="F1701" t="s">
        <v>40289</v>
      </c>
      <c r="G1701" t="s">
        <v>40327</v>
      </c>
      <c r="H1701" t="s">
        <v>51</v>
      </c>
      <c r="I1701" t="s">
        <v>89</v>
      </c>
      <c r="J1701" t="str">
        <f>"0709010"</f>
        <v>0709010</v>
      </c>
      <c r="K1701">
        <v>2262095206</v>
      </c>
      <c r="L1701">
        <v>2262095206</v>
      </c>
      <c r="M1701" t="s">
        <v>40329</v>
      </c>
      <c r="N1701" t="s">
        <v>40330</v>
      </c>
      <c r="O1701" t="s">
        <v>40330</v>
      </c>
      <c r="P1701">
        <v>32200</v>
      </c>
      <c r="Q1701" t="str">
        <f>"38.301663"</f>
        <v>38.301663</v>
      </c>
      <c r="R1701" t="str">
        <f>"23.497633"</f>
        <v>23.497633</v>
      </c>
      <c r="S1701" t="s">
        <v>26</v>
      </c>
    </row>
    <row r="1702" spans="1:19" x14ac:dyDescent="0.3">
      <c r="A1702" t="s">
        <v>40240</v>
      </c>
      <c r="B1702" t="s">
        <v>40273</v>
      </c>
      <c r="C1702" t="s">
        <v>40386</v>
      </c>
      <c r="D1702" t="s">
        <v>40241</v>
      </c>
      <c r="E1702" t="s">
        <v>40339</v>
      </c>
      <c r="F1702" t="s">
        <v>40384</v>
      </c>
      <c r="G1702" t="s">
        <v>40385</v>
      </c>
      <c r="H1702" t="s">
        <v>51</v>
      </c>
      <c r="I1702" t="s">
        <v>89</v>
      </c>
      <c r="J1702" t="str">
        <f>"0714010"</f>
        <v>0714010</v>
      </c>
      <c r="K1702">
        <v>2268031460</v>
      </c>
      <c r="L1702">
        <v>2268031460</v>
      </c>
      <c r="M1702" t="s">
        <v>40387</v>
      </c>
      <c r="O1702" t="s">
        <v>40388</v>
      </c>
      <c r="P1702">
        <v>32001</v>
      </c>
      <c r="Q1702" t="str">
        <f>"38.454526"</f>
        <v>38.454526</v>
      </c>
      <c r="R1702" t="str">
        <f>"23.214473"</f>
        <v>23.214473</v>
      </c>
      <c r="S1702" t="s">
        <v>26</v>
      </c>
    </row>
    <row r="1703" spans="1:19" x14ac:dyDescent="0.3">
      <c r="A1703" t="s">
        <v>40240</v>
      </c>
      <c r="B1703" t="s">
        <v>40273</v>
      </c>
      <c r="C1703" t="s">
        <v>40390</v>
      </c>
      <c r="D1703" t="s">
        <v>40241</v>
      </c>
      <c r="E1703" t="s">
        <v>40339</v>
      </c>
      <c r="F1703" t="s">
        <v>40339</v>
      </c>
      <c r="G1703" t="s">
        <v>40339</v>
      </c>
      <c r="H1703" t="s">
        <v>51</v>
      </c>
      <c r="I1703" t="s">
        <v>52</v>
      </c>
      <c r="J1703" t="str">
        <f>"0701030"</f>
        <v>0701030</v>
      </c>
      <c r="K1703">
        <v>2261032411</v>
      </c>
      <c r="L1703">
        <v>2261033571</v>
      </c>
      <c r="M1703" t="s">
        <v>40391</v>
      </c>
      <c r="N1703" t="s">
        <v>40392</v>
      </c>
      <c r="O1703" t="s">
        <v>27101</v>
      </c>
      <c r="P1703">
        <v>32300</v>
      </c>
      <c r="Q1703" t="str">
        <f>"38.500781"</f>
        <v>38.500781</v>
      </c>
      <c r="R1703" t="str">
        <f>"22.977843"</f>
        <v>22.977843</v>
      </c>
      <c r="S1703" t="s">
        <v>26</v>
      </c>
    </row>
    <row r="1704" spans="1:19" x14ac:dyDescent="0.3">
      <c r="A1704" t="s">
        <v>40240</v>
      </c>
      <c r="B1704" t="s">
        <v>40273</v>
      </c>
      <c r="C1704" t="s">
        <v>40397</v>
      </c>
      <c r="D1704" t="s">
        <v>40241</v>
      </c>
      <c r="E1704" t="s">
        <v>40289</v>
      </c>
      <c r="F1704" t="s">
        <v>40396</v>
      </c>
      <c r="G1704" t="s">
        <v>21531</v>
      </c>
      <c r="H1704" t="s">
        <v>51</v>
      </c>
      <c r="I1704" t="s">
        <v>89</v>
      </c>
      <c r="J1704" t="str">
        <f>"0704030"</f>
        <v>0704030</v>
      </c>
      <c r="K1704">
        <v>2263031357</v>
      </c>
      <c r="L1704">
        <v>2263031357</v>
      </c>
      <c r="M1704" t="s">
        <v>40398</v>
      </c>
      <c r="N1704" t="s">
        <v>40399</v>
      </c>
      <c r="O1704" t="s">
        <v>40400</v>
      </c>
      <c r="P1704">
        <v>32009</v>
      </c>
      <c r="Q1704" t="str">
        <f>"38.212701"</f>
        <v>38.212701</v>
      </c>
      <c r="R1704" t="str">
        <f>"23.496276"</f>
        <v>23.496276</v>
      </c>
      <c r="S1704" t="s">
        <v>26</v>
      </c>
    </row>
    <row r="1705" spans="1:19" x14ac:dyDescent="0.3">
      <c r="A1705" t="s">
        <v>40240</v>
      </c>
      <c r="B1705" t="s">
        <v>40273</v>
      </c>
      <c r="C1705" t="s">
        <v>40402</v>
      </c>
      <c r="D1705" t="s">
        <v>40241</v>
      </c>
      <c r="E1705" t="s">
        <v>40242</v>
      </c>
      <c r="F1705" t="s">
        <v>25808</v>
      </c>
      <c r="G1705" t="s">
        <v>1872</v>
      </c>
      <c r="H1705" t="s">
        <v>51</v>
      </c>
      <c r="I1705" t="s">
        <v>89</v>
      </c>
      <c r="J1705" t="str">
        <f>"0711010"</f>
        <v>0711010</v>
      </c>
      <c r="K1705">
        <v>2261043233</v>
      </c>
      <c r="L1705">
        <v>2261043332</v>
      </c>
      <c r="M1705" t="s">
        <v>40403</v>
      </c>
      <c r="N1705" t="s">
        <v>40404</v>
      </c>
      <c r="O1705" t="s">
        <v>40404</v>
      </c>
      <c r="P1705">
        <v>32150</v>
      </c>
      <c r="Q1705" t="str">
        <f>"38.397063"</f>
        <v>38.397063</v>
      </c>
      <c r="R1705" t="str">
        <f>"22.930336"</f>
        <v>22.930336</v>
      </c>
      <c r="S1705" t="s">
        <v>26</v>
      </c>
    </row>
    <row r="1706" spans="1:19" x14ac:dyDescent="0.3">
      <c r="A1706" t="s">
        <v>40240</v>
      </c>
      <c r="B1706" t="s">
        <v>40273</v>
      </c>
      <c r="C1706" t="s">
        <v>40406</v>
      </c>
      <c r="D1706" t="s">
        <v>40241</v>
      </c>
      <c r="E1706" t="s">
        <v>40242</v>
      </c>
      <c r="F1706" t="s">
        <v>40242</v>
      </c>
      <c r="G1706" t="s">
        <v>40242</v>
      </c>
      <c r="H1706" t="s">
        <v>51</v>
      </c>
      <c r="I1706" t="s">
        <v>52</v>
      </c>
      <c r="J1706" t="str">
        <f>"0701020"</f>
        <v>0701020</v>
      </c>
      <c r="K1706">
        <v>2261025242</v>
      </c>
      <c r="L1706">
        <v>2261020066</v>
      </c>
      <c r="M1706" t="s">
        <v>40407</v>
      </c>
      <c r="N1706" t="s">
        <v>40408</v>
      </c>
      <c r="O1706" t="s">
        <v>40409</v>
      </c>
      <c r="P1706">
        <v>32131</v>
      </c>
      <c r="Q1706" t="str">
        <f>"38.444037"</f>
        <v>38.444037</v>
      </c>
      <c r="R1706" t="str">
        <f>"22.882477"</f>
        <v>22.882477</v>
      </c>
      <c r="S1706" t="s">
        <v>26</v>
      </c>
    </row>
    <row r="1707" spans="1:19" x14ac:dyDescent="0.3">
      <c r="A1707" t="s">
        <v>40240</v>
      </c>
      <c r="B1707" t="s">
        <v>40273</v>
      </c>
      <c r="C1707" t="s">
        <v>40414</v>
      </c>
      <c r="D1707" t="s">
        <v>40241</v>
      </c>
      <c r="E1707" t="s">
        <v>40332</v>
      </c>
      <c r="F1707" t="s">
        <v>40348</v>
      </c>
      <c r="G1707" t="s">
        <v>40349</v>
      </c>
      <c r="H1707" t="s">
        <v>51</v>
      </c>
      <c r="I1707" t="s">
        <v>52</v>
      </c>
      <c r="J1707" t="str">
        <f>"0704020"</f>
        <v>0704020</v>
      </c>
      <c r="K1707">
        <v>2262065202</v>
      </c>
      <c r="L1707">
        <v>2262065202</v>
      </c>
      <c r="M1707" t="s">
        <v>40415</v>
      </c>
      <c r="N1707" t="s">
        <v>40352</v>
      </c>
      <c r="O1707" t="s">
        <v>40352</v>
      </c>
      <c r="P1707">
        <v>32001</v>
      </c>
      <c r="Q1707" t="str">
        <f>"38.307191"</f>
        <v>38.307191</v>
      </c>
      <c r="R1707" t="str">
        <f>"23.150477"</f>
        <v>23.150477</v>
      </c>
      <c r="S1707" t="s">
        <v>26</v>
      </c>
    </row>
    <row r="1708" spans="1:19" x14ac:dyDescent="0.3">
      <c r="A1708" t="s">
        <v>40240</v>
      </c>
      <c r="B1708" t="s">
        <v>40273</v>
      </c>
      <c r="C1708" t="s">
        <v>40416</v>
      </c>
      <c r="D1708" t="s">
        <v>40241</v>
      </c>
      <c r="E1708" t="s">
        <v>40242</v>
      </c>
      <c r="F1708" t="s">
        <v>40242</v>
      </c>
      <c r="G1708" t="s">
        <v>40242</v>
      </c>
      <c r="H1708" t="s">
        <v>51</v>
      </c>
      <c r="I1708" t="s">
        <v>52</v>
      </c>
      <c r="J1708" t="str">
        <f>"0701021"</f>
        <v>0701021</v>
      </c>
      <c r="K1708">
        <v>2261026047</v>
      </c>
      <c r="L1708">
        <v>2261026047</v>
      </c>
      <c r="M1708" t="s">
        <v>40417</v>
      </c>
      <c r="N1708" t="s">
        <v>40281</v>
      </c>
      <c r="O1708" t="s">
        <v>22498</v>
      </c>
      <c r="P1708">
        <v>32131</v>
      </c>
      <c r="Q1708" t="str">
        <f>"38.442659"</f>
        <v>38.442659</v>
      </c>
      <c r="R1708" t="str">
        <f>"22.870324"</f>
        <v>22.870324</v>
      </c>
      <c r="S1708" t="s">
        <v>26</v>
      </c>
    </row>
    <row r="1709" spans="1:19" x14ac:dyDescent="0.3">
      <c r="A1709" t="s">
        <v>40240</v>
      </c>
      <c r="B1709" t="s">
        <v>40273</v>
      </c>
      <c r="C1709" t="s">
        <v>40418</v>
      </c>
      <c r="D1709" t="s">
        <v>40241</v>
      </c>
      <c r="E1709" t="s">
        <v>40303</v>
      </c>
      <c r="F1709" t="s">
        <v>40303</v>
      </c>
      <c r="G1709" t="s">
        <v>40303</v>
      </c>
      <c r="H1709" t="s">
        <v>51</v>
      </c>
      <c r="I1709" t="s">
        <v>52</v>
      </c>
      <c r="J1709" t="str">
        <f>"0702010"</f>
        <v>0702010</v>
      </c>
      <c r="K1709">
        <v>2262027700</v>
      </c>
      <c r="L1709">
        <v>2262027700</v>
      </c>
      <c r="M1709" t="s">
        <v>40419</v>
      </c>
      <c r="N1709" t="s">
        <v>40306</v>
      </c>
      <c r="O1709" t="s">
        <v>40420</v>
      </c>
      <c r="P1709">
        <v>32200</v>
      </c>
      <c r="Q1709" t="str">
        <f>"38.321548"</f>
        <v>38.321548</v>
      </c>
      <c r="R1709" t="str">
        <f>"23.310036"</f>
        <v>23.310036</v>
      </c>
      <c r="S1709" t="s">
        <v>26</v>
      </c>
    </row>
    <row r="1710" spans="1:19" x14ac:dyDescent="0.3">
      <c r="A1710" t="s">
        <v>40240</v>
      </c>
      <c r="B1710" t="s">
        <v>40273</v>
      </c>
      <c r="C1710" t="s">
        <v>40421</v>
      </c>
      <c r="D1710" t="s">
        <v>40241</v>
      </c>
      <c r="E1710" t="s">
        <v>40332</v>
      </c>
      <c r="F1710" t="s">
        <v>40333</v>
      </c>
      <c r="G1710" t="s">
        <v>40333</v>
      </c>
      <c r="H1710" t="s">
        <v>51</v>
      </c>
      <c r="I1710" t="s">
        <v>52</v>
      </c>
      <c r="J1710" t="str">
        <f>"0708010"</f>
        <v>0708010</v>
      </c>
      <c r="K1710">
        <v>2268022722</v>
      </c>
      <c r="L1710">
        <v>2268022722</v>
      </c>
      <c r="M1710" t="s">
        <v>40422</v>
      </c>
      <c r="N1710" t="s">
        <v>40423</v>
      </c>
      <c r="O1710" t="s">
        <v>40424</v>
      </c>
      <c r="P1710">
        <v>32001</v>
      </c>
      <c r="Q1710" t="str">
        <f>"38.374584"</f>
        <v>38.374584</v>
      </c>
      <c r="R1710" t="str">
        <f>"23.106416"</f>
        <v>23.106416</v>
      </c>
      <c r="S1710" t="s">
        <v>26</v>
      </c>
    </row>
    <row r="1711" spans="1:19" x14ac:dyDescent="0.3">
      <c r="A1711" t="s">
        <v>40240</v>
      </c>
      <c r="B1711" t="s">
        <v>40273</v>
      </c>
      <c r="C1711" t="s">
        <v>40427</v>
      </c>
      <c r="D1711" t="s">
        <v>40241</v>
      </c>
      <c r="E1711" t="s">
        <v>40303</v>
      </c>
      <c r="F1711" t="s">
        <v>40425</v>
      </c>
      <c r="G1711" t="s">
        <v>40426</v>
      </c>
      <c r="H1711" t="s">
        <v>51</v>
      </c>
      <c r="I1711" t="s">
        <v>89</v>
      </c>
      <c r="J1711" t="str">
        <f>"0706010"</f>
        <v>0706010</v>
      </c>
      <c r="K1711">
        <v>2262098288</v>
      </c>
      <c r="L1711">
        <v>2262098715</v>
      </c>
      <c r="M1711" t="s">
        <v>40428</v>
      </c>
      <c r="N1711" t="s">
        <v>40429</v>
      </c>
      <c r="O1711" t="s">
        <v>40430</v>
      </c>
      <c r="P1711">
        <v>32200</v>
      </c>
      <c r="Q1711" t="str">
        <f>"38.231502"</f>
        <v>38.231502</v>
      </c>
      <c r="R1711" t="str">
        <f>"23.213257"</f>
        <v>23.213257</v>
      </c>
      <c r="S1711" t="s">
        <v>26</v>
      </c>
    </row>
    <row r="1712" spans="1:19" x14ac:dyDescent="0.3">
      <c r="A1712" t="s">
        <v>40240</v>
      </c>
      <c r="B1712" t="s">
        <v>40273</v>
      </c>
      <c r="C1712" t="s">
        <v>40432</v>
      </c>
      <c r="D1712" t="s">
        <v>40241</v>
      </c>
      <c r="E1712" t="s">
        <v>40303</v>
      </c>
      <c r="F1712" t="s">
        <v>40303</v>
      </c>
      <c r="G1712" t="s">
        <v>40303</v>
      </c>
      <c r="H1712" t="s">
        <v>51</v>
      </c>
      <c r="I1712" t="s">
        <v>52</v>
      </c>
      <c r="J1712" t="str">
        <f>"0702025"</f>
        <v>0702025</v>
      </c>
      <c r="K1712">
        <v>2262026939</v>
      </c>
      <c r="L1712">
        <v>2262026939</v>
      </c>
      <c r="M1712" t="s">
        <v>40433</v>
      </c>
      <c r="N1712" t="s">
        <v>40306</v>
      </c>
      <c r="O1712" t="s">
        <v>40434</v>
      </c>
      <c r="P1712">
        <v>32200</v>
      </c>
      <c r="Q1712" t="str">
        <f>"38.327852"</f>
        <v>38.327852</v>
      </c>
      <c r="R1712" t="str">
        <f>"23.323722"</f>
        <v>23.323722</v>
      </c>
      <c r="S1712" t="s">
        <v>26</v>
      </c>
    </row>
    <row r="1713" spans="1:19" x14ac:dyDescent="0.3">
      <c r="A1713" t="s">
        <v>40240</v>
      </c>
      <c r="B1713" t="s">
        <v>40273</v>
      </c>
      <c r="C1713" t="s">
        <v>40438</v>
      </c>
      <c r="D1713" t="s">
        <v>40241</v>
      </c>
      <c r="E1713" t="s">
        <v>40303</v>
      </c>
      <c r="F1713" t="s">
        <v>40436</v>
      </c>
      <c r="G1713" t="s">
        <v>40437</v>
      </c>
      <c r="H1713" t="s">
        <v>51</v>
      </c>
      <c r="I1713" t="s">
        <v>89</v>
      </c>
      <c r="J1713" t="str">
        <f>"0702030"</f>
        <v>0702030</v>
      </c>
      <c r="K1713">
        <v>2264022218</v>
      </c>
      <c r="L1713">
        <v>2264022218</v>
      </c>
      <c r="M1713" t="s">
        <v>40439</v>
      </c>
      <c r="N1713" t="s">
        <v>40440</v>
      </c>
      <c r="O1713" t="s">
        <v>40441</v>
      </c>
      <c r="P1713">
        <v>32010</v>
      </c>
      <c r="Q1713" t="str">
        <f>"38.251330"</f>
        <v>38.251330</v>
      </c>
      <c r="R1713" t="str">
        <f>"22.982675"</f>
        <v>22.982675</v>
      </c>
      <c r="S1713" t="s">
        <v>26</v>
      </c>
    </row>
    <row r="1714" spans="1:19" x14ac:dyDescent="0.3">
      <c r="A1714" t="s">
        <v>40240</v>
      </c>
      <c r="B1714" t="s">
        <v>40273</v>
      </c>
      <c r="C1714" t="s">
        <v>40443</v>
      </c>
      <c r="D1714" t="s">
        <v>40241</v>
      </c>
      <c r="E1714" t="s">
        <v>40289</v>
      </c>
      <c r="F1714" t="s">
        <v>40290</v>
      </c>
      <c r="G1714" t="s">
        <v>40290</v>
      </c>
      <c r="H1714" t="s">
        <v>51</v>
      </c>
      <c r="I1714" t="s">
        <v>52</v>
      </c>
      <c r="J1714" t="str">
        <f>"0707030"</f>
        <v>0707030</v>
      </c>
      <c r="K1714">
        <v>2262031350</v>
      </c>
      <c r="L1714">
        <v>2262031350</v>
      </c>
      <c r="M1714" t="s">
        <v>40444</v>
      </c>
      <c r="N1714" t="s">
        <v>40445</v>
      </c>
      <c r="O1714" t="s">
        <v>40446</v>
      </c>
      <c r="P1714">
        <v>32011</v>
      </c>
      <c r="Q1714" t="str">
        <f>"38.305514"</f>
        <v>38.305514</v>
      </c>
      <c r="R1714" t="str">
        <f>"23.641381"</f>
        <v>23.641381</v>
      </c>
      <c r="S1714" t="s">
        <v>26</v>
      </c>
    </row>
    <row r="1715" spans="1:19" x14ac:dyDescent="0.3">
      <c r="A1715" t="s">
        <v>40240</v>
      </c>
      <c r="B1715" t="s">
        <v>40273</v>
      </c>
      <c r="C1715" t="s">
        <v>40447</v>
      </c>
      <c r="D1715" t="s">
        <v>40241</v>
      </c>
      <c r="E1715" t="s">
        <v>40242</v>
      </c>
      <c r="F1715" t="s">
        <v>40242</v>
      </c>
      <c r="G1715" t="s">
        <v>40242</v>
      </c>
      <c r="H1715" t="s">
        <v>51</v>
      </c>
      <c r="I1715" t="s">
        <v>52</v>
      </c>
      <c r="J1715" t="str">
        <f>"0701022"</f>
        <v>0701022</v>
      </c>
      <c r="K1715">
        <v>2261029018</v>
      </c>
      <c r="L1715">
        <v>2261027686</v>
      </c>
      <c r="M1715" t="s">
        <v>40448</v>
      </c>
      <c r="N1715" t="s">
        <v>40281</v>
      </c>
      <c r="O1715" t="s">
        <v>40449</v>
      </c>
      <c r="P1715">
        <v>32131</v>
      </c>
      <c r="Q1715" t="str">
        <f>"38.436260"</f>
        <v>38.436260</v>
      </c>
      <c r="R1715" t="str">
        <f>"22.881513"</f>
        <v>22.881513</v>
      </c>
      <c r="S1715" t="s">
        <v>26</v>
      </c>
    </row>
    <row r="1716" spans="1:19" x14ac:dyDescent="0.3">
      <c r="A1716" t="s">
        <v>40240</v>
      </c>
      <c r="B1716" t="s">
        <v>40273</v>
      </c>
      <c r="C1716" t="s">
        <v>40451</v>
      </c>
      <c r="D1716" t="s">
        <v>40241</v>
      </c>
      <c r="E1716" t="s">
        <v>40303</v>
      </c>
      <c r="F1716" t="s">
        <v>40303</v>
      </c>
      <c r="G1716" t="s">
        <v>40303</v>
      </c>
      <c r="H1716" t="s">
        <v>51</v>
      </c>
      <c r="I1716" t="s">
        <v>52</v>
      </c>
      <c r="J1716" t="str">
        <f>"0702022"</f>
        <v>0702022</v>
      </c>
      <c r="K1716">
        <v>2262027433</v>
      </c>
      <c r="L1716">
        <v>2262027433</v>
      </c>
      <c r="M1716" t="s">
        <v>40452</v>
      </c>
      <c r="N1716" t="s">
        <v>40306</v>
      </c>
      <c r="O1716" t="s">
        <v>40453</v>
      </c>
      <c r="P1716">
        <v>32200</v>
      </c>
      <c r="Q1716" t="str">
        <f>"38.309771"</f>
        <v>38.309771</v>
      </c>
      <c r="R1716" t="str">
        <f>"23.320293"</f>
        <v>23.320293</v>
      </c>
      <c r="S1716" t="s">
        <v>26</v>
      </c>
    </row>
    <row r="1717" spans="1:19" x14ac:dyDescent="0.3">
      <c r="A1717" t="s">
        <v>40240</v>
      </c>
      <c r="B1717" t="s">
        <v>40273</v>
      </c>
      <c r="C1717" t="s">
        <v>40455</v>
      </c>
      <c r="D1717" t="s">
        <v>40241</v>
      </c>
      <c r="E1717" t="s">
        <v>40303</v>
      </c>
      <c r="F1717" t="s">
        <v>40303</v>
      </c>
      <c r="G1717" t="s">
        <v>40303</v>
      </c>
      <c r="H1717" t="s">
        <v>51</v>
      </c>
      <c r="I1717" t="s">
        <v>52</v>
      </c>
      <c r="J1717" t="str">
        <f>"0702020"</f>
        <v>0702020</v>
      </c>
      <c r="K1717">
        <v>2262027024</v>
      </c>
      <c r="L1717">
        <v>2262027024</v>
      </c>
      <c r="M1717" t="s">
        <v>40456</v>
      </c>
      <c r="N1717" t="s">
        <v>40306</v>
      </c>
      <c r="O1717" t="s">
        <v>40307</v>
      </c>
      <c r="P1717">
        <v>32200</v>
      </c>
      <c r="Q1717" t="str">
        <f>"38.322265"</f>
        <v>38.322265</v>
      </c>
      <c r="R1717" t="str">
        <f>"23.321218"</f>
        <v>23.321218</v>
      </c>
      <c r="S1717" t="s">
        <v>26</v>
      </c>
    </row>
    <row r="1718" spans="1:19" x14ac:dyDescent="0.3">
      <c r="A1718" t="s">
        <v>40240</v>
      </c>
      <c r="B1718" t="s">
        <v>40273</v>
      </c>
      <c r="C1718" t="s">
        <v>40457</v>
      </c>
      <c r="D1718" t="s">
        <v>40241</v>
      </c>
      <c r="E1718" t="s">
        <v>40339</v>
      </c>
      <c r="F1718" t="s">
        <v>40339</v>
      </c>
      <c r="G1718" t="s">
        <v>40339</v>
      </c>
      <c r="H1718" t="s">
        <v>51</v>
      </c>
      <c r="I1718" t="s">
        <v>52</v>
      </c>
      <c r="J1718" t="str">
        <f>"0701031"</f>
        <v>0701031</v>
      </c>
      <c r="K1718">
        <v>2261034192</v>
      </c>
      <c r="L1718">
        <v>2261034033</v>
      </c>
      <c r="M1718" t="s">
        <v>40458</v>
      </c>
      <c r="N1718" t="s">
        <v>40392</v>
      </c>
      <c r="O1718" t="s">
        <v>40459</v>
      </c>
      <c r="P1718">
        <v>32300</v>
      </c>
      <c r="Q1718" t="str">
        <f>"38.500369"</f>
        <v>38.500369</v>
      </c>
      <c r="R1718" t="str">
        <f>"22.978026"</f>
        <v>22.978026</v>
      </c>
      <c r="S1718" t="s">
        <v>26</v>
      </c>
    </row>
    <row r="1719" spans="1:19" x14ac:dyDescent="0.3">
      <c r="A1719" t="s">
        <v>40240</v>
      </c>
      <c r="B1719" t="s">
        <v>40273</v>
      </c>
      <c r="C1719" t="s">
        <v>40460</v>
      </c>
      <c r="D1719" t="s">
        <v>40241</v>
      </c>
      <c r="E1719" t="s">
        <v>40354</v>
      </c>
      <c r="F1719" t="s">
        <v>40361</v>
      </c>
      <c r="G1719" t="s">
        <v>40361</v>
      </c>
      <c r="H1719" t="s">
        <v>51</v>
      </c>
      <c r="I1719" t="s">
        <v>52</v>
      </c>
      <c r="J1719" t="str">
        <f>"0703010"</f>
        <v>0703010</v>
      </c>
      <c r="K1719">
        <v>2267031450</v>
      </c>
      <c r="L1719">
        <v>2267029188</v>
      </c>
      <c r="M1719" t="s">
        <v>40461</v>
      </c>
      <c r="N1719" t="s">
        <v>40462</v>
      </c>
      <c r="O1719" t="s">
        <v>40463</v>
      </c>
      <c r="P1719">
        <v>32004</v>
      </c>
      <c r="Q1719" t="str">
        <f>"38.480000"</f>
        <v>38.480000</v>
      </c>
      <c r="R1719" t="str">
        <f>"22.584367"</f>
        <v>22.584367</v>
      </c>
      <c r="S1719" t="s">
        <v>26</v>
      </c>
    </row>
    <row r="1720" spans="1:19" x14ac:dyDescent="0.3">
      <c r="A1720" t="s">
        <v>40240</v>
      </c>
      <c r="B1720" t="s">
        <v>40273</v>
      </c>
      <c r="C1720" t="s">
        <v>40465</v>
      </c>
      <c r="D1720" t="s">
        <v>40241</v>
      </c>
      <c r="E1720" t="s">
        <v>40354</v>
      </c>
      <c r="F1720" t="s">
        <v>40464</v>
      </c>
      <c r="G1720" t="s">
        <v>40464</v>
      </c>
      <c r="H1720" t="s">
        <v>51</v>
      </c>
      <c r="I1720" t="s">
        <v>52</v>
      </c>
      <c r="J1720" t="str">
        <f>"0712040"</f>
        <v>0712040</v>
      </c>
      <c r="K1720">
        <v>2267042242</v>
      </c>
      <c r="L1720">
        <v>2267042301</v>
      </c>
      <c r="M1720" t="s">
        <v>40466</v>
      </c>
      <c r="N1720" t="s">
        <v>40467</v>
      </c>
      <c r="O1720" t="s">
        <v>40468</v>
      </c>
      <c r="P1720">
        <v>32012</v>
      </c>
      <c r="Q1720" t="str">
        <f>"38.368696"</f>
        <v>38.368696</v>
      </c>
      <c r="R1720" t="str">
        <f>"22.626739"</f>
        <v>22.626739</v>
      </c>
      <c r="S1720" t="s">
        <v>26</v>
      </c>
    </row>
    <row r="1721" spans="1:19" x14ac:dyDescent="0.3">
      <c r="A1721" t="s">
        <v>40240</v>
      </c>
      <c r="B1721" t="s">
        <v>40273</v>
      </c>
      <c r="C1721" t="s">
        <v>40470</v>
      </c>
      <c r="D1721" t="s">
        <v>40241</v>
      </c>
      <c r="E1721" t="s">
        <v>40289</v>
      </c>
      <c r="F1721" t="s">
        <v>40297</v>
      </c>
      <c r="G1721" t="s">
        <v>40297</v>
      </c>
      <c r="H1721" t="s">
        <v>51</v>
      </c>
      <c r="I1721" t="s">
        <v>52</v>
      </c>
      <c r="J1721" t="str">
        <f>"0707010"</f>
        <v>0707010</v>
      </c>
      <c r="K1721">
        <v>2262058228</v>
      </c>
      <c r="L1721">
        <v>2262058228</v>
      </c>
      <c r="M1721" t="s">
        <v>40471</v>
      </c>
      <c r="N1721" t="s">
        <v>40472</v>
      </c>
      <c r="O1721" t="s">
        <v>40301</v>
      </c>
      <c r="P1721">
        <v>32009</v>
      </c>
      <c r="Q1721" t="str">
        <f>"38.345823"</f>
        <v>38.345823</v>
      </c>
      <c r="R1721" t="str">
        <f>"23.582261"</f>
        <v>23.582261</v>
      </c>
      <c r="S1721" t="s">
        <v>26</v>
      </c>
    </row>
    <row r="1722" spans="1:19" x14ac:dyDescent="0.3">
      <c r="A1722" t="s">
        <v>40240</v>
      </c>
      <c r="B1722" t="s">
        <v>40273</v>
      </c>
      <c r="C1722" t="s">
        <v>40474</v>
      </c>
      <c r="D1722" t="s">
        <v>40241</v>
      </c>
      <c r="E1722" t="s">
        <v>40354</v>
      </c>
      <c r="F1722" t="s">
        <v>40355</v>
      </c>
      <c r="G1722" t="s">
        <v>40355</v>
      </c>
      <c r="H1722" t="s">
        <v>51</v>
      </c>
      <c r="I1722" t="s">
        <v>52</v>
      </c>
      <c r="J1722" t="str">
        <f>"0705010"</f>
        <v>0705010</v>
      </c>
      <c r="K1722">
        <v>2267022208</v>
      </c>
      <c r="L1722">
        <v>2267022208</v>
      </c>
      <c r="M1722" t="s">
        <v>40475</v>
      </c>
      <c r="N1722" t="s">
        <v>40381</v>
      </c>
      <c r="O1722" t="s">
        <v>40476</v>
      </c>
      <c r="P1722">
        <v>32005</v>
      </c>
      <c r="Q1722" t="str">
        <f>"38.428786"</f>
        <v>38.428786</v>
      </c>
      <c r="R1722" t="str">
        <f>"22.670555"</f>
        <v>22.670555</v>
      </c>
      <c r="S1722" t="s">
        <v>26</v>
      </c>
    </row>
    <row r="1723" spans="1:19" x14ac:dyDescent="0.3">
      <c r="A1723" t="s">
        <v>40240</v>
      </c>
      <c r="B1723" t="s">
        <v>40273</v>
      </c>
      <c r="C1723" t="s">
        <v>40478</v>
      </c>
      <c r="D1723" t="s">
        <v>40241</v>
      </c>
      <c r="E1723" t="s">
        <v>40242</v>
      </c>
      <c r="F1723" t="s">
        <v>40477</v>
      </c>
      <c r="G1723" t="s">
        <v>40477</v>
      </c>
      <c r="H1723" t="s">
        <v>51</v>
      </c>
      <c r="I1723" t="s">
        <v>89</v>
      </c>
      <c r="J1723" t="str">
        <f>"0713010"</f>
        <v>0713010</v>
      </c>
      <c r="K1723">
        <v>2267051228</v>
      </c>
      <c r="L1723">
        <v>2267051704</v>
      </c>
      <c r="M1723" t="s">
        <v>40479</v>
      </c>
      <c r="N1723" t="s">
        <v>40480</v>
      </c>
      <c r="O1723" t="s">
        <v>40480</v>
      </c>
      <c r="P1723">
        <v>32006</v>
      </c>
      <c r="Q1723" t="str">
        <f>"38.354152"</f>
        <v>38.354152</v>
      </c>
      <c r="R1723" t="str">
        <f>"22.786999"</f>
        <v>22.786999</v>
      </c>
      <c r="S1723" t="s">
        <v>26</v>
      </c>
    </row>
    <row r="1724" spans="1:19" x14ac:dyDescent="0.3">
      <c r="A1724" t="s">
        <v>40240</v>
      </c>
      <c r="B1724" t="s">
        <v>40273</v>
      </c>
      <c r="C1724" t="s">
        <v>40484</v>
      </c>
      <c r="D1724" t="s">
        <v>40241</v>
      </c>
      <c r="E1724" t="s">
        <v>40303</v>
      </c>
      <c r="F1724" t="s">
        <v>40370</v>
      </c>
      <c r="G1724" t="s">
        <v>40370</v>
      </c>
      <c r="H1724" t="s">
        <v>51</v>
      </c>
      <c r="I1724" t="s">
        <v>52</v>
      </c>
      <c r="J1724" t="str">
        <f>"0704010"</f>
        <v>0704010</v>
      </c>
      <c r="K1724">
        <v>2262061229</v>
      </c>
      <c r="L1724">
        <v>2262061229</v>
      </c>
      <c r="M1724" t="s">
        <v>40485</v>
      </c>
      <c r="N1724" t="s">
        <v>40486</v>
      </c>
      <c r="O1724" t="s">
        <v>40486</v>
      </c>
      <c r="P1724">
        <v>32002</v>
      </c>
      <c r="Q1724" t="str">
        <f>"38.315368"</f>
        <v>38.315368</v>
      </c>
      <c r="R1724" t="str">
        <f>"23.171177"</f>
        <v>23.171177</v>
      </c>
      <c r="S1724" t="s">
        <v>26</v>
      </c>
    </row>
    <row r="1725" spans="1:19" x14ac:dyDescent="0.3">
      <c r="A1725" t="s">
        <v>40240</v>
      </c>
      <c r="B1725" t="s">
        <v>40273</v>
      </c>
      <c r="C1725" t="s">
        <v>40502</v>
      </c>
      <c r="D1725" t="s">
        <v>40241</v>
      </c>
      <c r="E1725" t="s">
        <v>40242</v>
      </c>
      <c r="F1725" t="s">
        <v>40242</v>
      </c>
      <c r="G1725" t="s">
        <v>40242</v>
      </c>
      <c r="H1725" t="s">
        <v>51</v>
      </c>
      <c r="I1725" t="s">
        <v>4349</v>
      </c>
      <c r="J1725" t="str">
        <f>"0739001"</f>
        <v>0739001</v>
      </c>
      <c r="K1725">
        <v>2261044117</v>
      </c>
      <c r="L1725">
        <v>2261044117</v>
      </c>
      <c r="M1725" t="s">
        <v>40503</v>
      </c>
      <c r="N1725" t="s">
        <v>40404</v>
      </c>
      <c r="O1725" t="s">
        <v>40504</v>
      </c>
      <c r="P1725">
        <v>32150</v>
      </c>
      <c r="Q1725" t="str">
        <f>"38.394500"</f>
        <v>38.394500</v>
      </c>
      <c r="R1725" t="str">
        <f>"22.930450"</f>
        <v>22.930450</v>
      </c>
      <c r="S1725" t="s">
        <v>26</v>
      </c>
    </row>
    <row r="1726" spans="1:19" x14ac:dyDescent="0.3">
      <c r="A1726" t="s">
        <v>40240</v>
      </c>
      <c r="B1726" t="s">
        <v>40505</v>
      </c>
      <c r="C1726" t="s">
        <v>40509</v>
      </c>
      <c r="D1726" t="s">
        <v>40247</v>
      </c>
      <c r="E1726" t="s">
        <v>40506</v>
      </c>
      <c r="F1726" t="s">
        <v>40507</v>
      </c>
      <c r="G1726" t="s">
        <v>40508</v>
      </c>
      <c r="H1726" t="s">
        <v>51</v>
      </c>
      <c r="I1726" t="s">
        <v>89</v>
      </c>
      <c r="J1726" t="str">
        <f>"1215010"</f>
        <v>1215010</v>
      </c>
      <c r="K1726">
        <v>2224051678</v>
      </c>
      <c r="L1726">
        <v>2224051678</v>
      </c>
      <c r="M1726" t="s">
        <v>40510</v>
      </c>
      <c r="N1726" t="s">
        <v>40511</v>
      </c>
      <c r="O1726" t="s">
        <v>40512</v>
      </c>
      <c r="P1726">
        <v>34015</v>
      </c>
      <c r="Q1726" t="str">
        <f>"38.159925"</f>
        <v>38.159925</v>
      </c>
      <c r="R1726" t="str">
        <f>"24.238403"</f>
        <v>24.238403</v>
      </c>
      <c r="S1726" t="s">
        <v>26</v>
      </c>
    </row>
    <row r="1727" spans="1:19" x14ac:dyDescent="0.3">
      <c r="A1727" t="s">
        <v>40240</v>
      </c>
      <c r="B1727" t="s">
        <v>40505</v>
      </c>
      <c r="C1727" t="s">
        <v>40522</v>
      </c>
      <c r="D1727" t="s">
        <v>40247</v>
      </c>
      <c r="E1727" t="s">
        <v>40521</v>
      </c>
      <c r="F1727" t="s">
        <v>40521</v>
      </c>
      <c r="G1727" t="s">
        <v>40521</v>
      </c>
      <c r="H1727" t="s">
        <v>51</v>
      </c>
      <c r="I1727" t="s">
        <v>52</v>
      </c>
      <c r="J1727" t="str">
        <f>"1213010"</f>
        <v>1213010</v>
      </c>
      <c r="K1727">
        <v>2222091228</v>
      </c>
      <c r="L1727">
        <v>2222091228</v>
      </c>
      <c r="M1727" t="s">
        <v>40523</v>
      </c>
      <c r="N1727" t="s">
        <v>40524</v>
      </c>
      <c r="O1727" t="s">
        <v>40524</v>
      </c>
      <c r="P1727">
        <v>34007</v>
      </c>
      <c r="Q1727" t="str">
        <f>"38.816297"</f>
        <v>38.816297</v>
      </c>
      <c r="R1727" t="str">
        <f>"24.595536"</f>
        <v>24.595536</v>
      </c>
      <c r="S1727" t="s">
        <v>57</v>
      </c>
    </row>
    <row r="1728" spans="1:19" x14ac:dyDescent="0.3">
      <c r="A1728" t="s">
        <v>40240</v>
      </c>
      <c r="B1728" t="s">
        <v>40505</v>
      </c>
      <c r="C1728" t="s">
        <v>40542</v>
      </c>
      <c r="D1728" t="s">
        <v>40247</v>
      </c>
      <c r="E1728" t="s">
        <v>40539</v>
      </c>
      <c r="F1728" t="s">
        <v>40540</v>
      </c>
      <c r="G1728" t="s">
        <v>40541</v>
      </c>
      <c r="H1728" t="s">
        <v>51</v>
      </c>
      <c r="I1728" t="s">
        <v>89</v>
      </c>
      <c r="J1728" t="str">
        <f>"1211010"</f>
        <v>1211010</v>
      </c>
      <c r="K1728">
        <v>2227061252</v>
      </c>
      <c r="L1728">
        <v>2227061604</v>
      </c>
      <c r="M1728" t="s">
        <v>40543</v>
      </c>
      <c r="N1728" t="s">
        <v>40544</v>
      </c>
      <c r="O1728" t="s">
        <v>40545</v>
      </c>
      <c r="P1728">
        <v>34010</v>
      </c>
      <c r="Q1728" t="str">
        <f>"38.859608"</f>
        <v>38.859608</v>
      </c>
      <c r="R1728" t="str">
        <f>"23.399853"</f>
        <v>23.399853</v>
      </c>
      <c r="S1728" t="s">
        <v>26</v>
      </c>
    </row>
    <row r="1729" spans="1:19" x14ac:dyDescent="0.3">
      <c r="A1729" t="s">
        <v>40240</v>
      </c>
      <c r="B1729" t="s">
        <v>40505</v>
      </c>
      <c r="C1729" t="s">
        <v>40547</v>
      </c>
      <c r="D1729" t="s">
        <v>40247</v>
      </c>
      <c r="E1729" t="s">
        <v>40248</v>
      </c>
      <c r="F1729" t="s">
        <v>40248</v>
      </c>
      <c r="G1729" t="s">
        <v>40248</v>
      </c>
      <c r="H1729" t="s">
        <v>51</v>
      </c>
      <c r="I1729" t="s">
        <v>52</v>
      </c>
      <c r="J1729" t="str">
        <f>"1201040"</f>
        <v>1201040</v>
      </c>
      <c r="K1729">
        <v>2221085192</v>
      </c>
      <c r="L1729">
        <v>2221025859</v>
      </c>
      <c r="M1729" t="s">
        <v>40548</v>
      </c>
      <c r="N1729" t="s">
        <v>40536</v>
      </c>
      <c r="O1729" t="s">
        <v>26449</v>
      </c>
      <c r="P1729">
        <v>34100</v>
      </c>
      <c r="Q1729" t="str">
        <f>"38.459364"</f>
        <v>38.459364</v>
      </c>
      <c r="R1729" t="str">
        <f>"23.598780"</f>
        <v>23.598780</v>
      </c>
      <c r="S1729" t="s">
        <v>26</v>
      </c>
    </row>
    <row r="1730" spans="1:19" x14ac:dyDescent="0.3">
      <c r="A1730" t="s">
        <v>40240</v>
      </c>
      <c r="B1730" t="s">
        <v>40505</v>
      </c>
      <c r="C1730" t="s">
        <v>40663</v>
      </c>
      <c r="D1730" t="s">
        <v>40247</v>
      </c>
      <c r="E1730" t="s">
        <v>40566</v>
      </c>
      <c r="F1730" t="s">
        <v>40567</v>
      </c>
      <c r="G1730" t="s">
        <v>40567</v>
      </c>
      <c r="H1730" t="s">
        <v>51</v>
      </c>
      <c r="I1730" t="s">
        <v>52</v>
      </c>
      <c r="J1730" t="str">
        <f>"1203010"</f>
        <v>1203010</v>
      </c>
      <c r="K1730">
        <v>2226052276</v>
      </c>
      <c r="L1730">
        <v>2226052276</v>
      </c>
      <c r="M1730" t="s">
        <v>40664</v>
      </c>
      <c r="N1730" t="s">
        <v>40570</v>
      </c>
      <c r="O1730" t="s">
        <v>40570</v>
      </c>
      <c r="P1730">
        <v>34200</v>
      </c>
      <c r="Q1730" t="str">
        <f>"38.952855"</f>
        <v>38.952855</v>
      </c>
      <c r="R1730" t="str">
        <f>"23.152714"</f>
        <v>23.152714</v>
      </c>
      <c r="S1730" t="s">
        <v>26</v>
      </c>
    </row>
    <row r="1731" spans="1:19" x14ac:dyDescent="0.3">
      <c r="A1731" t="s">
        <v>40240</v>
      </c>
      <c r="B1731" t="s">
        <v>40505</v>
      </c>
      <c r="C1731" t="s">
        <v>40665</v>
      </c>
      <c r="D1731" t="s">
        <v>40247</v>
      </c>
      <c r="E1731" t="s">
        <v>40589</v>
      </c>
      <c r="F1731" t="s">
        <v>4068</v>
      </c>
      <c r="G1731" t="s">
        <v>40590</v>
      </c>
      <c r="H1731" t="s">
        <v>51</v>
      </c>
      <c r="I1731" t="s">
        <v>52</v>
      </c>
      <c r="J1731" t="str">
        <f>"1205010"</f>
        <v>1205010</v>
      </c>
      <c r="K1731">
        <v>2223031223</v>
      </c>
      <c r="L1731">
        <v>2223031223</v>
      </c>
      <c r="M1731" t="s">
        <v>40666</v>
      </c>
      <c r="N1731" t="s">
        <v>40593</v>
      </c>
      <c r="O1731" t="s">
        <v>40593</v>
      </c>
      <c r="P1731">
        <v>34009</v>
      </c>
      <c r="Q1731" t="str">
        <f>"38.503279"</f>
        <v>38.503279</v>
      </c>
      <c r="R1731" t="str">
        <f>"24.121340"</f>
        <v>24.121340</v>
      </c>
      <c r="S1731" t="s">
        <v>26</v>
      </c>
    </row>
    <row r="1732" spans="1:19" x14ac:dyDescent="0.3">
      <c r="A1732" t="s">
        <v>40240</v>
      </c>
      <c r="B1732" t="s">
        <v>40505</v>
      </c>
      <c r="C1732" t="s">
        <v>40669</v>
      </c>
      <c r="D1732" t="s">
        <v>40247</v>
      </c>
      <c r="E1732" t="s">
        <v>40589</v>
      </c>
      <c r="F1732" t="s">
        <v>40667</v>
      </c>
      <c r="G1732" t="s">
        <v>40668</v>
      </c>
      <c r="H1732" t="s">
        <v>51</v>
      </c>
      <c r="I1732" t="s">
        <v>52</v>
      </c>
      <c r="J1732" t="str">
        <f>"1202010"</f>
        <v>1202010</v>
      </c>
      <c r="K1732">
        <v>2223022308</v>
      </c>
      <c r="L1732">
        <v>2223024534</v>
      </c>
      <c r="M1732" t="s">
        <v>40670</v>
      </c>
      <c r="N1732" t="s">
        <v>40671</v>
      </c>
      <c r="O1732" t="s">
        <v>40672</v>
      </c>
      <c r="P1732">
        <v>34500</v>
      </c>
      <c r="Q1732" t="str">
        <f>"38.407517"</f>
        <v>38.407517</v>
      </c>
      <c r="R1732" t="str">
        <f>"24.033231"</f>
        <v>24.033231</v>
      </c>
      <c r="S1732" t="s">
        <v>26</v>
      </c>
    </row>
    <row r="1733" spans="1:19" x14ac:dyDescent="0.3">
      <c r="A1733" t="s">
        <v>40240</v>
      </c>
      <c r="B1733" t="s">
        <v>40505</v>
      </c>
      <c r="C1733" t="s">
        <v>40674</v>
      </c>
      <c r="D1733" t="s">
        <v>40247</v>
      </c>
      <c r="E1733" t="s">
        <v>40566</v>
      </c>
      <c r="F1733" t="s">
        <v>40582</v>
      </c>
      <c r="G1733" t="s">
        <v>40583</v>
      </c>
      <c r="H1733" t="s">
        <v>51</v>
      </c>
      <c r="I1733" t="s">
        <v>52</v>
      </c>
      <c r="J1733" t="str">
        <f>"1210010"</f>
        <v>1210010</v>
      </c>
      <c r="K1733">
        <v>2226022263</v>
      </c>
      <c r="L1733">
        <v>2226022263</v>
      </c>
      <c r="M1733" t="s">
        <v>40675</v>
      </c>
      <c r="N1733" t="s">
        <v>40676</v>
      </c>
      <c r="O1733" t="s">
        <v>40677</v>
      </c>
      <c r="P1733">
        <v>34300</v>
      </c>
      <c r="Q1733" t="str">
        <f>"38.859725"</f>
        <v>38.859725</v>
      </c>
      <c r="R1733" t="str">
        <f>"23.045772"</f>
        <v>23.045772</v>
      </c>
      <c r="S1733" t="s">
        <v>26</v>
      </c>
    </row>
    <row r="1734" spans="1:19" x14ac:dyDescent="0.3">
      <c r="A1734" t="s">
        <v>40240</v>
      </c>
      <c r="B1734" t="s">
        <v>40505</v>
      </c>
      <c r="C1734" t="s">
        <v>40679</v>
      </c>
      <c r="D1734" t="s">
        <v>40247</v>
      </c>
      <c r="E1734" t="s">
        <v>40248</v>
      </c>
      <c r="F1734" t="s">
        <v>40248</v>
      </c>
      <c r="G1734" t="s">
        <v>40248</v>
      </c>
      <c r="H1734" t="s">
        <v>51</v>
      </c>
      <c r="I1734" t="s">
        <v>52</v>
      </c>
      <c r="J1734" t="str">
        <f>"1201020"</f>
        <v>1201020</v>
      </c>
      <c r="K1734">
        <v>2221024094</v>
      </c>
      <c r="L1734">
        <v>2221079897</v>
      </c>
      <c r="M1734" t="s">
        <v>40680</v>
      </c>
      <c r="N1734" t="s">
        <v>40536</v>
      </c>
      <c r="O1734" t="s">
        <v>40681</v>
      </c>
      <c r="P1734">
        <v>34100</v>
      </c>
      <c r="Q1734" t="str">
        <f>"38.455721"</f>
        <v>38.455721</v>
      </c>
      <c r="R1734" t="str">
        <f>"23.597304"</f>
        <v>23.597304</v>
      </c>
      <c r="S1734" t="s">
        <v>26</v>
      </c>
    </row>
    <row r="1735" spans="1:19" x14ac:dyDescent="0.3">
      <c r="A1735" t="s">
        <v>40240</v>
      </c>
      <c r="B1735" t="s">
        <v>40505</v>
      </c>
      <c r="C1735" t="s">
        <v>40683</v>
      </c>
      <c r="D1735" t="s">
        <v>40247</v>
      </c>
      <c r="E1735" t="s">
        <v>40566</v>
      </c>
      <c r="F1735" t="s">
        <v>40682</v>
      </c>
      <c r="G1735" t="s">
        <v>32519</v>
      </c>
      <c r="H1735" t="s">
        <v>51</v>
      </c>
      <c r="I1735" t="s">
        <v>89</v>
      </c>
      <c r="J1735" t="str">
        <f>"1203016"</f>
        <v>1203016</v>
      </c>
      <c r="K1735">
        <v>2226041289</v>
      </c>
      <c r="L1735">
        <v>2226041289</v>
      </c>
      <c r="M1735" t="s">
        <v>40684</v>
      </c>
      <c r="N1735" t="s">
        <v>40685</v>
      </c>
      <c r="O1735" t="s">
        <v>40686</v>
      </c>
      <c r="P1735">
        <v>34200</v>
      </c>
      <c r="Q1735" t="str">
        <f>"39.006730"</f>
        <v>39.006730</v>
      </c>
      <c r="R1735" t="str">
        <f>"23.247091"</f>
        <v>23.247091</v>
      </c>
      <c r="S1735" t="s">
        <v>26</v>
      </c>
    </row>
    <row r="1736" spans="1:19" x14ac:dyDescent="0.3">
      <c r="A1736" t="s">
        <v>40240</v>
      </c>
      <c r="B1736" t="s">
        <v>40505</v>
      </c>
      <c r="C1736" t="s">
        <v>40688</v>
      </c>
      <c r="D1736" t="s">
        <v>40247</v>
      </c>
      <c r="E1736" t="s">
        <v>40539</v>
      </c>
      <c r="F1736" t="s">
        <v>40617</v>
      </c>
      <c r="G1736" t="s">
        <v>40564</v>
      </c>
      <c r="H1736" t="s">
        <v>51</v>
      </c>
      <c r="I1736" t="s">
        <v>52</v>
      </c>
      <c r="J1736" t="str">
        <f>"1209010"</f>
        <v>1209010</v>
      </c>
      <c r="K1736">
        <v>2227031229</v>
      </c>
      <c r="L1736">
        <v>2227031229</v>
      </c>
      <c r="M1736" t="s">
        <v>40689</v>
      </c>
      <c r="N1736" t="s">
        <v>40690</v>
      </c>
      <c r="O1736" t="s">
        <v>40691</v>
      </c>
      <c r="P1736">
        <v>34005</v>
      </c>
      <c r="Q1736" t="str">
        <f>"38.763054"</f>
        <v>38.763054</v>
      </c>
      <c r="R1736" t="str">
        <f>"23.326327"</f>
        <v>23.326327</v>
      </c>
      <c r="S1736" t="s">
        <v>26</v>
      </c>
    </row>
    <row r="1737" spans="1:19" x14ac:dyDescent="0.3">
      <c r="A1737" t="s">
        <v>40240</v>
      </c>
      <c r="B1737" t="s">
        <v>40505</v>
      </c>
      <c r="C1737" t="s">
        <v>40692</v>
      </c>
      <c r="D1737" t="s">
        <v>40247</v>
      </c>
      <c r="E1737" t="s">
        <v>40526</v>
      </c>
      <c r="F1737" t="s">
        <v>40527</v>
      </c>
      <c r="G1737" t="s">
        <v>40528</v>
      </c>
      <c r="H1737" t="s">
        <v>51</v>
      </c>
      <c r="I1737" t="s">
        <v>52</v>
      </c>
      <c r="J1737" t="str">
        <f>"1201060"</f>
        <v>1201060</v>
      </c>
      <c r="K1737">
        <v>2228022518</v>
      </c>
      <c r="L1737">
        <v>2228022518</v>
      </c>
      <c r="M1737" t="s">
        <v>40693</v>
      </c>
      <c r="N1737" t="s">
        <v>40531</v>
      </c>
      <c r="O1737" t="s">
        <v>31093</v>
      </c>
      <c r="P1737">
        <v>34400</v>
      </c>
      <c r="Q1737" t="str">
        <f>"38.579814"</f>
        <v>38.579814</v>
      </c>
      <c r="R1737" t="str">
        <f>"23.643164"</f>
        <v>23.643164</v>
      </c>
      <c r="S1737" t="s">
        <v>26</v>
      </c>
    </row>
    <row r="1738" spans="1:19" x14ac:dyDescent="0.3">
      <c r="A1738" t="s">
        <v>40240</v>
      </c>
      <c r="B1738" t="s">
        <v>40505</v>
      </c>
      <c r="C1738" t="s">
        <v>40695</v>
      </c>
      <c r="D1738" t="s">
        <v>40247</v>
      </c>
      <c r="E1738" t="s">
        <v>22629</v>
      </c>
      <c r="F1738" t="s">
        <v>40610</v>
      </c>
      <c r="G1738" t="s">
        <v>40694</v>
      </c>
      <c r="H1738" t="s">
        <v>51</v>
      </c>
      <c r="I1738" t="s">
        <v>52</v>
      </c>
      <c r="J1738" t="str">
        <f>"1206030"</f>
        <v>1206030</v>
      </c>
      <c r="K1738">
        <v>2229091273</v>
      </c>
      <c r="L1738">
        <v>2229091273</v>
      </c>
      <c r="M1738" t="s">
        <v>40696</v>
      </c>
      <c r="N1738" t="s">
        <v>40697</v>
      </c>
      <c r="P1738">
        <v>34006</v>
      </c>
      <c r="Q1738" t="str">
        <f>"38.445147"</f>
        <v>38.445147</v>
      </c>
      <c r="R1738" t="str">
        <f>"23.885133"</f>
        <v>23.885133</v>
      </c>
      <c r="S1738" t="s">
        <v>26</v>
      </c>
    </row>
    <row r="1739" spans="1:19" x14ac:dyDescent="0.3">
      <c r="A1739" t="s">
        <v>40240</v>
      </c>
      <c r="B1739" t="s">
        <v>40505</v>
      </c>
      <c r="C1739" t="s">
        <v>40703</v>
      </c>
      <c r="D1739" t="s">
        <v>40247</v>
      </c>
      <c r="E1739" t="s">
        <v>40526</v>
      </c>
      <c r="F1739" t="s">
        <v>40527</v>
      </c>
      <c r="G1739" t="s">
        <v>40702</v>
      </c>
      <c r="H1739" t="s">
        <v>51</v>
      </c>
      <c r="I1739" t="s">
        <v>52</v>
      </c>
      <c r="J1739" t="str">
        <f>"1216030"</f>
        <v>1216030</v>
      </c>
      <c r="K1739">
        <v>2228071690</v>
      </c>
      <c r="L1739">
        <v>2228071690</v>
      </c>
      <c r="M1739" t="s">
        <v>40704</v>
      </c>
      <c r="N1739" t="s">
        <v>40705</v>
      </c>
      <c r="O1739" t="s">
        <v>40706</v>
      </c>
      <c r="P1739">
        <v>34400</v>
      </c>
      <c r="Q1739" t="str">
        <f>"38.607583"</f>
        <v>38.607583</v>
      </c>
      <c r="R1739" t="str">
        <f>"23.744511"</f>
        <v>23.744511</v>
      </c>
      <c r="S1739" t="s">
        <v>26</v>
      </c>
    </row>
    <row r="1740" spans="1:19" x14ac:dyDescent="0.3">
      <c r="A1740" t="s">
        <v>40240</v>
      </c>
      <c r="B1740" t="s">
        <v>40505</v>
      </c>
      <c r="C1740" t="s">
        <v>40708</v>
      </c>
      <c r="D1740" t="s">
        <v>40247</v>
      </c>
      <c r="E1740" t="s">
        <v>40248</v>
      </c>
      <c r="F1740" t="s">
        <v>40514</v>
      </c>
      <c r="G1740" t="s">
        <v>16068</v>
      </c>
      <c r="H1740" t="s">
        <v>51</v>
      </c>
      <c r="I1740" t="s">
        <v>52</v>
      </c>
      <c r="J1740" t="str">
        <f>"1201050"</f>
        <v>1201050</v>
      </c>
      <c r="K1740">
        <v>2221052848</v>
      </c>
      <c r="L1740">
        <v>2221052848</v>
      </c>
      <c r="M1740" t="s">
        <v>40709</v>
      </c>
      <c r="N1740" t="s">
        <v>40710</v>
      </c>
      <c r="O1740" t="s">
        <v>40711</v>
      </c>
      <c r="P1740">
        <v>34002</v>
      </c>
      <c r="Q1740" t="str">
        <f>"38.425262"</f>
        <v>38.425262</v>
      </c>
      <c r="R1740" t="str">
        <f>"23.676766"</f>
        <v>23.676766</v>
      </c>
      <c r="S1740" t="s">
        <v>26</v>
      </c>
    </row>
    <row r="1741" spans="1:19" x14ac:dyDescent="0.3">
      <c r="A1741" t="s">
        <v>40240</v>
      </c>
      <c r="B1741" t="s">
        <v>40505</v>
      </c>
      <c r="C1741" t="s">
        <v>40712</v>
      </c>
      <c r="D1741" t="s">
        <v>40247</v>
      </c>
      <c r="E1741" t="s">
        <v>22629</v>
      </c>
      <c r="F1741" t="s">
        <v>40610</v>
      </c>
      <c r="G1741" t="s">
        <v>40611</v>
      </c>
      <c r="H1741" t="s">
        <v>51</v>
      </c>
      <c r="I1741" t="s">
        <v>52</v>
      </c>
      <c r="J1741" t="str">
        <f>"1206010"</f>
        <v>1206010</v>
      </c>
      <c r="K1741">
        <v>2229036297</v>
      </c>
      <c r="L1741">
        <v>2229036297</v>
      </c>
      <c r="M1741" t="s">
        <v>40713</v>
      </c>
      <c r="N1741" t="s">
        <v>40614</v>
      </c>
      <c r="O1741" t="s">
        <v>40615</v>
      </c>
      <c r="P1741">
        <v>34006</v>
      </c>
      <c r="Q1741" t="str">
        <f>"38.394182"</f>
        <v>38.394182</v>
      </c>
      <c r="R1741" t="str">
        <f>"23.877108"</f>
        <v>23.877108</v>
      </c>
      <c r="S1741" t="s">
        <v>26</v>
      </c>
    </row>
    <row r="1742" spans="1:19" x14ac:dyDescent="0.3">
      <c r="A1742" t="s">
        <v>40240</v>
      </c>
      <c r="B1742" t="s">
        <v>40505</v>
      </c>
      <c r="C1742" t="s">
        <v>40715</v>
      </c>
      <c r="D1742" t="s">
        <v>40247</v>
      </c>
      <c r="E1742" t="s">
        <v>40539</v>
      </c>
      <c r="F1742" t="s">
        <v>40558</v>
      </c>
      <c r="G1742" t="s">
        <v>40714</v>
      </c>
      <c r="H1742" t="s">
        <v>51</v>
      </c>
      <c r="I1742" t="s">
        <v>52</v>
      </c>
      <c r="J1742" t="str">
        <f>"1212050"</f>
        <v>1212050</v>
      </c>
      <c r="K1742">
        <v>2227041211</v>
      </c>
      <c r="L1742">
        <v>2227041211</v>
      </c>
      <c r="M1742" t="s">
        <v>40716</v>
      </c>
      <c r="N1742" t="s">
        <v>40717</v>
      </c>
      <c r="O1742" t="s">
        <v>40718</v>
      </c>
      <c r="P1742">
        <v>34004</v>
      </c>
      <c r="Q1742" t="str">
        <f>"38.734694"</f>
        <v>38.734694</v>
      </c>
      <c r="R1742" t="str">
        <f>"23.495886"</f>
        <v>23.495886</v>
      </c>
      <c r="S1742" t="s">
        <v>26</v>
      </c>
    </row>
    <row r="1743" spans="1:19" x14ac:dyDescent="0.3">
      <c r="A1743" t="s">
        <v>40240</v>
      </c>
      <c r="B1743" t="s">
        <v>40505</v>
      </c>
      <c r="C1743" t="s">
        <v>40720</v>
      </c>
      <c r="D1743" t="s">
        <v>40247</v>
      </c>
      <c r="E1743" t="s">
        <v>40248</v>
      </c>
      <c r="F1743" t="s">
        <v>40248</v>
      </c>
      <c r="G1743" t="s">
        <v>40248</v>
      </c>
      <c r="H1743" t="s">
        <v>51</v>
      </c>
      <c r="I1743" t="s">
        <v>52</v>
      </c>
      <c r="J1743" t="str">
        <f>"1201041"</f>
        <v>1201041</v>
      </c>
      <c r="K1743">
        <v>2221082919</v>
      </c>
      <c r="L1743">
        <v>2221081836</v>
      </c>
      <c r="M1743" t="s">
        <v>40721</v>
      </c>
      <c r="N1743" t="s">
        <v>40574</v>
      </c>
      <c r="O1743" t="s">
        <v>40722</v>
      </c>
      <c r="P1743">
        <v>34132</v>
      </c>
      <c r="Q1743" t="str">
        <f>"38.466194"</f>
        <v>38.466194</v>
      </c>
      <c r="R1743" t="str">
        <f>"23.607599"</f>
        <v>23.607599</v>
      </c>
      <c r="S1743" t="s">
        <v>26</v>
      </c>
    </row>
    <row r="1744" spans="1:19" x14ac:dyDescent="0.3">
      <c r="A1744" t="s">
        <v>40240</v>
      </c>
      <c r="B1744" t="s">
        <v>40505</v>
      </c>
      <c r="C1744" t="s">
        <v>40723</v>
      </c>
      <c r="D1744" t="s">
        <v>40247</v>
      </c>
      <c r="E1744" t="s">
        <v>40248</v>
      </c>
      <c r="F1744" t="s">
        <v>40248</v>
      </c>
      <c r="G1744" t="s">
        <v>40248</v>
      </c>
      <c r="H1744" t="s">
        <v>51</v>
      </c>
      <c r="I1744" t="s">
        <v>52</v>
      </c>
      <c r="J1744" t="str">
        <f>"1201030"</f>
        <v>1201030</v>
      </c>
      <c r="K1744">
        <v>2221024045</v>
      </c>
      <c r="L1744">
        <v>2221024045</v>
      </c>
      <c r="M1744" t="s">
        <v>40724</v>
      </c>
      <c r="N1744" t="s">
        <v>40536</v>
      </c>
      <c r="O1744" t="s">
        <v>40725</v>
      </c>
      <c r="P1744">
        <v>34100</v>
      </c>
      <c r="Q1744" t="str">
        <f>"38.466210"</f>
        <v>38.466210</v>
      </c>
      <c r="R1744" t="str">
        <f>"23.602227"</f>
        <v>23.602227</v>
      </c>
      <c r="S1744" t="s">
        <v>26</v>
      </c>
    </row>
    <row r="1745" spans="1:19" x14ac:dyDescent="0.3">
      <c r="A1745" t="s">
        <v>40240</v>
      </c>
      <c r="B1745" t="s">
        <v>40505</v>
      </c>
      <c r="C1745" t="s">
        <v>40727</v>
      </c>
      <c r="D1745" t="s">
        <v>40247</v>
      </c>
      <c r="E1745" t="s">
        <v>40248</v>
      </c>
      <c r="F1745" t="s">
        <v>40248</v>
      </c>
      <c r="G1745" t="s">
        <v>40248</v>
      </c>
      <c r="H1745" t="s">
        <v>51</v>
      </c>
      <c r="I1745" t="s">
        <v>52</v>
      </c>
      <c r="J1745" t="str">
        <f>"1201010"</f>
        <v>1201010</v>
      </c>
      <c r="K1745">
        <v>2221023859</v>
      </c>
      <c r="L1745">
        <v>2221086853</v>
      </c>
      <c r="M1745" t="s">
        <v>40728</v>
      </c>
      <c r="N1745" t="s">
        <v>40729</v>
      </c>
      <c r="O1745" t="s">
        <v>40730</v>
      </c>
      <c r="P1745">
        <v>34132</v>
      </c>
      <c r="Q1745" t="str">
        <f>"38.468837"</f>
        <v>38.468837</v>
      </c>
      <c r="R1745" t="str">
        <f>"23.599098"</f>
        <v>23.599098</v>
      </c>
      <c r="S1745" t="s">
        <v>26</v>
      </c>
    </row>
    <row r="1746" spans="1:19" x14ac:dyDescent="0.3">
      <c r="A1746" t="s">
        <v>40240</v>
      </c>
      <c r="B1746" t="s">
        <v>40505</v>
      </c>
      <c r="C1746" t="s">
        <v>40731</v>
      </c>
      <c r="D1746" t="s">
        <v>40247</v>
      </c>
      <c r="E1746" t="s">
        <v>40248</v>
      </c>
      <c r="F1746" t="s">
        <v>40248</v>
      </c>
      <c r="G1746" t="s">
        <v>40248</v>
      </c>
      <c r="H1746" t="s">
        <v>51</v>
      </c>
      <c r="I1746" t="s">
        <v>52</v>
      </c>
      <c r="J1746" t="str">
        <f>"1201046"</f>
        <v>1201046</v>
      </c>
      <c r="K1746">
        <v>2221021860</v>
      </c>
      <c r="L1746">
        <v>2221021860</v>
      </c>
      <c r="M1746" t="s">
        <v>40732</v>
      </c>
      <c r="N1746" t="s">
        <v>40536</v>
      </c>
      <c r="O1746" t="s">
        <v>40733</v>
      </c>
      <c r="P1746">
        <v>34131</v>
      </c>
      <c r="Q1746" t="str">
        <f>"38.469986"</f>
        <v>38.469986</v>
      </c>
      <c r="R1746" t="str">
        <f>"23.579055"</f>
        <v>23.579055</v>
      </c>
      <c r="S1746" t="s">
        <v>26</v>
      </c>
    </row>
    <row r="1747" spans="1:19" x14ac:dyDescent="0.3">
      <c r="A1747" t="s">
        <v>40240</v>
      </c>
      <c r="B1747" t="s">
        <v>40505</v>
      </c>
      <c r="C1747" t="s">
        <v>40734</v>
      </c>
      <c r="D1747" t="s">
        <v>40247</v>
      </c>
      <c r="E1747" t="s">
        <v>40248</v>
      </c>
      <c r="F1747" t="s">
        <v>40248</v>
      </c>
      <c r="G1747" t="s">
        <v>40248</v>
      </c>
      <c r="H1747" t="s">
        <v>51</v>
      </c>
      <c r="I1747" t="s">
        <v>52</v>
      </c>
      <c r="J1747" t="str">
        <f>"1201043"</f>
        <v>1201043</v>
      </c>
      <c r="K1747">
        <v>2221045157</v>
      </c>
      <c r="L1747">
        <v>2221045157</v>
      </c>
      <c r="M1747" t="s">
        <v>40735</v>
      </c>
      <c r="N1747" t="s">
        <v>40574</v>
      </c>
      <c r="O1747" t="s">
        <v>11193</v>
      </c>
      <c r="P1747">
        <v>34100</v>
      </c>
      <c r="Q1747" t="str">
        <f>"38.489232"</f>
        <v>38.489232</v>
      </c>
      <c r="R1747" t="str">
        <f>"23.632546"</f>
        <v>23.632546</v>
      </c>
      <c r="S1747" t="s">
        <v>26</v>
      </c>
    </row>
    <row r="1748" spans="1:19" x14ac:dyDescent="0.3">
      <c r="A1748" t="s">
        <v>40240</v>
      </c>
      <c r="B1748" t="s">
        <v>40505</v>
      </c>
      <c r="C1748" t="s">
        <v>40736</v>
      </c>
      <c r="D1748" t="s">
        <v>40247</v>
      </c>
      <c r="E1748" t="s">
        <v>40589</v>
      </c>
      <c r="F1748" t="s">
        <v>3213</v>
      </c>
      <c r="G1748" t="s">
        <v>3213</v>
      </c>
      <c r="H1748" t="s">
        <v>51</v>
      </c>
      <c r="I1748" t="s">
        <v>52</v>
      </c>
      <c r="J1748" t="str">
        <f>"1207010"</f>
        <v>1207010</v>
      </c>
      <c r="K1748">
        <v>2222022418</v>
      </c>
      <c r="L1748">
        <v>2222022418</v>
      </c>
      <c r="M1748" t="s">
        <v>40737</v>
      </c>
      <c r="N1748" t="s">
        <v>40738</v>
      </c>
      <c r="O1748" t="s">
        <v>40605</v>
      </c>
      <c r="P1748">
        <v>34003</v>
      </c>
      <c r="Q1748" t="str">
        <f>"38.635334"</f>
        <v>38.635334</v>
      </c>
      <c r="R1748" t="str">
        <f>"24.108320"</f>
        <v>24.108320</v>
      </c>
      <c r="S1748" t="s">
        <v>26</v>
      </c>
    </row>
    <row r="1749" spans="1:19" x14ac:dyDescent="0.3">
      <c r="A1749" t="s">
        <v>40240</v>
      </c>
      <c r="B1749" t="s">
        <v>40505</v>
      </c>
      <c r="C1749" t="s">
        <v>40740</v>
      </c>
      <c r="D1749" t="s">
        <v>40247</v>
      </c>
      <c r="E1749" t="s">
        <v>40506</v>
      </c>
      <c r="F1749" t="s">
        <v>40739</v>
      </c>
      <c r="G1749" t="s">
        <v>40739</v>
      </c>
      <c r="H1749" t="s">
        <v>51</v>
      </c>
      <c r="I1749" t="s">
        <v>52</v>
      </c>
      <c r="J1749" t="str">
        <f>"1215050"</f>
        <v>1215050</v>
      </c>
      <c r="K1749">
        <v>2224031525</v>
      </c>
      <c r="L1749">
        <v>2224032325</v>
      </c>
      <c r="M1749" t="s">
        <v>40741</v>
      </c>
      <c r="N1749" t="s">
        <v>40742</v>
      </c>
      <c r="O1749" t="s">
        <v>40743</v>
      </c>
      <c r="P1749">
        <v>34013</v>
      </c>
      <c r="Q1749" t="str">
        <f>"38.047690"</f>
        <v>38.047690</v>
      </c>
      <c r="R1749" t="str">
        <f>"24.322909"</f>
        <v>24.322909</v>
      </c>
      <c r="S1749" t="s">
        <v>26</v>
      </c>
    </row>
    <row r="1750" spans="1:19" x14ac:dyDescent="0.3">
      <c r="A1750" t="s">
        <v>40240</v>
      </c>
      <c r="B1750" t="s">
        <v>40505</v>
      </c>
      <c r="C1750" t="s">
        <v>40745</v>
      </c>
      <c r="D1750" t="s">
        <v>40247</v>
      </c>
      <c r="E1750" t="s">
        <v>40248</v>
      </c>
      <c r="F1750" t="s">
        <v>40248</v>
      </c>
      <c r="G1750" t="s">
        <v>40248</v>
      </c>
      <c r="H1750" t="s">
        <v>51</v>
      </c>
      <c r="I1750" t="s">
        <v>52</v>
      </c>
      <c r="J1750" t="str">
        <f>"1201042"</f>
        <v>1201042</v>
      </c>
      <c r="K1750">
        <v>2221020848</v>
      </c>
      <c r="L1750">
        <v>2221083753</v>
      </c>
      <c r="M1750" t="s">
        <v>40746</v>
      </c>
      <c r="N1750" t="s">
        <v>40747</v>
      </c>
      <c r="O1750" t="s">
        <v>40725</v>
      </c>
      <c r="P1750">
        <v>34132</v>
      </c>
      <c r="Q1750" t="str">
        <f>"38.466210"</f>
        <v>38.466210</v>
      </c>
      <c r="R1750" t="str">
        <f>"23.602227"</f>
        <v>23.602227</v>
      </c>
      <c r="S1750" t="s">
        <v>26</v>
      </c>
    </row>
    <row r="1751" spans="1:19" x14ac:dyDescent="0.3">
      <c r="A1751" t="s">
        <v>40240</v>
      </c>
      <c r="B1751" t="s">
        <v>40505</v>
      </c>
      <c r="C1751" t="s">
        <v>40750</v>
      </c>
      <c r="D1751" t="s">
        <v>40247</v>
      </c>
      <c r="E1751" t="s">
        <v>40589</v>
      </c>
      <c r="F1751" t="s">
        <v>40748</v>
      </c>
      <c r="G1751" t="s">
        <v>40749</v>
      </c>
      <c r="H1751" t="s">
        <v>51</v>
      </c>
      <c r="I1751" t="s">
        <v>52</v>
      </c>
      <c r="J1751" t="str">
        <f>"1216020"</f>
        <v>1216020</v>
      </c>
      <c r="K1751">
        <v>2223051410</v>
      </c>
      <c r="L1751">
        <v>2223051410</v>
      </c>
      <c r="M1751" t="s">
        <v>40751</v>
      </c>
      <c r="N1751" t="s">
        <v>40752</v>
      </c>
      <c r="O1751" t="s">
        <v>40752</v>
      </c>
      <c r="P1751">
        <v>34017</v>
      </c>
      <c r="Q1751" t="str">
        <f>"38.393840"</f>
        <v>38.393840</v>
      </c>
      <c r="R1751" t="str">
        <f>"24.136429"</f>
        <v>24.136429</v>
      </c>
      <c r="S1751" t="s">
        <v>26</v>
      </c>
    </row>
    <row r="1752" spans="1:19" x14ac:dyDescent="0.3">
      <c r="A1752" t="s">
        <v>40240</v>
      </c>
      <c r="B1752" t="s">
        <v>40505</v>
      </c>
      <c r="C1752" t="s">
        <v>40754</v>
      </c>
      <c r="D1752" t="s">
        <v>40247</v>
      </c>
      <c r="E1752" t="s">
        <v>40248</v>
      </c>
      <c r="F1752" t="s">
        <v>40596</v>
      </c>
      <c r="G1752" t="s">
        <v>12041</v>
      </c>
      <c r="H1752" t="s">
        <v>51</v>
      </c>
      <c r="I1752" t="s">
        <v>52</v>
      </c>
      <c r="J1752" t="str">
        <f>"1201070"</f>
        <v>1201070</v>
      </c>
      <c r="K1752">
        <v>2221031208</v>
      </c>
      <c r="L1752">
        <v>2221031303</v>
      </c>
      <c r="M1752" t="s">
        <v>40755</v>
      </c>
      <c r="N1752" t="s">
        <v>40600</v>
      </c>
      <c r="O1752" t="s">
        <v>40756</v>
      </c>
      <c r="P1752">
        <v>34100</v>
      </c>
      <c r="Q1752" t="str">
        <f>"38.403340"</f>
        <v>38.403340</v>
      </c>
      <c r="R1752" t="str">
        <f>"23.601935"</f>
        <v>23.601935</v>
      </c>
      <c r="S1752" t="s">
        <v>26</v>
      </c>
    </row>
    <row r="1753" spans="1:19" x14ac:dyDescent="0.3">
      <c r="A1753" t="s">
        <v>40240</v>
      </c>
      <c r="B1753" t="s">
        <v>40505</v>
      </c>
      <c r="C1753" t="s">
        <v>40758</v>
      </c>
      <c r="D1753" t="s">
        <v>40247</v>
      </c>
      <c r="E1753" t="s">
        <v>40248</v>
      </c>
      <c r="F1753" t="s">
        <v>40514</v>
      </c>
      <c r="G1753" t="s">
        <v>40757</v>
      </c>
      <c r="H1753" t="s">
        <v>51</v>
      </c>
      <c r="I1753" t="s">
        <v>52</v>
      </c>
      <c r="J1753" t="str">
        <f>"1201058"</f>
        <v>1201058</v>
      </c>
      <c r="K1753">
        <v>2221081134</v>
      </c>
      <c r="L1753">
        <v>2221081134</v>
      </c>
      <c r="M1753" t="s">
        <v>40759</v>
      </c>
      <c r="N1753" t="s">
        <v>40760</v>
      </c>
      <c r="O1753" t="s">
        <v>40760</v>
      </c>
      <c r="P1753">
        <v>34100</v>
      </c>
      <c r="Q1753" t="str">
        <f>"38.432023"</f>
        <v>38.432023</v>
      </c>
      <c r="R1753" t="str">
        <f>"23.628491"</f>
        <v>23.628491</v>
      </c>
      <c r="S1753" t="s">
        <v>26</v>
      </c>
    </row>
    <row r="1754" spans="1:19" x14ac:dyDescent="0.3">
      <c r="A1754" t="s">
        <v>40240</v>
      </c>
      <c r="B1754" t="s">
        <v>40505</v>
      </c>
      <c r="C1754" t="s">
        <v>40764</v>
      </c>
      <c r="D1754" t="s">
        <v>40247</v>
      </c>
      <c r="E1754" t="s">
        <v>40526</v>
      </c>
      <c r="F1754" t="s">
        <v>40762</v>
      </c>
      <c r="G1754" t="s">
        <v>40763</v>
      </c>
      <c r="H1754" t="s">
        <v>51</v>
      </c>
      <c r="I1754" t="s">
        <v>52</v>
      </c>
      <c r="J1754" t="str">
        <f>"1214010"</f>
        <v>1214010</v>
      </c>
      <c r="K1754">
        <v>2228051236</v>
      </c>
      <c r="L1754">
        <v>2228051236</v>
      </c>
      <c r="M1754" t="s">
        <v>40765</v>
      </c>
      <c r="N1754" t="s">
        <v>40766</v>
      </c>
      <c r="O1754">
        <v>0</v>
      </c>
      <c r="P1754">
        <v>34014</v>
      </c>
      <c r="Q1754" t="str">
        <f>"38.584110"</f>
        <v>38.584110</v>
      </c>
      <c r="R1754" t="str">
        <f>"23.837578"</f>
        <v>23.837578</v>
      </c>
      <c r="S1754" t="s">
        <v>26</v>
      </c>
    </row>
    <row r="1755" spans="1:19" x14ac:dyDescent="0.3">
      <c r="A1755" t="s">
        <v>40240</v>
      </c>
      <c r="B1755" t="s">
        <v>40505</v>
      </c>
      <c r="C1755" t="s">
        <v>40768</v>
      </c>
      <c r="D1755" t="s">
        <v>40247</v>
      </c>
      <c r="E1755" t="s">
        <v>40506</v>
      </c>
      <c r="F1755" t="s">
        <v>40506</v>
      </c>
      <c r="G1755" t="s">
        <v>40506</v>
      </c>
      <c r="H1755" t="s">
        <v>51</v>
      </c>
      <c r="I1755" t="s">
        <v>52</v>
      </c>
      <c r="J1755" t="str">
        <f>"1204010"</f>
        <v>1204010</v>
      </c>
      <c r="K1755">
        <v>2224022358</v>
      </c>
      <c r="L1755">
        <v>2224022358</v>
      </c>
      <c r="M1755" t="s">
        <v>40769</v>
      </c>
      <c r="N1755" t="s">
        <v>40551</v>
      </c>
      <c r="O1755" t="s">
        <v>40770</v>
      </c>
      <c r="P1755">
        <v>34001</v>
      </c>
      <c r="Q1755" t="str">
        <f>"38.020139"</f>
        <v>38.020139</v>
      </c>
      <c r="R1755" t="str">
        <f>"24.422803"</f>
        <v>24.422803</v>
      </c>
      <c r="S1755" t="s">
        <v>26</v>
      </c>
    </row>
    <row r="1756" spans="1:19" x14ac:dyDescent="0.3">
      <c r="A1756" t="s">
        <v>40240</v>
      </c>
      <c r="B1756" t="s">
        <v>40505</v>
      </c>
      <c r="C1756" t="s">
        <v>40771</v>
      </c>
      <c r="D1756" t="s">
        <v>40247</v>
      </c>
      <c r="E1756" t="s">
        <v>22629</v>
      </c>
      <c r="F1756" t="s">
        <v>22629</v>
      </c>
      <c r="G1756" t="s">
        <v>22629</v>
      </c>
      <c r="H1756" t="s">
        <v>51</v>
      </c>
      <c r="I1756" t="s">
        <v>52</v>
      </c>
      <c r="J1756" t="str">
        <f>"1206020"</f>
        <v>1206020</v>
      </c>
      <c r="K1756">
        <v>2229064700</v>
      </c>
      <c r="L1756">
        <v>2229061490</v>
      </c>
      <c r="M1756" t="s">
        <v>40772</v>
      </c>
      <c r="N1756" t="s">
        <v>22632</v>
      </c>
      <c r="O1756" t="s">
        <v>40773</v>
      </c>
      <c r="P1756">
        <v>34008</v>
      </c>
      <c r="Q1756" t="str">
        <f>"38.395321"</f>
        <v>38.395321</v>
      </c>
      <c r="R1756" t="str">
        <f>"23.788417"</f>
        <v>23.788417</v>
      </c>
      <c r="S1756" t="s">
        <v>26</v>
      </c>
    </row>
    <row r="1757" spans="1:19" x14ac:dyDescent="0.3">
      <c r="A1757" t="s">
        <v>40240</v>
      </c>
      <c r="B1757" t="s">
        <v>40505</v>
      </c>
      <c r="C1757" t="s">
        <v>40775</v>
      </c>
      <c r="D1757" t="s">
        <v>40247</v>
      </c>
      <c r="E1757" t="s">
        <v>40526</v>
      </c>
      <c r="F1757" t="s">
        <v>40762</v>
      </c>
      <c r="G1757" t="s">
        <v>40774</v>
      </c>
      <c r="H1757" t="s">
        <v>51</v>
      </c>
      <c r="I1757" t="s">
        <v>52</v>
      </c>
      <c r="J1757" t="str">
        <f>"1216025"</f>
        <v>1216025</v>
      </c>
      <c r="K1757">
        <v>2228071650</v>
      </c>
      <c r="L1757">
        <v>2228071650</v>
      </c>
      <c r="M1757" t="s">
        <v>40776</v>
      </c>
      <c r="N1757" t="s">
        <v>40777</v>
      </c>
      <c r="O1757" t="s">
        <v>40778</v>
      </c>
      <c r="P1757">
        <v>34018</v>
      </c>
      <c r="Q1757" t="str">
        <f>"38.572940"</f>
        <v>38.572940</v>
      </c>
      <c r="R1757" t="str">
        <f>"23.773260"</f>
        <v>23.773260</v>
      </c>
      <c r="S1757" t="s">
        <v>26</v>
      </c>
    </row>
    <row r="1758" spans="1:19" x14ac:dyDescent="0.3">
      <c r="A1758" t="s">
        <v>40240</v>
      </c>
      <c r="B1758" t="s">
        <v>40505</v>
      </c>
      <c r="C1758" t="s">
        <v>40780</v>
      </c>
      <c r="D1758" t="s">
        <v>40247</v>
      </c>
      <c r="E1758" t="s">
        <v>40248</v>
      </c>
      <c r="F1758" t="s">
        <v>40248</v>
      </c>
      <c r="G1758" t="s">
        <v>40248</v>
      </c>
      <c r="H1758" t="s">
        <v>51</v>
      </c>
      <c r="I1758" t="s">
        <v>184</v>
      </c>
      <c r="J1758" t="str">
        <f>"1201038"</f>
        <v>1201038</v>
      </c>
      <c r="K1758">
        <v>2221021793</v>
      </c>
      <c r="L1758">
        <v>2221021793</v>
      </c>
      <c r="M1758" t="s">
        <v>40781</v>
      </c>
      <c r="N1758" t="s">
        <v>40536</v>
      </c>
      <c r="O1758" t="s">
        <v>40725</v>
      </c>
      <c r="P1758">
        <v>34100</v>
      </c>
      <c r="Q1758" t="str">
        <f>"38.466210"</f>
        <v>38.466210</v>
      </c>
      <c r="R1758" t="str">
        <f>"23.602227"</f>
        <v>23.602227</v>
      </c>
      <c r="S1758" t="s">
        <v>26</v>
      </c>
    </row>
    <row r="1759" spans="1:19" x14ac:dyDescent="0.3">
      <c r="A1759" t="s">
        <v>40240</v>
      </c>
      <c r="B1759" t="s">
        <v>40505</v>
      </c>
      <c r="C1759" t="s">
        <v>40782</v>
      </c>
      <c r="D1759" t="s">
        <v>40247</v>
      </c>
      <c r="E1759" t="s">
        <v>40248</v>
      </c>
      <c r="F1759" t="s">
        <v>40249</v>
      </c>
      <c r="G1759" t="s">
        <v>40249</v>
      </c>
      <c r="H1759" t="s">
        <v>51</v>
      </c>
      <c r="I1759" t="s">
        <v>52</v>
      </c>
      <c r="J1759" t="str">
        <f>"1201066"</f>
        <v>1201066</v>
      </c>
      <c r="K1759">
        <v>2221042042</v>
      </c>
      <c r="L1759">
        <v>2221045253</v>
      </c>
      <c r="M1759" t="s">
        <v>40783</v>
      </c>
      <c r="N1759" t="s">
        <v>40252</v>
      </c>
      <c r="O1759" t="s">
        <v>40784</v>
      </c>
      <c r="P1759">
        <v>34600</v>
      </c>
      <c r="Q1759" t="str">
        <f>"38.508426"</f>
        <v>38.508426</v>
      </c>
      <c r="R1759" t="str">
        <f>"23.640172"</f>
        <v>23.640172</v>
      </c>
      <c r="S1759" t="s">
        <v>26</v>
      </c>
    </row>
    <row r="1760" spans="1:19" x14ac:dyDescent="0.3">
      <c r="A1760" t="s">
        <v>40240</v>
      </c>
      <c r="B1760" t="s">
        <v>40505</v>
      </c>
      <c r="C1760" t="s">
        <v>40787</v>
      </c>
      <c r="D1760" t="s">
        <v>40247</v>
      </c>
      <c r="E1760" t="s">
        <v>40539</v>
      </c>
      <c r="F1760" t="s">
        <v>40558</v>
      </c>
      <c r="G1760" t="s">
        <v>40559</v>
      </c>
      <c r="H1760" t="s">
        <v>51</v>
      </c>
      <c r="I1760" t="s">
        <v>52</v>
      </c>
      <c r="J1760" t="str">
        <f>"1212010"</f>
        <v>1212010</v>
      </c>
      <c r="K1760">
        <v>2227022379</v>
      </c>
      <c r="L1760">
        <v>2227022379</v>
      </c>
      <c r="M1760" t="s">
        <v>40788</v>
      </c>
      <c r="N1760" t="s">
        <v>40563</v>
      </c>
      <c r="O1760" t="s">
        <v>40562</v>
      </c>
      <c r="P1760">
        <v>34004</v>
      </c>
      <c r="Q1760" t="str">
        <f>"38.798721"</f>
        <v>38.798721</v>
      </c>
      <c r="R1760" t="str">
        <f>"23.476874"</f>
        <v>23.476874</v>
      </c>
      <c r="S1760" t="s">
        <v>26</v>
      </c>
    </row>
    <row r="1761" spans="1:19" x14ac:dyDescent="0.3">
      <c r="A1761" t="s">
        <v>40240</v>
      </c>
      <c r="B1761" t="s">
        <v>40505</v>
      </c>
      <c r="C1761" t="s">
        <v>40789</v>
      </c>
      <c r="D1761" t="s">
        <v>40247</v>
      </c>
      <c r="E1761" t="s">
        <v>40589</v>
      </c>
      <c r="F1761" t="s">
        <v>40629</v>
      </c>
      <c r="G1761" t="s">
        <v>40629</v>
      </c>
      <c r="H1761" t="s">
        <v>51</v>
      </c>
      <c r="I1761" t="s">
        <v>52</v>
      </c>
      <c r="J1761" t="str">
        <f>"1208010"</f>
        <v>1208010</v>
      </c>
      <c r="K1761">
        <v>2222058246</v>
      </c>
      <c r="M1761" t="s">
        <v>40790</v>
      </c>
      <c r="N1761" t="s">
        <v>40791</v>
      </c>
      <c r="O1761" t="s">
        <v>40792</v>
      </c>
      <c r="P1761">
        <v>34016</v>
      </c>
      <c r="Q1761" t="str">
        <f>"38.547055"</f>
        <v>38.547055</v>
      </c>
      <c r="R1761" t="str">
        <f>"24.025014"</f>
        <v>24.025014</v>
      </c>
      <c r="S1761" t="s">
        <v>26</v>
      </c>
    </row>
    <row r="1762" spans="1:19" x14ac:dyDescent="0.3">
      <c r="A1762" t="s">
        <v>40240</v>
      </c>
      <c r="B1762" t="s">
        <v>40505</v>
      </c>
      <c r="C1762" t="s">
        <v>40799</v>
      </c>
      <c r="D1762" t="s">
        <v>40247</v>
      </c>
      <c r="E1762" t="s">
        <v>40566</v>
      </c>
      <c r="F1762" t="s">
        <v>40567</v>
      </c>
      <c r="G1762" t="s">
        <v>40567</v>
      </c>
      <c r="H1762" t="s">
        <v>51</v>
      </c>
      <c r="I1762" t="s">
        <v>52</v>
      </c>
      <c r="J1762" t="str">
        <f>"1203020"</f>
        <v>1203020</v>
      </c>
      <c r="K1762">
        <v>2226071216</v>
      </c>
      <c r="L1762">
        <v>2226071216</v>
      </c>
      <c r="M1762" t="s">
        <v>40800</v>
      </c>
      <c r="N1762" t="s">
        <v>40801</v>
      </c>
      <c r="O1762" t="s">
        <v>40801</v>
      </c>
      <c r="P1762">
        <v>34012</v>
      </c>
      <c r="Q1762" t="str">
        <f>"38.950725"</f>
        <v>38.950725</v>
      </c>
      <c r="R1762" t="str">
        <f>"23.092766"</f>
        <v>23.092766</v>
      </c>
      <c r="S1762" t="s">
        <v>26</v>
      </c>
    </row>
    <row r="1763" spans="1:19" x14ac:dyDescent="0.3">
      <c r="A1763" t="s">
        <v>40240</v>
      </c>
      <c r="B1763" t="s">
        <v>40505</v>
      </c>
      <c r="C1763" t="s">
        <v>40810</v>
      </c>
      <c r="D1763" t="s">
        <v>40247</v>
      </c>
      <c r="E1763" t="s">
        <v>40248</v>
      </c>
      <c r="F1763" t="s">
        <v>40809</v>
      </c>
      <c r="G1763" t="s">
        <v>2808</v>
      </c>
      <c r="H1763" t="s">
        <v>51</v>
      </c>
      <c r="I1763" t="s">
        <v>52</v>
      </c>
      <c r="J1763" t="str">
        <f>"1201080"</f>
        <v>1201080</v>
      </c>
      <c r="K1763">
        <v>2221098570</v>
      </c>
      <c r="L1763">
        <v>2221098570</v>
      </c>
      <c r="M1763" t="s">
        <v>40811</v>
      </c>
      <c r="N1763" t="s">
        <v>2805</v>
      </c>
      <c r="O1763" t="s">
        <v>40812</v>
      </c>
      <c r="P1763">
        <v>34100</v>
      </c>
      <c r="Q1763" t="str">
        <f>"38.483018"</f>
        <v>38.483018</v>
      </c>
      <c r="R1763" t="str">
        <f>"23.552952"</f>
        <v>23.552952</v>
      </c>
      <c r="S1763" t="s">
        <v>26</v>
      </c>
    </row>
    <row r="1764" spans="1:19" x14ac:dyDescent="0.3">
      <c r="A1764" t="s">
        <v>40240</v>
      </c>
      <c r="B1764" t="s">
        <v>40505</v>
      </c>
      <c r="C1764" t="s">
        <v>40814</v>
      </c>
      <c r="D1764" t="s">
        <v>40247</v>
      </c>
      <c r="E1764" t="s">
        <v>40248</v>
      </c>
      <c r="F1764" t="s">
        <v>40596</v>
      </c>
      <c r="G1764" t="s">
        <v>12041</v>
      </c>
      <c r="H1764" t="s">
        <v>51</v>
      </c>
      <c r="I1764" t="s">
        <v>199</v>
      </c>
      <c r="J1764" t="str">
        <f>"1250035"</f>
        <v>1250035</v>
      </c>
      <c r="K1764">
        <v>2221090307</v>
      </c>
      <c r="L1764">
        <v>2221092868</v>
      </c>
      <c r="M1764" t="s">
        <v>40815</v>
      </c>
      <c r="N1764" t="s">
        <v>40816</v>
      </c>
      <c r="O1764" t="s">
        <v>40817</v>
      </c>
      <c r="P1764">
        <v>34100</v>
      </c>
      <c r="Q1764" t="str">
        <f>"38.399905"</f>
        <v>38.399905</v>
      </c>
      <c r="R1764" t="str">
        <f>"23.561959"</f>
        <v>23.561959</v>
      </c>
      <c r="S1764" t="s">
        <v>26</v>
      </c>
    </row>
    <row r="1765" spans="1:19" x14ac:dyDescent="0.3">
      <c r="A1765" t="s">
        <v>40240</v>
      </c>
      <c r="B1765" t="s">
        <v>40505</v>
      </c>
      <c r="C1765" t="s">
        <v>40823</v>
      </c>
      <c r="D1765" t="s">
        <v>40247</v>
      </c>
      <c r="E1765" t="s">
        <v>40248</v>
      </c>
      <c r="F1765" t="s">
        <v>40596</v>
      </c>
      <c r="G1765" t="s">
        <v>40822</v>
      </c>
      <c r="H1765" t="s">
        <v>51</v>
      </c>
      <c r="I1765" t="s">
        <v>190</v>
      </c>
      <c r="J1765" t="str">
        <f>"1239001"</f>
        <v>1239001</v>
      </c>
      <c r="K1765">
        <v>2221032910</v>
      </c>
      <c r="L1765">
        <v>2221032910</v>
      </c>
      <c r="M1765" t="s">
        <v>40824</v>
      </c>
      <c r="N1765" t="s">
        <v>40825</v>
      </c>
      <c r="O1765" t="s">
        <v>40826</v>
      </c>
      <c r="P1765">
        <v>34100</v>
      </c>
      <c r="Q1765" t="str">
        <f>"38.384963"</f>
        <v>38.384963</v>
      </c>
      <c r="R1765" t="str">
        <f>"23.596828"</f>
        <v>23.596828</v>
      </c>
      <c r="S1765" t="s">
        <v>26</v>
      </c>
    </row>
    <row r="1766" spans="1:19" x14ac:dyDescent="0.3">
      <c r="A1766" t="s">
        <v>40240</v>
      </c>
      <c r="B1766" t="s">
        <v>40835</v>
      </c>
      <c r="C1766" t="s">
        <v>40838</v>
      </c>
      <c r="D1766" t="s">
        <v>40254</v>
      </c>
      <c r="E1766" t="s">
        <v>40255</v>
      </c>
      <c r="F1766" t="s">
        <v>40836</v>
      </c>
      <c r="G1766" t="s">
        <v>40837</v>
      </c>
      <c r="H1766" t="s">
        <v>51</v>
      </c>
      <c r="I1766" t="s">
        <v>89</v>
      </c>
      <c r="J1766" t="str">
        <f>"1305010"</f>
        <v>1305010</v>
      </c>
      <c r="K1766">
        <v>2237051209</v>
      </c>
      <c r="L1766">
        <v>2237051209</v>
      </c>
      <c r="M1766" t="s">
        <v>40839</v>
      </c>
      <c r="N1766" t="s">
        <v>40836</v>
      </c>
      <c r="O1766" t="s">
        <v>40840</v>
      </c>
      <c r="P1766">
        <v>36080</v>
      </c>
      <c r="Q1766" t="str">
        <f>"39.060497"</f>
        <v>39.060497</v>
      </c>
      <c r="R1766" t="str">
        <f>"21.871332"</f>
        <v>21.871332</v>
      </c>
      <c r="S1766" t="s">
        <v>57</v>
      </c>
    </row>
    <row r="1767" spans="1:19" x14ac:dyDescent="0.3">
      <c r="A1767" t="s">
        <v>40240</v>
      </c>
      <c r="B1767" t="s">
        <v>40835</v>
      </c>
      <c r="C1767" t="s">
        <v>40845</v>
      </c>
      <c r="D1767" t="s">
        <v>40254</v>
      </c>
      <c r="E1767" t="s">
        <v>40842</v>
      </c>
      <c r="F1767" t="s">
        <v>40843</v>
      </c>
      <c r="G1767" t="s">
        <v>40844</v>
      </c>
      <c r="H1767" t="s">
        <v>51</v>
      </c>
      <c r="I1767" t="s">
        <v>89</v>
      </c>
      <c r="J1767" t="str">
        <f>"1306010"</f>
        <v>1306010</v>
      </c>
      <c r="K1767">
        <v>2237061265</v>
      </c>
      <c r="L1767">
        <v>2237061265</v>
      </c>
      <c r="M1767" t="s">
        <v>40846</v>
      </c>
      <c r="N1767" t="s">
        <v>40847</v>
      </c>
      <c r="O1767" t="s">
        <v>40847</v>
      </c>
      <c r="P1767">
        <v>36072</v>
      </c>
      <c r="Q1767" t="str">
        <f>"39.101554"</f>
        <v>39.101554</v>
      </c>
      <c r="R1767" t="str">
        <f>"21.506835"</f>
        <v>21.506835</v>
      </c>
      <c r="S1767" t="s">
        <v>57</v>
      </c>
    </row>
    <row r="1768" spans="1:19" x14ac:dyDescent="0.3">
      <c r="A1768" t="s">
        <v>40240</v>
      </c>
      <c r="B1768" t="s">
        <v>40835</v>
      </c>
      <c r="C1768" t="s">
        <v>40864</v>
      </c>
      <c r="D1768" t="s">
        <v>40254</v>
      </c>
      <c r="E1768" t="s">
        <v>40842</v>
      </c>
      <c r="F1768" t="s">
        <v>40862</v>
      </c>
      <c r="G1768" t="s">
        <v>40863</v>
      </c>
      <c r="H1768" t="s">
        <v>51</v>
      </c>
      <c r="I1768" t="s">
        <v>89</v>
      </c>
      <c r="J1768" t="str">
        <f>"1306030"</f>
        <v>1306030</v>
      </c>
      <c r="K1768">
        <v>2237097247</v>
      </c>
      <c r="L1768">
        <v>2237097247</v>
      </c>
      <c r="M1768" t="s">
        <v>40865</v>
      </c>
      <c r="N1768" t="s">
        <v>40866</v>
      </c>
      <c r="O1768" t="s">
        <v>40867</v>
      </c>
      <c r="P1768">
        <v>36070</v>
      </c>
      <c r="Q1768" t="str">
        <f>"39.150920"</f>
        <v>39.150920</v>
      </c>
      <c r="R1768" t="str">
        <f>"21.477326"</f>
        <v>21.477326</v>
      </c>
      <c r="S1768" t="s">
        <v>57</v>
      </c>
    </row>
    <row r="1769" spans="1:19" x14ac:dyDescent="0.3">
      <c r="A1769" t="s">
        <v>40240</v>
      </c>
      <c r="B1769" t="s">
        <v>40835</v>
      </c>
      <c r="C1769" t="s">
        <v>40871</v>
      </c>
      <c r="D1769" t="s">
        <v>40254</v>
      </c>
      <c r="E1769" t="s">
        <v>40842</v>
      </c>
      <c r="F1769" t="s">
        <v>40869</v>
      </c>
      <c r="G1769" t="s">
        <v>40870</v>
      </c>
      <c r="H1769" t="s">
        <v>51</v>
      </c>
      <c r="I1769" t="s">
        <v>89</v>
      </c>
      <c r="J1769" t="str">
        <f>"1303010"</f>
        <v>1303010</v>
      </c>
      <c r="K1769">
        <v>2237031227</v>
      </c>
      <c r="L1769">
        <v>2237031227</v>
      </c>
      <c r="M1769" t="s">
        <v>40872</v>
      </c>
      <c r="N1769" t="s">
        <v>40873</v>
      </c>
      <c r="O1769" t="s">
        <v>40873</v>
      </c>
      <c r="P1769">
        <v>36071</v>
      </c>
      <c r="Q1769" t="str">
        <f>"39.005408"</f>
        <v>39.005408</v>
      </c>
      <c r="R1769" t="str">
        <f>"21.638638"</f>
        <v>21.638638</v>
      </c>
      <c r="S1769" t="s">
        <v>57</v>
      </c>
    </row>
    <row r="1770" spans="1:19" x14ac:dyDescent="0.3">
      <c r="A1770" t="s">
        <v>40240</v>
      </c>
      <c r="B1770" t="s">
        <v>40835</v>
      </c>
      <c r="C1770" t="s">
        <v>40875</v>
      </c>
      <c r="D1770" t="s">
        <v>40254</v>
      </c>
      <c r="E1770" t="s">
        <v>40842</v>
      </c>
      <c r="F1770" t="s">
        <v>40849</v>
      </c>
      <c r="G1770" t="s">
        <v>40850</v>
      </c>
      <c r="H1770" t="s">
        <v>51</v>
      </c>
      <c r="I1770" t="s">
        <v>52</v>
      </c>
      <c r="J1770" t="str">
        <f>"1303030"</f>
        <v>1303030</v>
      </c>
      <c r="K1770">
        <v>2237095226</v>
      </c>
      <c r="L1770">
        <v>2237095226</v>
      </c>
      <c r="M1770" t="s">
        <v>40876</v>
      </c>
      <c r="N1770" t="s">
        <v>40853</v>
      </c>
      <c r="O1770" t="s">
        <v>40877</v>
      </c>
      <c r="P1770">
        <v>36071</v>
      </c>
      <c r="Q1770" t="str">
        <f>"38.959797"</f>
        <v>38.959797</v>
      </c>
      <c r="R1770" t="str">
        <f>"21.603446"</f>
        <v>21.603446</v>
      </c>
      <c r="S1770" t="s">
        <v>57</v>
      </c>
    </row>
    <row r="1771" spans="1:19" x14ac:dyDescent="0.3">
      <c r="A1771" t="s">
        <v>40240</v>
      </c>
      <c r="B1771" t="s">
        <v>40835</v>
      </c>
      <c r="C1771" t="s">
        <v>40878</v>
      </c>
      <c r="D1771" t="s">
        <v>40254</v>
      </c>
      <c r="E1771" t="s">
        <v>40255</v>
      </c>
      <c r="F1771" t="s">
        <v>40255</v>
      </c>
      <c r="G1771" t="s">
        <v>40255</v>
      </c>
      <c r="H1771" t="s">
        <v>51</v>
      </c>
      <c r="I1771" t="s">
        <v>52</v>
      </c>
      <c r="J1771" t="str">
        <f>"1301010"</f>
        <v>1301010</v>
      </c>
      <c r="K1771">
        <v>2237022359</v>
      </c>
      <c r="L1771">
        <v>2237022359</v>
      </c>
      <c r="M1771" t="s">
        <v>40879</v>
      </c>
      <c r="N1771" t="s">
        <v>40255</v>
      </c>
      <c r="O1771" t="s">
        <v>16506</v>
      </c>
      <c r="P1771">
        <v>36100</v>
      </c>
      <c r="Q1771" t="str">
        <f>"38.915218"</f>
        <v>38.915218</v>
      </c>
      <c r="R1771" t="str">
        <f>"21.789388"</f>
        <v>21.789388</v>
      </c>
      <c r="S1771" t="s">
        <v>26</v>
      </c>
    </row>
    <row r="1772" spans="1:19" x14ac:dyDescent="0.3">
      <c r="A1772" t="s">
        <v>40240</v>
      </c>
      <c r="B1772" t="s">
        <v>40835</v>
      </c>
      <c r="C1772" t="s">
        <v>40881</v>
      </c>
      <c r="D1772" t="s">
        <v>40254</v>
      </c>
      <c r="E1772" t="s">
        <v>40842</v>
      </c>
      <c r="F1772" t="s">
        <v>40849</v>
      </c>
      <c r="G1772" t="s">
        <v>40880</v>
      </c>
      <c r="H1772" t="s">
        <v>51</v>
      </c>
      <c r="I1772" t="s">
        <v>52</v>
      </c>
      <c r="J1772" t="str">
        <f>"1308010"</f>
        <v>1308010</v>
      </c>
      <c r="K1772">
        <v>2237095852</v>
      </c>
      <c r="L1772">
        <v>2237095852</v>
      </c>
      <c r="M1772" t="s">
        <v>40882</v>
      </c>
      <c r="N1772" t="s">
        <v>40883</v>
      </c>
      <c r="O1772" t="s">
        <v>40883</v>
      </c>
      <c r="P1772">
        <v>36072</v>
      </c>
      <c r="Q1772" t="str">
        <f>""</f>
        <v/>
      </c>
      <c r="R1772" t="str">
        <f>""</f>
        <v/>
      </c>
      <c r="S1772" t="s">
        <v>57</v>
      </c>
    </row>
    <row r="1773" spans="1:19" x14ac:dyDescent="0.3">
      <c r="A1773" t="s">
        <v>40240</v>
      </c>
      <c r="B1773" t="s">
        <v>40835</v>
      </c>
      <c r="C1773" t="s">
        <v>40888</v>
      </c>
      <c r="D1773" t="s">
        <v>40254</v>
      </c>
      <c r="E1773" t="s">
        <v>40255</v>
      </c>
      <c r="F1773" t="s">
        <v>40255</v>
      </c>
      <c r="G1773" t="s">
        <v>40255</v>
      </c>
      <c r="H1773" t="s">
        <v>51</v>
      </c>
      <c r="I1773" t="s">
        <v>52</v>
      </c>
      <c r="J1773" t="str">
        <f>"1301015"</f>
        <v>1301015</v>
      </c>
      <c r="K1773">
        <v>2237021004</v>
      </c>
      <c r="L1773">
        <v>2237025488</v>
      </c>
      <c r="M1773" t="s">
        <v>40889</v>
      </c>
      <c r="N1773" t="s">
        <v>40258</v>
      </c>
      <c r="O1773" t="s">
        <v>40890</v>
      </c>
      <c r="P1773">
        <v>36100</v>
      </c>
      <c r="Q1773" t="str">
        <f>"38.911312"</f>
        <v>38.911312</v>
      </c>
      <c r="R1773" t="str">
        <f>"21.809513"</f>
        <v>21.809513</v>
      </c>
      <c r="S1773" t="s">
        <v>26</v>
      </c>
    </row>
    <row r="1774" spans="1:19" x14ac:dyDescent="0.3">
      <c r="A1774" t="s">
        <v>40240</v>
      </c>
      <c r="B1774" t="s">
        <v>40891</v>
      </c>
      <c r="C1774" t="s">
        <v>40892</v>
      </c>
      <c r="D1774" t="s">
        <v>40260</v>
      </c>
      <c r="E1774" t="s">
        <v>40261</v>
      </c>
      <c r="F1774" t="s">
        <v>40261</v>
      </c>
      <c r="G1774" t="s">
        <v>40261</v>
      </c>
      <c r="H1774" t="s">
        <v>51</v>
      </c>
      <c r="I1774" t="s">
        <v>52</v>
      </c>
      <c r="J1774" t="str">
        <f>"4601030"</f>
        <v>4601030</v>
      </c>
      <c r="K1774">
        <v>2231052433</v>
      </c>
      <c r="L1774">
        <v>2231022476</v>
      </c>
      <c r="M1774" t="s">
        <v>40893</v>
      </c>
      <c r="N1774" t="s">
        <v>40894</v>
      </c>
      <c r="O1774" t="s">
        <v>40895</v>
      </c>
      <c r="P1774">
        <v>35131</v>
      </c>
      <c r="Q1774" t="str">
        <f>"38.902841"</f>
        <v>38.902841</v>
      </c>
      <c r="R1774" t="str">
        <f>"22.446340"</f>
        <v>22.446340</v>
      </c>
      <c r="S1774" t="s">
        <v>26</v>
      </c>
    </row>
    <row r="1775" spans="1:19" x14ac:dyDescent="0.3">
      <c r="A1775" t="s">
        <v>40240</v>
      </c>
      <c r="B1775" t="s">
        <v>40891</v>
      </c>
      <c r="C1775" t="s">
        <v>40899</v>
      </c>
      <c r="D1775" t="s">
        <v>40260</v>
      </c>
      <c r="E1775" t="s">
        <v>40897</v>
      </c>
      <c r="F1775" t="s">
        <v>40898</v>
      </c>
      <c r="G1775" t="s">
        <v>40898</v>
      </c>
      <c r="H1775" t="s">
        <v>51</v>
      </c>
      <c r="I1775" t="s">
        <v>52</v>
      </c>
      <c r="J1775" t="str">
        <f>"4602010"</f>
        <v>4602010</v>
      </c>
      <c r="K1775">
        <v>2234022282</v>
      </c>
      <c r="L1775">
        <v>2234022282</v>
      </c>
      <c r="M1775" t="s">
        <v>40900</v>
      </c>
      <c r="N1775" t="s">
        <v>40901</v>
      </c>
      <c r="O1775" t="s">
        <v>40902</v>
      </c>
      <c r="P1775">
        <v>35002</v>
      </c>
      <c r="Q1775" t="str">
        <f>"38.641908"</f>
        <v>38.641908</v>
      </c>
      <c r="R1775" t="str">
        <f>"22.588997"</f>
        <v>22.588997</v>
      </c>
      <c r="S1775" t="s">
        <v>26</v>
      </c>
    </row>
    <row r="1776" spans="1:19" x14ac:dyDescent="0.3">
      <c r="A1776" t="s">
        <v>40240</v>
      </c>
      <c r="B1776" t="s">
        <v>40891</v>
      </c>
      <c r="C1776" t="s">
        <v>40906</v>
      </c>
      <c r="D1776" t="s">
        <v>40260</v>
      </c>
      <c r="E1776" t="s">
        <v>40904</v>
      </c>
      <c r="F1776" t="s">
        <v>40905</v>
      </c>
      <c r="G1776" t="s">
        <v>40905</v>
      </c>
      <c r="H1776" t="s">
        <v>51</v>
      </c>
      <c r="I1776" t="s">
        <v>52</v>
      </c>
      <c r="J1776" t="str">
        <f>"4607010"</f>
        <v>4607010</v>
      </c>
      <c r="K1776">
        <v>2236043237</v>
      </c>
      <c r="L1776">
        <v>2236043237</v>
      </c>
      <c r="M1776" t="s">
        <v>40907</v>
      </c>
      <c r="N1776" t="s">
        <v>40908</v>
      </c>
      <c r="O1776" t="s">
        <v>40908</v>
      </c>
      <c r="P1776">
        <v>35003</v>
      </c>
      <c r="Q1776" t="str">
        <f>"38.908378"</f>
        <v>38.908378</v>
      </c>
      <c r="R1776" t="str">
        <f>"22.119523"</f>
        <v>22.119523</v>
      </c>
      <c r="S1776" t="s">
        <v>26</v>
      </c>
    </row>
    <row r="1777" spans="1:19" x14ac:dyDescent="0.3">
      <c r="A1777" t="s">
        <v>40240</v>
      </c>
      <c r="B1777" t="s">
        <v>40891</v>
      </c>
      <c r="C1777" t="s">
        <v>40911</v>
      </c>
      <c r="D1777" t="s">
        <v>40260</v>
      </c>
      <c r="E1777" t="s">
        <v>40897</v>
      </c>
      <c r="F1777" t="s">
        <v>40910</v>
      </c>
      <c r="G1777" t="s">
        <v>40910</v>
      </c>
      <c r="H1777" t="s">
        <v>51</v>
      </c>
      <c r="I1777" t="s">
        <v>52</v>
      </c>
      <c r="J1777" t="str">
        <f>"4610010"</f>
        <v>4610010</v>
      </c>
      <c r="K1777">
        <v>2234032325</v>
      </c>
      <c r="L1777">
        <v>2234031321</v>
      </c>
      <c r="M1777" t="s">
        <v>40912</v>
      </c>
      <c r="N1777" t="s">
        <v>40913</v>
      </c>
      <c r="O1777" t="s">
        <v>40914</v>
      </c>
      <c r="P1777">
        <v>35004</v>
      </c>
      <c r="Q1777" t="str">
        <f>"38.629652"</f>
        <v>38.629652</v>
      </c>
      <c r="R1777" t="str">
        <f>"22.761371"</f>
        <v>22.761371</v>
      </c>
      <c r="S1777" t="s">
        <v>26</v>
      </c>
    </row>
    <row r="1778" spans="1:19" x14ac:dyDescent="0.3">
      <c r="A1778" t="s">
        <v>40240</v>
      </c>
      <c r="B1778" t="s">
        <v>40891</v>
      </c>
      <c r="C1778" t="s">
        <v>40917</v>
      </c>
      <c r="D1778" t="s">
        <v>40260</v>
      </c>
      <c r="E1778" t="s">
        <v>40261</v>
      </c>
      <c r="F1778" t="s">
        <v>40916</v>
      </c>
      <c r="G1778" t="s">
        <v>31139</v>
      </c>
      <c r="H1778" t="s">
        <v>51</v>
      </c>
      <c r="I1778" t="s">
        <v>89</v>
      </c>
      <c r="J1778" t="str">
        <f>"4619010"</f>
        <v>4619010</v>
      </c>
      <c r="K1778">
        <v>2231081219</v>
      </c>
      <c r="L1778">
        <v>2231081219</v>
      </c>
      <c r="M1778" t="s">
        <v>40918</v>
      </c>
      <c r="N1778" t="s">
        <v>40919</v>
      </c>
      <c r="O1778" t="s">
        <v>40920</v>
      </c>
      <c r="P1778">
        <v>35100</v>
      </c>
      <c r="Q1778" t="str">
        <f>"38.830904"</f>
        <v>38.830904</v>
      </c>
      <c r="R1778" t="str">
        <f>"22.449308"</f>
        <v>22.449308</v>
      </c>
      <c r="S1778" t="s">
        <v>26</v>
      </c>
    </row>
    <row r="1779" spans="1:19" x14ac:dyDescent="0.3">
      <c r="A1779" t="s">
        <v>40240</v>
      </c>
      <c r="B1779" t="s">
        <v>40891</v>
      </c>
      <c r="C1779" t="s">
        <v>40930</v>
      </c>
      <c r="D1779" t="s">
        <v>40260</v>
      </c>
      <c r="E1779" t="s">
        <v>40261</v>
      </c>
      <c r="F1779" t="s">
        <v>40261</v>
      </c>
      <c r="G1779" t="s">
        <v>40261</v>
      </c>
      <c r="H1779" t="s">
        <v>51</v>
      </c>
      <c r="I1779" t="s">
        <v>52</v>
      </c>
      <c r="J1779" t="str">
        <f>"4601065"</f>
        <v>4601065</v>
      </c>
      <c r="K1779">
        <v>2231045524</v>
      </c>
      <c r="L1779">
        <v>2231045524</v>
      </c>
      <c r="M1779" t="s">
        <v>40931</v>
      </c>
      <c r="N1779" t="s">
        <v>40264</v>
      </c>
      <c r="O1779" t="s">
        <v>40932</v>
      </c>
      <c r="P1779">
        <v>35132</v>
      </c>
      <c r="Q1779" t="str">
        <f>"38.890075"</f>
        <v>38.890075</v>
      </c>
      <c r="R1779" t="str">
        <f>"22.431430"</f>
        <v>22.431430</v>
      </c>
      <c r="S1779" t="s">
        <v>26</v>
      </c>
    </row>
    <row r="1780" spans="1:19" x14ac:dyDescent="0.3">
      <c r="A1780" t="s">
        <v>40240</v>
      </c>
      <c r="B1780" t="s">
        <v>40891</v>
      </c>
      <c r="C1780" t="s">
        <v>41049</v>
      </c>
      <c r="D1780" t="s">
        <v>40260</v>
      </c>
      <c r="E1780" t="s">
        <v>41038</v>
      </c>
      <c r="F1780" t="s">
        <v>41038</v>
      </c>
      <c r="G1780" t="s">
        <v>41038</v>
      </c>
      <c r="H1780" t="s">
        <v>51</v>
      </c>
      <c r="I1780" t="s">
        <v>52</v>
      </c>
      <c r="J1780" t="str">
        <f>"4601050"</f>
        <v>4601050</v>
      </c>
      <c r="K1780">
        <v>2238022377</v>
      </c>
      <c r="L1780">
        <v>2238022308</v>
      </c>
      <c r="M1780" t="s">
        <v>41050</v>
      </c>
      <c r="N1780" t="s">
        <v>41051</v>
      </c>
      <c r="O1780" t="s">
        <v>41052</v>
      </c>
      <c r="P1780">
        <v>35300</v>
      </c>
      <c r="Q1780" t="str">
        <f>"38.916664"</f>
        <v>38.916664</v>
      </c>
      <c r="R1780" t="str">
        <f>"22.607083"</f>
        <v>22.607083</v>
      </c>
      <c r="S1780" t="s">
        <v>26</v>
      </c>
    </row>
    <row r="1781" spans="1:19" x14ac:dyDescent="0.3">
      <c r="A1781" t="s">
        <v>40240</v>
      </c>
      <c r="B1781" t="s">
        <v>40891</v>
      </c>
      <c r="C1781" t="s">
        <v>41054</v>
      </c>
      <c r="D1781" t="s">
        <v>40260</v>
      </c>
      <c r="E1781" t="s">
        <v>40261</v>
      </c>
      <c r="F1781" t="s">
        <v>40261</v>
      </c>
      <c r="G1781" t="s">
        <v>40261</v>
      </c>
      <c r="H1781" t="s">
        <v>51</v>
      </c>
      <c r="I1781" t="s">
        <v>190</v>
      </c>
      <c r="J1781" t="str">
        <f>"4601045"</f>
        <v>4601045</v>
      </c>
      <c r="K1781">
        <v>2231046476</v>
      </c>
      <c r="L1781">
        <v>2231046476</v>
      </c>
      <c r="M1781" t="s">
        <v>41055</v>
      </c>
      <c r="N1781" t="s">
        <v>40264</v>
      </c>
      <c r="O1781" t="s">
        <v>41056</v>
      </c>
      <c r="P1781">
        <v>35100</v>
      </c>
      <c r="Q1781" t="str">
        <f>"38.889743"</f>
        <v>38.889743</v>
      </c>
      <c r="R1781" t="str">
        <f>"22.396083"</f>
        <v>22.396083</v>
      </c>
      <c r="S1781" t="s">
        <v>26</v>
      </c>
    </row>
    <row r="1782" spans="1:19" x14ac:dyDescent="0.3">
      <c r="A1782" t="s">
        <v>40240</v>
      </c>
      <c r="B1782" t="s">
        <v>40891</v>
      </c>
      <c r="C1782" t="s">
        <v>41058</v>
      </c>
      <c r="D1782" t="s">
        <v>40260</v>
      </c>
      <c r="E1782" t="s">
        <v>40904</v>
      </c>
      <c r="F1782" t="s">
        <v>40904</v>
      </c>
      <c r="G1782" t="s">
        <v>40904</v>
      </c>
      <c r="H1782" t="s">
        <v>51</v>
      </c>
      <c r="I1782" t="s">
        <v>52</v>
      </c>
      <c r="J1782" t="str">
        <f>"4605010"</f>
        <v>4605010</v>
      </c>
      <c r="K1782">
        <v>2236022314</v>
      </c>
      <c r="L1782">
        <v>2236024636</v>
      </c>
      <c r="M1782" t="s">
        <v>41059</v>
      </c>
      <c r="N1782" t="s">
        <v>40904</v>
      </c>
      <c r="O1782" t="s">
        <v>40959</v>
      </c>
      <c r="P1782">
        <v>35011</v>
      </c>
      <c r="Q1782" t="str">
        <f>"38.936919"</f>
        <v>38.936919</v>
      </c>
      <c r="R1782" t="str">
        <f>"22.117034"</f>
        <v>22.117034</v>
      </c>
      <c r="S1782" t="s">
        <v>26</v>
      </c>
    </row>
    <row r="1783" spans="1:19" x14ac:dyDescent="0.3">
      <c r="A1783" t="s">
        <v>40240</v>
      </c>
      <c r="B1783" t="s">
        <v>40891</v>
      </c>
      <c r="C1783" t="s">
        <v>41064</v>
      </c>
      <c r="D1783" t="s">
        <v>40260</v>
      </c>
      <c r="E1783" t="s">
        <v>40261</v>
      </c>
      <c r="F1783" t="s">
        <v>40261</v>
      </c>
      <c r="G1783" t="s">
        <v>40261</v>
      </c>
      <c r="H1783" t="s">
        <v>51</v>
      </c>
      <c r="I1783" t="s">
        <v>52</v>
      </c>
      <c r="J1783" t="str">
        <f>"4601041"</f>
        <v>4601041</v>
      </c>
      <c r="K1783">
        <v>2231023591</v>
      </c>
      <c r="L1783">
        <v>2231066634</v>
      </c>
      <c r="M1783" t="s">
        <v>41065</v>
      </c>
      <c r="N1783" t="s">
        <v>40264</v>
      </c>
      <c r="O1783" t="s">
        <v>41066</v>
      </c>
      <c r="P1783">
        <v>35100</v>
      </c>
      <c r="Q1783" t="str">
        <f>"38.903277"</f>
        <v>38.903277</v>
      </c>
      <c r="R1783" t="str">
        <f>"22.431356"</f>
        <v>22.431356</v>
      </c>
      <c r="S1783" t="s">
        <v>26</v>
      </c>
    </row>
    <row r="1784" spans="1:19" x14ac:dyDescent="0.3">
      <c r="A1784" t="s">
        <v>40240</v>
      </c>
      <c r="B1784" t="s">
        <v>40891</v>
      </c>
      <c r="C1784" t="s">
        <v>41068</v>
      </c>
      <c r="D1784" t="s">
        <v>40260</v>
      </c>
      <c r="E1784" t="s">
        <v>40922</v>
      </c>
      <c r="F1784" t="s">
        <v>40928</v>
      </c>
      <c r="G1784" t="s">
        <v>40928</v>
      </c>
      <c r="H1784" t="s">
        <v>51</v>
      </c>
      <c r="I1784" t="s">
        <v>52</v>
      </c>
      <c r="J1784" t="str">
        <f>"4603010"</f>
        <v>4603010</v>
      </c>
      <c r="K1784">
        <v>2233022279</v>
      </c>
      <c r="L1784">
        <v>2233081002</v>
      </c>
      <c r="M1784" t="s">
        <v>41069</v>
      </c>
      <c r="N1784" t="s">
        <v>41070</v>
      </c>
      <c r="O1784" t="s">
        <v>41048</v>
      </c>
      <c r="P1784">
        <v>35200</v>
      </c>
      <c r="Q1784" t="str">
        <f>"38.659015"</f>
        <v>38.659015</v>
      </c>
      <c r="R1784" t="str">
        <f>"23.005515"</f>
        <v>23.005515</v>
      </c>
      <c r="S1784" t="s">
        <v>26</v>
      </c>
    </row>
    <row r="1785" spans="1:19" x14ac:dyDescent="0.3">
      <c r="A1785" t="s">
        <v>40240</v>
      </c>
      <c r="B1785" t="s">
        <v>40891</v>
      </c>
      <c r="C1785" t="s">
        <v>41071</v>
      </c>
      <c r="D1785" t="s">
        <v>40260</v>
      </c>
      <c r="E1785" t="s">
        <v>40261</v>
      </c>
      <c r="F1785" t="s">
        <v>40261</v>
      </c>
      <c r="G1785" t="s">
        <v>40261</v>
      </c>
      <c r="H1785" t="s">
        <v>51</v>
      </c>
      <c r="I1785" t="s">
        <v>52</v>
      </c>
      <c r="J1785" t="str">
        <f>"4601032"</f>
        <v>4601032</v>
      </c>
      <c r="K1785">
        <v>2231024430</v>
      </c>
      <c r="L1785">
        <v>2231024505</v>
      </c>
      <c r="M1785" t="s">
        <v>41072</v>
      </c>
      <c r="N1785" t="s">
        <v>40264</v>
      </c>
      <c r="O1785" t="s">
        <v>41073</v>
      </c>
      <c r="P1785">
        <v>35131</v>
      </c>
      <c r="Q1785" t="str">
        <f>"38.912687"</f>
        <v>38.912687</v>
      </c>
      <c r="R1785" t="str">
        <f>"22.431420"</f>
        <v>22.431420</v>
      </c>
      <c r="S1785" t="s">
        <v>26</v>
      </c>
    </row>
    <row r="1786" spans="1:19" x14ac:dyDescent="0.3">
      <c r="A1786" t="s">
        <v>40240</v>
      </c>
      <c r="B1786" t="s">
        <v>40891</v>
      </c>
      <c r="C1786" t="s">
        <v>41074</v>
      </c>
      <c r="D1786" t="s">
        <v>40260</v>
      </c>
      <c r="E1786" t="s">
        <v>40922</v>
      </c>
      <c r="F1786" t="s">
        <v>40989</v>
      </c>
      <c r="G1786" t="s">
        <v>40990</v>
      </c>
      <c r="H1786" t="s">
        <v>51</v>
      </c>
      <c r="I1786" t="s">
        <v>52</v>
      </c>
      <c r="J1786" t="str">
        <f>"4611010"</f>
        <v>4611010</v>
      </c>
      <c r="K1786">
        <v>2233061216</v>
      </c>
      <c r="L1786">
        <v>2233061216</v>
      </c>
      <c r="M1786" t="s">
        <v>41075</v>
      </c>
      <c r="N1786" t="s">
        <v>41076</v>
      </c>
      <c r="O1786" t="s">
        <v>41077</v>
      </c>
      <c r="P1786">
        <v>35005</v>
      </c>
      <c r="Q1786" t="str">
        <f>"38.566874"</f>
        <v>38.566874</v>
      </c>
      <c r="R1786" t="str">
        <f>"23.211955"</f>
        <v>23.211955</v>
      </c>
      <c r="S1786" t="s">
        <v>26</v>
      </c>
    </row>
    <row r="1787" spans="1:19" x14ac:dyDescent="0.3">
      <c r="A1787" t="s">
        <v>40240</v>
      </c>
      <c r="B1787" t="s">
        <v>40891</v>
      </c>
      <c r="C1787" t="s">
        <v>41079</v>
      </c>
      <c r="D1787" t="s">
        <v>40260</v>
      </c>
      <c r="E1787" t="s">
        <v>40261</v>
      </c>
      <c r="F1787" t="s">
        <v>40261</v>
      </c>
      <c r="G1787" t="s">
        <v>41078</v>
      </c>
      <c r="H1787" t="s">
        <v>51</v>
      </c>
      <c r="I1787" t="s">
        <v>52</v>
      </c>
      <c r="J1787" t="str">
        <f>"4601060"</f>
        <v>4601060</v>
      </c>
      <c r="K1787">
        <v>2231025187</v>
      </c>
      <c r="L1787">
        <v>2231025337</v>
      </c>
      <c r="M1787" t="s">
        <v>41080</v>
      </c>
      <c r="N1787" t="s">
        <v>40264</v>
      </c>
      <c r="O1787" t="s">
        <v>41081</v>
      </c>
      <c r="P1787">
        <v>35100</v>
      </c>
      <c r="Q1787" t="str">
        <f>"38.892209"</f>
        <v>38.892209</v>
      </c>
      <c r="R1787" t="str">
        <f>"22.470086"</f>
        <v>22.470086</v>
      </c>
      <c r="S1787" t="s">
        <v>26</v>
      </c>
    </row>
    <row r="1788" spans="1:19" x14ac:dyDescent="0.3">
      <c r="A1788" t="s">
        <v>40240</v>
      </c>
      <c r="B1788" t="s">
        <v>40891</v>
      </c>
      <c r="C1788" t="s">
        <v>41084</v>
      </c>
      <c r="D1788" t="s">
        <v>40260</v>
      </c>
      <c r="E1788" t="s">
        <v>40261</v>
      </c>
      <c r="F1788" t="s">
        <v>40975</v>
      </c>
      <c r="G1788" t="s">
        <v>40975</v>
      </c>
      <c r="H1788" t="s">
        <v>51</v>
      </c>
      <c r="I1788" t="s">
        <v>52</v>
      </c>
      <c r="J1788" t="str">
        <f>"4608010"</f>
        <v>4608010</v>
      </c>
      <c r="K1788">
        <v>2231098325</v>
      </c>
      <c r="L1788">
        <v>2231098063</v>
      </c>
      <c r="M1788" t="s">
        <v>41085</v>
      </c>
      <c r="N1788" t="s">
        <v>40978</v>
      </c>
      <c r="O1788" t="s">
        <v>40979</v>
      </c>
      <c r="P1788">
        <v>35016</v>
      </c>
      <c r="Q1788" t="str">
        <f>"38.871398"</f>
        <v>38.871398</v>
      </c>
      <c r="R1788" t="str">
        <f>"22.237127"</f>
        <v>22.237127</v>
      </c>
      <c r="S1788" t="s">
        <v>26</v>
      </c>
    </row>
    <row r="1789" spans="1:19" x14ac:dyDescent="0.3">
      <c r="A1789" t="s">
        <v>40240</v>
      </c>
      <c r="B1789" t="s">
        <v>40891</v>
      </c>
      <c r="C1789" t="s">
        <v>41086</v>
      </c>
      <c r="D1789" t="s">
        <v>40260</v>
      </c>
      <c r="E1789" t="s">
        <v>41003</v>
      </c>
      <c r="F1789" t="s">
        <v>41004</v>
      </c>
      <c r="G1789" t="s">
        <v>41004</v>
      </c>
      <c r="H1789" t="s">
        <v>51</v>
      </c>
      <c r="I1789" t="s">
        <v>52</v>
      </c>
      <c r="J1789" t="str">
        <f>"4606010"</f>
        <v>4606010</v>
      </c>
      <c r="K1789">
        <v>2235051227</v>
      </c>
      <c r="L1789">
        <v>2235052450</v>
      </c>
      <c r="M1789" t="s">
        <v>41087</v>
      </c>
      <c r="N1789" t="s">
        <v>41088</v>
      </c>
      <c r="O1789" t="s">
        <v>41008</v>
      </c>
      <c r="P1789">
        <v>35009</v>
      </c>
      <c r="Q1789" t="str">
        <f>"38.810882"</f>
        <v>38.810882</v>
      </c>
      <c r="R1789" t="str">
        <f>"22.641438"</f>
        <v>22.641438</v>
      </c>
      <c r="S1789" t="s">
        <v>26</v>
      </c>
    </row>
    <row r="1790" spans="1:19" x14ac:dyDescent="0.3">
      <c r="A1790" t="s">
        <v>40240</v>
      </c>
      <c r="B1790" t="s">
        <v>40891</v>
      </c>
      <c r="C1790" t="s">
        <v>41089</v>
      </c>
      <c r="D1790" t="s">
        <v>40260</v>
      </c>
      <c r="E1790" t="s">
        <v>41038</v>
      </c>
      <c r="F1790" t="s">
        <v>41039</v>
      </c>
      <c r="G1790" t="s">
        <v>41039</v>
      </c>
      <c r="H1790" t="s">
        <v>51</v>
      </c>
      <c r="I1790" t="s">
        <v>52</v>
      </c>
      <c r="J1790" t="str">
        <f>"4612010"</f>
        <v>4612010</v>
      </c>
      <c r="K1790">
        <v>2238051255</v>
      </c>
      <c r="L1790">
        <v>2238051255</v>
      </c>
      <c r="M1790" t="s">
        <v>41090</v>
      </c>
      <c r="N1790" t="s">
        <v>41091</v>
      </c>
      <c r="O1790" t="s">
        <v>41043</v>
      </c>
      <c r="P1790">
        <v>35300</v>
      </c>
      <c r="Q1790" t="str">
        <f>"38.944686"</f>
        <v>38.944686</v>
      </c>
      <c r="R1790" t="str">
        <f>"22.836573"</f>
        <v>22.836573</v>
      </c>
      <c r="S1790" t="s">
        <v>26</v>
      </c>
    </row>
    <row r="1791" spans="1:19" x14ac:dyDescent="0.3">
      <c r="A1791" t="s">
        <v>40240</v>
      </c>
      <c r="B1791" t="s">
        <v>40891</v>
      </c>
      <c r="C1791" t="s">
        <v>41092</v>
      </c>
      <c r="D1791" t="s">
        <v>40260</v>
      </c>
      <c r="E1791" t="s">
        <v>40261</v>
      </c>
      <c r="F1791" t="s">
        <v>40261</v>
      </c>
      <c r="G1791" t="s">
        <v>40261</v>
      </c>
      <c r="H1791" t="s">
        <v>51</v>
      </c>
      <c r="I1791" t="s">
        <v>184</v>
      </c>
      <c r="J1791" t="str">
        <f>"4601038"</f>
        <v>4601038</v>
      </c>
      <c r="K1791">
        <v>2231021550</v>
      </c>
      <c r="M1791" t="s">
        <v>41093</v>
      </c>
      <c r="N1791" t="s">
        <v>40264</v>
      </c>
      <c r="O1791" t="s">
        <v>40952</v>
      </c>
      <c r="P1791">
        <v>35131</v>
      </c>
      <c r="Q1791" t="str">
        <f>"38.900073"</f>
        <v>38.900073</v>
      </c>
      <c r="R1791" t="str">
        <f>"22.436629"</f>
        <v>22.436629</v>
      </c>
      <c r="S1791" t="s">
        <v>26</v>
      </c>
    </row>
    <row r="1792" spans="1:19" x14ac:dyDescent="0.3">
      <c r="A1792" t="s">
        <v>40240</v>
      </c>
      <c r="B1792" t="s">
        <v>40891</v>
      </c>
      <c r="C1792" t="s">
        <v>41096</v>
      </c>
      <c r="D1792" t="s">
        <v>40260</v>
      </c>
      <c r="E1792" t="s">
        <v>41032</v>
      </c>
      <c r="F1792" t="s">
        <v>41094</v>
      </c>
      <c r="G1792" t="s">
        <v>41095</v>
      </c>
      <c r="H1792" t="s">
        <v>51</v>
      </c>
      <c r="I1792" t="s">
        <v>52</v>
      </c>
      <c r="J1792" t="str">
        <f>"4604030"</f>
        <v>4604030</v>
      </c>
      <c r="K1792">
        <v>2232031215</v>
      </c>
      <c r="L1792">
        <v>2232031215</v>
      </c>
      <c r="M1792" t="s">
        <v>41097</v>
      </c>
      <c r="N1792" t="s">
        <v>41098</v>
      </c>
      <c r="O1792" t="s">
        <v>41099</v>
      </c>
      <c r="P1792">
        <v>35010</v>
      </c>
      <c r="Q1792" t="str">
        <f>"39.098802"</f>
        <v>39.098802</v>
      </c>
      <c r="R1792" t="str">
        <f>"22.266941"</f>
        <v>22.266941</v>
      </c>
      <c r="S1792" t="s">
        <v>26</v>
      </c>
    </row>
    <row r="1793" spans="1:19" x14ac:dyDescent="0.3">
      <c r="A1793" t="s">
        <v>40240</v>
      </c>
      <c r="B1793" t="s">
        <v>40891</v>
      </c>
      <c r="C1793" t="s">
        <v>41101</v>
      </c>
      <c r="D1793" t="s">
        <v>40260</v>
      </c>
      <c r="E1793" t="s">
        <v>41032</v>
      </c>
      <c r="F1793" t="s">
        <v>41032</v>
      </c>
      <c r="G1793" t="s">
        <v>41032</v>
      </c>
      <c r="H1793" t="s">
        <v>51</v>
      </c>
      <c r="I1793" t="s">
        <v>52</v>
      </c>
      <c r="J1793" t="str">
        <f>"4604010"</f>
        <v>4604010</v>
      </c>
      <c r="K1793">
        <v>2232022241</v>
      </c>
      <c r="L1793">
        <v>2232023058</v>
      </c>
      <c r="M1793" t="s">
        <v>41102</v>
      </c>
      <c r="N1793" t="s">
        <v>41035</v>
      </c>
      <c r="O1793" t="s">
        <v>41036</v>
      </c>
      <c r="P1793">
        <v>35010</v>
      </c>
      <c r="Q1793" t="str">
        <f>"39.128832"</f>
        <v>39.128832</v>
      </c>
      <c r="R1793" t="str">
        <f>"22.298448"</f>
        <v>22.298448</v>
      </c>
      <c r="S1793" t="s">
        <v>26</v>
      </c>
    </row>
    <row r="1794" spans="1:19" x14ac:dyDescent="0.3">
      <c r="A1794" t="s">
        <v>40240</v>
      </c>
      <c r="B1794" t="s">
        <v>40891</v>
      </c>
      <c r="C1794" t="s">
        <v>41104</v>
      </c>
      <c r="D1794" t="s">
        <v>40260</v>
      </c>
      <c r="E1794" t="s">
        <v>40922</v>
      </c>
      <c r="F1794" t="s">
        <v>40989</v>
      </c>
      <c r="G1794" t="s">
        <v>41103</v>
      </c>
      <c r="H1794" t="s">
        <v>51</v>
      </c>
      <c r="I1794" t="s">
        <v>52</v>
      </c>
      <c r="J1794" t="str">
        <f>"4611050"</f>
        <v>4611050</v>
      </c>
      <c r="K1794">
        <v>2233041740</v>
      </c>
      <c r="L1794">
        <v>2233041100</v>
      </c>
      <c r="M1794" t="s">
        <v>41105</v>
      </c>
      <c r="N1794" t="s">
        <v>41106</v>
      </c>
      <c r="O1794" t="s">
        <v>41107</v>
      </c>
      <c r="P1794">
        <v>35012</v>
      </c>
      <c r="Q1794" t="str">
        <f>"38.565381"</f>
        <v>38.565381</v>
      </c>
      <c r="R1794" t="str">
        <f>"23.300485"</f>
        <v>23.300485</v>
      </c>
      <c r="S1794" t="s">
        <v>26</v>
      </c>
    </row>
    <row r="1795" spans="1:19" x14ac:dyDescent="0.3">
      <c r="A1795" t="s">
        <v>40240</v>
      </c>
      <c r="B1795" t="s">
        <v>40891</v>
      </c>
      <c r="C1795" t="s">
        <v>41109</v>
      </c>
      <c r="D1795" t="s">
        <v>40260</v>
      </c>
      <c r="E1795" t="s">
        <v>40261</v>
      </c>
      <c r="F1795" t="s">
        <v>40261</v>
      </c>
      <c r="G1795" t="s">
        <v>40261</v>
      </c>
      <c r="H1795" t="s">
        <v>51</v>
      </c>
      <c r="I1795" t="s">
        <v>52</v>
      </c>
      <c r="J1795" t="str">
        <f>"4601020"</f>
        <v>4601020</v>
      </c>
      <c r="K1795">
        <v>2231022705</v>
      </c>
      <c r="L1795">
        <v>2231067999</v>
      </c>
      <c r="M1795" t="s">
        <v>41110</v>
      </c>
      <c r="N1795" t="s">
        <v>40264</v>
      </c>
      <c r="O1795" t="s">
        <v>41111</v>
      </c>
      <c r="P1795">
        <v>35133</v>
      </c>
      <c r="Q1795" t="str">
        <f>"38.894679"</f>
        <v>38.894679</v>
      </c>
      <c r="R1795" t="str">
        <f>"22.446615"</f>
        <v>22.446615</v>
      </c>
      <c r="S1795" t="s">
        <v>26</v>
      </c>
    </row>
    <row r="1796" spans="1:19" x14ac:dyDescent="0.3">
      <c r="A1796" t="s">
        <v>40240</v>
      </c>
      <c r="B1796" t="s">
        <v>40891</v>
      </c>
      <c r="C1796" t="s">
        <v>41112</v>
      </c>
      <c r="D1796" t="s">
        <v>40260</v>
      </c>
      <c r="E1796" t="s">
        <v>40897</v>
      </c>
      <c r="F1796" t="s">
        <v>41017</v>
      </c>
      <c r="G1796" t="s">
        <v>41018</v>
      </c>
      <c r="H1796" t="s">
        <v>51</v>
      </c>
      <c r="I1796" t="s">
        <v>52</v>
      </c>
      <c r="J1796" t="str">
        <f>"4613010"</f>
        <v>4613010</v>
      </c>
      <c r="K1796">
        <v>2234049426</v>
      </c>
      <c r="L1796">
        <v>2234048757</v>
      </c>
      <c r="M1796" t="s">
        <v>41113</v>
      </c>
      <c r="O1796" t="s">
        <v>41114</v>
      </c>
      <c r="P1796">
        <v>35015</v>
      </c>
      <c r="Q1796" t="str">
        <f>"38.604645"</f>
        <v>38.604645</v>
      </c>
      <c r="R1796" t="str">
        <f>"22.706845"</f>
        <v>22.706845</v>
      </c>
      <c r="S1796" t="s">
        <v>26</v>
      </c>
    </row>
    <row r="1797" spans="1:19" x14ac:dyDescent="0.3">
      <c r="A1797" t="s">
        <v>40240</v>
      </c>
      <c r="B1797" t="s">
        <v>40891</v>
      </c>
      <c r="C1797" t="s">
        <v>41115</v>
      </c>
      <c r="D1797" t="s">
        <v>40260</v>
      </c>
      <c r="E1797" t="s">
        <v>40922</v>
      </c>
      <c r="F1797" t="s">
        <v>40923</v>
      </c>
      <c r="G1797" t="s">
        <v>40923</v>
      </c>
      <c r="H1797" t="s">
        <v>51</v>
      </c>
      <c r="I1797" t="s">
        <v>52</v>
      </c>
      <c r="J1797" t="str">
        <f>"4615010"</f>
        <v>4615010</v>
      </c>
      <c r="K1797">
        <v>2233051303</v>
      </c>
      <c r="L1797">
        <v>2233051303</v>
      </c>
      <c r="M1797" t="s">
        <v>41116</v>
      </c>
      <c r="N1797" t="s">
        <v>40926</v>
      </c>
      <c r="O1797" t="s">
        <v>40927</v>
      </c>
      <c r="P1797">
        <v>35001</v>
      </c>
      <c r="Q1797" t="str">
        <f>"38.622674"</f>
        <v>38.622674</v>
      </c>
      <c r="R1797" t="str">
        <f>"23.235264"</f>
        <v>23.235264</v>
      </c>
      <c r="S1797" t="s">
        <v>26</v>
      </c>
    </row>
    <row r="1798" spans="1:19" x14ac:dyDescent="0.3">
      <c r="A1798" t="s">
        <v>40240</v>
      </c>
      <c r="B1798" t="s">
        <v>40891</v>
      </c>
      <c r="C1798" t="s">
        <v>41118</v>
      </c>
      <c r="D1798" t="s">
        <v>40260</v>
      </c>
      <c r="E1798" t="s">
        <v>40261</v>
      </c>
      <c r="F1798" t="s">
        <v>40261</v>
      </c>
      <c r="G1798" t="s">
        <v>40261</v>
      </c>
      <c r="H1798" t="s">
        <v>51</v>
      </c>
      <c r="I1798" t="s">
        <v>52</v>
      </c>
      <c r="J1798" t="str">
        <f>"4601042"</f>
        <v>4601042</v>
      </c>
      <c r="K1798">
        <v>2231021397</v>
      </c>
      <c r="L1798">
        <v>2231021396</v>
      </c>
      <c r="M1798" t="s">
        <v>41119</v>
      </c>
      <c r="N1798" t="s">
        <v>40894</v>
      </c>
      <c r="O1798" t="s">
        <v>41120</v>
      </c>
      <c r="P1798">
        <v>35133</v>
      </c>
      <c r="Q1798" t="str">
        <f>"38.888146"</f>
        <v>38.888146</v>
      </c>
      <c r="R1798" t="str">
        <f>"22.439796"</f>
        <v>22.439796</v>
      </c>
      <c r="S1798" t="s">
        <v>26</v>
      </c>
    </row>
    <row r="1799" spans="1:19" x14ac:dyDescent="0.3">
      <c r="A1799" t="s">
        <v>40240</v>
      </c>
      <c r="B1799" t="s">
        <v>40891</v>
      </c>
      <c r="C1799" t="s">
        <v>41122</v>
      </c>
      <c r="D1799" t="s">
        <v>40260</v>
      </c>
      <c r="E1799" t="s">
        <v>40261</v>
      </c>
      <c r="F1799" t="s">
        <v>40261</v>
      </c>
      <c r="G1799" t="s">
        <v>40261</v>
      </c>
      <c r="H1799" t="s">
        <v>51</v>
      </c>
      <c r="I1799" t="s">
        <v>52</v>
      </c>
      <c r="J1799" t="str">
        <f>"4601040"</f>
        <v>4601040</v>
      </c>
      <c r="K1799">
        <v>2231025914</v>
      </c>
      <c r="L1799">
        <v>2231052905</v>
      </c>
      <c r="M1799" t="s">
        <v>41123</v>
      </c>
      <c r="N1799" t="s">
        <v>40264</v>
      </c>
      <c r="O1799" t="s">
        <v>41124</v>
      </c>
      <c r="P1799">
        <v>35100</v>
      </c>
      <c r="Q1799" t="str">
        <f>"38.894017"</f>
        <v>38.894017</v>
      </c>
      <c r="R1799" t="str">
        <f>"22.426632"</f>
        <v>22.426632</v>
      </c>
      <c r="S1799" t="s">
        <v>26</v>
      </c>
    </row>
    <row r="1800" spans="1:19" x14ac:dyDescent="0.3">
      <c r="A1800" t="s">
        <v>40240</v>
      </c>
      <c r="B1800" t="s">
        <v>40891</v>
      </c>
      <c r="C1800" t="s">
        <v>41126</v>
      </c>
      <c r="D1800" t="s">
        <v>40260</v>
      </c>
      <c r="E1800" t="s">
        <v>40261</v>
      </c>
      <c r="F1800" t="s">
        <v>40261</v>
      </c>
      <c r="G1800" t="s">
        <v>40261</v>
      </c>
      <c r="H1800" t="s">
        <v>51</v>
      </c>
      <c r="I1800" t="s">
        <v>52</v>
      </c>
      <c r="J1800" t="str">
        <f>"4601010"</f>
        <v>4601010</v>
      </c>
      <c r="K1800">
        <v>2231022474</v>
      </c>
      <c r="L1800">
        <v>2231050791</v>
      </c>
      <c r="M1800" t="s">
        <v>41127</v>
      </c>
      <c r="N1800" t="s">
        <v>40264</v>
      </c>
      <c r="O1800" t="s">
        <v>40970</v>
      </c>
      <c r="P1800">
        <v>35131</v>
      </c>
      <c r="Q1800" t="str">
        <f>"38.913685"</f>
        <v>38.913685</v>
      </c>
      <c r="R1800" t="str">
        <f>"22.431762"</f>
        <v>22.431762</v>
      </c>
      <c r="S1800" t="s">
        <v>26</v>
      </c>
    </row>
    <row r="1801" spans="1:19" x14ac:dyDescent="0.3">
      <c r="A1801" t="s">
        <v>40240</v>
      </c>
      <c r="B1801" t="s">
        <v>40891</v>
      </c>
      <c r="C1801" t="s">
        <v>41129</v>
      </c>
      <c r="D1801" t="s">
        <v>40260</v>
      </c>
      <c r="E1801" t="s">
        <v>40261</v>
      </c>
      <c r="F1801" t="s">
        <v>41128</v>
      </c>
      <c r="G1801" t="s">
        <v>41128</v>
      </c>
      <c r="H1801" t="s">
        <v>51</v>
      </c>
      <c r="I1801" t="s">
        <v>52</v>
      </c>
      <c r="J1801" t="str">
        <f>"4619050"</f>
        <v>4619050</v>
      </c>
      <c r="K1801">
        <v>2231079424</v>
      </c>
      <c r="L1801">
        <v>2231079424</v>
      </c>
      <c r="M1801" t="s">
        <v>41130</v>
      </c>
      <c r="N1801" t="s">
        <v>41131</v>
      </c>
      <c r="O1801" t="s">
        <v>41132</v>
      </c>
      <c r="P1801">
        <v>35100</v>
      </c>
      <c r="Q1801" t="str">
        <f>"38.914837"</f>
        <v>38.914837</v>
      </c>
      <c r="R1801" t="str">
        <f>"22.311129"</f>
        <v>22.311129</v>
      </c>
      <c r="S1801" t="s">
        <v>26</v>
      </c>
    </row>
    <row r="1802" spans="1:19" x14ac:dyDescent="0.3">
      <c r="A1802" t="s">
        <v>40240</v>
      </c>
      <c r="B1802" t="s">
        <v>40891</v>
      </c>
      <c r="C1802" t="s">
        <v>41135</v>
      </c>
      <c r="D1802" t="s">
        <v>40260</v>
      </c>
      <c r="E1802" t="s">
        <v>41003</v>
      </c>
      <c r="F1802" t="s">
        <v>13393</v>
      </c>
      <c r="G1802" t="s">
        <v>41134</v>
      </c>
      <c r="H1802" t="s">
        <v>51</v>
      </c>
      <c r="I1802" t="s">
        <v>52</v>
      </c>
      <c r="J1802" t="str">
        <f>"4614010"</f>
        <v>4614010</v>
      </c>
      <c r="K1802">
        <v>2235031882</v>
      </c>
      <c r="M1802" t="s">
        <v>41136</v>
      </c>
      <c r="N1802" t="s">
        <v>41137</v>
      </c>
      <c r="O1802" t="s">
        <v>41138</v>
      </c>
      <c r="P1802">
        <v>35006</v>
      </c>
      <c r="Q1802" t="str">
        <f>"38.754444"</f>
        <v>38.754444</v>
      </c>
      <c r="R1802" t="str">
        <f>"22.861050"</f>
        <v>22.861050</v>
      </c>
      <c r="S1802" t="s">
        <v>26</v>
      </c>
    </row>
    <row r="1803" spans="1:19" x14ac:dyDescent="0.3">
      <c r="A1803" t="s">
        <v>40240</v>
      </c>
      <c r="B1803" t="s">
        <v>40891</v>
      </c>
      <c r="C1803" t="s">
        <v>41142</v>
      </c>
      <c r="D1803" t="s">
        <v>40260</v>
      </c>
      <c r="E1803" t="s">
        <v>41032</v>
      </c>
      <c r="F1803" t="s">
        <v>41140</v>
      </c>
      <c r="G1803" t="s">
        <v>41141</v>
      </c>
      <c r="H1803" t="s">
        <v>51</v>
      </c>
      <c r="I1803" t="s">
        <v>89</v>
      </c>
      <c r="J1803" t="str">
        <f>"4604020"</f>
        <v>4604020</v>
      </c>
      <c r="K1803">
        <v>2232071291</v>
      </c>
      <c r="L1803">
        <v>2232071495</v>
      </c>
      <c r="M1803" t="s">
        <v>41143</v>
      </c>
      <c r="N1803" t="s">
        <v>41144</v>
      </c>
      <c r="O1803" t="s">
        <v>41145</v>
      </c>
      <c r="P1803">
        <v>35010</v>
      </c>
      <c r="Q1803" t="str">
        <f>"39.085975"</f>
        <v>39.085975</v>
      </c>
      <c r="R1803" t="str">
        <f>"22.230334"</f>
        <v>22.230334</v>
      </c>
      <c r="S1803" t="s">
        <v>26</v>
      </c>
    </row>
    <row r="1804" spans="1:19" x14ac:dyDescent="0.3">
      <c r="A1804" t="s">
        <v>40240</v>
      </c>
      <c r="B1804" t="s">
        <v>40891</v>
      </c>
      <c r="C1804" t="s">
        <v>41146</v>
      </c>
      <c r="D1804" t="s">
        <v>40260</v>
      </c>
      <c r="E1804" t="s">
        <v>41003</v>
      </c>
      <c r="F1804" t="s">
        <v>41003</v>
      </c>
      <c r="G1804" t="s">
        <v>41003</v>
      </c>
      <c r="H1804" t="s">
        <v>51</v>
      </c>
      <c r="I1804" t="s">
        <v>52</v>
      </c>
      <c r="J1804" t="str">
        <f>"4616010"</f>
        <v>4616010</v>
      </c>
      <c r="K1804">
        <v>2235024111</v>
      </c>
      <c r="L1804">
        <v>2235080445</v>
      </c>
      <c r="M1804" t="s">
        <v>41147</v>
      </c>
      <c r="N1804" t="s">
        <v>41029</v>
      </c>
      <c r="O1804" t="s">
        <v>41030</v>
      </c>
      <c r="P1804">
        <v>35008</v>
      </c>
      <c r="Q1804" t="str">
        <f>"38.778578"</f>
        <v>38.778578</v>
      </c>
      <c r="R1804" t="str">
        <f>"22.768531"</f>
        <v>22.768531</v>
      </c>
      <c r="S1804" t="s">
        <v>26</v>
      </c>
    </row>
    <row r="1805" spans="1:19" x14ac:dyDescent="0.3">
      <c r="A1805" t="s">
        <v>40240</v>
      </c>
      <c r="B1805" t="s">
        <v>40891</v>
      </c>
      <c r="C1805" t="s">
        <v>41148</v>
      </c>
      <c r="D1805" t="s">
        <v>40260</v>
      </c>
      <c r="E1805" t="s">
        <v>40922</v>
      </c>
      <c r="F1805" t="s">
        <v>41010</v>
      </c>
      <c r="G1805" t="s">
        <v>41011</v>
      </c>
      <c r="H1805" t="s">
        <v>51</v>
      </c>
      <c r="I1805" t="s">
        <v>52</v>
      </c>
      <c r="J1805" t="str">
        <f>"4617010"</f>
        <v>4617010</v>
      </c>
      <c r="K1805">
        <v>2233031422</v>
      </c>
      <c r="L1805">
        <v>2233032406</v>
      </c>
      <c r="M1805" t="s">
        <v>41149</v>
      </c>
      <c r="N1805" t="s">
        <v>41150</v>
      </c>
      <c r="O1805" t="s">
        <v>41014</v>
      </c>
      <c r="P1805">
        <v>35007</v>
      </c>
      <c r="Q1805" t="str">
        <f>"38.702712"</f>
        <v>38.702712</v>
      </c>
      <c r="R1805" t="str">
        <f>"23.047295"</f>
        <v>23.047295</v>
      </c>
      <c r="S1805" t="s">
        <v>26</v>
      </c>
    </row>
    <row r="1806" spans="1:19" x14ac:dyDescent="0.3">
      <c r="A1806" t="s">
        <v>40240</v>
      </c>
      <c r="B1806" t="s">
        <v>40891</v>
      </c>
      <c r="C1806" t="s">
        <v>41152</v>
      </c>
      <c r="D1806" t="s">
        <v>40260</v>
      </c>
      <c r="E1806" t="s">
        <v>41038</v>
      </c>
      <c r="F1806" t="s">
        <v>41151</v>
      </c>
      <c r="G1806" t="s">
        <v>12709</v>
      </c>
      <c r="H1806" t="s">
        <v>51</v>
      </c>
      <c r="I1806" t="s">
        <v>52</v>
      </c>
      <c r="J1806" t="str">
        <f>"4620010"</f>
        <v>4620010</v>
      </c>
      <c r="K1806">
        <v>2238031500</v>
      </c>
      <c r="L1806">
        <v>2238031500</v>
      </c>
      <c r="M1806" t="s">
        <v>41153</v>
      </c>
      <c r="N1806" t="s">
        <v>41154</v>
      </c>
      <c r="O1806" t="s">
        <v>41155</v>
      </c>
      <c r="P1806">
        <v>35300</v>
      </c>
      <c r="Q1806" t="str">
        <f>"38.971837"</f>
        <v>38.971837</v>
      </c>
      <c r="R1806" t="str">
        <f>"22.667540"</f>
        <v>22.667540</v>
      </c>
      <c r="S1806" t="s">
        <v>26</v>
      </c>
    </row>
    <row r="1807" spans="1:19" x14ac:dyDescent="0.3">
      <c r="A1807" t="s">
        <v>40240</v>
      </c>
      <c r="B1807" t="s">
        <v>40891</v>
      </c>
      <c r="C1807" t="s">
        <v>41160</v>
      </c>
      <c r="D1807" t="s">
        <v>40260</v>
      </c>
      <c r="E1807" t="s">
        <v>40261</v>
      </c>
      <c r="F1807" t="s">
        <v>40261</v>
      </c>
      <c r="G1807" t="s">
        <v>40261</v>
      </c>
      <c r="H1807" t="s">
        <v>51</v>
      </c>
      <c r="I1807" t="s">
        <v>199</v>
      </c>
      <c r="J1807" t="str">
        <f>"4611001"</f>
        <v>4611001</v>
      </c>
      <c r="K1807">
        <v>2231042561</v>
      </c>
      <c r="L1807">
        <v>2231042561</v>
      </c>
      <c r="M1807" t="s">
        <v>41161</v>
      </c>
      <c r="N1807" t="s">
        <v>41162</v>
      </c>
      <c r="O1807" t="s">
        <v>41163</v>
      </c>
      <c r="P1807">
        <v>35150</v>
      </c>
      <c r="Q1807" t="str">
        <f>"38.915124"</f>
        <v>38.915124</v>
      </c>
      <c r="R1807" t="str">
        <f>"22.311159"</f>
        <v>22.311159</v>
      </c>
      <c r="S1807" t="s">
        <v>26</v>
      </c>
    </row>
    <row r="1808" spans="1:19" x14ac:dyDescent="0.3">
      <c r="A1808" t="s">
        <v>40240</v>
      </c>
      <c r="B1808" t="s">
        <v>41165</v>
      </c>
      <c r="C1808" t="s">
        <v>41202</v>
      </c>
      <c r="D1808" t="s">
        <v>40266</v>
      </c>
      <c r="E1808" t="s">
        <v>41166</v>
      </c>
      <c r="F1808" t="s">
        <v>41193</v>
      </c>
      <c r="G1808" t="s">
        <v>41193</v>
      </c>
      <c r="H1808" t="s">
        <v>51</v>
      </c>
      <c r="I1808" t="s">
        <v>52</v>
      </c>
      <c r="J1808" t="str">
        <f>"4804010"</f>
        <v>4804010</v>
      </c>
      <c r="K1808">
        <v>2266022026</v>
      </c>
      <c r="L1808">
        <v>2266022026</v>
      </c>
      <c r="M1808" t="s">
        <v>41203</v>
      </c>
      <c r="N1808" t="s">
        <v>41196</v>
      </c>
      <c r="O1808" t="s">
        <v>41197</v>
      </c>
      <c r="P1808">
        <v>33053</v>
      </c>
      <c r="Q1808" t="str">
        <f>"38.528471"</f>
        <v>38.528471</v>
      </c>
      <c r="R1808" t="str">
        <f>"22.200531"</f>
        <v>22.200531</v>
      </c>
      <c r="S1808" t="s">
        <v>26</v>
      </c>
    </row>
    <row r="1809" spans="1:19" x14ac:dyDescent="0.3">
      <c r="A1809" t="s">
        <v>40240</v>
      </c>
      <c r="B1809" t="s">
        <v>41165</v>
      </c>
      <c r="C1809" t="s">
        <v>41204</v>
      </c>
      <c r="D1809" t="s">
        <v>40266</v>
      </c>
      <c r="E1809" t="s">
        <v>40267</v>
      </c>
      <c r="F1809" t="s">
        <v>40267</v>
      </c>
      <c r="G1809" t="s">
        <v>40267</v>
      </c>
      <c r="H1809" t="s">
        <v>51</v>
      </c>
      <c r="I1809" t="s">
        <v>52</v>
      </c>
      <c r="J1809" t="str">
        <f>"4802090"</f>
        <v>4802090</v>
      </c>
      <c r="K1809">
        <v>2265082630</v>
      </c>
      <c r="L1809">
        <v>2265082630</v>
      </c>
      <c r="M1809" t="s">
        <v>41205</v>
      </c>
      <c r="N1809" t="s">
        <v>41206</v>
      </c>
      <c r="O1809" t="s">
        <v>41207</v>
      </c>
      <c r="P1809">
        <v>33054</v>
      </c>
      <c r="Q1809" t="str">
        <f>"38.479264"</f>
        <v>38.479264</v>
      </c>
      <c r="R1809" t="str">
        <f>"22.495924"</f>
        <v>22.495924</v>
      </c>
      <c r="S1809" t="s">
        <v>26</v>
      </c>
    </row>
    <row r="1810" spans="1:19" x14ac:dyDescent="0.3">
      <c r="A1810" t="s">
        <v>40240</v>
      </c>
      <c r="B1810" t="s">
        <v>41165</v>
      </c>
      <c r="C1810" t="s">
        <v>41211</v>
      </c>
      <c r="D1810" t="s">
        <v>40266</v>
      </c>
      <c r="E1810" t="s">
        <v>40267</v>
      </c>
      <c r="F1810" t="s">
        <v>41209</v>
      </c>
      <c r="G1810" t="s">
        <v>41210</v>
      </c>
      <c r="H1810" t="s">
        <v>51</v>
      </c>
      <c r="I1810" t="s">
        <v>89</v>
      </c>
      <c r="J1810" t="str">
        <f>"4807010"</f>
        <v>4807010</v>
      </c>
      <c r="K1810">
        <v>2265051202</v>
      </c>
      <c r="L1810">
        <v>2265051728</v>
      </c>
      <c r="M1810" t="s">
        <v>41212</v>
      </c>
      <c r="N1810" t="s">
        <v>41213</v>
      </c>
      <c r="O1810" t="s">
        <v>41214</v>
      </c>
      <c r="P1810">
        <v>33050</v>
      </c>
      <c r="Q1810" t="str">
        <f>"38.418911"</f>
        <v>38.418911</v>
      </c>
      <c r="R1810" t="str">
        <f>"22.527830"</f>
        <v>22.527830</v>
      </c>
      <c r="S1810" t="s">
        <v>26</v>
      </c>
    </row>
    <row r="1811" spans="1:19" x14ac:dyDescent="0.3">
      <c r="A1811" t="s">
        <v>40240</v>
      </c>
      <c r="B1811" t="s">
        <v>41165</v>
      </c>
      <c r="C1811" t="s">
        <v>41216</v>
      </c>
      <c r="D1811" t="s">
        <v>40266</v>
      </c>
      <c r="E1811" t="s">
        <v>41166</v>
      </c>
      <c r="F1811" t="s">
        <v>41167</v>
      </c>
      <c r="G1811" t="s">
        <v>41167</v>
      </c>
      <c r="H1811" t="s">
        <v>51</v>
      </c>
      <c r="I1811" t="s">
        <v>52</v>
      </c>
      <c r="J1811" t="str">
        <f>"4803010"</f>
        <v>4803010</v>
      </c>
      <c r="K1811">
        <v>2634051221</v>
      </c>
      <c r="L1811">
        <v>2634051221</v>
      </c>
      <c r="M1811" t="s">
        <v>41217</v>
      </c>
      <c r="N1811" t="s">
        <v>41170</v>
      </c>
      <c r="O1811" t="s">
        <v>41171</v>
      </c>
      <c r="P1811">
        <v>33056</v>
      </c>
      <c r="Q1811" t="str">
        <f>"38.418344"</f>
        <v>38.418344</v>
      </c>
      <c r="R1811" t="str">
        <f>"21.928590"</f>
        <v>21.928590</v>
      </c>
      <c r="S1811" t="s">
        <v>26</v>
      </c>
    </row>
    <row r="1812" spans="1:19" x14ac:dyDescent="0.3">
      <c r="A1812" t="s">
        <v>40240</v>
      </c>
      <c r="B1812" t="s">
        <v>41165</v>
      </c>
      <c r="C1812" t="s">
        <v>41218</v>
      </c>
      <c r="D1812" t="s">
        <v>40266</v>
      </c>
      <c r="E1812" t="s">
        <v>40267</v>
      </c>
      <c r="F1812" t="s">
        <v>40268</v>
      </c>
      <c r="G1812" t="s">
        <v>40268</v>
      </c>
      <c r="H1812" t="s">
        <v>51</v>
      </c>
      <c r="I1812" t="s">
        <v>52</v>
      </c>
      <c r="J1812" t="str">
        <f>"4801010"</f>
        <v>4801010</v>
      </c>
      <c r="K1812">
        <v>2265029200</v>
      </c>
      <c r="L1812">
        <v>2265029200</v>
      </c>
      <c r="M1812" t="s">
        <v>41219</v>
      </c>
      <c r="N1812" t="s">
        <v>41220</v>
      </c>
      <c r="O1812" t="s">
        <v>41221</v>
      </c>
      <c r="P1812">
        <v>33100</v>
      </c>
      <c r="Q1812" t="str">
        <f>"38.527241"</f>
        <v>38.527241</v>
      </c>
      <c r="R1812" t="str">
        <f>"22.379766"</f>
        <v>22.379766</v>
      </c>
      <c r="S1812" t="s">
        <v>26</v>
      </c>
    </row>
    <row r="1813" spans="1:19" x14ac:dyDescent="0.3">
      <c r="A1813" t="s">
        <v>40240</v>
      </c>
      <c r="B1813" t="s">
        <v>41165</v>
      </c>
      <c r="C1813" t="s">
        <v>41222</v>
      </c>
      <c r="D1813" t="s">
        <v>40266</v>
      </c>
      <c r="E1813" t="s">
        <v>40267</v>
      </c>
      <c r="F1813" t="s">
        <v>41183</v>
      </c>
      <c r="G1813" t="s">
        <v>41183</v>
      </c>
      <c r="H1813" t="s">
        <v>51</v>
      </c>
      <c r="I1813" t="s">
        <v>52</v>
      </c>
      <c r="J1813" t="str">
        <f>"4802020"</f>
        <v>4802020</v>
      </c>
      <c r="K1813">
        <v>2265041389</v>
      </c>
      <c r="L1813">
        <v>2265041389</v>
      </c>
      <c r="M1813" t="s">
        <v>41223</v>
      </c>
      <c r="N1813" t="s">
        <v>41186</v>
      </c>
      <c r="O1813" t="s">
        <v>41187</v>
      </c>
      <c r="P1813">
        <v>33052</v>
      </c>
      <c r="Q1813" t="str">
        <f>"38.370213"</f>
        <v>38.370213</v>
      </c>
      <c r="R1813" t="str">
        <f>"22.374900"</f>
        <v>22.374900</v>
      </c>
      <c r="S1813" t="s">
        <v>26</v>
      </c>
    </row>
    <row r="1814" spans="1:19" x14ac:dyDescent="0.3">
      <c r="A1814" t="s">
        <v>40240</v>
      </c>
      <c r="B1814" t="s">
        <v>41165</v>
      </c>
      <c r="C1814" t="s">
        <v>41224</v>
      </c>
      <c r="D1814" t="s">
        <v>40266</v>
      </c>
      <c r="E1814" t="s">
        <v>40267</v>
      </c>
      <c r="F1814" t="s">
        <v>40268</v>
      </c>
      <c r="G1814" t="s">
        <v>40268</v>
      </c>
      <c r="H1814" t="s">
        <v>51</v>
      </c>
      <c r="I1814" t="s">
        <v>4556</v>
      </c>
      <c r="J1814" t="str">
        <f>"4801020"</f>
        <v>4801020</v>
      </c>
      <c r="K1814">
        <v>2265023312</v>
      </c>
      <c r="L1814">
        <v>2265023312</v>
      </c>
      <c r="M1814" t="s">
        <v>41225</v>
      </c>
      <c r="N1814" t="s">
        <v>40271</v>
      </c>
      <c r="O1814" t="s">
        <v>41226</v>
      </c>
      <c r="P1814">
        <v>33100</v>
      </c>
      <c r="Q1814" t="str">
        <f>"38.527310"</f>
        <v>38.527310</v>
      </c>
      <c r="R1814" t="str">
        <f>"22.379475"</f>
        <v>22.379475</v>
      </c>
      <c r="S1814" t="s">
        <v>26</v>
      </c>
    </row>
    <row r="1815" spans="1:19" x14ac:dyDescent="0.3">
      <c r="A1815" t="s">
        <v>40240</v>
      </c>
      <c r="B1815" t="s">
        <v>41165</v>
      </c>
      <c r="C1815" t="s">
        <v>41229</v>
      </c>
      <c r="D1815" t="s">
        <v>40266</v>
      </c>
      <c r="E1815" t="s">
        <v>41166</v>
      </c>
      <c r="F1815" t="s">
        <v>41227</v>
      </c>
      <c r="G1815" t="s">
        <v>41228</v>
      </c>
      <c r="H1815" t="s">
        <v>51</v>
      </c>
      <c r="I1815" t="s">
        <v>89</v>
      </c>
      <c r="J1815" t="str">
        <f>"4808010"</f>
        <v>4808010</v>
      </c>
      <c r="K1815">
        <v>2266031250</v>
      </c>
      <c r="L1815">
        <v>2266031250</v>
      </c>
      <c r="M1815" t="s">
        <v>41230</v>
      </c>
      <c r="N1815" t="s">
        <v>41231</v>
      </c>
      <c r="O1815" t="s">
        <v>41232</v>
      </c>
      <c r="P1815">
        <v>33058</v>
      </c>
      <c r="Q1815" t="str">
        <f>"38.358251"</f>
        <v>38.358251</v>
      </c>
      <c r="R1815" t="str">
        <f>"22.236231"</f>
        <v>22.236231</v>
      </c>
      <c r="S1815" t="s">
        <v>26</v>
      </c>
    </row>
    <row r="1816" spans="1:19" x14ac:dyDescent="0.3">
      <c r="A1816" t="s">
        <v>40240</v>
      </c>
      <c r="B1816" t="s">
        <v>41165</v>
      </c>
      <c r="C1816" t="s">
        <v>41234</v>
      </c>
      <c r="D1816" t="s">
        <v>40266</v>
      </c>
      <c r="E1816" t="s">
        <v>40267</v>
      </c>
      <c r="F1816" t="s">
        <v>41178</v>
      </c>
      <c r="G1816" t="s">
        <v>41178</v>
      </c>
      <c r="H1816" t="s">
        <v>51</v>
      </c>
      <c r="I1816" t="s">
        <v>52</v>
      </c>
      <c r="J1816" t="str">
        <f>"4806010"</f>
        <v>4806010</v>
      </c>
      <c r="K1816">
        <v>2265091389</v>
      </c>
      <c r="L1816">
        <v>2265091389</v>
      </c>
      <c r="M1816" t="s">
        <v>41235</v>
      </c>
      <c r="N1816" t="s">
        <v>40266</v>
      </c>
      <c r="O1816" t="s">
        <v>41181</v>
      </c>
      <c r="P1816">
        <v>33057</v>
      </c>
      <c r="Q1816" t="str">
        <f>"38.677526"</f>
        <v>38.677526</v>
      </c>
      <c r="R1816" t="str">
        <f>"22.430494"</f>
        <v>22.430494</v>
      </c>
      <c r="S1816" t="s">
        <v>26</v>
      </c>
    </row>
    <row r="1817" spans="1:19" x14ac:dyDescent="0.3">
      <c r="A1817" t="s">
        <v>40240</v>
      </c>
      <c r="B1817" t="s">
        <v>41165</v>
      </c>
      <c r="C1817" t="s">
        <v>41241</v>
      </c>
      <c r="D1817" t="s">
        <v>40266</v>
      </c>
      <c r="E1817" t="s">
        <v>40267</v>
      </c>
      <c r="F1817" t="s">
        <v>18740</v>
      </c>
      <c r="G1817" t="s">
        <v>18740</v>
      </c>
      <c r="H1817" t="s">
        <v>51</v>
      </c>
      <c r="I1817" t="s">
        <v>52</v>
      </c>
      <c r="J1817" t="str">
        <f>"4802010"</f>
        <v>4802010</v>
      </c>
      <c r="K1817">
        <v>2265034701</v>
      </c>
      <c r="L1817">
        <v>2265034701</v>
      </c>
      <c r="M1817" t="s">
        <v>41242</v>
      </c>
      <c r="N1817" t="s">
        <v>21719</v>
      </c>
      <c r="O1817" t="s">
        <v>41243</v>
      </c>
      <c r="P1817">
        <v>33200</v>
      </c>
      <c r="Q1817" t="str">
        <f>"38.436783"</f>
        <v>38.436783</v>
      </c>
      <c r="R1817" t="str">
        <f>"22.428161"</f>
        <v>22.428161</v>
      </c>
      <c r="S1817" t="s">
        <v>26</v>
      </c>
    </row>
    <row r="1818" spans="1:19" x14ac:dyDescent="0.3">
      <c r="A1818" t="s">
        <v>40240</v>
      </c>
      <c r="B1818" t="s">
        <v>41165</v>
      </c>
      <c r="C1818" t="s">
        <v>41248</v>
      </c>
      <c r="D1818" t="s">
        <v>40266</v>
      </c>
      <c r="E1818" t="s">
        <v>40267</v>
      </c>
      <c r="F1818" t="s">
        <v>40268</v>
      </c>
      <c r="G1818" t="s">
        <v>40268</v>
      </c>
      <c r="H1818" t="s">
        <v>51</v>
      </c>
      <c r="I1818" t="s">
        <v>190</v>
      </c>
      <c r="J1818" t="str">
        <f>"4801017"</f>
        <v>4801017</v>
      </c>
      <c r="K1818">
        <v>2265023886</v>
      </c>
      <c r="L1818">
        <v>2265023886</v>
      </c>
      <c r="M1818" t="s">
        <v>41249</v>
      </c>
      <c r="N1818" t="s">
        <v>40271</v>
      </c>
      <c r="O1818" t="s">
        <v>41250</v>
      </c>
      <c r="P1818">
        <v>33100</v>
      </c>
      <c r="Q1818" t="str">
        <f>"38.525257"</f>
        <v>38.525257</v>
      </c>
      <c r="R1818" t="str">
        <f>"22.383053"</f>
        <v>22.383053</v>
      </c>
      <c r="S1818" t="s">
        <v>26</v>
      </c>
    </row>
    <row r="1819" spans="1:19" x14ac:dyDescent="0.3">
      <c r="A1819" t="s">
        <v>40240</v>
      </c>
      <c r="B1819" t="s">
        <v>41165</v>
      </c>
      <c r="C1819" t="s">
        <v>41251</v>
      </c>
      <c r="D1819" t="s">
        <v>40266</v>
      </c>
      <c r="E1819" t="s">
        <v>40267</v>
      </c>
      <c r="F1819" t="s">
        <v>40268</v>
      </c>
      <c r="G1819" t="s">
        <v>40268</v>
      </c>
      <c r="H1819" t="s">
        <v>51</v>
      </c>
      <c r="I1819" t="s">
        <v>199</v>
      </c>
      <c r="J1819" t="str">
        <f>"4804000"</f>
        <v>4804000</v>
      </c>
      <c r="K1819">
        <v>2265023566</v>
      </c>
      <c r="M1819" t="s">
        <v>41252</v>
      </c>
      <c r="N1819" t="s">
        <v>40271</v>
      </c>
      <c r="O1819" t="s">
        <v>41253</v>
      </c>
      <c r="P1819">
        <v>33100</v>
      </c>
      <c r="Q1819" t="str">
        <f>"38.523763"</f>
        <v>38.523763</v>
      </c>
      <c r="R1819" t="str">
        <f>"22.382727"</f>
        <v>22.382727</v>
      </c>
      <c r="S1819" t="s">
        <v>26</v>
      </c>
    </row>
    <row r="1820" spans="1:19" x14ac:dyDescent="0.3">
      <c r="A1820" t="s">
        <v>42987</v>
      </c>
      <c r="B1820" t="s">
        <v>42988</v>
      </c>
      <c r="C1820" t="s">
        <v>42996</v>
      </c>
      <c r="D1820" t="s">
        <v>17260</v>
      </c>
      <c r="E1820" t="s">
        <v>17260</v>
      </c>
      <c r="F1820" t="s">
        <v>17260</v>
      </c>
      <c r="G1820" t="s">
        <v>17261</v>
      </c>
      <c r="H1820" t="s">
        <v>51</v>
      </c>
      <c r="I1820" t="s">
        <v>42995</v>
      </c>
      <c r="J1820" t="str">
        <f>"4770100"</f>
        <v>4770100</v>
      </c>
      <c r="K1820">
        <v>2385045527</v>
      </c>
      <c r="L1820">
        <v>2385045527</v>
      </c>
      <c r="M1820" t="s">
        <v>42997</v>
      </c>
      <c r="N1820" t="s">
        <v>17264</v>
      </c>
      <c r="O1820" t="s">
        <v>26960</v>
      </c>
      <c r="P1820">
        <v>53100</v>
      </c>
      <c r="Q1820" t="str">
        <f>"40.778530"</f>
        <v>40.778530</v>
      </c>
      <c r="R1820" t="str">
        <f>"21.406424"</f>
        <v>21.406424</v>
      </c>
      <c r="S1820" t="s">
        <v>26</v>
      </c>
    </row>
    <row r="1821" spans="1:19" x14ac:dyDescent="0.3">
      <c r="A1821" t="s">
        <v>42987</v>
      </c>
      <c r="B1821" t="s">
        <v>42988</v>
      </c>
      <c r="C1821" t="s">
        <v>43001</v>
      </c>
      <c r="D1821" t="s">
        <v>38</v>
      </c>
      <c r="E1821" t="s">
        <v>38</v>
      </c>
      <c r="F1821" t="s">
        <v>38</v>
      </c>
      <c r="G1821" t="s">
        <v>38</v>
      </c>
      <c r="H1821" t="s">
        <v>51</v>
      </c>
      <c r="I1821" t="s">
        <v>42995</v>
      </c>
      <c r="J1821" t="str">
        <f>"3770100"</f>
        <v>3770100</v>
      </c>
      <c r="K1821">
        <v>2541029911</v>
      </c>
      <c r="L1821">
        <v>2541022362</v>
      </c>
      <c r="M1821" t="s">
        <v>43002</v>
      </c>
      <c r="N1821" t="s">
        <v>41</v>
      </c>
      <c r="O1821" t="s">
        <v>43003</v>
      </c>
      <c r="P1821">
        <v>67100</v>
      </c>
      <c r="Q1821" t="str">
        <f>"41.148648"</f>
        <v>41.148648</v>
      </c>
      <c r="R1821" t="str">
        <f>"24.882870"</f>
        <v>24.882870</v>
      </c>
      <c r="S1821" t="s">
        <v>26</v>
      </c>
    </row>
    <row r="1822" spans="1:19" x14ac:dyDescent="0.3">
      <c r="A1822" t="s">
        <v>42987</v>
      </c>
      <c r="B1822" t="s">
        <v>42988</v>
      </c>
      <c r="C1822" t="s">
        <v>43004</v>
      </c>
      <c r="D1822" t="s">
        <v>35651</v>
      </c>
      <c r="E1822" t="s">
        <v>35762</v>
      </c>
      <c r="F1822" t="s">
        <v>35762</v>
      </c>
      <c r="G1822" t="s">
        <v>35762</v>
      </c>
      <c r="H1822" t="s">
        <v>51</v>
      </c>
      <c r="I1822" t="s">
        <v>42995</v>
      </c>
      <c r="J1822" t="str">
        <f>"1070100"</f>
        <v>1070100</v>
      </c>
      <c r="K1822">
        <v>2247031278</v>
      </c>
      <c r="M1822" t="s">
        <v>43005</v>
      </c>
      <c r="N1822" t="s">
        <v>35765</v>
      </c>
      <c r="O1822" t="s">
        <v>36384</v>
      </c>
      <c r="P1822">
        <v>85500</v>
      </c>
      <c r="Q1822" t="str">
        <f>"37.313568"</f>
        <v>37.313568</v>
      </c>
      <c r="R1822" t="str">
        <f>"26.544331"</f>
        <v>26.544331</v>
      </c>
      <c r="S1822" t="s">
        <v>57</v>
      </c>
    </row>
    <row r="1823" spans="1:19" x14ac:dyDescent="0.3">
      <c r="A1823" t="s">
        <v>42987</v>
      </c>
      <c r="B1823" t="s">
        <v>42988</v>
      </c>
      <c r="C1823" t="s">
        <v>43009</v>
      </c>
      <c r="D1823" t="s">
        <v>25229</v>
      </c>
      <c r="E1823" t="s">
        <v>25230</v>
      </c>
      <c r="F1823" t="s">
        <v>25230</v>
      </c>
      <c r="G1823" t="s">
        <v>25230</v>
      </c>
      <c r="H1823" t="s">
        <v>51</v>
      </c>
      <c r="I1823" t="s">
        <v>42995</v>
      </c>
      <c r="J1823" t="str">
        <f>"4970100"</f>
        <v>4970100</v>
      </c>
      <c r="K1823">
        <v>2377023220</v>
      </c>
      <c r="L1823">
        <v>2377023341</v>
      </c>
      <c r="M1823" t="s">
        <v>43010</v>
      </c>
      <c r="N1823" t="s">
        <v>43011</v>
      </c>
      <c r="O1823" t="s">
        <v>43012</v>
      </c>
      <c r="P1823">
        <v>63086</v>
      </c>
      <c r="Q1823" t="str">
        <f>"40.261538"</f>
        <v>40.261538</v>
      </c>
      <c r="R1823" t="str">
        <f>"24.244886"</f>
        <v>24.244886</v>
      </c>
      <c r="S1823" t="s">
        <v>57</v>
      </c>
    </row>
    <row r="1824" spans="1:19" x14ac:dyDescent="0.3">
      <c r="A1824" t="s">
        <v>42987</v>
      </c>
      <c r="B1824" t="s">
        <v>42988</v>
      </c>
      <c r="C1824" t="s">
        <v>43013</v>
      </c>
      <c r="D1824" t="s">
        <v>32486</v>
      </c>
      <c r="E1824" t="s">
        <v>32486</v>
      </c>
      <c r="F1824" t="s">
        <v>32486</v>
      </c>
      <c r="G1824" t="s">
        <v>32486</v>
      </c>
      <c r="H1824" t="s">
        <v>51</v>
      </c>
      <c r="I1824" t="s">
        <v>42995</v>
      </c>
      <c r="J1824" t="str">
        <f>"5070100"</f>
        <v>5070100</v>
      </c>
      <c r="K1824">
        <v>2821044475</v>
      </c>
      <c r="L1824">
        <v>2821043984</v>
      </c>
      <c r="M1824" t="s">
        <v>43014</v>
      </c>
      <c r="N1824" t="s">
        <v>32489</v>
      </c>
      <c r="O1824" t="s">
        <v>24719</v>
      </c>
      <c r="P1824">
        <v>73100</v>
      </c>
      <c r="Q1824" t="str">
        <f>"35.518869"</f>
        <v>35.518869</v>
      </c>
      <c r="R1824" t="str">
        <f>"24.054227"</f>
        <v>24.054227</v>
      </c>
      <c r="S1824" t="s">
        <v>26</v>
      </c>
    </row>
    <row r="1825" spans="1:19" x14ac:dyDescent="0.3">
      <c r="A1825" t="s">
        <v>42987</v>
      </c>
      <c r="B1825" t="s">
        <v>42988</v>
      </c>
      <c r="C1825" t="s">
        <v>43015</v>
      </c>
      <c r="D1825" t="s">
        <v>25197</v>
      </c>
      <c r="E1825" t="s">
        <v>25889</v>
      </c>
      <c r="F1825" t="s">
        <v>25890</v>
      </c>
      <c r="G1825" t="s">
        <v>25890</v>
      </c>
      <c r="H1825" t="s">
        <v>51</v>
      </c>
      <c r="I1825" t="s">
        <v>42995</v>
      </c>
      <c r="J1825" t="str">
        <f>"1970100"</f>
        <v>1970100</v>
      </c>
      <c r="K1825">
        <v>2310735717</v>
      </c>
      <c r="L1825">
        <v>2310735870</v>
      </c>
      <c r="M1825" t="s">
        <v>43016</v>
      </c>
      <c r="N1825" t="s">
        <v>25247</v>
      </c>
      <c r="O1825" t="s">
        <v>43017</v>
      </c>
      <c r="P1825">
        <v>54629</v>
      </c>
      <c r="Q1825" t="str">
        <f>"40.647344"</f>
        <v>40.647344</v>
      </c>
      <c r="R1825" t="str">
        <f>"22.933378"</f>
        <v>22.933378</v>
      </c>
      <c r="S1825" t="s">
        <v>26</v>
      </c>
    </row>
    <row r="1826" spans="1:19" x14ac:dyDescent="0.3">
      <c r="A1826" t="s">
        <v>42987</v>
      </c>
      <c r="B1826" t="s">
        <v>42988</v>
      </c>
      <c r="C1826" t="s">
        <v>43018</v>
      </c>
      <c r="D1826" t="s">
        <v>40260</v>
      </c>
      <c r="E1826" t="s">
        <v>40261</v>
      </c>
      <c r="F1826" t="s">
        <v>40261</v>
      </c>
      <c r="G1826" t="s">
        <v>40261</v>
      </c>
      <c r="H1826" t="s">
        <v>51</v>
      </c>
      <c r="I1826" t="s">
        <v>42995</v>
      </c>
      <c r="J1826" t="str">
        <f>"4670100"</f>
        <v>4670100</v>
      </c>
      <c r="K1826">
        <v>2231021381</v>
      </c>
      <c r="L1826">
        <v>2231034353</v>
      </c>
      <c r="M1826" t="s">
        <v>43019</v>
      </c>
      <c r="N1826" t="s">
        <v>40264</v>
      </c>
      <c r="O1826" t="s">
        <v>43020</v>
      </c>
      <c r="P1826">
        <v>35133</v>
      </c>
      <c r="Q1826" t="str">
        <f>"38.901529"</f>
        <v>38.901529</v>
      </c>
      <c r="R1826" t="str">
        <f>"22.455454"</f>
        <v>22.455454</v>
      </c>
      <c r="S1826" t="s">
        <v>26</v>
      </c>
    </row>
    <row r="1827" spans="1:19" x14ac:dyDescent="0.3">
      <c r="A1827" t="s">
        <v>43021</v>
      </c>
      <c r="B1827" t="s">
        <v>43025</v>
      </c>
      <c r="C1827" t="s">
        <v>43032</v>
      </c>
      <c r="H1827" t="s">
        <v>51</v>
      </c>
      <c r="I1827" t="s">
        <v>43031</v>
      </c>
      <c r="J1827" t="str">
        <f>"7740013"</f>
        <v>7740013</v>
      </c>
      <c r="Q1827" t="str">
        <f>""</f>
        <v/>
      </c>
      <c r="R1827" t="str">
        <f>""</f>
        <v/>
      </c>
      <c r="S1827" t="s">
        <v>26</v>
      </c>
    </row>
    <row r="1828" spans="1:19" x14ac:dyDescent="0.3">
      <c r="A1828" t="s">
        <v>43021</v>
      </c>
      <c r="B1828" t="s">
        <v>43033</v>
      </c>
      <c r="C1828" t="s">
        <v>43039</v>
      </c>
      <c r="H1828" t="s">
        <v>51</v>
      </c>
      <c r="I1828" t="s">
        <v>43031</v>
      </c>
      <c r="J1828" t="str">
        <f>"7740004"</f>
        <v>7740004</v>
      </c>
      <c r="Q1828" t="str">
        <f>""</f>
        <v/>
      </c>
      <c r="R1828" t="str">
        <f>""</f>
        <v/>
      </c>
      <c r="S1828" t="s">
        <v>26</v>
      </c>
    </row>
    <row r="1829" spans="1:19" x14ac:dyDescent="0.3">
      <c r="A1829" t="s">
        <v>43021</v>
      </c>
      <c r="B1829" t="s">
        <v>43033</v>
      </c>
      <c r="C1829" t="s">
        <v>43040</v>
      </c>
      <c r="H1829" t="s">
        <v>51</v>
      </c>
      <c r="I1829" t="s">
        <v>43031</v>
      </c>
      <c r="J1829" t="str">
        <f>"7740005"</f>
        <v>7740005</v>
      </c>
      <c r="Q1829" t="str">
        <f>""</f>
        <v/>
      </c>
      <c r="R1829" t="str">
        <f>""</f>
        <v/>
      </c>
      <c r="S1829" t="s">
        <v>26</v>
      </c>
    </row>
    <row r="1830" spans="1:19" x14ac:dyDescent="0.3">
      <c r="A1830" t="s">
        <v>43021</v>
      </c>
      <c r="B1830" t="s">
        <v>43033</v>
      </c>
      <c r="C1830" t="s">
        <v>43041</v>
      </c>
      <c r="H1830" t="s">
        <v>51</v>
      </c>
      <c r="I1830" t="s">
        <v>43031</v>
      </c>
      <c r="J1830" t="str">
        <f>"7740006"</f>
        <v>7740006</v>
      </c>
      <c r="Q1830" t="str">
        <f>""</f>
        <v/>
      </c>
      <c r="R1830" t="str">
        <f>""</f>
        <v/>
      </c>
      <c r="S1830" t="s">
        <v>26</v>
      </c>
    </row>
    <row r="1831" spans="1:19" x14ac:dyDescent="0.3">
      <c r="A1831" t="s">
        <v>43021</v>
      </c>
      <c r="B1831" t="s">
        <v>43042</v>
      </c>
      <c r="C1831" t="s">
        <v>43048</v>
      </c>
      <c r="H1831" t="s">
        <v>51</v>
      </c>
      <c r="I1831" t="s">
        <v>43031</v>
      </c>
      <c r="J1831" t="str">
        <f>"7740001"</f>
        <v>7740001</v>
      </c>
      <c r="Q1831" t="str">
        <f>""</f>
        <v/>
      </c>
      <c r="R1831" t="str">
        <f>""</f>
        <v/>
      </c>
      <c r="S1831" t="s">
        <v>26</v>
      </c>
    </row>
    <row r="1832" spans="1:19" x14ac:dyDescent="0.3">
      <c r="A1832" t="s">
        <v>43021</v>
      </c>
      <c r="B1832" t="s">
        <v>43042</v>
      </c>
      <c r="C1832" t="s">
        <v>43049</v>
      </c>
      <c r="H1832" t="s">
        <v>51</v>
      </c>
      <c r="I1832" t="s">
        <v>43031</v>
      </c>
      <c r="J1832" t="str">
        <f>"7740002"</f>
        <v>7740002</v>
      </c>
      <c r="Q1832" t="str">
        <f>""</f>
        <v/>
      </c>
      <c r="R1832" t="str">
        <f>""</f>
        <v/>
      </c>
      <c r="S1832" t="s">
        <v>26</v>
      </c>
    </row>
    <row r="1833" spans="1:19" x14ac:dyDescent="0.3">
      <c r="A1833" t="s">
        <v>43021</v>
      </c>
      <c r="B1833" t="s">
        <v>43042</v>
      </c>
      <c r="C1833" t="s">
        <v>43050</v>
      </c>
      <c r="H1833" t="s">
        <v>51</v>
      </c>
      <c r="I1833" t="s">
        <v>43031</v>
      </c>
      <c r="J1833" t="str">
        <f>"7740003"</f>
        <v>7740003</v>
      </c>
      <c r="Q1833" t="str">
        <f>""</f>
        <v/>
      </c>
      <c r="R1833" t="str">
        <f>""</f>
        <v/>
      </c>
      <c r="S1833" t="s">
        <v>26</v>
      </c>
    </row>
    <row r="1834" spans="1:19" x14ac:dyDescent="0.3">
      <c r="A1834" t="s">
        <v>43021</v>
      </c>
      <c r="B1834" t="s">
        <v>43051</v>
      </c>
      <c r="C1834" t="s">
        <v>43054</v>
      </c>
      <c r="H1834" t="s">
        <v>51</v>
      </c>
      <c r="I1834" t="s">
        <v>43031</v>
      </c>
      <c r="J1834" t="str">
        <f>"7740014"</f>
        <v>7740014</v>
      </c>
      <c r="Q1834" t="str">
        <f>""</f>
        <v/>
      </c>
      <c r="R1834" t="str">
        <f>""</f>
        <v/>
      </c>
      <c r="S1834" t="s">
        <v>26</v>
      </c>
    </row>
    <row r="1835" spans="1:19" x14ac:dyDescent="0.3">
      <c r="A1835" t="s">
        <v>43021</v>
      </c>
      <c r="B1835" t="s">
        <v>43055</v>
      </c>
      <c r="C1835" t="s">
        <v>43058</v>
      </c>
      <c r="H1835" t="s">
        <v>51</v>
      </c>
      <c r="I1835" t="s">
        <v>43031</v>
      </c>
      <c r="J1835" t="str">
        <f>"7740015"</f>
        <v>7740015</v>
      </c>
      <c r="Q1835" t="str">
        <f>""</f>
        <v/>
      </c>
      <c r="R1835" t="str">
        <f>""</f>
        <v/>
      </c>
      <c r="S1835" t="s">
        <v>26</v>
      </c>
    </row>
    <row r="1836" spans="1:19" x14ac:dyDescent="0.3">
      <c r="A1836" t="s">
        <v>43021</v>
      </c>
      <c r="B1836" t="s">
        <v>43059</v>
      </c>
      <c r="C1836" t="s">
        <v>43067</v>
      </c>
      <c r="H1836" t="s">
        <v>51</v>
      </c>
      <c r="I1836" t="s">
        <v>43066</v>
      </c>
      <c r="J1836" t="str">
        <f>"7730001"</f>
        <v>7730001</v>
      </c>
      <c r="Q1836" t="str">
        <f>""</f>
        <v/>
      </c>
      <c r="R1836" t="str">
        <f>""</f>
        <v/>
      </c>
      <c r="S1836" t="s">
        <v>26</v>
      </c>
    </row>
    <row r="1837" spans="1:19" x14ac:dyDescent="0.3">
      <c r="A1837" t="s">
        <v>43021</v>
      </c>
      <c r="B1837" t="s">
        <v>43059</v>
      </c>
      <c r="C1837" t="s">
        <v>43068</v>
      </c>
      <c r="H1837" t="s">
        <v>51</v>
      </c>
      <c r="I1837" t="s">
        <v>43066</v>
      </c>
      <c r="J1837" t="str">
        <f>"7730002"</f>
        <v>7730002</v>
      </c>
      <c r="Q1837" t="str">
        <f>""</f>
        <v/>
      </c>
      <c r="R1837" t="str">
        <f>""</f>
        <v/>
      </c>
      <c r="S1837" t="s">
        <v>26</v>
      </c>
    </row>
    <row r="1838" spans="1:19" x14ac:dyDescent="0.3">
      <c r="A1838" t="s">
        <v>43021</v>
      </c>
      <c r="B1838" t="s">
        <v>43059</v>
      </c>
      <c r="C1838" t="s">
        <v>43069</v>
      </c>
      <c r="H1838" t="s">
        <v>51</v>
      </c>
      <c r="I1838" t="s">
        <v>43066</v>
      </c>
      <c r="J1838" t="str">
        <f>"7730003"</f>
        <v>7730003</v>
      </c>
      <c r="Q1838" t="str">
        <f>""</f>
        <v/>
      </c>
      <c r="R1838" t="str">
        <f>""</f>
        <v/>
      </c>
      <c r="S1838" t="s">
        <v>26</v>
      </c>
    </row>
    <row r="1839" spans="1:19" x14ac:dyDescent="0.3">
      <c r="A1839" t="s">
        <v>43021</v>
      </c>
      <c r="B1839" t="s">
        <v>43072</v>
      </c>
      <c r="C1839" t="s">
        <v>43077</v>
      </c>
      <c r="H1839" t="s">
        <v>51</v>
      </c>
      <c r="I1839" t="s">
        <v>43031</v>
      </c>
      <c r="J1839" t="str">
        <f>"7740007"</f>
        <v>7740007</v>
      </c>
      <c r="Q1839" t="str">
        <f>""</f>
        <v/>
      </c>
      <c r="R1839" t="str">
        <f>""</f>
        <v/>
      </c>
      <c r="S1839" t="s">
        <v>26</v>
      </c>
    </row>
    <row r="1840" spans="1:19" x14ac:dyDescent="0.3">
      <c r="A1840" t="s">
        <v>43021</v>
      </c>
      <c r="B1840" t="s">
        <v>43072</v>
      </c>
      <c r="C1840" t="s">
        <v>43078</v>
      </c>
      <c r="H1840" t="s">
        <v>51</v>
      </c>
      <c r="I1840" t="s">
        <v>43031</v>
      </c>
      <c r="J1840" t="str">
        <f>"7740008"</f>
        <v>7740008</v>
      </c>
      <c r="Q1840" t="str">
        <f>""</f>
        <v/>
      </c>
      <c r="R1840" t="str">
        <f>""</f>
        <v/>
      </c>
      <c r="S1840" t="s">
        <v>26</v>
      </c>
    </row>
    <row r="1841" spans="1:19" x14ac:dyDescent="0.3">
      <c r="A1841" t="s">
        <v>43021</v>
      </c>
      <c r="B1841" t="s">
        <v>43072</v>
      </c>
      <c r="C1841" t="s">
        <v>43079</v>
      </c>
      <c r="H1841" t="s">
        <v>51</v>
      </c>
      <c r="I1841" t="s">
        <v>43031</v>
      </c>
      <c r="J1841" t="str">
        <f>"7740009"</f>
        <v>7740009</v>
      </c>
      <c r="Q1841" t="str">
        <f>""</f>
        <v/>
      </c>
      <c r="R1841" t="str">
        <f>""</f>
        <v/>
      </c>
      <c r="S1841" t="s">
        <v>26</v>
      </c>
    </row>
    <row r="1842" spans="1:19" x14ac:dyDescent="0.3">
      <c r="A1842" t="s">
        <v>43021</v>
      </c>
      <c r="B1842" t="s">
        <v>43072</v>
      </c>
      <c r="C1842" t="s">
        <v>43080</v>
      </c>
      <c r="H1842" t="s">
        <v>51</v>
      </c>
      <c r="I1842" t="s">
        <v>43031</v>
      </c>
      <c r="J1842" t="str">
        <f>"7740010"</f>
        <v>7740010</v>
      </c>
      <c r="Q1842" t="str">
        <f>""</f>
        <v/>
      </c>
      <c r="R1842" t="str">
        <f>""</f>
        <v/>
      </c>
      <c r="S1842" t="s">
        <v>26</v>
      </c>
    </row>
    <row r="1843" spans="1:19" x14ac:dyDescent="0.3">
      <c r="A1843" t="s">
        <v>43021</v>
      </c>
      <c r="B1843" t="s">
        <v>43072</v>
      </c>
      <c r="C1843" t="s">
        <v>43081</v>
      </c>
      <c r="H1843" t="s">
        <v>51</v>
      </c>
      <c r="I1843" t="s">
        <v>43031</v>
      </c>
      <c r="J1843" t="str">
        <f>"7740011"</f>
        <v>7740011</v>
      </c>
      <c r="Q1843" t="str">
        <f>""</f>
        <v/>
      </c>
      <c r="R1843" t="str">
        <f>""</f>
        <v/>
      </c>
      <c r="S1843" t="s">
        <v>26</v>
      </c>
    </row>
    <row r="1844" spans="1:19" x14ac:dyDescent="0.3">
      <c r="A1844" t="s">
        <v>43021</v>
      </c>
      <c r="B1844" t="s">
        <v>43082</v>
      </c>
      <c r="C1844" t="s">
        <v>43085</v>
      </c>
      <c r="H1844" t="s">
        <v>51</v>
      </c>
      <c r="I1844" t="s">
        <v>43031</v>
      </c>
      <c r="J1844" t="str">
        <f>"7740012"</f>
        <v>7740012</v>
      </c>
      <c r="Q1844" t="str">
        <f>""</f>
        <v/>
      </c>
      <c r="R1844" t="str">
        <f>""</f>
        <v/>
      </c>
      <c r="S1844" t="s">
        <v>26</v>
      </c>
    </row>
    <row r="1845" spans="1:19" x14ac:dyDescent="0.3">
      <c r="A1845" t="s">
        <v>19</v>
      </c>
      <c r="B1845" t="s">
        <v>858</v>
      </c>
      <c r="C1845" t="s">
        <v>180</v>
      </c>
      <c r="D1845" t="s">
        <v>21</v>
      </c>
      <c r="E1845" t="s">
        <v>21</v>
      </c>
      <c r="F1845" t="s">
        <v>21</v>
      </c>
      <c r="G1845" t="s">
        <v>21</v>
      </c>
      <c r="H1845" t="s">
        <v>868</v>
      </c>
      <c r="I1845" t="s">
        <v>869</v>
      </c>
      <c r="J1845" t="str">
        <f>"9090087"</f>
        <v>9090087</v>
      </c>
      <c r="K1845">
        <v>2521036255</v>
      </c>
      <c r="L1845">
        <v>2521036255</v>
      </c>
      <c r="M1845" t="s">
        <v>870</v>
      </c>
      <c r="N1845" t="s">
        <v>179</v>
      </c>
      <c r="O1845" t="s">
        <v>871</v>
      </c>
      <c r="P1845">
        <v>66100</v>
      </c>
      <c r="Q1845" t="str">
        <f>"41.133506"</f>
        <v>41.133506</v>
      </c>
      <c r="R1845" t="str">
        <f>"24.119336"</f>
        <v>24.119336</v>
      </c>
      <c r="S1845" t="s">
        <v>26</v>
      </c>
    </row>
    <row r="1846" spans="1:19" x14ac:dyDescent="0.3">
      <c r="A1846" t="s">
        <v>19</v>
      </c>
      <c r="B1846" t="s">
        <v>858</v>
      </c>
      <c r="C1846" t="s">
        <v>143</v>
      </c>
      <c r="D1846" t="s">
        <v>21</v>
      </c>
      <c r="E1846" t="s">
        <v>21</v>
      </c>
      <c r="F1846" t="s">
        <v>21</v>
      </c>
      <c r="G1846" t="s">
        <v>21</v>
      </c>
      <c r="H1846" t="s">
        <v>868</v>
      </c>
      <c r="I1846" t="s">
        <v>869</v>
      </c>
      <c r="J1846" t="str">
        <f>"9090009"</f>
        <v>9090009</v>
      </c>
      <c r="K1846">
        <v>2521022145</v>
      </c>
      <c r="L1846">
        <v>2521057216</v>
      </c>
      <c r="M1846" t="s">
        <v>872</v>
      </c>
      <c r="N1846" t="s">
        <v>873</v>
      </c>
      <c r="O1846" t="s">
        <v>874</v>
      </c>
      <c r="P1846">
        <v>66100</v>
      </c>
      <c r="Q1846" t="str">
        <f>"41.154554"</f>
        <v>41.154554</v>
      </c>
      <c r="R1846" t="str">
        <f>"24.161937"</f>
        <v>24.161937</v>
      </c>
      <c r="S1846" t="s">
        <v>26</v>
      </c>
    </row>
    <row r="1847" spans="1:19" x14ac:dyDescent="0.3">
      <c r="A1847" t="s">
        <v>19</v>
      </c>
      <c r="B1847" t="s">
        <v>858</v>
      </c>
      <c r="C1847" t="s">
        <v>915</v>
      </c>
      <c r="D1847" t="s">
        <v>21</v>
      </c>
      <c r="E1847" t="s">
        <v>50</v>
      </c>
      <c r="F1847" t="s">
        <v>50</v>
      </c>
      <c r="G1847" t="s">
        <v>914</v>
      </c>
      <c r="H1847" t="s">
        <v>868</v>
      </c>
      <c r="I1847" t="s">
        <v>869</v>
      </c>
      <c r="J1847" t="str">
        <f>"9090146"</f>
        <v>9090146</v>
      </c>
      <c r="K1847">
        <v>2523023705</v>
      </c>
      <c r="L1847">
        <v>2523023705</v>
      </c>
      <c r="M1847" t="s">
        <v>916</v>
      </c>
      <c r="N1847" t="s">
        <v>917</v>
      </c>
      <c r="O1847" t="s">
        <v>918</v>
      </c>
      <c r="P1847">
        <v>66033</v>
      </c>
      <c r="Q1847" t="str">
        <f>"41.315729"</f>
        <v>41.315729</v>
      </c>
      <c r="R1847" t="str">
        <f>"24.002421"</f>
        <v>24.002421</v>
      </c>
      <c r="S1847" t="s">
        <v>26</v>
      </c>
    </row>
    <row r="1848" spans="1:19" x14ac:dyDescent="0.3">
      <c r="A1848" t="s">
        <v>19</v>
      </c>
      <c r="B1848" t="s">
        <v>858</v>
      </c>
      <c r="C1848" t="s">
        <v>951</v>
      </c>
      <c r="D1848" t="s">
        <v>21</v>
      </c>
      <c r="E1848" t="s">
        <v>50</v>
      </c>
      <c r="F1848" t="s">
        <v>50</v>
      </c>
      <c r="G1848" t="s">
        <v>949</v>
      </c>
      <c r="H1848" t="s">
        <v>868</v>
      </c>
      <c r="I1848" t="s">
        <v>950</v>
      </c>
      <c r="J1848" t="str">
        <f>"9090185"</f>
        <v>9090185</v>
      </c>
      <c r="K1848">
        <v>2523031238</v>
      </c>
      <c r="L1848">
        <v>2523031238</v>
      </c>
      <c r="M1848" t="s">
        <v>952</v>
      </c>
      <c r="N1848" t="s">
        <v>953</v>
      </c>
      <c r="P1848">
        <v>66033</v>
      </c>
      <c r="Q1848" t="str">
        <f>"41.312786"</f>
        <v>41.312786</v>
      </c>
      <c r="R1848" t="str">
        <f>"23.782364"</f>
        <v>23.782364</v>
      </c>
      <c r="S1848" t="s">
        <v>26</v>
      </c>
    </row>
    <row r="1849" spans="1:19" x14ac:dyDescent="0.3">
      <c r="A1849" t="s">
        <v>19</v>
      </c>
      <c r="B1849" t="s">
        <v>858</v>
      </c>
      <c r="C1849" t="s">
        <v>58</v>
      </c>
      <c r="D1849" t="s">
        <v>21</v>
      </c>
      <c r="E1849" t="s">
        <v>50</v>
      </c>
      <c r="F1849" t="s">
        <v>50</v>
      </c>
      <c r="G1849" t="s">
        <v>50</v>
      </c>
      <c r="H1849" t="s">
        <v>868</v>
      </c>
      <c r="I1849" t="s">
        <v>869</v>
      </c>
      <c r="J1849" t="str">
        <f>"9090164"</f>
        <v>9090164</v>
      </c>
      <c r="K1849">
        <v>2523022228</v>
      </c>
      <c r="L1849">
        <v>2523022228</v>
      </c>
      <c r="M1849" t="s">
        <v>954</v>
      </c>
      <c r="N1849" t="s">
        <v>56</v>
      </c>
      <c r="O1849" t="s">
        <v>56</v>
      </c>
      <c r="P1849">
        <v>66033</v>
      </c>
      <c r="Q1849" t="str">
        <f>"41.344911"</f>
        <v>41.344911</v>
      </c>
      <c r="R1849" t="str">
        <f>"23.869868"</f>
        <v>23.869868</v>
      </c>
      <c r="S1849" t="s">
        <v>26</v>
      </c>
    </row>
    <row r="1850" spans="1:19" x14ac:dyDescent="0.3">
      <c r="A1850" t="s">
        <v>19</v>
      </c>
      <c r="B1850" t="s">
        <v>858</v>
      </c>
      <c r="C1850" t="s">
        <v>956</v>
      </c>
      <c r="D1850" t="s">
        <v>21</v>
      </c>
      <c r="E1850" t="s">
        <v>21</v>
      </c>
      <c r="F1850" t="s">
        <v>21</v>
      </c>
      <c r="G1850" t="s">
        <v>955</v>
      </c>
      <c r="H1850" t="s">
        <v>868</v>
      </c>
      <c r="I1850" t="s">
        <v>869</v>
      </c>
      <c r="J1850" t="str">
        <f>"9090101"</f>
        <v>9090101</v>
      </c>
      <c r="K1850">
        <v>2521096231</v>
      </c>
      <c r="L1850">
        <v>2521096231</v>
      </c>
      <c r="M1850" t="s">
        <v>957</v>
      </c>
      <c r="N1850" t="s">
        <v>958</v>
      </c>
      <c r="O1850" t="s">
        <v>959</v>
      </c>
      <c r="P1850">
        <v>66150</v>
      </c>
      <c r="Q1850" t="str">
        <f>"41.108447"</f>
        <v>41.108447</v>
      </c>
      <c r="R1850" t="str">
        <f>"24.086895"</f>
        <v>24.086895</v>
      </c>
      <c r="S1850" t="s">
        <v>26</v>
      </c>
    </row>
    <row r="1851" spans="1:19" x14ac:dyDescent="0.3">
      <c r="A1851" t="s">
        <v>19</v>
      </c>
      <c r="B1851" t="s">
        <v>858</v>
      </c>
      <c r="C1851" t="s">
        <v>960</v>
      </c>
      <c r="D1851" t="s">
        <v>21</v>
      </c>
      <c r="E1851" t="s">
        <v>21</v>
      </c>
      <c r="F1851" t="s">
        <v>21</v>
      </c>
      <c r="G1851" t="s">
        <v>21</v>
      </c>
      <c r="H1851" t="s">
        <v>868</v>
      </c>
      <c r="I1851" t="s">
        <v>869</v>
      </c>
      <c r="J1851" t="str">
        <f>"9090209"</f>
        <v>9090209</v>
      </c>
      <c r="K1851">
        <v>2521024421</v>
      </c>
      <c r="L1851">
        <v>2521024421</v>
      </c>
      <c r="M1851" t="s">
        <v>961</v>
      </c>
      <c r="N1851" t="s">
        <v>873</v>
      </c>
      <c r="O1851" t="s">
        <v>962</v>
      </c>
      <c r="P1851">
        <v>66132</v>
      </c>
      <c r="Q1851" t="str">
        <f>"41.154275"</f>
        <v>41.154275</v>
      </c>
      <c r="R1851" t="str">
        <f>"24.151820"</f>
        <v>24.151820</v>
      </c>
      <c r="S1851" t="s">
        <v>26</v>
      </c>
    </row>
    <row r="1852" spans="1:19" x14ac:dyDescent="0.3">
      <c r="A1852" t="s">
        <v>19</v>
      </c>
      <c r="B1852" t="s">
        <v>858</v>
      </c>
      <c r="C1852" t="s">
        <v>159</v>
      </c>
      <c r="D1852" t="s">
        <v>21</v>
      </c>
      <c r="E1852" t="s">
        <v>21</v>
      </c>
      <c r="F1852" t="s">
        <v>21</v>
      </c>
      <c r="G1852" t="s">
        <v>21</v>
      </c>
      <c r="H1852" t="s">
        <v>868</v>
      </c>
      <c r="I1852" t="s">
        <v>869</v>
      </c>
      <c r="J1852" t="str">
        <f>"9090010"</f>
        <v>9090010</v>
      </c>
      <c r="K1852">
        <v>2521024532</v>
      </c>
      <c r="M1852" t="s">
        <v>966</v>
      </c>
      <c r="N1852" t="s">
        <v>24</v>
      </c>
      <c r="O1852" t="s">
        <v>967</v>
      </c>
      <c r="P1852">
        <v>66132</v>
      </c>
      <c r="Q1852" t="str">
        <f>"41.158283"</f>
        <v>41.158283</v>
      </c>
      <c r="R1852" t="str">
        <f>"24.152267"</f>
        <v>24.152267</v>
      </c>
      <c r="S1852" t="s">
        <v>26</v>
      </c>
    </row>
    <row r="1853" spans="1:19" x14ac:dyDescent="0.3">
      <c r="A1853" t="s">
        <v>19</v>
      </c>
      <c r="B1853" t="s">
        <v>858</v>
      </c>
      <c r="C1853" t="s">
        <v>977</v>
      </c>
      <c r="D1853" t="s">
        <v>21</v>
      </c>
      <c r="E1853" t="s">
        <v>21</v>
      </c>
      <c r="F1853" t="s">
        <v>21</v>
      </c>
      <c r="G1853" t="s">
        <v>21</v>
      </c>
      <c r="H1853" t="s">
        <v>868</v>
      </c>
      <c r="I1853" t="s">
        <v>869</v>
      </c>
      <c r="J1853" t="str">
        <f>"9090081"</f>
        <v>9090081</v>
      </c>
      <c r="K1853">
        <v>2521035757</v>
      </c>
      <c r="L1853">
        <v>2521055063</v>
      </c>
      <c r="M1853" t="s">
        <v>978</v>
      </c>
      <c r="N1853" t="s">
        <v>24</v>
      </c>
      <c r="O1853" t="s">
        <v>979</v>
      </c>
      <c r="P1853">
        <v>66100</v>
      </c>
      <c r="Q1853" t="str">
        <f>"41.153950"</f>
        <v>41.153950</v>
      </c>
      <c r="R1853" t="str">
        <f>"24.122648"</f>
        <v>24.122648</v>
      </c>
      <c r="S1853" t="s">
        <v>26</v>
      </c>
    </row>
    <row r="1854" spans="1:19" x14ac:dyDescent="0.3">
      <c r="A1854" t="s">
        <v>19</v>
      </c>
      <c r="B1854" t="s">
        <v>858</v>
      </c>
      <c r="C1854" t="s">
        <v>129</v>
      </c>
      <c r="D1854" t="s">
        <v>21</v>
      </c>
      <c r="E1854" t="s">
        <v>21</v>
      </c>
      <c r="F1854" t="s">
        <v>21</v>
      </c>
      <c r="G1854" t="s">
        <v>21</v>
      </c>
      <c r="H1854" t="s">
        <v>868</v>
      </c>
      <c r="I1854" t="s">
        <v>869</v>
      </c>
      <c r="J1854" t="str">
        <f>"9090219"</f>
        <v>9090219</v>
      </c>
      <c r="K1854">
        <v>2521035656</v>
      </c>
      <c r="L1854">
        <v>2521035659</v>
      </c>
      <c r="M1854" t="s">
        <v>988</v>
      </c>
      <c r="N1854" t="s">
        <v>989</v>
      </c>
      <c r="O1854" t="s">
        <v>990</v>
      </c>
      <c r="P1854">
        <v>66133</v>
      </c>
      <c r="Q1854" t="str">
        <f>"41.145830"</f>
        <v>41.145830</v>
      </c>
      <c r="R1854" t="str">
        <f>"24.153328"</f>
        <v>24.153328</v>
      </c>
      <c r="S1854" t="s">
        <v>26</v>
      </c>
    </row>
    <row r="1855" spans="1:19" x14ac:dyDescent="0.3">
      <c r="A1855" t="s">
        <v>19</v>
      </c>
      <c r="B1855" t="s">
        <v>858</v>
      </c>
      <c r="C1855" t="s">
        <v>1000</v>
      </c>
      <c r="D1855" t="s">
        <v>21</v>
      </c>
      <c r="E1855" t="s">
        <v>21</v>
      </c>
      <c r="F1855" t="s">
        <v>21</v>
      </c>
      <c r="G1855" t="s">
        <v>999</v>
      </c>
      <c r="H1855" t="s">
        <v>868</v>
      </c>
      <c r="I1855" t="s">
        <v>869</v>
      </c>
      <c r="J1855" t="str">
        <f>"9090106"</f>
        <v>9090106</v>
      </c>
      <c r="K1855">
        <v>2521083442</v>
      </c>
      <c r="L1855">
        <v>2521083442</v>
      </c>
      <c r="M1855" t="s">
        <v>1001</v>
      </c>
      <c r="N1855" t="s">
        <v>1002</v>
      </c>
      <c r="O1855" t="s">
        <v>1002</v>
      </c>
      <c r="P1855">
        <v>66100</v>
      </c>
      <c r="Q1855" t="str">
        <f>"41.111256"</f>
        <v>41.111256</v>
      </c>
      <c r="R1855" t="str">
        <f>"24.144510"</f>
        <v>24.144510</v>
      </c>
      <c r="S1855" t="s">
        <v>26</v>
      </c>
    </row>
    <row r="1856" spans="1:19" x14ac:dyDescent="0.3">
      <c r="A1856" t="s">
        <v>19</v>
      </c>
      <c r="B1856" t="s">
        <v>858</v>
      </c>
      <c r="C1856" t="s">
        <v>1007</v>
      </c>
      <c r="D1856" t="s">
        <v>21</v>
      </c>
      <c r="E1856" t="s">
        <v>59</v>
      </c>
      <c r="F1856" t="s">
        <v>59</v>
      </c>
      <c r="G1856" t="s">
        <v>60</v>
      </c>
      <c r="H1856" t="s">
        <v>868</v>
      </c>
      <c r="I1856" t="s">
        <v>869</v>
      </c>
      <c r="J1856" t="str">
        <f>"9090016"</f>
        <v>9090016</v>
      </c>
      <c r="K1856">
        <v>2521066435</v>
      </c>
      <c r="L1856">
        <v>2521066435</v>
      </c>
      <c r="M1856" t="s">
        <v>1008</v>
      </c>
      <c r="N1856" t="s">
        <v>1009</v>
      </c>
      <c r="O1856" t="s">
        <v>1010</v>
      </c>
      <c r="P1856">
        <v>66300</v>
      </c>
      <c r="Q1856" t="str">
        <f>"41.075927"</f>
        <v>41.075927</v>
      </c>
      <c r="R1856" t="str">
        <f>"24.246980"</f>
        <v>24.246980</v>
      </c>
      <c r="S1856" t="s">
        <v>26</v>
      </c>
    </row>
    <row r="1857" spans="1:19" x14ac:dyDescent="0.3">
      <c r="A1857" t="s">
        <v>19</v>
      </c>
      <c r="B1857" t="s">
        <v>858</v>
      </c>
      <c r="C1857" t="s">
        <v>106</v>
      </c>
      <c r="D1857" t="s">
        <v>21</v>
      </c>
      <c r="E1857" t="s">
        <v>21</v>
      </c>
      <c r="F1857" t="s">
        <v>21</v>
      </c>
      <c r="G1857" t="s">
        <v>21</v>
      </c>
      <c r="H1857" t="s">
        <v>868</v>
      </c>
      <c r="I1857" t="s">
        <v>869</v>
      </c>
      <c r="J1857" t="str">
        <f>"9090078"</f>
        <v>9090078</v>
      </c>
      <c r="K1857">
        <v>2521032400</v>
      </c>
      <c r="M1857" t="s">
        <v>1011</v>
      </c>
      <c r="N1857" t="s">
        <v>24</v>
      </c>
      <c r="O1857" t="s">
        <v>1012</v>
      </c>
      <c r="P1857">
        <v>66131</v>
      </c>
      <c r="Q1857" t="str">
        <f>"41.154632"</f>
        <v>41.154632</v>
      </c>
      <c r="R1857" t="str">
        <f>"24.132650"</f>
        <v>24.132650</v>
      </c>
      <c r="S1857" t="s">
        <v>26</v>
      </c>
    </row>
    <row r="1858" spans="1:19" x14ac:dyDescent="0.3">
      <c r="A1858" t="s">
        <v>19</v>
      </c>
      <c r="B1858" t="s">
        <v>858</v>
      </c>
      <c r="C1858" t="s">
        <v>1024</v>
      </c>
      <c r="D1858" t="s">
        <v>21</v>
      </c>
      <c r="E1858" t="s">
        <v>66</v>
      </c>
      <c r="F1858" t="s">
        <v>168</v>
      </c>
      <c r="G1858" t="s">
        <v>168</v>
      </c>
      <c r="H1858" t="s">
        <v>868</v>
      </c>
      <c r="I1858" t="s">
        <v>869</v>
      </c>
      <c r="J1858" t="str">
        <f>"9090132"</f>
        <v>9090132</v>
      </c>
      <c r="K1858">
        <v>2521095322</v>
      </c>
      <c r="L1858">
        <v>2521095322</v>
      </c>
      <c r="M1858" t="s">
        <v>1025</v>
      </c>
      <c r="N1858" t="s">
        <v>1026</v>
      </c>
      <c r="O1858" t="s">
        <v>1027</v>
      </c>
      <c r="P1858">
        <v>66100</v>
      </c>
      <c r="Q1858" t="str">
        <f>"41.111638"</f>
        <v>41.111638</v>
      </c>
      <c r="R1858" t="str">
        <f>"24.020861"</f>
        <v>24.020861</v>
      </c>
      <c r="S1858" t="s">
        <v>26</v>
      </c>
    </row>
    <row r="1859" spans="1:19" x14ac:dyDescent="0.3">
      <c r="A1859" t="s">
        <v>19</v>
      </c>
      <c r="B1859" t="s">
        <v>858</v>
      </c>
      <c r="C1859" t="s">
        <v>1028</v>
      </c>
      <c r="D1859" t="s">
        <v>21</v>
      </c>
      <c r="E1859" t="s">
        <v>21</v>
      </c>
      <c r="F1859" t="s">
        <v>21</v>
      </c>
      <c r="G1859" t="s">
        <v>21</v>
      </c>
      <c r="H1859" t="s">
        <v>868</v>
      </c>
      <c r="I1859" t="s">
        <v>869</v>
      </c>
      <c r="J1859" t="str">
        <f>"9090076"</f>
        <v>9090076</v>
      </c>
      <c r="K1859">
        <v>2521033262</v>
      </c>
      <c r="L1859">
        <v>2521033262</v>
      </c>
      <c r="M1859" t="s">
        <v>1029</v>
      </c>
      <c r="N1859" t="s">
        <v>873</v>
      </c>
      <c r="O1859" t="s">
        <v>1030</v>
      </c>
      <c r="P1859">
        <v>66131</v>
      </c>
      <c r="Q1859" t="str">
        <f>"41.156601"</f>
        <v>41.156601</v>
      </c>
      <c r="R1859" t="str">
        <f>"24.127936"</f>
        <v>24.127936</v>
      </c>
      <c r="S1859" t="s">
        <v>26</v>
      </c>
    </row>
    <row r="1860" spans="1:19" x14ac:dyDescent="0.3">
      <c r="A1860" t="s">
        <v>19</v>
      </c>
      <c r="B1860" t="s">
        <v>858</v>
      </c>
      <c r="C1860" t="s">
        <v>1031</v>
      </c>
      <c r="D1860" t="s">
        <v>21</v>
      </c>
      <c r="E1860" t="s">
        <v>21</v>
      </c>
      <c r="F1860" t="s">
        <v>21</v>
      </c>
      <c r="G1860" t="s">
        <v>21</v>
      </c>
      <c r="H1860" t="s">
        <v>868</v>
      </c>
      <c r="I1860" t="s">
        <v>869</v>
      </c>
      <c r="J1860" t="str">
        <f>"9090075"</f>
        <v>9090075</v>
      </c>
      <c r="K1860">
        <v>2521034593</v>
      </c>
      <c r="L1860">
        <v>2521034593</v>
      </c>
      <c r="M1860" t="s">
        <v>1032</v>
      </c>
      <c r="N1860" t="s">
        <v>863</v>
      </c>
      <c r="O1860" t="s">
        <v>1033</v>
      </c>
      <c r="P1860">
        <v>66100</v>
      </c>
      <c r="Q1860" t="str">
        <f>"41.140027"</f>
        <v>41.140027</v>
      </c>
      <c r="R1860" t="str">
        <f>"24.122241"</f>
        <v>24.122241</v>
      </c>
      <c r="S1860" t="s">
        <v>26</v>
      </c>
    </row>
    <row r="1861" spans="1:19" x14ac:dyDescent="0.3">
      <c r="A1861" t="s">
        <v>19</v>
      </c>
      <c r="B1861" t="s">
        <v>858</v>
      </c>
      <c r="C1861" t="s">
        <v>1039</v>
      </c>
      <c r="D1861" t="s">
        <v>21</v>
      </c>
      <c r="E1861" t="s">
        <v>21</v>
      </c>
      <c r="F1861" t="s">
        <v>21</v>
      </c>
      <c r="G1861" t="s">
        <v>21</v>
      </c>
      <c r="H1861" t="s">
        <v>868</v>
      </c>
      <c r="I1861" t="s">
        <v>869</v>
      </c>
      <c r="J1861" t="str">
        <f>"9090015"</f>
        <v>9090015</v>
      </c>
      <c r="K1861">
        <v>2521022785</v>
      </c>
      <c r="L1861">
        <v>2521022738</v>
      </c>
      <c r="M1861" t="s">
        <v>1040</v>
      </c>
      <c r="N1861" t="s">
        <v>21</v>
      </c>
      <c r="O1861" t="s">
        <v>907</v>
      </c>
      <c r="P1861">
        <v>66132</v>
      </c>
      <c r="Q1861" t="str">
        <f>"41.154624"</f>
        <v>41.154624</v>
      </c>
      <c r="R1861" t="str">
        <f>"24.145414"</f>
        <v>24.145414</v>
      </c>
      <c r="S1861" t="s">
        <v>26</v>
      </c>
    </row>
    <row r="1862" spans="1:19" x14ac:dyDescent="0.3">
      <c r="A1862" t="s">
        <v>19</v>
      </c>
      <c r="B1862" t="s">
        <v>858</v>
      </c>
      <c r="C1862" t="s">
        <v>65</v>
      </c>
      <c r="D1862" t="s">
        <v>21</v>
      </c>
      <c r="E1862" t="s">
        <v>59</v>
      </c>
      <c r="F1862" t="s">
        <v>59</v>
      </c>
      <c r="G1862" t="s">
        <v>60</v>
      </c>
      <c r="H1862" t="s">
        <v>868</v>
      </c>
      <c r="I1862" t="s">
        <v>869</v>
      </c>
      <c r="J1862" t="str">
        <f>"9090223"</f>
        <v>9090223</v>
      </c>
      <c r="K1862">
        <v>2521067126</v>
      </c>
      <c r="M1862" t="s">
        <v>1044</v>
      </c>
      <c r="N1862" t="s">
        <v>64</v>
      </c>
      <c r="O1862" t="s">
        <v>1045</v>
      </c>
      <c r="P1862">
        <v>66300</v>
      </c>
      <c r="Q1862" t="str">
        <f>"41.071635"</f>
        <v>41.071635</v>
      </c>
      <c r="R1862" t="str">
        <f>"24.243338"</f>
        <v>24.243338</v>
      </c>
      <c r="S1862" t="s">
        <v>26</v>
      </c>
    </row>
    <row r="1863" spans="1:19" x14ac:dyDescent="0.3">
      <c r="A1863" t="s">
        <v>19</v>
      </c>
      <c r="B1863" t="s">
        <v>858</v>
      </c>
      <c r="C1863" t="s">
        <v>77</v>
      </c>
      <c r="D1863" t="s">
        <v>21</v>
      </c>
      <c r="E1863" t="s">
        <v>21</v>
      </c>
      <c r="F1863" t="s">
        <v>21</v>
      </c>
      <c r="G1863" t="s">
        <v>21</v>
      </c>
      <c r="H1863" t="s">
        <v>868</v>
      </c>
      <c r="I1863" t="s">
        <v>869</v>
      </c>
      <c r="J1863" t="str">
        <f>"9090077"</f>
        <v>9090077</v>
      </c>
      <c r="K1863">
        <v>2521035113</v>
      </c>
      <c r="L1863">
        <v>2521035113</v>
      </c>
      <c r="M1863" t="s">
        <v>1046</v>
      </c>
      <c r="N1863" t="s">
        <v>989</v>
      </c>
      <c r="O1863" t="s">
        <v>1047</v>
      </c>
      <c r="P1863">
        <v>66133</v>
      </c>
      <c r="Q1863" t="str">
        <f>"41.138257"</f>
        <v>41.138257</v>
      </c>
      <c r="R1863" t="str">
        <f>"24.149711"</f>
        <v>24.149711</v>
      </c>
      <c r="S1863" t="s">
        <v>26</v>
      </c>
    </row>
    <row r="1864" spans="1:19" x14ac:dyDescent="0.3">
      <c r="A1864" t="s">
        <v>19</v>
      </c>
      <c r="B1864" t="s">
        <v>858</v>
      </c>
      <c r="C1864" t="s">
        <v>71</v>
      </c>
      <c r="D1864" t="s">
        <v>21</v>
      </c>
      <c r="E1864" t="s">
        <v>66</v>
      </c>
      <c r="F1864" t="s">
        <v>66</v>
      </c>
      <c r="G1864" t="s">
        <v>66</v>
      </c>
      <c r="H1864" t="s">
        <v>868</v>
      </c>
      <c r="I1864" t="s">
        <v>869</v>
      </c>
      <c r="J1864" t="str">
        <f>"9090138"</f>
        <v>9090138</v>
      </c>
      <c r="K1864">
        <v>2522022251</v>
      </c>
      <c r="L1864">
        <v>2522022251</v>
      </c>
      <c r="M1864" t="s">
        <v>1048</v>
      </c>
      <c r="N1864" t="s">
        <v>1049</v>
      </c>
      <c r="O1864" t="s">
        <v>1050</v>
      </c>
      <c r="P1864">
        <v>66200</v>
      </c>
      <c r="Q1864" t="str">
        <f>"41.178533"</f>
        <v>41.178533</v>
      </c>
      <c r="R1864" t="str">
        <f>"23.973902"</f>
        <v>23.973902</v>
      </c>
      <c r="S1864" t="s">
        <v>26</v>
      </c>
    </row>
    <row r="1865" spans="1:19" x14ac:dyDescent="0.3">
      <c r="A1865" t="s">
        <v>19</v>
      </c>
      <c r="B1865" t="s">
        <v>858</v>
      </c>
      <c r="C1865" t="s">
        <v>1053</v>
      </c>
      <c r="D1865" t="s">
        <v>21</v>
      </c>
      <c r="E1865" t="s">
        <v>21</v>
      </c>
      <c r="F1865" t="s">
        <v>21</v>
      </c>
      <c r="G1865" t="s">
        <v>21</v>
      </c>
      <c r="H1865" t="s">
        <v>868</v>
      </c>
      <c r="I1865" t="s">
        <v>869</v>
      </c>
      <c r="J1865" t="str">
        <f>"9090007"</f>
        <v>9090007</v>
      </c>
      <c r="K1865">
        <v>2521022810</v>
      </c>
      <c r="L1865">
        <v>2521022815</v>
      </c>
      <c r="M1865" t="s">
        <v>1054</v>
      </c>
      <c r="N1865" t="s">
        <v>24</v>
      </c>
      <c r="O1865" t="s">
        <v>1055</v>
      </c>
      <c r="P1865">
        <v>66133</v>
      </c>
      <c r="Q1865" t="str">
        <f>"41.148049"</f>
        <v>41.148049</v>
      </c>
      <c r="R1865" t="str">
        <f>"24.153230"</f>
        <v>24.153230</v>
      </c>
      <c r="S1865" t="s">
        <v>26</v>
      </c>
    </row>
    <row r="1866" spans="1:19" x14ac:dyDescent="0.3">
      <c r="A1866" t="s">
        <v>19</v>
      </c>
      <c r="B1866" t="s">
        <v>858</v>
      </c>
      <c r="C1866" t="s">
        <v>148</v>
      </c>
      <c r="D1866" t="s">
        <v>21</v>
      </c>
      <c r="E1866" t="s">
        <v>59</v>
      </c>
      <c r="F1866" t="s">
        <v>59</v>
      </c>
      <c r="G1866" t="s">
        <v>144</v>
      </c>
      <c r="H1866" t="s">
        <v>868</v>
      </c>
      <c r="I1866" t="s">
        <v>869</v>
      </c>
      <c r="J1866" t="str">
        <f>"9090034"</f>
        <v>9090034</v>
      </c>
      <c r="K1866">
        <v>6977351243</v>
      </c>
      <c r="L1866">
        <v>2521071214</v>
      </c>
      <c r="M1866" t="s">
        <v>1056</v>
      </c>
      <c r="N1866" t="s">
        <v>934</v>
      </c>
      <c r="O1866" t="s">
        <v>1057</v>
      </c>
      <c r="P1866">
        <v>66032</v>
      </c>
      <c r="Q1866" t="str">
        <f>"41.100502"</f>
        <v>41.100502</v>
      </c>
      <c r="R1866" t="str">
        <f>"24.292932"</f>
        <v>24.292932</v>
      </c>
      <c r="S1866" t="s">
        <v>26</v>
      </c>
    </row>
    <row r="1867" spans="1:19" x14ac:dyDescent="0.3">
      <c r="A1867" t="s">
        <v>19</v>
      </c>
      <c r="B1867" t="s">
        <v>858</v>
      </c>
      <c r="C1867" t="s">
        <v>1072</v>
      </c>
      <c r="D1867" t="s">
        <v>21</v>
      </c>
      <c r="E1867" t="s">
        <v>21</v>
      </c>
      <c r="F1867" t="s">
        <v>21</v>
      </c>
      <c r="G1867" t="s">
        <v>21</v>
      </c>
      <c r="H1867" t="s">
        <v>868</v>
      </c>
      <c r="I1867" t="s">
        <v>869</v>
      </c>
      <c r="J1867" t="str">
        <f>"9090194"</f>
        <v>9090194</v>
      </c>
      <c r="K1867">
        <v>2521035959</v>
      </c>
      <c r="M1867" t="s">
        <v>1073</v>
      </c>
      <c r="N1867" t="s">
        <v>873</v>
      </c>
      <c r="O1867" t="s">
        <v>883</v>
      </c>
      <c r="P1867">
        <v>66131</v>
      </c>
      <c r="Q1867" t="str">
        <f>"41.148046"</f>
        <v>41.148046</v>
      </c>
      <c r="R1867" t="str">
        <f>"24.136264"</f>
        <v>24.136264</v>
      </c>
      <c r="S1867" t="s">
        <v>26</v>
      </c>
    </row>
    <row r="1868" spans="1:19" x14ac:dyDescent="0.3">
      <c r="A1868" t="s">
        <v>19</v>
      </c>
      <c r="B1868" t="s">
        <v>858</v>
      </c>
      <c r="C1868" t="s">
        <v>119</v>
      </c>
      <c r="D1868" t="s">
        <v>21</v>
      </c>
      <c r="E1868" t="s">
        <v>21</v>
      </c>
      <c r="F1868" t="s">
        <v>21</v>
      </c>
      <c r="G1868" t="s">
        <v>21</v>
      </c>
      <c r="H1868" t="s">
        <v>868</v>
      </c>
      <c r="I1868" t="s">
        <v>869</v>
      </c>
      <c r="J1868" t="str">
        <f>"9090004"</f>
        <v>9090004</v>
      </c>
      <c r="K1868">
        <v>2521022679</v>
      </c>
      <c r="L1868">
        <v>2521022659</v>
      </c>
      <c r="M1868" t="s">
        <v>1074</v>
      </c>
      <c r="N1868" t="s">
        <v>873</v>
      </c>
      <c r="O1868" t="s">
        <v>1075</v>
      </c>
      <c r="P1868">
        <v>66132</v>
      </c>
      <c r="Q1868" t="str">
        <f>"41.148470"</f>
        <v>41.148470</v>
      </c>
      <c r="R1868" t="str">
        <f>"24.153714"</f>
        <v>24.153714</v>
      </c>
      <c r="S1868" t="s">
        <v>26</v>
      </c>
    </row>
    <row r="1869" spans="1:19" x14ac:dyDescent="0.3">
      <c r="A1869" t="s">
        <v>19</v>
      </c>
      <c r="B1869" t="s">
        <v>858</v>
      </c>
      <c r="C1869" t="s">
        <v>1076</v>
      </c>
      <c r="D1869" t="s">
        <v>21</v>
      </c>
      <c r="E1869" t="s">
        <v>21</v>
      </c>
      <c r="F1869" t="s">
        <v>21</v>
      </c>
      <c r="G1869" t="s">
        <v>21</v>
      </c>
      <c r="H1869" t="s">
        <v>868</v>
      </c>
      <c r="I1869" t="s">
        <v>869</v>
      </c>
      <c r="J1869" t="str">
        <f>"9090079"</f>
        <v>9090079</v>
      </c>
      <c r="K1869">
        <v>2521032992</v>
      </c>
      <c r="L1869">
        <v>2521032963</v>
      </c>
      <c r="M1869" t="s">
        <v>1077</v>
      </c>
      <c r="N1869" t="s">
        <v>1078</v>
      </c>
      <c r="O1869" t="s">
        <v>1079</v>
      </c>
      <c r="P1869">
        <v>66133</v>
      </c>
      <c r="Q1869" t="str">
        <f>"41.141949"</f>
        <v>41.141949</v>
      </c>
      <c r="R1869" t="str">
        <f>"24.148776"</f>
        <v>24.148776</v>
      </c>
      <c r="S1869" t="s">
        <v>26</v>
      </c>
    </row>
    <row r="1870" spans="1:19" x14ac:dyDescent="0.3">
      <c r="A1870" t="s">
        <v>19</v>
      </c>
      <c r="B1870" t="s">
        <v>858</v>
      </c>
      <c r="C1870" t="s">
        <v>194</v>
      </c>
      <c r="D1870" t="s">
        <v>21</v>
      </c>
      <c r="E1870" t="s">
        <v>21</v>
      </c>
      <c r="F1870" t="s">
        <v>21</v>
      </c>
      <c r="G1870" t="s">
        <v>21</v>
      </c>
      <c r="H1870" t="s">
        <v>868</v>
      </c>
      <c r="I1870" t="s">
        <v>869</v>
      </c>
      <c r="J1870" t="str">
        <f>"9090210"</f>
        <v>9090210</v>
      </c>
      <c r="K1870">
        <v>2521036157</v>
      </c>
      <c r="L1870">
        <v>2521036157</v>
      </c>
      <c r="M1870" t="s">
        <v>1080</v>
      </c>
      <c r="N1870" t="s">
        <v>24</v>
      </c>
      <c r="O1870" t="s">
        <v>1081</v>
      </c>
      <c r="P1870">
        <v>66133</v>
      </c>
      <c r="Q1870" t="str">
        <f>"41.139891"</f>
        <v>41.139891</v>
      </c>
      <c r="R1870" t="str">
        <f>"24.159487"</f>
        <v>24.159487</v>
      </c>
      <c r="S1870" t="s">
        <v>26</v>
      </c>
    </row>
    <row r="1871" spans="1:19" x14ac:dyDescent="0.3">
      <c r="A1871" t="s">
        <v>19</v>
      </c>
      <c r="B1871" t="s">
        <v>858</v>
      </c>
      <c r="C1871" t="s">
        <v>102</v>
      </c>
      <c r="D1871" t="s">
        <v>21</v>
      </c>
      <c r="E1871" t="s">
        <v>21</v>
      </c>
      <c r="F1871" t="s">
        <v>21</v>
      </c>
      <c r="G1871" t="s">
        <v>21</v>
      </c>
      <c r="H1871" t="s">
        <v>868</v>
      </c>
      <c r="I1871" t="s">
        <v>869</v>
      </c>
      <c r="J1871" t="str">
        <f>"9090080"</f>
        <v>9090080</v>
      </c>
      <c r="K1871">
        <v>2521032600</v>
      </c>
      <c r="L1871">
        <v>2521037170</v>
      </c>
      <c r="M1871" t="s">
        <v>1082</v>
      </c>
      <c r="N1871" t="s">
        <v>21</v>
      </c>
      <c r="O1871" t="s">
        <v>1043</v>
      </c>
      <c r="P1871">
        <v>66132</v>
      </c>
      <c r="Q1871" t="str">
        <f>"41.152649"</f>
        <v>41.152649</v>
      </c>
      <c r="R1871" t="str">
        <f>"24.138634"</f>
        <v>24.138634</v>
      </c>
      <c r="S1871" t="s">
        <v>26</v>
      </c>
    </row>
    <row r="1872" spans="1:19" x14ac:dyDescent="0.3">
      <c r="A1872" t="s">
        <v>19</v>
      </c>
      <c r="B1872" t="s">
        <v>858</v>
      </c>
      <c r="C1872" t="s">
        <v>1084</v>
      </c>
      <c r="D1872" t="s">
        <v>21</v>
      </c>
      <c r="E1872" t="s">
        <v>50</v>
      </c>
      <c r="F1872" t="s">
        <v>50</v>
      </c>
      <c r="G1872" t="s">
        <v>1083</v>
      </c>
      <c r="H1872" t="s">
        <v>868</v>
      </c>
      <c r="I1872" t="s">
        <v>950</v>
      </c>
      <c r="J1872" t="str">
        <f>"9090162"</f>
        <v>9090162</v>
      </c>
      <c r="K1872">
        <v>2523031288</v>
      </c>
      <c r="L1872">
        <v>2523031445</v>
      </c>
      <c r="M1872" t="s">
        <v>1085</v>
      </c>
      <c r="N1872" t="s">
        <v>1086</v>
      </c>
      <c r="O1872" t="s">
        <v>1086</v>
      </c>
      <c r="P1872">
        <v>66033</v>
      </c>
      <c r="Q1872" t="str">
        <f>"41.274527"</f>
        <v>41.274527</v>
      </c>
      <c r="R1872" t="str">
        <f>"23.754627"</f>
        <v>23.754627</v>
      </c>
      <c r="S1872" t="s">
        <v>57</v>
      </c>
    </row>
    <row r="1873" spans="1:19" x14ac:dyDescent="0.3">
      <c r="A1873" t="s">
        <v>19</v>
      </c>
      <c r="B1873" t="s">
        <v>858</v>
      </c>
      <c r="C1873" t="s">
        <v>1087</v>
      </c>
      <c r="D1873" t="s">
        <v>21</v>
      </c>
      <c r="E1873" t="s">
        <v>21</v>
      </c>
      <c r="F1873" t="s">
        <v>21</v>
      </c>
      <c r="G1873" t="s">
        <v>1003</v>
      </c>
      <c r="H1873" t="s">
        <v>868</v>
      </c>
      <c r="I1873" t="s">
        <v>869</v>
      </c>
      <c r="J1873" t="str">
        <f>"9090120"</f>
        <v>9090120</v>
      </c>
      <c r="K1873">
        <v>2521092261</v>
      </c>
      <c r="L1873">
        <v>2521092261</v>
      </c>
      <c r="M1873" t="s">
        <v>1088</v>
      </c>
      <c r="N1873" t="s">
        <v>1089</v>
      </c>
      <c r="O1873" t="s">
        <v>1089</v>
      </c>
      <c r="P1873">
        <v>66100</v>
      </c>
      <c r="Q1873" t="str">
        <f>"41.191736"</f>
        <v>41.191736</v>
      </c>
      <c r="R1873" t="str">
        <f>"24.099890"</f>
        <v>24.099890</v>
      </c>
      <c r="S1873" t="s">
        <v>26</v>
      </c>
    </row>
    <row r="1874" spans="1:19" x14ac:dyDescent="0.3">
      <c r="A1874" t="s">
        <v>19</v>
      </c>
      <c r="B1874" t="s">
        <v>858</v>
      </c>
      <c r="C1874" t="s">
        <v>174</v>
      </c>
      <c r="D1874" t="s">
        <v>21</v>
      </c>
      <c r="E1874" t="s">
        <v>66</v>
      </c>
      <c r="F1874" t="s">
        <v>168</v>
      </c>
      <c r="G1874" t="s">
        <v>169</v>
      </c>
      <c r="H1874" t="s">
        <v>868</v>
      </c>
      <c r="I1874" t="s">
        <v>869</v>
      </c>
      <c r="J1874" t="str">
        <f>"9090135"</f>
        <v>9090135</v>
      </c>
      <c r="K1874">
        <v>2521093232</v>
      </c>
      <c r="L1874">
        <v>2521093232</v>
      </c>
      <c r="M1874" t="s">
        <v>1090</v>
      </c>
      <c r="O1874" t="s">
        <v>1068</v>
      </c>
      <c r="P1874">
        <v>66034</v>
      </c>
      <c r="Q1874" t="str">
        <f>"41.058534"</f>
        <v>41.058534</v>
      </c>
      <c r="R1874" t="str">
        <f>"24.052654"</f>
        <v>24.052654</v>
      </c>
      <c r="S1874" t="s">
        <v>26</v>
      </c>
    </row>
    <row r="1875" spans="1:19" x14ac:dyDescent="0.3">
      <c r="A1875" t="s">
        <v>19</v>
      </c>
      <c r="B1875" t="s">
        <v>858</v>
      </c>
      <c r="C1875" t="s">
        <v>1092</v>
      </c>
      <c r="D1875" t="s">
        <v>21</v>
      </c>
      <c r="E1875" t="s">
        <v>21</v>
      </c>
      <c r="F1875" t="s">
        <v>21</v>
      </c>
      <c r="G1875" t="s">
        <v>1091</v>
      </c>
      <c r="H1875" t="s">
        <v>868</v>
      </c>
      <c r="I1875" t="s">
        <v>869</v>
      </c>
      <c r="J1875" t="str">
        <f>"9090025"</f>
        <v>9090025</v>
      </c>
      <c r="K1875">
        <v>2521098255</v>
      </c>
      <c r="L1875">
        <v>2521098255</v>
      </c>
      <c r="M1875" t="s">
        <v>1093</v>
      </c>
      <c r="N1875" t="s">
        <v>1094</v>
      </c>
      <c r="O1875" t="s">
        <v>1094</v>
      </c>
      <c r="P1875">
        <v>66100</v>
      </c>
      <c r="Q1875" t="str">
        <f>"41.171291"</f>
        <v>41.171291</v>
      </c>
      <c r="R1875" t="str">
        <f>"24.217567"</f>
        <v>24.217567</v>
      </c>
      <c r="S1875" t="s">
        <v>26</v>
      </c>
    </row>
    <row r="1876" spans="1:19" x14ac:dyDescent="0.3">
      <c r="A1876" t="s">
        <v>19</v>
      </c>
      <c r="B1876" t="s">
        <v>858</v>
      </c>
      <c r="C1876" t="s">
        <v>1096</v>
      </c>
      <c r="D1876" t="s">
        <v>21</v>
      </c>
      <c r="E1876" t="s">
        <v>66</v>
      </c>
      <c r="F1876" t="s">
        <v>66</v>
      </c>
      <c r="G1876" t="s">
        <v>1095</v>
      </c>
      <c r="H1876" t="s">
        <v>868</v>
      </c>
      <c r="I1876" t="s">
        <v>869</v>
      </c>
      <c r="J1876" t="str">
        <f>"9090126"</f>
        <v>9090126</v>
      </c>
      <c r="K1876">
        <v>2522041204</v>
      </c>
      <c r="L1876">
        <v>2522042504</v>
      </c>
      <c r="M1876" t="s">
        <v>1097</v>
      </c>
      <c r="N1876" t="s">
        <v>1098</v>
      </c>
      <c r="O1876" t="s">
        <v>1098</v>
      </c>
      <c r="P1876">
        <v>66200</v>
      </c>
      <c r="Q1876" t="str">
        <f>"41.195618"</f>
        <v>41.195618</v>
      </c>
      <c r="R1876" t="str">
        <f>"24.016986"</f>
        <v>24.016986</v>
      </c>
      <c r="S1876" t="s">
        <v>26</v>
      </c>
    </row>
    <row r="1877" spans="1:19" x14ac:dyDescent="0.3">
      <c r="A1877" t="s">
        <v>19</v>
      </c>
      <c r="B1877" t="s">
        <v>858</v>
      </c>
      <c r="C1877" t="s">
        <v>1106</v>
      </c>
      <c r="D1877" t="s">
        <v>21</v>
      </c>
      <c r="E1877" t="s">
        <v>66</v>
      </c>
      <c r="F1877" t="s">
        <v>66</v>
      </c>
      <c r="G1877" t="s">
        <v>923</v>
      </c>
      <c r="H1877" t="s">
        <v>868</v>
      </c>
      <c r="I1877" t="s">
        <v>950</v>
      </c>
      <c r="J1877" t="str">
        <f>"9090176"</f>
        <v>9090176</v>
      </c>
      <c r="K1877">
        <v>2522031207</v>
      </c>
      <c r="L1877">
        <v>2522031207</v>
      </c>
      <c r="M1877" t="s">
        <v>1107</v>
      </c>
      <c r="N1877" t="s">
        <v>1108</v>
      </c>
      <c r="O1877" t="s">
        <v>1108</v>
      </c>
      <c r="P1877">
        <v>66200</v>
      </c>
      <c r="Q1877" t="str">
        <f>"41.191910"</f>
        <v>41.191910</v>
      </c>
      <c r="R1877" t="str">
        <f>"23.823134"</f>
        <v>23.823134</v>
      </c>
      <c r="S1877" t="s">
        <v>26</v>
      </c>
    </row>
    <row r="1878" spans="1:19" x14ac:dyDescent="0.3">
      <c r="A1878" t="s">
        <v>19</v>
      </c>
      <c r="B1878" t="s">
        <v>858</v>
      </c>
      <c r="C1878" t="s">
        <v>115</v>
      </c>
      <c r="D1878" t="s">
        <v>21</v>
      </c>
      <c r="E1878" t="s">
        <v>59</v>
      </c>
      <c r="F1878" t="s">
        <v>110</v>
      </c>
      <c r="G1878" t="s">
        <v>110</v>
      </c>
      <c r="H1878" t="s">
        <v>868</v>
      </c>
      <c r="I1878" t="s">
        <v>869</v>
      </c>
      <c r="J1878" t="str">
        <f>"9090096"</f>
        <v>9090096</v>
      </c>
      <c r="K1878">
        <v>2521051223</v>
      </c>
      <c r="L1878">
        <v>2521051223</v>
      </c>
      <c r="M1878" t="s">
        <v>1109</v>
      </c>
      <c r="N1878" t="s">
        <v>113</v>
      </c>
      <c r="O1878" t="s">
        <v>113</v>
      </c>
      <c r="P1878">
        <v>66031</v>
      </c>
      <c r="Q1878" t="str">
        <f>"41.053361"</f>
        <v>41.053361</v>
      </c>
      <c r="R1878" t="str">
        <f>"24.192292"</f>
        <v>24.192292</v>
      </c>
      <c r="S1878" t="s">
        <v>26</v>
      </c>
    </row>
    <row r="1879" spans="1:19" x14ac:dyDescent="0.3">
      <c r="A1879" t="s">
        <v>19</v>
      </c>
      <c r="B1879" t="s">
        <v>858</v>
      </c>
      <c r="C1879" t="s">
        <v>1110</v>
      </c>
      <c r="D1879" t="s">
        <v>21</v>
      </c>
      <c r="E1879" t="s">
        <v>59</v>
      </c>
      <c r="F1879" t="s">
        <v>110</v>
      </c>
      <c r="G1879" t="s">
        <v>110</v>
      </c>
      <c r="H1879" t="s">
        <v>868</v>
      </c>
      <c r="I1879" t="s">
        <v>869</v>
      </c>
      <c r="J1879" t="str">
        <f>"9090097"</f>
        <v>9090097</v>
      </c>
      <c r="K1879">
        <v>2521051225</v>
      </c>
      <c r="L1879">
        <v>2521053504</v>
      </c>
      <c r="M1879" t="s">
        <v>1111</v>
      </c>
      <c r="N1879" t="s">
        <v>982</v>
      </c>
      <c r="O1879" t="s">
        <v>1112</v>
      </c>
      <c r="P1879">
        <v>66031</v>
      </c>
      <c r="Q1879" t="str">
        <f>"41.045590"</f>
        <v>41.045590</v>
      </c>
      <c r="R1879" t="str">
        <f>"24.184514"</f>
        <v>24.184514</v>
      </c>
      <c r="S1879" t="s">
        <v>26</v>
      </c>
    </row>
    <row r="1880" spans="1:19" x14ac:dyDescent="0.3">
      <c r="A1880" t="s">
        <v>19</v>
      </c>
      <c r="B1880" t="s">
        <v>858</v>
      </c>
      <c r="C1880" t="s">
        <v>1113</v>
      </c>
      <c r="D1880" t="s">
        <v>21</v>
      </c>
      <c r="E1880" t="s">
        <v>66</v>
      </c>
      <c r="F1880" t="s">
        <v>66</v>
      </c>
      <c r="G1880" t="s">
        <v>66</v>
      </c>
      <c r="H1880" t="s">
        <v>868</v>
      </c>
      <c r="I1880" t="s">
        <v>869</v>
      </c>
      <c r="J1880" t="str">
        <f>"9090137"</f>
        <v>9090137</v>
      </c>
      <c r="K1880">
        <v>2522022244</v>
      </c>
      <c r="L1880">
        <v>2522022244</v>
      </c>
      <c r="M1880" t="s">
        <v>1114</v>
      </c>
      <c r="N1880" t="s">
        <v>69</v>
      </c>
      <c r="O1880" t="s">
        <v>1115</v>
      </c>
      <c r="P1880">
        <v>66200</v>
      </c>
      <c r="Q1880" t="str">
        <f>"41.178282"</f>
        <v>41.178282</v>
      </c>
      <c r="R1880" t="str">
        <f>"23.967301"</f>
        <v>23.967301</v>
      </c>
      <c r="S1880" t="s">
        <v>26</v>
      </c>
    </row>
    <row r="1881" spans="1:19" x14ac:dyDescent="0.3">
      <c r="A1881" t="s">
        <v>19</v>
      </c>
      <c r="B1881" t="s">
        <v>858</v>
      </c>
      <c r="C1881" t="s">
        <v>1116</v>
      </c>
      <c r="D1881" t="s">
        <v>21</v>
      </c>
      <c r="E1881" t="s">
        <v>21</v>
      </c>
      <c r="F1881" t="s">
        <v>21</v>
      </c>
      <c r="G1881" t="s">
        <v>991</v>
      </c>
      <c r="H1881" t="s">
        <v>868</v>
      </c>
      <c r="I1881" t="s">
        <v>869</v>
      </c>
      <c r="J1881" t="str">
        <f>"9090073"</f>
        <v>9090073</v>
      </c>
      <c r="K1881">
        <v>2521042225</v>
      </c>
      <c r="L1881">
        <v>2521042045</v>
      </c>
      <c r="M1881" t="s">
        <v>1117</v>
      </c>
      <c r="N1881" t="s">
        <v>994</v>
      </c>
      <c r="O1881" t="s">
        <v>994</v>
      </c>
      <c r="P1881">
        <v>66100</v>
      </c>
      <c r="Q1881" t="str">
        <f>"41.130363"</f>
        <v>41.130363</v>
      </c>
      <c r="R1881" t="str">
        <f>"24.213254"</f>
        <v>24.213254</v>
      </c>
      <c r="S1881" t="s">
        <v>26</v>
      </c>
    </row>
    <row r="1882" spans="1:19" x14ac:dyDescent="0.3">
      <c r="A1882" t="s">
        <v>19</v>
      </c>
      <c r="B1882" t="s">
        <v>858</v>
      </c>
      <c r="C1882" t="s">
        <v>164</v>
      </c>
      <c r="D1882" t="s">
        <v>21</v>
      </c>
      <c r="E1882" t="s">
        <v>88</v>
      </c>
      <c r="F1882" t="s">
        <v>160</v>
      </c>
      <c r="G1882" t="s">
        <v>1062</v>
      </c>
      <c r="H1882" t="s">
        <v>868</v>
      </c>
      <c r="I1882" t="s">
        <v>869</v>
      </c>
      <c r="J1882" t="str">
        <f>"9090020"</f>
        <v>9090020</v>
      </c>
      <c r="K1882">
        <v>2521082340</v>
      </c>
      <c r="L1882">
        <v>2521082340</v>
      </c>
      <c r="M1882" t="s">
        <v>1118</v>
      </c>
      <c r="P1882">
        <v>66150</v>
      </c>
      <c r="Q1882" t="str">
        <f>"41.138352"</f>
        <v>41.138352</v>
      </c>
      <c r="R1882" t="str">
        <f>"24.265533"</f>
        <v>24.265533</v>
      </c>
      <c r="S1882" t="s">
        <v>26</v>
      </c>
    </row>
    <row r="1883" spans="1:19" x14ac:dyDescent="0.3">
      <c r="A1883" t="s">
        <v>19</v>
      </c>
      <c r="B1883" t="s">
        <v>858</v>
      </c>
      <c r="C1883" t="s">
        <v>83</v>
      </c>
      <c r="D1883" t="s">
        <v>21</v>
      </c>
      <c r="E1883" t="s">
        <v>59</v>
      </c>
      <c r="F1883" t="s">
        <v>59</v>
      </c>
      <c r="G1883" t="s">
        <v>59</v>
      </c>
      <c r="H1883" t="s">
        <v>868</v>
      </c>
      <c r="I1883" t="s">
        <v>869</v>
      </c>
      <c r="J1883" t="str">
        <f>"9090002"</f>
        <v>9090002</v>
      </c>
      <c r="K1883">
        <v>2521066926</v>
      </c>
      <c r="L1883">
        <v>2521066926</v>
      </c>
      <c r="M1883" t="s">
        <v>1119</v>
      </c>
      <c r="N1883" t="s">
        <v>1120</v>
      </c>
      <c r="O1883" t="s">
        <v>937</v>
      </c>
      <c r="P1883">
        <v>66300</v>
      </c>
      <c r="Q1883" t="str">
        <f>"41.096965"</f>
        <v>41.096965</v>
      </c>
      <c r="R1883" t="str">
        <f>"24.228394"</f>
        <v>24.228394</v>
      </c>
      <c r="S1883" t="s">
        <v>26</v>
      </c>
    </row>
    <row r="1884" spans="1:19" x14ac:dyDescent="0.3">
      <c r="A1884" t="s">
        <v>19</v>
      </c>
      <c r="B1884" t="s">
        <v>858</v>
      </c>
      <c r="C1884" t="s">
        <v>94</v>
      </c>
      <c r="D1884" t="s">
        <v>21</v>
      </c>
      <c r="E1884" t="s">
        <v>88</v>
      </c>
      <c r="F1884" t="s">
        <v>88</v>
      </c>
      <c r="G1884" t="s">
        <v>88</v>
      </c>
      <c r="H1884" t="s">
        <v>868</v>
      </c>
      <c r="I1884" t="s">
        <v>950</v>
      </c>
      <c r="J1884" t="str">
        <f>"9090048"</f>
        <v>9090048</v>
      </c>
      <c r="K1884">
        <v>2524022212</v>
      </c>
      <c r="L1884">
        <v>2524022212</v>
      </c>
      <c r="M1884" t="s">
        <v>1137</v>
      </c>
      <c r="N1884" t="s">
        <v>1138</v>
      </c>
      <c r="O1884" t="s">
        <v>93</v>
      </c>
      <c r="P1884">
        <v>66035</v>
      </c>
      <c r="Q1884" t="str">
        <f>"41.267008"</f>
        <v>41.267008</v>
      </c>
      <c r="R1884" t="str">
        <f>"24.504043"</f>
        <v>24.504043</v>
      </c>
      <c r="S1884" t="s">
        <v>26</v>
      </c>
    </row>
    <row r="1885" spans="1:19" x14ac:dyDescent="0.3">
      <c r="A1885" t="s">
        <v>19</v>
      </c>
      <c r="B1885" t="s">
        <v>858</v>
      </c>
      <c r="C1885" t="s">
        <v>1151</v>
      </c>
      <c r="D1885" t="s">
        <v>21</v>
      </c>
      <c r="E1885" t="s">
        <v>21</v>
      </c>
      <c r="F1885" t="s">
        <v>21</v>
      </c>
      <c r="G1885" t="s">
        <v>21</v>
      </c>
      <c r="H1885" t="s">
        <v>868</v>
      </c>
      <c r="I1885" t="s">
        <v>869</v>
      </c>
      <c r="J1885" t="str">
        <f>"9521084"</f>
        <v>9521084</v>
      </c>
      <c r="K1885">
        <v>2521032016</v>
      </c>
      <c r="L1885">
        <v>2521031516</v>
      </c>
      <c r="M1885" t="s">
        <v>1152</v>
      </c>
      <c r="N1885" t="s">
        <v>873</v>
      </c>
      <c r="O1885" t="s">
        <v>1153</v>
      </c>
      <c r="P1885">
        <v>66100</v>
      </c>
      <c r="Q1885" t="str">
        <f>"41.152311"</f>
        <v>41.152311</v>
      </c>
      <c r="R1885" t="str">
        <f>"24.114817"</f>
        <v>24.114817</v>
      </c>
      <c r="S1885" t="s">
        <v>26</v>
      </c>
    </row>
    <row r="1886" spans="1:19" x14ac:dyDescent="0.3">
      <c r="A1886" t="s">
        <v>19</v>
      </c>
      <c r="B1886" t="s">
        <v>858</v>
      </c>
      <c r="C1886" t="s">
        <v>1154</v>
      </c>
      <c r="D1886" t="s">
        <v>21</v>
      </c>
      <c r="E1886" t="s">
        <v>66</v>
      </c>
      <c r="F1886" t="s">
        <v>66</v>
      </c>
      <c r="G1886" t="s">
        <v>66</v>
      </c>
      <c r="H1886" t="s">
        <v>868</v>
      </c>
      <c r="I1886" t="s">
        <v>869</v>
      </c>
      <c r="J1886" t="str">
        <f>"9521339"</f>
        <v>9521339</v>
      </c>
      <c r="K1886">
        <v>2522021115</v>
      </c>
      <c r="L1886">
        <v>2522021116</v>
      </c>
      <c r="M1886" t="s">
        <v>1155</v>
      </c>
      <c r="N1886" t="s">
        <v>69</v>
      </c>
      <c r="O1886" t="s">
        <v>1156</v>
      </c>
      <c r="P1886">
        <v>66200</v>
      </c>
      <c r="Q1886" t="str">
        <f>"41.180408"</f>
        <v>41.180408</v>
      </c>
      <c r="R1886" t="str">
        <f>"23.962704"</f>
        <v>23.962704</v>
      </c>
      <c r="S1886" t="s">
        <v>26</v>
      </c>
    </row>
    <row r="1887" spans="1:19" x14ac:dyDescent="0.3">
      <c r="A1887" t="s">
        <v>19</v>
      </c>
      <c r="B1887" t="s">
        <v>858</v>
      </c>
      <c r="C1887" t="s">
        <v>1158</v>
      </c>
      <c r="D1887" t="s">
        <v>21</v>
      </c>
      <c r="E1887" t="s">
        <v>50</v>
      </c>
      <c r="F1887" t="s">
        <v>50</v>
      </c>
      <c r="G1887" t="s">
        <v>50</v>
      </c>
      <c r="H1887" t="s">
        <v>868</v>
      </c>
      <c r="I1887" t="s">
        <v>1157</v>
      </c>
      <c r="J1887" t="str">
        <f>"9521344"</f>
        <v>9521344</v>
      </c>
      <c r="N1887" t="s">
        <v>1159</v>
      </c>
      <c r="O1887" t="s">
        <v>56</v>
      </c>
      <c r="P1887">
        <v>66033</v>
      </c>
      <c r="Q1887" t="str">
        <f>""</f>
        <v/>
      </c>
      <c r="R1887" t="str">
        <f>""</f>
        <v/>
      </c>
      <c r="S1887" t="s">
        <v>26</v>
      </c>
    </row>
    <row r="1888" spans="1:19" x14ac:dyDescent="0.3">
      <c r="A1888" t="s">
        <v>19</v>
      </c>
      <c r="B1888" t="s">
        <v>858</v>
      </c>
      <c r="C1888" t="s">
        <v>1162</v>
      </c>
      <c r="D1888" t="s">
        <v>21</v>
      </c>
      <c r="E1888" t="s">
        <v>21</v>
      </c>
      <c r="F1888" t="s">
        <v>21</v>
      </c>
      <c r="G1888" t="s">
        <v>21</v>
      </c>
      <c r="H1888" t="s">
        <v>868</v>
      </c>
      <c r="I1888" t="s">
        <v>1157</v>
      </c>
      <c r="J1888" t="str">
        <f>"9090202"</f>
        <v>9090202</v>
      </c>
      <c r="K1888">
        <v>2521036336</v>
      </c>
      <c r="L1888">
        <v>2521036336</v>
      </c>
      <c r="M1888" t="s">
        <v>1163</v>
      </c>
      <c r="N1888" t="s">
        <v>21</v>
      </c>
      <c r="O1888" t="s">
        <v>1164</v>
      </c>
      <c r="P1888">
        <v>66100</v>
      </c>
      <c r="Q1888" t="str">
        <f>"41.145961"</f>
        <v>41.145961</v>
      </c>
      <c r="R1888" t="str">
        <f>"24.153913"</f>
        <v>24.153913</v>
      </c>
      <c r="S1888" t="s">
        <v>26</v>
      </c>
    </row>
    <row r="1889" spans="1:19" x14ac:dyDescent="0.3">
      <c r="A1889" t="s">
        <v>19</v>
      </c>
      <c r="B1889" t="s">
        <v>1165</v>
      </c>
      <c r="C1889" t="s">
        <v>1169</v>
      </c>
      <c r="D1889" t="s">
        <v>27</v>
      </c>
      <c r="E1889" t="s">
        <v>28</v>
      </c>
      <c r="F1889" t="s">
        <v>28</v>
      </c>
      <c r="G1889" t="s">
        <v>28</v>
      </c>
      <c r="H1889" t="s">
        <v>868</v>
      </c>
      <c r="I1889" t="s">
        <v>869</v>
      </c>
      <c r="J1889" t="str">
        <f>"9110017"</f>
        <v>9110017</v>
      </c>
      <c r="K1889">
        <v>2551027352</v>
      </c>
      <c r="L1889">
        <v>2551027352</v>
      </c>
      <c r="M1889" t="s">
        <v>1170</v>
      </c>
      <c r="N1889" t="s">
        <v>31</v>
      </c>
      <c r="O1889" t="s">
        <v>1171</v>
      </c>
      <c r="P1889">
        <v>68132</v>
      </c>
      <c r="Q1889" t="str">
        <f>"40.859131"</f>
        <v>40.859131</v>
      </c>
      <c r="R1889" t="str">
        <f>"25.906614"</f>
        <v>25.906614</v>
      </c>
      <c r="S1889" t="s">
        <v>26</v>
      </c>
    </row>
    <row r="1890" spans="1:19" x14ac:dyDescent="0.3">
      <c r="A1890" t="s">
        <v>19</v>
      </c>
      <c r="B1890" t="s">
        <v>1165</v>
      </c>
      <c r="C1890" t="s">
        <v>283</v>
      </c>
      <c r="D1890" t="s">
        <v>27</v>
      </c>
      <c r="E1890" t="s">
        <v>221</v>
      </c>
      <c r="F1890" t="s">
        <v>277</v>
      </c>
      <c r="G1890" t="s">
        <v>278</v>
      </c>
      <c r="H1890" t="s">
        <v>868</v>
      </c>
      <c r="I1890" t="s">
        <v>869</v>
      </c>
      <c r="J1890" t="str">
        <f>"9110174"</f>
        <v>9110174</v>
      </c>
      <c r="K1890">
        <v>2556031214</v>
      </c>
      <c r="L1890">
        <v>2556031214</v>
      </c>
      <c r="M1890" t="s">
        <v>1188</v>
      </c>
      <c r="N1890" t="s">
        <v>364</v>
      </c>
      <c r="O1890" t="s">
        <v>1189</v>
      </c>
      <c r="P1890">
        <v>68007</v>
      </c>
      <c r="Q1890" t="str">
        <f>"41.706617"</f>
        <v>41.706617</v>
      </c>
      <c r="R1890" t="str">
        <f>"26.294249"</f>
        <v>26.294249</v>
      </c>
      <c r="S1890" t="s">
        <v>57</v>
      </c>
    </row>
    <row r="1891" spans="1:19" x14ac:dyDescent="0.3">
      <c r="A1891" t="s">
        <v>19</v>
      </c>
      <c r="B1891" t="s">
        <v>1165</v>
      </c>
      <c r="C1891" t="s">
        <v>318</v>
      </c>
      <c r="D1891" t="s">
        <v>27</v>
      </c>
      <c r="E1891" t="s">
        <v>221</v>
      </c>
      <c r="F1891" t="s">
        <v>312</v>
      </c>
      <c r="G1891" t="s">
        <v>313</v>
      </c>
      <c r="H1891" t="s">
        <v>868</v>
      </c>
      <c r="I1891" t="s">
        <v>869</v>
      </c>
      <c r="J1891" t="str">
        <f>"9110213"</f>
        <v>9110213</v>
      </c>
      <c r="K1891">
        <v>2552094288</v>
      </c>
      <c r="L1891">
        <v>2552110196</v>
      </c>
      <c r="M1891" t="s">
        <v>1190</v>
      </c>
      <c r="N1891" t="s">
        <v>316</v>
      </c>
      <c r="O1891" t="s">
        <v>1191</v>
      </c>
      <c r="P1891">
        <v>68014</v>
      </c>
      <c r="Q1891" t="str">
        <f>"41.625386"</f>
        <v>41.625386</v>
      </c>
      <c r="R1891" t="str">
        <f>"26.423763"</f>
        <v>26.423763</v>
      </c>
      <c r="S1891" t="s">
        <v>57</v>
      </c>
    </row>
    <row r="1892" spans="1:19" x14ac:dyDescent="0.3">
      <c r="A1892" t="s">
        <v>19</v>
      </c>
      <c r="B1892" t="s">
        <v>1165</v>
      </c>
      <c r="C1892" t="s">
        <v>1192</v>
      </c>
      <c r="D1892" t="s">
        <v>27</v>
      </c>
      <c r="E1892" t="s">
        <v>28</v>
      </c>
      <c r="F1892" t="s">
        <v>28</v>
      </c>
      <c r="G1892" t="s">
        <v>28</v>
      </c>
      <c r="H1892" t="s">
        <v>868</v>
      </c>
      <c r="I1892" t="s">
        <v>1157</v>
      </c>
      <c r="J1892" t="str">
        <f>"9110282"</f>
        <v>9110282</v>
      </c>
      <c r="K1892">
        <v>2551023514</v>
      </c>
      <c r="L1892">
        <v>2551023514</v>
      </c>
      <c r="M1892" t="s">
        <v>1193</v>
      </c>
      <c r="N1892" t="s">
        <v>31</v>
      </c>
      <c r="O1892" t="s">
        <v>1194</v>
      </c>
      <c r="P1892">
        <v>68100</v>
      </c>
      <c r="Q1892" t="str">
        <f>"40.867407"</f>
        <v>40.867407</v>
      </c>
      <c r="R1892" t="str">
        <f>"25.869642"</f>
        <v>25.869642</v>
      </c>
      <c r="S1892" t="s">
        <v>26</v>
      </c>
    </row>
    <row r="1893" spans="1:19" x14ac:dyDescent="0.3">
      <c r="A1893" t="s">
        <v>19</v>
      </c>
      <c r="B1893" t="s">
        <v>1165</v>
      </c>
      <c r="C1893" t="s">
        <v>273</v>
      </c>
      <c r="D1893" t="s">
        <v>27</v>
      </c>
      <c r="E1893" t="s">
        <v>221</v>
      </c>
      <c r="F1893" t="s">
        <v>221</v>
      </c>
      <c r="G1893" t="s">
        <v>221</v>
      </c>
      <c r="H1893" t="s">
        <v>868</v>
      </c>
      <c r="I1893" t="s">
        <v>869</v>
      </c>
      <c r="J1893" t="str">
        <f>"9110298"</f>
        <v>9110298</v>
      </c>
      <c r="K1893">
        <v>2552029233</v>
      </c>
      <c r="L1893">
        <v>2552024196</v>
      </c>
      <c r="M1893" t="s">
        <v>1195</v>
      </c>
      <c r="N1893" t="s">
        <v>224</v>
      </c>
      <c r="O1893" t="s">
        <v>1196</v>
      </c>
      <c r="P1893">
        <v>68200</v>
      </c>
      <c r="Q1893" t="str">
        <f>"41.491071"</f>
        <v>41.491071</v>
      </c>
      <c r="R1893" t="str">
        <f>"26.526998"</f>
        <v>26.526998</v>
      </c>
      <c r="S1893" t="s">
        <v>26</v>
      </c>
    </row>
    <row r="1894" spans="1:19" x14ac:dyDescent="0.3">
      <c r="A1894" t="s">
        <v>19</v>
      </c>
      <c r="B1894" t="s">
        <v>1165</v>
      </c>
      <c r="C1894" t="s">
        <v>1202</v>
      </c>
      <c r="D1894" t="s">
        <v>27</v>
      </c>
      <c r="E1894" t="s">
        <v>28</v>
      </c>
      <c r="F1894" t="s">
        <v>28</v>
      </c>
      <c r="G1894" t="s">
        <v>1200</v>
      </c>
      <c r="H1894" t="s">
        <v>868</v>
      </c>
      <c r="I1894" t="s">
        <v>1201</v>
      </c>
      <c r="J1894" t="str">
        <f>"9110264"</f>
        <v>9110264</v>
      </c>
      <c r="K1894">
        <v>2551096190</v>
      </c>
      <c r="M1894" t="s">
        <v>1203</v>
      </c>
      <c r="N1894" t="s">
        <v>1204</v>
      </c>
      <c r="O1894" t="s">
        <v>1205</v>
      </c>
      <c r="P1894">
        <v>68100</v>
      </c>
      <c r="Q1894" t="str">
        <f>""</f>
        <v/>
      </c>
      <c r="R1894" t="str">
        <f>""</f>
        <v/>
      </c>
      <c r="S1894" t="s">
        <v>26</v>
      </c>
    </row>
    <row r="1895" spans="1:19" x14ac:dyDescent="0.3">
      <c r="A1895" t="s">
        <v>19</v>
      </c>
      <c r="B1895" t="s">
        <v>1165</v>
      </c>
      <c r="C1895" t="s">
        <v>257</v>
      </c>
      <c r="D1895" t="s">
        <v>27</v>
      </c>
      <c r="E1895" t="s">
        <v>28</v>
      </c>
      <c r="F1895" t="s">
        <v>28</v>
      </c>
      <c r="G1895" t="s">
        <v>28</v>
      </c>
      <c r="H1895" t="s">
        <v>868</v>
      </c>
      <c r="I1895" t="s">
        <v>869</v>
      </c>
      <c r="J1895" t="str">
        <f>"9110011"</f>
        <v>9110011</v>
      </c>
      <c r="K1895">
        <v>2551026454</v>
      </c>
      <c r="L1895">
        <v>2551026454</v>
      </c>
      <c r="M1895" t="s">
        <v>1206</v>
      </c>
      <c r="N1895" t="s">
        <v>31</v>
      </c>
      <c r="O1895" t="s">
        <v>1207</v>
      </c>
      <c r="P1895">
        <v>68131</v>
      </c>
      <c r="Q1895" t="str">
        <f>"40.850174"</f>
        <v>40.850174</v>
      </c>
      <c r="R1895" t="str">
        <f>"25.864020"</f>
        <v>25.864020</v>
      </c>
      <c r="S1895" t="s">
        <v>26</v>
      </c>
    </row>
    <row r="1896" spans="1:19" x14ac:dyDescent="0.3">
      <c r="A1896" t="s">
        <v>19</v>
      </c>
      <c r="B1896" t="s">
        <v>1165</v>
      </c>
      <c r="C1896" t="s">
        <v>1218</v>
      </c>
      <c r="D1896" t="s">
        <v>27</v>
      </c>
      <c r="E1896" t="s">
        <v>221</v>
      </c>
      <c r="F1896" t="s">
        <v>221</v>
      </c>
      <c r="G1896" t="s">
        <v>221</v>
      </c>
      <c r="H1896" t="s">
        <v>868</v>
      </c>
      <c r="I1896" t="s">
        <v>950</v>
      </c>
      <c r="J1896" t="str">
        <f>"9110150"</f>
        <v>9110150</v>
      </c>
      <c r="K1896">
        <v>2552092234</v>
      </c>
      <c r="L1896">
        <v>2552092234</v>
      </c>
      <c r="M1896" t="s">
        <v>1219</v>
      </c>
      <c r="O1896" t="s">
        <v>1220</v>
      </c>
      <c r="P1896">
        <v>68200</v>
      </c>
      <c r="Q1896" t="str">
        <f>"41.501706"</f>
        <v>41.501706</v>
      </c>
      <c r="R1896" t="str">
        <f>"26.469605"</f>
        <v>26.469605</v>
      </c>
      <c r="S1896" t="s">
        <v>26</v>
      </c>
    </row>
    <row r="1897" spans="1:19" x14ac:dyDescent="0.3">
      <c r="A1897" t="s">
        <v>19</v>
      </c>
      <c r="B1897" t="s">
        <v>1165</v>
      </c>
      <c r="C1897" t="s">
        <v>1223</v>
      </c>
      <c r="D1897" t="s">
        <v>27</v>
      </c>
      <c r="E1897" t="s">
        <v>248</v>
      </c>
      <c r="F1897" t="s">
        <v>329</v>
      </c>
      <c r="G1897" t="s">
        <v>1221</v>
      </c>
      <c r="H1897" t="s">
        <v>868</v>
      </c>
      <c r="I1897" t="s">
        <v>1222</v>
      </c>
      <c r="J1897" t="str">
        <f>"9110074"</f>
        <v>9110074</v>
      </c>
      <c r="K1897">
        <v>2553061050</v>
      </c>
      <c r="M1897" t="s">
        <v>1224</v>
      </c>
      <c r="N1897" t="s">
        <v>1225</v>
      </c>
      <c r="O1897" t="s">
        <v>1226</v>
      </c>
      <c r="P1897">
        <v>68010</v>
      </c>
      <c r="Q1897" t="str">
        <f>"41.445621"</f>
        <v>41.445621</v>
      </c>
      <c r="R1897" t="str">
        <f>"26.225604"</f>
        <v>26.225604</v>
      </c>
      <c r="S1897" t="s">
        <v>57</v>
      </c>
    </row>
    <row r="1898" spans="1:19" x14ac:dyDescent="0.3">
      <c r="A1898" t="s">
        <v>19</v>
      </c>
      <c r="B1898" t="s">
        <v>1165</v>
      </c>
      <c r="C1898" t="s">
        <v>1230</v>
      </c>
      <c r="D1898" t="s">
        <v>27</v>
      </c>
      <c r="E1898" t="s">
        <v>28</v>
      </c>
      <c r="F1898" t="s">
        <v>28</v>
      </c>
      <c r="G1898" t="s">
        <v>1200</v>
      </c>
      <c r="H1898" t="s">
        <v>868</v>
      </c>
      <c r="I1898" t="s">
        <v>950</v>
      </c>
      <c r="J1898" t="str">
        <f>"9110037"</f>
        <v>9110037</v>
      </c>
      <c r="K1898">
        <v>2551071216</v>
      </c>
      <c r="L1898">
        <v>2551071216</v>
      </c>
      <c r="M1898" t="s">
        <v>1231</v>
      </c>
      <c r="N1898" t="s">
        <v>1232</v>
      </c>
      <c r="O1898" t="s">
        <v>1233</v>
      </c>
      <c r="P1898">
        <v>68100</v>
      </c>
      <c r="Q1898" t="str">
        <f>"40.852611"</f>
        <v>40.852611</v>
      </c>
      <c r="R1898" t="str">
        <f>"25.744523"</f>
        <v>25.744523</v>
      </c>
      <c r="S1898" t="s">
        <v>26</v>
      </c>
    </row>
    <row r="1899" spans="1:19" x14ac:dyDescent="0.3">
      <c r="A1899" t="s">
        <v>19</v>
      </c>
      <c r="B1899" t="s">
        <v>1165</v>
      </c>
      <c r="C1899" t="s">
        <v>1238</v>
      </c>
      <c r="D1899" t="s">
        <v>27</v>
      </c>
      <c r="E1899" t="s">
        <v>264</v>
      </c>
      <c r="F1899" t="s">
        <v>342</v>
      </c>
      <c r="G1899" t="s">
        <v>1237</v>
      </c>
      <c r="H1899" t="s">
        <v>868</v>
      </c>
      <c r="I1899" t="s">
        <v>1222</v>
      </c>
      <c r="J1899" t="str">
        <f>"9110266"</f>
        <v>9110266</v>
      </c>
      <c r="K1899">
        <v>2554034120</v>
      </c>
      <c r="L1899">
        <v>2554034120</v>
      </c>
      <c r="M1899" t="s">
        <v>1239</v>
      </c>
      <c r="N1899" t="s">
        <v>1240</v>
      </c>
      <c r="O1899" t="s">
        <v>1241</v>
      </c>
      <c r="P1899">
        <v>68005</v>
      </c>
      <c r="Q1899" t="str">
        <f>"41.260550"</f>
        <v>41.260550</v>
      </c>
      <c r="R1899" t="str">
        <f>"26.026879"</f>
        <v>26.026879</v>
      </c>
      <c r="S1899" t="s">
        <v>57</v>
      </c>
    </row>
    <row r="1900" spans="1:19" x14ac:dyDescent="0.3">
      <c r="A1900" t="s">
        <v>19</v>
      </c>
      <c r="B1900" t="s">
        <v>1165</v>
      </c>
      <c r="C1900" t="s">
        <v>1243</v>
      </c>
      <c r="D1900" t="s">
        <v>27</v>
      </c>
      <c r="E1900" t="s">
        <v>264</v>
      </c>
      <c r="F1900" t="s">
        <v>342</v>
      </c>
      <c r="G1900" t="s">
        <v>1242</v>
      </c>
      <c r="H1900" t="s">
        <v>868</v>
      </c>
      <c r="I1900" t="s">
        <v>950</v>
      </c>
      <c r="J1900" t="str">
        <f>"9110123"</f>
        <v>9110123</v>
      </c>
      <c r="K1900">
        <v>2554081210</v>
      </c>
      <c r="L1900">
        <v>2554081210</v>
      </c>
      <c r="M1900" t="s">
        <v>1244</v>
      </c>
      <c r="N1900" t="s">
        <v>1245</v>
      </c>
      <c r="O1900" t="s">
        <v>1246</v>
      </c>
      <c r="P1900">
        <v>68400</v>
      </c>
      <c r="Q1900" t="str">
        <f>"41.290855"</f>
        <v>41.290855</v>
      </c>
      <c r="R1900" t="str">
        <f>"26.256497"</f>
        <v>26.256497</v>
      </c>
      <c r="S1900" t="s">
        <v>26</v>
      </c>
    </row>
    <row r="1901" spans="1:19" x14ac:dyDescent="0.3">
      <c r="A1901" t="s">
        <v>19</v>
      </c>
      <c r="B1901" t="s">
        <v>1165</v>
      </c>
      <c r="C1901" t="s">
        <v>1250</v>
      </c>
      <c r="D1901" t="s">
        <v>27</v>
      </c>
      <c r="E1901" t="s">
        <v>28</v>
      </c>
      <c r="F1901" t="s">
        <v>28</v>
      </c>
      <c r="G1901" t="s">
        <v>1200</v>
      </c>
      <c r="H1901" t="s">
        <v>868</v>
      </c>
      <c r="I1901" t="s">
        <v>1222</v>
      </c>
      <c r="J1901" t="str">
        <f>"9110270"</f>
        <v>9110270</v>
      </c>
      <c r="K1901">
        <v>2551071797</v>
      </c>
      <c r="L1901">
        <v>2551071797</v>
      </c>
      <c r="M1901" t="s">
        <v>1251</v>
      </c>
      <c r="N1901" t="s">
        <v>1252</v>
      </c>
      <c r="O1901" t="s">
        <v>1232</v>
      </c>
      <c r="P1901">
        <v>68100</v>
      </c>
      <c r="Q1901" t="str">
        <f>"40.856440"</f>
        <v>40.856440</v>
      </c>
      <c r="R1901" t="str">
        <f>"25.747654"</f>
        <v>25.747654</v>
      </c>
      <c r="S1901" t="s">
        <v>26</v>
      </c>
    </row>
    <row r="1902" spans="1:19" x14ac:dyDescent="0.3">
      <c r="A1902" t="s">
        <v>19</v>
      </c>
      <c r="B1902" t="s">
        <v>1165</v>
      </c>
      <c r="C1902" t="s">
        <v>1256</v>
      </c>
      <c r="D1902" t="s">
        <v>27</v>
      </c>
      <c r="E1902" t="s">
        <v>264</v>
      </c>
      <c r="F1902" t="s">
        <v>342</v>
      </c>
      <c r="G1902" t="s">
        <v>1237</v>
      </c>
      <c r="H1902" t="s">
        <v>868</v>
      </c>
      <c r="I1902" t="s">
        <v>1222</v>
      </c>
      <c r="J1902" t="str">
        <f>"9110111"</f>
        <v>9110111</v>
      </c>
      <c r="K1902">
        <v>2554034250</v>
      </c>
      <c r="L1902">
        <v>2554034250</v>
      </c>
      <c r="M1902" t="s">
        <v>1257</v>
      </c>
      <c r="N1902" t="s">
        <v>1258</v>
      </c>
      <c r="O1902" t="s">
        <v>1259</v>
      </c>
      <c r="P1902">
        <v>68004</v>
      </c>
      <c r="Q1902" t="str">
        <f>"41.264545"</f>
        <v>41.264545</v>
      </c>
      <c r="R1902" t="str">
        <f>"25.951673"</f>
        <v>25.951673</v>
      </c>
      <c r="S1902" t="s">
        <v>57</v>
      </c>
    </row>
    <row r="1903" spans="1:19" x14ac:dyDescent="0.3">
      <c r="A1903" t="s">
        <v>19</v>
      </c>
      <c r="B1903" t="s">
        <v>1165</v>
      </c>
      <c r="C1903" t="s">
        <v>1266</v>
      </c>
      <c r="D1903" t="s">
        <v>27</v>
      </c>
      <c r="E1903" t="s">
        <v>264</v>
      </c>
      <c r="F1903" t="s">
        <v>342</v>
      </c>
      <c r="G1903" t="s">
        <v>1237</v>
      </c>
      <c r="H1903" t="s">
        <v>868</v>
      </c>
      <c r="I1903" t="s">
        <v>1222</v>
      </c>
      <c r="J1903" t="str">
        <f>"9110109"</f>
        <v>9110109</v>
      </c>
      <c r="K1903">
        <v>2554034330</v>
      </c>
      <c r="L1903">
        <v>2554034330</v>
      </c>
      <c r="M1903" t="s">
        <v>1267</v>
      </c>
      <c r="N1903" t="s">
        <v>1268</v>
      </c>
      <c r="O1903" t="s">
        <v>1268</v>
      </c>
      <c r="P1903">
        <v>68004</v>
      </c>
      <c r="Q1903" t="str">
        <f>"41.234351"</f>
        <v>41.234351</v>
      </c>
      <c r="R1903" t="str">
        <f>"26.025941"</f>
        <v>26.025941</v>
      </c>
      <c r="S1903" t="s">
        <v>57</v>
      </c>
    </row>
    <row r="1904" spans="1:19" x14ac:dyDescent="0.3">
      <c r="A1904" t="s">
        <v>19</v>
      </c>
      <c r="B1904" t="s">
        <v>1165</v>
      </c>
      <c r="C1904" t="s">
        <v>1270</v>
      </c>
      <c r="D1904" t="s">
        <v>27</v>
      </c>
      <c r="E1904" t="s">
        <v>28</v>
      </c>
      <c r="F1904" t="s">
        <v>28</v>
      </c>
      <c r="G1904" t="s">
        <v>1269</v>
      </c>
      <c r="H1904" t="s">
        <v>868</v>
      </c>
      <c r="I1904" t="s">
        <v>1222</v>
      </c>
      <c r="J1904" t="str">
        <f>"9110267"</f>
        <v>9110267</v>
      </c>
      <c r="K1904">
        <v>2532031550</v>
      </c>
      <c r="L1904">
        <v>2532031550</v>
      </c>
      <c r="M1904" t="s">
        <v>1271</v>
      </c>
      <c r="N1904" t="s">
        <v>1272</v>
      </c>
      <c r="O1904" t="s">
        <v>1273</v>
      </c>
      <c r="P1904">
        <v>69300</v>
      </c>
      <c r="Q1904" t="str">
        <f>"40.908511"</f>
        <v>40.908511</v>
      </c>
      <c r="R1904" t="str">
        <f>"25.660550"</f>
        <v>25.660550</v>
      </c>
      <c r="S1904" t="s">
        <v>26</v>
      </c>
    </row>
    <row r="1905" spans="1:19" x14ac:dyDescent="0.3">
      <c r="A1905" t="s">
        <v>19</v>
      </c>
      <c r="B1905" t="s">
        <v>1165</v>
      </c>
      <c r="C1905" t="s">
        <v>1277</v>
      </c>
      <c r="D1905" t="s">
        <v>27</v>
      </c>
      <c r="E1905" t="s">
        <v>264</v>
      </c>
      <c r="F1905" t="s">
        <v>342</v>
      </c>
      <c r="G1905" t="s">
        <v>1237</v>
      </c>
      <c r="H1905" t="s">
        <v>868</v>
      </c>
      <c r="I1905" t="s">
        <v>1222</v>
      </c>
      <c r="J1905" t="str">
        <f>"9110114"</f>
        <v>9110114</v>
      </c>
      <c r="K1905">
        <v>2554034017</v>
      </c>
      <c r="L1905">
        <v>2554034017</v>
      </c>
      <c r="M1905" t="s">
        <v>1278</v>
      </c>
      <c r="N1905" t="s">
        <v>1279</v>
      </c>
      <c r="O1905" t="s">
        <v>1279</v>
      </c>
      <c r="P1905">
        <v>68004</v>
      </c>
      <c r="Q1905" t="str">
        <f>"41.300687"</f>
        <v>41.300687</v>
      </c>
      <c r="R1905" t="str">
        <f>"26.018364"</f>
        <v>26.018364</v>
      </c>
      <c r="S1905" t="s">
        <v>57</v>
      </c>
    </row>
    <row r="1906" spans="1:19" x14ac:dyDescent="0.3">
      <c r="A1906" t="s">
        <v>19</v>
      </c>
      <c r="B1906" t="s">
        <v>1165</v>
      </c>
      <c r="C1906" t="s">
        <v>1280</v>
      </c>
      <c r="D1906" t="s">
        <v>27</v>
      </c>
      <c r="E1906" t="s">
        <v>264</v>
      </c>
      <c r="F1906" t="s">
        <v>342</v>
      </c>
      <c r="G1906" t="s">
        <v>1242</v>
      </c>
      <c r="H1906" t="s">
        <v>868</v>
      </c>
      <c r="I1906" t="s">
        <v>1222</v>
      </c>
      <c r="J1906" t="str">
        <f>"9110121"</f>
        <v>9110121</v>
      </c>
      <c r="K1906">
        <v>2554081543</v>
      </c>
      <c r="L1906">
        <v>2554081543</v>
      </c>
      <c r="M1906" t="s">
        <v>1281</v>
      </c>
      <c r="N1906" t="s">
        <v>1282</v>
      </c>
      <c r="O1906" t="s">
        <v>1283</v>
      </c>
      <c r="P1906">
        <v>68400</v>
      </c>
      <c r="Q1906" t="str">
        <f>"41.283264"</f>
        <v>41.283264</v>
      </c>
      <c r="R1906" t="str">
        <f>"26.288289"</f>
        <v>26.288289</v>
      </c>
      <c r="S1906" t="s">
        <v>26</v>
      </c>
    </row>
    <row r="1907" spans="1:19" x14ac:dyDescent="0.3">
      <c r="A1907" t="s">
        <v>19</v>
      </c>
      <c r="B1907" t="s">
        <v>1165</v>
      </c>
      <c r="C1907" t="s">
        <v>1284</v>
      </c>
      <c r="D1907" t="s">
        <v>27</v>
      </c>
      <c r="E1907" t="s">
        <v>28</v>
      </c>
      <c r="F1907" t="s">
        <v>28</v>
      </c>
      <c r="G1907" t="s">
        <v>1269</v>
      </c>
      <c r="H1907" t="s">
        <v>868</v>
      </c>
      <c r="I1907" t="s">
        <v>1222</v>
      </c>
      <c r="J1907" t="str">
        <f>"9110261"</f>
        <v>9110261</v>
      </c>
      <c r="K1907">
        <v>2532031500</v>
      </c>
      <c r="L1907">
        <v>2532031500</v>
      </c>
      <c r="M1907" t="s">
        <v>1285</v>
      </c>
      <c r="N1907" t="s">
        <v>1286</v>
      </c>
      <c r="O1907" t="s">
        <v>1286</v>
      </c>
      <c r="P1907">
        <v>69300</v>
      </c>
      <c r="Q1907" t="str">
        <f>"40.926329"</f>
        <v>40.926329</v>
      </c>
      <c r="R1907" t="str">
        <f>"25.682552"</f>
        <v>25.682552</v>
      </c>
      <c r="S1907" t="s">
        <v>26</v>
      </c>
    </row>
    <row r="1908" spans="1:19" x14ac:dyDescent="0.3">
      <c r="A1908" t="s">
        <v>19</v>
      </c>
      <c r="B1908" t="s">
        <v>1165</v>
      </c>
      <c r="C1908" t="s">
        <v>1289</v>
      </c>
      <c r="D1908" t="s">
        <v>27</v>
      </c>
      <c r="E1908" t="s">
        <v>28</v>
      </c>
      <c r="F1908" t="s">
        <v>28</v>
      </c>
      <c r="G1908" t="s">
        <v>1269</v>
      </c>
      <c r="H1908" t="s">
        <v>868</v>
      </c>
      <c r="I1908" t="s">
        <v>1201</v>
      </c>
      <c r="J1908" t="str">
        <f>"9110273"</f>
        <v>9110273</v>
      </c>
      <c r="K1908">
        <v>2532031600</v>
      </c>
      <c r="L1908">
        <v>2532031600</v>
      </c>
      <c r="M1908" t="s">
        <v>1290</v>
      </c>
      <c r="N1908" t="s">
        <v>1291</v>
      </c>
      <c r="O1908" t="s">
        <v>1291</v>
      </c>
      <c r="P1908">
        <v>69300</v>
      </c>
      <c r="Q1908" t="str">
        <f>""</f>
        <v/>
      </c>
      <c r="R1908" t="str">
        <f>""</f>
        <v/>
      </c>
      <c r="S1908" t="s">
        <v>26</v>
      </c>
    </row>
    <row r="1909" spans="1:19" x14ac:dyDescent="0.3">
      <c r="A1909" t="s">
        <v>19</v>
      </c>
      <c r="B1909" t="s">
        <v>1165</v>
      </c>
      <c r="C1909" t="s">
        <v>1296</v>
      </c>
      <c r="D1909" t="s">
        <v>27</v>
      </c>
      <c r="E1909" t="s">
        <v>28</v>
      </c>
      <c r="F1909" t="s">
        <v>28</v>
      </c>
      <c r="G1909" t="s">
        <v>28</v>
      </c>
      <c r="H1909" t="s">
        <v>868</v>
      </c>
      <c r="I1909" t="s">
        <v>869</v>
      </c>
      <c r="J1909" t="str">
        <f>"9110319"</f>
        <v>9110319</v>
      </c>
      <c r="K1909">
        <v>2551021424</v>
      </c>
      <c r="L1909">
        <v>2551084502</v>
      </c>
      <c r="M1909" t="s">
        <v>1297</v>
      </c>
      <c r="N1909" t="s">
        <v>31</v>
      </c>
      <c r="O1909" t="s">
        <v>1298</v>
      </c>
      <c r="P1909">
        <v>68133</v>
      </c>
      <c r="Q1909" t="str">
        <f>"40.852222"</f>
        <v>40.852222</v>
      </c>
      <c r="R1909" t="str">
        <f>"25.881947"</f>
        <v>25.881947</v>
      </c>
      <c r="S1909" t="s">
        <v>26</v>
      </c>
    </row>
    <row r="1910" spans="1:19" x14ac:dyDescent="0.3">
      <c r="A1910" t="s">
        <v>19</v>
      </c>
      <c r="B1910" t="s">
        <v>1165</v>
      </c>
      <c r="C1910" t="s">
        <v>328</v>
      </c>
      <c r="D1910" t="s">
        <v>27</v>
      </c>
      <c r="E1910" t="s">
        <v>264</v>
      </c>
      <c r="F1910" t="s">
        <v>264</v>
      </c>
      <c r="G1910" t="s">
        <v>1302</v>
      </c>
      <c r="H1910" t="s">
        <v>868</v>
      </c>
      <c r="I1910" t="s">
        <v>950</v>
      </c>
      <c r="J1910" t="str">
        <f>"9110137"</f>
        <v>9110137</v>
      </c>
      <c r="K1910">
        <v>2554032207</v>
      </c>
      <c r="M1910" t="s">
        <v>1303</v>
      </c>
      <c r="N1910" t="s">
        <v>1304</v>
      </c>
      <c r="O1910" t="s">
        <v>1304</v>
      </c>
      <c r="P1910">
        <v>68400</v>
      </c>
      <c r="Q1910" t="str">
        <f>"41.128761"</f>
        <v>41.128761</v>
      </c>
      <c r="R1910" t="str">
        <f>"26.228062"</f>
        <v>26.228062</v>
      </c>
      <c r="S1910" t="s">
        <v>26</v>
      </c>
    </row>
    <row r="1911" spans="1:19" x14ac:dyDescent="0.3">
      <c r="A1911" t="s">
        <v>19</v>
      </c>
      <c r="B1911" t="s">
        <v>1165</v>
      </c>
      <c r="C1911" t="s">
        <v>227</v>
      </c>
      <c r="D1911" t="s">
        <v>27</v>
      </c>
      <c r="E1911" t="s">
        <v>221</v>
      </c>
      <c r="F1911" t="s">
        <v>221</v>
      </c>
      <c r="G1911" t="s">
        <v>221</v>
      </c>
      <c r="H1911" t="s">
        <v>868</v>
      </c>
      <c r="I1911" t="s">
        <v>869</v>
      </c>
      <c r="J1911" t="str">
        <f>"9110151"</f>
        <v>9110151</v>
      </c>
      <c r="K1911">
        <v>2552022284</v>
      </c>
      <c r="L1911">
        <v>2552022827</v>
      </c>
      <c r="M1911" t="s">
        <v>1317</v>
      </c>
      <c r="N1911" t="s">
        <v>1318</v>
      </c>
      <c r="O1911" t="s">
        <v>1319</v>
      </c>
      <c r="P1911">
        <v>68200</v>
      </c>
      <c r="Q1911" t="str">
        <f>"41.503720"</f>
        <v>41.503720</v>
      </c>
      <c r="R1911" t="str">
        <f>"26.528859"</f>
        <v>26.528859</v>
      </c>
      <c r="S1911" t="s">
        <v>26</v>
      </c>
    </row>
    <row r="1912" spans="1:19" x14ac:dyDescent="0.3">
      <c r="A1912" t="s">
        <v>19</v>
      </c>
      <c r="B1912" t="s">
        <v>1165</v>
      </c>
      <c r="C1912" t="s">
        <v>1326</v>
      </c>
      <c r="D1912" t="s">
        <v>27</v>
      </c>
      <c r="E1912" t="s">
        <v>221</v>
      </c>
      <c r="F1912" t="s">
        <v>221</v>
      </c>
      <c r="G1912" t="s">
        <v>221</v>
      </c>
      <c r="H1912" t="s">
        <v>868</v>
      </c>
      <c r="I1912" t="s">
        <v>869</v>
      </c>
      <c r="J1912" t="str">
        <f>"9110166"</f>
        <v>9110166</v>
      </c>
      <c r="K1912">
        <v>2552024413</v>
      </c>
      <c r="L1912">
        <v>2552024413</v>
      </c>
      <c r="M1912" t="s">
        <v>1327</v>
      </c>
      <c r="N1912" t="s">
        <v>1328</v>
      </c>
      <c r="O1912" t="s">
        <v>1329</v>
      </c>
      <c r="P1912">
        <v>68200</v>
      </c>
      <c r="Q1912" t="str">
        <f>"41.495236"</f>
        <v>41.495236</v>
      </c>
      <c r="R1912" t="str">
        <f>"26.503052"</f>
        <v>26.503052</v>
      </c>
      <c r="S1912" t="s">
        <v>26</v>
      </c>
    </row>
    <row r="1913" spans="1:19" x14ac:dyDescent="0.3">
      <c r="A1913" t="s">
        <v>19</v>
      </c>
      <c r="B1913" t="s">
        <v>1165</v>
      </c>
      <c r="C1913" t="s">
        <v>1333</v>
      </c>
      <c r="D1913" t="s">
        <v>27</v>
      </c>
      <c r="E1913" t="s">
        <v>28</v>
      </c>
      <c r="F1913" t="s">
        <v>28</v>
      </c>
      <c r="G1913" t="s">
        <v>28</v>
      </c>
      <c r="H1913" t="s">
        <v>868</v>
      </c>
      <c r="I1913" t="s">
        <v>869</v>
      </c>
      <c r="J1913" t="str">
        <f>"9110378"</f>
        <v>9110378</v>
      </c>
      <c r="K1913">
        <v>2551097331</v>
      </c>
      <c r="M1913" t="s">
        <v>1334</v>
      </c>
      <c r="N1913" t="s">
        <v>1335</v>
      </c>
      <c r="O1913" t="s">
        <v>1336</v>
      </c>
      <c r="P1913">
        <v>68100</v>
      </c>
      <c r="Q1913" t="str">
        <f>"40.890486"</f>
        <v>40.890486</v>
      </c>
      <c r="R1913" t="str">
        <f>"25.868092"</f>
        <v>25.868092</v>
      </c>
      <c r="S1913" t="s">
        <v>26</v>
      </c>
    </row>
    <row r="1914" spans="1:19" x14ac:dyDescent="0.3">
      <c r="A1914" t="s">
        <v>19</v>
      </c>
      <c r="B1914" t="s">
        <v>1165</v>
      </c>
      <c r="C1914" t="s">
        <v>1338</v>
      </c>
      <c r="D1914" t="s">
        <v>27</v>
      </c>
      <c r="E1914" t="s">
        <v>221</v>
      </c>
      <c r="F1914" t="s">
        <v>312</v>
      </c>
      <c r="G1914" t="s">
        <v>1337</v>
      </c>
      <c r="H1914" t="s">
        <v>868</v>
      </c>
      <c r="I1914" t="s">
        <v>950</v>
      </c>
      <c r="J1914" t="str">
        <f>"9110189"</f>
        <v>9110189</v>
      </c>
      <c r="K1914">
        <v>2552085235</v>
      </c>
      <c r="L1914">
        <v>2552110901</v>
      </c>
      <c r="M1914" t="s">
        <v>1339</v>
      </c>
      <c r="N1914" t="s">
        <v>1340</v>
      </c>
      <c r="O1914" t="s">
        <v>1340</v>
      </c>
      <c r="P1914">
        <v>68008</v>
      </c>
      <c r="Q1914" t="str">
        <f>"41.647188"</f>
        <v>41.647188</v>
      </c>
      <c r="R1914" t="str">
        <f>"26.475326"</f>
        <v>26.475326</v>
      </c>
      <c r="S1914" t="s">
        <v>57</v>
      </c>
    </row>
    <row r="1915" spans="1:19" x14ac:dyDescent="0.3">
      <c r="A1915" t="s">
        <v>19</v>
      </c>
      <c r="B1915" t="s">
        <v>1165</v>
      </c>
      <c r="C1915" t="s">
        <v>361</v>
      </c>
      <c r="D1915" t="s">
        <v>27</v>
      </c>
      <c r="E1915" t="s">
        <v>221</v>
      </c>
      <c r="F1915" t="s">
        <v>312</v>
      </c>
      <c r="G1915" t="s">
        <v>356</v>
      </c>
      <c r="H1915" t="s">
        <v>868</v>
      </c>
      <c r="I1915" t="s">
        <v>869</v>
      </c>
      <c r="J1915" t="str">
        <f>"9110197"</f>
        <v>9110197</v>
      </c>
      <c r="K1915">
        <v>2552071202</v>
      </c>
      <c r="L1915">
        <v>2552110193</v>
      </c>
      <c r="M1915" t="s">
        <v>1344</v>
      </c>
      <c r="N1915" t="s">
        <v>360</v>
      </c>
      <c r="O1915" t="s">
        <v>361</v>
      </c>
      <c r="P1915">
        <v>68001</v>
      </c>
      <c r="Q1915" t="str">
        <f>"41.584828"</f>
        <v>41.584828</v>
      </c>
      <c r="R1915" t="str">
        <f>"26.541202"</f>
        <v>26.541202</v>
      </c>
      <c r="S1915" t="s">
        <v>26</v>
      </c>
    </row>
    <row r="1916" spans="1:19" x14ac:dyDescent="0.3">
      <c r="A1916" t="s">
        <v>19</v>
      </c>
      <c r="B1916" t="s">
        <v>1165</v>
      </c>
      <c r="C1916" t="s">
        <v>1345</v>
      </c>
      <c r="D1916" t="s">
        <v>27</v>
      </c>
      <c r="E1916" t="s">
        <v>28</v>
      </c>
      <c r="F1916" t="s">
        <v>28</v>
      </c>
      <c r="G1916" t="s">
        <v>28</v>
      </c>
      <c r="H1916" t="s">
        <v>868</v>
      </c>
      <c r="I1916" t="s">
        <v>869</v>
      </c>
      <c r="J1916" t="str">
        <f>"9110010"</f>
        <v>9110010</v>
      </c>
      <c r="K1916">
        <v>2551026320</v>
      </c>
      <c r="L1916">
        <v>2551026320</v>
      </c>
      <c r="M1916" t="s">
        <v>1346</v>
      </c>
      <c r="N1916" t="s">
        <v>31</v>
      </c>
      <c r="O1916" t="s">
        <v>1347</v>
      </c>
      <c r="P1916">
        <v>68132</v>
      </c>
      <c r="Q1916" t="str">
        <f>"40.847197"</f>
        <v>40.847197</v>
      </c>
      <c r="R1916" t="str">
        <f>"25.876550"</f>
        <v>25.876550</v>
      </c>
      <c r="S1916" t="s">
        <v>26</v>
      </c>
    </row>
    <row r="1917" spans="1:19" x14ac:dyDescent="0.3">
      <c r="A1917" t="s">
        <v>19</v>
      </c>
      <c r="B1917" t="s">
        <v>1165</v>
      </c>
      <c r="C1917" t="s">
        <v>1357</v>
      </c>
      <c r="D1917" t="s">
        <v>27</v>
      </c>
      <c r="E1917" t="s">
        <v>221</v>
      </c>
      <c r="F1917" t="s">
        <v>221</v>
      </c>
      <c r="G1917" t="s">
        <v>221</v>
      </c>
      <c r="H1917" t="s">
        <v>868</v>
      </c>
      <c r="I1917" t="s">
        <v>869</v>
      </c>
      <c r="J1917" t="str">
        <f>"9110156"</f>
        <v>9110156</v>
      </c>
      <c r="K1917">
        <v>2552022345</v>
      </c>
      <c r="L1917">
        <v>2552024439</v>
      </c>
      <c r="M1917" t="s">
        <v>1358</v>
      </c>
      <c r="N1917" t="s">
        <v>224</v>
      </c>
      <c r="O1917" t="s">
        <v>1199</v>
      </c>
      <c r="P1917">
        <v>68200</v>
      </c>
      <c r="Q1917" t="str">
        <f>"41.510491"</f>
        <v>41.510491</v>
      </c>
      <c r="R1917" t="str">
        <f>"26.531783"</f>
        <v>26.531783</v>
      </c>
      <c r="S1917" t="s">
        <v>26</v>
      </c>
    </row>
    <row r="1918" spans="1:19" x14ac:dyDescent="0.3">
      <c r="A1918" t="s">
        <v>19</v>
      </c>
      <c r="B1918" t="s">
        <v>1165</v>
      </c>
      <c r="C1918" t="s">
        <v>1362</v>
      </c>
      <c r="D1918" t="s">
        <v>27</v>
      </c>
      <c r="E1918" t="s">
        <v>221</v>
      </c>
      <c r="F1918" t="s">
        <v>221</v>
      </c>
      <c r="G1918" t="s">
        <v>221</v>
      </c>
      <c r="H1918" t="s">
        <v>868</v>
      </c>
      <c r="I1918" t="s">
        <v>869</v>
      </c>
      <c r="J1918" t="str">
        <f>"9110154"</f>
        <v>9110154</v>
      </c>
      <c r="K1918">
        <v>2552022593</v>
      </c>
      <c r="L1918">
        <v>2552021039</v>
      </c>
      <c r="M1918" t="s">
        <v>1363</v>
      </c>
      <c r="N1918" t="s">
        <v>1364</v>
      </c>
      <c r="O1918" t="s">
        <v>1365</v>
      </c>
      <c r="P1918">
        <v>68200</v>
      </c>
      <c r="Q1918" t="str">
        <f>"41.502716"</f>
        <v>41.502716</v>
      </c>
      <c r="R1918" t="str">
        <f>"26.535525"</f>
        <v>26.535525</v>
      </c>
      <c r="S1918" t="s">
        <v>26</v>
      </c>
    </row>
    <row r="1919" spans="1:19" x14ac:dyDescent="0.3">
      <c r="A1919" t="s">
        <v>19</v>
      </c>
      <c r="B1919" t="s">
        <v>1165</v>
      </c>
      <c r="C1919" t="s">
        <v>1376</v>
      </c>
      <c r="D1919" t="s">
        <v>27</v>
      </c>
      <c r="E1919" t="s">
        <v>248</v>
      </c>
      <c r="F1919" t="s">
        <v>329</v>
      </c>
      <c r="G1919" t="s">
        <v>1375</v>
      </c>
      <c r="H1919" t="s">
        <v>868</v>
      </c>
      <c r="I1919" t="s">
        <v>950</v>
      </c>
      <c r="J1919" t="str">
        <f>"9110079"</f>
        <v>9110079</v>
      </c>
      <c r="K1919">
        <v>2553094030</v>
      </c>
      <c r="L1919">
        <v>2553094458</v>
      </c>
      <c r="M1919" t="s">
        <v>1377</v>
      </c>
      <c r="N1919" t="s">
        <v>1378</v>
      </c>
      <c r="O1919" t="s">
        <v>1378</v>
      </c>
      <c r="P1919">
        <v>68010</v>
      </c>
      <c r="Q1919" t="str">
        <f>"41.394872"</f>
        <v>41.394872</v>
      </c>
      <c r="R1919" t="str">
        <f>"26.307757"</f>
        <v>26.307757</v>
      </c>
      <c r="S1919" t="s">
        <v>57</v>
      </c>
    </row>
    <row r="1920" spans="1:19" x14ac:dyDescent="0.3">
      <c r="A1920" t="s">
        <v>19</v>
      </c>
      <c r="B1920" t="s">
        <v>1165</v>
      </c>
      <c r="C1920" t="s">
        <v>1379</v>
      </c>
      <c r="D1920" t="s">
        <v>27</v>
      </c>
      <c r="E1920" t="s">
        <v>248</v>
      </c>
      <c r="F1920" t="s">
        <v>248</v>
      </c>
      <c r="G1920" t="s">
        <v>248</v>
      </c>
      <c r="H1920" t="s">
        <v>868</v>
      </c>
      <c r="I1920" t="s">
        <v>1157</v>
      </c>
      <c r="J1920" t="str">
        <f>"9110320"</f>
        <v>9110320</v>
      </c>
      <c r="K1920">
        <v>2553023763</v>
      </c>
      <c r="L1920">
        <v>2553023763</v>
      </c>
      <c r="M1920" t="s">
        <v>1380</v>
      </c>
      <c r="N1920" t="s">
        <v>248</v>
      </c>
      <c r="O1920" t="s">
        <v>1381</v>
      </c>
      <c r="P1920">
        <v>68300</v>
      </c>
      <c r="Q1920" t="str">
        <f>""</f>
        <v/>
      </c>
      <c r="R1920" t="str">
        <f>""</f>
        <v/>
      </c>
      <c r="S1920" t="s">
        <v>26</v>
      </c>
    </row>
    <row r="1921" spans="1:19" x14ac:dyDescent="0.3">
      <c r="A1921" t="s">
        <v>19</v>
      </c>
      <c r="B1921" t="s">
        <v>1165</v>
      </c>
      <c r="C1921" t="s">
        <v>1382</v>
      </c>
      <c r="D1921" t="s">
        <v>27</v>
      </c>
      <c r="E1921" t="s">
        <v>221</v>
      </c>
      <c r="F1921" t="s">
        <v>221</v>
      </c>
      <c r="G1921" t="s">
        <v>221</v>
      </c>
      <c r="H1921" t="s">
        <v>868</v>
      </c>
      <c r="I1921" t="s">
        <v>869</v>
      </c>
      <c r="J1921" t="str">
        <f>"9110158"</f>
        <v>9110158</v>
      </c>
      <c r="K1921">
        <v>2552022592</v>
      </c>
      <c r="L1921">
        <v>2552301854</v>
      </c>
      <c r="M1921" t="s">
        <v>1383</v>
      </c>
      <c r="N1921" t="s">
        <v>1384</v>
      </c>
      <c r="O1921" t="s">
        <v>1385</v>
      </c>
      <c r="P1921">
        <v>68200</v>
      </c>
      <c r="Q1921" t="str">
        <f>"41.513284"</f>
        <v>41.513284</v>
      </c>
      <c r="R1921" t="str">
        <f>"26.529800"</f>
        <v>26.529800</v>
      </c>
      <c r="S1921" t="s">
        <v>26</v>
      </c>
    </row>
    <row r="1922" spans="1:19" x14ac:dyDescent="0.3">
      <c r="A1922" t="s">
        <v>19</v>
      </c>
      <c r="B1922" t="s">
        <v>1165</v>
      </c>
      <c r="C1922" t="s">
        <v>371</v>
      </c>
      <c r="D1922" t="s">
        <v>27</v>
      </c>
      <c r="E1922" t="s">
        <v>221</v>
      </c>
      <c r="F1922" t="s">
        <v>367</v>
      </c>
      <c r="G1922" t="s">
        <v>368</v>
      </c>
      <c r="H1922" t="s">
        <v>868</v>
      </c>
      <c r="I1922" t="s">
        <v>869</v>
      </c>
      <c r="J1922" t="str">
        <f>"9110194"</f>
        <v>9110194</v>
      </c>
      <c r="K1922">
        <v>2556022202</v>
      </c>
      <c r="L1922">
        <v>2556022202</v>
      </c>
      <c r="M1922" t="s">
        <v>1390</v>
      </c>
      <c r="O1922" t="s">
        <v>1391</v>
      </c>
      <c r="P1922">
        <v>68006</v>
      </c>
      <c r="Q1922" t="str">
        <f>"41.573065"</f>
        <v>41.573065</v>
      </c>
      <c r="R1922" t="str">
        <f>"26.228485"</f>
        <v>26.228485</v>
      </c>
      <c r="S1922" t="s">
        <v>57</v>
      </c>
    </row>
    <row r="1923" spans="1:19" x14ac:dyDescent="0.3">
      <c r="A1923" t="s">
        <v>19</v>
      </c>
      <c r="B1923" t="s">
        <v>1165</v>
      </c>
      <c r="C1923" t="s">
        <v>288</v>
      </c>
      <c r="D1923" t="s">
        <v>27</v>
      </c>
      <c r="E1923" t="s">
        <v>248</v>
      </c>
      <c r="F1923" t="s">
        <v>248</v>
      </c>
      <c r="G1923" t="s">
        <v>248</v>
      </c>
      <c r="H1923" t="s">
        <v>868</v>
      </c>
      <c r="I1923" t="s">
        <v>869</v>
      </c>
      <c r="J1923" t="str">
        <f>"9110354"</f>
        <v>9110354</v>
      </c>
      <c r="K1923">
        <v>2553025015</v>
      </c>
      <c r="L1923">
        <v>2553025015</v>
      </c>
      <c r="M1923" t="s">
        <v>1392</v>
      </c>
      <c r="N1923" t="s">
        <v>251</v>
      </c>
      <c r="O1923" t="s">
        <v>1393</v>
      </c>
      <c r="P1923">
        <v>68300</v>
      </c>
      <c r="Q1923" t="str">
        <f>"41.349436"</f>
        <v>41.349436</v>
      </c>
      <c r="R1923" t="str">
        <f>"26.497679"</f>
        <v>26.497679</v>
      </c>
      <c r="S1923" t="s">
        <v>26</v>
      </c>
    </row>
    <row r="1924" spans="1:19" x14ac:dyDescent="0.3">
      <c r="A1924" t="s">
        <v>19</v>
      </c>
      <c r="B1924" t="s">
        <v>1165</v>
      </c>
      <c r="C1924" t="s">
        <v>253</v>
      </c>
      <c r="D1924" t="s">
        <v>27</v>
      </c>
      <c r="E1924" t="s">
        <v>248</v>
      </c>
      <c r="F1924" t="s">
        <v>248</v>
      </c>
      <c r="G1924" t="s">
        <v>248</v>
      </c>
      <c r="H1924" t="s">
        <v>868</v>
      </c>
      <c r="I1924" t="s">
        <v>869</v>
      </c>
      <c r="J1924" t="str">
        <f>"9110064"</f>
        <v>9110064</v>
      </c>
      <c r="K1924">
        <v>2553022293</v>
      </c>
      <c r="L1924">
        <v>2553022293</v>
      </c>
      <c r="M1924" t="s">
        <v>1394</v>
      </c>
      <c r="N1924" t="s">
        <v>251</v>
      </c>
      <c r="O1924" t="s">
        <v>1395</v>
      </c>
      <c r="P1924">
        <v>68300</v>
      </c>
      <c r="Q1924" t="str">
        <f>"41.350306"</f>
        <v>41.350306</v>
      </c>
      <c r="R1924" t="str">
        <f>"26.492503"</f>
        <v>26.492503</v>
      </c>
      <c r="S1924" t="s">
        <v>26</v>
      </c>
    </row>
    <row r="1925" spans="1:19" x14ac:dyDescent="0.3">
      <c r="A1925" t="s">
        <v>19</v>
      </c>
      <c r="B1925" t="s">
        <v>1165</v>
      </c>
      <c r="C1925" t="s">
        <v>304</v>
      </c>
      <c r="D1925" t="s">
        <v>27</v>
      </c>
      <c r="E1925" t="s">
        <v>248</v>
      </c>
      <c r="F1925" t="s">
        <v>248</v>
      </c>
      <c r="G1925" t="s">
        <v>248</v>
      </c>
      <c r="H1925" t="s">
        <v>868</v>
      </c>
      <c r="I1925" t="s">
        <v>869</v>
      </c>
      <c r="J1925" t="str">
        <f>"9110068"</f>
        <v>9110068</v>
      </c>
      <c r="K1925">
        <v>2553023209</v>
      </c>
      <c r="L1925">
        <v>2553020185</v>
      </c>
      <c r="M1925" t="s">
        <v>1396</v>
      </c>
      <c r="N1925" t="s">
        <v>251</v>
      </c>
      <c r="O1925" t="s">
        <v>1397</v>
      </c>
      <c r="P1925">
        <v>68300</v>
      </c>
      <c r="Q1925" t="str">
        <f>"41.347312"</f>
        <v>41.347312</v>
      </c>
      <c r="R1925" t="str">
        <f>"26.495259"</f>
        <v>26.495259</v>
      </c>
      <c r="S1925" t="s">
        <v>26</v>
      </c>
    </row>
    <row r="1926" spans="1:19" x14ac:dyDescent="0.3">
      <c r="A1926" t="s">
        <v>19</v>
      </c>
      <c r="B1926" t="s">
        <v>1165</v>
      </c>
      <c r="C1926" t="s">
        <v>1401</v>
      </c>
      <c r="D1926" t="s">
        <v>27</v>
      </c>
      <c r="E1926" t="s">
        <v>264</v>
      </c>
      <c r="F1926" t="s">
        <v>342</v>
      </c>
      <c r="G1926" t="s">
        <v>1237</v>
      </c>
      <c r="H1926" t="s">
        <v>868</v>
      </c>
      <c r="I1926" t="s">
        <v>1201</v>
      </c>
      <c r="J1926" t="str">
        <f>"9110113"</f>
        <v>9110113</v>
      </c>
      <c r="K1926">
        <v>2554034455</v>
      </c>
      <c r="M1926" t="s">
        <v>1402</v>
      </c>
      <c r="N1926" t="s">
        <v>1403</v>
      </c>
      <c r="O1926" t="s">
        <v>1403</v>
      </c>
      <c r="P1926">
        <v>68004</v>
      </c>
      <c r="Q1926" t="str">
        <f>"41.200094"</f>
        <v>41.200094</v>
      </c>
      <c r="R1926" t="str">
        <f>"25.906996"</f>
        <v>25.906996</v>
      </c>
      <c r="S1926" t="s">
        <v>57</v>
      </c>
    </row>
    <row r="1927" spans="1:19" x14ac:dyDescent="0.3">
      <c r="A1927" t="s">
        <v>19</v>
      </c>
      <c r="B1927" t="s">
        <v>1165</v>
      </c>
      <c r="C1927" t="s">
        <v>237</v>
      </c>
      <c r="D1927" t="s">
        <v>27</v>
      </c>
      <c r="E1927" t="s">
        <v>221</v>
      </c>
      <c r="F1927" t="s">
        <v>221</v>
      </c>
      <c r="G1927" t="s">
        <v>221</v>
      </c>
      <c r="H1927" t="s">
        <v>868</v>
      </c>
      <c r="I1927" t="s">
        <v>869</v>
      </c>
      <c r="J1927" t="str">
        <f>"9110161"</f>
        <v>9110161</v>
      </c>
      <c r="K1927">
        <v>2552022240</v>
      </c>
      <c r="L1927">
        <v>2552023964</v>
      </c>
      <c r="M1927" t="s">
        <v>1404</v>
      </c>
      <c r="N1927" t="s">
        <v>224</v>
      </c>
      <c r="O1927" t="s">
        <v>1405</v>
      </c>
      <c r="P1927">
        <v>68200</v>
      </c>
      <c r="Q1927" t="str">
        <f>"41.495248"</f>
        <v>41.495248</v>
      </c>
      <c r="R1927" t="str">
        <f>"26.531939"</f>
        <v>26.531939</v>
      </c>
      <c r="S1927" t="s">
        <v>26</v>
      </c>
    </row>
    <row r="1928" spans="1:19" x14ac:dyDescent="0.3">
      <c r="A1928" t="s">
        <v>19</v>
      </c>
      <c r="B1928" t="s">
        <v>1165</v>
      </c>
      <c r="C1928" t="s">
        <v>1406</v>
      </c>
      <c r="D1928" t="s">
        <v>27</v>
      </c>
      <c r="E1928" t="s">
        <v>28</v>
      </c>
      <c r="F1928" t="s">
        <v>28</v>
      </c>
      <c r="G1928" t="s">
        <v>1200</v>
      </c>
      <c r="H1928" t="s">
        <v>868</v>
      </c>
      <c r="I1928" t="s">
        <v>1201</v>
      </c>
      <c r="J1928" t="str">
        <f>"9110272"</f>
        <v>9110272</v>
      </c>
      <c r="K1928">
        <v>2551096164</v>
      </c>
      <c r="L1928">
        <v>2551096164</v>
      </c>
      <c r="N1928" t="s">
        <v>1407</v>
      </c>
      <c r="O1928" t="s">
        <v>1408</v>
      </c>
      <c r="P1928">
        <v>68100</v>
      </c>
      <c r="Q1928" t="str">
        <f>""</f>
        <v/>
      </c>
      <c r="R1928" t="str">
        <f>""</f>
        <v/>
      </c>
      <c r="S1928" t="s">
        <v>26</v>
      </c>
    </row>
    <row r="1929" spans="1:19" x14ac:dyDescent="0.3">
      <c r="A1929" t="s">
        <v>19</v>
      </c>
      <c r="B1929" t="s">
        <v>1165</v>
      </c>
      <c r="C1929" t="s">
        <v>348</v>
      </c>
      <c r="D1929" t="s">
        <v>27</v>
      </c>
      <c r="E1929" t="s">
        <v>264</v>
      </c>
      <c r="F1929" t="s">
        <v>342</v>
      </c>
      <c r="G1929" t="s">
        <v>343</v>
      </c>
      <c r="H1929" t="s">
        <v>868</v>
      </c>
      <c r="I1929" t="s">
        <v>869</v>
      </c>
      <c r="J1929" t="str">
        <f>"9110099"</f>
        <v>9110099</v>
      </c>
      <c r="K1929">
        <v>2553031290</v>
      </c>
      <c r="L1929">
        <v>2553031290</v>
      </c>
      <c r="M1929" t="s">
        <v>1423</v>
      </c>
      <c r="N1929" t="s">
        <v>346</v>
      </c>
      <c r="O1929" t="s">
        <v>1411</v>
      </c>
      <c r="P1929">
        <v>68004</v>
      </c>
      <c r="Q1929" t="str">
        <f>"41.269819"</f>
        <v>41.269819</v>
      </c>
      <c r="R1929" t="str">
        <f>"26.383638"</f>
        <v>26.383638</v>
      </c>
      <c r="S1929" t="s">
        <v>26</v>
      </c>
    </row>
    <row r="1930" spans="1:19" x14ac:dyDescent="0.3">
      <c r="A1930" t="s">
        <v>19</v>
      </c>
      <c r="B1930" t="s">
        <v>1165</v>
      </c>
      <c r="C1930" t="s">
        <v>341</v>
      </c>
      <c r="D1930" t="s">
        <v>27</v>
      </c>
      <c r="E1930" t="s">
        <v>28</v>
      </c>
      <c r="F1930" t="s">
        <v>28</v>
      </c>
      <c r="G1930" t="s">
        <v>28</v>
      </c>
      <c r="H1930" t="s">
        <v>868</v>
      </c>
      <c r="I1930" t="s">
        <v>869</v>
      </c>
      <c r="J1930" t="str">
        <f>"9110012"</f>
        <v>9110012</v>
      </c>
      <c r="K1930">
        <v>2551036483</v>
      </c>
      <c r="L1930">
        <v>2551036859</v>
      </c>
      <c r="M1930" t="s">
        <v>1427</v>
      </c>
      <c r="N1930" t="s">
        <v>31</v>
      </c>
      <c r="O1930" t="s">
        <v>1428</v>
      </c>
      <c r="P1930">
        <v>68132</v>
      </c>
      <c r="Q1930" t="str">
        <f>"40.854397"</f>
        <v>40.854397</v>
      </c>
      <c r="R1930" t="str">
        <f>"25.875379"</f>
        <v>25.875379</v>
      </c>
      <c r="S1930" t="s">
        <v>26</v>
      </c>
    </row>
    <row r="1931" spans="1:19" x14ac:dyDescent="0.3">
      <c r="A1931" t="s">
        <v>19</v>
      </c>
      <c r="B1931" t="s">
        <v>1165</v>
      </c>
      <c r="C1931" t="s">
        <v>1429</v>
      </c>
      <c r="D1931" t="s">
        <v>27</v>
      </c>
      <c r="E1931" t="s">
        <v>248</v>
      </c>
      <c r="F1931" t="s">
        <v>248</v>
      </c>
      <c r="G1931" t="s">
        <v>248</v>
      </c>
      <c r="H1931" t="s">
        <v>868</v>
      </c>
      <c r="I1931" t="s">
        <v>869</v>
      </c>
      <c r="J1931" t="str">
        <f>"9110066"</f>
        <v>9110066</v>
      </c>
      <c r="K1931">
        <v>2553022291</v>
      </c>
      <c r="L1931">
        <v>2553022291</v>
      </c>
      <c r="M1931" t="s">
        <v>1430</v>
      </c>
      <c r="N1931" t="s">
        <v>1431</v>
      </c>
      <c r="O1931" t="s">
        <v>1432</v>
      </c>
      <c r="P1931">
        <v>68300</v>
      </c>
      <c r="Q1931" t="str">
        <f>"41.348925"</f>
        <v>41.348925</v>
      </c>
      <c r="R1931" t="str">
        <f>"26.502367"</f>
        <v>26.502367</v>
      </c>
      <c r="S1931" t="s">
        <v>26</v>
      </c>
    </row>
    <row r="1932" spans="1:19" x14ac:dyDescent="0.3">
      <c r="A1932" t="s">
        <v>19</v>
      </c>
      <c r="B1932" t="s">
        <v>1165</v>
      </c>
      <c r="C1932" t="s">
        <v>1436</v>
      </c>
      <c r="D1932" t="s">
        <v>27</v>
      </c>
      <c r="E1932" t="s">
        <v>264</v>
      </c>
      <c r="F1932" t="s">
        <v>342</v>
      </c>
      <c r="G1932" t="s">
        <v>1237</v>
      </c>
      <c r="H1932" t="s">
        <v>868</v>
      </c>
      <c r="I1932" t="s">
        <v>1222</v>
      </c>
      <c r="J1932" t="str">
        <f>"9110262"</f>
        <v>9110262</v>
      </c>
      <c r="K1932">
        <v>2554034057</v>
      </c>
      <c r="L1932">
        <v>2554034057</v>
      </c>
      <c r="M1932" t="s">
        <v>1437</v>
      </c>
      <c r="N1932" t="s">
        <v>1438</v>
      </c>
      <c r="O1932" t="s">
        <v>1438</v>
      </c>
      <c r="P1932">
        <v>68005</v>
      </c>
      <c r="Q1932" t="str">
        <f>"41.291653"</f>
        <v>41.291653</v>
      </c>
      <c r="R1932" t="str">
        <f>"25.966031"</f>
        <v>25.966031</v>
      </c>
      <c r="S1932" t="s">
        <v>57</v>
      </c>
    </row>
    <row r="1933" spans="1:19" x14ac:dyDescent="0.3">
      <c r="A1933" t="s">
        <v>19</v>
      </c>
      <c r="B1933" t="s">
        <v>1165</v>
      </c>
      <c r="C1933" t="s">
        <v>1444</v>
      </c>
      <c r="D1933" t="s">
        <v>27</v>
      </c>
      <c r="E1933" t="s">
        <v>28</v>
      </c>
      <c r="F1933" t="s">
        <v>28</v>
      </c>
      <c r="G1933" t="s">
        <v>1439</v>
      </c>
      <c r="H1933" t="s">
        <v>868</v>
      </c>
      <c r="I1933" t="s">
        <v>950</v>
      </c>
      <c r="J1933" t="str">
        <f>"9110021"</f>
        <v>9110021</v>
      </c>
      <c r="K1933">
        <v>2551088977</v>
      </c>
      <c r="L1933">
        <v>2551091277</v>
      </c>
      <c r="M1933" t="s">
        <v>1445</v>
      </c>
      <c r="O1933" t="s">
        <v>1446</v>
      </c>
      <c r="P1933">
        <v>68100</v>
      </c>
      <c r="Q1933" t="str">
        <f>"40.929478"</f>
        <v>40.929478</v>
      </c>
      <c r="R1933" t="str">
        <f>"25.915165"</f>
        <v>25.915165</v>
      </c>
      <c r="S1933" t="s">
        <v>26</v>
      </c>
    </row>
    <row r="1934" spans="1:19" x14ac:dyDescent="0.3">
      <c r="A1934" t="s">
        <v>19</v>
      </c>
      <c r="B1934" t="s">
        <v>1165</v>
      </c>
      <c r="C1934" t="s">
        <v>1447</v>
      </c>
      <c r="D1934" t="s">
        <v>27</v>
      </c>
      <c r="E1934" t="s">
        <v>264</v>
      </c>
      <c r="F1934" t="s">
        <v>342</v>
      </c>
      <c r="G1934" t="s">
        <v>1237</v>
      </c>
      <c r="H1934" t="s">
        <v>868</v>
      </c>
      <c r="I1934" t="s">
        <v>1222</v>
      </c>
      <c r="J1934" t="str">
        <f>"9110117"</f>
        <v>9110117</v>
      </c>
      <c r="K1934">
        <v>2554034065</v>
      </c>
      <c r="L1934">
        <v>2554034065</v>
      </c>
      <c r="M1934" t="s">
        <v>1448</v>
      </c>
      <c r="N1934" t="s">
        <v>1449</v>
      </c>
      <c r="O1934" t="s">
        <v>1450</v>
      </c>
      <c r="P1934">
        <v>68005</v>
      </c>
      <c r="Q1934" t="str">
        <f>"41.226440"</f>
        <v>41.226440</v>
      </c>
      <c r="R1934" t="str">
        <f>"25.967564"</f>
        <v>25.967564</v>
      </c>
      <c r="S1934" t="s">
        <v>57</v>
      </c>
    </row>
    <row r="1935" spans="1:19" x14ac:dyDescent="0.3">
      <c r="A1935" t="s">
        <v>19</v>
      </c>
      <c r="B1935" t="s">
        <v>1165</v>
      </c>
      <c r="C1935" t="s">
        <v>1454</v>
      </c>
      <c r="D1935" t="s">
        <v>27</v>
      </c>
      <c r="E1935" t="s">
        <v>28</v>
      </c>
      <c r="F1935" t="s">
        <v>28</v>
      </c>
      <c r="G1935" t="s">
        <v>28</v>
      </c>
      <c r="H1935" t="s">
        <v>868</v>
      </c>
      <c r="I1935" t="s">
        <v>1201</v>
      </c>
      <c r="J1935" t="str">
        <f>"9110259"</f>
        <v>9110259</v>
      </c>
      <c r="K1935">
        <v>2551028864</v>
      </c>
      <c r="L1935">
        <v>2551028864</v>
      </c>
      <c r="M1935" t="s">
        <v>1455</v>
      </c>
      <c r="N1935" t="s">
        <v>28</v>
      </c>
      <c r="O1935" t="s">
        <v>1456</v>
      </c>
      <c r="P1935">
        <v>68131</v>
      </c>
      <c r="Q1935" t="str">
        <f>"40.846968"</f>
        <v>40.846968</v>
      </c>
      <c r="R1935" t="str">
        <f>"25.881186"</f>
        <v>25.881186</v>
      </c>
      <c r="S1935" t="s">
        <v>26</v>
      </c>
    </row>
    <row r="1936" spans="1:19" x14ac:dyDescent="0.3">
      <c r="A1936" t="s">
        <v>19</v>
      </c>
      <c r="B1936" t="s">
        <v>1165</v>
      </c>
      <c r="C1936" t="s">
        <v>1467</v>
      </c>
      <c r="D1936" t="s">
        <v>27</v>
      </c>
      <c r="E1936" t="s">
        <v>28</v>
      </c>
      <c r="F1936" t="s">
        <v>28</v>
      </c>
      <c r="G1936" t="s">
        <v>28</v>
      </c>
      <c r="H1936" t="s">
        <v>868</v>
      </c>
      <c r="I1936" t="s">
        <v>869</v>
      </c>
      <c r="J1936" t="str">
        <f>"9110018"</f>
        <v>9110018</v>
      </c>
      <c r="K1936">
        <v>2551039625</v>
      </c>
      <c r="L1936">
        <v>2551039625</v>
      </c>
      <c r="M1936" t="s">
        <v>1468</v>
      </c>
      <c r="N1936" t="s">
        <v>1469</v>
      </c>
      <c r="O1936" t="s">
        <v>1470</v>
      </c>
      <c r="P1936">
        <v>68131</v>
      </c>
      <c r="Q1936" t="str">
        <f>"40.851178"</f>
        <v>40.851178</v>
      </c>
      <c r="R1936" t="str">
        <f>"25.828100"</f>
        <v>25.828100</v>
      </c>
      <c r="S1936" t="s">
        <v>26</v>
      </c>
    </row>
    <row r="1937" spans="1:19" x14ac:dyDescent="0.3">
      <c r="A1937" t="s">
        <v>19</v>
      </c>
      <c r="B1937" t="s">
        <v>1165</v>
      </c>
      <c r="C1937" t="s">
        <v>333</v>
      </c>
      <c r="D1937" t="s">
        <v>27</v>
      </c>
      <c r="E1937" t="s">
        <v>248</v>
      </c>
      <c r="F1937" t="s">
        <v>329</v>
      </c>
      <c r="G1937" t="s">
        <v>329</v>
      </c>
      <c r="H1937" t="s">
        <v>868</v>
      </c>
      <c r="I1937" t="s">
        <v>869</v>
      </c>
      <c r="J1937" t="str">
        <f>"9110107"</f>
        <v>9110107</v>
      </c>
      <c r="K1937">
        <v>2553051214</v>
      </c>
      <c r="L1937">
        <v>2553051214</v>
      </c>
      <c r="M1937" t="s">
        <v>1483</v>
      </c>
      <c r="N1937" t="s">
        <v>1484</v>
      </c>
      <c r="O1937" t="s">
        <v>1484</v>
      </c>
      <c r="P1937">
        <v>68010</v>
      </c>
      <c r="Q1937" t="str">
        <f>"41.421556"</f>
        <v>41.421556</v>
      </c>
      <c r="R1937" t="str">
        <f>"26.226043"</f>
        <v>26.226043</v>
      </c>
      <c r="S1937" t="s">
        <v>57</v>
      </c>
    </row>
    <row r="1938" spans="1:19" x14ac:dyDescent="0.3">
      <c r="A1938" t="s">
        <v>19</v>
      </c>
      <c r="B1938" t="s">
        <v>1165</v>
      </c>
      <c r="C1938" t="s">
        <v>1492</v>
      </c>
      <c r="D1938" t="s">
        <v>27</v>
      </c>
      <c r="E1938" t="s">
        <v>289</v>
      </c>
      <c r="F1938" t="s">
        <v>289</v>
      </c>
      <c r="G1938" t="s">
        <v>289</v>
      </c>
      <c r="H1938" t="s">
        <v>868</v>
      </c>
      <c r="I1938" t="s">
        <v>950</v>
      </c>
      <c r="J1938" t="str">
        <f>"9110057"</f>
        <v>9110057</v>
      </c>
      <c r="K1938">
        <v>2551095238</v>
      </c>
      <c r="L1938">
        <v>2551095275</v>
      </c>
      <c r="M1938" t="s">
        <v>1493</v>
      </c>
      <c r="N1938" t="s">
        <v>1494</v>
      </c>
      <c r="O1938" t="s">
        <v>1494</v>
      </c>
      <c r="P1938">
        <v>68002</v>
      </c>
      <c r="Q1938" t="str">
        <f>"40.427227"</f>
        <v>40.427227</v>
      </c>
      <c r="R1938" t="str">
        <f>"25.529740"</f>
        <v>25.529740</v>
      </c>
      <c r="S1938" t="s">
        <v>57</v>
      </c>
    </row>
    <row r="1939" spans="1:19" x14ac:dyDescent="0.3">
      <c r="A1939" t="s">
        <v>19</v>
      </c>
      <c r="B1939" t="s">
        <v>1165</v>
      </c>
      <c r="C1939" t="s">
        <v>294</v>
      </c>
      <c r="D1939" t="s">
        <v>27</v>
      </c>
      <c r="E1939" t="s">
        <v>289</v>
      </c>
      <c r="F1939" t="s">
        <v>289</v>
      </c>
      <c r="G1939" t="s">
        <v>289</v>
      </c>
      <c r="H1939" t="s">
        <v>868</v>
      </c>
      <c r="I1939" t="s">
        <v>869</v>
      </c>
      <c r="J1939" t="str">
        <f>"9110055"</f>
        <v>9110055</v>
      </c>
      <c r="K1939">
        <v>2551041093</v>
      </c>
      <c r="L1939">
        <v>2551041093</v>
      </c>
      <c r="M1939" t="s">
        <v>1504</v>
      </c>
      <c r="N1939" t="s">
        <v>1505</v>
      </c>
      <c r="O1939" t="s">
        <v>1506</v>
      </c>
      <c r="P1939">
        <v>68002</v>
      </c>
      <c r="Q1939" t="str">
        <f>"40.475638"</f>
        <v>40.475638</v>
      </c>
      <c r="R1939" t="str">
        <f>"25.474094"</f>
        <v>25.474094</v>
      </c>
      <c r="S1939" t="s">
        <v>57</v>
      </c>
    </row>
    <row r="1940" spans="1:19" x14ac:dyDescent="0.3">
      <c r="A1940" t="s">
        <v>19</v>
      </c>
      <c r="B1940" t="s">
        <v>1165</v>
      </c>
      <c r="C1940" t="s">
        <v>388</v>
      </c>
      <c r="D1940" t="s">
        <v>27</v>
      </c>
      <c r="E1940" t="s">
        <v>264</v>
      </c>
      <c r="F1940" t="s">
        <v>384</v>
      </c>
      <c r="G1940" t="s">
        <v>384</v>
      </c>
      <c r="H1940" t="s">
        <v>868</v>
      </c>
      <c r="I1940" t="s">
        <v>869</v>
      </c>
      <c r="J1940" t="str">
        <f>"9110241"</f>
        <v>9110241</v>
      </c>
      <c r="K1940">
        <v>2554041242</v>
      </c>
      <c r="L1940">
        <v>2554041242</v>
      </c>
      <c r="M1940" t="s">
        <v>1520</v>
      </c>
      <c r="N1940" t="s">
        <v>387</v>
      </c>
      <c r="O1940" t="s">
        <v>1521</v>
      </c>
      <c r="P1940">
        <v>68003</v>
      </c>
      <c r="Q1940" t="str">
        <f>"41.025540"</f>
        <v>41.025540</v>
      </c>
      <c r="R1940" t="str">
        <f>"26.295644"</f>
        <v>26.295644</v>
      </c>
      <c r="S1940" t="s">
        <v>26</v>
      </c>
    </row>
    <row r="1941" spans="1:19" x14ac:dyDescent="0.3">
      <c r="A1941" t="s">
        <v>19</v>
      </c>
      <c r="B1941" t="s">
        <v>1165</v>
      </c>
      <c r="C1941" t="s">
        <v>1522</v>
      </c>
      <c r="D1941" t="s">
        <v>27</v>
      </c>
      <c r="E1941" t="s">
        <v>28</v>
      </c>
      <c r="F1941" t="s">
        <v>203</v>
      </c>
      <c r="G1941" t="s">
        <v>203</v>
      </c>
      <c r="H1941" t="s">
        <v>868</v>
      </c>
      <c r="I1941" t="s">
        <v>869</v>
      </c>
      <c r="J1941" t="str">
        <f>"9110048"</f>
        <v>9110048</v>
      </c>
      <c r="K1941">
        <v>2555022296</v>
      </c>
      <c r="L1941">
        <v>2555022296</v>
      </c>
      <c r="M1941" t="s">
        <v>1523</v>
      </c>
      <c r="N1941" t="s">
        <v>203</v>
      </c>
      <c r="O1941" t="s">
        <v>1524</v>
      </c>
      <c r="P1941">
        <v>68500</v>
      </c>
      <c r="Q1941" t="str">
        <f>"40.888551"</f>
        <v>40.888551</v>
      </c>
      <c r="R1941" t="str">
        <f>"26.174748"</f>
        <v>26.174748</v>
      </c>
      <c r="S1941" t="s">
        <v>26</v>
      </c>
    </row>
    <row r="1942" spans="1:19" x14ac:dyDescent="0.3">
      <c r="A1942" t="s">
        <v>19</v>
      </c>
      <c r="B1942" t="s">
        <v>1165</v>
      </c>
      <c r="C1942" t="s">
        <v>216</v>
      </c>
      <c r="D1942" t="s">
        <v>27</v>
      </c>
      <c r="E1942" t="s">
        <v>28</v>
      </c>
      <c r="F1942" t="s">
        <v>28</v>
      </c>
      <c r="G1942" t="s">
        <v>28</v>
      </c>
      <c r="H1942" t="s">
        <v>868</v>
      </c>
      <c r="I1942" t="s">
        <v>869</v>
      </c>
      <c r="J1942" t="str">
        <f>"9110016"</f>
        <v>9110016</v>
      </c>
      <c r="K1942">
        <v>2551026017</v>
      </c>
      <c r="L1942">
        <v>2551026062</v>
      </c>
      <c r="M1942" t="s">
        <v>1529</v>
      </c>
      <c r="N1942" t="s">
        <v>31</v>
      </c>
      <c r="O1942" t="s">
        <v>1453</v>
      </c>
      <c r="P1942">
        <v>68132</v>
      </c>
      <c r="Q1942" t="str">
        <f>"40.857085"</f>
        <v>40.857085</v>
      </c>
      <c r="R1942" t="str">
        <f>"25.872429"</f>
        <v>25.872429</v>
      </c>
      <c r="S1942" t="s">
        <v>26</v>
      </c>
    </row>
    <row r="1943" spans="1:19" x14ac:dyDescent="0.3">
      <c r="A1943" t="s">
        <v>19</v>
      </c>
      <c r="B1943" t="s">
        <v>1165</v>
      </c>
      <c r="C1943" t="s">
        <v>212</v>
      </c>
      <c r="D1943" t="s">
        <v>27</v>
      </c>
      <c r="E1943" t="s">
        <v>28</v>
      </c>
      <c r="F1943" t="s">
        <v>28</v>
      </c>
      <c r="G1943" t="s">
        <v>28</v>
      </c>
      <c r="H1943" t="s">
        <v>868</v>
      </c>
      <c r="I1943" t="s">
        <v>869</v>
      </c>
      <c r="J1943" t="str">
        <f>"9110350"</f>
        <v>9110350</v>
      </c>
      <c r="K1943">
        <v>2551023507</v>
      </c>
      <c r="L1943">
        <v>2551023517</v>
      </c>
      <c r="M1943" t="s">
        <v>1530</v>
      </c>
      <c r="N1943" t="s">
        <v>31</v>
      </c>
      <c r="O1943" t="s">
        <v>1531</v>
      </c>
      <c r="P1943">
        <v>68132</v>
      </c>
      <c r="Q1943" t="str">
        <f>"40.852017"</f>
        <v>40.852017</v>
      </c>
      <c r="R1943" t="str">
        <f>"25.873829"</f>
        <v>25.873829</v>
      </c>
      <c r="S1943" t="s">
        <v>26</v>
      </c>
    </row>
    <row r="1944" spans="1:19" x14ac:dyDescent="0.3">
      <c r="A1944" t="s">
        <v>19</v>
      </c>
      <c r="B1944" t="s">
        <v>1165</v>
      </c>
      <c r="C1944" t="s">
        <v>1532</v>
      </c>
      <c r="D1944" t="s">
        <v>27</v>
      </c>
      <c r="E1944" t="s">
        <v>28</v>
      </c>
      <c r="F1944" t="s">
        <v>28</v>
      </c>
      <c r="G1944" t="s">
        <v>28</v>
      </c>
      <c r="H1944" t="s">
        <v>868</v>
      </c>
      <c r="I1944" t="s">
        <v>869</v>
      </c>
      <c r="J1944" t="str">
        <f>"9110382"</f>
        <v>9110382</v>
      </c>
      <c r="K1944">
        <v>2551027224</v>
      </c>
      <c r="L1944">
        <v>2551027224</v>
      </c>
      <c r="M1944" t="s">
        <v>1533</v>
      </c>
      <c r="N1944" t="s">
        <v>31</v>
      </c>
      <c r="O1944" t="s">
        <v>1534</v>
      </c>
      <c r="P1944">
        <v>68133</v>
      </c>
      <c r="Q1944" t="str">
        <f>"40.854334"</f>
        <v>40.854334</v>
      </c>
      <c r="R1944" t="str">
        <f>"25.888284"</f>
        <v>25.888284</v>
      </c>
      <c r="S1944" t="s">
        <v>26</v>
      </c>
    </row>
    <row r="1945" spans="1:19" x14ac:dyDescent="0.3">
      <c r="A1945" t="s">
        <v>19</v>
      </c>
      <c r="B1945" t="s">
        <v>1165</v>
      </c>
      <c r="C1945" t="s">
        <v>242</v>
      </c>
      <c r="D1945" t="s">
        <v>27</v>
      </c>
      <c r="E1945" t="s">
        <v>221</v>
      </c>
      <c r="F1945" t="s">
        <v>221</v>
      </c>
      <c r="G1945" t="s">
        <v>221</v>
      </c>
      <c r="H1945" t="s">
        <v>868</v>
      </c>
      <c r="I1945" t="s">
        <v>869</v>
      </c>
      <c r="J1945" t="str">
        <f>"9110345"</f>
        <v>9110345</v>
      </c>
      <c r="K1945">
        <v>2552029352</v>
      </c>
      <c r="L1945">
        <v>2552024190</v>
      </c>
      <c r="M1945" t="s">
        <v>1535</v>
      </c>
      <c r="N1945" t="s">
        <v>224</v>
      </c>
      <c r="O1945" t="s">
        <v>1536</v>
      </c>
      <c r="P1945">
        <v>68200</v>
      </c>
      <c r="Q1945" t="str">
        <f>"41.498665"</f>
        <v>41.498665</v>
      </c>
      <c r="R1945" t="str">
        <f>"26.522158"</f>
        <v>26.522158</v>
      </c>
      <c r="S1945" t="s">
        <v>26</v>
      </c>
    </row>
    <row r="1946" spans="1:19" x14ac:dyDescent="0.3">
      <c r="A1946" t="s">
        <v>19</v>
      </c>
      <c r="B1946" t="s">
        <v>1165</v>
      </c>
      <c r="C1946" t="s">
        <v>1538</v>
      </c>
      <c r="D1946" t="s">
        <v>27</v>
      </c>
      <c r="E1946" t="s">
        <v>264</v>
      </c>
      <c r="F1946" t="s">
        <v>264</v>
      </c>
      <c r="G1946" t="s">
        <v>264</v>
      </c>
      <c r="H1946" t="s">
        <v>868</v>
      </c>
      <c r="I1946" t="s">
        <v>869</v>
      </c>
      <c r="J1946" t="str">
        <f>"9110134"</f>
        <v>9110134</v>
      </c>
      <c r="K1946">
        <v>2554022490</v>
      </c>
      <c r="L1946">
        <v>2554022490</v>
      </c>
      <c r="M1946" t="s">
        <v>1539</v>
      </c>
      <c r="N1946" t="s">
        <v>327</v>
      </c>
      <c r="O1946" t="s">
        <v>1540</v>
      </c>
      <c r="P1946">
        <v>68400</v>
      </c>
      <c r="Q1946" t="str">
        <f>"41.198832"</f>
        <v>41.198832</v>
      </c>
      <c r="R1946" t="str">
        <f>"26.295574"</f>
        <v>26.295574</v>
      </c>
      <c r="S1946" t="s">
        <v>26</v>
      </c>
    </row>
    <row r="1947" spans="1:19" x14ac:dyDescent="0.3">
      <c r="A1947" t="s">
        <v>19</v>
      </c>
      <c r="B1947" t="s">
        <v>1165</v>
      </c>
      <c r="C1947" t="s">
        <v>269</v>
      </c>
      <c r="D1947" t="s">
        <v>27</v>
      </c>
      <c r="E1947" t="s">
        <v>264</v>
      </c>
      <c r="F1947" t="s">
        <v>264</v>
      </c>
      <c r="G1947" t="s">
        <v>264</v>
      </c>
      <c r="H1947" t="s">
        <v>868</v>
      </c>
      <c r="I1947" t="s">
        <v>869</v>
      </c>
      <c r="J1947" t="str">
        <f>"9110135"</f>
        <v>9110135</v>
      </c>
      <c r="K1947">
        <v>2554022225</v>
      </c>
      <c r="L1947">
        <v>2554022225</v>
      </c>
      <c r="M1947" t="s">
        <v>1541</v>
      </c>
      <c r="N1947" t="s">
        <v>327</v>
      </c>
      <c r="O1947" t="s">
        <v>1542</v>
      </c>
      <c r="P1947">
        <v>68400</v>
      </c>
      <c r="Q1947" t="str">
        <f>"41.193410"</f>
        <v>41.193410</v>
      </c>
      <c r="R1947" t="str">
        <f>"26.299010"</f>
        <v>26.299010</v>
      </c>
      <c r="S1947" t="s">
        <v>26</v>
      </c>
    </row>
    <row r="1948" spans="1:19" x14ac:dyDescent="0.3">
      <c r="A1948" t="s">
        <v>19</v>
      </c>
      <c r="B1948" t="s">
        <v>1165</v>
      </c>
      <c r="C1948" t="s">
        <v>355</v>
      </c>
      <c r="D1948" t="s">
        <v>27</v>
      </c>
      <c r="E1948" t="s">
        <v>28</v>
      </c>
      <c r="F1948" t="s">
        <v>349</v>
      </c>
      <c r="G1948" t="s">
        <v>350</v>
      </c>
      <c r="H1948" t="s">
        <v>868</v>
      </c>
      <c r="I1948" t="s">
        <v>869</v>
      </c>
      <c r="J1948" t="str">
        <f>"9110025"</f>
        <v>9110025</v>
      </c>
      <c r="K1948">
        <v>2551051212</v>
      </c>
      <c r="L1948">
        <v>2551051212</v>
      </c>
      <c r="M1948" t="s">
        <v>1543</v>
      </c>
      <c r="O1948" t="s">
        <v>1544</v>
      </c>
      <c r="P1948">
        <v>68100</v>
      </c>
      <c r="Q1948" t="str">
        <f>"40.872506"</f>
        <v>40.872506</v>
      </c>
      <c r="R1948" t="str">
        <f>"25.994001"</f>
        <v>25.994001</v>
      </c>
      <c r="S1948" t="s">
        <v>26</v>
      </c>
    </row>
    <row r="1949" spans="1:19" x14ac:dyDescent="0.3">
      <c r="A1949" t="s">
        <v>19</v>
      </c>
      <c r="B1949" t="s">
        <v>1165</v>
      </c>
      <c r="C1949" t="s">
        <v>1546</v>
      </c>
      <c r="D1949" t="s">
        <v>27</v>
      </c>
      <c r="E1949" t="s">
        <v>28</v>
      </c>
      <c r="F1949" t="s">
        <v>28</v>
      </c>
      <c r="G1949" t="s">
        <v>28</v>
      </c>
      <c r="H1949" t="s">
        <v>868</v>
      </c>
      <c r="I1949" t="s">
        <v>869</v>
      </c>
      <c r="J1949" t="str">
        <f>"9110014"</f>
        <v>9110014</v>
      </c>
      <c r="K1949">
        <v>2551045106</v>
      </c>
      <c r="L1949">
        <v>2551045106</v>
      </c>
      <c r="M1949" t="s">
        <v>1547</v>
      </c>
      <c r="N1949" t="s">
        <v>1548</v>
      </c>
      <c r="O1949" t="s">
        <v>1478</v>
      </c>
      <c r="P1949">
        <v>68100</v>
      </c>
      <c r="Q1949" t="str">
        <f>"40.859267"</f>
        <v>40.859267</v>
      </c>
      <c r="R1949" t="str">
        <f>"25.938368"</f>
        <v>25.938368</v>
      </c>
      <c r="S1949" t="s">
        <v>26</v>
      </c>
    </row>
    <row r="1950" spans="1:19" x14ac:dyDescent="0.3">
      <c r="A1950" t="s">
        <v>19</v>
      </c>
      <c r="B1950" t="s">
        <v>1165</v>
      </c>
      <c r="C1950" t="s">
        <v>1549</v>
      </c>
      <c r="D1950" t="s">
        <v>27</v>
      </c>
      <c r="E1950" t="s">
        <v>28</v>
      </c>
      <c r="F1950" t="s">
        <v>203</v>
      </c>
      <c r="G1950" t="s">
        <v>1516</v>
      </c>
      <c r="H1950" t="s">
        <v>868</v>
      </c>
      <c r="I1950" t="s">
        <v>950</v>
      </c>
      <c r="J1950" t="str">
        <f>"9110236"</f>
        <v>9110236</v>
      </c>
      <c r="K1950">
        <v>2555031226</v>
      </c>
      <c r="L1950">
        <v>2555031226</v>
      </c>
      <c r="M1950" t="s">
        <v>1550</v>
      </c>
      <c r="N1950" t="s">
        <v>1519</v>
      </c>
      <c r="P1950">
        <v>68500</v>
      </c>
      <c r="Q1950" t="str">
        <f>"40.958521"</f>
        <v>40.958521</v>
      </c>
      <c r="R1950" t="str">
        <f>"26.268254"</f>
        <v>26.268254</v>
      </c>
      <c r="S1950" t="s">
        <v>26</v>
      </c>
    </row>
    <row r="1951" spans="1:19" x14ac:dyDescent="0.3">
      <c r="A1951" t="s">
        <v>19</v>
      </c>
      <c r="B1951" t="s">
        <v>1165</v>
      </c>
      <c r="C1951" t="s">
        <v>208</v>
      </c>
      <c r="D1951" t="s">
        <v>27</v>
      </c>
      <c r="E1951" t="s">
        <v>28</v>
      </c>
      <c r="F1951" t="s">
        <v>203</v>
      </c>
      <c r="G1951" t="s">
        <v>203</v>
      </c>
      <c r="H1951" t="s">
        <v>868</v>
      </c>
      <c r="I1951" t="s">
        <v>869</v>
      </c>
      <c r="J1951" t="str">
        <f>"9110047"</f>
        <v>9110047</v>
      </c>
      <c r="K1951">
        <v>2555022377</v>
      </c>
      <c r="L1951">
        <v>2555022377</v>
      </c>
      <c r="M1951" t="s">
        <v>1553</v>
      </c>
      <c r="N1951" t="s">
        <v>1554</v>
      </c>
      <c r="O1951" t="s">
        <v>1555</v>
      </c>
      <c r="P1951">
        <v>68500</v>
      </c>
      <c r="Q1951" t="str">
        <f>"40.895476"</f>
        <v>40.895476</v>
      </c>
      <c r="R1951" t="str">
        <f>"26.172446"</f>
        <v>26.172446</v>
      </c>
      <c r="S1951" t="s">
        <v>26</v>
      </c>
    </row>
    <row r="1952" spans="1:19" x14ac:dyDescent="0.3">
      <c r="A1952" t="s">
        <v>19</v>
      </c>
      <c r="B1952" t="s">
        <v>1165</v>
      </c>
      <c r="C1952" t="s">
        <v>1556</v>
      </c>
      <c r="D1952" t="s">
        <v>27</v>
      </c>
      <c r="E1952" t="s">
        <v>28</v>
      </c>
      <c r="F1952" t="s">
        <v>203</v>
      </c>
      <c r="G1952" t="s">
        <v>203</v>
      </c>
      <c r="H1952" t="s">
        <v>868</v>
      </c>
      <c r="I1952" t="s">
        <v>869</v>
      </c>
      <c r="J1952" t="str">
        <f>"9110049"</f>
        <v>9110049</v>
      </c>
      <c r="K1952">
        <v>2555022571</v>
      </c>
      <c r="L1952">
        <v>2555022571</v>
      </c>
      <c r="M1952" t="s">
        <v>1557</v>
      </c>
      <c r="N1952" t="s">
        <v>203</v>
      </c>
      <c r="O1952" t="s">
        <v>1558</v>
      </c>
      <c r="P1952">
        <v>68500</v>
      </c>
      <c r="Q1952" t="str">
        <f>"40.889206"</f>
        <v>40.889206</v>
      </c>
      <c r="R1952" t="str">
        <f>"26.161148"</f>
        <v>26.161148</v>
      </c>
      <c r="S1952" t="s">
        <v>26</v>
      </c>
    </row>
    <row r="1953" spans="1:19" x14ac:dyDescent="0.3">
      <c r="A1953" t="s">
        <v>19</v>
      </c>
      <c r="B1953" t="s">
        <v>1165</v>
      </c>
      <c r="C1953" t="s">
        <v>1562</v>
      </c>
      <c r="D1953" t="s">
        <v>27</v>
      </c>
      <c r="E1953" t="s">
        <v>28</v>
      </c>
      <c r="F1953" t="s">
        <v>28</v>
      </c>
      <c r="G1953" t="s">
        <v>28</v>
      </c>
      <c r="H1953" t="s">
        <v>868</v>
      </c>
      <c r="I1953" t="s">
        <v>869</v>
      </c>
      <c r="J1953" t="str">
        <f>"9110283"</f>
        <v>9110283</v>
      </c>
      <c r="K1953">
        <v>2551084304</v>
      </c>
      <c r="L1953">
        <v>2551084304</v>
      </c>
      <c r="M1953" t="s">
        <v>1563</v>
      </c>
      <c r="N1953" t="s">
        <v>31</v>
      </c>
      <c r="O1953" t="s">
        <v>1564</v>
      </c>
      <c r="P1953">
        <v>68131</v>
      </c>
      <c r="Q1953" t="str">
        <f>"40.846628"</f>
        <v>40.846628</v>
      </c>
      <c r="R1953" t="str">
        <f>"25.866935"</f>
        <v>25.866935</v>
      </c>
      <c r="S1953" t="s">
        <v>26</v>
      </c>
    </row>
    <row r="1954" spans="1:19" x14ac:dyDescent="0.3">
      <c r="A1954" t="s">
        <v>19</v>
      </c>
      <c r="B1954" t="s">
        <v>1165</v>
      </c>
      <c r="C1954" t="s">
        <v>220</v>
      </c>
      <c r="D1954" t="s">
        <v>27</v>
      </c>
      <c r="E1954" t="s">
        <v>28</v>
      </c>
      <c r="F1954" t="s">
        <v>28</v>
      </c>
      <c r="G1954" t="s">
        <v>28</v>
      </c>
      <c r="H1954" t="s">
        <v>868</v>
      </c>
      <c r="I1954" t="s">
        <v>869</v>
      </c>
      <c r="J1954" t="str">
        <f>"9110250"</f>
        <v>9110250</v>
      </c>
      <c r="K1954">
        <v>2551023143</v>
      </c>
      <c r="L1954">
        <v>2551023143</v>
      </c>
      <c r="M1954" t="s">
        <v>1565</v>
      </c>
      <c r="N1954" t="s">
        <v>28</v>
      </c>
      <c r="O1954" t="s">
        <v>1566</v>
      </c>
      <c r="P1954">
        <v>68131</v>
      </c>
      <c r="Q1954" t="str">
        <f>"40.846821"</f>
        <v>40.846821</v>
      </c>
      <c r="R1954" t="str">
        <f>"25.862209"</f>
        <v>25.862209</v>
      </c>
      <c r="S1954" t="s">
        <v>26</v>
      </c>
    </row>
    <row r="1955" spans="1:19" x14ac:dyDescent="0.3">
      <c r="A1955" t="s">
        <v>19</v>
      </c>
      <c r="B1955" t="s">
        <v>1165</v>
      </c>
      <c r="C1955" t="s">
        <v>1567</v>
      </c>
      <c r="D1955" t="s">
        <v>27</v>
      </c>
      <c r="E1955" t="s">
        <v>28</v>
      </c>
      <c r="F1955" t="s">
        <v>28</v>
      </c>
      <c r="G1955" t="s">
        <v>28</v>
      </c>
      <c r="H1955" t="s">
        <v>868</v>
      </c>
      <c r="I1955" t="s">
        <v>869</v>
      </c>
      <c r="J1955" t="str">
        <f>"9110284"</f>
        <v>9110284</v>
      </c>
      <c r="K1955">
        <v>2551027895</v>
      </c>
      <c r="L1955">
        <v>2551027895</v>
      </c>
      <c r="M1955" t="s">
        <v>1568</v>
      </c>
      <c r="N1955" t="s">
        <v>1569</v>
      </c>
      <c r="O1955" t="s">
        <v>1570</v>
      </c>
      <c r="P1955">
        <v>68131</v>
      </c>
      <c r="Q1955" t="str">
        <f>"40.846790"</f>
        <v>40.846790</v>
      </c>
      <c r="R1955" t="str">
        <f>"25.865932"</f>
        <v>25.865932</v>
      </c>
      <c r="S1955" t="s">
        <v>26</v>
      </c>
    </row>
    <row r="1956" spans="1:19" x14ac:dyDescent="0.3">
      <c r="A1956" t="s">
        <v>19</v>
      </c>
      <c r="B1956" t="s">
        <v>1165</v>
      </c>
      <c r="C1956" t="s">
        <v>1571</v>
      </c>
      <c r="D1956" t="s">
        <v>27</v>
      </c>
      <c r="E1956" t="s">
        <v>28</v>
      </c>
      <c r="F1956" t="s">
        <v>28</v>
      </c>
      <c r="G1956" t="s">
        <v>28</v>
      </c>
      <c r="H1956" t="s">
        <v>868</v>
      </c>
      <c r="I1956" t="s">
        <v>869</v>
      </c>
      <c r="J1956" t="str">
        <f>"9520820"</f>
        <v>9520820</v>
      </c>
      <c r="K1956">
        <v>2551089913</v>
      </c>
      <c r="L1956">
        <v>2551089913</v>
      </c>
      <c r="M1956" t="s">
        <v>1572</v>
      </c>
      <c r="N1956" t="s">
        <v>31</v>
      </c>
      <c r="O1956" t="s">
        <v>1573</v>
      </c>
      <c r="P1956">
        <v>68133</v>
      </c>
      <c r="Q1956" t="str">
        <f>"40.853658"</f>
        <v>40.853658</v>
      </c>
      <c r="R1956" t="str">
        <f>"25.891430"</f>
        <v>25.891430</v>
      </c>
      <c r="S1956" t="s">
        <v>26</v>
      </c>
    </row>
    <row r="1957" spans="1:19" x14ac:dyDescent="0.3">
      <c r="A1957" t="s">
        <v>19</v>
      </c>
      <c r="B1957" t="s">
        <v>1165</v>
      </c>
      <c r="C1957" t="s">
        <v>1574</v>
      </c>
      <c r="D1957" t="s">
        <v>27</v>
      </c>
      <c r="E1957" t="s">
        <v>248</v>
      </c>
      <c r="F1957" t="s">
        <v>248</v>
      </c>
      <c r="G1957" t="s">
        <v>248</v>
      </c>
      <c r="H1957" t="s">
        <v>868</v>
      </c>
      <c r="I1957" t="s">
        <v>1222</v>
      </c>
      <c r="J1957" t="str">
        <f>"9110063"</f>
        <v>9110063</v>
      </c>
      <c r="K1957">
        <v>2553024954</v>
      </c>
      <c r="L1957">
        <v>2553024954</v>
      </c>
      <c r="M1957" t="s">
        <v>1575</v>
      </c>
      <c r="N1957" t="s">
        <v>248</v>
      </c>
      <c r="O1957" t="s">
        <v>1576</v>
      </c>
      <c r="P1957">
        <v>68300</v>
      </c>
      <c r="Q1957" t="str">
        <f>"41.346636"</f>
        <v>41.346636</v>
      </c>
      <c r="R1957" t="str">
        <f>"26.492574"</f>
        <v>26.492574</v>
      </c>
      <c r="S1957" t="s">
        <v>26</v>
      </c>
    </row>
    <row r="1958" spans="1:19" x14ac:dyDescent="0.3">
      <c r="A1958" t="s">
        <v>19</v>
      </c>
      <c r="B1958" t="s">
        <v>1165</v>
      </c>
      <c r="C1958" t="s">
        <v>1577</v>
      </c>
      <c r="D1958" t="s">
        <v>27</v>
      </c>
      <c r="E1958" t="s">
        <v>264</v>
      </c>
      <c r="F1958" t="s">
        <v>264</v>
      </c>
      <c r="G1958" t="s">
        <v>264</v>
      </c>
      <c r="H1958" t="s">
        <v>868</v>
      </c>
      <c r="I1958" t="s">
        <v>1222</v>
      </c>
      <c r="J1958" t="str">
        <f>"9110116"</f>
        <v>9110116</v>
      </c>
      <c r="K1958">
        <v>2554034320</v>
      </c>
      <c r="L1958">
        <v>2554034320</v>
      </c>
      <c r="M1958" t="s">
        <v>1578</v>
      </c>
      <c r="N1958" t="s">
        <v>1294</v>
      </c>
      <c r="O1958" t="s">
        <v>1295</v>
      </c>
      <c r="P1958">
        <v>68400</v>
      </c>
      <c r="Q1958" t="str">
        <f>"41.246131"</f>
        <v>41.246131</v>
      </c>
      <c r="R1958" t="str">
        <f>"26.134230"</f>
        <v>26.134230</v>
      </c>
      <c r="S1958" t="s">
        <v>26</v>
      </c>
    </row>
    <row r="1959" spans="1:19" x14ac:dyDescent="0.3">
      <c r="A1959" t="s">
        <v>19</v>
      </c>
      <c r="B1959" t="s">
        <v>1165</v>
      </c>
      <c r="C1959" t="s">
        <v>1585</v>
      </c>
      <c r="D1959" t="s">
        <v>27</v>
      </c>
      <c r="E1959" t="s">
        <v>248</v>
      </c>
      <c r="F1959" t="s">
        <v>248</v>
      </c>
      <c r="G1959" t="s">
        <v>248</v>
      </c>
      <c r="H1959" t="s">
        <v>868</v>
      </c>
      <c r="I1959" t="s">
        <v>869</v>
      </c>
      <c r="J1959" t="str">
        <f>"9521082"</f>
        <v>9521082</v>
      </c>
      <c r="K1959">
        <v>2553020200</v>
      </c>
      <c r="L1959">
        <v>2553020200</v>
      </c>
      <c r="M1959" t="s">
        <v>1586</v>
      </c>
      <c r="N1959" t="s">
        <v>251</v>
      </c>
      <c r="O1959" t="s">
        <v>1249</v>
      </c>
      <c r="P1959">
        <v>68300</v>
      </c>
      <c r="Q1959" t="str">
        <f>"41.355097"</f>
        <v>41.355097</v>
      </c>
      <c r="R1959" t="str">
        <f>"26.505557"</f>
        <v>26.505557</v>
      </c>
      <c r="S1959" t="s">
        <v>26</v>
      </c>
    </row>
    <row r="1960" spans="1:19" x14ac:dyDescent="0.3">
      <c r="A1960" t="s">
        <v>19</v>
      </c>
      <c r="B1960" t="s">
        <v>1165</v>
      </c>
      <c r="C1960" t="s">
        <v>1603</v>
      </c>
      <c r="D1960" t="s">
        <v>27</v>
      </c>
      <c r="E1960" t="s">
        <v>28</v>
      </c>
      <c r="F1960" t="s">
        <v>28</v>
      </c>
      <c r="G1960" t="s">
        <v>28</v>
      </c>
      <c r="H1960" t="s">
        <v>868</v>
      </c>
      <c r="I1960" t="s">
        <v>1602</v>
      </c>
      <c r="J1960" t="str">
        <f>"9110248"</f>
        <v>9110248</v>
      </c>
      <c r="K1960">
        <v>2551024443</v>
      </c>
      <c r="L1960">
        <v>2551024651</v>
      </c>
      <c r="M1960" t="s">
        <v>1604</v>
      </c>
      <c r="N1960" t="s">
        <v>31</v>
      </c>
      <c r="O1960" t="s">
        <v>1605</v>
      </c>
      <c r="P1960">
        <v>68131</v>
      </c>
      <c r="Q1960" t="str">
        <f>"40.843378"</f>
        <v>40.843378</v>
      </c>
      <c r="R1960" t="str">
        <f>"25.871994"</f>
        <v>25.871994</v>
      </c>
      <c r="S1960" t="s">
        <v>26</v>
      </c>
    </row>
    <row r="1961" spans="1:19" x14ac:dyDescent="0.3">
      <c r="A1961" t="s">
        <v>19</v>
      </c>
      <c r="B1961" t="s">
        <v>1165</v>
      </c>
      <c r="C1961" t="s">
        <v>1606</v>
      </c>
      <c r="D1961" t="s">
        <v>27</v>
      </c>
      <c r="E1961" t="s">
        <v>221</v>
      </c>
      <c r="F1961" t="s">
        <v>221</v>
      </c>
      <c r="G1961" t="s">
        <v>1525</v>
      </c>
      <c r="H1961" t="s">
        <v>868</v>
      </c>
      <c r="I1961" t="s">
        <v>1157</v>
      </c>
      <c r="J1961" t="str">
        <f>"9110349"</f>
        <v>9110349</v>
      </c>
      <c r="K1961">
        <v>2552028595</v>
      </c>
      <c r="L1961">
        <v>2552110158</v>
      </c>
      <c r="M1961" t="s">
        <v>1607</v>
      </c>
      <c r="N1961" t="s">
        <v>224</v>
      </c>
      <c r="O1961" t="s">
        <v>1608</v>
      </c>
      <c r="P1961">
        <v>68200</v>
      </c>
      <c r="Q1961" t="str">
        <f>"41.434510"</f>
        <v>41.434510</v>
      </c>
      <c r="R1961" t="str">
        <f>"26.557760"</f>
        <v>26.557760</v>
      </c>
      <c r="S1961" t="s">
        <v>26</v>
      </c>
    </row>
    <row r="1962" spans="1:19" x14ac:dyDescent="0.3">
      <c r="A1962" t="s">
        <v>19</v>
      </c>
      <c r="B1962" t="s">
        <v>1165</v>
      </c>
      <c r="C1962" t="s">
        <v>1609</v>
      </c>
      <c r="D1962" t="s">
        <v>27</v>
      </c>
      <c r="E1962" t="s">
        <v>28</v>
      </c>
      <c r="F1962" t="s">
        <v>349</v>
      </c>
      <c r="G1962" t="s">
        <v>1460</v>
      </c>
      <c r="H1962" t="s">
        <v>868</v>
      </c>
      <c r="I1962" t="s">
        <v>950</v>
      </c>
      <c r="J1962" t="str">
        <f>"9110034"</f>
        <v>9110034</v>
      </c>
      <c r="K1962">
        <v>2551061261</v>
      </c>
      <c r="L1962">
        <v>2551061261</v>
      </c>
      <c r="M1962" t="s">
        <v>1610</v>
      </c>
      <c r="N1962" t="s">
        <v>1460</v>
      </c>
      <c r="O1962" t="s">
        <v>1611</v>
      </c>
      <c r="P1962">
        <v>68100</v>
      </c>
      <c r="Q1962" t="str">
        <f>"40.879983"</f>
        <v>40.879983</v>
      </c>
      <c r="R1962" t="str">
        <f>"26.044855"</f>
        <v>26.044855</v>
      </c>
      <c r="S1962" t="s">
        <v>26</v>
      </c>
    </row>
    <row r="1963" spans="1:19" x14ac:dyDescent="0.3">
      <c r="A1963" t="s">
        <v>19</v>
      </c>
      <c r="B1963" t="s">
        <v>1165</v>
      </c>
      <c r="C1963" t="s">
        <v>1612</v>
      </c>
      <c r="D1963" t="s">
        <v>27</v>
      </c>
      <c r="E1963" t="s">
        <v>28</v>
      </c>
      <c r="F1963" t="s">
        <v>28</v>
      </c>
      <c r="G1963" t="s">
        <v>28</v>
      </c>
      <c r="H1963" t="s">
        <v>868</v>
      </c>
      <c r="I1963" t="s">
        <v>869</v>
      </c>
      <c r="J1963" t="str">
        <f>"9521271"</f>
        <v>9521271</v>
      </c>
      <c r="N1963" t="s">
        <v>28</v>
      </c>
      <c r="O1963" t="s">
        <v>31</v>
      </c>
      <c r="P1963">
        <v>0</v>
      </c>
      <c r="Q1963" t="str">
        <f>""</f>
        <v/>
      </c>
      <c r="R1963" t="str">
        <f>""</f>
        <v/>
      </c>
      <c r="S1963" t="s">
        <v>26</v>
      </c>
    </row>
    <row r="1964" spans="1:19" x14ac:dyDescent="0.3">
      <c r="A1964" t="s">
        <v>19</v>
      </c>
      <c r="B1964" t="s">
        <v>1165</v>
      </c>
      <c r="C1964" t="s">
        <v>1624</v>
      </c>
      <c r="D1964" t="s">
        <v>27</v>
      </c>
      <c r="E1964" t="s">
        <v>28</v>
      </c>
      <c r="F1964" t="s">
        <v>28</v>
      </c>
      <c r="G1964" t="s">
        <v>28</v>
      </c>
      <c r="H1964" t="s">
        <v>868</v>
      </c>
      <c r="I1964" t="s">
        <v>869</v>
      </c>
      <c r="J1964" t="str">
        <f>"9110009"</f>
        <v>9110009</v>
      </c>
      <c r="K1964">
        <v>2551026752</v>
      </c>
      <c r="L1964">
        <v>2551026752</v>
      </c>
      <c r="M1964" t="s">
        <v>1625</v>
      </c>
      <c r="N1964" t="s">
        <v>31</v>
      </c>
      <c r="O1964" t="s">
        <v>1626</v>
      </c>
      <c r="P1964">
        <v>68132</v>
      </c>
      <c r="Q1964" t="str">
        <f>"40.848423"</f>
        <v>40.848423</v>
      </c>
      <c r="R1964" t="str">
        <f>"25.876352"</f>
        <v>25.876352</v>
      </c>
      <c r="S1964" t="s">
        <v>26</v>
      </c>
    </row>
    <row r="1965" spans="1:19" x14ac:dyDescent="0.3">
      <c r="A1965" t="s">
        <v>19</v>
      </c>
      <c r="B1965" t="s">
        <v>1165</v>
      </c>
      <c r="C1965" t="s">
        <v>1630</v>
      </c>
      <c r="D1965" t="s">
        <v>27</v>
      </c>
      <c r="E1965" t="s">
        <v>28</v>
      </c>
      <c r="F1965" t="s">
        <v>28</v>
      </c>
      <c r="G1965" t="s">
        <v>1200</v>
      </c>
      <c r="H1965" t="s">
        <v>868</v>
      </c>
      <c r="I1965" t="s">
        <v>1201</v>
      </c>
      <c r="J1965" t="str">
        <f>"9110275"</f>
        <v>9110275</v>
      </c>
      <c r="N1965" t="s">
        <v>1033</v>
      </c>
      <c r="O1965" t="s">
        <v>1631</v>
      </c>
      <c r="P1965">
        <v>0</v>
      </c>
      <c r="Q1965" t="str">
        <f>""</f>
        <v/>
      </c>
      <c r="R1965" t="str">
        <f>""</f>
        <v/>
      </c>
      <c r="S1965" t="s">
        <v>26</v>
      </c>
    </row>
    <row r="1966" spans="1:19" x14ac:dyDescent="0.3">
      <c r="A1966" t="s">
        <v>19</v>
      </c>
      <c r="B1966" t="s">
        <v>1633</v>
      </c>
      <c r="C1966" t="s">
        <v>580</v>
      </c>
      <c r="D1966" t="s">
        <v>33</v>
      </c>
      <c r="E1966" t="s">
        <v>33</v>
      </c>
      <c r="F1966" t="s">
        <v>33</v>
      </c>
      <c r="G1966" t="s">
        <v>33</v>
      </c>
      <c r="H1966" t="s">
        <v>868</v>
      </c>
      <c r="I1966" t="s">
        <v>869</v>
      </c>
      <c r="J1966" t="str">
        <f>"9210068"</f>
        <v>9210068</v>
      </c>
      <c r="K1966">
        <v>2510222813</v>
      </c>
      <c r="L1966">
        <v>2510222813</v>
      </c>
      <c r="M1966" t="s">
        <v>1682</v>
      </c>
      <c r="N1966" t="s">
        <v>36</v>
      </c>
      <c r="O1966" t="s">
        <v>1683</v>
      </c>
      <c r="P1966">
        <v>65403</v>
      </c>
      <c r="Q1966" t="str">
        <f>"40.941416"</f>
        <v>40.941416</v>
      </c>
      <c r="R1966" t="str">
        <f>"24.404159"</f>
        <v>24.404159</v>
      </c>
      <c r="S1966" t="s">
        <v>26</v>
      </c>
    </row>
    <row r="1967" spans="1:19" x14ac:dyDescent="0.3">
      <c r="A1967" t="s">
        <v>19</v>
      </c>
      <c r="B1967" t="s">
        <v>1633</v>
      </c>
      <c r="C1967" t="s">
        <v>1685</v>
      </c>
      <c r="D1967" t="s">
        <v>33</v>
      </c>
      <c r="E1967" t="s">
        <v>411</v>
      </c>
      <c r="F1967" t="s">
        <v>411</v>
      </c>
      <c r="G1967" t="s">
        <v>1684</v>
      </c>
      <c r="H1967" t="s">
        <v>868</v>
      </c>
      <c r="I1967" t="s">
        <v>869</v>
      </c>
      <c r="J1967" t="str">
        <f>"9210112"</f>
        <v>9210112</v>
      </c>
      <c r="K1967">
        <v>2592043230</v>
      </c>
      <c r="M1967" t="s">
        <v>1686</v>
      </c>
      <c r="N1967" t="s">
        <v>1687</v>
      </c>
      <c r="O1967" t="s">
        <v>1687</v>
      </c>
      <c r="P1967">
        <v>64100</v>
      </c>
      <c r="Q1967" t="str">
        <f>"40.942740"</f>
        <v>40.942740</v>
      </c>
      <c r="R1967" t="str">
        <f>"24.176872"</f>
        <v>24.176872</v>
      </c>
      <c r="S1967" t="s">
        <v>26</v>
      </c>
    </row>
    <row r="1968" spans="1:19" x14ac:dyDescent="0.3">
      <c r="A1968" t="s">
        <v>19</v>
      </c>
      <c r="B1968" t="s">
        <v>1633</v>
      </c>
      <c r="C1968" t="s">
        <v>417</v>
      </c>
      <c r="D1968" t="s">
        <v>33</v>
      </c>
      <c r="E1968" t="s">
        <v>411</v>
      </c>
      <c r="F1968" t="s">
        <v>411</v>
      </c>
      <c r="G1968" t="s">
        <v>412</v>
      </c>
      <c r="H1968" t="s">
        <v>868</v>
      </c>
      <c r="I1968" t="s">
        <v>869</v>
      </c>
      <c r="J1968" t="str">
        <f>"9210105"</f>
        <v>9210105</v>
      </c>
      <c r="K1968">
        <v>2592061212</v>
      </c>
      <c r="L1968">
        <v>2592061212</v>
      </c>
      <c r="M1968" t="s">
        <v>1688</v>
      </c>
      <c r="N1968" t="s">
        <v>1689</v>
      </c>
      <c r="O1968" t="s">
        <v>477</v>
      </c>
      <c r="P1968">
        <v>64100</v>
      </c>
      <c r="Q1968" t="str">
        <f>"40.948085"</f>
        <v>40.948085</v>
      </c>
      <c r="R1968" t="str">
        <f>"24.143652"</f>
        <v>24.143652</v>
      </c>
      <c r="S1968" t="s">
        <v>26</v>
      </c>
    </row>
    <row r="1969" spans="1:19" x14ac:dyDescent="0.3">
      <c r="A1969" t="s">
        <v>19</v>
      </c>
      <c r="B1969" t="s">
        <v>1633</v>
      </c>
      <c r="C1969" t="s">
        <v>474</v>
      </c>
      <c r="D1969" t="s">
        <v>33</v>
      </c>
      <c r="E1969" t="s">
        <v>469</v>
      </c>
      <c r="F1969" t="s">
        <v>470</v>
      </c>
      <c r="G1969" t="s">
        <v>470</v>
      </c>
      <c r="H1969" t="s">
        <v>868</v>
      </c>
      <c r="I1969" t="s">
        <v>869</v>
      </c>
      <c r="J1969" t="str">
        <f>"9210021"</f>
        <v>9210021</v>
      </c>
      <c r="K1969">
        <v>2591025201</v>
      </c>
      <c r="L1969">
        <v>2591025703</v>
      </c>
      <c r="M1969" t="s">
        <v>1702</v>
      </c>
      <c r="N1969" t="s">
        <v>588</v>
      </c>
      <c r="O1969" t="s">
        <v>1703</v>
      </c>
      <c r="P1969">
        <v>64200</v>
      </c>
      <c r="Q1969" t="str">
        <f>"40.981461"</f>
        <v>40.981461</v>
      </c>
      <c r="R1969" t="str">
        <f>"24.701982"</f>
        <v>24.701982</v>
      </c>
      <c r="S1969" t="s">
        <v>26</v>
      </c>
    </row>
    <row r="1970" spans="1:19" x14ac:dyDescent="0.3">
      <c r="A1970" t="s">
        <v>19</v>
      </c>
      <c r="B1970" t="s">
        <v>1633</v>
      </c>
      <c r="C1970" t="s">
        <v>482</v>
      </c>
      <c r="D1970" t="s">
        <v>33</v>
      </c>
      <c r="E1970" t="s">
        <v>33</v>
      </c>
      <c r="F1970" t="s">
        <v>33</v>
      </c>
      <c r="G1970" t="s">
        <v>33</v>
      </c>
      <c r="H1970" t="s">
        <v>868</v>
      </c>
      <c r="I1970" t="s">
        <v>869</v>
      </c>
      <c r="J1970" t="str">
        <f>"9210199"</f>
        <v>9210199</v>
      </c>
      <c r="K1970">
        <v>2510244492</v>
      </c>
      <c r="L1970">
        <v>2510244492</v>
      </c>
      <c r="M1970" t="s">
        <v>1707</v>
      </c>
      <c r="N1970" t="s">
        <v>36</v>
      </c>
      <c r="O1970" t="s">
        <v>1708</v>
      </c>
      <c r="P1970">
        <v>65404</v>
      </c>
      <c r="Q1970" t="str">
        <f>"40.938782"</f>
        <v>40.938782</v>
      </c>
      <c r="R1970" t="str">
        <f>"24.389121"</f>
        <v>24.389121</v>
      </c>
      <c r="S1970" t="s">
        <v>26</v>
      </c>
    </row>
    <row r="1971" spans="1:19" x14ac:dyDescent="0.3">
      <c r="A1971" t="s">
        <v>19</v>
      </c>
      <c r="B1971" t="s">
        <v>1633</v>
      </c>
      <c r="C1971" t="s">
        <v>1714</v>
      </c>
      <c r="D1971" t="s">
        <v>426</v>
      </c>
      <c r="E1971" t="s">
        <v>426</v>
      </c>
      <c r="F1971" t="s">
        <v>426</v>
      </c>
      <c r="G1971" t="s">
        <v>1713</v>
      </c>
      <c r="H1971" t="s">
        <v>868</v>
      </c>
      <c r="I1971" t="s">
        <v>869</v>
      </c>
      <c r="J1971" t="str">
        <f>"9210124"</f>
        <v>9210124</v>
      </c>
      <c r="K1971">
        <v>2593031266</v>
      </c>
      <c r="L1971">
        <v>2593031335</v>
      </c>
      <c r="M1971" t="s">
        <v>1715</v>
      </c>
      <c r="N1971" t="s">
        <v>1716</v>
      </c>
      <c r="O1971" t="s">
        <v>1717</v>
      </c>
      <c r="P1971">
        <v>64005</v>
      </c>
      <c r="Q1971" t="str">
        <f>"40.659651"</f>
        <v>40.659651</v>
      </c>
      <c r="R1971" t="str">
        <f>"24.694356"</f>
        <v>24.694356</v>
      </c>
      <c r="S1971" t="s">
        <v>57</v>
      </c>
    </row>
    <row r="1972" spans="1:19" x14ac:dyDescent="0.3">
      <c r="A1972" t="s">
        <v>19</v>
      </c>
      <c r="B1972" t="s">
        <v>1633</v>
      </c>
      <c r="C1972" t="s">
        <v>1720</v>
      </c>
      <c r="D1972" t="s">
        <v>33</v>
      </c>
      <c r="E1972" t="s">
        <v>411</v>
      </c>
      <c r="F1972" t="s">
        <v>1718</v>
      </c>
      <c r="G1972" t="s">
        <v>1719</v>
      </c>
      <c r="H1972" t="s">
        <v>868</v>
      </c>
      <c r="I1972" t="s">
        <v>869</v>
      </c>
      <c r="J1972" t="str">
        <f>"9210095"</f>
        <v>9210095</v>
      </c>
      <c r="K1972">
        <v>2592051500</v>
      </c>
      <c r="L1972">
        <v>2592021690</v>
      </c>
      <c r="M1972" t="s">
        <v>1721</v>
      </c>
      <c r="N1972" t="s">
        <v>1722</v>
      </c>
      <c r="O1972" t="s">
        <v>1723</v>
      </c>
      <c r="P1972">
        <v>64008</v>
      </c>
      <c r="Q1972" t="str">
        <f>"40.867759"</f>
        <v>40.867759</v>
      </c>
      <c r="R1972" t="str">
        <f>"24.171633"</f>
        <v>24.171633</v>
      </c>
      <c r="S1972" t="s">
        <v>26</v>
      </c>
    </row>
    <row r="1973" spans="1:19" x14ac:dyDescent="0.3">
      <c r="A1973" t="s">
        <v>19</v>
      </c>
      <c r="B1973" t="s">
        <v>1633</v>
      </c>
      <c r="C1973" t="s">
        <v>540</v>
      </c>
      <c r="D1973" t="s">
        <v>33</v>
      </c>
      <c r="E1973" t="s">
        <v>33</v>
      </c>
      <c r="F1973" t="s">
        <v>520</v>
      </c>
      <c r="G1973" t="s">
        <v>555</v>
      </c>
      <c r="H1973" t="s">
        <v>868</v>
      </c>
      <c r="I1973" t="s">
        <v>869</v>
      </c>
      <c r="J1973" t="str">
        <f>"9210163"</f>
        <v>9210163</v>
      </c>
      <c r="K1973">
        <v>2510516406</v>
      </c>
      <c r="L1973">
        <v>2510516406</v>
      </c>
      <c r="M1973" t="s">
        <v>1734</v>
      </c>
      <c r="N1973" t="s">
        <v>558</v>
      </c>
      <c r="O1973" t="s">
        <v>1735</v>
      </c>
      <c r="P1973">
        <v>64003</v>
      </c>
      <c r="Q1973" t="str">
        <f>"41.012690"</f>
        <v>41.012690</v>
      </c>
      <c r="R1973" t="str">
        <f>"24.296141"</f>
        <v>24.296141</v>
      </c>
      <c r="S1973" t="s">
        <v>26</v>
      </c>
    </row>
    <row r="1974" spans="1:19" x14ac:dyDescent="0.3">
      <c r="A1974" t="s">
        <v>19</v>
      </c>
      <c r="B1974" t="s">
        <v>1633</v>
      </c>
      <c r="C1974" t="s">
        <v>1786</v>
      </c>
      <c r="D1974" t="s">
        <v>33</v>
      </c>
      <c r="E1974" t="s">
        <v>469</v>
      </c>
      <c r="F1974" t="s">
        <v>514</v>
      </c>
      <c r="G1974" t="s">
        <v>1771</v>
      </c>
      <c r="H1974" t="s">
        <v>868</v>
      </c>
      <c r="I1974" t="s">
        <v>869</v>
      </c>
      <c r="J1974" t="str">
        <f>"9210051"</f>
        <v>9210051</v>
      </c>
      <c r="K1974">
        <v>2591061252</v>
      </c>
      <c r="L1974">
        <v>2591061252</v>
      </c>
      <c r="M1974" t="s">
        <v>1787</v>
      </c>
      <c r="N1974" t="s">
        <v>1774</v>
      </c>
      <c r="O1974" t="s">
        <v>1788</v>
      </c>
      <c r="P1974">
        <v>64200</v>
      </c>
      <c r="Q1974" t="str">
        <f>"40.907965"</f>
        <v>40.907965</v>
      </c>
      <c r="R1974" t="str">
        <f>"24.706407"</f>
        <v>24.706407</v>
      </c>
      <c r="S1974" t="s">
        <v>26</v>
      </c>
    </row>
    <row r="1975" spans="1:19" x14ac:dyDescent="0.3">
      <c r="A1975" t="s">
        <v>19</v>
      </c>
      <c r="B1975" t="s">
        <v>1633</v>
      </c>
      <c r="C1975" t="s">
        <v>503</v>
      </c>
      <c r="D1975" t="s">
        <v>33</v>
      </c>
      <c r="E1975" t="s">
        <v>33</v>
      </c>
      <c r="F1975" t="s">
        <v>33</v>
      </c>
      <c r="G1975" t="s">
        <v>33</v>
      </c>
      <c r="H1975" t="s">
        <v>868</v>
      </c>
      <c r="I1975" t="s">
        <v>869</v>
      </c>
      <c r="J1975" t="str">
        <f>"9210147"</f>
        <v>9210147</v>
      </c>
      <c r="K1975">
        <v>2510241982</v>
      </c>
      <c r="L1975">
        <v>2510241982</v>
      </c>
      <c r="M1975" t="s">
        <v>1817</v>
      </c>
      <c r="N1975" t="s">
        <v>36</v>
      </c>
      <c r="O1975" t="s">
        <v>1818</v>
      </c>
      <c r="P1975">
        <v>65404</v>
      </c>
      <c r="Q1975" t="str">
        <f>"40.936382"</f>
        <v>40.936382</v>
      </c>
      <c r="R1975" t="str">
        <f>"24.393462"</f>
        <v>24.393462</v>
      </c>
      <c r="S1975" t="s">
        <v>26</v>
      </c>
    </row>
    <row r="1976" spans="1:19" x14ac:dyDescent="0.3">
      <c r="A1976" t="s">
        <v>19</v>
      </c>
      <c r="B1976" t="s">
        <v>1633</v>
      </c>
      <c r="C1976" t="s">
        <v>1827</v>
      </c>
      <c r="D1976" t="s">
        <v>33</v>
      </c>
      <c r="E1976" t="s">
        <v>411</v>
      </c>
      <c r="F1976" t="s">
        <v>461</v>
      </c>
      <c r="G1976" t="s">
        <v>461</v>
      </c>
      <c r="H1976" t="s">
        <v>868</v>
      </c>
      <c r="I1976" t="s">
        <v>869</v>
      </c>
      <c r="J1976" t="str">
        <f>"9210075"</f>
        <v>9210075</v>
      </c>
      <c r="K1976">
        <v>2592022258</v>
      </c>
      <c r="L1976">
        <v>2592022258</v>
      </c>
      <c r="M1976" t="s">
        <v>1828</v>
      </c>
      <c r="N1976" t="s">
        <v>574</v>
      </c>
      <c r="O1976" t="s">
        <v>1829</v>
      </c>
      <c r="P1976">
        <v>64100</v>
      </c>
      <c r="Q1976" t="str">
        <f>"40.917270"</f>
        <v>40.917270</v>
      </c>
      <c r="R1976" t="str">
        <f>"24.254823"</f>
        <v>24.254823</v>
      </c>
      <c r="S1976" t="s">
        <v>26</v>
      </c>
    </row>
    <row r="1977" spans="1:19" x14ac:dyDescent="0.3">
      <c r="A1977" t="s">
        <v>19</v>
      </c>
      <c r="B1977" t="s">
        <v>1633</v>
      </c>
      <c r="C1977" t="s">
        <v>1834</v>
      </c>
      <c r="D1977" t="s">
        <v>33</v>
      </c>
      <c r="E1977" t="s">
        <v>33</v>
      </c>
      <c r="F1977" t="s">
        <v>33</v>
      </c>
      <c r="G1977" t="s">
        <v>33</v>
      </c>
      <c r="H1977" t="s">
        <v>868</v>
      </c>
      <c r="I1977" t="s">
        <v>869</v>
      </c>
      <c r="J1977" t="str">
        <f>"9210073"</f>
        <v>9210073</v>
      </c>
      <c r="K1977">
        <v>2510224832</v>
      </c>
      <c r="L1977">
        <v>2510224832</v>
      </c>
      <c r="M1977" t="s">
        <v>1835</v>
      </c>
      <c r="N1977" t="s">
        <v>36</v>
      </c>
      <c r="O1977" t="s">
        <v>1836</v>
      </c>
      <c r="P1977">
        <v>65302</v>
      </c>
      <c r="Q1977" t="str">
        <f>"40.942174"</f>
        <v>40.942174</v>
      </c>
      <c r="R1977" t="str">
        <f>"24.413010"</f>
        <v>24.413010</v>
      </c>
      <c r="S1977" t="s">
        <v>26</v>
      </c>
    </row>
    <row r="1978" spans="1:19" x14ac:dyDescent="0.3">
      <c r="A1978" t="s">
        <v>19</v>
      </c>
      <c r="B1978" t="s">
        <v>1633</v>
      </c>
      <c r="C1978" t="s">
        <v>496</v>
      </c>
      <c r="D1978" t="s">
        <v>33</v>
      </c>
      <c r="E1978" t="s">
        <v>33</v>
      </c>
      <c r="F1978" t="s">
        <v>33</v>
      </c>
      <c r="G1978" t="s">
        <v>33</v>
      </c>
      <c r="H1978" t="s">
        <v>868</v>
      </c>
      <c r="I1978" t="s">
        <v>869</v>
      </c>
      <c r="J1978" t="str">
        <f>"9210143"</f>
        <v>9210143</v>
      </c>
      <c r="K1978">
        <v>2510222320</v>
      </c>
      <c r="L1978">
        <v>2510222320</v>
      </c>
      <c r="M1978" t="s">
        <v>1864</v>
      </c>
      <c r="N1978" t="s">
        <v>1865</v>
      </c>
      <c r="O1978" t="s">
        <v>1729</v>
      </c>
      <c r="P1978">
        <v>65403</v>
      </c>
      <c r="Q1978" t="str">
        <f>"40.936717"</f>
        <v>40.936717</v>
      </c>
      <c r="R1978" t="str">
        <f>"24.402990"</f>
        <v>24.402990</v>
      </c>
      <c r="S1978" t="s">
        <v>26</v>
      </c>
    </row>
    <row r="1979" spans="1:19" x14ac:dyDescent="0.3">
      <c r="A1979" t="s">
        <v>19</v>
      </c>
      <c r="B1979" t="s">
        <v>1633</v>
      </c>
      <c r="C1979" t="s">
        <v>525</v>
      </c>
      <c r="D1979" t="s">
        <v>33</v>
      </c>
      <c r="E1979" t="s">
        <v>33</v>
      </c>
      <c r="F1979" t="s">
        <v>520</v>
      </c>
      <c r="G1979" t="s">
        <v>521</v>
      </c>
      <c r="H1979" t="s">
        <v>868</v>
      </c>
      <c r="I1979" t="s">
        <v>869</v>
      </c>
      <c r="J1979" t="str">
        <f>"9210154"</f>
        <v>9210154</v>
      </c>
      <c r="K1979">
        <v>2510391256</v>
      </c>
      <c r="L1979">
        <v>2510391256</v>
      </c>
      <c r="M1979" t="s">
        <v>1870</v>
      </c>
      <c r="N1979" t="s">
        <v>1871</v>
      </c>
      <c r="O1979" t="s">
        <v>1872</v>
      </c>
      <c r="P1979">
        <v>64012</v>
      </c>
      <c r="Q1979" t="str">
        <f>"40.961222"</f>
        <v>40.961222</v>
      </c>
      <c r="R1979" t="str">
        <f>"24.361767"</f>
        <v>24.361767</v>
      </c>
      <c r="S1979" t="s">
        <v>26</v>
      </c>
    </row>
    <row r="1980" spans="1:19" x14ac:dyDescent="0.3">
      <c r="A1980" t="s">
        <v>19</v>
      </c>
      <c r="B1980" t="s">
        <v>1633</v>
      </c>
      <c r="C1980" t="s">
        <v>519</v>
      </c>
      <c r="D1980" t="s">
        <v>33</v>
      </c>
      <c r="E1980" t="s">
        <v>469</v>
      </c>
      <c r="F1980" t="s">
        <v>514</v>
      </c>
      <c r="G1980" t="s">
        <v>514</v>
      </c>
      <c r="H1980" t="s">
        <v>868</v>
      </c>
      <c r="I1980" t="s">
        <v>869</v>
      </c>
      <c r="J1980" t="str">
        <f>"9210040"</f>
        <v>9210040</v>
      </c>
      <c r="K1980">
        <v>2591051214</v>
      </c>
      <c r="L1980">
        <v>2591051214</v>
      </c>
      <c r="M1980" t="s">
        <v>1881</v>
      </c>
      <c r="N1980" t="s">
        <v>1882</v>
      </c>
      <c r="O1980" t="s">
        <v>1883</v>
      </c>
      <c r="P1980">
        <v>64200</v>
      </c>
      <c r="Q1980" t="str">
        <f>"40.857102"</f>
        <v>40.857102</v>
      </c>
      <c r="R1980" t="str">
        <f>"24.706949"</f>
        <v>24.706949</v>
      </c>
      <c r="S1980" t="s">
        <v>26</v>
      </c>
    </row>
    <row r="1981" spans="1:19" x14ac:dyDescent="0.3">
      <c r="A1981" t="s">
        <v>19</v>
      </c>
      <c r="B1981" t="s">
        <v>1633</v>
      </c>
      <c r="C1981" t="s">
        <v>1884</v>
      </c>
      <c r="D1981" t="s">
        <v>33</v>
      </c>
      <c r="E1981" t="s">
        <v>33</v>
      </c>
      <c r="F1981" t="s">
        <v>33</v>
      </c>
      <c r="G1981" t="s">
        <v>33</v>
      </c>
      <c r="H1981" t="s">
        <v>868</v>
      </c>
      <c r="I1981" t="s">
        <v>869</v>
      </c>
      <c r="J1981" t="str">
        <f>"9210255"</f>
        <v>9210255</v>
      </c>
      <c r="K1981">
        <v>2510247620</v>
      </c>
      <c r="L1981">
        <v>2510247620</v>
      </c>
      <c r="M1981" t="s">
        <v>1885</v>
      </c>
      <c r="N1981" t="s">
        <v>36</v>
      </c>
      <c r="O1981" t="s">
        <v>1886</v>
      </c>
      <c r="P1981">
        <v>65404</v>
      </c>
      <c r="Q1981" t="str">
        <f>"40.926749"</f>
        <v>40.926749</v>
      </c>
      <c r="R1981" t="str">
        <f>"24.376986"</f>
        <v>24.376986</v>
      </c>
      <c r="S1981" t="s">
        <v>26</v>
      </c>
    </row>
    <row r="1982" spans="1:19" x14ac:dyDescent="0.3">
      <c r="A1982" t="s">
        <v>19</v>
      </c>
      <c r="B1982" t="s">
        <v>1633</v>
      </c>
      <c r="C1982" t="s">
        <v>1895</v>
      </c>
      <c r="D1982" t="s">
        <v>33</v>
      </c>
      <c r="E1982" t="s">
        <v>33</v>
      </c>
      <c r="F1982" t="s">
        <v>520</v>
      </c>
      <c r="G1982" t="s">
        <v>555</v>
      </c>
      <c r="H1982" t="s">
        <v>868</v>
      </c>
      <c r="I1982" t="s">
        <v>869</v>
      </c>
      <c r="J1982" t="str">
        <f>"9210162"</f>
        <v>9210162</v>
      </c>
      <c r="K1982">
        <v>2510516787</v>
      </c>
      <c r="L1982">
        <v>2510516787</v>
      </c>
      <c r="M1982" t="s">
        <v>1896</v>
      </c>
      <c r="N1982" t="s">
        <v>558</v>
      </c>
      <c r="O1982" t="s">
        <v>1897</v>
      </c>
      <c r="P1982">
        <v>64003</v>
      </c>
      <c r="Q1982" t="str">
        <f>"41.025253"</f>
        <v>41.025253</v>
      </c>
      <c r="R1982" t="str">
        <f>"24.292238"</f>
        <v>24.292238</v>
      </c>
      <c r="S1982" t="s">
        <v>26</v>
      </c>
    </row>
    <row r="1983" spans="1:19" x14ac:dyDescent="0.3">
      <c r="A1983" t="s">
        <v>19</v>
      </c>
      <c r="B1983" t="s">
        <v>1633</v>
      </c>
      <c r="C1983" t="s">
        <v>431</v>
      </c>
      <c r="D1983" t="s">
        <v>426</v>
      </c>
      <c r="E1983" t="s">
        <v>426</v>
      </c>
      <c r="F1983" t="s">
        <v>426</v>
      </c>
      <c r="G1983" t="s">
        <v>426</v>
      </c>
      <c r="H1983" t="s">
        <v>868</v>
      </c>
      <c r="I1983" t="s">
        <v>869</v>
      </c>
      <c r="J1983" t="str">
        <f>"9520624"</f>
        <v>9520624</v>
      </c>
      <c r="K1983">
        <v>2593022193</v>
      </c>
      <c r="L1983">
        <v>2593022193</v>
      </c>
      <c r="M1983" t="s">
        <v>1904</v>
      </c>
      <c r="N1983" t="s">
        <v>448</v>
      </c>
      <c r="O1983" t="s">
        <v>448</v>
      </c>
      <c r="P1983">
        <v>64004</v>
      </c>
      <c r="Q1983" t="str">
        <f>"40.774466"</f>
        <v>40.774466</v>
      </c>
      <c r="R1983" t="str">
        <f>"24.706415"</f>
        <v>24.706415</v>
      </c>
      <c r="S1983" t="s">
        <v>26</v>
      </c>
    </row>
    <row r="1984" spans="1:19" x14ac:dyDescent="0.3">
      <c r="A1984" t="s">
        <v>19</v>
      </c>
      <c r="B1984" t="s">
        <v>1633</v>
      </c>
      <c r="C1984" t="s">
        <v>1905</v>
      </c>
      <c r="D1984" t="s">
        <v>33</v>
      </c>
      <c r="E1984" t="s">
        <v>411</v>
      </c>
      <c r="F1984" t="s">
        <v>461</v>
      </c>
      <c r="G1984" t="s">
        <v>1709</v>
      </c>
      <c r="H1984" t="s">
        <v>868</v>
      </c>
      <c r="I1984" t="s">
        <v>950</v>
      </c>
      <c r="J1984" t="str">
        <f>"9210151"</f>
        <v>9210151</v>
      </c>
      <c r="K1984">
        <v>2510326330</v>
      </c>
      <c r="L1984">
        <v>2510326330</v>
      </c>
      <c r="M1984" t="s">
        <v>1906</v>
      </c>
      <c r="N1984" t="s">
        <v>1712</v>
      </c>
      <c r="O1984" t="s">
        <v>1712</v>
      </c>
      <c r="P1984">
        <v>64100</v>
      </c>
      <c r="Q1984" t="str">
        <f>"40.930817"</f>
        <v>40.930817</v>
      </c>
      <c r="R1984" t="str">
        <f>"24.341589"</f>
        <v>24.341589</v>
      </c>
      <c r="S1984" t="s">
        <v>26</v>
      </c>
    </row>
    <row r="1985" spans="1:19" x14ac:dyDescent="0.3">
      <c r="A1985" t="s">
        <v>19</v>
      </c>
      <c r="B1985" t="s">
        <v>1633</v>
      </c>
      <c r="C1985" t="s">
        <v>1925</v>
      </c>
      <c r="D1985" t="s">
        <v>33</v>
      </c>
      <c r="E1985" t="s">
        <v>33</v>
      </c>
      <c r="F1985" t="s">
        <v>33</v>
      </c>
      <c r="G1985" t="s">
        <v>33</v>
      </c>
      <c r="H1985" t="s">
        <v>868</v>
      </c>
      <c r="I1985" t="s">
        <v>869</v>
      </c>
      <c r="J1985" t="str">
        <f>"9210065"</f>
        <v>9210065</v>
      </c>
      <c r="K1985">
        <v>2510223035</v>
      </c>
      <c r="L1985">
        <v>2510223035</v>
      </c>
      <c r="M1985" t="s">
        <v>1926</v>
      </c>
      <c r="N1985" t="s">
        <v>36</v>
      </c>
      <c r="O1985" t="s">
        <v>1927</v>
      </c>
      <c r="P1985">
        <v>65403</v>
      </c>
      <c r="Q1985" t="str">
        <f>"40.937863"</f>
        <v>40.937863</v>
      </c>
      <c r="R1985" t="str">
        <f>"24.407556"</f>
        <v>24.407556</v>
      </c>
      <c r="S1985" t="s">
        <v>26</v>
      </c>
    </row>
    <row r="1986" spans="1:19" x14ac:dyDescent="0.3">
      <c r="A1986" t="s">
        <v>19</v>
      </c>
      <c r="B1986" t="s">
        <v>1633</v>
      </c>
      <c r="C1986" t="s">
        <v>1928</v>
      </c>
      <c r="D1986" t="s">
        <v>33</v>
      </c>
      <c r="E1986" t="s">
        <v>411</v>
      </c>
      <c r="F1986" t="s">
        <v>461</v>
      </c>
      <c r="G1986" t="s">
        <v>1891</v>
      </c>
      <c r="H1986" t="s">
        <v>868</v>
      </c>
      <c r="I1986" t="s">
        <v>869</v>
      </c>
      <c r="J1986" t="str">
        <f>"9210084"</f>
        <v>9210084</v>
      </c>
      <c r="K1986">
        <v>2592043239</v>
      </c>
      <c r="L1986">
        <v>2592043239</v>
      </c>
      <c r="M1986" t="s">
        <v>1929</v>
      </c>
      <c r="N1986" t="s">
        <v>1930</v>
      </c>
      <c r="O1986" t="s">
        <v>1894</v>
      </c>
      <c r="P1986">
        <v>64100</v>
      </c>
      <c r="Q1986" t="str">
        <f>"40.947437"</f>
        <v>40.947437</v>
      </c>
      <c r="R1986" t="str">
        <f>"24.211823"</f>
        <v>24.211823</v>
      </c>
      <c r="S1986" t="s">
        <v>26</v>
      </c>
    </row>
    <row r="1987" spans="1:19" x14ac:dyDescent="0.3">
      <c r="A1987" t="s">
        <v>19</v>
      </c>
      <c r="B1987" t="s">
        <v>1633</v>
      </c>
      <c r="C1987" t="s">
        <v>531</v>
      </c>
      <c r="D1987" t="s">
        <v>33</v>
      </c>
      <c r="E1987" t="s">
        <v>411</v>
      </c>
      <c r="F1987" t="s">
        <v>455</v>
      </c>
      <c r="G1987" t="s">
        <v>1819</v>
      </c>
      <c r="H1987" t="s">
        <v>868</v>
      </c>
      <c r="I1987" t="s">
        <v>869</v>
      </c>
      <c r="J1987" t="str">
        <f>"9210179"</f>
        <v>9210179</v>
      </c>
      <c r="K1987">
        <v>2594092232</v>
      </c>
      <c r="L1987">
        <v>2594092232</v>
      </c>
      <c r="M1987" t="s">
        <v>1931</v>
      </c>
      <c r="N1987" t="s">
        <v>1823</v>
      </c>
      <c r="O1987" t="s">
        <v>1823</v>
      </c>
      <c r="P1987">
        <v>64007</v>
      </c>
      <c r="Q1987" t="str">
        <f>"40.821437"</f>
        <v>40.821437</v>
      </c>
      <c r="R1987" t="str">
        <f>"24.239542"</f>
        <v>24.239542</v>
      </c>
      <c r="S1987" t="s">
        <v>26</v>
      </c>
    </row>
    <row r="1988" spans="1:19" x14ac:dyDescent="0.3">
      <c r="A1988" t="s">
        <v>19</v>
      </c>
      <c r="B1988" t="s">
        <v>1633</v>
      </c>
      <c r="C1988" t="s">
        <v>1932</v>
      </c>
      <c r="D1988" t="s">
        <v>33</v>
      </c>
      <c r="E1988" t="s">
        <v>411</v>
      </c>
      <c r="F1988" t="s">
        <v>455</v>
      </c>
      <c r="G1988" t="s">
        <v>455</v>
      </c>
      <c r="H1988" t="s">
        <v>868</v>
      </c>
      <c r="I1988" t="s">
        <v>869</v>
      </c>
      <c r="J1988" t="str">
        <f>"9210180"</f>
        <v>9210180</v>
      </c>
      <c r="K1988">
        <v>2594041238</v>
      </c>
      <c r="L1988">
        <v>2594041238</v>
      </c>
      <c r="M1988" t="s">
        <v>1933</v>
      </c>
      <c r="N1988" t="s">
        <v>1826</v>
      </c>
      <c r="O1988" t="s">
        <v>1826</v>
      </c>
      <c r="P1988">
        <v>64007</v>
      </c>
      <c r="Q1988" t="str">
        <f>"40.847882"</f>
        <v>40.847882</v>
      </c>
      <c r="R1988" t="str">
        <f>"24.254838"</f>
        <v>24.254838</v>
      </c>
      <c r="S1988" t="s">
        <v>26</v>
      </c>
    </row>
    <row r="1989" spans="1:19" x14ac:dyDescent="0.3">
      <c r="A1989" t="s">
        <v>19</v>
      </c>
      <c r="B1989" t="s">
        <v>1633</v>
      </c>
      <c r="C1989" t="s">
        <v>1934</v>
      </c>
      <c r="D1989" t="s">
        <v>33</v>
      </c>
      <c r="E1989" t="s">
        <v>411</v>
      </c>
      <c r="F1989" t="s">
        <v>411</v>
      </c>
      <c r="G1989" t="s">
        <v>1887</v>
      </c>
      <c r="H1989" t="s">
        <v>868</v>
      </c>
      <c r="I1989" t="s">
        <v>869</v>
      </c>
      <c r="J1989" t="str">
        <f>"9210256"</f>
        <v>9210256</v>
      </c>
      <c r="K1989">
        <v>2592061234</v>
      </c>
      <c r="L1989">
        <v>2592061234</v>
      </c>
      <c r="M1989" t="s">
        <v>1935</v>
      </c>
      <c r="N1989" t="s">
        <v>1890</v>
      </c>
      <c r="O1989" t="s">
        <v>1936</v>
      </c>
      <c r="P1989">
        <v>64001</v>
      </c>
      <c r="Q1989" t="str">
        <f>"40.955864"</f>
        <v>40.955864</v>
      </c>
      <c r="R1989" t="str">
        <f>"24.148717"</f>
        <v>24.148717</v>
      </c>
      <c r="S1989" t="s">
        <v>26</v>
      </c>
    </row>
    <row r="1990" spans="1:19" x14ac:dyDescent="0.3">
      <c r="A1990" t="s">
        <v>19</v>
      </c>
      <c r="B1990" t="s">
        <v>1633</v>
      </c>
      <c r="C1990" t="s">
        <v>1937</v>
      </c>
      <c r="D1990" t="s">
        <v>33</v>
      </c>
      <c r="E1990" t="s">
        <v>411</v>
      </c>
      <c r="F1990" t="s">
        <v>461</v>
      </c>
      <c r="G1990" t="s">
        <v>1760</v>
      </c>
      <c r="H1990" t="s">
        <v>868</v>
      </c>
      <c r="I1990" t="s">
        <v>869</v>
      </c>
      <c r="J1990" t="str">
        <f>"9210158"</f>
        <v>9210158</v>
      </c>
      <c r="K1990">
        <v>2510326470</v>
      </c>
      <c r="L1990">
        <v>2510326470</v>
      </c>
      <c r="M1990" t="s">
        <v>1938</v>
      </c>
      <c r="N1990" t="s">
        <v>1763</v>
      </c>
      <c r="O1990" t="s">
        <v>1939</v>
      </c>
      <c r="P1990">
        <v>64100</v>
      </c>
      <c r="Q1990" t="str">
        <f>"40.927671"</f>
        <v>40.927671</v>
      </c>
      <c r="R1990" t="str">
        <f>"24.307694"</f>
        <v>24.307694</v>
      </c>
      <c r="S1990" t="s">
        <v>26</v>
      </c>
    </row>
    <row r="1991" spans="1:19" x14ac:dyDescent="0.3">
      <c r="A1991" t="s">
        <v>19</v>
      </c>
      <c r="B1991" t="s">
        <v>1633</v>
      </c>
      <c r="C1991" t="s">
        <v>425</v>
      </c>
      <c r="D1991" t="s">
        <v>33</v>
      </c>
      <c r="E1991" t="s">
        <v>411</v>
      </c>
      <c r="F1991" t="s">
        <v>418</v>
      </c>
      <c r="G1991" t="s">
        <v>419</v>
      </c>
      <c r="H1991" t="s">
        <v>868</v>
      </c>
      <c r="I1991" t="s">
        <v>869</v>
      </c>
      <c r="J1991" t="str">
        <f>"9210116"</f>
        <v>9210116</v>
      </c>
      <c r="K1991">
        <v>2592044213</v>
      </c>
      <c r="L1991">
        <v>2592044213</v>
      </c>
      <c r="M1991" t="s">
        <v>1940</v>
      </c>
      <c r="N1991" t="s">
        <v>423</v>
      </c>
      <c r="O1991" t="s">
        <v>423</v>
      </c>
      <c r="P1991">
        <v>64008</v>
      </c>
      <c r="Q1991" t="str">
        <f>"40.834639"</f>
        <v>40.834639</v>
      </c>
      <c r="R1991" t="str">
        <f>"24.024548"</f>
        <v>24.024548</v>
      </c>
      <c r="S1991" t="s">
        <v>26</v>
      </c>
    </row>
    <row r="1992" spans="1:19" x14ac:dyDescent="0.3">
      <c r="A1992" t="s">
        <v>19</v>
      </c>
      <c r="B1992" t="s">
        <v>1633</v>
      </c>
      <c r="C1992" t="s">
        <v>1941</v>
      </c>
      <c r="D1992" t="s">
        <v>33</v>
      </c>
      <c r="E1992" t="s">
        <v>411</v>
      </c>
      <c r="F1992" t="s">
        <v>418</v>
      </c>
      <c r="G1992" t="s">
        <v>1873</v>
      </c>
      <c r="H1992" t="s">
        <v>868</v>
      </c>
      <c r="I1992" t="s">
        <v>869</v>
      </c>
      <c r="J1992" t="str">
        <f>"9210110"</f>
        <v>9210110</v>
      </c>
      <c r="K1992">
        <v>2592041260</v>
      </c>
      <c r="L1992">
        <v>2592041260</v>
      </c>
      <c r="M1992" t="s">
        <v>1942</v>
      </c>
      <c r="N1992" t="s">
        <v>1876</v>
      </c>
      <c r="O1992" t="s">
        <v>1943</v>
      </c>
      <c r="P1992">
        <v>64008</v>
      </c>
      <c r="Q1992" t="str">
        <f>"40.796636"</f>
        <v>40.796636</v>
      </c>
      <c r="R1992" t="str">
        <f>"23.909250"</f>
        <v>23.909250</v>
      </c>
      <c r="S1992" t="s">
        <v>26</v>
      </c>
    </row>
    <row r="1993" spans="1:19" x14ac:dyDescent="0.3">
      <c r="A1993" t="s">
        <v>19</v>
      </c>
      <c r="B1993" t="s">
        <v>1633</v>
      </c>
      <c r="C1993" t="s">
        <v>1944</v>
      </c>
      <c r="D1993" t="s">
        <v>33</v>
      </c>
      <c r="E1993" t="s">
        <v>33</v>
      </c>
      <c r="F1993" t="s">
        <v>33</v>
      </c>
      <c r="G1993" t="s">
        <v>33</v>
      </c>
      <c r="H1993" t="s">
        <v>868</v>
      </c>
      <c r="I1993" t="s">
        <v>869</v>
      </c>
      <c r="J1993" t="str">
        <f>"9210072"</f>
        <v>9210072</v>
      </c>
      <c r="K1993">
        <v>2510222811</v>
      </c>
      <c r="L1993">
        <v>2510222811</v>
      </c>
      <c r="M1993" t="s">
        <v>1945</v>
      </c>
      <c r="N1993" t="s">
        <v>36</v>
      </c>
      <c r="O1993" t="s">
        <v>1701</v>
      </c>
      <c r="P1993">
        <v>65302</v>
      </c>
      <c r="Q1993" t="str">
        <f>"40.939923"</f>
        <v>40.939923</v>
      </c>
      <c r="R1993" t="str">
        <f>"24.413214"</f>
        <v>24.413214</v>
      </c>
      <c r="S1993" t="s">
        <v>26</v>
      </c>
    </row>
    <row r="1994" spans="1:19" x14ac:dyDescent="0.3">
      <c r="A1994" t="s">
        <v>19</v>
      </c>
      <c r="B1994" t="s">
        <v>1633</v>
      </c>
      <c r="C1994" t="s">
        <v>576</v>
      </c>
      <c r="D1994" t="s">
        <v>33</v>
      </c>
      <c r="E1994" t="s">
        <v>411</v>
      </c>
      <c r="F1994" t="s">
        <v>461</v>
      </c>
      <c r="G1994" t="s">
        <v>461</v>
      </c>
      <c r="H1994" t="s">
        <v>868</v>
      </c>
      <c r="I1994" t="s">
        <v>869</v>
      </c>
      <c r="J1994" t="str">
        <f>"9210077"</f>
        <v>9210077</v>
      </c>
      <c r="K1994">
        <v>2592022397</v>
      </c>
      <c r="L1994">
        <v>2592022397</v>
      </c>
      <c r="M1994" t="s">
        <v>1950</v>
      </c>
      <c r="N1994" t="s">
        <v>1951</v>
      </c>
      <c r="O1994" t="s">
        <v>1952</v>
      </c>
      <c r="P1994">
        <v>64100</v>
      </c>
      <c r="Q1994" t="str">
        <f>"40.911437"</f>
        <v>40.911437</v>
      </c>
      <c r="R1994" t="str">
        <f>"24.253915"</f>
        <v>24.253915</v>
      </c>
      <c r="S1994" t="s">
        <v>26</v>
      </c>
    </row>
    <row r="1995" spans="1:19" x14ac:dyDescent="0.3">
      <c r="A1995" t="s">
        <v>19</v>
      </c>
      <c r="B1995" t="s">
        <v>1633</v>
      </c>
      <c r="C1995" t="s">
        <v>1957</v>
      </c>
      <c r="D1995" t="s">
        <v>33</v>
      </c>
      <c r="E1995" t="s">
        <v>469</v>
      </c>
      <c r="F1995" t="s">
        <v>470</v>
      </c>
      <c r="G1995" t="s">
        <v>470</v>
      </c>
      <c r="H1995" t="s">
        <v>868</v>
      </c>
      <c r="I1995" t="s">
        <v>869</v>
      </c>
      <c r="J1995" t="str">
        <f>"9210212"</f>
        <v>9210212</v>
      </c>
      <c r="K1995">
        <v>2591023360</v>
      </c>
      <c r="L1995">
        <v>2591024815</v>
      </c>
      <c r="M1995" t="s">
        <v>1958</v>
      </c>
      <c r="N1995" t="s">
        <v>543</v>
      </c>
      <c r="O1995" t="s">
        <v>1959</v>
      </c>
      <c r="P1995">
        <v>64200</v>
      </c>
      <c r="Q1995" t="str">
        <f>"40.984215"</f>
        <v>40.984215</v>
      </c>
      <c r="R1995" t="str">
        <f>"24.692761"</f>
        <v>24.692761</v>
      </c>
      <c r="S1995" t="s">
        <v>26</v>
      </c>
    </row>
    <row r="1996" spans="1:19" x14ac:dyDescent="0.3">
      <c r="A1996" t="s">
        <v>19</v>
      </c>
      <c r="B1996" t="s">
        <v>1633</v>
      </c>
      <c r="C1996" t="s">
        <v>1960</v>
      </c>
      <c r="D1996" t="s">
        <v>33</v>
      </c>
      <c r="E1996" t="s">
        <v>33</v>
      </c>
      <c r="F1996" t="s">
        <v>520</v>
      </c>
      <c r="G1996" t="s">
        <v>520</v>
      </c>
      <c r="H1996" t="s">
        <v>868</v>
      </c>
      <c r="I1996" t="s">
        <v>869</v>
      </c>
      <c r="J1996" t="str">
        <f>"9210176"</f>
        <v>9210176</v>
      </c>
      <c r="K1996">
        <v>2510516651</v>
      </c>
      <c r="M1996" t="s">
        <v>1961</v>
      </c>
      <c r="N1996" t="s">
        <v>520</v>
      </c>
      <c r="O1996" t="s">
        <v>1816</v>
      </c>
      <c r="P1996">
        <v>64003</v>
      </c>
      <c r="Q1996" t="str">
        <f>"41.026355"</f>
        <v>41.026355</v>
      </c>
      <c r="R1996" t="str">
        <f>"24.341363"</f>
        <v>24.341363</v>
      </c>
      <c r="S1996" t="s">
        <v>26</v>
      </c>
    </row>
    <row r="1997" spans="1:19" x14ac:dyDescent="0.3">
      <c r="A1997" t="s">
        <v>19</v>
      </c>
      <c r="B1997" t="s">
        <v>1633</v>
      </c>
      <c r="C1997" t="s">
        <v>1962</v>
      </c>
      <c r="D1997" t="s">
        <v>33</v>
      </c>
      <c r="E1997" t="s">
        <v>33</v>
      </c>
      <c r="F1997" t="s">
        <v>33</v>
      </c>
      <c r="G1997" t="s">
        <v>33</v>
      </c>
      <c r="H1997" t="s">
        <v>868</v>
      </c>
      <c r="I1997" t="s">
        <v>869</v>
      </c>
      <c r="J1997" t="str">
        <f>"9210148"</f>
        <v>9210148</v>
      </c>
      <c r="K1997">
        <v>2510244945</v>
      </c>
      <c r="L1997">
        <v>2510244945</v>
      </c>
      <c r="M1997" t="s">
        <v>1963</v>
      </c>
      <c r="N1997" t="s">
        <v>33</v>
      </c>
      <c r="O1997" t="s">
        <v>1649</v>
      </c>
      <c r="P1997">
        <v>65404</v>
      </c>
      <c r="Q1997" t="str">
        <f>"40.933664"</f>
        <v>40.933664</v>
      </c>
      <c r="R1997" t="str">
        <f>"24.387793"</f>
        <v>24.387793</v>
      </c>
      <c r="S1997" t="s">
        <v>26</v>
      </c>
    </row>
    <row r="1998" spans="1:19" x14ac:dyDescent="0.3">
      <c r="A1998" t="s">
        <v>19</v>
      </c>
      <c r="B1998" t="s">
        <v>1633</v>
      </c>
      <c r="C1998" t="s">
        <v>1964</v>
      </c>
      <c r="D1998" t="s">
        <v>33</v>
      </c>
      <c r="E1998" t="s">
        <v>33</v>
      </c>
      <c r="F1998" t="s">
        <v>33</v>
      </c>
      <c r="G1998" t="s">
        <v>33</v>
      </c>
      <c r="H1998" t="s">
        <v>868</v>
      </c>
      <c r="I1998" t="s">
        <v>869</v>
      </c>
      <c r="J1998" t="str">
        <f>"9210149"</f>
        <v>9210149</v>
      </c>
      <c r="K1998">
        <v>2510244582</v>
      </c>
      <c r="L1998">
        <v>2510244582</v>
      </c>
      <c r="M1998" t="s">
        <v>1965</v>
      </c>
      <c r="N1998" t="s">
        <v>33</v>
      </c>
      <c r="O1998" t="s">
        <v>1966</v>
      </c>
      <c r="P1998">
        <v>65404</v>
      </c>
      <c r="Q1998" t="str">
        <f>"40.925713"</f>
        <v>40.925713</v>
      </c>
      <c r="R1998" t="str">
        <f>"24.385964"</f>
        <v>24.385964</v>
      </c>
      <c r="S1998" t="s">
        <v>26</v>
      </c>
    </row>
    <row r="1999" spans="1:19" x14ac:dyDescent="0.3">
      <c r="A1999" t="s">
        <v>19</v>
      </c>
      <c r="B1999" t="s">
        <v>1633</v>
      </c>
      <c r="C1999" t="s">
        <v>462</v>
      </c>
      <c r="D1999" t="s">
        <v>33</v>
      </c>
      <c r="E1999" t="s">
        <v>411</v>
      </c>
      <c r="F1999" t="s">
        <v>455</v>
      </c>
      <c r="G1999" t="s">
        <v>456</v>
      </c>
      <c r="H1999" t="s">
        <v>868</v>
      </c>
      <c r="I1999" t="s">
        <v>869</v>
      </c>
      <c r="J1999" t="str">
        <f>"9210183"</f>
        <v>9210183</v>
      </c>
      <c r="K1999">
        <v>2594021231</v>
      </c>
      <c r="L1999">
        <v>2594021231</v>
      </c>
      <c r="M1999" t="s">
        <v>1967</v>
      </c>
      <c r="N1999" t="s">
        <v>1968</v>
      </c>
      <c r="O1999" t="s">
        <v>1969</v>
      </c>
      <c r="P1999">
        <v>64007</v>
      </c>
      <c r="Q1999" t="str">
        <f>"40.838586"</f>
        <v>40.838586</v>
      </c>
      <c r="R1999" t="str">
        <f>"24.298945"</f>
        <v>24.298945</v>
      </c>
      <c r="S1999" t="s">
        <v>26</v>
      </c>
    </row>
    <row r="2000" spans="1:19" x14ac:dyDescent="0.3">
      <c r="A2000" t="s">
        <v>19</v>
      </c>
      <c r="B2000" t="s">
        <v>1633</v>
      </c>
      <c r="C2000" t="s">
        <v>1985</v>
      </c>
      <c r="D2000" t="s">
        <v>33</v>
      </c>
      <c r="E2000" t="s">
        <v>33</v>
      </c>
      <c r="F2000" t="s">
        <v>33</v>
      </c>
      <c r="G2000" t="s">
        <v>33</v>
      </c>
      <c r="H2000" t="s">
        <v>868</v>
      </c>
      <c r="I2000" t="s">
        <v>869</v>
      </c>
      <c r="J2000" t="str">
        <f>"9210213"</f>
        <v>9210213</v>
      </c>
      <c r="K2000">
        <v>2510833922</v>
      </c>
      <c r="L2000">
        <v>2510833922</v>
      </c>
      <c r="M2000" t="s">
        <v>1986</v>
      </c>
      <c r="N2000" t="s">
        <v>36</v>
      </c>
      <c r="O2000" t="s">
        <v>1987</v>
      </c>
      <c r="P2000">
        <v>65403</v>
      </c>
      <c r="Q2000" t="str">
        <f>"40.938773"</f>
        <v>40.938773</v>
      </c>
      <c r="R2000" t="str">
        <f>"24.399752"</f>
        <v>24.399752</v>
      </c>
      <c r="S2000" t="s">
        <v>26</v>
      </c>
    </row>
    <row r="2001" spans="1:19" x14ac:dyDescent="0.3">
      <c r="A2001" t="s">
        <v>19</v>
      </c>
      <c r="B2001" t="s">
        <v>1633</v>
      </c>
      <c r="C2001" t="s">
        <v>486</v>
      </c>
      <c r="D2001" t="s">
        <v>33</v>
      </c>
      <c r="E2001" t="s">
        <v>33</v>
      </c>
      <c r="F2001" t="s">
        <v>33</v>
      </c>
      <c r="G2001" t="s">
        <v>33</v>
      </c>
      <c r="H2001" t="s">
        <v>868</v>
      </c>
      <c r="I2001" t="s">
        <v>869</v>
      </c>
      <c r="J2001" t="str">
        <f>"9210009"</f>
        <v>9210009</v>
      </c>
      <c r="K2001">
        <v>2510223839</v>
      </c>
      <c r="L2001">
        <v>2510223839</v>
      </c>
      <c r="M2001" t="s">
        <v>1988</v>
      </c>
      <c r="N2001" t="s">
        <v>36</v>
      </c>
      <c r="O2001" t="s">
        <v>1989</v>
      </c>
      <c r="P2001">
        <v>65201</v>
      </c>
      <c r="Q2001" t="str">
        <f>"40.939748"</f>
        <v>40.939748</v>
      </c>
      <c r="R2001" t="str">
        <f>"24.417376"</f>
        <v>24.417376</v>
      </c>
      <c r="S2001" t="s">
        <v>26</v>
      </c>
    </row>
    <row r="2002" spans="1:19" x14ac:dyDescent="0.3">
      <c r="A2002" t="s">
        <v>19</v>
      </c>
      <c r="B2002" t="s">
        <v>1633</v>
      </c>
      <c r="C2002" t="s">
        <v>1990</v>
      </c>
      <c r="D2002" t="s">
        <v>33</v>
      </c>
      <c r="E2002" t="s">
        <v>33</v>
      </c>
      <c r="F2002" t="s">
        <v>33</v>
      </c>
      <c r="G2002" t="s">
        <v>33</v>
      </c>
      <c r="H2002" t="s">
        <v>868</v>
      </c>
      <c r="I2002" t="s">
        <v>869</v>
      </c>
      <c r="J2002" t="str">
        <f>"9210254"</f>
        <v>9210254</v>
      </c>
      <c r="K2002">
        <v>2510247287</v>
      </c>
      <c r="L2002">
        <v>2510247287</v>
      </c>
      <c r="M2002" t="s">
        <v>1991</v>
      </c>
      <c r="N2002" t="s">
        <v>36</v>
      </c>
      <c r="O2002" t="s">
        <v>1992</v>
      </c>
      <c r="P2002">
        <v>65403</v>
      </c>
      <c r="Q2002" t="str">
        <f>"40.938587"</f>
        <v>40.938587</v>
      </c>
      <c r="R2002" t="str">
        <f>"24.393947"</f>
        <v>24.393947</v>
      </c>
      <c r="S2002" t="s">
        <v>26</v>
      </c>
    </row>
    <row r="2003" spans="1:19" x14ac:dyDescent="0.3">
      <c r="A2003" t="s">
        <v>19</v>
      </c>
      <c r="B2003" t="s">
        <v>1633</v>
      </c>
      <c r="C2003" t="s">
        <v>1993</v>
      </c>
      <c r="D2003" t="s">
        <v>426</v>
      </c>
      <c r="E2003" t="s">
        <v>426</v>
      </c>
      <c r="F2003" t="s">
        <v>426</v>
      </c>
      <c r="G2003" t="s">
        <v>1800</v>
      </c>
      <c r="H2003" t="s">
        <v>868</v>
      </c>
      <c r="I2003" t="s">
        <v>950</v>
      </c>
      <c r="J2003" t="str">
        <f>"9210134"</f>
        <v>9210134</v>
      </c>
      <c r="K2003">
        <v>2593061206</v>
      </c>
      <c r="L2003">
        <v>2593061206</v>
      </c>
      <c r="M2003" t="s">
        <v>1994</v>
      </c>
      <c r="N2003" t="s">
        <v>1803</v>
      </c>
      <c r="O2003" t="s">
        <v>1995</v>
      </c>
      <c r="P2003">
        <v>64004</v>
      </c>
      <c r="Q2003" t="str">
        <f>"40.731967"</f>
        <v>40.731967</v>
      </c>
      <c r="R2003" t="str">
        <f>"24.729581"</f>
        <v>24.729581</v>
      </c>
      <c r="S2003" t="s">
        <v>26</v>
      </c>
    </row>
    <row r="2004" spans="1:19" x14ac:dyDescent="0.3">
      <c r="A2004" t="s">
        <v>19</v>
      </c>
      <c r="B2004" t="s">
        <v>1633</v>
      </c>
      <c r="C2004" t="s">
        <v>1996</v>
      </c>
      <c r="D2004" t="s">
        <v>33</v>
      </c>
      <c r="E2004" t="s">
        <v>469</v>
      </c>
      <c r="F2004" t="s">
        <v>1792</v>
      </c>
      <c r="G2004" t="s">
        <v>1793</v>
      </c>
      <c r="H2004" t="s">
        <v>868</v>
      </c>
      <c r="I2004" t="s">
        <v>950</v>
      </c>
      <c r="J2004" t="str">
        <f>"9210046"</f>
        <v>9210046</v>
      </c>
      <c r="K2004">
        <v>2591057206</v>
      </c>
      <c r="L2004">
        <v>2591057206</v>
      </c>
      <c r="M2004" t="s">
        <v>1997</v>
      </c>
      <c r="O2004" t="s">
        <v>1796</v>
      </c>
      <c r="P2004">
        <v>64009</v>
      </c>
      <c r="Q2004" t="str">
        <f>"41.158416"</f>
        <v>41.158416</v>
      </c>
      <c r="R2004" t="str">
        <f>"24.549370"</f>
        <v>24.549370</v>
      </c>
      <c r="S2004" t="s">
        <v>26</v>
      </c>
    </row>
    <row r="2005" spans="1:19" x14ac:dyDescent="0.3">
      <c r="A2005" t="s">
        <v>19</v>
      </c>
      <c r="B2005" t="s">
        <v>1633</v>
      </c>
      <c r="C2005" t="s">
        <v>1999</v>
      </c>
      <c r="D2005" t="s">
        <v>33</v>
      </c>
      <c r="E2005" t="s">
        <v>469</v>
      </c>
      <c r="F2005" t="s">
        <v>1792</v>
      </c>
      <c r="G2005" t="s">
        <v>1998</v>
      </c>
      <c r="H2005" t="s">
        <v>868</v>
      </c>
      <c r="I2005" t="s">
        <v>950</v>
      </c>
      <c r="J2005" t="str">
        <f>"9210043"</f>
        <v>9210043</v>
      </c>
      <c r="K2005">
        <v>2591059256</v>
      </c>
      <c r="L2005">
        <v>2591059256</v>
      </c>
      <c r="M2005" t="s">
        <v>2000</v>
      </c>
      <c r="N2005" t="s">
        <v>2001</v>
      </c>
      <c r="O2005" t="s">
        <v>2002</v>
      </c>
      <c r="P2005">
        <v>64009</v>
      </c>
      <c r="Q2005" t="str">
        <f>"41.157626"</f>
        <v>41.157626</v>
      </c>
      <c r="R2005" t="str">
        <f>"24.634534"</f>
        <v>24.634534</v>
      </c>
      <c r="S2005" t="s">
        <v>26</v>
      </c>
    </row>
    <row r="2006" spans="1:19" x14ac:dyDescent="0.3">
      <c r="A2006" t="s">
        <v>19</v>
      </c>
      <c r="B2006" t="s">
        <v>1633</v>
      </c>
      <c r="C2006" t="s">
        <v>2004</v>
      </c>
      <c r="D2006" t="s">
        <v>33</v>
      </c>
      <c r="E2006" t="s">
        <v>469</v>
      </c>
      <c r="F2006" t="s">
        <v>514</v>
      </c>
      <c r="G2006" t="s">
        <v>2003</v>
      </c>
      <c r="H2006" t="s">
        <v>868</v>
      </c>
      <c r="I2006" t="s">
        <v>869</v>
      </c>
      <c r="J2006" t="str">
        <f>"9210028"</f>
        <v>9210028</v>
      </c>
      <c r="K2006">
        <v>2591056246</v>
      </c>
      <c r="L2006">
        <v>2591056246</v>
      </c>
      <c r="M2006" t="s">
        <v>2005</v>
      </c>
      <c r="N2006" t="s">
        <v>2006</v>
      </c>
      <c r="O2006" t="s">
        <v>2007</v>
      </c>
      <c r="P2006">
        <v>64200</v>
      </c>
      <c r="Q2006" t="str">
        <f>"40.907501"</f>
        <v>40.907501</v>
      </c>
      <c r="R2006" t="str">
        <f>"24.657760"</f>
        <v>24.657760</v>
      </c>
      <c r="S2006" t="s">
        <v>26</v>
      </c>
    </row>
    <row r="2007" spans="1:19" x14ac:dyDescent="0.3">
      <c r="A2007" t="s">
        <v>19</v>
      </c>
      <c r="B2007" t="s">
        <v>1633</v>
      </c>
      <c r="C2007" t="s">
        <v>2008</v>
      </c>
      <c r="D2007" t="s">
        <v>426</v>
      </c>
      <c r="E2007" t="s">
        <v>426</v>
      </c>
      <c r="F2007" t="s">
        <v>426</v>
      </c>
      <c r="G2007" t="s">
        <v>1911</v>
      </c>
      <c r="H2007" t="s">
        <v>868</v>
      </c>
      <c r="I2007" t="s">
        <v>950</v>
      </c>
      <c r="J2007" t="str">
        <f>"9210127"</f>
        <v>9210127</v>
      </c>
      <c r="K2007">
        <v>2593091227</v>
      </c>
      <c r="L2007">
        <v>2593091227</v>
      </c>
      <c r="M2007" t="s">
        <v>2009</v>
      </c>
      <c r="N2007" t="s">
        <v>1914</v>
      </c>
      <c r="O2007" t="s">
        <v>1914</v>
      </c>
      <c r="P2007">
        <v>64010</v>
      </c>
      <c r="Q2007" t="str">
        <f>"40.692741"</f>
        <v>40.692741</v>
      </c>
      <c r="R2007" t="str">
        <f>"24.553017"</f>
        <v>24.553017</v>
      </c>
      <c r="S2007" t="s">
        <v>26</v>
      </c>
    </row>
    <row r="2008" spans="1:19" x14ac:dyDescent="0.3">
      <c r="A2008" t="s">
        <v>19</v>
      </c>
      <c r="B2008" t="s">
        <v>1633</v>
      </c>
      <c r="C2008" t="s">
        <v>2011</v>
      </c>
      <c r="D2008" t="s">
        <v>33</v>
      </c>
      <c r="E2008" t="s">
        <v>469</v>
      </c>
      <c r="F2008" t="s">
        <v>470</v>
      </c>
      <c r="G2008" t="s">
        <v>2010</v>
      </c>
      <c r="H2008" t="s">
        <v>868</v>
      </c>
      <c r="I2008" t="s">
        <v>869</v>
      </c>
      <c r="J2008" t="str">
        <f>"9210031"</f>
        <v>9210031</v>
      </c>
      <c r="K2008">
        <v>2591041241</v>
      </c>
      <c r="L2008">
        <v>2591041241</v>
      </c>
      <c r="M2008" t="s">
        <v>2012</v>
      </c>
      <c r="N2008" t="s">
        <v>2013</v>
      </c>
      <c r="O2008" t="s">
        <v>2014</v>
      </c>
      <c r="P2008">
        <v>64200</v>
      </c>
      <c r="Q2008" t="str">
        <f>"40.996288"</f>
        <v>40.996288</v>
      </c>
      <c r="R2008" t="str">
        <f>"24.651832"</f>
        <v>24.651832</v>
      </c>
      <c r="S2008" t="s">
        <v>26</v>
      </c>
    </row>
    <row r="2009" spans="1:19" x14ac:dyDescent="0.3">
      <c r="A2009" t="s">
        <v>19</v>
      </c>
      <c r="B2009" t="s">
        <v>1633</v>
      </c>
      <c r="C2009" t="s">
        <v>2015</v>
      </c>
      <c r="D2009" t="s">
        <v>33</v>
      </c>
      <c r="E2009" t="s">
        <v>469</v>
      </c>
      <c r="F2009" t="s">
        <v>470</v>
      </c>
      <c r="G2009" t="s">
        <v>1953</v>
      </c>
      <c r="H2009" t="s">
        <v>868</v>
      </c>
      <c r="I2009" t="s">
        <v>869</v>
      </c>
      <c r="J2009" t="str">
        <f>"9210063"</f>
        <v>9210063</v>
      </c>
      <c r="K2009">
        <v>2591061236</v>
      </c>
      <c r="L2009">
        <v>2591061236</v>
      </c>
      <c r="M2009" t="s">
        <v>2016</v>
      </c>
      <c r="N2009" t="s">
        <v>1956</v>
      </c>
      <c r="O2009" t="s">
        <v>2017</v>
      </c>
      <c r="P2009">
        <v>64200</v>
      </c>
      <c r="Q2009" t="str">
        <f>"40.926845"</f>
        <v>40.926845</v>
      </c>
      <c r="R2009" t="str">
        <f>"24.713587"</f>
        <v>24.713587</v>
      </c>
      <c r="S2009" t="s">
        <v>26</v>
      </c>
    </row>
    <row r="2010" spans="1:19" x14ac:dyDescent="0.3">
      <c r="A2010" t="s">
        <v>19</v>
      </c>
      <c r="B2010" t="s">
        <v>1633</v>
      </c>
      <c r="C2010" t="s">
        <v>2018</v>
      </c>
      <c r="D2010" t="s">
        <v>33</v>
      </c>
      <c r="E2010" t="s">
        <v>469</v>
      </c>
      <c r="F2010" t="s">
        <v>470</v>
      </c>
      <c r="G2010" t="s">
        <v>470</v>
      </c>
      <c r="H2010" t="s">
        <v>868</v>
      </c>
      <c r="I2010" t="s">
        <v>869</v>
      </c>
      <c r="J2010" t="str">
        <f>"9210019"</f>
        <v>9210019</v>
      </c>
      <c r="K2010">
        <v>2591022178</v>
      </c>
      <c r="L2010">
        <v>2591022178</v>
      </c>
      <c r="M2010" t="s">
        <v>2019</v>
      </c>
      <c r="N2010" t="s">
        <v>588</v>
      </c>
      <c r="O2010" t="s">
        <v>1863</v>
      </c>
      <c r="P2010">
        <v>64200</v>
      </c>
      <c r="Q2010" t="str">
        <f>"40.992843"</f>
        <v>40.992843</v>
      </c>
      <c r="R2010" t="str">
        <f>"24.695884"</f>
        <v>24.695884</v>
      </c>
      <c r="S2010" t="s">
        <v>26</v>
      </c>
    </row>
    <row r="2011" spans="1:19" x14ac:dyDescent="0.3">
      <c r="A2011" t="s">
        <v>19</v>
      </c>
      <c r="B2011" t="s">
        <v>1633</v>
      </c>
      <c r="C2011" t="s">
        <v>454</v>
      </c>
      <c r="D2011" t="s">
        <v>33</v>
      </c>
      <c r="E2011" t="s">
        <v>33</v>
      </c>
      <c r="F2011" t="s">
        <v>33</v>
      </c>
      <c r="G2011" t="s">
        <v>33</v>
      </c>
      <c r="H2011" t="s">
        <v>868</v>
      </c>
      <c r="I2011" t="s">
        <v>869</v>
      </c>
      <c r="J2011" t="str">
        <f>"9210191"</f>
        <v>9210191</v>
      </c>
      <c r="K2011">
        <v>2510244560</v>
      </c>
      <c r="L2011">
        <v>2510244560</v>
      </c>
      <c r="M2011" t="s">
        <v>2020</v>
      </c>
      <c r="N2011" t="s">
        <v>2021</v>
      </c>
      <c r="O2011" t="s">
        <v>2022</v>
      </c>
      <c r="P2011">
        <v>65404</v>
      </c>
      <c r="Q2011" t="str">
        <f>"40.931040"</f>
        <v>40.931040</v>
      </c>
      <c r="R2011" t="str">
        <f>"24.381123"</f>
        <v>24.381123</v>
      </c>
      <c r="S2011" t="s">
        <v>26</v>
      </c>
    </row>
    <row r="2012" spans="1:19" x14ac:dyDescent="0.3">
      <c r="A2012" t="s">
        <v>19</v>
      </c>
      <c r="B2012" t="s">
        <v>1633</v>
      </c>
      <c r="C2012" t="s">
        <v>554</v>
      </c>
      <c r="D2012" t="s">
        <v>426</v>
      </c>
      <c r="E2012" t="s">
        <v>426</v>
      </c>
      <c r="F2012" t="s">
        <v>426</v>
      </c>
      <c r="G2012" t="s">
        <v>549</v>
      </c>
      <c r="H2012" t="s">
        <v>868</v>
      </c>
      <c r="I2012" t="s">
        <v>869</v>
      </c>
      <c r="J2012" t="str">
        <f>"9210137"</f>
        <v>9210137</v>
      </c>
      <c r="K2012">
        <v>2593071232</v>
      </c>
      <c r="L2012">
        <v>2593071232</v>
      </c>
      <c r="M2012" t="s">
        <v>2023</v>
      </c>
      <c r="N2012" t="s">
        <v>2024</v>
      </c>
      <c r="O2012" t="s">
        <v>552</v>
      </c>
      <c r="P2012">
        <v>64010</v>
      </c>
      <c r="Q2012" t="str">
        <f>"40.740956"</f>
        <v>40.740956</v>
      </c>
      <c r="R2012" t="str">
        <f>"24.577215"</f>
        <v>24.577215</v>
      </c>
      <c r="S2012" t="s">
        <v>26</v>
      </c>
    </row>
    <row r="2013" spans="1:19" x14ac:dyDescent="0.3">
      <c r="A2013" t="s">
        <v>19</v>
      </c>
      <c r="B2013" t="s">
        <v>1633</v>
      </c>
      <c r="C2013" t="s">
        <v>2025</v>
      </c>
      <c r="D2013" t="s">
        <v>33</v>
      </c>
      <c r="E2013" t="s">
        <v>469</v>
      </c>
      <c r="F2013" t="s">
        <v>470</v>
      </c>
      <c r="G2013" t="s">
        <v>1764</v>
      </c>
      <c r="H2013" t="s">
        <v>868</v>
      </c>
      <c r="I2013" t="s">
        <v>869</v>
      </c>
      <c r="J2013" t="str">
        <f>"9210036"</f>
        <v>9210036</v>
      </c>
      <c r="K2013">
        <v>2591053141</v>
      </c>
      <c r="L2013">
        <v>2591047283</v>
      </c>
      <c r="M2013" t="s">
        <v>2026</v>
      </c>
      <c r="N2013" t="s">
        <v>1767</v>
      </c>
      <c r="O2013" t="s">
        <v>1767</v>
      </c>
      <c r="P2013">
        <v>64200</v>
      </c>
      <c r="Q2013" t="str">
        <f>"40.948491"</f>
        <v>40.948491</v>
      </c>
      <c r="R2013" t="str">
        <f>"24.640915"</f>
        <v>24.640915</v>
      </c>
      <c r="S2013" t="s">
        <v>26</v>
      </c>
    </row>
    <row r="2014" spans="1:19" x14ac:dyDescent="0.3">
      <c r="A2014" t="s">
        <v>19</v>
      </c>
      <c r="B2014" t="s">
        <v>1633</v>
      </c>
      <c r="C2014" t="s">
        <v>2027</v>
      </c>
      <c r="D2014" t="s">
        <v>426</v>
      </c>
      <c r="E2014" t="s">
        <v>426</v>
      </c>
      <c r="F2014" t="s">
        <v>426</v>
      </c>
      <c r="G2014" t="s">
        <v>1782</v>
      </c>
      <c r="H2014" t="s">
        <v>868</v>
      </c>
      <c r="I2014" t="s">
        <v>869</v>
      </c>
      <c r="J2014" t="str">
        <f>"9210136"</f>
        <v>9210136</v>
      </c>
      <c r="K2014">
        <v>2593061314</v>
      </c>
      <c r="L2014">
        <v>2593061314</v>
      </c>
      <c r="M2014" t="s">
        <v>2028</v>
      </c>
      <c r="N2014" t="s">
        <v>448</v>
      </c>
      <c r="O2014" t="s">
        <v>2029</v>
      </c>
      <c r="P2014">
        <v>64004</v>
      </c>
      <c r="Q2014" t="str">
        <f>"40.718600"</f>
        <v>40.718600</v>
      </c>
      <c r="R2014" t="str">
        <f>"24.730118"</f>
        <v>24.730118</v>
      </c>
      <c r="S2014" t="s">
        <v>26</v>
      </c>
    </row>
    <row r="2015" spans="1:19" x14ac:dyDescent="0.3">
      <c r="A2015" t="s">
        <v>19</v>
      </c>
      <c r="B2015" t="s">
        <v>1633</v>
      </c>
      <c r="C2015" t="s">
        <v>2030</v>
      </c>
      <c r="D2015" t="s">
        <v>33</v>
      </c>
      <c r="E2015" t="s">
        <v>33</v>
      </c>
      <c r="F2015" t="s">
        <v>520</v>
      </c>
      <c r="G2015" t="s">
        <v>1746</v>
      </c>
      <c r="H2015" t="s">
        <v>868</v>
      </c>
      <c r="I2015" t="s">
        <v>869</v>
      </c>
      <c r="J2015" t="str">
        <f>"9210157"</f>
        <v>9210157</v>
      </c>
      <c r="K2015">
        <v>2510611203</v>
      </c>
      <c r="L2015">
        <v>2510611203</v>
      </c>
      <c r="M2015" t="s">
        <v>2031</v>
      </c>
      <c r="N2015" t="s">
        <v>1749</v>
      </c>
      <c r="O2015" t="s">
        <v>1749</v>
      </c>
      <c r="P2015">
        <v>64003</v>
      </c>
      <c r="Q2015" t="str">
        <f>"41.013068"</f>
        <v>41.013068</v>
      </c>
      <c r="R2015" t="str">
        <f>"24.383428"</f>
        <v>24.383428</v>
      </c>
      <c r="S2015" t="s">
        <v>26</v>
      </c>
    </row>
    <row r="2016" spans="1:19" x14ac:dyDescent="0.3">
      <c r="A2016" t="s">
        <v>19</v>
      </c>
      <c r="B2016" t="s">
        <v>1633</v>
      </c>
      <c r="C2016" t="s">
        <v>2034</v>
      </c>
      <c r="D2016" t="s">
        <v>33</v>
      </c>
      <c r="E2016" t="s">
        <v>33</v>
      </c>
      <c r="F2016" t="s">
        <v>33</v>
      </c>
      <c r="G2016" t="s">
        <v>33</v>
      </c>
      <c r="H2016" t="s">
        <v>868</v>
      </c>
      <c r="I2016" t="s">
        <v>869</v>
      </c>
      <c r="J2016" t="str">
        <f>"9210013"</f>
        <v>9210013</v>
      </c>
      <c r="K2016">
        <v>2510222833</v>
      </c>
      <c r="L2016">
        <v>2510222833</v>
      </c>
      <c r="M2016" t="s">
        <v>2035</v>
      </c>
      <c r="N2016" t="s">
        <v>36</v>
      </c>
      <c r="O2016" t="s">
        <v>2036</v>
      </c>
      <c r="P2016">
        <v>65201</v>
      </c>
      <c r="Q2016" t="str">
        <f>"40.930572"</f>
        <v>40.930572</v>
      </c>
      <c r="R2016" t="str">
        <f>"24.413916"</f>
        <v>24.413916</v>
      </c>
      <c r="S2016" t="s">
        <v>26</v>
      </c>
    </row>
    <row r="2017" spans="1:19" x14ac:dyDescent="0.3">
      <c r="A2017" t="s">
        <v>19</v>
      </c>
      <c r="B2017" t="s">
        <v>1633</v>
      </c>
      <c r="C2017" t="s">
        <v>440</v>
      </c>
      <c r="D2017" t="s">
        <v>33</v>
      </c>
      <c r="E2017" t="s">
        <v>33</v>
      </c>
      <c r="F2017" t="s">
        <v>33</v>
      </c>
      <c r="G2017" t="s">
        <v>435</v>
      </c>
      <c r="H2017" t="s">
        <v>868</v>
      </c>
      <c r="I2017" t="s">
        <v>869</v>
      </c>
      <c r="J2017" t="str">
        <f>"9210015"</f>
        <v>9210015</v>
      </c>
      <c r="K2017">
        <v>2510316235</v>
      </c>
      <c r="L2017">
        <v>2510316235</v>
      </c>
      <c r="M2017" t="s">
        <v>2037</v>
      </c>
      <c r="N2017" t="s">
        <v>438</v>
      </c>
      <c r="O2017" t="s">
        <v>438</v>
      </c>
      <c r="P2017">
        <v>64006</v>
      </c>
      <c r="Q2017" t="str">
        <f>"40.960584"</f>
        <v>40.960584</v>
      </c>
      <c r="R2017" t="str">
        <f>"24.510537"</f>
        <v>24.510537</v>
      </c>
      <c r="S2017" t="s">
        <v>26</v>
      </c>
    </row>
    <row r="2018" spans="1:19" x14ac:dyDescent="0.3">
      <c r="A2018" t="s">
        <v>19</v>
      </c>
      <c r="B2018" t="s">
        <v>1633</v>
      </c>
      <c r="C2018" t="s">
        <v>450</v>
      </c>
      <c r="D2018" t="s">
        <v>426</v>
      </c>
      <c r="E2018" t="s">
        <v>426</v>
      </c>
      <c r="F2018" t="s">
        <v>426</v>
      </c>
      <c r="G2018" t="s">
        <v>445</v>
      </c>
      <c r="H2018" t="s">
        <v>868</v>
      </c>
      <c r="I2018" t="s">
        <v>869</v>
      </c>
      <c r="J2018" t="str">
        <f>"9210130"</f>
        <v>9210130</v>
      </c>
      <c r="K2018">
        <v>2593051243</v>
      </c>
      <c r="L2018">
        <v>2593051243</v>
      </c>
      <c r="M2018" t="s">
        <v>2038</v>
      </c>
      <c r="N2018" t="s">
        <v>2039</v>
      </c>
      <c r="O2018" t="s">
        <v>2039</v>
      </c>
      <c r="P2018">
        <v>64002</v>
      </c>
      <c r="Q2018" t="str">
        <f>"40.631638"</f>
        <v>40.631638</v>
      </c>
      <c r="R2018" t="str">
        <f>"24.574292"</f>
        <v>24.574292</v>
      </c>
      <c r="S2018" t="s">
        <v>26</v>
      </c>
    </row>
    <row r="2019" spans="1:19" x14ac:dyDescent="0.3">
      <c r="A2019" t="s">
        <v>19</v>
      </c>
      <c r="B2019" t="s">
        <v>1633</v>
      </c>
      <c r="C2019" t="s">
        <v>2040</v>
      </c>
      <c r="D2019" t="s">
        <v>33</v>
      </c>
      <c r="E2019" t="s">
        <v>33</v>
      </c>
      <c r="F2019" t="s">
        <v>33</v>
      </c>
      <c r="G2019" t="s">
        <v>33</v>
      </c>
      <c r="H2019" t="s">
        <v>868</v>
      </c>
      <c r="I2019" t="s">
        <v>869</v>
      </c>
      <c r="J2019" t="str">
        <f>"9210146"</f>
        <v>9210146</v>
      </c>
      <c r="K2019">
        <v>2510225427</v>
      </c>
      <c r="L2019">
        <v>2510225427</v>
      </c>
      <c r="M2019" t="s">
        <v>2041</v>
      </c>
      <c r="N2019" t="s">
        <v>36</v>
      </c>
      <c r="O2019" t="s">
        <v>1661</v>
      </c>
      <c r="P2019">
        <v>65403</v>
      </c>
      <c r="Q2019" t="str">
        <f>"40.939620"</f>
        <v>40.939620</v>
      </c>
      <c r="R2019" t="str">
        <f>"24.396934"</f>
        <v>24.396934</v>
      </c>
      <c r="S2019" t="s">
        <v>26</v>
      </c>
    </row>
    <row r="2020" spans="1:19" x14ac:dyDescent="0.3">
      <c r="A2020" t="s">
        <v>19</v>
      </c>
      <c r="B2020" t="s">
        <v>1633</v>
      </c>
      <c r="C2020" t="s">
        <v>548</v>
      </c>
      <c r="D2020" t="s">
        <v>33</v>
      </c>
      <c r="E2020" t="s">
        <v>33</v>
      </c>
      <c r="F2020" t="s">
        <v>33</v>
      </c>
      <c r="G2020" t="s">
        <v>33</v>
      </c>
      <c r="H2020" t="s">
        <v>868</v>
      </c>
      <c r="I2020" t="s">
        <v>869</v>
      </c>
      <c r="J2020" t="str">
        <f>"9210071"</f>
        <v>9210071</v>
      </c>
      <c r="K2020">
        <v>2510224463</v>
      </c>
      <c r="L2020">
        <v>2510224463</v>
      </c>
      <c r="M2020" t="s">
        <v>2042</v>
      </c>
      <c r="N2020" t="s">
        <v>567</v>
      </c>
      <c r="O2020" t="s">
        <v>2043</v>
      </c>
      <c r="P2020">
        <v>65302</v>
      </c>
      <c r="Q2020" t="str">
        <f>"40.938645"</f>
        <v>40.938645</v>
      </c>
      <c r="R2020" t="str">
        <f>"24.410434"</f>
        <v>24.410434</v>
      </c>
      <c r="S2020" t="s">
        <v>26</v>
      </c>
    </row>
    <row r="2021" spans="1:19" x14ac:dyDescent="0.3">
      <c r="A2021" t="s">
        <v>19</v>
      </c>
      <c r="B2021" t="s">
        <v>1633</v>
      </c>
      <c r="C2021" t="s">
        <v>2044</v>
      </c>
      <c r="D2021" t="s">
        <v>33</v>
      </c>
      <c r="E2021" t="s">
        <v>469</v>
      </c>
      <c r="F2021" t="s">
        <v>470</v>
      </c>
      <c r="G2021" t="s">
        <v>470</v>
      </c>
      <c r="H2021" t="s">
        <v>868</v>
      </c>
      <c r="I2021" t="s">
        <v>869</v>
      </c>
      <c r="J2021" t="str">
        <f>"9210023"</f>
        <v>9210023</v>
      </c>
      <c r="K2021">
        <v>2591022683</v>
      </c>
      <c r="L2021">
        <v>2591022683</v>
      </c>
      <c r="M2021" t="s">
        <v>2045</v>
      </c>
      <c r="N2021" t="s">
        <v>588</v>
      </c>
      <c r="O2021" t="s">
        <v>2046</v>
      </c>
      <c r="P2021">
        <v>64200</v>
      </c>
      <c r="Q2021" t="str">
        <f>"40.979562"</f>
        <v>40.979562</v>
      </c>
      <c r="R2021" t="str">
        <f>"24.707862"</f>
        <v>24.707862</v>
      </c>
      <c r="S2021" t="s">
        <v>26</v>
      </c>
    </row>
    <row r="2022" spans="1:19" x14ac:dyDescent="0.3">
      <c r="A2022" t="s">
        <v>19</v>
      </c>
      <c r="B2022" t="s">
        <v>1633</v>
      </c>
      <c r="C2022" t="s">
        <v>2049</v>
      </c>
      <c r="D2022" t="s">
        <v>33</v>
      </c>
      <c r="E2022" t="s">
        <v>33</v>
      </c>
      <c r="F2022" t="s">
        <v>33</v>
      </c>
      <c r="G2022" t="s">
        <v>33</v>
      </c>
      <c r="H2022" t="s">
        <v>868</v>
      </c>
      <c r="I2022" t="s">
        <v>869</v>
      </c>
      <c r="J2022" t="str">
        <f>"9210069"</f>
        <v>9210069</v>
      </c>
      <c r="K2022">
        <v>6936634138</v>
      </c>
      <c r="L2022">
        <v>2510831244</v>
      </c>
      <c r="M2022" t="s">
        <v>2050</v>
      </c>
      <c r="N2022" t="s">
        <v>36</v>
      </c>
      <c r="O2022" t="s">
        <v>1658</v>
      </c>
      <c r="P2022">
        <v>65302</v>
      </c>
      <c r="Q2022" t="str">
        <f>"40.942503"</f>
        <v>40.942503</v>
      </c>
      <c r="R2022" t="str">
        <f>"24.407506"</f>
        <v>24.407506</v>
      </c>
      <c r="S2022" t="s">
        <v>26</v>
      </c>
    </row>
    <row r="2023" spans="1:19" x14ac:dyDescent="0.3">
      <c r="A2023" t="s">
        <v>19</v>
      </c>
      <c r="B2023" t="s">
        <v>1633</v>
      </c>
      <c r="C2023" t="s">
        <v>444</v>
      </c>
      <c r="D2023" t="s">
        <v>33</v>
      </c>
      <c r="E2023" t="s">
        <v>33</v>
      </c>
      <c r="F2023" t="s">
        <v>33</v>
      </c>
      <c r="G2023" t="s">
        <v>33</v>
      </c>
      <c r="H2023" t="s">
        <v>868</v>
      </c>
      <c r="I2023" t="s">
        <v>869</v>
      </c>
      <c r="J2023" t="str">
        <f>"9210014"</f>
        <v>9210014</v>
      </c>
      <c r="K2023">
        <v>2510228120</v>
      </c>
      <c r="L2023">
        <v>2510228120</v>
      </c>
      <c r="M2023" t="s">
        <v>2051</v>
      </c>
      <c r="N2023" t="s">
        <v>567</v>
      </c>
      <c r="O2023" t="s">
        <v>1670</v>
      </c>
      <c r="P2023">
        <v>65201</v>
      </c>
      <c r="Q2023" t="str">
        <f>"40.946566"</f>
        <v>40.946566</v>
      </c>
      <c r="R2023" t="str">
        <f>"24.421225"</f>
        <v>24.421225</v>
      </c>
      <c r="S2023" t="s">
        <v>26</v>
      </c>
    </row>
    <row r="2024" spans="1:19" x14ac:dyDescent="0.3">
      <c r="A2024" t="s">
        <v>19</v>
      </c>
      <c r="B2024" t="s">
        <v>1633</v>
      </c>
      <c r="C2024" t="s">
        <v>2052</v>
      </c>
      <c r="D2024" t="s">
        <v>33</v>
      </c>
      <c r="E2024" t="s">
        <v>33</v>
      </c>
      <c r="F2024" t="s">
        <v>33</v>
      </c>
      <c r="G2024" t="s">
        <v>33</v>
      </c>
      <c r="H2024" t="s">
        <v>868</v>
      </c>
      <c r="I2024" t="s">
        <v>869</v>
      </c>
      <c r="J2024" t="str">
        <f>"9210150"</f>
        <v>9210150</v>
      </c>
      <c r="K2024">
        <v>2510441699</v>
      </c>
      <c r="L2024">
        <v>2510441699</v>
      </c>
      <c r="M2024" t="s">
        <v>2053</v>
      </c>
      <c r="N2024" t="s">
        <v>2054</v>
      </c>
      <c r="O2024" t="s">
        <v>1813</v>
      </c>
      <c r="P2024">
        <v>65500</v>
      </c>
      <c r="Q2024" t="str">
        <f>"40.897701"</f>
        <v>40.897701</v>
      </c>
      <c r="R2024" t="str">
        <f>"24.337218"</f>
        <v>24.337218</v>
      </c>
      <c r="S2024" t="s">
        <v>26</v>
      </c>
    </row>
    <row r="2025" spans="1:19" x14ac:dyDescent="0.3">
      <c r="A2025" t="s">
        <v>19</v>
      </c>
      <c r="B2025" t="s">
        <v>1633</v>
      </c>
      <c r="C2025" t="s">
        <v>2057</v>
      </c>
      <c r="D2025" t="s">
        <v>33</v>
      </c>
      <c r="E2025" t="s">
        <v>411</v>
      </c>
      <c r="F2025" t="s">
        <v>455</v>
      </c>
      <c r="G2025" t="s">
        <v>456</v>
      </c>
      <c r="H2025" t="s">
        <v>868</v>
      </c>
      <c r="I2025" t="s">
        <v>869</v>
      </c>
      <c r="J2025" t="str">
        <f>"9521116"</f>
        <v>9521116</v>
      </c>
      <c r="K2025">
        <v>2594021214</v>
      </c>
      <c r="L2025">
        <v>2594021214</v>
      </c>
      <c r="M2025" t="s">
        <v>2058</v>
      </c>
      <c r="N2025" t="s">
        <v>530</v>
      </c>
      <c r="O2025" t="s">
        <v>2059</v>
      </c>
      <c r="P2025">
        <v>64007</v>
      </c>
      <c r="Q2025" t="str">
        <f>"40.848955"</f>
        <v>40.848955</v>
      </c>
      <c r="R2025" t="str">
        <f>"24.309177"</f>
        <v>24.309177</v>
      </c>
      <c r="S2025" t="s">
        <v>26</v>
      </c>
    </row>
    <row r="2026" spans="1:19" x14ac:dyDescent="0.3">
      <c r="A2026" t="s">
        <v>19</v>
      </c>
      <c r="B2026" t="s">
        <v>1633</v>
      </c>
      <c r="C2026" t="s">
        <v>2060</v>
      </c>
      <c r="D2026" t="s">
        <v>426</v>
      </c>
      <c r="E2026" t="s">
        <v>426</v>
      </c>
      <c r="F2026" t="s">
        <v>426</v>
      </c>
      <c r="G2026" t="s">
        <v>426</v>
      </c>
      <c r="H2026" t="s">
        <v>868</v>
      </c>
      <c r="I2026" t="s">
        <v>869</v>
      </c>
      <c r="J2026" t="str">
        <f>"9210123"</f>
        <v>9210123</v>
      </c>
      <c r="K2026">
        <v>2593022194</v>
      </c>
      <c r="L2026">
        <v>2593022194</v>
      </c>
      <c r="M2026" t="s">
        <v>2061</v>
      </c>
      <c r="N2026" t="s">
        <v>1860</v>
      </c>
      <c r="O2026" t="s">
        <v>2062</v>
      </c>
      <c r="P2026">
        <v>64004</v>
      </c>
      <c r="Q2026" t="str">
        <f>"40.778757"</f>
        <v>40.778757</v>
      </c>
      <c r="R2026" t="str">
        <f>"24.712441"</f>
        <v>24.712441</v>
      </c>
      <c r="S2026" t="s">
        <v>26</v>
      </c>
    </row>
    <row r="2027" spans="1:19" x14ac:dyDescent="0.3">
      <c r="A2027" t="s">
        <v>19</v>
      </c>
      <c r="B2027" t="s">
        <v>1633</v>
      </c>
      <c r="C2027" t="s">
        <v>468</v>
      </c>
      <c r="D2027" t="s">
        <v>33</v>
      </c>
      <c r="E2027" t="s">
        <v>411</v>
      </c>
      <c r="F2027" t="s">
        <v>461</v>
      </c>
      <c r="G2027" t="s">
        <v>461</v>
      </c>
      <c r="H2027" t="s">
        <v>868</v>
      </c>
      <c r="I2027" t="s">
        <v>869</v>
      </c>
      <c r="J2027" t="str">
        <f>"9210079"</f>
        <v>9210079</v>
      </c>
      <c r="K2027">
        <v>2592022877</v>
      </c>
      <c r="L2027">
        <v>2592022877</v>
      </c>
      <c r="M2027" t="s">
        <v>2067</v>
      </c>
      <c r="N2027" t="s">
        <v>2068</v>
      </c>
      <c r="O2027" t="s">
        <v>2069</v>
      </c>
      <c r="P2027">
        <v>64100</v>
      </c>
      <c r="Q2027" t="str">
        <f>"40.922399"</f>
        <v>40.922399</v>
      </c>
      <c r="R2027" t="str">
        <f>"24.259741"</f>
        <v>24.259741</v>
      </c>
      <c r="S2027" t="s">
        <v>26</v>
      </c>
    </row>
    <row r="2028" spans="1:19" x14ac:dyDescent="0.3">
      <c r="A2028" t="s">
        <v>19</v>
      </c>
      <c r="B2028" t="s">
        <v>1633</v>
      </c>
      <c r="C2028" t="s">
        <v>2070</v>
      </c>
      <c r="D2028" t="s">
        <v>33</v>
      </c>
      <c r="E2028" t="s">
        <v>33</v>
      </c>
      <c r="F2028" t="s">
        <v>33</v>
      </c>
      <c r="G2028" t="s">
        <v>33</v>
      </c>
      <c r="H2028" t="s">
        <v>868</v>
      </c>
      <c r="I2028" t="s">
        <v>1157</v>
      </c>
      <c r="J2028" t="str">
        <f>"9210198"</f>
        <v>9210198</v>
      </c>
      <c r="K2028">
        <v>2510243003</v>
      </c>
      <c r="L2028">
        <v>2510243003</v>
      </c>
      <c r="M2028" t="s">
        <v>2071</v>
      </c>
      <c r="N2028" t="s">
        <v>36</v>
      </c>
      <c r="O2028" t="s">
        <v>2072</v>
      </c>
      <c r="P2028">
        <v>65200</v>
      </c>
      <c r="Q2028" t="str">
        <f>"40.951879"</f>
        <v>40.951879</v>
      </c>
      <c r="R2028" t="str">
        <f>"24.433083"</f>
        <v>24.433083</v>
      </c>
      <c r="S2028" t="s">
        <v>26</v>
      </c>
    </row>
    <row r="2029" spans="1:19" x14ac:dyDescent="0.3">
      <c r="A2029" t="s">
        <v>19</v>
      </c>
      <c r="B2029" t="s">
        <v>1633</v>
      </c>
      <c r="C2029" t="s">
        <v>2085</v>
      </c>
      <c r="D2029" t="s">
        <v>33</v>
      </c>
      <c r="E2029" t="s">
        <v>33</v>
      </c>
      <c r="F2029" t="s">
        <v>33</v>
      </c>
      <c r="G2029" t="s">
        <v>33</v>
      </c>
      <c r="H2029" t="s">
        <v>868</v>
      </c>
      <c r="I2029" t="s">
        <v>869</v>
      </c>
      <c r="J2029" t="str">
        <f>"9210189"</f>
        <v>9210189</v>
      </c>
      <c r="K2029">
        <v>2510228111</v>
      </c>
      <c r="L2029">
        <v>2510228111</v>
      </c>
      <c r="M2029" t="s">
        <v>2086</v>
      </c>
      <c r="N2029" t="s">
        <v>36</v>
      </c>
      <c r="O2029" t="s">
        <v>2079</v>
      </c>
      <c r="P2029">
        <v>65201</v>
      </c>
      <c r="Q2029" t="str">
        <f>"40.936883"</f>
        <v>40.936883</v>
      </c>
      <c r="R2029" t="str">
        <f>"24.422064"</f>
        <v>24.422064</v>
      </c>
      <c r="S2029" t="s">
        <v>26</v>
      </c>
    </row>
    <row r="2030" spans="1:19" x14ac:dyDescent="0.3">
      <c r="A2030" t="s">
        <v>19</v>
      </c>
      <c r="B2030" t="s">
        <v>2087</v>
      </c>
      <c r="C2030" t="s">
        <v>2088</v>
      </c>
      <c r="D2030" t="s">
        <v>38</v>
      </c>
      <c r="E2030" t="s">
        <v>663</v>
      </c>
      <c r="F2030" t="s">
        <v>663</v>
      </c>
      <c r="G2030" t="s">
        <v>664</v>
      </c>
      <c r="H2030" t="s">
        <v>868</v>
      </c>
      <c r="I2030" t="s">
        <v>1157</v>
      </c>
      <c r="J2030" t="str">
        <f>"9520899"</f>
        <v>9520899</v>
      </c>
      <c r="K2030">
        <v>2541023355</v>
      </c>
      <c r="L2030">
        <v>2541023355</v>
      </c>
      <c r="M2030" t="s">
        <v>2089</v>
      </c>
      <c r="N2030" t="s">
        <v>2090</v>
      </c>
      <c r="O2030" t="s">
        <v>2091</v>
      </c>
      <c r="P2030">
        <v>67100</v>
      </c>
      <c r="Q2030" t="str">
        <f>"41.080859"</f>
        <v>41.080859</v>
      </c>
      <c r="R2030" t="str">
        <f>"24.797631"</f>
        <v>24.797631</v>
      </c>
      <c r="S2030" t="s">
        <v>26</v>
      </c>
    </row>
    <row r="2031" spans="1:19" x14ac:dyDescent="0.3">
      <c r="A2031" t="s">
        <v>19</v>
      </c>
      <c r="B2031" t="s">
        <v>2087</v>
      </c>
      <c r="C2031" t="s">
        <v>2092</v>
      </c>
      <c r="D2031" t="s">
        <v>38</v>
      </c>
      <c r="E2031" t="s">
        <v>38</v>
      </c>
      <c r="F2031" t="s">
        <v>38</v>
      </c>
      <c r="G2031" t="s">
        <v>38</v>
      </c>
      <c r="H2031" t="s">
        <v>868</v>
      </c>
      <c r="I2031" t="s">
        <v>869</v>
      </c>
      <c r="J2031" t="str">
        <f>"9370253"</f>
        <v>9370253</v>
      </c>
      <c r="K2031">
        <v>2541020174</v>
      </c>
      <c r="L2031">
        <v>2541020174</v>
      </c>
      <c r="M2031" t="s">
        <v>2093</v>
      </c>
      <c r="N2031" t="s">
        <v>41</v>
      </c>
      <c r="O2031" t="s">
        <v>613</v>
      </c>
      <c r="P2031">
        <v>67100</v>
      </c>
      <c r="Q2031" t="str">
        <f>"41.118269"</f>
        <v>41.118269</v>
      </c>
      <c r="R2031" t="str">
        <f>"24.922368"</f>
        <v>24.922368</v>
      </c>
      <c r="S2031" t="s">
        <v>26</v>
      </c>
    </row>
    <row r="2032" spans="1:19" x14ac:dyDescent="0.3">
      <c r="A2032" t="s">
        <v>19</v>
      </c>
      <c r="B2032" t="s">
        <v>2087</v>
      </c>
      <c r="C2032" t="s">
        <v>2094</v>
      </c>
      <c r="D2032" t="s">
        <v>38</v>
      </c>
      <c r="E2032" t="s">
        <v>38</v>
      </c>
      <c r="F2032" t="s">
        <v>38</v>
      </c>
      <c r="G2032" t="s">
        <v>38</v>
      </c>
      <c r="H2032" t="s">
        <v>868</v>
      </c>
      <c r="I2032" t="s">
        <v>869</v>
      </c>
      <c r="J2032" t="str">
        <f>"9370001"</f>
        <v>9370001</v>
      </c>
      <c r="K2032">
        <v>2541022477</v>
      </c>
      <c r="L2032">
        <v>2541022477</v>
      </c>
      <c r="M2032" t="s">
        <v>2095</v>
      </c>
      <c r="N2032" t="s">
        <v>41</v>
      </c>
      <c r="O2032" t="s">
        <v>2096</v>
      </c>
      <c r="P2032">
        <v>67132</v>
      </c>
      <c r="Q2032" t="str">
        <f>"41.144278"</f>
        <v>41.144278</v>
      </c>
      <c r="R2032" t="str">
        <f>"24.887436"</f>
        <v>24.887436</v>
      </c>
      <c r="S2032" t="s">
        <v>26</v>
      </c>
    </row>
    <row r="2033" spans="1:19" x14ac:dyDescent="0.3">
      <c r="A2033" t="s">
        <v>19</v>
      </c>
      <c r="B2033" t="s">
        <v>2087</v>
      </c>
      <c r="C2033" t="s">
        <v>2098</v>
      </c>
      <c r="D2033" t="s">
        <v>38</v>
      </c>
      <c r="E2033" t="s">
        <v>638</v>
      </c>
      <c r="F2033" t="s">
        <v>638</v>
      </c>
      <c r="G2033" t="s">
        <v>2097</v>
      </c>
      <c r="H2033" t="s">
        <v>868</v>
      </c>
      <c r="I2033" t="s">
        <v>1201</v>
      </c>
      <c r="J2033" t="str">
        <f>"9370165"</f>
        <v>9370165</v>
      </c>
      <c r="K2033">
        <v>2541067248</v>
      </c>
      <c r="M2033" t="s">
        <v>2099</v>
      </c>
      <c r="N2033" t="s">
        <v>2100</v>
      </c>
      <c r="O2033" t="s">
        <v>2101</v>
      </c>
      <c r="P2033">
        <v>67100</v>
      </c>
      <c r="Q2033" t="str">
        <f>"41.289967"</f>
        <v>41.289967</v>
      </c>
      <c r="R2033" t="str">
        <f>"24.796140"</f>
        <v>24.796140</v>
      </c>
      <c r="S2033" t="s">
        <v>57</v>
      </c>
    </row>
    <row r="2034" spans="1:19" x14ac:dyDescent="0.3">
      <c r="A2034" t="s">
        <v>19</v>
      </c>
      <c r="B2034" t="s">
        <v>2087</v>
      </c>
      <c r="C2034" t="s">
        <v>2103</v>
      </c>
      <c r="D2034" t="s">
        <v>38</v>
      </c>
      <c r="E2034" t="s">
        <v>638</v>
      </c>
      <c r="F2034" t="s">
        <v>2102</v>
      </c>
      <c r="G2034" t="s">
        <v>2102</v>
      </c>
      <c r="H2034" t="s">
        <v>868</v>
      </c>
      <c r="I2034" t="s">
        <v>1201</v>
      </c>
      <c r="J2034" t="str">
        <f>"9370185"</f>
        <v>9370185</v>
      </c>
      <c r="K2034">
        <v>2544024442</v>
      </c>
      <c r="M2034" t="s">
        <v>2104</v>
      </c>
      <c r="N2034" t="s">
        <v>2105</v>
      </c>
      <c r="O2034" t="s">
        <v>2106</v>
      </c>
      <c r="P2034">
        <v>67300</v>
      </c>
      <c r="Q2034" t="str">
        <f>""</f>
        <v/>
      </c>
      <c r="R2034" t="str">
        <f>""</f>
        <v/>
      </c>
      <c r="S2034" t="s">
        <v>26</v>
      </c>
    </row>
    <row r="2035" spans="1:19" x14ac:dyDescent="0.3">
      <c r="A2035" t="s">
        <v>19</v>
      </c>
      <c r="B2035" t="s">
        <v>2087</v>
      </c>
      <c r="C2035" t="s">
        <v>2107</v>
      </c>
      <c r="D2035" t="s">
        <v>38</v>
      </c>
      <c r="E2035" t="s">
        <v>638</v>
      </c>
      <c r="F2035" t="s">
        <v>638</v>
      </c>
      <c r="G2035" t="s">
        <v>638</v>
      </c>
      <c r="H2035" t="s">
        <v>868</v>
      </c>
      <c r="I2035" t="s">
        <v>1201</v>
      </c>
      <c r="J2035" t="str">
        <f>"9370194"</f>
        <v>9370194</v>
      </c>
      <c r="K2035">
        <v>2541069297</v>
      </c>
      <c r="L2035">
        <v>2541069297</v>
      </c>
      <c r="M2035" t="s">
        <v>2108</v>
      </c>
      <c r="N2035" t="s">
        <v>2109</v>
      </c>
      <c r="O2035" t="s">
        <v>2110</v>
      </c>
      <c r="P2035">
        <v>67100</v>
      </c>
      <c r="Q2035" t="str">
        <f>"41.225916"</f>
        <v>41.225916</v>
      </c>
      <c r="R2035" t="str">
        <f>"24.862833"</f>
        <v>24.862833</v>
      </c>
      <c r="S2035" t="s">
        <v>26</v>
      </c>
    </row>
    <row r="2036" spans="1:19" x14ac:dyDescent="0.3">
      <c r="A2036" t="s">
        <v>19</v>
      </c>
      <c r="B2036" t="s">
        <v>2087</v>
      </c>
      <c r="C2036" t="s">
        <v>2111</v>
      </c>
      <c r="D2036" t="s">
        <v>38</v>
      </c>
      <c r="E2036" t="s">
        <v>638</v>
      </c>
      <c r="F2036" t="s">
        <v>638</v>
      </c>
      <c r="G2036" t="s">
        <v>638</v>
      </c>
      <c r="H2036" t="s">
        <v>868</v>
      </c>
      <c r="I2036" t="s">
        <v>1201</v>
      </c>
      <c r="J2036" t="str">
        <f>"9370192"</f>
        <v>9370192</v>
      </c>
      <c r="K2036">
        <v>2541067476</v>
      </c>
      <c r="L2036">
        <v>2541067476</v>
      </c>
      <c r="M2036" t="s">
        <v>2112</v>
      </c>
      <c r="N2036" t="s">
        <v>2113</v>
      </c>
      <c r="O2036" t="s">
        <v>2113</v>
      </c>
      <c r="P2036">
        <v>67100</v>
      </c>
      <c r="Q2036" t="str">
        <f>"41.214248"</f>
        <v>41.214248</v>
      </c>
      <c r="R2036" t="str">
        <f>"24.872624"</f>
        <v>24.872624</v>
      </c>
      <c r="S2036" t="s">
        <v>26</v>
      </c>
    </row>
    <row r="2037" spans="1:19" x14ac:dyDescent="0.3">
      <c r="A2037" t="s">
        <v>19</v>
      </c>
      <c r="B2037" t="s">
        <v>2087</v>
      </c>
      <c r="C2037" t="s">
        <v>2114</v>
      </c>
      <c r="D2037" t="s">
        <v>38</v>
      </c>
      <c r="E2037" t="s">
        <v>638</v>
      </c>
      <c r="F2037" t="s">
        <v>638</v>
      </c>
      <c r="G2037" t="s">
        <v>638</v>
      </c>
      <c r="H2037" t="s">
        <v>868</v>
      </c>
      <c r="I2037" t="s">
        <v>1201</v>
      </c>
      <c r="J2037" t="str">
        <f>"9370195"</f>
        <v>9370195</v>
      </c>
      <c r="K2037">
        <v>2541065844</v>
      </c>
      <c r="M2037" t="s">
        <v>2115</v>
      </c>
      <c r="N2037" t="s">
        <v>2116</v>
      </c>
      <c r="O2037" t="s">
        <v>2117</v>
      </c>
      <c r="P2037">
        <v>67100</v>
      </c>
      <c r="Q2037" t="str">
        <f>""</f>
        <v/>
      </c>
      <c r="R2037" t="str">
        <f>""</f>
        <v/>
      </c>
      <c r="S2037" t="s">
        <v>26</v>
      </c>
    </row>
    <row r="2038" spans="1:19" x14ac:dyDescent="0.3">
      <c r="A2038" t="s">
        <v>19</v>
      </c>
      <c r="B2038" t="s">
        <v>2087</v>
      </c>
      <c r="C2038" t="s">
        <v>2119</v>
      </c>
      <c r="D2038" t="s">
        <v>38</v>
      </c>
      <c r="E2038" t="s">
        <v>604</v>
      </c>
      <c r="F2038" t="s">
        <v>2118</v>
      </c>
      <c r="G2038" t="s">
        <v>2118</v>
      </c>
      <c r="H2038" t="s">
        <v>868</v>
      </c>
      <c r="I2038" t="s">
        <v>1222</v>
      </c>
      <c r="J2038" t="str">
        <f>"9370154"</f>
        <v>9370154</v>
      </c>
      <c r="K2038">
        <v>2541032335</v>
      </c>
      <c r="L2038">
        <v>2541032335</v>
      </c>
      <c r="M2038" t="s">
        <v>2120</v>
      </c>
      <c r="N2038" t="s">
        <v>2121</v>
      </c>
      <c r="O2038" t="s">
        <v>2121</v>
      </c>
      <c r="P2038">
        <v>67100</v>
      </c>
      <c r="Q2038" t="str">
        <f>"41.139207"</f>
        <v>41.139207</v>
      </c>
      <c r="R2038" t="str">
        <f>"25.003971"</f>
        <v>25.003971</v>
      </c>
      <c r="S2038" t="s">
        <v>26</v>
      </c>
    </row>
    <row r="2039" spans="1:19" x14ac:dyDescent="0.3">
      <c r="A2039" t="s">
        <v>19</v>
      </c>
      <c r="B2039" t="s">
        <v>2087</v>
      </c>
      <c r="C2039" t="s">
        <v>2122</v>
      </c>
      <c r="D2039" t="s">
        <v>38</v>
      </c>
      <c r="E2039" t="s">
        <v>604</v>
      </c>
      <c r="F2039" t="s">
        <v>605</v>
      </c>
      <c r="G2039" t="s">
        <v>606</v>
      </c>
      <c r="H2039" t="s">
        <v>868</v>
      </c>
      <c r="I2039" t="s">
        <v>1201</v>
      </c>
      <c r="J2039" t="str">
        <f>"9370166"</f>
        <v>9370166</v>
      </c>
      <c r="K2039">
        <v>2541028330</v>
      </c>
      <c r="L2039">
        <v>2541028330</v>
      </c>
      <c r="M2039" t="s">
        <v>2123</v>
      </c>
      <c r="N2039" t="s">
        <v>2124</v>
      </c>
      <c r="O2039" t="s">
        <v>2125</v>
      </c>
      <c r="P2039">
        <v>67100</v>
      </c>
      <c r="Q2039" t="str">
        <f>"41.110032"</f>
        <v>41.110032</v>
      </c>
      <c r="R2039" t="str">
        <f>"24.915674"</f>
        <v>24.915674</v>
      </c>
      <c r="S2039" t="s">
        <v>26</v>
      </c>
    </row>
    <row r="2040" spans="1:19" x14ac:dyDescent="0.3">
      <c r="A2040" t="s">
        <v>19</v>
      </c>
      <c r="B2040" t="s">
        <v>2087</v>
      </c>
      <c r="C2040" t="s">
        <v>706</v>
      </c>
      <c r="D2040" t="s">
        <v>38</v>
      </c>
      <c r="E2040" t="s">
        <v>638</v>
      </c>
      <c r="F2040" t="s">
        <v>638</v>
      </c>
      <c r="G2040" t="s">
        <v>701</v>
      </c>
      <c r="H2040" t="s">
        <v>868</v>
      </c>
      <c r="I2040" t="s">
        <v>1201</v>
      </c>
      <c r="J2040" t="str">
        <f>"9370109"</f>
        <v>9370109</v>
      </c>
      <c r="K2040">
        <v>2544022290</v>
      </c>
      <c r="L2040">
        <v>2544022290</v>
      </c>
      <c r="M2040" t="s">
        <v>2126</v>
      </c>
      <c r="N2040" t="s">
        <v>701</v>
      </c>
      <c r="O2040" t="s">
        <v>2127</v>
      </c>
      <c r="P2040">
        <v>67300</v>
      </c>
      <c r="Q2040" t="str">
        <f>"41.278055"</f>
        <v>41.278055</v>
      </c>
      <c r="R2040" t="str">
        <f>"24.969531"</f>
        <v>24.969531</v>
      </c>
      <c r="S2040" t="s">
        <v>26</v>
      </c>
    </row>
    <row r="2041" spans="1:19" x14ac:dyDescent="0.3">
      <c r="A2041" t="s">
        <v>19</v>
      </c>
      <c r="B2041" t="s">
        <v>2087</v>
      </c>
      <c r="C2041" t="s">
        <v>620</v>
      </c>
      <c r="D2041" t="s">
        <v>38</v>
      </c>
      <c r="E2041" t="s">
        <v>604</v>
      </c>
      <c r="F2041" t="s">
        <v>605</v>
      </c>
      <c r="G2041" t="s">
        <v>616</v>
      </c>
      <c r="H2041" t="s">
        <v>868</v>
      </c>
      <c r="I2041" t="s">
        <v>869</v>
      </c>
      <c r="J2041" t="str">
        <f>"9370016"</f>
        <v>9370016</v>
      </c>
      <c r="K2041">
        <v>2541081250</v>
      </c>
      <c r="L2041">
        <v>2541081250</v>
      </c>
      <c r="M2041" t="s">
        <v>2128</v>
      </c>
      <c r="N2041" t="s">
        <v>658</v>
      </c>
      <c r="O2041" t="s">
        <v>658</v>
      </c>
      <c r="P2041">
        <v>67064</v>
      </c>
      <c r="Q2041" t="str">
        <f>"41.059687"</f>
        <v>41.059687</v>
      </c>
      <c r="R2041" t="str">
        <f>"24.962205"</f>
        <v>24.962205</v>
      </c>
      <c r="S2041" t="s">
        <v>26</v>
      </c>
    </row>
    <row r="2042" spans="1:19" x14ac:dyDescent="0.3">
      <c r="A2042" t="s">
        <v>19</v>
      </c>
      <c r="B2042" t="s">
        <v>2087</v>
      </c>
      <c r="C2042" t="s">
        <v>673</v>
      </c>
      <c r="D2042" t="s">
        <v>38</v>
      </c>
      <c r="E2042" t="s">
        <v>38</v>
      </c>
      <c r="F2042" t="s">
        <v>38</v>
      </c>
      <c r="G2042" t="s">
        <v>38</v>
      </c>
      <c r="H2042" t="s">
        <v>868</v>
      </c>
      <c r="I2042" t="s">
        <v>869</v>
      </c>
      <c r="J2042" t="str">
        <f>"9370006"</f>
        <v>9370006</v>
      </c>
      <c r="K2042">
        <v>2541022638</v>
      </c>
      <c r="L2042">
        <v>2541022638</v>
      </c>
      <c r="M2042" t="s">
        <v>2129</v>
      </c>
      <c r="N2042" t="s">
        <v>41</v>
      </c>
      <c r="O2042" t="s">
        <v>2130</v>
      </c>
      <c r="P2042">
        <v>67131</v>
      </c>
      <c r="Q2042" t="str">
        <f>"41.137348"</f>
        <v>41.137348</v>
      </c>
      <c r="R2042" t="str">
        <f>"24.893119"</f>
        <v>24.893119</v>
      </c>
      <c r="S2042" t="s">
        <v>26</v>
      </c>
    </row>
    <row r="2043" spans="1:19" x14ac:dyDescent="0.3">
      <c r="A2043" t="s">
        <v>19</v>
      </c>
      <c r="B2043" t="s">
        <v>2087</v>
      </c>
      <c r="C2043" t="s">
        <v>2131</v>
      </c>
      <c r="D2043" t="s">
        <v>38</v>
      </c>
      <c r="E2043" t="s">
        <v>38</v>
      </c>
      <c r="F2043" t="s">
        <v>38</v>
      </c>
      <c r="G2043" t="s">
        <v>38</v>
      </c>
      <c r="H2043" t="s">
        <v>868</v>
      </c>
      <c r="I2043" t="s">
        <v>869</v>
      </c>
      <c r="J2043" t="str">
        <f>"9370257"</f>
        <v>9370257</v>
      </c>
      <c r="K2043">
        <v>2541029373</v>
      </c>
      <c r="L2043">
        <v>2541029373</v>
      </c>
      <c r="M2043" t="s">
        <v>2132</v>
      </c>
      <c r="N2043" t="s">
        <v>41</v>
      </c>
      <c r="O2043" t="s">
        <v>2133</v>
      </c>
      <c r="P2043">
        <v>67133</v>
      </c>
      <c r="Q2043" t="str">
        <f>"41.132819"</f>
        <v>41.132819</v>
      </c>
      <c r="R2043" t="str">
        <f>"24.883683"</f>
        <v>24.883683</v>
      </c>
      <c r="S2043" t="s">
        <v>26</v>
      </c>
    </row>
    <row r="2044" spans="1:19" x14ac:dyDescent="0.3">
      <c r="A2044" t="s">
        <v>19</v>
      </c>
      <c r="B2044" t="s">
        <v>2087</v>
      </c>
      <c r="C2044" t="s">
        <v>2134</v>
      </c>
      <c r="D2044" t="s">
        <v>38</v>
      </c>
      <c r="E2044" t="s">
        <v>638</v>
      </c>
      <c r="F2044" t="s">
        <v>638</v>
      </c>
      <c r="G2044" t="s">
        <v>2097</v>
      </c>
      <c r="H2044" t="s">
        <v>868</v>
      </c>
      <c r="I2044" t="s">
        <v>1201</v>
      </c>
      <c r="J2044" t="str">
        <f>"9370199"</f>
        <v>9370199</v>
      </c>
      <c r="K2044">
        <v>2541067471</v>
      </c>
      <c r="L2044">
        <v>2541067471</v>
      </c>
      <c r="M2044" t="s">
        <v>2135</v>
      </c>
      <c r="N2044" t="s">
        <v>2136</v>
      </c>
      <c r="O2044" t="s">
        <v>2137</v>
      </c>
      <c r="P2044">
        <v>67100</v>
      </c>
      <c r="Q2044" t="str">
        <f>"41.258918"</f>
        <v>41.258918</v>
      </c>
      <c r="R2044" t="str">
        <f>"24.870022"</f>
        <v>24.870022</v>
      </c>
      <c r="S2044" t="s">
        <v>26</v>
      </c>
    </row>
    <row r="2045" spans="1:19" x14ac:dyDescent="0.3">
      <c r="A2045" t="s">
        <v>19</v>
      </c>
      <c r="B2045" t="s">
        <v>2087</v>
      </c>
      <c r="C2045" t="s">
        <v>690</v>
      </c>
      <c r="D2045" t="s">
        <v>38</v>
      </c>
      <c r="E2045" t="s">
        <v>663</v>
      </c>
      <c r="F2045" t="s">
        <v>663</v>
      </c>
      <c r="G2045" t="s">
        <v>685</v>
      </c>
      <c r="H2045" t="s">
        <v>868</v>
      </c>
      <c r="I2045" t="s">
        <v>950</v>
      </c>
      <c r="J2045" t="str">
        <f>"9370093"</f>
        <v>9370093</v>
      </c>
      <c r="K2045">
        <v>2541095234</v>
      </c>
      <c r="L2045">
        <v>2541095234</v>
      </c>
      <c r="M2045" t="s">
        <v>2138</v>
      </c>
      <c r="N2045" t="s">
        <v>2139</v>
      </c>
      <c r="O2045" t="s">
        <v>2139</v>
      </c>
      <c r="P2045">
        <v>67200</v>
      </c>
      <c r="Q2045" t="str">
        <f>"41.027958"</f>
        <v>41.027958</v>
      </c>
      <c r="R2045" t="str">
        <f>"24.798140"</f>
        <v>24.798140</v>
      </c>
      <c r="S2045" t="s">
        <v>26</v>
      </c>
    </row>
    <row r="2046" spans="1:19" x14ac:dyDescent="0.3">
      <c r="A2046" t="s">
        <v>19</v>
      </c>
      <c r="B2046" t="s">
        <v>2087</v>
      </c>
      <c r="C2046" t="s">
        <v>2140</v>
      </c>
      <c r="D2046" t="s">
        <v>38</v>
      </c>
      <c r="E2046" t="s">
        <v>638</v>
      </c>
      <c r="F2046" t="s">
        <v>2102</v>
      </c>
      <c r="G2046" t="s">
        <v>2102</v>
      </c>
      <c r="H2046" t="s">
        <v>868</v>
      </c>
      <c r="I2046" t="s">
        <v>1222</v>
      </c>
      <c r="J2046" t="str">
        <f>"9370186"</f>
        <v>9370186</v>
      </c>
      <c r="K2046">
        <v>2544023890</v>
      </c>
      <c r="L2046">
        <v>2544024597</v>
      </c>
      <c r="M2046" t="s">
        <v>2141</v>
      </c>
      <c r="N2046" t="s">
        <v>2142</v>
      </c>
      <c r="O2046" t="s">
        <v>2142</v>
      </c>
      <c r="P2046">
        <v>67300</v>
      </c>
      <c r="Q2046" t="str">
        <f>"41.352587"</f>
        <v>41.352587</v>
      </c>
      <c r="R2046" t="str">
        <f>"24.843563"</f>
        <v>24.843563</v>
      </c>
      <c r="S2046" t="s">
        <v>57</v>
      </c>
    </row>
    <row r="2047" spans="1:19" x14ac:dyDescent="0.3">
      <c r="A2047" t="s">
        <v>19</v>
      </c>
      <c r="B2047" t="s">
        <v>2087</v>
      </c>
      <c r="C2047" t="s">
        <v>2147</v>
      </c>
      <c r="D2047" t="s">
        <v>38</v>
      </c>
      <c r="E2047" t="s">
        <v>638</v>
      </c>
      <c r="F2047" t="s">
        <v>2102</v>
      </c>
      <c r="G2047" t="s">
        <v>2102</v>
      </c>
      <c r="H2047" t="s">
        <v>868</v>
      </c>
      <c r="I2047" t="s">
        <v>1201</v>
      </c>
      <c r="J2047" t="str">
        <f>"9370187"</f>
        <v>9370187</v>
      </c>
      <c r="K2047">
        <v>2544024403</v>
      </c>
      <c r="L2047">
        <v>2544024403</v>
      </c>
      <c r="M2047" t="s">
        <v>2148</v>
      </c>
      <c r="N2047" t="s">
        <v>2149</v>
      </c>
      <c r="O2047" t="s">
        <v>2150</v>
      </c>
      <c r="P2047">
        <v>67300</v>
      </c>
      <c r="Q2047" t="str">
        <f>"41.333104"</f>
        <v>41.333104</v>
      </c>
      <c r="R2047" t="str">
        <f>"24.885418"</f>
        <v>24.885418</v>
      </c>
      <c r="S2047" t="s">
        <v>26</v>
      </c>
    </row>
    <row r="2048" spans="1:19" x14ac:dyDescent="0.3">
      <c r="A2048" t="s">
        <v>19</v>
      </c>
      <c r="B2048" t="s">
        <v>2087</v>
      </c>
      <c r="C2048" t="s">
        <v>662</v>
      </c>
      <c r="D2048" t="s">
        <v>38</v>
      </c>
      <c r="E2048" t="s">
        <v>38</v>
      </c>
      <c r="F2048" t="s">
        <v>38</v>
      </c>
      <c r="G2048" t="s">
        <v>38</v>
      </c>
      <c r="H2048" t="s">
        <v>868</v>
      </c>
      <c r="I2048" t="s">
        <v>869</v>
      </c>
      <c r="J2048" t="str">
        <f>"9370050"</f>
        <v>9370050</v>
      </c>
      <c r="K2048">
        <v>2541022620</v>
      </c>
      <c r="L2048">
        <v>2541022620</v>
      </c>
      <c r="M2048" t="s">
        <v>2154</v>
      </c>
      <c r="N2048" t="s">
        <v>41</v>
      </c>
      <c r="O2048" t="s">
        <v>2155</v>
      </c>
      <c r="P2048">
        <v>67133</v>
      </c>
      <c r="Q2048" t="str">
        <f>"41.133790"</f>
        <v>41.133790</v>
      </c>
      <c r="R2048" t="str">
        <f>"24.883983"</f>
        <v>24.883983</v>
      </c>
      <c r="S2048" t="s">
        <v>26</v>
      </c>
    </row>
    <row r="2049" spans="1:19" x14ac:dyDescent="0.3">
      <c r="A2049" t="s">
        <v>19</v>
      </c>
      <c r="B2049" t="s">
        <v>2087</v>
      </c>
      <c r="C2049" t="s">
        <v>2156</v>
      </c>
      <c r="D2049" t="s">
        <v>38</v>
      </c>
      <c r="E2049" t="s">
        <v>638</v>
      </c>
      <c r="F2049" t="s">
        <v>638</v>
      </c>
      <c r="G2049" t="s">
        <v>638</v>
      </c>
      <c r="H2049" t="s">
        <v>868</v>
      </c>
      <c r="I2049" t="s">
        <v>1222</v>
      </c>
      <c r="J2049" t="str">
        <f>"9370190"</f>
        <v>9370190</v>
      </c>
      <c r="K2049">
        <v>2541064386</v>
      </c>
      <c r="L2049">
        <v>2541068034</v>
      </c>
      <c r="M2049" t="s">
        <v>2157</v>
      </c>
      <c r="O2049" t="s">
        <v>2158</v>
      </c>
      <c r="P2049">
        <v>67100</v>
      </c>
      <c r="Q2049" t="str">
        <f>"41.213284"</f>
        <v>41.213284</v>
      </c>
      <c r="R2049" t="str">
        <f>"24.861300"</f>
        <v>24.861300</v>
      </c>
      <c r="S2049" t="s">
        <v>26</v>
      </c>
    </row>
    <row r="2050" spans="1:19" x14ac:dyDescent="0.3">
      <c r="A2050" t="s">
        <v>19</v>
      </c>
      <c r="B2050" t="s">
        <v>2087</v>
      </c>
      <c r="C2050" t="s">
        <v>2159</v>
      </c>
      <c r="D2050" t="s">
        <v>38</v>
      </c>
      <c r="E2050" t="s">
        <v>663</v>
      </c>
      <c r="F2050" t="s">
        <v>663</v>
      </c>
      <c r="G2050" t="s">
        <v>678</v>
      </c>
      <c r="H2050" t="s">
        <v>868</v>
      </c>
      <c r="I2050" t="s">
        <v>1222</v>
      </c>
      <c r="J2050" t="str">
        <f>"9370173"</f>
        <v>9370173</v>
      </c>
      <c r="K2050">
        <v>2541061541</v>
      </c>
      <c r="L2050">
        <v>2541061541</v>
      </c>
      <c r="M2050" t="s">
        <v>2160</v>
      </c>
      <c r="N2050" t="s">
        <v>2161</v>
      </c>
      <c r="O2050" t="s">
        <v>2162</v>
      </c>
      <c r="P2050">
        <v>67200</v>
      </c>
      <c r="Q2050" t="str">
        <f>"40.925660"</f>
        <v>40.925660</v>
      </c>
      <c r="R2050" t="str">
        <f>"24.834477"</f>
        <v>24.834477</v>
      </c>
      <c r="S2050" t="s">
        <v>26</v>
      </c>
    </row>
    <row r="2051" spans="1:19" x14ac:dyDescent="0.3">
      <c r="A2051" t="s">
        <v>19</v>
      </c>
      <c r="B2051" t="s">
        <v>2087</v>
      </c>
      <c r="C2051" t="s">
        <v>2176</v>
      </c>
      <c r="D2051" t="s">
        <v>38</v>
      </c>
      <c r="E2051" t="s">
        <v>663</v>
      </c>
      <c r="F2051" t="s">
        <v>663</v>
      </c>
      <c r="G2051" t="s">
        <v>735</v>
      </c>
      <c r="H2051" t="s">
        <v>868</v>
      </c>
      <c r="I2051" t="s">
        <v>1201</v>
      </c>
      <c r="J2051" t="str">
        <f>"9370175"</f>
        <v>9370175</v>
      </c>
      <c r="K2051">
        <v>2541042122</v>
      </c>
      <c r="L2051">
        <v>2541042122</v>
      </c>
      <c r="M2051" t="s">
        <v>2177</v>
      </c>
      <c r="N2051" t="s">
        <v>735</v>
      </c>
      <c r="O2051" t="s">
        <v>688</v>
      </c>
      <c r="P2051">
        <v>67200</v>
      </c>
      <c r="Q2051" t="str">
        <f>"40.981773"</f>
        <v>40.981773</v>
      </c>
      <c r="R2051" t="str">
        <f>"24.802714"</f>
        <v>24.802714</v>
      </c>
      <c r="S2051" t="s">
        <v>26</v>
      </c>
    </row>
    <row r="2052" spans="1:19" x14ac:dyDescent="0.3">
      <c r="A2052" t="s">
        <v>19</v>
      </c>
      <c r="B2052" t="s">
        <v>2087</v>
      </c>
      <c r="C2052" t="s">
        <v>2182</v>
      </c>
      <c r="D2052" t="s">
        <v>38</v>
      </c>
      <c r="E2052" t="s">
        <v>604</v>
      </c>
      <c r="F2052" t="s">
        <v>2118</v>
      </c>
      <c r="G2052" t="s">
        <v>2118</v>
      </c>
      <c r="H2052" t="s">
        <v>868</v>
      </c>
      <c r="I2052" t="s">
        <v>1201</v>
      </c>
      <c r="J2052" t="str">
        <f>"9370147"</f>
        <v>9370147</v>
      </c>
      <c r="K2052">
        <v>2541032000</v>
      </c>
      <c r="L2052">
        <v>2541032000</v>
      </c>
      <c r="M2052" t="s">
        <v>2183</v>
      </c>
      <c r="N2052" t="s">
        <v>2184</v>
      </c>
      <c r="O2052" t="s">
        <v>2184</v>
      </c>
      <c r="P2052">
        <v>67100</v>
      </c>
      <c r="Q2052" t="str">
        <f>"41.127530"</f>
        <v>41.127530</v>
      </c>
      <c r="R2052" t="str">
        <f>"24.979085"</f>
        <v>24.979085</v>
      </c>
      <c r="S2052" t="s">
        <v>26</v>
      </c>
    </row>
    <row r="2053" spans="1:19" x14ac:dyDescent="0.3">
      <c r="A2053" t="s">
        <v>19</v>
      </c>
      <c r="B2053" t="s">
        <v>2087</v>
      </c>
      <c r="C2053" t="s">
        <v>2185</v>
      </c>
      <c r="D2053" t="s">
        <v>38</v>
      </c>
      <c r="E2053" t="s">
        <v>638</v>
      </c>
      <c r="F2053" t="s">
        <v>638</v>
      </c>
      <c r="G2053" t="s">
        <v>638</v>
      </c>
      <c r="H2053" t="s">
        <v>868</v>
      </c>
      <c r="I2053" t="s">
        <v>1201</v>
      </c>
      <c r="J2053" t="str">
        <f>"9370193"</f>
        <v>9370193</v>
      </c>
      <c r="K2053">
        <v>2544024616</v>
      </c>
      <c r="L2053">
        <v>2544024616</v>
      </c>
      <c r="M2053" t="s">
        <v>2186</v>
      </c>
      <c r="N2053" t="s">
        <v>2187</v>
      </c>
      <c r="O2053" t="s">
        <v>2187</v>
      </c>
      <c r="P2053">
        <v>67100</v>
      </c>
      <c r="Q2053" t="str">
        <f>"41.250916"</f>
        <v>41.250916</v>
      </c>
      <c r="R2053" t="str">
        <f>"24.894065"</f>
        <v>24.894065</v>
      </c>
      <c r="S2053" t="s">
        <v>26</v>
      </c>
    </row>
    <row r="2054" spans="1:19" x14ac:dyDescent="0.3">
      <c r="A2054" t="s">
        <v>19</v>
      </c>
      <c r="B2054" t="s">
        <v>2087</v>
      </c>
      <c r="C2054" t="s">
        <v>2188</v>
      </c>
      <c r="D2054" t="s">
        <v>38</v>
      </c>
      <c r="E2054" t="s">
        <v>638</v>
      </c>
      <c r="F2054" t="s">
        <v>638</v>
      </c>
      <c r="G2054" t="s">
        <v>2097</v>
      </c>
      <c r="H2054" t="s">
        <v>868</v>
      </c>
      <c r="I2054" t="s">
        <v>1201</v>
      </c>
      <c r="J2054" t="str">
        <f>"9370263"</f>
        <v>9370263</v>
      </c>
      <c r="K2054">
        <v>2541083539</v>
      </c>
      <c r="M2054" t="s">
        <v>2189</v>
      </c>
      <c r="N2054" t="s">
        <v>2190</v>
      </c>
      <c r="O2054" t="s">
        <v>2191</v>
      </c>
      <c r="P2054">
        <v>67100</v>
      </c>
      <c r="Q2054" t="str">
        <f>""</f>
        <v/>
      </c>
      <c r="R2054" t="str">
        <f>""</f>
        <v/>
      </c>
      <c r="S2054" t="s">
        <v>26</v>
      </c>
    </row>
    <row r="2055" spans="1:19" x14ac:dyDescent="0.3">
      <c r="A2055" t="s">
        <v>19</v>
      </c>
      <c r="B2055" t="s">
        <v>2087</v>
      </c>
      <c r="C2055" t="s">
        <v>2195</v>
      </c>
      <c r="D2055" t="s">
        <v>38</v>
      </c>
      <c r="E2055" t="s">
        <v>604</v>
      </c>
      <c r="F2055" t="s">
        <v>605</v>
      </c>
      <c r="G2055" t="s">
        <v>616</v>
      </c>
      <c r="H2055" t="s">
        <v>868</v>
      </c>
      <c r="I2055" t="s">
        <v>1222</v>
      </c>
      <c r="J2055" t="str">
        <f>"9370107"</f>
        <v>9370107</v>
      </c>
      <c r="K2055">
        <v>2541081144</v>
      </c>
      <c r="M2055" t="s">
        <v>2196</v>
      </c>
      <c r="N2055" t="s">
        <v>2197</v>
      </c>
      <c r="O2055" t="s">
        <v>2198</v>
      </c>
      <c r="P2055">
        <v>67064</v>
      </c>
      <c r="Q2055" t="str">
        <f>"41.087302"</f>
        <v>41.087302</v>
      </c>
      <c r="R2055" t="str">
        <f>"24.957527"</f>
        <v>24.957527</v>
      </c>
      <c r="S2055" t="s">
        <v>26</v>
      </c>
    </row>
    <row r="2056" spans="1:19" x14ac:dyDescent="0.3">
      <c r="A2056" t="s">
        <v>19</v>
      </c>
      <c r="B2056" t="s">
        <v>2087</v>
      </c>
      <c r="C2056" t="s">
        <v>2200</v>
      </c>
      <c r="D2056" t="s">
        <v>38</v>
      </c>
      <c r="E2056" t="s">
        <v>38</v>
      </c>
      <c r="F2056" t="s">
        <v>594</v>
      </c>
      <c r="G2056" t="s">
        <v>2199</v>
      </c>
      <c r="H2056" t="s">
        <v>868</v>
      </c>
      <c r="I2056" t="s">
        <v>1201</v>
      </c>
      <c r="J2056" t="str">
        <f>"9370162"</f>
        <v>9370162</v>
      </c>
      <c r="M2056" t="s">
        <v>2201</v>
      </c>
      <c r="N2056" t="s">
        <v>2202</v>
      </c>
      <c r="O2056" t="s">
        <v>2203</v>
      </c>
      <c r="P2056">
        <v>67100</v>
      </c>
      <c r="Q2056" t="str">
        <f>""</f>
        <v/>
      </c>
      <c r="R2056" t="str">
        <f>""</f>
        <v/>
      </c>
      <c r="S2056" t="s">
        <v>26</v>
      </c>
    </row>
    <row r="2057" spans="1:19" x14ac:dyDescent="0.3">
      <c r="A2057" t="s">
        <v>19</v>
      </c>
      <c r="B2057" t="s">
        <v>2087</v>
      </c>
      <c r="C2057" t="s">
        <v>2204</v>
      </c>
      <c r="D2057" t="s">
        <v>38</v>
      </c>
      <c r="E2057" t="s">
        <v>638</v>
      </c>
      <c r="F2057" t="s">
        <v>638</v>
      </c>
      <c r="G2057" t="s">
        <v>638</v>
      </c>
      <c r="H2057" t="s">
        <v>868</v>
      </c>
      <c r="I2057" t="s">
        <v>1201</v>
      </c>
      <c r="J2057" t="str">
        <f>"9370134"</f>
        <v>9370134</v>
      </c>
      <c r="K2057">
        <v>2541073065</v>
      </c>
      <c r="M2057" t="s">
        <v>2205</v>
      </c>
      <c r="N2057" t="s">
        <v>2206</v>
      </c>
      <c r="O2057" t="s">
        <v>2207</v>
      </c>
      <c r="P2057">
        <v>67100</v>
      </c>
      <c r="Q2057" t="str">
        <f>""</f>
        <v/>
      </c>
      <c r="R2057" t="str">
        <f>""</f>
        <v/>
      </c>
      <c r="S2057" t="s">
        <v>26</v>
      </c>
    </row>
    <row r="2058" spans="1:19" x14ac:dyDescent="0.3">
      <c r="A2058" t="s">
        <v>19</v>
      </c>
      <c r="B2058" t="s">
        <v>2087</v>
      </c>
      <c r="C2058" t="s">
        <v>2208</v>
      </c>
      <c r="D2058" t="s">
        <v>38</v>
      </c>
      <c r="E2058" t="s">
        <v>38</v>
      </c>
      <c r="F2058" t="s">
        <v>594</v>
      </c>
      <c r="G2058" t="s">
        <v>2199</v>
      </c>
      <c r="H2058" t="s">
        <v>868</v>
      </c>
      <c r="I2058" t="s">
        <v>1201</v>
      </c>
      <c r="J2058" t="str">
        <f>"9370161"</f>
        <v>9370161</v>
      </c>
      <c r="K2058">
        <v>2541064013</v>
      </c>
      <c r="M2058" t="s">
        <v>2209</v>
      </c>
      <c r="N2058" t="s">
        <v>2210</v>
      </c>
      <c r="O2058" t="s">
        <v>2211</v>
      </c>
      <c r="P2058">
        <v>67100</v>
      </c>
      <c r="Q2058" t="str">
        <f>""</f>
        <v/>
      </c>
      <c r="R2058" t="str">
        <f>""</f>
        <v/>
      </c>
      <c r="S2058" t="s">
        <v>26</v>
      </c>
    </row>
    <row r="2059" spans="1:19" x14ac:dyDescent="0.3">
      <c r="A2059" t="s">
        <v>19</v>
      </c>
      <c r="B2059" t="s">
        <v>2087</v>
      </c>
      <c r="C2059" t="s">
        <v>2212</v>
      </c>
      <c r="D2059" t="s">
        <v>38</v>
      </c>
      <c r="E2059" t="s">
        <v>38</v>
      </c>
      <c r="F2059" t="s">
        <v>38</v>
      </c>
      <c r="G2059" t="s">
        <v>38</v>
      </c>
      <c r="H2059" t="s">
        <v>868</v>
      </c>
      <c r="I2059" t="s">
        <v>1222</v>
      </c>
      <c r="J2059" t="str">
        <f>"9370106"</f>
        <v>9370106</v>
      </c>
      <c r="K2059">
        <v>2541023661</v>
      </c>
      <c r="L2059">
        <v>2541023661</v>
      </c>
      <c r="M2059" t="s">
        <v>2213</v>
      </c>
      <c r="N2059" t="s">
        <v>41</v>
      </c>
      <c r="O2059" t="s">
        <v>2214</v>
      </c>
      <c r="P2059">
        <v>67131</v>
      </c>
      <c r="Q2059" t="str">
        <f>"41.140482"</f>
        <v>41.140482</v>
      </c>
      <c r="R2059" t="str">
        <f>"24.896520"</f>
        <v>24.896520</v>
      </c>
      <c r="S2059" t="s">
        <v>26</v>
      </c>
    </row>
    <row r="2060" spans="1:19" x14ac:dyDescent="0.3">
      <c r="A2060" t="s">
        <v>19</v>
      </c>
      <c r="B2060" t="s">
        <v>2087</v>
      </c>
      <c r="C2060" t="s">
        <v>2215</v>
      </c>
      <c r="D2060" t="s">
        <v>38</v>
      </c>
      <c r="E2060" t="s">
        <v>638</v>
      </c>
      <c r="F2060" t="s">
        <v>638</v>
      </c>
      <c r="G2060" t="s">
        <v>638</v>
      </c>
      <c r="H2060" t="s">
        <v>868</v>
      </c>
      <c r="I2060" t="s">
        <v>1201</v>
      </c>
      <c r="J2060" t="str">
        <f>"9370133"</f>
        <v>9370133</v>
      </c>
      <c r="K2060">
        <v>2541069294</v>
      </c>
      <c r="M2060" t="s">
        <v>2216</v>
      </c>
      <c r="N2060" t="s">
        <v>2217</v>
      </c>
      <c r="O2060" t="s">
        <v>2218</v>
      </c>
      <c r="P2060">
        <v>67100</v>
      </c>
      <c r="Q2060" t="str">
        <f>"41.223172"</f>
        <v>41.223172</v>
      </c>
      <c r="R2060" t="str">
        <f>"24.893812"</f>
        <v>24.893812</v>
      </c>
      <c r="S2060" t="s">
        <v>26</v>
      </c>
    </row>
    <row r="2061" spans="1:19" x14ac:dyDescent="0.3">
      <c r="A2061" t="s">
        <v>19</v>
      </c>
      <c r="B2061" t="s">
        <v>2087</v>
      </c>
      <c r="C2061" t="s">
        <v>2219</v>
      </c>
      <c r="D2061" t="s">
        <v>38</v>
      </c>
      <c r="E2061" t="s">
        <v>604</v>
      </c>
      <c r="F2061" t="s">
        <v>605</v>
      </c>
      <c r="G2061" t="s">
        <v>606</v>
      </c>
      <c r="H2061" t="s">
        <v>868</v>
      </c>
      <c r="I2061" t="s">
        <v>1222</v>
      </c>
      <c r="J2061" t="str">
        <f>"9370167"</f>
        <v>9370167</v>
      </c>
      <c r="K2061">
        <v>2541091674</v>
      </c>
      <c r="M2061" t="s">
        <v>2220</v>
      </c>
      <c r="N2061" t="s">
        <v>2221</v>
      </c>
      <c r="O2061" t="s">
        <v>2222</v>
      </c>
      <c r="P2061">
        <v>67100</v>
      </c>
      <c r="Q2061" t="str">
        <f>"41.077354"</f>
        <v>41.077354</v>
      </c>
      <c r="R2061" t="str">
        <f>"24.914375"</f>
        <v>24.914375</v>
      </c>
      <c r="S2061" t="s">
        <v>26</v>
      </c>
    </row>
    <row r="2062" spans="1:19" x14ac:dyDescent="0.3">
      <c r="A2062" t="s">
        <v>19</v>
      </c>
      <c r="B2062" t="s">
        <v>2087</v>
      </c>
      <c r="C2062" t="s">
        <v>2223</v>
      </c>
      <c r="D2062" t="s">
        <v>38</v>
      </c>
      <c r="E2062" t="s">
        <v>663</v>
      </c>
      <c r="F2062" t="s">
        <v>604</v>
      </c>
      <c r="G2062" t="s">
        <v>678</v>
      </c>
      <c r="H2062" t="s">
        <v>868</v>
      </c>
      <c r="I2062" t="s">
        <v>1201</v>
      </c>
      <c r="J2062" t="str">
        <f>"9370182"</f>
        <v>9370182</v>
      </c>
      <c r="K2062">
        <v>2541041466</v>
      </c>
      <c r="L2062">
        <v>2541041466</v>
      </c>
      <c r="M2062" t="s">
        <v>2224</v>
      </c>
      <c r="N2062" t="s">
        <v>1015</v>
      </c>
      <c r="O2062" t="s">
        <v>1018</v>
      </c>
      <c r="P2062">
        <v>67200</v>
      </c>
      <c r="Q2062" t="str">
        <f>""</f>
        <v/>
      </c>
      <c r="R2062" t="str">
        <f>""</f>
        <v/>
      </c>
      <c r="S2062" t="s">
        <v>26</v>
      </c>
    </row>
    <row r="2063" spans="1:19" x14ac:dyDescent="0.3">
      <c r="A2063" t="s">
        <v>19</v>
      </c>
      <c r="B2063" t="s">
        <v>2087</v>
      </c>
      <c r="C2063" t="s">
        <v>2228</v>
      </c>
      <c r="D2063" t="s">
        <v>38</v>
      </c>
      <c r="E2063" t="s">
        <v>663</v>
      </c>
      <c r="F2063" t="s">
        <v>663</v>
      </c>
      <c r="G2063" t="s">
        <v>2227</v>
      </c>
      <c r="H2063" t="s">
        <v>868</v>
      </c>
      <c r="I2063" t="s">
        <v>1222</v>
      </c>
      <c r="J2063" t="str">
        <f>"9370169"</f>
        <v>9370169</v>
      </c>
      <c r="K2063">
        <v>2541093879</v>
      </c>
      <c r="M2063" t="s">
        <v>2229</v>
      </c>
      <c r="N2063" t="s">
        <v>2230</v>
      </c>
      <c r="O2063" t="s">
        <v>2231</v>
      </c>
      <c r="P2063">
        <v>67100</v>
      </c>
      <c r="Q2063" t="str">
        <f>""</f>
        <v/>
      </c>
      <c r="R2063" t="str">
        <f>""</f>
        <v/>
      </c>
      <c r="S2063" t="s">
        <v>26</v>
      </c>
    </row>
    <row r="2064" spans="1:19" x14ac:dyDescent="0.3">
      <c r="A2064" t="s">
        <v>19</v>
      </c>
      <c r="B2064" t="s">
        <v>2087</v>
      </c>
      <c r="C2064" t="s">
        <v>2234</v>
      </c>
      <c r="D2064" t="s">
        <v>38</v>
      </c>
      <c r="E2064" t="s">
        <v>638</v>
      </c>
      <c r="F2064" t="s">
        <v>2102</v>
      </c>
      <c r="G2064" t="s">
        <v>2102</v>
      </c>
      <c r="H2064" t="s">
        <v>868</v>
      </c>
      <c r="I2064" t="s">
        <v>1222</v>
      </c>
      <c r="J2064" t="str">
        <f>"9370188"</f>
        <v>9370188</v>
      </c>
      <c r="K2064">
        <v>2544022441</v>
      </c>
      <c r="L2064">
        <v>2544029106</v>
      </c>
      <c r="M2064" t="s">
        <v>2235</v>
      </c>
      <c r="N2064" t="s">
        <v>2236</v>
      </c>
      <c r="O2064" t="s">
        <v>2237</v>
      </c>
      <c r="P2064">
        <v>67300</v>
      </c>
      <c r="Q2064" t="str">
        <f>"41.305184"</f>
        <v>41.305184</v>
      </c>
      <c r="R2064" t="str">
        <f>"24.894975"</f>
        <v>24.894975</v>
      </c>
      <c r="S2064" t="s">
        <v>26</v>
      </c>
    </row>
    <row r="2065" spans="1:19" x14ac:dyDescent="0.3">
      <c r="A2065" t="s">
        <v>19</v>
      </c>
      <c r="B2065" t="s">
        <v>2087</v>
      </c>
      <c r="C2065" t="s">
        <v>2245</v>
      </c>
      <c r="D2065" t="s">
        <v>38</v>
      </c>
      <c r="E2065" t="s">
        <v>38</v>
      </c>
      <c r="F2065" t="s">
        <v>38</v>
      </c>
      <c r="G2065" t="s">
        <v>2244</v>
      </c>
      <c r="H2065" t="s">
        <v>868</v>
      </c>
      <c r="I2065" t="s">
        <v>950</v>
      </c>
      <c r="J2065" t="str">
        <f>"9370026"</f>
        <v>9370026</v>
      </c>
      <c r="K2065">
        <v>2541072353</v>
      </c>
      <c r="L2065">
        <v>2541072353</v>
      </c>
      <c r="M2065" t="s">
        <v>2246</v>
      </c>
      <c r="N2065" t="s">
        <v>2247</v>
      </c>
      <c r="O2065" t="s">
        <v>2247</v>
      </c>
      <c r="P2065">
        <v>67100</v>
      </c>
      <c r="Q2065" t="str">
        <f>"41.146949"</f>
        <v>41.146949</v>
      </c>
      <c r="R2065" t="str">
        <f>"24.934303"</f>
        <v>24.934303</v>
      </c>
      <c r="S2065" t="s">
        <v>26</v>
      </c>
    </row>
    <row r="2066" spans="1:19" x14ac:dyDescent="0.3">
      <c r="A2066" t="s">
        <v>19</v>
      </c>
      <c r="B2066" t="s">
        <v>2087</v>
      </c>
      <c r="C2066" t="s">
        <v>700</v>
      </c>
      <c r="D2066" t="s">
        <v>38</v>
      </c>
      <c r="E2066" t="s">
        <v>604</v>
      </c>
      <c r="F2066" t="s">
        <v>605</v>
      </c>
      <c r="G2066" t="s">
        <v>696</v>
      </c>
      <c r="H2066" t="s">
        <v>868</v>
      </c>
      <c r="I2066" t="s">
        <v>869</v>
      </c>
      <c r="J2066" t="str">
        <f>"9370040"</f>
        <v>9370040</v>
      </c>
      <c r="K2066">
        <v>2541031205</v>
      </c>
      <c r="L2066">
        <v>2541031205</v>
      </c>
      <c r="M2066" t="s">
        <v>2273</v>
      </c>
      <c r="N2066" t="s">
        <v>2274</v>
      </c>
      <c r="O2066" t="s">
        <v>2275</v>
      </c>
      <c r="P2066">
        <v>67064</v>
      </c>
      <c r="Q2066" t="str">
        <f>"41.109210"</f>
        <v>41.109210</v>
      </c>
      <c r="R2066" t="str">
        <f>"25.025962"</f>
        <v>25.025962</v>
      </c>
      <c r="S2066" t="s">
        <v>26</v>
      </c>
    </row>
    <row r="2067" spans="1:19" x14ac:dyDescent="0.3">
      <c r="A2067" t="s">
        <v>19</v>
      </c>
      <c r="B2067" t="s">
        <v>2087</v>
      </c>
      <c r="C2067" t="s">
        <v>669</v>
      </c>
      <c r="D2067" t="s">
        <v>38</v>
      </c>
      <c r="E2067" t="s">
        <v>663</v>
      </c>
      <c r="F2067" t="s">
        <v>663</v>
      </c>
      <c r="G2067" t="s">
        <v>664</v>
      </c>
      <c r="H2067" t="s">
        <v>868</v>
      </c>
      <c r="I2067" t="s">
        <v>869</v>
      </c>
      <c r="J2067" t="str">
        <f>"9370101"</f>
        <v>9370101</v>
      </c>
      <c r="K2067">
        <v>2541093284</v>
      </c>
      <c r="L2067">
        <v>2541093184</v>
      </c>
      <c r="M2067" t="s">
        <v>2276</v>
      </c>
      <c r="N2067" t="s">
        <v>2277</v>
      </c>
      <c r="O2067" t="s">
        <v>2278</v>
      </c>
      <c r="P2067">
        <v>67100</v>
      </c>
      <c r="Q2067" t="str">
        <f>"41.087860"</f>
        <v>41.087860</v>
      </c>
      <c r="R2067" t="str">
        <f>"24.785477"</f>
        <v>24.785477</v>
      </c>
      <c r="S2067" t="s">
        <v>26</v>
      </c>
    </row>
    <row r="2068" spans="1:19" x14ac:dyDescent="0.3">
      <c r="A2068" t="s">
        <v>19</v>
      </c>
      <c r="B2068" t="s">
        <v>2087</v>
      </c>
      <c r="C2068" t="s">
        <v>2279</v>
      </c>
      <c r="D2068" t="s">
        <v>38</v>
      </c>
      <c r="E2068" t="s">
        <v>638</v>
      </c>
      <c r="F2068" t="s">
        <v>2169</v>
      </c>
      <c r="G2068" t="s">
        <v>2169</v>
      </c>
      <c r="H2068" t="s">
        <v>868</v>
      </c>
      <c r="I2068" t="s">
        <v>1201</v>
      </c>
      <c r="J2068" t="str">
        <f>"9370113"</f>
        <v>9370113</v>
      </c>
      <c r="K2068">
        <v>2544024435</v>
      </c>
      <c r="M2068" t="s">
        <v>2280</v>
      </c>
      <c r="N2068" t="s">
        <v>2281</v>
      </c>
      <c r="O2068" t="s">
        <v>2207</v>
      </c>
      <c r="P2068">
        <v>67300</v>
      </c>
      <c r="Q2068" t="str">
        <f>""</f>
        <v/>
      </c>
      <c r="R2068" t="str">
        <f>""</f>
        <v/>
      </c>
      <c r="S2068" t="s">
        <v>57</v>
      </c>
    </row>
    <row r="2069" spans="1:19" x14ac:dyDescent="0.3">
      <c r="A2069" t="s">
        <v>19</v>
      </c>
      <c r="B2069" t="s">
        <v>2087</v>
      </c>
      <c r="C2069" t="s">
        <v>2282</v>
      </c>
      <c r="D2069" t="s">
        <v>38</v>
      </c>
      <c r="E2069" t="s">
        <v>663</v>
      </c>
      <c r="F2069" t="s">
        <v>663</v>
      </c>
      <c r="G2069" t="s">
        <v>664</v>
      </c>
      <c r="H2069" t="s">
        <v>868</v>
      </c>
      <c r="I2069" t="s">
        <v>1201</v>
      </c>
      <c r="J2069" t="str">
        <f>"9370218"</f>
        <v>9370218</v>
      </c>
      <c r="M2069" t="s">
        <v>2283</v>
      </c>
      <c r="N2069" t="s">
        <v>2284</v>
      </c>
      <c r="O2069" t="s">
        <v>2285</v>
      </c>
      <c r="P2069">
        <v>67100</v>
      </c>
      <c r="Q2069" t="str">
        <f>""</f>
        <v/>
      </c>
      <c r="R2069" t="str">
        <f>""</f>
        <v/>
      </c>
      <c r="S2069" t="s">
        <v>26</v>
      </c>
    </row>
    <row r="2070" spans="1:19" x14ac:dyDescent="0.3">
      <c r="A2070" t="s">
        <v>19</v>
      </c>
      <c r="B2070" t="s">
        <v>2087</v>
      </c>
      <c r="C2070" t="s">
        <v>2286</v>
      </c>
      <c r="D2070" t="s">
        <v>38</v>
      </c>
      <c r="E2070" t="s">
        <v>604</v>
      </c>
      <c r="F2070" t="s">
        <v>2118</v>
      </c>
      <c r="G2070" t="s">
        <v>2118</v>
      </c>
      <c r="H2070" t="s">
        <v>868</v>
      </c>
      <c r="I2070" t="s">
        <v>1201</v>
      </c>
      <c r="J2070" t="str">
        <f>"9370149"</f>
        <v>9370149</v>
      </c>
      <c r="K2070">
        <v>2541032181</v>
      </c>
      <c r="M2070" t="s">
        <v>2287</v>
      </c>
      <c r="N2070" t="s">
        <v>2288</v>
      </c>
      <c r="O2070" t="s">
        <v>2207</v>
      </c>
      <c r="P2070">
        <v>67100</v>
      </c>
      <c r="Q2070" t="str">
        <f>""</f>
        <v/>
      </c>
      <c r="R2070" t="str">
        <f>""</f>
        <v/>
      </c>
      <c r="S2070" t="s">
        <v>26</v>
      </c>
    </row>
    <row r="2071" spans="1:19" x14ac:dyDescent="0.3">
      <c r="A2071" t="s">
        <v>19</v>
      </c>
      <c r="B2071" t="s">
        <v>2087</v>
      </c>
      <c r="C2071" t="s">
        <v>2289</v>
      </c>
      <c r="D2071" t="s">
        <v>38</v>
      </c>
      <c r="E2071" t="s">
        <v>638</v>
      </c>
      <c r="F2071" t="s">
        <v>638</v>
      </c>
      <c r="G2071" t="s">
        <v>701</v>
      </c>
      <c r="H2071" t="s">
        <v>868</v>
      </c>
      <c r="I2071" t="s">
        <v>1222</v>
      </c>
      <c r="J2071" t="str">
        <f>"9370111"</f>
        <v>9370111</v>
      </c>
      <c r="K2071">
        <v>2544022766</v>
      </c>
      <c r="M2071" t="s">
        <v>2290</v>
      </c>
      <c r="N2071" t="s">
        <v>2291</v>
      </c>
      <c r="O2071" t="s">
        <v>2291</v>
      </c>
      <c r="P2071">
        <v>67300</v>
      </c>
      <c r="Q2071" t="str">
        <f>"41.328104"</f>
        <v>41.328104</v>
      </c>
      <c r="R2071" t="str">
        <f>"24.932558"</f>
        <v>24.932558</v>
      </c>
      <c r="S2071" t="s">
        <v>26</v>
      </c>
    </row>
    <row r="2072" spans="1:19" x14ac:dyDescent="0.3">
      <c r="A2072" t="s">
        <v>19</v>
      </c>
      <c r="B2072" t="s">
        <v>2087</v>
      </c>
      <c r="C2072" t="s">
        <v>2292</v>
      </c>
      <c r="D2072" t="s">
        <v>38</v>
      </c>
      <c r="E2072" t="s">
        <v>604</v>
      </c>
      <c r="F2072" t="s">
        <v>605</v>
      </c>
      <c r="G2072" t="s">
        <v>606</v>
      </c>
      <c r="H2072" t="s">
        <v>868</v>
      </c>
      <c r="I2072" t="s">
        <v>1201</v>
      </c>
      <c r="J2072" t="str">
        <f>"9370168"</f>
        <v>9370168</v>
      </c>
      <c r="K2072">
        <v>2541092283</v>
      </c>
      <c r="M2072" t="s">
        <v>2293</v>
      </c>
      <c r="N2072" t="s">
        <v>41</v>
      </c>
      <c r="O2072" t="s">
        <v>2294</v>
      </c>
      <c r="P2072">
        <v>67100</v>
      </c>
      <c r="Q2072" t="str">
        <f>"41.100538"</f>
        <v>41.100538</v>
      </c>
      <c r="R2072" t="str">
        <f>"24.925736"</f>
        <v>24.925736</v>
      </c>
      <c r="S2072" t="s">
        <v>26</v>
      </c>
    </row>
    <row r="2073" spans="1:19" x14ac:dyDescent="0.3">
      <c r="A2073" t="s">
        <v>19</v>
      </c>
      <c r="B2073" t="s">
        <v>2087</v>
      </c>
      <c r="C2073" t="s">
        <v>2295</v>
      </c>
      <c r="D2073" t="s">
        <v>38</v>
      </c>
      <c r="E2073" t="s">
        <v>604</v>
      </c>
      <c r="F2073" t="s">
        <v>2118</v>
      </c>
      <c r="G2073" t="s">
        <v>2118</v>
      </c>
      <c r="H2073" t="s">
        <v>868</v>
      </c>
      <c r="I2073" t="s">
        <v>1222</v>
      </c>
      <c r="J2073" t="str">
        <f>"9370150"</f>
        <v>9370150</v>
      </c>
      <c r="K2073">
        <v>2541032676</v>
      </c>
      <c r="M2073" t="s">
        <v>2296</v>
      </c>
      <c r="N2073" t="s">
        <v>2194</v>
      </c>
      <c r="O2073" t="s">
        <v>2194</v>
      </c>
      <c r="P2073">
        <v>67100</v>
      </c>
      <c r="Q2073" t="str">
        <f>"41.134101"</f>
        <v>41.134101</v>
      </c>
      <c r="R2073" t="str">
        <f>"24.977775"</f>
        <v>24.977775</v>
      </c>
      <c r="S2073" t="s">
        <v>26</v>
      </c>
    </row>
    <row r="2074" spans="1:19" x14ac:dyDescent="0.3">
      <c r="A2074" t="s">
        <v>19</v>
      </c>
      <c r="B2074" t="s">
        <v>2087</v>
      </c>
      <c r="C2074" t="s">
        <v>2299</v>
      </c>
      <c r="D2074" t="s">
        <v>38</v>
      </c>
      <c r="E2074" t="s">
        <v>38</v>
      </c>
      <c r="F2074" t="s">
        <v>38</v>
      </c>
      <c r="G2074" t="s">
        <v>2244</v>
      </c>
      <c r="H2074" t="s">
        <v>868</v>
      </c>
      <c r="I2074" t="s">
        <v>1222</v>
      </c>
      <c r="J2074" t="str">
        <f>"9370210"</f>
        <v>9370210</v>
      </c>
      <c r="K2074">
        <v>2541077388</v>
      </c>
      <c r="L2074">
        <v>2541077388</v>
      </c>
      <c r="M2074" t="s">
        <v>2300</v>
      </c>
      <c r="N2074" t="s">
        <v>2247</v>
      </c>
      <c r="O2074" t="s">
        <v>2247</v>
      </c>
      <c r="P2074">
        <v>67100</v>
      </c>
      <c r="Q2074" t="str">
        <f>"41.148514"</f>
        <v>41.148514</v>
      </c>
      <c r="R2074" t="str">
        <f>"24.931596"</f>
        <v>24.931596</v>
      </c>
      <c r="S2074" t="s">
        <v>26</v>
      </c>
    </row>
    <row r="2075" spans="1:19" x14ac:dyDescent="0.3">
      <c r="A2075" t="s">
        <v>19</v>
      </c>
      <c r="B2075" t="s">
        <v>2087</v>
      </c>
      <c r="C2075" t="s">
        <v>2316</v>
      </c>
      <c r="D2075" t="s">
        <v>38</v>
      </c>
      <c r="E2075" t="s">
        <v>604</v>
      </c>
      <c r="F2075" t="s">
        <v>2118</v>
      </c>
      <c r="G2075" t="s">
        <v>2118</v>
      </c>
      <c r="H2075" t="s">
        <v>868</v>
      </c>
      <c r="I2075" t="s">
        <v>1222</v>
      </c>
      <c r="J2075" t="str">
        <f>"9370148"</f>
        <v>9370148</v>
      </c>
      <c r="K2075">
        <v>2541032241</v>
      </c>
      <c r="L2075">
        <v>2541032241</v>
      </c>
      <c r="M2075" t="s">
        <v>2317</v>
      </c>
      <c r="N2075" t="s">
        <v>2318</v>
      </c>
      <c r="O2075" t="s">
        <v>2318</v>
      </c>
      <c r="P2075">
        <v>67100</v>
      </c>
      <c r="Q2075" t="str">
        <f>"41.125868"</f>
        <v>41.125868</v>
      </c>
      <c r="R2075" t="str">
        <f>"24.997824"</f>
        <v>24.997824</v>
      </c>
      <c r="S2075" t="s">
        <v>26</v>
      </c>
    </row>
    <row r="2076" spans="1:19" x14ac:dyDescent="0.3">
      <c r="A2076" t="s">
        <v>19</v>
      </c>
      <c r="B2076" t="s">
        <v>2087</v>
      </c>
      <c r="C2076" t="s">
        <v>2319</v>
      </c>
      <c r="D2076" t="s">
        <v>38</v>
      </c>
      <c r="E2076" t="s">
        <v>663</v>
      </c>
      <c r="F2076" t="s">
        <v>663</v>
      </c>
      <c r="G2076" t="s">
        <v>735</v>
      </c>
      <c r="H2076" t="s">
        <v>868</v>
      </c>
      <c r="I2076" t="s">
        <v>1222</v>
      </c>
      <c r="J2076" t="str">
        <f>"9370174"</f>
        <v>9370174</v>
      </c>
      <c r="K2076">
        <v>2541042110</v>
      </c>
      <c r="L2076">
        <v>2541042110</v>
      </c>
      <c r="M2076" t="s">
        <v>2320</v>
      </c>
      <c r="N2076" t="s">
        <v>2269</v>
      </c>
      <c r="O2076" t="s">
        <v>2269</v>
      </c>
      <c r="P2076">
        <v>67200</v>
      </c>
      <c r="Q2076" t="str">
        <f>"40.991519"</f>
        <v>40.991519</v>
      </c>
      <c r="R2076" t="str">
        <f>"24.830288"</f>
        <v>24.830288</v>
      </c>
      <c r="S2076" t="s">
        <v>26</v>
      </c>
    </row>
    <row r="2077" spans="1:19" x14ac:dyDescent="0.3">
      <c r="A2077" t="s">
        <v>19</v>
      </c>
      <c r="B2077" t="s">
        <v>2087</v>
      </c>
      <c r="C2077" t="s">
        <v>2324</v>
      </c>
      <c r="D2077" t="s">
        <v>38</v>
      </c>
      <c r="E2077" t="s">
        <v>638</v>
      </c>
      <c r="F2077" t="s">
        <v>638</v>
      </c>
      <c r="G2077" t="s">
        <v>638</v>
      </c>
      <c r="H2077" t="s">
        <v>868</v>
      </c>
      <c r="I2077" t="s">
        <v>1201</v>
      </c>
      <c r="J2077" t="str">
        <f>"9520638"</f>
        <v>9520638</v>
      </c>
      <c r="K2077">
        <v>2541020812</v>
      </c>
      <c r="M2077" t="s">
        <v>2325</v>
      </c>
      <c r="N2077" t="s">
        <v>2326</v>
      </c>
      <c r="O2077" t="s">
        <v>2327</v>
      </c>
      <c r="P2077">
        <v>67100</v>
      </c>
      <c r="Q2077" t="str">
        <f>"41.192850"</f>
        <v>41.192850</v>
      </c>
      <c r="R2077" t="str">
        <f>"24.884128"</f>
        <v>24.884128</v>
      </c>
      <c r="S2077" t="s">
        <v>26</v>
      </c>
    </row>
    <row r="2078" spans="1:19" x14ac:dyDescent="0.3">
      <c r="A2078" t="s">
        <v>19</v>
      </c>
      <c r="B2078" t="s">
        <v>2087</v>
      </c>
      <c r="C2078" t="s">
        <v>2331</v>
      </c>
      <c r="D2078" t="s">
        <v>38</v>
      </c>
      <c r="E2078" t="s">
        <v>638</v>
      </c>
      <c r="F2078" t="s">
        <v>638</v>
      </c>
      <c r="G2078" t="s">
        <v>638</v>
      </c>
      <c r="H2078" t="s">
        <v>868</v>
      </c>
      <c r="I2078" t="s">
        <v>1201</v>
      </c>
      <c r="J2078" t="str">
        <f>"9370131"</f>
        <v>9370131</v>
      </c>
      <c r="K2078">
        <v>2541068036</v>
      </c>
      <c r="L2078">
        <v>2541068036</v>
      </c>
      <c r="M2078" t="s">
        <v>2332</v>
      </c>
      <c r="N2078" t="s">
        <v>41</v>
      </c>
      <c r="O2078" t="s">
        <v>2333</v>
      </c>
      <c r="P2078">
        <v>67100</v>
      </c>
      <c r="Q2078" t="str">
        <f>"41.190586"</f>
        <v>41.190586</v>
      </c>
      <c r="R2078" t="str">
        <f>"24.874410"</f>
        <v>24.874410</v>
      </c>
      <c r="S2078" t="s">
        <v>26</v>
      </c>
    </row>
    <row r="2079" spans="1:19" x14ac:dyDescent="0.3">
      <c r="A2079" t="s">
        <v>19</v>
      </c>
      <c r="B2079" t="s">
        <v>2087</v>
      </c>
      <c r="C2079" t="s">
        <v>2335</v>
      </c>
      <c r="D2079" t="s">
        <v>38</v>
      </c>
      <c r="E2079" t="s">
        <v>604</v>
      </c>
      <c r="F2079" t="s">
        <v>605</v>
      </c>
      <c r="G2079" t="s">
        <v>2334</v>
      </c>
      <c r="H2079" t="s">
        <v>868</v>
      </c>
      <c r="I2079" t="s">
        <v>1222</v>
      </c>
      <c r="J2079" t="str">
        <f>"9370155"</f>
        <v>9370155</v>
      </c>
      <c r="K2079">
        <v>2541032656</v>
      </c>
      <c r="L2079">
        <v>2541032656</v>
      </c>
      <c r="M2079" t="s">
        <v>2336</v>
      </c>
      <c r="N2079" t="s">
        <v>2334</v>
      </c>
      <c r="O2079" t="s">
        <v>2337</v>
      </c>
      <c r="P2079">
        <v>67100</v>
      </c>
      <c r="Q2079" t="str">
        <f>"41.131654"</f>
        <v>41.131654</v>
      </c>
      <c r="R2079" t="str">
        <f>"25.044644"</f>
        <v>25.044644</v>
      </c>
      <c r="S2079" t="s">
        <v>26</v>
      </c>
    </row>
    <row r="2080" spans="1:19" x14ac:dyDescent="0.3">
      <c r="A2080" t="s">
        <v>19</v>
      </c>
      <c r="B2080" t="s">
        <v>2087</v>
      </c>
      <c r="C2080" t="s">
        <v>2341</v>
      </c>
      <c r="D2080" t="s">
        <v>38</v>
      </c>
      <c r="E2080" t="s">
        <v>638</v>
      </c>
      <c r="F2080" t="s">
        <v>638</v>
      </c>
      <c r="G2080" t="s">
        <v>638</v>
      </c>
      <c r="H2080" t="s">
        <v>868</v>
      </c>
      <c r="I2080" t="s">
        <v>1201</v>
      </c>
      <c r="J2080" t="str">
        <f>"9370136"</f>
        <v>9370136</v>
      </c>
      <c r="K2080">
        <v>2541065116</v>
      </c>
      <c r="M2080" t="s">
        <v>2342</v>
      </c>
      <c r="N2080" t="s">
        <v>2343</v>
      </c>
      <c r="O2080" t="s">
        <v>2207</v>
      </c>
      <c r="P2080">
        <v>67100</v>
      </c>
      <c r="Q2080" t="str">
        <f>""</f>
        <v/>
      </c>
      <c r="R2080" t="str">
        <f>""</f>
        <v/>
      </c>
      <c r="S2080" t="s">
        <v>26</v>
      </c>
    </row>
    <row r="2081" spans="1:19" x14ac:dyDescent="0.3">
      <c r="A2081" t="s">
        <v>19</v>
      </c>
      <c r="B2081" t="s">
        <v>2087</v>
      </c>
      <c r="C2081" t="s">
        <v>720</v>
      </c>
      <c r="D2081" t="s">
        <v>38</v>
      </c>
      <c r="E2081" t="s">
        <v>638</v>
      </c>
      <c r="F2081" t="s">
        <v>638</v>
      </c>
      <c r="G2081" t="s">
        <v>638</v>
      </c>
      <c r="H2081" t="s">
        <v>868</v>
      </c>
      <c r="I2081" t="s">
        <v>1222</v>
      </c>
      <c r="J2081" t="str">
        <f>"9370137"</f>
        <v>9370137</v>
      </c>
      <c r="K2081">
        <v>2541074139</v>
      </c>
      <c r="L2081">
        <v>2541074139</v>
      </c>
      <c r="M2081" t="s">
        <v>2357</v>
      </c>
      <c r="N2081" t="s">
        <v>719</v>
      </c>
      <c r="O2081" t="s">
        <v>719</v>
      </c>
      <c r="P2081">
        <v>67100</v>
      </c>
      <c r="Q2081" t="str">
        <f>"41.229111"</f>
        <v>41.229111</v>
      </c>
      <c r="R2081" t="str">
        <f>"24.881600"</f>
        <v>24.881600</v>
      </c>
      <c r="S2081" t="s">
        <v>26</v>
      </c>
    </row>
    <row r="2082" spans="1:19" x14ac:dyDescent="0.3">
      <c r="A2082" t="s">
        <v>19</v>
      </c>
      <c r="B2082" t="s">
        <v>2087</v>
      </c>
      <c r="C2082" t="s">
        <v>2358</v>
      </c>
      <c r="D2082" t="s">
        <v>38</v>
      </c>
      <c r="E2082" t="s">
        <v>38</v>
      </c>
      <c r="F2082" t="s">
        <v>38</v>
      </c>
      <c r="G2082" t="s">
        <v>38</v>
      </c>
      <c r="H2082" t="s">
        <v>868</v>
      </c>
      <c r="I2082" t="s">
        <v>1222</v>
      </c>
      <c r="J2082" t="str">
        <f>"9370202"</f>
        <v>9370202</v>
      </c>
      <c r="K2082">
        <v>2541026055</v>
      </c>
      <c r="L2082">
        <v>2541026055</v>
      </c>
      <c r="M2082" t="s">
        <v>2359</v>
      </c>
      <c r="N2082" t="s">
        <v>2360</v>
      </c>
      <c r="O2082" t="s">
        <v>2361</v>
      </c>
      <c r="P2082">
        <v>67133</v>
      </c>
      <c r="Q2082" t="str">
        <f>"41.130083"</f>
        <v>41.130083</v>
      </c>
      <c r="R2082" t="str">
        <f>"24.859557"</f>
        <v>24.859557</v>
      </c>
      <c r="S2082" t="s">
        <v>26</v>
      </c>
    </row>
    <row r="2083" spans="1:19" x14ac:dyDescent="0.3">
      <c r="A2083" t="s">
        <v>19</v>
      </c>
      <c r="B2083" t="s">
        <v>2087</v>
      </c>
      <c r="C2083" t="s">
        <v>2362</v>
      </c>
      <c r="D2083" t="s">
        <v>38</v>
      </c>
      <c r="E2083" t="s">
        <v>38</v>
      </c>
      <c r="F2083" t="s">
        <v>38</v>
      </c>
      <c r="G2083" t="s">
        <v>38</v>
      </c>
      <c r="H2083" t="s">
        <v>868</v>
      </c>
      <c r="I2083" t="s">
        <v>869</v>
      </c>
      <c r="J2083" t="str">
        <f>"9370271"</f>
        <v>9370271</v>
      </c>
      <c r="K2083">
        <v>2541066110</v>
      </c>
      <c r="L2083">
        <v>2541066110</v>
      </c>
      <c r="M2083" t="s">
        <v>2363</v>
      </c>
      <c r="N2083" t="s">
        <v>41</v>
      </c>
      <c r="O2083" t="s">
        <v>2364</v>
      </c>
      <c r="P2083">
        <v>67100</v>
      </c>
      <c r="Q2083" t="str">
        <f>"41.117840"</f>
        <v>41.117840</v>
      </c>
      <c r="R2083" t="str">
        <f>"24.863511"</f>
        <v>24.863511</v>
      </c>
      <c r="S2083" t="s">
        <v>26</v>
      </c>
    </row>
    <row r="2084" spans="1:19" x14ac:dyDescent="0.3">
      <c r="A2084" t="s">
        <v>19</v>
      </c>
      <c r="B2084" t="s">
        <v>2087</v>
      </c>
      <c r="C2084" t="s">
        <v>732</v>
      </c>
      <c r="D2084" t="s">
        <v>38</v>
      </c>
      <c r="E2084" t="s">
        <v>38</v>
      </c>
      <c r="F2084" t="s">
        <v>38</v>
      </c>
      <c r="G2084" t="s">
        <v>38</v>
      </c>
      <c r="H2084" t="s">
        <v>868</v>
      </c>
      <c r="I2084" t="s">
        <v>869</v>
      </c>
      <c r="J2084" t="str">
        <f>"9370266"</f>
        <v>9370266</v>
      </c>
      <c r="K2084">
        <v>2541077782</v>
      </c>
      <c r="L2084">
        <v>2541077782</v>
      </c>
      <c r="M2084" t="s">
        <v>2365</v>
      </c>
      <c r="N2084" t="s">
        <v>2366</v>
      </c>
      <c r="O2084" t="s">
        <v>2263</v>
      </c>
      <c r="P2084">
        <v>67100</v>
      </c>
      <c r="Q2084" t="str">
        <f>"41.130664"</f>
        <v>41.130664</v>
      </c>
      <c r="R2084" t="str">
        <f>"24.907986"</f>
        <v>24.907986</v>
      </c>
      <c r="S2084" t="s">
        <v>26</v>
      </c>
    </row>
    <row r="2085" spans="1:19" x14ac:dyDescent="0.3">
      <c r="A2085" t="s">
        <v>19</v>
      </c>
      <c r="B2085" t="s">
        <v>2087</v>
      </c>
      <c r="C2085" t="s">
        <v>2367</v>
      </c>
      <c r="D2085" t="s">
        <v>38</v>
      </c>
      <c r="E2085" t="s">
        <v>663</v>
      </c>
      <c r="F2085" t="s">
        <v>663</v>
      </c>
      <c r="G2085" t="s">
        <v>735</v>
      </c>
      <c r="H2085" t="s">
        <v>868</v>
      </c>
      <c r="I2085" t="s">
        <v>950</v>
      </c>
      <c r="J2085" t="str">
        <f>"9370073"</f>
        <v>9370073</v>
      </c>
      <c r="K2085">
        <v>2541041702</v>
      </c>
      <c r="L2085">
        <v>2541041702</v>
      </c>
      <c r="M2085" t="s">
        <v>2368</v>
      </c>
      <c r="N2085" t="s">
        <v>688</v>
      </c>
      <c r="O2085" t="s">
        <v>688</v>
      </c>
      <c r="P2085">
        <v>67200</v>
      </c>
      <c r="Q2085" t="str">
        <f>"40.985320"</f>
        <v>40.985320</v>
      </c>
      <c r="R2085" t="str">
        <f>"24.796556"</f>
        <v>24.796556</v>
      </c>
      <c r="S2085" t="s">
        <v>26</v>
      </c>
    </row>
    <row r="2086" spans="1:19" x14ac:dyDescent="0.3">
      <c r="A2086" t="s">
        <v>19</v>
      </c>
      <c r="B2086" t="s">
        <v>2087</v>
      </c>
      <c r="C2086" t="s">
        <v>615</v>
      </c>
      <c r="D2086" t="s">
        <v>38</v>
      </c>
      <c r="E2086" t="s">
        <v>38</v>
      </c>
      <c r="F2086" t="s">
        <v>38</v>
      </c>
      <c r="G2086" t="s">
        <v>38</v>
      </c>
      <c r="H2086" t="s">
        <v>868</v>
      </c>
      <c r="I2086" t="s">
        <v>869</v>
      </c>
      <c r="J2086" t="str">
        <f>"9520729"</f>
        <v>9520729</v>
      </c>
      <c r="K2086">
        <v>2541022996</v>
      </c>
      <c r="L2086">
        <v>2541022446</v>
      </c>
      <c r="M2086" t="s">
        <v>2371</v>
      </c>
      <c r="N2086" t="s">
        <v>41</v>
      </c>
      <c r="O2086" t="s">
        <v>2372</v>
      </c>
      <c r="P2086">
        <v>67133</v>
      </c>
      <c r="Q2086" t="str">
        <f>"41.129285"</f>
        <v>41.129285</v>
      </c>
      <c r="R2086" t="str">
        <f>"24.881374"</f>
        <v>24.881374</v>
      </c>
      <c r="S2086" t="s">
        <v>26</v>
      </c>
    </row>
    <row r="2087" spans="1:19" x14ac:dyDescent="0.3">
      <c r="A2087" t="s">
        <v>19</v>
      </c>
      <c r="B2087" t="s">
        <v>2087</v>
      </c>
      <c r="C2087" t="s">
        <v>2373</v>
      </c>
      <c r="D2087" t="s">
        <v>38</v>
      </c>
      <c r="E2087" t="s">
        <v>638</v>
      </c>
      <c r="F2087" t="s">
        <v>2348</v>
      </c>
      <c r="G2087" t="s">
        <v>2348</v>
      </c>
      <c r="H2087" t="s">
        <v>868</v>
      </c>
      <c r="I2087" t="s">
        <v>1201</v>
      </c>
      <c r="J2087" t="str">
        <f>"9370143"</f>
        <v>9370143</v>
      </c>
      <c r="K2087">
        <v>2544024440</v>
      </c>
      <c r="M2087" t="s">
        <v>2374</v>
      </c>
      <c r="N2087" t="s">
        <v>2375</v>
      </c>
      <c r="O2087" t="s">
        <v>2376</v>
      </c>
      <c r="P2087">
        <v>67300</v>
      </c>
      <c r="Q2087" t="str">
        <f>""</f>
        <v/>
      </c>
      <c r="R2087" t="str">
        <f>""</f>
        <v/>
      </c>
      <c r="S2087" t="s">
        <v>26</v>
      </c>
    </row>
    <row r="2088" spans="1:19" x14ac:dyDescent="0.3">
      <c r="A2088" t="s">
        <v>19</v>
      </c>
      <c r="B2088" t="s">
        <v>2087</v>
      </c>
      <c r="C2088" t="s">
        <v>2377</v>
      </c>
      <c r="D2088" t="s">
        <v>38</v>
      </c>
      <c r="E2088" t="s">
        <v>604</v>
      </c>
      <c r="F2088" t="s">
        <v>605</v>
      </c>
      <c r="G2088" t="s">
        <v>606</v>
      </c>
      <c r="H2088" t="s">
        <v>868</v>
      </c>
      <c r="I2088" t="s">
        <v>869</v>
      </c>
      <c r="J2088" t="str">
        <f>"9370022"</f>
        <v>9370022</v>
      </c>
      <c r="K2088">
        <v>2541091479</v>
      </c>
      <c r="L2088">
        <v>2541091479</v>
      </c>
      <c r="M2088" t="s">
        <v>2378</v>
      </c>
      <c r="N2088" t="s">
        <v>2312</v>
      </c>
      <c r="O2088" t="s">
        <v>2379</v>
      </c>
      <c r="P2088">
        <v>67100</v>
      </c>
      <c r="Q2088" t="str">
        <f>"41.099579"</f>
        <v>41.099579</v>
      </c>
      <c r="R2088" t="str">
        <f>"24.898325"</f>
        <v>24.898325</v>
      </c>
      <c r="S2088" t="s">
        <v>26</v>
      </c>
    </row>
    <row r="2089" spans="1:19" x14ac:dyDescent="0.3">
      <c r="A2089" t="s">
        <v>19</v>
      </c>
      <c r="B2089" t="s">
        <v>2087</v>
      </c>
      <c r="C2089" t="s">
        <v>2380</v>
      </c>
      <c r="D2089" t="s">
        <v>38</v>
      </c>
      <c r="E2089" t="s">
        <v>663</v>
      </c>
      <c r="F2089" t="s">
        <v>663</v>
      </c>
      <c r="G2089" t="s">
        <v>735</v>
      </c>
      <c r="H2089" t="s">
        <v>868</v>
      </c>
      <c r="I2089" t="s">
        <v>950</v>
      </c>
      <c r="J2089" t="str">
        <f>"9370072"</f>
        <v>9370072</v>
      </c>
      <c r="K2089">
        <v>2541041050</v>
      </c>
      <c r="L2089">
        <v>2541041050</v>
      </c>
      <c r="M2089" t="s">
        <v>2381</v>
      </c>
      <c r="N2089" t="s">
        <v>2382</v>
      </c>
      <c r="O2089" t="s">
        <v>2382</v>
      </c>
      <c r="P2089">
        <v>67200</v>
      </c>
      <c r="Q2089" t="str">
        <f>"40.991408"</f>
        <v>40.991408</v>
      </c>
      <c r="R2089" t="str">
        <f>"24.829895"</f>
        <v>24.829895</v>
      </c>
      <c r="S2089" t="s">
        <v>26</v>
      </c>
    </row>
    <row r="2090" spans="1:19" x14ac:dyDescent="0.3">
      <c r="A2090" t="s">
        <v>19</v>
      </c>
      <c r="B2090" t="s">
        <v>2087</v>
      </c>
      <c r="C2090" t="s">
        <v>2386</v>
      </c>
      <c r="D2090" t="s">
        <v>38</v>
      </c>
      <c r="E2090" t="s">
        <v>638</v>
      </c>
      <c r="F2090" t="s">
        <v>2169</v>
      </c>
      <c r="G2090" t="s">
        <v>2169</v>
      </c>
      <c r="H2090" t="s">
        <v>868</v>
      </c>
      <c r="I2090" t="s">
        <v>1201</v>
      </c>
      <c r="J2090" t="str">
        <f>"9370112"</f>
        <v>9370112</v>
      </c>
      <c r="K2090">
        <v>2544024592</v>
      </c>
      <c r="M2090" t="s">
        <v>2387</v>
      </c>
      <c r="N2090" t="s">
        <v>2388</v>
      </c>
      <c r="O2090" t="s">
        <v>2389</v>
      </c>
      <c r="P2090">
        <v>67300</v>
      </c>
      <c r="Q2090" t="str">
        <f>"41.374170"</f>
        <v>41.374170</v>
      </c>
      <c r="R2090" t="str">
        <f>"24.920879"</f>
        <v>24.920879</v>
      </c>
      <c r="S2090" t="s">
        <v>57</v>
      </c>
    </row>
    <row r="2091" spans="1:19" x14ac:dyDescent="0.3">
      <c r="A2091" t="s">
        <v>19</v>
      </c>
      <c r="B2091" t="s">
        <v>2087</v>
      </c>
      <c r="C2091" t="s">
        <v>2390</v>
      </c>
      <c r="D2091" t="s">
        <v>38</v>
      </c>
      <c r="E2091" t="s">
        <v>604</v>
      </c>
      <c r="F2091" t="s">
        <v>605</v>
      </c>
      <c r="G2091" t="s">
        <v>2334</v>
      </c>
      <c r="H2091" t="s">
        <v>868</v>
      </c>
      <c r="I2091" t="s">
        <v>1201</v>
      </c>
      <c r="J2091" t="str">
        <f>"9370156"</f>
        <v>9370156</v>
      </c>
      <c r="M2091" t="s">
        <v>2391</v>
      </c>
      <c r="N2091" t="s">
        <v>2392</v>
      </c>
      <c r="O2091" t="s">
        <v>2207</v>
      </c>
      <c r="P2091">
        <v>67100</v>
      </c>
      <c r="Q2091" t="str">
        <f>""</f>
        <v/>
      </c>
      <c r="R2091" t="str">
        <f>""</f>
        <v/>
      </c>
      <c r="S2091" t="s">
        <v>26</v>
      </c>
    </row>
    <row r="2092" spans="1:19" x14ac:dyDescent="0.3">
      <c r="A2092" t="s">
        <v>19</v>
      </c>
      <c r="B2092" t="s">
        <v>2087</v>
      </c>
      <c r="C2092" t="s">
        <v>2394</v>
      </c>
      <c r="D2092" t="s">
        <v>38</v>
      </c>
      <c r="E2092" t="s">
        <v>38</v>
      </c>
      <c r="F2092" t="s">
        <v>604</v>
      </c>
      <c r="G2092" t="s">
        <v>2393</v>
      </c>
      <c r="H2092" t="s">
        <v>868</v>
      </c>
      <c r="I2092" t="s">
        <v>1222</v>
      </c>
      <c r="J2092" t="str">
        <f>"9370184"</f>
        <v>9370184</v>
      </c>
      <c r="K2092">
        <v>2541067029</v>
      </c>
      <c r="M2092" t="s">
        <v>2395</v>
      </c>
      <c r="N2092" t="s">
        <v>2396</v>
      </c>
      <c r="O2092" t="s">
        <v>2397</v>
      </c>
      <c r="P2092">
        <v>67100</v>
      </c>
      <c r="Q2092" t="str">
        <f>""</f>
        <v/>
      </c>
      <c r="R2092" t="str">
        <f>""</f>
        <v/>
      </c>
      <c r="S2092" t="s">
        <v>26</v>
      </c>
    </row>
    <row r="2093" spans="1:19" x14ac:dyDescent="0.3">
      <c r="A2093" t="s">
        <v>19</v>
      </c>
      <c r="B2093" t="s">
        <v>2087</v>
      </c>
      <c r="C2093" t="s">
        <v>2398</v>
      </c>
      <c r="D2093" t="s">
        <v>38</v>
      </c>
      <c r="E2093" t="s">
        <v>638</v>
      </c>
      <c r="F2093" t="s">
        <v>638</v>
      </c>
      <c r="G2093" t="s">
        <v>638</v>
      </c>
      <c r="H2093" t="s">
        <v>868</v>
      </c>
      <c r="I2093" t="s">
        <v>1201</v>
      </c>
      <c r="J2093" t="str">
        <f>"9370208"</f>
        <v>9370208</v>
      </c>
      <c r="M2093" t="s">
        <v>2399</v>
      </c>
      <c r="N2093" t="s">
        <v>2400</v>
      </c>
      <c r="O2093" t="s">
        <v>2207</v>
      </c>
      <c r="P2093">
        <v>67100</v>
      </c>
      <c r="Q2093" t="str">
        <f>""</f>
        <v/>
      </c>
      <c r="R2093" t="str">
        <f>""</f>
        <v/>
      </c>
      <c r="S2093" t="s">
        <v>26</v>
      </c>
    </row>
    <row r="2094" spans="1:19" x14ac:dyDescent="0.3">
      <c r="A2094" t="s">
        <v>19</v>
      </c>
      <c r="B2094" t="s">
        <v>2087</v>
      </c>
      <c r="C2094" t="s">
        <v>2401</v>
      </c>
      <c r="D2094" t="s">
        <v>38</v>
      </c>
      <c r="E2094" t="s">
        <v>663</v>
      </c>
      <c r="F2094" t="s">
        <v>663</v>
      </c>
      <c r="G2094" t="s">
        <v>2344</v>
      </c>
      <c r="H2094" t="s">
        <v>868</v>
      </c>
      <c r="I2094" t="s">
        <v>950</v>
      </c>
      <c r="J2094" t="str">
        <f>"9370065"</f>
        <v>9370065</v>
      </c>
      <c r="K2094">
        <v>2541094346</v>
      </c>
      <c r="L2094">
        <v>2541094346</v>
      </c>
      <c r="M2094" t="s">
        <v>2402</v>
      </c>
      <c r="N2094" t="s">
        <v>2403</v>
      </c>
      <c r="O2094" t="s">
        <v>2403</v>
      </c>
      <c r="P2094">
        <v>67064</v>
      </c>
      <c r="Q2094" t="str">
        <f>"41.016700"</f>
        <v>41.016700</v>
      </c>
      <c r="R2094" t="str">
        <f>"24.897849"</f>
        <v>24.897849</v>
      </c>
      <c r="S2094" t="s">
        <v>26</v>
      </c>
    </row>
    <row r="2095" spans="1:19" x14ac:dyDescent="0.3">
      <c r="A2095" t="s">
        <v>19</v>
      </c>
      <c r="B2095" t="s">
        <v>2087</v>
      </c>
      <c r="C2095" t="s">
        <v>2404</v>
      </c>
      <c r="D2095" t="s">
        <v>38</v>
      </c>
      <c r="E2095" t="s">
        <v>638</v>
      </c>
      <c r="F2095" t="s">
        <v>2348</v>
      </c>
      <c r="G2095" t="s">
        <v>2348</v>
      </c>
      <c r="H2095" t="s">
        <v>868</v>
      </c>
      <c r="I2095" t="s">
        <v>1201</v>
      </c>
      <c r="J2095" t="str">
        <f>"9370145"</f>
        <v>9370145</v>
      </c>
      <c r="K2095">
        <v>2544022444</v>
      </c>
      <c r="L2095">
        <v>2544022444</v>
      </c>
      <c r="M2095" t="s">
        <v>2405</v>
      </c>
      <c r="N2095" t="s">
        <v>2406</v>
      </c>
      <c r="O2095" t="s">
        <v>2407</v>
      </c>
      <c r="P2095">
        <v>67300</v>
      </c>
      <c r="Q2095" t="str">
        <f>"41.244628"</f>
        <v>41.244628</v>
      </c>
      <c r="R2095" t="str">
        <f>"25.046907"</f>
        <v>25.046907</v>
      </c>
      <c r="S2095" t="s">
        <v>26</v>
      </c>
    </row>
    <row r="2096" spans="1:19" x14ac:dyDescent="0.3">
      <c r="A2096" t="s">
        <v>19</v>
      </c>
      <c r="B2096" t="s">
        <v>2087</v>
      </c>
      <c r="C2096" t="s">
        <v>2408</v>
      </c>
      <c r="D2096" t="s">
        <v>38</v>
      </c>
      <c r="E2096" t="s">
        <v>663</v>
      </c>
      <c r="F2096" t="s">
        <v>663</v>
      </c>
      <c r="G2096" t="s">
        <v>678</v>
      </c>
      <c r="H2096" t="s">
        <v>868</v>
      </c>
      <c r="I2096" t="s">
        <v>1222</v>
      </c>
      <c r="J2096" t="str">
        <f>"9370172"</f>
        <v>9370172</v>
      </c>
      <c r="K2096">
        <v>2541061544</v>
      </c>
      <c r="M2096" t="s">
        <v>2409</v>
      </c>
      <c r="N2096" t="s">
        <v>2410</v>
      </c>
      <c r="O2096" t="s">
        <v>2411</v>
      </c>
      <c r="P2096">
        <v>67200</v>
      </c>
      <c r="Q2096" t="str">
        <f>"40.935076"</f>
        <v>40.935076</v>
      </c>
      <c r="R2096" t="str">
        <f>"24.814785"</f>
        <v>24.814785</v>
      </c>
      <c r="S2096" t="s">
        <v>26</v>
      </c>
    </row>
    <row r="2097" spans="1:19" x14ac:dyDescent="0.3">
      <c r="A2097" t="s">
        <v>19</v>
      </c>
      <c r="B2097" t="s">
        <v>2087</v>
      </c>
      <c r="C2097" t="s">
        <v>682</v>
      </c>
      <c r="D2097" t="s">
        <v>38</v>
      </c>
      <c r="E2097" t="s">
        <v>663</v>
      </c>
      <c r="F2097" t="s">
        <v>663</v>
      </c>
      <c r="G2097" t="s">
        <v>678</v>
      </c>
      <c r="H2097" t="s">
        <v>868</v>
      </c>
      <c r="I2097" t="s">
        <v>869</v>
      </c>
      <c r="J2097" t="str">
        <f>"9370070"</f>
        <v>9370070</v>
      </c>
      <c r="K2097">
        <v>2541061215</v>
      </c>
      <c r="L2097">
        <v>2541061215</v>
      </c>
      <c r="M2097" t="s">
        <v>2414</v>
      </c>
      <c r="N2097" t="s">
        <v>2415</v>
      </c>
      <c r="O2097" t="s">
        <v>2415</v>
      </c>
      <c r="P2097">
        <v>67200</v>
      </c>
      <c r="Q2097" t="str">
        <f>"40.929912"</f>
        <v>40.929912</v>
      </c>
      <c r="R2097" t="str">
        <f>"24.829858"</f>
        <v>24.829858</v>
      </c>
      <c r="S2097" t="s">
        <v>26</v>
      </c>
    </row>
    <row r="2098" spans="1:19" x14ac:dyDescent="0.3">
      <c r="A2098" t="s">
        <v>19</v>
      </c>
      <c r="B2098" t="s">
        <v>2087</v>
      </c>
      <c r="C2098" t="s">
        <v>2416</v>
      </c>
      <c r="D2098" t="s">
        <v>38</v>
      </c>
      <c r="E2098" t="s">
        <v>638</v>
      </c>
      <c r="F2098" t="s">
        <v>638</v>
      </c>
      <c r="G2098" t="s">
        <v>638</v>
      </c>
      <c r="H2098" t="s">
        <v>868</v>
      </c>
      <c r="I2098" t="s">
        <v>1201</v>
      </c>
      <c r="J2098" t="str">
        <f>"9370214"</f>
        <v>9370214</v>
      </c>
      <c r="M2098" t="s">
        <v>2417</v>
      </c>
      <c r="N2098" t="s">
        <v>2418</v>
      </c>
      <c r="O2098" t="s">
        <v>2207</v>
      </c>
      <c r="P2098">
        <v>67100</v>
      </c>
      <c r="Q2098" t="str">
        <f>""</f>
        <v/>
      </c>
      <c r="R2098" t="str">
        <f>""</f>
        <v/>
      </c>
      <c r="S2098" t="s">
        <v>26</v>
      </c>
    </row>
    <row r="2099" spans="1:19" x14ac:dyDescent="0.3">
      <c r="A2099" t="s">
        <v>19</v>
      </c>
      <c r="B2099" t="s">
        <v>2087</v>
      </c>
      <c r="C2099" t="s">
        <v>2419</v>
      </c>
      <c r="D2099" t="s">
        <v>38</v>
      </c>
      <c r="E2099" t="s">
        <v>638</v>
      </c>
      <c r="F2099" t="s">
        <v>2348</v>
      </c>
      <c r="G2099" t="s">
        <v>2348</v>
      </c>
      <c r="H2099" t="s">
        <v>868</v>
      </c>
      <c r="I2099" t="s">
        <v>1201</v>
      </c>
      <c r="J2099" t="str">
        <f>"9370215"</f>
        <v>9370215</v>
      </c>
      <c r="K2099">
        <v>2544024500</v>
      </c>
      <c r="L2099">
        <v>2544024500</v>
      </c>
      <c r="M2099" t="s">
        <v>2420</v>
      </c>
      <c r="N2099" t="s">
        <v>2421</v>
      </c>
      <c r="O2099" t="s">
        <v>2422</v>
      </c>
      <c r="P2099">
        <v>67300</v>
      </c>
      <c r="Q2099" t="str">
        <f>"41.226301"</f>
        <v>41.226301</v>
      </c>
      <c r="R2099" t="str">
        <f>"25.037894"</f>
        <v>25.037894</v>
      </c>
      <c r="S2099" t="s">
        <v>26</v>
      </c>
    </row>
    <row r="2100" spans="1:19" x14ac:dyDescent="0.3">
      <c r="A2100" t="s">
        <v>19</v>
      </c>
      <c r="B2100" t="s">
        <v>2087</v>
      </c>
      <c r="C2100" t="s">
        <v>2424</v>
      </c>
      <c r="D2100" t="s">
        <v>38</v>
      </c>
      <c r="E2100" t="s">
        <v>38</v>
      </c>
      <c r="F2100" t="s">
        <v>38</v>
      </c>
      <c r="G2100" t="s">
        <v>2423</v>
      </c>
      <c r="H2100" t="s">
        <v>868</v>
      </c>
      <c r="I2100" t="s">
        <v>1157</v>
      </c>
      <c r="J2100" t="str">
        <f>"9520884"</f>
        <v>9520884</v>
      </c>
      <c r="K2100">
        <v>2541045102</v>
      </c>
      <c r="L2100">
        <v>2541070354</v>
      </c>
      <c r="M2100" t="s">
        <v>2425</v>
      </c>
      <c r="N2100" t="s">
        <v>2426</v>
      </c>
      <c r="O2100" t="s">
        <v>2427</v>
      </c>
      <c r="P2100">
        <v>67100</v>
      </c>
      <c r="Q2100" t="str">
        <f>"41.107680"</f>
        <v>41.107680</v>
      </c>
      <c r="R2100" t="str">
        <f>"24.859411"</f>
        <v>24.859411</v>
      </c>
      <c r="S2100" t="s">
        <v>26</v>
      </c>
    </row>
    <row r="2101" spans="1:19" x14ac:dyDescent="0.3">
      <c r="A2101" t="s">
        <v>19</v>
      </c>
      <c r="B2101" t="s">
        <v>2087</v>
      </c>
      <c r="C2101" t="s">
        <v>2428</v>
      </c>
      <c r="D2101" t="s">
        <v>38</v>
      </c>
      <c r="E2101" t="s">
        <v>604</v>
      </c>
      <c r="F2101" t="s">
        <v>605</v>
      </c>
      <c r="G2101" t="s">
        <v>2240</v>
      </c>
      <c r="H2101" t="s">
        <v>868</v>
      </c>
      <c r="I2101" t="s">
        <v>1222</v>
      </c>
      <c r="J2101" t="str">
        <f>"9370189"</f>
        <v>9370189</v>
      </c>
      <c r="K2101">
        <v>2541092372</v>
      </c>
      <c r="L2101">
        <v>2541092372</v>
      </c>
      <c r="M2101" t="s">
        <v>2429</v>
      </c>
      <c r="N2101" t="s">
        <v>2430</v>
      </c>
      <c r="O2101" t="s">
        <v>2430</v>
      </c>
      <c r="P2101">
        <v>67100</v>
      </c>
      <c r="Q2101" t="str">
        <f>"41.069038"</f>
        <v>41.069038</v>
      </c>
      <c r="R2101" t="str">
        <f>"24.909445"</f>
        <v>24.909445</v>
      </c>
      <c r="S2101" t="s">
        <v>26</v>
      </c>
    </row>
    <row r="2102" spans="1:19" x14ac:dyDescent="0.3">
      <c r="A2102" t="s">
        <v>19</v>
      </c>
      <c r="B2102" t="s">
        <v>2087</v>
      </c>
      <c r="C2102" t="s">
        <v>2431</v>
      </c>
      <c r="D2102" t="s">
        <v>38</v>
      </c>
      <c r="E2102" t="s">
        <v>638</v>
      </c>
      <c r="F2102" t="s">
        <v>2169</v>
      </c>
      <c r="G2102" t="s">
        <v>2169</v>
      </c>
      <c r="H2102" t="s">
        <v>868</v>
      </c>
      <c r="I2102" t="s">
        <v>1201</v>
      </c>
      <c r="J2102" t="str">
        <f>"9370117"</f>
        <v>9370117</v>
      </c>
      <c r="K2102">
        <v>2544024434</v>
      </c>
      <c r="M2102" t="s">
        <v>2432</v>
      </c>
      <c r="N2102" t="s">
        <v>2433</v>
      </c>
      <c r="O2102" t="s">
        <v>2207</v>
      </c>
      <c r="P2102">
        <v>67300</v>
      </c>
      <c r="Q2102" t="str">
        <f>""</f>
        <v/>
      </c>
      <c r="R2102" t="str">
        <f>""</f>
        <v/>
      </c>
      <c r="S2102" t="s">
        <v>57</v>
      </c>
    </row>
    <row r="2103" spans="1:19" x14ac:dyDescent="0.3">
      <c r="A2103" t="s">
        <v>19</v>
      </c>
      <c r="B2103" t="s">
        <v>2087</v>
      </c>
      <c r="C2103" t="s">
        <v>642</v>
      </c>
      <c r="D2103" t="s">
        <v>38</v>
      </c>
      <c r="E2103" t="s">
        <v>638</v>
      </c>
      <c r="F2103" t="s">
        <v>638</v>
      </c>
      <c r="G2103" t="s">
        <v>638</v>
      </c>
      <c r="H2103" t="s">
        <v>868</v>
      </c>
      <c r="I2103" t="s">
        <v>1222</v>
      </c>
      <c r="J2103" t="str">
        <f>"9370191"</f>
        <v>9370191</v>
      </c>
      <c r="K2103">
        <v>2544024167</v>
      </c>
      <c r="L2103">
        <v>2544024167</v>
      </c>
      <c r="M2103" t="s">
        <v>2436</v>
      </c>
      <c r="N2103" t="s">
        <v>641</v>
      </c>
      <c r="O2103" t="s">
        <v>641</v>
      </c>
      <c r="P2103">
        <v>67300</v>
      </c>
      <c r="Q2103" t="str">
        <f>"41.264869"</f>
        <v>41.264869</v>
      </c>
      <c r="R2103" t="str">
        <f>"24.924988"</f>
        <v>24.924988</v>
      </c>
      <c r="S2103" t="s">
        <v>26</v>
      </c>
    </row>
    <row r="2104" spans="1:19" x14ac:dyDescent="0.3">
      <c r="A2104" t="s">
        <v>19</v>
      </c>
      <c r="B2104" t="s">
        <v>2087</v>
      </c>
      <c r="C2104" t="s">
        <v>2441</v>
      </c>
      <c r="D2104" t="s">
        <v>38</v>
      </c>
      <c r="E2104" t="s">
        <v>663</v>
      </c>
      <c r="F2104" t="s">
        <v>663</v>
      </c>
      <c r="G2104" t="s">
        <v>2344</v>
      </c>
      <c r="H2104" t="s">
        <v>868</v>
      </c>
      <c r="I2104" t="s">
        <v>1222</v>
      </c>
      <c r="J2104" t="str">
        <f>"9370170"</f>
        <v>9370170</v>
      </c>
      <c r="K2104">
        <v>2541094444</v>
      </c>
      <c r="L2104">
        <v>2541094444</v>
      </c>
      <c r="M2104" t="s">
        <v>2442</v>
      </c>
      <c r="N2104" t="s">
        <v>2347</v>
      </c>
      <c r="O2104" t="s">
        <v>2347</v>
      </c>
      <c r="P2104">
        <v>67200</v>
      </c>
      <c r="Q2104" t="str">
        <f>"41.029914"</f>
        <v>41.029914</v>
      </c>
      <c r="R2104" t="str">
        <f>"24.862077"</f>
        <v>24.862077</v>
      </c>
      <c r="S2104" t="s">
        <v>26</v>
      </c>
    </row>
    <row r="2105" spans="1:19" x14ac:dyDescent="0.3">
      <c r="A2105" t="s">
        <v>19</v>
      </c>
      <c r="B2105" t="s">
        <v>2087</v>
      </c>
      <c r="C2105" t="s">
        <v>2443</v>
      </c>
      <c r="D2105" t="s">
        <v>38</v>
      </c>
      <c r="E2105" t="s">
        <v>638</v>
      </c>
      <c r="F2105" t="s">
        <v>2169</v>
      </c>
      <c r="G2105" t="s">
        <v>2169</v>
      </c>
      <c r="H2105" t="s">
        <v>868</v>
      </c>
      <c r="I2105" t="s">
        <v>1201</v>
      </c>
      <c r="J2105" t="str">
        <f>"9370118"</f>
        <v>9370118</v>
      </c>
      <c r="K2105">
        <v>2544022821</v>
      </c>
      <c r="M2105" t="s">
        <v>2444</v>
      </c>
      <c r="N2105" t="s">
        <v>2445</v>
      </c>
      <c r="O2105" t="s">
        <v>2207</v>
      </c>
      <c r="P2105">
        <v>67300</v>
      </c>
      <c r="Q2105" t="str">
        <f>""</f>
        <v/>
      </c>
      <c r="R2105" t="str">
        <f>""</f>
        <v/>
      </c>
      <c r="S2105" t="s">
        <v>57</v>
      </c>
    </row>
    <row r="2106" spans="1:19" x14ac:dyDescent="0.3">
      <c r="A2106" t="s">
        <v>19</v>
      </c>
      <c r="B2106" t="s">
        <v>2087</v>
      </c>
      <c r="C2106" t="s">
        <v>2446</v>
      </c>
      <c r="D2106" t="s">
        <v>38</v>
      </c>
      <c r="E2106" t="s">
        <v>663</v>
      </c>
      <c r="F2106" t="s">
        <v>663</v>
      </c>
      <c r="G2106" t="s">
        <v>735</v>
      </c>
      <c r="H2106" t="s">
        <v>868</v>
      </c>
      <c r="I2106" t="s">
        <v>1222</v>
      </c>
      <c r="J2106" t="str">
        <f>"9370178"</f>
        <v>9370178</v>
      </c>
      <c r="K2106">
        <v>2541095503</v>
      </c>
      <c r="L2106">
        <v>2541095503</v>
      </c>
      <c r="M2106" t="s">
        <v>2447</v>
      </c>
      <c r="N2106" t="s">
        <v>2448</v>
      </c>
      <c r="O2106" t="s">
        <v>2448</v>
      </c>
      <c r="P2106">
        <v>67200</v>
      </c>
      <c r="Q2106" t="str">
        <f>"41.015183"</f>
        <v>41.015183</v>
      </c>
      <c r="R2106" t="str">
        <f>"24.766560"</f>
        <v>24.766560</v>
      </c>
      <c r="S2106" t="s">
        <v>26</v>
      </c>
    </row>
    <row r="2107" spans="1:19" x14ac:dyDescent="0.3">
      <c r="A2107" t="s">
        <v>19</v>
      </c>
      <c r="B2107" t="s">
        <v>2087</v>
      </c>
      <c r="C2107" t="s">
        <v>2449</v>
      </c>
      <c r="D2107" t="s">
        <v>38</v>
      </c>
      <c r="E2107" t="s">
        <v>663</v>
      </c>
      <c r="F2107" t="s">
        <v>663</v>
      </c>
      <c r="G2107" t="s">
        <v>735</v>
      </c>
      <c r="H2107" t="s">
        <v>868</v>
      </c>
      <c r="I2107" t="s">
        <v>1201</v>
      </c>
      <c r="J2107" t="str">
        <f>"9370181"</f>
        <v>9370181</v>
      </c>
      <c r="K2107">
        <v>2541041684</v>
      </c>
      <c r="M2107" t="s">
        <v>2450</v>
      </c>
      <c r="N2107" t="s">
        <v>2451</v>
      </c>
      <c r="O2107" t="s">
        <v>2452</v>
      </c>
      <c r="P2107">
        <v>67200</v>
      </c>
      <c r="Q2107" t="str">
        <f>""</f>
        <v/>
      </c>
      <c r="R2107" t="str">
        <f>""</f>
        <v/>
      </c>
      <c r="S2107" t="s">
        <v>26</v>
      </c>
    </row>
    <row r="2108" spans="1:19" x14ac:dyDescent="0.3">
      <c r="A2108" t="s">
        <v>19</v>
      </c>
      <c r="B2108" t="s">
        <v>2087</v>
      </c>
      <c r="C2108" t="s">
        <v>2453</v>
      </c>
      <c r="D2108" t="s">
        <v>38</v>
      </c>
      <c r="E2108" t="s">
        <v>663</v>
      </c>
      <c r="F2108" t="s">
        <v>663</v>
      </c>
      <c r="G2108" t="s">
        <v>2227</v>
      </c>
      <c r="H2108" t="s">
        <v>868</v>
      </c>
      <c r="I2108" t="s">
        <v>1222</v>
      </c>
      <c r="J2108" t="str">
        <f>"9370159"</f>
        <v>9370159</v>
      </c>
      <c r="K2108">
        <v>2541041257</v>
      </c>
      <c r="L2108">
        <v>2541041257</v>
      </c>
      <c r="M2108" t="s">
        <v>2454</v>
      </c>
      <c r="N2108" t="s">
        <v>2330</v>
      </c>
      <c r="O2108" t="s">
        <v>2330</v>
      </c>
      <c r="P2108">
        <v>67200</v>
      </c>
      <c r="Q2108" t="str">
        <f>"40.961043"</f>
        <v>40.961043</v>
      </c>
      <c r="R2108" t="str">
        <f>"24.806875"</f>
        <v>24.806875</v>
      </c>
      <c r="S2108" t="s">
        <v>26</v>
      </c>
    </row>
    <row r="2109" spans="1:19" x14ac:dyDescent="0.3">
      <c r="A2109" t="s">
        <v>19</v>
      </c>
      <c r="B2109" t="s">
        <v>2087</v>
      </c>
      <c r="C2109" t="s">
        <v>2455</v>
      </c>
      <c r="D2109" t="s">
        <v>38</v>
      </c>
      <c r="E2109" t="s">
        <v>663</v>
      </c>
      <c r="F2109" t="s">
        <v>663</v>
      </c>
      <c r="G2109" t="s">
        <v>735</v>
      </c>
      <c r="H2109" t="s">
        <v>868</v>
      </c>
      <c r="I2109" t="s">
        <v>1222</v>
      </c>
      <c r="J2109" t="str">
        <f>"9370180"</f>
        <v>9370180</v>
      </c>
      <c r="K2109">
        <v>2541042048</v>
      </c>
      <c r="L2109">
        <v>2541042048</v>
      </c>
      <c r="M2109" t="s">
        <v>2456</v>
      </c>
      <c r="N2109" t="s">
        <v>2457</v>
      </c>
      <c r="O2109" t="s">
        <v>2458</v>
      </c>
      <c r="P2109">
        <v>67200</v>
      </c>
      <c r="Q2109" t="str">
        <f>"40.985097"</f>
        <v>40.985097</v>
      </c>
      <c r="R2109" t="str">
        <f>"24.788821"</f>
        <v>24.788821</v>
      </c>
      <c r="S2109" t="s">
        <v>26</v>
      </c>
    </row>
    <row r="2110" spans="1:19" x14ac:dyDescent="0.3">
      <c r="A2110" t="s">
        <v>19</v>
      </c>
      <c r="B2110" t="s">
        <v>2087</v>
      </c>
      <c r="C2110" t="s">
        <v>2459</v>
      </c>
      <c r="D2110" t="s">
        <v>38</v>
      </c>
      <c r="E2110" t="s">
        <v>638</v>
      </c>
      <c r="F2110" t="s">
        <v>2169</v>
      </c>
      <c r="G2110" t="s">
        <v>2169</v>
      </c>
      <c r="H2110" t="s">
        <v>868</v>
      </c>
      <c r="I2110" t="s">
        <v>1201</v>
      </c>
      <c r="J2110" t="str">
        <f>"9370114"</f>
        <v>9370114</v>
      </c>
      <c r="K2110">
        <v>2544024402</v>
      </c>
      <c r="L2110">
        <v>2544024402</v>
      </c>
      <c r="M2110" t="s">
        <v>2460</v>
      </c>
      <c r="N2110" t="s">
        <v>2461</v>
      </c>
      <c r="O2110" t="s">
        <v>2172</v>
      </c>
      <c r="P2110">
        <v>67300</v>
      </c>
      <c r="Q2110" t="str">
        <f>"41.358585"</f>
        <v>41.358585</v>
      </c>
      <c r="R2110" t="str">
        <f>"24.966849"</f>
        <v>24.966849</v>
      </c>
      <c r="S2110" t="s">
        <v>57</v>
      </c>
    </row>
    <row r="2111" spans="1:19" x14ac:dyDescent="0.3">
      <c r="A2111" t="s">
        <v>19</v>
      </c>
      <c r="B2111" t="s">
        <v>2087</v>
      </c>
      <c r="C2111" t="s">
        <v>2462</v>
      </c>
      <c r="D2111" t="s">
        <v>38</v>
      </c>
      <c r="E2111" t="s">
        <v>663</v>
      </c>
      <c r="F2111" t="s">
        <v>663</v>
      </c>
      <c r="G2111" t="s">
        <v>735</v>
      </c>
      <c r="H2111" t="s">
        <v>868</v>
      </c>
      <c r="I2111" t="s">
        <v>1222</v>
      </c>
      <c r="J2111" t="str">
        <f>"9370179"</f>
        <v>9370179</v>
      </c>
      <c r="K2111">
        <v>2541042073</v>
      </c>
      <c r="L2111">
        <v>2541042073</v>
      </c>
      <c r="M2111" t="s">
        <v>2463</v>
      </c>
      <c r="N2111" t="s">
        <v>2464</v>
      </c>
      <c r="O2111" t="s">
        <v>2464</v>
      </c>
      <c r="P2111">
        <v>67200</v>
      </c>
      <c r="Q2111" t="str">
        <f>"40.986879"</f>
        <v>40.986879</v>
      </c>
      <c r="R2111" t="str">
        <f>"24.776965"</f>
        <v>24.776965</v>
      </c>
      <c r="S2111" t="s">
        <v>26</v>
      </c>
    </row>
    <row r="2112" spans="1:19" x14ac:dyDescent="0.3">
      <c r="A2112" t="s">
        <v>19</v>
      </c>
      <c r="B2112" t="s">
        <v>2087</v>
      </c>
      <c r="C2112" t="s">
        <v>610</v>
      </c>
      <c r="D2112" t="s">
        <v>38</v>
      </c>
      <c r="E2112" t="s">
        <v>604</v>
      </c>
      <c r="F2112" t="s">
        <v>605</v>
      </c>
      <c r="G2112" t="s">
        <v>606</v>
      </c>
      <c r="H2112" t="s">
        <v>868</v>
      </c>
      <c r="I2112" t="s">
        <v>869</v>
      </c>
      <c r="J2112" t="str">
        <f>"9370020"</f>
        <v>9370020</v>
      </c>
      <c r="K2112">
        <v>2541091429</v>
      </c>
      <c r="L2112">
        <v>2541091429</v>
      </c>
      <c r="M2112" t="s">
        <v>2465</v>
      </c>
      <c r="N2112" t="s">
        <v>2466</v>
      </c>
      <c r="O2112" t="s">
        <v>2466</v>
      </c>
      <c r="P2112">
        <v>67100</v>
      </c>
      <c r="Q2112" t="str">
        <f>"41.090314"</f>
        <v>41.090314</v>
      </c>
      <c r="R2112" t="str">
        <f>"24.900851"</f>
        <v>24.900851</v>
      </c>
      <c r="S2112" t="s">
        <v>26</v>
      </c>
    </row>
    <row r="2113" spans="1:19" x14ac:dyDescent="0.3">
      <c r="A2113" t="s">
        <v>19</v>
      </c>
      <c r="B2113" t="s">
        <v>2087</v>
      </c>
      <c r="C2113" t="s">
        <v>630</v>
      </c>
      <c r="D2113" t="s">
        <v>38</v>
      </c>
      <c r="E2113" t="s">
        <v>604</v>
      </c>
      <c r="F2113" t="s">
        <v>604</v>
      </c>
      <c r="G2113" t="s">
        <v>604</v>
      </c>
      <c r="H2113" t="s">
        <v>868</v>
      </c>
      <c r="I2113" t="s">
        <v>869</v>
      </c>
      <c r="J2113" t="str">
        <f>"9370009"</f>
        <v>9370009</v>
      </c>
      <c r="K2113">
        <v>2541051284</v>
      </c>
      <c r="L2113">
        <v>2541051284</v>
      </c>
      <c r="M2113" t="s">
        <v>2467</v>
      </c>
      <c r="N2113" t="s">
        <v>629</v>
      </c>
      <c r="O2113" t="s">
        <v>629</v>
      </c>
      <c r="P2113">
        <v>67061</v>
      </c>
      <c r="Q2113" t="str">
        <f>"40.980064"</f>
        <v>40.980064</v>
      </c>
      <c r="R2113" t="str">
        <f>"24.951750"</f>
        <v>24.951750</v>
      </c>
      <c r="S2113" t="s">
        <v>26</v>
      </c>
    </row>
    <row r="2114" spans="1:19" x14ac:dyDescent="0.3">
      <c r="A2114" t="s">
        <v>19</v>
      </c>
      <c r="B2114" t="s">
        <v>2087</v>
      </c>
      <c r="C2114" t="s">
        <v>2468</v>
      </c>
      <c r="D2114" t="s">
        <v>38</v>
      </c>
      <c r="E2114" t="s">
        <v>663</v>
      </c>
      <c r="F2114" t="s">
        <v>663</v>
      </c>
      <c r="G2114" t="s">
        <v>2227</v>
      </c>
      <c r="H2114" t="s">
        <v>868</v>
      </c>
      <c r="I2114" t="s">
        <v>950</v>
      </c>
      <c r="J2114" t="str">
        <f>"9370061"</f>
        <v>9370061</v>
      </c>
      <c r="K2114">
        <v>2541041000</v>
      </c>
      <c r="L2114">
        <v>2541041000</v>
      </c>
      <c r="M2114" t="s">
        <v>2469</v>
      </c>
      <c r="N2114" t="s">
        <v>2330</v>
      </c>
      <c r="O2114" t="s">
        <v>2330</v>
      </c>
      <c r="P2114">
        <v>67200</v>
      </c>
      <c r="Q2114" t="str">
        <f>"40.963085"</f>
        <v>40.963085</v>
      </c>
      <c r="R2114" t="str">
        <f>"24.806403"</f>
        <v>24.806403</v>
      </c>
      <c r="S2114" t="s">
        <v>26</v>
      </c>
    </row>
    <row r="2115" spans="1:19" x14ac:dyDescent="0.3">
      <c r="A2115" t="s">
        <v>19</v>
      </c>
      <c r="B2115" t="s">
        <v>2087</v>
      </c>
      <c r="C2115" t="s">
        <v>2470</v>
      </c>
      <c r="D2115" t="s">
        <v>38</v>
      </c>
      <c r="E2115" t="s">
        <v>38</v>
      </c>
      <c r="F2115" t="s">
        <v>38</v>
      </c>
      <c r="G2115" t="s">
        <v>2423</v>
      </c>
      <c r="H2115" t="s">
        <v>868</v>
      </c>
      <c r="I2115" t="s">
        <v>869</v>
      </c>
      <c r="J2115" t="str">
        <f>"9370077"</f>
        <v>9370077</v>
      </c>
      <c r="K2115">
        <v>2541070354</v>
      </c>
      <c r="L2115">
        <v>2541070354</v>
      </c>
      <c r="M2115" t="s">
        <v>2471</v>
      </c>
      <c r="N2115" t="s">
        <v>2427</v>
      </c>
      <c r="O2115" t="s">
        <v>2427</v>
      </c>
      <c r="P2115">
        <v>67100</v>
      </c>
      <c r="Q2115" t="str">
        <f>"41.112071"</f>
        <v>41.112071</v>
      </c>
      <c r="R2115" t="str">
        <f>"24.859188"</f>
        <v>24.859188</v>
      </c>
      <c r="S2115" t="s">
        <v>26</v>
      </c>
    </row>
    <row r="2116" spans="1:19" x14ac:dyDescent="0.3">
      <c r="A2116" t="s">
        <v>19</v>
      </c>
      <c r="B2116" t="s">
        <v>2087</v>
      </c>
      <c r="C2116" t="s">
        <v>599</v>
      </c>
      <c r="D2116" t="s">
        <v>38</v>
      </c>
      <c r="E2116" t="s">
        <v>38</v>
      </c>
      <c r="F2116" t="s">
        <v>594</v>
      </c>
      <c r="G2116" t="s">
        <v>595</v>
      </c>
      <c r="H2116" t="s">
        <v>868</v>
      </c>
      <c r="I2116" t="s">
        <v>869</v>
      </c>
      <c r="J2116" t="str">
        <f>"9370059"</f>
        <v>9370059</v>
      </c>
      <c r="K2116">
        <v>2542022221</v>
      </c>
      <c r="L2116">
        <v>2542022221</v>
      </c>
      <c r="M2116" t="s">
        <v>2472</v>
      </c>
      <c r="O2116" t="s">
        <v>2473</v>
      </c>
      <c r="P2116">
        <v>67062</v>
      </c>
      <c r="Q2116" t="str">
        <f>"41.197120"</f>
        <v>41.197120</v>
      </c>
      <c r="R2116" t="str">
        <f>"24.705096"</f>
        <v>24.705096</v>
      </c>
      <c r="S2116" t="s">
        <v>26</v>
      </c>
    </row>
    <row r="2117" spans="1:19" x14ac:dyDescent="0.3">
      <c r="A2117" t="s">
        <v>19</v>
      </c>
      <c r="B2117" t="s">
        <v>2087</v>
      </c>
      <c r="C2117" t="s">
        <v>2474</v>
      </c>
      <c r="D2117" t="s">
        <v>38</v>
      </c>
      <c r="E2117" t="s">
        <v>638</v>
      </c>
      <c r="F2117" t="s">
        <v>638</v>
      </c>
      <c r="G2117" t="s">
        <v>2097</v>
      </c>
      <c r="H2117" t="s">
        <v>868</v>
      </c>
      <c r="I2117" t="s">
        <v>1222</v>
      </c>
      <c r="J2117" t="str">
        <f>"9370200"</f>
        <v>9370200</v>
      </c>
      <c r="K2117">
        <v>2541067113</v>
      </c>
      <c r="M2117" t="s">
        <v>2475</v>
      </c>
      <c r="N2117" t="s">
        <v>2097</v>
      </c>
      <c r="O2117" t="s">
        <v>2476</v>
      </c>
      <c r="P2117">
        <v>67100</v>
      </c>
      <c r="Q2117" t="str">
        <f>"41.273067"</f>
        <v>41.273067</v>
      </c>
      <c r="R2117" t="str">
        <f>"24.834175"</f>
        <v>24.834175</v>
      </c>
      <c r="S2117" t="s">
        <v>26</v>
      </c>
    </row>
    <row r="2118" spans="1:19" x14ac:dyDescent="0.3">
      <c r="A2118" t="s">
        <v>19</v>
      </c>
      <c r="B2118" t="s">
        <v>2087</v>
      </c>
      <c r="C2118" t="s">
        <v>2479</v>
      </c>
      <c r="D2118" t="s">
        <v>38</v>
      </c>
      <c r="E2118" t="s">
        <v>604</v>
      </c>
      <c r="F2118" t="s">
        <v>2118</v>
      </c>
      <c r="G2118" t="s">
        <v>2118</v>
      </c>
      <c r="H2118" t="s">
        <v>868</v>
      </c>
      <c r="I2118" t="s">
        <v>1222</v>
      </c>
      <c r="J2118" t="str">
        <f>"9370152"</f>
        <v>9370152</v>
      </c>
      <c r="K2118">
        <v>2541031901</v>
      </c>
      <c r="L2118">
        <v>2541031901</v>
      </c>
      <c r="M2118" t="s">
        <v>2480</v>
      </c>
      <c r="N2118" t="s">
        <v>2118</v>
      </c>
      <c r="O2118" t="s">
        <v>2481</v>
      </c>
      <c r="P2118">
        <v>67100</v>
      </c>
      <c r="Q2118" t="str">
        <f>"41.131525"</f>
        <v>41.131525</v>
      </c>
      <c r="R2118" t="str">
        <f>"24.993238"</f>
        <v>24.993238</v>
      </c>
      <c r="S2118" t="s">
        <v>26</v>
      </c>
    </row>
    <row r="2119" spans="1:19" x14ac:dyDescent="0.3">
      <c r="A2119" t="s">
        <v>19</v>
      </c>
      <c r="B2119" t="s">
        <v>2087</v>
      </c>
      <c r="C2119" t="s">
        <v>625</v>
      </c>
      <c r="D2119" t="s">
        <v>38</v>
      </c>
      <c r="E2119" t="s">
        <v>38</v>
      </c>
      <c r="F2119" t="s">
        <v>38</v>
      </c>
      <c r="G2119" t="s">
        <v>38</v>
      </c>
      <c r="H2119" t="s">
        <v>868</v>
      </c>
      <c r="I2119" t="s">
        <v>869</v>
      </c>
      <c r="J2119" t="str">
        <f>"9370048"</f>
        <v>9370048</v>
      </c>
      <c r="K2119">
        <v>2541022795</v>
      </c>
      <c r="L2119">
        <v>2541022795</v>
      </c>
      <c r="M2119" t="s">
        <v>2482</v>
      </c>
      <c r="N2119" t="s">
        <v>41</v>
      </c>
      <c r="O2119" t="s">
        <v>2483</v>
      </c>
      <c r="P2119">
        <v>67131</v>
      </c>
      <c r="Q2119" t="str">
        <f>"41.134610"</f>
        <v>41.134610</v>
      </c>
      <c r="R2119" t="str">
        <f>"24.887627"</f>
        <v>24.887627</v>
      </c>
      <c r="S2119" t="s">
        <v>26</v>
      </c>
    </row>
    <row r="2120" spans="1:19" x14ac:dyDescent="0.3">
      <c r="A2120" t="s">
        <v>19</v>
      </c>
      <c r="B2120" t="s">
        <v>2087</v>
      </c>
      <c r="C2120" t="s">
        <v>2484</v>
      </c>
      <c r="D2120" t="s">
        <v>38</v>
      </c>
      <c r="E2120" t="s">
        <v>638</v>
      </c>
      <c r="F2120" t="s">
        <v>638</v>
      </c>
      <c r="G2120" t="s">
        <v>638</v>
      </c>
      <c r="H2120" t="s">
        <v>868</v>
      </c>
      <c r="I2120" t="s">
        <v>1222</v>
      </c>
      <c r="J2120" t="str">
        <f>"9370132"</f>
        <v>9370132</v>
      </c>
      <c r="K2120">
        <v>2544022140</v>
      </c>
      <c r="L2120">
        <v>2544022140</v>
      </c>
      <c r="M2120" t="s">
        <v>2485</v>
      </c>
      <c r="N2120" t="s">
        <v>2486</v>
      </c>
      <c r="O2120" t="s">
        <v>2486</v>
      </c>
      <c r="P2120">
        <v>67300</v>
      </c>
      <c r="Q2120" t="str">
        <f>"41.231636"</f>
        <v>41.231636</v>
      </c>
      <c r="R2120" t="str">
        <f>"24.952249"</f>
        <v>24.952249</v>
      </c>
      <c r="S2120" t="s">
        <v>26</v>
      </c>
    </row>
    <row r="2121" spans="1:19" x14ac:dyDescent="0.3">
      <c r="A2121" t="s">
        <v>19</v>
      </c>
      <c r="B2121" t="s">
        <v>2087</v>
      </c>
      <c r="C2121" t="s">
        <v>2487</v>
      </c>
      <c r="D2121" t="s">
        <v>38</v>
      </c>
      <c r="E2121" t="s">
        <v>638</v>
      </c>
      <c r="F2121" t="s">
        <v>638</v>
      </c>
      <c r="G2121" t="s">
        <v>638</v>
      </c>
      <c r="H2121" t="s">
        <v>868</v>
      </c>
      <c r="I2121" t="s">
        <v>1222</v>
      </c>
      <c r="J2121" t="str">
        <f>"9370130"</f>
        <v>9370130</v>
      </c>
      <c r="K2121">
        <v>2541068037</v>
      </c>
      <c r="L2121">
        <v>2541068037</v>
      </c>
      <c r="M2121" t="s">
        <v>2488</v>
      </c>
      <c r="N2121" t="s">
        <v>2489</v>
      </c>
      <c r="O2121" t="s">
        <v>2489</v>
      </c>
      <c r="P2121">
        <v>67133</v>
      </c>
      <c r="Q2121" t="str">
        <f>"41.201217"</f>
        <v>41.201217</v>
      </c>
      <c r="R2121" t="str">
        <f>"24.870802"</f>
        <v>24.870802</v>
      </c>
      <c r="S2121" t="s">
        <v>26</v>
      </c>
    </row>
    <row r="2122" spans="1:19" x14ac:dyDescent="0.3">
      <c r="A2122" t="s">
        <v>19</v>
      </c>
      <c r="B2122" t="s">
        <v>2087</v>
      </c>
      <c r="C2122" t="s">
        <v>2490</v>
      </c>
      <c r="D2122" t="s">
        <v>38</v>
      </c>
      <c r="E2122" t="s">
        <v>604</v>
      </c>
      <c r="F2122" t="s">
        <v>605</v>
      </c>
      <c r="G2122" t="s">
        <v>616</v>
      </c>
      <c r="H2122" t="s">
        <v>868</v>
      </c>
      <c r="I2122" t="s">
        <v>1222</v>
      </c>
      <c r="J2122" t="str">
        <f>"9370108"</f>
        <v>9370108</v>
      </c>
      <c r="K2122">
        <v>2541081836</v>
      </c>
      <c r="M2122" t="s">
        <v>2491</v>
      </c>
      <c r="N2122" t="s">
        <v>616</v>
      </c>
      <c r="O2122" t="s">
        <v>2207</v>
      </c>
      <c r="P2122">
        <v>67064</v>
      </c>
      <c r="Q2122" t="str">
        <f>""</f>
        <v/>
      </c>
      <c r="R2122" t="str">
        <f>""</f>
        <v/>
      </c>
      <c r="S2122" t="s">
        <v>26</v>
      </c>
    </row>
    <row r="2123" spans="1:19" x14ac:dyDescent="0.3">
      <c r="A2123" t="s">
        <v>19</v>
      </c>
      <c r="B2123" t="s">
        <v>2087</v>
      </c>
      <c r="C2123" t="s">
        <v>2492</v>
      </c>
      <c r="D2123" t="s">
        <v>38</v>
      </c>
      <c r="E2123" t="s">
        <v>38</v>
      </c>
      <c r="F2123" t="s">
        <v>38</v>
      </c>
      <c r="G2123" t="s">
        <v>2244</v>
      </c>
      <c r="H2123" t="s">
        <v>868</v>
      </c>
      <c r="I2123" t="s">
        <v>1222</v>
      </c>
      <c r="J2123" t="str">
        <f>"9370125"</f>
        <v>9370125</v>
      </c>
      <c r="K2123">
        <v>2541062252</v>
      </c>
      <c r="L2123">
        <v>2541062252</v>
      </c>
      <c r="M2123" t="s">
        <v>2493</v>
      </c>
      <c r="N2123" t="s">
        <v>2494</v>
      </c>
      <c r="O2123" t="s">
        <v>2495</v>
      </c>
      <c r="P2123">
        <v>67100</v>
      </c>
      <c r="Q2123" t="str">
        <f>"41.147723"</f>
        <v>41.147723</v>
      </c>
      <c r="R2123" t="str">
        <f>"24.940092"</f>
        <v>24.940092</v>
      </c>
      <c r="S2123" t="s">
        <v>26</v>
      </c>
    </row>
    <row r="2124" spans="1:19" x14ac:dyDescent="0.3">
      <c r="A2124" t="s">
        <v>19</v>
      </c>
      <c r="B2124" t="s">
        <v>2087</v>
      </c>
      <c r="C2124" t="s">
        <v>2496</v>
      </c>
      <c r="D2124" t="s">
        <v>38</v>
      </c>
      <c r="E2124" t="s">
        <v>638</v>
      </c>
      <c r="F2124" t="s">
        <v>638</v>
      </c>
      <c r="G2124" t="s">
        <v>638</v>
      </c>
      <c r="H2124" t="s">
        <v>868</v>
      </c>
      <c r="I2124" t="s">
        <v>1222</v>
      </c>
      <c r="J2124" t="str">
        <f>"9370135"</f>
        <v>9370135</v>
      </c>
      <c r="K2124">
        <v>2544024406</v>
      </c>
      <c r="L2124">
        <v>2544024406</v>
      </c>
      <c r="M2124" t="s">
        <v>2497</v>
      </c>
      <c r="N2124" t="s">
        <v>638</v>
      </c>
      <c r="O2124" t="s">
        <v>2498</v>
      </c>
      <c r="P2124">
        <v>67100</v>
      </c>
      <c r="Q2124" t="str">
        <f>"41.244430"</f>
        <v>41.244430</v>
      </c>
      <c r="R2124" t="str">
        <f>"24.920405"</f>
        <v>24.920405</v>
      </c>
      <c r="S2124" t="s">
        <v>26</v>
      </c>
    </row>
    <row r="2125" spans="1:19" x14ac:dyDescent="0.3">
      <c r="A2125" t="s">
        <v>19</v>
      </c>
      <c r="B2125" t="s">
        <v>2087</v>
      </c>
      <c r="C2125" t="s">
        <v>2499</v>
      </c>
      <c r="D2125" t="s">
        <v>38</v>
      </c>
      <c r="E2125" t="s">
        <v>604</v>
      </c>
      <c r="F2125" t="s">
        <v>2118</v>
      </c>
      <c r="G2125" t="s">
        <v>2118</v>
      </c>
      <c r="H2125" t="s">
        <v>868</v>
      </c>
      <c r="I2125" t="s">
        <v>1222</v>
      </c>
      <c r="J2125" t="str">
        <f>"9370153"</f>
        <v>9370153</v>
      </c>
      <c r="K2125">
        <v>2541032863</v>
      </c>
      <c r="L2125">
        <v>2541032863</v>
      </c>
      <c r="M2125" t="s">
        <v>2500</v>
      </c>
      <c r="N2125" t="s">
        <v>2181</v>
      </c>
      <c r="O2125" t="s">
        <v>2181</v>
      </c>
      <c r="P2125">
        <v>67100</v>
      </c>
      <c r="Q2125" t="str">
        <f>"41.138263"</f>
        <v>41.138263</v>
      </c>
      <c r="R2125" t="str">
        <f>"25.024294"</f>
        <v>25.024294</v>
      </c>
      <c r="S2125" t="s">
        <v>26</v>
      </c>
    </row>
    <row r="2126" spans="1:19" x14ac:dyDescent="0.3">
      <c r="A2126" t="s">
        <v>19</v>
      </c>
      <c r="B2126" t="s">
        <v>2087</v>
      </c>
      <c r="C2126" t="s">
        <v>677</v>
      </c>
      <c r="D2126" t="s">
        <v>38</v>
      </c>
      <c r="E2126" t="s">
        <v>38</v>
      </c>
      <c r="F2126" t="s">
        <v>38</v>
      </c>
      <c r="G2126" t="s">
        <v>38</v>
      </c>
      <c r="H2126" t="s">
        <v>868</v>
      </c>
      <c r="I2126" t="s">
        <v>869</v>
      </c>
      <c r="J2126" t="str">
        <f>"9370004"</f>
        <v>9370004</v>
      </c>
      <c r="K2126">
        <v>2541022354</v>
      </c>
      <c r="L2126">
        <v>2541022354</v>
      </c>
      <c r="M2126" t="s">
        <v>2506</v>
      </c>
      <c r="N2126" t="s">
        <v>41</v>
      </c>
      <c r="O2126" t="s">
        <v>2507</v>
      </c>
      <c r="P2126">
        <v>67132</v>
      </c>
      <c r="Q2126" t="str">
        <f>"41.137807"</f>
        <v>41.137807</v>
      </c>
      <c r="R2126" t="str">
        <f>"24.880331"</f>
        <v>24.880331</v>
      </c>
      <c r="S2126" t="s">
        <v>26</v>
      </c>
    </row>
    <row r="2127" spans="1:19" x14ac:dyDescent="0.3">
      <c r="A2127" t="s">
        <v>19</v>
      </c>
      <c r="B2127" t="s">
        <v>2087</v>
      </c>
      <c r="C2127" t="s">
        <v>2508</v>
      </c>
      <c r="D2127" t="s">
        <v>38</v>
      </c>
      <c r="E2127" t="s">
        <v>38</v>
      </c>
      <c r="F2127" t="s">
        <v>38</v>
      </c>
      <c r="G2127" t="s">
        <v>38</v>
      </c>
      <c r="H2127" t="s">
        <v>868</v>
      </c>
      <c r="I2127" t="s">
        <v>1222</v>
      </c>
      <c r="J2127" t="str">
        <f>"9370157"</f>
        <v>9370157</v>
      </c>
      <c r="K2127">
        <v>2541071464</v>
      </c>
      <c r="L2127">
        <v>2541071464</v>
      </c>
      <c r="M2127" t="s">
        <v>2509</v>
      </c>
      <c r="N2127" t="s">
        <v>41</v>
      </c>
      <c r="O2127" t="s">
        <v>2510</v>
      </c>
      <c r="P2127">
        <v>67132</v>
      </c>
      <c r="Q2127" t="str">
        <f>"41.140524"</f>
        <v>41.140524</v>
      </c>
      <c r="R2127" t="str">
        <f>"24.889000"</f>
        <v>24.889000</v>
      </c>
      <c r="S2127" t="s">
        <v>26</v>
      </c>
    </row>
    <row r="2128" spans="1:19" x14ac:dyDescent="0.3">
      <c r="A2128" t="s">
        <v>19</v>
      </c>
      <c r="B2128" t="s">
        <v>2087</v>
      </c>
      <c r="C2128" t="s">
        <v>2511</v>
      </c>
      <c r="D2128" t="s">
        <v>38</v>
      </c>
      <c r="E2128" t="s">
        <v>38</v>
      </c>
      <c r="F2128" t="s">
        <v>38</v>
      </c>
      <c r="G2128" t="s">
        <v>38</v>
      </c>
      <c r="H2128" t="s">
        <v>868</v>
      </c>
      <c r="I2128" t="s">
        <v>869</v>
      </c>
      <c r="J2128" t="str">
        <f>"9370249"</f>
        <v>9370249</v>
      </c>
      <c r="K2128">
        <v>2541066443</v>
      </c>
      <c r="L2128">
        <v>2541066443</v>
      </c>
      <c r="M2128" t="s">
        <v>2512</v>
      </c>
      <c r="N2128" t="s">
        <v>41</v>
      </c>
      <c r="O2128" t="s">
        <v>2513</v>
      </c>
      <c r="P2128">
        <v>67132</v>
      </c>
      <c r="Q2128" t="str">
        <f>"41.137641"</f>
        <v>41.137641</v>
      </c>
      <c r="R2128" t="str">
        <f>"24.881379"</f>
        <v>24.881379</v>
      </c>
      <c r="S2128" t="s">
        <v>26</v>
      </c>
    </row>
    <row r="2129" spans="1:19" x14ac:dyDescent="0.3">
      <c r="A2129" t="s">
        <v>19</v>
      </c>
      <c r="B2129" t="s">
        <v>2087</v>
      </c>
      <c r="C2129" t="s">
        <v>2514</v>
      </c>
      <c r="D2129" t="s">
        <v>38</v>
      </c>
      <c r="E2129" t="s">
        <v>38</v>
      </c>
      <c r="F2129" t="s">
        <v>38</v>
      </c>
      <c r="G2129" t="s">
        <v>38</v>
      </c>
      <c r="H2129" t="s">
        <v>868</v>
      </c>
      <c r="I2129" t="s">
        <v>869</v>
      </c>
      <c r="J2129" t="str">
        <f>"9370055"</f>
        <v>9370055</v>
      </c>
      <c r="K2129">
        <v>2541022446</v>
      </c>
      <c r="L2129">
        <v>2541022446</v>
      </c>
      <c r="M2129" t="s">
        <v>2515</v>
      </c>
      <c r="N2129" t="s">
        <v>41</v>
      </c>
      <c r="O2129" t="s">
        <v>2372</v>
      </c>
      <c r="P2129">
        <v>67133</v>
      </c>
      <c r="Q2129" t="str">
        <f>"41.129430"</f>
        <v>41.129430</v>
      </c>
      <c r="R2129" t="str">
        <f>"24.881385"</f>
        <v>24.881385</v>
      </c>
      <c r="S2129" t="s">
        <v>26</v>
      </c>
    </row>
    <row r="2130" spans="1:19" x14ac:dyDescent="0.3">
      <c r="A2130" t="s">
        <v>19</v>
      </c>
      <c r="B2130" t="s">
        <v>2087</v>
      </c>
      <c r="C2130" t="s">
        <v>634</v>
      </c>
      <c r="D2130" t="s">
        <v>38</v>
      </c>
      <c r="E2130" t="s">
        <v>38</v>
      </c>
      <c r="F2130" t="s">
        <v>38</v>
      </c>
      <c r="G2130" t="s">
        <v>38</v>
      </c>
      <c r="H2130" t="s">
        <v>868</v>
      </c>
      <c r="I2130" t="s">
        <v>869</v>
      </c>
      <c r="J2130" t="str">
        <f>"9370052"</f>
        <v>9370052</v>
      </c>
      <c r="K2130">
        <v>2541027278</v>
      </c>
      <c r="L2130">
        <v>2541027278</v>
      </c>
      <c r="M2130" t="s">
        <v>2516</v>
      </c>
      <c r="N2130" t="s">
        <v>41</v>
      </c>
      <c r="O2130" t="s">
        <v>2517</v>
      </c>
      <c r="P2130">
        <v>67133</v>
      </c>
      <c r="Q2130" t="str">
        <f>"41.132299"</f>
        <v>41.132299</v>
      </c>
      <c r="R2130" t="str">
        <f>"24.866320"</f>
        <v>24.866320</v>
      </c>
      <c r="S2130" t="s">
        <v>26</v>
      </c>
    </row>
    <row r="2131" spans="1:19" x14ac:dyDescent="0.3">
      <c r="A2131" t="s">
        <v>19</v>
      </c>
      <c r="B2131" t="s">
        <v>2087</v>
      </c>
      <c r="C2131" t="s">
        <v>2518</v>
      </c>
      <c r="D2131" t="s">
        <v>38</v>
      </c>
      <c r="E2131" t="s">
        <v>38</v>
      </c>
      <c r="F2131" t="s">
        <v>38</v>
      </c>
      <c r="G2131" t="s">
        <v>38</v>
      </c>
      <c r="H2131" t="s">
        <v>868</v>
      </c>
      <c r="I2131" t="s">
        <v>869</v>
      </c>
      <c r="J2131" t="str">
        <f>"9370007"</f>
        <v>9370007</v>
      </c>
      <c r="K2131">
        <v>2541024288</v>
      </c>
      <c r="L2131">
        <v>2541024288</v>
      </c>
      <c r="M2131" t="s">
        <v>2519</v>
      </c>
      <c r="N2131" t="s">
        <v>41</v>
      </c>
      <c r="O2131" t="s">
        <v>2520</v>
      </c>
      <c r="P2131">
        <v>67132</v>
      </c>
      <c r="Q2131" t="str">
        <f>"41.143513"</f>
        <v>41.143513</v>
      </c>
      <c r="R2131" t="str">
        <f>"24.895410"</f>
        <v>24.895410</v>
      </c>
      <c r="S2131" t="s">
        <v>26</v>
      </c>
    </row>
    <row r="2132" spans="1:19" x14ac:dyDescent="0.3">
      <c r="A2132" t="s">
        <v>19</v>
      </c>
      <c r="B2132" t="s">
        <v>2087</v>
      </c>
      <c r="C2132" t="s">
        <v>603</v>
      </c>
      <c r="D2132" t="s">
        <v>38</v>
      </c>
      <c r="E2132" t="s">
        <v>38</v>
      </c>
      <c r="F2132" t="s">
        <v>38</v>
      </c>
      <c r="G2132" t="s">
        <v>38</v>
      </c>
      <c r="H2132" t="s">
        <v>868</v>
      </c>
      <c r="I2132" t="s">
        <v>869</v>
      </c>
      <c r="J2132" t="str">
        <f>"9370258"</f>
        <v>9370258</v>
      </c>
      <c r="K2132">
        <v>2541074898</v>
      </c>
      <c r="L2132">
        <v>2541074898</v>
      </c>
      <c r="M2132" t="s">
        <v>2521</v>
      </c>
      <c r="N2132" t="s">
        <v>41</v>
      </c>
      <c r="O2132" t="s">
        <v>2522</v>
      </c>
      <c r="P2132">
        <v>67131</v>
      </c>
      <c r="Q2132" t="str">
        <f>"41.131201"</f>
        <v>41.131201</v>
      </c>
      <c r="R2132" t="str">
        <f>"24.893630"</f>
        <v>24.893630</v>
      </c>
      <c r="S2132" t="s">
        <v>26</v>
      </c>
    </row>
    <row r="2133" spans="1:19" x14ac:dyDescent="0.3">
      <c r="A2133" t="s">
        <v>19</v>
      </c>
      <c r="B2133" t="s">
        <v>2087</v>
      </c>
      <c r="C2133" t="s">
        <v>2523</v>
      </c>
      <c r="D2133" t="s">
        <v>38</v>
      </c>
      <c r="E2133" t="s">
        <v>38</v>
      </c>
      <c r="F2133" t="s">
        <v>38</v>
      </c>
      <c r="G2133" t="s">
        <v>38</v>
      </c>
      <c r="H2133" t="s">
        <v>868</v>
      </c>
      <c r="I2133" t="s">
        <v>869</v>
      </c>
      <c r="J2133" t="str">
        <f>"9370259"</f>
        <v>9370259</v>
      </c>
      <c r="K2133">
        <v>2541026772</v>
      </c>
      <c r="L2133">
        <v>2541026772</v>
      </c>
      <c r="M2133" t="s">
        <v>2524</v>
      </c>
      <c r="N2133" t="s">
        <v>41</v>
      </c>
      <c r="O2133" t="s">
        <v>2525</v>
      </c>
      <c r="P2133">
        <v>67100</v>
      </c>
      <c r="Q2133" t="str">
        <f>"41.136308"</f>
        <v>41.136308</v>
      </c>
      <c r="R2133" t="str">
        <f>"24.893774"</f>
        <v>24.893774</v>
      </c>
      <c r="S2133" t="s">
        <v>26</v>
      </c>
    </row>
    <row r="2134" spans="1:19" x14ac:dyDescent="0.3">
      <c r="A2134" t="s">
        <v>19</v>
      </c>
      <c r="B2134" t="s">
        <v>2087</v>
      </c>
      <c r="C2134" t="s">
        <v>2526</v>
      </c>
      <c r="D2134" t="s">
        <v>38</v>
      </c>
      <c r="E2134" t="s">
        <v>663</v>
      </c>
      <c r="F2134" t="s">
        <v>663</v>
      </c>
      <c r="G2134" t="s">
        <v>735</v>
      </c>
      <c r="H2134" t="s">
        <v>868</v>
      </c>
      <c r="I2134" t="s">
        <v>1222</v>
      </c>
      <c r="J2134" t="str">
        <f>"9370176"</f>
        <v>9370176</v>
      </c>
      <c r="K2134">
        <v>2541041924</v>
      </c>
      <c r="L2134">
        <v>2541041924</v>
      </c>
      <c r="M2134" t="s">
        <v>2527</v>
      </c>
      <c r="N2134" t="s">
        <v>2528</v>
      </c>
      <c r="O2134" t="s">
        <v>2528</v>
      </c>
      <c r="P2134">
        <v>67200</v>
      </c>
      <c r="Q2134" t="str">
        <f>"40.943609"</f>
        <v>40.943609</v>
      </c>
      <c r="R2134" t="str">
        <f>"24.792468"</f>
        <v>24.792468</v>
      </c>
      <c r="S2134" t="s">
        <v>26</v>
      </c>
    </row>
    <row r="2135" spans="1:19" x14ac:dyDescent="0.3">
      <c r="A2135" t="s">
        <v>19</v>
      </c>
      <c r="B2135" t="s">
        <v>2087</v>
      </c>
      <c r="C2135" t="s">
        <v>2529</v>
      </c>
      <c r="D2135" t="s">
        <v>38</v>
      </c>
      <c r="E2135" t="s">
        <v>38</v>
      </c>
      <c r="F2135" t="s">
        <v>38</v>
      </c>
      <c r="G2135" t="s">
        <v>38</v>
      </c>
      <c r="H2135" t="s">
        <v>868</v>
      </c>
      <c r="I2135" t="s">
        <v>1157</v>
      </c>
      <c r="J2135" t="str">
        <f>"9370252"</f>
        <v>9370252</v>
      </c>
      <c r="K2135">
        <v>2541078520</v>
      </c>
      <c r="L2135">
        <v>2541078520</v>
      </c>
      <c r="M2135" t="s">
        <v>2530</v>
      </c>
      <c r="N2135" t="s">
        <v>41</v>
      </c>
      <c r="O2135" t="s">
        <v>2531</v>
      </c>
      <c r="P2135">
        <v>67100</v>
      </c>
      <c r="Q2135" t="str">
        <f>"41.123328"</f>
        <v>41.123328</v>
      </c>
      <c r="R2135" t="str">
        <f>"24.876684"</f>
        <v>24.876684</v>
      </c>
      <c r="S2135" t="s">
        <v>26</v>
      </c>
    </row>
    <row r="2136" spans="1:19" x14ac:dyDescent="0.3">
      <c r="A2136" t="s">
        <v>19</v>
      </c>
      <c r="B2136" t="s">
        <v>2087</v>
      </c>
      <c r="C2136" t="s">
        <v>2532</v>
      </c>
      <c r="D2136" t="s">
        <v>38</v>
      </c>
      <c r="E2136" t="s">
        <v>663</v>
      </c>
      <c r="F2136" t="s">
        <v>663</v>
      </c>
      <c r="G2136" t="s">
        <v>735</v>
      </c>
      <c r="H2136" t="s">
        <v>868</v>
      </c>
      <c r="I2136" t="s">
        <v>1222</v>
      </c>
      <c r="J2136" t="str">
        <f>"9370177"</f>
        <v>9370177</v>
      </c>
      <c r="K2136">
        <v>2541042205</v>
      </c>
      <c r="L2136">
        <v>2541042205</v>
      </c>
      <c r="M2136" t="s">
        <v>2533</v>
      </c>
      <c r="N2136" t="s">
        <v>2165</v>
      </c>
      <c r="O2136" t="s">
        <v>2165</v>
      </c>
      <c r="P2136">
        <v>67200</v>
      </c>
      <c r="Q2136" t="str">
        <f>"40.954852"</f>
        <v>40.954852</v>
      </c>
      <c r="R2136" t="str">
        <f>"24.785913"</f>
        <v>24.785913</v>
      </c>
      <c r="S2136" t="s">
        <v>26</v>
      </c>
    </row>
    <row r="2137" spans="1:19" x14ac:dyDescent="0.3">
      <c r="A2137" t="s">
        <v>19</v>
      </c>
      <c r="B2137" t="s">
        <v>2087</v>
      </c>
      <c r="C2137" t="s">
        <v>2541</v>
      </c>
      <c r="D2137" t="s">
        <v>38</v>
      </c>
      <c r="E2137" t="s">
        <v>38</v>
      </c>
      <c r="F2137" t="s">
        <v>594</v>
      </c>
      <c r="G2137" t="s">
        <v>2199</v>
      </c>
      <c r="H2137" t="s">
        <v>868</v>
      </c>
      <c r="I2137" t="s">
        <v>1201</v>
      </c>
      <c r="J2137" t="str">
        <f>"9370164"</f>
        <v>9370164</v>
      </c>
      <c r="M2137" t="s">
        <v>2542</v>
      </c>
      <c r="N2137" t="s">
        <v>2543</v>
      </c>
      <c r="O2137" t="s">
        <v>2544</v>
      </c>
      <c r="P2137">
        <v>67100</v>
      </c>
      <c r="Q2137" t="str">
        <f>""</f>
        <v/>
      </c>
      <c r="R2137" t="str">
        <f>""</f>
        <v/>
      </c>
      <c r="S2137" t="s">
        <v>26</v>
      </c>
    </row>
    <row r="2138" spans="1:19" x14ac:dyDescent="0.3">
      <c r="A2138" t="s">
        <v>19</v>
      </c>
      <c r="B2138" t="s">
        <v>2087</v>
      </c>
      <c r="C2138" t="s">
        <v>2545</v>
      </c>
      <c r="D2138" t="s">
        <v>38</v>
      </c>
      <c r="E2138" t="s">
        <v>663</v>
      </c>
      <c r="F2138" t="s">
        <v>663</v>
      </c>
      <c r="G2138" t="s">
        <v>735</v>
      </c>
      <c r="H2138" t="s">
        <v>868</v>
      </c>
      <c r="I2138" t="s">
        <v>1201</v>
      </c>
      <c r="J2138" t="str">
        <f>"9370183"</f>
        <v>9370183</v>
      </c>
      <c r="M2138" t="s">
        <v>2546</v>
      </c>
      <c r="N2138" t="s">
        <v>2547</v>
      </c>
      <c r="O2138" t="s">
        <v>2548</v>
      </c>
      <c r="P2138">
        <v>67200</v>
      </c>
      <c r="Q2138" t="str">
        <f>""</f>
        <v/>
      </c>
      <c r="R2138" t="str">
        <f>""</f>
        <v/>
      </c>
      <c r="S2138" t="s">
        <v>26</v>
      </c>
    </row>
    <row r="2139" spans="1:19" x14ac:dyDescent="0.3">
      <c r="A2139" t="s">
        <v>19</v>
      </c>
      <c r="B2139" t="s">
        <v>2087</v>
      </c>
      <c r="C2139" t="s">
        <v>2549</v>
      </c>
      <c r="D2139" t="s">
        <v>38</v>
      </c>
      <c r="E2139" t="s">
        <v>38</v>
      </c>
      <c r="F2139" t="s">
        <v>38</v>
      </c>
      <c r="G2139" t="s">
        <v>38</v>
      </c>
      <c r="H2139" t="s">
        <v>868</v>
      </c>
      <c r="I2139" t="s">
        <v>869</v>
      </c>
      <c r="J2139" t="str">
        <f>"9521267"</f>
        <v>9521267</v>
      </c>
      <c r="K2139">
        <v>2541077782</v>
      </c>
      <c r="L2139">
        <v>2541077782</v>
      </c>
      <c r="M2139" t="s">
        <v>2550</v>
      </c>
      <c r="N2139" t="s">
        <v>2312</v>
      </c>
      <c r="O2139" t="s">
        <v>2263</v>
      </c>
      <c r="P2139">
        <v>67100</v>
      </c>
      <c r="Q2139" t="str">
        <f>"41.130664"</f>
        <v>41.130664</v>
      </c>
      <c r="R2139" t="str">
        <f>"24.907986"</f>
        <v>24.907986</v>
      </c>
      <c r="S2139" t="s">
        <v>26</v>
      </c>
    </row>
    <row r="2140" spans="1:19" x14ac:dyDescent="0.3">
      <c r="A2140" t="s">
        <v>19</v>
      </c>
      <c r="B2140" t="s">
        <v>2087</v>
      </c>
      <c r="C2140" t="s">
        <v>653</v>
      </c>
      <c r="D2140" t="s">
        <v>38</v>
      </c>
      <c r="E2140" t="s">
        <v>38</v>
      </c>
      <c r="F2140" t="s">
        <v>38</v>
      </c>
      <c r="G2140" t="s">
        <v>38</v>
      </c>
      <c r="H2140" t="s">
        <v>868</v>
      </c>
      <c r="I2140" t="s">
        <v>869</v>
      </c>
      <c r="J2140" t="str">
        <f>"9370046"</f>
        <v>9370046</v>
      </c>
      <c r="K2140">
        <v>2541022761</v>
      </c>
      <c r="L2140">
        <v>2541022761</v>
      </c>
      <c r="M2140" t="s">
        <v>2566</v>
      </c>
      <c r="N2140" t="s">
        <v>41</v>
      </c>
      <c r="O2140" t="s">
        <v>2250</v>
      </c>
      <c r="P2140">
        <v>67131</v>
      </c>
      <c r="Q2140" t="str">
        <f>"41.127255"</f>
        <v>41.127255</v>
      </c>
      <c r="R2140" t="str">
        <f>"24.887768"</f>
        <v>24.887768</v>
      </c>
      <c r="S2140" t="s">
        <v>26</v>
      </c>
    </row>
    <row r="2141" spans="1:19" x14ac:dyDescent="0.3">
      <c r="A2141" t="s">
        <v>19</v>
      </c>
      <c r="B2141" t="s">
        <v>2087</v>
      </c>
      <c r="C2141" t="s">
        <v>2567</v>
      </c>
      <c r="D2141" t="s">
        <v>38</v>
      </c>
      <c r="E2141" t="s">
        <v>604</v>
      </c>
      <c r="F2141" t="s">
        <v>605</v>
      </c>
      <c r="G2141" t="s">
        <v>606</v>
      </c>
      <c r="H2141" t="s">
        <v>868</v>
      </c>
      <c r="I2141" t="s">
        <v>1157</v>
      </c>
      <c r="J2141" t="str">
        <f>"9521080"</f>
        <v>9521080</v>
      </c>
      <c r="K2141">
        <v>2541091752</v>
      </c>
      <c r="L2141">
        <v>2541091752</v>
      </c>
      <c r="M2141" t="s">
        <v>2568</v>
      </c>
      <c r="N2141" t="s">
        <v>2294</v>
      </c>
      <c r="O2141" t="s">
        <v>2294</v>
      </c>
      <c r="P2141">
        <v>67100</v>
      </c>
      <c r="Q2141" t="str">
        <f>"41.096827"</f>
        <v>41.096827</v>
      </c>
      <c r="R2141" t="str">
        <f>"24.921788"</f>
        <v>24.921788</v>
      </c>
      <c r="S2141" t="s">
        <v>26</v>
      </c>
    </row>
    <row r="2142" spans="1:19" x14ac:dyDescent="0.3">
      <c r="A2142" t="s">
        <v>19</v>
      </c>
      <c r="B2142" t="s">
        <v>2087</v>
      </c>
      <c r="C2142" t="s">
        <v>2569</v>
      </c>
      <c r="D2142" t="s">
        <v>38</v>
      </c>
      <c r="E2142" t="s">
        <v>638</v>
      </c>
      <c r="F2142" t="s">
        <v>638</v>
      </c>
      <c r="G2142" t="s">
        <v>701</v>
      </c>
      <c r="H2142" t="s">
        <v>868</v>
      </c>
      <c r="I2142" t="s">
        <v>1157</v>
      </c>
      <c r="J2142" t="str">
        <f>"9521558"</f>
        <v>9521558</v>
      </c>
      <c r="N2142" t="s">
        <v>701</v>
      </c>
      <c r="O2142" t="s">
        <v>705</v>
      </c>
      <c r="P2142">
        <v>67300</v>
      </c>
      <c r="Q2142" t="str">
        <f>""</f>
        <v/>
      </c>
      <c r="R2142" t="str">
        <f>""</f>
        <v/>
      </c>
      <c r="S2142" t="s">
        <v>26</v>
      </c>
    </row>
    <row r="2143" spans="1:19" x14ac:dyDescent="0.3">
      <c r="A2143" t="s">
        <v>19</v>
      </c>
      <c r="B2143" t="s">
        <v>2598</v>
      </c>
      <c r="C2143" t="s">
        <v>2599</v>
      </c>
      <c r="D2143" t="s">
        <v>43</v>
      </c>
      <c r="E2143" t="s">
        <v>44</v>
      </c>
      <c r="F2143" t="s">
        <v>44</v>
      </c>
      <c r="G2143" t="s">
        <v>44</v>
      </c>
      <c r="H2143" t="s">
        <v>868</v>
      </c>
      <c r="I2143" t="s">
        <v>1222</v>
      </c>
      <c r="J2143" t="str">
        <f>"9420138"</f>
        <v>9420138</v>
      </c>
      <c r="K2143">
        <v>2531024339</v>
      </c>
      <c r="L2143">
        <v>2531024339</v>
      </c>
      <c r="M2143" t="s">
        <v>2600</v>
      </c>
      <c r="N2143" t="s">
        <v>47</v>
      </c>
      <c r="O2143" t="s">
        <v>2601</v>
      </c>
      <c r="P2143">
        <v>69100</v>
      </c>
      <c r="Q2143" t="str">
        <f>"41.117672"</f>
        <v>41.117672</v>
      </c>
      <c r="R2143" t="str">
        <f>"25.408660"</f>
        <v>25.408660</v>
      </c>
      <c r="S2143" t="s">
        <v>26</v>
      </c>
    </row>
    <row r="2144" spans="1:19" x14ac:dyDescent="0.3">
      <c r="A2144" t="s">
        <v>19</v>
      </c>
      <c r="B2144" t="s">
        <v>2598</v>
      </c>
      <c r="C2144" t="s">
        <v>777</v>
      </c>
      <c r="D2144" t="s">
        <v>43</v>
      </c>
      <c r="E2144" t="s">
        <v>746</v>
      </c>
      <c r="F2144" t="s">
        <v>771</v>
      </c>
      <c r="G2144" t="s">
        <v>771</v>
      </c>
      <c r="H2144" t="s">
        <v>868</v>
      </c>
      <c r="I2144" t="s">
        <v>1222</v>
      </c>
      <c r="J2144" t="str">
        <f>"9420157"</f>
        <v>9420157</v>
      </c>
      <c r="K2144">
        <v>2532022938</v>
      </c>
      <c r="L2144">
        <v>2532022938</v>
      </c>
      <c r="M2144" t="s">
        <v>2602</v>
      </c>
      <c r="N2144" t="s">
        <v>771</v>
      </c>
      <c r="O2144" t="s">
        <v>2603</v>
      </c>
      <c r="P2144">
        <v>69300</v>
      </c>
      <c r="Q2144" t="str">
        <f>"41.024695"</f>
        <v>41.024695</v>
      </c>
      <c r="R2144" t="str">
        <f>"25.695103"</f>
        <v>25.695103</v>
      </c>
      <c r="S2144" t="s">
        <v>26</v>
      </c>
    </row>
    <row r="2145" spans="1:19" x14ac:dyDescent="0.3">
      <c r="A2145" t="s">
        <v>19</v>
      </c>
      <c r="B2145" t="s">
        <v>2598</v>
      </c>
      <c r="C2145" t="s">
        <v>765</v>
      </c>
      <c r="D2145" t="s">
        <v>43</v>
      </c>
      <c r="E2145" t="s">
        <v>44</v>
      </c>
      <c r="F2145" t="s">
        <v>44</v>
      </c>
      <c r="G2145" t="s">
        <v>44</v>
      </c>
      <c r="H2145" t="s">
        <v>868</v>
      </c>
      <c r="I2145" t="s">
        <v>1222</v>
      </c>
      <c r="J2145" t="str">
        <f>"9420206"</f>
        <v>9420206</v>
      </c>
      <c r="K2145">
        <v>2531028332</v>
      </c>
      <c r="L2145">
        <v>2531028332</v>
      </c>
      <c r="M2145" t="s">
        <v>2604</v>
      </c>
      <c r="N2145" t="s">
        <v>44</v>
      </c>
      <c r="O2145" t="s">
        <v>2605</v>
      </c>
      <c r="P2145">
        <v>69100</v>
      </c>
      <c r="Q2145" t="str">
        <f>"41.150896"</f>
        <v>41.150896</v>
      </c>
      <c r="R2145" t="str">
        <f>"25.425968"</f>
        <v>25.425968</v>
      </c>
      <c r="S2145" t="s">
        <v>26</v>
      </c>
    </row>
    <row r="2146" spans="1:19" x14ac:dyDescent="0.3">
      <c r="A2146" t="s">
        <v>19</v>
      </c>
      <c r="B2146" t="s">
        <v>2598</v>
      </c>
      <c r="C2146" t="s">
        <v>2607</v>
      </c>
      <c r="D2146" t="s">
        <v>43</v>
      </c>
      <c r="E2146" t="s">
        <v>44</v>
      </c>
      <c r="F2146" t="s">
        <v>44</v>
      </c>
      <c r="G2146" t="s">
        <v>2606</v>
      </c>
      <c r="H2146" t="s">
        <v>868</v>
      </c>
      <c r="I2146" t="s">
        <v>1222</v>
      </c>
      <c r="J2146" t="str">
        <f>"9420230"</f>
        <v>9420230</v>
      </c>
      <c r="K2146">
        <v>2531030781</v>
      </c>
      <c r="L2146">
        <v>2531030781</v>
      </c>
      <c r="M2146" t="s">
        <v>2608</v>
      </c>
      <c r="N2146" t="s">
        <v>2609</v>
      </c>
      <c r="O2146" t="s">
        <v>2609</v>
      </c>
      <c r="P2146">
        <v>69100</v>
      </c>
      <c r="Q2146" t="str">
        <f>"41.140295"</f>
        <v>41.140295</v>
      </c>
      <c r="R2146" t="str">
        <f>"25.464844"</f>
        <v>25.464844</v>
      </c>
      <c r="S2146" t="s">
        <v>26</v>
      </c>
    </row>
    <row r="2147" spans="1:19" x14ac:dyDescent="0.3">
      <c r="A2147" t="s">
        <v>19</v>
      </c>
      <c r="B2147" t="s">
        <v>2598</v>
      </c>
      <c r="C2147" t="s">
        <v>2613</v>
      </c>
      <c r="D2147" t="s">
        <v>43</v>
      </c>
      <c r="E2147" t="s">
        <v>778</v>
      </c>
      <c r="F2147" t="s">
        <v>2611</v>
      </c>
      <c r="G2147" t="s">
        <v>2612</v>
      </c>
      <c r="H2147" t="s">
        <v>868</v>
      </c>
      <c r="I2147" t="s">
        <v>1201</v>
      </c>
      <c r="J2147" t="str">
        <f>"9420209"</f>
        <v>9420209</v>
      </c>
      <c r="K2147">
        <v>2531093911</v>
      </c>
      <c r="L2147">
        <v>2531093911</v>
      </c>
      <c r="M2147" t="s">
        <v>2614</v>
      </c>
      <c r="N2147" t="s">
        <v>2003</v>
      </c>
      <c r="O2147" t="s">
        <v>2615</v>
      </c>
      <c r="P2147">
        <v>69100</v>
      </c>
      <c r="Q2147" t="str">
        <f>""</f>
        <v/>
      </c>
      <c r="R2147" t="str">
        <f>""</f>
        <v/>
      </c>
      <c r="S2147" t="s">
        <v>26</v>
      </c>
    </row>
    <row r="2148" spans="1:19" x14ac:dyDescent="0.3">
      <c r="A2148" t="s">
        <v>19</v>
      </c>
      <c r="B2148" t="s">
        <v>2598</v>
      </c>
      <c r="C2148" t="s">
        <v>842</v>
      </c>
      <c r="D2148" t="s">
        <v>43</v>
      </c>
      <c r="E2148" t="s">
        <v>44</v>
      </c>
      <c r="F2148" t="s">
        <v>44</v>
      </c>
      <c r="G2148" t="s">
        <v>44</v>
      </c>
      <c r="H2148" t="s">
        <v>868</v>
      </c>
      <c r="I2148" t="s">
        <v>869</v>
      </c>
      <c r="J2148" t="str">
        <f>"9420287"</f>
        <v>9420287</v>
      </c>
      <c r="K2148">
        <v>2531035011</v>
      </c>
      <c r="L2148">
        <v>2531035011</v>
      </c>
      <c r="M2148" t="s">
        <v>2616</v>
      </c>
      <c r="N2148" t="s">
        <v>47</v>
      </c>
      <c r="O2148" t="s">
        <v>2617</v>
      </c>
      <c r="P2148">
        <v>69100</v>
      </c>
      <c r="Q2148" t="str">
        <f>"41.119946"</f>
        <v>41.119946</v>
      </c>
      <c r="R2148" t="str">
        <f>"25.402546"</f>
        <v>25.402546</v>
      </c>
      <c r="S2148" t="s">
        <v>26</v>
      </c>
    </row>
    <row r="2149" spans="1:19" x14ac:dyDescent="0.3">
      <c r="A2149" t="s">
        <v>19</v>
      </c>
      <c r="B2149" t="s">
        <v>2598</v>
      </c>
      <c r="C2149" t="s">
        <v>2619</v>
      </c>
      <c r="D2149" t="s">
        <v>43</v>
      </c>
      <c r="E2149" t="s">
        <v>778</v>
      </c>
      <c r="F2149" t="s">
        <v>778</v>
      </c>
      <c r="G2149" t="s">
        <v>2618</v>
      </c>
      <c r="H2149" t="s">
        <v>868</v>
      </c>
      <c r="I2149" t="s">
        <v>1201</v>
      </c>
      <c r="J2149" t="str">
        <f>"9420023"</f>
        <v>9420023</v>
      </c>
      <c r="K2149">
        <v>2531097750</v>
      </c>
      <c r="L2149">
        <v>2531097750</v>
      </c>
      <c r="M2149" t="s">
        <v>2620</v>
      </c>
      <c r="N2149" t="s">
        <v>2621</v>
      </c>
      <c r="O2149" t="s">
        <v>2622</v>
      </c>
      <c r="P2149">
        <v>69100</v>
      </c>
      <c r="Q2149" t="str">
        <f>""</f>
        <v/>
      </c>
      <c r="R2149" t="str">
        <f>""</f>
        <v/>
      </c>
      <c r="S2149" t="s">
        <v>26</v>
      </c>
    </row>
    <row r="2150" spans="1:19" x14ac:dyDescent="0.3">
      <c r="A2150" t="s">
        <v>19</v>
      </c>
      <c r="B2150" t="s">
        <v>2598</v>
      </c>
      <c r="C2150" t="s">
        <v>2623</v>
      </c>
      <c r="D2150" t="s">
        <v>43</v>
      </c>
      <c r="E2150" t="s">
        <v>44</v>
      </c>
      <c r="F2150" t="s">
        <v>44</v>
      </c>
      <c r="G2150" t="s">
        <v>2606</v>
      </c>
      <c r="H2150" t="s">
        <v>868</v>
      </c>
      <c r="I2150" t="s">
        <v>1222</v>
      </c>
      <c r="J2150" t="str">
        <f>"9420096"</f>
        <v>9420096</v>
      </c>
      <c r="K2150">
        <v>2531030816</v>
      </c>
      <c r="L2150">
        <v>2531030816</v>
      </c>
      <c r="M2150" t="s">
        <v>2624</v>
      </c>
      <c r="N2150" t="s">
        <v>2625</v>
      </c>
      <c r="O2150" t="s">
        <v>2626</v>
      </c>
      <c r="P2150">
        <v>69100</v>
      </c>
      <c r="Q2150" t="str">
        <f>"41.167738"</f>
        <v>41.167738</v>
      </c>
      <c r="R2150" t="str">
        <f>"25.464135"</f>
        <v>25.464135</v>
      </c>
      <c r="S2150" t="s">
        <v>26</v>
      </c>
    </row>
    <row r="2151" spans="1:19" x14ac:dyDescent="0.3">
      <c r="A2151" t="s">
        <v>19</v>
      </c>
      <c r="B2151" t="s">
        <v>2598</v>
      </c>
      <c r="C2151" t="s">
        <v>2628</v>
      </c>
      <c r="D2151" t="s">
        <v>43</v>
      </c>
      <c r="E2151" t="s">
        <v>746</v>
      </c>
      <c r="F2151" t="s">
        <v>747</v>
      </c>
      <c r="G2151" t="s">
        <v>2627</v>
      </c>
      <c r="H2151" t="s">
        <v>868</v>
      </c>
      <c r="I2151" t="s">
        <v>1201</v>
      </c>
      <c r="J2151" t="str">
        <f>"9420149"</f>
        <v>9420149</v>
      </c>
      <c r="K2151">
        <v>2533071252</v>
      </c>
      <c r="M2151" t="s">
        <v>2629</v>
      </c>
      <c r="N2151" t="s">
        <v>2630</v>
      </c>
      <c r="O2151" t="s">
        <v>2630</v>
      </c>
      <c r="P2151">
        <v>69400</v>
      </c>
      <c r="Q2151" t="str">
        <f>"41.000610"</f>
        <v>41.000610</v>
      </c>
      <c r="R2151" t="str">
        <f>"25.492039"</f>
        <v>25.492039</v>
      </c>
      <c r="S2151" t="s">
        <v>26</v>
      </c>
    </row>
    <row r="2152" spans="1:19" x14ac:dyDescent="0.3">
      <c r="A2152" t="s">
        <v>19</v>
      </c>
      <c r="B2152" t="s">
        <v>2598</v>
      </c>
      <c r="C2152" t="s">
        <v>2633</v>
      </c>
      <c r="D2152" t="s">
        <v>43</v>
      </c>
      <c r="E2152" t="s">
        <v>791</v>
      </c>
      <c r="F2152" t="s">
        <v>2631</v>
      </c>
      <c r="G2152" t="s">
        <v>2632</v>
      </c>
      <c r="H2152" t="s">
        <v>868</v>
      </c>
      <c r="I2152" t="s">
        <v>1222</v>
      </c>
      <c r="J2152" t="str">
        <f>"9420218"</f>
        <v>9420218</v>
      </c>
      <c r="K2152">
        <v>2531092400</v>
      </c>
      <c r="M2152" t="s">
        <v>2634</v>
      </c>
      <c r="N2152" t="s">
        <v>2635</v>
      </c>
      <c r="O2152" t="s">
        <v>2636</v>
      </c>
      <c r="P2152">
        <v>69150</v>
      </c>
      <c r="Q2152" t="str">
        <f>"41.147616"</f>
        <v>41.147616</v>
      </c>
      <c r="R2152" t="str">
        <f>"25.572920"</f>
        <v>25.572920</v>
      </c>
      <c r="S2152" t="s">
        <v>26</v>
      </c>
    </row>
    <row r="2153" spans="1:19" x14ac:dyDescent="0.3">
      <c r="A2153" t="s">
        <v>19</v>
      </c>
      <c r="B2153" t="s">
        <v>2598</v>
      </c>
      <c r="C2153" t="s">
        <v>2638</v>
      </c>
      <c r="D2153" t="s">
        <v>43</v>
      </c>
      <c r="E2153" t="s">
        <v>791</v>
      </c>
      <c r="F2153" t="s">
        <v>2631</v>
      </c>
      <c r="G2153" t="s">
        <v>2637</v>
      </c>
      <c r="H2153" t="s">
        <v>868</v>
      </c>
      <c r="I2153" t="s">
        <v>1222</v>
      </c>
      <c r="J2153" t="str">
        <f>"9420160"</f>
        <v>9420160</v>
      </c>
      <c r="K2153">
        <v>2531041002</v>
      </c>
      <c r="L2153">
        <v>2531041002</v>
      </c>
      <c r="M2153" t="s">
        <v>2639</v>
      </c>
      <c r="N2153" t="s">
        <v>2640</v>
      </c>
      <c r="O2153" t="s">
        <v>2640</v>
      </c>
      <c r="P2153">
        <v>69100</v>
      </c>
      <c r="Q2153" t="str">
        <f>"41.080512"</f>
        <v>41.080512</v>
      </c>
      <c r="R2153" t="str">
        <f>"25.552636"</f>
        <v>25.552636</v>
      </c>
      <c r="S2153" t="s">
        <v>26</v>
      </c>
    </row>
    <row r="2154" spans="1:19" x14ac:dyDescent="0.3">
      <c r="A2154" t="s">
        <v>19</v>
      </c>
      <c r="B2154" t="s">
        <v>2598</v>
      </c>
      <c r="C2154" t="s">
        <v>2641</v>
      </c>
      <c r="D2154" t="s">
        <v>43</v>
      </c>
      <c r="E2154" t="s">
        <v>746</v>
      </c>
      <c r="F2154" t="s">
        <v>771</v>
      </c>
      <c r="G2154" t="s">
        <v>771</v>
      </c>
      <c r="H2154" t="s">
        <v>868</v>
      </c>
      <c r="I2154" t="s">
        <v>1222</v>
      </c>
      <c r="J2154" t="str">
        <f>"9420155"</f>
        <v>9420155</v>
      </c>
      <c r="K2154">
        <v>2532031475</v>
      </c>
      <c r="L2154">
        <v>2532031475</v>
      </c>
      <c r="M2154" t="s">
        <v>2642</v>
      </c>
      <c r="N2154" t="s">
        <v>2643</v>
      </c>
      <c r="O2154" t="s">
        <v>2644</v>
      </c>
      <c r="P2154">
        <v>69300</v>
      </c>
      <c r="Q2154" t="str">
        <f>"40.980920"</f>
        <v>40.980920</v>
      </c>
      <c r="R2154" t="str">
        <f>"25.652987"</f>
        <v>25.652987</v>
      </c>
      <c r="S2154" t="s">
        <v>26</v>
      </c>
    </row>
    <row r="2155" spans="1:19" x14ac:dyDescent="0.3">
      <c r="A2155" t="s">
        <v>19</v>
      </c>
      <c r="B2155" t="s">
        <v>2598</v>
      </c>
      <c r="C2155" t="s">
        <v>2646</v>
      </c>
      <c r="D2155" t="s">
        <v>43</v>
      </c>
      <c r="E2155" t="s">
        <v>44</v>
      </c>
      <c r="F2155" t="s">
        <v>814</v>
      </c>
      <c r="G2155" t="s">
        <v>2645</v>
      </c>
      <c r="H2155" t="s">
        <v>868</v>
      </c>
      <c r="I2155" t="s">
        <v>1222</v>
      </c>
      <c r="J2155" t="str">
        <f>"9420062"</f>
        <v>9420062</v>
      </c>
      <c r="K2155">
        <v>2531095698</v>
      </c>
      <c r="M2155" t="s">
        <v>2647</v>
      </c>
      <c r="N2155" t="s">
        <v>2645</v>
      </c>
      <c r="O2155" t="s">
        <v>2648</v>
      </c>
      <c r="P2155">
        <v>69100</v>
      </c>
      <c r="Q2155" t="str">
        <f>"41.112873"</f>
        <v>41.112873</v>
      </c>
      <c r="R2155" t="str">
        <f>"25.297982"</f>
        <v>25.297982</v>
      </c>
      <c r="S2155" t="s">
        <v>26</v>
      </c>
    </row>
    <row r="2156" spans="1:19" x14ac:dyDescent="0.3">
      <c r="A2156" t="s">
        <v>19</v>
      </c>
      <c r="B2156" t="s">
        <v>2598</v>
      </c>
      <c r="C2156" t="s">
        <v>2650</v>
      </c>
      <c r="D2156" t="s">
        <v>43</v>
      </c>
      <c r="E2156" t="s">
        <v>746</v>
      </c>
      <c r="F2156" t="s">
        <v>771</v>
      </c>
      <c r="G2156" t="s">
        <v>2649</v>
      </c>
      <c r="H2156" t="s">
        <v>868</v>
      </c>
      <c r="I2156" t="s">
        <v>1222</v>
      </c>
      <c r="J2156" t="str">
        <f>"9420190"</f>
        <v>9420190</v>
      </c>
      <c r="K2156">
        <v>2533051440</v>
      </c>
      <c r="L2156">
        <v>2533051440</v>
      </c>
      <c r="M2156" t="s">
        <v>2651</v>
      </c>
      <c r="N2156" t="s">
        <v>2652</v>
      </c>
      <c r="P2156">
        <v>69300</v>
      </c>
      <c r="Q2156" t="str">
        <f>"40.958326"</f>
        <v>40.958326</v>
      </c>
      <c r="R2156" t="str">
        <f>"25.560419"</f>
        <v>25.560419</v>
      </c>
      <c r="S2156" t="s">
        <v>26</v>
      </c>
    </row>
    <row r="2157" spans="1:19" x14ac:dyDescent="0.3">
      <c r="A2157" t="s">
        <v>19</v>
      </c>
      <c r="B2157" t="s">
        <v>2598</v>
      </c>
      <c r="C2157" t="s">
        <v>2654</v>
      </c>
      <c r="D2157" t="s">
        <v>43</v>
      </c>
      <c r="E2157" t="s">
        <v>778</v>
      </c>
      <c r="F2157" t="s">
        <v>2611</v>
      </c>
      <c r="G2157" t="s">
        <v>2653</v>
      </c>
      <c r="H2157" t="s">
        <v>868</v>
      </c>
      <c r="I2157" t="s">
        <v>1222</v>
      </c>
      <c r="J2157" t="str">
        <f>"9420063"</f>
        <v>9420063</v>
      </c>
      <c r="K2157">
        <v>2531093777</v>
      </c>
      <c r="L2157">
        <v>2531093777</v>
      </c>
      <c r="M2157" t="s">
        <v>2655</v>
      </c>
      <c r="N2157" t="s">
        <v>2656</v>
      </c>
      <c r="O2157" t="s">
        <v>2656</v>
      </c>
      <c r="P2157">
        <v>69200</v>
      </c>
      <c r="Q2157" t="str">
        <f>"41.152495"</f>
        <v>41.152495</v>
      </c>
      <c r="R2157" t="str">
        <f>"25.318241"</f>
        <v>25.318241</v>
      </c>
      <c r="S2157" t="s">
        <v>26</v>
      </c>
    </row>
    <row r="2158" spans="1:19" x14ac:dyDescent="0.3">
      <c r="A2158" t="s">
        <v>19</v>
      </c>
      <c r="B2158" t="s">
        <v>2598</v>
      </c>
      <c r="C2158" t="s">
        <v>2658</v>
      </c>
      <c r="D2158" t="s">
        <v>43</v>
      </c>
      <c r="E2158" t="s">
        <v>746</v>
      </c>
      <c r="F2158" t="s">
        <v>747</v>
      </c>
      <c r="G2158" t="s">
        <v>2657</v>
      </c>
      <c r="H2158" t="s">
        <v>868</v>
      </c>
      <c r="I2158" t="s">
        <v>1201</v>
      </c>
      <c r="J2158" t="str">
        <f>"9420142"</f>
        <v>9420142</v>
      </c>
      <c r="K2158">
        <v>2531041249</v>
      </c>
      <c r="L2158">
        <v>2531041249</v>
      </c>
      <c r="M2158" t="s">
        <v>2659</v>
      </c>
      <c r="N2158" t="s">
        <v>2660</v>
      </c>
      <c r="O2158" t="s">
        <v>2661</v>
      </c>
      <c r="P2158">
        <v>69100</v>
      </c>
      <c r="Q2158" t="str">
        <f>""</f>
        <v/>
      </c>
      <c r="R2158" t="str">
        <f>""</f>
        <v/>
      </c>
      <c r="S2158" t="s">
        <v>26</v>
      </c>
    </row>
    <row r="2159" spans="1:19" x14ac:dyDescent="0.3">
      <c r="A2159" t="s">
        <v>19</v>
      </c>
      <c r="B2159" t="s">
        <v>2598</v>
      </c>
      <c r="C2159" t="s">
        <v>745</v>
      </c>
      <c r="D2159" t="s">
        <v>43</v>
      </c>
      <c r="E2159" t="s">
        <v>44</v>
      </c>
      <c r="F2159" t="s">
        <v>44</v>
      </c>
      <c r="G2159" t="s">
        <v>44</v>
      </c>
      <c r="H2159" t="s">
        <v>868</v>
      </c>
      <c r="I2159" t="s">
        <v>869</v>
      </c>
      <c r="J2159" t="str">
        <f>"9420278"</f>
        <v>9420278</v>
      </c>
      <c r="K2159">
        <v>2531021618</v>
      </c>
      <c r="L2159">
        <v>2531084680</v>
      </c>
      <c r="M2159" t="s">
        <v>2662</v>
      </c>
      <c r="N2159" t="s">
        <v>47</v>
      </c>
      <c r="O2159" t="s">
        <v>2663</v>
      </c>
      <c r="P2159">
        <v>69132</v>
      </c>
      <c r="Q2159" t="str">
        <f>"41.121245"</f>
        <v>41.121245</v>
      </c>
      <c r="R2159" t="str">
        <f>"25.393636"</f>
        <v>25.393636</v>
      </c>
      <c r="S2159" t="s">
        <v>26</v>
      </c>
    </row>
    <row r="2160" spans="1:19" x14ac:dyDescent="0.3">
      <c r="A2160" t="s">
        <v>19</v>
      </c>
      <c r="B2160" t="s">
        <v>2598</v>
      </c>
      <c r="C2160" t="s">
        <v>2664</v>
      </c>
      <c r="D2160" t="s">
        <v>43</v>
      </c>
      <c r="E2160" t="s">
        <v>44</v>
      </c>
      <c r="F2160" t="s">
        <v>44</v>
      </c>
      <c r="G2160" t="s">
        <v>44</v>
      </c>
      <c r="H2160" t="s">
        <v>868</v>
      </c>
      <c r="I2160" t="s">
        <v>1201</v>
      </c>
      <c r="J2160" t="str">
        <f>"9420052"</f>
        <v>9420052</v>
      </c>
      <c r="K2160">
        <v>2531093334</v>
      </c>
      <c r="M2160" t="s">
        <v>2665</v>
      </c>
      <c r="N2160" t="s">
        <v>2666</v>
      </c>
      <c r="O2160" t="s">
        <v>2667</v>
      </c>
      <c r="P2160">
        <v>69100</v>
      </c>
      <c r="Q2160" t="str">
        <f>""</f>
        <v/>
      </c>
      <c r="R2160" t="str">
        <f>""</f>
        <v/>
      </c>
      <c r="S2160" t="s">
        <v>26</v>
      </c>
    </row>
    <row r="2161" spans="1:19" x14ac:dyDescent="0.3">
      <c r="A2161" t="s">
        <v>19</v>
      </c>
      <c r="B2161" t="s">
        <v>2598</v>
      </c>
      <c r="C2161" t="s">
        <v>2668</v>
      </c>
      <c r="D2161" t="s">
        <v>43</v>
      </c>
      <c r="E2161" t="s">
        <v>746</v>
      </c>
      <c r="F2161" t="s">
        <v>747</v>
      </c>
      <c r="G2161" t="s">
        <v>2627</v>
      </c>
      <c r="H2161" t="s">
        <v>868</v>
      </c>
      <c r="I2161" t="s">
        <v>1201</v>
      </c>
      <c r="J2161" t="str">
        <f>"9420150"</f>
        <v>9420150</v>
      </c>
      <c r="K2161">
        <v>2533031350</v>
      </c>
      <c r="M2161" t="s">
        <v>2669</v>
      </c>
      <c r="N2161" t="s">
        <v>2670</v>
      </c>
      <c r="O2161" t="s">
        <v>2671</v>
      </c>
      <c r="P2161">
        <v>69400</v>
      </c>
      <c r="Q2161" t="str">
        <f>""</f>
        <v/>
      </c>
      <c r="R2161" t="str">
        <f>""</f>
        <v/>
      </c>
      <c r="S2161" t="s">
        <v>26</v>
      </c>
    </row>
    <row r="2162" spans="1:19" x14ac:dyDescent="0.3">
      <c r="A2162" t="s">
        <v>19</v>
      </c>
      <c r="B2162" t="s">
        <v>2598</v>
      </c>
      <c r="C2162" t="s">
        <v>2673</v>
      </c>
      <c r="D2162" t="s">
        <v>43</v>
      </c>
      <c r="E2162" t="s">
        <v>778</v>
      </c>
      <c r="F2162" t="s">
        <v>778</v>
      </c>
      <c r="G2162" t="s">
        <v>2672</v>
      </c>
      <c r="H2162" t="s">
        <v>868</v>
      </c>
      <c r="I2162" t="s">
        <v>1222</v>
      </c>
      <c r="J2162" t="str">
        <f>"9420059"</f>
        <v>9420059</v>
      </c>
      <c r="K2162">
        <v>2535021149</v>
      </c>
      <c r="L2162">
        <v>2535021149</v>
      </c>
      <c r="M2162" t="s">
        <v>2674</v>
      </c>
      <c r="N2162" t="s">
        <v>2672</v>
      </c>
      <c r="O2162" t="s">
        <v>2675</v>
      </c>
      <c r="P2162">
        <v>69100</v>
      </c>
      <c r="Q2162" t="str">
        <f>"41.046826"</f>
        <v>41.046826</v>
      </c>
      <c r="R2162" t="str">
        <f>"25.187551"</f>
        <v>25.187551</v>
      </c>
      <c r="S2162" t="s">
        <v>26</v>
      </c>
    </row>
    <row r="2163" spans="1:19" x14ac:dyDescent="0.3">
      <c r="A2163" t="s">
        <v>19</v>
      </c>
      <c r="B2163" t="s">
        <v>2598</v>
      </c>
      <c r="C2163" t="s">
        <v>2677</v>
      </c>
      <c r="D2163" t="s">
        <v>43</v>
      </c>
      <c r="E2163" t="s">
        <v>778</v>
      </c>
      <c r="F2163" t="s">
        <v>2676</v>
      </c>
      <c r="G2163" t="s">
        <v>2676</v>
      </c>
      <c r="H2163" t="s">
        <v>868</v>
      </c>
      <c r="I2163" t="s">
        <v>1201</v>
      </c>
      <c r="J2163" t="str">
        <f>"9420207"</f>
        <v>9420207</v>
      </c>
      <c r="K2163">
        <v>2534031041</v>
      </c>
      <c r="L2163">
        <v>2534031041</v>
      </c>
      <c r="M2163" t="s">
        <v>2678</v>
      </c>
      <c r="N2163" t="s">
        <v>2679</v>
      </c>
      <c r="O2163" t="s">
        <v>2679</v>
      </c>
      <c r="P2163">
        <v>69200</v>
      </c>
      <c r="Q2163" t="str">
        <f>"41.128197"</f>
        <v>41.128197</v>
      </c>
      <c r="R2163" t="str">
        <f>"25.061989"</f>
        <v>25.061989</v>
      </c>
      <c r="S2163" t="s">
        <v>26</v>
      </c>
    </row>
    <row r="2164" spans="1:19" x14ac:dyDescent="0.3">
      <c r="A2164" t="s">
        <v>19</v>
      </c>
      <c r="B2164" t="s">
        <v>2598</v>
      </c>
      <c r="C2164" t="s">
        <v>2681</v>
      </c>
      <c r="D2164" t="s">
        <v>43</v>
      </c>
      <c r="E2164" t="s">
        <v>791</v>
      </c>
      <c r="F2164" t="s">
        <v>791</v>
      </c>
      <c r="G2164" t="s">
        <v>2680</v>
      </c>
      <c r="H2164" t="s">
        <v>868</v>
      </c>
      <c r="I2164" t="s">
        <v>1201</v>
      </c>
      <c r="J2164" t="str">
        <f>"9420167"</f>
        <v>9420167</v>
      </c>
      <c r="K2164">
        <v>2532061377</v>
      </c>
      <c r="L2164">
        <v>2532061282</v>
      </c>
      <c r="M2164" t="s">
        <v>2682</v>
      </c>
      <c r="N2164" t="s">
        <v>2683</v>
      </c>
      <c r="O2164" t="s">
        <v>2684</v>
      </c>
      <c r="P2164">
        <v>69300</v>
      </c>
      <c r="Q2164" t="str">
        <f>"41.085936"</f>
        <v>41.085936</v>
      </c>
      <c r="R2164" t="str">
        <f>"25.776616"</f>
        <v>25.776616</v>
      </c>
      <c r="S2164" t="s">
        <v>26</v>
      </c>
    </row>
    <row r="2165" spans="1:19" x14ac:dyDescent="0.3">
      <c r="A2165" t="s">
        <v>19</v>
      </c>
      <c r="B2165" t="s">
        <v>2598</v>
      </c>
      <c r="C2165" t="s">
        <v>2686</v>
      </c>
      <c r="D2165" t="s">
        <v>43</v>
      </c>
      <c r="E2165" t="s">
        <v>746</v>
      </c>
      <c r="F2165" t="s">
        <v>771</v>
      </c>
      <c r="G2165" t="s">
        <v>2685</v>
      </c>
      <c r="H2165" t="s">
        <v>868</v>
      </c>
      <c r="I2165" t="s">
        <v>1222</v>
      </c>
      <c r="J2165" t="str">
        <f>"9420170"</f>
        <v>9420170</v>
      </c>
      <c r="K2165">
        <v>2532041894</v>
      </c>
      <c r="L2165">
        <v>2532041894</v>
      </c>
      <c r="M2165" t="s">
        <v>2687</v>
      </c>
      <c r="N2165" t="s">
        <v>2688</v>
      </c>
      <c r="O2165" t="s">
        <v>2688</v>
      </c>
      <c r="P2165">
        <v>69300</v>
      </c>
      <c r="Q2165" t="str">
        <f>"41.064219"</f>
        <v>41.064219</v>
      </c>
      <c r="R2165" t="str">
        <f>"25.711309"</f>
        <v>25.711309</v>
      </c>
      <c r="S2165" t="s">
        <v>26</v>
      </c>
    </row>
    <row r="2166" spans="1:19" x14ac:dyDescent="0.3">
      <c r="A2166" t="s">
        <v>19</v>
      </c>
      <c r="B2166" t="s">
        <v>2598</v>
      </c>
      <c r="C2166" t="s">
        <v>2689</v>
      </c>
      <c r="D2166" t="s">
        <v>43</v>
      </c>
      <c r="E2166" t="s">
        <v>778</v>
      </c>
      <c r="F2166" t="s">
        <v>778</v>
      </c>
      <c r="G2166" t="s">
        <v>778</v>
      </c>
      <c r="H2166" t="s">
        <v>868</v>
      </c>
      <c r="I2166" t="s">
        <v>1201</v>
      </c>
      <c r="J2166" t="str">
        <f>"9420221"</f>
        <v>9420221</v>
      </c>
      <c r="K2166">
        <v>2534024345</v>
      </c>
      <c r="M2166" t="s">
        <v>2690</v>
      </c>
      <c r="N2166" t="s">
        <v>2691</v>
      </c>
      <c r="O2166" t="s">
        <v>2692</v>
      </c>
      <c r="P2166">
        <v>69200</v>
      </c>
      <c r="Q2166" t="str">
        <f>""</f>
        <v/>
      </c>
      <c r="R2166" t="str">
        <f>""</f>
        <v/>
      </c>
      <c r="S2166" t="s">
        <v>26</v>
      </c>
    </row>
    <row r="2167" spans="1:19" x14ac:dyDescent="0.3">
      <c r="A2167" t="s">
        <v>19</v>
      </c>
      <c r="B2167" t="s">
        <v>2598</v>
      </c>
      <c r="C2167" t="s">
        <v>2693</v>
      </c>
      <c r="D2167" t="s">
        <v>43</v>
      </c>
      <c r="E2167" t="s">
        <v>778</v>
      </c>
      <c r="F2167" t="s">
        <v>778</v>
      </c>
      <c r="G2167" t="s">
        <v>778</v>
      </c>
      <c r="H2167" t="s">
        <v>868</v>
      </c>
      <c r="I2167" t="s">
        <v>1201</v>
      </c>
      <c r="J2167" t="str">
        <f>"9420033"</f>
        <v>9420033</v>
      </c>
      <c r="K2167">
        <v>2534022662</v>
      </c>
      <c r="M2167" t="s">
        <v>2694</v>
      </c>
      <c r="N2167" t="s">
        <v>2695</v>
      </c>
      <c r="O2167" t="s">
        <v>2696</v>
      </c>
      <c r="P2167">
        <v>69200</v>
      </c>
      <c r="Q2167" t="str">
        <f>""</f>
        <v/>
      </c>
      <c r="R2167" t="str">
        <f>""</f>
        <v/>
      </c>
      <c r="S2167" t="s">
        <v>26</v>
      </c>
    </row>
    <row r="2168" spans="1:19" x14ac:dyDescent="0.3">
      <c r="A2168" t="s">
        <v>19</v>
      </c>
      <c r="B2168" t="s">
        <v>2598</v>
      </c>
      <c r="C2168" t="s">
        <v>2697</v>
      </c>
      <c r="D2168" t="s">
        <v>43</v>
      </c>
      <c r="E2168" t="s">
        <v>778</v>
      </c>
      <c r="F2168" t="s">
        <v>2611</v>
      </c>
      <c r="G2168" t="s">
        <v>2612</v>
      </c>
      <c r="H2168" t="s">
        <v>868</v>
      </c>
      <c r="I2168" t="s">
        <v>1201</v>
      </c>
      <c r="J2168" t="str">
        <f>"9420212"</f>
        <v>9420212</v>
      </c>
      <c r="K2168">
        <v>2531093909</v>
      </c>
      <c r="L2168">
        <v>2531093909</v>
      </c>
      <c r="M2168" t="s">
        <v>2698</v>
      </c>
      <c r="N2168" t="s">
        <v>2699</v>
      </c>
      <c r="O2168" t="s">
        <v>2700</v>
      </c>
      <c r="P2168">
        <v>69100</v>
      </c>
      <c r="Q2168" t="str">
        <f>"41.169797"</f>
        <v>41.169797</v>
      </c>
      <c r="R2168" t="str">
        <f>"25.380585"</f>
        <v>25.380585</v>
      </c>
      <c r="S2168" t="s">
        <v>26</v>
      </c>
    </row>
    <row r="2169" spans="1:19" x14ac:dyDescent="0.3">
      <c r="A2169" t="s">
        <v>19</v>
      </c>
      <c r="B2169" t="s">
        <v>2598</v>
      </c>
      <c r="C2169" t="s">
        <v>2701</v>
      </c>
      <c r="D2169" t="s">
        <v>43</v>
      </c>
      <c r="E2169" t="s">
        <v>778</v>
      </c>
      <c r="F2169" t="s">
        <v>778</v>
      </c>
      <c r="G2169" t="s">
        <v>778</v>
      </c>
      <c r="H2169" t="s">
        <v>868</v>
      </c>
      <c r="I2169" t="s">
        <v>1222</v>
      </c>
      <c r="J2169" t="str">
        <f>"9420225"</f>
        <v>9420225</v>
      </c>
      <c r="K2169">
        <v>2534024649</v>
      </c>
      <c r="L2169">
        <v>2534024649</v>
      </c>
      <c r="M2169" t="s">
        <v>2702</v>
      </c>
      <c r="N2169" t="s">
        <v>2703</v>
      </c>
      <c r="O2169" t="s">
        <v>2704</v>
      </c>
      <c r="P2169">
        <v>69200</v>
      </c>
      <c r="Q2169" t="str">
        <f>"41.118017"</f>
        <v>41.118017</v>
      </c>
      <c r="R2169" t="str">
        <f>"25.120010"</f>
        <v>25.120010</v>
      </c>
      <c r="S2169" t="s">
        <v>26</v>
      </c>
    </row>
    <row r="2170" spans="1:19" x14ac:dyDescent="0.3">
      <c r="A2170" t="s">
        <v>19</v>
      </c>
      <c r="B2170" t="s">
        <v>2598</v>
      </c>
      <c r="C2170" t="s">
        <v>2705</v>
      </c>
      <c r="D2170" t="s">
        <v>43</v>
      </c>
      <c r="E2170" t="s">
        <v>44</v>
      </c>
      <c r="F2170" t="s">
        <v>44</v>
      </c>
      <c r="G2170" t="s">
        <v>44</v>
      </c>
      <c r="H2170" t="s">
        <v>868</v>
      </c>
      <c r="I2170" t="s">
        <v>1222</v>
      </c>
      <c r="J2170" t="str">
        <f>"9420205"</f>
        <v>9420205</v>
      </c>
      <c r="K2170">
        <v>2531022998</v>
      </c>
      <c r="L2170">
        <v>2531022998</v>
      </c>
      <c r="M2170" t="s">
        <v>2706</v>
      </c>
      <c r="N2170" t="s">
        <v>44</v>
      </c>
      <c r="O2170" t="s">
        <v>2610</v>
      </c>
      <c r="P2170">
        <v>69100</v>
      </c>
      <c r="Q2170" t="str">
        <f>"41.121837"</f>
        <v>41.121837</v>
      </c>
      <c r="R2170" t="str">
        <f>"25.405453"</f>
        <v>25.405453</v>
      </c>
      <c r="S2170" t="s">
        <v>26</v>
      </c>
    </row>
    <row r="2171" spans="1:19" x14ac:dyDescent="0.3">
      <c r="A2171" t="s">
        <v>19</v>
      </c>
      <c r="B2171" t="s">
        <v>2598</v>
      </c>
      <c r="C2171" t="s">
        <v>2708</v>
      </c>
      <c r="D2171" t="s">
        <v>43</v>
      </c>
      <c r="E2171" t="s">
        <v>778</v>
      </c>
      <c r="F2171" t="s">
        <v>2611</v>
      </c>
      <c r="G2171" t="s">
        <v>2707</v>
      </c>
      <c r="H2171" t="s">
        <v>868</v>
      </c>
      <c r="I2171" t="s">
        <v>1222</v>
      </c>
      <c r="J2171" t="str">
        <f>"9420061"</f>
        <v>9420061</v>
      </c>
      <c r="K2171">
        <v>2531095600</v>
      </c>
      <c r="M2171" t="s">
        <v>2709</v>
      </c>
      <c r="N2171" t="s">
        <v>2710</v>
      </c>
      <c r="O2171" t="s">
        <v>2711</v>
      </c>
      <c r="P2171">
        <v>69200</v>
      </c>
      <c r="Q2171" t="str">
        <f>"41.147269"</f>
        <v>41.147269</v>
      </c>
      <c r="R2171" t="str">
        <f>"25.300732"</f>
        <v>25.300732</v>
      </c>
      <c r="S2171" t="s">
        <v>26</v>
      </c>
    </row>
    <row r="2172" spans="1:19" x14ac:dyDescent="0.3">
      <c r="A2172" t="s">
        <v>19</v>
      </c>
      <c r="B2172" t="s">
        <v>2598</v>
      </c>
      <c r="C2172" t="s">
        <v>2713</v>
      </c>
      <c r="D2172" t="s">
        <v>43</v>
      </c>
      <c r="E2172" t="s">
        <v>791</v>
      </c>
      <c r="F2172" t="s">
        <v>2631</v>
      </c>
      <c r="G2172" t="s">
        <v>2712</v>
      </c>
      <c r="H2172" t="s">
        <v>868</v>
      </c>
      <c r="I2172" t="s">
        <v>1222</v>
      </c>
      <c r="J2172" t="str">
        <f>"9420165"</f>
        <v>9420165</v>
      </c>
      <c r="K2172">
        <v>2531042121</v>
      </c>
      <c r="L2172">
        <v>2531042121</v>
      </c>
      <c r="M2172" t="s">
        <v>2714</v>
      </c>
      <c r="N2172" t="s">
        <v>2715</v>
      </c>
      <c r="O2172" t="s">
        <v>2715</v>
      </c>
      <c r="P2172">
        <v>69100</v>
      </c>
      <c r="Q2172" t="str">
        <f>"41.074514"</f>
        <v>41.074514</v>
      </c>
      <c r="R2172" t="str">
        <f>"25.543192"</f>
        <v>25.543192</v>
      </c>
      <c r="S2172" t="s">
        <v>26</v>
      </c>
    </row>
    <row r="2173" spans="1:19" x14ac:dyDescent="0.3">
      <c r="A2173" t="s">
        <v>19</v>
      </c>
      <c r="B2173" t="s">
        <v>2598</v>
      </c>
      <c r="C2173" t="s">
        <v>2717</v>
      </c>
      <c r="D2173" t="s">
        <v>43</v>
      </c>
      <c r="E2173" t="s">
        <v>791</v>
      </c>
      <c r="F2173" t="s">
        <v>791</v>
      </c>
      <c r="G2173" t="s">
        <v>2716</v>
      </c>
      <c r="H2173" t="s">
        <v>868</v>
      </c>
      <c r="I2173" t="s">
        <v>1201</v>
      </c>
      <c r="J2173" t="str">
        <f>"9420176"</f>
        <v>9420176</v>
      </c>
      <c r="K2173">
        <v>2532061372</v>
      </c>
      <c r="L2173">
        <v>2532061372</v>
      </c>
      <c r="M2173" t="s">
        <v>2718</v>
      </c>
      <c r="N2173" t="s">
        <v>2719</v>
      </c>
      <c r="O2173" t="s">
        <v>2716</v>
      </c>
      <c r="P2173">
        <v>69300</v>
      </c>
      <c r="Q2173" t="str">
        <f>"41.076945"</f>
        <v>41.076945</v>
      </c>
      <c r="R2173" t="str">
        <f>"25.795694"</f>
        <v>25.795694</v>
      </c>
      <c r="S2173" t="s">
        <v>26</v>
      </c>
    </row>
    <row r="2174" spans="1:19" x14ac:dyDescent="0.3">
      <c r="A2174" t="s">
        <v>19</v>
      </c>
      <c r="B2174" t="s">
        <v>2598</v>
      </c>
      <c r="C2174" t="s">
        <v>2720</v>
      </c>
      <c r="D2174" t="s">
        <v>43</v>
      </c>
      <c r="E2174" t="s">
        <v>44</v>
      </c>
      <c r="F2174" t="s">
        <v>44</v>
      </c>
      <c r="G2174" t="s">
        <v>44</v>
      </c>
      <c r="H2174" t="s">
        <v>868</v>
      </c>
      <c r="I2174" t="s">
        <v>1222</v>
      </c>
      <c r="J2174" t="str">
        <f>"9420078"</f>
        <v>9420078</v>
      </c>
      <c r="K2174">
        <v>2531022329</v>
      </c>
      <c r="L2174">
        <v>2531082799</v>
      </c>
      <c r="M2174" t="s">
        <v>2721</v>
      </c>
      <c r="N2174" t="s">
        <v>44</v>
      </c>
      <c r="O2174" t="s">
        <v>2722</v>
      </c>
      <c r="P2174">
        <v>69100</v>
      </c>
      <c r="Q2174" t="str">
        <f>""</f>
        <v/>
      </c>
      <c r="R2174" t="str">
        <f>""</f>
        <v/>
      </c>
      <c r="S2174" t="s">
        <v>26</v>
      </c>
    </row>
    <row r="2175" spans="1:19" x14ac:dyDescent="0.3">
      <c r="A2175" t="s">
        <v>19</v>
      </c>
      <c r="B2175" t="s">
        <v>2598</v>
      </c>
      <c r="C2175" t="s">
        <v>2724</v>
      </c>
      <c r="D2175" t="s">
        <v>43</v>
      </c>
      <c r="E2175" t="s">
        <v>791</v>
      </c>
      <c r="F2175" t="s">
        <v>791</v>
      </c>
      <c r="G2175" t="s">
        <v>2723</v>
      </c>
      <c r="H2175" t="s">
        <v>868</v>
      </c>
      <c r="I2175" t="s">
        <v>1222</v>
      </c>
      <c r="J2175" t="str">
        <f>"9420172"</f>
        <v>9420172</v>
      </c>
      <c r="K2175">
        <v>2532041855</v>
      </c>
      <c r="L2175">
        <v>2532041855</v>
      </c>
      <c r="M2175" t="s">
        <v>2725</v>
      </c>
      <c r="N2175" t="s">
        <v>2726</v>
      </c>
      <c r="O2175" t="s">
        <v>2726</v>
      </c>
      <c r="P2175">
        <v>69300</v>
      </c>
      <c r="Q2175" t="str">
        <f>"41.064364"</f>
        <v>41.064364</v>
      </c>
      <c r="R2175" t="str">
        <f>"25.684556"</f>
        <v>25.684556</v>
      </c>
      <c r="S2175" t="s">
        <v>26</v>
      </c>
    </row>
    <row r="2176" spans="1:19" x14ac:dyDescent="0.3">
      <c r="A2176" t="s">
        <v>19</v>
      </c>
      <c r="B2176" t="s">
        <v>2598</v>
      </c>
      <c r="C2176" t="s">
        <v>2728</v>
      </c>
      <c r="D2176" t="s">
        <v>43</v>
      </c>
      <c r="E2176" t="s">
        <v>791</v>
      </c>
      <c r="F2176" t="s">
        <v>791</v>
      </c>
      <c r="G2176" t="s">
        <v>2727</v>
      </c>
      <c r="H2176" t="s">
        <v>868</v>
      </c>
      <c r="I2176" t="s">
        <v>1201</v>
      </c>
      <c r="J2176" t="str">
        <f>"9420192"</f>
        <v>9420192</v>
      </c>
      <c r="K2176">
        <v>2532061267</v>
      </c>
      <c r="L2176">
        <v>2532061267</v>
      </c>
      <c r="M2176" t="s">
        <v>2729</v>
      </c>
      <c r="N2176" t="s">
        <v>2727</v>
      </c>
      <c r="O2176" t="s">
        <v>2730</v>
      </c>
      <c r="P2176">
        <v>69300</v>
      </c>
      <c r="Q2176" t="str">
        <f>"41.081891"</f>
        <v>41.081891</v>
      </c>
      <c r="R2176" t="str">
        <f>"25.761804"</f>
        <v>25.761804</v>
      </c>
      <c r="S2176" t="s">
        <v>26</v>
      </c>
    </row>
    <row r="2177" spans="1:19" x14ac:dyDescent="0.3">
      <c r="A2177" t="s">
        <v>19</v>
      </c>
      <c r="B2177" t="s">
        <v>2598</v>
      </c>
      <c r="C2177" t="s">
        <v>2731</v>
      </c>
      <c r="D2177" t="s">
        <v>43</v>
      </c>
      <c r="E2177" t="s">
        <v>791</v>
      </c>
      <c r="F2177" t="s">
        <v>791</v>
      </c>
      <c r="G2177" t="s">
        <v>791</v>
      </c>
      <c r="H2177" t="s">
        <v>868</v>
      </c>
      <c r="I2177" t="s">
        <v>1222</v>
      </c>
      <c r="J2177" t="str">
        <f>"9420168"</f>
        <v>9420168</v>
      </c>
      <c r="K2177">
        <v>2532041806</v>
      </c>
      <c r="L2177">
        <v>2532041806</v>
      </c>
      <c r="M2177" t="s">
        <v>2732</v>
      </c>
      <c r="N2177" t="s">
        <v>2733</v>
      </c>
      <c r="O2177" t="s">
        <v>2734</v>
      </c>
      <c r="P2177">
        <v>69300</v>
      </c>
      <c r="Q2177" t="str">
        <f>"41.082185"</f>
        <v>41.082185</v>
      </c>
      <c r="R2177" t="str">
        <f>"25.695322"</f>
        <v>25.695322</v>
      </c>
      <c r="S2177" t="s">
        <v>26</v>
      </c>
    </row>
    <row r="2178" spans="1:19" x14ac:dyDescent="0.3">
      <c r="A2178" t="s">
        <v>19</v>
      </c>
      <c r="B2178" t="s">
        <v>2598</v>
      </c>
      <c r="C2178" t="s">
        <v>2735</v>
      </c>
      <c r="D2178" t="s">
        <v>43</v>
      </c>
      <c r="E2178" t="s">
        <v>44</v>
      </c>
      <c r="F2178" t="s">
        <v>44</v>
      </c>
      <c r="G2178" t="s">
        <v>2606</v>
      </c>
      <c r="H2178" t="s">
        <v>868</v>
      </c>
      <c r="I2178" t="s">
        <v>1201</v>
      </c>
      <c r="J2178" t="str">
        <f>"9420229"</f>
        <v>9420229</v>
      </c>
      <c r="K2178">
        <v>2531092384</v>
      </c>
      <c r="L2178">
        <v>2531092384</v>
      </c>
      <c r="M2178" t="s">
        <v>2736</v>
      </c>
      <c r="N2178" t="s">
        <v>2737</v>
      </c>
      <c r="O2178" t="s">
        <v>2738</v>
      </c>
      <c r="P2178">
        <v>69100</v>
      </c>
      <c r="Q2178" t="str">
        <f>"41.157876"</f>
        <v>41.157876</v>
      </c>
      <c r="R2178" t="str">
        <f>"25.491542"</f>
        <v>25.491542</v>
      </c>
      <c r="S2178" t="s">
        <v>26</v>
      </c>
    </row>
    <row r="2179" spans="1:19" x14ac:dyDescent="0.3">
      <c r="A2179" t="s">
        <v>19</v>
      </c>
      <c r="B2179" t="s">
        <v>2598</v>
      </c>
      <c r="C2179" t="s">
        <v>2740</v>
      </c>
      <c r="D2179" t="s">
        <v>43</v>
      </c>
      <c r="E2179" t="s">
        <v>44</v>
      </c>
      <c r="F2179" t="s">
        <v>44</v>
      </c>
      <c r="G2179" t="s">
        <v>2739</v>
      </c>
      <c r="H2179" t="s">
        <v>868</v>
      </c>
      <c r="I2179" t="s">
        <v>1201</v>
      </c>
      <c r="J2179" t="str">
        <f>"9420089"</f>
        <v>9420089</v>
      </c>
      <c r="K2179">
        <v>2531092562</v>
      </c>
      <c r="L2179">
        <v>2531092562</v>
      </c>
      <c r="M2179" t="s">
        <v>2741</v>
      </c>
      <c r="N2179" t="s">
        <v>2742</v>
      </c>
      <c r="O2179" t="s">
        <v>2742</v>
      </c>
      <c r="P2179">
        <v>69100</v>
      </c>
      <c r="Q2179" t="str">
        <f>"41.114530"</f>
        <v>41.114530</v>
      </c>
      <c r="R2179" t="str">
        <f>"25.411268"</f>
        <v>25.411268</v>
      </c>
      <c r="S2179" t="s">
        <v>26</v>
      </c>
    </row>
    <row r="2180" spans="1:19" x14ac:dyDescent="0.3">
      <c r="A2180" t="s">
        <v>19</v>
      </c>
      <c r="B2180" t="s">
        <v>2598</v>
      </c>
      <c r="C2180" t="s">
        <v>2743</v>
      </c>
      <c r="D2180" t="s">
        <v>43</v>
      </c>
      <c r="E2180" t="s">
        <v>778</v>
      </c>
      <c r="F2180" t="s">
        <v>2611</v>
      </c>
      <c r="G2180" t="s">
        <v>2612</v>
      </c>
      <c r="H2180" t="s">
        <v>868</v>
      </c>
      <c r="I2180" t="s">
        <v>1201</v>
      </c>
      <c r="J2180" t="str">
        <f>"9420026"</f>
        <v>9420026</v>
      </c>
      <c r="K2180">
        <v>2531093000</v>
      </c>
      <c r="M2180" t="s">
        <v>2744</v>
      </c>
      <c r="N2180" t="s">
        <v>2745</v>
      </c>
      <c r="O2180" t="s">
        <v>2746</v>
      </c>
      <c r="P2180">
        <v>69100</v>
      </c>
      <c r="Q2180" t="str">
        <f>"41.153171"</f>
        <v>41.153171</v>
      </c>
      <c r="R2180" t="str">
        <f>"25.351774"</f>
        <v>25.351774</v>
      </c>
      <c r="S2180" t="s">
        <v>26</v>
      </c>
    </row>
    <row r="2181" spans="1:19" x14ac:dyDescent="0.3">
      <c r="A2181" t="s">
        <v>19</v>
      </c>
      <c r="B2181" t="s">
        <v>2598</v>
      </c>
      <c r="C2181" t="s">
        <v>2748</v>
      </c>
      <c r="D2181" t="s">
        <v>43</v>
      </c>
      <c r="E2181" t="s">
        <v>778</v>
      </c>
      <c r="F2181" t="s">
        <v>2611</v>
      </c>
      <c r="G2181" t="s">
        <v>2747</v>
      </c>
      <c r="H2181" t="s">
        <v>868</v>
      </c>
      <c r="I2181" t="s">
        <v>950</v>
      </c>
      <c r="J2181" t="str">
        <f>"9420066"</f>
        <v>9420066</v>
      </c>
      <c r="K2181">
        <v>2531095221</v>
      </c>
      <c r="L2181">
        <v>2531095221</v>
      </c>
      <c r="M2181" t="s">
        <v>2749</v>
      </c>
      <c r="N2181" t="s">
        <v>2750</v>
      </c>
      <c r="O2181" t="s">
        <v>2747</v>
      </c>
      <c r="P2181">
        <v>69200</v>
      </c>
      <c r="Q2181" t="str">
        <f>"41.136900"</f>
        <v>41.136900</v>
      </c>
      <c r="R2181" t="str">
        <f>"25.276827"</f>
        <v>25.276827</v>
      </c>
      <c r="S2181" t="s">
        <v>26</v>
      </c>
    </row>
    <row r="2182" spans="1:19" x14ac:dyDescent="0.3">
      <c r="A2182" t="s">
        <v>19</v>
      </c>
      <c r="B2182" t="s">
        <v>2598</v>
      </c>
      <c r="C2182" t="s">
        <v>2752</v>
      </c>
      <c r="D2182" t="s">
        <v>43</v>
      </c>
      <c r="E2182" t="s">
        <v>791</v>
      </c>
      <c r="F2182" t="s">
        <v>2631</v>
      </c>
      <c r="G2182" t="s">
        <v>2751</v>
      </c>
      <c r="H2182" t="s">
        <v>868</v>
      </c>
      <c r="I2182" t="s">
        <v>1222</v>
      </c>
      <c r="J2182" t="str">
        <f>"9420161"</f>
        <v>9420161</v>
      </c>
      <c r="K2182">
        <v>2531041176</v>
      </c>
      <c r="L2182">
        <v>2531041176</v>
      </c>
      <c r="M2182" t="s">
        <v>2753</v>
      </c>
      <c r="N2182" t="s">
        <v>2751</v>
      </c>
      <c r="O2182" t="s">
        <v>2754</v>
      </c>
      <c r="P2182">
        <v>69100</v>
      </c>
      <c r="Q2182" t="str">
        <f>"41.150896"</f>
        <v>41.150896</v>
      </c>
      <c r="R2182" t="str">
        <f>"25.425968"</f>
        <v>25.425968</v>
      </c>
      <c r="S2182" t="s">
        <v>26</v>
      </c>
    </row>
    <row r="2183" spans="1:19" x14ac:dyDescent="0.3">
      <c r="A2183" t="s">
        <v>19</v>
      </c>
      <c r="B2183" t="s">
        <v>2598</v>
      </c>
      <c r="C2183" t="s">
        <v>2756</v>
      </c>
      <c r="D2183" t="s">
        <v>43</v>
      </c>
      <c r="E2183" t="s">
        <v>791</v>
      </c>
      <c r="F2183" t="s">
        <v>791</v>
      </c>
      <c r="G2183" t="s">
        <v>2755</v>
      </c>
      <c r="H2183" t="s">
        <v>868</v>
      </c>
      <c r="I2183" t="s">
        <v>1201</v>
      </c>
      <c r="J2183" t="str">
        <f>"9420178"</f>
        <v>9420178</v>
      </c>
      <c r="K2183">
        <v>2531036476</v>
      </c>
      <c r="L2183">
        <v>2531036476</v>
      </c>
      <c r="M2183" t="s">
        <v>2757</v>
      </c>
      <c r="N2183" t="s">
        <v>2755</v>
      </c>
      <c r="O2183" t="s">
        <v>2758</v>
      </c>
      <c r="P2183">
        <v>69300</v>
      </c>
      <c r="Q2183" t="str">
        <f>"41.132113"</f>
        <v>41.132113</v>
      </c>
      <c r="R2183" t="str">
        <f>"25.719943"</f>
        <v>25.719943</v>
      </c>
      <c r="S2183" t="s">
        <v>26</v>
      </c>
    </row>
    <row r="2184" spans="1:19" x14ac:dyDescent="0.3">
      <c r="A2184" t="s">
        <v>19</v>
      </c>
      <c r="B2184" t="s">
        <v>2598</v>
      </c>
      <c r="C2184" t="s">
        <v>2760</v>
      </c>
      <c r="D2184" t="s">
        <v>43</v>
      </c>
      <c r="E2184" t="s">
        <v>791</v>
      </c>
      <c r="F2184" t="s">
        <v>2631</v>
      </c>
      <c r="G2184" t="s">
        <v>2759</v>
      </c>
      <c r="H2184" t="s">
        <v>868</v>
      </c>
      <c r="I2184" t="s">
        <v>1222</v>
      </c>
      <c r="J2184" t="str">
        <f>"9420220"</f>
        <v>9420220</v>
      </c>
      <c r="K2184">
        <v>2531092310</v>
      </c>
      <c r="L2184">
        <v>2531092310</v>
      </c>
      <c r="M2184" t="s">
        <v>2761</v>
      </c>
      <c r="N2184" t="s">
        <v>2759</v>
      </c>
      <c r="O2184" t="s">
        <v>2762</v>
      </c>
      <c r="P2184">
        <v>69100</v>
      </c>
      <c r="Q2184" t="str">
        <f>"41.131682"</f>
        <v>41.131682</v>
      </c>
      <c r="R2184" t="str">
        <f>"25.543942"</f>
        <v>25.543942</v>
      </c>
      <c r="S2184" t="s">
        <v>26</v>
      </c>
    </row>
    <row r="2185" spans="1:19" x14ac:dyDescent="0.3">
      <c r="A2185" t="s">
        <v>19</v>
      </c>
      <c r="B2185" t="s">
        <v>2598</v>
      </c>
      <c r="C2185" t="s">
        <v>2763</v>
      </c>
      <c r="D2185" t="s">
        <v>43</v>
      </c>
      <c r="E2185" t="s">
        <v>778</v>
      </c>
      <c r="F2185" t="s">
        <v>2676</v>
      </c>
      <c r="G2185" t="s">
        <v>2676</v>
      </c>
      <c r="H2185" t="s">
        <v>868</v>
      </c>
      <c r="I2185" t="s">
        <v>1222</v>
      </c>
      <c r="J2185" t="str">
        <f>"9420018"</f>
        <v>9420018</v>
      </c>
      <c r="K2185">
        <v>2534031350</v>
      </c>
      <c r="L2185">
        <v>2534031350</v>
      </c>
      <c r="M2185" t="s">
        <v>2764</v>
      </c>
      <c r="N2185" t="s">
        <v>2765</v>
      </c>
      <c r="O2185" t="s">
        <v>2765</v>
      </c>
      <c r="P2185">
        <v>69200</v>
      </c>
      <c r="Q2185" t="str">
        <f>"41.126060"</f>
        <v>41.126060</v>
      </c>
      <c r="R2185" t="str">
        <f>"25.065523"</f>
        <v>25.065523</v>
      </c>
      <c r="S2185" t="s">
        <v>26</v>
      </c>
    </row>
    <row r="2186" spans="1:19" x14ac:dyDescent="0.3">
      <c r="A2186" t="s">
        <v>19</v>
      </c>
      <c r="B2186" t="s">
        <v>2598</v>
      </c>
      <c r="C2186" t="s">
        <v>2767</v>
      </c>
      <c r="D2186" t="s">
        <v>43</v>
      </c>
      <c r="E2186" t="s">
        <v>746</v>
      </c>
      <c r="F2186" t="s">
        <v>771</v>
      </c>
      <c r="G2186" t="s">
        <v>2766</v>
      </c>
      <c r="H2186" t="s">
        <v>868</v>
      </c>
      <c r="I2186" t="s">
        <v>1201</v>
      </c>
      <c r="J2186" t="str">
        <f>"9420191"</f>
        <v>9420191</v>
      </c>
      <c r="K2186">
        <v>2532052265</v>
      </c>
      <c r="L2186">
        <v>2532052265</v>
      </c>
      <c r="M2186" t="s">
        <v>2768</v>
      </c>
      <c r="N2186" t="s">
        <v>2769</v>
      </c>
      <c r="O2186" t="s">
        <v>2769</v>
      </c>
      <c r="P2186">
        <v>69300</v>
      </c>
      <c r="Q2186" t="str">
        <f>"41.030442"</f>
        <v>41.030442</v>
      </c>
      <c r="R2186" t="str">
        <f>"25.571772"</f>
        <v>25.571772</v>
      </c>
      <c r="S2186" t="s">
        <v>26</v>
      </c>
    </row>
    <row r="2187" spans="1:19" x14ac:dyDescent="0.3">
      <c r="A2187" t="s">
        <v>19</v>
      </c>
      <c r="B2187" t="s">
        <v>2598</v>
      </c>
      <c r="C2187" t="s">
        <v>806</v>
      </c>
      <c r="D2187" t="s">
        <v>43</v>
      </c>
      <c r="E2187" t="s">
        <v>44</v>
      </c>
      <c r="F2187" t="s">
        <v>44</v>
      </c>
      <c r="G2187" t="s">
        <v>44</v>
      </c>
      <c r="H2187" t="s">
        <v>868</v>
      </c>
      <c r="I2187" t="s">
        <v>869</v>
      </c>
      <c r="J2187" t="str">
        <f>"9420277"</f>
        <v>9420277</v>
      </c>
      <c r="K2187">
        <v>2531028733</v>
      </c>
      <c r="L2187">
        <v>2531083744</v>
      </c>
      <c r="M2187" t="s">
        <v>2770</v>
      </c>
      <c r="N2187" t="s">
        <v>47</v>
      </c>
      <c r="O2187" t="s">
        <v>805</v>
      </c>
      <c r="P2187">
        <v>69100</v>
      </c>
      <c r="Q2187" t="str">
        <f>"41.128270"</f>
        <v>41.128270</v>
      </c>
      <c r="R2187" t="str">
        <f>"25.406593"</f>
        <v>25.406593</v>
      </c>
      <c r="S2187" t="s">
        <v>26</v>
      </c>
    </row>
    <row r="2188" spans="1:19" x14ac:dyDescent="0.3">
      <c r="A2188" t="s">
        <v>19</v>
      </c>
      <c r="B2188" t="s">
        <v>2598</v>
      </c>
      <c r="C2188" t="s">
        <v>2772</v>
      </c>
      <c r="D2188" t="s">
        <v>43</v>
      </c>
      <c r="E2188" t="s">
        <v>791</v>
      </c>
      <c r="F2188" t="s">
        <v>791</v>
      </c>
      <c r="G2188" t="s">
        <v>2771</v>
      </c>
      <c r="H2188" t="s">
        <v>868</v>
      </c>
      <c r="I2188" t="s">
        <v>1222</v>
      </c>
      <c r="J2188" t="str">
        <f>"9420199"</f>
        <v>9420199</v>
      </c>
      <c r="K2188">
        <v>2531061437</v>
      </c>
      <c r="L2188">
        <v>2531061437</v>
      </c>
      <c r="M2188" t="s">
        <v>2773</v>
      </c>
      <c r="N2188" t="s">
        <v>2771</v>
      </c>
      <c r="O2188" t="s">
        <v>2771</v>
      </c>
      <c r="P2188">
        <v>69300</v>
      </c>
      <c r="Q2188" t="str">
        <f>"41.122921"</f>
        <v>41.122921</v>
      </c>
      <c r="R2188" t="str">
        <f>"25.674597"</f>
        <v>25.674597</v>
      </c>
      <c r="S2188" t="s">
        <v>26</v>
      </c>
    </row>
    <row r="2189" spans="1:19" x14ac:dyDescent="0.3">
      <c r="A2189" t="s">
        <v>19</v>
      </c>
      <c r="B2189" t="s">
        <v>2598</v>
      </c>
      <c r="C2189" t="s">
        <v>2774</v>
      </c>
      <c r="D2189" t="s">
        <v>43</v>
      </c>
      <c r="E2189" t="s">
        <v>44</v>
      </c>
      <c r="F2189" t="s">
        <v>44</v>
      </c>
      <c r="G2189" t="s">
        <v>44</v>
      </c>
      <c r="H2189" t="s">
        <v>868</v>
      </c>
      <c r="I2189" t="s">
        <v>1222</v>
      </c>
      <c r="J2189" t="str">
        <f>"9420140"</f>
        <v>9420140</v>
      </c>
      <c r="K2189">
        <v>2531023185</v>
      </c>
      <c r="L2189">
        <v>2531023185</v>
      </c>
      <c r="M2189" t="s">
        <v>2775</v>
      </c>
      <c r="N2189" t="s">
        <v>47</v>
      </c>
      <c r="O2189" t="s">
        <v>2776</v>
      </c>
      <c r="P2189">
        <v>69100</v>
      </c>
      <c r="Q2189" t="str">
        <f>"41.126407"</f>
        <v>41.126407</v>
      </c>
      <c r="R2189" t="str">
        <f>"25.416254"</f>
        <v>25.416254</v>
      </c>
      <c r="S2189" t="s">
        <v>26</v>
      </c>
    </row>
    <row r="2190" spans="1:19" x14ac:dyDescent="0.3">
      <c r="A2190" t="s">
        <v>19</v>
      </c>
      <c r="B2190" t="s">
        <v>2598</v>
      </c>
      <c r="C2190" t="s">
        <v>2782</v>
      </c>
      <c r="D2190" t="s">
        <v>43</v>
      </c>
      <c r="E2190" t="s">
        <v>746</v>
      </c>
      <c r="F2190" t="s">
        <v>771</v>
      </c>
      <c r="G2190" t="s">
        <v>2781</v>
      </c>
      <c r="H2190" t="s">
        <v>868</v>
      </c>
      <c r="I2190" t="s">
        <v>1201</v>
      </c>
      <c r="J2190" t="str">
        <f>"9420158"</f>
        <v>9420158</v>
      </c>
      <c r="K2190">
        <v>2532023109</v>
      </c>
      <c r="L2190">
        <v>2532023109</v>
      </c>
      <c r="M2190" t="s">
        <v>2783</v>
      </c>
      <c r="N2190" t="s">
        <v>2784</v>
      </c>
      <c r="O2190" t="s">
        <v>2785</v>
      </c>
      <c r="P2190">
        <v>69300</v>
      </c>
      <c r="Q2190" t="str">
        <f>"41.055542"</f>
        <v>41.055542</v>
      </c>
      <c r="R2190" t="str">
        <f>"25.629592"</f>
        <v>25.629592</v>
      </c>
      <c r="S2190" t="s">
        <v>26</v>
      </c>
    </row>
    <row r="2191" spans="1:19" x14ac:dyDescent="0.3">
      <c r="A2191" t="s">
        <v>19</v>
      </c>
      <c r="B2191" t="s">
        <v>2598</v>
      </c>
      <c r="C2191" t="s">
        <v>2786</v>
      </c>
      <c r="D2191" t="s">
        <v>43</v>
      </c>
      <c r="E2191" t="s">
        <v>44</v>
      </c>
      <c r="F2191" t="s">
        <v>44</v>
      </c>
      <c r="G2191" t="s">
        <v>2606</v>
      </c>
      <c r="H2191" t="s">
        <v>868</v>
      </c>
      <c r="I2191" t="s">
        <v>1201</v>
      </c>
      <c r="J2191" t="str">
        <f>"9420095"</f>
        <v>9420095</v>
      </c>
      <c r="K2191">
        <v>2531031534</v>
      </c>
      <c r="M2191" t="s">
        <v>2787</v>
      </c>
      <c r="N2191" t="s">
        <v>2788</v>
      </c>
      <c r="O2191" t="s">
        <v>2789</v>
      </c>
      <c r="P2191">
        <v>69100</v>
      </c>
      <c r="Q2191" t="str">
        <f>""</f>
        <v/>
      </c>
      <c r="R2191" t="str">
        <f>""</f>
        <v/>
      </c>
      <c r="S2191" t="s">
        <v>26</v>
      </c>
    </row>
    <row r="2192" spans="1:19" x14ac:dyDescent="0.3">
      <c r="A2192" t="s">
        <v>19</v>
      </c>
      <c r="B2192" t="s">
        <v>2598</v>
      </c>
      <c r="C2192" t="s">
        <v>2790</v>
      </c>
      <c r="D2192" t="s">
        <v>43</v>
      </c>
      <c r="E2192" t="s">
        <v>746</v>
      </c>
      <c r="F2192" t="s">
        <v>747</v>
      </c>
      <c r="G2192" t="s">
        <v>748</v>
      </c>
      <c r="H2192" t="s">
        <v>868</v>
      </c>
      <c r="I2192" t="s">
        <v>1201</v>
      </c>
      <c r="J2192" t="str">
        <f>"9420151"</f>
        <v>9420151</v>
      </c>
      <c r="K2192">
        <v>2533022192</v>
      </c>
      <c r="M2192" t="s">
        <v>2791</v>
      </c>
      <c r="N2192" t="s">
        <v>2792</v>
      </c>
      <c r="O2192" t="s">
        <v>2793</v>
      </c>
      <c r="P2192">
        <v>69400</v>
      </c>
      <c r="Q2192" t="str">
        <f>"40.993367"</f>
        <v>40.993367</v>
      </c>
      <c r="R2192" t="str">
        <f>"25.446287"</f>
        <v>25.446287</v>
      </c>
      <c r="S2192" t="s">
        <v>26</v>
      </c>
    </row>
    <row r="2193" spans="1:19" x14ac:dyDescent="0.3">
      <c r="A2193" t="s">
        <v>19</v>
      </c>
      <c r="B2193" t="s">
        <v>2598</v>
      </c>
      <c r="C2193" t="s">
        <v>2795</v>
      </c>
      <c r="D2193" t="s">
        <v>43</v>
      </c>
      <c r="E2193" t="s">
        <v>791</v>
      </c>
      <c r="F2193" t="s">
        <v>791</v>
      </c>
      <c r="G2193" t="s">
        <v>2794</v>
      </c>
      <c r="H2193" t="s">
        <v>868</v>
      </c>
      <c r="I2193" t="s">
        <v>1222</v>
      </c>
      <c r="J2193" t="str">
        <f>"9420174"</f>
        <v>9420174</v>
      </c>
      <c r="K2193">
        <v>2532041451</v>
      </c>
      <c r="L2193">
        <v>2532041451</v>
      </c>
      <c r="M2193" t="s">
        <v>2796</v>
      </c>
      <c r="N2193" t="s">
        <v>2797</v>
      </c>
      <c r="O2193" t="s">
        <v>2797</v>
      </c>
      <c r="P2193">
        <v>69300</v>
      </c>
      <c r="Q2193" t="str">
        <f>"41.065184"</f>
        <v>41.065184</v>
      </c>
      <c r="R2193" t="str">
        <f>"25.644897"</f>
        <v>25.644897</v>
      </c>
      <c r="S2193" t="s">
        <v>26</v>
      </c>
    </row>
    <row r="2194" spans="1:19" x14ac:dyDescent="0.3">
      <c r="A2194" t="s">
        <v>19</v>
      </c>
      <c r="B2194" t="s">
        <v>2598</v>
      </c>
      <c r="C2194" t="s">
        <v>2802</v>
      </c>
      <c r="D2194" t="s">
        <v>43</v>
      </c>
      <c r="E2194" t="s">
        <v>791</v>
      </c>
      <c r="F2194" t="s">
        <v>2631</v>
      </c>
      <c r="G2194" t="s">
        <v>2801</v>
      </c>
      <c r="H2194" t="s">
        <v>868</v>
      </c>
      <c r="I2194" t="s">
        <v>1222</v>
      </c>
      <c r="J2194" t="str">
        <f>"9420087"</f>
        <v>9420087</v>
      </c>
      <c r="K2194">
        <v>2531030685</v>
      </c>
      <c r="L2194">
        <v>2531030685</v>
      </c>
      <c r="M2194" t="s">
        <v>2803</v>
      </c>
      <c r="N2194" t="s">
        <v>2801</v>
      </c>
      <c r="O2194" t="s">
        <v>2804</v>
      </c>
      <c r="P2194">
        <v>69100</v>
      </c>
      <c r="Q2194" t="str">
        <f>"41.248219"</f>
        <v>41.248219</v>
      </c>
      <c r="R2194" t="str">
        <f>"25.532580"</f>
        <v>25.532580</v>
      </c>
      <c r="S2194" t="s">
        <v>26</v>
      </c>
    </row>
    <row r="2195" spans="1:19" x14ac:dyDescent="0.3">
      <c r="A2195" t="s">
        <v>19</v>
      </c>
      <c r="B2195" t="s">
        <v>2598</v>
      </c>
      <c r="C2195" t="s">
        <v>2806</v>
      </c>
      <c r="D2195" t="s">
        <v>43</v>
      </c>
      <c r="E2195" t="s">
        <v>791</v>
      </c>
      <c r="F2195" t="s">
        <v>2631</v>
      </c>
      <c r="G2195" t="s">
        <v>2805</v>
      </c>
      <c r="H2195" t="s">
        <v>868</v>
      </c>
      <c r="I2195" t="s">
        <v>1201</v>
      </c>
      <c r="J2195" t="str">
        <f>"9420197"</f>
        <v>9420197</v>
      </c>
      <c r="K2195">
        <v>2531027148</v>
      </c>
      <c r="M2195" t="s">
        <v>2807</v>
      </c>
      <c r="N2195" t="s">
        <v>2808</v>
      </c>
      <c r="O2195" t="s">
        <v>2805</v>
      </c>
      <c r="P2195">
        <v>69300</v>
      </c>
      <c r="Q2195" t="str">
        <f>"41.163352"</f>
        <v>41.163352</v>
      </c>
      <c r="R2195" t="str">
        <f>"25.638999"</f>
        <v>25.638999</v>
      </c>
      <c r="S2195" t="s">
        <v>26</v>
      </c>
    </row>
    <row r="2196" spans="1:19" x14ac:dyDescent="0.3">
      <c r="A2196" t="s">
        <v>19</v>
      </c>
      <c r="B2196" t="s">
        <v>2598</v>
      </c>
      <c r="C2196" t="s">
        <v>2810</v>
      </c>
      <c r="D2196" t="s">
        <v>43</v>
      </c>
      <c r="E2196" t="s">
        <v>791</v>
      </c>
      <c r="F2196" t="s">
        <v>2809</v>
      </c>
      <c r="G2196" t="s">
        <v>2809</v>
      </c>
      <c r="H2196" t="s">
        <v>868</v>
      </c>
      <c r="I2196" t="s">
        <v>1201</v>
      </c>
      <c r="J2196" t="str">
        <f>"9420183"</f>
        <v>9420183</v>
      </c>
      <c r="K2196">
        <v>2531030326</v>
      </c>
      <c r="L2196">
        <v>2531030326</v>
      </c>
      <c r="M2196" t="s">
        <v>2811</v>
      </c>
      <c r="N2196" t="s">
        <v>2812</v>
      </c>
      <c r="O2196" t="s">
        <v>2812</v>
      </c>
      <c r="P2196">
        <v>69300</v>
      </c>
      <c r="Q2196" t="str">
        <f>"41.234692"</f>
        <v>41.234692</v>
      </c>
      <c r="R2196" t="str">
        <f>"25.855817"</f>
        <v>25.855817</v>
      </c>
      <c r="S2196" t="s">
        <v>57</v>
      </c>
    </row>
    <row r="2197" spans="1:19" x14ac:dyDescent="0.3">
      <c r="A2197" t="s">
        <v>19</v>
      </c>
      <c r="B2197" t="s">
        <v>2598</v>
      </c>
      <c r="C2197" t="s">
        <v>2816</v>
      </c>
      <c r="D2197" t="s">
        <v>43</v>
      </c>
      <c r="E2197" t="s">
        <v>791</v>
      </c>
      <c r="F2197" t="s">
        <v>2809</v>
      </c>
      <c r="G2197" t="s">
        <v>2809</v>
      </c>
      <c r="H2197" t="s">
        <v>868</v>
      </c>
      <c r="I2197" t="s">
        <v>1201</v>
      </c>
      <c r="J2197" t="str">
        <f>"9420184"</f>
        <v>9420184</v>
      </c>
      <c r="K2197">
        <v>2531032597</v>
      </c>
      <c r="M2197" t="s">
        <v>2817</v>
      </c>
      <c r="N2197" t="s">
        <v>2818</v>
      </c>
      <c r="O2197" t="s">
        <v>2818</v>
      </c>
      <c r="P2197">
        <v>69300</v>
      </c>
      <c r="Q2197" t="str">
        <f>""</f>
        <v/>
      </c>
      <c r="R2197" t="str">
        <f>""</f>
        <v/>
      </c>
      <c r="S2197" t="s">
        <v>57</v>
      </c>
    </row>
    <row r="2198" spans="1:19" x14ac:dyDescent="0.3">
      <c r="A2198" t="s">
        <v>19</v>
      </c>
      <c r="B2198" t="s">
        <v>2598</v>
      </c>
      <c r="C2198" t="s">
        <v>2819</v>
      </c>
      <c r="D2198" t="s">
        <v>43</v>
      </c>
      <c r="E2198" t="s">
        <v>44</v>
      </c>
      <c r="F2198" t="s">
        <v>814</v>
      </c>
      <c r="G2198" t="s">
        <v>2777</v>
      </c>
      <c r="H2198" t="s">
        <v>868</v>
      </c>
      <c r="I2198" t="s">
        <v>950</v>
      </c>
      <c r="J2198" t="str">
        <f>"9420253"</f>
        <v>9420253</v>
      </c>
      <c r="K2198">
        <v>2535031221</v>
      </c>
      <c r="L2198">
        <v>2535031221</v>
      </c>
      <c r="M2198" t="s">
        <v>2820</v>
      </c>
      <c r="N2198" t="s">
        <v>2780</v>
      </c>
      <c r="O2198" t="s">
        <v>2821</v>
      </c>
      <c r="P2198">
        <v>67063</v>
      </c>
      <c r="Q2198" t="str">
        <f>"40.958203"</f>
        <v>40.958203</v>
      </c>
      <c r="R2198" t="str">
        <f>"25.130116"</f>
        <v>25.130116</v>
      </c>
      <c r="S2198" t="s">
        <v>26</v>
      </c>
    </row>
    <row r="2199" spans="1:19" x14ac:dyDescent="0.3">
      <c r="A2199" t="s">
        <v>19</v>
      </c>
      <c r="B2199" t="s">
        <v>2598</v>
      </c>
      <c r="C2199" t="s">
        <v>820</v>
      </c>
      <c r="D2199" t="s">
        <v>43</v>
      </c>
      <c r="E2199" t="s">
        <v>44</v>
      </c>
      <c r="F2199" t="s">
        <v>814</v>
      </c>
      <c r="G2199" t="s">
        <v>815</v>
      </c>
      <c r="H2199" t="s">
        <v>868</v>
      </c>
      <c r="I2199" t="s">
        <v>869</v>
      </c>
      <c r="J2199" t="str">
        <f>"9420068"</f>
        <v>9420068</v>
      </c>
      <c r="K2199">
        <v>2535021259</v>
      </c>
      <c r="L2199">
        <v>2535021259</v>
      </c>
      <c r="M2199" t="s">
        <v>2828</v>
      </c>
      <c r="N2199" t="s">
        <v>2829</v>
      </c>
      <c r="O2199" t="s">
        <v>2829</v>
      </c>
      <c r="P2199">
        <v>69100</v>
      </c>
      <c r="Q2199" t="str">
        <f>"41.036844"</f>
        <v>41.036844</v>
      </c>
      <c r="R2199" t="str">
        <f>"25.214695"</f>
        <v>25.214695</v>
      </c>
      <c r="S2199" t="s">
        <v>26</v>
      </c>
    </row>
    <row r="2200" spans="1:19" x14ac:dyDescent="0.3">
      <c r="A2200" t="s">
        <v>19</v>
      </c>
      <c r="B2200" t="s">
        <v>2598</v>
      </c>
      <c r="C2200" t="s">
        <v>2830</v>
      </c>
      <c r="D2200" t="s">
        <v>43</v>
      </c>
      <c r="E2200" t="s">
        <v>778</v>
      </c>
      <c r="F2200" t="s">
        <v>2611</v>
      </c>
      <c r="G2200" t="s">
        <v>2612</v>
      </c>
      <c r="H2200" t="s">
        <v>868</v>
      </c>
      <c r="I2200" t="s">
        <v>1222</v>
      </c>
      <c r="J2200" t="str">
        <f>"9420210"</f>
        <v>9420210</v>
      </c>
      <c r="K2200">
        <v>2531093265</v>
      </c>
      <c r="L2200">
        <v>2531093265</v>
      </c>
      <c r="M2200" t="s">
        <v>2831</v>
      </c>
      <c r="N2200" t="s">
        <v>2612</v>
      </c>
      <c r="O2200" t="s">
        <v>2832</v>
      </c>
      <c r="P2200">
        <v>69100</v>
      </c>
      <c r="Q2200" t="str">
        <f>"41.156325"</f>
        <v>41.156325</v>
      </c>
      <c r="R2200" t="str">
        <f>"25.342470"</f>
        <v>25.342470</v>
      </c>
      <c r="S2200" t="s">
        <v>26</v>
      </c>
    </row>
    <row r="2201" spans="1:19" x14ac:dyDescent="0.3">
      <c r="A2201" t="s">
        <v>19</v>
      </c>
      <c r="B2201" t="s">
        <v>2598</v>
      </c>
      <c r="C2201" t="s">
        <v>2834</v>
      </c>
      <c r="D2201" t="s">
        <v>43</v>
      </c>
      <c r="E2201" t="s">
        <v>746</v>
      </c>
      <c r="F2201" t="s">
        <v>771</v>
      </c>
      <c r="G2201" t="s">
        <v>2833</v>
      </c>
      <c r="H2201" t="s">
        <v>868</v>
      </c>
      <c r="I2201" t="s">
        <v>1201</v>
      </c>
      <c r="J2201" t="str">
        <f>"9420164"</f>
        <v>9420164</v>
      </c>
      <c r="K2201">
        <v>2531041747</v>
      </c>
      <c r="M2201" t="s">
        <v>2835</v>
      </c>
      <c r="N2201" t="s">
        <v>2833</v>
      </c>
      <c r="O2201" t="s">
        <v>2648</v>
      </c>
      <c r="P2201">
        <v>69300</v>
      </c>
      <c r="Q2201" t="str">
        <f>""</f>
        <v/>
      </c>
      <c r="R2201" t="str">
        <f>""</f>
        <v/>
      </c>
      <c r="S2201" t="s">
        <v>26</v>
      </c>
    </row>
    <row r="2202" spans="1:19" x14ac:dyDescent="0.3">
      <c r="A2202" t="s">
        <v>19</v>
      </c>
      <c r="B2202" t="s">
        <v>2598</v>
      </c>
      <c r="C2202" t="s">
        <v>2837</v>
      </c>
      <c r="D2202" t="s">
        <v>43</v>
      </c>
      <c r="E2202" t="s">
        <v>778</v>
      </c>
      <c r="F2202" t="s">
        <v>2611</v>
      </c>
      <c r="G2202" t="s">
        <v>2836</v>
      </c>
      <c r="H2202" t="s">
        <v>868</v>
      </c>
      <c r="I2202" t="s">
        <v>1201</v>
      </c>
      <c r="J2202" t="str">
        <f>"9420243"</f>
        <v>9420243</v>
      </c>
      <c r="K2202">
        <v>2531095433</v>
      </c>
      <c r="M2202" t="s">
        <v>2838</v>
      </c>
      <c r="N2202" t="s">
        <v>2839</v>
      </c>
      <c r="O2202" t="s">
        <v>2840</v>
      </c>
      <c r="P2202">
        <v>69200</v>
      </c>
      <c r="Q2202" t="str">
        <f>"41.132395"</f>
        <v>41.132395</v>
      </c>
      <c r="R2202" t="str">
        <f>"25.259018"</f>
        <v>25.259018</v>
      </c>
      <c r="S2202" t="s">
        <v>26</v>
      </c>
    </row>
    <row r="2203" spans="1:19" x14ac:dyDescent="0.3">
      <c r="A2203" t="s">
        <v>19</v>
      </c>
      <c r="B2203" t="s">
        <v>2598</v>
      </c>
      <c r="C2203" t="s">
        <v>2842</v>
      </c>
      <c r="D2203" t="s">
        <v>43</v>
      </c>
      <c r="E2203" t="s">
        <v>791</v>
      </c>
      <c r="F2203" t="s">
        <v>791</v>
      </c>
      <c r="G2203" t="s">
        <v>2841</v>
      </c>
      <c r="H2203" t="s">
        <v>868</v>
      </c>
      <c r="I2203" t="s">
        <v>1201</v>
      </c>
      <c r="J2203" t="str">
        <f>"9420171"</f>
        <v>9420171</v>
      </c>
      <c r="K2203">
        <v>2531071293</v>
      </c>
      <c r="L2203">
        <v>2531071293</v>
      </c>
      <c r="M2203" t="s">
        <v>2843</v>
      </c>
      <c r="N2203" t="s">
        <v>2844</v>
      </c>
      <c r="O2203" t="s">
        <v>2844</v>
      </c>
      <c r="P2203">
        <v>69300</v>
      </c>
      <c r="Q2203" t="str">
        <f>"41.107944"</f>
        <v>41.107944</v>
      </c>
      <c r="R2203" t="str">
        <f>"25.716899"</f>
        <v>25.716899</v>
      </c>
      <c r="S2203" t="s">
        <v>26</v>
      </c>
    </row>
    <row r="2204" spans="1:19" x14ac:dyDescent="0.3">
      <c r="A2204" t="s">
        <v>19</v>
      </c>
      <c r="B2204" t="s">
        <v>2598</v>
      </c>
      <c r="C2204" t="s">
        <v>2845</v>
      </c>
      <c r="D2204" t="s">
        <v>43</v>
      </c>
      <c r="E2204" t="s">
        <v>791</v>
      </c>
      <c r="F2204" t="s">
        <v>792</v>
      </c>
      <c r="G2204" t="s">
        <v>792</v>
      </c>
      <c r="H2204" t="s">
        <v>868</v>
      </c>
      <c r="I2204" t="s">
        <v>1222</v>
      </c>
      <c r="J2204" t="str">
        <f>"9420237"</f>
        <v>9420237</v>
      </c>
      <c r="K2204">
        <v>2531024068</v>
      </c>
      <c r="L2204">
        <v>2531024068</v>
      </c>
      <c r="M2204" t="s">
        <v>2846</v>
      </c>
      <c r="N2204" t="s">
        <v>2847</v>
      </c>
      <c r="O2204" t="s">
        <v>2848</v>
      </c>
      <c r="P2204">
        <v>69500</v>
      </c>
      <c r="Q2204" t="str">
        <f>"41.276991"</f>
        <v>41.276991</v>
      </c>
      <c r="R2204" t="str">
        <f>"25.624867"</f>
        <v>25.624867</v>
      </c>
      <c r="S2204" t="s">
        <v>57</v>
      </c>
    </row>
    <row r="2205" spans="1:19" x14ac:dyDescent="0.3">
      <c r="A2205" t="s">
        <v>19</v>
      </c>
      <c r="B2205" t="s">
        <v>2598</v>
      </c>
      <c r="C2205" t="s">
        <v>2849</v>
      </c>
      <c r="D2205" t="s">
        <v>43</v>
      </c>
      <c r="E2205" t="s">
        <v>791</v>
      </c>
      <c r="F2205" t="s">
        <v>2631</v>
      </c>
      <c r="G2205" t="s">
        <v>2631</v>
      </c>
      <c r="H2205" t="s">
        <v>868</v>
      </c>
      <c r="I2205" t="s">
        <v>1201</v>
      </c>
      <c r="J2205" t="str">
        <f>"9420202"</f>
        <v>9420202</v>
      </c>
      <c r="K2205">
        <v>2531061500</v>
      </c>
      <c r="L2205">
        <v>2531061500</v>
      </c>
      <c r="M2205" t="s">
        <v>2850</v>
      </c>
      <c r="N2205" t="s">
        <v>2851</v>
      </c>
      <c r="O2205" t="s">
        <v>2852</v>
      </c>
      <c r="P2205">
        <v>69300</v>
      </c>
      <c r="Q2205" t="str">
        <f>""</f>
        <v/>
      </c>
      <c r="R2205" t="str">
        <f>""</f>
        <v/>
      </c>
      <c r="S2205" t="s">
        <v>26</v>
      </c>
    </row>
    <row r="2206" spans="1:19" x14ac:dyDescent="0.3">
      <c r="A2206" t="s">
        <v>19</v>
      </c>
      <c r="B2206" t="s">
        <v>2598</v>
      </c>
      <c r="C2206" t="s">
        <v>2853</v>
      </c>
      <c r="D2206" t="s">
        <v>43</v>
      </c>
      <c r="E2206" t="s">
        <v>44</v>
      </c>
      <c r="F2206" t="s">
        <v>44</v>
      </c>
      <c r="G2206" t="s">
        <v>44</v>
      </c>
      <c r="H2206" t="s">
        <v>868</v>
      </c>
      <c r="I2206" t="s">
        <v>1201</v>
      </c>
      <c r="J2206" t="str">
        <f>"9420079"</f>
        <v>9420079</v>
      </c>
      <c r="K2206">
        <v>2531023329</v>
      </c>
      <c r="L2206">
        <v>2531023329</v>
      </c>
      <c r="M2206" t="s">
        <v>2854</v>
      </c>
      <c r="N2206" t="s">
        <v>44</v>
      </c>
      <c r="O2206" t="s">
        <v>2855</v>
      </c>
      <c r="P2206">
        <v>69100</v>
      </c>
      <c r="Q2206" t="str">
        <f>""</f>
        <v/>
      </c>
      <c r="R2206" t="str">
        <f>""</f>
        <v/>
      </c>
      <c r="S2206" t="s">
        <v>26</v>
      </c>
    </row>
    <row r="2207" spans="1:19" x14ac:dyDescent="0.3">
      <c r="A2207" t="s">
        <v>19</v>
      </c>
      <c r="B2207" t="s">
        <v>2598</v>
      </c>
      <c r="C2207" t="s">
        <v>2857</v>
      </c>
      <c r="D2207" t="s">
        <v>43</v>
      </c>
      <c r="E2207" t="s">
        <v>791</v>
      </c>
      <c r="F2207" t="s">
        <v>2631</v>
      </c>
      <c r="G2207" t="s">
        <v>2856</v>
      </c>
      <c r="H2207" t="s">
        <v>868</v>
      </c>
      <c r="I2207" t="s">
        <v>1201</v>
      </c>
      <c r="J2207" t="str">
        <f>"9420219"</f>
        <v>9420219</v>
      </c>
      <c r="K2207">
        <v>2531030367</v>
      </c>
      <c r="M2207" t="s">
        <v>2858</v>
      </c>
      <c r="N2207" t="s">
        <v>2859</v>
      </c>
      <c r="O2207" t="s">
        <v>2860</v>
      </c>
      <c r="P2207">
        <v>69100</v>
      </c>
      <c r="Q2207" t="str">
        <f>""</f>
        <v/>
      </c>
      <c r="R2207" t="str">
        <f>""</f>
        <v/>
      </c>
      <c r="S2207" t="s">
        <v>26</v>
      </c>
    </row>
    <row r="2208" spans="1:19" x14ac:dyDescent="0.3">
      <c r="A2208" t="s">
        <v>19</v>
      </c>
      <c r="B2208" t="s">
        <v>2598</v>
      </c>
      <c r="C2208" t="s">
        <v>2862</v>
      </c>
      <c r="D2208" t="s">
        <v>43</v>
      </c>
      <c r="E2208" t="s">
        <v>791</v>
      </c>
      <c r="F2208" t="s">
        <v>2631</v>
      </c>
      <c r="G2208" t="s">
        <v>2861</v>
      </c>
      <c r="H2208" t="s">
        <v>868</v>
      </c>
      <c r="I2208" t="s">
        <v>1201</v>
      </c>
      <c r="J2208" t="str">
        <f>"9420193"</f>
        <v>9420193</v>
      </c>
      <c r="K2208">
        <v>531061400</v>
      </c>
      <c r="M2208" t="s">
        <v>2863</v>
      </c>
      <c r="N2208" t="s">
        <v>2861</v>
      </c>
      <c r="O2208" t="s">
        <v>2864</v>
      </c>
      <c r="P2208">
        <v>69300</v>
      </c>
      <c r="Q2208" t="str">
        <f>""</f>
        <v/>
      </c>
      <c r="R2208" t="str">
        <f>""</f>
        <v/>
      </c>
      <c r="S2208" t="s">
        <v>26</v>
      </c>
    </row>
    <row r="2209" spans="1:19" x14ac:dyDescent="0.3">
      <c r="A2209" t="s">
        <v>19</v>
      </c>
      <c r="B2209" t="s">
        <v>2598</v>
      </c>
      <c r="C2209" t="s">
        <v>2865</v>
      </c>
      <c r="D2209" t="s">
        <v>43</v>
      </c>
      <c r="E2209" t="s">
        <v>791</v>
      </c>
      <c r="F2209" t="s">
        <v>792</v>
      </c>
      <c r="G2209" t="s">
        <v>792</v>
      </c>
      <c r="H2209" t="s">
        <v>868</v>
      </c>
      <c r="I2209" t="s">
        <v>1201</v>
      </c>
      <c r="J2209" t="str">
        <f>"9420104"</f>
        <v>9420104</v>
      </c>
      <c r="K2209">
        <v>2531030713</v>
      </c>
      <c r="M2209" t="s">
        <v>2866</v>
      </c>
      <c r="N2209" t="s">
        <v>2867</v>
      </c>
      <c r="O2209" t="s">
        <v>2867</v>
      </c>
      <c r="P2209">
        <v>69100</v>
      </c>
      <c r="Q2209" t="str">
        <f>"41.277790"</f>
        <v>41.277790</v>
      </c>
      <c r="R2209" t="str">
        <f>"25.778651"</f>
        <v>25.778651</v>
      </c>
      <c r="S2209" t="s">
        <v>57</v>
      </c>
    </row>
    <row r="2210" spans="1:19" x14ac:dyDescent="0.3">
      <c r="A2210" t="s">
        <v>19</v>
      </c>
      <c r="B2210" t="s">
        <v>2598</v>
      </c>
      <c r="C2210" t="s">
        <v>2869</v>
      </c>
      <c r="D2210" t="s">
        <v>43</v>
      </c>
      <c r="E2210" t="s">
        <v>44</v>
      </c>
      <c r="F2210" t="s">
        <v>44</v>
      </c>
      <c r="G2210" t="s">
        <v>2868</v>
      </c>
      <c r="H2210" t="s">
        <v>868</v>
      </c>
      <c r="I2210" t="s">
        <v>1222</v>
      </c>
      <c r="J2210" t="str">
        <f>"9420146"</f>
        <v>9420146</v>
      </c>
      <c r="K2210">
        <v>2531038649</v>
      </c>
      <c r="L2210">
        <v>2531038649</v>
      </c>
      <c r="M2210" t="s">
        <v>2870</v>
      </c>
      <c r="N2210" t="s">
        <v>2871</v>
      </c>
      <c r="O2210" t="s">
        <v>2872</v>
      </c>
      <c r="P2210">
        <v>69100</v>
      </c>
      <c r="Q2210" t="str">
        <f>"41.056652"</f>
        <v>41.056652</v>
      </c>
      <c r="R2210" t="str">
        <f>"25.477146"</f>
        <v>25.477146</v>
      </c>
      <c r="S2210" t="s">
        <v>26</v>
      </c>
    </row>
    <row r="2211" spans="1:19" x14ac:dyDescent="0.3">
      <c r="A2211" t="s">
        <v>19</v>
      </c>
      <c r="B2211" t="s">
        <v>2598</v>
      </c>
      <c r="C2211" t="s">
        <v>2874</v>
      </c>
      <c r="D2211" t="s">
        <v>43</v>
      </c>
      <c r="E2211" t="s">
        <v>44</v>
      </c>
      <c r="F2211" t="s">
        <v>814</v>
      </c>
      <c r="G2211" t="s">
        <v>2873</v>
      </c>
      <c r="H2211" t="s">
        <v>868</v>
      </c>
      <c r="I2211" t="s">
        <v>1222</v>
      </c>
      <c r="J2211" t="str">
        <f>"9420049"</f>
        <v>9420049</v>
      </c>
      <c r="K2211">
        <v>2535021308</v>
      </c>
      <c r="L2211">
        <v>2535021308</v>
      </c>
      <c r="M2211" t="s">
        <v>2875</v>
      </c>
      <c r="N2211" t="s">
        <v>43</v>
      </c>
      <c r="O2211" t="s">
        <v>2876</v>
      </c>
      <c r="P2211">
        <v>69150</v>
      </c>
      <c r="Q2211" t="str">
        <f>"41.020006"</f>
        <v>41.020006</v>
      </c>
      <c r="R2211" t="str">
        <f>"25.243188"</f>
        <v>25.243188</v>
      </c>
      <c r="S2211" t="s">
        <v>26</v>
      </c>
    </row>
    <row r="2212" spans="1:19" x14ac:dyDescent="0.3">
      <c r="A2212" t="s">
        <v>19</v>
      </c>
      <c r="B2212" t="s">
        <v>2598</v>
      </c>
      <c r="C2212" t="s">
        <v>2878</v>
      </c>
      <c r="D2212" t="s">
        <v>43</v>
      </c>
      <c r="E2212" t="s">
        <v>791</v>
      </c>
      <c r="F2212" t="s">
        <v>2631</v>
      </c>
      <c r="G2212" t="s">
        <v>2877</v>
      </c>
      <c r="H2212" t="s">
        <v>868</v>
      </c>
      <c r="I2212" t="s">
        <v>1201</v>
      </c>
      <c r="J2212" t="str">
        <f>"9420245"</f>
        <v>9420245</v>
      </c>
      <c r="K2212">
        <v>2531037299</v>
      </c>
      <c r="L2212">
        <v>2531037299</v>
      </c>
      <c r="M2212" t="s">
        <v>2879</v>
      </c>
      <c r="N2212" t="s">
        <v>2880</v>
      </c>
      <c r="O2212" t="s">
        <v>2880</v>
      </c>
      <c r="P2212">
        <v>69300</v>
      </c>
      <c r="Q2212" t="str">
        <f>"41.235128"</f>
        <v>41.235128</v>
      </c>
      <c r="R2212" t="str">
        <f>"25.772424"</f>
        <v>25.772424</v>
      </c>
      <c r="S2212" t="s">
        <v>57</v>
      </c>
    </row>
    <row r="2213" spans="1:19" x14ac:dyDescent="0.3">
      <c r="A2213" t="s">
        <v>19</v>
      </c>
      <c r="B2213" t="s">
        <v>2598</v>
      </c>
      <c r="C2213" t="s">
        <v>2884</v>
      </c>
      <c r="D2213" t="s">
        <v>43</v>
      </c>
      <c r="E2213" t="s">
        <v>746</v>
      </c>
      <c r="F2213" t="s">
        <v>771</v>
      </c>
      <c r="G2213" t="s">
        <v>771</v>
      </c>
      <c r="H2213" t="s">
        <v>868</v>
      </c>
      <c r="I2213" t="s">
        <v>1222</v>
      </c>
      <c r="J2213" t="str">
        <f>"9420154"</f>
        <v>9420154</v>
      </c>
      <c r="K2213">
        <v>2532023466</v>
      </c>
      <c r="L2213">
        <v>2532023466</v>
      </c>
      <c r="M2213" t="s">
        <v>2885</v>
      </c>
      <c r="N2213" t="s">
        <v>2886</v>
      </c>
      <c r="O2213" t="s">
        <v>2887</v>
      </c>
      <c r="P2213">
        <v>69300</v>
      </c>
      <c r="Q2213" t="str">
        <f>"41.017344"</f>
        <v>41.017344</v>
      </c>
      <c r="R2213" t="str">
        <f>"25.678819"</f>
        <v>25.678819</v>
      </c>
      <c r="S2213" t="s">
        <v>26</v>
      </c>
    </row>
    <row r="2214" spans="1:19" x14ac:dyDescent="0.3">
      <c r="A2214" t="s">
        <v>19</v>
      </c>
      <c r="B2214" t="s">
        <v>2598</v>
      </c>
      <c r="C2214" t="s">
        <v>2889</v>
      </c>
      <c r="D2214" t="s">
        <v>43</v>
      </c>
      <c r="E2214" t="s">
        <v>791</v>
      </c>
      <c r="F2214" t="s">
        <v>2631</v>
      </c>
      <c r="G2214" t="s">
        <v>2888</v>
      </c>
      <c r="H2214" t="s">
        <v>868</v>
      </c>
      <c r="I2214" t="s">
        <v>1222</v>
      </c>
      <c r="J2214" t="str">
        <f>"9420214"</f>
        <v>9420214</v>
      </c>
      <c r="K2214">
        <v>2531030537</v>
      </c>
      <c r="L2214">
        <v>2531030537</v>
      </c>
      <c r="M2214" t="s">
        <v>2890</v>
      </c>
      <c r="N2214" t="s">
        <v>2888</v>
      </c>
      <c r="O2214" t="s">
        <v>2891</v>
      </c>
      <c r="P2214">
        <v>69100</v>
      </c>
      <c r="Q2214" t="str">
        <f>"41.193986"</f>
        <v>41.193986</v>
      </c>
      <c r="R2214" t="str">
        <f>"25.591396"</f>
        <v>25.591396</v>
      </c>
      <c r="S2214" t="s">
        <v>26</v>
      </c>
    </row>
    <row r="2215" spans="1:19" x14ac:dyDescent="0.3">
      <c r="A2215" t="s">
        <v>19</v>
      </c>
      <c r="B2215" t="s">
        <v>2598</v>
      </c>
      <c r="C2215" t="s">
        <v>2892</v>
      </c>
      <c r="D2215" t="s">
        <v>43</v>
      </c>
      <c r="E2215" t="s">
        <v>778</v>
      </c>
      <c r="F2215" t="s">
        <v>2611</v>
      </c>
      <c r="G2215" t="s">
        <v>2612</v>
      </c>
      <c r="H2215" t="s">
        <v>868</v>
      </c>
      <c r="I2215" t="s">
        <v>1222</v>
      </c>
      <c r="J2215" t="str">
        <f>"9420027"</f>
        <v>9420027</v>
      </c>
      <c r="K2215">
        <v>2531093003</v>
      </c>
      <c r="M2215" t="s">
        <v>2893</v>
      </c>
      <c r="N2215" t="s">
        <v>2894</v>
      </c>
      <c r="O2215" t="s">
        <v>2894</v>
      </c>
      <c r="P2215">
        <v>69100</v>
      </c>
      <c r="Q2215" t="str">
        <f>"41.165482"</f>
        <v>41.165482</v>
      </c>
      <c r="R2215" t="str">
        <f>"25.396854"</f>
        <v>25.396854</v>
      </c>
      <c r="S2215" t="s">
        <v>26</v>
      </c>
    </row>
    <row r="2216" spans="1:19" x14ac:dyDescent="0.3">
      <c r="A2216" t="s">
        <v>19</v>
      </c>
      <c r="B2216" t="s">
        <v>2598</v>
      </c>
      <c r="C2216" t="s">
        <v>2896</v>
      </c>
      <c r="D2216" t="s">
        <v>43</v>
      </c>
      <c r="E2216" t="s">
        <v>791</v>
      </c>
      <c r="F2216" t="s">
        <v>2631</v>
      </c>
      <c r="G2216" t="s">
        <v>2895</v>
      </c>
      <c r="H2216" t="s">
        <v>868</v>
      </c>
      <c r="I2216" t="s">
        <v>1201</v>
      </c>
      <c r="J2216" t="str">
        <f>"9420166"</f>
        <v>9420166</v>
      </c>
      <c r="K2216">
        <v>2531042200</v>
      </c>
      <c r="L2216">
        <v>2531042200</v>
      </c>
      <c r="M2216" t="s">
        <v>2897</v>
      </c>
      <c r="N2216" t="s">
        <v>2895</v>
      </c>
      <c r="O2216" t="s">
        <v>2898</v>
      </c>
      <c r="P2216">
        <v>69300</v>
      </c>
      <c r="Q2216" t="str">
        <f>"40.984362"</f>
        <v>40.984362</v>
      </c>
      <c r="R2216" t="str">
        <f>"25.647966"</f>
        <v>25.647966</v>
      </c>
      <c r="S2216" t="s">
        <v>26</v>
      </c>
    </row>
    <row r="2217" spans="1:19" x14ac:dyDescent="0.3">
      <c r="A2217" t="s">
        <v>19</v>
      </c>
      <c r="B2217" t="s">
        <v>2598</v>
      </c>
      <c r="C2217" t="s">
        <v>2899</v>
      </c>
      <c r="D2217" t="s">
        <v>43</v>
      </c>
      <c r="E2217" t="s">
        <v>791</v>
      </c>
      <c r="F2217" t="s">
        <v>792</v>
      </c>
      <c r="G2217" t="s">
        <v>792</v>
      </c>
      <c r="H2217" t="s">
        <v>868</v>
      </c>
      <c r="I2217" t="s">
        <v>1201</v>
      </c>
      <c r="J2217" t="str">
        <f>"9420238"</f>
        <v>9420238</v>
      </c>
      <c r="K2217">
        <v>2531030568</v>
      </c>
      <c r="L2217">
        <v>2531030568</v>
      </c>
      <c r="M2217" t="s">
        <v>2900</v>
      </c>
      <c r="N2217" t="s">
        <v>2901</v>
      </c>
      <c r="O2217" t="s">
        <v>2902</v>
      </c>
      <c r="P2217">
        <v>69100</v>
      </c>
      <c r="Q2217" t="str">
        <f>""</f>
        <v/>
      </c>
      <c r="R2217" t="str">
        <f>""</f>
        <v/>
      </c>
      <c r="S2217" t="s">
        <v>26</v>
      </c>
    </row>
    <row r="2218" spans="1:19" x14ac:dyDescent="0.3">
      <c r="A2218" t="s">
        <v>19</v>
      </c>
      <c r="B2218" t="s">
        <v>2598</v>
      </c>
      <c r="C2218" t="s">
        <v>2903</v>
      </c>
      <c r="D2218" t="s">
        <v>43</v>
      </c>
      <c r="E2218" t="s">
        <v>791</v>
      </c>
      <c r="F2218" t="s">
        <v>792</v>
      </c>
      <c r="G2218" t="s">
        <v>792</v>
      </c>
      <c r="H2218" t="s">
        <v>868</v>
      </c>
      <c r="I2218" t="s">
        <v>1222</v>
      </c>
      <c r="J2218" t="str">
        <f>"9420239"</f>
        <v>9420239</v>
      </c>
      <c r="K2218">
        <v>2531072065</v>
      </c>
      <c r="L2218">
        <v>2531072065</v>
      </c>
      <c r="M2218" t="s">
        <v>2904</v>
      </c>
      <c r="N2218" t="s">
        <v>2905</v>
      </c>
      <c r="O2218" t="s">
        <v>2906</v>
      </c>
      <c r="P2218">
        <v>69500</v>
      </c>
      <c r="Q2218" t="str">
        <f>"41.304111"</f>
        <v>41.304111</v>
      </c>
      <c r="R2218" t="str">
        <f>"25.671073"</f>
        <v>25.671073</v>
      </c>
      <c r="S2218" t="s">
        <v>57</v>
      </c>
    </row>
    <row r="2219" spans="1:19" x14ac:dyDescent="0.3">
      <c r="A2219" t="s">
        <v>19</v>
      </c>
      <c r="B2219" t="s">
        <v>2598</v>
      </c>
      <c r="C2219" t="s">
        <v>2908</v>
      </c>
      <c r="D2219" t="s">
        <v>43</v>
      </c>
      <c r="E2219" t="s">
        <v>44</v>
      </c>
      <c r="F2219" t="s">
        <v>44</v>
      </c>
      <c r="G2219" t="s">
        <v>2907</v>
      </c>
      <c r="H2219" t="s">
        <v>868</v>
      </c>
      <c r="I2219" t="s">
        <v>1222</v>
      </c>
      <c r="J2219" t="str">
        <f>"9420088"</f>
        <v>9420088</v>
      </c>
      <c r="K2219">
        <v>2531092184</v>
      </c>
      <c r="L2219">
        <v>2531092184</v>
      </c>
      <c r="M2219" t="s">
        <v>2909</v>
      </c>
      <c r="N2219" t="s">
        <v>2907</v>
      </c>
      <c r="O2219" t="s">
        <v>2910</v>
      </c>
      <c r="P2219">
        <v>69100</v>
      </c>
      <c r="Q2219" t="str">
        <f>"41.147446"</f>
        <v>41.147446</v>
      </c>
      <c r="R2219" t="str">
        <f>"25.495619"</f>
        <v>25.495619</v>
      </c>
      <c r="S2219" t="s">
        <v>26</v>
      </c>
    </row>
    <row r="2220" spans="1:19" x14ac:dyDescent="0.3">
      <c r="A2220" t="s">
        <v>19</v>
      </c>
      <c r="B2220" t="s">
        <v>2598</v>
      </c>
      <c r="C2220" t="s">
        <v>2911</v>
      </c>
      <c r="D2220" t="s">
        <v>43</v>
      </c>
      <c r="E2220" t="s">
        <v>44</v>
      </c>
      <c r="F2220" t="s">
        <v>829</v>
      </c>
      <c r="G2220" t="s">
        <v>829</v>
      </c>
      <c r="H2220" t="s">
        <v>868</v>
      </c>
      <c r="I2220" t="s">
        <v>1201</v>
      </c>
      <c r="J2220" t="str">
        <f>"9420226"</f>
        <v>9420226</v>
      </c>
      <c r="K2220">
        <v>2531051500</v>
      </c>
      <c r="L2220">
        <v>2531051500</v>
      </c>
      <c r="M2220" t="s">
        <v>2912</v>
      </c>
      <c r="N2220" t="s">
        <v>2913</v>
      </c>
      <c r="O2220" t="s">
        <v>2913</v>
      </c>
      <c r="P2220">
        <v>69100</v>
      </c>
      <c r="Q2220" t="str">
        <f>"41.048433"</f>
        <v>41.048433</v>
      </c>
      <c r="R2220" t="str">
        <f>"25.358559"</f>
        <v>25.358559</v>
      </c>
      <c r="S2220" t="s">
        <v>26</v>
      </c>
    </row>
    <row r="2221" spans="1:19" x14ac:dyDescent="0.3">
      <c r="A2221" t="s">
        <v>19</v>
      </c>
      <c r="B2221" t="s">
        <v>2598</v>
      </c>
      <c r="C2221" t="s">
        <v>2918</v>
      </c>
      <c r="D2221" t="s">
        <v>43</v>
      </c>
      <c r="E2221" t="s">
        <v>791</v>
      </c>
      <c r="F2221" t="s">
        <v>792</v>
      </c>
      <c r="G2221" t="s">
        <v>792</v>
      </c>
      <c r="H2221" t="s">
        <v>868</v>
      </c>
      <c r="I2221" t="s">
        <v>1201</v>
      </c>
      <c r="J2221" t="str">
        <f>"9420284"</f>
        <v>9420284</v>
      </c>
      <c r="K2221">
        <v>2531032278</v>
      </c>
      <c r="M2221" t="s">
        <v>2919</v>
      </c>
      <c r="N2221" t="s">
        <v>2920</v>
      </c>
      <c r="O2221" t="s">
        <v>2921</v>
      </c>
      <c r="P2221">
        <v>69500</v>
      </c>
      <c r="Q2221" t="str">
        <f>""</f>
        <v/>
      </c>
      <c r="R2221" t="str">
        <f>""</f>
        <v/>
      </c>
      <c r="S2221" t="s">
        <v>57</v>
      </c>
    </row>
    <row r="2222" spans="1:19" x14ac:dyDescent="0.3">
      <c r="A2222" t="s">
        <v>19</v>
      </c>
      <c r="B2222" t="s">
        <v>2598</v>
      </c>
      <c r="C2222" t="s">
        <v>2922</v>
      </c>
      <c r="D2222" t="s">
        <v>43</v>
      </c>
      <c r="E2222" t="s">
        <v>791</v>
      </c>
      <c r="F2222" t="s">
        <v>792</v>
      </c>
      <c r="G2222" t="s">
        <v>792</v>
      </c>
      <c r="H2222" t="s">
        <v>868</v>
      </c>
      <c r="I2222" t="s">
        <v>1201</v>
      </c>
      <c r="J2222" t="str">
        <f>"9420106"</f>
        <v>9420106</v>
      </c>
      <c r="K2222">
        <v>2531031440</v>
      </c>
      <c r="L2222">
        <v>2531031440</v>
      </c>
      <c r="M2222" t="s">
        <v>2923</v>
      </c>
      <c r="N2222" t="s">
        <v>2924</v>
      </c>
      <c r="O2222" t="s">
        <v>2925</v>
      </c>
      <c r="P2222">
        <v>69500</v>
      </c>
      <c r="Q2222" t="str">
        <f>"41.270873"</f>
        <v>41.270873</v>
      </c>
      <c r="R2222" t="str">
        <f>"25.732745"</f>
        <v>25.732745</v>
      </c>
      <c r="S2222" t="s">
        <v>26</v>
      </c>
    </row>
    <row r="2223" spans="1:19" x14ac:dyDescent="0.3">
      <c r="A2223" t="s">
        <v>19</v>
      </c>
      <c r="B2223" t="s">
        <v>2598</v>
      </c>
      <c r="C2223" t="s">
        <v>2927</v>
      </c>
      <c r="D2223" t="s">
        <v>43</v>
      </c>
      <c r="E2223" t="s">
        <v>791</v>
      </c>
      <c r="F2223" t="s">
        <v>2631</v>
      </c>
      <c r="G2223" t="s">
        <v>2926</v>
      </c>
      <c r="H2223" t="s">
        <v>868</v>
      </c>
      <c r="I2223" t="s">
        <v>1222</v>
      </c>
      <c r="J2223" t="str">
        <f>"9420086"</f>
        <v>9420086</v>
      </c>
      <c r="K2223">
        <v>2531092078</v>
      </c>
      <c r="M2223" t="s">
        <v>2928</v>
      </c>
      <c r="N2223" t="s">
        <v>2929</v>
      </c>
      <c r="O2223" t="s">
        <v>2929</v>
      </c>
      <c r="P2223">
        <v>69100</v>
      </c>
      <c r="Q2223" t="str">
        <f>"41.145709"</f>
        <v>41.145709</v>
      </c>
      <c r="R2223" t="str">
        <f>"25.550728"</f>
        <v>25.550728</v>
      </c>
      <c r="S2223" t="s">
        <v>26</v>
      </c>
    </row>
    <row r="2224" spans="1:19" x14ac:dyDescent="0.3">
      <c r="A2224" t="s">
        <v>19</v>
      </c>
      <c r="B2224" t="s">
        <v>2598</v>
      </c>
      <c r="C2224" t="s">
        <v>2931</v>
      </c>
      <c r="D2224" t="s">
        <v>43</v>
      </c>
      <c r="E2224" t="s">
        <v>778</v>
      </c>
      <c r="F2224" t="s">
        <v>778</v>
      </c>
      <c r="G2224" t="s">
        <v>778</v>
      </c>
      <c r="H2224" t="s">
        <v>868</v>
      </c>
      <c r="I2224" t="s">
        <v>2930</v>
      </c>
      <c r="J2224" t="str">
        <f>"9420031"</f>
        <v>9420031</v>
      </c>
      <c r="K2224">
        <v>2534022267</v>
      </c>
      <c r="L2224">
        <v>2534021003</v>
      </c>
      <c r="M2224" t="s">
        <v>2932</v>
      </c>
      <c r="N2224" t="s">
        <v>2827</v>
      </c>
      <c r="O2224" t="s">
        <v>782</v>
      </c>
      <c r="P2224">
        <v>69200</v>
      </c>
      <c r="Q2224" t="str">
        <f>"41.126805"</f>
        <v>41.126805</v>
      </c>
      <c r="R2224" t="str">
        <f>"25.186815"</f>
        <v>25.186815</v>
      </c>
      <c r="S2224" t="s">
        <v>26</v>
      </c>
    </row>
    <row r="2225" spans="1:19" x14ac:dyDescent="0.3">
      <c r="A2225" t="s">
        <v>19</v>
      </c>
      <c r="B2225" t="s">
        <v>2598</v>
      </c>
      <c r="C2225" t="s">
        <v>2933</v>
      </c>
      <c r="D2225" t="s">
        <v>43</v>
      </c>
      <c r="E2225" t="s">
        <v>791</v>
      </c>
      <c r="F2225" t="s">
        <v>792</v>
      </c>
      <c r="G2225" t="s">
        <v>792</v>
      </c>
      <c r="H2225" t="s">
        <v>868</v>
      </c>
      <c r="I2225" t="s">
        <v>1222</v>
      </c>
      <c r="J2225" t="str">
        <f>"9420234"</f>
        <v>9420234</v>
      </c>
      <c r="K2225">
        <v>2531070365</v>
      </c>
      <c r="L2225">
        <v>2531034476</v>
      </c>
      <c r="M2225" t="s">
        <v>2934</v>
      </c>
      <c r="N2225" t="s">
        <v>2935</v>
      </c>
      <c r="O2225" t="s">
        <v>2936</v>
      </c>
      <c r="P2225">
        <v>69500</v>
      </c>
      <c r="Q2225" t="str">
        <f>"41.309119"</f>
        <v>41.309119</v>
      </c>
      <c r="R2225" t="str">
        <f>"25.806870"</f>
        <v>25.806870</v>
      </c>
      <c r="S2225" t="s">
        <v>57</v>
      </c>
    </row>
    <row r="2226" spans="1:19" x14ac:dyDescent="0.3">
      <c r="A2226" t="s">
        <v>19</v>
      </c>
      <c r="B2226" t="s">
        <v>2598</v>
      </c>
      <c r="C2226" t="s">
        <v>2938</v>
      </c>
      <c r="D2226" t="s">
        <v>43</v>
      </c>
      <c r="E2226" t="s">
        <v>791</v>
      </c>
      <c r="F2226" t="s">
        <v>2631</v>
      </c>
      <c r="G2226" t="s">
        <v>2937</v>
      </c>
      <c r="H2226" t="s">
        <v>868</v>
      </c>
      <c r="I2226" t="s">
        <v>1222</v>
      </c>
      <c r="J2226" t="str">
        <f>"9420216"</f>
        <v>9420216</v>
      </c>
      <c r="K2226">
        <v>2531036331</v>
      </c>
      <c r="L2226">
        <v>253103633</v>
      </c>
      <c r="M2226" t="s">
        <v>2939</v>
      </c>
      <c r="N2226" t="s">
        <v>2937</v>
      </c>
      <c r="O2226" t="s">
        <v>2940</v>
      </c>
      <c r="P2226">
        <v>69100</v>
      </c>
      <c r="Q2226" t="str">
        <f>"41.217825"</f>
        <v>41.217825</v>
      </c>
      <c r="R2226" t="str">
        <f>"25.574304"</f>
        <v>25.574304</v>
      </c>
      <c r="S2226" t="s">
        <v>26</v>
      </c>
    </row>
    <row r="2227" spans="1:19" x14ac:dyDescent="0.3">
      <c r="A2227" t="s">
        <v>19</v>
      </c>
      <c r="B2227" t="s">
        <v>2598</v>
      </c>
      <c r="C2227" t="s">
        <v>797</v>
      </c>
      <c r="D2227" t="s">
        <v>43</v>
      </c>
      <c r="E2227" t="s">
        <v>791</v>
      </c>
      <c r="F2227" t="s">
        <v>792</v>
      </c>
      <c r="G2227" t="s">
        <v>792</v>
      </c>
      <c r="H2227" t="s">
        <v>868</v>
      </c>
      <c r="I2227" t="s">
        <v>1222</v>
      </c>
      <c r="J2227" t="str">
        <f>"9420105"</f>
        <v>9420105</v>
      </c>
      <c r="K2227">
        <v>2531027400</v>
      </c>
      <c r="L2227">
        <v>2531027400</v>
      </c>
      <c r="M2227" t="s">
        <v>2941</v>
      </c>
      <c r="N2227" t="s">
        <v>792</v>
      </c>
      <c r="O2227" t="s">
        <v>795</v>
      </c>
      <c r="P2227">
        <v>69500</v>
      </c>
      <c r="Q2227" t="str">
        <f>"41.252049"</f>
        <v>41.252049</v>
      </c>
      <c r="R2227" t="str">
        <f>"25.684373"</f>
        <v>25.684373</v>
      </c>
      <c r="S2227" t="s">
        <v>57</v>
      </c>
    </row>
    <row r="2228" spans="1:19" x14ac:dyDescent="0.3">
      <c r="A2228" t="s">
        <v>19</v>
      </c>
      <c r="B2228" t="s">
        <v>2598</v>
      </c>
      <c r="C2228" t="s">
        <v>2942</v>
      </c>
      <c r="D2228" t="s">
        <v>43</v>
      </c>
      <c r="E2228" t="s">
        <v>746</v>
      </c>
      <c r="F2228" t="s">
        <v>747</v>
      </c>
      <c r="G2228" t="s">
        <v>2627</v>
      </c>
      <c r="H2228" t="s">
        <v>868</v>
      </c>
      <c r="I2228" t="s">
        <v>1222</v>
      </c>
      <c r="J2228" t="str">
        <f>"9420148"</f>
        <v>9420148</v>
      </c>
      <c r="K2228">
        <v>2533071317</v>
      </c>
      <c r="L2228">
        <v>2533071317</v>
      </c>
      <c r="M2228" t="s">
        <v>2943</v>
      </c>
      <c r="N2228" t="s">
        <v>2944</v>
      </c>
      <c r="O2228" t="s">
        <v>2944</v>
      </c>
      <c r="P2228">
        <v>69400</v>
      </c>
      <c r="Q2228" t="str">
        <f>"41.013506"</f>
        <v>41.013506</v>
      </c>
      <c r="R2228" t="str">
        <f>"25.513906"</f>
        <v>25.513906</v>
      </c>
      <c r="S2228" t="s">
        <v>26</v>
      </c>
    </row>
    <row r="2229" spans="1:19" x14ac:dyDescent="0.3">
      <c r="A2229" t="s">
        <v>19</v>
      </c>
      <c r="B2229" t="s">
        <v>2598</v>
      </c>
      <c r="C2229" t="s">
        <v>838</v>
      </c>
      <c r="D2229" t="s">
        <v>43</v>
      </c>
      <c r="E2229" t="s">
        <v>44</v>
      </c>
      <c r="F2229" t="s">
        <v>44</v>
      </c>
      <c r="G2229" t="s">
        <v>44</v>
      </c>
      <c r="H2229" t="s">
        <v>868</v>
      </c>
      <c r="I2229" t="s">
        <v>1201</v>
      </c>
      <c r="J2229" t="str">
        <f>"9420203"</f>
        <v>9420203</v>
      </c>
      <c r="K2229">
        <v>2531023138</v>
      </c>
      <c r="L2229">
        <v>2531023138</v>
      </c>
      <c r="M2229" t="s">
        <v>2945</v>
      </c>
      <c r="N2229" t="s">
        <v>47</v>
      </c>
      <c r="O2229" t="s">
        <v>2946</v>
      </c>
      <c r="P2229">
        <v>69132</v>
      </c>
      <c r="Q2229" t="str">
        <f>"41.124374"</f>
        <v>41.124374</v>
      </c>
      <c r="R2229" t="str">
        <f>"25.413422"</f>
        <v>25.413422</v>
      </c>
      <c r="S2229" t="s">
        <v>26</v>
      </c>
    </row>
    <row r="2230" spans="1:19" x14ac:dyDescent="0.3">
      <c r="A2230" t="s">
        <v>19</v>
      </c>
      <c r="B2230" t="s">
        <v>2598</v>
      </c>
      <c r="C2230" t="s">
        <v>2947</v>
      </c>
      <c r="D2230" t="s">
        <v>43</v>
      </c>
      <c r="E2230" t="s">
        <v>746</v>
      </c>
      <c r="F2230" t="s">
        <v>747</v>
      </c>
      <c r="G2230" t="s">
        <v>2657</v>
      </c>
      <c r="H2230" t="s">
        <v>868</v>
      </c>
      <c r="I2230" t="s">
        <v>1222</v>
      </c>
      <c r="J2230" t="str">
        <f>"9420141"</f>
        <v>9420141</v>
      </c>
      <c r="K2230">
        <v>2531098418</v>
      </c>
      <c r="L2230">
        <v>2531098418</v>
      </c>
      <c r="M2230" t="s">
        <v>2948</v>
      </c>
      <c r="N2230" t="s">
        <v>2949</v>
      </c>
      <c r="O2230" t="s">
        <v>2950</v>
      </c>
      <c r="P2230">
        <v>69100</v>
      </c>
      <c r="Q2230" t="str">
        <f>"41.050555"</f>
        <v>41.050555</v>
      </c>
      <c r="R2230" t="str">
        <f>"25.498183"</f>
        <v>25.498183</v>
      </c>
      <c r="S2230" t="s">
        <v>26</v>
      </c>
    </row>
    <row r="2231" spans="1:19" x14ac:dyDescent="0.3">
      <c r="A2231" t="s">
        <v>19</v>
      </c>
      <c r="B2231" t="s">
        <v>2598</v>
      </c>
      <c r="C2231" t="s">
        <v>2951</v>
      </c>
      <c r="D2231" t="s">
        <v>43</v>
      </c>
      <c r="E2231" t="s">
        <v>746</v>
      </c>
      <c r="F2231" t="s">
        <v>747</v>
      </c>
      <c r="G2231" t="s">
        <v>2657</v>
      </c>
      <c r="H2231" t="s">
        <v>868</v>
      </c>
      <c r="I2231" t="s">
        <v>1222</v>
      </c>
      <c r="J2231" t="str">
        <f>"9420144"</f>
        <v>9420144</v>
      </c>
      <c r="K2231">
        <v>2531098232</v>
      </c>
      <c r="L2231">
        <v>2531098232</v>
      </c>
      <c r="M2231" t="s">
        <v>2952</v>
      </c>
      <c r="N2231" t="s">
        <v>2953</v>
      </c>
      <c r="O2231" t="s">
        <v>2954</v>
      </c>
      <c r="P2231">
        <v>69100</v>
      </c>
      <c r="Q2231" t="str">
        <f>"41.058597"</f>
        <v>41.058597</v>
      </c>
      <c r="R2231" t="str">
        <f>"25.450637"</f>
        <v>25.450637</v>
      </c>
      <c r="S2231" t="s">
        <v>26</v>
      </c>
    </row>
    <row r="2232" spans="1:19" x14ac:dyDescent="0.3">
      <c r="A2232" t="s">
        <v>19</v>
      </c>
      <c r="B2232" t="s">
        <v>2598</v>
      </c>
      <c r="C2232" t="s">
        <v>2955</v>
      </c>
      <c r="D2232" t="s">
        <v>43</v>
      </c>
      <c r="E2232" t="s">
        <v>791</v>
      </c>
      <c r="F2232" t="s">
        <v>792</v>
      </c>
      <c r="G2232" t="s">
        <v>792</v>
      </c>
      <c r="H2232" t="s">
        <v>868</v>
      </c>
      <c r="I2232" t="s">
        <v>1201</v>
      </c>
      <c r="J2232" t="str">
        <f>"9420235"</f>
        <v>9420235</v>
      </c>
      <c r="K2232">
        <v>2531032092</v>
      </c>
      <c r="M2232" t="s">
        <v>2956</v>
      </c>
      <c r="N2232" t="s">
        <v>2957</v>
      </c>
      <c r="O2232" t="s">
        <v>2958</v>
      </c>
      <c r="P2232">
        <v>69500</v>
      </c>
      <c r="Q2232" t="str">
        <f>""</f>
        <v/>
      </c>
      <c r="R2232" t="str">
        <f>""</f>
        <v/>
      </c>
      <c r="S2232" t="s">
        <v>57</v>
      </c>
    </row>
    <row r="2233" spans="1:19" x14ac:dyDescent="0.3">
      <c r="A2233" t="s">
        <v>19</v>
      </c>
      <c r="B2233" t="s">
        <v>2598</v>
      </c>
      <c r="C2233" t="s">
        <v>2960</v>
      </c>
      <c r="D2233" t="s">
        <v>43</v>
      </c>
      <c r="E2233" t="s">
        <v>778</v>
      </c>
      <c r="F2233" t="s">
        <v>2611</v>
      </c>
      <c r="G2233" t="s">
        <v>2959</v>
      </c>
      <c r="H2233" t="s">
        <v>868</v>
      </c>
      <c r="I2233" t="s">
        <v>1222</v>
      </c>
      <c r="J2233" t="str">
        <f>"9420053"</f>
        <v>9420053</v>
      </c>
      <c r="K2233">
        <v>2534024596</v>
      </c>
      <c r="M2233" t="s">
        <v>2961</v>
      </c>
      <c r="N2233" t="s">
        <v>2962</v>
      </c>
      <c r="O2233" t="s">
        <v>2962</v>
      </c>
      <c r="P2233">
        <v>69200</v>
      </c>
      <c r="Q2233" t="str">
        <f>"41.129270"</f>
        <v>41.129270</v>
      </c>
      <c r="R2233" t="str">
        <f>"25.221579"</f>
        <v>25.221579</v>
      </c>
      <c r="S2233" t="s">
        <v>26</v>
      </c>
    </row>
    <row r="2234" spans="1:19" x14ac:dyDescent="0.3">
      <c r="A2234" t="s">
        <v>19</v>
      </c>
      <c r="B2234" t="s">
        <v>2598</v>
      </c>
      <c r="C2234" t="s">
        <v>761</v>
      </c>
      <c r="D2234" t="s">
        <v>43</v>
      </c>
      <c r="E2234" t="s">
        <v>44</v>
      </c>
      <c r="F2234" t="s">
        <v>44</v>
      </c>
      <c r="G2234" t="s">
        <v>2963</v>
      </c>
      <c r="H2234" t="s">
        <v>868</v>
      </c>
      <c r="I2234" t="s">
        <v>1201</v>
      </c>
      <c r="J2234" t="str">
        <f>"9420147"</f>
        <v>9420147</v>
      </c>
      <c r="K2234">
        <v>2531021111</v>
      </c>
      <c r="L2234">
        <v>2531021111</v>
      </c>
      <c r="M2234" t="s">
        <v>2964</v>
      </c>
      <c r="N2234" t="s">
        <v>2965</v>
      </c>
      <c r="O2234" t="s">
        <v>2966</v>
      </c>
      <c r="P2234">
        <v>69100</v>
      </c>
      <c r="Q2234" t="str">
        <f>"41.107391"</f>
        <v>41.107391</v>
      </c>
      <c r="R2234" t="str">
        <f>"25.430618"</f>
        <v>25.430618</v>
      </c>
      <c r="S2234" t="s">
        <v>26</v>
      </c>
    </row>
    <row r="2235" spans="1:19" x14ac:dyDescent="0.3">
      <c r="A2235" t="s">
        <v>19</v>
      </c>
      <c r="B2235" t="s">
        <v>2598</v>
      </c>
      <c r="C2235" t="s">
        <v>2967</v>
      </c>
      <c r="D2235" t="s">
        <v>43</v>
      </c>
      <c r="E2235" t="s">
        <v>791</v>
      </c>
      <c r="F2235" t="s">
        <v>791</v>
      </c>
      <c r="G2235" t="s">
        <v>2723</v>
      </c>
      <c r="H2235" t="s">
        <v>868</v>
      </c>
      <c r="I2235" t="s">
        <v>1201</v>
      </c>
      <c r="J2235" t="str">
        <f>"9420173"</f>
        <v>9420173</v>
      </c>
      <c r="K2235">
        <v>2532041914</v>
      </c>
      <c r="M2235" t="s">
        <v>2968</v>
      </c>
      <c r="N2235" t="s">
        <v>2723</v>
      </c>
      <c r="O2235" t="s">
        <v>2726</v>
      </c>
      <c r="P2235">
        <v>69300</v>
      </c>
      <c r="Q2235" t="str">
        <f>""</f>
        <v/>
      </c>
      <c r="R2235" t="str">
        <f>""</f>
        <v/>
      </c>
      <c r="S2235" t="s">
        <v>26</v>
      </c>
    </row>
    <row r="2236" spans="1:19" x14ac:dyDescent="0.3">
      <c r="A2236" t="s">
        <v>19</v>
      </c>
      <c r="B2236" t="s">
        <v>2598</v>
      </c>
      <c r="C2236" t="s">
        <v>2970</v>
      </c>
      <c r="D2236" t="s">
        <v>43</v>
      </c>
      <c r="E2236" t="s">
        <v>746</v>
      </c>
      <c r="F2236" t="s">
        <v>747</v>
      </c>
      <c r="G2236" t="s">
        <v>2969</v>
      </c>
      <c r="H2236" t="s">
        <v>868</v>
      </c>
      <c r="I2236" t="s">
        <v>1201</v>
      </c>
      <c r="J2236" t="str">
        <f>"9420145"</f>
        <v>9420145</v>
      </c>
      <c r="K2236">
        <v>2531041292</v>
      </c>
      <c r="M2236" t="s">
        <v>2971</v>
      </c>
      <c r="N2236" t="s">
        <v>2972</v>
      </c>
      <c r="O2236" t="s">
        <v>2973</v>
      </c>
      <c r="P2236">
        <v>69100</v>
      </c>
      <c r="Q2236" t="str">
        <f>""</f>
        <v/>
      </c>
      <c r="R2236" t="str">
        <f>""</f>
        <v/>
      </c>
      <c r="S2236" t="s">
        <v>26</v>
      </c>
    </row>
    <row r="2237" spans="1:19" x14ac:dyDescent="0.3">
      <c r="A2237" t="s">
        <v>19</v>
      </c>
      <c r="B2237" t="s">
        <v>2598</v>
      </c>
      <c r="C2237" t="s">
        <v>2974</v>
      </c>
      <c r="D2237" t="s">
        <v>43</v>
      </c>
      <c r="E2237" t="s">
        <v>44</v>
      </c>
      <c r="F2237" t="s">
        <v>829</v>
      </c>
      <c r="G2237" t="s">
        <v>829</v>
      </c>
      <c r="H2237" t="s">
        <v>868</v>
      </c>
      <c r="I2237" t="s">
        <v>1201</v>
      </c>
      <c r="J2237" t="str">
        <f>"9420037"</f>
        <v>9420037</v>
      </c>
      <c r="K2237">
        <v>2531055399</v>
      </c>
      <c r="M2237" t="s">
        <v>2975</v>
      </c>
      <c r="N2237" t="s">
        <v>2976</v>
      </c>
      <c r="O2237" t="s">
        <v>2977</v>
      </c>
      <c r="P2237">
        <v>69100</v>
      </c>
      <c r="Q2237" t="str">
        <f>""</f>
        <v/>
      </c>
      <c r="R2237" t="str">
        <f>""</f>
        <v/>
      </c>
      <c r="S2237" t="s">
        <v>26</v>
      </c>
    </row>
    <row r="2238" spans="1:19" x14ac:dyDescent="0.3">
      <c r="A2238" t="s">
        <v>19</v>
      </c>
      <c r="B2238" t="s">
        <v>2598</v>
      </c>
      <c r="C2238" t="s">
        <v>2978</v>
      </c>
      <c r="D2238" t="s">
        <v>43</v>
      </c>
      <c r="E2238" t="s">
        <v>44</v>
      </c>
      <c r="F2238" t="s">
        <v>829</v>
      </c>
      <c r="G2238" t="s">
        <v>829</v>
      </c>
      <c r="H2238" t="s">
        <v>868</v>
      </c>
      <c r="I2238" t="s">
        <v>1201</v>
      </c>
      <c r="J2238" t="str">
        <f>"9420227"</f>
        <v>9420227</v>
      </c>
      <c r="K2238">
        <v>2531051563</v>
      </c>
      <c r="M2238" t="s">
        <v>2979</v>
      </c>
      <c r="N2238" t="s">
        <v>2980</v>
      </c>
      <c r="O2238" t="s">
        <v>2981</v>
      </c>
      <c r="P2238">
        <v>69100</v>
      </c>
      <c r="Q2238" t="str">
        <f>"41.003318"</f>
        <v>41.003318</v>
      </c>
      <c r="R2238" t="str">
        <f>"25.381817"</f>
        <v>25.381817</v>
      </c>
      <c r="S2238" t="s">
        <v>26</v>
      </c>
    </row>
    <row r="2239" spans="1:19" x14ac:dyDescent="0.3">
      <c r="A2239" t="s">
        <v>19</v>
      </c>
      <c r="B2239" t="s">
        <v>2598</v>
      </c>
      <c r="C2239" t="s">
        <v>2983</v>
      </c>
      <c r="D2239" t="s">
        <v>43</v>
      </c>
      <c r="E2239" t="s">
        <v>44</v>
      </c>
      <c r="F2239" t="s">
        <v>829</v>
      </c>
      <c r="G2239" t="s">
        <v>2982</v>
      </c>
      <c r="H2239" t="s">
        <v>868</v>
      </c>
      <c r="I2239" t="s">
        <v>1222</v>
      </c>
      <c r="J2239" t="str">
        <f>"9420043"</f>
        <v>9420043</v>
      </c>
      <c r="K2239">
        <v>2531055160</v>
      </c>
      <c r="L2239">
        <v>2531055160</v>
      </c>
      <c r="M2239" t="s">
        <v>2984</v>
      </c>
      <c r="N2239" t="s">
        <v>2985</v>
      </c>
      <c r="O2239" t="s">
        <v>2986</v>
      </c>
      <c r="P2239">
        <v>69100</v>
      </c>
      <c r="Q2239" t="str">
        <f>"41.050301"</f>
        <v>41.050301</v>
      </c>
      <c r="R2239" t="str">
        <f>"25.414989"</f>
        <v>25.414989</v>
      </c>
      <c r="S2239" t="s">
        <v>26</v>
      </c>
    </row>
    <row r="2240" spans="1:19" x14ac:dyDescent="0.3">
      <c r="A2240" t="s">
        <v>19</v>
      </c>
      <c r="B2240" t="s">
        <v>2598</v>
      </c>
      <c r="C2240" t="s">
        <v>2987</v>
      </c>
      <c r="D2240" t="s">
        <v>43</v>
      </c>
      <c r="E2240" t="s">
        <v>778</v>
      </c>
      <c r="F2240" t="s">
        <v>2611</v>
      </c>
      <c r="G2240" t="s">
        <v>2747</v>
      </c>
      <c r="H2240" t="s">
        <v>868</v>
      </c>
      <c r="I2240" t="s">
        <v>1222</v>
      </c>
      <c r="J2240" t="str">
        <f>"9420244"</f>
        <v>9420244</v>
      </c>
      <c r="K2240">
        <v>2531095242</v>
      </c>
      <c r="M2240" t="s">
        <v>2988</v>
      </c>
      <c r="N2240" t="s">
        <v>2989</v>
      </c>
      <c r="O2240" t="s">
        <v>43</v>
      </c>
      <c r="P2240">
        <v>69200</v>
      </c>
      <c r="Q2240" t="str">
        <f>"41.134527"</f>
        <v>41.134527</v>
      </c>
      <c r="R2240" t="str">
        <f>"25.276501"</f>
        <v>25.276501</v>
      </c>
      <c r="S2240" t="s">
        <v>26</v>
      </c>
    </row>
    <row r="2241" spans="1:19" x14ac:dyDescent="0.3">
      <c r="A2241" t="s">
        <v>19</v>
      </c>
      <c r="B2241" t="s">
        <v>2598</v>
      </c>
      <c r="C2241" t="s">
        <v>2990</v>
      </c>
      <c r="D2241" t="s">
        <v>43</v>
      </c>
      <c r="E2241" t="s">
        <v>791</v>
      </c>
      <c r="F2241" t="s">
        <v>2809</v>
      </c>
      <c r="G2241" t="s">
        <v>2809</v>
      </c>
      <c r="H2241" t="s">
        <v>868</v>
      </c>
      <c r="I2241" t="s">
        <v>1201</v>
      </c>
      <c r="J2241" t="str">
        <f>"9420185"</f>
        <v>9420185</v>
      </c>
      <c r="K2241">
        <v>2531031692</v>
      </c>
      <c r="M2241" t="s">
        <v>2991</v>
      </c>
      <c r="N2241" t="s">
        <v>2992</v>
      </c>
      <c r="O2241" t="s">
        <v>2993</v>
      </c>
      <c r="P2241">
        <v>69300</v>
      </c>
      <c r="Q2241" t="str">
        <f>""</f>
        <v/>
      </c>
      <c r="R2241" t="str">
        <f>""</f>
        <v/>
      </c>
      <c r="S2241" t="s">
        <v>26</v>
      </c>
    </row>
    <row r="2242" spans="1:19" x14ac:dyDescent="0.3">
      <c r="A2242" t="s">
        <v>19</v>
      </c>
      <c r="B2242" t="s">
        <v>2598</v>
      </c>
      <c r="C2242" t="s">
        <v>2995</v>
      </c>
      <c r="D2242" t="s">
        <v>43</v>
      </c>
      <c r="E2242" t="s">
        <v>44</v>
      </c>
      <c r="F2242" t="s">
        <v>814</v>
      </c>
      <c r="G2242" t="s">
        <v>2994</v>
      </c>
      <c r="H2242" t="s">
        <v>868</v>
      </c>
      <c r="I2242" t="s">
        <v>1201</v>
      </c>
      <c r="J2242" t="str">
        <f>"9420022"</f>
        <v>9420022</v>
      </c>
      <c r="K2242">
        <v>2535021266</v>
      </c>
      <c r="M2242" t="s">
        <v>2996</v>
      </c>
      <c r="N2242" t="s">
        <v>2997</v>
      </c>
      <c r="O2242" t="s">
        <v>2998</v>
      </c>
      <c r="P2242">
        <v>69100</v>
      </c>
      <c r="Q2242" t="str">
        <f>""</f>
        <v/>
      </c>
      <c r="R2242" t="str">
        <f>""</f>
        <v/>
      </c>
      <c r="S2242" t="s">
        <v>26</v>
      </c>
    </row>
    <row r="2243" spans="1:19" x14ac:dyDescent="0.3">
      <c r="A2243" t="s">
        <v>19</v>
      </c>
      <c r="B2243" t="s">
        <v>2598</v>
      </c>
      <c r="C2243" t="s">
        <v>3003</v>
      </c>
      <c r="D2243" t="s">
        <v>43</v>
      </c>
      <c r="E2243" t="s">
        <v>791</v>
      </c>
      <c r="F2243" t="s">
        <v>2631</v>
      </c>
      <c r="G2243" t="s">
        <v>3002</v>
      </c>
      <c r="H2243" t="s">
        <v>868</v>
      </c>
      <c r="I2243" t="s">
        <v>1222</v>
      </c>
      <c r="J2243" t="str">
        <f>"9420196"</f>
        <v>9420196</v>
      </c>
      <c r="K2243">
        <v>2531061174</v>
      </c>
      <c r="L2243">
        <v>2531061174</v>
      </c>
      <c r="M2243" t="s">
        <v>3004</v>
      </c>
      <c r="N2243" t="s">
        <v>3005</v>
      </c>
      <c r="O2243" t="s">
        <v>3005</v>
      </c>
      <c r="P2243">
        <v>69300</v>
      </c>
      <c r="Q2243" t="str">
        <f>"41.137974"</f>
        <v>41.137974</v>
      </c>
      <c r="R2243" t="str">
        <f>"25.597184"</f>
        <v>25.597184</v>
      </c>
      <c r="S2243" t="s">
        <v>26</v>
      </c>
    </row>
    <row r="2244" spans="1:19" x14ac:dyDescent="0.3">
      <c r="A2244" t="s">
        <v>19</v>
      </c>
      <c r="B2244" t="s">
        <v>2598</v>
      </c>
      <c r="C2244" t="s">
        <v>3006</v>
      </c>
      <c r="D2244" t="s">
        <v>43</v>
      </c>
      <c r="E2244" t="s">
        <v>791</v>
      </c>
      <c r="F2244" t="s">
        <v>2809</v>
      </c>
      <c r="G2244" t="s">
        <v>2809</v>
      </c>
      <c r="H2244" t="s">
        <v>868</v>
      </c>
      <c r="I2244" t="s">
        <v>1201</v>
      </c>
      <c r="J2244" t="str">
        <f>"9420153"</f>
        <v>9420153</v>
      </c>
      <c r="K2244">
        <v>2531034038</v>
      </c>
      <c r="M2244" t="s">
        <v>3007</v>
      </c>
      <c r="N2244" t="s">
        <v>3008</v>
      </c>
      <c r="O2244" t="s">
        <v>3008</v>
      </c>
      <c r="P2244">
        <v>69300</v>
      </c>
      <c r="Q2244" t="str">
        <f>"41.238705"</f>
        <v>41.238705</v>
      </c>
      <c r="R2244" t="str">
        <f>"25.887664"</f>
        <v>25.887664</v>
      </c>
      <c r="S2244" t="s">
        <v>57</v>
      </c>
    </row>
    <row r="2245" spans="1:19" x14ac:dyDescent="0.3">
      <c r="A2245" t="s">
        <v>19</v>
      </c>
      <c r="B2245" t="s">
        <v>2598</v>
      </c>
      <c r="C2245" t="s">
        <v>3009</v>
      </c>
      <c r="D2245" t="s">
        <v>43</v>
      </c>
      <c r="E2245" t="s">
        <v>791</v>
      </c>
      <c r="F2245" t="s">
        <v>2809</v>
      </c>
      <c r="G2245" t="s">
        <v>2809</v>
      </c>
      <c r="H2245" t="s">
        <v>868</v>
      </c>
      <c r="I2245" t="s">
        <v>1201</v>
      </c>
      <c r="J2245" t="str">
        <f>"9420186"</f>
        <v>9420186</v>
      </c>
      <c r="K2245">
        <v>2531033871</v>
      </c>
      <c r="M2245" t="s">
        <v>3010</v>
      </c>
      <c r="N2245" t="s">
        <v>3011</v>
      </c>
      <c r="O2245" t="s">
        <v>3011</v>
      </c>
      <c r="P2245">
        <v>69300</v>
      </c>
      <c r="Q2245" t="str">
        <f>"41.223675"</f>
        <v>41.223675</v>
      </c>
      <c r="R2245" t="str">
        <f>"25.817138"</f>
        <v>25.817138</v>
      </c>
      <c r="S2245" t="s">
        <v>57</v>
      </c>
    </row>
    <row r="2246" spans="1:19" x14ac:dyDescent="0.3">
      <c r="A2246" t="s">
        <v>19</v>
      </c>
      <c r="B2246" t="s">
        <v>2598</v>
      </c>
      <c r="C2246" t="s">
        <v>3012</v>
      </c>
      <c r="D2246" t="s">
        <v>43</v>
      </c>
      <c r="E2246" t="s">
        <v>791</v>
      </c>
      <c r="F2246" t="s">
        <v>2809</v>
      </c>
      <c r="G2246" t="s">
        <v>2809</v>
      </c>
      <c r="H2246" t="s">
        <v>868</v>
      </c>
      <c r="I2246" t="s">
        <v>1201</v>
      </c>
      <c r="J2246" t="str">
        <f>"9420188"</f>
        <v>9420188</v>
      </c>
      <c r="K2246">
        <v>2531034249</v>
      </c>
      <c r="N2246" t="s">
        <v>3013</v>
      </c>
      <c r="O2246" t="s">
        <v>3014</v>
      </c>
      <c r="P2246">
        <v>69300</v>
      </c>
      <c r="Q2246" t="str">
        <f>""</f>
        <v/>
      </c>
      <c r="R2246" t="str">
        <f>""</f>
        <v/>
      </c>
      <c r="S2246" t="s">
        <v>57</v>
      </c>
    </row>
    <row r="2247" spans="1:19" x14ac:dyDescent="0.3">
      <c r="A2247" t="s">
        <v>19</v>
      </c>
      <c r="B2247" t="s">
        <v>2598</v>
      </c>
      <c r="C2247" t="s">
        <v>3015</v>
      </c>
      <c r="D2247" t="s">
        <v>43</v>
      </c>
      <c r="E2247" t="s">
        <v>791</v>
      </c>
      <c r="F2247" t="s">
        <v>2809</v>
      </c>
      <c r="G2247" t="s">
        <v>2809</v>
      </c>
      <c r="H2247" t="s">
        <v>868</v>
      </c>
      <c r="I2247" t="s">
        <v>1222</v>
      </c>
      <c r="J2247" t="str">
        <f>"9420189"</f>
        <v>9420189</v>
      </c>
      <c r="K2247">
        <v>2531030681</v>
      </c>
      <c r="L2247">
        <v>2531030681</v>
      </c>
      <c r="M2247" t="s">
        <v>3016</v>
      </c>
      <c r="O2247" t="s">
        <v>3017</v>
      </c>
      <c r="P2247">
        <v>69300</v>
      </c>
      <c r="Q2247" t="str">
        <f>"41.288785"</f>
        <v>41.288785</v>
      </c>
      <c r="R2247" t="str">
        <f>"25.854691"</f>
        <v>25.854691</v>
      </c>
      <c r="S2247" t="s">
        <v>57</v>
      </c>
    </row>
    <row r="2248" spans="1:19" x14ac:dyDescent="0.3">
      <c r="A2248" t="s">
        <v>19</v>
      </c>
      <c r="B2248" t="s">
        <v>2598</v>
      </c>
      <c r="C2248" t="s">
        <v>3018</v>
      </c>
      <c r="D2248" t="s">
        <v>43</v>
      </c>
      <c r="E2248" t="s">
        <v>44</v>
      </c>
      <c r="F2248" t="s">
        <v>44</v>
      </c>
      <c r="G2248" t="s">
        <v>44</v>
      </c>
      <c r="H2248" t="s">
        <v>868</v>
      </c>
      <c r="I2248" t="s">
        <v>869</v>
      </c>
      <c r="J2248" t="str">
        <f>"9420004"</f>
        <v>9420004</v>
      </c>
      <c r="K2248">
        <v>2531022148</v>
      </c>
      <c r="L2248">
        <v>2531082065</v>
      </c>
      <c r="M2248" t="s">
        <v>3019</v>
      </c>
      <c r="N2248" t="s">
        <v>47</v>
      </c>
      <c r="O2248" t="s">
        <v>2824</v>
      </c>
      <c r="P2248">
        <v>69133</v>
      </c>
      <c r="Q2248" t="str">
        <f>"41.112815"</f>
        <v>41.112815</v>
      </c>
      <c r="R2248" t="str">
        <f>"25.405475"</f>
        <v>25.405475</v>
      </c>
      <c r="S2248" t="s">
        <v>26</v>
      </c>
    </row>
    <row r="2249" spans="1:19" x14ac:dyDescent="0.3">
      <c r="A2249" t="s">
        <v>19</v>
      </c>
      <c r="B2249" t="s">
        <v>2598</v>
      </c>
      <c r="C2249" t="s">
        <v>3022</v>
      </c>
      <c r="D2249" t="s">
        <v>43</v>
      </c>
      <c r="E2249" t="s">
        <v>44</v>
      </c>
      <c r="F2249" t="s">
        <v>44</v>
      </c>
      <c r="G2249" t="s">
        <v>44</v>
      </c>
      <c r="H2249" t="s">
        <v>868</v>
      </c>
      <c r="I2249" t="s">
        <v>869</v>
      </c>
      <c r="J2249" t="str">
        <f>"9420279"</f>
        <v>9420279</v>
      </c>
      <c r="K2249">
        <v>2531023162</v>
      </c>
      <c r="L2249">
        <v>2531023162</v>
      </c>
      <c r="M2249" t="s">
        <v>3023</v>
      </c>
      <c r="N2249" t="s">
        <v>47</v>
      </c>
      <c r="O2249" t="s">
        <v>3024</v>
      </c>
      <c r="P2249">
        <v>69131</v>
      </c>
      <c r="Q2249" t="str">
        <f>"41.126452"</f>
        <v>41.126452</v>
      </c>
      <c r="R2249" t="str">
        <f>"25.396395"</f>
        <v>25.396395</v>
      </c>
      <c r="S2249" t="s">
        <v>26</v>
      </c>
    </row>
    <row r="2250" spans="1:19" x14ac:dyDescent="0.3">
      <c r="A2250" t="s">
        <v>19</v>
      </c>
      <c r="B2250" t="s">
        <v>2598</v>
      </c>
      <c r="C2250" t="s">
        <v>834</v>
      </c>
      <c r="D2250" t="s">
        <v>43</v>
      </c>
      <c r="E2250" t="s">
        <v>44</v>
      </c>
      <c r="F2250" t="s">
        <v>829</v>
      </c>
      <c r="G2250" t="s">
        <v>829</v>
      </c>
      <c r="H2250" t="s">
        <v>868</v>
      </c>
      <c r="I2250" t="s">
        <v>869</v>
      </c>
      <c r="J2250" t="str">
        <f>"9420041"</f>
        <v>9420041</v>
      </c>
      <c r="K2250">
        <v>2531051394</v>
      </c>
      <c r="L2250">
        <v>2531051073</v>
      </c>
      <c r="M2250" t="s">
        <v>3025</v>
      </c>
      <c r="N2250" t="s">
        <v>833</v>
      </c>
      <c r="O2250" t="s">
        <v>833</v>
      </c>
      <c r="P2250">
        <v>69100</v>
      </c>
      <c r="Q2250" t="str">
        <f>"41.021300"</f>
        <v>41.021300</v>
      </c>
      <c r="R2250" t="str">
        <f>"25.355618"</f>
        <v>25.355618</v>
      </c>
      <c r="S2250" t="s">
        <v>26</v>
      </c>
    </row>
    <row r="2251" spans="1:19" x14ac:dyDescent="0.3">
      <c r="A2251" t="s">
        <v>19</v>
      </c>
      <c r="B2251" t="s">
        <v>2598</v>
      </c>
      <c r="C2251" t="s">
        <v>3027</v>
      </c>
      <c r="D2251" t="s">
        <v>43</v>
      </c>
      <c r="E2251" t="s">
        <v>44</v>
      </c>
      <c r="F2251" t="s">
        <v>44</v>
      </c>
      <c r="G2251" t="s">
        <v>3026</v>
      </c>
      <c r="H2251" t="s">
        <v>868</v>
      </c>
      <c r="I2251" t="s">
        <v>869</v>
      </c>
      <c r="J2251" t="str">
        <f>"9420098"</f>
        <v>9420098</v>
      </c>
      <c r="K2251">
        <v>2531027459</v>
      </c>
      <c r="L2251">
        <v>2531027459</v>
      </c>
      <c r="M2251" t="s">
        <v>3028</v>
      </c>
      <c r="N2251" t="s">
        <v>3029</v>
      </c>
      <c r="O2251" t="s">
        <v>3030</v>
      </c>
      <c r="P2251">
        <v>69100</v>
      </c>
      <c r="Q2251" t="str">
        <f>"41.089782"</f>
        <v>41.089782</v>
      </c>
      <c r="R2251" t="str">
        <f>"25.408322"</f>
        <v>25.408322</v>
      </c>
      <c r="S2251" t="s">
        <v>26</v>
      </c>
    </row>
    <row r="2252" spans="1:19" x14ac:dyDescent="0.3">
      <c r="A2252" t="s">
        <v>19</v>
      </c>
      <c r="B2252" t="s">
        <v>2598</v>
      </c>
      <c r="C2252" t="s">
        <v>3031</v>
      </c>
      <c r="D2252" t="s">
        <v>43</v>
      </c>
      <c r="E2252" t="s">
        <v>44</v>
      </c>
      <c r="F2252" t="s">
        <v>44</v>
      </c>
      <c r="G2252" t="s">
        <v>44</v>
      </c>
      <c r="H2252" t="s">
        <v>868</v>
      </c>
      <c r="I2252" t="s">
        <v>1157</v>
      </c>
      <c r="J2252" t="str">
        <f>"9420269"</f>
        <v>9420269</v>
      </c>
      <c r="K2252">
        <v>2531026536</v>
      </c>
      <c r="L2252">
        <v>2531026525</v>
      </c>
      <c r="M2252" t="s">
        <v>3032</v>
      </c>
      <c r="N2252" t="s">
        <v>47</v>
      </c>
      <c r="O2252" t="s">
        <v>3033</v>
      </c>
      <c r="P2252">
        <v>69100</v>
      </c>
      <c r="Q2252" t="str">
        <f>"41.114530"</f>
        <v>41.114530</v>
      </c>
      <c r="R2252" t="str">
        <f>"25.411268"</f>
        <v>25.411268</v>
      </c>
      <c r="S2252" t="s">
        <v>26</v>
      </c>
    </row>
    <row r="2253" spans="1:19" x14ac:dyDescent="0.3">
      <c r="A2253" t="s">
        <v>19</v>
      </c>
      <c r="B2253" t="s">
        <v>2598</v>
      </c>
      <c r="C2253" t="s">
        <v>3038</v>
      </c>
      <c r="D2253" t="s">
        <v>43</v>
      </c>
      <c r="E2253" t="s">
        <v>791</v>
      </c>
      <c r="F2253" t="s">
        <v>791</v>
      </c>
      <c r="G2253" t="s">
        <v>3037</v>
      </c>
      <c r="H2253" t="s">
        <v>868</v>
      </c>
      <c r="I2253" t="s">
        <v>1222</v>
      </c>
      <c r="J2253" t="str">
        <f>"9420175"</f>
        <v>9420175</v>
      </c>
      <c r="K2253">
        <v>2532041329</v>
      </c>
      <c r="M2253" t="s">
        <v>3039</v>
      </c>
      <c r="N2253" t="s">
        <v>3037</v>
      </c>
      <c r="O2253" t="s">
        <v>3040</v>
      </c>
      <c r="P2253">
        <v>69300</v>
      </c>
      <c r="Q2253" t="str">
        <f>"41.081243"</f>
        <v>41.081243</v>
      </c>
      <c r="R2253" t="str">
        <f>"25.649764"</f>
        <v>25.649764</v>
      </c>
      <c r="S2253" t="s">
        <v>26</v>
      </c>
    </row>
    <row r="2254" spans="1:19" x14ac:dyDescent="0.3">
      <c r="A2254" t="s">
        <v>19</v>
      </c>
      <c r="B2254" t="s">
        <v>2598</v>
      </c>
      <c r="C2254" t="s">
        <v>3042</v>
      </c>
      <c r="D2254" t="s">
        <v>43</v>
      </c>
      <c r="E2254" t="s">
        <v>791</v>
      </c>
      <c r="F2254" t="s">
        <v>2631</v>
      </c>
      <c r="G2254" t="s">
        <v>3041</v>
      </c>
      <c r="H2254" t="s">
        <v>868</v>
      </c>
      <c r="I2254" t="s">
        <v>1201</v>
      </c>
      <c r="J2254" t="str">
        <f>"9420232"</f>
        <v>9420232</v>
      </c>
      <c r="K2254">
        <v>2531061368</v>
      </c>
      <c r="M2254" t="s">
        <v>3043</v>
      </c>
      <c r="N2254" t="s">
        <v>3041</v>
      </c>
      <c r="O2254" t="s">
        <v>3044</v>
      </c>
      <c r="P2254">
        <v>69300</v>
      </c>
      <c r="Q2254" t="str">
        <f>"41.127879"</f>
        <v>41.127879</v>
      </c>
      <c r="R2254" t="str">
        <f>"25.649366"</f>
        <v>25.649366</v>
      </c>
      <c r="S2254" t="s">
        <v>26</v>
      </c>
    </row>
    <row r="2255" spans="1:19" x14ac:dyDescent="0.3">
      <c r="A2255" t="s">
        <v>19</v>
      </c>
      <c r="B2255" t="s">
        <v>2598</v>
      </c>
      <c r="C2255" t="s">
        <v>3045</v>
      </c>
      <c r="D2255" t="s">
        <v>43</v>
      </c>
      <c r="E2255" t="s">
        <v>778</v>
      </c>
      <c r="F2255" t="s">
        <v>2676</v>
      </c>
      <c r="G2255" t="s">
        <v>2676</v>
      </c>
      <c r="H2255" t="s">
        <v>868</v>
      </c>
      <c r="I2255" t="s">
        <v>950</v>
      </c>
      <c r="J2255" t="str">
        <f>"9420017"</f>
        <v>9420017</v>
      </c>
      <c r="K2255">
        <v>2534031210</v>
      </c>
      <c r="L2255">
        <v>2534031210</v>
      </c>
      <c r="M2255" t="s">
        <v>3046</v>
      </c>
      <c r="N2255" t="s">
        <v>2676</v>
      </c>
      <c r="O2255" t="s">
        <v>3047</v>
      </c>
      <c r="P2255">
        <v>69200</v>
      </c>
      <c r="Q2255" t="str">
        <f>"41.124613"</f>
        <v>41.124613</v>
      </c>
      <c r="R2255" t="str">
        <f>"25.063888"</f>
        <v>25.063888</v>
      </c>
      <c r="S2255" t="s">
        <v>26</v>
      </c>
    </row>
    <row r="2256" spans="1:19" x14ac:dyDescent="0.3">
      <c r="A2256" t="s">
        <v>19</v>
      </c>
      <c r="B2256" t="s">
        <v>2598</v>
      </c>
      <c r="C2256" t="s">
        <v>3049</v>
      </c>
      <c r="D2256" t="s">
        <v>43</v>
      </c>
      <c r="E2256" t="s">
        <v>791</v>
      </c>
      <c r="F2256" t="s">
        <v>2631</v>
      </c>
      <c r="G2256" t="s">
        <v>3048</v>
      </c>
      <c r="H2256" t="s">
        <v>868</v>
      </c>
      <c r="I2256" t="s">
        <v>1201</v>
      </c>
      <c r="J2256" t="str">
        <f>"9420137"</f>
        <v>9420137</v>
      </c>
      <c r="K2256">
        <v>2531031983</v>
      </c>
      <c r="N2256" t="s">
        <v>3050</v>
      </c>
      <c r="O2256" t="s">
        <v>3050</v>
      </c>
      <c r="P2256">
        <v>69300</v>
      </c>
      <c r="Q2256" t="str">
        <f>""</f>
        <v/>
      </c>
      <c r="R2256" t="str">
        <f>""</f>
        <v/>
      </c>
      <c r="S2256" t="s">
        <v>57</v>
      </c>
    </row>
    <row r="2257" spans="1:19" x14ac:dyDescent="0.3">
      <c r="A2257" t="s">
        <v>19</v>
      </c>
      <c r="B2257" t="s">
        <v>2598</v>
      </c>
      <c r="C2257" t="s">
        <v>788</v>
      </c>
      <c r="D2257" t="s">
        <v>43</v>
      </c>
      <c r="E2257" t="s">
        <v>44</v>
      </c>
      <c r="F2257" t="s">
        <v>44</v>
      </c>
      <c r="G2257" t="s">
        <v>44</v>
      </c>
      <c r="H2257" t="s">
        <v>868</v>
      </c>
      <c r="I2257" t="s">
        <v>869</v>
      </c>
      <c r="J2257" t="str">
        <f>"9420070"</f>
        <v>9420070</v>
      </c>
      <c r="K2257">
        <v>2531022146</v>
      </c>
      <c r="L2257">
        <v>2531081562</v>
      </c>
      <c r="M2257" t="s">
        <v>3051</v>
      </c>
      <c r="N2257" t="s">
        <v>47</v>
      </c>
      <c r="O2257" t="s">
        <v>3052</v>
      </c>
      <c r="P2257">
        <v>69132</v>
      </c>
      <c r="Q2257" t="str">
        <f>"41.115302"</f>
        <v>41.115302</v>
      </c>
      <c r="R2257" t="str">
        <f>"25.395616"</f>
        <v>25.395616</v>
      </c>
      <c r="S2257" t="s">
        <v>26</v>
      </c>
    </row>
    <row r="2258" spans="1:19" x14ac:dyDescent="0.3">
      <c r="A2258" t="s">
        <v>19</v>
      </c>
      <c r="B2258" t="s">
        <v>2598</v>
      </c>
      <c r="C2258" t="s">
        <v>3053</v>
      </c>
      <c r="D2258" t="s">
        <v>43</v>
      </c>
      <c r="E2258" t="s">
        <v>44</v>
      </c>
      <c r="F2258" t="s">
        <v>44</v>
      </c>
      <c r="G2258" t="s">
        <v>44</v>
      </c>
      <c r="H2258" t="s">
        <v>868</v>
      </c>
      <c r="I2258" t="s">
        <v>869</v>
      </c>
      <c r="J2258" t="str">
        <f>"9420007"</f>
        <v>9420007</v>
      </c>
      <c r="K2258">
        <v>2531071405</v>
      </c>
      <c r="L2258">
        <v>2531022688</v>
      </c>
      <c r="M2258" t="s">
        <v>3054</v>
      </c>
      <c r="N2258" t="s">
        <v>47</v>
      </c>
      <c r="O2258" t="s">
        <v>3055</v>
      </c>
      <c r="P2258">
        <v>69133</v>
      </c>
      <c r="Q2258" t="str">
        <f>"41.122480"</f>
        <v>41.122480</v>
      </c>
      <c r="R2258" t="str">
        <f>"25.414701"</f>
        <v>25.414701</v>
      </c>
      <c r="S2258" t="s">
        <v>26</v>
      </c>
    </row>
    <row r="2259" spans="1:19" x14ac:dyDescent="0.3">
      <c r="A2259" t="s">
        <v>19</v>
      </c>
      <c r="B2259" t="s">
        <v>2598</v>
      </c>
      <c r="C2259" t="s">
        <v>848</v>
      </c>
      <c r="D2259" t="s">
        <v>43</v>
      </c>
      <c r="E2259" t="s">
        <v>44</v>
      </c>
      <c r="F2259" t="s">
        <v>44</v>
      </c>
      <c r="G2259" t="s">
        <v>44</v>
      </c>
      <c r="H2259" t="s">
        <v>868</v>
      </c>
      <c r="I2259" t="s">
        <v>869</v>
      </c>
      <c r="J2259" t="str">
        <f>"9420072"</f>
        <v>9420072</v>
      </c>
      <c r="K2259">
        <v>2531023036</v>
      </c>
      <c r="L2259">
        <v>2531023036</v>
      </c>
      <c r="M2259" t="s">
        <v>3056</v>
      </c>
      <c r="N2259" t="s">
        <v>47</v>
      </c>
      <c r="O2259" t="s">
        <v>3057</v>
      </c>
      <c r="P2259">
        <v>69132</v>
      </c>
      <c r="Q2259" t="str">
        <f>"41.117987"</f>
        <v>41.117987</v>
      </c>
      <c r="R2259" t="str">
        <f>"25.393520"</f>
        <v>25.393520</v>
      </c>
      <c r="S2259" t="s">
        <v>26</v>
      </c>
    </row>
    <row r="2260" spans="1:19" x14ac:dyDescent="0.3">
      <c r="A2260" t="s">
        <v>19</v>
      </c>
      <c r="B2260" t="s">
        <v>2598</v>
      </c>
      <c r="C2260" t="s">
        <v>801</v>
      </c>
      <c r="D2260" t="s">
        <v>43</v>
      </c>
      <c r="E2260" t="s">
        <v>44</v>
      </c>
      <c r="F2260" t="s">
        <v>44</v>
      </c>
      <c r="G2260" t="s">
        <v>44</v>
      </c>
      <c r="H2260" t="s">
        <v>868</v>
      </c>
      <c r="I2260" t="s">
        <v>869</v>
      </c>
      <c r="J2260" t="str">
        <f>"9420005"</f>
        <v>9420005</v>
      </c>
      <c r="K2260">
        <v>2531022365</v>
      </c>
      <c r="L2260">
        <v>2531081147</v>
      </c>
      <c r="M2260" t="s">
        <v>3058</v>
      </c>
      <c r="N2260" t="s">
        <v>47</v>
      </c>
      <c r="O2260" t="s">
        <v>3059</v>
      </c>
      <c r="P2260">
        <v>69100</v>
      </c>
      <c r="Q2260" t="str">
        <f>"41.109488"</f>
        <v>41.109488</v>
      </c>
      <c r="R2260" t="str">
        <f>"25.404272"</f>
        <v>25.404272</v>
      </c>
      <c r="S2260" t="s">
        <v>26</v>
      </c>
    </row>
    <row r="2261" spans="1:19" x14ac:dyDescent="0.3">
      <c r="A2261" t="s">
        <v>19</v>
      </c>
      <c r="B2261" t="s">
        <v>2598</v>
      </c>
      <c r="C2261" t="s">
        <v>3060</v>
      </c>
      <c r="D2261" t="s">
        <v>43</v>
      </c>
      <c r="E2261" t="s">
        <v>44</v>
      </c>
      <c r="F2261" t="s">
        <v>44</v>
      </c>
      <c r="G2261" t="s">
        <v>44</v>
      </c>
      <c r="H2261" t="s">
        <v>868</v>
      </c>
      <c r="I2261" t="s">
        <v>869</v>
      </c>
      <c r="J2261" t="str">
        <f>"9420074"</f>
        <v>9420074</v>
      </c>
      <c r="K2261">
        <v>2531022712</v>
      </c>
      <c r="L2261">
        <v>2531081027</v>
      </c>
      <c r="M2261" t="s">
        <v>3061</v>
      </c>
      <c r="N2261" t="s">
        <v>47</v>
      </c>
      <c r="O2261" t="s">
        <v>3062</v>
      </c>
      <c r="P2261">
        <v>69100</v>
      </c>
      <c r="Q2261" t="str">
        <f>"41.125784"</f>
        <v>41.125784</v>
      </c>
      <c r="R2261" t="str">
        <f>"25.409625"</f>
        <v>25.409625</v>
      </c>
      <c r="S2261" t="s">
        <v>26</v>
      </c>
    </row>
    <row r="2262" spans="1:19" x14ac:dyDescent="0.3">
      <c r="A2262" t="s">
        <v>19</v>
      </c>
      <c r="B2262" t="s">
        <v>2598</v>
      </c>
      <c r="C2262" t="s">
        <v>3067</v>
      </c>
      <c r="D2262" t="s">
        <v>43</v>
      </c>
      <c r="E2262" t="s">
        <v>746</v>
      </c>
      <c r="F2262" t="s">
        <v>771</v>
      </c>
      <c r="G2262" t="s">
        <v>2781</v>
      </c>
      <c r="H2262" t="s">
        <v>868</v>
      </c>
      <c r="I2262" t="s">
        <v>1201</v>
      </c>
      <c r="J2262" t="str">
        <f>"9420162"</f>
        <v>9420162</v>
      </c>
      <c r="K2262">
        <v>2531042321</v>
      </c>
      <c r="L2262">
        <v>2531042321</v>
      </c>
      <c r="M2262" t="s">
        <v>3068</v>
      </c>
      <c r="N2262" t="s">
        <v>3069</v>
      </c>
      <c r="O2262" t="s">
        <v>3069</v>
      </c>
      <c r="P2262">
        <v>69300</v>
      </c>
      <c r="Q2262" t="str">
        <f>"41.083437"</f>
        <v>41.083437</v>
      </c>
      <c r="R2262" t="str">
        <f>"25.617642"</f>
        <v>25.617642</v>
      </c>
      <c r="S2262" t="s">
        <v>26</v>
      </c>
    </row>
    <row r="2263" spans="1:19" x14ac:dyDescent="0.3">
      <c r="A2263" t="s">
        <v>19</v>
      </c>
      <c r="B2263" t="s">
        <v>2598</v>
      </c>
      <c r="C2263" t="s">
        <v>3070</v>
      </c>
      <c r="D2263" t="s">
        <v>43</v>
      </c>
      <c r="E2263" t="s">
        <v>791</v>
      </c>
      <c r="F2263" t="s">
        <v>2631</v>
      </c>
      <c r="G2263" t="s">
        <v>3048</v>
      </c>
      <c r="H2263" t="s">
        <v>868</v>
      </c>
      <c r="I2263" t="s">
        <v>1201</v>
      </c>
      <c r="J2263" t="str">
        <f>"9420136"</f>
        <v>9420136</v>
      </c>
      <c r="K2263">
        <v>2531031983</v>
      </c>
      <c r="M2263" t="s">
        <v>3071</v>
      </c>
      <c r="N2263" t="s">
        <v>3050</v>
      </c>
      <c r="O2263" t="s">
        <v>3050</v>
      </c>
      <c r="P2263">
        <v>69300</v>
      </c>
      <c r="Q2263" t="str">
        <f>"41.218678"</f>
        <v>41.218678</v>
      </c>
      <c r="R2263" t="str">
        <f>"25.727078"</f>
        <v>25.727078</v>
      </c>
      <c r="S2263" t="s">
        <v>57</v>
      </c>
    </row>
    <row r="2264" spans="1:19" x14ac:dyDescent="0.3">
      <c r="A2264" t="s">
        <v>19</v>
      </c>
      <c r="B2264" t="s">
        <v>2598</v>
      </c>
      <c r="C2264" t="s">
        <v>3072</v>
      </c>
      <c r="D2264" t="s">
        <v>43</v>
      </c>
      <c r="E2264" t="s">
        <v>791</v>
      </c>
      <c r="F2264" t="s">
        <v>2809</v>
      </c>
      <c r="G2264" t="s">
        <v>2809</v>
      </c>
      <c r="H2264" t="s">
        <v>868</v>
      </c>
      <c r="I2264" t="s">
        <v>1201</v>
      </c>
      <c r="J2264" t="str">
        <f>"9420187"</f>
        <v>9420187</v>
      </c>
      <c r="K2264">
        <v>2531031823</v>
      </c>
      <c r="N2264" t="s">
        <v>3073</v>
      </c>
      <c r="O2264" t="s">
        <v>3073</v>
      </c>
      <c r="P2264">
        <v>69300</v>
      </c>
      <c r="Q2264" t="str">
        <f>""</f>
        <v/>
      </c>
      <c r="R2264" t="str">
        <f>""</f>
        <v/>
      </c>
      <c r="S2264" t="s">
        <v>57</v>
      </c>
    </row>
    <row r="2265" spans="1:19" x14ac:dyDescent="0.3">
      <c r="A2265" t="s">
        <v>19</v>
      </c>
      <c r="B2265" t="s">
        <v>2598</v>
      </c>
      <c r="C2265" t="s">
        <v>3074</v>
      </c>
      <c r="D2265" t="s">
        <v>43</v>
      </c>
      <c r="E2265" t="s">
        <v>746</v>
      </c>
      <c r="F2265" t="s">
        <v>771</v>
      </c>
      <c r="G2265" t="s">
        <v>2833</v>
      </c>
      <c r="H2265" t="s">
        <v>868</v>
      </c>
      <c r="I2265" t="s">
        <v>1222</v>
      </c>
      <c r="J2265" t="str">
        <f>"9420163"</f>
        <v>9420163</v>
      </c>
      <c r="K2265">
        <v>2531041998</v>
      </c>
      <c r="L2265">
        <v>2531041998</v>
      </c>
      <c r="M2265" t="s">
        <v>3075</v>
      </c>
      <c r="N2265" t="s">
        <v>3076</v>
      </c>
      <c r="O2265" t="s">
        <v>3076</v>
      </c>
      <c r="P2265">
        <v>69300</v>
      </c>
      <c r="Q2265" t="str">
        <f>"41.068255"</f>
        <v>41.068255</v>
      </c>
      <c r="R2265" t="str">
        <f>"25.588578"</f>
        <v>25.588578</v>
      </c>
      <c r="S2265" t="s">
        <v>26</v>
      </c>
    </row>
    <row r="2266" spans="1:19" x14ac:dyDescent="0.3">
      <c r="A2266" t="s">
        <v>19</v>
      </c>
      <c r="B2266" t="s">
        <v>2598</v>
      </c>
      <c r="C2266" t="s">
        <v>3078</v>
      </c>
      <c r="D2266" t="s">
        <v>43</v>
      </c>
      <c r="E2266" t="s">
        <v>791</v>
      </c>
      <c r="F2266" t="s">
        <v>791</v>
      </c>
      <c r="G2266" t="s">
        <v>3077</v>
      </c>
      <c r="H2266" t="s">
        <v>868</v>
      </c>
      <c r="I2266" t="s">
        <v>1201</v>
      </c>
      <c r="J2266" t="str">
        <f>"9420194"</f>
        <v>9420194</v>
      </c>
      <c r="K2266">
        <v>2531061062</v>
      </c>
      <c r="M2266" t="s">
        <v>3079</v>
      </c>
      <c r="N2266" t="s">
        <v>3077</v>
      </c>
      <c r="O2266" t="s">
        <v>3077</v>
      </c>
      <c r="P2266">
        <v>69300</v>
      </c>
      <c r="Q2266" t="str">
        <f>"41.143425"</f>
        <v>41.143425</v>
      </c>
      <c r="R2266" t="str">
        <f>"25.682273"</f>
        <v>25.682273</v>
      </c>
      <c r="S2266" t="s">
        <v>26</v>
      </c>
    </row>
    <row r="2267" spans="1:19" x14ac:dyDescent="0.3">
      <c r="A2267" t="s">
        <v>19</v>
      </c>
      <c r="B2267" t="s">
        <v>2598</v>
      </c>
      <c r="C2267" t="s">
        <v>3081</v>
      </c>
      <c r="D2267" t="s">
        <v>43</v>
      </c>
      <c r="E2267" t="s">
        <v>791</v>
      </c>
      <c r="F2267" t="s">
        <v>791</v>
      </c>
      <c r="G2267" t="s">
        <v>3080</v>
      </c>
      <c r="H2267" t="s">
        <v>868</v>
      </c>
      <c r="I2267" t="s">
        <v>1222</v>
      </c>
      <c r="J2267" t="str">
        <f>"9420179"</f>
        <v>9420179</v>
      </c>
      <c r="K2267">
        <v>2532061367</v>
      </c>
      <c r="L2267">
        <v>2532061367</v>
      </c>
      <c r="M2267" t="s">
        <v>3082</v>
      </c>
      <c r="N2267" t="s">
        <v>3080</v>
      </c>
      <c r="O2267" t="s">
        <v>3080</v>
      </c>
      <c r="P2267">
        <v>69300</v>
      </c>
      <c r="Q2267" t="str">
        <f>"41.093231"</f>
        <v>41.093231</v>
      </c>
      <c r="R2267" t="str">
        <f>"25.789268"</f>
        <v>25.789268</v>
      </c>
      <c r="S2267" t="s">
        <v>26</v>
      </c>
    </row>
    <row r="2268" spans="1:19" x14ac:dyDescent="0.3">
      <c r="A2268" t="s">
        <v>19</v>
      </c>
      <c r="B2268" t="s">
        <v>2598</v>
      </c>
      <c r="C2268" t="s">
        <v>3083</v>
      </c>
      <c r="D2268" t="s">
        <v>43</v>
      </c>
      <c r="E2268" t="s">
        <v>791</v>
      </c>
      <c r="F2268" t="s">
        <v>2631</v>
      </c>
      <c r="G2268" t="s">
        <v>2631</v>
      </c>
      <c r="H2268" t="s">
        <v>868</v>
      </c>
      <c r="I2268" t="s">
        <v>1201</v>
      </c>
      <c r="J2268" t="str">
        <f>"9420201"</f>
        <v>9420201</v>
      </c>
      <c r="K2268">
        <v>2531061632</v>
      </c>
      <c r="L2268">
        <v>2531061632</v>
      </c>
      <c r="M2268" t="s">
        <v>3084</v>
      </c>
      <c r="N2268" t="s">
        <v>2631</v>
      </c>
      <c r="O2268" t="s">
        <v>2852</v>
      </c>
      <c r="P2268">
        <v>69300</v>
      </c>
      <c r="Q2268" t="str">
        <f>"41.120810"</f>
        <v>41.120810</v>
      </c>
      <c r="R2268" t="str">
        <f>"25.632696"</f>
        <v>25.632696</v>
      </c>
      <c r="S2268" t="s">
        <v>26</v>
      </c>
    </row>
    <row r="2269" spans="1:19" x14ac:dyDescent="0.3">
      <c r="A2269" t="s">
        <v>19</v>
      </c>
      <c r="B2269" t="s">
        <v>2598</v>
      </c>
      <c r="C2269" t="s">
        <v>3086</v>
      </c>
      <c r="D2269" t="s">
        <v>43</v>
      </c>
      <c r="E2269" t="s">
        <v>791</v>
      </c>
      <c r="F2269" t="s">
        <v>791</v>
      </c>
      <c r="G2269" t="s">
        <v>3085</v>
      </c>
      <c r="H2269" t="s">
        <v>868</v>
      </c>
      <c r="I2269" t="s">
        <v>1201</v>
      </c>
      <c r="J2269" t="str">
        <f>"9420195"</f>
        <v>9420195</v>
      </c>
      <c r="K2269">
        <v>2531061221</v>
      </c>
      <c r="L2269">
        <v>2531061221</v>
      </c>
      <c r="M2269" t="s">
        <v>3087</v>
      </c>
      <c r="N2269" t="s">
        <v>3085</v>
      </c>
      <c r="O2269" t="s">
        <v>3088</v>
      </c>
      <c r="P2269">
        <v>69300</v>
      </c>
      <c r="Q2269" t="str">
        <f>"41.108489"</f>
        <v>41.108489</v>
      </c>
      <c r="R2269" t="str">
        <f>"25.652832"</f>
        <v>25.652832</v>
      </c>
      <c r="S2269" t="s">
        <v>26</v>
      </c>
    </row>
    <row r="2270" spans="1:19" x14ac:dyDescent="0.3">
      <c r="A2270" t="s">
        <v>19</v>
      </c>
      <c r="B2270" t="s">
        <v>2598</v>
      </c>
      <c r="C2270" t="s">
        <v>3090</v>
      </c>
      <c r="D2270" t="s">
        <v>43</v>
      </c>
      <c r="E2270" t="s">
        <v>791</v>
      </c>
      <c r="F2270" t="s">
        <v>2631</v>
      </c>
      <c r="G2270" t="s">
        <v>3089</v>
      </c>
      <c r="H2270" t="s">
        <v>868</v>
      </c>
      <c r="I2270" t="s">
        <v>1201</v>
      </c>
      <c r="J2270" t="str">
        <f>"9420200"</f>
        <v>9420200</v>
      </c>
      <c r="K2270">
        <v>2531032041</v>
      </c>
      <c r="M2270" t="s">
        <v>3091</v>
      </c>
      <c r="N2270" t="s">
        <v>3089</v>
      </c>
      <c r="O2270" t="s">
        <v>3092</v>
      </c>
      <c r="P2270">
        <v>69300</v>
      </c>
      <c r="Q2270" t="str">
        <f>""</f>
        <v/>
      </c>
      <c r="R2270" t="str">
        <f>""</f>
        <v/>
      </c>
      <c r="S2270" t="s">
        <v>26</v>
      </c>
    </row>
    <row r="2271" spans="1:19" x14ac:dyDescent="0.3">
      <c r="A2271" t="s">
        <v>19</v>
      </c>
      <c r="B2271" t="s">
        <v>2598</v>
      </c>
      <c r="C2271" t="s">
        <v>3093</v>
      </c>
      <c r="D2271" t="s">
        <v>43</v>
      </c>
      <c r="E2271" t="s">
        <v>778</v>
      </c>
      <c r="F2271" t="s">
        <v>778</v>
      </c>
      <c r="G2271" t="s">
        <v>2618</v>
      </c>
      <c r="H2271" t="s">
        <v>868</v>
      </c>
      <c r="I2271" t="s">
        <v>1201</v>
      </c>
      <c r="J2271" t="str">
        <f>"9420208"</f>
        <v>9420208</v>
      </c>
      <c r="K2271">
        <v>2531097200</v>
      </c>
      <c r="M2271" t="s">
        <v>3094</v>
      </c>
      <c r="N2271" t="s">
        <v>2618</v>
      </c>
      <c r="O2271" t="s">
        <v>3095</v>
      </c>
      <c r="P2271">
        <v>69100</v>
      </c>
      <c r="Q2271" t="str">
        <f>""</f>
        <v/>
      </c>
      <c r="R2271" t="str">
        <f>""</f>
        <v/>
      </c>
      <c r="S2271" t="s">
        <v>26</v>
      </c>
    </row>
    <row r="2272" spans="1:19" x14ac:dyDescent="0.3">
      <c r="A2272" t="s">
        <v>19</v>
      </c>
      <c r="B2272" t="s">
        <v>2598</v>
      </c>
      <c r="C2272" t="s">
        <v>783</v>
      </c>
      <c r="D2272" t="s">
        <v>43</v>
      </c>
      <c r="E2272" t="s">
        <v>778</v>
      </c>
      <c r="F2272" t="s">
        <v>778</v>
      </c>
      <c r="G2272" t="s">
        <v>778</v>
      </c>
      <c r="H2272" t="s">
        <v>868</v>
      </c>
      <c r="I2272" t="s">
        <v>1222</v>
      </c>
      <c r="J2272" t="str">
        <f>"9420223"</f>
        <v>9420223</v>
      </c>
      <c r="K2272">
        <v>2534022150</v>
      </c>
      <c r="M2272" t="s">
        <v>3096</v>
      </c>
      <c r="N2272" t="s">
        <v>2827</v>
      </c>
      <c r="O2272" t="s">
        <v>3097</v>
      </c>
      <c r="P2272">
        <v>69200</v>
      </c>
      <c r="Q2272" t="str">
        <f>"41.128652"</f>
        <v>41.128652</v>
      </c>
      <c r="R2272" t="str">
        <f>"25.185750"</f>
        <v>25.185750</v>
      </c>
      <c r="S2272" t="s">
        <v>26</v>
      </c>
    </row>
    <row r="2273" spans="1:19" x14ac:dyDescent="0.3">
      <c r="A2273" t="s">
        <v>19</v>
      </c>
      <c r="B2273" t="s">
        <v>2598</v>
      </c>
      <c r="C2273" t="s">
        <v>3098</v>
      </c>
      <c r="D2273" t="s">
        <v>43</v>
      </c>
      <c r="E2273" t="s">
        <v>44</v>
      </c>
      <c r="F2273" t="s">
        <v>814</v>
      </c>
      <c r="G2273" t="s">
        <v>814</v>
      </c>
      <c r="H2273" t="s">
        <v>868</v>
      </c>
      <c r="I2273" t="s">
        <v>869</v>
      </c>
      <c r="J2273" t="str">
        <f>"9420015"</f>
        <v>9420015</v>
      </c>
      <c r="K2273">
        <v>2531082002</v>
      </c>
      <c r="L2273">
        <v>2531082002</v>
      </c>
      <c r="M2273" t="s">
        <v>3099</v>
      </c>
      <c r="N2273" t="s">
        <v>44</v>
      </c>
      <c r="O2273" t="s">
        <v>3100</v>
      </c>
      <c r="P2273">
        <v>69100</v>
      </c>
      <c r="Q2273" t="str">
        <f>"41.087774"</f>
        <v>41.087774</v>
      </c>
      <c r="R2273" t="str">
        <f>"25.283708"</f>
        <v>25.283708</v>
      </c>
      <c r="S2273" t="s">
        <v>26</v>
      </c>
    </row>
    <row r="2274" spans="1:19" x14ac:dyDescent="0.3">
      <c r="A2274" t="s">
        <v>19</v>
      </c>
      <c r="B2274" t="s">
        <v>2598</v>
      </c>
      <c r="C2274" t="s">
        <v>3101</v>
      </c>
      <c r="D2274" t="s">
        <v>43</v>
      </c>
      <c r="E2274" t="s">
        <v>746</v>
      </c>
      <c r="F2274" t="s">
        <v>771</v>
      </c>
      <c r="G2274" t="s">
        <v>771</v>
      </c>
      <c r="H2274" t="s">
        <v>868</v>
      </c>
      <c r="I2274" t="s">
        <v>2930</v>
      </c>
      <c r="J2274" t="str">
        <f>"9420115"</f>
        <v>9420115</v>
      </c>
      <c r="K2274">
        <v>2532022066</v>
      </c>
      <c r="L2274">
        <v>2532021037</v>
      </c>
      <c r="M2274" t="s">
        <v>3102</v>
      </c>
      <c r="N2274" t="s">
        <v>2784</v>
      </c>
      <c r="O2274" t="s">
        <v>3103</v>
      </c>
      <c r="P2274">
        <v>69300</v>
      </c>
      <c r="Q2274" t="str">
        <f>"41.022366"</f>
        <v>41.022366</v>
      </c>
      <c r="R2274" t="str">
        <f>"25.700171"</f>
        <v>25.700171</v>
      </c>
      <c r="S2274" t="s">
        <v>26</v>
      </c>
    </row>
    <row r="2275" spans="1:19" x14ac:dyDescent="0.3">
      <c r="A2275" t="s">
        <v>19</v>
      </c>
      <c r="B2275" t="s">
        <v>2598</v>
      </c>
      <c r="C2275" t="s">
        <v>3104</v>
      </c>
      <c r="D2275" t="s">
        <v>43</v>
      </c>
      <c r="E2275" t="s">
        <v>791</v>
      </c>
      <c r="F2275" t="s">
        <v>2631</v>
      </c>
      <c r="G2275" t="s">
        <v>2637</v>
      </c>
      <c r="H2275" t="s">
        <v>868</v>
      </c>
      <c r="I2275" t="s">
        <v>950</v>
      </c>
      <c r="J2275" t="str">
        <f>"9420119"</f>
        <v>9420119</v>
      </c>
      <c r="K2275">
        <v>2531041217</v>
      </c>
      <c r="L2275">
        <v>2531041217</v>
      </c>
      <c r="M2275" t="s">
        <v>3105</v>
      </c>
      <c r="N2275" t="s">
        <v>3106</v>
      </c>
      <c r="O2275" t="s">
        <v>3107</v>
      </c>
      <c r="P2275">
        <v>69100</v>
      </c>
      <c r="Q2275" t="str">
        <f>"41.080706"</f>
        <v>41.080706</v>
      </c>
      <c r="R2275" t="str">
        <f>"25.549905"</f>
        <v>25.549905</v>
      </c>
      <c r="S2275" t="s">
        <v>26</v>
      </c>
    </row>
    <row r="2276" spans="1:19" x14ac:dyDescent="0.3">
      <c r="A2276" t="s">
        <v>19</v>
      </c>
      <c r="B2276" t="s">
        <v>2598</v>
      </c>
      <c r="C2276" t="s">
        <v>753</v>
      </c>
      <c r="D2276" t="s">
        <v>43</v>
      </c>
      <c r="E2276" t="s">
        <v>746</v>
      </c>
      <c r="F2276" t="s">
        <v>747</v>
      </c>
      <c r="G2276" t="s">
        <v>748</v>
      </c>
      <c r="H2276" t="s">
        <v>868</v>
      </c>
      <c r="I2276" t="s">
        <v>869</v>
      </c>
      <c r="J2276" t="str">
        <f>"9420103"</f>
        <v>9420103</v>
      </c>
      <c r="K2276">
        <v>2533022888</v>
      </c>
      <c r="L2276">
        <v>2533022258</v>
      </c>
      <c r="M2276" t="s">
        <v>3108</v>
      </c>
      <c r="N2276" t="s">
        <v>751</v>
      </c>
      <c r="O2276" t="s">
        <v>3001</v>
      </c>
      <c r="P2276">
        <v>69400</v>
      </c>
      <c r="Q2276" t="str">
        <f>"40.972074"</f>
        <v>40.972074</v>
      </c>
      <c r="R2276" t="str">
        <f>"25.423481"</f>
        <v>25.423481</v>
      </c>
      <c r="S2276" t="s">
        <v>26</v>
      </c>
    </row>
    <row r="2277" spans="1:19" x14ac:dyDescent="0.3">
      <c r="A2277" t="s">
        <v>19</v>
      </c>
      <c r="B2277" t="s">
        <v>2598</v>
      </c>
      <c r="C2277" t="s">
        <v>3109</v>
      </c>
      <c r="D2277" t="s">
        <v>43</v>
      </c>
      <c r="E2277" t="s">
        <v>44</v>
      </c>
      <c r="F2277" t="s">
        <v>44</v>
      </c>
      <c r="G2277" t="s">
        <v>44</v>
      </c>
      <c r="H2277" t="s">
        <v>868</v>
      </c>
      <c r="I2277" t="s">
        <v>869</v>
      </c>
      <c r="J2277" t="str">
        <f>"9420273"</f>
        <v>9420273</v>
      </c>
      <c r="K2277">
        <v>2531028262</v>
      </c>
      <c r="L2277">
        <v>2531028098</v>
      </c>
      <c r="M2277" t="s">
        <v>3110</v>
      </c>
      <c r="N2277" t="s">
        <v>47</v>
      </c>
      <c r="O2277" t="s">
        <v>3111</v>
      </c>
      <c r="P2277">
        <v>69100</v>
      </c>
      <c r="Q2277" t="str">
        <f>"41.113955"</f>
        <v>41.113955</v>
      </c>
      <c r="R2277" t="str">
        <f>"25.412998"</f>
        <v>25.412998</v>
      </c>
      <c r="S2277" t="s">
        <v>26</v>
      </c>
    </row>
    <row r="2278" spans="1:19" x14ac:dyDescent="0.3">
      <c r="A2278" t="s">
        <v>19</v>
      </c>
      <c r="B2278" t="s">
        <v>2598</v>
      </c>
      <c r="C2278" t="s">
        <v>3112</v>
      </c>
      <c r="D2278" t="s">
        <v>43</v>
      </c>
      <c r="E2278" t="s">
        <v>44</v>
      </c>
      <c r="F2278" t="s">
        <v>44</v>
      </c>
      <c r="G2278" t="s">
        <v>44</v>
      </c>
      <c r="H2278" t="s">
        <v>868</v>
      </c>
      <c r="I2278" t="s">
        <v>869</v>
      </c>
      <c r="J2278" t="str">
        <f>"9420285"</f>
        <v>9420285</v>
      </c>
      <c r="K2278">
        <v>2531085926</v>
      </c>
      <c r="L2278">
        <v>2531085926</v>
      </c>
      <c r="M2278" t="s">
        <v>3113</v>
      </c>
      <c r="N2278" t="s">
        <v>47</v>
      </c>
      <c r="O2278" t="s">
        <v>3114</v>
      </c>
      <c r="P2278">
        <v>69133</v>
      </c>
      <c r="Q2278" t="str">
        <f>"41.114551"</f>
        <v>41.114551</v>
      </c>
      <c r="R2278" t="str">
        <f>"25.414004"</f>
        <v>25.414004</v>
      </c>
      <c r="S2278" t="s">
        <v>26</v>
      </c>
    </row>
    <row r="2279" spans="1:19" x14ac:dyDescent="0.3">
      <c r="A2279" t="s">
        <v>19</v>
      </c>
      <c r="B2279" t="s">
        <v>2598</v>
      </c>
      <c r="C2279" t="s">
        <v>3147</v>
      </c>
      <c r="D2279" t="s">
        <v>43</v>
      </c>
      <c r="E2279" t="s">
        <v>791</v>
      </c>
      <c r="F2279" t="s">
        <v>791</v>
      </c>
      <c r="G2279" t="s">
        <v>791</v>
      </c>
      <c r="H2279" t="s">
        <v>868</v>
      </c>
      <c r="I2279" t="s">
        <v>1201</v>
      </c>
      <c r="J2279" t="str">
        <f>"9420169"</f>
        <v>9420169</v>
      </c>
      <c r="K2279">
        <v>2532041664</v>
      </c>
      <c r="M2279" t="s">
        <v>3148</v>
      </c>
      <c r="N2279" t="s">
        <v>3149</v>
      </c>
      <c r="O2279" t="s">
        <v>2734</v>
      </c>
      <c r="P2279">
        <v>69300</v>
      </c>
      <c r="Q2279" t="str">
        <f>""</f>
        <v/>
      </c>
      <c r="R2279" t="str">
        <f>""</f>
        <v/>
      </c>
      <c r="S2279" t="s">
        <v>26</v>
      </c>
    </row>
    <row r="2280" spans="1:19" x14ac:dyDescent="0.3">
      <c r="A2280" t="s">
        <v>19</v>
      </c>
      <c r="B2280" t="s">
        <v>2598</v>
      </c>
      <c r="C2280" t="s">
        <v>3167</v>
      </c>
      <c r="D2280" t="s">
        <v>43</v>
      </c>
      <c r="E2280" t="s">
        <v>791</v>
      </c>
      <c r="F2280" t="s">
        <v>2809</v>
      </c>
      <c r="G2280" t="s">
        <v>2809</v>
      </c>
      <c r="H2280" t="s">
        <v>868</v>
      </c>
      <c r="I2280" t="s">
        <v>1201</v>
      </c>
      <c r="J2280" t="str">
        <f>"9420133"</f>
        <v>9420133</v>
      </c>
      <c r="K2280">
        <v>2531032127</v>
      </c>
      <c r="N2280" t="s">
        <v>3168</v>
      </c>
      <c r="O2280" t="s">
        <v>2818</v>
      </c>
      <c r="P2280">
        <v>69300</v>
      </c>
      <c r="Q2280" t="str">
        <f>""</f>
        <v/>
      </c>
      <c r="R2280" t="str">
        <f>""</f>
        <v/>
      </c>
      <c r="S2280" t="s">
        <v>57</v>
      </c>
    </row>
    <row r="2281" spans="1:19" x14ac:dyDescent="0.3">
      <c r="A2281" t="s">
        <v>19</v>
      </c>
      <c r="B2281" t="s">
        <v>2598</v>
      </c>
      <c r="C2281" t="s">
        <v>3169</v>
      </c>
      <c r="D2281" t="s">
        <v>43</v>
      </c>
      <c r="E2281" t="s">
        <v>44</v>
      </c>
      <c r="F2281" t="s">
        <v>44</v>
      </c>
      <c r="G2281" t="s">
        <v>2868</v>
      </c>
      <c r="H2281" t="s">
        <v>868</v>
      </c>
      <c r="I2281" t="s">
        <v>869</v>
      </c>
      <c r="J2281" t="str">
        <f>"9420093"</f>
        <v>9420093</v>
      </c>
      <c r="K2281">
        <v>2531025862</v>
      </c>
      <c r="L2281">
        <v>2531025862</v>
      </c>
      <c r="M2281" t="s">
        <v>3170</v>
      </c>
      <c r="N2281" t="s">
        <v>3171</v>
      </c>
      <c r="O2281" t="s">
        <v>3172</v>
      </c>
      <c r="P2281">
        <v>69100</v>
      </c>
      <c r="Q2281" t="str">
        <f>"41.099328"</f>
        <v>41.099328</v>
      </c>
      <c r="R2281" t="str">
        <f>"25.459139"</f>
        <v>25.459139</v>
      </c>
      <c r="S2281" t="s">
        <v>26</v>
      </c>
    </row>
    <row r="2282" spans="1:19" x14ac:dyDescent="0.3">
      <c r="A2282" t="s">
        <v>19</v>
      </c>
      <c r="B2282" t="s">
        <v>2598</v>
      </c>
      <c r="C2282" t="s">
        <v>3173</v>
      </c>
      <c r="D2282" t="s">
        <v>43</v>
      </c>
      <c r="E2282" t="s">
        <v>746</v>
      </c>
      <c r="F2282" t="s">
        <v>747</v>
      </c>
      <c r="G2282" t="s">
        <v>2657</v>
      </c>
      <c r="H2282" t="s">
        <v>868</v>
      </c>
      <c r="I2282" t="s">
        <v>1222</v>
      </c>
      <c r="J2282" t="str">
        <f>"9420143"</f>
        <v>9420143</v>
      </c>
      <c r="K2282">
        <v>2531041227</v>
      </c>
      <c r="M2282" t="s">
        <v>3174</v>
      </c>
      <c r="N2282" t="s">
        <v>2660</v>
      </c>
      <c r="O2282" t="s">
        <v>2660</v>
      </c>
      <c r="P2282">
        <v>69100</v>
      </c>
      <c r="Q2282" t="str">
        <f>"41.075856"</f>
        <v>41.075856</v>
      </c>
      <c r="R2282" t="str">
        <f>"25.536505"</f>
        <v>25.536505</v>
      </c>
      <c r="S2282" t="s">
        <v>26</v>
      </c>
    </row>
    <row r="2283" spans="1:19" x14ac:dyDescent="0.3">
      <c r="A2283" t="s">
        <v>19</v>
      </c>
      <c r="B2283" t="s">
        <v>2598</v>
      </c>
      <c r="C2283" t="s">
        <v>3180</v>
      </c>
      <c r="D2283" t="s">
        <v>43</v>
      </c>
      <c r="E2283" t="s">
        <v>44</v>
      </c>
      <c r="F2283" t="s">
        <v>44</v>
      </c>
      <c r="G2283" t="s">
        <v>44</v>
      </c>
      <c r="H2283" t="s">
        <v>868</v>
      </c>
      <c r="I2283" t="s">
        <v>869</v>
      </c>
      <c r="J2283" t="str">
        <f>"9521250"</f>
        <v>9521250</v>
      </c>
      <c r="N2283" t="s">
        <v>47</v>
      </c>
      <c r="O2283" t="s">
        <v>47</v>
      </c>
      <c r="P2283">
        <v>69100</v>
      </c>
      <c r="Q2283" t="str">
        <f>""</f>
        <v/>
      </c>
      <c r="R2283" t="str">
        <f>""</f>
        <v/>
      </c>
      <c r="S2283" t="s">
        <v>26</v>
      </c>
    </row>
    <row r="2284" spans="1:19" x14ac:dyDescent="0.3">
      <c r="A2284" t="s">
        <v>19</v>
      </c>
      <c r="B2284" t="s">
        <v>2598</v>
      </c>
      <c r="C2284" t="s">
        <v>3192</v>
      </c>
      <c r="D2284" t="s">
        <v>43</v>
      </c>
      <c r="E2284" t="s">
        <v>44</v>
      </c>
      <c r="F2284" t="s">
        <v>44</v>
      </c>
      <c r="G2284" t="s">
        <v>44</v>
      </c>
      <c r="H2284" t="s">
        <v>868</v>
      </c>
      <c r="I2284" t="s">
        <v>869</v>
      </c>
      <c r="J2284" t="str">
        <f>"9420001"</f>
        <v>9420001</v>
      </c>
      <c r="K2284">
        <v>2531022020</v>
      </c>
      <c r="L2284">
        <v>2531022020</v>
      </c>
      <c r="M2284" t="s">
        <v>3193</v>
      </c>
      <c r="N2284" t="s">
        <v>3194</v>
      </c>
      <c r="O2284" t="s">
        <v>3195</v>
      </c>
      <c r="P2284">
        <v>69100</v>
      </c>
      <c r="Q2284" t="str">
        <f>"41.120500"</f>
        <v>41.120500</v>
      </c>
      <c r="R2284" t="str">
        <f>"25.400973"</f>
        <v>25.400973</v>
      </c>
      <c r="S2284" t="s">
        <v>26</v>
      </c>
    </row>
    <row r="2285" spans="1:19" x14ac:dyDescent="0.3">
      <c r="A2285" t="s">
        <v>19</v>
      </c>
      <c r="B2285" t="s">
        <v>2598</v>
      </c>
      <c r="C2285" t="s">
        <v>3197</v>
      </c>
      <c r="D2285" t="s">
        <v>43</v>
      </c>
      <c r="E2285" t="s">
        <v>791</v>
      </c>
      <c r="F2285" t="s">
        <v>792</v>
      </c>
      <c r="G2285" t="s">
        <v>792</v>
      </c>
      <c r="H2285" t="s">
        <v>868</v>
      </c>
      <c r="I2285" t="s">
        <v>1201</v>
      </c>
      <c r="J2285" t="str">
        <f>"9420236"</f>
        <v>9420236</v>
      </c>
      <c r="K2285">
        <v>2531024136</v>
      </c>
      <c r="L2285">
        <v>2531024136</v>
      </c>
      <c r="M2285" t="s">
        <v>3198</v>
      </c>
      <c r="N2285" t="s">
        <v>3199</v>
      </c>
      <c r="O2285" t="s">
        <v>3200</v>
      </c>
      <c r="P2285">
        <v>69500</v>
      </c>
      <c r="Q2285" t="str">
        <f>"41.243272"</f>
        <v>41.243272</v>
      </c>
      <c r="R2285" t="str">
        <f>"25.627589"</f>
        <v>25.627589</v>
      </c>
      <c r="S2285" t="s">
        <v>26</v>
      </c>
    </row>
    <row r="2286" spans="1:19" x14ac:dyDescent="0.3">
      <c r="A2286" t="s">
        <v>19</v>
      </c>
      <c r="B2286" t="s">
        <v>2598</v>
      </c>
      <c r="C2286" t="s">
        <v>3202</v>
      </c>
      <c r="D2286" t="s">
        <v>43</v>
      </c>
      <c r="E2286" t="s">
        <v>44</v>
      </c>
      <c r="F2286" t="s">
        <v>829</v>
      </c>
      <c r="G2286" t="s">
        <v>3201</v>
      </c>
      <c r="H2286" t="s">
        <v>868</v>
      </c>
      <c r="I2286" t="s">
        <v>1201</v>
      </c>
      <c r="J2286" t="str">
        <f>"9420046"</f>
        <v>9420046</v>
      </c>
      <c r="K2286">
        <v>2531051689</v>
      </c>
      <c r="L2286">
        <v>2531051689</v>
      </c>
      <c r="M2286" t="s">
        <v>3203</v>
      </c>
      <c r="N2286" t="s">
        <v>3204</v>
      </c>
      <c r="O2286" t="s">
        <v>3205</v>
      </c>
      <c r="P2286">
        <v>69100</v>
      </c>
      <c r="Q2286" t="str">
        <f>"41.029978"</f>
        <v>41.029978</v>
      </c>
      <c r="R2286" t="str">
        <f>"25.317070"</f>
        <v>25.317070</v>
      </c>
      <c r="S2286" t="s">
        <v>26</v>
      </c>
    </row>
    <row r="2287" spans="1:19" x14ac:dyDescent="0.3">
      <c r="A2287" t="s">
        <v>19</v>
      </c>
      <c r="B2287" t="s">
        <v>2598</v>
      </c>
      <c r="C2287" t="s">
        <v>3221</v>
      </c>
      <c r="D2287" t="s">
        <v>43</v>
      </c>
      <c r="E2287" t="s">
        <v>778</v>
      </c>
      <c r="F2287" t="s">
        <v>2611</v>
      </c>
      <c r="G2287" t="s">
        <v>2612</v>
      </c>
      <c r="H2287" t="s">
        <v>868</v>
      </c>
      <c r="I2287" t="s">
        <v>1222</v>
      </c>
      <c r="J2287" t="str">
        <f>"9420213"</f>
        <v>9420213</v>
      </c>
      <c r="K2287">
        <v>2531093910</v>
      </c>
      <c r="M2287" t="s">
        <v>3222</v>
      </c>
      <c r="N2287" t="s">
        <v>3223</v>
      </c>
      <c r="O2287" t="s">
        <v>3223</v>
      </c>
      <c r="P2287">
        <v>69100</v>
      </c>
      <c r="Q2287" t="str">
        <f>"41.162221"</f>
        <v>41.162221</v>
      </c>
      <c r="R2287" t="str">
        <f>"25.359954"</f>
        <v>25.359954</v>
      </c>
      <c r="S2287" t="s">
        <v>26</v>
      </c>
    </row>
    <row r="2288" spans="1:19" x14ac:dyDescent="0.3">
      <c r="A2288" t="s">
        <v>3237</v>
      </c>
      <c r="B2288" t="s">
        <v>6738</v>
      </c>
      <c r="C2288" t="s">
        <v>6742</v>
      </c>
      <c r="D2288" t="s">
        <v>3238</v>
      </c>
      <c r="E2288" t="s">
        <v>3506</v>
      </c>
      <c r="F2288" t="s">
        <v>3506</v>
      </c>
      <c r="G2288" t="s">
        <v>3506</v>
      </c>
      <c r="H2288" t="s">
        <v>868</v>
      </c>
      <c r="I2288" t="s">
        <v>869</v>
      </c>
      <c r="J2288" t="str">
        <f>"9050127"</f>
        <v>9050127</v>
      </c>
      <c r="K2288">
        <v>2107653130</v>
      </c>
      <c r="L2288">
        <v>2107653130</v>
      </c>
      <c r="M2288" t="s">
        <v>6743</v>
      </c>
      <c r="N2288" t="s">
        <v>3509</v>
      </c>
      <c r="O2288" t="s">
        <v>6744</v>
      </c>
      <c r="P2288">
        <v>16231</v>
      </c>
      <c r="Q2288" t="str">
        <f>"37.961766"</f>
        <v>37.961766</v>
      </c>
      <c r="R2288" t="str">
        <f>"23.754386"</f>
        <v>23.754386</v>
      </c>
      <c r="S2288" t="s">
        <v>26</v>
      </c>
    </row>
    <row r="2289" spans="1:19" x14ac:dyDescent="0.3">
      <c r="A2289" t="s">
        <v>3237</v>
      </c>
      <c r="B2289" t="s">
        <v>6738</v>
      </c>
      <c r="C2289" t="s">
        <v>6745</v>
      </c>
      <c r="D2289" t="s">
        <v>3238</v>
      </c>
      <c r="E2289" t="s">
        <v>3239</v>
      </c>
      <c r="F2289" t="s">
        <v>3239</v>
      </c>
      <c r="G2289" t="s">
        <v>3281</v>
      </c>
      <c r="H2289" t="s">
        <v>868</v>
      </c>
      <c r="I2289" t="s">
        <v>869</v>
      </c>
      <c r="J2289" t="str">
        <f>"9050209"</f>
        <v>9050209</v>
      </c>
      <c r="K2289">
        <v>2109013143</v>
      </c>
      <c r="L2289">
        <v>2109013143</v>
      </c>
      <c r="M2289" t="s">
        <v>6746</v>
      </c>
      <c r="N2289" t="s">
        <v>3284</v>
      </c>
      <c r="O2289" t="s">
        <v>6747</v>
      </c>
      <c r="P2289">
        <v>11745</v>
      </c>
      <c r="Q2289" t="str">
        <f>"37.953412"</f>
        <v>37.953412</v>
      </c>
      <c r="R2289" t="str">
        <f>"23.721900"</f>
        <v>23.721900</v>
      </c>
      <c r="S2289" t="s">
        <v>26</v>
      </c>
    </row>
    <row r="2290" spans="1:19" x14ac:dyDescent="0.3">
      <c r="A2290" t="s">
        <v>3237</v>
      </c>
      <c r="B2290" t="s">
        <v>6738</v>
      </c>
      <c r="C2290" t="s">
        <v>3331</v>
      </c>
      <c r="D2290" t="s">
        <v>3238</v>
      </c>
      <c r="E2290" t="s">
        <v>3317</v>
      </c>
      <c r="F2290" t="s">
        <v>3317</v>
      </c>
      <c r="G2290" t="s">
        <v>3317</v>
      </c>
      <c r="H2290" t="s">
        <v>868</v>
      </c>
      <c r="I2290" t="s">
        <v>869</v>
      </c>
      <c r="J2290" t="str">
        <f>"9050087"</f>
        <v>9050087</v>
      </c>
      <c r="K2290">
        <v>2107777857</v>
      </c>
      <c r="L2290">
        <v>2107777857</v>
      </c>
      <c r="M2290" t="s">
        <v>6751</v>
      </c>
      <c r="N2290" t="s">
        <v>3317</v>
      </c>
      <c r="O2290" t="s">
        <v>6752</v>
      </c>
      <c r="P2290">
        <v>15772</v>
      </c>
      <c r="Q2290" t="str">
        <f>"37.970995"</f>
        <v>37.970995</v>
      </c>
      <c r="R2290" t="str">
        <f>"23.780502"</f>
        <v>23.780502</v>
      </c>
      <c r="S2290" t="s">
        <v>26</v>
      </c>
    </row>
    <row r="2291" spans="1:19" x14ac:dyDescent="0.3">
      <c r="A2291" t="s">
        <v>3237</v>
      </c>
      <c r="B2291" t="s">
        <v>6738</v>
      </c>
      <c r="C2291" t="s">
        <v>6753</v>
      </c>
      <c r="D2291" t="s">
        <v>3238</v>
      </c>
      <c r="E2291" t="s">
        <v>3239</v>
      </c>
      <c r="F2291" t="s">
        <v>3239</v>
      </c>
      <c r="G2291" t="s">
        <v>3240</v>
      </c>
      <c r="H2291" t="s">
        <v>868</v>
      </c>
      <c r="I2291" t="s">
        <v>869</v>
      </c>
      <c r="J2291" t="str">
        <f>"9050300"</f>
        <v>9050300</v>
      </c>
      <c r="K2291">
        <v>2105231470</v>
      </c>
      <c r="L2291">
        <v>2105231470</v>
      </c>
      <c r="M2291" t="s">
        <v>6754</v>
      </c>
      <c r="N2291" t="s">
        <v>3284</v>
      </c>
      <c r="O2291" t="s">
        <v>6755</v>
      </c>
      <c r="P2291">
        <v>10438</v>
      </c>
      <c r="Q2291" t="str">
        <f>"37.987216"</f>
        <v>37.987216</v>
      </c>
      <c r="R2291" t="str">
        <f>"23.723644"</f>
        <v>23.723644</v>
      </c>
      <c r="S2291" t="s">
        <v>26</v>
      </c>
    </row>
    <row r="2292" spans="1:19" x14ac:dyDescent="0.3">
      <c r="A2292" t="s">
        <v>3237</v>
      </c>
      <c r="B2292" t="s">
        <v>6738</v>
      </c>
      <c r="C2292" t="s">
        <v>3904</v>
      </c>
      <c r="D2292" t="s">
        <v>3238</v>
      </c>
      <c r="E2292" t="s">
        <v>3239</v>
      </c>
      <c r="F2292" t="s">
        <v>3239</v>
      </c>
      <c r="G2292" t="s">
        <v>3340</v>
      </c>
      <c r="H2292" t="s">
        <v>868</v>
      </c>
      <c r="I2292" t="s">
        <v>869</v>
      </c>
      <c r="J2292" t="str">
        <f>"9050003"</f>
        <v>9050003</v>
      </c>
      <c r="K2292">
        <v>2106467823</v>
      </c>
      <c r="L2292">
        <v>2106467823</v>
      </c>
      <c r="M2292" t="s">
        <v>6772</v>
      </c>
      <c r="N2292" t="s">
        <v>6773</v>
      </c>
      <c r="O2292" t="s">
        <v>6774</v>
      </c>
      <c r="P2292">
        <v>11522</v>
      </c>
      <c r="Q2292" t="str">
        <f>"37.994828"</f>
        <v>37.994828</v>
      </c>
      <c r="R2292" t="str">
        <f>"23.756217"</f>
        <v>23.756217</v>
      </c>
      <c r="S2292" t="s">
        <v>26</v>
      </c>
    </row>
    <row r="2293" spans="1:19" x14ac:dyDescent="0.3">
      <c r="A2293" t="s">
        <v>3237</v>
      </c>
      <c r="B2293" t="s">
        <v>6738</v>
      </c>
      <c r="C2293" t="s">
        <v>6803</v>
      </c>
      <c r="D2293" t="s">
        <v>3238</v>
      </c>
      <c r="E2293" t="s">
        <v>3239</v>
      </c>
      <c r="F2293" t="s">
        <v>3239</v>
      </c>
      <c r="G2293" t="s">
        <v>3240</v>
      </c>
      <c r="H2293" t="s">
        <v>868</v>
      </c>
      <c r="I2293" t="s">
        <v>869</v>
      </c>
      <c r="J2293" t="str">
        <f>"9050523"</f>
        <v>9050523</v>
      </c>
      <c r="K2293">
        <v>2108212069</v>
      </c>
      <c r="L2293">
        <v>2108212069</v>
      </c>
      <c r="M2293" t="s">
        <v>6804</v>
      </c>
      <c r="N2293" t="s">
        <v>3284</v>
      </c>
      <c r="O2293" t="s">
        <v>6805</v>
      </c>
      <c r="P2293">
        <v>10433</v>
      </c>
      <c r="Q2293" t="str">
        <f>"37.991155"</f>
        <v>37.991155</v>
      </c>
      <c r="R2293" t="str">
        <f>"23.728467"</f>
        <v>23.728467</v>
      </c>
      <c r="S2293" t="s">
        <v>26</v>
      </c>
    </row>
    <row r="2294" spans="1:19" x14ac:dyDescent="0.3">
      <c r="A2294" t="s">
        <v>3237</v>
      </c>
      <c r="B2294" t="s">
        <v>6738</v>
      </c>
      <c r="C2294" t="s">
        <v>6814</v>
      </c>
      <c r="D2294" t="s">
        <v>3238</v>
      </c>
      <c r="E2294" t="s">
        <v>3239</v>
      </c>
      <c r="F2294" t="s">
        <v>3239</v>
      </c>
      <c r="G2294" t="s">
        <v>3240</v>
      </c>
      <c r="H2294" t="s">
        <v>868</v>
      </c>
      <c r="I2294" t="s">
        <v>869</v>
      </c>
      <c r="J2294" t="str">
        <f>"9050527"</f>
        <v>9050527</v>
      </c>
      <c r="K2294">
        <v>2108822088</v>
      </c>
      <c r="L2294">
        <v>2108822088</v>
      </c>
      <c r="M2294" t="s">
        <v>6815</v>
      </c>
      <c r="N2294" t="s">
        <v>3284</v>
      </c>
      <c r="O2294" t="s">
        <v>6816</v>
      </c>
      <c r="P2294">
        <v>11473</v>
      </c>
      <c r="Q2294" t="str">
        <f>"37.989645"</f>
        <v>37.989645</v>
      </c>
      <c r="R2294" t="str">
        <f>"23.738820"</f>
        <v>23.738820</v>
      </c>
      <c r="S2294" t="s">
        <v>26</v>
      </c>
    </row>
    <row r="2295" spans="1:19" x14ac:dyDescent="0.3">
      <c r="A2295" t="s">
        <v>3237</v>
      </c>
      <c r="B2295" t="s">
        <v>6738</v>
      </c>
      <c r="C2295" t="s">
        <v>6823</v>
      </c>
      <c r="D2295" t="s">
        <v>3238</v>
      </c>
      <c r="E2295" t="s">
        <v>3358</v>
      </c>
      <c r="F2295" t="s">
        <v>3358</v>
      </c>
      <c r="G2295" t="s">
        <v>3358</v>
      </c>
      <c r="H2295" t="s">
        <v>868</v>
      </c>
      <c r="I2295" t="s">
        <v>869</v>
      </c>
      <c r="J2295" t="str">
        <f>"9050125"</f>
        <v>9050125</v>
      </c>
      <c r="K2295">
        <v>2107238044</v>
      </c>
      <c r="L2295">
        <v>2107238044</v>
      </c>
      <c r="M2295" t="s">
        <v>6824</v>
      </c>
      <c r="N2295" t="s">
        <v>6825</v>
      </c>
      <c r="O2295" t="s">
        <v>6826</v>
      </c>
      <c r="P2295">
        <v>16122</v>
      </c>
      <c r="Q2295" t="str">
        <f>"37.964865"</f>
        <v>37.964865</v>
      </c>
      <c r="R2295" t="str">
        <f>"23.769897"</f>
        <v>23.769897</v>
      </c>
      <c r="S2295" t="s">
        <v>26</v>
      </c>
    </row>
    <row r="2296" spans="1:19" x14ac:dyDescent="0.3">
      <c r="A2296" t="s">
        <v>3237</v>
      </c>
      <c r="B2296" t="s">
        <v>6738</v>
      </c>
      <c r="C2296" t="s">
        <v>3804</v>
      </c>
      <c r="D2296" t="s">
        <v>3238</v>
      </c>
      <c r="E2296" t="s">
        <v>3317</v>
      </c>
      <c r="F2296" t="s">
        <v>3317</v>
      </c>
      <c r="G2296" t="s">
        <v>3317</v>
      </c>
      <c r="H2296" t="s">
        <v>868</v>
      </c>
      <c r="I2296" t="s">
        <v>869</v>
      </c>
      <c r="J2296" t="str">
        <f>"9050090"</f>
        <v>9050090</v>
      </c>
      <c r="K2296">
        <v>2107770981</v>
      </c>
      <c r="L2296">
        <v>2107770981</v>
      </c>
      <c r="M2296" t="s">
        <v>6827</v>
      </c>
      <c r="N2296" t="s">
        <v>3317</v>
      </c>
      <c r="O2296" t="s">
        <v>6828</v>
      </c>
      <c r="P2296">
        <v>15771</v>
      </c>
      <c r="Q2296" t="str">
        <f>"37.976121"</f>
        <v>37.976121</v>
      </c>
      <c r="R2296" t="str">
        <f>"23.763864"</f>
        <v>23.763864</v>
      </c>
      <c r="S2296" t="s">
        <v>26</v>
      </c>
    </row>
    <row r="2297" spans="1:19" x14ac:dyDescent="0.3">
      <c r="A2297" t="s">
        <v>3237</v>
      </c>
      <c r="B2297" t="s">
        <v>6738</v>
      </c>
      <c r="C2297" t="s">
        <v>3386</v>
      </c>
      <c r="D2297" t="s">
        <v>3238</v>
      </c>
      <c r="E2297" t="s">
        <v>3239</v>
      </c>
      <c r="F2297" t="s">
        <v>3239</v>
      </c>
      <c r="G2297" t="s">
        <v>3382</v>
      </c>
      <c r="H2297" t="s">
        <v>868</v>
      </c>
      <c r="I2297" t="s">
        <v>869</v>
      </c>
      <c r="J2297" t="str">
        <f>"9050450"</f>
        <v>9050450</v>
      </c>
      <c r="K2297">
        <v>2105127909</v>
      </c>
      <c r="L2297">
        <v>2105141816</v>
      </c>
      <c r="M2297" t="s">
        <v>6847</v>
      </c>
      <c r="N2297" t="s">
        <v>3284</v>
      </c>
      <c r="O2297" t="s">
        <v>6848</v>
      </c>
      <c r="P2297">
        <v>10443</v>
      </c>
      <c r="Q2297" t="str">
        <f>"38.004221"</f>
        <v>38.004221</v>
      </c>
      <c r="R2297" t="str">
        <f>"23.713044"</f>
        <v>23.713044</v>
      </c>
      <c r="S2297" t="s">
        <v>26</v>
      </c>
    </row>
    <row r="2298" spans="1:19" x14ac:dyDescent="0.3">
      <c r="A2298" t="s">
        <v>3237</v>
      </c>
      <c r="B2298" t="s">
        <v>6738</v>
      </c>
      <c r="C2298" t="s">
        <v>6852</v>
      </c>
      <c r="D2298" t="s">
        <v>3238</v>
      </c>
      <c r="E2298" t="s">
        <v>3317</v>
      </c>
      <c r="F2298" t="s">
        <v>3317</v>
      </c>
      <c r="G2298" t="s">
        <v>3317</v>
      </c>
      <c r="H2298" t="s">
        <v>868</v>
      </c>
      <c r="I2298" t="s">
        <v>869</v>
      </c>
      <c r="J2298" t="str">
        <f>"9050081"</f>
        <v>9050081</v>
      </c>
      <c r="K2298">
        <v>2107777638</v>
      </c>
      <c r="M2298" t="s">
        <v>6853</v>
      </c>
      <c r="N2298" t="s">
        <v>3317</v>
      </c>
      <c r="O2298" t="s">
        <v>6828</v>
      </c>
      <c r="P2298">
        <v>15771</v>
      </c>
      <c r="Q2298" t="str">
        <f>"37.976121"</f>
        <v>37.976121</v>
      </c>
      <c r="R2298" t="str">
        <f>"23.763864"</f>
        <v>23.763864</v>
      </c>
      <c r="S2298" t="s">
        <v>26</v>
      </c>
    </row>
    <row r="2299" spans="1:19" x14ac:dyDescent="0.3">
      <c r="A2299" t="s">
        <v>3237</v>
      </c>
      <c r="B2299" t="s">
        <v>6738</v>
      </c>
      <c r="C2299" t="s">
        <v>6869</v>
      </c>
      <c r="D2299" t="s">
        <v>3238</v>
      </c>
      <c r="E2299" t="s">
        <v>3317</v>
      </c>
      <c r="F2299" t="s">
        <v>3317</v>
      </c>
      <c r="G2299" t="s">
        <v>3317</v>
      </c>
      <c r="H2299" t="s">
        <v>868</v>
      </c>
      <c r="I2299" t="s">
        <v>869</v>
      </c>
      <c r="J2299" t="str">
        <f>"9050083"</f>
        <v>9050083</v>
      </c>
      <c r="K2299">
        <v>2107773745</v>
      </c>
      <c r="L2299">
        <v>2107773745</v>
      </c>
      <c r="M2299" t="s">
        <v>6870</v>
      </c>
      <c r="N2299" t="s">
        <v>3317</v>
      </c>
      <c r="O2299" t="s">
        <v>6871</v>
      </c>
      <c r="P2299">
        <v>15773</v>
      </c>
      <c r="Q2299" t="str">
        <f>"37.977677"</f>
        <v>37.977677</v>
      </c>
      <c r="R2299" t="str">
        <f>"23.775076"</f>
        <v>23.775076</v>
      </c>
      <c r="S2299" t="s">
        <v>26</v>
      </c>
    </row>
    <row r="2300" spans="1:19" x14ac:dyDescent="0.3">
      <c r="A2300" t="s">
        <v>3237</v>
      </c>
      <c r="B2300" t="s">
        <v>6738</v>
      </c>
      <c r="C2300" t="s">
        <v>3851</v>
      </c>
      <c r="D2300" t="s">
        <v>3238</v>
      </c>
      <c r="E2300" t="s">
        <v>3239</v>
      </c>
      <c r="F2300" t="s">
        <v>3239</v>
      </c>
      <c r="G2300" t="s">
        <v>3322</v>
      </c>
      <c r="H2300" t="s">
        <v>868</v>
      </c>
      <c r="I2300" t="s">
        <v>869</v>
      </c>
      <c r="J2300" t="str">
        <f>"9051102"</f>
        <v>9051102</v>
      </c>
      <c r="K2300">
        <v>2103473560</v>
      </c>
      <c r="L2300">
        <v>2103473560</v>
      </c>
      <c r="M2300" t="s">
        <v>6884</v>
      </c>
      <c r="N2300" t="s">
        <v>3284</v>
      </c>
      <c r="O2300" t="s">
        <v>6885</v>
      </c>
      <c r="P2300">
        <v>11853</v>
      </c>
      <c r="Q2300" t="str">
        <f>"37.967304"</f>
        <v>37.967304</v>
      </c>
      <c r="R2300" t="str">
        <f>"23.703284"</f>
        <v>23.703284</v>
      </c>
      <c r="S2300" t="s">
        <v>26</v>
      </c>
    </row>
    <row r="2301" spans="1:19" x14ac:dyDescent="0.3">
      <c r="A2301" t="s">
        <v>3237</v>
      </c>
      <c r="B2301" t="s">
        <v>6738</v>
      </c>
      <c r="C2301" t="s">
        <v>6886</v>
      </c>
      <c r="D2301" t="s">
        <v>3238</v>
      </c>
      <c r="E2301" t="s">
        <v>3239</v>
      </c>
      <c r="F2301" t="s">
        <v>3239</v>
      </c>
      <c r="G2301" t="s">
        <v>3322</v>
      </c>
      <c r="H2301" t="s">
        <v>868</v>
      </c>
      <c r="I2301" t="s">
        <v>869</v>
      </c>
      <c r="J2301" t="str">
        <f>"9051543"</f>
        <v>9051543</v>
      </c>
      <c r="K2301">
        <v>2103462300</v>
      </c>
      <c r="L2301">
        <v>2103462300</v>
      </c>
      <c r="M2301" t="s">
        <v>6887</v>
      </c>
      <c r="N2301" t="s">
        <v>6888</v>
      </c>
      <c r="O2301" t="s">
        <v>6889</v>
      </c>
      <c r="P2301">
        <v>11853</v>
      </c>
      <c r="Q2301" t="str">
        <f>"37.968959"</f>
        <v>37.968959</v>
      </c>
      <c r="R2301" t="str">
        <f>"23.703033"</f>
        <v>23.703033</v>
      </c>
      <c r="S2301" t="s">
        <v>26</v>
      </c>
    </row>
    <row r="2302" spans="1:19" x14ac:dyDescent="0.3">
      <c r="A2302" t="s">
        <v>3237</v>
      </c>
      <c r="B2302" t="s">
        <v>6738</v>
      </c>
      <c r="C2302" t="s">
        <v>3574</v>
      </c>
      <c r="D2302" t="s">
        <v>3238</v>
      </c>
      <c r="E2302" t="s">
        <v>3239</v>
      </c>
      <c r="F2302" t="s">
        <v>3239</v>
      </c>
      <c r="G2302" t="s">
        <v>3382</v>
      </c>
      <c r="H2302" t="s">
        <v>868</v>
      </c>
      <c r="I2302" t="s">
        <v>869</v>
      </c>
      <c r="J2302" t="str">
        <f>"9050322"</f>
        <v>9050322</v>
      </c>
      <c r="K2302">
        <v>2105140669</v>
      </c>
      <c r="L2302">
        <v>2105140669</v>
      </c>
      <c r="M2302" t="s">
        <v>6890</v>
      </c>
      <c r="N2302" t="s">
        <v>6773</v>
      </c>
      <c r="O2302" t="s">
        <v>6891</v>
      </c>
      <c r="P2302">
        <v>10441</v>
      </c>
      <c r="Q2302" t="str">
        <f>"37.987281"</f>
        <v>37.987281</v>
      </c>
      <c r="R2302" t="str">
        <f>"23.711258"</f>
        <v>23.711258</v>
      </c>
      <c r="S2302" t="s">
        <v>26</v>
      </c>
    </row>
    <row r="2303" spans="1:19" x14ac:dyDescent="0.3">
      <c r="A2303" t="s">
        <v>3237</v>
      </c>
      <c r="B2303" t="s">
        <v>6738</v>
      </c>
      <c r="C2303" t="s">
        <v>3609</v>
      </c>
      <c r="D2303" t="s">
        <v>3238</v>
      </c>
      <c r="E2303" t="s">
        <v>3358</v>
      </c>
      <c r="F2303" t="s">
        <v>3358</v>
      </c>
      <c r="G2303" t="s">
        <v>3358</v>
      </c>
      <c r="H2303" t="s">
        <v>868</v>
      </c>
      <c r="I2303" t="s">
        <v>869</v>
      </c>
      <c r="J2303" t="str">
        <f>"9050131"</f>
        <v>9050131</v>
      </c>
      <c r="K2303">
        <v>2107662750</v>
      </c>
      <c r="L2303">
        <v>2107662750</v>
      </c>
      <c r="M2303" t="s">
        <v>6898</v>
      </c>
      <c r="N2303" t="s">
        <v>3361</v>
      </c>
      <c r="O2303" t="s">
        <v>6899</v>
      </c>
      <c r="P2303">
        <v>16121</v>
      </c>
      <c r="Q2303" t="str">
        <f>"37.964931"</f>
        <v>37.964931</v>
      </c>
      <c r="R2303" t="str">
        <f>"23.759033"</f>
        <v>23.759033</v>
      </c>
      <c r="S2303" t="s">
        <v>26</v>
      </c>
    </row>
    <row r="2304" spans="1:19" x14ac:dyDescent="0.3">
      <c r="A2304" t="s">
        <v>3237</v>
      </c>
      <c r="B2304" t="s">
        <v>6738</v>
      </c>
      <c r="C2304" t="s">
        <v>6900</v>
      </c>
      <c r="D2304" t="s">
        <v>3238</v>
      </c>
      <c r="E2304" t="s">
        <v>3239</v>
      </c>
      <c r="F2304" t="s">
        <v>3239</v>
      </c>
      <c r="G2304" t="s">
        <v>3382</v>
      </c>
      <c r="H2304" t="s">
        <v>868</v>
      </c>
      <c r="I2304" t="s">
        <v>869</v>
      </c>
      <c r="J2304" t="str">
        <f>"9050304"</f>
        <v>9050304</v>
      </c>
      <c r="K2304">
        <v>2105122679</v>
      </c>
      <c r="L2304">
        <v>2105122679</v>
      </c>
      <c r="M2304" t="s">
        <v>6901</v>
      </c>
      <c r="N2304" t="s">
        <v>3284</v>
      </c>
      <c r="O2304" t="s">
        <v>6902</v>
      </c>
      <c r="P2304">
        <v>10444</v>
      </c>
      <c r="Q2304" t="str">
        <f>"37.995528"</f>
        <v>37.995528</v>
      </c>
      <c r="R2304" t="str">
        <f>"23.714357"</f>
        <v>23.714357</v>
      </c>
      <c r="S2304" t="s">
        <v>26</v>
      </c>
    </row>
    <row r="2305" spans="1:19" x14ac:dyDescent="0.3">
      <c r="A2305" t="s">
        <v>3237</v>
      </c>
      <c r="B2305" t="s">
        <v>6738</v>
      </c>
      <c r="C2305" t="s">
        <v>3965</v>
      </c>
      <c r="D2305" t="s">
        <v>3238</v>
      </c>
      <c r="E2305" t="s">
        <v>3239</v>
      </c>
      <c r="F2305" t="s">
        <v>3239</v>
      </c>
      <c r="G2305" t="s">
        <v>3382</v>
      </c>
      <c r="H2305" t="s">
        <v>868</v>
      </c>
      <c r="I2305" t="s">
        <v>869</v>
      </c>
      <c r="J2305" t="str">
        <f>"9050303"</f>
        <v>9050303</v>
      </c>
      <c r="K2305">
        <v>2105129540</v>
      </c>
      <c r="L2305">
        <v>2105129540</v>
      </c>
      <c r="M2305" t="s">
        <v>6903</v>
      </c>
      <c r="N2305" t="s">
        <v>3284</v>
      </c>
      <c r="O2305" t="s">
        <v>6904</v>
      </c>
      <c r="P2305">
        <v>10442</v>
      </c>
      <c r="Q2305" t="str">
        <f>"37.994726"</f>
        <v>37.994726</v>
      </c>
      <c r="R2305" t="str">
        <f>"23.709228"</f>
        <v>23.709228</v>
      </c>
      <c r="S2305" t="s">
        <v>26</v>
      </c>
    </row>
    <row r="2306" spans="1:19" x14ac:dyDescent="0.3">
      <c r="A2306" t="s">
        <v>3237</v>
      </c>
      <c r="B2306" t="s">
        <v>6738</v>
      </c>
      <c r="C2306" t="s">
        <v>6905</v>
      </c>
      <c r="D2306" t="s">
        <v>3238</v>
      </c>
      <c r="E2306" t="s">
        <v>3358</v>
      </c>
      <c r="F2306" t="s">
        <v>3358</v>
      </c>
      <c r="G2306" t="s">
        <v>3358</v>
      </c>
      <c r="H2306" t="s">
        <v>868</v>
      </c>
      <c r="I2306" t="s">
        <v>869</v>
      </c>
      <c r="J2306" t="str">
        <f>"9050130"</f>
        <v>9050130</v>
      </c>
      <c r="K2306">
        <v>2107214538</v>
      </c>
      <c r="L2306">
        <v>2107214538</v>
      </c>
      <c r="M2306" t="s">
        <v>6906</v>
      </c>
      <c r="N2306" t="s">
        <v>6907</v>
      </c>
      <c r="O2306" t="s">
        <v>6908</v>
      </c>
      <c r="P2306">
        <v>16121</v>
      </c>
      <c r="Q2306" t="str">
        <f>"37.970830"</f>
        <v>37.970830</v>
      </c>
      <c r="R2306" t="str">
        <f>"23.754546"</f>
        <v>23.754546</v>
      </c>
      <c r="S2306" t="s">
        <v>26</v>
      </c>
    </row>
    <row r="2307" spans="1:19" x14ac:dyDescent="0.3">
      <c r="A2307" t="s">
        <v>3237</v>
      </c>
      <c r="B2307" t="s">
        <v>6738</v>
      </c>
      <c r="C2307" t="s">
        <v>3463</v>
      </c>
      <c r="D2307" t="s">
        <v>3238</v>
      </c>
      <c r="E2307" t="s">
        <v>3239</v>
      </c>
      <c r="F2307" t="s">
        <v>3239</v>
      </c>
      <c r="G2307" t="s">
        <v>3382</v>
      </c>
      <c r="H2307" t="s">
        <v>868</v>
      </c>
      <c r="I2307" t="s">
        <v>869</v>
      </c>
      <c r="J2307" t="str">
        <f>"9050301"</f>
        <v>9050301</v>
      </c>
      <c r="K2307">
        <v>2105122678</v>
      </c>
      <c r="L2307">
        <v>2105122678</v>
      </c>
      <c r="M2307" t="s">
        <v>6909</v>
      </c>
      <c r="N2307" t="s">
        <v>3284</v>
      </c>
      <c r="O2307" t="s">
        <v>6902</v>
      </c>
      <c r="P2307">
        <v>10444</v>
      </c>
      <c r="Q2307" t="str">
        <f>"37.995487"</f>
        <v>37.995487</v>
      </c>
      <c r="R2307" t="str">
        <f>"23.714305"</f>
        <v>23.714305</v>
      </c>
      <c r="S2307" t="s">
        <v>26</v>
      </c>
    </row>
    <row r="2308" spans="1:19" x14ac:dyDescent="0.3">
      <c r="A2308" t="s">
        <v>3237</v>
      </c>
      <c r="B2308" t="s">
        <v>6738</v>
      </c>
      <c r="C2308" t="s">
        <v>3327</v>
      </c>
      <c r="D2308" t="s">
        <v>3238</v>
      </c>
      <c r="E2308" t="s">
        <v>3239</v>
      </c>
      <c r="F2308" t="s">
        <v>3239</v>
      </c>
      <c r="G2308" t="s">
        <v>3322</v>
      </c>
      <c r="H2308" t="s">
        <v>868</v>
      </c>
      <c r="I2308" t="s">
        <v>869</v>
      </c>
      <c r="J2308" t="str">
        <f>"9050314"</f>
        <v>9050314</v>
      </c>
      <c r="K2308">
        <v>2103463826</v>
      </c>
      <c r="L2308">
        <v>2103463826</v>
      </c>
      <c r="M2308" t="s">
        <v>6910</v>
      </c>
      <c r="N2308" t="s">
        <v>3284</v>
      </c>
      <c r="O2308" t="s">
        <v>6911</v>
      </c>
      <c r="P2308">
        <v>11851</v>
      </c>
      <c r="Q2308" t="str">
        <f>"37.970824"</f>
        <v>37.970824</v>
      </c>
      <c r="R2308" t="str">
        <f>"23.713573"</f>
        <v>23.713573</v>
      </c>
      <c r="S2308" t="s">
        <v>26</v>
      </c>
    </row>
    <row r="2309" spans="1:19" x14ac:dyDescent="0.3">
      <c r="A2309" t="s">
        <v>3237</v>
      </c>
      <c r="B2309" t="s">
        <v>6738</v>
      </c>
      <c r="C2309" t="s">
        <v>3438</v>
      </c>
      <c r="D2309" t="s">
        <v>3238</v>
      </c>
      <c r="E2309" t="s">
        <v>3432</v>
      </c>
      <c r="F2309" t="s">
        <v>3432</v>
      </c>
      <c r="G2309" t="s">
        <v>3432</v>
      </c>
      <c r="H2309" t="s">
        <v>868</v>
      </c>
      <c r="I2309" t="s">
        <v>869</v>
      </c>
      <c r="J2309" t="str">
        <f>"9051546"</f>
        <v>9051546</v>
      </c>
      <c r="K2309">
        <v>2109942199</v>
      </c>
      <c r="L2309">
        <v>2109942199</v>
      </c>
      <c r="M2309" t="s">
        <v>6912</v>
      </c>
      <c r="N2309" t="s">
        <v>3974</v>
      </c>
      <c r="O2309" t="s">
        <v>6913</v>
      </c>
      <c r="P2309">
        <v>16343</v>
      </c>
      <c r="Q2309" t="str">
        <f>"37.934540"</f>
        <v>37.934540</v>
      </c>
      <c r="R2309" t="str">
        <f>"23.761184"</f>
        <v>23.761184</v>
      </c>
      <c r="S2309" t="s">
        <v>26</v>
      </c>
    </row>
    <row r="2310" spans="1:19" x14ac:dyDescent="0.3">
      <c r="A2310" t="s">
        <v>3237</v>
      </c>
      <c r="B2310" t="s">
        <v>6738</v>
      </c>
      <c r="C2310" t="s">
        <v>6914</v>
      </c>
      <c r="D2310" t="s">
        <v>3238</v>
      </c>
      <c r="E2310" t="s">
        <v>3239</v>
      </c>
      <c r="F2310" t="s">
        <v>3239</v>
      </c>
      <c r="G2310" t="s">
        <v>3346</v>
      </c>
      <c r="H2310" t="s">
        <v>868</v>
      </c>
      <c r="I2310" t="s">
        <v>869</v>
      </c>
      <c r="J2310" t="str">
        <f>"9050533"</f>
        <v>9050533</v>
      </c>
      <c r="K2310">
        <v>2102286090</v>
      </c>
      <c r="M2310" t="s">
        <v>6915</v>
      </c>
      <c r="N2310" t="s">
        <v>3461</v>
      </c>
      <c r="O2310" t="s">
        <v>6916</v>
      </c>
      <c r="P2310">
        <v>11255</v>
      </c>
      <c r="Q2310" t="str">
        <f>"38.009811"</f>
        <v>38.009811</v>
      </c>
      <c r="R2310" t="str">
        <f>"23.741127"</f>
        <v>23.741127</v>
      </c>
      <c r="S2310" t="s">
        <v>26</v>
      </c>
    </row>
    <row r="2311" spans="1:19" x14ac:dyDescent="0.3">
      <c r="A2311" t="s">
        <v>3237</v>
      </c>
      <c r="B2311" t="s">
        <v>6738</v>
      </c>
      <c r="C2311" t="s">
        <v>3534</v>
      </c>
      <c r="D2311" t="s">
        <v>3238</v>
      </c>
      <c r="E2311" t="s">
        <v>3432</v>
      </c>
      <c r="F2311" t="s">
        <v>3432</v>
      </c>
      <c r="G2311" t="s">
        <v>3432</v>
      </c>
      <c r="H2311" t="s">
        <v>868</v>
      </c>
      <c r="I2311" t="s">
        <v>869</v>
      </c>
      <c r="J2311" t="str">
        <f>"9050835"</f>
        <v>9050835</v>
      </c>
      <c r="K2311">
        <v>2109703143</v>
      </c>
      <c r="L2311">
        <v>2109703143</v>
      </c>
      <c r="M2311" t="s">
        <v>6923</v>
      </c>
      <c r="N2311" t="s">
        <v>3435</v>
      </c>
      <c r="O2311" t="s">
        <v>6808</v>
      </c>
      <c r="P2311">
        <v>16343</v>
      </c>
      <c r="Q2311" t="str">
        <f>"37.943613"</f>
        <v>37.943613</v>
      </c>
      <c r="R2311" t="str">
        <f>"23.765759"</f>
        <v>23.765759</v>
      </c>
      <c r="S2311" t="s">
        <v>26</v>
      </c>
    </row>
    <row r="2312" spans="1:19" x14ac:dyDescent="0.3">
      <c r="A2312" t="s">
        <v>3237</v>
      </c>
      <c r="B2312" t="s">
        <v>6738</v>
      </c>
      <c r="C2312" t="s">
        <v>6924</v>
      </c>
      <c r="D2312" t="s">
        <v>3238</v>
      </c>
      <c r="E2312" t="s">
        <v>3239</v>
      </c>
      <c r="F2312" t="s">
        <v>3239</v>
      </c>
      <c r="G2312" t="s">
        <v>3346</v>
      </c>
      <c r="H2312" t="s">
        <v>868</v>
      </c>
      <c r="I2312" t="s">
        <v>869</v>
      </c>
      <c r="J2312" t="str">
        <f>"9050525"</f>
        <v>9050525</v>
      </c>
      <c r="K2312">
        <v>2102516637</v>
      </c>
      <c r="L2312">
        <v>2102530856</v>
      </c>
      <c r="M2312" t="s">
        <v>6925</v>
      </c>
      <c r="N2312" t="s">
        <v>3461</v>
      </c>
      <c r="O2312" t="s">
        <v>6926</v>
      </c>
      <c r="P2312">
        <v>11142</v>
      </c>
      <c r="Q2312" t="str">
        <f>"38.029183"</f>
        <v>38.029183</v>
      </c>
      <c r="R2312" t="str">
        <f>"23.748953"</f>
        <v>23.748953</v>
      </c>
      <c r="S2312" t="s">
        <v>26</v>
      </c>
    </row>
    <row r="2313" spans="1:19" x14ac:dyDescent="0.3">
      <c r="A2313" t="s">
        <v>3237</v>
      </c>
      <c r="B2313" t="s">
        <v>6738</v>
      </c>
      <c r="C2313" t="s">
        <v>3478</v>
      </c>
      <c r="D2313" t="s">
        <v>3238</v>
      </c>
      <c r="E2313" t="s">
        <v>3239</v>
      </c>
      <c r="F2313" t="s">
        <v>3239</v>
      </c>
      <c r="G2313" t="s">
        <v>3322</v>
      </c>
      <c r="H2313" t="s">
        <v>868</v>
      </c>
      <c r="I2313" t="s">
        <v>869</v>
      </c>
      <c r="J2313" t="str">
        <f>"9050325"</f>
        <v>9050325</v>
      </c>
      <c r="K2313">
        <v>2103463965</v>
      </c>
      <c r="L2313">
        <v>2103463965</v>
      </c>
      <c r="M2313" t="s">
        <v>6927</v>
      </c>
      <c r="N2313" t="s">
        <v>3325</v>
      </c>
      <c r="O2313" t="s">
        <v>6928</v>
      </c>
      <c r="P2313">
        <v>11855</v>
      </c>
      <c r="Q2313" t="str">
        <f>"37.980799"</f>
        <v>37.980799</v>
      </c>
      <c r="R2313" t="str">
        <f>"23.708304"</f>
        <v>23.708304</v>
      </c>
      <c r="S2313" t="s">
        <v>26</v>
      </c>
    </row>
    <row r="2314" spans="1:19" x14ac:dyDescent="0.3">
      <c r="A2314" t="s">
        <v>3237</v>
      </c>
      <c r="B2314" t="s">
        <v>6738</v>
      </c>
      <c r="C2314" t="s">
        <v>6929</v>
      </c>
      <c r="D2314" t="s">
        <v>3238</v>
      </c>
      <c r="E2314" t="s">
        <v>3239</v>
      </c>
      <c r="F2314" t="s">
        <v>3239</v>
      </c>
      <c r="G2314" t="s">
        <v>3340</v>
      </c>
      <c r="H2314" t="s">
        <v>868</v>
      </c>
      <c r="I2314" t="s">
        <v>869</v>
      </c>
      <c r="J2314" t="str">
        <f>"9051809"</f>
        <v>9051809</v>
      </c>
      <c r="K2314">
        <v>2107774791</v>
      </c>
      <c r="L2314">
        <v>2107717545</v>
      </c>
      <c r="M2314" t="s">
        <v>6930</v>
      </c>
      <c r="N2314" t="s">
        <v>3284</v>
      </c>
      <c r="O2314" t="s">
        <v>6931</v>
      </c>
      <c r="P2314">
        <v>11527</v>
      </c>
      <c r="Q2314" t="str">
        <f>"37.984247"</f>
        <v>37.984247</v>
      </c>
      <c r="R2314" t="str">
        <f>"23.767973"</f>
        <v>23.767973</v>
      </c>
      <c r="S2314" t="s">
        <v>26</v>
      </c>
    </row>
    <row r="2315" spans="1:19" x14ac:dyDescent="0.3">
      <c r="A2315" t="s">
        <v>3237</v>
      </c>
      <c r="B2315" t="s">
        <v>6738</v>
      </c>
      <c r="C2315" t="s">
        <v>6932</v>
      </c>
      <c r="D2315" t="s">
        <v>3238</v>
      </c>
      <c r="E2315" t="s">
        <v>3239</v>
      </c>
      <c r="F2315" t="s">
        <v>3239</v>
      </c>
      <c r="G2315" t="s">
        <v>3240</v>
      </c>
      <c r="H2315" t="s">
        <v>868</v>
      </c>
      <c r="I2315" t="s">
        <v>869</v>
      </c>
      <c r="J2315" t="str">
        <f>"9050093"</f>
        <v>9050093</v>
      </c>
      <c r="K2315">
        <v>2109220534</v>
      </c>
      <c r="L2315">
        <v>2109220534</v>
      </c>
      <c r="M2315" t="s">
        <v>6933</v>
      </c>
      <c r="N2315" t="s">
        <v>3284</v>
      </c>
      <c r="O2315" t="s">
        <v>6934</v>
      </c>
      <c r="P2315">
        <v>11742</v>
      </c>
      <c r="Q2315" t="str">
        <f>"37.969045"</f>
        <v>37.969045</v>
      </c>
      <c r="R2315" t="str">
        <f>"23.727709"</f>
        <v>23.727709</v>
      </c>
      <c r="S2315" t="s">
        <v>26</v>
      </c>
    </row>
    <row r="2316" spans="1:19" x14ac:dyDescent="0.3">
      <c r="A2316" t="s">
        <v>3237</v>
      </c>
      <c r="B2316" t="s">
        <v>6738</v>
      </c>
      <c r="C2316" t="s">
        <v>6935</v>
      </c>
      <c r="D2316" t="s">
        <v>3238</v>
      </c>
      <c r="E2316" t="s">
        <v>3432</v>
      </c>
      <c r="F2316" t="s">
        <v>3432</v>
      </c>
      <c r="G2316" t="s">
        <v>3432</v>
      </c>
      <c r="H2316" t="s">
        <v>868</v>
      </c>
      <c r="I2316" t="s">
        <v>869</v>
      </c>
      <c r="J2316" t="str">
        <f>"9050161"</f>
        <v>9050161</v>
      </c>
      <c r="K2316">
        <v>2109717340</v>
      </c>
      <c r="L2316">
        <v>2109717340</v>
      </c>
      <c r="M2316" t="s">
        <v>6936</v>
      </c>
      <c r="N2316" t="s">
        <v>3435</v>
      </c>
      <c r="O2316" t="s">
        <v>6937</v>
      </c>
      <c r="P2316">
        <v>16344</v>
      </c>
      <c r="Q2316" t="str">
        <f>"37.944626"</f>
        <v>37.944626</v>
      </c>
      <c r="R2316" t="str">
        <f>"23.760155"</f>
        <v>23.760155</v>
      </c>
      <c r="S2316" t="s">
        <v>26</v>
      </c>
    </row>
    <row r="2317" spans="1:19" x14ac:dyDescent="0.3">
      <c r="A2317" t="s">
        <v>3237</v>
      </c>
      <c r="B2317" t="s">
        <v>6738</v>
      </c>
      <c r="C2317" t="s">
        <v>6938</v>
      </c>
      <c r="D2317" t="s">
        <v>3238</v>
      </c>
      <c r="E2317" t="s">
        <v>3432</v>
      </c>
      <c r="F2317" t="s">
        <v>3432</v>
      </c>
      <c r="G2317" t="s">
        <v>3432</v>
      </c>
      <c r="H2317" t="s">
        <v>868</v>
      </c>
      <c r="I2317" t="s">
        <v>869</v>
      </c>
      <c r="J2317" t="str">
        <f>"9050164"</f>
        <v>9050164</v>
      </c>
      <c r="K2317">
        <v>2109710740</v>
      </c>
      <c r="L2317">
        <v>2109710740</v>
      </c>
      <c r="M2317" t="s">
        <v>6939</v>
      </c>
      <c r="N2317" t="s">
        <v>3435</v>
      </c>
      <c r="O2317" t="s">
        <v>6940</v>
      </c>
      <c r="P2317">
        <v>16346</v>
      </c>
      <c r="Q2317" t="str">
        <f>"37.943093"</f>
        <v>37.943093</v>
      </c>
      <c r="R2317" t="str">
        <f>"23.748164"</f>
        <v>23.748164</v>
      </c>
      <c r="S2317" t="s">
        <v>26</v>
      </c>
    </row>
    <row r="2318" spans="1:19" x14ac:dyDescent="0.3">
      <c r="A2318" t="s">
        <v>3237</v>
      </c>
      <c r="B2318" t="s">
        <v>6738</v>
      </c>
      <c r="C2318" t="s">
        <v>6941</v>
      </c>
      <c r="D2318" t="s">
        <v>3238</v>
      </c>
      <c r="E2318" t="s">
        <v>3239</v>
      </c>
      <c r="F2318" t="s">
        <v>3239</v>
      </c>
      <c r="G2318" t="s">
        <v>3346</v>
      </c>
      <c r="H2318" t="s">
        <v>868</v>
      </c>
      <c r="I2318" t="s">
        <v>869</v>
      </c>
      <c r="J2318" t="str">
        <f>"9050454"</f>
        <v>9050454</v>
      </c>
      <c r="K2318">
        <v>2102286438</v>
      </c>
      <c r="L2318">
        <v>2102286438</v>
      </c>
      <c r="M2318" t="s">
        <v>6942</v>
      </c>
      <c r="N2318" t="s">
        <v>3284</v>
      </c>
      <c r="O2318" t="s">
        <v>6943</v>
      </c>
      <c r="P2318">
        <v>11144</v>
      </c>
      <c r="Q2318" t="str">
        <f>"38.017442"</f>
        <v>38.017442</v>
      </c>
      <c r="R2318" t="str">
        <f>"23.733640"</f>
        <v>23.733640</v>
      </c>
      <c r="S2318" t="s">
        <v>26</v>
      </c>
    </row>
    <row r="2319" spans="1:19" x14ac:dyDescent="0.3">
      <c r="A2319" t="s">
        <v>3237</v>
      </c>
      <c r="B2319" t="s">
        <v>6738</v>
      </c>
      <c r="C2319" t="s">
        <v>6944</v>
      </c>
      <c r="D2319" t="s">
        <v>3238</v>
      </c>
      <c r="E2319" t="s">
        <v>3239</v>
      </c>
      <c r="F2319" t="s">
        <v>3239</v>
      </c>
      <c r="G2319" t="s">
        <v>3340</v>
      </c>
      <c r="H2319" t="s">
        <v>868</v>
      </c>
      <c r="I2319" t="s">
        <v>869</v>
      </c>
      <c r="J2319" t="str">
        <f>"9051831"</f>
        <v>9051831</v>
      </c>
      <c r="K2319">
        <v>2107750065</v>
      </c>
      <c r="L2319">
        <v>2107750065</v>
      </c>
      <c r="M2319" t="s">
        <v>6945</v>
      </c>
      <c r="N2319" t="s">
        <v>3325</v>
      </c>
      <c r="O2319" t="s">
        <v>6946</v>
      </c>
      <c r="P2319">
        <v>11527</v>
      </c>
      <c r="Q2319" t="str">
        <f>"37.985283"</f>
        <v>37.985283</v>
      </c>
      <c r="R2319" t="str">
        <f>"23.766911"</f>
        <v>23.766911</v>
      </c>
      <c r="S2319" t="s">
        <v>26</v>
      </c>
    </row>
    <row r="2320" spans="1:19" x14ac:dyDescent="0.3">
      <c r="A2320" t="s">
        <v>3237</v>
      </c>
      <c r="B2320" t="s">
        <v>6738</v>
      </c>
      <c r="C2320" t="s">
        <v>3578</v>
      </c>
      <c r="D2320" t="s">
        <v>3238</v>
      </c>
      <c r="E2320" t="s">
        <v>3239</v>
      </c>
      <c r="F2320" t="s">
        <v>3239</v>
      </c>
      <c r="G2320" t="s">
        <v>3340</v>
      </c>
      <c r="H2320" t="s">
        <v>868</v>
      </c>
      <c r="I2320" t="s">
        <v>869</v>
      </c>
      <c r="J2320" t="str">
        <f>"9050026"</f>
        <v>9050026</v>
      </c>
      <c r="K2320">
        <v>2106924505</v>
      </c>
      <c r="L2320">
        <v>2106914595</v>
      </c>
      <c r="M2320" t="s">
        <v>6947</v>
      </c>
      <c r="N2320" t="s">
        <v>3284</v>
      </c>
      <c r="O2320" t="s">
        <v>6948</v>
      </c>
      <c r="P2320">
        <v>11526</v>
      </c>
      <c r="Q2320" t="str">
        <f>"37.993144"</f>
        <v>37.993144</v>
      </c>
      <c r="R2320" t="str">
        <f>"23.770176"</f>
        <v>23.770176</v>
      </c>
      <c r="S2320" t="s">
        <v>26</v>
      </c>
    </row>
    <row r="2321" spans="1:19" x14ac:dyDescent="0.3">
      <c r="A2321" t="s">
        <v>3237</v>
      </c>
      <c r="B2321" t="s">
        <v>6738</v>
      </c>
      <c r="C2321" t="s">
        <v>6957</v>
      </c>
      <c r="D2321" t="s">
        <v>3238</v>
      </c>
      <c r="E2321" t="s">
        <v>3404</v>
      </c>
      <c r="F2321" t="s">
        <v>3658</v>
      </c>
      <c r="G2321" t="s">
        <v>3658</v>
      </c>
      <c r="H2321" t="s">
        <v>868</v>
      </c>
      <c r="I2321" t="s">
        <v>869</v>
      </c>
      <c r="J2321" t="str">
        <f>"9050951"</f>
        <v>9050951</v>
      </c>
      <c r="K2321">
        <v>2102516071</v>
      </c>
      <c r="L2321">
        <v>2102584487</v>
      </c>
      <c r="M2321" t="s">
        <v>6958</v>
      </c>
      <c r="N2321" t="s">
        <v>6959</v>
      </c>
      <c r="O2321" t="s">
        <v>6960</v>
      </c>
      <c r="P2321">
        <v>14343</v>
      </c>
      <c r="Q2321" t="str">
        <f>"38.027417"</f>
        <v>38.027417</v>
      </c>
      <c r="R2321" t="str">
        <f>"23.732554"</f>
        <v>23.732554</v>
      </c>
      <c r="S2321" t="s">
        <v>26</v>
      </c>
    </row>
    <row r="2322" spans="1:19" x14ac:dyDescent="0.3">
      <c r="A2322" t="s">
        <v>3237</v>
      </c>
      <c r="B2322" t="s">
        <v>6738</v>
      </c>
      <c r="C2322" t="s">
        <v>6961</v>
      </c>
      <c r="D2322" t="s">
        <v>3238</v>
      </c>
      <c r="E2322" t="s">
        <v>3239</v>
      </c>
      <c r="F2322" t="s">
        <v>3239</v>
      </c>
      <c r="G2322" t="s">
        <v>3346</v>
      </c>
      <c r="H2322" t="s">
        <v>868</v>
      </c>
      <c r="I2322" t="s">
        <v>869</v>
      </c>
      <c r="J2322" t="str">
        <f>"9050826"</f>
        <v>9050826</v>
      </c>
      <c r="K2322">
        <v>2102022290</v>
      </c>
      <c r="L2322">
        <v>2102022290</v>
      </c>
      <c r="M2322" t="s">
        <v>6962</v>
      </c>
      <c r="N2322" t="s">
        <v>3284</v>
      </c>
      <c r="O2322" t="s">
        <v>6963</v>
      </c>
      <c r="P2322">
        <v>11254</v>
      </c>
      <c r="Q2322" t="str">
        <f>"38.012831"</f>
        <v>38.012831</v>
      </c>
      <c r="R2322" t="str">
        <f>"23.733963"</f>
        <v>23.733963</v>
      </c>
      <c r="S2322" t="s">
        <v>26</v>
      </c>
    </row>
    <row r="2323" spans="1:19" x14ac:dyDescent="0.3">
      <c r="A2323" t="s">
        <v>3237</v>
      </c>
      <c r="B2323" t="s">
        <v>6738</v>
      </c>
      <c r="C2323" t="s">
        <v>6967</v>
      </c>
      <c r="D2323" t="s">
        <v>3238</v>
      </c>
      <c r="E2323" t="s">
        <v>3432</v>
      </c>
      <c r="F2323" t="s">
        <v>3432</v>
      </c>
      <c r="G2323" t="s">
        <v>3432</v>
      </c>
      <c r="H2323" t="s">
        <v>868</v>
      </c>
      <c r="I2323" t="s">
        <v>869</v>
      </c>
      <c r="J2323" t="str">
        <f>"9050160"</f>
        <v>9050160</v>
      </c>
      <c r="K2323">
        <v>2109919523</v>
      </c>
      <c r="L2323">
        <v>2109969988</v>
      </c>
      <c r="M2323" t="s">
        <v>6968</v>
      </c>
      <c r="N2323" t="s">
        <v>3435</v>
      </c>
      <c r="O2323" t="s">
        <v>6969</v>
      </c>
      <c r="P2323">
        <v>16346</v>
      </c>
      <c r="Q2323" t="str">
        <f>"37.932515"</f>
        <v>37.932515</v>
      </c>
      <c r="R2323" t="str">
        <f>"23.752840"</f>
        <v>23.752840</v>
      </c>
      <c r="S2323" t="s">
        <v>26</v>
      </c>
    </row>
    <row r="2324" spans="1:19" x14ac:dyDescent="0.3">
      <c r="A2324" t="s">
        <v>3237</v>
      </c>
      <c r="B2324" t="s">
        <v>6738</v>
      </c>
      <c r="C2324" t="s">
        <v>6973</v>
      </c>
      <c r="D2324" t="s">
        <v>3238</v>
      </c>
      <c r="E2324" t="s">
        <v>3506</v>
      </c>
      <c r="F2324" t="s">
        <v>3506</v>
      </c>
      <c r="G2324" t="s">
        <v>3506</v>
      </c>
      <c r="H2324" t="s">
        <v>868</v>
      </c>
      <c r="I2324" t="s">
        <v>869</v>
      </c>
      <c r="J2324" t="str">
        <f>"9050126"</f>
        <v>9050126</v>
      </c>
      <c r="K2324">
        <v>2107662883</v>
      </c>
      <c r="L2324">
        <v>2107662883</v>
      </c>
      <c r="M2324" t="s">
        <v>6974</v>
      </c>
      <c r="N2324" t="s">
        <v>3509</v>
      </c>
      <c r="O2324" t="s">
        <v>6975</v>
      </c>
      <c r="P2324">
        <v>16231</v>
      </c>
      <c r="Q2324" t="str">
        <f>"37.957729"</f>
        <v>37.957729</v>
      </c>
      <c r="R2324" t="str">
        <f>"23.762100"</f>
        <v>23.762100</v>
      </c>
      <c r="S2324" t="s">
        <v>26</v>
      </c>
    </row>
    <row r="2325" spans="1:19" x14ac:dyDescent="0.3">
      <c r="A2325" t="s">
        <v>3237</v>
      </c>
      <c r="B2325" t="s">
        <v>6738</v>
      </c>
      <c r="C2325" t="s">
        <v>3712</v>
      </c>
      <c r="D2325" t="s">
        <v>3238</v>
      </c>
      <c r="E2325" t="s">
        <v>3239</v>
      </c>
      <c r="F2325" t="s">
        <v>3239</v>
      </c>
      <c r="G2325" t="s">
        <v>3340</v>
      </c>
      <c r="H2325" t="s">
        <v>868</v>
      </c>
      <c r="I2325" t="s">
        <v>869</v>
      </c>
      <c r="J2325" t="str">
        <f>"9050010"</f>
        <v>9050010</v>
      </c>
      <c r="K2325">
        <v>2106465914</v>
      </c>
      <c r="L2325">
        <v>2106465914</v>
      </c>
      <c r="M2325" t="s">
        <v>6976</v>
      </c>
      <c r="N2325" t="s">
        <v>3325</v>
      </c>
      <c r="O2325" t="s">
        <v>6977</v>
      </c>
      <c r="P2325">
        <v>11522</v>
      </c>
      <c r="Q2325" t="str">
        <f>"37.988428"</f>
        <v>37.988428</v>
      </c>
      <c r="R2325" t="str">
        <f>"23.757165"</f>
        <v>23.757165</v>
      </c>
      <c r="S2325" t="s">
        <v>26</v>
      </c>
    </row>
    <row r="2326" spans="1:19" x14ac:dyDescent="0.3">
      <c r="A2326" t="s">
        <v>3237</v>
      </c>
      <c r="B2326" t="s">
        <v>6738</v>
      </c>
      <c r="C2326" t="s">
        <v>3625</v>
      </c>
      <c r="D2326" t="s">
        <v>3238</v>
      </c>
      <c r="E2326" t="s">
        <v>3432</v>
      </c>
      <c r="F2326" t="s">
        <v>3432</v>
      </c>
      <c r="G2326" t="s">
        <v>3432</v>
      </c>
      <c r="H2326" t="s">
        <v>868</v>
      </c>
      <c r="I2326" t="s">
        <v>869</v>
      </c>
      <c r="J2326" t="str">
        <f>"9051111"</f>
        <v>9051111</v>
      </c>
      <c r="K2326">
        <v>2109930454</v>
      </c>
      <c r="L2326">
        <v>2109930454</v>
      </c>
      <c r="M2326" t="s">
        <v>6978</v>
      </c>
      <c r="N2326" t="s">
        <v>3435</v>
      </c>
      <c r="O2326" t="s">
        <v>6851</v>
      </c>
      <c r="P2326">
        <v>16341</v>
      </c>
      <c r="Q2326" t="str">
        <f>"37.918674"</f>
        <v>37.918674</v>
      </c>
      <c r="R2326" t="str">
        <f>"23.754438"</f>
        <v>23.754438</v>
      </c>
      <c r="S2326" t="s">
        <v>26</v>
      </c>
    </row>
    <row r="2327" spans="1:19" x14ac:dyDescent="0.3">
      <c r="A2327" t="s">
        <v>3237</v>
      </c>
      <c r="B2327" t="s">
        <v>6738</v>
      </c>
      <c r="C2327" t="s">
        <v>6991</v>
      </c>
      <c r="D2327" t="s">
        <v>3238</v>
      </c>
      <c r="E2327" t="s">
        <v>3506</v>
      </c>
      <c r="F2327" t="s">
        <v>3506</v>
      </c>
      <c r="G2327" t="s">
        <v>3506</v>
      </c>
      <c r="H2327" t="s">
        <v>868</v>
      </c>
      <c r="I2327" t="s">
        <v>869</v>
      </c>
      <c r="J2327" t="str">
        <f>"9050121"</f>
        <v>9050121</v>
      </c>
      <c r="K2327">
        <v>2107660352</v>
      </c>
      <c r="L2327">
        <v>2107660352</v>
      </c>
      <c r="M2327" t="s">
        <v>6992</v>
      </c>
      <c r="N2327" t="s">
        <v>3509</v>
      </c>
      <c r="O2327" t="s">
        <v>6758</v>
      </c>
      <c r="P2327">
        <v>16231</v>
      </c>
      <c r="Q2327" t="str">
        <f>"37.961022"</f>
        <v>37.961022</v>
      </c>
      <c r="R2327" t="str">
        <f>"23.753792"</f>
        <v>23.753792</v>
      </c>
      <c r="S2327" t="s">
        <v>26</v>
      </c>
    </row>
    <row r="2328" spans="1:19" x14ac:dyDescent="0.3">
      <c r="A2328" t="s">
        <v>3237</v>
      </c>
      <c r="B2328" t="s">
        <v>6738</v>
      </c>
      <c r="C2328" t="s">
        <v>3651</v>
      </c>
      <c r="D2328" t="s">
        <v>3238</v>
      </c>
      <c r="E2328" t="s">
        <v>3239</v>
      </c>
      <c r="F2328" t="s">
        <v>3239</v>
      </c>
      <c r="G2328" t="s">
        <v>3346</v>
      </c>
      <c r="H2328" t="s">
        <v>868</v>
      </c>
      <c r="I2328" t="s">
        <v>869</v>
      </c>
      <c r="J2328" t="str">
        <f>"9050513"</f>
        <v>9050513</v>
      </c>
      <c r="K2328">
        <v>2102912394</v>
      </c>
      <c r="L2328">
        <v>2102912394</v>
      </c>
      <c r="M2328" t="s">
        <v>6994</v>
      </c>
      <c r="N2328" t="s">
        <v>3284</v>
      </c>
      <c r="O2328" t="s">
        <v>6995</v>
      </c>
      <c r="P2328">
        <v>11142</v>
      </c>
      <c r="Q2328" t="str">
        <f>"38.025093"</f>
        <v>38.025093</v>
      </c>
      <c r="R2328" t="str">
        <f>"23.746482"</f>
        <v>23.746482</v>
      </c>
      <c r="S2328" t="s">
        <v>26</v>
      </c>
    </row>
    <row r="2329" spans="1:19" x14ac:dyDescent="0.3">
      <c r="A2329" t="s">
        <v>3237</v>
      </c>
      <c r="B2329" t="s">
        <v>6738</v>
      </c>
      <c r="C2329" t="s">
        <v>6998</v>
      </c>
      <c r="D2329" t="s">
        <v>3238</v>
      </c>
      <c r="E2329" t="s">
        <v>3443</v>
      </c>
      <c r="F2329" t="s">
        <v>3443</v>
      </c>
      <c r="G2329" t="s">
        <v>3443</v>
      </c>
      <c r="H2329" t="s">
        <v>868</v>
      </c>
      <c r="I2329" t="s">
        <v>869</v>
      </c>
      <c r="J2329" t="str">
        <f>"9051477"</f>
        <v>9051477</v>
      </c>
      <c r="K2329">
        <v>2102922115</v>
      </c>
      <c r="L2329">
        <v>2102922115</v>
      </c>
      <c r="M2329" t="s">
        <v>6999</v>
      </c>
      <c r="N2329" t="s">
        <v>3446</v>
      </c>
      <c r="O2329" t="s">
        <v>7000</v>
      </c>
      <c r="P2329">
        <v>11146</v>
      </c>
      <c r="Q2329" t="str">
        <f>"38.018759"</f>
        <v>38.018759</v>
      </c>
      <c r="R2329" t="str">
        <f>"23.751166"</f>
        <v>23.751166</v>
      </c>
      <c r="S2329" t="s">
        <v>26</v>
      </c>
    </row>
    <row r="2330" spans="1:19" x14ac:dyDescent="0.3">
      <c r="A2330" t="s">
        <v>3237</v>
      </c>
      <c r="B2330" t="s">
        <v>6738</v>
      </c>
      <c r="C2330" t="s">
        <v>3527</v>
      </c>
      <c r="D2330" t="s">
        <v>3238</v>
      </c>
      <c r="E2330" t="s">
        <v>3317</v>
      </c>
      <c r="F2330" t="s">
        <v>3317</v>
      </c>
      <c r="G2330" t="s">
        <v>3317</v>
      </c>
      <c r="H2330" t="s">
        <v>868</v>
      </c>
      <c r="I2330" t="s">
        <v>869</v>
      </c>
      <c r="J2330" t="str">
        <f>"9050079"</f>
        <v>9050079</v>
      </c>
      <c r="K2330">
        <v>2107773731</v>
      </c>
      <c r="L2330">
        <v>2107773731</v>
      </c>
      <c r="M2330" t="s">
        <v>7007</v>
      </c>
      <c r="N2330" t="s">
        <v>3317</v>
      </c>
      <c r="O2330" t="s">
        <v>7008</v>
      </c>
      <c r="P2330">
        <v>15773</v>
      </c>
      <c r="Q2330" t="str">
        <f>"37.978678"</f>
        <v>37.978678</v>
      </c>
      <c r="R2330" t="str">
        <f>"23.771774"</f>
        <v>23.771774</v>
      </c>
      <c r="S2330" t="s">
        <v>26</v>
      </c>
    </row>
    <row r="2331" spans="1:19" x14ac:dyDescent="0.3">
      <c r="A2331" t="s">
        <v>3237</v>
      </c>
      <c r="B2331" t="s">
        <v>6738</v>
      </c>
      <c r="C2331" t="s">
        <v>3321</v>
      </c>
      <c r="D2331" t="s">
        <v>3238</v>
      </c>
      <c r="E2331" t="s">
        <v>3317</v>
      </c>
      <c r="F2331" t="s">
        <v>3317</v>
      </c>
      <c r="G2331" t="s">
        <v>3317</v>
      </c>
      <c r="H2331" t="s">
        <v>868</v>
      </c>
      <c r="I2331" t="s">
        <v>869</v>
      </c>
      <c r="J2331" t="str">
        <f>"9050089"</f>
        <v>9050089</v>
      </c>
      <c r="K2331">
        <v>2107781481</v>
      </c>
      <c r="M2331" t="s">
        <v>7010</v>
      </c>
      <c r="N2331" t="s">
        <v>3317</v>
      </c>
      <c r="O2331" t="s">
        <v>7011</v>
      </c>
      <c r="P2331">
        <v>15773</v>
      </c>
      <c r="Q2331" t="str">
        <f>"37.983418"</f>
        <v>37.983418</v>
      </c>
      <c r="R2331" t="str">
        <f>"23.775102"</f>
        <v>23.775102</v>
      </c>
      <c r="S2331" t="s">
        <v>26</v>
      </c>
    </row>
    <row r="2332" spans="1:19" x14ac:dyDescent="0.3">
      <c r="A2332" t="s">
        <v>3237</v>
      </c>
      <c r="B2332" t="s">
        <v>6738</v>
      </c>
      <c r="C2332" t="s">
        <v>3736</v>
      </c>
      <c r="D2332" t="s">
        <v>3238</v>
      </c>
      <c r="E2332" t="s">
        <v>3432</v>
      </c>
      <c r="F2332" t="s">
        <v>3432</v>
      </c>
      <c r="G2332" t="s">
        <v>3432</v>
      </c>
      <c r="H2332" t="s">
        <v>868</v>
      </c>
      <c r="I2332" t="s">
        <v>869</v>
      </c>
      <c r="J2332" t="str">
        <f>"9050162"</f>
        <v>9050162</v>
      </c>
      <c r="K2332">
        <v>2109919528</v>
      </c>
      <c r="L2332">
        <v>2109919528</v>
      </c>
      <c r="M2332" t="s">
        <v>7015</v>
      </c>
      <c r="N2332" t="s">
        <v>3435</v>
      </c>
      <c r="O2332" t="s">
        <v>7016</v>
      </c>
      <c r="P2332">
        <v>16346</v>
      </c>
      <c r="Q2332" t="str">
        <f>"37.931318"</f>
        <v>37.931318</v>
      </c>
      <c r="R2332" t="str">
        <f>"23.753094"</f>
        <v>23.753094</v>
      </c>
      <c r="S2332" t="s">
        <v>26</v>
      </c>
    </row>
    <row r="2333" spans="1:19" x14ac:dyDescent="0.3">
      <c r="A2333" t="s">
        <v>3237</v>
      </c>
      <c r="B2333" t="s">
        <v>6738</v>
      </c>
      <c r="C2333" t="s">
        <v>7023</v>
      </c>
      <c r="D2333" t="s">
        <v>3238</v>
      </c>
      <c r="E2333" t="s">
        <v>3239</v>
      </c>
      <c r="F2333" t="s">
        <v>3239</v>
      </c>
      <c r="G2333" t="s">
        <v>3346</v>
      </c>
      <c r="H2333" t="s">
        <v>868</v>
      </c>
      <c r="I2333" t="s">
        <v>869</v>
      </c>
      <c r="J2333" t="str">
        <f>"9051641"</f>
        <v>9051641</v>
      </c>
      <c r="K2333">
        <v>2102530444</v>
      </c>
      <c r="M2333" t="s">
        <v>7024</v>
      </c>
      <c r="N2333" t="s">
        <v>3284</v>
      </c>
      <c r="O2333" t="s">
        <v>6926</v>
      </c>
      <c r="P2333">
        <v>11142</v>
      </c>
      <c r="Q2333" t="str">
        <f>"38.029370"</f>
        <v>38.029370</v>
      </c>
      <c r="R2333" t="str">
        <f>"23.749520"</f>
        <v>23.749520</v>
      </c>
      <c r="S2333" t="s">
        <v>26</v>
      </c>
    </row>
    <row r="2334" spans="1:19" x14ac:dyDescent="0.3">
      <c r="A2334" t="s">
        <v>3237</v>
      </c>
      <c r="B2334" t="s">
        <v>6738</v>
      </c>
      <c r="C2334" t="s">
        <v>3693</v>
      </c>
      <c r="D2334" t="s">
        <v>3238</v>
      </c>
      <c r="E2334" t="s">
        <v>3239</v>
      </c>
      <c r="F2334" t="s">
        <v>3239</v>
      </c>
      <c r="G2334" t="s">
        <v>3382</v>
      </c>
      <c r="H2334" t="s">
        <v>868</v>
      </c>
      <c r="I2334" t="s">
        <v>869</v>
      </c>
      <c r="J2334" t="str">
        <f>"9050446"</f>
        <v>9050446</v>
      </c>
      <c r="K2334">
        <v>2108328326</v>
      </c>
      <c r="L2334">
        <v>2108544442</v>
      </c>
      <c r="M2334" t="s">
        <v>7025</v>
      </c>
      <c r="N2334" t="s">
        <v>3461</v>
      </c>
      <c r="O2334" t="s">
        <v>3692</v>
      </c>
      <c r="P2334">
        <v>10445</v>
      </c>
      <c r="Q2334" t="str">
        <f>"38.002658"</f>
        <v>38.002658</v>
      </c>
      <c r="R2334" t="str">
        <f>"23.721857"</f>
        <v>23.721857</v>
      </c>
      <c r="S2334" t="s">
        <v>26</v>
      </c>
    </row>
    <row r="2335" spans="1:19" x14ac:dyDescent="0.3">
      <c r="A2335" t="s">
        <v>3237</v>
      </c>
      <c r="B2335" t="s">
        <v>6738</v>
      </c>
      <c r="C2335" t="s">
        <v>7026</v>
      </c>
      <c r="D2335" t="s">
        <v>3238</v>
      </c>
      <c r="E2335" t="s">
        <v>3239</v>
      </c>
      <c r="F2335" t="s">
        <v>3239</v>
      </c>
      <c r="G2335" t="s">
        <v>3382</v>
      </c>
      <c r="H2335" t="s">
        <v>868</v>
      </c>
      <c r="I2335" t="s">
        <v>869</v>
      </c>
      <c r="J2335" t="str">
        <f>"9050308"</f>
        <v>9050308</v>
      </c>
      <c r="K2335">
        <v>2105131133</v>
      </c>
      <c r="L2335">
        <v>2105131133</v>
      </c>
      <c r="M2335" t="s">
        <v>7027</v>
      </c>
      <c r="N2335" t="s">
        <v>3284</v>
      </c>
      <c r="O2335" t="s">
        <v>7028</v>
      </c>
      <c r="P2335">
        <v>10444</v>
      </c>
      <c r="Q2335" t="str">
        <f>"37.991403"</f>
        <v>37.991403</v>
      </c>
      <c r="R2335" t="str">
        <f>"23.719249"</f>
        <v>23.719249</v>
      </c>
      <c r="S2335" t="s">
        <v>26</v>
      </c>
    </row>
    <row r="2336" spans="1:19" x14ac:dyDescent="0.3">
      <c r="A2336" t="s">
        <v>3237</v>
      </c>
      <c r="B2336" t="s">
        <v>6738</v>
      </c>
      <c r="C2336" t="s">
        <v>7029</v>
      </c>
      <c r="D2336" t="s">
        <v>3238</v>
      </c>
      <c r="E2336" t="s">
        <v>3317</v>
      </c>
      <c r="F2336" t="s">
        <v>3317</v>
      </c>
      <c r="G2336" t="s">
        <v>3317</v>
      </c>
      <c r="H2336" t="s">
        <v>868</v>
      </c>
      <c r="I2336" t="s">
        <v>869</v>
      </c>
      <c r="J2336" t="str">
        <f>"9051813"</f>
        <v>9051813</v>
      </c>
      <c r="K2336">
        <v>2107752400</v>
      </c>
      <c r="L2336">
        <v>2107752400</v>
      </c>
      <c r="M2336" t="s">
        <v>7030</v>
      </c>
      <c r="N2336" t="s">
        <v>3317</v>
      </c>
      <c r="O2336" t="s">
        <v>7009</v>
      </c>
      <c r="P2336">
        <v>15773</v>
      </c>
      <c r="Q2336" t="str">
        <f>"37.976022"</f>
        <v>37.976022</v>
      </c>
      <c r="R2336" t="str">
        <f>"23.777964"</f>
        <v>23.777964</v>
      </c>
      <c r="S2336" t="s">
        <v>26</v>
      </c>
    </row>
    <row r="2337" spans="1:19" x14ac:dyDescent="0.3">
      <c r="A2337" t="s">
        <v>3237</v>
      </c>
      <c r="B2337" t="s">
        <v>6738</v>
      </c>
      <c r="C2337" t="s">
        <v>7034</v>
      </c>
      <c r="D2337" t="s">
        <v>3238</v>
      </c>
      <c r="E2337" t="s">
        <v>3432</v>
      </c>
      <c r="F2337" t="s">
        <v>3432</v>
      </c>
      <c r="G2337" t="s">
        <v>3432</v>
      </c>
      <c r="H2337" t="s">
        <v>868</v>
      </c>
      <c r="I2337" t="s">
        <v>869</v>
      </c>
      <c r="J2337" t="str">
        <f>"9050166"</f>
        <v>9050166</v>
      </c>
      <c r="K2337">
        <v>2109919557</v>
      </c>
      <c r="L2337">
        <v>2109919557</v>
      </c>
      <c r="M2337" t="s">
        <v>7035</v>
      </c>
      <c r="N2337" t="s">
        <v>3435</v>
      </c>
      <c r="O2337" t="s">
        <v>7036</v>
      </c>
      <c r="P2337">
        <v>16342</v>
      </c>
      <c r="Q2337" t="str">
        <f>"37.926077"</f>
        <v>37.926077</v>
      </c>
      <c r="R2337" t="str">
        <f>"23.761148"</f>
        <v>23.761148</v>
      </c>
      <c r="S2337" t="s">
        <v>26</v>
      </c>
    </row>
    <row r="2338" spans="1:19" x14ac:dyDescent="0.3">
      <c r="A2338" t="s">
        <v>3237</v>
      </c>
      <c r="B2338" t="s">
        <v>6738</v>
      </c>
      <c r="C2338" t="s">
        <v>3722</v>
      </c>
      <c r="D2338" t="s">
        <v>3238</v>
      </c>
      <c r="E2338" t="s">
        <v>3239</v>
      </c>
      <c r="F2338" t="s">
        <v>3239</v>
      </c>
      <c r="G2338" t="s">
        <v>3340</v>
      </c>
      <c r="H2338" t="s">
        <v>868</v>
      </c>
      <c r="I2338" t="s">
        <v>869</v>
      </c>
      <c r="J2338" t="str">
        <f>"9050011"</f>
        <v>9050011</v>
      </c>
      <c r="K2338">
        <v>2106924906</v>
      </c>
      <c r="L2338">
        <v>2106924906</v>
      </c>
      <c r="M2338" t="s">
        <v>7037</v>
      </c>
      <c r="N2338" t="s">
        <v>3374</v>
      </c>
      <c r="O2338" t="s">
        <v>3719</v>
      </c>
      <c r="P2338">
        <v>11523</v>
      </c>
      <c r="Q2338" t="str">
        <f>"37.990008"</f>
        <v>37.990008</v>
      </c>
      <c r="R2338" t="str">
        <f>"23.764386"</f>
        <v>23.764386</v>
      </c>
      <c r="S2338" t="s">
        <v>26</v>
      </c>
    </row>
    <row r="2339" spans="1:19" x14ac:dyDescent="0.3">
      <c r="A2339" t="s">
        <v>3237</v>
      </c>
      <c r="B2339" t="s">
        <v>6738</v>
      </c>
      <c r="C2339" t="s">
        <v>7038</v>
      </c>
      <c r="D2339" t="s">
        <v>3238</v>
      </c>
      <c r="E2339" t="s">
        <v>3239</v>
      </c>
      <c r="F2339" t="s">
        <v>3239</v>
      </c>
      <c r="G2339" t="s">
        <v>3382</v>
      </c>
      <c r="H2339" t="s">
        <v>868</v>
      </c>
      <c r="I2339" t="s">
        <v>869</v>
      </c>
      <c r="J2339" t="str">
        <f>"9051325"</f>
        <v>9051325</v>
      </c>
      <c r="K2339">
        <v>2105135646</v>
      </c>
      <c r="L2339">
        <v>2105135646</v>
      </c>
      <c r="M2339" t="s">
        <v>7039</v>
      </c>
      <c r="N2339" t="s">
        <v>3284</v>
      </c>
      <c r="O2339" t="s">
        <v>7040</v>
      </c>
      <c r="P2339">
        <v>10443</v>
      </c>
      <c r="Q2339" t="str">
        <f>"38.005679"</f>
        <v>38.005679</v>
      </c>
      <c r="R2339" t="str">
        <f>"23.715070"</f>
        <v>23.715070</v>
      </c>
      <c r="S2339" t="s">
        <v>26</v>
      </c>
    </row>
    <row r="2340" spans="1:19" x14ac:dyDescent="0.3">
      <c r="A2340" t="s">
        <v>3237</v>
      </c>
      <c r="B2340" t="s">
        <v>6738</v>
      </c>
      <c r="C2340" t="s">
        <v>7050</v>
      </c>
      <c r="D2340" t="s">
        <v>3238</v>
      </c>
      <c r="E2340" t="s">
        <v>3239</v>
      </c>
      <c r="F2340" t="s">
        <v>3239</v>
      </c>
      <c r="G2340" t="s">
        <v>3322</v>
      </c>
      <c r="H2340" t="s">
        <v>868</v>
      </c>
      <c r="I2340" t="s">
        <v>2930</v>
      </c>
      <c r="J2340" t="str">
        <f>"9050319"</f>
        <v>9050319</v>
      </c>
      <c r="K2340">
        <v>2103465125</v>
      </c>
      <c r="L2340">
        <v>2103465125</v>
      </c>
      <c r="M2340" t="s">
        <v>7051</v>
      </c>
      <c r="N2340" t="s">
        <v>3374</v>
      </c>
      <c r="O2340" t="s">
        <v>7052</v>
      </c>
      <c r="P2340">
        <v>11854</v>
      </c>
      <c r="Q2340" t="str">
        <f>"37.976993"</f>
        <v>37.976993</v>
      </c>
      <c r="R2340" t="str">
        <f>"23.709141"</f>
        <v>23.709141</v>
      </c>
      <c r="S2340" t="s">
        <v>26</v>
      </c>
    </row>
    <row r="2341" spans="1:19" x14ac:dyDescent="0.3">
      <c r="A2341" t="s">
        <v>3237</v>
      </c>
      <c r="B2341" t="s">
        <v>6738</v>
      </c>
      <c r="C2341" t="s">
        <v>3868</v>
      </c>
      <c r="D2341" t="s">
        <v>3238</v>
      </c>
      <c r="E2341" t="s">
        <v>3239</v>
      </c>
      <c r="F2341" t="s">
        <v>3239</v>
      </c>
      <c r="G2341" t="s">
        <v>3382</v>
      </c>
      <c r="H2341" t="s">
        <v>868</v>
      </c>
      <c r="I2341" t="s">
        <v>869</v>
      </c>
      <c r="J2341" t="str">
        <f>"9050443"</f>
        <v>9050443</v>
      </c>
      <c r="K2341">
        <v>2108312090</v>
      </c>
      <c r="L2341">
        <v>2108312090</v>
      </c>
      <c r="M2341" t="s">
        <v>7053</v>
      </c>
      <c r="N2341" t="s">
        <v>3284</v>
      </c>
      <c r="O2341" t="s">
        <v>7054</v>
      </c>
      <c r="P2341">
        <v>10445</v>
      </c>
      <c r="Q2341" t="str">
        <f>"38.007233"</f>
        <v>38.007233</v>
      </c>
      <c r="R2341" t="str">
        <f>"23.725025"</f>
        <v>23.725025</v>
      </c>
      <c r="S2341" t="s">
        <v>26</v>
      </c>
    </row>
    <row r="2342" spans="1:19" x14ac:dyDescent="0.3">
      <c r="A2342" t="s">
        <v>3237</v>
      </c>
      <c r="B2342" t="s">
        <v>6738</v>
      </c>
      <c r="C2342" t="s">
        <v>3601</v>
      </c>
      <c r="D2342" t="s">
        <v>3238</v>
      </c>
      <c r="E2342" t="s">
        <v>3432</v>
      </c>
      <c r="F2342" t="s">
        <v>3432</v>
      </c>
      <c r="G2342" t="s">
        <v>3432</v>
      </c>
      <c r="H2342" t="s">
        <v>868</v>
      </c>
      <c r="I2342" t="s">
        <v>869</v>
      </c>
      <c r="J2342" t="str">
        <f>"9050167"</f>
        <v>9050167</v>
      </c>
      <c r="K2342">
        <v>2107624395</v>
      </c>
      <c r="L2342">
        <v>2107624395</v>
      </c>
      <c r="M2342" t="s">
        <v>7058</v>
      </c>
      <c r="N2342" t="s">
        <v>3589</v>
      </c>
      <c r="O2342" t="s">
        <v>7059</v>
      </c>
      <c r="P2342">
        <v>17237</v>
      </c>
      <c r="Q2342" t="str">
        <f>"37.950491"</f>
        <v>37.950491</v>
      </c>
      <c r="R2342" t="str">
        <f>"23.754183"</f>
        <v>23.754183</v>
      </c>
      <c r="S2342" t="s">
        <v>26</v>
      </c>
    </row>
    <row r="2343" spans="1:19" x14ac:dyDescent="0.3">
      <c r="A2343" t="s">
        <v>3237</v>
      </c>
      <c r="B2343" t="s">
        <v>6738</v>
      </c>
      <c r="C2343" t="s">
        <v>7060</v>
      </c>
      <c r="D2343" t="s">
        <v>3238</v>
      </c>
      <c r="E2343" t="s">
        <v>3239</v>
      </c>
      <c r="F2343" t="s">
        <v>3239</v>
      </c>
      <c r="G2343" t="s">
        <v>3322</v>
      </c>
      <c r="H2343" t="s">
        <v>868</v>
      </c>
      <c r="I2343" t="s">
        <v>869</v>
      </c>
      <c r="J2343" t="str">
        <f>"9050313"</f>
        <v>9050313</v>
      </c>
      <c r="K2343">
        <v>2103469237</v>
      </c>
      <c r="L2343">
        <v>2103423952</v>
      </c>
      <c r="M2343" t="s">
        <v>7061</v>
      </c>
      <c r="N2343" t="s">
        <v>3284</v>
      </c>
      <c r="O2343" t="s">
        <v>7062</v>
      </c>
      <c r="P2343">
        <v>11852</v>
      </c>
      <c r="Q2343" t="str">
        <f>"37.967227"</f>
        <v>37.967227</v>
      </c>
      <c r="R2343" t="str">
        <f>"23.708852"</f>
        <v>23.708852</v>
      </c>
      <c r="S2343" t="s">
        <v>26</v>
      </c>
    </row>
    <row r="2344" spans="1:19" x14ac:dyDescent="0.3">
      <c r="A2344" t="s">
        <v>3237</v>
      </c>
      <c r="B2344" t="s">
        <v>6738</v>
      </c>
      <c r="C2344" t="s">
        <v>7063</v>
      </c>
      <c r="D2344" t="s">
        <v>3238</v>
      </c>
      <c r="E2344" t="s">
        <v>3239</v>
      </c>
      <c r="F2344" t="s">
        <v>3239</v>
      </c>
      <c r="G2344" t="s">
        <v>3340</v>
      </c>
      <c r="H2344" t="s">
        <v>868</v>
      </c>
      <c r="I2344" t="s">
        <v>869</v>
      </c>
      <c r="J2344" t="str">
        <f>"9050005"</f>
        <v>9050005</v>
      </c>
      <c r="K2344">
        <v>2106922030</v>
      </c>
      <c r="L2344">
        <v>2106922030</v>
      </c>
      <c r="M2344" t="s">
        <v>7064</v>
      </c>
      <c r="N2344" t="s">
        <v>3284</v>
      </c>
      <c r="O2344" t="s">
        <v>7065</v>
      </c>
      <c r="P2344">
        <v>11524</v>
      </c>
      <c r="Q2344" t="str">
        <f>"37.999877"</f>
        <v>37.999877</v>
      </c>
      <c r="R2344" t="str">
        <f>"23.763071"</f>
        <v>23.763071</v>
      </c>
      <c r="S2344" t="s">
        <v>26</v>
      </c>
    </row>
    <row r="2345" spans="1:19" x14ac:dyDescent="0.3">
      <c r="A2345" t="s">
        <v>3237</v>
      </c>
      <c r="B2345" t="s">
        <v>6738</v>
      </c>
      <c r="C2345" t="s">
        <v>7066</v>
      </c>
      <c r="D2345" t="s">
        <v>3238</v>
      </c>
      <c r="E2345" t="s">
        <v>3506</v>
      </c>
      <c r="F2345" t="s">
        <v>3506</v>
      </c>
      <c r="G2345" t="s">
        <v>3506</v>
      </c>
      <c r="H2345" t="s">
        <v>868</v>
      </c>
      <c r="I2345" t="s">
        <v>869</v>
      </c>
      <c r="J2345" t="str">
        <f>"9050123"</f>
        <v>9050123</v>
      </c>
      <c r="K2345">
        <v>2107660959</v>
      </c>
      <c r="L2345">
        <v>2107660959</v>
      </c>
      <c r="M2345" t="s">
        <v>7067</v>
      </c>
      <c r="N2345" t="s">
        <v>3509</v>
      </c>
      <c r="O2345" t="s">
        <v>7068</v>
      </c>
      <c r="P2345">
        <v>16231</v>
      </c>
      <c r="Q2345" t="str">
        <f>"37.957346"</f>
        <v>37.957346</v>
      </c>
      <c r="R2345" t="str">
        <f>"23.762757"</f>
        <v>23.762757</v>
      </c>
      <c r="S2345" t="s">
        <v>26</v>
      </c>
    </row>
    <row r="2346" spans="1:19" x14ac:dyDescent="0.3">
      <c r="A2346" t="s">
        <v>3237</v>
      </c>
      <c r="B2346" t="s">
        <v>6738</v>
      </c>
      <c r="C2346" t="s">
        <v>3505</v>
      </c>
      <c r="D2346" t="s">
        <v>3238</v>
      </c>
      <c r="E2346" t="s">
        <v>3358</v>
      </c>
      <c r="F2346" t="s">
        <v>3358</v>
      </c>
      <c r="G2346" t="s">
        <v>3358</v>
      </c>
      <c r="H2346" t="s">
        <v>868</v>
      </c>
      <c r="I2346" t="s">
        <v>869</v>
      </c>
      <c r="J2346" t="str">
        <f>"9050122"</f>
        <v>9050122</v>
      </c>
      <c r="K2346">
        <v>2107227256</v>
      </c>
      <c r="L2346">
        <v>2107227256</v>
      </c>
      <c r="M2346" t="s">
        <v>7074</v>
      </c>
      <c r="N2346" t="s">
        <v>3361</v>
      </c>
      <c r="O2346" t="s">
        <v>7075</v>
      </c>
      <c r="P2346">
        <v>16122</v>
      </c>
      <c r="Q2346" t="str">
        <f>"37.967922"</f>
        <v>37.967922</v>
      </c>
      <c r="R2346" t="str">
        <f>"23.762664"</f>
        <v>23.762664</v>
      </c>
      <c r="S2346" t="s">
        <v>26</v>
      </c>
    </row>
    <row r="2347" spans="1:19" x14ac:dyDescent="0.3">
      <c r="A2347" t="s">
        <v>3237</v>
      </c>
      <c r="B2347" t="s">
        <v>6738</v>
      </c>
      <c r="C2347" t="s">
        <v>7084</v>
      </c>
      <c r="D2347" t="s">
        <v>3238</v>
      </c>
      <c r="E2347" t="s">
        <v>3468</v>
      </c>
      <c r="F2347" t="s">
        <v>3469</v>
      </c>
      <c r="G2347" t="s">
        <v>3469</v>
      </c>
      <c r="H2347" t="s">
        <v>868</v>
      </c>
      <c r="I2347" t="s">
        <v>869</v>
      </c>
      <c r="J2347" t="str">
        <f>"9050154"</f>
        <v>9050154</v>
      </c>
      <c r="K2347">
        <v>6945493090</v>
      </c>
      <c r="L2347">
        <v>2109708283</v>
      </c>
      <c r="M2347" t="s">
        <v>7085</v>
      </c>
      <c r="N2347" t="s">
        <v>3549</v>
      </c>
      <c r="O2347" t="s">
        <v>7086</v>
      </c>
      <c r="P2347">
        <v>17236</v>
      </c>
      <c r="Q2347" t="str">
        <f>"37.953126"</f>
        <v>37.953126</v>
      </c>
      <c r="R2347" t="str">
        <f>"23.739959"</f>
        <v>23.739959</v>
      </c>
      <c r="S2347" t="s">
        <v>26</v>
      </c>
    </row>
    <row r="2348" spans="1:19" x14ac:dyDescent="0.3">
      <c r="A2348" t="s">
        <v>3237</v>
      </c>
      <c r="B2348" t="s">
        <v>6738</v>
      </c>
      <c r="C2348" t="s">
        <v>3415</v>
      </c>
      <c r="D2348" t="s">
        <v>3238</v>
      </c>
      <c r="E2348" t="s">
        <v>3239</v>
      </c>
      <c r="F2348" t="s">
        <v>3239</v>
      </c>
      <c r="G2348" t="s">
        <v>3322</v>
      </c>
      <c r="H2348" t="s">
        <v>868</v>
      </c>
      <c r="I2348" t="s">
        <v>869</v>
      </c>
      <c r="J2348" t="str">
        <f>"9050305"</f>
        <v>9050305</v>
      </c>
      <c r="K2348">
        <v>2105232906</v>
      </c>
      <c r="L2348">
        <v>2105222397</v>
      </c>
      <c r="M2348" t="s">
        <v>7087</v>
      </c>
      <c r="N2348" t="s">
        <v>3284</v>
      </c>
      <c r="O2348" t="s">
        <v>7088</v>
      </c>
      <c r="P2348">
        <v>10435</v>
      </c>
      <c r="Q2348" t="str">
        <f>"37.982721"</f>
        <v>37.982721</v>
      </c>
      <c r="R2348" t="str">
        <f>"23.717113"</f>
        <v>23.717113</v>
      </c>
      <c r="S2348" t="s">
        <v>26</v>
      </c>
    </row>
    <row r="2349" spans="1:19" x14ac:dyDescent="0.3">
      <c r="A2349" t="s">
        <v>3237</v>
      </c>
      <c r="B2349" t="s">
        <v>6738</v>
      </c>
      <c r="C2349" t="s">
        <v>7091</v>
      </c>
      <c r="D2349" t="s">
        <v>3238</v>
      </c>
      <c r="E2349" t="s">
        <v>3468</v>
      </c>
      <c r="F2349" t="s">
        <v>3541</v>
      </c>
      <c r="G2349" t="s">
        <v>3541</v>
      </c>
      <c r="H2349" t="s">
        <v>868</v>
      </c>
      <c r="I2349" t="s">
        <v>869</v>
      </c>
      <c r="J2349" t="str">
        <f>"9050172"</f>
        <v>9050172</v>
      </c>
      <c r="K2349">
        <v>2107610004</v>
      </c>
      <c r="M2349" t="s">
        <v>7092</v>
      </c>
      <c r="N2349" t="s">
        <v>3589</v>
      </c>
      <c r="O2349" t="s">
        <v>7093</v>
      </c>
      <c r="P2349">
        <v>17237</v>
      </c>
      <c r="Q2349" t="str">
        <f>"37.954847"</f>
        <v>37.954847</v>
      </c>
      <c r="R2349" t="str">
        <f>"23.749773"</f>
        <v>23.749773</v>
      </c>
      <c r="S2349" t="s">
        <v>26</v>
      </c>
    </row>
    <row r="2350" spans="1:19" x14ac:dyDescent="0.3">
      <c r="A2350" t="s">
        <v>3237</v>
      </c>
      <c r="B2350" t="s">
        <v>6738</v>
      </c>
      <c r="C2350" t="s">
        <v>3740</v>
      </c>
      <c r="D2350" t="s">
        <v>3238</v>
      </c>
      <c r="E2350" t="s">
        <v>3239</v>
      </c>
      <c r="F2350" t="s">
        <v>3239</v>
      </c>
      <c r="G2350" t="s">
        <v>3312</v>
      </c>
      <c r="H2350" t="s">
        <v>868</v>
      </c>
      <c r="I2350" t="s">
        <v>869</v>
      </c>
      <c r="J2350" t="str">
        <f>"9050524"</f>
        <v>9050524</v>
      </c>
      <c r="K2350">
        <v>2108659980</v>
      </c>
      <c r="L2350">
        <v>2108665807</v>
      </c>
      <c r="M2350" t="s">
        <v>7094</v>
      </c>
      <c r="N2350" t="s">
        <v>3284</v>
      </c>
      <c r="O2350" t="s">
        <v>7095</v>
      </c>
      <c r="P2350">
        <v>11363</v>
      </c>
      <c r="Q2350" t="str">
        <f>"38.007955"</f>
        <v>38.007955</v>
      </c>
      <c r="R2350" t="str">
        <f>"23.751354"</f>
        <v>23.751354</v>
      </c>
      <c r="S2350" t="s">
        <v>26</v>
      </c>
    </row>
    <row r="2351" spans="1:19" x14ac:dyDescent="0.3">
      <c r="A2351" t="s">
        <v>3237</v>
      </c>
      <c r="B2351" t="s">
        <v>6738</v>
      </c>
      <c r="C2351" t="s">
        <v>3864</v>
      </c>
      <c r="D2351" t="s">
        <v>3238</v>
      </c>
      <c r="E2351" t="s">
        <v>3404</v>
      </c>
      <c r="F2351" t="s">
        <v>3405</v>
      </c>
      <c r="G2351" t="s">
        <v>3405</v>
      </c>
      <c r="H2351" t="s">
        <v>868</v>
      </c>
      <c r="I2351" t="s">
        <v>869</v>
      </c>
      <c r="J2351" t="str">
        <f>"9050461"</f>
        <v>9050461</v>
      </c>
      <c r="K2351">
        <v>2102511124</v>
      </c>
      <c r="L2351">
        <v>2102516665</v>
      </c>
      <c r="M2351" t="s">
        <v>7099</v>
      </c>
      <c r="N2351" t="s">
        <v>3408</v>
      </c>
      <c r="O2351" t="s">
        <v>7100</v>
      </c>
      <c r="P2351">
        <v>14341</v>
      </c>
      <c r="Q2351" t="str">
        <f>"38.032797"</f>
        <v>38.032797</v>
      </c>
      <c r="R2351" t="str">
        <f>"23.738671"</f>
        <v>23.738671</v>
      </c>
      <c r="S2351" t="s">
        <v>26</v>
      </c>
    </row>
    <row r="2352" spans="1:19" x14ac:dyDescent="0.3">
      <c r="A2352" t="s">
        <v>3237</v>
      </c>
      <c r="B2352" t="s">
        <v>6738</v>
      </c>
      <c r="C2352" t="s">
        <v>7101</v>
      </c>
      <c r="D2352" t="s">
        <v>3238</v>
      </c>
      <c r="E2352" t="s">
        <v>3239</v>
      </c>
      <c r="F2352" t="s">
        <v>3239</v>
      </c>
      <c r="G2352" t="s">
        <v>3281</v>
      </c>
      <c r="H2352" t="s">
        <v>868</v>
      </c>
      <c r="I2352" t="s">
        <v>869</v>
      </c>
      <c r="J2352" t="str">
        <f>"9051098"</f>
        <v>9051098</v>
      </c>
      <c r="K2352">
        <v>2109019100</v>
      </c>
      <c r="L2352">
        <v>2109019100</v>
      </c>
      <c r="M2352" t="s">
        <v>7102</v>
      </c>
      <c r="N2352" t="s">
        <v>3284</v>
      </c>
      <c r="O2352" t="s">
        <v>7103</v>
      </c>
      <c r="P2352">
        <v>11745</v>
      </c>
      <c r="Q2352" t="str">
        <f>"37.952962"</f>
        <v>37.952962</v>
      </c>
      <c r="R2352" t="str">
        <f>"23.721867"</f>
        <v>23.721867</v>
      </c>
      <c r="S2352" t="s">
        <v>26</v>
      </c>
    </row>
    <row r="2353" spans="1:19" x14ac:dyDescent="0.3">
      <c r="A2353" t="s">
        <v>3237</v>
      </c>
      <c r="B2353" t="s">
        <v>6738</v>
      </c>
      <c r="C2353" t="s">
        <v>3786</v>
      </c>
      <c r="D2353" t="s">
        <v>3238</v>
      </c>
      <c r="E2353" t="s">
        <v>3239</v>
      </c>
      <c r="F2353" t="s">
        <v>3239</v>
      </c>
      <c r="G2353" t="s">
        <v>3322</v>
      </c>
      <c r="H2353" t="s">
        <v>868</v>
      </c>
      <c r="I2353" t="s">
        <v>869</v>
      </c>
      <c r="J2353" t="str">
        <f>"9050316"</f>
        <v>9050316</v>
      </c>
      <c r="K2353">
        <v>2103464992</v>
      </c>
      <c r="L2353">
        <v>2103464992</v>
      </c>
      <c r="M2353" t="s">
        <v>7110</v>
      </c>
      <c r="N2353" t="s">
        <v>3374</v>
      </c>
      <c r="O2353" t="s">
        <v>7111</v>
      </c>
      <c r="P2353">
        <v>11853</v>
      </c>
      <c r="Q2353" t="str">
        <f>"37.971164"</f>
        <v>37.971164</v>
      </c>
      <c r="R2353" t="str">
        <f>"23.707132"</f>
        <v>23.707132</v>
      </c>
      <c r="S2353" t="s">
        <v>26</v>
      </c>
    </row>
    <row r="2354" spans="1:19" x14ac:dyDescent="0.3">
      <c r="A2354" t="s">
        <v>3237</v>
      </c>
      <c r="B2354" t="s">
        <v>6738</v>
      </c>
      <c r="C2354" t="s">
        <v>3647</v>
      </c>
      <c r="D2354" t="s">
        <v>3238</v>
      </c>
      <c r="E2354" t="s">
        <v>3432</v>
      </c>
      <c r="F2354" t="s">
        <v>3432</v>
      </c>
      <c r="G2354" t="s">
        <v>3432</v>
      </c>
      <c r="H2354" t="s">
        <v>868</v>
      </c>
      <c r="I2354" t="s">
        <v>869</v>
      </c>
      <c r="J2354" t="str">
        <f>"9050966"</f>
        <v>9050966</v>
      </c>
      <c r="K2354">
        <v>2109922216</v>
      </c>
      <c r="L2354">
        <v>2109922216</v>
      </c>
      <c r="M2354" t="s">
        <v>7112</v>
      </c>
      <c r="N2354" t="s">
        <v>3435</v>
      </c>
      <c r="O2354" t="s">
        <v>7113</v>
      </c>
      <c r="P2354">
        <v>16341</v>
      </c>
      <c r="Q2354" t="str">
        <f>"37.922346"</f>
        <v>37.922346</v>
      </c>
      <c r="R2354" t="str">
        <f>"23.746615"</f>
        <v>23.746615</v>
      </c>
      <c r="S2354" t="s">
        <v>26</v>
      </c>
    </row>
    <row r="2355" spans="1:19" x14ac:dyDescent="0.3">
      <c r="A2355" t="s">
        <v>3237</v>
      </c>
      <c r="B2355" t="s">
        <v>6738</v>
      </c>
      <c r="C2355" t="s">
        <v>3621</v>
      </c>
      <c r="D2355" t="s">
        <v>3238</v>
      </c>
      <c r="E2355" t="s">
        <v>3432</v>
      </c>
      <c r="F2355" t="s">
        <v>3432</v>
      </c>
      <c r="G2355" t="s">
        <v>3432</v>
      </c>
      <c r="H2355" t="s">
        <v>868</v>
      </c>
      <c r="I2355" t="s">
        <v>869</v>
      </c>
      <c r="J2355" t="str">
        <f>"9050834"</f>
        <v>9050834</v>
      </c>
      <c r="K2355">
        <v>2109922612</v>
      </c>
      <c r="L2355">
        <v>2109939024</v>
      </c>
      <c r="M2355" t="s">
        <v>7114</v>
      </c>
      <c r="N2355" t="s">
        <v>3435</v>
      </c>
      <c r="O2355" t="s">
        <v>7115</v>
      </c>
      <c r="P2355">
        <v>16346</v>
      </c>
      <c r="Q2355" t="str">
        <f>"37.934604"</f>
        <v>37.934604</v>
      </c>
      <c r="R2355" t="str">
        <f>"23.751522"</f>
        <v>23.751522</v>
      </c>
      <c r="S2355" t="s">
        <v>26</v>
      </c>
    </row>
    <row r="2356" spans="1:19" x14ac:dyDescent="0.3">
      <c r="A2356" t="s">
        <v>3237</v>
      </c>
      <c r="B2356" t="s">
        <v>6738</v>
      </c>
      <c r="C2356" t="s">
        <v>7119</v>
      </c>
      <c r="D2356" t="s">
        <v>3238</v>
      </c>
      <c r="E2356" t="s">
        <v>3239</v>
      </c>
      <c r="F2356" t="s">
        <v>3239</v>
      </c>
      <c r="G2356" t="s">
        <v>3382</v>
      </c>
      <c r="H2356" t="s">
        <v>868</v>
      </c>
      <c r="I2356" t="s">
        <v>869</v>
      </c>
      <c r="J2356" t="str">
        <f>"9050307"</f>
        <v>9050307</v>
      </c>
      <c r="K2356">
        <v>2105128202</v>
      </c>
      <c r="L2356">
        <v>2105128202</v>
      </c>
      <c r="M2356" t="s">
        <v>7120</v>
      </c>
      <c r="N2356" t="s">
        <v>3284</v>
      </c>
      <c r="O2356" t="s">
        <v>7121</v>
      </c>
      <c r="P2356">
        <v>10441</v>
      </c>
      <c r="Q2356" t="str">
        <f>"37.986981"</f>
        <v>37.986981</v>
      </c>
      <c r="R2356" t="str">
        <f>"23.715663"</f>
        <v>23.715663</v>
      </c>
      <c r="S2356" t="s">
        <v>26</v>
      </c>
    </row>
    <row r="2357" spans="1:19" x14ac:dyDescent="0.3">
      <c r="A2357" t="s">
        <v>3237</v>
      </c>
      <c r="B2357" t="s">
        <v>6738</v>
      </c>
      <c r="C2357" t="s">
        <v>3745</v>
      </c>
      <c r="D2357" t="s">
        <v>3238</v>
      </c>
      <c r="E2357" t="s">
        <v>3404</v>
      </c>
      <c r="F2357" t="s">
        <v>3405</v>
      </c>
      <c r="G2357" t="s">
        <v>3405</v>
      </c>
      <c r="H2357" t="s">
        <v>868</v>
      </c>
      <c r="I2357" t="s">
        <v>869</v>
      </c>
      <c r="J2357" t="str">
        <f>"9050463"</f>
        <v>9050463</v>
      </c>
      <c r="K2357">
        <v>2102510625</v>
      </c>
      <c r="L2357">
        <v>2102530765</v>
      </c>
      <c r="M2357" t="s">
        <v>7128</v>
      </c>
      <c r="N2357" t="s">
        <v>3743</v>
      </c>
      <c r="O2357" t="s">
        <v>7129</v>
      </c>
      <c r="P2357">
        <v>14342</v>
      </c>
      <c r="Q2357" t="str">
        <f>"38.044263"</f>
        <v>38.044263</v>
      </c>
      <c r="R2357" t="str">
        <f>"23.741180"</f>
        <v>23.741180</v>
      </c>
      <c r="S2357" t="s">
        <v>26</v>
      </c>
    </row>
    <row r="2358" spans="1:19" x14ac:dyDescent="0.3">
      <c r="A2358" t="s">
        <v>3237</v>
      </c>
      <c r="B2358" t="s">
        <v>6738</v>
      </c>
      <c r="C2358" t="s">
        <v>3467</v>
      </c>
      <c r="D2358" t="s">
        <v>3238</v>
      </c>
      <c r="E2358" t="s">
        <v>3239</v>
      </c>
      <c r="F2358" t="s">
        <v>3239</v>
      </c>
      <c r="G2358" t="s">
        <v>3382</v>
      </c>
      <c r="H2358" t="s">
        <v>868</v>
      </c>
      <c r="I2358" t="s">
        <v>869</v>
      </c>
      <c r="J2358" t="str">
        <f>"9050451"</f>
        <v>9050451</v>
      </c>
      <c r="K2358">
        <v>2105124309</v>
      </c>
      <c r="L2358">
        <v>2105124309</v>
      </c>
      <c r="M2358" t="s">
        <v>7138</v>
      </c>
      <c r="N2358" t="s">
        <v>3325</v>
      </c>
      <c r="O2358" t="s">
        <v>7139</v>
      </c>
      <c r="P2358">
        <v>10443</v>
      </c>
      <c r="Q2358" t="str">
        <f>"38.008297"</f>
        <v>38.008297</v>
      </c>
      <c r="R2358" t="str">
        <f>"23.716831"</f>
        <v>23.716831</v>
      </c>
      <c r="S2358" t="s">
        <v>26</v>
      </c>
    </row>
    <row r="2359" spans="1:19" x14ac:dyDescent="0.3">
      <c r="A2359" t="s">
        <v>3237</v>
      </c>
      <c r="B2359" t="s">
        <v>6738</v>
      </c>
      <c r="C2359" t="s">
        <v>7140</v>
      </c>
      <c r="D2359" t="s">
        <v>3238</v>
      </c>
      <c r="E2359" t="s">
        <v>3239</v>
      </c>
      <c r="F2359" t="s">
        <v>3239</v>
      </c>
      <c r="G2359" t="s">
        <v>3312</v>
      </c>
      <c r="H2359" t="s">
        <v>868</v>
      </c>
      <c r="I2359" t="s">
        <v>869</v>
      </c>
      <c r="J2359" t="str">
        <f>"9050522"</f>
        <v>9050522</v>
      </c>
      <c r="K2359">
        <v>2108815100</v>
      </c>
      <c r="L2359">
        <v>2108815100</v>
      </c>
      <c r="M2359" t="s">
        <v>7141</v>
      </c>
      <c r="N2359" t="s">
        <v>3284</v>
      </c>
      <c r="O2359" t="s">
        <v>7142</v>
      </c>
      <c r="P2359">
        <v>11363</v>
      </c>
      <c r="Q2359" t="str">
        <f>"38.001375"</f>
        <v>38.001375</v>
      </c>
      <c r="R2359" t="str">
        <f>"23.743497"</f>
        <v>23.743497</v>
      </c>
      <c r="S2359" t="s">
        <v>26</v>
      </c>
    </row>
    <row r="2360" spans="1:19" x14ac:dyDescent="0.3">
      <c r="A2360" t="s">
        <v>3237</v>
      </c>
      <c r="B2360" t="s">
        <v>6738</v>
      </c>
      <c r="C2360" t="s">
        <v>3635</v>
      </c>
      <c r="D2360" t="s">
        <v>3238</v>
      </c>
      <c r="E2360" t="s">
        <v>3432</v>
      </c>
      <c r="F2360" t="s">
        <v>3432</v>
      </c>
      <c r="G2360" t="s">
        <v>3432</v>
      </c>
      <c r="H2360" t="s">
        <v>868</v>
      </c>
      <c r="I2360" t="s">
        <v>869</v>
      </c>
      <c r="J2360" t="str">
        <f>"9050158"</f>
        <v>9050158</v>
      </c>
      <c r="K2360">
        <v>2109919550</v>
      </c>
      <c r="L2360">
        <v>2109919550</v>
      </c>
      <c r="M2360" t="s">
        <v>7143</v>
      </c>
      <c r="N2360" t="s">
        <v>3435</v>
      </c>
      <c r="O2360" t="s">
        <v>7144</v>
      </c>
      <c r="P2360">
        <v>16345</v>
      </c>
      <c r="Q2360" t="str">
        <f>"37.937407"</f>
        <v>37.937407</v>
      </c>
      <c r="R2360" t="str">
        <f>"23.756780"</f>
        <v>23.756780</v>
      </c>
      <c r="S2360" t="s">
        <v>26</v>
      </c>
    </row>
    <row r="2361" spans="1:19" x14ac:dyDescent="0.3">
      <c r="A2361" t="s">
        <v>3237</v>
      </c>
      <c r="B2361" t="s">
        <v>6738</v>
      </c>
      <c r="C2361" t="s">
        <v>7149</v>
      </c>
      <c r="D2361" t="s">
        <v>3238</v>
      </c>
      <c r="E2361" t="s">
        <v>3239</v>
      </c>
      <c r="F2361" t="s">
        <v>3239</v>
      </c>
      <c r="G2361" t="s">
        <v>3346</v>
      </c>
      <c r="H2361" t="s">
        <v>868</v>
      </c>
      <c r="I2361" t="s">
        <v>869</v>
      </c>
      <c r="J2361" t="str">
        <f>"9051361"</f>
        <v>9051361</v>
      </c>
      <c r="K2361">
        <v>2102910510</v>
      </c>
      <c r="L2361">
        <v>2102910510</v>
      </c>
      <c r="M2361" t="s">
        <v>7150</v>
      </c>
      <c r="N2361" t="s">
        <v>3284</v>
      </c>
      <c r="O2361" t="s">
        <v>7151</v>
      </c>
      <c r="P2361">
        <v>11142</v>
      </c>
      <c r="Q2361" t="str">
        <f>"38.023219"</f>
        <v>38.023219</v>
      </c>
      <c r="R2361" t="str">
        <f>"23.748751"</f>
        <v>23.748751</v>
      </c>
      <c r="S2361" t="s">
        <v>26</v>
      </c>
    </row>
    <row r="2362" spans="1:19" x14ac:dyDescent="0.3">
      <c r="A2362" t="s">
        <v>3237</v>
      </c>
      <c r="B2362" t="s">
        <v>6738</v>
      </c>
      <c r="C2362" t="s">
        <v>3486</v>
      </c>
      <c r="D2362" t="s">
        <v>3238</v>
      </c>
      <c r="E2362" t="s">
        <v>3239</v>
      </c>
      <c r="F2362" t="s">
        <v>3239</v>
      </c>
      <c r="G2362" t="s">
        <v>3346</v>
      </c>
      <c r="H2362" t="s">
        <v>868</v>
      </c>
      <c r="I2362" t="s">
        <v>869</v>
      </c>
      <c r="J2362" t="str">
        <f>"9051091"</f>
        <v>9051091</v>
      </c>
      <c r="K2362">
        <v>2108322310</v>
      </c>
      <c r="L2362">
        <v>2108322310</v>
      </c>
      <c r="M2362" t="s">
        <v>7152</v>
      </c>
      <c r="N2362" t="s">
        <v>3284</v>
      </c>
      <c r="O2362" t="s">
        <v>7153</v>
      </c>
      <c r="P2362">
        <v>11145</v>
      </c>
      <c r="Q2362" t="str">
        <f>"38.014159"</f>
        <v>38.014159</v>
      </c>
      <c r="R2362" t="str">
        <f>"23.724287"</f>
        <v>23.724287</v>
      </c>
      <c r="S2362" t="s">
        <v>26</v>
      </c>
    </row>
    <row r="2363" spans="1:19" x14ac:dyDescent="0.3">
      <c r="A2363" t="s">
        <v>3237</v>
      </c>
      <c r="B2363" t="s">
        <v>6738</v>
      </c>
      <c r="C2363" t="s">
        <v>3847</v>
      </c>
      <c r="D2363" t="s">
        <v>3238</v>
      </c>
      <c r="E2363" t="s">
        <v>3432</v>
      </c>
      <c r="F2363" t="s">
        <v>3432</v>
      </c>
      <c r="G2363" t="s">
        <v>3432</v>
      </c>
      <c r="H2363" t="s">
        <v>868</v>
      </c>
      <c r="I2363" t="s">
        <v>869</v>
      </c>
      <c r="J2363" t="str">
        <f>"9051362"</f>
        <v>9051362</v>
      </c>
      <c r="K2363">
        <v>2109942630</v>
      </c>
      <c r="L2363">
        <v>2109942630</v>
      </c>
      <c r="M2363" t="s">
        <v>7154</v>
      </c>
      <c r="N2363" t="s">
        <v>3435</v>
      </c>
      <c r="O2363" t="s">
        <v>7036</v>
      </c>
      <c r="P2363">
        <v>16342</v>
      </c>
      <c r="Q2363" t="str">
        <f>"37.926084"</f>
        <v>37.926084</v>
      </c>
      <c r="R2363" t="str">
        <f>"23.760451"</f>
        <v>23.760451</v>
      </c>
      <c r="S2363" t="s">
        <v>26</v>
      </c>
    </row>
    <row r="2364" spans="1:19" x14ac:dyDescent="0.3">
      <c r="A2364" t="s">
        <v>3237</v>
      </c>
      <c r="B2364" t="s">
        <v>6738</v>
      </c>
      <c r="C2364" t="s">
        <v>7155</v>
      </c>
      <c r="D2364" t="s">
        <v>3238</v>
      </c>
      <c r="E2364" t="s">
        <v>3239</v>
      </c>
      <c r="F2364" t="s">
        <v>3239</v>
      </c>
      <c r="G2364" t="s">
        <v>3382</v>
      </c>
      <c r="H2364" t="s">
        <v>868</v>
      </c>
      <c r="I2364" t="s">
        <v>869</v>
      </c>
      <c r="J2364" t="str">
        <f>"9050302"</f>
        <v>9050302</v>
      </c>
      <c r="K2364">
        <v>2105128675</v>
      </c>
      <c r="L2364">
        <v>2105128675</v>
      </c>
      <c r="M2364" t="s">
        <v>7156</v>
      </c>
      <c r="N2364" t="s">
        <v>3284</v>
      </c>
      <c r="O2364" t="s">
        <v>7157</v>
      </c>
      <c r="P2364">
        <v>10443</v>
      </c>
      <c r="Q2364" t="str">
        <f>"38.001174"</f>
        <v>38.001174</v>
      </c>
      <c r="R2364" t="str">
        <f>"23.706348"</f>
        <v>23.706348</v>
      </c>
      <c r="S2364" t="s">
        <v>26</v>
      </c>
    </row>
    <row r="2365" spans="1:19" x14ac:dyDescent="0.3">
      <c r="A2365" t="s">
        <v>3237</v>
      </c>
      <c r="B2365" t="s">
        <v>6738</v>
      </c>
      <c r="C2365" t="s">
        <v>3427</v>
      </c>
      <c r="D2365" t="s">
        <v>3238</v>
      </c>
      <c r="E2365" t="s">
        <v>3239</v>
      </c>
      <c r="F2365" t="s">
        <v>3239</v>
      </c>
      <c r="G2365" t="s">
        <v>3382</v>
      </c>
      <c r="H2365" t="s">
        <v>868</v>
      </c>
      <c r="I2365" t="s">
        <v>869</v>
      </c>
      <c r="J2365" t="str">
        <f>"9050949"</f>
        <v>9050949</v>
      </c>
      <c r="K2365">
        <v>2108317300</v>
      </c>
      <c r="L2365">
        <v>2108317300</v>
      </c>
      <c r="M2365" t="s">
        <v>7158</v>
      </c>
      <c r="N2365" t="s">
        <v>3284</v>
      </c>
      <c r="O2365" t="s">
        <v>7159</v>
      </c>
      <c r="P2365">
        <v>10445</v>
      </c>
      <c r="Q2365" t="str">
        <f>"38.008742"</f>
        <v>38.008742</v>
      </c>
      <c r="R2365" t="str">
        <f>"23.725007"</f>
        <v>23.725007</v>
      </c>
      <c r="S2365" t="s">
        <v>26</v>
      </c>
    </row>
    <row r="2366" spans="1:19" x14ac:dyDescent="0.3">
      <c r="A2366" t="s">
        <v>3237</v>
      </c>
      <c r="B2366" t="s">
        <v>6738</v>
      </c>
      <c r="C2366" t="s">
        <v>3562</v>
      </c>
      <c r="D2366" t="s">
        <v>3238</v>
      </c>
      <c r="E2366" t="s">
        <v>3506</v>
      </c>
      <c r="F2366" t="s">
        <v>3506</v>
      </c>
      <c r="G2366" t="s">
        <v>3506</v>
      </c>
      <c r="H2366" t="s">
        <v>868</v>
      </c>
      <c r="I2366" t="s">
        <v>869</v>
      </c>
      <c r="J2366" t="str">
        <f>"9051326"</f>
        <v>9051326</v>
      </c>
      <c r="K2366">
        <v>2107648708</v>
      </c>
      <c r="L2366">
        <v>2107658400</v>
      </c>
      <c r="M2366" t="s">
        <v>7160</v>
      </c>
      <c r="N2366" t="s">
        <v>3532</v>
      </c>
      <c r="O2366" t="s">
        <v>7161</v>
      </c>
      <c r="P2366">
        <v>16232</v>
      </c>
      <c r="Q2366" t="str">
        <f>"37.953245"</f>
        <v>37.953245</v>
      </c>
      <c r="R2366" t="str">
        <f>"23.756394"</f>
        <v>23.756394</v>
      </c>
      <c r="S2366" t="s">
        <v>26</v>
      </c>
    </row>
    <row r="2367" spans="1:19" x14ac:dyDescent="0.3">
      <c r="A2367" t="s">
        <v>3237</v>
      </c>
      <c r="B2367" t="s">
        <v>6738</v>
      </c>
      <c r="C2367" t="s">
        <v>3339</v>
      </c>
      <c r="D2367" t="s">
        <v>3238</v>
      </c>
      <c r="E2367" t="s">
        <v>3239</v>
      </c>
      <c r="F2367" t="s">
        <v>3239</v>
      </c>
      <c r="G2367" t="s">
        <v>3312</v>
      </c>
      <c r="H2367" t="s">
        <v>868</v>
      </c>
      <c r="I2367" t="s">
        <v>869</v>
      </c>
      <c r="J2367" t="str">
        <f>"9051810"</f>
        <v>9051810</v>
      </c>
      <c r="K2367">
        <v>2108643693</v>
      </c>
      <c r="L2367">
        <v>2108643165</v>
      </c>
      <c r="M2367" t="s">
        <v>7162</v>
      </c>
      <c r="N2367" t="s">
        <v>3461</v>
      </c>
      <c r="O2367" t="s">
        <v>7163</v>
      </c>
      <c r="P2367">
        <v>10446</v>
      </c>
      <c r="Q2367" t="str">
        <f>"38.002791"</f>
        <v>38.002791</v>
      </c>
      <c r="R2367" t="str">
        <f>"23.725713"</f>
        <v>23.725713</v>
      </c>
      <c r="S2367" t="s">
        <v>26</v>
      </c>
    </row>
    <row r="2368" spans="1:19" x14ac:dyDescent="0.3">
      <c r="A2368" t="s">
        <v>3237</v>
      </c>
      <c r="B2368" t="s">
        <v>6738</v>
      </c>
      <c r="C2368" t="s">
        <v>3442</v>
      </c>
      <c r="D2368" t="s">
        <v>3238</v>
      </c>
      <c r="E2368" t="s">
        <v>3239</v>
      </c>
      <c r="F2368" t="s">
        <v>3239</v>
      </c>
      <c r="G2368" t="s">
        <v>3312</v>
      </c>
      <c r="H2368" t="s">
        <v>868</v>
      </c>
      <c r="I2368" t="s">
        <v>869</v>
      </c>
      <c r="J2368" t="str">
        <f>"9051596"</f>
        <v>9051596</v>
      </c>
      <c r="K2368">
        <v>2108233848</v>
      </c>
      <c r="L2368">
        <v>2108233848</v>
      </c>
      <c r="M2368" t="s">
        <v>7164</v>
      </c>
      <c r="N2368" t="s">
        <v>3284</v>
      </c>
      <c r="O2368" t="s">
        <v>7165</v>
      </c>
      <c r="P2368">
        <v>11362</v>
      </c>
      <c r="Q2368" t="str">
        <f>"37.998240"</f>
        <v>37.998240</v>
      </c>
      <c r="R2368" t="str">
        <f>"23.739797"</f>
        <v>23.739797</v>
      </c>
      <c r="S2368" t="s">
        <v>26</v>
      </c>
    </row>
    <row r="2369" spans="1:19" x14ac:dyDescent="0.3">
      <c r="A2369" t="s">
        <v>3237</v>
      </c>
      <c r="B2369" t="s">
        <v>6738</v>
      </c>
      <c r="C2369" t="s">
        <v>3316</v>
      </c>
      <c r="D2369" t="s">
        <v>3238</v>
      </c>
      <c r="E2369" t="s">
        <v>3239</v>
      </c>
      <c r="F2369" t="s">
        <v>3239</v>
      </c>
      <c r="G2369" t="s">
        <v>3346</v>
      </c>
      <c r="H2369" t="s">
        <v>868</v>
      </c>
      <c r="I2369" t="s">
        <v>869</v>
      </c>
      <c r="J2369" t="str">
        <f>"9050948"</f>
        <v>9050948</v>
      </c>
      <c r="K2369">
        <v>2102023650</v>
      </c>
      <c r="L2369">
        <v>2102023650</v>
      </c>
      <c r="M2369" t="s">
        <v>7169</v>
      </c>
      <c r="N2369" t="s">
        <v>3461</v>
      </c>
      <c r="O2369" t="s">
        <v>7170</v>
      </c>
      <c r="P2369">
        <v>11254</v>
      </c>
      <c r="Q2369" t="str">
        <f>"38.009531"</f>
        <v>38.009531</v>
      </c>
      <c r="R2369" t="str">
        <f>"23.732349"</f>
        <v>23.732349</v>
      </c>
      <c r="S2369" t="s">
        <v>26</v>
      </c>
    </row>
    <row r="2370" spans="1:19" x14ac:dyDescent="0.3">
      <c r="A2370" t="s">
        <v>3237</v>
      </c>
      <c r="B2370" t="s">
        <v>6738</v>
      </c>
      <c r="C2370" t="s">
        <v>3558</v>
      </c>
      <c r="D2370" t="s">
        <v>3238</v>
      </c>
      <c r="E2370" t="s">
        <v>3317</v>
      </c>
      <c r="F2370" t="s">
        <v>3317</v>
      </c>
      <c r="G2370" t="s">
        <v>3317</v>
      </c>
      <c r="H2370" t="s">
        <v>868</v>
      </c>
      <c r="I2370" t="s">
        <v>869</v>
      </c>
      <c r="J2370" t="str">
        <f>"9050668"</f>
        <v>9050668</v>
      </c>
      <c r="K2370">
        <v>2107777879</v>
      </c>
      <c r="L2370">
        <v>2107777879</v>
      </c>
      <c r="M2370" t="s">
        <v>7174</v>
      </c>
      <c r="N2370" t="s">
        <v>3317</v>
      </c>
      <c r="O2370" t="s">
        <v>7175</v>
      </c>
      <c r="P2370">
        <v>15772</v>
      </c>
      <c r="Q2370" t="str">
        <f>"37.971923"</f>
        <v>37.971923</v>
      </c>
      <c r="R2370" t="str">
        <f>"23.775224"</f>
        <v>23.775224</v>
      </c>
      <c r="S2370" t="s">
        <v>26</v>
      </c>
    </row>
    <row r="2371" spans="1:19" x14ac:dyDescent="0.3">
      <c r="A2371" t="s">
        <v>3237</v>
      </c>
      <c r="B2371" t="s">
        <v>6738</v>
      </c>
      <c r="C2371" t="s">
        <v>7184</v>
      </c>
      <c r="D2371" t="s">
        <v>3238</v>
      </c>
      <c r="E2371" t="s">
        <v>3239</v>
      </c>
      <c r="F2371" t="s">
        <v>3239</v>
      </c>
      <c r="G2371" t="s">
        <v>3346</v>
      </c>
      <c r="H2371" t="s">
        <v>868</v>
      </c>
      <c r="I2371" t="s">
        <v>869</v>
      </c>
      <c r="J2371" t="str">
        <f>"9050516"</f>
        <v>9050516</v>
      </c>
      <c r="K2371">
        <v>2102922729</v>
      </c>
      <c r="L2371">
        <v>2102922729</v>
      </c>
      <c r="M2371" t="s">
        <v>7185</v>
      </c>
      <c r="N2371" t="s">
        <v>3284</v>
      </c>
      <c r="O2371" t="s">
        <v>7151</v>
      </c>
      <c r="P2371">
        <v>11142</v>
      </c>
      <c r="Q2371" t="str">
        <f>"38.022230"</f>
        <v>38.022230</v>
      </c>
      <c r="R2371" t="str">
        <f>"23.748167"</f>
        <v>23.748167</v>
      </c>
      <c r="S2371" t="s">
        <v>26</v>
      </c>
    </row>
    <row r="2372" spans="1:19" x14ac:dyDescent="0.3">
      <c r="A2372" t="s">
        <v>3237</v>
      </c>
      <c r="B2372" t="s">
        <v>6738</v>
      </c>
      <c r="C2372" t="s">
        <v>7189</v>
      </c>
      <c r="D2372" t="s">
        <v>3238</v>
      </c>
      <c r="E2372" t="s">
        <v>3239</v>
      </c>
      <c r="F2372" t="s">
        <v>3239</v>
      </c>
      <c r="G2372" t="s">
        <v>3382</v>
      </c>
      <c r="H2372" t="s">
        <v>868</v>
      </c>
      <c r="I2372" t="s">
        <v>869</v>
      </c>
      <c r="J2372" t="str">
        <f>"9050914"</f>
        <v>9050914</v>
      </c>
      <c r="K2372">
        <v>2108319372</v>
      </c>
      <c r="L2372">
        <v>2108319372</v>
      </c>
      <c r="M2372" t="s">
        <v>7190</v>
      </c>
      <c r="N2372" t="s">
        <v>3284</v>
      </c>
      <c r="O2372" t="s">
        <v>3867</v>
      </c>
      <c r="P2372">
        <v>10445</v>
      </c>
      <c r="Q2372" t="str">
        <f>"38.007251"</f>
        <v>38.007251</v>
      </c>
      <c r="R2372" t="str">
        <f>"23.724264"</f>
        <v>23.724264</v>
      </c>
      <c r="S2372" t="s">
        <v>26</v>
      </c>
    </row>
    <row r="2373" spans="1:19" x14ac:dyDescent="0.3">
      <c r="A2373" t="s">
        <v>3237</v>
      </c>
      <c r="B2373" t="s">
        <v>6738</v>
      </c>
      <c r="C2373" t="s">
        <v>7194</v>
      </c>
      <c r="D2373" t="s">
        <v>3238</v>
      </c>
      <c r="E2373" t="s">
        <v>3506</v>
      </c>
      <c r="F2373" t="s">
        <v>3506</v>
      </c>
      <c r="G2373" t="s">
        <v>3506</v>
      </c>
      <c r="H2373" t="s">
        <v>868</v>
      </c>
      <c r="I2373" t="s">
        <v>869</v>
      </c>
      <c r="J2373" t="str">
        <f>"9050129"</f>
        <v>9050129</v>
      </c>
      <c r="K2373">
        <v>2107640343</v>
      </c>
      <c r="L2373">
        <v>2107640343</v>
      </c>
      <c r="M2373" t="s">
        <v>7195</v>
      </c>
      <c r="N2373" t="s">
        <v>3509</v>
      </c>
      <c r="O2373" t="s">
        <v>7196</v>
      </c>
      <c r="P2373">
        <v>16233</v>
      </c>
      <c r="Q2373" t="str">
        <f>"37.946685"</f>
        <v>37.946685</v>
      </c>
      <c r="R2373" t="str">
        <f>"23.766127"</f>
        <v>23.766127</v>
      </c>
      <c r="S2373" t="s">
        <v>26</v>
      </c>
    </row>
    <row r="2374" spans="1:19" x14ac:dyDescent="0.3">
      <c r="A2374" t="s">
        <v>3237</v>
      </c>
      <c r="B2374" t="s">
        <v>6738</v>
      </c>
      <c r="C2374" t="s">
        <v>7223</v>
      </c>
      <c r="D2374" t="s">
        <v>3238</v>
      </c>
      <c r="E2374" t="s">
        <v>3443</v>
      </c>
      <c r="F2374" t="s">
        <v>3443</v>
      </c>
      <c r="G2374" t="s">
        <v>3443</v>
      </c>
      <c r="H2374" t="s">
        <v>868</v>
      </c>
      <c r="I2374" t="s">
        <v>869</v>
      </c>
      <c r="J2374" t="str">
        <f>"9050540"</f>
        <v>9050540</v>
      </c>
      <c r="K2374">
        <v>2102925097</v>
      </c>
      <c r="L2374">
        <v>2102925097</v>
      </c>
      <c r="M2374" t="s">
        <v>7224</v>
      </c>
      <c r="N2374" t="s">
        <v>3446</v>
      </c>
      <c r="O2374" t="s">
        <v>7225</v>
      </c>
      <c r="P2374">
        <v>11147</v>
      </c>
      <c r="Q2374" t="str">
        <f>"38.011769"</f>
        <v>38.011769</v>
      </c>
      <c r="R2374" t="str">
        <f>"23.753956"</f>
        <v>23.753956</v>
      </c>
      <c r="S2374" t="s">
        <v>26</v>
      </c>
    </row>
    <row r="2375" spans="1:19" x14ac:dyDescent="0.3">
      <c r="A2375" t="s">
        <v>3237</v>
      </c>
      <c r="B2375" t="s">
        <v>6738</v>
      </c>
      <c r="C2375" t="s">
        <v>7246</v>
      </c>
      <c r="D2375" t="s">
        <v>3238</v>
      </c>
      <c r="E2375" t="s">
        <v>3239</v>
      </c>
      <c r="F2375" t="s">
        <v>3239</v>
      </c>
      <c r="G2375" t="s">
        <v>3240</v>
      </c>
      <c r="H2375" t="s">
        <v>868</v>
      </c>
      <c r="I2375" t="s">
        <v>1602</v>
      </c>
      <c r="J2375" t="str">
        <f>"9050659"</f>
        <v>9050659</v>
      </c>
      <c r="K2375">
        <v>2103610527</v>
      </c>
      <c r="L2375">
        <v>2103610527</v>
      </c>
      <c r="M2375" t="s">
        <v>7247</v>
      </c>
      <c r="N2375" t="s">
        <v>3461</v>
      </c>
      <c r="O2375" t="s">
        <v>7248</v>
      </c>
      <c r="P2375">
        <v>10673</v>
      </c>
      <c r="Q2375" t="str">
        <f>"37.979851"</f>
        <v>37.979851</v>
      </c>
      <c r="R2375" t="str">
        <f>"23.738451"</f>
        <v>23.738451</v>
      </c>
      <c r="S2375" t="s">
        <v>26</v>
      </c>
    </row>
    <row r="2376" spans="1:19" x14ac:dyDescent="0.3">
      <c r="A2376" t="s">
        <v>3237</v>
      </c>
      <c r="B2376" t="s">
        <v>6738</v>
      </c>
      <c r="C2376" t="s">
        <v>3836</v>
      </c>
      <c r="D2376" t="s">
        <v>3238</v>
      </c>
      <c r="E2376" t="s">
        <v>3239</v>
      </c>
      <c r="F2376" t="s">
        <v>3239</v>
      </c>
      <c r="G2376" t="s">
        <v>3346</v>
      </c>
      <c r="H2376" t="s">
        <v>868</v>
      </c>
      <c r="I2376" t="s">
        <v>869</v>
      </c>
      <c r="J2376" t="str">
        <f>"9050444"</f>
        <v>9050444</v>
      </c>
      <c r="K2376">
        <v>2108316411</v>
      </c>
      <c r="L2376">
        <v>2108316411</v>
      </c>
      <c r="M2376" t="s">
        <v>7257</v>
      </c>
      <c r="N2376" t="s">
        <v>3374</v>
      </c>
      <c r="O2376" t="s">
        <v>7258</v>
      </c>
      <c r="P2376">
        <v>11145</v>
      </c>
      <c r="Q2376" t="str">
        <f>"38.016388"</f>
        <v>38.016388</v>
      </c>
      <c r="R2376" t="str">
        <f>"23.722745"</f>
        <v>23.722745</v>
      </c>
      <c r="S2376" t="s">
        <v>26</v>
      </c>
    </row>
    <row r="2377" spans="1:19" x14ac:dyDescent="0.3">
      <c r="A2377" t="s">
        <v>3237</v>
      </c>
      <c r="B2377" t="s">
        <v>6738</v>
      </c>
      <c r="C2377" t="s">
        <v>7262</v>
      </c>
      <c r="D2377" t="s">
        <v>3238</v>
      </c>
      <c r="E2377" t="s">
        <v>3358</v>
      </c>
      <c r="F2377" t="s">
        <v>3358</v>
      </c>
      <c r="G2377" t="s">
        <v>3358</v>
      </c>
      <c r="H2377" t="s">
        <v>868</v>
      </c>
      <c r="I2377" t="s">
        <v>869</v>
      </c>
      <c r="J2377" t="str">
        <f>"9051814"</f>
        <v>9051814</v>
      </c>
      <c r="K2377">
        <v>2107224873</v>
      </c>
      <c r="L2377">
        <v>2107224873</v>
      </c>
      <c r="M2377" t="s">
        <v>7263</v>
      </c>
      <c r="N2377" t="s">
        <v>6907</v>
      </c>
      <c r="O2377" t="s">
        <v>7075</v>
      </c>
      <c r="P2377">
        <v>16122</v>
      </c>
      <c r="Q2377" t="str">
        <f>"37.967781"</f>
        <v>37.967781</v>
      </c>
      <c r="R2377" t="str">
        <f>"23.761887"</f>
        <v>23.761887</v>
      </c>
      <c r="S2377" t="s">
        <v>26</v>
      </c>
    </row>
    <row r="2378" spans="1:19" x14ac:dyDescent="0.3">
      <c r="A2378" t="s">
        <v>3237</v>
      </c>
      <c r="B2378" t="s">
        <v>6738</v>
      </c>
      <c r="C2378" t="s">
        <v>3345</v>
      </c>
      <c r="D2378" t="s">
        <v>3238</v>
      </c>
      <c r="E2378" t="s">
        <v>3239</v>
      </c>
      <c r="F2378" t="s">
        <v>3239</v>
      </c>
      <c r="G2378" t="s">
        <v>3340</v>
      </c>
      <c r="H2378" t="s">
        <v>868</v>
      </c>
      <c r="I2378" t="s">
        <v>869</v>
      </c>
      <c r="J2378" t="str">
        <f>"9050002"</f>
        <v>9050002</v>
      </c>
      <c r="K2378">
        <v>2106918832</v>
      </c>
      <c r="L2378">
        <v>2106918832</v>
      </c>
      <c r="M2378" t="s">
        <v>7275</v>
      </c>
      <c r="N2378" t="s">
        <v>3284</v>
      </c>
      <c r="O2378" t="s">
        <v>7276</v>
      </c>
      <c r="P2378">
        <v>11524</v>
      </c>
      <c r="Q2378" t="str">
        <f>"37.993383"</f>
        <v>37.993383</v>
      </c>
      <c r="R2378" t="str">
        <f>"23.761545"</f>
        <v>23.761545</v>
      </c>
      <c r="S2378" t="s">
        <v>26</v>
      </c>
    </row>
    <row r="2379" spans="1:19" x14ac:dyDescent="0.3">
      <c r="A2379" t="s">
        <v>3237</v>
      </c>
      <c r="B2379" t="s">
        <v>6738</v>
      </c>
      <c r="C2379" t="s">
        <v>7280</v>
      </c>
      <c r="D2379" t="s">
        <v>3238</v>
      </c>
      <c r="E2379" t="s">
        <v>3239</v>
      </c>
      <c r="F2379" t="s">
        <v>3239</v>
      </c>
      <c r="G2379" t="s">
        <v>3281</v>
      </c>
      <c r="H2379" t="s">
        <v>868</v>
      </c>
      <c r="I2379" t="s">
        <v>869</v>
      </c>
      <c r="J2379" t="str">
        <f>"9050100"</f>
        <v>9050100</v>
      </c>
      <c r="K2379">
        <v>2107013113</v>
      </c>
      <c r="L2379">
        <v>2107013113</v>
      </c>
      <c r="M2379" t="s">
        <v>7281</v>
      </c>
      <c r="N2379" t="s">
        <v>3461</v>
      </c>
      <c r="O2379" t="s">
        <v>7137</v>
      </c>
      <c r="P2379">
        <v>11636</v>
      </c>
      <c r="Q2379" t="str">
        <f>"37.966296"</f>
        <v>37.966296</v>
      </c>
      <c r="R2379" t="str">
        <f>"23.742675"</f>
        <v>23.742675</v>
      </c>
      <c r="S2379" t="s">
        <v>26</v>
      </c>
    </row>
    <row r="2380" spans="1:19" x14ac:dyDescent="0.3">
      <c r="A2380" t="s">
        <v>3237</v>
      </c>
      <c r="B2380" t="s">
        <v>6738</v>
      </c>
      <c r="C2380" t="s">
        <v>7286</v>
      </c>
      <c r="D2380" t="s">
        <v>3238</v>
      </c>
      <c r="E2380" t="s">
        <v>3239</v>
      </c>
      <c r="F2380" t="s">
        <v>3239</v>
      </c>
      <c r="G2380" t="s">
        <v>3346</v>
      </c>
      <c r="H2380" t="s">
        <v>868</v>
      </c>
      <c r="I2380" t="s">
        <v>869</v>
      </c>
      <c r="J2380" t="str">
        <f>"9051108"</f>
        <v>9051108</v>
      </c>
      <c r="K2380">
        <v>2102020088</v>
      </c>
      <c r="L2380">
        <v>2102020088</v>
      </c>
      <c r="M2380" t="s">
        <v>7287</v>
      </c>
      <c r="N2380" t="s">
        <v>3284</v>
      </c>
      <c r="O2380" t="s">
        <v>7288</v>
      </c>
      <c r="P2380">
        <v>11141</v>
      </c>
      <c r="Q2380" t="str">
        <f>"38.019472"</f>
        <v>38.019472</v>
      </c>
      <c r="R2380" t="str">
        <f>"23.742196"</f>
        <v>23.742196</v>
      </c>
      <c r="S2380" t="s">
        <v>26</v>
      </c>
    </row>
    <row r="2381" spans="1:19" x14ac:dyDescent="0.3">
      <c r="A2381" t="s">
        <v>3237</v>
      </c>
      <c r="B2381" t="s">
        <v>6738</v>
      </c>
      <c r="C2381" t="s">
        <v>7307</v>
      </c>
      <c r="D2381" t="s">
        <v>3238</v>
      </c>
      <c r="E2381" t="s">
        <v>3239</v>
      </c>
      <c r="F2381" t="s">
        <v>3239</v>
      </c>
      <c r="G2381" t="s">
        <v>3382</v>
      </c>
      <c r="H2381" t="s">
        <v>868</v>
      </c>
      <c r="I2381" t="s">
        <v>869</v>
      </c>
      <c r="J2381" t="str">
        <f>"9051089"</f>
        <v>9051089</v>
      </c>
      <c r="K2381">
        <v>2105148130</v>
      </c>
      <c r="L2381">
        <v>2105148130</v>
      </c>
      <c r="M2381" t="s">
        <v>7308</v>
      </c>
      <c r="N2381" t="s">
        <v>3284</v>
      </c>
      <c r="O2381" t="s">
        <v>3715</v>
      </c>
      <c r="P2381">
        <v>10443</v>
      </c>
      <c r="Q2381" t="str">
        <f>"38.007856"</f>
        <v>38.007856</v>
      </c>
      <c r="R2381" t="str">
        <f>"23.720449"</f>
        <v>23.720449</v>
      </c>
      <c r="S2381" t="s">
        <v>26</v>
      </c>
    </row>
    <row r="2382" spans="1:19" x14ac:dyDescent="0.3">
      <c r="A2382" t="s">
        <v>3237</v>
      </c>
      <c r="B2382" t="s">
        <v>6738</v>
      </c>
      <c r="C2382" t="s">
        <v>3411</v>
      </c>
      <c r="D2382" t="s">
        <v>3238</v>
      </c>
      <c r="E2382" t="s">
        <v>3404</v>
      </c>
      <c r="F2382" t="s">
        <v>3405</v>
      </c>
      <c r="G2382" t="s">
        <v>3405</v>
      </c>
      <c r="H2382" t="s">
        <v>868</v>
      </c>
      <c r="I2382" t="s">
        <v>869</v>
      </c>
      <c r="J2382" t="str">
        <f>"9050483"</f>
        <v>9050483</v>
      </c>
      <c r="K2382">
        <v>2102514511</v>
      </c>
      <c r="L2382">
        <v>2102529640</v>
      </c>
      <c r="M2382" t="s">
        <v>7347</v>
      </c>
      <c r="N2382" t="s">
        <v>3408</v>
      </c>
      <c r="O2382" t="s">
        <v>7348</v>
      </c>
      <c r="P2382">
        <v>14342</v>
      </c>
      <c r="Q2382" t="str">
        <f>"38.051710"</f>
        <v>38.051710</v>
      </c>
      <c r="R2382" t="str">
        <f>"23.740401"</f>
        <v>23.740401</v>
      </c>
      <c r="S2382" t="s">
        <v>26</v>
      </c>
    </row>
    <row r="2383" spans="1:19" x14ac:dyDescent="0.3">
      <c r="A2383" t="s">
        <v>3237</v>
      </c>
      <c r="B2383" t="s">
        <v>6738</v>
      </c>
      <c r="C2383" t="s">
        <v>7349</v>
      </c>
      <c r="D2383" t="s">
        <v>3238</v>
      </c>
      <c r="E2383" t="s">
        <v>3239</v>
      </c>
      <c r="F2383" t="s">
        <v>3239</v>
      </c>
      <c r="G2383" t="s">
        <v>3382</v>
      </c>
      <c r="H2383" t="s">
        <v>868</v>
      </c>
      <c r="I2383" t="s">
        <v>1157</v>
      </c>
      <c r="J2383" t="str">
        <f>"9050906"</f>
        <v>9050906</v>
      </c>
      <c r="K2383">
        <v>2105131785</v>
      </c>
      <c r="L2383">
        <v>2105131785</v>
      </c>
      <c r="M2383" t="s">
        <v>7350</v>
      </c>
      <c r="N2383" t="s">
        <v>3325</v>
      </c>
      <c r="O2383" t="s">
        <v>7351</v>
      </c>
      <c r="P2383">
        <v>10443</v>
      </c>
      <c r="Q2383" t="str">
        <f>"38.002118"</f>
        <v>38.002118</v>
      </c>
      <c r="R2383" t="str">
        <f>"23.713355"</f>
        <v>23.713355</v>
      </c>
      <c r="S2383" t="s">
        <v>26</v>
      </c>
    </row>
    <row r="2384" spans="1:19" x14ac:dyDescent="0.3">
      <c r="A2384" t="s">
        <v>3237</v>
      </c>
      <c r="B2384" t="s">
        <v>6738</v>
      </c>
      <c r="C2384" t="s">
        <v>3763</v>
      </c>
      <c r="D2384" t="s">
        <v>3238</v>
      </c>
      <c r="E2384" t="s">
        <v>3443</v>
      </c>
      <c r="F2384" t="s">
        <v>3443</v>
      </c>
      <c r="G2384" t="s">
        <v>3443</v>
      </c>
      <c r="H2384" t="s">
        <v>868</v>
      </c>
      <c r="I2384" t="s">
        <v>869</v>
      </c>
      <c r="J2384" t="str">
        <f>"9051547"</f>
        <v>9051547</v>
      </c>
      <c r="K2384">
        <v>2102932840</v>
      </c>
      <c r="L2384">
        <v>2102932840</v>
      </c>
      <c r="M2384" t="s">
        <v>7358</v>
      </c>
      <c r="N2384" t="s">
        <v>3446</v>
      </c>
      <c r="O2384" t="s">
        <v>7359</v>
      </c>
      <c r="P2384">
        <v>11146</v>
      </c>
      <c r="Q2384" t="str">
        <f>"38.014148"</f>
        <v>38.014148</v>
      </c>
      <c r="R2384" t="str">
        <f>"23.747150"</f>
        <v>23.747150</v>
      </c>
      <c r="S2384" t="s">
        <v>26</v>
      </c>
    </row>
    <row r="2385" spans="1:19" x14ac:dyDescent="0.3">
      <c r="A2385" t="s">
        <v>3237</v>
      </c>
      <c r="B2385" t="s">
        <v>6738</v>
      </c>
      <c r="C2385" t="s">
        <v>7360</v>
      </c>
      <c r="D2385" t="s">
        <v>3238</v>
      </c>
      <c r="E2385" t="s">
        <v>3506</v>
      </c>
      <c r="F2385" t="s">
        <v>3506</v>
      </c>
      <c r="G2385" t="s">
        <v>3506</v>
      </c>
      <c r="H2385" t="s">
        <v>868</v>
      </c>
      <c r="I2385" t="s">
        <v>869</v>
      </c>
      <c r="J2385" t="str">
        <f>"9050946"</f>
        <v>9050946</v>
      </c>
      <c r="K2385">
        <v>2107658407</v>
      </c>
      <c r="L2385">
        <v>2107658407</v>
      </c>
      <c r="M2385" t="s">
        <v>7361</v>
      </c>
      <c r="N2385" t="s">
        <v>3509</v>
      </c>
      <c r="O2385" t="s">
        <v>7362</v>
      </c>
      <c r="P2385">
        <v>16232</v>
      </c>
      <c r="Q2385" t="str">
        <f>"37.956653"</f>
        <v>37.956653</v>
      </c>
      <c r="R2385" t="str">
        <f>"23.751941"</f>
        <v>23.751941</v>
      </c>
      <c r="S2385" t="s">
        <v>26</v>
      </c>
    </row>
    <row r="2386" spans="1:19" x14ac:dyDescent="0.3">
      <c r="A2386" t="s">
        <v>3237</v>
      </c>
      <c r="B2386" t="s">
        <v>6738</v>
      </c>
      <c r="C2386" t="s">
        <v>7363</v>
      </c>
      <c r="D2386" t="s">
        <v>3238</v>
      </c>
      <c r="E2386" t="s">
        <v>3468</v>
      </c>
      <c r="F2386" t="s">
        <v>3541</v>
      </c>
      <c r="G2386" t="s">
        <v>3541</v>
      </c>
      <c r="H2386" t="s">
        <v>868</v>
      </c>
      <c r="I2386" t="s">
        <v>869</v>
      </c>
      <c r="J2386" t="str">
        <f>"9050671"</f>
        <v>9050671</v>
      </c>
      <c r="K2386">
        <v>2107625529</v>
      </c>
      <c r="L2386">
        <v>2107625529</v>
      </c>
      <c r="M2386" t="s">
        <v>7364</v>
      </c>
      <c r="N2386" t="s">
        <v>3589</v>
      </c>
      <c r="O2386" t="s">
        <v>3600</v>
      </c>
      <c r="P2386">
        <v>17237</v>
      </c>
      <c r="Q2386" t="str">
        <f>"37.950491"</f>
        <v>37.950491</v>
      </c>
      <c r="R2386" t="str">
        <f>"23.754183"</f>
        <v>23.754183</v>
      </c>
      <c r="S2386" t="s">
        <v>26</v>
      </c>
    </row>
    <row r="2387" spans="1:19" x14ac:dyDescent="0.3">
      <c r="A2387" t="s">
        <v>3237</v>
      </c>
      <c r="B2387" t="s">
        <v>6738</v>
      </c>
      <c r="C2387" t="s">
        <v>3515</v>
      </c>
      <c r="D2387" t="s">
        <v>3238</v>
      </c>
      <c r="E2387" t="s">
        <v>3239</v>
      </c>
      <c r="F2387" t="s">
        <v>3239</v>
      </c>
      <c r="G2387" t="s">
        <v>3281</v>
      </c>
      <c r="H2387" t="s">
        <v>868</v>
      </c>
      <c r="I2387" t="s">
        <v>869</v>
      </c>
      <c r="J2387" t="str">
        <f>"9050096"</f>
        <v>9050096</v>
      </c>
      <c r="K2387">
        <v>2107216253</v>
      </c>
      <c r="L2387">
        <v>2107224819</v>
      </c>
      <c r="M2387" t="s">
        <v>7365</v>
      </c>
      <c r="N2387" t="s">
        <v>3325</v>
      </c>
      <c r="O2387" t="s">
        <v>3789</v>
      </c>
      <c r="P2387">
        <v>11634</v>
      </c>
      <c r="Q2387" t="str">
        <f>"37.969561"</f>
        <v>37.969561</v>
      </c>
      <c r="R2387" t="str">
        <f>"23.747709"</f>
        <v>23.747709</v>
      </c>
      <c r="S2387" t="s">
        <v>26</v>
      </c>
    </row>
    <row r="2388" spans="1:19" x14ac:dyDescent="0.3">
      <c r="A2388" t="s">
        <v>3237</v>
      </c>
      <c r="B2388" t="s">
        <v>6738</v>
      </c>
      <c r="C2388" t="s">
        <v>7366</v>
      </c>
      <c r="D2388" t="s">
        <v>3238</v>
      </c>
      <c r="E2388" t="s">
        <v>3239</v>
      </c>
      <c r="F2388" t="s">
        <v>3239</v>
      </c>
      <c r="G2388" t="s">
        <v>3322</v>
      </c>
      <c r="H2388" t="s">
        <v>868</v>
      </c>
      <c r="I2388" t="s">
        <v>869</v>
      </c>
      <c r="J2388" t="str">
        <f>"9050309"</f>
        <v>9050309</v>
      </c>
      <c r="K2388">
        <v>2103464588</v>
      </c>
      <c r="L2388">
        <v>2103464588</v>
      </c>
      <c r="M2388" t="s">
        <v>7367</v>
      </c>
      <c r="N2388" t="s">
        <v>3284</v>
      </c>
      <c r="O2388" t="s">
        <v>7368</v>
      </c>
      <c r="P2388">
        <v>11851</v>
      </c>
      <c r="Q2388" t="str">
        <f>"37.977016"</f>
        <v>37.977016</v>
      </c>
      <c r="R2388" t="str">
        <f>"23.717136"</f>
        <v>23.717136</v>
      </c>
      <c r="S2388" t="s">
        <v>26</v>
      </c>
    </row>
    <row r="2389" spans="1:19" x14ac:dyDescent="0.3">
      <c r="A2389" t="s">
        <v>3237</v>
      </c>
      <c r="B2389" t="s">
        <v>6738</v>
      </c>
      <c r="C2389" t="s">
        <v>3523</v>
      </c>
      <c r="D2389" t="s">
        <v>3238</v>
      </c>
      <c r="E2389" t="s">
        <v>3443</v>
      </c>
      <c r="F2389" t="s">
        <v>3443</v>
      </c>
      <c r="G2389" t="s">
        <v>3443</v>
      </c>
      <c r="H2389" t="s">
        <v>868</v>
      </c>
      <c r="I2389" t="s">
        <v>869</v>
      </c>
      <c r="J2389" t="str">
        <f>"9051109"</f>
        <v>9051109</v>
      </c>
      <c r="K2389">
        <v>2102922542</v>
      </c>
      <c r="L2389">
        <v>2102925323</v>
      </c>
      <c r="M2389" t="s">
        <v>7369</v>
      </c>
      <c r="N2389" t="s">
        <v>3761</v>
      </c>
      <c r="O2389" t="s">
        <v>7370</v>
      </c>
      <c r="P2389">
        <v>11146</v>
      </c>
      <c r="Q2389" t="str">
        <f>"38.024053"</f>
        <v>38.024053</v>
      </c>
      <c r="R2389" t="str">
        <f>"23.756126"</f>
        <v>23.756126</v>
      </c>
      <c r="S2389" t="s">
        <v>26</v>
      </c>
    </row>
    <row r="2390" spans="1:19" x14ac:dyDescent="0.3">
      <c r="A2390" t="s">
        <v>3237</v>
      </c>
      <c r="B2390" t="s">
        <v>6738</v>
      </c>
      <c r="C2390" t="s">
        <v>3828</v>
      </c>
      <c r="D2390" t="s">
        <v>3238</v>
      </c>
      <c r="E2390" t="s">
        <v>3317</v>
      </c>
      <c r="F2390" t="s">
        <v>3317</v>
      </c>
      <c r="G2390" t="s">
        <v>3317</v>
      </c>
      <c r="H2390" t="s">
        <v>868</v>
      </c>
      <c r="I2390" t="s">
        <v>869</v>
      </c>
      <c r="J2390" t="str">
        <f>"9051357"</f>
        <v>9051357</v>
      </c>
      <c r="K2390">
        <v>2107488423</v>
      </c>
      <c r="L2390">
        <v>2107488423</v>
      </c>
      <c r="M2390" t="s">
        <v>7371</v>
      </c>
      <c r="N2390" t="s">
        <v>3317</v>
      </c>
      <c r="O2390" t="s">
        <v>7372</v>
      </c>
      <c r="P2390">
        <v>15772</v>
      </c>
      <c r="Q2390" t="str">
        <f>"37.971598"</f>
        <v>37.971598</v>
      </c>
      <c r="R2390" t="str">
        <f>"23.775245"</f>
        <v>23.775245</v>
      </c>
      <c r="S2390" t="s">
        <v>26</v>
      </c>
    </row>
    <row r="2391" spans="1:19" x14ac:dyDescent="0.3">
      <c r="A2391" t="s">
        <v>3237</v>
      </c>
      <c r="B2391" t="s">
        <v>6738</v>
      </c>
      <c r="C2391" t="s">
        <v>7376</v>
      </c>
      <c r="D2391" t="s">
        <v>3238</v>
      </c>
      <c r="E2391" t="s">
        <v>3239</v>
      </c>
      <c r="F2391" t="s">
        <v>3239</v>
      </c>
      <c r="G2391" t="s">
        <v>3346</v>
      </c>
      <c r="H2391" t="s">
        <v>868</v>
      </c>
      <c r="I2391" t="s">
        <v>869</v>
      </c>
      <c r="J2391" t="str">
        <f>"9051261"</f>
        <v>9051261</v>
      </c>
      <c r="K2391">
        <v>2102288830</v>
      </c>
      <c r="L2391">
        <v>2102288830</v>
      </c>
      <c r="M2391" t="s">
        <v>7377</v>
      </c>
      <c r="N2391" t="s">
        <v>3284</v>
      </c>
      <c r="O2391" t="s">
        <v>7378</v>
      </c>
      <c r="P2391">
        <v>11141</v>
      </c>
      <c r="Q2391" t="str">
        <f>"38.021744"</f>
        <v>38.021744</v>
      </c>
      <c r="R2391" t="str">
        <f>"23.737291"</f>
        <v>23.737291</v>
      </c>
      <c r="S2391" t="s">
        <v>26</v>
      </c>
    </row>
    <row r="2392" spans="1:19" x14ac:dyDescent="0.3">
      <c r="A2392" t="s">
        <v>3237</v>
      </c>
      <c r="B2392" t="s">
        <v>6738</v>
      </c>
      <c r="C2392" t="s">
        <v>7379</v>
      </c>
      <c r="D2392" t="s">
        <v>3238</v>
      </c>
      <c r="E2392" t="s">
        <v>3432</v>
      </c>
      <c r="F2392" t="s">
        <v>3432</v>
      </c>
      <c r="G2392" t="s">
        <v>3432</v>
      </c>
      <c r="H2392" t="s">
        <v>868</v>
      </c>
      <c r="I2392" t="s">
        <v>869</v>
      </c>
      <c r="J2392" t="str">
        <f>"9050165"</f>
        <v>9050165</v>
      </c>
      <c r="K2392">
        <v>2109717440</v>
      </c>
      <c r="L2392">
        <v>2109717440</v>
      </c>
      <c r="M2392" t="s">
        <v>7380</v>
      </c>
      <c r="N2392" t="s">
        <v>3974</v>
      </c>
      <c r="O2392" t="s">
        <v>7381</v>
      </c>
      <c r="P2392">
        <v>16345</v>
      </c>
      <c r="Q2392" t="str">
        <f>"37.943389"</f>
        <v>37.943389</v>
      </c>
      <c r="R2392" t="str">
        <f>"23.753803"</f>
        <v>23.753803</v>
      </c>
      <c r="S2392" t="s">
        <v>26</v>
      </c>
    </row>
    <row r="2393" spans="1:19" x14ac:dyDescent="0.3">
      <c r="A2393" t="s">
        <v>3237</v>
      </c>
      <c r="B2393" t="s">
        <v>6738</v>
      </c>
      <c r="C2393" t="s">
        <v>3311</v>
      </c>
      <c r="D2393" t="s">
        <v>3238</v>
      </c>
      <c r="E2393" t="s">
        <v>3239</v>
      </c>
      <c r="F2393" t="s">
        <v>3239</v>
      </c>
      <c r="G2393" t="s">
        <v>3312</v>
      </c>
      <c r="H2393" t="s">
        <v>868</v>
      </c>
      <c r="I2393" t="s">
        <v>869</v>
      </c>
      <c r="J2393" t="str">
        <f>"9050515"</f>
        <v>9050515</v>
      </c>
      <c r="K2393">
        <v>2108216815</v>
      </c>
      <c r="L2393">
        <v>2108816119</v>
      </c>
      <c r="M2393" t="s">
        <v>7395</v>
      </c>
      <c r="N2393" t="s">
        <v>3325</v>
      </c>
      <c r="O2393" t="s">
        <v>7396</v>
      </c>
      <c r="P2393">
        <v>11251</v>
      </c>
      <c r="Q2393" t="str">
        <f>"37.990000"</f>
        <v>37.990000</v>
      </c>
      <c r="R2393" t="str">
        <f>"23.720000"</f>
        <v>23.720000</v>
      </c>
      <c r="S2393" t="s">
        <v>26</v>
      </c>
    </row>
    <row r="2394" spans="1:19" x14ac:dyDescent="0.3">
      <c r="A2394" t="s">
        <v>3237</v>
      </c>
      <c r="B2394" t="s">
        <v>6738</v>
      </c>
      <c r="C2394" t="s">
        <v>7403</v>
      </c>
      <c r="D2394" t="s">
        <v>3238</v>
      </c>
      <c r="E2394" t="s">
        <v>3239</v>
      </c>
      <c r="F2394" t="s">
        <v>3239</v>
      </c>
      <c r="G2394" t="s">
        <v>3312</v>
      </c>
      <c r="H2394" t="s">
        <v>868</v>
      </c>
      <c r="I2394" t="s">
        <v>869</v>
      </c>
      <c r="J2394" t="str">
        <f>"9050520"</f>
        <v>9050520</v>
      </c>
      <c r="K2394">
        <v>2108846255</v>
      </c>
      <c r="L2394">
        <v>2108846254</v>
      </c>
      <c r="M2394" t="s">
        <v>7404</v>
      </c>
      <c r="N2394" t="s">
        <v>3284</v>
      </c>
      <c r="O2394" t="s">
        <v>7405</v>
      </c>
      <c r="P2394">
        <v>11363</v>
      </c>
      <c r="Q2394" t="str">
        <f>"37.999184"</f>
        <v>37.999184</v>
      </c>
      <c r="R2394" t="str">
        <f>"23.746517"</f>
        <v>23.746517</v>
      </c>
      <c r="S2394" t="s">
        <v>26</v>
      </c>
    </row>
    <row r="2395" spans="1:19" x14ac:dyDescent="0.3">
      <c r="A2395" t="s">
        <v>3237</v>
      </c>
      <c r="B2395" t="s">
        <v>6738</v>
      </c>
      <c r="C2395" t="s">
        <v>3605</v>
      </c>
      <c r="D2395" t="s">
        <v>3238</v>
      </c>
      <c r="E2395" t="s">
        <v>3239</v>
      </c>
      <c r="F2395" t="s">
        <v>3239</v>
      </c>
      <c r="G2395" t="s">
        <v>3312</v>
      </c>
      <c r="H2395" t="s">
        <v>868</v>
      </c>
      <c r="I2395" t="s">
        <v>869</v>
      </c>
      <c r="J2395" t="str">
        <f>"9050532"</f>
        <v>9050532</v>
      </c>
      <c r="K2395">
        <v>2108675226</v>
      </c>
      <c r="L2395">
        <v>2108675226</v>
      </c>
      <c r="M2395" t="s">
        <v>7408</v>
      </c>
      <c r="N2395" t="s">
        <v>3284</v>
      </c>
      <c r="O2395" t="s">
        <v>7409</v>
      </c>
      <c r="P2395">
        <v>11364</v>
      </c>
      <c r="Q2395" t="str">
        <f>"38.004113"</f>
        <v>38.004113</v>
      </c>
      <c r="R2395" t="str">
        <f>"23.745294"</f>
        <v>23.745294</v>
      </c>
      <c r="S2395" t="s">
        <v>26</v>
      </c>
    </row>
    <row r="2396" spans="1:19" x14ac:dyDescent="0.3">
      <c r="A2396" t="s">
        <v>3237</v>
      </c>
      <c r="B2396" t="s">
        <v>6738</v>
      </c>
      <c r="C2396" t="s">
        <v>7410</v>
      </c>
      <c r="D2396" t="s">
        <v>3238</v>
      </c>
      <c r="E2396" t="s">
        <v>3239</v>
      </c>
      <c r="F2396" t="s">
        <v>3239</v>
      </c>
      <c r="G2396" t="s">
        <v>3382</v>
      </c>
      <c r="H2396" t="s">
        <v>868</v>
      </c>
      <c r="I2396" t="s">
        <v>869</v>
      </c>
      <c r="J2396" t="str">
        <f>"9050825"</f>
        <v>9050825</v>
      </c>
      <c r="K2396">
        <v>2108319862</v>
      </c>
      <c r="L2396">
        <v>2108319862</v>
      </c>
      <c r="M2396" t="s">
        <v>7411</v>
      </c>
      <c r="N2396" t="s">
        <v>3284</v>
      </c>
      <c r="O2396" t="s">
        <v>3867</v>
      </c>
      <c r="P2396">
        <v>10445</v>
      </c>
      <c r="Q2396" t="str">
        <f>"38.007428"</f>
        <v>38.007428</v>
      </c>
      <c r="R2396" t="str">
        <f>"23.724135"</f>
        <v>23.724135</v>
      </c>
      <c r="S2396" t="s">
        <v>26</v>
      </c>
    </row>
    <row r="2397" spans="1:19" x14ac:dyDescent="0.3">
      <c r="A2397" t="s">
        <v>3237</v>
      </c>
      <c r="B2397" t="s">
        <v>6738</v>
      </c>
      <c r="C2397" t="s">
        <v>3684</v>
      </c>
      <c r="D2397" t="s">
        <v>3238</v>
      </c>
      <c r="E2397" t="s">
        <v>3239</v>
      </c>
      <c r="F2397" t="s">
        <v>3239</v>
      </c>
      <c r="G2397" t="s">
        <v>3382</v>
      </c>
      <c r="H2397" t="s">
        <v>868</v>
      </c>
      <c r="I2397" t="s">
        <v>869</v>
      </c>
      <c r="J2397" t="str">
        <f>"9051088"</f>
        <v>9051088</v>
      </c>
      <c r="K2397">
        <v>2105157445</v>
      </c>
      <c r="L2397">
        <v>2105125117</v>
      </c>
      <c r="M2397" t="s">
        <v>7412</v>
      </c>
      <c r="N2397" t="s">
        <v>3284</v>
      </c>
      <c r="O2397" t="s">
        <v>7413</v>
      </c>
      <c r="P2397">
        <v>10444</v>
      </c>
      <c r="Q2397" t="str">
        <f>"37.996536"</f>
        <v>37.996536</v>
      </c>
      <c r="R2397" t="str">
        <f>"23.719088"</f>
        <v>23.719088</v>
      </c>
      <c r="S2397" t="s">
        <v>26</v>
      </c>
    </row>
    <row r="2398" spans="1:19" x14ac:dyDescent="0.3">
      <c r="A2398" t="s">
        <v>3237</v>
      </c>
      <c r="B2398" t="s">
        <v>6738</v>
      </c>
      <c r="C2398" t="s">
        <v>7419</v>
      </c>
      <c r="D2398" t="s">
        <v>3238</v>
      </c>
      <c r="E2398" t="s">
        <v>3239</v>
      </c>
      <c r="F2398" t="s">
        <v>3239</v>
      </c>
      <c r="G2398" t="s">
        <v>3312</v>
      </c>
      <c r="H2398" t="s">
        <v>868</v>
      </c>
      <c r="I2398" t="s">
        <v>869</v>
      </c>
      <c r="J2398" t="str">
        <f>"9050456"</f>
        <v>9050456</v>
      </c>
      <c r="K2398">
        <v>2108676440</v>
      </c>
      <c r="L2398">
        <v>2108676570</v>
      </c>
      <c r="M2398" t="s">
        <v>7420</v>
      </c>
      <c r="N2398" t="s">
        <v>3461</v>
      </c>
      <c r="O2398" t="s">
        <v>5548</v>
      </c>
      <c r="P2398">
        <v>11253</v>
      </c>
      <c r="Q2398" t="str">
        <f>"38.006644"</f>
        <v>38.006644</v>
      </c>
      <c r="R2398" t="str">
        <f>"23.732454"</f>
        <v>23.732454</v>
      </c>
      <c r="S2398" t="s">
        <v>26</v>
      </c>
    </row>
    <row r="2399" spans="1:19" x14ac:dyDescent="0.3">
      <c r="A2399" t="s">
        <v>3237</v>
      </c>
      <c r="B2399" t="s">
        <v>6738</v>
      </c>
      <c r="C2399" t="s">
        <v>7427</v>
      </c>
      <c r="D2399" t="s">
        <v>3238</v>
      </c>
      <c r="E2399" t="s">
        <v>3404</v>
      </c>
      <c r="F2399" t="s">
        <v>3405</v>
      </c>
      <c r="G2399" t="s">
        <v>3405</v>
      </c>
      <c r="H2399" t="s">
        <v>868</v>
      </c>
      <c r="I2399" t="s">
        <v>869</v>
      </c>
      <c r="J2399" t="str">
        <f>"9050464"</f>
        <v>9050464</v>
      </c>
      <c r="K2399">
        <v>2102517246</v>
      </c>
      <c r="L2399">
        <v>2102517246</v>
      </c>
      <c r="M2399" t="s">
        <v>7428</v>
      </c>
      <c r="N2399" t="s">
        <v>7429</v>
      </c>
      <c r="O2399" t="s">
        <v>7430</v>
      </c>
      <c r="P2399">
        <v>14342</v>
      </c>
      <c r="Q2399" t="str">
        <f>"38.047802"</f>
        <v>38.047802</v>
      </c>
      <c r="R2399" t="str">
        <f>"23.745880"</f>
        <v>23.745880</v>
      </c>
      <c r="S2399" t="s">
        <v>26</v>
      </c>
    </row>
    <row r="2400" spans="1:19" x14ac:dyDescent="0.3">
      <c r="A2400" t="s">
        <v>3237</v>
      </c>
      <c r="B2400" t="s">
        <v>6738</v>
      </c>
      <c r="C2400" t="s">
        <v>3364</v>
      </c>
      <c r="D2400" t="s">
        <v>3238</v>
      </c>
      <c r="E2400" t="s">
        <v>3358</v>
      </c>
      <c r="F2400" t="s">
        <v>3358</v>
      </c>
      <c r="G2400" t="s">
        <v>3358</v>
      </c>
      <c r="H2400" t="s">
        <v>868</v>
      </c>
      <c r="I2400" t="s">
        <v>869</v>
      </c>
      <c r="J2400" t="str">
        <f>"9050128"</f>
        <v>9050128</v>
      </c>
      <c r="K2400">
        <v>2107651841</v>
      </c>
      <c r="L2400">
        <v>2107651841</v>
      </c>
      <c r="M2400" t="s">
        <v>7449</v>
      </c>
      <c r="N2400" t="s">
        <v>3361</v>
      </c>
      <c r="O2400" t="s">
        <v>7450</v>
      </c>
      <c r="P2400">
        <v>16121</v>
      </c>
      <c r="Q2400" t="str">
        <f>"37.964492"</f>
        <v>37.964492</v>
      </c>
      <c r="R2400" t="str">
        <f>"23.759390"</f>
        <v>23.759390</v>
      </c>
      <c r="S2400" t="s">
        <v>26</v>
      </c>
    </row>
    <row r="2401" spans="1:19" x14ac:dyDescent="0.3">
      <c r="A2401" t="s">
        <v>3237</v>
      </c>
      <c r="B2401" t="s">
        <v>6738</v>
      </c>
      <c r="C2401" t="s">
        <v>3546</v>
      </c>
      <c r="D2401" t="s">
        <v>3238</v>
      </c>
      <c r="E2401" t="s">
        <v>3468</v>
      </c>
      <c r="F2401" t="s">
        <v>3541</v>
      </c>
      <c r="G2401" t="s">
        <v>3541</v>
      </c>
      <c r="H2401" t="s">
        <v>868</v>
      </c>
      <c r="I2401" t="s">
        <v>869</v>
      </c>
      <c r="J2401" t="str">
        <f>"9051099"</f>
        <v>9051099</v>
      </c>
      <c r="K2401">
        <v>2109732294</v>
      </c>
      <c r="L2401">
        <v>2109732294</v>
      </c>
      <c r="M2401" t="s">
        <v>7458</v>
      </c>
      <c r="N2401" t="s">
        <v>3589</v>
      </c>
      <c r="O2401" t="s">
        <v>7459</v>
      </c>
      <c r="P2401">
        <v>17236</v>
      </c>
      <c r="Q2401" t="str">
        <f>"37.946961"</f>
        <v>37.946961</v>
      </c>
      <c r="R2401" t="str">
        <f>"23.746379"</f>
        <v>23.746379</v>
      </c>
      <c r="S2401" t="s">
        <v>26</v>
      </c>
    </row>
    <row r="2402" spans="1:19" x14ac:dyDescent="0.3">
      <c r="A2402" t="s">
        <v>3237</v>
      </c>
      <c r="B2402" t="s">
        <v>6738</v>
      </c>
      <c r="C2402" t="s">
        <v>7468</v>
      </c>
      <c r="D2402" t="s">
        <v>3238</v>
      </c>
      <c r="E2402" t="s">
        <v>3239</v>
      </c>
      <c r="F2402" t="s">
        <v>3239</v>
      </c>
      <c r="G2402" t="s">
        <v>3382</v>
      </c>
      <c r="H2402" t="s">
        <v>868</v>
      </c>
      <c r="I2402" t="s">
        <v>869</v>
      </c>
      <c r="J2402" t="str">
        <f>"9050817"</f>
        <v>9050817</v>
      </c>
      <c r="K2402">
        <v>2108311655</v>
      </c>
      <c r="L2402">
        <v>2108311663</v>
      </c>
      <c r="M2402" t="s">
        <v>7469</v>
      </c>
      <c r="N2402" t="s">
        <v>3284</v>
      </c>
      <c r="O2402" t="s">
        <v>7470</v>
      </c>
      <c r="P2402">
        <v>10445</v>
      </c>
      <c r="Q2402" t="str">
        <f>"38.010660"</f>
        <v>38.010660</v>
      </c>
      <c r="R2402" t="str">
        <f>"23.723069"</f>
        <v>23.723069</v>
      </c>
      <c r="S2402" t="s">
        <v>26</v>
      </c>
    </row>
    <row r="2403" spans="1:19" x14ac:dyDescent="0.3">
      <c r="A2403" t="s">
        <v>3237</v>
      </c>
      <c r="B2403" t="s">
        <v>6738</v>
      </c>
      <c r="C2403" t="s">
        <v>7471</v>
      </c>
      <c r="D2403" t="s">
        <v>3238</v>
      </c>
      <c r="E2403" t="s">
        <v>3239</v>
      </c>
      <c r="F2403" t="s">
        <v>3239</v>
      </c>
      <c r="G2403" t="s">
        <v>3340</v>
      </c>
      <c r="H2403" t="s">
        <v>868</v>
      </c>
      <c r="I2403" t="s">
        <v>869</v>
      </c>
      <c r="J2403" t="str">
        <f>"9050004"</f>
        <v>9050004</v>
      </c>
      <c r="K2403">
        <v>2107775186</v>
      </c>
      <c r="L2403">
        <v>2107770872</v>
      </c>
      <c r="M2403" t="s">
        <v>7472</v>
      </c>
      <c r="N2403" t="s">
        <v>3284</v>
      </c>
      <c r="O2403" t="s">
        <v>7473</v>
      </c>
      <c r="P2403">
        <v>11527</v>
      </c>
      <c r="Q2403" t="str">
        <f>"37.983171"</f>
        <v>37.983171</v>
      </c>
      <c r="R2403" t="str">
        <f>"23.763669"</f>
        <v>23.763669</v>
      </c>
      <c r="S2403" t="s">
        <v>26</v>
      </c>
    </row>
    <row r="2404" spans="1:19" x14ac:dyDescent="0.3">
      <c r="A2404" t="s">
        <v>3237</v>
      </c>
      <c r="B2404" t="s">
        <v>6738</v>
      </c>
      <c r="C2404" t="s">
        <v>7474</v>
      </c>
      <c r="D2404" t="s">
        <v>3238</v>
      </c>
      <c r="E2404" t="s">
        <v>3432</v>
      </c>
      <c r="F2404" t="s">
        <v>3432</v>
      </c>
      <c r="G2404" t="s">
        <v>3432</v>
      </c>
      <c r="H2404" t="s">
        <v>868</v>
      </c>
      <c r="I2404" t="s">
        <v>869</v>
      </c>
      <c r="J2404" t="str">
        <f>"9050163"</f>
        <v>9050163</v>
      </c>
      <c r="K2404">
        <v>2109921130</v>
      </c>
      <c r="L2404">
        <v>2109921130</v>
      </c>
      <c r="M2404" t="s">
        <v>7475</v>
      </c>
      <c r="N2404" t="s">
        <v>3435</v>
      </c>
      <c r="O2404" t="s">
        <v>6913</v>
      </c>
      <c r="P2404">
        <v>16343</v>
      </c>
      <c r="Q2404" t="str">
        <f>"37.934540"</f>
        <v>37.934540</v>
      </c>
      <c r="R2404" t="str">
        <f>"23.761184"</f>
        <v>23.761184</v>
      </c>
      <c r="S2404" t="s">
        <v>26</v>
      </c>
    </row>
    <row r="2405" spans="1:19" x14ac:dyDescent="0.3">
      <c r="A2405" t="s">
        <v>3237</v>
      </c>
      <c r="B2405" t="s">
        <v>6738</v>
      </c>
      <c r="C2405" t="s">
        <v>3490</v>
      </c>
      <c r="D2405" t="s">
        <v>3238</v>
      </c>
      <c r="E2405" t="s">
        <v>3432</v>
      </c>
      <c r="F2405" t="s">
        <v>3432</v>
      </c>
      <c r="G2405" t="s">
        <v>3432</v>
      </c>
      <c r="H2405" t="s">
        <v>868</v>
      </c>
      <c r="I2405" t="s">
        <v>869</v>
      </c>
      <c r="J2405" t="str">
        <f>"9051600"</f>
        <v>9051600</v>
      </c>
      <c r="K2405">
        <v>2109730555</v>
      </c>
      <c r="L2405">
        <v>2109730555</v>
      </c>
      <c r="M2405" t="s">
        <v>7476</v>
      </c>
      <c r="N2405" t="s">
        <v>3435</v>
      </c>
      <c r="O2405" t="s">
        <v>7477</v>
      </c>
      <c r="P2405">
        <v>16345</v>
      </c>
      <c r="Q2405" t="str">
        <f>"37.943160"</f>
        <v>37.943160</v>
      </c>
      <c r="R2405" t="str">
        <f>"23.753749"</f>
        <v>23.753749</v>
      </c>
      <c r="S2405" t="s">
        <v>26</v>
      </c>
    </row>
    <row r="2406" spans="1:19" x14ac:dyDescent="0.3">
      <c r="A2406" t="s">
        <v>3237</v>
      </c>
      <c r="B2406" t="s">
        <v>6738</v>
      </c>
      <c r="C2406" t="s">
        <v>7478</v>
      </c>
      <c r="D2406" t="s">
        <v>3238</v>
      </c>
      <c r="E2406" t="s">
        <v>3239</v>
      </c>
      <c r="F2406" t="s">
        <v>3239</v>
      </c>
      <c r="G2406" t="s">
        <v>3340</v>
      </c>
      <c r="H2406" t="s">
        <v>868</v>
      </c>
      <c r="I2406" t="s">
        <v>869</v>
      </c>
      <c r="J2406" t="str">
        <f>"9050014"</f>
        <v>9050014</v>
      </c>
      <c r="K2406">
        <v>2106468461</v>
      </c>
      <c r="L2406">
        <v>2106468461</v>
      </c>
      <c r="M2406" t="s">
        <v>7479</v>
      </c>
      <c r="N2406" t="s">
        <v>3284</v>
      </c>
      <c r="O2406" t="s">
        <v>7480</v>
      </c>
      <c r="P2406">
        <v>11474</v>
      </c>
      <c r="Q2406" t="str">
        <f>"37.991047"</f>
        <v>37.991047</v>
      </c>
      <c r="R2406" t="str">
        <f>"23.746191"</f>
        <v>23.746191</v>
      </c>
      <c r="S2406" t="s">
        <v>26</v>
      </c>
    </row>
    <row r="2407" spans="1:19" x14ac:dyDescent="0.3">
      <c r="A2407" t="s">
        <v>3237</v>
      </c>
      <c r="B2407" t="s">
        <v>6738</v>
      </c>
      <c r="C2407" t="s">
        <v>3716</v>
      </c>
      <c r="D2407" t="s">
        <v>3238</v>
      </c>
      <c r="E2407" t="s">
        <v>3239</v>
      </c>
      <c r="F2407" t="s">
        <v>3239</v>
      </c>
      <c r="G2407" t="s">
        <v>3382</v>
      </c>
      <c r="H2407" t="s">
        <v>868</v>
      </c>
      <c r="I2407" t="s">
        <v>869</v>
      </c>
      <c r="J2407" t="str">
        <f>"9051324"</f>
        <v>9051324</v>
      </c>
      <c r="K2407">
        <v>2105152811</v>
      </c>
      <c r="L2407">
        <v>2105152892</v>
      </c>
      <c r="M2407" t="s">
        <v>7481</v>
      </c>
      <c r="N2407" t="s">
        <v>3284</v>
      </c>
      <c r="O2407" t="s">
        <v>7482</v>
      </c>
      <c r="P2407">
        <v>10443</v>
      </c>
      <c r="Q2407" t="str">
        <f>"38.001831"</f>
        <v>38.001831</v>
      </c>
      <c r="R2407" t="str">
        <f>"23.710865"</f>
        <v>23.710865</v>
      </c>
      <c r="S2407" t="s">
        <v>26</v>
      </c>
    </row>
    <row r="2408" spans="1:19" x14ac:dyDescent="0.3">
      <c r="A2408" t="s">
        <v>3237</v>
      </c>
      <c r="B2408" t="s">
        <v>6738</v>
      </c>
      <c r="C2408" t="s">
        <v>3431</v>
      </c>
      <c r="D2408" t="s">
        <v>3238</v>
      </c>
      <c r="E2408" t="s">
        <v>3239</v>
      </c>
      <c r="F2408" t="s">
        <v>3239</v>
      </c>
      <c r="G2408" t="s">
        <v>3240</v>
      </c>
      <c r="H2408" t="s">
        <v>868</v>
      </c>
      <c r="I2408" t="s">
        <v>869</v>
      </c>
      <c r="J2408" t="str">
        <f>"9050094"</f>
        <v>9050094</v>
      </c>
      <c r="K2408">
        <v>2109230287</v>
      </c>
      <c r="L2408">
        <v>2109230287</v>
      </c>
      <c r="M2408" t="s">
        <v>7483</v>
      </c>
      <c r="N2408" t="s">
        <v>3325</v>
      </c>
      <c r="O2408" t="s">
        <v>7484</v>
      </c>
      <c r="P2408">
        <v>11741</v>
      </c>
      <c r="Q2408" t="str">
        <f>"37.963741"</f>
        <v>37.963741</v>
      </c>
      <c r="R2408" t="str">
        <f>"23.716925"</f>
        <v>23.716925</v>
      </c>
      <c r="S2408" t="s">
        <v>26</v>
      </c>
    </row>
    <row r="2409" spans="1:19" x14ac:dyDescent="0.3">
      <c r="A2409" t="s">
        <v>3237</v>
      </c>
      <c r="B2409" t="s">
        <v>6738</v>
      </c>
      <c r="C2409" t="s">
        <v>7488</v>
      </c>
      <c r="D2409" t="s">
        <v>3238</v>
      </c>
      <c r="E2409" t="s">
        <v>3239</v>
      </c>
      <c r="F2409" t="s">
        <v>3239</v>
      </c>
      <c r="G2409" t="s">
        <v>3322</v>
      </c>
      <c r="H2409" t="s">
        <v>868</v>
      </c>
      <c r="I2409" t="s">
        <v>869</v>
      </c>
      <c r="J2409" t="str">
        <f>"9050321"</f>
        <v>9050321</v>
      </c>
      <c r="K2409">
        <v>2103252320</v>
      </c>
      <c r="L2409">
        <v>2103252320</v>
      </c>
      <c r="M2409" t="s">
        <v>7489</v>
      </c>
      <c r="N2409" t="s">
        <v>3284</v>
      </c>
      <c r="O2409" t="s">
        <v>7490</v>
      </c>
      <c r="P2409">
        <v>10553</v>
      </c>
      <c r="Q2409" t="str">
        <f>"37.979594"</f>
        <v>37.979594</v>
      </c>
      <c r="R2409" t="str">
        <f>"23.719729"</f>
        <v>23.719729</v>
      </c>
      <c r="S2409" t="s">
        <v>26</v>
      </c>
    </row>
    <row r="2410" spans="1:19" x14ac:dyDescent="0.3">
      <c r="A2410" t="s">
        <v>3237</v>
      </c>
      <c r="B2410" t="s">
        <v>6738</v>
      </c>
      <c r="C2410" t="s">
        <v>3832</v>
      </c>
      <c r="D2410" t="s">
        <v>3238</v>
      </c>
      <c r="E2410" t="s">
        <v>3239</v>
      </c>
      <c r="F2410" t="s">
        <v>3239</v>
      </c>
      <c r="G2410" t="s">
        <v>3240</v>
      </c>
      <c r="H2410" t="s">
        <v>868</v>
      </c>
      <c r="I2410" t="s">
        <v>869</v>
      </c>
      <c r="J2410" t="str">
        <f>"9050448"</f>
        <v>9050448</v>
      </c>
      <c r="K2410">
        <v>2108210622</v>
      </c>
      <c r="L2410">
        <v>2108210622</v>
      </c>
      <c r="M2410" t="s">
        <v>7494</v>
      </c>
      <c r="N2410" t="s">
        <v>3284</v>
      </c>
      <c r="O2410" t="s">
        <v>7495</v>
      </c>
      <c r="P2410">
        <v>10439</v>
      </c>
      <c r="Q2410" t="str">
        <f>"37.990125"</f>
        <v>37.990125</v>
      </c>
      <c r="R2410" t="str">
        <f>"23.724913"</f>
        <v>23.724913</v>
      </c>
      <c r="S2410" t="s">
        <v>26</v>
      </c>
    </row>
    <row r="2411" spans="1:19" x14ac:dyDescent="0.3">
      <c r="A2411" t="s">
        <v>3237</v>
      </c>
      <c r="B2411" t="s">
        <v>6738</v>
      </c>
      <c r="C2411" t="s">
        <v>7496</v>
      </c>
      <c r="D2411" t="s">
        <v>3238</v>
      </c>
      <c r="E2411" t="s">
        <v>3404</v>
      </c>
      <c r="F2411" t="s">
        <v>3405</v>
      </c>
      <c r="G2411" t="s">
        <v>3405</v>
      </c>
      <c r="H2411" t="s">
        <v>868</v>
      </c>
      <c r="I2411" t="s">
        <v>869</v>
      </c>
      <c r="J2411" t="str">
        <f>"9051107"</f>
        <v>9051107</v>
      </c>
      <c r="K2411">
        <v>2102514813</v>
      </c>
      <c r="L2411">
        <v>2102530521</v>
      </c>
      <c r="M2411" t="s">
        <v>7497</v>
      </c>
      <c r="N2411" t="s">
        <v>3743</v>
      </c>
      <c r="O2411" t="s">
        <v>7498</v>
      </c>
      <c r="P2411">
        <v>14342</v>
      </c>
      <c r="Q2411" t="str">
        <f>"38.047572"</f>
        <v>38.047572</v>
      </c>
      <c r="R2411" t="str">
        <f>"23.736785"</f>
        <v>23.736785</v>
      </c>
      <c r="S2411" t="s">
        <v>26</v>
      </c>
    </row>
    <row r="2412" spans="1:19" x14ac:dyDescent="0.3">
      <c r="A2412" t="s">
        <v>3237</v>
      </c>
      <c r="B2412" t="s">
        <v>6738</v>
      </c>
      <c r="C2412" t="s">
        <v>7499</v>
      </c>
      <c r="D2412" t="s">
        <v>3238</v>
      </c>
      <c r="E2412" t="s">
        <v>3468</v>
      </c>
      <c r="F2412" t="s">
        <v>3469</v>
      </c>
      <c r="G2412" t="s">
        <v>3469</v>
      </c>
      <c r="H2412" t="s">
        <v>868</v>
      </c>
      <c r="I2412" t="s">
        <v>869</v>
      </c>
      <c r="J2412" t="str">
        <f>"9050155"</f>
        <v>9050155</v>
      </c>
      <c r="K2412">
        <v>2109718783</v>
      </c>
      <c r="L2412">
        <v>2109718783</v>
      </c>
      <c r="M2412" t="s">
        <v>7500</v>
      </c>
      <c r="N2412" t="s">
        <v>3549</v>
      </c>
      <c r="O2412" t="s">
        <v>7501</v>
      </c>
      <c r="P2412">
        <v>17236</v>
      </c>
      <c r="Q2412" t="str">
        <f>"37.946533"</f>
        <v>37.946533</v>
      </c>
      <c r="R2412" t="str">
        <f>"23.740212"</f>
        <v>23.740212</v>
      </c>
      <c r="S2412" t="s">
        <v>26</v>
      </c>
    </row>
    <row r="2413" spans="1:19" x14ac:dyDescent="0.3">
      <c r="A2413" t="s">
        <v>3237</v>
      </c>
      <c r="B2413" t="s">
        <v>6738</v>
      </c>
      <c r="C2413" t="s">
        <v>7502</v>
      </c>
      <c r="D2413" t="s">
        <v>3238</v>
      </c>
      <c r="E2413" t="s">
        <v>3506</v>
      </c>
      <c r="F2413" t="s">
        <v>3506</v>
      </c>
      <c r="G2413" t="s">
        <v>3506</v>
      </c>
      <c r="H2413" t="s">
        <v>868</v>
      </c>
      <c r="I2413" t="s">
        <v>869</v>
      </c>
      <c r="J2413" t="str">
        <f>"9050115"</f>
        <v>9050115</v>
      </c>
      <c r="K2413">
        <v>2107664940</v>
      </c>
      <c r="L2413">
        <v>2107664940</v>
      </c>
      <c r="M2413" t="s">
        <v>7503</v>
      </c>
      <c r="N2413" t="s">
        <v>3509</v>
      </c>
      <c r="O2413" t="s">
        <v>7341</v>
      </c>
      <c r="P2413">
        <v>16233</v>
      </c>
      <c r="Q2413" t="str">
        <f>"37.953519"</f>
        <v>37.953519</v>
      </c>
      <c r="R2413" t="str">
        <f>"23.763209"</f>
        <v>23.763209</v>
      </c>
      <c r="S2413" t="s">
        <v>26</v>
      </c>
    </row>
    <row r="2414" spans="1:19" x14ac:dyDescent="0.3">
      <c r="A2414" t="s">
        <v>3237</v>
      </c>
      <c r="B2414" t="s">
        <v>6738</v>
      </c>
      <c r="C2414" t="s">
        <v>3591</v>
      </c>
      <c r="D2414" t="s">
        <v>3238</v>
      </c>
      <c r="E2414" t="s">
        <v>3468</v>
      </c>
      <c r="F2414" t="s">
        <v>3541</v>
      </c>
      <c r="G2414" t="s">
        <v>3541</v>
      </c>
      <c r="H2414" t="s">
        <v>868</v>
      </c>
      <c r="I2414" t="s">
        <v>869</v>
      </c>
      <c r="J2414" t="str">
        <f>"9050171"</f>
        <v>9050171</v>
      </c>
      <c r="K2414">
        <v>2107629997</v>
      </c>
      <c r="L2414">
        <v>2107629997</v>
      </c>
      <c r="M2414" t="s">
        <v>7512</v>
      </c>
      <c r="N2414" t="s">
        <v>3589</v>
      </c>
      <c r="O2414" t="s">
        <v>7513</v>
      </c>
      <c r="P2414">
        <v>17237</v>
      </c>
      <c r="Q2414" t="str">
        <f>"37.955305"</f>
        <v>37.955305</v>
      </c>
      <c r="R2414" t="str">
        <f>"23.750014"</f>
        <v>23.750014</v>
      </c>
      <c r="S2414" t="s">
        <v>26</v>
      </c>
    </row>
    <row r="2415" spans="1:19" x14ac:dyDescent="0.3">
      <c r="A2415" t="s">
        <v>3237</v>
      </c>
      <c r="B2415" t="s">
        <v>6738</v>
      </c>
      <c r="C2415" t="s">
        <v>3399</v>
      </c>
      <c r="D2415" t="s">
        <v>3238</v>
      </c>
      <c r="E2415" t="s">
        <v>3239</v>
      </c>
      <c r="F2415" t="s">
        <v>3239</v>
      </c>
      <c r="G2415" t="s">
        <v>3312</v>
      </c>
      <c r="H2415" t="s">
        <v>868</v>
      </c>
      <c r="I2415" t="s">
        <v>869</v>
      </c>
      <c r="J2415" t="str">
        <f>"9050455"</f>
        <v>9050455</v>
      </c>
      <c r="K2415">
        <v>2108652643</v>
      </c>
      <c r="L2415">
        <v>2108652643</v>
      </c>
      <c r="M2415" t="s">
        <v>7514</v>
      </c>
      <c r="N2415" t="s">
        <v>3284</v>
      </c>
      <c r="O2415" t="s">
        <v>7279</v>
      </c>
      <c r="P2415">
        <v>11253</v>
      </c>
      <c r="Q2415" t="str">
        <f>"38.004260"</f>
        <v>38.004260</v>
      </c>
      <c r="R2415" t="str">
        <f>"23.733637"</f>
        <v>23.733637</v>
      </c>
      <c r="S2415" t="s">
        <v>26</v>
      </c>
    </row>
    <row r="2416" spans="1:19" x14ac:dyDescent="0.3">
      <c r="A2416" t="s">
        <v>3237</v>
      </c>
      <c r="B2416" t="s">
        <v>6738</v>
      </c>
      <c r="C2416" t="s">
        <v>7515</v>
      </c>
      <c r="D2416" t="s">
        <v>3238</v>
      </c>
      <c r="E2416" t="s">
        <v>3239</v>
      </c>
      <c r="F2416" t="s">
        <v>3239</v>
      </c>
      <c r="G2416" t="s">
        <v>3312</v>
      </c>
      <c r="H2416" t="s">
        <v>868</v>
      </c>
      <c r="I2416" t="s">
        <v>869</v>
      </c>
      <c r="J2416" t="str">
        <f>"9050950"</f>
        <v>9050950</v>
      </c>
      <c r="K2416">
        <v>2108835220</v>
      </c>
      <c r="M2416" t="s">
        <v>7516</v>
      </c>
      <c r="N2416" t="s">
        <v>3284</v>
      </c>
      <c r="O2416" t="s">
        <v>7517</v>
      </c>
      <c r="P2416">
        <v>10446</v>
      </c>
      <c r="Q2416" t="str">
        <f>"37.997312"</f>
        <v>37.997312</v>
      </c>
      <c r="R2416" t="str">
        <f>"23.725280"</f>
        <v>23.725280</v>
      </c>
      <c r="S2416" t="s">
        <v>26</v>
      </c>
    </row>
    <row r="2417" spans="1:19" x14ac:dyDescent="0.3">
      <c r="A2417" t="s">
        <v>3237</v>
      </c>
      <c r="B2417" t="s">
        <v>6738</v>
      </c>
      <c r="C2417" t="s">
        <v>7527</v>
      </c>
      <c r="D2417" t="s">
        <v>3238</v>
      </c>
      <c r="E2417" t="s">
        <v>3239</v>
      </c>
      <c r="F2417" t="s">
        <v>3239</v>
      </c>
      <c r="G2417" t="s">
        <v>3312</v>
      </c>
      <c r="H2417" t="s">
        <v>868</v>
      </c>
      <c r="I2417" t="s">
        <v>869</v>
      </c>
      <c r="J2417" t="str">
        <f>"9050682"</f>
        <v>9050682</v>
      </c>
      <c r="K2417">
        <v>2108644631</v>
      </c>
      <c r="L2417">
        <v>2108668679</v>
      </c>
      <c r="M2417" t="s">
        <v>7528</v>
      </c>
      <c r="N2417" t="s">
        <v>3284</v>
      </c>
      <c r="O2417" t="s">
        <v>7529</v>
      </c>
      <c r="P2417">
        <v>11146</v>
      </c>
      <c r="Q2417" t="str">
        <f>"38.008042"</f>
        <v>38.008042</v>
      </c>
      <c r="R2417" t="str">
        <f>"23.745249"</f>
        <v>23.745249</v>
      </c>
      <c r="S2417" t="s">
        <v>26</v>
      </c>
    </row>
    <row r="2418" spans="1:19" x14ac:dyDescent="0.3">
      <c r="A2418" t="s">
        <v>3237</v>
      </c>
      <c r="B2418" t="s">
        <v>6738</v>
      </c>
      <c r="C2418" t="s">
        <v>7536</v>
      </c>
      <c r="D2418" t="s">
        <v>3238</v>
      </c>
      <c r="E2418" t="s">
        <v>3239</v>
      </c>
      <c r="F2418" t="s">
        <v>3239</v>
      </c>
      <c r="G2418" t="s">
        <v>3312</v>
      </c>
      <c r="H2418" t="s">
        <v>868</v>
      </c>
      <c r="I2418" t="s">
        <v>869</v>
      </c>
      <c r="J2418" t="str">
        <f>"9051093"</f>
        <v>9051093</v>
      </c>
      <c r="K2418">
        <v>2108831571</v>
      </c>
      <c r="M2418" t="s">
        <v>7537</v>
      </c>
      <c r="N2418" t="s">
        <v>3284</v>
      </c>
      <c r="O2418" t="s">
        <v>7538</v>
      </c>
      <c r="P2418">
        <v>11362</v>
      </c>
      <c r="Q2418" t="str">
        <f>"37.995901"</f>
        <v>37.995901</v>
      </c>
      <c r="R2418" t="str">
        <f>"23.735589"</f>
        <v>23.735589</v>
      </c>
      <c r="S2418" t="s">
        <v>26</v>
      </c>
    </row>
    <row r="2419" spans="1:19" x14ac:dyDescent="0.3">
      <c r="A2419" t="s">
        <v>3237</v>
      </c>
      <c r="B2419" t="s">
        <v>6738</v>
      </c>
      <c r="C2419" t="s">
        <v>7539</v>
      </c>
      <c r="D2419" t="s">
        <v>3238</v>
      </c>
      <c r="E2419" t="s">
        <v>3239</v>
      </c>
      <c r="F2419" t="s">
        <v>3239</v>
      </c>
      <c r="G2419" t="s">
        <v>3281</v>
      </c>
      <c r="H2419" t="s">
        <v>868</v>
      </c>
      <c r="I2419" t="s">
        <v>869</v>
      </c>
      <c r="J2419" t="str">
        <f>"9050101"</f>
        <v>9050101</v>
      </c>
      <c r="K2419">
        <v>2107210359</v>
      </c>
      <c r="L2419">
        <v>2107210359</v>
      </c>
      <c r="M2419" t="s">
        <v>7540</v>
      </c>
      <c r="N2419" t="s">
        <v>3461</v>
      </c>
      <c r="O2419" t="s">
        <v>7541</v>
      </c>
      <c r="P2419">
        <v>11634</v>
      </c>
      <c r="Q2419" t="str">
        <f>"37.970547"</f>
        <v>37.970547</v>
      </c>
      <c r="R2419" t="str">
        <f>"23.750032"</f>
        <v>23.750032</v>
      </c>
      <c r="S2419" t="s">
        <v>26</v>
      </c>
    </row>
    <row r="2420" spans="1:19" x14ac:dyDescent="0.3">
      <c r="A2420" t="s">
        <v>3237</v>
      </c>
      <c r="B2420" t="s">
        <v>6738</v>
      </c>
      <c r="C2420" t="s">
        <v>7542</v>
      </c>
      <c r="D2420" t="s">
        <v>3238</v>
      </c>
      <c r="E2420" t="s">
        <v>3468</v>
      </c>
      <c r="F2420" t="s">
        <v>3469</v>
      </c>
      <c r="G2420" t="s">
        <v>3469</v>
      </c>
      <c r="H2420" t="s">
        <v>868</v>
      </c>
      <c r="I2420" t="s">
        <v>869</v>
      </c>
      <c r="J2420" t="str">
        <f>"9050156"</f>
        <v>9050156</v>
      </c>
      <c r="K2420">
        <v>2109021398</v>
      </c>
      <c r="L2420">
        <v>2109021398</v>
      </c>
      <c r="M2420" t="s">
        <v>7543</v>
      </c>
      <c r="N2420" t="s">
        <v>3549</v>
      </c>
      <c r="O2420" t="s">
        <v>7544</v>
      </c>
      <c r="P2420">
        <v>17234</v>
      </c>
      <c r="Q2420" t="str">
        <f>"37.955056"</f>
        <v>37.955056</v>
      </c>
      <c r="R2420" t="str">
        <f>"23.732034"</f>
        <v>23.732034</v>
      </c>
      <c r="S2420" t="s">
        <v>26</v>
      </c>
    </row>
    <row r="2421" spans="1:19" x14ac:dyDescent="0.3">
      <c r="A2421" t="s">
        <v>3237</v>
      </c>
      <c r="B2421" t="s">
        <v>6738</v>
      </c>
      <c r="C2421" t="s">
        <v>3403</v>
      </c>
      <c r="D2421" t="s">
        <v>3238</v>
      </c>
      <c r="E2421" t="s">
        <v>3239</v>
      </c>
      <c r="F2421" t="s">
        <v>3239</v>
      </c>
      <c r="G2421" t="s">
        <v>3312</v>
      </c>
      <c r="H2421" t="s">
        <v>868</v>
      </c>
      <c r="I2421" t="s">
        <v>869</v>
      </c>
      <c r="J2421" t="str">
        <f>"9520905"</f>
        <v>9520905</v>
      </c>
      <c r="K2421">
        <v>2108254098</v>
      </c>
      <c r="L2421">
        <v>2108256182</v>
      </c>
      <c r="M2421" t="s">
        <v>7545</v>
      </c>
      <c r="N2421" t="s">
        <v>3284</v>
      </c>
      <c r="O2421" t="s">
        <v>7546</v>
      </c>
      <c r="P2421">
        <v>11363</v>
      </c>
      <c r="Q2421" t="str">
        <f>"37.999279"</f>
        <v>37.999279</v>
      </c>
      <c r="R2421" t="str">
        <f>"23.744619"</f>
        <v>23.744619</v>
      </c>
      <c r="S2421" t="s">
        <v>26</v>
      </c>
    </row>
    <row r="2422" spans="1:19" x14ac:dyDescent="0.3">
      <c r="A2422" t="s">
        <v>3237</v>
      </c>
      <c r="B2422" t="s">
        <v>6738</v>
      </c>
      <c r="C2422" t="s">
        <v>7553</v>
      </c>
      <c r="D2422" t="s">
        <v>3238</v>
      </c>
      <c r="E2422" t="s">
        <v>3239</v>
      </c>
      <c r="F2422" t="s">
        <v>3239</v>
      </c>
      <c r="G2422" t="s">
        <v>3281</v>
      </c>
      <c r="H2422" t="s">
        <v>868</v>
      </c>
      <c r="I2422" t="s">
        <v>869</v>
      </c>
      <c r="J2422" t="str">
        <f>"9050097"</f>
        <v>9050097</v>
      </c>
      <c r="K2422">
        <v>2109335509</v>
      </c>
      <c r="L2422">
        <v>2109335509</v>
      </c>
      <c r="M2422" t="s">
        <v>7554</v>
      </c>
      <c r="N2422" t="s">
        <v>3284</v>
      </c>
      <c r="O2422" t="s">
        <v>7555</v>
      </c>
      <c r="P2422">
        <v>11745</v>
      </c>
      <c r="Q2422" t="str">
        <f>"37.956377"</f>
        <v>37.956377</v>
      </c>
      <c r="R2422" t="str">
        <f>"23.718981"</f>
        <v>23.718981</v>
      </c>
      <c r="S2422" t="s">
        <v>26</v>
      </c>
    </row>
    <row r="2423" spans="1:19" x14ac:dyDescent="0.3">
      <c r="A2423" t="s">
        <v>3237</v>
      </c>
      <c r="B2423" t="s">
        <v>6738</v>
      </c>
      <c r="C2423" t="s">
        <v>3860</v>
      </c>
      <c r="D2423" t="s">
        <v>3238</v>
      </c>
      <c r="E2423" t="s">
        <v>3239</v>
      </c>
      <c r="F2423" t="s">
        <v>3239</v>
      </c>
      <c r="G2423" t="s">
        <v>3340</v>
      </c>
      <c r="H2423" t="s">
        <v>868</v>
      </c>
      <c r="I2423" t="s">
        <v>869</v>
      </c>
      <c r="J2423" t="str">
        <f>"9050013"</f>
        <v>9050013</v>
      </c>
      <c r="K2423">
        <v>2106465769</v>
      </c>
      <c r="L2423">
        <v>2106465769</v>
      </c>
      <c r="M2423" t="s">
        <v>7556</v>
      </c>
      <c r="N2423" t="s">
        <v>3284</v>
      </c>
      <c r="O2423" t="s">
        <v>7557</v>
      </c>
      <c r="P2423">
        <v>11475</v>
      </c>
      <c r="Q2423" t="str">
        <f>"37.990251"</f>
        <v>37.990251</v>
      </c>
      <c r="R2423" t="str">
        <f>"23.750386"</f>
        <v>23.750386</v>
      </c>
      <c r="S2423" t="s">
        <v>26</v>
      </c>
    </row>
    <row r="2424" spans="1:19" x14ac:dyDescent="0.3">
      <c r="A2424" t="s">
        <v>3237</v>
      </c>
      <c r="B2424" t="s">
        <v>6738</v>
      </c>
      <c r="C2424" t="s">
        <v>7560</v>
      </c>
      <c r="D2424" t="s">
        <v>3238</v>
      </c>
      <c r="E2424" t="s">
        <v>3239</v>
      </c>
      <c r="F2424" t="s">
        <v>3239</v>
      </c>
      <c r="G2424" t="s">
        <v>3340</v>
      </c>
      <c r="H2424" t="s">
        <v>868</v>
      </c>
      <c r="I2424" t="s">
        <v>869</v>
      </c>
      <c r="J2424" t="str">
        <f>"9051094"</f>
        <v>9051094</v>
      </c>
      <c r="K2424">
        <v>2108841195</v>
      </c>
      <c r="L2424">
        <v>2108841195</v>
      </c>
      <c r="M2424" t="s">
        <v>7561</v>
      </c>
      <c r="N2424" t="s">
        <v>3284</v>
      </c>
      <c r="O2424" t="s">
        <v>7562</v>
      </c>
      <c r="P2424">
        <v>11363</v>
      </c>
      <c r="Q2424" t="str">
        <f>"37.996710"</f>
        <v>37.996710</v>
      </c>
      <c r="R2424" t="str">
        <f>"23.749263"</f>
        <v>23.749263</v>
      </c>
      <c r="S2424" t="s">
        <v>26</v>
      </c>
    </row>
    <row r="2425" spans="1:19" x14ac:dyDescent="0.3">
      <c r="A2425" t="s">
        <v>3237</v>
      </c>
      <c r="B2425" t="s">
        <v>6738</v>
      </c>
      <c r="C2425" t="s">
        <v>7563</v>
      </c>
      <c r="D2425" t="s">
        <v>3238</v>
      </c>
      <c r="E2425" t="s">
        <v>3443</v>
      </c>
      <c r="F2425" t="s">
        <v>3443</v>
      </c>
      <c r="G2425" t="s">
        <v>3443</v>
      </c>
      <c r="H2425" t="s">
        <v>868</v>
      </c>
      <c r="I2425" t="s">
        <v>869</v>
      </c>
      <c r="J2425" t="str">
        <f>"9051263"</f>
        <v>9051263</v>
      </c>
      <c r="K2425">
        <v>2102924182</v>
      </c>
      <c r="L2425">
        <v>2102924182</v>
      </c>
      <c r="M2425" t="s">
        <v>7564</v>
      </c>
      <c r="N2425" t="s">
        <v>3446</v>
      </c>
      <c r="O2425" t="s">
        <v>7565</v>
      </c>
      <c r="P2425">
        <v>11147</v>
      </c>
      <c r="Q2425" t="str">
        <f>"38.017107"</f>
        <v>38.017107</v>
      </c>
      <c r="R2425" t="str">
        <f>"23.755991"</f>
        <v>23.755991</v>
      </c>
      <c r="S2425" t="s">
        <v>26</v>
      </c>
    </row>
    <row r="2426" spans="1:19" x14ac:dyDescent="0.3">
      <c r="A2426" t="s">
        <v>3237</v>
      </c>
      <c r="B2426" t="s">
        <v>6738</v>
      </c>
      <c r="C2426" t="s">
        <v>3540</v>
      </c>
      <c r="D2426" t="s">
        <v>3238</v>
      </c>
      <c r="E2426" t="s">
        <v>3239</v>
      </c>
      <c r="F2426" t="s">
        <v>3239</v>
      </c>
      <c r="G2426" t="s">
        <v>3322</v>
      </c>
      <c r="H2426" t="s">
        <v>868</v>
      </c>
      <c r="I2426" t="s">
        <v>869</v>
      </c>
      <c r="J2426" t="str">
        <f>"9050310"</f>
        <v>9050310</v>
      </c>
      <c r="K2426">
        <v>2103468949</v>
      </c>
      <c r="L2426">
        <v>2103468949</v>
      </c>
      <c r="M2426" t="s">
        <v>7566</v>
      </c>
      <c r="N2426" t="s">
        <v>3284</v>
      </c>
      <c r="O2426" t="s">
        <v>3326</v>
      </c>
      <c r="P2426">
        <v>11851</v>
      </c>
      <c r="Q2426" t="str">
        <f>"37.971563"</f>
        <v>37.971563</v>
      </c>
      <c r="R2426" t="str">
        <f>"23.714054"</f>
        <v>23.714054</v>
      </c>
      <c r="S2426" t="s">
        <v>26</v>
      </c>
    </row>
    <row r="2427" spans="1:19" x14ac:dyDescent="0.3">
      <c r="A2427" t="s">
        <v>3237</v>
      </c>
      <c r="B2427" t="s">
        <v>6738</v>
      </c>
      <c r="C2427" t="s">
        <v>3497</v>
      </c>
      <c r="D2427" t="s">
        <v>3238</v>
      </c>
      <c r="E2427" t="s">
        <v>3239</v>
      </c>
      <c r="F2427" t="s">
        <v>3239</v>
      </c>
      <c r="G2427" t="s">
        <v>3346</v>
      </c>
      <c r="H2427" t="s">
        <v>868</v>
      </c>
      <c r="I2427" t="s">
        <v>869</v>
      </c>
      <c r="J2427" t="str">
        <f>"9520958"</f>
        <v>9520958</v>
      </c>
      <c r="K2427">
        <v>2102526560</v>
      </c>
      <c r="M2427" t="s">
        <v>7567</v>
      </c>
      <c r="N2427" t="s">
        <v>3284</v>
      </c>
      <c r="O2427" t="s">
        <v>7568</v>
      </c>
      <c r="P2427">
        <v>11143</v>
      </c>
      <c r="Q2427" t="str">
        <f>"38.026049"</f>
        <v>38.026049</v>
      </c>
      <c r="R2427" t="str">
        <f>"23.736579"</f>
        <v>23.736579</v>
      </c>
      <c r="S2427" t="s">
        <v>26</v>
      </c>
    </row>
    <row r="2428" spans="1:19" x14ac:dyDescent="0.3">
      <c r="A2428" t="s">
        <v>3237</v>
      </c>
      <c r="B2428" t="s">
        <v>6738</v>
      </c>
      <c r="C2428" t="s">
        <v>7569</v>
      </c>
      <c r="D2428" t="s">
        <v>3238</v>
      </c>
      <c r="E2428" t="s">
        <v>3432</v>
      </c>
      <c r="F2428" t="s">
        <v>3432</v>
      </c>
      <c r="G2428" t="s">
        <v>3432</v>
      </c>
      <c r="H2428" t="s">
        <v>868</v>
      </c>
      <c r="I2428" t="s">
        <v>869</v>
      </c>
      <c r="J2428" t="str">
        <f>"9050159"</f>
        <v>9050159</v>
      </c>
      <c r="K2428">
        <v>2109700139</v>
      </c>
      <c r="L2428">
        <v>2109700139</v>
      </c>
      <c r="M2428" t="s">
        <v>7570</v>
      </c>
      <c r="N2428" t="s">
        <v>3435</v>
      </c>
      <c r="O2428" t="s">
        <v>7571</v>
      </c>
      <c r="P2428">
        <v>16346</v>
      </c>
      <c r="Q2428" t="str">
        <f>"37.938824"</f>
        <v>37.938824</v>
      </c>
      <c r="R2428" t="str">
        <f>"23.744521"</f>
        <v>23.744521</v>
      </c>
      <c r="S2428" t="s">
        <v>26</v>
      </c>
    </row>
    <row r="2429" spans="1:19" x14ac:dyDescent="0.3">
      <c r="A2429" t="s">
        <v>3237</v>
      </c>
      <c r="B2429" t="s">
        <v>6738</v>
      </c>
      <c r="C2429" t="s">
        <v>3474</v>
      </c>
      <c r="D2429" t="s">
        <v>3238</v>
      </c>
      <c r="E2429" t="s">
        <v>3468</v>
      </c>
      <c r="F2429" t="s">
        <v>3469</v>
      </c>
      <c r="G2429" t="s">
        <v>3469</v>
      </c>
      <c r="H2429" t="s">
        <v>868</v>
      </c>
      <c r="I2429" t="s">
        <v>869</v>
      </c>
      <c r="J2429" t="str">
        <f>"9050152"</f>
        <v>9050152</v>
      </c>
      <c r="K2429">
        <v>2109711786</v>
      </c>
      <c r="M2429" t="s">
        <v>7572</v>
      </c>
      <c r="N2429" t="s">
        <v>3549</v>
      </c>
      <c r="O2429" t="s">
        <v>7573</v>
      </c>
      <c r="P2429">
        <v>17235</v>
      </c>
      <c r="Q2429" t="str">
        <f>"37.945972"</f>
        <v>37.945972</v>
      </c>
      <c r="R2429" t="str">
        <f>"23.730258"</f>
        <v>23.730258</v>
      </c>
      <c r="S2429" t="s">
        <v>26</v>
      </c>
    </row>
    <row r="2430" spans="1:19" x14ac:dyDescent="0.3">
      <c r="A2430" t="s">
        <v>3237</v>
      </c>
      <c r="B2430" t="s">
        <v>6738</v>
      </c>
      <c r="C2430" t="s">
        <v>7574</v>
      </c>
      <c r="D2430" t="s">
        <v>3238</v>
      </c>
      <c r="E2430" t="s">
        <v>3239</v>
      </c>
      <c r="F2430" t="s">
        <v>3239</v>
      </c>
      <c r="G2430" t="s">
        <v>3340</v>
      </c>
      <c r="H2430" t="s">
        <v>868</v>
      </c>
      <c r="I2430" t="s">
        <v>1157</v>
      </c>
      <c r="J2430" t="str">
        <f>"9051904"</f>
        <v>9051904</v>
      </c>
      <c r="K2430">
        <v>2107798704</v>
      </c>
      <c r="L2430">
        <v>2107798704</v>
      </c>
      <c r="M2430" t="s">
        <v>7575</v>
      </c>
      <c r="N2430" t="s">
        <v>3461</v>
      </c>
      <c r="O2430" t="s">
        <v>7576</v>
      </c>
      <c r="P2430">
        <v>11527</v>
      </c>
      <c r="Q2430" t="str">
        <f>"37.983434"</f>
        <v>37.983434</v>
      </c>
      <c r="R2430" t="str">
        <f>"23.764122"</f>
        <v>23.764122</v>
      </c>
      <c r="S2430" t="s">
        <v>26</v>
      </c>
    </row>
    <row r="2431" spans="1:19" x14ac:dyDescent="0.3">
      <c r="A2431" t="s">
        <v>3237</v>
      </c>
      <c r="B2431" t="s">
        <v>6738</v>
      </c>
      <c r="C2431" t="s">
        <v>3371</v>
      </c>
      <c r="D2431" t="s">
        <v>3238</v>
      </c>
      <c r="E2431" t="s">
        <v>3239</v>
      </c>
      <c r="F2431" t="s">
        <v>3239</v>
      </c>
      <c r="G2431" t="s">
        <v>3346</v>
      </c>
      <c r="H2431" t="s">
        <v>868</v>
      </c>
      <c r="I2431" t="s">
        <v>869</v>
      </c>
      <c r="J2431" t="str">
        <f>"9050458"</f>
        <v>9050458</v>
      </c>
      <c r="K2431">
        <v>2102280594</v>
      </c>
      <c r="L2431">
        <v>2102280594</v>
      </c>
      <c r="M2431" t="s">
        <v>7580</v>
      </c>
      <c r="N2431" t="s">
        <v>3284</v>
      </c>
      <c r="O2431" t="s">
        <v>7581</v>
      </c>
      <c r="P2431">
        <v>11144</v>
      </c>
      <c r="Q2431" t="str">
        <f>"38.019993"</f>
        <v>38.019993</v>
      </c>
      <c r="R2431" t="str">
        <f>"23.733308"</f>
        <v>23.733308</v>
      </c>
      <c r="S2431" t="s">
        <v>26</v>
      </c>
    </row>
    <row r="2432" spans="1:19" x14ac:dyDescent="0.3">
      <c r="A2432" t="s">
        <v>3237</v>
      </c>
      <c r="B2432" t="s">
        <v>6738</v>
      </c>
      <c r="C2432" t="s">
        <v>7583</v>
      </c>
      <c r="D2432" t="s">
        <v>3238</v>
      </c>
      <c r="E2432" t="s">
        <v>3468</v>
      </c>
      <c r="F2432" t="s">
        <v>3469</v>
      </c>
      <c r="G2432" t="s">
        <v>3469</v>
      </c>
      <c r="H2432" t="s">
        <v>868</v>
      </c>
      <c r="I2432" t="s">
        <v>869</v>
      </c>
      <c r="J2432" t="str">
        <f>"9050149"</f>
        <v>9050149</v>
      </c>
      <c r="K2432">
        <v>2109703540</v>
      </c>
      <c r="L2432">
        <v>2109703540</v>
      </c>
      <c r="M2432" t="s">
        <v>7584</v>
      </c>
      <c r="N2432" t="s">
        <v>3549</v>
      </c>
      <c r="O2432" t="s">
        <v>7585</v>
      </c>
      <c r="P2432">
        <v>17235</v>
      </c>
      <c r="Q2432" t="str">
        <f>"37.950269"</f>
        <v>37.950269</v>
      </c>
      <c r="R2432" t="str">
        <f>"23.735115"</f>
        <v>23.735115</v>
      </c>
      <c r="S2432" t="s">
        <v>26</v>
      </c>
    </row>
    <row r="2433" spans="1:19" x14ac:dyDescent="0.3">
      <c r="A2433" t="s">
        <v>3237</v>
      </c>
      <c r="B2433" t="s">
        <v>6738</v>
      </c>
      <c r="C2433" t="s">
        <v>3350</v>
      </c>
      <c r="D2433" t="s">
        <v>3238</v>
      </c>
      <c r="E2433" t="s">
        <v>3239</v>
      </c>
      <c r="F2433" t="s">
        <v>3239</v>
      </c>
      <c r="G2433" t="s">
        <v>3346</v>
      </c>
      <c r="H2433" t="s">
        <v>868</v>
      </c>
      <c r="I2433" t="s">
        <v>869</v>
      </c>
      <c r="J2433" t="str">
        <f>"9050459"</f>
        <v>9050459</v>
      </c>
      <c r="K2433">
        <v>2102013380</v>
      </c>
      <c r="L2433">
        <v>2102013380</v>
      </c>
      <c r="M2433" t="s">
        <v>7586</v>
      </c>
      <c r="N2433" t="s">
        <v>3284</v>
      </c>
      <c r="O2433" t="s">
        <v>7132</v>
      </c>
      <c r="P2433">
        <v>11143</v>
      </c>
      <c r="Q2433" t="str">
        <f>"38.021279"</f>
        <v>38.021279</v>
      </c>
      <c r="R2433" t="str">
        <f>"23.729310"</f>
        <v>23.729310</v>
      </c>
      <c r="S2433" t="s">
        <v>26</v>
      </c>
    </row>
    <row r="2434" spans="1:19" x14ac:dyDescent="0.3">
      <c r="A2434" t="s">
        <v>3237</v>
      </c>
      <c r="B2434" t="s">
        <v>6738</v>
      </c>
      <c r="C2434" t="s">
        <v>3449</v>
      </c>
      <c r="D2434" t="s">
        <v>3238</v>
      </c>
      <c r="E2434" t="s">
        <v>3239</v>
      </c>
      <c r="F2434" t="s">
        <v>3239</v>
      </c>
      <c r="G2434" t="s">
        <v>3346</v>
      </c>
      <c r="H2434" t="s">
        <v>868</v>
      </c>
      <c r="I2434" t="s">
        <v>869</v>
      </c>
      <c r="J2434" t="str">
        <f>"9050915"</f>
        <v>9050915</v>
      </c>
      <c r="K2434">
        <v>2102230224</v>
      </c>
      <c r="L2434">
        <v>2102230224</v>
      </c>
      <c r="M2434" t="s">
        <v>7590</v>
      </c>
      <c r="N2434" t="s">
        <v>3284</v>
      </c>
      <c r="O2434" t="s">
        <v>3687</v>
      </c>
      <c r="P2434">
        <v>11255</v>
      </c>
      <c r="Q2434" t="str">
        <f>"38.012308"</f>
        <v>38.012308</v>
      </c>
      <c r="R2434" t="str">
        <f>"23.739404"</f>
        <v>23.739404</v>
      </c>
      <c r="S2434" t="s">
        <v>26</v>
      </c>
    </row>
    <row r="2435" spans="1:19" x14ac:dyDescent="0.3">
      <c r="A2435" t="s">
        <v>3237</v>
      </c>
      <c r="B2435" t="s">
        <v>6738</v>
      </c>
      <c r="C2435" t="s">
        <v>7591</v>
      </c>
      <c r="D2435" t="s">
        <v>3238</v>
      </c>
      <c r="E2435" t="s">
        <v>3239</v>
      </c>
      <c r="F2435" t="s">
        <v>3239</v>
      </c>
      <c r="G2435" t="s">
        <v>3312</v>
      </c>
      <c r="H2435" t="s">
        <v>868</v>
      </c>
      <c r="I2435" t="s">
        <v>869</v>
      </c>
      <c r="J2435" t="str">
        <f>"9050517"</f>
        <v>9050517</v>
      </c>
      <c r="K2435">
        <v>2108627169</v>
      </c>
      <c r="L2435">
        <v>2108627169</v>
      </c>
      <c r="M2435" t="s">
        <v>7592</v>
      </c>
      <c r="N2435" t="s">
        <v>3284</v>
      </c>
      <c r="O2435" t="s">
        <v>7593</v>
      </c>
      <c r="P2435">
        <v>11361</v>
      </c>
      <c r="Q2435" t="str">
        <f>"38.002490"</f>
        <v>38.002490</v>
      </c>
      <c r="R2435" t="str">
        <f>"23.740364"</f>
        <v>23.740364</v>
      </c>
      <c r="S2435" t="s">
        <v>26</v>
      </c>
    </row>
    <row r="2436" spans="1:19" x14ac:dyDescent="0.3">
      <c r="A2436" t="s">
        <v>3237</v>
      </c>
      <c r="B2436" t="s">
        <v>6738</v>
      </c>
      <c r="C2436" t="s">
        <v>7594</v>
      </c>
      <c r="D2436" t="s">
        <v>3238</v>
      </c>
      <c r="E2436" t="s">
        <v>3468</v>
      </c>
      <c r="F2436" t="s">
        <v>3469</v>
      </c>
      <c r="G2436" t="s">
        <v>3469</v>
      </c>
      <c r="H2436" t="s">
        <v>868</v>
      </c>
      <c r="I2436" t="s">
        <v>869</v>
      </c>
      <c r="J2436" t="str">
        <f>"9050157"</f>
        <v>9050157</v>
      </c>
      <c r="K2436">
        <v>2109019844</v>
      </c>
      <c r="L2436">
        <v>2109019844</v>
      </c>
      <c r="M2436" t="s">
        <v>7595</v>
      </c>
      <c r="N2436" t="s">
        <v>3549</v>
      </c>
      <c r="O2436" t="s">
        <v>7596</v>
      </c>
      <c r="P2436">
        <v>17234</v>
      </c>
      <c r="Q2436" t="str">
        <f>"37.950596"</f>
        <v>37.950596</v>
      </c>
      <c r="R2436" t="str">
        <f>"23.728930"</f>
        <v>23.728930</v>
      </c>
      <c r="S2436" t="s">
        <v>26</v>
      </c>
    </row>
    <row r="2437" spans="1:19" x14ac:dyDescent="0.3">
      <c r="A2437" t="s">
        <v>3237</v>
      </c>
      <c r="B2437" t="s">
        <v>6738</v>
      </c>
      <c r="C2437" t="s">
        <v>3453</v>
      </c>
      <c r="D2437" t="s">
        <v>3238</v>
      </c>
      <c r="E2437" t="s">
        <v>3239</v>
      </c>
      <c r="F2437" t="s">
        <v>3239</v>
      </c>
      <c r="G2437" t="s">
        <v>3346</v>
      </c>
      <c r="H2437" t="s">
        <v>868</v>
      </c>
      <c r="I2437" t="s">
        <v>869</v>
      </c>
      <c r="J2437" t="str">
        <f>"9050512"</f>
        <v>9050512</v>
      </c>
      <c r="K2437">
        <v>2102022602</v>
      </c>
      <c r="L2437">
        <v>2102022602</v>
      </c>
      <c r="M2437" t="s">
        <v>7597</v>
      </c>
      <c r="N2437" t="s">
        <v>3284</v>
      </c>
      <c r="O2437" t="s">
        <v>3687</v>
      </c>
      <c r="P2437">
        <v>11255</v>
      </c>
      <c r="Q2437" t="str">
        <f>"38.012346"</f>
        <v>38.012346</v>
      </c>
      <c r="R2437" t="str">
        <f>"23.740184"</f>
        <v>23.740184</v>
      </c>
      <c r="S2437" t="s">
        <v>26</v>
      </c>
    </row>
    <row r="2438" spans="1:19" x14ac:dyDescent="0.3">
      <c r="A2438" t="s">
        <v>3237</v>
      </c>
      <c r="B2438" t="s">
        <v>6738</v>
      </c>
      <c r="C2438" t="s">
        <v>7598</v>
      </c>
      <c r="D2438" t="s">
        <v>3238</v>
      </c>
      <c r="E2438" t="s">
        <v>3468</v>
      </c>
      <c r="F2438" t="s">
        <v>3469</v>
      </c>
      <c r="G2438" t="s">
        <v>3469</v>
      </c>
      <c r="H2438" t="s">
        <v>868</v>
      </c>
      <c r="I2438" t="s">
        <v>869</v>
      </c>
      <c r="J2438" t="str">
        <f>"9050150"</f>
        <v>9050150</v>
      </c>
      <c r="K2438">
        <v>2109711883</v>
      </c>
      <c r="L2438">
        <v>2109711883</v>
      </c>
      <c r="M2438" t="s">
        <v>7599</v>
      </c>
      <c r="N2438" t="s">
        <v>7600</v>
      </c>
      <c r="O2438" t="s">
        <v>7601</v>
      </c>
      <c r="P2438">
        <v>17235</v>
      </c>
      <c r="Q2438" t="str">
        <f>"37.948207"</f>
        <v>37.948207</v>
      </c>
      <c r="R2438" t="str">
        <f>"23.731542"</f>
        <v>23.731542</v>
      </c>
      <c r="S2438" t="s">
        <v>26</v>
      </c>
    </row>
    <row r="2439" spans="1:19" x14ac:dyDescent="0.3">
      <c r="A2439" t="s">
        <v>3237</v>
      </c>
      <c r="B2439" t="s">
        <v>6738</v>
      </c>
      <c r="C2439" t="s">
        <v>7603</v>
      </c>
      <c r="D2439" t="s">
        <v>3238</v>
      </c>
      <c r="E2439" t="s">
        <v>3239</v>
      </c>
      <c r="F2439" t="s">
        <v>3239</v>
      </c>
      <c r="G2439" t="s">
        <v>3346</v>
      </c>
      <c r="H2439" t="s">
        <v>868</v>
      </c>
      <c r="I2439" t="s">
        <v>869</v>
      </c>
      <c r="J2439" t="str">
        <f>"9051259"</f>
        <v>9051259</v>
      </c>
      <c r="K2439">
        <v>2102282820</v>
      </c>
      <c r="L2439">
        <v>2102282820</v>
      </c>
      <c r="M2439" t="s">
        <v>7604</v>
      </c>
      <c r="N2439" t="s">
        <v>3284</v>
      </c>
      <c r="O2439" t="s">
        <v>3687</v>
      </c>
      <c r="P2439">
        <v>11255</v>
      </c>
      <c r="Q2439" t="str">
        <f>"38.012219"</f>
        <v>38.012219</v>
      </c>
      <c r="R2439" t="str">
        <f>"23.740050"</f>
        <v>23.740050</v>
      </c>
      <c r="S2439" t="s">
        <v>26</v>
      </c>
    </row>
    <row r="2440" spans="1:19" x14ac:dyDescent="0.3">
      <c r="A2440" t="s">
        <v>3237</v>
      </c>
      <c r="B2440" t="s">
        <v>6738</v>
      </c>
      <c r="C2440" t="s">
        <v>7605</v>
      </c>
      <c r="D2440" t="s">
        <v>3238</v>
      </c>
      <c r="E2440" t="s">
        <v>3239</v>
      </c>
      <c r="F2440" t="s">
        <v>3239</v>
      </c>
      <c r="G2440" t="s">
        <v>3312</v>
      </c>
      <c r="H2440" t="s">
        <v>868</v>
      </c>
      <c r="I2440" t="s">
        <v>869</v>
      </c>
      <c r="J2440" t="str">
        <f>"9050519"</f>
        <v>9050519</v>
      </c>
      <c r="K2440">
        <v>2106423091</v>
      </c>
      <c r="L2440">
        <v>2106423091</v>
      </c>
      <c r="M2440" t="s">
        <v>7606</v>
      </c>
      <c r="N2440" t="s">
        <v>3461</v>
      </c>
      <c r="O2440" t="s">
        <v>7274</v>
      </c>
      <c r="P2440">
        <v>11473</v>
      </c>
      <c r="Q2440" t="str">
        <f>"37.992660"</f>
        <v>37.992660</v>
      </c>
      <c r="R2440" t="str">
        <f>"23.740922"</f>
        <v>23.740922</v>
      </c>
      <c r="S2440" t="s">
        <v>26</v>
      </c>
    </row>
    <row r="2441" spans="1:19" x14ac:dyDescent="0.3">
      <c r="A2441" t="s">
        <v>3237</v>
      </c>
      <c r="B2441" t="s">
        <v>6738</v>
      </c>
      <c r="C2441" t="s">
        <v>7613</v>
      </c>
      <c r="D2441" t="s">
        <v>3238</v>
      </c>
      <c r="E2441" t="s">
        <v>3239</v>
      </c>
      <c r="F2441" t="s">
        <v>3239</v>
      </c>
      <c r="G2441" t="s">
        <v>3312</v>
      </c>
      <c r="H2441" t="s">
        <v>868</v>
      </c>
      <c r="I2441" t="s">
        <v>869</v>
      </c>
      <c r="J2441" t="str">
        <f>"9050529"</f>
        <v>9050529</v>
      </c>
      <c r="K2441">
        <v>2108674935</v>
      </c>
      <c r="L2441">
        <v>2108668678</v>
      </c>
      <c r="M2441" t="s">
        <v>7614</v>
      </c>
      <c r="N2441" t="s">
        <v>3284</v>
      </c>
      <c r="O2441" t="s">
        <v>7529</v>
      </c>
      <c r="P2441">
        <v>11146</v>
      </c>
      <c r="Q2441" t="str">
        <f>"38.008057"</f>
        <v>38.008057</v>
      </c>
      <c r="R2441" t="str">
        <f>"23.746429"</f>
        <v>23.746429</v>
      </c>
      <c r="S2441" t="s">
        <v>26</v>
      </c>
    </row>
    <row r="2442" spans="1:19" x14ac:dyDescent="0.3">
      <c r="A2442" t="s">
        <v>3237</v>
      </c>
      <c r="B2442" t="s">
        <v>6738</v>
      </c>
      <c r="C2442" t="s">
        <v>7620</v>
      </c>
      <c r="D2442" t="s">
        <v>3238</v>
      </c>
      <c r="E2442" t="s">
        <v>3239</v>
      </c>
      <c r="F2442" t="s">
        <v>3239</v>
      </c>
      <c r="G2442" t="s">
        <v>3312</v>
      </c>
      <c r="H2442" t="s">
        <v>868</v>
      </c>
      <c r="I2442" t="s">
        <v>869</v>
      </c>
      <c r="J2442" t="str">
        <f>"9050447"</f>
        <v>9050447</v>
      </c>
      <c r="K2442">
        <v>2108216191</v>
      </c>
      <c r="L2442">
        <v>2108216191</v>
      </c>
      <c r="M2442" t="s">
        <v>7621</v>
      </c>
      <c r="N2442" t="s">
        <v>3325</v>
      </c>
      <c r="O2442" t="s">
        <v>7622</v>
      </c>
      <c r="P2442">
        <v>10440</v>
      </c>
      <c r="Q2442" t="str">
        <f>"37.995996"</f>
        <v>37.995996</v>
      </c>
      <c r="R2442" t="str">
        <f>"23.725462"</f>
        <v>23.725462</v>
      </c>
      <c r="S2442" t="s">
        <v>26</v>
      </c>
    </row>
    <row r="2443" spans="1:19" x14ac:dyDescent="0.3">
      <c r="A2443" t="s">
        <v>3237</v>
      </c>
      <c r="B2443" t="s">
        <v>6738</v>
      </c>
      <c r="C2443" t="s">
        <v>7623</v>
      </c>
      <c r="D2443" t="s">
        <v>3238</v>
      </c>
      <c r="E2443" t="s">
        <v>3239</v>
      </c>
      <c r="F2443" t="s">
        <v>3239</v>
      </c>
      <c r="G2443" t="s">
        <v>3346</v>
      </c>
      <c r="H2443" t="s">
        <v>868</v>
      </c>
      <c r="I2443" t="s">
        <v>869</v>
      </c>
      <c r="J2443" t="str">
        <f>"9051106"</f>
        <v>9051106</v>
      </c>
      <c r="K2443">
        <v>2102013555</v>
      </c>
      <c r="L2443">
        <v>2102013555</v>
      </c>
      <c r="M2443" t="s">
        <v>7624</v>
      </c>
      <c r="N2443" t="s">
        <v>3284</v>
      </c>
      <c r="O2443" t="s">
        <v>7625</v>
      </c>
      <c r="P2443">
        <v>11143</v>
      </c>
      <c r="Q2443" t="str">
        <f>"38.021313"</f>
        <v>38.021313</v>
      </c>
      <c r="R2443" t="str">
        <f>"23.729191"</f>
        <v>23.729191</v>
      </c>
      <c r="S2443" t="s">
        <v>26</v>
      </c>
    </row>
    <row r="2444" spans="1:19" x14ac:dyDescent="0.3">
      <c r="A2444" t="s">
        <v>3237</v>
      </c>
      <c r="B2444" t="s">
        <v>6738</v>
      </c>
      <c r="C2444" t="s">
        <v>7626</v>
      </c>
      <c r="D2444" t="s">
        <v>3238</v>
      </c>
      <c r="E2444" t="s">
        <v>3239</v>
      </c>
      <c r="F2444" t="s">
        <v>3239</v>
      </c>
      <c r="G2444" t="s">
        <v>3240</v>
      </c>
      <c r="H2444" t="s">
        <v>868</v>
      </c>
      <c r="I2444" t="s">
        <v>1602</v>
      </c>
      <c r="J2444" t="str">
        <f>"9050020"</f>
        <v>9050020</v>
      </c>
      <c r="K2444">
        <v>2107210835</v>
      </c>
      <c r="L2444">
        <v>2107210835</v>
      </c>
      <c r="M2444" t="s">
        <v>7627</v>
      </c>
      <c r="N2444" t="s">
        <v>3284</v>
      </c>
      <c r="O2444" t="s">
        <v>7628</v>
      </c>
      <c r="P2444">
        <v>10676</v>
      </c>
      <c r="Q2444" t="str">
        <f>"37.978317"</f>
        <v>37.978317</v>
      </c>
      <c r="R2444" t="str">
        <f>"23.746366"</f>
        <v>23.746366</v>
      </c>
      <c r="S2444" t="s">
        <v>26</v>
      </c>
    </row>
    <row r="2445" spans="1:19" x14ac:dyDescent="0.3">
      <c r="A2445" t="s">
        <v>3237</v>
      </c>
      <c r="B2445" t="s">
        <v>6738</v>
      </c>
      <c r="C2445" t="s">
        <v>7629</v>
      </c>
      <c r="D2445" t="s">
        <v>3238</v>
      </c>
      <c r="E2445" t="s">
        <v>3239</v>
      </c>
      <c r="F2445" t="s">
        <v>3239</v>
      </c>
      <c r="G2445" t="s">
        <v>3346</v>
      </c>
      <c r="H2445" t="s">
        <v>868</v>
      </c>
      <c r="I2445" t="s">
        <v>869</v>
      </c>
      <c r="J2445" t="str">
        <f>"9051475"</f>
        <v>9051475</v>
      </c>
      <c r="K2445">
        <v>2108314280</v>
      </c>
      <c r="L2445">
        <v>2108322053</v>
      </c>
      <c r="M2445" t="s">
        <v>7630</v>
      </c>
      <c r="N2445" t="s">
        <v>3284</v>
      </c>
      <c r="O2445" t="s">
        <v>7631</v>
      </c>
      <c r="P2445">
        <v>11145</v>
      </c>
      <c r="Q2445" t="str">
        <f>"38.016532"</f>
        <v>38.016532</v>
      </c>
      <c r="R2445" t="str">
        <f>"23.723532"</f>
        <v>23.723532</v>
      </c>
      <c r="S2445" t="s">
        <v>26</v>
      </c>
    </row>
    <row r="2446" spans="1:19" x14ac:dyDescent="0.3">
      <c r="A2446" t="s">
        <v>3237</v>
      </c>
      <c r="B2446" t="s">
        <v>6738</v>
      </c>
      <c r="C2446" t="s">
        <v>7634</v>
      </c>
      <c r="D2446" t="s">
        <v>3238</v>
      </c>
      <c r="E2446" t="s">
        <v>3404</v>
      </c>
      <c r="F2446" t="s">
        <v>3405</v>
      </c>
      <c r="G2446" t="s">
        <v>3405</v>
      </c>
      <c r="H2446" t="s">
        <v>868</v>
      </c>
      <c r="I2446" t="s">
        <v>869</v>
      </c>
      <c r="J2446" t="str">
        <f>"9051360"</f>
        <v>9051360</v>
      </c>
      <c r="K2446">
        <v>2102512063</v>
      </c>
      <c r="L2446">
        <v>2102512063</v>
      </c>
      <c r="M2446" t="s">
        <v>7635</v>
      </c>
      <c r="N2446" t="s">
        <v>3408</v>
      </c>
      <c r="O2446" t="s">
        <v>7636</v>
      </c>
      <c r="P2446">
        <v>14342</v>
      </c>
      <c r="Q2446" t="str">
        <f>"38.039543"</f>
        <v>38.039543</v>
      </c>
      <c r="R2446" t="str">
        <f>"23.735014"</f>
        <v>23.735014</v>
      </c>
      <c r="S2446" t="s">
        <v>26</v>
      </c>
    </row>
    <row r="2447" spans="1:19" x14ac:dyDescent="0.3">
      <c r="A2447" t="s">
        <v>3237</v>
      </c>
      <c r="B2447" t="s">
        <v>6738</v>
      </c>
      <c r="C2447" t="s">
        <v>3663</v>
      </c>
      <c r="D2447" t="s">
        <v>3238</v>
      </c>
      <c r="E2447" t="s">
        <v>3404</v>
      </c>
      <c r="F2447" t="s">
        <v>3658</v>
      </c>
      <c r="G2447" t="s">
        <v>3658</v>
      </c>
      <c r="H2447" t="s">
        <v>868</v>
      </c>
      <c r="I2447" t="s">
        <v>869</v>
      </c>
      <c r="J2447" t="str">
        <f>"9050421"</f>
        <v>9050421</v>
      </c>
      <c r="K2447">
        <v>2102510081</v>
      </c>
      <c r="L2447">
        <v>2102589756</v>
      </c>
      <c r="M2447" t="s">
        <v>7639</v>
      </c>
      <c r="N2447" t="s">
        <v>7640</v>
      </c>
      <c r="O2447" t="s">
        <v>7641</v>
      </c>
      <c r="P2447">
        <v>14343</v>
      </c>
      <c r="Q2447" t="str">
        <f>"38.027472"</f>
        <v>38.027472</v>
      </c>
      <c r="R2447" t="str">
        <f>"23.731320"</f>
        <v>23.731320</v>
      </c>
      <c r="S2447" t="s">
        <v>26</v>
      </c>
    </row>
    <row r="2448" spans="1:19" x14ac:dyDescent="0.3">
      <c r="A2448" t="s">
        <v>3237</v>
      </c>
      <c r="B2448" t="s">
        <v>6738</v>
      </c>
      <c r="C2448" t="s">
        <v>3639</v>
      </c>
      <c r="D2448" t="s">
        <v>3238</v>
      </c>
      <c r="E2448" t="s">
        <v>3239</v>
      </c>
      <c r="F2448" t="s">
        <v>3239</v>
      </c>
      <c r="G2448" t="s">
        <v>3340</v>
      </c>
      <c r="H2448" t="s">
        <v>868</v>
      </c>
      <c r="I2448" t="s">
        <v>869</v>
      </c>
      <c r="J2448" t="str">
        <f>"9051095"</f>
        <v>9051095</v>
      </c>
      <c r="K2448">
        <v>2106420890</v>
      </c>
      <c r="L2448">
        <v>2106420890</v>
      </c>
      <c r="M2448" t="s">
        <v>7642</v>
      </c>
      <c r="N2448" t="s">
        <v>7643</v>
      </c>
      <c r="O2448" t="s">
        <v>7644</v>
      </c>
      <c r="P2448">
        <v>11474</v>
      </c>
      <c r="Q2448" t="str">
        <f>"37.990810"</f>
        <v>37.990810</v>
      </c>
      <c r="R2448" t="str">
        <f>"23.745091"</f>
        <v>23.745091</v>
      </c>
      <c r="S2448" t="s">
        <v>26</v>
      </c>
    </row>
    <row r="2449" spans="1:19" x14ac:dyDescent="0.3">
      <c r="A2449" t="s">
        <v>3237</v>
      </c>
      <c r="B2449" t="s">
        <v>6738</v>
      </c>
      <c r="C2449" t="s">
        <v>7645</v>
      </c>
      <c r="D2449" t="s">
        <v>3238</v>
      </c>
      <c r="E2449" t="s">
        <v>3239</v>
      </c>
      <c r="F2449" t="s">
        <v>3239</v>
      </c>
      <c r="G2449" t="s">
        <v>3240</v>
      </c>
      <c r="H2449" t="s">
        <v>868</v>
      </c>
      <c r="I2449" t="s">
        <v>1602</v>
      </c>
      <c r="J2449" t="str">
        <f>"9050021"</f>
        <v>9050021</v>
      </c>
      <c r="K2449">
        <v>2107217065</v>
      </c>
      <c r="L2449">
        <v>2107217065</v>
      </c>
      <c r="M2449" t="s">
        <v>7646</v>
      </c>
      <c r="N2449" t="s">
        <v>3325</v>
      </c>
      <c r="O2449" t="s">
        <v>7628</v>
      </c>
      <c r="P2449">
        <v>10676</v>
      </c>
      <c r="Q2449" t="str">
        <f>"37.977200"</f>
        <v>37.977200</v>
      </c>
      <c r="R2449" t="str">
        <f>"23.746687"</f>
        <v>23.746687</v>
      </c>
      <c r="S2449" t="s">
        <v>26</v>
      </c>
    </row>
    <row r="2450" spans="1:19" x14ac:dyDescent="0.3">
      <c r="A2450" t="s">
        <v>3237</v>
      </c>
      <c r="B2450" t="s">
        <v>6738</v>
      </c>
      <c r="C2450" t="s">
        <v>3597</v>
      </c>
      <c r="D2450" t="s">
        <v>3238</v>
      </c>
      <c r="E2450" t="s">
        <v>3404</v>
      </c>
      <c r="F2450" t="s">
        <v>3405</v>
      </c>
      <c r="G2450" t="s">
        <v>3405</v>
      </c>
      <c r="H2450" t="s">
        <v>868</v>
      </c>
      <c r="I2450" t="s">
        <v>869</v>
      </c>
      <c r="J2450" t="str">
        <f>"9050462"</f>
        <v>9050462</v>
      </c>
      <c r="K2450">
        <v>2102511264</v>
      </c>
      <c r="L2450">
        <v>2102511264</v>
      </c>
      <c r="M2450" t="s">
        <v>7647</v>
      </c>
      <c r="N2450" t="s">
        <v>3408</v>
      </c>
      <c r="O2450" t="s">
        <v>7648</v>
      </c>
      <c r="P2450">
        <v>14341</v>
      </c>
      <c r="Q2450" t="str">
        <f>"38.037469"</f>
        <v>38.037469</v>
      </c>
      <c r="R2450" t="str">
        <f>"23.737275"</f>
        <v>23.737275</v>
      </c>
      <c r="S2450" t="s">
        <v>26</v>
      </c>
    </row>
    <row r="2451" spans="1:19" x14ac:dyDescent="0.3">
      <c r="A2451" t="s">
        <v>3237</v>
      </c>
      <c r="B2451" t="s">
        <v>6738</v>
      </c>
      <c r="C2451" t="s">
        <v>7649</v>
      </c>
      <c r="D2451" t="s">
        <v>3238</v>
      </c>
      <c r="E2451" t="s">
        <v>3239</v>
      </c>
      <c r="F2451" t="s">
        <v>3239</v>
      </c>
      <c r="G2451" t="s">
        <v>3312</v>
      </c>
      <c r="H2451" t="s">
        <v>868</v>
      </c>
      <c r="I2451" t="s">
        <v>869</v>
      </c>
      <c r="J2451" t="str">
        <f>"9050453"</f>
        <v>9050453</v>
      </c>
      <c r="K2451">
        <v>2108643165</v>
      </c>
      <c r="L2451">
        <v>2108643165</v>
      </c>
      <c r="M2451" t="s">
        <v>7650</v>
      </c>
      <c r="N2451" t="s">
        <v>3284</v>
      </c>
      <c r="O2451" t="s">
        <v>7163</v>
      </c>
      <c r="P2451">
        <v>10446</v>
      </c>
      <c r="Q2451" t="str">
        <f>"38.002791"</f>
        <v>38.002791</v>
      </c>
      <c r="R2451" t="str">
        <f>"23.725713"</f>
        <v>23.725713</v>
      </c>
      <c r="S2451" t="s">
        <v>26</v>
      </c>
    </row>
    <row r="2452" spans="1:19" x14ac:dyDescent="0.3">
      <c r="A2452" t="s">
        <v>3237</v>
      </c>
      <c r="B2452" t="s">
        <v>6738</v>
      </c>
      <c r="C2452" t="s">
        <v>3501</v>
      </c>
      <c r="D2452" t="s">
        <v>3238</v>
      </c>
      <c r="E2452" t="s">
        <v>3468</v>
      </c>
      <c r="F2452" t="s">
        <v>3469</v>
      </c>
      <c r="G2452" t="s">
        <v>3469</v>
      </c>
      <c r="H2452" t="s">
        <v>868</v>
      </c>
      <c r="I2452" t="s">
        <v>869</v>
      </c>
      <c r="J2452" t="str">
        <f>"9050153"</f>
        <v>9050153</v>
      </c>
      <c r="K2452">
        <v>2109027582</v>
      </c>
      <c r="L2452">
        <v>2109027582</v>
      </c>
      <c r="M2452" t="s">
        <v>7651</v>
      </c>
      <c r="N2452" t="s">
        <v>3549</v>
      </c>
      <c r="O2452" t="s">
        <v>3550</v>
      </c>
      <c r="P2452">
        <v>17234</v>
      </c>
      <c r="Q2452" t="str">
        <f>"37.953669"</f>
        <v>37.953669</v>
      </c>
      <c r="R2452" t="str">
        <f>"23.728535"</f>
        <v>23.728535</v>
      </c>
      <c r="S2452" t="s">
        <v>26</v>
      </c>
    </row>
    <row r="2453" spans="1:19" x14ac:dyDescent="0.3">
      <c r="A2453" t="s">
        <v>3237</v>
      </c>
      <c r="B2453" t="s">
        <v>6738</v>
      </c>
      <c r="C2453" t="s">
        <v>7655</v>
      </c>
      <c r="D2453" t="s">
        <v>3238</v>
      </c>
      <c r="E2453" t="s">
        <v>3239</v>
      </c>
      <c r="F2453" t="s">
        <v>3239</v>
      </c>
      <c r="G2453" t="s">
        <v>3312</v>
      </c>
      <c r="H2453" t="s">
        <v>868</v>
      </c>
      <c r="I2453" t="s">
        <v>869</v>
      </c>
      <c r="J2453" t="str">
        <f>"9050457"</f>
        <v>9050457</v>
      </c>
      <c r="K2453">
        <v>2108673334</v>
      </c>
      <c r="L2453">
        <v>2108673334</v>
      </c>
      <c r="M2453" t="s">
        <v>7656</v>
      </c>
      <c r="N2453" t="s">
        <v>3284</v>
      </c>
      <c r="O2453" t="s">
        <v>7657</v>
      </c>
      <c r="P2453">
        <v>11253</v>
      </c>
      <c r="Q2453" t="str">
        <f>"38.005162"</f>
        <v>38.005162</v>
      </c>
      <c r="R2453" t="str">
        <f>"23.730919"</f>
        <v>23.730919</v>
      </c>
      <c r="S2453" t="s">
        <v>26</v>
      </c>
    </row>
    <row r="2454" spans="1:19" x14ac:dyDescent="0.3">
      <c r="A2454" t="s">
        <v>3237</v>
      </c>
      <c r="B2454" t="s">
        <v>6738</v>
      </c>
      <c r="C2454" t="s">
        <v>7658</v>
      </c>
      <c r="D2454" t="s">
        <v>3238</v>
      </c>
      <c r="E2454" t="s">
        <v>3404</v>
      </c>
      <c r="F2454" t="s">
        <v>3405</v>
      </c>
      <c r="G2454" t="s">
        <v>3405</v>
      </c>
      <c r="H2454" t="s">
        <v>868</v>
      </c>
      <c r="I2454" t="s">
        <v>869</v>
      </c>
      <c r="J2454" t="str">
        <f>"9050482"</f>
        <v>9050482</v>
      </c>
      <c r="K2454">
        <v>2102793900</v>
      </c>
      <c r="L2454">
        <v>2102793900</v>
      </c>
      <c r="M2454" t="s">
        <v>7659</v>
      </c>
      <c r="N2454" t="s">
        <v>3568</v>
      </c>
      <c r="O2454" t="s">
        <v>7660</v>
      </c>
      <c r="P2454">
        <v>14342</v>
      </c>
      <c r="Q2454" t="str">
        <f>"38.051894"</f>
        <v>38.051894</v>
      </c>
      <c r="R2454" t="str">
        <f>"23.747036"</f>
        <v>23.747036</v>
      </c>
      <c r="S2454" t="s">
        <v>26</v>
      </c>
    </row>
    <row r="2455" spans="1:19" x14ac:dyDescent="0.3">
      <c r="A2455" t="s">
        <v>3237</v>
      </c>
      <c r="B2455" t="s">
        <v>6738</v>
      </c>
      <c r="C2455" t="s">
        <v>3698</v>
      </c>
      <c r="D2455" t="s">
        <v>3238</v>
      </c>
      <c r="E2455" t="s">
        <v>3239</v>
      </c>
      <c r="F2455" t="s">
        <v>3239</v>
      </c>
      <c r="G2455" t="s">
        <v>3382</v>
      </c>
      <c r="H2455" t="s">
        <v>868</v>
      </c>
      <c r="I2455" t="s">
        <v>869</v>
      </c>
      <c r="J2455" t="str">
        <f>"9051718"</f>
        <v>9051718</v>
      </c>
      <c r="K2455">
        <v>2105149477</v>
      </c>
      <c r="L2455">
        <v>2105151072</v>
      </c>
      <c r="M2455" t="s">
        <v>7661</v>
      </c>
      <c r="N2455" t="s">
        <v>3284</v>
      </c>
      <c r="O2455" t="s">
        <v>7662</v>
      </c>
      <c r="P2455">
        <v>10442</v>
      </c>
      <c r="Q2455" t="str">
        <f>"37.998029"</f>
        <v>37.998029</v>
      </c>
      <c r="R2455" t="str">
        <f>"23.706450"</f>
        <v>23.706450</v>
      </c>
      <c r="S2455" t="s">
        <v>26</v>
      </c>
    </row>
    <row r="2456" spans="1:19" x14ac:dyDescent="0.3">
      <c r="A2456" t="s">
        <v>3237</v>
      </c>
      <c r="B2456" t="s">
        <v>6738</v>
      </c>
      <c r="C2456" t="s">
        <v>7663</v>
      </c>
      <c r="D2456" t="s">
        <v>3238</v>
      </c>
      <c r="E2456" t="s">
        <v>3239</v>
      </c>
      <c r="F2456" t="s">
        <v>3239</v>
      </c>
      <c r="G2456" t="s">
        <v>3312</v>
      </c>
      <c r="H2456" t="s">
        <v>868</v>
      </c>
      <c r="I2456" t="s">
        <v>869</v>
      </c>
      <c r="J2456" t="str">
        <f>"9051355"</f>
        <v>9051355</v>
      </c>
      <c r="K2456">
        <v>2108812571</v>
      </c>
      <c r="L2456">
        <v>2108812571</v>
      </c>
      <c r="M2456" t="s">
        <v>7664</v>
      </c>
      <c r="N2456" t="s">
        <v>3284</v>
      </c>
      <c r="O2456" t="s">
        <v>7665</v>
      </c>
      <c r="P2456">
        <v>11251</v>
      </c>
      <c r="Q2456" t="str">
        <f>"37.995871"</f>
        <v>37.995871</v>
      </c>
      <c r="R2456" t="str">
        <f>"23.731363"</f>
        <v>23.731363</v>
      </c>
      <c r="S2456" t="s">
        <v>26</v>
      </c>
    </row>
    <row r="2457" spans="1:19" x14ac:dyDescent="0.3">
      <c r="A2457" t="s">
        <v>3237</v>
      </c>
      <c r="B2457" t="s">
        <v>6738</v>
      </c>
      <c r="C2457" t="s">
        <v>7671</v>
      </c>
      <c r="D2457" t="s">
        <v>3238</v>
      </c>
      <c r="E2457" t="s">
        <v>3239</v>
      </c>
      <c r="F2457" t="s">
        <v>3239</v>
      </c>
      <c r="G2457" t="s">
        <v>3312</v>
      </c>
      <c r="H2457" t="s">
        <v>868</v>
      </c>
      <c r="I2457" t="s">
        <v>869</v>
      </c>
      <c r="J2457" t="str">
        <f>"9051721"</f>
        <v>9051721</v>
      </c>
      <c r="K2457">
        <v>2108640806</v>
      </c>
      <c r="L2457">
        <v>2108640806</v>
      </c>
      <c r="M2457" t="s">
        <v>7672</v>
      </c>
      <c r="N2457" t="s">
        <v>3284</v>
      </c>
      <c r="O2457" t="s">
        <v>7279</v>
      </c>
      <c r="P2457">
        <v>11253</v>
      </c>
      <c r="Q2457" t="str">
        <f>"38.004324"</f>
        <v>38.004324</v>
      </c>
      <c r="R2457" t="str">
        <f>"23.733633"</f>
        <v>23.733633</v>
      </c>
      <c r="S2457" t="s">
        <v>26</v>
      </c>
    </row>
    <row r="2458" spans="1:19" x14ac:dyDescent="0.3">
      <c r="A2458" t="s">
        <v>3237</v>
      </c>
      <c r="B2458" t="s">
        <v>6738</v>
      </c>
      <c r="C2458" t="s">
        <v>7676</v>
      </c>
      <c r="D2458" t="s">
        <v>3238</v>
      </c>
      <c r="E2458" t="s">
        <v>3239</v>
      </c>
      <c r="F2458" t="s">
        <v>3239</v>
      </c>
      <c r="G2458" t="s">
        <v>3240</v>
      </c>
      <c r="H2458" t="s">
        <v>868</v>
      </c>
      <c r="I2458" t="s">
        <v>1602</v>
      </c>
      <c r="J2458" t="str">
        <f>"9050923"</f>
        <v>9050923</v>
      </c>
      <c r="K2458">
        <v>2107222963</v>
      </c>
      <c r="L2458">
        <v>2107222963</v>
      </c>
      <c r="M2458" t="s">
        <v>7677</v>
      </c>
      <c r="N2458" t="s">
        <v>3284</v>
      </c>
      <c r="O2458" t="s">
        <v>7628</v>
      </c>
      <c r="P2458">
        <v>10676</v>
      </c>
      <c r="Q2458" t="str">
        <f>"37.977273"</f>
        <v>37.977273</v>
      </c>
      <c r="R2458" t="str">
        <f>"23.746930"</f>
        <v>23.746930</v>
      </c>
      <c r="S2458" t="s">
        <v>26</v>
      </c>
    </row>
    <row r="2459" spans="1:19" x14ac:dyDescent="0.3">
      <c r="A2459" t="s">
        <v>3237</v>
      </c>
      <c r="B2459" t="s">
        <v>6738</v>
      </c>
      <c r="C2459" t="s">
        <v>7678</v>
      </c>
      <c r="D2459" t="s">
        <v>3238</v>
      </c>
      <c r="E2459" t="s">
        <v>3358</v>
      </c>
      <c r="F2459" t="s">
        <v>3358</v>
      </c>
      <c r="G2459" t="s">
        <v>3358</v>
      </c>
      <c r="H2459" t="s">
        <v>868</v>
      </c>
      <c r="I2459" t="s">
        <v>1157</v>
      </c>
      <c r="J2459" t="str">
        <f>"9051005"</f>
        <v>9051005</v>
      </c>
      <c r="K2459">
        <v>2107211289</v>
      </c>
      <c r="L2459">
        <v>2107211289</v>
      </c>
      <c r="M2459" t="s">
        <v>7679</v>
      </c>
      <c r="N2459" t="s">
        <v>3361</v>
      </c>
      <c r="O2459" t="s">
        <v>7680</v>
      </c>
      <c r="P2459">
        <v>16121</v>
      </c>
      <c r="Q2459" t="str">
        <f>"37.966386"</f>
        <v>37.966386</v>
      </c>
      <c r="R2459" t="str">
        <f>"23.761464"</f>
        <v>23.761464</v>
      </c>
      <c r="S2459" t="s">
        <v>26</v>
      </c>
    </row>
    <row r="2460" spans="1:19" x14ac:dyDescent="0.3">
      <c r="A2460" t="s">
        <v>3237</v>
      </c>
      <c r="B2460" t="s">
        <v>6738</v>
      </c>
      <c r="C2460" t="s">
        <v>7681</v>
      </c>
      <c r="D2460" t="s">
        <v>3238</v>
      </c>
      <c r="E2460" t="s">
        <v>3239</v>
      </c>
      <c r="F2460" t="s">
        <v>3239</v>
      </c>
      <c r="G2460" t="s">
        <v>3281</v>
      </c>
      <c r="H2460" t="s">
        <v>868</v>
      </c>
      <c r="I2460" t="s">
        <v>869</v>
      </c>
      <c r="J2460" t="str">
        <f>"9050136"</f>
        <v>9050136</v>
      </c>
      <c r="K2460">
        <v>2107010496</v>
      </c>
      <c r="L2460">
        <v>2107010496</v>
      </c>
      <c r="M2460" t="s">
        <v>7682</v>
      </c>
      <c r="N2460" t="s">
        <v>3374</v>
      </c>
      <c r="O2460" t="s">
        <v>7683</v>
      </c>
      <c r="P2460">
        <v>11632</v>
      </c>
      <c r="Q2460" t="str">
        <f>"37.960689"</f>
        <v>37.960689</v>
      </c>
      <c r="R2460" t="str">
        <f>"23.742368"</f>
        <v>23.742368</v>
      </c>
      <c r="S2460" t="s">
        <v>26</v>
      </c>
    </row>
    <row r="2461" spans="1:19" x14ac:dyDescent="0.3">
      <c r="A2461" t="s">
        <v>3237</v>
      </c>
      <c r="B2461" t="s">
        <v>6738</v>
      </c>
      <c r="C2461" t="s">
        <v>7686</v>
      </c>
      <c r="D2461" t="s">
        <v>3238</v>
      </c>
      <c r="E2461" t="s">
        <v>3443</v>
      </c>
      <c r="F2461" t="s">
        <v>3443</v>
      </c>
      <c r="G2461" t="s">
        <v>3443</v>
      </c>
      <c r="H2461" t="s">
        <v>868</v>
      </c>
      <c r="I2461" t="s">
        <v>869</v>
      </c>
      <c r="J2461" t="str">
        <f>"9050535"</f>
        <v>9050535</v>
      </c>
      <c r="K2461">
        <v>2102931068</v>
      </c>
      <c r="L2461">
        <v>2102931068</v>
      </c>
      <c r="M2461" t="s">
        <v>7687</v>
      </c>
      <c r="N2461" t="s">
        <v>3446</v>
      </c>
      <c r="O2461" t="s">
        <v>7359</v>
      </c>
      <c r="P2461">
        <v>11146</v>
      </c>
      <c r="Q2461" t="str">
        <f>"38.014190"</f>
        <v>38.014190</v>
      </c>
      <c r="R2461" t="str">
        <f>"23.746839"</f>
        <v>23.746839</v>
      </c>
      <c r="S2461" t="s">
        <v>26</v>
      </c>
    </row>
    <row r="2462" spans="1:19" x14ac:dyDescent="0.3">
      <c r="A2462" t="s">
        <v>3237</v>
      </c>
      <c r="B2462" t="s">
        <v>6738</v>
      </c>
      <c r="C2462" t="s">
        <v>7690</v>
      </c>
      <c r="D2462" t="s">
        <v>3238</v>
      </c>
      <c r="E2462" t="s">
        <v>3239</v>
      </c>
      <c r="F2462" t="s">
        <v>3239</v>
      </c>
      <c r="G2462" t="s">
        <v>3346</v>
      </c>
      <c r="H2462" t="s">
        <v>868</v>
      </c>
      <c r="I2462" t="s">
        <v>869</v>
      </c>
      <c r="J2462" t="str">
        <f>"9050509"</f>
        <v>9050509</v>
      </c>
      <c r="K2462">
        <v>2102011026</v>
      </c>
      <c r="L2462">
        <v>2102011026</v>
      </c>
      <c r="M2462" t="s">
        <v>7691</v>
      </c>
      <c r="N2462" t="s">
        <v>3284</v>
      </c>
      <c r="O2462" t="s">
        <v>7692</v>
      </c>
      <c r="P2462">
        <v>11141</v>
      </c>
      <c r="Q2462" t="str">
        <f>"38.016539"</f>
        <v>38.016539</v>
      </c>
      <c r="R2462" t="str">
        <f>"23.743345"</f>
        <v>23.743345</v>
      </c>
      <c r="S2462" t="s">
        <v>26</v>
      </c>
    </row>
    <row r="2463" spans="1:19" x14ac:dyDescent="0.3">
      <c r="A2463" t="s">
        <v>3237</v>
      </c>
      <c r="B2463" t="s">
        <v>6738</v>
      </c>
      <c r="C2463" t="s">
        <v>3671</v>
      </c>
      <c r="D2463" t="s">
        <v>3238</v>
      </c>
      <c r="E2463" t="s">
        <v>3443</v>
      </c>
      <c r="F2463" t="s">
        <v>3443</v>
      </c>
      <c r="G2463" t="s">
        <v>3443</v>
      </c>
      <c r="H2463" t="s">
        <v>868</v>
      </c>
      <c r="I2463" t="s">
        <v>869</v>
      </c>
      <c r="J2463" t="str">
        <f>"9050538"</f>
        <v>9050538</v>
      </c>
      <c r="K2463">
        <v>2102915890</v>
      </c>
      <c r="L2463">
        <v>2102915890</v>
      </c>
      <c r="M2463" t="s">
        <v>7693</v>
      </c>
      <c r="N2463" t="s">
        <v>3761</v>
      </c>
      <c r="O2463" t="s">
        <v>7694</v>
      </c>
      <c r="P2463">
        <v>11147</v>
      </c>
      <c r="Q2463" t="str">
        <f>"38.019902"</f>
        <v>38.019902</v>
      </c>
      <c r="R2463" t="str">
        <f>"23.758625"</f>
        <v>23.758625</v>
      </c>
      <c r="S2463" t="s">
        <v>26</v>
      </c>
    </row>
    <row r="2464" spans="1:19" x14ac:dyDescent="0.3">
      <c r="A2464" t="s">
        <v>3237</v>
      </c>
      <c r="B2464" t="s">
        <v>6738</v>
      </c>
      <c r="C2464" t="s">
        <v>7695</v>
      </c>
      <c r="D2464" t="s">
        <v>3238</v>
      </c>
      <c r="E2464" t="s">
        <v>3443</v>
      </c>
      <c r="F2464" t="s">
        <v>3443</v>
      </c>
      <c r="G2464" t="s">
        <v>3443</v>
      </c>
      <c r="H2464" t="s">
        <v>868</v>
      </c>
      <c r="I2464" t="s">
        <v>869</v>
      </c>
      <c r="J2464" t="str">
        <f>"9050539"</f>
        <v>9050539</v>
      </c>
      <c r="K2464">
        <v>2102915931</v>
      </c>
      <c r="L2464">
        <v>2102915931</v>
      </c>
      <c r="M2464" t="s">
        <v>7696</v>
      </c>
      <c r="N2464" t="s">
        <v>3761</v>
      </c>
      <c r="O2464" t="s">
        <v>7225</v>
      </c>
      <c r="P2464">
        <v>11147</v>
      </c>
      <c r="Q2464" t="str">
        <f>"38.012555"</f>
        <v>38.012555</v>
      </c>
      <c r="R2464" t="str">
        <f>"23.753967"</f>
        <v>23.753967</v>
      </c>
      <c r="S2464" t="s">
        <v>26</v>
      </c>
    </row>
    <row r="2465" spans="1:19" x14ac:dyDescent="0.3">
      <c r="A2465" t="s">
        <v>3237</v>
      </c>
      <c r="B2465" t="s">
        <v>6738</v>
      </c>
      <c r="C2465" t="s">
        <v>3813</v>
      </c>
      <c r="D2465" t="s">
        <v>3238</v>
      </c>
      <c r="E2465" t="s">
        <v>3443</v>
      </c>
      <c r="F2465" t="s">
        <v>3443</v>
      </c>
      <c r="G2465" t="s">
        <v>3443</v>
      </c>
      <c r="H2465" t="s">
        <v>868</v>
      </c>
      <c r="I2465" t="s">
        <v>869</v>
      </c>
      <c r="J2465" t="str">
        <f>"9050541"</f>
        <v>9050541</v>
      </c>
      <c r="K2465">
        <v>2102915780</v>
      </c>
      <c r="L2465">
        <v>2102915780</v>
      </c>
      <c r="M2465" t="s">
        <v>7697</v>
      </c>
      <c r="N2465" t="s">
        <v>3446</v>
      </c>
      <c r="O2465" t="s">
        <v>7698</v>
      </c>
      <c r="P2465">
        <v>11146</v>
      </c>
      <c r="Q2465" t="str">
        <f>"38.019735"</f>
        <v>38.019735</v>
      </c>
      <c r="R2465" t="str">
        <f>"23.747412"</f>
        <v>23.747412</v>
      </c>
      <c r="S2465" t="s">
        <v>26</v>
      </c>
    </row>
    <row r="2466" spans="1:19" x14ac:dyDescent="0.3">
      <c r="A2466" t="s">
        <v>3237</v>
      </c>
      <c r="B2466" t="s">
        <v>6738</v>
      </c>
      <c r="C2466" t="s">
        <v>3335</v>
      </c>
      <c r="D2466" t="s">
        <v>3238</v>
      </c>
      <c r="E2466" t="s">
        <v>3239</v>
      </c>
      <c r="F2466" t="s">
        <v>3239</v>
      </c>
      <c r="G2466" t="s">
        <v>3281</v>
      </c>
      <c r="H2466" t="s">
        <v>868</v>
      </c>
      <c r="I2466" t="s">
        <v>869</v>
      </c>
      <c r="J2466" t="str">
        <f>"9050098"</f>
        <v>9050098</v>
      </c>
      <c r="K2466">
        <v>2107010240</v>
      </c>
      <c r="L2466">
        <v>2107010240</v>
      </c>
      <c r="M2466" t="s">
        <v>7701</v>
      </c>
      <c r="N2466" t="s">
        <v>3284</v>
      </c>
      <c r="O2466" t="s">
        <v>7702</v>
      </c>
      <c r="P2466">
        <v>11636</v>
      </c>
      <c r="Q2466" t="str">
        <f>"37.964101"</f>
        <v>37.964101</v>
      </c>
      <c r="R2466" t="str">
        <f>"23.740372"</f>
        <v>23.740372</v>
      </c>
      <c r="S2466" t="s">
        <v>26</v>
      </c>
    </row>
    <row r="2467" spans="1:19" x14ac:dyDescent="0.3">
      <c r="A2467" t="s">
        <v>3237</v>
      </c>
      <c r="B2467" t="s">
        <v>6738</v>
      </c>
      <c r="C2467" t="s">
        <v>7703</v>
      </c>
      <c r="D2467" t="s">
        <v>3238</v>
      </c>
      <c r="E2467" t="s">
        <v>3239</v>
      </c>
      <c r="F2467" t="s">
        <v>3239</v>
      </c>
      <c r="G2467" t="s">
        <v>3240</v>
      </c>
      <c r="H2467" t="s">
        <v>868</v>
      </c>
      <c r="I2467" t="s">
        <v>1157</v>
      </c>
      <c r="J2467" t="str">
        <f>"9051345"</f>
        <v>9051345</v>
      </c>
      <c r="K2467">
        <v>2107240687</v>
      </c>
      <c r="L2467">
        <v>2107240687</v>
      </c>
      <c r="M2467" t="s">
        <v>7704</v>
      </c>
      <c r="N2467" t="s">
        <v>3284</v>
      </c>
      <c r="O2467" t="s">
        <v>7628</v>
      </c>
      <c r="P2467">
        <v>10676</v>
      </c>
      <c r="Q2467" t="str">
        <f>"37.978345"</f>
        <v>37.978345</v>
      </c>
      <c r="R2467" t="str">
        <f>"23.746394"</f>
        <v>23.746394</v>
      </c>
      <c r="S2467" t="s">
        <v>26</v>
      </c>
    </row>
    <row r="2468" spans="1:19" x14ac:dyDescent="0.3">
      <c r="A2468" t="s">
        <v>3237</v>
      </c>
      <c r="B2468" t="s">
        <v>6738</v>
      </c>
      <c r="C2468" t="s">
        <v>7716</v>
      </c>
      <c r="D2468" t="s">
        <v>3238</v>
      </c>
      <c r="E2468" t="s">
        <v>3239</v>
      </c>
      <c r="F2468" t="s">
        <v>3239</v>
      </c>
      <c r="G2468" t="s">
        <v>3281</v>
      </c>
      <c r="H2468" t="s">
        <v>868</v>
      </c>
      <c r="I2468" t="s">
        <v>1157</v>
      </c>
      <c r="J2468" t="str">
        <f>"9050924"</f>
        <v>9050924</v>
      </c>
      <c r="K2468">
        <v>2107225178</v>
      </c>
      <c r="L2468">
        <v>2107225178</v>
      </c>
      <c r="M2468" t="s">
        <v>7717</v>
      </c>
      <c r="N2468" t="s">
        <v>3284</v>
      </c>
      <c r="O2468" t="s">
        <v>7718</v>
      </c>
      <c r="P2468">
        <v>11634</v>
      </c>
      <c r="Q2468" t="str">
        <f>"37.970136"</f>
        <v>37.970136</v>
      </c>
      <c r="R2468" t="str">
        <f>"23.750471"</f>
        <v>23.750471</v>
      </c>
      <c r="S2468" t="s">
        <v>26</v>
      </c>
    </row>
    <row r="2469" spans="1:19" x14ac:dyDescent="0.3">
      <c r="A2469" t="s">
        <v>3237</v>
      </c>
      <c r="B2469" t="s">
        <v>6738</v>
      </c>
      <c r="C2469" t="s">
        <v>7727</v>
      </c>
      <c r="D2469" t="s">
        <v>3238</v>
      </c>
      <c r="E2469" t="s">
        <v>3506</v>
      </c>
      <c r="F2469" t="s">
        <v>3506</v>
      </c>
      <c r="G2469" t="s">
        <v>3506</v>
      </c>
      <c r="H2469" t="s">
        <v>868</v>
      </c>
      <c r="I2469" t="s">
        <v>869</v>
      </c>
      <c r="J2469" t="str">
        <f>"9050119"</f>
        <v>9050119</v>
      </c>
      <c r="K2469">
        <v>2107665040</v>
      </c>
      <c r="L2469">
        <v>2107665040</v>
      </c>
      <c r="M2469" t="s">
        <v>7728</v>
      </c>
      <c r="N2469" t="s">
        <v>3509</v>
      </c>
      <c r="O2469" t="s">
        <v>7729</v>
      </c>
      <c r="P2469">
        <v>16233</v>
      </c>
      <c r="Q2469" t="str">
        <f>"37.943662"</f>
        <v>37.943662</v>
      </c>
      <c r="R2469" t="str">
        <f>"23.770515"</f>
        <v>23.770515</v>
      </c>
      <c r="S2469" t="s">
        <v>26</v>
      </c>
    </row>
    <row r="2470" spans="1:19" x14ac:dyDescent="0.3">
      <c r="A2470" t="s">
        <v>3237</v>
      </c>
      <c r="B2470" t="s">
        <v>6738</v>
      </c>
      <c r="C2470" t="s">
        <v>3586</v>
      </c>
      <c r="D2470" t="s">
        <v>3238</v>
      </c>
      <c r="E2470" t="s">
        <v>3239</v>
      </c>
      <c r="F2470" t="s">
        <v>3239</v>
      </c>
      <c r="G2470" t="s">
        <v>3281</v>
      </c>
      <c r="H2470" t="s">
        <v>868</v>
      </c>
      <c r="I2470" t="s">
        <v>869</v>
      </c>
      <c r="J2470" t="str">
        <f>"9050135"</f>
        <v>9050135</v>
      </c>
      <c r="K2470">
        <v>2107515171</v>
      </c>
      <c r="L2470">
        <v>2107515171</v>
      </c>
      <c r="M2470" t="s">
        <v>7733</v>
      </c>
      <c r="N2470" t="s">
        <v>3325</v>
      </c>
      <c r="O2470" t="s">
        <v>7734</v>
      </c>
      <c r="P2470">
        <v>11631</v>
      </c>
      <c r="Q2470" t="str">
        <f>"37.957778"</f>
        <v>37.957778</v>
      </c>
      <c r="R2470" t="str">
        <f>"23.740069"</f>
        <v>23.740069</v>
      </c>
      <c r="S2470" t="s">
        <v>26</v>
      </c>
    </row>
    <row r="2471" spans="1:19" x14ac:dyDescent="0.3">
      <c r="A2471" t="s">
        <v>3237</v>
      </c>
      <c r="B2471" t="s">
        <v>6738</v>
      </c>
      <c r="C2471" t="s">
        <v>3519</v>
      </c>
      <c r="D2471" t="s">
        <v>3238</v>
      </c>
      <c r="E2471" t="s">
        <v>3239</v>
      </c>
      <c r="F2471" t="s">
        <v>3239</v>
      </c>
      <c r="G2471" t="s">
        <v>3240</v>
      </c>
      <c r="H2471" t="s">
        <v>868</v>
      </c>
      <c r="I2471" t="s">
        <v>869</v>
      </c>
      <c r="J2471" t="str">
        <f>"9050449"</f>
        <v>9050449</v>
      </c>
      <c r="K2471">
        <v>2108211033</v>
      </c>
      <c r="L2471">
        <v>2108211033</v>
      </c>
      <c r="M2471" t="s">
        <v>7750</v>
      </c>
      <c r="N2471" t="s">
        <v>3284</v>
      </c>
      <c r="O2471" t="s">
        <v>7751</v>
      </c>
      <c r="P2471">
        <v>10439</v>
      </c>
      <c r="Q2471" t="str">
        <f>"37.990196"</f>
        <v>37.990196</v>
      </c>
      <c r="R2471" t="str">
        <f>"23.724307"</f>
        <v>23.724307</v>
      </c>
      <c r="S2471" t="s">
        <v>26</v>
      </c>
    </row>
    <row r="2472" spans="1:19" x14ac:dyDescent="0.3">
      <c r="A2472" t="s">
        <v>3237</v>
      </c>
      <c r="B2472" t="s">
        <v>6738</v>
      </c>
      <c r="C2472" t="s">
        <v>7768</v>
      </c>
      <c r="D2472" t="s">
        <v>3238</v>
      </c>
      <c r="E2472" t="s">
        <v>3443</v>
      </c>
      <c r="F2472" t="s">
        <v>3443</v>
      </c>
      <c r="G2472" t="s">
        <v>3443</v>
      </c>
      <c r="H2472" t="s">
        <v>868</v>
      </c>
      <c r="I2472" t="s">
        <v>869</v>
      </c>
      <c r="J2472" t="str">
        <f>"9051726"</f>
        <v>9051726</v>
      </c>
      <c r="K2472">
        <v>2102926452</v>
      </c>
      <c r="L2472">
        <v>2110120401</v>
      </c>
      <c r="M2472" t="s">
        <v>7769</v>
      </c>
      <c r="N2472" t="s">
        <v>3446</v>
      </c>
      <c r="O2472" t="s">
        <v>7206</v>
      </c>
      <c r="P2472">
        <v>11147</v>
      </c>
      <c r="Q2472" t="str">
        <f>"38.011607"</f>
        <v>38.011607</v>
      </c>
      <c r="R2472" t="str">
        <f>"23.759716"</f>
        <v>23.759716</v>
      </c>
      <c r="S2472" t="s">
        <v>26</v>
      </c>
    </row>
    <row r="2473" spans="1:19" x14ac:dyDescent="0.3">
      <c r="A2473" t="s">
        <v>3237</v>
      </c>
      <c r="B2473" t="s">
        <v>6738</v>
      </c>
      <c r="C2473" t="s">
        <v>3880</v>
      </c>
      <c r="D2473" t="s">
        <v>3238</v>
      </c>
      <c r="E2473" t="s">
        <v>3239</v>
      </c>
      <c r="F2473" t="s">
        <v>3239</v>
      </c>
      <c r="G2473" t="s">
        <v>3281</v>
      </c>
      <c r="H2473" t="s">
        <v>868</v>
      </c>
      <c r="I2473" t="s">
        <v>869</v>
      </c>
      <c r="J2473" t="str">
        <f>"9050107"</f>
        <v>9050107</v>
      </c>
      <c r="K2473">
        <v>2109237197</v>
      </c>
      <c r="L2473">
        <v>2109237197</v>
      </c>
      <c r="M2473" t="s">
        <v>7770</v>
      </c>
      <c r="N2473" t="s">
        <v>3284</v>
      </c>
      <c r="O2473" t="s">
        <v>7771</v>
      </c>
      <c r="P2473">
        <v>11745</v>
      </c>
      <c r="Q2473" t="str">
        <f>"37.961149"</f>
        <v>37.961149</v>
      </c>
      <c r="R2473" t="str">
        <f>"23.726045"</f>
        <v>23.726045</v>
      </c>
      <c r="S2473" t="s">
        <v>26</v>
      </c>
    </row>
    <row r="2474" spans="1:19" x14ac:dyDescent="0.3">
      <c r="A2474" t="s">
        <v>3237</v>
      </c>
      <c r="B2474" t="s">
        <v>6738</v>
      </c>
      <c r="C2474" t="s">
        <v>7776</v>
      </c>
      <c r="D2474" t="s">
        <v>3238</v>
      </c>
      <c r="E2474" t="s">
        <v>3239</v>
      </c>
      <c r="F2474" t="s">
        <v>3239</v>
      </c>
      <c r="G2474" t="s">
        <v>3340</v>
      </c>
      <c r="H2474" t="s">
        <v>868</v>
      </c>
      <c r="I2474" t="s">
        <v>869</v>
      </c>
      <c r="J2474" t="str">
        <f>"9050028"</f>
        <v>9050028</v>
      </c>
      <c r="K2474">
        <v>2107772974</v>
      </c>
      <c r="L2474">
        <v>2107772974</v>
      </c>
      <c r="M2474" t="s">
        <v>7777</v>
      </c>
      <c r="N2474" t="s">
        <v>3284</v>
      </c>
      <c r="O2474" t="s">
        <v>7399</v>
      </c>
      <c r="P2474">
        <v>11527</v>
      </c>
      <c r="Q2474" t="str">
        <f>"37.983383"</f>
        <v>37.983383</v>
      </c>
      <c r="R2474" t="str">
        <f>"23.764747"</f>
        <v>23.764747</v>
      </c>
      <c r="S2474" t="s">
        <v>26</v>
      </c>
    </row>
    <row r="2475" spans="1:19" x14ac:dyDescent="0.3">
      <c r="A2475" t="s">
        <v>3237</v>
      </c>
      <c r="B2475" t="s">
        <v>6738</v>
      </c>
      <c r="C2475" t="s">
        <v>3554</v>
      </c>
      <c r="D2475" t="s">
        <v>3238</v>
      </c>
      <c r="E2475" t="s">
        <v>3239</v>
      </c>
      <c r="F2475" t="s">
        <v>3239</v>
      </c>
      <c r="G2475" t="s">
        <v>3281</v>
      </c>
      <c r="H2475" t="s">
        <v>868</v>
      </c>
      <c r="I2475" t="s">
        <v>869</v>
      </c>
      <c r="J2475" t="str">
        <f>"9050099"</f>
        <v>9050099</v>
      </c>
      <c r="K2475">
        <v>2107512865</v>
      </c>
      <c r="M2475" t="s">
        <v>7797</v>
      </c>
      <c r="N2475" t="s">
        <v>3284</v>
      </c>
      <c r="O2475" t="s">
        <v>7057</v>
      </c>
      <c r="P2475">
        <v>11633</v>
      </c>
      <c r="Q2475" t="str">
        <f>"37.965750"</f>
        <v>37.965750</v>
      </c>
      <c r="R2475" t="str">
        <f>"23.749894"</f>
        <v>23.749894</v>
      </c>
      <c r="S2475" t="s">
        <v>26</v>
      </c>
    </row>
    <row r="2476" spans="1:19" x14ac:dyDescent="0.3">
      <c r="A2476" t="s">
        <v>3237</v>
      </c>
      <c r="B2476" t="s">
        <v>6738</v>
      </c>
      <c r="C2476" t="s">
        <v>7801</v>
      </c>
      <c r="D2476" t="s">
        <v>3238</v>
      </c>
      <c r="E2476" t="s">
        <v>3506</v>
      </c>
      <c r="F2476" t="s">
        <v>3506</v>
      </c>
      <c r="G2476" t="s">
        <v>3506</v>
      </c>
      <c r="H2476" t="s">
        <v>868</v>
      </c>
      <c r="I2476" t="s">
        <v>869</v>
      </c>
      <c r="J2476" t="str">
        <f>"9051260"</f>
        <v>9051260</v>
      </c>
      <c r="K2476">
        <v>2107654519</v>
      </c>
      <c r="L2476">
        <v>2107654519</v>
      </c>
      <c r="M2476" t="s">
        <v>7802</v>
      </c>
      <c r="N2476" t="s">
        <v>3509</v>
      </c>
      <c r="O2476" t="s">
        <v>6897</v>
      </c>
      <c r="P2476">
        <v>16232</v>
      </c>
      <c r="Q2476" t="str">
        <f>"37.953664"</f>
        <v>37.953664</v>
      </c>
      <c r="R2476" t="str">
        <f>"23.756094"</f>
        <v>23.756094</v>
      </c>
      <c r="S2476" t="s">
        <v>26</v>
      </c>
    </row>
    <row r="2477" spans="1:19" x14ac:dyDescent="0.3">
      <c r="A2477" t="s">
        <v>3237</v>
      </c>
      <c r="B2477" t="s">
        <v>6738</v>
      </c>
      <c r="C2477" t="s">
        <v>7805</v>
      </c>
      <c r="D2477" t="s">
        <v>3238</v>
      </c>
      <c r="E2477" t="s">
        <v>3239</v>
      </c>
      <c r="F2477" t="s">
        <v>3239</v>
      </c>
      <c r="G2477" t="s">
        <v>3346</v>
      </c>
      <c r="H2477" t="s">
        <v>868</v>
      </c>
      <c r="I2477" t="s">
        <v>869</v>
      </c>
      <c r="J2477" t="str">
        <f>"9051090"</f>
        <v>9051090</v>
      </c>
      <c r="K2477">
        <v>2102530900</v>
      </c>
      <c r="L2477">
        <v>2102530900</v>
      </c>
      <c r="M2477" t="s">
        <v>7806</v>
      </c>
      <c r="N2477" t="s">
        <v>3284</v>
      </c>
      <c r="O2477" t="s">
        <v>7710</v>
      </c>
      <c r="P2477">
        <v>11143</v>
      </c>
      <c r="Q2477" t="str">
        <f>"38.029112"</f>
        <v>38.029112</v>
      </c>
      <c r="R2477" t="str">
        <f>"23.739214"</f>
        <v>23.739214</v>
      </c>
      <c r="S2477" t="s">
        <v>26</v>
      </c>
    </row>
    <row r="2478" spans="1:19" x14ac:dyDescent="0.3">
      <c r="A2478" t="s">
        <v>3237</v>
      </c>
      <c r="B2478" t="s">
        <v>6738</v>
      </c>
      <c r="C2478" t="s">
        <v>7807</v>
      </c>
      <c r="D2478" t="s">
        <v>3238</v>
      </c>
      <c r="E2478" t="s">
        <v>3239</v>
      </c>
      <c r="F2478" t="s">
        <v>3239</v>
      </c>
      <c r="G2478" t="s">
        <v>3281</v>
      </c>
      <c r="H2478" t="s">
        <v>868</v>
      </c>
      <c r="I2478" t="s">
        <v>869</v>
      </c>
      <c r="J2478" t="str">
        <f>"9051257"</f>
        <v>9051257</v>
      </c>
      <c r="K2478">
        <v>2109021168</v>
      </c>
      <c r="L2478">
        <v>2109021168</v>
      </c>
      <c r="M2478" t="s">
        <v>7808</v>
      </c>
      <c r="N2478" t="s">
        <v>3284</v>
      </c>
      <c r="O2478" t="s">
        <v>6984</v>
      </c>
      <c r="P2478">
        <v>11743</v>
      </c>
      <c r="Q2478" t="str">
        <f>"37.957735"</f>
        <v>37.957735</v>
      </c>
      <c r="R2478" t="str">
        <f>"23.731591"</f>
        <v>23.731591</v>
      </c>
      <c r="S2478" t="s">
        <v>26</v>
      </c>
    </row>
    <row r="2479" spans="1:19" x14ac:dyDescent="0.3">
      <c r="A2479" t="s">
        <v>3237</v>
      </c>
      <c r="B2479" t="s">
        <v>6738</v>
      </c>
      <c r="C2479" t="s">
        <v>3458</v>
      </c>
      <c r="D2479" t="s">
        <v>3238</v>
      </c>
      <c r="E2479" t="s">
        <v>3239</v>
      </c>
      <c r="F2479" t="s">
        <v>3239</v>
      </c>
      <c r="G2479" t="s">
        <v>3340</v>
      </c>
      <c r="H2479" t="s">
        <v>868</v>
      </c>
      <c r="I2479" t="s">
        <v>869</v>
      </c>
      <c r="J2479" t="str">
        <f>"9050008"</f>
        <v>9050008</v>
      </c>
      <c r="K2479">
        <v>2107216722</v>
      </c>
      <c r="L2479">
        <v>2107216722</v>
      </c>
      <c r="M2479" t="s">
        <v>7818</v>
      </c>
      <c r="N2479" t="s">
        <v>7819</v>
      </c>
      <c r="O2479" t="s">
        <v>7800</v>
      </c>
      <c r="P2479">
        <v>11521</v>
      </c>
      <c r="Q2479" t="str">
        <f>"37.985826"</f>
        <v>37.985826</v>
      </c>
      <c r="R2479" t="str">
        <f>"23.754478"</f>
        <v>23.754478</v>
      </c>
      <c r="S2479" t="s">
        <v>26</v>
      </c>
    </row>
    <row r="2480" spans="1:19" x14ac:dyDescent="0.3">
      <c r="A2480" t="s">
        <v>3237</v>
      </c>
      <c r="B2480" t="s">
        <v>6738</v>
      </c>
      <c r="C2480" t="s">
        <v>7820</v>
      </c>
      <c r="D2480" t="s">
        <v>3238</v>
      </c>
      <c r="E2480" t="s">
        <v>3239</v>
      </c>
      <c r="F2480" t="s">
        <v>3239</v>
      </c>
      <c r="G2480" t="s">
        <v>3281</v>
      </c>
      <c r="H2480" t="s">
        <v>868</v>
      </c>
      <c r="I2480" t="s">
        <v>869</v>
      </c>
      <c r="J2480" t="str">
        <f>"9051087"</f>
        <v>9051087</v>
      </c>
      <c r="K2480">
        <v>2109015595</v>
      </c>
      <c r="L2480">
        <v>2109015595</v>
      </c>
      <c r="M2480" t="s">
        <v>7821</v>
      </c>
      <c r="N2480" t="s">
        <v>3284</v>
      </c>
      <c r="O2480" t="s">
        <v>7416</v>
      </c>
      <c r="P2480">
        <v>11745</v>
      </c>
      <c r="Q2480" t="str">
        <f>"37.956998"</f>
        <v>37.956998</v>
      </c>
      <c r="R2480" t="str">
        <f>"23.723799"</f>
        <v>23.723799</v>
      </c>
      <c r="S2480" t="s">
        <v>26</v>
      </c>
    </row>
    <row r="2481" spans="1:19" x14ac:dyDescent="0.3">
      <c r="A2481" t="s">
        <v>3237</v>
      </c>
      <c r="B2481" t="s">
        <v>6738</v>
      </c>
      <c r="C2481" t="s">
        <v>7828</v>
      </c>
      <c r="D2481" t="s">
        <v>3238</v>
      </c>
      <c r="E2481" t="s">
        <v>3239</v>
      </c>
      <c r="F2481" t="s">
        <v>3239</v>
      </c>
      <c r="G2481" t="s">
        <v>3312</v>
      </c>
      <c r="H2481" t="s">
        <v>868</v>
      </c>
      <c r="I2481" t="s">
        <v>869</v>
      </c>
      <c r="J2481" t="str">
        <f>"9050445"</f>
        <v>9050445</v>
      </c>
      <c r="K2481">
        <v>2108657770</v>
      </c>
      <c r="L2481">
        <v>2108660314</v>
      </c>
      <c r="M2481" t="s">
        <v>7829</v>
      </c>
      <c r="N2481" t="s">
        <v>3284</v>
      </c>
      <c r="O2481" t="s">
        <v>7830</v>
      </c>
      <c r="P2481">
        <v>10446</v>
      </c>
      <c r="Q2481" t="str">
        <f>"37.999766"</f>
        <v>37.999766</v>
      </c>
      <c r="R2481" t="str">
        <f>"23.724103"</f>
        <v>23.724103</v>
      </c>
      <c r="S2481" t="s">
        <v>26</v>
      </c>
    </row>
    <row r="2482" spans="1:19" x14ac:dyDescent="0.3">
      <c r="A2482" t="s">
        <v>3237</v>
      </c>
      <c r="B2482" t="s">
        <v>6738</v>
      </c>
      <c r="C2482" t="s">
        <v>3779</v>
      </c>
      <c r="D2482" t="s">
        <v>3238</v>
      </c>
      <c r="E2482" t="s">
        <v>3239</v>
      </c>
      <c r="F2482" t="s">
        <v>3239</v>
      </c>
      <c r="G2482" t="s">
        <v>3340</v>
      </c>
      <c r="H2482" t="s">
        <v>868</v>
      </c>
      <c r="I2482" t="s">
        <v>869</v>
      </c>
      <c r="J2482" t="str">
        <f>"9050006"</f>
        <v>9050006</v>
      </c>
      <c r="K2482">
        <v>2106464920</v>
      </c>
      <c r="L2482">
        <v>2106464920</v>
      </c>
      <c r="M2482" t="s">
        <v>7831</v>
      </c>
      <c r="N2482" t="s">
        <v>3284</v>
      </c>
      <c r="O2482" t="s">
        <v>7832</v>
      </c>
      <c r="P2482">
        <v>11522</v>
      </c>
      <c r="Q2482" t="str">
        <f>"37.991174"</f>
        <v>37.991174</v>
      </c>
      <c r="R2482" t="str">
        <f>"23.754715"</f>
        <v>23.754715</v>
      </c>
      <c r="S2482" t="s">
        <v>26</v>
      </c>
    </row>
    <row r="2483" spans="1:19" x14ac:dyDescent="0.3">
      <c r="A2483" t="s">
        <v>3237</v>
      </c>
      <c r="B2483" t="s">
        <v>6738</v>
      </c>
      <c r="C2483" t="s">
        <v>7835</v>
      </c>
      <c r="D2483" t="s">
        <v>3238</v>
      </c>
      <c r="E2483" t="s">
        <v>3239</v>
      </c>
      <c r="F2483" t="s">
        <v>3239</v>
      </c>
      <c r="G2483" t="s">
        <v>3281</v>
      </c>
      <c r="H2483" t="s">
        <v>868</v>
      </c>
      <c r="I2483" t="s">
        <v>869</v>
      </c>
      <c r="J2483" t="str">
        <f>"9050898"</f>
        <v>9050898</v>
      </c>
      <c r="K2483">
        <v>2107518298</v>
      </c>
      <c r="L2483">
        <v>2107518298</v>
      </c>
      <c r="M2483" t="s">
        <v>7836</v>
      </c>
      <c r="N2483" t="s">
        <v>3325</v>
      </c>
      <c r="O2483" t="s">
        <v>7837</v>
      </c>
      <c r="P2483">
        <v>11631</v>
      </c>
      <c r="Q2483" t="str">
        <f>"37.957768"</f>
        <v>37.957768</v>
      </c>
      <c r="R2483" t="str">
        <f>"23.740054"</f>
        <v>23.740054</v>
      </c>
      <c r="S2483" t="s">
        <v>26</v>
      </c>
    </row>
    <row r="2484" spans="1:19" x14ac:dyDescent="0.3">
      <c r="A2484" t="s">
        <v>3237</v>
      </c>
      <c r="B2484" t="s">
        <v>6738</v>
      </c>
      <c r="C2484" t="s">
        <v>3376</v>
      </c>
      <c r="D2484" t="s">
        <v>3238</v>
      </c>
      <c r="E2484" t="s">
        <v>3239</v>
      </c>
      <c r="F2484" t="s">
        <v>3239</v>
      </c>
      <c r="G2484" t="s">
        <v>3240</v>
      </c>
      <c r="H2484" t="s">
        <v>868</v>
      </c>
      <c r="I2484" t="s">
        <v>869</v>
      </c>
      <c r="J2484" t="str">
        <f>"9050526"</f>
        <v>9050526</v>
      </c>
      <c r="K2484">
        <v>2103827803</v>
      </c>
      <c r="L2484">
        <v>2103827803</v>
      </c>
      <c r="M2484" t="s">
        <v>7841</v>
      </c>
      <c r="N2484" t="s">
        <v>3284</v>
      </c>
      <c r="O2484" t="s">
        <v>3375</v>
      </c>
      <c r="P2484">
        <v>10682</v>
      </c>
      <c r="Q2484" t="str">
        <f>"37.985862"</f>
        <v>37.985862</v>
      </c>
      <c r="R2484" t="str">
        <f>"23.732955"</f>
        <v>23.732955</v>
      </c>
      <c r="S2484" t="s">
        <v>26</v>
      </c>
    </row>
    <row r="2485" spans="1:19" x14ac:dyDescent="0.3">
      <c r="A2485" t="s">
        <v>3237</v>
      </c>
      <c r="B2485" t="s">
        <v>6738</v>
      </c>
      <c r="C2485" t="s">
        <v>7855</v>
      </c>
      <c r="D2485" t="s">
        <v>3238</v>
      </c>
      <c r="E2485" t="s">
        <v>3239</v>
      </c>
      <c r="F2485" t="s">
        <v>3239</v>
      </c>
      <c r="G2485" t="s">
        <v>3240</v>
      </c>
      <c r="H2485" t="s">
        <v>868</v>
      </c>
      <c r="I2485" t="s">
        <v>869</v>
      </c>
      <c r="J2485" t="str">
        <f>"9050018"</f>
        <v>9050018</v>
      </c>
      <c r="K2485">
        <v>2107215357</v>
      </c>
      <c r="L2485">
        <v>2107215357</v>
      </c>
      <c r="M2485" t="s">
        <v>7856</v>
      </c>
      <c r="N2485" t="s">
        <v>3284</v>
      </c>
      <c r="O2485" t="s">
        <v>7857</v>
      </c>
      <c r="P2485">
        <v>16121</v>
      </c>
      <c r="Q2485" t="str">
        <f>"37.972091"</f>
        <v>37.972091</v>
      </c>
      <c r="R2485" t="str">
        <f>"23.756032"</f>
        <v>23.756032</v>
      </c>
      <c r="S2485" t="s">
        <v>26</v>
      </c>
    </row>
    <row r="2486" spans="1:19" x14ac:dyDescent="0.3">
      <c r="A2486" t="s">
        <v>3237</v>
      </c>
      <c r="B2486" t="s">
        <v>6738</v>
      </c>
      <c r="C2486" t="s">
        <v>7858</v>
      </c>
      <c r="D2486" t="s">
        <v>3238</v>
      </c>
      <c r="E2486" t="s">
        <v>3239</v>
      </c>
      <c r="F2486" t="s">
        <v>3239</v>
      </c>
      <c r="G2486" t="s">
        <v>3340</v>
      </c>
      <c r="H2486" t="s">
        <v>868</v>
      </c>
      <c r="I2486" t="s">
        <v>869</v>
      </c>
      <c r="J2486" t="str">
        <f>"9050024"</f>
        <v>9050024</v>
      </c>
      <c r="K2486">
        <v>2107778445</v>
      </c>
      <c r="L2486">
        <v>2107778440</v>
      </c>
      <c r="M2486" t="s">
        <v>7859</v>
      </c>
      <c r="N2486" t="s">
        <v>3461</v>
      </c>
      <c r="O2486" t="s">
        <v>7860</v>
      </c>
      <c r="P2486">
        <v>11527</v>
      </c>
      <c r="Q2486" t="str">
        <f>"37.988894"</f>
        <v>37.988894</v>
      </c>
      <c r="R2486" t="str">
        <f>"23.769181"</f>
        <v>23.769181</v>
      </c>
      <c r="S2486" t="s">
        <v>26</v>
      </c>
    </row>
    <row r="2487" spans="1:19" x14ac:dyDescent="0.3">
      <c r="A2487" t="s">
        <v>3237</v>
      </c>
      <c r="B2487" t="s">
        <v>6738</v>
      </c>
      <c r="C2487" t="s">
        <v>7861</v>
      </c>
      <c r="D2487" t="s">
        <v>3238</v>
      </c>
      <c r="E2487" t="s">
        <v>3239</v>
      </c>
      <c r="F2487" t="s">
        <v>3239</v>
      </c>
      <c r="G2487" t="s">
        <v>3312</v>
      </c>
      <c r="H2487" t="s">
        <v>868</v>
      </c>
      <c r="I2487" t="s">
        <v>869</v>
      </c>
      <c r="J2487" t="str">
        <f>"9050518"</f>
        <v>9050518</v>
      </c>
      <c r="K2487">
        <v>2108213059</v>
      </c>
      <c r="L2487">
        <v>2108213059</v>
      </c>
      <c r="M2487" t="s">
        <v>7862</v>
      </c>
      <c r="N2487" t="s">
        <v>3461</v>
      </c>
      <c r="O2487" t="s">
        <v>7142</v>
      </c>
      <c r="P2487">
        <v>11363</v>
      </c>
      <c r="Q2487" t="str">
        <f>"38.001480"</f>
        <v>38.001480</v>
      </c>
      <c r="R2487" t="str">
        <f>"23.743594"</f>
        <v>23.743594</v>
      </c>
      <c r="S2487" t="s">
        <v>26</v>
      </c>
    </row>
    <row r="2488" spans="1:19" x14ac:dyDescent="0.3">
      <c r="A2488" t="s">
        <v>3237</v>
      </c>
      <c r="B2488" t="s">
        <v>6738</v>
      </c>
      <c r="C2488" t="s">
        <v>3381</v>
      </c>
      <c r="D2488" t="s">
        <v>3238</v>
      </c>
      <c r="E2488" t="s">
        <v>3239</v>
      </c>
      <c r="F2488" t="s">
        <v>3239</v>
      </c>
      <c r="G2488" t="s">
        <v>3340</v>
      </c>
      <c r="H2488" t="s">
        <v>868</v>
      </c>
      <c r="I2488" t="s">
        <v>869</v>
      </c>
      <c r="J2488" t="str">
        <f>"9050009"</f>
        <v>9050009</v>
      </c>
      <c r="K2488">
        <v>2106454492</v>
      </c>
      <c r="L2488">
        <v>2106454492</v>
      </c>
      <c r="M2488" t="s">
        <v>7865</v>
      </c>
      <c r="N2488" t="s">
        <v>3284</v>
      </c>
      <c r="O2488" t="s">
        <v>7866</v>
      </c>
      <c r="P2488">
        <v>11521</v>
      </c>
      <c r="Q2488" t="str">
        <f>"37.986099"</f>
        <v>37.986099</v>
      </c>
      <c r="R2488" t="str">
        <f>"23.753851"</f>
        <v>23.753851</v>
      </c>
      <c r="S2488" t="s">
        <v>26</v>
      </c>
    </row>
    <row r="2489" spans="1:19" x14ac:dyDescent="0.3">
      <c r="A2489" t="s">
        <v>3237</v>
      </c>
      <c r="B2489" t="s">
        <v>6738</v>
      </c>
      <c r="C2489" t="s">
        <v>7870</v>
      </c>
      <c r="D2489" t="s">
        <v>3238</v>
      </c>
      <c r="E2489" t="s">
        <v>3239</v>
      </c>
      <c r="F2489" t="s">
        <v>3239</v>
      </c>
      <c r="G2489" t="s">
        <v>3340</v>
      </c>
      <c r="H2489" t="s">
        <v>868</v>
      </c>
      <c r="I2489" t="s">
        <v>869</v>
      </c>
      <c r="J2489" t="str">
        <f>"9050510"</f>
        <v>9050510</v>
      </c>
      <c r="K2489">
        <v>2106424167</v>
      </c>
      <c r="L2489">
        <v>2106424167</v>
      </c>
      <c r="M2489" t="s">
        <v>7871</v>
      </c>
      <c r="N2489" t="s">
        <v>3284</v>
      </c>
      <c r="O2489" t="s">
        <v>7872</v>
      </c>
      <c r="P2489">
        <v>11476</v>
      </c>
      <c r="Q2489" t="str">
        <f>"37.997470"</f>
        <v>37.997470</v>
      </c>
      <c r="R2489" t="str">
        <f>"23.751597"</f>
        <v>23.751597</v>
      </c>
      <c r="S2489" t="s">
        <v>26</v>
      </c>
    </row>
    <row r="2490" spans="1:19" x14ac:dyDescent="0.3">
      <c r="A2490" t="s">
        <v>3237</v>
      </c>
      <c r="B2490" t="s">
        <v>6738</v>
      </c>
      <c r="C2490" t="s">
        <v>7873</v>
      </c>
      <c r="D2490" t="s">
        <v>3238</v>
      </c>
      <c r="E2490" t="s">
        <v>3239</v>
      </c>
      <c r="F2490" t="s">
        <v>3239</v>
      </c>
      <c r="G2490" t="s">
        <v>3281</v>
      </c>
      <c r="H2490" t="s">
        <v>868</v>
      </c>
      <c r="I2490" t="s">
        <v>869</v>
      </c>
      <c r="J2490" t="str">
        <f>"9050134"</f>
        <v>9050134</v>
      </c>
      <c r="K2490">
        <v>2109013846</v>
      </c>
      <c r="L2490">
        <v>2109013846</v>
      </c>
      <c r="M2490" t="s">
        <v>7874</v>
      </c>
      <c r="N2490" t="s">
        <v>3284</v>
      </c>
      <c r="O2490" t="s">
        <v>7824</v>
      </c>
      <c r="P2490">
        <v>11631</v>
      </c>
      <c r="Q2490" t="str">
        <f>"37.958596"</f>
        <v>37.958596</v>
      </c>
      <c r="R2490" t="str">
        <f>"23.734921"</f>
        <v>23.734921</v>
      </c>
      <c r="S2490" t="s">
        <v>26</v>
      </c>
    </row>
    <row r="2491" spans="1:19" x14ac:dyDescent="0.3">
      <c r="A2491" t="s">
        <v>3237</v>
      </c>
      <c r="B2491" t="s">
        <v>6738</v>
      </c>
      <c r="C2491" t="s">
        <v>3423</v>
      </c>
      <c r="D2491" t="s">
        <v>3238</v>
      </c>
      <c r="E2491" t="s">
        <v>3239</v>
      </c>
      <c r="F2491" t="s">
        <v>3239</v>
      </c>
      <c r="G2491" t="s">
        <v>3281</v>
      </c>
      <c r="H2491" t="s">
        <v>868</v>
      </c>
      <c r="I2491" t="s">
        <v>869</v>
      </c>
      <c r="J2491" t="str">
        <f>"9050105"</f>
        <v>9050105</v>
      </c>
      <c r="K2491">
        <v>2109231030</v>
      </c>
      <c r="M2491" t="s">
        <v>7875</v>
      </c>
      <c r="N2491" t="s">
        <v>3284</v>
      </c>
      <c r="O2491" t="s">
        <v>7876</v>
      </c>
      <c r="P2491">
        <v>11743</v>
      </c>
      <c r="Q2491" t="str">
        <f>"37.961543"</f>
        <v>37.961543</v>
      </c>
      <c r="R2491" t="str">
        <f>"23.732732"</f>
        <v>23.732732</v>
      </c>
      <c r="S2491" t="s">
        <v>26</v>
      </c>
    </row>
    <row r="2492" spans="1:19" x14ac:dyDescent="0.3">
      <c r="A2492" t="s">
        <v>3237</v>
      </c>
      <c r="B2492" t="s">
        <v>6738</v>
      </c>
      <c r="C2492" t="s">
        <v>7877</v>
      </c>
      <c r="D2492" t="s">
        <v>3238</v>
      </c>
      <c r="E2492" t="s">
        <v>3239</v>
      </c>
      <c r="F2492" t="s">
        <v>3239</v>
      </c>
      <c r="G2492" t="s">
        <v>3281</v>
      </c>
      <c r="H2492" t="s">
        <v>868</v>
      </c>
      <c r="I2492" t="s">
        <v>1157</v>
      </c>
      <c r="J2492" t="str">
        <f>"9520887"</f>
        <v>9520887</v>
      </c>
      <c r="K2492">
        <v>2107225179</v>
      </c>
      <c r="L2492">
        <v>2107225179</v>
      </c>
      <c r="M2492" t="s">
        <v>7878</v>
      </c>
      <c r="N2492" t="s">
        <v>3284</v>
      </c>
      <c r="O2492" t="s">
        <v>7879</v>
      </c>
      <c r="P2492">
        <v>11634</v>
      </c>
      <c r="Q2492" t="str">
        <f>"37.970072"</f>
        <v>37.970072</v>
      </c>
      <c r="R2492" t="str">
        <f>"23.749769"</f>
        <v>23.749769</v>
      </c>
      <c r="S2492" t="s">
        <v>26</v>
      </c>
    </row>
    <row r="2493" spans="1:19" x14ac:dyDescent="0.3">
      <c r="A2493" t="s">
        <v>3237</v>
      </c>
      <c r="B2493" t="s">
        <v>6738</v>
      </c>
      <c r="C2493" t="s">
        <v>3613</v>
      </c>
      <c r="D2493" t="s">
        <v>3238</v>
      </c>
      <c r="E2493" t="s">
        <v>3239</v>
      </c>
      <c r="F2493" t="s">
        <v>3239</v>
      </c>
      <c r="G2493" t="s">
        <v>3240</v>
      </c>
      <c r="H2493" t="s">
        <v>868</v>
      </c>
      <c r="I2493" t="s">
        <v>869</v>
      </c>
      <c r="J2493" t="str">
        <f>"9050007"</f>
        <v>9050007</v>
      </c>
      <c r="K2493">
        <v>2103624183</v>
      </c>
      <c r="L2493">
        <v>2103600006</v>
      </c>
      <c r="M2493" t="s">
        <v>7880</v>
      </c>
      <c r="N2493" t="s">
        <v>3284</v>
      </c>
      <c r="O2493" t="s">
        <v>3612</v>
      </c>
      <c r="P2493">
        <v>10672</v>
      </c>
      <c r="Q2493" t="str">
        <f>"37.982439"</f>
        <v>37.982439</v>
      </c>
      <c r="R2493" t="str">
        <f>"23.740135"</f>
        <v>23.740135</v>
      </c>
      <c r="S2493" t="s">
        <v>26</v>
      </c>
    </row>
    <row r="2494" spans="1:19" x14ac:dyDescent="0.3">
      <c r="A2494" t="s">
        <v>3237</v>
      </c>
      <c r="B2494" t="s">
        <v>6738</v>
      </c>
      <c r="C2494" t="s">
        <v>3890</v>
      </c>
      <c r="D2494" t="s">
        <v>3238</v>
      </c>
      <c r="E2494" t="s">
        <v>3239</v>
      </c>
      <c r="F2494" t="s">
        <v>3239</v>
      </c>
      <c r="G2494" t="s">
        <v>3240</v>
      </c>
      <c r="H2494" t="s">
        <v>868</v>
      </c>
      <c r="I2494" t="s">
        <v>869</v>
      </c>
      <c r="J2494" t="str">
        <f>"9050311"</f>
        <v>9050311</v>
      </c>
      <c r="K2494">
        <v>2103229133</v>
      </c>
      <c r="L2494">
        <v>2103229133</v>
      </c>
      <c r="M2494" t="s">
        <v>7881</v>
      </c>
      <c r="N2494" t="s">
        <v>3461</v>
      </c>
      <c r="O2494" t="s">
        <v>7882</v>
      </c>
      <c r="P2494">
        <v>10556</v>
      </c>
      <c r="Q2494" t="str">
        <f>"37.973616"</f>
        <v>37.973616</v>
      </c>
      <c r="R2494" t="str">
        <f>"23.729764"</f>
        <v>23.729764</v>
      </c>
      <c r="S2494" t="s">
        <v>26</v>
      </c>
    </row>
    <row r="2495" spans="1:19" x14ac:dyDescent="0.3">
      <c r="A2495" t="s">
        <v>3237</v>
      </c>
      <c r="B2495" t="s">
        <v>6738</v>
      </c>
      <c r="C2495" t="s">
        <v>7894</v>
      </c>
      <c r="D2495" t="s">
        <v>3238</v>
      </c>
      <c r="E2495" t="s">
        <v>3239</v>
      </c>
      <c r="F2495" t="s">
        <v>3239</v>
      </c>
      <c r="G2495" t="s">
        <v>3346</v>
      </c>
      <c r="H2495" t="s">
        <v>868</v>
      </c>
      <c r="I2495" t="s">
        <v>1157</v>
      </c>
      <c r="J2495" t="str">
        <f>"9050823"</f>
        <v>9050823</v>
      </c>
      <c r="K2495">
        <v>2108610410</v>
      </c>
      <c r="L2495">
        <v>2108610410</v>
      </c>
      <c r="M2495" t="s">
        <v>7895</v>
      </c>
      <c r="N2495" t="s">
        <v>3284</v>
      </c>
      <c r="O2495" t="s">
        <v>7896</v>
      </c>
      <c r="P2495">
        <v>11255</v>
      </c>
      <c r="Q2495" t="str">
        <f>"38.012810"</f>
        <v>38.012810</v>
      </c>
      <c r="R2495" t="str">
        <f>"23.739059"</f>
        <v>23.739059</v>
      </c>
      <c r="S2495" t="s">
        <v>26</v>
      </c>
    </row>
    <row r="2496" spans="1:19" x14ac:dyDescent="0.3">
      <c r="A2496" t="s">
        <v>3237</v>
      </c>
      <c r="B2496" t="s">
        <v>6738</v>
      </c>
      <c r="C2496" t="s">
        <v>7897</v>
      </c>
      <c r="D2496" t="s">
        <v>3238</v>
      </c>
      <c r="E2496" t="s">
        <v>3404</v>
      </c>
      <c r="F2496" t="s">
        <v>3405</v>
      </c>
      <c r="G2496" t="s">
        <v>3405</v>
      </c>
      <c r="H2496" t="s">
        <v>868</v>
      </c>
      <c r="I2496" t="s">
        <v>1157</v>
      </c>
      <c r="J2496" t="str">
        <f>"9521284"</f>
        <v>9521284</v>
      </c>
      <c r="N2496" t="s">
        <v>3570</v>
      </c>
      <c r="O2496" t="s">
        <v>7582</v>
      </c>
      <c r="P2496">
        <v>0</v>
      </c>
      <c r="Q2496" t="str">
        <f>""</f>
        <v/>
      </c>
      <c r="R2496" t="str">
        <f>""</f>
        <v/>
      </c>
      <c r="S2496" t="s">
        <v>26</v>
      </c>
    </row>
    <row r="2497" spans="1:19" x14ac:dyDescent="0.3">
      <c r="A2497" t="s">
        <v>3237</v>
      </c>
      <c r="B2497" t="s">
        <v>6738</v>
      </c>
      <c r="C2497" t="s">
        <v>7904</v>
      </c>
      <c r="D2497" t="s">
        <v>3238</v>
      </c>
      <c r="E2497" t="s">
        <v>3506</v>
      </c>
      <c r="F2497" t="s">
        <v>3506</v>
      </c>
      <c r="G2497" t="s">
        <v>3506</v>
      </c>
      <c r="H2497" t="s">
        <v>868</v>
      </c>
      <c r="I2497" t="s">
        <v>1157</v>
      </c>
      <c r="J2497" t="str">
        <f>"9521163"</f>
        <v>9521163</v>
      </c>
      <c r="N2497" t="s">
        <v>3363</v>
      </c>
      <c r="O2497" t="s">
        <v>7582</v>
      </c>
      <c r="P2497">
        <v>0</v>
      </c>
      <c r="Q2497" t="str">
        <f>""</f>
        <v/>
      </c>
      <c r="R2497" t="str">
        <f>""</f>
        <v/>
      </c>
      <c r="S2497" t="s">
        <v>26</v>
      </c>
    </row>
    <row r="2498" spans="1:19" x14ac:dyDescent="0.3">
      <c r="A2498" t="s">
        <v>3237</v>
      </c>
      <c r="B2498" t="s">
        <v>6738</v>
      </c>
      <c r="C2498" t="s">
        <v>7913</v>
      </c>
      <c r="D2498" t="s">
        <v>3238</v>
      </c>
      <c r="E2498" t="s">
        <v>3506</v>
      </c>
      <c r="F2498" t="s">
        <v>3506</v>
      </c>
      <c r="G2498" t="s">
        <v>3506</v>
      </c>
      <c r="H2498" t="s">
        <v>868</v>
      </c>
      <c r="I2498" t="s">
        <v>869</v>
      </c>
      <c r="J2498" t="str">
        <f>"9051358"</f>
        <v>9051358</v>
      </c>
      <c r="K2498">
        <v>2107613044</v>
      </c>
      <c r="M2498" t="s">
        <v>7914</v>
      </c>
      <c r="N2498" t="s">
        <v>3509</v>
      </c>
      <c r="O2498" t="s">
        <v>7915</v>
      </c>
      <c r="P2498">
        <v>16232</v>
      </c>
      <c r="Q2498" t="str">
        <f>"37.959905"</f>
        <v>37.959905</v>
      </c>
      <c r="R2498" t="str">
        <f>"23.750246"</f>
        <v>23.750246</v>
      </c>
      <c r="S2498" t="s">
        <v>26</v>
      </c>
    </row>
    <row r="2499" spans="1:19" x14ac:dyDescent="0.3">
      <c r="A2499" t="s">
        <v>3237</v>
      </c>
      <c r="B2499" t="s">
        <v>7919</v>
      </c>
      <c r="C2499" t="s">
        <v>7920</v>
      </c>
      <c r="D2499" t="s">
        <v>3262</v>
      </c>
      <c r="E2499" t="s">
        <v>3298</v>
      </c>
      <c r="F2499" t="s">
        <v>3298</v>
      </c>
      <c r="G2499" t="s">
        <v>3298</v>
      </c>
      <c r="H2499" t="s">
        <v>868</v>
      </c>
      <c r="I2499" t="s">
        <v>869</v>
      </c>
      <c r="J2499" t="str">
        <f>"9050245"</f>
        <v>9050245</v>
      </c>
      <c r="K2499">
        <v>2102469987</v>
      </c>
      <c r="L2499">
        <v>2102469987</v>
      </c>
      <c r="M2499" t="s">
        <v>7921</v>
      </c>
      <c r="N2499" t="s">
        <v>4028</v>
      </c>
      <c r="O2499" t="s">
        <v>7922</v>
      </c>
      <c r="P2499">
        <v>13674</v>
      </c>
      <c r="Q2499" t="str">
        <f>"38.082146"</f>
        <v>38.082146</v>
      </c>
      <c r="R2499" t="str">
        <f>"23.735577"</f>
        <v>23.735577</v>
      </c>
      <c r="S2499" t="s">
        <v>26</v>
      </c>
    </row>
    <row r="2500" spans="1:19" x14ac:dyDescent="0.3">
      <c r="A2500" t="s">
        <v>3237</v>
      </c>
      <c r="B2500" t="s">
        <v>7919</v>
      </c>
      <c r="C2500" t="s">
        <v>7932</v>
      </c>
      <c r="D2500" t="s">
        <v>3262</v>
      </c>
      <c r="E2500" t="s">
        <v>3263</v>
      </c>
      <c r="F2500" t="s">
        <v>3263</v>
      </c>
      <c r="G2500" t="s">
        <v>3263</v>
      </c>
      <c r="H2500" t="s">
        <v>868</v>
      </c>
      <c r="I2500" t="s">
        <v>869</v>
      </c>
      <c r="J2500" t="str">
        <f>"9050551"</f>
        <v>9050551</v>
      </c>
      <c r="K2500">
        <v>2106622590</v>
      </c>
      <c r="L2500">
        <v>2106622590</v>
      </c>
      <c r="M2500" t="s">
        <v>7933</v>
      </c>
      <c r="N2500" t="s">
        <v>3266</v>
      </c>
      <c r="O2500" t="s">
        <v>7934</v>
      </c>
      <c r="P2500">
        <v>19400</v>
      </c>
      <c r="Q2500" t="str">
        <f>"37.895246"</f>
        <v>37.895246</v>
      </c>
      <c r="R2500" t="str">
        <f>"23.878249"</f>
        <v>23.878249</v>
      </c>
      <c r="S2500" t="s">
        <v>26</v>
      </c>
    </row>
    <row r="2501" spans="1:19" x14ac:dyDescent="0.3">
      <c r="A2501" t="s">
        <v>3237</v>
      </c>
      <c r="B2501" t="s">
        <v>7919</v>
      </c>
      <c r="C2501" t="s">
        <v>7962</v>
      </c>
      <c r="D2501" t="s">
        <v>3262</v>
      </c>
      <c r="E2501" t="s">
        <v>4011</v>
      </c>
      <c r="F2501" t="s">
        <v>4160</v>
      </c>
      <c r="G2501" t="s">
        <v>4160</v>
      </c>
      <c r="H2501" t="s">
        <v>868</v>
      </c>
      <c r="I2501" t="s">
        <v>1157</v>
      </c>
      <c r="J2501" t="str">
        <f>"9520437"</f>
        <v>9520437</v>
      </c>
      <c r="K2501">
        <v>2108955615</v>
      </c>
      <c r="L2501">
        <v>2108955615</v>
      </c>
      <c r="M2501" t="s">
        <v>7963</v>
      </c>
      <c r="N2501" t="s">
        <v>4160</v>
      </c>
      <c r="O2501" t="s">
        <v>7964</v>
      </c>
      <c r="P2501">
        <v>16673</v>
      </c>
      <c r="Q2501" t="str">
        <f>"37.850146"</f>
        <v>37.850146</v>
      </c>
      <c r="R2501" t="str">
        <f>"23.744125"</f>
        <v>23.744125</v>
      </c>
      <c r="S2501" t="s">
        <v>26</v>
      </c>
    </row>
    <row r="2502" spans="1:19" x14ac:dyDescent="0.3">
      <c r="A2502" t="s">
        <v>3237</v>
      </c>
      <c r="B2502" t="s">
        <v>7919</v>
      </c>
      <c r="C2502" t="s">
        <v>4030</v>
      </c>
      <c r="D2502" t="s">
        <v>3262</v>
      </c>
      <c r="E2502" t="s">
        <v>3298</v>
      </c>
      <c r="F2502" t="s">
        <v>3298</v>
      </c>
      <c r="G2502" t="s">
        <v>3298</v>
      </c>
      <c r="H2502" t="s">
        <v>868</v>
      </c>
      <c r="I2502" t="s">
        <v>869</v>
      </c>
      <c r="J2502" t="str">
        <f>"9050250"</f>
        <v>9050250</v>
      </c>
      <c r="K2502">
        <v>2102316651</v>
      </c>
      <c r="L2502">
        <v>2102316651</v>
      </c>
      <c r="M2502" t="s">
        <v>7981</v>
      </c>
      <c r="N2502" t="s">
        <v>4342</v>
      </c>
      <c r="O2502" t="s">
        <v>7982</v>
      </c>
      <c r="P2502">
        <v>13671</v>
      </c>
      <c r="Q2502" t="str">
        <f>"38.053576"</f>
        <v>38.053576</v>
      </c>
      <c r="R2502" t="str">
        <f>"23.734906"</f>
        <v>23.734906</v>
      </c>
      <c r="S2502" t="s">
        <v>26</v>
      </c>
    </row>
    <row r="2503" spans="1:19" x14ac:dyDescent="0.3">
      <c r="A2503" t="s">
        <v>3237</v>
      </c>
      <c r="B2503" t="s">
        <v>7919</v>
      </c>
      <c r="C2503" t="s">
        <v>7990</v>
      </c>
      <c r="D2503" t="s">
        <v>3262</v>
      </c>
      <c r="E2503" t="s">
        <v>4075</v>
      </c>
      <c r="F2503" t="s">
        <v>4075</v>
      </c>
      <c r="G2503" t="s">
        <v>4075</v>
      </c>
      <c r="H2503" t="s">
        <v>868</v>
      </c>
      <c r="I2503" t="s">
        <v>869</v>
      </c>
      <c r="J2503" t="str">
        <f>"9050596"</f>
        <v>9050596</v>
      </c>
      <c r="K2503">
        <v>2106642296</v>
      </c>
      <c r="L2503">
        <v>2106642294</v>
      </c>
      <c r="M2503" t="s">
        <v>7991</v>
      </c>
      <c r="N2503" t="s">
        <v>7992</v>
      </c>
      <c r="O2503" t="s">
        <v>7993</v>
      </c>
      <c r="P2503">
        <v>19002</v>
      </c>
      <c r="Q2503" t="str">
        <f>"37.955774"</f>
        <v>37.955774</v>
      </c>
      <c r="R2503" t="str">
        <f>"23.845190"</f>
        <v>23.845190</v>
      </c>
      <c r="S2503" t="s">
        <v>26</v>
      </c>
    </row>
    <row r="2504" spans="1:19" x14ac:dyDescent="0.3">
      <c r="A2504" t="s">
        <v>3237</v>
      </c>
      <c r="B2504" t="s">
        <v>7919</v>
      </c>
      <c r="C2504" t="s">
        <v>8010</v>
      </c>
      <c r="D2504" t="s">
        <v>3262</v>
      </c>
      <c r="E2504" t="s">
        <v>4075</v>
      </c>
      <c r="F2504" t="s">
        <v>4076</v>
      </c>
      <c r="G2504" t="s">
        <v>4076</v>
      </c>
      <c r="H2504" t="s">
        <v>868</v>
      </c>
      <c r="I2504" t="s">
        <v>869</v>
      </c>
      <c r="J2504" t="str">
        <f>"9050610"</f>
        <v>9050610</v>
      </c>
      <c r="K2504">
        <v>2106658444</v>
      </c>
      <c r="L2504">
        <v>2106658444</v>
      </c>
      <c r="M2504" t="s">
        <v>8011</v>
      </c>
      <c r="N2504" t="s">
        <v>8012</v>
      </c>
      <c r="O2504" t="s">
        <v>8013</v>
      </c>
      <c r="P2504">
        <v>15354</v>
      </c>
      <c r="Q2504" t="str">
        <f>"37.988976"</f>
        <v>37.988976</v>
      </c>
      <c r="R2504" t="str">
        <f>"23.845034"</f>
        <v>23.845034</v>
      </c>
      <c r="S2504" t="s">
        <v>26</v>
      </c>
    </row>
    <row r="2505" spans="1:19" x14ac:dyDescent="0.3">
      <c r="A2505" t="s">
        <v>3237</v>
      </c>
      <c r="B2505" t="s">
        <v>7919</v>
      </c>
      <c r="C2505" t="s">
        <v>8014</v>
      </c>
      <c r="D2505" t="s">
        <v>3262</v>
      </c>
      <c r="E2505" t="s">
        <v>4118</v>
      </c>
      <c r="F2505" t="s">
        <v>4248</v>
      </c>
      <c r="G2505" t="s">
        <v>4249</v>
      </c>
      <c r="H2505" t="s">
        <v>868</v>
      </c>
      <c r="I2505" t="s">
        <v>869</v>
      </c>
      <c r="J2505" t="str">
        <f>"9520639"</f>
        <v>9520639</v>
      </c>
      <c r="K2505">
        <v>2294047231</v>
      </c>
      <c r="L2505">
        <v>2294047219</v>
      </c>
      <c r="M2505" t="s">
        <v>8015</v>
      </c>
      <c r="N2505" t="s">
        <v>4554</v>
      </c>
      <c r="O2505" t="s">
        <v>8016</v>
      </c>
      <c r="P2505">
        <v>19016</v>
      </c>
      <c r="Q2505" t="str">
        <f>"37.942880"</f>
        <v>37.942880</v>
      </c>
      <c r="R2505" t="str">
        <f>"24.007231"</f>
        <v>24.007231</v>
      </c>
      <c r="S2505" t="s">
        <v>26</v>
      </c>
    </row>
    <row r="2506" spans="1:19" x14ac:dyDescent="0.3">
      <c r="A2506" t="s">
        <v>3237</v>
      </c>
      <c r="B2506" t="s">
        <v>7919</v>
      </c>
      <c r="C2506" t="s">
        <v>4532</v>
      </c>
      <c r="D2506" t="s">
        <v>3262</v>
      </c>
      <c r="E2506" t="s">
        <v>4024</v>
      </c>
      <c r="F2506" t="s">
        <v>4526</v>
      </c>
      <c r="G2506" t="s">
        <v>4527</v>
      </c>
      <c r="H2506" t="s">
        <v>868</v>
      </c>
      <c r="I2506" t="s">
        <v>869</v>
      </c>
      <c r="J2506" t="str">
        <f>"9050602"</f>
        <v>9050602</v>
      </c>
      <c r="K2506">
        <v>2106665056</v>
      </c>
      <c r="L2506">
        <v>2106665056</v>
      </c>
      <c r="M2506" t="s">
        <v>8017</v>
      </c>
      <c r="N2506" t="s">
        <v>4530</v>
      </c>
      <c r="O2506" t="s">
        <v>8018</v>
      </c>
      <c r="P2506">
        <v>15349</v>
      </c>
      <c r="Q2506" t="str">
        <f>"38.027469"</f>
        <v>38.027469</v>
      </c>
      <c r="R2506" t="str">
        <f>"23.878127"</f>
        <v>23.878127</v>
      </c>
      <c r="S2506" t="s">
        <v>26</v>
      </c>
    </row>
    <row r="2507" spans="1:19" x14ac:dyDescent="0.3">
      <c r="A2507" t="s">
        <v>3237</v>
      </c>
      <c r="B2507" t="s">
        <v>7919</v>
      </c>
      <c r="C2507" t="s">
        <v>4010</v>
      </c>
      <c r="D2507" t="s">
        <v>3262</v>
      </c>
      <c r="E2507" t="s">
        <v>3298</v>
      </c>
      <c r="F2507" t="s">
        <v>4005</v>
      </c>
      <c r="G2507" t="s">
        <v>4005</v>
      </c>
      <c r="H2507" t="s">
        <v>868</v>
      </c>
      <c r="I2507" t="s">
        <v>869</v>
      </c>
      <c r="J2507" t="str">
        <f>"9051377"</f>
        <v>9051377</v>
      </c>
      <c r="K2507">
        <v>2102430066</v>
      </c>
      <c r="L2507">
        <v>2102430066</v>
      </c>
      <c r="M2507" t="s">
        <v>8022</v>
      </c>
      <c r="N2507" t="s">
        <v>4008</v>
      </c>
      <c r="O2507" t="s">
        <v>8023</v>
      </c>
      <c r="P2507">
        <v>13676</v>
      </c>
      <c r="Q2507" t="str">
        <f>"38.129038"</f>
        <v>38.129038</v>
      </c>
      <c r="R2507" t="str">
        <f>"23.756891"</f>
        <v>23.756891</v>
      </c>
      <c r="S2507" t="s">
        <v>26</v>
      </c>
    </row>
    <row r="2508" spans="1:19" x14ac:dyDescent="0.3">
      <c r="A2508" t="s">
        <v>3237</v>
      </c>
      <c r="B2508" t="s">
        <v>7919</v>
      </c>
      <c r="C2508" t="s">
        <v>8024</v>
      </c>
      <c r="D2508" t="s">
        <v>3262</v>
      </c>
      <c r="E2508" t="s">
        <v>4024</v>
      </c>
      <c r="F2508" t="s">
        <v>2199</v>
      </c>
      <c r="G2508" t="s">
        <v>2199</v>
      </c>
      <c r="H2508" t="s">
        <v>868</v>
      </c>
      <c r="I2508" t="s">
        <v>869</v>
      </c>
      <c r="J2508" t="str">
        <f>"9050592"</f>
        <v>9050592</v>
      </c>
      <c r="K2508">
        <v>2106610426</v>
      </c>
      <c r="L2508">
        <v>2106610426</v>
      </c>
      <c r="M2508" t="s">
        <v>8025</v>
      </c>
      <c r="N2508" t="s">
        <v>4172</v>
      </c>
      <c r="O2508" t="s">
        <v>8026</v>
      </c>
      <c r="P2508">
        <v>15344</v>
      </c>
      <c r="Q2508" t="str">
        <f>"38.010856"</f>
        <v>38.010856</v>
      </c>
      <c r="R2508" t="str">
        <f>"23.859939"</f>
        <v>23.859939</v>
      </c>
      <c r="S2508" t="s">
        <v>26</v>
      </c>
    </row>
    <row r="2509" spans="1:19" x14ac:dyDescent="0.3">
      <c r="A2509" t="s">
        <v>3237</v>
      </c>
      <c r="B2509" t="s">
        <v>7919</v>
      </c>
      <c r="C2509" t="s">
        <v>8027</v>
      </c>
      <c r="D2509" t="s">
        <v>3262</v>
      </c>
      <c r="E2509" t="s">
        <v>4075</v>
      </c>
      <c r="F2509" t="s">
        <v>4075</v>
      </c>
      <c r="G2509" t="s">
        <v>4075</v>
      </c>
      <c r="H2509" t="s">
        <v>868</v>
      </c>
      <c r="I2509" t="s">
        <v>869</v>
      </c>
      <c r="J2509" t="str">
        <f>"9051774"</f>
        <v>9051774</v>
      </c>
      <c r="K2509">
        <v>2106643964</v>
      </c>
      <c r="L2509">
        <v>2106643964</v>
      </c>
      <c r="M2509" t="s">
        <v>8028</v>
      </c>
      <c r="N2509" t="s">
        <v>4139</v>
      </c>
      <c r="O2509" t="s">
        <v>8029</v>
      </c>
      <c r="P2509">
        <v>19002</v>
      </c>
      <c r="Q2509" t="str">
        <f>"37.967706"</f>
        <v>37.967706</v>
      </c>
      <c r="R2509" t="str">
        <f>"23.847340"</f>
        <v>23.847340</v>
      </c>
      <c r="S2509" t="s">
        <v>26</v>
      </c>
    </row>
    <row r="2510" spans="1:19" x14ac:dyDescent="0.3">
      <c r="A2510" t="s">
        <v>3237</v>
      </c>
      <c r="B2510" t="s">
        <v>7919</v>
      </c>
      <c r="C2510" t="s">
        <v>4225</v>
      </c>
      <c r="D2510" t="s">
        <v>3262</v>
      </c>
      <c r="E2510" t="s">
        <v>3298</v>
      </c>
      <c r="F2510" t="s">
        <v>3298</v>
      </c>
      <c r="G2510" t="s">
        <v>3298</v>
      </c>
      <c r="H2510" t="s">
        <v>868</v>
      </c>
      <c r="I2510" t="s">
        <v>869</v>
      </c>
      <c r="J2510" t="str">
        <f>"9050249"</f>
        <v>9050249</v>
      </c>
      <c r="K2510">
        <v>2102461100</v>
      </c>
      <c r="L2510">
        <v>2102461100</v>
      </c>
      <c r="M2510" t="s">
        <v>8030</v>
      </c>
      <c r="N2510" t="s">
        <v>4318</v>
      </c>
      <c r="O2510" t="s">
        <v>7751</v>
      </c>
      <c r="P2510">
        <v>13672</v>
      </c>
      <c r="Q2510" t="str">
        <f>"38.080070"</f>
        <v>38.080070</v>
      </c>
      <c r="R2510" t="str">
        <f>"23.732188"</f>
        <v>23.732188</v>
      </c>
      <c r="S2510" t="s">
        <v>26</v>
      </c>
    </row>
    <row r="2511" spans="1:19" x14ac:dyDescent="0.3">
      <c r="A2511" t="s">
        <v>3237</v>
      </c>
      <c r="B2511" t="s">
        <v>7919</v>
      </c>
      <c r="C2511" t="s">
        <v>4134</v>
      </c>
      <c r="D2511" t="s">
        <v>3262</v>
      </c>
      <c r="E2511" t="s">
        <v>3298</v>
      </c>
      <c r="F2511" t="s">
        <v>3298</v>
      </c>
      <c r="G2511" t="s">
        <v>3298</v>
      </c>
      <c r="H2511" t="s">
        <v>868</v>
      </c>
      <c r="I2511" t="s">
        <v>869</v>
      </c>
      <c r="J2511" t="str">
        <f>"9050253"</f>
        <v>9050253</v>
      </c>
      <c r="K2511">
        <v>2102463100</v>
      </c>
      <c r="L2511">
        <v>2102463100</v>
      </c>
      <c r="M2511" t="s">
        <v>8031</v>
      </c>
      <c r="N2511" t="s">
        <v>4028</v>
      </c>
      <c r="O2511" t="s">
        <v>8032</v>
      </c>
      <c r="P2511">
        <v>13671</v>
      </c>
      <c r="Q2511" t="str">
        <f>"38.072625"</f>
        <v>38.072625</v>
      </c>
      <c r="R2511" t="str">
        <f>"23.745401"</f>
        <v>23.745401</v>
      </c>
      <c r="S2511" t="s">
        <v>26</v>
      </c>
    </row>
    <row r="2512" spans="1:19" x14ac:dyDescent="0.3">
      <c r="A2512" t="s">
        <v>3237</v>
      </c>
      <c r="B2512" t="s">
        <v>7919</v>
      </c>
      <c r="C2512" t="s">
        <v>4400</v>
      </c>
      <c r="D2512" t="s">
        <v>3262</v>
      </c>
      <c r="E2512" t="s">
        <v>4024</v>
      </c>
      <c r="F2512" t="s">
        <v>2199</v>
      </c>
      <c r="G2512" t="s">
        <v>2199</v>
      </c>
      <c r="H2512" t="s">
        <v>868</v>
      </c>
      <c r="I2512" t="s">
        <v>869</v>
      </c>
      <c r="J2512" t="str">
        <f>"9050600"</f>
        <v>9050600</v>
      </c>
      <c r="K2512">
        <v>2106611100</v>
      </c>
      <c r="L2512">
        <v>2106611100</v>
      </c>
      <c r="M2512" t="s">
        <v>8033</v>
      </c>
      <c r="N2512" t="s">
        <v>4172</v>
      </c>
      <c r="O2512" t="s">
        <v>7943</v>
      </c>
      <c r="P2512">
        <v>15344</v>
      </c>
      <c r="Q2512" t="str">
        <f>"38.022744"</f>
        <v>38.022744</v>
      </c>
      <c r="R2512" t="str">
        <f>"23.855461"</f>
        <v>23.855461</v>
      </c>
      <c r="S2512" t="s">
        <v>26</v>
      </c>
    </row>
    <row r="2513" spans="1:19" x14ac:dyDescent="0.3">
      <c r="A2513" t="s">
        <v>3237</v>
      </c>
      <c r="B2513" t="s">
        <v>7919</v>
      </c>
      <c r="C2513" t="s">
        <v>8034</v>
      </c>
      <c r="D2513" t="s">
        <v>3262</v>
      </c>
      <c r="E2513" t="s">
        <v>4019</v>
      </c>
      <c r="F2513" t="s">
        <v>4019</v>
      </c>
      <c r="G2513" t="s">
        <v>4019</v>
      </c>
      <c r="H2513" t="s">
        <v>868</v>
      </c>
      <c r="I2513" t="s">
        <v>869</v>
      </c>
      <c r="J2513" t="str">
        <f>"9050579"</f>
        <v>9050579</v>
      </c>
      <c r="K2513">
        <v>2294063419</v>
      </c>
      <c r="L2513">
        <v>2294063419</v>
      </c>
      <c r="M2513" t="s">
        <v>8035</v>
      </c>
      <c r="N2513" t="s">
        <v>8036</v>
      </c>
      <c r="O2513" t="s">
        <v>8037</v>
      </c>
      <c r="P2513">
        <v>19007</v>
      </c>
      <c r="Q2513" t="str">
        <f>"38.168111"</f>
        <v>38.168111</v>
      </c>
      <c r="R2513" t="str">
        <f>"24.020096"</f>
        <v>24.020096</v>
      </c>
      <c r="S2513" t="s">
        <v>26</v>
      </c>
    </row>
    <row r="2514" spans="1:19" x14ac:dyDescent="0.3">
      <c r="A2514" t="s">
        <v>3237</v>
      </c>
      <c r="B2514" t="s">
        <v>7919</v>
      </c>
      <c r="C2514" t="s">
        <v>4244</v>
      </c>
      <c r="D2514" t="s">
        <v>3262</v>
      </c>
      <c r="E2514" t="s">
        <v>3997</v>
      </c>
      <c r="F2514" t="s">
        <v>4239</v>
      </c>
      <c r="G2514" t="s">
        <v>4239</v>
      </c>
      <c r="H2514" t="s">
        <v>868</v>
      </c>
      <c r="I2514" t="s">
        <v>869</v>
      </c>
      <c r="J2514" t="str">
        <f>"9050568"</f>
        <v>9050568</v>
      </c>
      <c r="K2514">
        <v>2291079262</v>
      </c>
      <c r="L2514">
        <v>2291036488</v>
      </c>
      <c r="M2514" t="s">
        <v>8038</v>
      </c>
      <c r="N2514" t="s">
        <v>8039</v>
      </c>
      <c r="O2514" t="s">
        <v>8040</v>
      </c>
      <c r="P2514">
        <v>19013</v>
      </c>
      <c r="Q2514" t="str">
        <f>"37.736610"</f>
        <v>37.736610</v>
      </c>
      <c r="R2514" t="str">
        <f>"23.951342"</f>
        <v>23.951342</v>
      </c>
      <c r="S2514" t="s">
        <v>26</v>
      </c>
    </row>
    <row r="2515" spans="1:19" x14ac:dyDescent="0.3">
      <c r="A2515" t="s">
        <v>3237</v>
      </c>
      <c r="B2515" t="s">
        <v>7919</v>
      </c>
      <c r="C2515" t="s">
        <v>4018</v>
      </c>
      <c r="D2515" t="s">
        <v>3262</v>
      </c>
      <c r="E2515" t="s">
        <v>4011</v>
      </c>
      <c r="F2515" t="s">
        <v>4012</v>
      </c>
      <c r="G2515" t="s">
        <v>4012</v>
      </c>
      <c r="H2515" t="s">
        <v>868</v>
      </c>
      <c r="I2515" t="s">
        <v>869</v>
      </c>
      <c r="J2515" t="str">
        <f>"9050195"</f>
        <v>9050195</v>
      </c>
      <c r="K2515">
        <v>2108960051</v>
      </c>
      <c r="L2515">
        <v>2108960051</v>
      </c>
      <c r="M2515" t="s">
        <v>8060</v>
      </c>
      <c r="N2515" t="s">
        <v>4168</v>
      </c>
      <c r="O2515" t="s">
        <v>8061</v>
      </c>
      <c r="P2515">
        <v>16671</v>
      </c>
      <c r="Q2515" t="str">
        <f>"37.816087"</f>
        <v>37.816087</v>
      </c>
      <c r="R2515" t="str">
        <f>"23.782032"</f>
        <v>23.782032</v>
      </c>
      <c r="S2515" t="s">
        <v>26</v>
      </c>
    </row>
    <row r="2516" spans="1:19" x14ac:dyDescent="0.3">
      <c r="A2516" t="s">
        <v>3237</v>
      </c>
      <c r="B2516" t="s">
        <v>7919</v>
      </c>
      <c r="C2516" t="s">
        <v>8074</v>
      </c>
      <c r="D2516" t="s">
        <v>3262</v>
      </c>
      <c r="E2516" t="s">
        <v>4075</v>
      </c>
      <c r="F2516" t="s">
        <v>4075</v>
      </c>
      <c r="G2516" t="s">
        <v>4075</v>
      </c>
      <c r="H2516" t="s">
        <v>868</v>
      </c>
      <c r="I2516" t="s">
        <v>869</v>
      </c>
      <c r="J2516" t="str">
        <f>"9050595"</f>
        <v>9050595</v>
      </c>
      <c r="K2516">
        <v>2106642300</v>
      </c>
      <c r="L2516">
        <v>2106642300</v>
      </c>
      <c r="M2516" t="s">
        <v>8075</v>
      </c>
      <c r="N2516" t="s">
        <v>8076</v>
      </c>
      <c r="O2516" t="s">
        <v>8077</v>
      </c>
      <c r="P2516">
        <v>19002</v>
      </c>
      <c r="Q2516" t="str">
        <f>"37.961457"</f>
        <v>37.961457</v>
      </c>
      <c r="R2516" t="str">
        <f>"23.845134"</f>
        <v>23.845134</v>
      </c>
      <c r="S2516" t="s">
        <v>26</v>
      </c>
    </row>
    <row r="2517" spans="1:19" x14ac:dyDescent="0.3">
      <c r="A2517" t="s">
        <v>3237</v>
      </c>
      <c r="B2517" t="s">
        <v>7919</v>
      </c>
      <c r="C2517" t="s">
        <v>8078</v>
      </c>
      <c r="D2517" t="s">
        <v>3262</v>
      </c>
      <c r="E2517" t="s">
        <v>4011</v>
      </c>
      <c r="F2517" t="s">
        <v>4112</v>
      </c>
      <c r="G2517" t="s">
        <v>4112</v>
      </c>
      <c r="H2517" t="s">
        <v>868</v>
      </c>
      <c r="I2517" t="s">
        <v>869</v>
      </c>
      <c r="J2517" t="str">
        <f>"9050569"</f>
        <v>9050569</v>
      </c>
      <c r="K2517">
        <v>2108971511</v>
      </c>
      <c r="L2517">
        <v>2108979619</v>
      </c>
      <c r="M2517" t="s">
        <v>8079</v>
      </c>
      <c r="N2517" t="s">
        <v>8080</v>
      </c>
      <c r="O2517" t="s">
        <v>8081</v>
      </c>
      <c r="P2517">
        <v>16672</v>
      </c>
      <c r="Q2517" t="str">
        <f>"37.818511"</f>
        <v>37.818511</v>
      </c>
      <c r="R2517" t="str">
        <f>"23.795596"</f>
        <v>23.795596</v>
      </c>
      <c r="S2517" t="s">
        <v>26</v>
      </c>
    </row>
    <row r="2518" spans="1:19" x14ac:dyDescent="0.3">
      <c r="A2518" t="s">
        <v>3237</v>
      </c>
      <c r="B2518" t="s">
        <v>7919</v>
      </c>
      <c r="C2518" t="s">
        <v>8096</v>
      </c>
      <c r="D2518" t="s">
        <v>3262</v>
      </c>
      <c r="E2518" t="s">
        <v>4024</v>
      </c>
      <c r="F2518" t="s">
        <v>4024</v>
      </c>
      <c r="G2518" t="s">
        <v>4024</v>
      </c>
      <c r="H2518" t="s">
        <v>868</v>
      </c>
      <c r="I2518" t="s">
        <v>869</v>
      </c>
      <c r="J2518" t="str">
        <f>"9520814"</f>
        <v>9520814</v>
      </c>
      <c r="K2518">
        <v>2106032240</v>
      </c>
      <c r="L2518">
        <v>2106032240</v>
      </c>
      <c r="M2518" t="s">
        <v>8097</v>
      </c>
      <c r="N2518" t="s">
        <v>8098</v>
      </c>
      <c r="O2518" t="s">
        <v>8099</v>
      </c>
      <c r="P2518">
        <v>15351</v>
      </c>
      <c r="Q2518" t="str">
        <f>"38.000669"</f>
        <v>38.000669</v>
      </c>
      <c r="R2518" t="str">
        <f>"23.867306"</f>
        <v>23.867306</v>
      </c>
      <c r="S2518" t="s">
        <v>26</v>
      </c>
    </row>
    <row r="2519" spans="1:19" x14ac:dyDescent="0.3">
      <c r="A2519" t="s">
        <v>3237</v>
      </c>
      <c r="B2519" t="s">
        <v>7919</v>
      </c>
      <c r="C2519" t="s">
        <v>8107</v>
      </c>
      <c r="D2519" t="s">
        <v>3262</v>
      </c>
      <c r="E2519" t="s">
        <v>4024</v>
      </c>
      <c r="F2519" t="s">
        <v>2199</v>
      </c>
      <c r="G2519" t="s">
        <v>2199</v>
      </c>
      <c r="H2519" t="s">
        <v>868</v>
      </c>
      <c r="I2519" t="s">
        <v>869</v>
      </c>
      <c r="J2519" t="str">
        <f>"9051872"</f>
        <v>9051872</v>
      </c>
      <c r="K2519">
        <v>2106614042</v>
      </c>
      <c r="L2519">
        <v>2106614042</v>
      </c>
      <c r="M2519" t="s">
        <v>8108</v>
      </c>
      <c r="N2519" t="s">
        <v>4172</v>
      </c>
      <c r="O2519" t="s">
        <v>8109</v>
      </c>
      <c r="P2519">
        <v>15344</v>
      </c>
      <c r="Q2519" t="str">
        <f>"38.030022"</f>
        <v>38.030022</v>
      </c>
      <c r="R2519" t="str">
        <f>"23.857012"</f>
        <v>23.857012</v>
      </c>
      <c r="S2519" t="s">
        <v>26</v>
      </c>
    </row>
    <row r="2520" spans="1:19" x14ac:dyDescent="0.3">
      <c r="A2520" t="s">
        <v>3237</v>
      </c>
      <c r="B2520" t="s">
        <v>7919</v>
      </c>
      <c r="C2520" t="s">
        <v>4233</v>
      </c>
      <c r="D2520" t="s">
        <v>3262</v>
      </c>
      <c r="E2520" t="s">
        <v>3997</v>
      </c>
      <c r="F2520" t="s">
        <v>3998</v>
      </c>
      <c r="G2520" t="s">
        <v>3998</v>
      </c>
      <c r="H2520" t="s">
        <v>868</v>
      </c>
      <c r="I2520" t="s">
        <v>869</v>
      </c>
      <c r="J2520" t="str">
        <f>"9050574"</f>
        <v>9050574</v>
      </c>
      <c r="K2520">
        <v>2299048246</v>
      </c>
      <c r="L2520">
        <v>2299048246</v>
      </c>
      <c r="M2520" t="s">
        <v>8110</v>
      </c>
      <c r="N2520" t="s">
        <v>8111</v>
      </c>
      <c r="O2520" t="s">
        <v>8112</v>
      </c>
      <c r="P2520">
        <v>19010</v>
      </c>
      <c r="Q2520" t="str">
        <f>"37.839862"</f>
        <v>37.839862</v>
      </c>
      <c r="R2520" t="str">
        <f>"23.932140"</f>
        <v>23.932140</v>
      </c>
      <c r="S2520" t="s">
        <v>26</v>
      </c>
    </row>
    <row r="2521" spans="1:19" x14ac:dyDescent="0.3">
      <c r="A2521" t="s">
        <v>3237</v>
      </c>
      <c r="B2521" t="s">
        <v>7919</v>
      </c>
      <c r="C2521" t="s">
        <v>4081</v>
      </c>
      <c r="D2521" t="s">
        <v>3262</v>
      </c>
      <c r="E2521" t="s">
        <v>4075</v>
      </c>
      <c r="F2521" t="s">
        <v>4076</v>
      </c>
      <c r="G2521" t="s">
        <v>4076</v>
      </c>
      <c r="H2521" t="s">
        <v>868</v>
      </c>
      <c r="I2521" t="s">
        <v>869</v>
      </c>
      <c r="J2521" t="str">
        <f>"9051118"</f>
        <v>9051118</v>
      </c>
      <c r="K2521">
        <v>2106611797</v>
      </c>
      <c r="L2521">
        <v>2106611797</v>
      </c>
      <c r="M2521" t="s">
        <v>8116</v>
      </c>
      <c r="N2521" t="s">
        <v>4079</v>
      </c>
      <c r="O2521" t="s">
        <v>8117</v>
      </c>
      <c r="P2521">
        <v>15354</v>
      </c>
      <c r="Q2521" t="str">
        <f>"38.004593"</f>
        <v>38.004593</v>
      </c>
      <c r="R2521" t="str">
        <f>"23.852608"</f>
        <v>23.852608</v>
      </c>
      <c r="S2521" t="s">
        <v>26</v>
      </c>
    </row>
    <row r="2522" spans="1:19" x14ac:dyDescent="0.3">
      <c r="A2522" t="s">
        <v>3237</v>
      </c>
      <c r="B2522" t="s">
        <v>7919</v>
      </c>
      <c r="C2522" t="s">
        <v>4087</v>
      </c>
      <c r="D2522" t="s">
        <v>3262</v>
      </c>
      <c r="E2522" t="s">
        <v>4060</v>
      </c>
      <c r="F2522" t="s">
        <v>4082</v>
      </c>
      <c r="G2522" t="s">
        <v>4082</v>
      </c>
      <c r="H2522" t="s">
        <v>868</v>
      </c>
      <c r="I2522" t="s">
        <v>869</v>
      </c>
      <c r="J2522" t="str">
        <f>"9050606"</f>
        <v>9050606</v>
      </c>
      <c r="K2522">
        <v>2106039514</v>
      </c>
      <c r="L2522">
        <v>2106039516</v>
      </c>
      <c r="M2522" t="s">
        <v>8128</v>
      </c>
      <c r="N2522" t="s">
        <v>4085</v>
      </c>
      <c r="O2522" t="s">
        <v>8002</v>
      </c>
      <c r="P2522">
        <v>19009</v>
      </c>
      <c r="Q2522" t="str">
        <f>"38.004359"</f>
        <v>38.004359</v>
      </c>
      <c r="R2522" t="str">
        <f>"23.938153"</f>
        <v>23.938153</v>
      </c>
      <c r="S2522" t="s">
        <v>26</v>
      </c>
    </row>
    <row r="2523" spans="1:19" x14ac:dyDescent="0.3">
      <c r="A2523" t="s">
        <v>3237</v>
      </c>
      <c r="B2523" t="s">
        <v>7919</v>
      </c>
      <c r="C2523" t="s">
        <v>4287</v>
      </c>
      <c r="D2523" t="s">
        <v>3262</v>
      </c>
      <c r="E2523" t="s">
        <v>4207</v>
      </c>
      <c r="F2523" t="s">
        <v>4207</v>
      </c>
      <c r="G2523" t="s">
        <v>4207</v>
      </c>
      <c r="H2523" t="s">
        <v>868</v>
      </c>
      <c r="I2523" t="s">
        <v>869</v>
      </c>
      <c r="J2523" t="str">
        <f>"9050584"</f>
        <v>9050584</v>
      </c>
      <c r="K2523">
        <v>2299025234</v>
      </c>
      <c r="L2523">
        <v>2299025234</v>
      </c>
      <c r="M2523" t="s">
        <v>8129</v>
      </c>
      <c r="N2523" t="s">
        <v>4210</v>
      </c>
      <c r="O2523" t="s">
        <v>8130</v>
      </c>
      <c r="P2523">
        <v>19003</v>
      </c>
      <c r="Q2523" t="str">
        <f>"37.885457"</f>
        <v>37.885457</v>
      </c>
      <c r="R2523" t="str">
        <f>"23.934582"</f>
        <v>23.934582</v>
      </c>
      <c r="S2523" t="s">
        <v>26</v>
      </c>
    </row>
    <row r="2524" spans="1:19" x14ac:dyDescent="0.3">
      <c r="A2524" t="s">
        <v>3237</v>
      </c>
      <c r="B2524" t="s">
        <v>7919</v>
      </c>
      <c r="C2524" t="s">
        <v>4141</v>
      </c>
      <c r="D2524" t="s">
        <v>3262</v>
      </c>
      <c r="E2524" t="s">
        <v>4075</v>
      </c>
      <c r="F2524" t="s">
        <v>4075</v>
      </c>
      <c r="G2524" t="s">
        <v>4075</v>
      </c>
      <c r="H2524" t="s">
        <v>868</v>
      </c>
      <c r="I2524" t="s">
        <v>869</v>
      </c>
      <c r="J2524" t="str">
        <f>"9051612"</f>
        <v>9051612</v>
      </c>
      <c r="K2524">
        <v>2106645290</v>
      </c>
      <c r="L2524">
        <v>2106645290</v>
      </c>
      <c r="M2524" t="s">
        <v>8131</v>
      </c>
      <c r="N2524" t="s">
        <v>4139</v>
      </c>
      <c r="O2524" t="s">
        <v>8132</v>
      </c>
      <c r="P2524">
        <v>19002</v>
      </c>
      <c r="Q2524" t="str">
        <f>"37.948226"</f>
        <v>37.948226</v>
      </c>
      <c r="R2524" t="str">
        <f>"23.852687"</f>
        <v>23.852687</v>
      </c>
      <c r="S2524" t="s">
        <v>26</v>
      </c>
    </row>
    <row r="2525" spans="1:19" x14ac:dyDescent="0.3">
      <c r="A2525" t="s">
        <v>3237</v>
      </c>
      <c r="B2525" t="s">
        <v>7919</v>
      </c>
      <c r="C2525" t="s">
        <v>8134</v>
      </c>
      <c r="D2525" t="s">
        <v>3262</v>
      </c>
      <c r="E2525" t="s">
        <v>4019</v>
      </c>
      <c r="F2525" t="s">
        <v>8133</v>
      </c>
      <c r="G2525" t="s">
        <v>8133</v>
      </c>
      <c r="H2525" t="s">
        <v>868</v>
      </c>
      <c r="I2525" t="s">
        <v>869</v>
      </c>
      <c r="J2525" t="str">
        <f>"9050572"</f>
        <v>9050572</v>
      </c>
      <c r="K2525">
        <v>2294061242</v>
      </c>
      <c r="L2525">
        <v>2294061242</v>
      </c>
      <c r="M2525" t="s">
        <v>8135</v>
      </c>
      <c r="N2525" t="s">
        <v>8136</v>
      </c>
      <c r="O2525" t="s">
        <v>8137</v>
      </c>
      <c r="P2525">
        <v>19007</v>
      </c>
      <c r="Q2525" t="str">
        <f>"38.203047"</f>
        <v>38.203047</v>
      </c>
      <c r="R2525" t="str">
        <f>"23.965806"</f>
        <v>23.965806</v>
      </c>
      <c r="S2525" t="s">
        <v>26</v>
      </c>
    </row>
    <row r="2526" spans="1:19" x14ac:dyDescent="0.3">
      <c r="A2526" t="s">
        <v>3237</v>
      </c>
      <c r="B2526" t="s">
        <v>7919</v>
      </c>
      <c r="C2526" t="s">
        <v>8138</v>
      </c>
      <c r="D2526" t="s">
        <v>3262</v>
      </c>
      <c r="E2526" t="s">
        <v>4019</v>
      </c>
      <c r="F2526" t="s">
        <v>4054</v>
      </c>
      <c r="G2526" t="s">
        <v>4054</v>
      </c>
      <c r="H2526" t="s">
        <v>868</v>
      </c>
      <c r="I2526" t="s">
        <v>869</v>
      </c>
      <c r="J2526" t="str">
        <f>"9051859"</f>
        <v>9051859</v>
      </c>
      <c r="K2526">
        <v>2294050610</v>
      </c>
      <c r="L2526">
        <v>2294050610</v>
      </c>
      <c r="M2526" t="s">
        <v>8139</v>
      </c>
      <c r="N2526" t="s">
        <v>8140</v>
      </c>
      <c r="O2526" t="s">
        <v>8141</v>
      </c>
      <c r="P2526">
        <v>19005</v>
      </c>
      <c r="Q2526" t="str">
        <f>"38.100651"</f>
        <v>38.100651</v>
      </c>
      <c r="R2526" t="str">
        <f>"23.970938"</f>
        <v>23.970938</v>
      </c>
      <c r="S2526" t="s">
        <v>26</v>
      </c>
    </row>
    <row r="2527" spans="1:19" x14ac:dyDescent="0.3">
      <c r="A2527" t="s">
        <v>3237</v>
      </c>
      <c r="B2527" t="s">
        <v>7919</v>
      </c>
      <c r="C2527" t="s">
        <v>8142</v>
      </c>
      <c r="D2527" t="s">
        <v>3262</v>
      </c>
      <c r="E2527" t="s">
        <v>4024</v>
      </c>
      <c r="F2527" t="s">
        <v>4024</v>
      </c>
      <c r="G2527" t="s">
        <v>4024</v>
      </c>
      <c r="H2527" t="s">
        <v>868</v>
      </c>
      <c r="I2527" t="s">
        <v>869</v>
      </c>
      <c r="J2527" t="str">
        <f>"9051833"</f>
        <v>9051833</v>
      </c>
      <c r="K2527">
        <v>2106667489</v>
      </c>
      <c r="L2527">
        <v>2106667489</v>
      </c>
      <c r="M2527" t="s">
        <v>8143</v>
      </c>
      <c r="N2527" t="s">
        <v>4352</v>
      </c>
      <c r="O2527" t="s">
        <v>8144</v>
      </c>
      <c r="P2527">
        <v>15351</v>
      </c>
      <c r="Q2527" t="str">
        <f>"37.989843"</f>
        <v>37.989843</v>
      </c>
      <c r="R2527" t="str">
        <f>"23.867617"</f>
        <v>23.867617</v>
      </c>
      <c r="S2527" t="s">
        <v>26</v>
      </c>
    </row>
    <row r="2528" spans="1:19" x14ac:dyDescent="0.3">
      <c r="A2528" t="s">
        <v>3237</v>
      </c>
      <c r="B2528" t="s">
        <v>7919</v>
      </c>
      <c r="C2528" t="s">
        <v>8148</v>
      </c>
      <c r="D2528" t="s">
        <v>3262</v>
      </c>
      <c r="E2528" t="s">
        <v>4019</v>
      </c>
      <c r="F2528" t="s">
        <v>4019</v>
      </c>
      <c r="G2528" t="s">
        <v>4019</v>
      </c>
      <c r="H2528" t="s">
        <v>868</v>
      </c>
      <c r="I2528" t="s">
        <v>869</v>
      </c>
      <c r="J2528" t="str">
        <f>"9050582"</f>
        <v>9050582</v>
      </c>
      <c r="K2528">
        <v>2294055256</v>
      </c>
      <c r="M2528" t="s">
        <v>8149</v>
      </c>
      <c r="N2528" t="s">
        <v>8150</v>
      </c>
      <c r="O2528" t="s">
        <v>8151</v>
      </c>
      <c r="P2528">
        <v>19007</v>
      </c>
      <c r="Q2528" t="str">
        <f>"38.121510"</f>
        <v>38.121510</v>
      </c>
      <c r="R2528" t="str">
        <f>"23.980786"</f>
        <v>23.980786</v>
      </c>
      <c r="S2528" t="s">
        <v>26</v>
      </c>
    </row>
    <row r="2529" spans="1:19" x14ac:dyDescent="0.3">
      <c r="A2529" t="s">
        <v>3237</v>
      </c>
      <c r="B2529" t="s">
        <v>7919</v>
      </c>
      <c r="C2529" t="s">
        <v>4218</v>
      </c>
      <c r="D2529" t="s">
        <v>3262</v>
      </c>
      <c r="E2529" t="s">
        <v>3298</v>
      </c>
      <c r="F2529" t="s">
        <v>3298</v>
      </c>
      <c r="G2529" t="s">
        <v>3298</v>
      </c>
      <c r="H2529" t="s">
        <v>868</v>
      </c>
      <c r="I2529" t="s">
        <v>869</v>
      </c>
      <c r="J2529" t="str">
        <f>"9051484"</f>
        <v>9051484</v>
      </c>
      <c r="K2529">
        <v>2102464423</v>
      </c>
      <c r="L2529">
        <v>2102464423</v>
      </c>
      <c r="M2529" t="s">
        <v>8158</v>
      </c>
      <c r="N2529" t="s">
        <v>4028</v>
      </c>
      <c r="O2529" t="s">
        <v>8159</v>
      </c>
      <c r="P2529">
        <v>13678</v>
      </c>
      <c r="Q2529" t="str">
        <f>"38.094362"</f>
        <v>38.094362</v>
      </c>
      <c r="R2529" t="str">
        <f>"23.748028"</f>
        <v>23.748028</v>
      </c>
      <c r="S2529" t="s">
        <v>26</v>
      </c>
    </row>
    <row r="2530" spans="1:19" x14ac:dyDescent="0.3">
      <c r="A2530" t="s">
        <v>3237</v>
      </c>
      <c r="B2530" t="s">
        <v>7919</v>
      </c>
      <c r="C2530" t="s">
        <v>8160</v>
      </c>
      <c r="D2530" t="s">
        <v>3262</v>
      </c>
      <c r="E2530" t="s">
        <v>4019</v>
      </c>
      <c r="F2530" t="s">
        <v>4054</v>
      </c>
      <c r="G2530" t="s">
        <v>4054</v>
      </c>
      <c r="H2530" t="s">
        <v>868</v>
      </c>
      <c r="I2530" t="s">
        <v>869</v>
      </c>
      <c r="J2530" t="str">
        <f>"9050588"</f>
        <v>9050588</v>
      </c>
      <c r="K2530">
        <v>2294095978</v>
      </c>
      <c r="L2530">
        <v>2294095098</v>
      </c>
      <c r="M2530" t="s">
        <v>8161</v>
      </c>
      <c r="N2530" t="s">
        <v>8162</v>
      </c>
      <c r="O2530" t="s">
        <v>8163</v>
      </c>
      <c r="P2530">
        <v>19005</v>
      </c>
      <c r="Q2530" t="str">
        <f>"38.086007"</f>
        <v>38.086007</v>
      </c>
      <c r="R2530" t="str">
        <f>"23.958734"</f>
        <v>23.958734</v>
      </c>
      <c r="S2530" t="s">
        <v>26</v>
      </c>
    </row>
    <row r="2531" spans="1:19" x14ac:dyDescent="0.3">
      <c r="A2531" t="s">
        <v>3237</v>
      </c>
      <c r="B2531" t="s">
        <v>7919</v>
      </c>
      <c r="C2531" t="s">
        <v>4201</v>
      </c>
      <c r="D2531" t="s">
        <v>3262</v>
      </c>
      <c r="E2531" t="s">
        <v>3263</v>
      </c>
      <c r="F2531" t="s">
        <v>3263</v>
      </c>
      <c r="G2531" t="s">
        <v>3263</v>
      </c>
      <c r="H2531" t="s">
        <v>868</v>
      </c>
      <c r="I2531" t="s">
        <v>869</v>
      </c>
      <c r="J2531" t="str">
        <f>"9050935"</f>
        <v>9050935</v>
      </c>
      <c r="K2531">
        <v>2106021780</v>
      </c>
      <c r="L2531">
        <v>2106020809</v>
      </c>
      <c r="M2531" t="s">
        <v>8164</v>
      </c>
      <c r="N2531" t="s">
        <v>3266</v>
      </c>
      <c r="O2531" t="s">
        <v>8165</v>
      </c>
      <c r="P2531">
        <v>19400</v>
      </c>
      <c r="Q2531" t="str">
        <f>"37.895406"</f>
        <v>37.895406</v>
      </c>
      <c r="R2531" t="str">
        <f>"23.866258"</f>
        <v>23.866258</v>
      </c>
      <c r="S2531" t="s">
        <v>26</v>
      </c>
    </row>
    <row r="2532" spans="1:19" x14ac:dyDescent="0.3">
      <c r="A2532" t="s">
        <v>3237</v>
      </c>
      <c r="B2532" t="s">
        <v>7919</v>
      </c>
      <c r="C2532" t="s">
        <v>8166</v>
      </c>
      <c r="D2532" t="s">
        <v>3262</v>
      </c>
      <c r="E2532" t="s">
        <v>4043</v>
      </c>
      <c r="F2532" t="s">
        <v>4043</v>
      </c>
      <c r="G2532" t="s">
        <v>4043</v>
      </c>
      <c r="H2532" t="s">
        <v>868</v>
      </c>
      <c r="I2532" t="s">
        <v>869</v>
      </c>
      <c r="J2532" t="str">
        <f>"9050292"</f>
        <v>9050292</v>
      </c>
      <c r="K2532">
        <v>2108150500</v>
      </c>
      <c r="L2532">
        <v>2108150500</v>
      </c>
      <c r="M2532" t="s">
        <v>8167</v>
      </c>
      <c r="N2532" t="s">
        <v>8168</v>
      </c>
      <c r="O2532" t="s">
        <v>8169</v>
      </c>
      <c r="P2532">
        <v>14576</v>
      </c>
      <c r="Q2532" t="str">
        <f>"38.097150"</f>
        <v>38.097150</v>
      </c>
      <c r="R2532" t="str">
        <f>"23.873076"</f>
        <v>23.873076</v>
      </c>
      <c r="S2532" t="s">
        <v>26</v>
      </c>
    </row>
    <row r="2533" spans="1:19" x14ac:dyDescent="0.3">
      <c r="A2533" t="s">
        <v>3237</v>
      </c>
      <c r="B2533" t="s">
        <v>7919</v>
      </c>
      <c r="C2533" t="s">
        <v>4315</v>
      </c>
      <c r="D2533" t="s">
        <v>3262</v>
      </c>
      <c r="E2533" t="s">
        <v>4075</v>
      </c>
      <c r="F2533" t="s">
        <v>4076</v>
      </c>
      <c r="G2533" t="s">
        <v>4076</v>
      </c>
      <c r="H2533" t="s">
        <v>868</v>
      </c>
      <c r="I2533" t="s">
        <v>869</v>
      </c>
      <c r="J2533" t="str">
        <f>"9051374"</f>
        <v>9051374</v>
      </c>
      <c r="K2533">
        <v>2106659830</v>
      </c>
      <c r="L2533">
        <v>2106659830</v>
      </c>
      <c r="M2533" t="s">
        <v>8170</v>
      </c>
      <c r="N2533" t="s">
        <v>4079</v>
      </c>
      <c r="O2533" t="s">
        <v>8171</v>
      </c>
      <c r="P2533">
        <v>15354</v>
      </c>
      <c r="Q2533" t="str">
        <f>"37.980432"</f>
        <v>37.980432</v>
      </c>
      <c r="R2533" t="str">
        <f>"23.847183"</f>
        <v>23.847183</v>
      </c>
      <c r="S2533" t="s">
        <v>26</v>
      </c>
    </row>
    <row r="2534" spans="1:19" x14ac:dyDescent="0.3">
      <c r="A2534" t="s">
        <v>3237</v>
      </c>
      <c r="B2534" t="s">
        <v>7919</v>
      </c>
      <c r="C2534" t="s">
        <v>4393</v>
      </c>
      <c r="D2534" t="s">
        <v>3262</v>
      </c>
      <c r="E2534" t="s">
        <v>4024</v>
      </c>
      <c r="F2534" t="s">
        <v>4024</v>
      </c>
      <c r="G2534" t="s">
        <v>4024</v>
      </c>
      <c r="H2534" t="s">
        <v>868</v>
      </c>
      <c r="I2534" t="s">
        <v>869</v>
      </c>
      <c r="J2534" t="str">
        <f>"9051845"</f>
        <v>9051845</v>
      </c>
      <c r="K2534">
        <v>2106042600</v>
      </c>
      <c r="L2534">
        <v>2106042600</v>
      </c>
      <c r="M2534" t="s">
        <v>8175</v>
      </c>
      <c r="N2534" t="s">
        <v>4352</v>
      </c>
      <c r="O2534" t="s">
        <v>8176</v>
      </c>
      <c r="P2534">
        <v>15351</v>
      </c>
      <c r="Q2534" t="str">
        <f>"37.990045"</f>
        <v>37.990045</v>
      </c>
      <c r="R2534" t="str">
        <f>"23.861126"</f>
        <v>23.861126</v>
      </c>
      <c r="S2534" t="s">
        <v>26</v>
      </c>
    </row>
    <row r="2535" spans="1:19" x14ac:dyDescent="0.3">
      <c r="A2535" t="s">
        <v>3237</v>
      </c>
      <c r="B2535" t="s">
        <v>7919</v>
      </c>
      <c r="C2535" t="s">
        <v>8180</v>
      </c>
      <c r="D2535" t="s">
        <v>3262</v>
      </c>
      <c r="E2535" t="s">
        <v>4060</v>
      </c>
      <c r="F2535" t="s">
        <v>4061</v>
      </c>
      <c r="G2535" t="s">
        <v>4061</v>
      </c>
      <c r="H2535" t="s">
        <v>868</v>
      </c>
      <c r="I2535" t="s">
        <v>869</v>
      </c>
      <c r="J2535" t="str">
        <f>"9050608"</f>
        <v>9050608</v>
      </c>
      <c r="K2535">
        <v>2294024700</v>
      </c>
      <c r="L2535">
        <v>2294024700</v>
      </c>
      <c r="M2535" t="s">
        <v>8181</v>
      </c>
      <c r="N2535" t="s">
        <v>4064</v>
      </c>
      <c r="O2535" t="s">
        <v>583</v>
      </c>
      <c r="P2535">
        <v>19009</v>
      </c>
      <c r="Q2535" t="str">
        <f>"38.018239"</f>
        <v>38.018239</v>
      </c>
      <c r="R2535" t="str">
        <f>"24.008312"</f>
        <v>24.008312</v>
      </c>
      <c r="S2535" t="s">
        <v>26</v>
      </c>
    </row>
    <row r="2536" spans="1:19" x14ac:dyDescent="0.3">
      <c r="A2536" t="s">
        <v>3237</v>
      </c>
      <c r="B2536" t="s">
        <v>7919</v>
      </c>
      <c r="C2536" t="s">
        <v>4130</v>
      </c>
      <c r="D2536" t="s">
        <v>3262</v>
      </c>
      <c r="E2536" t="s">
        <v>4067</v>
      </c>
      <c r="F2536" t="s">
        <v>4125</v>
      </c>
      <c r="G2536" t="s">
        <v>4125</v>
      </c>
      <c r="H2536" t="s">
        <v>868</v>
      </c>
      <c r="I2536" t="s">
        <v>869</v>
      </c>
      <c r="J2536" t="str">
        <f>"9050280"</f>
        <v>9050280</v>
      </c>
      <c r="K2536">
        <v>2295052233</v>
      </c>
      <c r="L2536">
        <v>2295052233</v>
      </c>
      <c r="M2536" t="s">
        <v>8182</v>
      </c>
      <c r="N2536" t="s">
        <v>4128</v>
      </c>
      <c r="O2536" t="s">
        <v>8183</v>
      </c>
      <c r="P2536">
        <v>19014</v>
      </c>
      <c r="Q2536" t="str">
        <f>"38.215640"</f>
        <v>38.215640</v>
      </c>
      <c r="R2536" t="str">
        <f>"23.875444"</f>
        <v>23.875444</v>
      </c>
      <c r="S2536" t="s">
        <v>26</v>
      </c>
    </row>
    <row r="2537" spans="1:19" x14ac:dyDescent="0.3">
      <c r="A2537" t="s">
        <v>3237</v>
      </c>
      <c r="B2537" t="s">
        <v>7919</v>
      </c>
      <c r="C2537" t="s">
        <v>4254</v>
      </c>
      <c r="D2537" t="s">
        <v>3262</v>
      </c>
      <c r="E2537" t="s">
        <v>4118</v>
      </c>
      <c r="F2537" t="s">
        <v>4248</v>
      </c>
      <c r="G2537" t="s">
        <v>4249</v>
      </c>
      <c r="H2537" t="s">
        <v>868</v>
      </c>
      <c r="I2537" t="s">
        <v>869</v>
      </c>
      <c r="J2537" t="str">
        <f>"9050561"</f>
        <v>9050561</v>
      </c>
      <c r="K2537">
        <v>2294082228</v>
      </c>
      <c r="L2537">
        <v>2294082244</v>
      </c>
      <c r="M2537" t="s">
        <v>8186</v>
      </c>
      <c r="N2537" t="s">
        <v>4554</v>
      </c>
      <c r="O2537" t="s">
        <v>8187</v>
      </c>
      <c r="P2537">
        <v>19016</v>
      </c>
      <c r="Q2537" t="str">
        <f>"37.975180"</f>
        <v>37.975180</v>
      </c>
      <c r="R2537" t="str">
        <f>"24.009049"</f>
        <v>24.009049</v>
      </c>
      <c r="S2537" t="s">
        <v>26</v>
      </c>
    </row>
    <row r="2538" spans="1:19" x14ac:dyDescent="0.3">
      <c r="A2538" t="s">
        <v>3237</v>
      </c>
      <c r="B2538" t="s">
        <v>7919</v>
      </c>
      <c r="C2538" t="s">
        <v>8188</v>
      </c>
      <c r="D2538" t="s">
        <v>3262</v>
      </c>
      <c r="E2538" t="s">
        <v>3263</v>
      </c>
      <c r="F2538" t="s">
        <v>3263</v>
      </c>
      <c r="G2538" t="s">
        <v>3263</v>
      </c>
      <c r="H2538" t="s">
        <v>868</v>
      </c>
      <c r="I2538" t="s">
        <v>869</v>
      </c>
      <c r="J2538" t="str">
        <f>"9051471"</f>
        <v>9051471</v>
      </c>
      <c r="K2538">
        <v>2291090312</v>
      </c>
      <c r="L2538">
        <v>2291090306</v>
      </c>
      <c r="M2538" t="s">
        <v>8189</v>
      </c>
      <c r="N2538" t="s">
        <v>8190</v>
      </c>
      <c r="O2538" t="s">
        <v>8191</v>
      </c>
      <c r="P2538">
        <v>19400</v>
      </c>
      <c r="Q2538" t="str">
        <f>"37.832670"</f>
        <v>37.832670</v>
      </c>
      <c r="R2538" t="str">
        <f>"23.854613"</f>
        <v>23.854613</v>
      </c>
      <c r="S2538" t="s">
        <v>26</v>
      </c>
    </row>
    <row r="2539" spans="1:19" x14ac:dyDescent="0.3">
      <c r="A2539" t="s">
        <v>3237</v>
      </c>
      <c r="B2539" t="s">
        <v>7919</v>
      </c>
      <c r="C2539" t="s">
        <v>4059</v>
      </c>
      <c r="D2539" t="s">
        <v>3262</v>
      </c>
      <c r="E2539" t="s">
        <v>4019</v>
      </c>
      <c r="F2539" t="s">
        <v>4054</v>
      </c>
      <c r="G2539" t="s">
        <v>4054</v>
      </c>
      <c r="H2539" t="s">
        <v>868</v>
      </c>
      <c r="I2539" t="s">
        <v>869</v>
      </c>
      <c r="J2539" t="str">
        <f>"9050590"</f>
        <v>9050590</v>
      </c>
      <c r="K2539">
        <v>2294091353</v>
      </c>
      <c r="L2539">
        <v>2294091770</v>
      </c>
      <c r="M2539" t="s">
        <v>8205</v>
      </c>
      <c r="N2539" t="s">
        <v>4177</v>
      </c>
      <c r="O2539" t="s">
        <v>8206</v>
      </c>
      <c r="P2539">
        <v>19005</v>
      </c>
      <c r="Q2539" t="str">
        <f>"38.082920"</f>
        <v>38.082920</v>
      </c>
      <c r="R2539" t="str">
        <f>"23.977905"</f>
        <v>23.977905</v>
      </c>
      <c r="S2539" t="s">
        <v>26</v>
      </c>
    </row>
    <row r="2540" spans="1:19" x14ac:dyDescent="0.3">
      <c r="A2540" t="s">
        <v>3237</v>
      </c>
      <c r="B2540" t="s">
        <v>7919</v>
      </c>
      <c r="C2540" t="s">
        <v>4423</v>
      </c>
      <c r="D2540" t="s">
        <v>3262</v>
      </c>
      <c r="E2540" t="s">
        <v>4031</v>
      </c>
      <c r="F2540" t="s">
        <v>4031</v>
      </c>
      <c r="G2540" t="s">
        <v>4031</v>
      </c>
      <c r="H2540" t="s">
        <v>868</v>
      </c>
      <c r="I2540" t="s">
        <v>869</v>
      </c>
      <c r="J2540" t="str">
        <f>"9050556"</f>
        <v>9050556</v>
      </c>
      <c r="K2540">
        <v>2292025324</v>
      </c>
      <c r="L2540">
        <v>2292025324</v>
      </c>
      <c r="M2540" t="s">
        <v>8207</v>
      </c>
      <c r="N2540" t="s">
        <v>4034</v>
      </c>
      <c r="O2540" t="s">
        <v>8208</v>
      </c>
      <c r="P2540">
        <v>19500</v>
      </c>
      <c r="Q2540" t="str">
        <f>"37.710270"</f>
        <v>37.710270</v>
      </c>
      <c r="R2540" t="str">
        <f>"24.051865"</f>
        <v>24.051865</v>
      </c>
      <c r="S2540" t="s">
        <v>26</v>
      </c>
    </row>
    <row r="2541" spans="1:19" x14ac:dyDescent="0.3">
      <c r="A2541" t="s">
        <v>3237</v>
      </c>
      <c r="B2541" t="s">
        <v>7919</v>
      </c>
      <c r="C2541" t="s">
        <v>8212</v>
      </c>
      <c r="D2541" t="s">
        <v>3262</v>
      </c>
      <c r="E2541" t="s">
        <v>4011</v>
      </c>
      <c r="F2541" t="s">
        <v>4160</v>
      </c>
      <c r="G2541" t="s">
        <v>4160</v>
      </c>
      <c r="H2541" t="s">
        <v>868</v>
      </c>
      <c r="I2541" t="s">
        <v>869</v>
      </c>
      <c r="J2541" t="str">
        <f>"9050189"</f>
        <v>9050189</v>
      </c>
      <c r="K2541">
        <v>2108958373</v>
      </c>
      <c r="L2541">
        <v>2108958483</v>
      </c>
      <c r="M2541" t="s">
        <v>8213</v>
      </c>
      <c r="N2541" t="s">
        <v>4163</v>
      </c>
      <c r="O2541" t="s">
        <v>8214</v>
      </c>
      <c r="P2541">
        <v>16673</v>
      </c>
      <c r="Q2541" t="str">
        <f>"37.842977"</f>
        <v>37.842977</v>
      </c>
      <c r="R2541" t="str">
        <f>"23.768130"</f>
        <v>23.768130</v>
      </c>
      <c r="S2541" t="s">
        <v>26</v>
      </c>
    </row>
    <row r="2542" spans="1:19" x14ac:dyDescent="0.3">
      <c r="A2542" t="s">
        <v>3237</v>
      </c>
      <c r="B2542" t="s">
        <v>7919</v>
      </c>
      <c r="C2542" t="s">
        <v>4501</v>
      </c>
      <c r="D2542" t="s">
        <v>3262</v>
      </c>
      <c r="E2542" t="s">
        <v>3997</v>
      </c>
      <c r="F2542" t="s">
        <v>4496</v>
      </c>
      <c r="G2542" t="s">
        <v>4496</v>
      </c>
      <c r="H2542" t="s">
        <v>868</v>
      </c>
      <c r="I2542" t="s">
        <v>869</v>
      </c>
      <c r="J2542" t="str">
        <f>"9050577"</f>
        <v>9050577</v>
      </c>
      <c r="K2542">
        <v>2299042463</v>
      </c>
      <c r="L2542">
        <v>2299042463</v>
      </c>
      <c r="M2542" t="s">
        <v>8215</v>
      </c>
      <c r="N2542" t="s">
        <v>8216</v>
      </c>
      <c r="O2542" t="s">
        <v>8217</v>
      </c>
      <c r="P2542">
        <v>19003</v>
      </c>
      <c r="Q2542" t="str">
        <f>"37.828857"</f>
        <v>37.828857</v>
      </c>
      <c r="R2542" t="str">
        <f>"23.967511"</f>
        <v>23.967511</v>
      </c>
      <c r="S2542" t="s">
        <v>26</v>
      </c>
    </row>
    <row r="2543" spans="1:19" x14ac:dyDescent="0.3">
      <c r="A2543" t="s">
        <v>3237</v>
      </c>
      <c r="B2543" t="s">
        <v>7919</v>
      </c>
      <c r="C2543" t="s">
        <v>4004</v>
      </c>
      <c r="D2543" t="s">
        <v>3262</v>
      </c>
      <c r="E2543" t="s">
        <v>3997</v>
      </c>
      <c r="F2543" t="s">
        <v>3998</v>
      </c>
      <c r="G2543" t="s">
        <v>3998</v>
      </c>
      <c r="H2543" t="s">
        <v>868</v>
      </c>
      <c r="I2543" t="s">
        <v>869</v>
      </c>
      <c r="J2543" t="str">
        <f>"9051891"</f>
        <v>9051891</v>
      </c>
      <c r="K2543">
        <v>2291022772</v>
      </c>
      <c r="L2543">
        <v>2291022772</v>
      </c>
      <c r="M2543" t="s">
        <v>8218</v>
      </c>
      <c r="N2543" t="s">
        <v>4001</v>
      </c>
      <c r="O2543" t="s">
        <v>8219</v>
      </c>
      <c r="P2543">
        <v>19010</v>
      </c>
      <c r="Q2543" t="str">
        <f>"37.782169"</f>
        <v>37.782169</v>
      </c>
      <c r="R2543" t="str">
        <f>"23.898893"</f>
        <v>23.898893</v>
      </c>
      <c r="S2543" t="s">
        <v>26</v>
      </c>
    </row>
    <row r="2544" spans="1:19" x14ac:dyDescent="0.3">
      <c r="A2544" t="s">
        <v>3237</v>
      </c>
      <c r="B2544" t="s">
        <v>7919</v>
      </c>
      <c r="C2544" t="s">
        <v>8220</v>
      </c>
      <c r="D2544" t="s">
        <v>3262</v>
      </c>
      <c r="E2544" t="s">
        <v>3263</v>
      </c>
      <c r="F2544" t="s">
        <v>3263</v>
      </c>
      <c r="G2544" t="s">
        <v>3263</v>
      </c>
      <c r="H2544" t="s">
        <v>868</v>
      </c>
      <c r="I2544" t="s">
        <v>869</v>
      </c>
      <c r="J2544" t="str">
        <f>"9051482"</f>
        <v>9051482</v>
      </c>
      <c r="K2544">
        <v>2108973798</v>
      </c>
      <c r="L2544">
        <v>2108973790</v>
      </c>
      <c r="M2544" t="s">
        <v>8221</v>
      </c>
      <c r="N2544" t="s">
        <v>8222</v>
      </c>
      <c r="O2544" t="s">
        <v>8223</v>
      </c>
      <c r="P2544">
        <v>19442</v>
      </c>
      <c r="Q2544" t="str">
        <f>"37.847883"</f>
        <v>37.847883</v>
      </c>
      <c r="R2544" t="str">
        <f>"23.837212"</f>
        <v>23.837212</v>
      </c>
      <c r="S2544" t="s">
        <v>26</v>
      </c>
    </row>
    <row r="2545" spans="1:19" x14ac:dyDescent="0.3">
      <c r="A2545" t="s">
        <v>3237</v>
      </c>
      <c r="B2545" t="s">
        <v>7919</v>
      </c>
      <c r="C2545" t="s">
        <v>4212</v>
      </c>
      <c r="D2545" t="s">
        <v>3262</v>
      </c>
      <c r="E2545" t="s">
        <v>4207</v>
      </c>
      <c r="F2545" t="s">
        <v>4207</v>
      </c>
      <c r="G2545" t="s">
        <v>4207</v>
      </c>
      <c r="H2545" t="s">
        <v>868</v>
      </c>
      <c r="I2545" t="s">
        <v>869</v>
      </c>
      <c r="J2545" t="str">
        <f>"9050936"</f>
        <v>9050936</v>
      </c>
      <c r="K2545">
        <v>2299022190</v>
      </c>
      <c r="L2545">
        <v>2299022190</v>
      </c>
      <c r="M2545" t="s">
        <v>8224</v>
      </c>
      <c r="N2545" t="s">
        <v>4210</v>
      </c>
      <c r="O2545" t="s">
        <v>8225</v>
      </c>
      <c r="P2545">
        <v>19003</v>
      </c>
      <c r="Q2545" t="str">
        <f>"37.882304"</f>
        <v>37.882304</v>
      </c>
      <c r="R2545" t="str">
        <f>"23.939597"</f>
        <v>23.939597</v>
      </c>
      <c r="S2545" t="s">
        <v>26</v>
      </c>
    </row>
    <row r="2546" spans="1:19" x14ac:dyDescent="0.3">
      <c r="A2546" t="s">
        <v>3237</v>
      </c>
      <c r="B2546" t="s">
        <v>7919</v>
      </c>
      <c r="C2546" t="s">
        <v>4188</v>
      </c>
      <c r="D2546" t="s">
        <v>3262</v>
      </c>
      <c r="E2546" t="s">
        <v>3263</v>
      </c>
      <c r="F2546" t="s">
        <v>3263</v>
      </c>
      <c r="G2546" t="s">
        <v>3263</v>
      </c>
      <c r="H2546" t="s">
        <v>868</v>
      </c>
      <c r="I2546" t="s">
        <v>869</v>
      </c>
      <c r="J2546" t="str">
        <f>"9050549"</f>
        <v>9050549</v>
      </c>
      <c r="K2546">
        <v>2106622393</v>
      </c>
      <c r="L2546">
        <v>2106622393</v>
      </c>
      <c r="M2546" t="s">
        <v>8226</v>
      </c>
      <c r="N2546" t="s">
        <v>3266</v>
      </c>
      <c r="O2546" t="s">
        <v>8227</v>
      </c>
      <c r="P2546">
        <v>19400</v>
      </c>
      <c r="Q2546" t="str">
        <f>"37.900952"</f>
        <v>37.900952</v>
      </c>
      <c r="R2546" t="str">
        <f>"23.870624"</f>
        <v>23.870624</v>
      </c>
      <c r="S2546" t="s">
        <v>26</v>
      </c>
    </row>
    <row r="2547" spans="1:19" x14ac:dyDescent="0.3">
      <c r="A2547" t="s">
        <v>3237</v>
      </c>
      <c r="B2547" t="s">
        <v>7919</v>
      </c>
      <c r="C2547" t="s">
        <v>8228</v>
      </c>
      <c r="D2547" t="s">
        <v>3262</v>
      </c>
      <c r="E2547" t="s">
        <v>4207</v>
      </c>
      <c r="F2547" t="s">
        <v>4207</v>
      </c>
      <c r="G2547" t="s">
        <v>4207</v>
      </c>
      <c r="H2547" t="s">
        <v>868</v>
      </c>
      <c r="I2547" t="s">
        <v>869</v>
      </c>
      <c r="J2547" t="str">
        <f>"9050585"</f>
        <v>9050585</v>
      </c>
      <c r="K2547">
        <v>2299025433</v>
      </c>
      <c r="L2547">
        <v>2299305901</v>
      </c>
      <c r="M2547" t="s">
        <v>8229</v>
      </c>
      <c r="N2547" t="s">
        <v>8230</v>
      </c>
      <c r="O2547" t="s">
        <v>8231</v>
      </c>
      <c r="P2547">
        <v>19003</v>
      </c>
      <c r="Q2547" t="str">
        <f>"37.880057"</f>
        <v>37.880057</v>
      </c>
      <c r="R2547" t="str">
        <f>"23.931444"</f>
        <v>23.931444</v>
      </c>
      <c r="S2547" t="s">
        <v>26</v>
      </c>
    </row>
    <row r="2548" spans="1:19" x14ac:dyDescent="0.3">
      <c r="A2548" t="s">
        <v>3237</v>
      </c>
      <c r="B2548" t="s">
        <v>7919</v>
      </c>
      <c r="C2548" t="s">
        <v>8232</v>
      </c>
      <c r="D2548" t="s">
        <v>3262</v>
      </c>
      <c r="E2548" t="s">
        <v>4031</v>
      </c>
      <c r="F2548" t="s">
        <v>4037</v>
      </c>
      <c r="G2548" t="s">
        <v>4037</v>
      </c>
      <c r="H2548" t="s">
        <v>868</v>
      </c>
      <c r="I2548" t="s">
        <v>869</v>
      </c>
      <c r="J2548" t="str">
        <f>"9050545"</f>
        <v>9050545</v>
      </c>
      <c r="K2548">
        <v>2299042390</v>
      </c>
      <c r="L2548">
        <v>2299042390</v>
      </c>
      <c r="M2548" t="s">
        <v>8233</v>
      </c>
      <c r="N2548" t="s">
        <v>8234</v>
      </c>
      <c r="O2548" t="s">
        <v>8235</v>
      </c>
      <c r="P2548">
        <v>19001</v>
      </c>
      <c r="Q2548" t="str">
        <f>"37.801707"</f>
        <v>37.801707</v>
      </c>
      <c r="R2548" t="str">
        <f>"23.982918"</f>
        <v>23.982918</v>
      </c>
      <c r="S2548" t="s">
        <v>26</v>
      </c>
    </row>
    <row r="2549" spans="1:19" x14ac:dyDescent="0.3">
      <c r="A2549" t="s">
        <v>3237</v>
      </c>
      <c r="B2549" t="s">
        <v>7919</v>
      </c>
      <c r="C2549" t="s">
        <v>4066</v>
      </c>
      <c r="D2549" t="s">
        <v>3262</v>
      </c>
      <c r="E2549" t="s">
        <v>4060</v>
      </c>
      <c r="F2549" t="s">
        <v>4061</v>
      </c>
      <c r="G2549" t="s">
        <v>4061</v>
      </c>
      <c r="H2549" t="s">
        <v>868</v>
      </c>
      <c r="I2549" t="s">
        <v>1157</v>
      </c>
      <c r="J2549" t="str">
        <f>"9051525"</f>
        <v>9051525</v>
      </c>
      <c r="K2549">
        <v>2294079518</v>
      </c>
      <c r="L2549">
        <v>2294079724</v>
      </c>
      <c r="M2549" t="s">
        <v>8236</v>
      </c>
      <c r="N2549" t="s">
        <v>4061</v>
      </c>
      <c r="O2549" t="s">
        <v>8237</v>
      </c>
      <c r="P2549">
        <v>19009</v>
      </c>
      <c r="Q2549" t="str">
        <f>"38.026147"</f>
        <v>38.026147</v>
      </c>
      <c r="R2549" t="str">
        <f>"23.973725"</f>
        <v>23.973725</v>
      </c>
      <c r="S2549" t="s">
        <v>26</v>
      </c>
    </row>
    <row r="2550" spans="1:19" x14ac:dyDescent="0.3">
      <c r="A2550" t="s">
        <v>3237</v>
      </c>
      <c r="B2550" t="s">
        <v>7919</v>
      </c>
      <c r="C2550" t="s">
        <v>8238</v>
      </c>
      <c r="D2550" t="s">
        <v>3262</v>
      </c>
      <c r="E2550" t="s">
        <v>4118</v>
      </c>
      <c r="F2550" t="s">
        <v>4119</v>
      </c>
      <c r="G2550" t="s">
        <v>4119</v>
      </c>
      <c r="H2550" t="s">
        <v>868</v>
      </c>
      <c r="I2550" t="s">
        <v>869</v>
      </c>
      <c r="J2550" t="str">
        <f>"9051846"</f>
        <v>9051846</v>
      </c>
      <c r="K2550">
        <v>2106634670</v>
      </c>
      <c r="L2550">
        <v>2106634670</v>
      </c>
      <c r="M2550" t="s">
        <v>8239</v>
      </c>
      <c r="N2550" t="s">
        <v>4122</v>
      </c>
      <c r="O2550" t="s">
        <v>8240</v>
      </c>
      <c r="P2550">
        <v>19004</v>
      </c>
      <c r="Q2550" t="str">
        <f>"37.965739"</f>
        <v>37.965739</v>
      </c>
      <c r="R2550" t="str">
        <f>"23.923884"</f>
        <v>23.923884</v>
      </c>
      <c r="S2550" t="s">
        <v>26</v>
      </c>
    </row>
    <row r="2551" spans="1:19" x14ac:dyDescent="0.3">
      <c r="A2551" t="s">
        <v>3237</v>
      </c>
      <c r="B2551" t="s">
        <v>7919</v>
      </c>
      <c r="C2551" t="s">
        <v>4238</v>
      </c>
      <c r="D2551" t="s">
        <v>3262</v>
      </c>
      <c r="E2551" t="s">
        <v>4031</v>
      </c>
      <c r="F2551" t="s">
        <v>4031</v>
      </c>
      <c r="G2551" t="s">
        <v>4031</v>
      </c>
      <c r="H2551" t="s">
        <v>868</v>
      </c>
      <c r="I2551" t="s">
        <v>869</v>
      </c>
      <c r="J2551" t="str">
        <f>"9050554"</f>
        <v>9050554</v>
      </c>
      <c r="K2551">
        <v>2292025323</v>
      </c>
      <c r="L2551">
        <v>2292025323</v>
      </c>
      <c r="M2551" t="s">
        <v>8244</v>
      </c>
      <c r="N2551" t="s">
        <v>4034</v>
      </c>
      <c r="O2551" t="s">
        <v>8245</v>
      </c>
      <c r="P2551">
        <v>19500</v>
      </c>
      <c r="Q2551" t="str">
        <f>"37.718739"</f>
        <v>37.718739</v>
      </c>
      <c r="R2551" t="str">
        <f>"24.056791"</f>
        <v>24.056791</v>
      </c>
      <c r="S2551" t="s">
        <v>26</v>
      </c>
    </row>
    <row r="2552" spans="1:19" x14ac:dyDescent="0.3">
      <c r="A2552" t="s">
        <v>3237</v>
      </c>
      <c r="B2552" t="s">
        <v>7919</v>
      </c>
      <c r="C2552" t="s">
        <v>8246</v>
      </c>
      <c r="D2552" t="s">
        <v>3262</v>
      </c>
      <c r="E2552" t="s">
        <v>4011</v>
      </c>
      <c r="F2552" t="s">
        <v>4160</v>
      </c>
      <c r="G2552" t="s">
        <v>4160</v>
      </c>
      <c r="H2552" t="s">
        <v>868</v>
      </c>
      <c r="I2552" t="s">
        <v>869</v>
      </c>
      <c r="J2552" t="str">
        <f>"9051338"</f>
        <v>9051338</v>
      </c>
      <c r="K2552">
        <v>2108958209</v>
      </c>
      <c r="L2552">
        <v>2108958201</v>
      </c>
      <c r="M2552" t="s">
        <v>8247</v>
      </c>
      <c r="N2552" t="s">
        <v>4163</v>
      </c>
      <c r="O2552" t="s">
        <v>8248</v>
      </c>
      <c r="P2552">
        <v>16673</v>
      </c>
      <c r="Q2552" t="str">
        <f>"37.854224"</f>
        <v>37.854224</v>
      </c>
      <c r="R2552" t="str">
        <f>"23.779057"</f>
        <v>23.779057</v>
      </c>
      <c r="S2552" t="s">
        <v>26</v>
      </c>
    </row>
    <row r="2553" spans="1:19" x14ac:dyDescent="0.3">
      <c r="A2553" t="s">
        <v>3237</v>
      </c>
      <c r="B2553" t="s">
        <v>7919</v>
      </c>
      <c r="C2553" t="s">
        <v>8249</v>
      </c>
      <c r="D2553" t="s">
        <v>3262</v>
      </c>
      <c r="E2553" t="s">
        <v>4024</v>
      </c>
      <c r="F2553" t="s">
        <v>4024</v>
      </c>
      <c r="G2553" t="s">
        <v>4024</v>
      </c>
      <c r="H2553" t="s">
        <v>868</v>
      </c>
      <c r="I2553" t="s">
        <v>869</v>
      </c>
      <c r="J2553" t="str">
        <f>"9050604"</f>
        <v>9050604</v>
      </c>
      <c r="K2553">
        <v>2106665387</v>
      </c>
      <c r="L2553">
        <v>2106665387</v>
      </c>
      <c r="M2553" t="s">
        <v>8250</v>
      </c>
      <c r="N2553" t="s">
        <v>4352</v>
      </c>
      <c r="O2553" t="s">
        <v>8251</v>
      </c>
      <c r="P2553">
        <v>15351</v>
      </c>
      <c r="Q2553" t="str">
        <f>"38.001651"</f>
        <v>38.001651</v>
      </c>
      <c r="R2553" t="str">
        <f>"23.880692"</f>
        <v>23.880692</v>
      </c>
      <c r="S2553" t="s">
        <v>26</v>
      </c>
    </row>
    <row r="2554" spans="1:19" x14ac:dyDescent="0.3">
      <c r="A2554" t="s">
        <v>3237</v>
      </c>
      <c r="B2554" t="s">
        <v>7919</v>
      </c>
      <c r="C2554" t="s">
        <v>4479</v>
      </c>
      <c r="D2554" t="s">
        <v>3262</v>
      </c>
      <c r="E2554" t="s">
        <v>4024</v>
      </c>
      <c r="F2554" t="s">
        <v>4024</v>
      </c>
      <c r="G2554" t="s">
        <v>4024</v>
      </c>
      <c r="H2554" t="s">
        <v>868</v>
      </c>
      <c r="I2554" t="s">
        <v>869</v>
      </c>
      <c r="J2554" t="str">
        <f>"9051892"</f>
        <v>9051892</v>
      </c>
      <c r="K2554">
        <v>2106030698</v>
      </c>
      <c r="L2554">
        <v>2106030698</v>
      </c>
      <c r="M2554" t="s">
        <v>8252</v>
      </c>
      <c r="N2554" t="s">
        <v>4352</v>
      </c>
      <c r="O2554" t="s">
        <v>8253</v>
      </c>
      <c r="P2554">
        <v>15351</v>
      </c>
      <c r="Q2554" t="str">
        <f>"38.004634"</f>
        <v>38.004634</v>
      </c>
      <c r="R2554" t="str">
        <f>"23.918952"</f>
        <v>23.918952</v>
      </c>
      <c r="S2554" t="s">
        <v>26</v>
      </c>
    </row>
    <row r="2555" spans="1:19" x14ac:dyDescent="0.3">
      <c r="A2555" t="s">
        <v>3237</v>
      </c>
      <c r="B2555" t="s">
        <v>7919</v>
      </c>
      <c r="C2555" t="s">
        <v>4354</v>
      </c>
      <c r="D2555" t="s">
        <v>3262</v>
      </c>
      <c r="E2555" t="s">
        <v>4024</v>
      </c>
      <c r="F2555" t="s">
        <v>4024</v>
      </c>
      <c r="G2555" t="s">
        <v>4024</v>
      </c>
      <c r="H2555" t="s">
        <v>868</v>
      </c>
      <c r="I2555" t="s">
        <v>869</v>
      </c>
      <c r="J2555" t="str">
        <f>"9051483"</f>
        <v>9051483</v>
      </c>
      <c r="K2555">
        <v>2106666287</v>
      </c>
      <c r="L2555">
        <v>2106666287</v>
      </c>
      <c r="M2555" t="s">
        <v>8254</v>
      </c>
      <c r="N2555" t="s">
        <v>4352</v>
      </c>
      <c r="O2555" t="s">
        <v>8255</v>
      </c>
      <c r="P2555">
        <v>15351</v>
      </c>
      <c r="Q2555" t="str">
        <f>"38.004859"</f>
        <v>38.004859</v>
      </c>
      <c r="R2555" t="str">
        <f>"23.886159"</f>
        <v>23.886159</v>
      </c>
      <c r="S2555" t="s">
        <v>26</v>
      </c>
    </row>
    <row r="2556" spans="1:19" x14ac:dyDescent="0.3">
      <c r="A2556" t="s">
        <v>3237</v>
      </c>
      <c r="B2556" t="s">
        <v>7919</v>
      </c>
      <c r="C2556" t="s">
        <v>4174</v>
      </c>
      <c r="D2556" t="s">
        <v>3262</v>
      </c>
      <c r="E2556" t="s">
        <v>4024</v>
      </c>
      <c r="F2556" t="s">
        <v>2199</v>
      </c>
      <c r="G2556" t="s">
        <v>2199</v>
      </c>
      <c r="H2556" t="s">
        <v>868</v>
      </c>
      <c r="I2556" t="s">
        <v>869</v>
      </c>
      <c r="J2556" t="str">
        <f>"9521010"</f>
        <v>9521010</v>
      </c>
      <c r="K2556">
        <v>2106618279</v>
      </c>
      <c r="L2556">
        <v>2106618279</v>
      </c>
      <c r="M2556" t="s">
        <v>8256</v>
      </c>
      <c r="N2556" t="s">
        <v>4172</v>
      </c>
      <c r="O2556" t="s">
        <v>8257</v>
      </c>
      <c r="P2556">
        <v>15344</v>
      </c>
      <c r="Q2556" t="str">
        <f>"38.016088"</f>
        <v>38.016088</v>
      </c>
      <c r="R2556" t="str">
        <f>"23.856353"</f>
        <v>23.856353</v>
      </c>
      <c r="S2556" t="s">
        <v>26</v>
      </c>
    </row>
    <row r="2557" spans="1:19" x14ac:dyDescent="0.3">
      <c r="A2557" t="s">
        <v>3237</v>
      </c>
      <c r="B2557" t="s">
        <v>7919</v>
      </c>
      <c r="C2557" t="s">
        <v>4025</v>
      </c>
      <c r="D2557" t="s">
        <v>3262</v>
      </c>
      <c r="E2557" t="s">
        <v>4019</v>
      </c>
      <c r="F2557" t="s">
        <v>4019</v>
      </c>
      <c r="G2557" t="s">
        <v>4019</v>
      </c>
      <c r="H2557" t="s">
        <v>868</v>
      </c>
      <c r="I2557" t="s">
        <v>869</v>
      </c>
      <c r="J2557" t="str">
        <f>"9050580"</f>
        <v>9050580</v>
      </c>
      <c r="K2557">
        <v>2294066311</v>
      </c>
      <c r="L2557">
        <v>2294067005</v>
      </c>
      <c r="M2557" t="s">
        <v>8274</v>
      </c>
      <c r="N2557" t="s">
        <v>8275</v>
      </c>
      <c r="O2557" t="s">
        <v>8276</v>
      </c>
      <c r="P2557">
        <v>19007</v>
      </c>
      <c r="Q2557" t="str">
        <f>"38.158755"</f>
        <v>38.158755</v>
      </c>
      <c r="R2557" t="str">
        <f>"23.956627"</f>
        <v>23.956627</v>
      </c>
      <c r="S2557" t="s">
        <v>26</v>
      </c>
    </row>
    <row r="2558" spans="1:19" x14ac:dyDescent="0.3">
      <c r="A2558" t="s">
        <v>3237</v>
      </c>
      <c r="B2558" t="s">
        <v>7919</v>
      </c>
      <c r="C2558" t="s">
        <v>4165</v>
      </c>
      <c r="D2558" t="s">
        <v>3262</v>
      </c>
      <c r="E2558" t="s">
        <v>4011</v>
      </c>
      <c r="F2558" t="s">
        <v>4160</v>
      </c>
      <c r="G2558" t="s">
        <v>4160</v>
      </c>
      <c r="H2558" t="s">
        <v>868</v>
      </c>
      <c r="I2558" t="s">
        <v>869</v>
      </c>
      <c r="J2558" t="str">
        <f>"9050194"</f>
        <v>9050194</v>
      </c>
      <c r="K2558">
        <v>2108951272</v>
      </c>
      <c r="M2558" t="s">
        <v>8282</v>
      </c>
      <c r="N2558" t="s">
        <v>4163</v>
      </c>
      <c r="O2558" t="s">
        <v>8283</v>
      </c>
      <c r="P2558">
        <v>16673</v>
      </c>
      <c r="Q2558" t="str">
        <f>"37.849819"</f>
        <v>37.849819</v>
      </c>
      <c r="R2558" t="str">
        <f>"23.763678"</f>
        <v>23.763678</v>
      </c>
      <c r="S2558" t="s">
        <v>26</v>
      </c>
    </row>
    <row r="2559" spans="1:19" x14ac:dyDescent="0.3">
      <c r="A2559" t="s">
        <v>3237</v>
      </c>
      <c r="B2559" t="s">
        <v>7919</v>
      </c>
      <c r="C2559" t="s">
        <v>8288</v>
      </c>
      <c r="D2559" t="s">
        <v>3262</v>
      </c>
      <c r="E2559" t="s">
        <v>4019</v>
      </c>
      <c r="F2559" t="s">
        <v>4054</v>
      </c>
      <c r="G2559" t="s">
        <v>4054</v>
      </c>
      <c r="H2559" t="s">
        <v>868</v>
      </c>
      <c r="I2559" t="s">
        <v>869</v>
      </c>
      <c r="J2559" t="str">
        <f>"9050548"</f>
        <v>9050548</v>
      </c>
      <c r="K2559">
        <v>2294091028</v>
      </c>
      <c r="L2559">
        <v>2294095635</v>
      </c>
      <c r="M2559" t="s">
        <v>8289</v>
      </c>
      <c r="N2559" t="s">
        <v>8290</v>
      </c>
      <c r="O2559" t="s">
        <v>8281</v>
      </c>
      <c r="P2559">
        <v>19005</v>
      </c>
      <c r="Q2559" t="str">
        <f>"38.061642"</f>
        <v>38.061642</v>
      </c>
      <c r="R2559" t="str">
        <f>"23.983093"</f>
        <v>23.983093</v>
      </c>
      <c r="S2559" t="s">
        <v>26</v>
      </c>
    </row>
    <row r="2560" spans="1:19" x14ac:dyDescent="0.3">
      <c r="A2560" t="s">
        <v>3237</v>
      </c>
      <c r="B2560" t="s">
        <v>7919</v>
      </c>
      <c r="C2560" t="s">
        <v>8292</v>
      </c>
      <c r="D2560" t="s">
        <v>3262</v>
      </c>
      <c r="E2560" t="s">
        <v>4067</v>
      </c>
      <c r="F2560" t="s">
        <v>8291</v>
      </c>
      <c r="G2560" t="s">
        <v>8291</v>
      </c>
      <c r="H2560" t="s">
        <v>868</v>
      </c>
      <c r="I2560" t="s">
        <v>869</v>
      </c>
      <c r="J2560" t="str">
        <f>"9050295"</f>
        <v>9050295</v>
      </c>
      <c r="K2560">
        <v>2295071947</v>
      </c>
      <c r="M2560" t="s">
        <v>8293</v>
      </c>
      <c r="N2560" t="s">
        <v>8294</v>
      </c>
      <c r="O2560" t="s">
        <v>8295</v>
      </c>
      <c r="P2560">
        <v>19015</v>
      </c>
      <c r="Q2560" t="str">
        <f>"38.305273"</f>
        <v>38.305273</v>
      </c>
      <c r="R2560" t="str">
        <f>"23.732749"</f>
        <v>23.732749</v>
      </c>
      <c r="S2560" t="s">
        <v>26</v>
      </c>
    </row>
    <row r="2561" spans="1:19" x14ac:dyDescent="0.3">
      <c r="A2561" t="s">
        <v>3237</v>
      </c>
      <c r="B2561" t="s">
        <v>7919</v>
      </c>
      <c r="C2561" t="s">
        <v>4074</v>
      </c>
      <c r="D2561" t="s">
        <v>3262</v>
      </c>
      <c r="E2561" t="s">
        <v>4067</v>
      </c>
      <c r="F2561" t="s">
        <v>4068</v>
      </c>
      <c r="G2561" t="s">
        <v>4068</v>
      </c>
      <c r="H2561" t="s">
        <v>868</v>
      </c>
      <c r="I2561" t="s">
        <v>869</v>
      </c>
      <c r="J2561" t="str">
        <f>"9520570"</f>
        <v>9520570</v>
      </c>
      <c r="K2561">
        <v>2295029925</v>
      </c>
      <c r="L2561">
        <v>2295029925</v>
      </c>
      <c r="M2561" t="s">
        <v>8296</v>
      </c>
      <c r="N2561" t="s">
        <v>8297</v>
      </c>
      <c r="O2561" t="s">
        <v>8298</v>
      </c>
      <c r="P2561">
        <v>19011</v>
      </c>
      <c r="Q2561" t="str">
        <f>"38.248887"</f>
        <v>38.248887</v>
      </c>
      <c r="R2561" t="str">
        <f>"23.718060"</f>
        <v>23.718060</v>
      </c>
      <c r="S2561" t="s">
        <v>26</v>
      </c>
    </row>
    <row r="2562" spans="1:19" x14ac:dyDescent="0.3">
      <c r="A2562" t="s">
        <v>3237</v>
      </c>
      <c r="B2562" t="s">
        <v>7919</v>
      </c>
      <c r="C2562" t="s">
        <v>4124</v>
      </c>
      <c r="D2562" t="s">
        <v>3262</v>
      </c>
      <c r="E2562" t="s">
        <v>4118</v>
      </c>
      <c r="F2562" t="s">
        <v>4119</v>
      </c>
      <c r="G2562" t="s">
        <v>4119</v>
      </c>
      <c r="H2562" t="s">
        <v>868</v>
      </c>
      <c r="I2562" t="s">
        <v>869</v>
      </c>
      <c r="J2562" t="str">
        <f>"9050562"</f>
        <v>9050562</v>
      </c>
      <c r="K2562">
        <v>2106632221</v>
      </c>
      <c r="L2562">
        <v>2106632211</v>
      </c>
      <c r="M2562" t="s">
        <v>8299</v>
      </c>
      <c r="N2562" t="s">
        <v>4122</v>
      </c>
      <c r="O2562" t="s">
        <v>8300</v>
      </c>
      <c r="P2562">
        <v>19004</v>
      </c>
      <c r="Q2562" t="str">
        <f>"37.959970"</f>
        <v>37.959970</v>
      </c>
      <c r="R2562" t="str">
        <f>"23.914676"</f>
        <v>23.914676</v>
      </c>
      <c r="S2562" t="s">
        <v>26</v>
      </c>
    </row>
    <row r="2563" spans="1:19" x14ac:dyDescent="0.3">
      <c r="A2563" t="s">
        <v>3237</v>
      </c>
      <c r="B2563" t="s">
        <v>7919</v>
      </c>
      <c r="C2563" t="s">
        <v>8301</v>
      </c>
      <c r="D2563" t="s">
        <v>3262</v>
      </c>
      <c r="E2563" t="s">
        <v>4118</v>
      </c>
      <c r="F2563" t="s">
        <v>4248</v>
      </c>
      <c r="G2563" t="s">
        <v>4249</v>
      </c>
      <c r="H2563" t="s">
        <v>868</v>
      </c>
      <c r="I2563" t="s">
        <v>869</v>
      </c>
      <c r="J2563" t="str">
        <f>"9051733"</f>
        <v>9051733</v>
      </c>
      <c r="K2563">
        <v>2294048000</v>
      </c>
      <c r="L2563">
        <v>2294048888</v>
      </c>
      <c r="M2563" t="s">
        <v>8302</v>
      </c>
      <c r="N2563" t="s">
        <v>4252</v>
      </c>
      <c r="O2563" t="s">
        <v>8303</v>
      </c>
      <c r="P2563">
        <v>19016</v>
      </c>
      <c r="Q2563" t="str">
        <f>"37.942430"</f>
        <v>37.942430</v>
      </c>
      <c r="R2563" t="str">
        <f>"24.006405"</f>
        <v>24.006405</v>
      </c>
      <c r="S2563" t="s">
        <v>26</v>
      </c>
    </row>
    <row r="2564" spans="1:19" x14ac:dyDescent="0.3">
      <c r="A2564" t="s">
        <v>3237</v>
      </c>
      <c r="B2564" t="s">
        <v>7919</v>
      </c>
      <c r="C2564" t="s">
        <v>8304</v>
      </c>
      <c r="D2564" t="s">
        <v>3262</v>
      </c>
      <c r="E2564" t="s">
        <v>4031</v>
      </c>
      <c r="F2564" t="s">
        <v>4037</v>
      </c>
      <c r="G2564" t="s">
        <v>4037</v>
      </c>
      <c r="H2564" t="s">
        <v>868</v>
      </c>
      <c r="I2564" t="s">
        <v>869</v>
      </c>
      <c r="J2564" t="str">
        <f>"9050543"</f>
        <v>9050543</v>
      </c>
      <c r="K2564">
        <v>2299069310</v>
      </c>
      <c r="L2564">
        <v>2299069317</v>
      </c>
      <c r="M2564" t="s">
        <v>8305</v>
      </c>
      <c r="N2564" t="s">
        <v>4040</v>
      </c>
      <c r="O2564" t="s">
        <v>8306</v>
      </c>
      <c r="P2564">
        <v>19001</v>
      </c>
      <c r="Q2564" t="str">
        <f>"37.809689"</f>
        <v>37.809689</v>
      </c>
      <c r="R2564" t="str">
        <f>"23.975224"</f>
        <v>23.975224</v>
      </c>
      <c r="S2564" t="s">
        <v>26</v>
      </c>
    </row>
    <row r="2565" spans="1:19" x14ac:dyDescent="0.3">
      <c r="A2565" t="s">
        <v>3237</v>
      </c>
      <c r="B2565" t="s">
        <v>7919</v>
      </c>
      <c r="C2565" t="s">
        <v>4103</v>
      </c>
      <c r="D2565" t="s">
        <v>3262</v>
      </c>
      <c r="E2565" t="s">
        <v>4060</v>
      </c>
      <c r="F2565" t="s">
        <v>4061</v>
      </c>
      <c r="G2565" t="s">
        <v>4061</v>
      </c>
      <c r="H2565" t="s">
        <v>868</v>
      </c>
      <c r="I2565" t="s">
        <v>869</v>
      </c>
      <c r="J2565" t="str">
        <f>"9050609"</f>
        <v>9050609</v>
      </c>
      <c r="K2565">
        <v>2294076222</v>
      </c>
      <c r="L2565">
        <v>2294076222</v>
      </c>
      <c r="M2565" t="s">
        <v>8310</v>
      </c>
      <c r="N2565" t="s">
        <v>4064</v>
      </c>
      <c r="O2565" t="s">
        <v>8311</v>
      </c>
      <c r="P2565">
        <v>19009</v>
      </c>
      <c r="Q2565" t="str">
        <f>"38.021253"</f>
        <v>38.021253</v>
      </c>
      <c r="R2565" t="str">
        <f>"23.982712"</f>
        <v>23.982712</v>
      </c>
      <c r="S2565" t="s">
        <v>26</v>
      </c>
    </row>
    <row r="2566" spans="1:19" x14ac:dyDescent="0.3">
      <c r="A2566" t="s">
        <v>3237</v>
      </c>
      <c r="B2566" t="s">
        <v>7919</v>
      </c>
      <c r="C2566" t="s">
        <v>4536</v>
      </c>
      <c r="D2566" t="s">
        <v>3262</v>
      </c>
      <c r="E2566" t="s">
        <v>4060</v>
      </c>
      <c r="F2566" t="s">
        <v>4061</v>
      </c>
      <c r="G2566" t="s">
        <v>4061</v>
      </c>
      <c r="H2566" t="s">
        <v>868</v>
      </c>
      <c r="I2566" t="s">
        <v>869</v>
      </c>
      <c r="J2566" t="str">
        <f>"9051907"</f>
        <v>9051907</v>
      </c>
      <c r="K2566">
        <v>2294078534</v>
      </c>
      <c r="L2566">
        <v>2294078534</v>
      </c>
      <c r="M2566" t="s">
        <v>8422</v>
      </c>
      <c r="N2566" t="s">
        <v>4064</v>
      </c>
      <c r="O2566" t="s">
        <v>8423</v>
      </c>
      <c r="P2566">
        <v>19009</v>
      </c>
      <c r="Q2566" t="str">
        <f>"38.027364"</f>
        <v>38.027364</v>
      </c>
      <c r="R2566" t="str">
        <f>"23.996361"</f>
        <v>23.996361</v>
      </c>
      <c r="S2566" t="s">
        <v>26</v>
      </c>
    </row>
    <row r="2567" spans="1:19" x14ac:dyDescent="0.3">
      <c r="A2567" t="s">
        <v>3237</v>
      </c>
      <c r="B2567" t="s">
        <v>7919</v>
      </c>
      <c r="C2567" t="s">
        <v>4311</v>
      </c>
      <c r="D2567" t="s">
        <v>3262</v>
      </c>
      <c r="E2567" t="s">
        <v>4043</v>
      </c>
      <c r="F2567" t="s">
        <v>4179</v>
      </c>
      <c r="G2567" t="s">
        <v>4179</v>
      </c>
      <c r="H2567" t="s">
        <v>868</v>
      </c>
      <c r="I2567" t="s">
        <v>869</v>
      </c>
      <c r="J2567" t="str">
        <f>"9050263"</f>
        <v>9050263</v>
      </c>
      <c r="K2567">
        <v>2108143103</v>
      </c>
      <c r="L2567">
        <v>2108143103</v>
      </c>
      <c r="M2567" t="s">
        <v>8434</v>
      </c>
      <c r="N2567" t="s">
        <v>4182</v>
      </c>
      <c r="O2567" t="s">
        <v>8435</v>
      </c>
      <c r="P2567">
        <v>14569</v>
      </c>
      <c r="Q2567" t="str">
        <f>"38.133105"</f>
        <v>38.133105</v>
      </c>
      <c r="R2567" t="str">
        <f>"23.859965"</f>
        <v>23.859965</v>
      </c>
      <c r="S2567" t="s">
        <v>26</v>
      </c>
    </row>
    <row r="2568" spans="1:19" x14ac:dyDescent="0.3">
      <c r="A2568" t="s">
        <v>3237</v>
      </c>
      <c r="B2568" t="s">
        <v>7919</v>
      </c>
      <c r="C2568" t="s">
        <v>8436</v>
      </c>
      <c r="D2568" t="s">
        <v>3262</v>
      </c>
      <c r="E2568" t="s">
        <v>4118</v>
      </c>
      <c r="F2568" t="s">
        <v>4119</v>
      </c>
      <c r="G2568" t="s">
        <v>4119</v>
      </c>
      <c r="H2568" t="s">
        <v>868</v>
      </c>
      <c r="I2568" t="s">
        <v>869</v>
      </c>
      <c r="J2568" t="str">
        <f>"9050564"</f>
        <v>9050564</v>
      </c>
      <c r="K2568">
        <v>2106632303</v>
      </c>
      <c r="L2568">
        <v>2106632303</v>
      </c>
      <c r="M2568" t="s">
        <v>8437</v>
      </c>
      <c r="N2568" t="s">
        <v>8438</v>
      </c>
      <c r="O2568" t="s">
        <v>8439</v>
      </c>
      <c r="P2568">
        <v>19004</v>
      </c>
      <c r="Q2568" t="str">
        <f>"37.964908"</f>
        <v>37.964908</v>
      </c>
      <c r="R2568" t="str">
        <f>"23.912305"</f>
        <v>23.912305</v>
      </c>
      <c r="S2568" t="s">
        <v>26</v>
      </c>
    </row>
    <row r="2569" spans="1:19" x14ac:dyDescent="0.3">
      <c r="A2569" t="s">
        <v>3237</v>
      </c>
      <c r="B2569" t="s">
        <v>7919</v>
      </c>
      <c r="C2569" t="s">
        <v>4150</v>
      </c>
      <c r="D2569" t="s">
        <v>3262</v>
      </c>
      <c r="E2569" t="s">
        <v>4043</v>
      </c>
      <c r="F2569" t="s">
        <v>2808</v>
      </c>
      <c r="G2569" t="s">
        <v>2808</v>
      </c>
      <c r="H2569" t="s">
        <v>868</v>
      </c>
      <c r="I2569" t="s">
        <v>869</v>
      </c>
      <c r="J2569" t="str">
        <f>"9050275"</f>
        <v>9050275</v>
      </c>
      <c r="K2569">
        <v>2108133772</v>
      </c>
      <c r="M2569" t="s">
        <v>8440</v>
      </c>
      <c r="N2569" t="s">
        <v>2805</v>
      </c>
      <c r="O2569" t="s">
        <v>8441</v>
      </c>
      <c r="P2569">
        <v>14572</v>
      </c>
      <c r="Q2569" t="str">
        <f>"38.116150"</f>
        <v>38.116150</v>
      </c>
      <c r="R2569" t="str">
        <f>"23.864130"</f>
        <v>23.864130</v>
      </c>
      <c r="S2569" t="s">
        <v>26</v>
      </c>
    </row>
    <row r="2570" spans="1:19" x14ac:dyDescent="0.3">
      <c r="A2570" t="s">
        <v>3237</v>
      </c>
      <c r="B2570" t="s">
        <v>7919</v>
      </c>
      <c r="C2570" t="s">
        <v>4300</v>
      </c>
      <c r="D2570" t="s">
        <v>3262</v>
      </c>
      <c r="E2570" t="s">
        <v>4024</v>
      </c>
      <c r="F2570" t="s">
        <v>2199</v>
      </c>
      <c r="G2570" t="s">
        <v>2199</v>
      </c>
      <c r="H2570" t="s">
        <v>868</v>
      </c>
      <c r="I2570" t="s">
        <v>869</v>
      </c>
      <c r="J2570" t="str">
        <f>"9051847"</f>
        <v>9051847</v>
      </c>
      <c r="K2570">
        <v>2106612479</v>
      </c>
      <c r="L2570">
        <v>2106615979</v>
      </c>
      <c r="M2570" t="s">
        <v>8495</v>
      </c>
      <c r="N2570" t="s">
        <v>4172</v>
      </c>
      <c r="O2570" t="s">
        <v>7977</v>
      </c>
      <c r="P2570">
        <v>15344</v>
      </c>
      <c r="Q2570" t="str">
        <f>"38.012647"</f>
        <v>38.012647</v>
      </c>
      <c r="R2570" t="str">
        <f>"23.846273"</f>
        <v>23.846273</v>
      </c>
      <c r="S2570" t="s">
        <v>26</v>
      </c>
    </row>
    <row r="2571" spans="1:19" x14ac:dyDescent="0.3">
      <c r="A2571" t="s">
        <v>3237</v>
      </c>
      <c r="B2571" t="s">
        <v>7919</v>
      </c>
      <c r="C2571" t="s">
        <v>8499</v>
      </c>
      <c r="D2571" t="s">
        <v>3262</v>
      </c>
      <c r="E2571" t="s">
        <v>3997</v>
      </c>
      <c r="F2571" t="s">
        <v>4516</v>
      </c>
      <c r="G2571" t="s">
        <v>4516</v>
      </c>
      <c r="H2571" t="s">
        <v>868</v>
      </c>
      <c r="I2571" t="s">
        <v>869</v>
      </c>
      <c r="J2571" t="str">
        <f>"9050938"</f>
        <v>9050938</v>
      </c>
      <c r="K2571">
        <v>2291053480</v>
      </c>
      <c r="L2571">
        <v>2291053480</v>
      </c>
      <c r="M2571" t="s">
        <v>8500</v>
      </c>
      <c r="N2571" t="s">
        <v>8501</v>
      </c>
      <c r="O2571" t="s">
        <v>8502</v>
      </c>
      <c r="P2571">
        <v>19013</v>
      </c>
      <c r="Q2571" t="str">
        <f>"37.749724"</f>
        <v>37.749724</v>
      </c>
      <c r="R2571" t="str">
        <f>"23.912434"</f>
        <v>23.912434</v>
      </c>
      <c r="S2571" t="s">
        <v>26</v>
      </c>
    </row>
    <row r="2572" spans="1:19" x14ac:dyDescent="0.3">
      <c r="A2572" t="s">
        <v>3237</v>
      </c>
      <c r="B2572" t="s">
        <v>7919</v>
      </c>
      <c r="C2572" t="s">
        <v>8503</v>
      </c>
      <c r="D2572" t="s">
        <v>3262</v>
      </c>
      <c r="E2572" t="s">
        <v>3997</v>
      </c>
      <c r="F2572" t="s">
        <v>8270</v>
      </c>
      <c r="G2572" t="s">
        <v>8270</v>
      </c>
      <c r="H2572" t="s">
        <v>868</v>
      </c>
      <c r="I2572" t="s">
        <v>869</v>
      </c>
      <c r="J2572" t="str">
        <f>"9050601"</f>
        <v>9050601</v>
      </c>
      <c r="K2572">
        <v>2291036283</v>
      </c>
      <c r="L2572">
        <v>2291036283</v>
      </c>
      <c r="M2572" t="s">
        <v>8504</v>
      </c>
      <c r="N2572" t="s">
        <v>8505</v>
      </c>
      <c r="O2572" t="s">
        <v>8506</v>
      </c>
      <c r="P2572">
        <v>19013</v>
      </c>
      <c r="Q2572" t="str">
        <f>"37.718877"</f>
        <v>37.718877</v>
      </c>
      <c r="R2572" t="str">
        <f>"23.949029"</f>
        <v>23.949029</v>
      </c>
      <c r="S2572" t="s">
        <v>26</v>
      </c>
    </row>
    <row r="2573" spans="1:19" x14ac:dyDescent="0.3">
      <c r="A2573" t="s">
        <v>3237</v>
      </c>
      <c r="B2573" t="s">
        <v>7919</v>
      </c>
      <c r="C2573" t="s">
        <v>4444</v>
      </c>
      <c r="D2573" t="s">
        <v>3262</v>
      </c>
      <c r="E2573" t="s">
        <v>4011</v>
      </c>
      <c r="F2573" t="s">
        <v>4112</v>
      </c>
      <c r="G2573" t="s">
        <v>4112</v>
      </c>
      <c r="H2573" t="s">
        <v>868</v>
      </c>
      <c r="I2573" t="s">
        <v>869</v>
      </c>
      <c r="J2573" t="str">
        <f>"9050928"</f>
        <v>9050928</v>
      </c>
      <c r="K2573">
        <v>2108955154</v>
      </c>
      <c r="L2573">
        <v>2108955154</v>
      </c>
      <c r="M2573" t="s">
        <v>8507</v>
      </c>
      <c r="N2573" t="s">
        <v>8508</v>
      </c>
      <c r="O2573" t="s">
        <v>8509</v>
      </c>
      <c r="P2573">
        <v>16672</v>
      </c>
      <c r="Q2573" t="str">
        <f>"37.836581"</f>
        <v>37.836581</v>
      </c>
      <c r="R2573" t="str">
        <f>"23.789089"</f>
        <v>23.789089</v>
      </c>
      <c r="S2573" t="s">
        <v>26</v>
      </c>
    </row>
    <row r="2574" spans="1:19" x14ac:dyDescent="0.3">
      <c r="A2574" t="s">
        <v>3237</v>
      </c>
      <c r="B2574" t="s">
        <v>7919</v>
      </c>
      <c r="C2574" t="s">
        <v>8510</v>
      </c>
      <c r="D2574" t="s">
        <v>3262</v>
      </c>
      <c r="E2574" t="s">
        <v>4011</v>
      </c>
      <c r="F2574" t="s">
        <v>4112</v>
      </c>
      <c r="G2574" t="s">
        <v>4112</v>
      </c>
      <c r="H2574" t="s">
        <v>868</v>
      </c>
      <c r="I2574" t="s">
        <v>869</v>
      </c>
      <c r="J2574" t="str">
        <f>"9520737"</f>
        <v>9520737</v>
      </c>
      <c r="K2574">
        <v>2108970804</v>
      </c>
      <c r="L2574">
        <v>2108970804</v>
      </c>
      <c r="M2574" t="s">
        <v>8511</v>
      </c>
      <c r="N2574" t="s">
        <v>4144</v>
      </c>
      <c r="O2574" t="s">
        <v>8512</v>
      </c>
      <c r="P2574">
        <v>16672</v>
      </c>
      <c r="Q2574" t="str">
        <f>"37.824946"</f>
        <v>37.824946</v>
      </c>
      <c r="R2574" t="str">
        <f>"23.803726"</f>
        <v>23.803726</v>
      </c>
      <c r="S2574" t="s">
        <v>26</v>
      </c>
    </row>
    <row r="2575" spans="1:19" x14ac:dyDescent="0.3">
      <c r="A2575" t="s">
        <v>3237</v>
      </c>
      <c r="B2575" t="s">
        <v>7919</v>
      </c>
      <c r="C2575" t="s">
        <v>4495</v>
      </c>
      <c r="D2575" t="s">
        <v>3262</v>
      </c>
      <c r="E2575" t="s">
        <v>4207</v>
      </c>
      <c r="F2575" t="s">
        <v>4207</v>
      </c>
      <c r="G2575" t="s">
        <v>4207</v>
      </c>
      <c r="H2575" t="s">
        <v>868</v>
      </c>
      <c r="I2575" t="s">
        <v>869</v>
      </c>
      <c r="J2575" t="str">
        <f>"9520908"</f>
        <v>9520908</v>
      </c>
      <c r="K2575">
        <v>2299072949</v>
      </c>
      <c r="L2575">
        <v>2299072405</v>
      </c>
      <c r="M2575" t="s">
        <v>8513</v>
      </c>
      <c r="N2575" t="s">
        <v>4541</v>
      </c>
      <c r="O2575" t="s">
        <v>8514</v>
      </c>
      <c r="P2575">
        <v>19023</v>
      </c>
      <c r="Q2575" t="str">
        <f>"37.884656"</f>
        <v>37.884656</v>
      </c>
      <c r="R2575" t="str">
        <f>"24.012362"</f>
        <v>24.012362</v>
      </c>
      <c r="S2575" t="s">
        <v>26</v>
      </c>
    </row>
    <row r="2576" spans="1:19" x14ac:dyDescent="0.3">
      <c r="A2576" t="s">
        <v>3237</v>
      </c>
      <c r="B2576" t="s">
        <v>7919</v>
      </c>
      <c r="C2576" t="s">
        <v>8515</v>
      </c>
      <c r="D2576" t="s">
        <v>3262</v>
      </c>
      <c r="E2576" t="s">
        <v>3997</v>
      </c>
      <c r="F2576" t="s">
        <v>3998</v>
      </c>
      <c r="G2576" t="s">
        <v>3998</v>
      </c>
      <c r="H2576" t="s">
        <v>868</v>
      </c>
      <c r="I2576" t="s">
        <v>869</v>
      </c>
      <c r="J2576" t="str">
        <f>"9051858"</f>
        <v>9051858</v>
      </c>
      <c r="K2576">
        <v>2299047927</v>
      </c>
      <c r="L2576">
        <v>2299047927</v>
      </c>
      <c r="M2576" t="s">
        <v>8516</v>
      </c>
      <c r="N2576" t="s">
        <v>2921</v>
      </c>
      <c r="O2576" t="s">
        <v>8517</v>
      </c>
      <c r="P2576">
        <v>19010</v>
      </c>
      <c r="Q2576" t="str">
        <f>"37.840071"</f>
        <v>37.840071</v>
      </c>
      <c r="R2576" t="str">
        <f>"23.926522"</f>
        <v>23.926522</v>
      </c>
      <c r="S2576" t="s">
        <v>26</v>
      </c>
    </row>
    <row r="2577" spans="1:19" x14ac:dyDescent="0.3">
      <c r="A2577" t="s">
        <v>3237</v>
      </c>
      <c r="B2577" t="s">
        <v>7919</v>
      </c>
      <c r="C2577" t="s">
        <v>4036</v>
      </c>
      <c r="D2577" t="s">
        <v>3262</v>
      </c>
      <c r="E2577" t="s">
        <v>4031</v>
      </c>
      <c r="F2577" t="s">
        <v>4031</v>
      </c>
      <c r="G2577" t="s">
        <v>4031</v>
      </c>
      <c r="H2577" t="s">
        <v>868</v>
      </c>
      <c r="I2577" t="s">
        <v>869</v>
      </c>
      <c r="J2577" t="str">
        <f>"9050558"</f>
        <v>9050558</v>
      </c>
      <c r="K2577">
        <v>2292025610</v>
      </c>
      <c r="L2577">
        <v>2292025610</v>
      </c>
      <c r="M2577" t="s">
        <v>8519</v>
      </c>
      <c r="N2577" t="s">
        <v>4034</v>
      </c>
      <c r="O2577" t="s">
        <v>8520</v>
      </c>
      <c r="P2577">
        <v>19500</v>
      </c>
      <c r="Q2577" t="str">
        <f>"37.719830"</f>
        <v>37.719830</v>
      </c>
      <c r="R2577" t="str">
        <f>"24.053371"</f>
        <v>24.053371</v>
      </c>
      <c r="S2577" t="s">
        <v>26</v>
      </c>
    </row>
    <row r="2578" spans="1:19" x14ac:dyDescent="0.3">
      <c r="A2578" t="s">
        <v>3237</v>
      </c>
      <c r="B2578" t="s">
        <v>7919</v>
      </c>
      <c r="C2578" t="s">
        <v>8524</v>
      </c>
      <c r="D2578" t="s">
        <v>3262</v>
      </c>
      <c r="E2578" t="s">
        <v>4031</v>
      </c>
      <c r="F2578" t="s">
        <v>4037</v>
      </c>
      <c r="G2578" t="s">
        <v>4037</v>
      </c>
      <c r="H2578" t="s">
        <v>868</v>
      </c>
      <c r="I2578" t="s">
        <v>869</v>
      </c>
      <c r="J2578" t="str">
        <f>"9050937"</f>
        <v>9050937</v>
      </c>
      <c r="K2578">
        <v>2299068215</v>
      </c>
      <c r="L2578">
        <v>2299042979</v>
      </c>
      <c r="M2578" t="s">
        <v>8525</v>
      </c>
      <c r="N2578" t="s">
        <v>4040</v>
      </c>
      <c r="O2578" t="s">
        <v>8526</v>
      </c>
      <c r="P2578">
        <v>19001</v>
      </c>
      <c r="Q2578" t="str">
        <f>"37.806818"</f>
        <v>37.806818</v>
      </c>
      <c r="R2578" t="str">
        <f>"23.978021"</f>
        <v>23.978021</v>
      </c>
      <c r="S2578" t="s">
        <v>26</v>
      </c>
    </row>
    <row r="2579" spans="1:19" x14ac:dyDescent="0.3">
      <c r="A2579" t="s">
        <v>3237</v>
      </c>
      <c r="B2579" t="s">
        <v>7919</v>
      </c>
      <c r="C2579" t="s">
        <v>4276</v>
      </c>
      <c r="D2579" t="s">
        <v>3262</v>
      </c>
      <c r="E2579" t="s">
        <v>4067</v>
      </c>
      <c r="F2579" t="s">
        <v>4262</v>
      </c>
      <c r="G2579" t="s">
        <v>8468</v>
      </c>
      <c r="H2579" t="s">
        <v>868</v>
      </c>
      <c r="I2579" t="s">
        <v>869</v>
      </c>
      <c r="J2579" t="str">
        <f>"9050290"</f>
        <v>9050290</v>
      </c>
      <c r="K2579">
        <v>2295032232</v>
      </c>
      <c r="L2579">
        <v>2295079034</v>
      </c>
      <c r="M2579" t="s">
        <v>8527</v>
      </c>
      <c r="N2579" t="s">
        <v>8528</v>
      </c>
      <c r="O2579" t="s">
        <v>8529</v>
      </c>
      <c r="P2579">
        <v>19015</v>
      </c>
      <c r="Q2579" t="str">
        <f>"38.318610"</f>
        <v>38.318610</v>
      </c>
      <c r="R2579" t="str">
        <f>"23.794362"</f>
        <v>23.794362</v>
      </c>
      <c r="S2579" t="s">
        <v>26</v>
      </c>
    </row>
    <row r="2580" spans="1:19" x14ac:dyDescent="0.3">
      <c r="A2580" t="s">
        <v>3237</v>
      </c>
      <c r="B2580" t="s">
        <v>7919</v>
      </c>
      <c r="C2580" t="s">
        <v>4268</v>
      </c>
      <c r="D2580" t="s">
        <v>3262</v>
      </c>
      <c r="E2580" t="s">
        <v>4067</v>
      </c>
      <c r="F2580" t="s">
        <v>4262</v>
      </c>
      <c r="G2580" t="s">
        <v>4263</v>
      </c>
      <c r="H2580" t="s">
        <v>868</v>
      </c>
      <c r="I2580" t="s">
        <v>869</v>
      </c>
      <c r="J2580" t="str">
        <f>"9050291"</f>
        <v>9050291</v>
      </c>
      <c r="K2580">
        <v>2295071383</v>
      </c>
      <c r="L2580">
        <v>2295071383</v>
      </c>
      <c r="M2580" t="s">
        <v>8530</v>
      </c>
      <c r="N2580" t="s">
        <v>4266</v>
      </c>
      <c r="O2580" t="s">
        <v>8531</v>
      </c>
      <c r="P2580">
        <v>19015</v>
      </c>
      <c r="Q2580" t="str">
        <f>"38.334364"</f>
        <v>38.334364</v>
      </c>
      <c r="R2580" t="str">
        <f>"23.728436"</f>
        <v>23.728436</v>
      </c>
      <c r="S2580" t="s">
        <v>26</v>
      </c>
    </row>
    <row r="2581" spans="1:19" x14ac:dyDescent="0.3">
      <c r="A2581" t="s">
        <v>3237</v>
      </c>
      <c r="B2581" t="s">
        <v>7919</v>
      </c>
      <c r="C2581" t="s">
        <v>8532</v>
      </c>
      <c r="D2581" t="s">
        <v>3262</v>
      </c>
      <c r="E2581" t="s">
        <v>3263</v>
      </c>
      <c r="F2581" t="s">
        <v>3263</v>
      </c>
      <c r="G2581" t="s">
        <v>3263</v>
      </c>
      <c r="H2581" t="s">
        <v>868</v>
      </c>
      <c r="I2581" t="s">
        <v>869</v>
      </c>
      <c r="J2581" t="str">
        <f>"9050553"</f>
        <v>9050553</v>
      </c>
      <c r="K2581">
        <v>2106623613</v>
      </c>
      <c r="L2581">
        <v>2106623613</v>
      </c>
      <c r="M2581" t="s">
        <v>8533</v>
      </c>
      <c r="N2581" t="s">
        <v>3266</v>
      </c>
      <c r="O2581" t="s">
        <v>8073</v>
      </c>
      <c r="P2581">
        <v>19441</v>
      </c>
      <c r="Q2581" t="str">
        <f>"37.907282"</f>
        <v>37.907282</v>
      </c>
      <c r="R2581" t="str">
        <f>"23.873465"</f>
        <v>23.873465</v>
      </c>
      <c r="S2581" t="s">
        <v>26</v>
      </c>
    </row>
    <row r="2582" spans="1:19" x14ac:dyDescent="0.3">
      <c r="A2582" t="s">
        <v>3237</v>
      </c>
      <c r="B2582" t="s">
        <v>7919</v>
      </c>
      <c r="C2582" t="s">
        <v>8534</v>
      </c>
      <c r="D2582" t="s">
        <v>3262</v>
      </c>
      <c r="E2582" t="s">
        <v>4118</v>
      </c>
      <c r="F2582" t="s">
        <v>4248</v>
      </c>
      <c r="G2582" t="s">
        <v>4249</v>
      </c>
      <c r="H2582" t="s">
        <v>868</v>
      </c>
      <c r="I2582" t="s">
        <v>869</v>
      </c>
      <c r="J2582" t="str">
        <f>"9520907"</f>
        <v>9520907</v>
      </c>
      <c r="K2582">
        <v>2294082297</v>
      </c>
      <c r="L2582">
        <v>2294082282</v>
      </c>
      <c r="M2582" t="s">
        <v>8535</v>
      </c>
      <c r="N2582" t="s">
        <v>4554</v>
      </c>
      <c r="O2582" t="s">
        <v>8536</v>
      </c>
      <c r="P2582">
        <v>19016</v>
      </c>
      <c r="Q2582" t="str">
        <f>"37.974655"</f>
        <v>37.974655</v>
      </c>
      <c r="R2582" t="str">
        <f>"24.008856"</f>
        <v>24.008856</v>
      </c>
      <c r="S2582" t="s">
        <v>26</v>
      </c>
    </row>
    <row r="2583" spans="1:19" x14ac:dyDescent="0.3">
      <c r="A2583" t="s">
        <v>3237</v>
      </c>
      <c r="B2583" t="s">
        <v>7919</v>
      </c>
      <c r="C2583" t="s">
        <v>4206</v>
      </c>
      <c r="D2583" t="s">
        <v>3262</v>
      </c>
      <c r="E2583" t="s">
        <v>4067</v>
      </c>
      <c r="F2583" t="s">
        <v>4068</v>
      </c>
      <c r="G2583" t="s">
        <v>4068</v>
      </c>
      <c r="H2583" t="s">
        <v>868</v>
      </c>
      <c r="I2583" t="s">
        <v>869</v>
      </c>
      <c r="J2583" t="str">
        <f>"9050269"</f>
        <v>9050269</v>
      </c>
      <c r="K2583">
        <v>2295041208</v>
      </c>
      <c r="L2583">
        <v>2295041207</v>
      </c>
      <c r="M2583" t="s">
        <v>8537</v>
      </c>
      <c r="N2583" t="s">
        <v>4071</v>
      </c>
      <c r="O2583" t="s">
        <v>8538</v>
      </c>
      <c r="P2583">
        <v>19011</v>
      </c>
      <c r="Q2583" t="str">
        <f>"38.252311"</f>
        <v>38.252311</v>
      </c>
      <c r="R2583" t="str">
        <f>"23.692939"</f>
        <v>23.692939</v>
      </c>
      <c r="S2583" t="s">
        <v>26</v>
      </c>
    </row>
    <row r="2584" spans="1:19" x14ac:dyDescent="0.3">
      <c r="A2584" t="s">
        <v>3237</v>
      </c>
      <c r="B2584" t="s">
        <v>7919</v>
      </c>
      <c r="C2584" t="s">
        <v>4562</v>
      </c>
      <c r="D2584" t="s">
        <v>3262</v>
      </c>
      <c r="E2584" t="s">
        <v>3298</v>
      </c>
      <c r="F2584" t="s">
        <v>3298</v>
      </c>
      <c r="G2584" t="s">
        <v>3298</v>
      </c>
      <c r="H2584" t="s">
        <v>868</v>
      </c>
      <c r="I2584" t="s">
        <v>869</v>
      </c>
      <c r="J2584" t="str">
        <f>"9050247"</f>
        <v>9050247</v>
      </c>
      <c r="K2584">
        <v>2102469382</v>
      </c>
      <c r="L2584">
        <v>2102469382</v>
      </c>
      <c r="M2584" t="s">
        <v>8539</v>
      </c>
      <c r="N2584" t="s">
        <v>4028</v>
      </c>
      <c r="O2584" t="s">
        <v>8540</v>
      </c>
      <c r="P2584">
        <v>13674</v>
      </c>
      <c r="Q2584" t="str">
        <f>"38.082400"</f>
        <v>38.082400</v>
      </c>
      <c r="R2584" t="str">
        <f>"23.736223"</f>
        <v>23.736223</v>
      </c>
      <c r="S2584" t="s">
        <v>26</v>
      </c>
    </row>
    <row r="2585" spans="1:19" x14ac:dyDescent="0.3">
      <c r="A2585" t="s">
        <v>3237</v>
      </c>
      <c r="B2585" t="s">
        <v>7919</v>
      </c>
      <c r="C2585" t="s">
        <v>8541</v>
      </c>
      <c r="D2585" t="s">
        <v>3262</v>
      </c>
      <c r="E2585" t="s">
        <v>4118</v>
      </c>
      <c r="F2585" t="s">
        <v>4248</v>
      </c>
      <c r="G2585" t="s">
        <v>4249</v>
      </c>
      <c r="H2585" t="s">
        <v>868</v>
      </c>
      <c r="I2585" t="s">
        <v>869</v>
      </c>
      <c r="J2585" t="str">
        <f>"9051897"</f>
        <v>9051897</v>
      </c>
      <c r="K2585">
        <v>2294024702</v>
      </c>
      <c r="M2585" t="s">
        <v>8542</v>
      </c>
      <c r="N2585" t="s">
        <v>4252</v>
      </c>
      <c r="O2585" t="s">
        <v>8543</v>
      </c>
      <c r="P2585">
        <v>19016</v>
      </c>
      <c r="Q2585" t="str">
        <f>"37.985568"</f>
        <v>37.985568</v>
      </c>
      <c r="R2585" t="str">
        <f>"23.993659"</f>
        <v>23.993659</v>
      </c>
      <c r="S2585" t="s">
        <v>26</v>
      </c>
    </row>
    <row r="2586" spans="1:19" x14ac:dyDescent="0.3">
      <c r="A2586" t="s">
        <v>3237</v>
      </c>
      <c r="B2586" t="s">
        <v>7919</v>
      </c>
      <c r="C2586" t="s">
        <v>8544</v>
      </c>
      <c r="D2586" t="s">
        <v>3262</v>
      </c>
      <c r="E2586" t="s">
        <v>3298</v>
      </c>
      <c r="F2586" t="s">
        <v>3298</v>
      </c>
      <c r="G2586" t="s">
        <v>3298</v>
      </c>
      <c r="H2586" t="s">
        <v>868</v>
      </c>
      <c r="I2586" t="s">
        <v>869</v>
      </c>
      <c r="J2586" t="str">
        <f>"9050251"</f>
        <v>9050251</v>
      </c>
      <c r="K2586">
        <v>2102468920</v>
      </c>
      <c r="L2586">
        <v>2102468920</v>
      </c>
      <c r="M2586" t="s">
        <v>8545</v>
      </c>
      <c r="N2586" t="s">
        <v>4028</v>
      </c>
      <c r="O2586" t="s">
        <v>8546</v>
      </c>
      <c r="P2586">
        <v>13674</v>
      </c>
      <c r="Q2586" t="str">
        <f>"38.085269"</f>
        <v>38.085269</v>
      </c>
      <c r="R2586" t="str">
        <f>"23.733337"</f>
        <v>23.733337</v>
      </c>
      <c r="S2586" t="s">
        <v>26</v>
      </c>
    </row>
    <row r="2587" spans="1:19" x14ac:dyDescent="0.3">
      <c r="A2587" t="s">
        <v>3237</v>
      </c>
      <c r="B2587" t="s">
        <v>7919</v>
      </c>
      <c r="C2587" t="s">
        <v>8547</v>
      </c>
      <c r="D2587" t="s">
        <v>3262</v>
      </c>
      <c r="E2587" t="s">
        <v>3298</v>
      </c>
      <c r="F2587" t="s">
        <v>3298</v>
      </c>
      <c r="G2587" t="s">
        <v>3298</v>
      </c>
      <c r="H2587" t="s">
        <v>868</v>
      </c>
      <c r="I2587" t="s">
        <v>869</v>
      </c>
      <c r="J2587" t="str">
        <f>"9050252"</f>
        <v>9050252</v>
      </c>
      <c r="K2587">
        <v>2102468212</v>
      </c>
      <c r="L2587">
        <v>2102468212</v>
      </c>
      <c r="M2587" t="s">
        <v>8548</v>
      </c>
      <c r="N2587" t="s">
        <v>4028</v>
      </c>
      <c r="O2587" t="s">
        <v>8357</v>
      </c>
      <c r="P2587">
        <v>13673</v>
      </c>
      <c r="Q2587" t="str">
        <f>"38.076215"</f>
        <v>38.076215</v>
      </c>
      <c r="R2587" t="str">
        <f>"23.736439"</f>
        <v>23.736439</v>
      </c>
      <c r="S2587" t="s">
        <v>26</v>
      </c>
    </row>
    <row r="2588" spans="1:19" x14ac:dyDescent="0.3">
      <c r="A2588" t="s">
        <v>3237</v>
      </c>
      <c r="B2588" t="s">
        <v>7919</v>
      </c>
      <c r="C2588" t="s">
        <v>4323</v>
      </c>
      <c r="D2588" t="s">
        <v>3262</v>
      </c>
      <c r="E2588" t="s">
        <v>3298</v>
      </c>
      <c r="F2588" t="s">
        <v>3298</v>
      </c>
      <c r="G2588" t="s">
        <v>3298</v>
      </c>
      <c r="H2588" t="s">
        <v>868</v>
      </c>
      <c r="I2588" t="s">
        <v>869</v>
      </c>
      <c r="J2588" t="str">
        <f>"9050254"</f>
        <v>9050254</v>
      </c>
      <c r="K2588">
        <v>2102460797</v>
      </c>
      <c r="L2588">
        <v>2102460797</v>
      </c>
      <c r="M2588" t="s">
        <v>8549</v>
      </c>
      <c r="N2588" t="s">
        <v>8550</v>
      </c>
      <c r="O2588" t="s">
        <v>8551</v>
      </c>
      <c r="P2588">
        <v>13675</v>
      </c>
      <c r="Q2588" t="str">
        <f>"38.094109"</f>
        <v>38.094109</v>
      </c>
      <c r="R2588" t="str">
        <f>"23.733894"</f>
        <v>23.733894</v>
      </c>
      <c r="S2588" t="s">
        <v>26</v>
      </c>
    </row>
    <row r="2589" spans="1:19" x14ac:dyDescent="0.3">
      <c r="A2589" t="s">
        <v>3237</v>
      </c>
      <c r="B2589" t="s">
        <v>7919</v>
      </c>
      <c r="C2589" t="s">
        <v>8552</v>
      </c>
      <c r="D2589" t="s">
        <v>3262</v>
      </c>
      <c r="E2589" t="s">
        <v>4011</v>
      </c>
      <c r="F2589" t="s">
        <v>4160</v>
      </c>
      <c r="G2589" t="s">
        <v>4160</v>
      </c>
      <c r="H2589" t="s">
        <v>868</v>
      </c>
      <c r="I2589" t="s">
        <v>869</v>
      </c>
      <c r="J2589" t="str">
        <f>"9520461"</f>
        <v>9520461</v>
      </c>
      <c r="K2589">
        <v>2108958090</v>
      </c>
      <c r="L2589">
        <v>2108958463</v>
      </c>
      <c r="M2589" t="s">
        <v>8553</v>
      </c>
      <c r="N2589" t="s">
        <v>4163</v>
      </c>
      <c r="O2589" t="s">
        <v>8554</v>
      </c>
      <c r="P2589">
        <v>16673</v>
      </c>
      <c r="Q2589" t="str">
        <f>"37.831161"</f>
        <v>37.831161</v>
      </c>
      <c r="R2589" t="str">
        <f>"23.774851"</f>
        <v>23.774851</v>
      </c>
      <c r="S2589" t="s">
        <v>26</v>
      </c>
    </row>
    <row r="2590" spans="1:19" x14ac:dyDescent="0.3">
      <c r="A2590" t="s">
        <v>3237</v>
      </c>
      <c r="B2590" t="s">
        <v>7919</v>
      </c>
      <c r="C2590" t="s">
        <v>4344</v>
      </c>
      <c r="D2590" t="s">
        <v>3262</v>
      </c>
      <c r="E2590" t="s">
        <v>3298</v>
      </c>
      <c r="F2590" t="s">
        <v>3298</v>
      </c>
      <c r="G2590" t="s">
        <v>3298</v>
      </c>
      <c r="H2590" t="s">
        <v>868</v>
      </c>
      <c r="I2590" t="s">
        <v>869</v>
      </c>
      <c r="J2590" t="str">
        <f>"9050243"</f>
        <v>9050243</v>
      </c>
      <c r="K2590">
        <v>2102312578</v>
      </c>
      <c r="L2590">
        <v>2102323557</v>
      </c>
      <c r="M2590" t="s">
        <v>8555</v>
      </c>
      <c r="N2590" t="s">
        <v>3298</v>
      </c>
      <c r="O2590" t="s">
        <v>8556</v>
      </c>
      <c r="P2590">
        <v>13671</v>
      </c>
      <c r="Q2590" t="str">
        <f>"38.062209"</f>
        <v>38.062209</v>
      </c>
      <c r="R2590" t="str">
        <f>"23.727196"</f>
        <v>23.727196</v>
      </c>
      <c r="S2590" t="s">
        <v>26</v>
      </c>
    </row>
    <row r="2591" spans="1:19" x14ac:dyDescent="0.3">
      <c r="A2591" t="s">
        <v>3237</v>
      </c>
      <c r="B2591" t="s">
        <v>7919</v>
      </c>
      <c r="C2591" t="s">
        <v>4111</v>
      </c>
      <c r="D2591" t="s">
        <v>3262</v>
      </c>
      <c r="E2591" t="s">
        <v>3298</v>
      </c>
      <c r="F2591" t="s">
        <v>3298</v>
      </c>
      <c r="G2591" t="s">
        <v>3298</v>
      </c>
      <c r="H2591" t="s">
        <v>868</v>
      </c>
      <c r="I2591" t="s">
        <v>869</v>
      </c>
      <c r="J2591" t="str">
        <f>"9050926"</f>
        <v>9050926</v>
      </c>
      <c r="K2591">
        <v>2102463104</v>
      </c>
      <c r="L2591">
        <v>2102463104</v>
      </c>
      <c r="M2591" t="s">
        <v>8557</v>
      </c>
      <c r="N2591" t="s">
        <v>4028</v>
      </c>
      <c r="O2591" t="s">
        <v>8558</v>
      </c>
      <c r="P2591">
        <v>13672</v>
      </c>
      <c r="Q2591" t="str">
        <f>"38.089891"</f>
        <v>38.089891</v>
      </c>
      <c r="R2591" t="str">
        <f>"23.729705"</f>
        <v>23.729705</v>
      </c>
      <c r="S2591" t="s">
        <v>26</v>
      </c>
    </row>
    <row r="2592" spans="1:19" x14ac:dyDescent="0.3">
      <c r="A2592" t="s">
        <v>3237</v>
      </c>
      <c r="B2592" t="s">
        <v>7919</v>
      </c>
      <c r="C2592" t="s">
        <v>8559</v>
      </c>
      <c r="D2592" t="s">
        <v>3262</v>
      </c>
      <c r="E2592" t="s">
        <v>3298</v>
      </c>
      <c r="F2592" t="s">
        <v>3298</v>
      </c>
      <c r="G2592" t="s">
        <v>3298</v>
      </c>
      <c r="H2592" t="s">
        <v>868</v>
      </c>
      <c r="I2592" t="s">
        <v>869</v>
      </c>
      <c r="J2592" t="str">
        <f>"9050934"</f>
        <v>9050934</v>
      </c>
      <c r="K2592">
        <v>2102430340</v>
      </c>
      <c r="M2592" t="s">
        <v>8560</v>
      </c>
      <c r="N2592" t="s">
        <v>4028</v>
      </c>
      <c r="O2592" t="s">
        <v>8561</v>
      </c>
      <c r="P2592">
        <v>13679</v>
      </c>
      <c r="Q2592" t="str">
        <f>"38.112055"</f>
        <v>38.112055</v>
      </c>
      <c r="R2592" t="str">
        <f>"23.745997"</f>
        <v>23.745997</v>
      </c>
      <c r="S2592" t="s">
        <v>26</v>
      </c>
    </row>
    <row r="2593" spans="1:19" x14ac:dyDescent="0.3">
      <c r="A2593" t="s">
        <v>3237</v>
      </c>
      <c r="B2593" t="s">
        <v>7919</v>
      </c>
      <c r="C2593" t="s">
        <v>8562</v>
      </c>
      <c r="D2593" t="s">
        <v>3262</v>
      </c>
      <c r="E2593" t="s">
        <v>4024</v>
      </c>
      <c r="F2593" t="s">
        <v>4024</v>
      </c>
      <c r="G2593" t="s">
        <v>4024</v>
      </c>
      <c r="H2593" t="s">
        <v>868</v>
      </c>
      <c r="I2593" t="s">
        <v>869</v>
      </c>
      <c r="J2593" t="str">
        <f>"9050603"</f>
        <v>9050603</v>
      </c>
      <c r="K2593">
        <v>2106659051</v>
      </c>
      <c r="L2593">
        <v>2106655282</v>
      </c>
      <c r="M2593" t="s">
        <v>8563</v>
      </c>
      <c r="N2593" t="s">
        <v>4352</v>
      </c>
      <c r="O2593" t="s">
        <v>8564</v>
      </c>
      <c r="P2593">
        <v>15351</v>
      </c>
      <c r="Q2593" t="str">
        <f>"37.987394"</f>
        <v>37.987394</v>
      </c>
      <c r="R2593" t="str">
        <f>"23.853024"</f>
        <v>23.853024</v>
      </c>
      <c r="S2593" t="s">
        <v>26</v>
      </c>
    </row>
    <row r="2594" spans="1:19" x14ac:dyDescent="0.3">
      <c r="A2594" t="s">
        <v>3237</v>
      </c>
      <c r="B2594" t="s">
        <v>7919</v>
      </c>
      <c r="C2594" t="s">
        <v>4373</v>
      </c>
      <c r="D2594" t="s">
        <v>3262</v>
      </c>
      <c r="E2594" t="s">
        <v>3298</v>
      </c>
      <c r="F2594" t="s">
        <v>3298</v>
      </c>
      <c r="G2594" t="s">
        <v>3298</v>
      </c>
      <c r="H2594" t="s">
        <v>868</v>
      </c>
      <c r="I2594" t="s">
        <v>869</v>
      </c>
      <c r="J2594" t="str">
        <f>"9051121"</f>
        <v>9051121</v>
      </c>
      <c r="K2594">
        <v>2102466588</v>
      </c>
      <c r="L2594">
        <v>2102466298</v>
      </c>
      <c r="M2594" t="s">
        <v>8565</v>
      </c>
      <c r="N2594" t="s">
        <v>4028</v>
      </c>
      <c r="O2594" t="s">
        <v>8566</v>
      </c>
      <c r="P2594">
        <v>13678</v>
      </c>
      <c r="Q2594" t="str">
        <f>"38.083802"</f>
        <v>38.083802</v>
      </c>
      <c r="R2594" t="str">
        <f>"23.746380"</f>
        <v>23.746380</v>
      </c>
      <c r="S2594" t="s">
        <v>26</v>
      </c>
    </row>
    <row r="2595" spans="1:19" x14ac:dyDescent="0.3">
      <c r="A2595" t="s">
        <v>3237</v>
      </c>
      <c r="B2595" t="s">
        <v>7919</v>
      </c>
      <c r="C2595" t="s">
        <v>4117</v>
      </c>
      <c r="D2595" t="s">
        <v>3262</v>
      </c>
      <c r="E2595" t="s">
        <v>4011</v>
      </c>
      <c r="F2595" t="s">
        <v>4112</v>
      </c>
      <c r="G2595" t="s">
        <v>4112</v>
      </c>
      <c r="H2595" t="s">
        <v>868</v>
      </c>
      <c r="I2595" t="s">
        <v>869</v>
      </c>
      <c r="J2595" t="str">
        <f>"9050571"</f>
        <v>9050571</v>
      </c>
      <c r="K2595">
        <v>2108971502</v>
      </c>
      <c r="L2595">
        <v>2109656839</v>
      </c>
      <c r="M2595" t="s">
        <v>8567</v>
      </c>
      <c r="N2595" t="s">
        <v>4144</v>
      </c>
      <c r="O2595" t="s">
        <v>8568</v>
      </c>
      <c r="P2595">
        <v>16672</v>
      </c>
      <c r="Q2595" t="str">
        <f>"37.830717"</f>
        <v>37.830717</v>
      </c>
      <c r="R2595" t="str">
        <f>"23.804478"</f>
        <v>23.804478</v>
      </c>
      <c r="S2595" t="s">
        <v>26</v>
      </c>
    </row>
    <row r="2596" spans="1:19" x14ac:dyDescent="0.3">
      <c r="A2596" t="s">
        <v>3237</v>
      </c>
      <c r="B2596" t="s">
        <v>7919</v>
      </c>
      <c r="C2596" t="s">
        <v>8569</v>
      </c>
      <c r="D2596" t="s">
        <v>3262</v>
      </c>
      <c r="E2596" t="s">
        <v>3298</v>
      </c>
      <c r="F2596" t="s">
        <v>3298</v>
      </c>
      <c r="G2596" t="s">
        <v>3298</v>
      </c>
      <c r="H2596" t="s">
        <v>868</v>
      </c>
      <c r="I2596" t="s">
        <v>869</v>
      </c>
      <c r="J2596" t="str">
        <f>"9051122"</f>
        <v>9051122</v>
      </c>
      <c r="K2596">
        <v>2102316721</v>
      </c>
      <c r="L2596">
        <v>2102316721</v>
      </c>
      <c r="M2596" t="s">
        <v>8570</v>
      </c>
      <c r="N2596" t="s">
        <v>4342</v>
      </c>
      <c r="O2596" t="s">
        <v>8571</v>
      </c>
      <c r="P2596">
        <v>13671</v>
      </c>
      <c r="Q2596" t="str">
        <f>"38.063578"</f>
        <v>38.063578</v>
      </c>
      <c r="R2596" t="str">
        <f>"23.737842"</f>
        <v>23.737842</v>
      </c>
      <c r="S2596" t="s">
        <v>26</v>
      </c>
    </row>
    <row r="2597" spans="1:19" x14ac:dyDescent="0.3">
      <c r="A2597" t="s">
        <v>3237</v>
      </c>
      <c r="B2597" t="s">
        <v>7919</v>
      </c>
      <c r="C2597" t="s">
        <v>8572</v>
      </c>
      <c r="D2597" t="s">
        <v>3262</v>
      </c>
      <c r="E2597" t="s">
        <v>3298</v>
      </c>
      <c r="F2597" t="s">
        <v>3298</v>
      </c>
      <c r="G2597" t="s">
        <v>3298</v>
      </c>
      <c r="H2597" t="s">
        <v>868</v>
      </c>
      <c r="I2597" t="s">
        <v>869</v>
      </c>
      <c r="J2597" t="str">
        <f>"9051558"</f>
        <v>9051558</v>
      </c>
      <c r="K2597">
        <v>2102445474</v>
      </c>
      <c r="L2597">
        <v>2102445474</v>
      </c>
      <c r="M2597" t="s">
        <v>8573</v>
      </c>
      <c r="N2597" t="s">
        <v>4028</v>
      </c>
      <c r="O2597" t="s">
        <v>8574</v>
      </c>
      <c r="P2597">
        <v>13671</v>
      </c>
      <c r="Q2597" t="str">
        <f>"38.076223"</f>
        <v>38.076223</v>
      </c>
      <c r="R2597" t="str">
        <f>"23.730112"</f>
        <v>23.730112</v>
      </c>
      <c r="S2597" t="s">
        <v>26</v>
      </c>
    </row>
    <row r="2598" spans="1:19" x14ac:dyDescent="0.3">
      <c r="A2598" t="s">
        <v>3237</v>
      </c>
      <c r="B2598" t="s">
        <v>7919</v>
      </c>
      <c r="C2598" t="s">
        <v>4154</v>
      </c>
      <c r="D2598" t="s">
        <v>3262</v>
      </c>
      <c r="E2598" t="s">
        <v>3298</v>
      </c>
      <c r="F2598" t="s">
        <v>3298</v>
      </c>
      <c r="G2598" t="s">
        <v>3298</v>
      </c>
      <c r="H2598" t="s">
        <v>868</v>
      </c>
      <c r="I2598" t="s">
        <v>869</v>
      </c>
      <c r="J2598" t="str">
        <f>"9051611"</f>
        <v>9051611</v>
      </c>
      <c r="K2598">
        <v>2102466268</v>
      </c>
      <c r="M2598" t="s">
        <v>8575</v>
      </c>
      <c r="N2598" t="s">
        <v>4342</v>
      </c>
      <c r="O2598" t="s">
        <v>8576</v>
      </c>
      <c r="P2598">
        <v>13675</v>
      </c>
      <c r="Q2598" t="str">
        <f>"38.095423"</f>
        <v>38.095423</v>
      </c>
      <c r="R2598" t="str">
        <f>"23.727773"</f>
        <v>23.727773</v>
      </c>
      <c r="S2598" t="s">
        <v>26</v>
      </c>
    </row>
    <row r="2599" spans="1:19" x14ac:dyDescent="0.3">
      <c r="A2599" t="s">
        <v>3237</v>
      </c>
      <c r="B2599" t="s">
        <v>7919</v>
      </c>
      <c r="C2599" t="s">
        <v>8577</v>
      </c>
      <c r="D2599" t="s">
        <v>3262</v>
      </c>
      <c r="E2599" t="s">
        <v>3298</v>
      </c>
      <c r="F2599" t="s">
        <v>3298</v>
      </c>
      <c r="G2599" t="s">
        <v>3298</v>
      </c>
      <c r="H2599" t="s">
        <v>868</v>
      </c>
      <c r="I2599" t="s">
        <v>869</v>
      </c>
      <c r="J2599" t="str">
        <f>"9051732"</f>
        <v>9051732</v>
      </c>
      <c r="K2599">
        <v>2102431014</v>
      </c>
      <c r="L2599">
        <v>2102431014</v>
      </c>
      <c r="M2599" t="s">
        <v>8578</v>
      </c>
      <c r="N2599" t="s">
        <v>4028</v>
      </c>
      <c r="O2599" t="s">
        <v>8579</v>
      </c>
      <c r="P2599">
        <v>13679</v>
      </c>
      <c r="Q2599" t="str">
        <f>"38.118598"</f>
        <v>38.118598</v>
      </c>
      <c r="R2599" t="str">
        <f>"23.749091"</f>
        <v>23.749091</v>
      </c>
      <c r="S2599" t="s">
        <v>26</v>
      </c>
    </row>
    <row r="2600" spans="1:19" x14ac:dyDescent="0.3">
      <c r="A2600" t="s">
        <v>3237</v>
      </c>
      <c r="B2600" t="s">
        <v>7919</v>
      </c>
      <c r="C2600" t="s">
        <v>4486</v>
      </c>
      <c r="D2600" t="s">
        <v>3262</v>
      </c>
      <c r="E2600" t="s">
        <v>3298</v>
      </c>
      <c r="F2600" t="s">
        <v>3298</v>
      </c>
      <c r="G2600" t="s">
        <v>3298</v>
      </c>
      <c r="H2600" t="s">
        <v>868</v>
      </c>
      <c r="I2600" t="s">
        <v>869</v>
      </c>
      <c r="J2600" t="str">
        <f>"9051832"</f>
        <v>9051832</v>
      </c>
      <c r="K2600">
        <v>2102405225</v>
      </c>
      <c r="M2600" t="s">
        <v>8580</v>
      </c>
      <c r="N2600" t="s">
        <v>3298</v>
      </c>
      <c r="O2600" t="s">
        <v>7459</v>
      </c>
      <c r="P2600">
        <v>13672</v>
      </c>
      <c r="Q2600" t="str">
        <f>"38.080000"</f>
        <v>38.080000</v>
      </c>
      <c r="R2600" t="str">
        <f>"23.720000"</f>
        <v>23.720000</v>
      </c>
      <c r="S2600" t="s">
        <v>26</v>
      </c>
    </row>
    <row r="2601" spans="1:19" x14ac:dyDescent="0.3">
      <c r="A2601" t="s">
        <v>3237</v>
      </c>
      <c r="B2601" t="s">
        <v>7919</v>
      </c>
      <c r="C2601" t="s">
        <v>8581</v>
      </c>
      <c r="D2601" t="s">
        <v>3262</v>
      </c>
      <c r="E2601" t="s">
        <v>3298</v>
      </c>
      <c r="F2601" t="s">
        <v>3298</v>
      </c>
      <c r="G2601" t="s">
        <v>3298</v>
      </c>
      <c r="H2601" t="s">
        <v>868</v>
      </c>
      <c r="I2601" t="s">
        <v>869</v>
      </c>
      <c r="J2601" t="str">
        <f>"9051856"</f>
        <v>9051856</v>
      </c>
      <c r="K2601">
        <v>2102403770</v>
      </c>
      <c r="L2601">
        <v>2102403770</v>
      </c>
      <c r="M2601" t="s">
        <v>8582</v>
      </c>
      <c r="N2601" t="s">
        <v>4028</v>
      </c>
      <c r="O2601" t="s">
        <v>8583</v>
      </c>
      <c r="P2601">
        <v>13671</v>
      </c>
      <c r="Q2601" t="str">
        <f>"38.106034"</f>
        <v>38.106034</v>
      </c>
      <c r="R2601" t="str">
        <f>"23.737768"</f>
        <v>23.737768</v>
      </c>
      <c r="S2601" t="s">
        <v>26</v>
      </c>
    </row>
    <row r="2602" spans="1:19" x14ac:dyDescent="0.3">
      <c r="A2602" t="s">
        <v>3237</v>
      </c>
      <c r="B2602" t="s">
        <v>7919</v>
      </c>
      <c r="C2602" t="s">
        <v>8584</v>
      </c>
      <c r="D2602" t="s">
        <v>3262</v>
      </c>
      <c r="E2602" t="s">
        <v>3298</v>
      </c>
      <c r="F2602" t="s">
        <v>3298</v>
      </c>
      <c r="G2602" t="s">
        <v>3298</v>
      </c>
      <c r="H2602" t="s">
        <v>868</v>
      </c>
      <c r="I2602" t="s">
        <v>869</v>
      </c>
      <c r="J2602" t="str">
        <f>"9521333"</f>
        <v>9521333</v>
      </c>
      <c r="K2602">
        <v>2102448843</v>
      </c>
      <c r="L2602">
        <v>2102448843</v>
      </c>
      <c r="M2602" t="s">
        <v>8585</v>
      </c>
      <c r="N2602" t="s">
        <v>4028</v>
      </c>
      <c r="O2602" t="s">
        <v>8586</v>
      </c>
      <c r="P2602">
        <v>13672</v>
      </c>
      <c r="Q2602" t="str">
        <f>"38.072957"</f>
        <v>38.072957</v>
      </c>
      <c r="R2602" t="str">
        <f>"23.725942"</f>
        <v>23.725942</v>
      </c>
      <c r="S2602" t="s">
        <v>26</v>
      </c>
    </row>
    <row r="2603" spans="1:19" x14ac:dyDescent="0.3">
      <c r="A2603" t="s">
        <v>3237</v>
      </c>
      <c r="B2603" t="s">
        <v>7919</v>
      </c>
      <c r="C2603" t="s">
        <v>8587</v>
      </c>
      <c r="D2603" t="s">
        <v>3262</v>
      </c>
      <c r="E2603" t="s">
        <v>3298</v>
      </c>
      <c r="F2603" t="s">
        <v>3298</v>
      </c>
      <c r="G2603" t="s">
        <v>3298</v>
      </c>
      <c r="H2603" t="s">
        <v>868</v>
      </c>
      <c r="I2603" t="s">
        <v>869</v>
      </c>
      <c r="J2603" t="str">
        <f>"9051867"</f>
        <v>9051867</v>
      </c>
      <c r="K2603">
        <v>2102403719</v>
      </c>
      <c r="L2603">
        <v>2102403719</v>
      </c>
      <c r="M2603" t="s">
        <v>8588</v>
      </c>
      <c r="N2603" t="s">
        <v>4342</v>
      </c>
      <c r="O2603" t="s">
        <v>8589</v>
      </c>
      <c r="P2603">
        <v>13675</v>
      </c>
      <c r="Q2603" t="str">
        <f>"38.099411"</f>
        <v>38.099411</v>
      </c>
      <c r="R2603" t="str">
        <f>"23.721212"</f>
        <v>23.721212</v>
      </c>
      <c r="S2603" t="s">
        <v>26</v>
      </c>
    </row>
    <row r="2604" spans="1:19" x14ac:dyDescent="0.3">
      <c r="A2604" t="s">
        <v>3237</v>
      </c>
      <c r="B2604" t="s">
        <v>7919</v>
      </c>
      <c r="C2604" t="s">
        <v>8596</v>
      </c>
      <c r="D2604" t="s">
        <v>3262</v>
      </c>
      <c r="E2604" t="s">
        <v>3298</v>
      </c>
      <c r="F2604" t="s">
        <v>3298</v>
      </c>
      <c r="G2604" t="s">
        <v>3298</v>
      </c>
      <c r="H2604" t="s">
        <v>868</v>
      </c>
      <c r="I2604" t="s">
        <v>869</v>
      </c>
      <c r="J2604" t="str">
        <f>"9050255"</f>
        <v>9050255</v>
      </c>
      <c r="K2604">
        <v>2108169464</v>
      </c>
      <c r="L2604">
        <v>2108169464</v>
      </c>
      <c r="M2604" t="s">
        <v>8597</v>
      </c>
      <c r="N2604" t="s">
        <v>4551</v>
      </c>
      <c r="O2604" t="s">
        <v>8598</v>
      </c>
      <c r="P2604">
        <v>13677</v>
      </c>
      <c r="Q2604" t="str">
        <f>"38.132141"</f>
        <v>38.132141</v>
      </c>
      <c r="R2604" t="str">
        <f>"23.789542"</f>
        <v>23.789542</v>
      </c>
      <c r="S2604" t="s">
        <v>26</v>
      </c>
    </row>
    <row r="2605" spans="1:19" x14ac:dyDescent="0.3">
      <c r="A2605" t="s">
        <v>3237</v>
      </c>
      <c r="B2605" t="s">
        <v>7919</v>
      </c>
      <c r="C2605" t="s">
        <v>8599</v>
      </c>
      <c r="D2605" t="s">
        <v>3262</v>
      </c>
      <c r="E2605" t="s">
        <v>3298</v>
      </c>
      <c r="F2605" t="s">
        <v>3298</v>
      </c>
      <c r="G2605" t="s">
        <v>3298</v>
      </c>
      <c r="H2605" t="s">
        <v>868</v>
      </c>
      <c r="I2605" t="s">
        <v>869</v>
      </c>
      <c r="J2605" t="str">
        <f>"9520738"</f>
        <v>9520738</v>
      </c>
      <c r="K2605">
        <v>2102445533</v>
      </c>
      <c r="L2605">
        <v>2102445533</v>
      </c>
      <c r="M2605" t="s">
        <v>8600</v>
      </c>
      <c r="N2605" t="s">
        <v>8601</v>
      </c>
      <c r="O2605" t="s">
        <v>8602</v>
      </c>
      <c r="P2605">
        <v>13675</v>
      </c>
      <c r="Q2605" t="str">
        <f>"38.108968"</f>
        <v>38.108968</v>
      </c>
      <c r="R2605" t="str">
        <f>"23.729951"</f>
        <v>23.729951</v>
      </c>
      <c r="S2605" t="s">
        <v>26</v>
      </c>
    </row>
    <row r="2606" spans="1:19" x14ac:dyDescent="0.3">
      <c r="A2606" t="s">
        <v>3237</v>
      </c>
      <c r="B2606" t="s">
        <v>7919</v>
      </c>
      <c r="C2606" t="s">
        <v>8603</v>
      </c>
      <c r="D2606" t="s">
        <v>3262</v>
      </c>
      <c r="E2606" t="s">
        <v>3298</v>
      </c>
      <c r="F2606" t="s">
        <v>4005</v>
      </c>
      <c r="G2606" t="s">
        <v>4005</v>
      </c>
      <c r="H2606" t="s">
        <v>868</v>
      </c>
      <c r="I2606" t="s">
        <v>869</v>
      </c>
      <c r="J2606" t="str">
        <f>"9520832"</f>
        <v>9520832</v>
      </c>
      <c r="K2606">
        <v>2102430505</v>
      </c>
      <c r="L2606">
        <v>2102435404</v>
      </c>
      <c r="M2606" t="s">
        <v>8604</v>
      </c>
      <c r="N2606" t="s">
        <v>4008</v>
      </c>
      <c r="O2606" t="s">
        <v>8384</v>
      </c>
      <c r="P2606">
        <v>13676</v>
      </c>
      <c r="Q2606" t="str">
        <f>"38.141578"</f>
        <v>38.141578</v>
      </c>
      <c r="R2606" t="str">
        <f>"23.752024"</f>
        <v>23.752024</v>
      </c>
      <c r="S2606" t="s">
        <v>26</v>
      </c>
    </row>
    <row r="2607" spans="1:19" x14ac:dyDescent="0.3">
      <c r="A2607" t="s">
        <v>3237</v>
      </c>
      <c r="B2607" t="s">
        <v>7919</v>
      </c>
      <c r="C2607" t="s">
        <v>8605</v>
      </c>
      <c r="D2607" t="s">
        <v>3262</v>
      </c>
      <c r="E2607" t="s">
        <v>3298</v>
      </c>
      <c r="F2607" t="s">
        <v>3298</v>
      </c>
      <c r="G2607" t="s">
        <v>3298</v>
      </c>
      <c r="H2607" t="s">
        <v>868</v>
      </c>
      <c r="I2607" t="s">
        <v>1157</v>
      </c>
      <c r="J2607" t="str">
        <f>"9051890"</f>
        <v>9051890</v>
      </c>
      <c r="K2607">
        <v>2102407388</v>
      </c>
      <c r="L2607">
        <v>2102407388</v>
      </c>
      <c r="M2607" t="s">
        <v>8606</v>
      </c>
      <c r="N2607" t="s">
        <v>4028</v>
      </c>
      <c r="O2607" t="s">
        <v>8607</v>
      </c>
      <c r="P2607">
        <v>13671</v>
      </c>
      <c r="Q2607" t="str">
        <f>"38.095999"</f>
        <v>38.095999</v>
      </c>
      <c r="R2607" t="str">
        <f>"23.744553"</f>
        <v>23.744553</v>
      </c>
      <c r="S2607" t="s">
        <v>26</v>
      </c>
    </row>
    <row r="2608" spans="1:19" x14ac:dyDescent="0.3">
      <c r="A2608" t="s">
        <v>3237</v>
      </c>
      <c r="B2608" t="s">
        <v>7919</v>
      </c>
      <c r="C2608" t="s">
        <v>4307</v>
      </c>
      <c r="D2608" t="s">
        <v>3262</v>
      </c>
      <c r="E2608" t="s">
        <v>3298</v>
      </c>
      <c r="F2608" t="s">
        <v>3298</v>
      </c>
      <c r="G2608" t="s">
        <v>3298</v>
      </c>
      <c r="H2608" t="s">
        <v>868</v>
      </c>
      <c r="I2608" t="s">
        <v>869</v>
      </c>
      <c r="J2608" t="str">
        <f>"9051559"</f>
        <v>9051559</v>
      </c>
      <c r="K2608">
        <v>2102440709</v>
      </c>
      <c r="L2608">
        <v>2102440709</v>
      </c>
      <c r="M2608" t="s">
        <v>8608</v>
      </c>
      <c r="N2608" t="s">
        <v>4028</v>
      </c>
      <c r="O2608" t="s">
        <v>8609</v>
      </c>
      <c r="P2608">
        <v>13674</v>
      </c>
      <c r="Q2608" t="str">
        <f>"38.087525"</f>
        <v>38.087525</v>
      </c>
      <c r="R2608" t="str">
        <f>"23.721783"</f>
        <v>23.721783</v>
      </c>
      <c r="S2608" t="s">
        <v>26</v>
      </c>
    </row>
    <row r="2609" spans="1:19" x14ac:dyDescent="0.3">
      <c r="A2609" t="s">
        <v>3237</v>
      </c>
      <c r="B2609" t="s">
        <v>7919</v>
      </c>
      <c r="C2609" t="s">
        <v>8610</v>
      </c>
      <c r="D2609" t="s">
        <v>3262</v>
      </c>
      <c r="E2609" t="s">
        <v>4043</v>
      </c>
      <c r="F2609" t="s">
        <v>4073</v>
      </c>
      <c r="G2609" t="s">
        <v>4073</v>
      </c>
      <c r="H2609" t="s">
        <v>868</v>
      </c>
      <c r="I2609" t="s">
        <v>869</v>
      </c>
      <c r="J2609" t="str">
        <f>"9050261"</f>
        <v>9050261</v>
      </c>
      <c r="K2609">
        <v>2108140052</v>
      </c>
      <c r="L2609">
        <v>2108140052</v>
      </c>
      <c r="M2609" t="s">
        <v>8611</v>
      </c>
      <c r="N2609" t="s">
        <v>4292</v>
      </c>
      <c r="O2609" t="s">
        <v>8612</v>
      </c>
      <c r="P2609">
        <v>14565</v>
      </c>
      <c r="Q2609" t="str">
        <f>"38.140571"</f>
        <v>38.140571</v>
      </c>
      <c r="R2609" t="str">
        <f>"23.861656"</f>
        <v>23.861656</v>
      </c>
      <c r="S2609" t="s">
        <v>26</v>
      </c>
    </row>
    <row r="2610" spans="1:19" x14ac:dyDescent="0.3">
      <c r="A2610" t="s">
        <v>3237</v>
      </c>
      <c r="B2610" t="s">
        <v>7919</v>
      </c>
      <c r="C2610" t="s">
        <v>4193</v>
      </c>
      <c r="D2610" t="s">
        <v>3262</v>
      </c>
      <c r="E2610" t="s">
        <v>4043</v>
      </c>
      <c r="F2610" t="s">
        <v>4073</v>
      </c>
      <c r="G2610" t="s">
        <v>4073</v>
      </c>
      <c r="H2610" t="s">
        <v>868</v>
      </c>
      <c r="I2610" t="s">
        <v>869</v>
      </c>
      <c r="J2610" t="str">
        <f>"9051609"</f>
        <v>9051609</v>
      </c>
      <c r="K2610">
        <v>2108140228</v>
      </c>
      <c r="L2610">
        <v>2108145275</v>
      </c>
      <c r="M2610" t="s">
        <v>8613</v>
      </c>
      <c r="N2610" t="s">
        <v>8614</v>
      </c>
      <c r="O2610" t="s">
        <v>8615</v>
      </c>
      <c r="P2610">
        <v>14565</v>
      </c>
      <c r="Q2610" t="str">
        <f>"38.147205"</f>
        <v>38.147205</v>
      </c>
      <c r="R2610" t="str">
        <f>"23.855377"</f>
        <v>23.855377</v>
      </c>
      <c r="S2610" t="s">
        <v>26</v>
      </c>
    </row>
    <row r="2611" spans="1:19" x14ac:dyDescent="0.3">
      <c r="A2611" t="s">
        <v>3237</v>
      </c>
      <c r="B2611" t="s">
        <v>7919</v>
      </c>
      <c r="C2611" t="s">
        <v>8619</v>
      </c>
      <c r="D2611" t="s">
        <v>3262</v>
      </c>
      <c r="E2611" t="s">
        <v>4067</v>
      </c>
      <c r="F2611" t="s">
        <v>4546</v>
      </c>
      <c r="G2611" t="s">
        <v>4546</v>
      </c>
      <c r="H2611" t="s">
        <v>868</v>
      </c>
      <c r="I2611" t="s">
        <v>869</v>
      </c>
      <c r="J2611" t="str">
        <f>"9050272"</f>
        <v>9050272</v>
      </c>
      <c r="K2611">
        <v>2295022229</v>
      </c>
      <c r="L2611">
        <v>2295022229</v>
      </c>
      <c r="M2611" t="s">
        <v>8620</v>
      </c>
      <c r="N2611" t="s">
        <v>8621</v>
      </c>
      <c r="O2611" t="s">
        <v>8622</v>
      </c>
      <c r="P2611">
        <v>19014</v>
      </c>
      <c r="Q2611" t="str">
        <f>"38.205194"</f>
        <v>38.205194</v>
      </c>
      <c r="R2611" t="str">
        <f>"23.837523"</f>
        <v>23.837523</v>
      </c>
      <c r="S2611" t="s">
        <v>26</v>
      </c>
    </row>
    <row r="2612" spans="1:19" x14ac:dyDescent="0.3">
      <c r="A2612" t="s">
        <v>3237</v>
      </c>
      <c r="B2612" t="s">
        <v>7919</v>
      </c>
      <c r="C2612" t="s">
        <v>8623</v>
      </c>
      <c r="D2612" t="s">
        <v>3262</v>
      </c>
      <c r="E2612" t="s">
        <v>4019</v>
      </c>
      <c r="F2612" t="s">
        <v>8407</v>
      </c>
      <c r="G2612" t="s">
        <v>8407</v>
      </c>
      <c r="H2612" t="s">
        <v>868</v>
      </c>
      <c r="I2612" t="s">
        <v>869</v>
      </c>
      <c r="J2612" t="str">
        <f>"9050274"</f>
        <v>9050274</v>
      </c>
      <c r="K2612">
        <v>2295097247</v>
      </c>
      <c r="L2612">
        <v>2295097247</v>
      </c>
      <c r="M2612" t="s">
        <v>8624</v>
      </c>
      <c r="N2612" t="s">
        <v>8625</v>
      </c>
      <c r="O2612" t="s">
        <v>8626</v>
      </c>
      <c r="P2612">
        <v>19014</v>
      </c>
      <c r="Q2612" t="str">
        <f>"38.222160"</f>
        <v>38.222160</v>
      </c>
      <c r="R2612" t="str">
        <f>"23.921909"</f>
        <v>23.921909</v>
      </c>
      <c r="S2612" t="s">
        <v>26</v>
      </c>
    </row>
    <row r="2613" spans="1:19" x14ac:dyDescent="0.3">
      <c r="A2613" t="s">
        <v>3237</v>
      </c>
      <c r="B2613" t="s">
        <v>7919</v>
      </c>
      <c r="C2613" t="s">
        <v>4159</v>
      </c>
      <c r="D2613" t="s">
        <v>3262</v>
      </c>
      <c r="E2613" t="s">
        <v>4043</v>
      </c>
      <c r="F2613" t="s">
        <v>4043</v>
      </c>
      <c r="G2613" t="s">
        <v>4043</v>
      </c>
      <c r="H2613" t="s">
        <v>868</v>
      </c>
      <c r="I2613" t="s">
        <v>869</v>
      </c>
      <c r="J2613" t="str">
        <f>"9520831"</f>
        <v>9520831</v>
      </c>
      <c r="K2613">
        <v>2108152266</v>
      </c>
      <c r="L2613">
        <v>2108152828</v>
      </c>
      <c r="M2613" t="s">
        <v>8627</v>
      </c>
      <c r="N2613" t="s">
        <v>4157</v>
      </c>
      <c r="O2613" t="s">
        <v>8628</v>
      </c>
      <c r="P2613">
        <v>14576</v>
      </c>
      <c r="Q2613" t="str">
        <f>"38.102063"</f>
        <v>38.102063</v>
      </c>
      <c r="R2613" t="str">
        <f>"23.883291"</f>
        <v>23.883291</v>
      </c>
      <c r="S2613" t="s">
        <v>26</v>
      </c>
    </row>
    <row r="2614" spans="1:19" x14ac:dyDescent="0.3">
      <c r="A2614" t="s">
        <v>3237</v>
      </c>
      <c r="B2614" t="s">
        <v>7919</v>
      </c>
      <c r="C2614" t="s">
        <v>4475</v>
      </c>
      <c r="D2614" t="s">
        <v>3262</v>
      </c>
      <c r="E2614" t="s">
        <v>4067</v>
      </c>
      <c r="F2614" t="s">
        <v>4470</v>
      </c>
      <c r="G2614" t="s">
        <v>4470</v>
      </c>
      <c r="H2614" t="s">
        <v>868</v>
      </c>
      <c r="I2614" t="s">
        <v>869</v>
      </c>
      <c r="J2614" t="str">
        <f>"9050278"</f>
        <v>9050278</v>
      </c>
      <c r="K2614">
        <v>2295062240</v>
      </c>
      <c r="M2614" t="s">
        <v>8629</v>
      </c>
      <c r="N2614" t="s">
        <v>8630</v>
      </c>
      <c r="O2614" t="s">
        <v>8631</v>
      </c>
      <c r="P2614">
        <v>19014</v>
      </c>
      <c r="Q2614" t="str">
        <f>"38.286774"</f>
        <v>38.286774</v>
      </c>
      <c r="R2614" t="str">
        <f>"23.857482"</f>
        <v>23.857482</v>
      </c>
      <c r="S2614" t="s">
        <v>26</v>
      </c>
    </row>
    <row r="2615" spans="1:19" x14ac:dyDescent="0.3">
      <c r="A2615" t="s">
        <v>3237</v>
      </c>
      <c r="B2615" t="s">
        <v>7919</v>
      </c>
      <c r="C2615" t="s">
        <v>4049</v>
      </c>
      <c r="D2615" t="s">
        <v>3262</v>
      </c>
      <c r="E2615" t="s">
        <v>4043</v>
      </c>
      <c r="F2615" t="s">
        <v>4044</v>
      </c>
      <c r="G2615" t="s">
        <v>4044</v>
      </c>
      <c r="H2615" t="s">
        <v>868</v>
      </c>
      <c r="I2615" t="s">
        <v>869</v>
      </c>
      <c r="J2615" t="str">
        <f>"9050281"</f>
        <v>9050281</v>
      </c>
      <c r="K2615">
        <v>2108161259</v>
      </c>
      <c r="L2615">
        <v>2108161259</v>
      </c>
      <c r="M2615" t="s">
        <v>8632</v>
      </c>
      <c r="N2615" t="s">
        <v>8447</v>
      </c>
      <c r="O2615" t="s">
        <v>8633</v>
      </c>
      <c r="P2615">
        <v>14568</v>
      </c>
      <c r="Q2615" t="str">
        <f>"38.142382"</f>
        <v>38.142382</v>
      </c>
      <c r="R2615" t="str">
        <f>"23.832288"</f>
        <v>23.832288</v>
      </c>
      <c r="S2615" t="s">
        <v>26</v>
      </c>
    </row>
    <row r="2616" spans="1:19" x14ac:dyDescent="0.3">
      <c r="A2616" t="s">
        <v>3237</v>
      </c>
      <c r="B2616" t="s">
        <v>7919</v>
      </c>
      <c r="C2616" t="s">
        <v>8634</v>
      </c>
      <c r="D2616" t="s">
        <v>3262</v>
      </c>
      <c r="E2616" t="s">
        <v>4043</v>
      </c>
      <c r="F2616" t="s">
        <v>4044</v>
      </c>
      <c r="G2616" t="s">
        <v>4044</v>
      </c>
      <c r="H2616" t="s">
        <v>868</v>
      </c>
      <c r="I2616" t="s">
        <v>869</v>
      </c>
      <c r="J2616" t="str">
        <f>"9521011"</f>
        <v>9521011</v>
      </c>
      <c r="K2616">
        <v>2106220984</v>
      </c>
      <c r="L2616">
        <v>2106220984</v>
      </c>
      <c r="M2616" t="s">
        <v>8635</v>
      </c>
      <c r="N2616" t="s">
        <v>8447</v>
      </c>
      <c r="O2616" t="s">
        <v>8636</v>
      </c>
      <c r="P2616">
        <v>14568</v>
      </c>
      <c r="Q2616" t="str">
        <f>"38.141005"</f>
        <v>38.141005</v>
      </c>
      <c r="R2616" t="str">
        <f>"23.833811"</f>
        <v>23.833811</v>
      </c>
      <c r="S2616" t="s">
        <v>26</v>
      </c>
    </row>
    <row r="2617" spans="1:19" x14ac:dyDescent="0.3">
      <c r="A2617" t="s">
        <v>3237</v>
      </c>
      <c r="B2617" t="s">
        <v>7919</v>
      </c>
      <c r="C2617" t="s">
        <v>8637</v>
      </c>
      <c r="D2617" t="s">
        <v>3262</v>
      </c>
      <c r="E2617" t="s">
        <v>4067</v>
      </c>
      <c r="F2617" t="s">
        <v>8454</v>
      </c>
      <c r="G2617" t="s">
        <v>8454</v>
      </c>
      <c r="H2617" t="s">
        <v>868</v>
      </c>
      <c r="I2617" t="s">
        <v>869</v>
      </c>
      <c r="J2617" t="str">
        <f>"9050282"</f>
        <v>9050282</v>
      </c>
      <c r="K2617">
        <v>2295098345</v>
      </c>
      <c r="L2617">
        <v>2295098345</v>
      </c>
      <c r="M2617" t="s">
        <v>8638</v>
      </c>
      <c r="N2617" t="s">
        <v>8639</v>
      </c>
      <c r="O2617" t="s">
        <v>8640</v>
      </c>
      <c r="P2617">
        <v>19011</v>
      </c>
      <c r="Q2617" t="str">
        <f>"38.237513"</f>
        <v>38.237513</v>
      </c>
      <c r="R2617" t="str">
        <f>"23.794847"</f>
        <v>23.794847</v>
      </c>
      <c r="S2617" t="s">
        <v>26</v>
      </c>
    </row>
    <row r="2618" spans="1:19" x14ac:dyDescent="0.3">
      <c r="A2618" t="s">
        <v>3237</v>
      </c>
      <c r="B2618" t="s">
        <v>7919</v>
      </c>
      <c r="C2618" t="s">
        <v>8641</v>
      </c>
      <c r="D2618" t="s">
        <v>3262</v>
      </c>
      <c r="E2618" t="s">
        <v>4067</v>
      </c>
      <c r="F2618" t="s">
        <v>4094</v>
      </c>
      <c r="G2618" t="s">
        <v>4094</v>
      </c>
      <c r="H2618" t="s">
        <v>868</v>
      </c>
      <c r="I2618" t="s">
        <v>869</v>
      </c>
      <c r="J2618" t="str">
        <f>"9050285"</f>
        <v>9050285</v>
      </c>
      <c r="K2618">
        <v>2295032461</v>
      </c>
      <c r="L2618">
        <v>2295032461</v>
      </c>
      <c r="M2618" t="s">
        <v>8642</v>
      </c>
      <c r="N2618" t="s">
        <v>8461</v>
      </c>
      <c r="O2618" t="s">
        <v>8461</v>
      </c>
      <c r="P2618">
        <v>19015</v>
      </c>
      <c r="Q2618" t="str">
        <f>"38.289224"</f>
        <v>38.289224</v>
      </c>
      <c r="R2618" t="str">
        <f>"23.824896"</f>
        <v>23.824896</v>
      </c>
      <c r="S2618" t="s">
        <v>26</v>
      </c>
    </row>
    <row r="2619" spans="1:19" x14ac:dyDescent="0.3">
      <c r="A2619" t="s">
        <v>3237</v>
      </c>
      <c r="B2619" t="s">
        <v>7919</v>
      </c>
      <c r="C2619" t="s">
        <v>4184</v>
      </c>
      <c r="D2619" t="s">
        <v>3262</v>
      </c>
      <c r="E2619" t="s">
        <v>4043</v>
      </c>
      <c r="F2619" t="s">
        <v>4088</v>
      </c>
      <c r="G2619" t="s">
        <v>4088</v>
      </c>
      <c r="H2619" t="s">
        <v>868</v>
      </c>
      <c r="I2619" t="s">
        <v>869</v>
      </c>
      <c r="J2619" t="str">
        <f>"9050294"</f>
        <v>9050294</v>
      </c>
      <c r="K2619">
        <v>2106218038</v>
      </c>
      <c r="L2619">
        <v>2106219437</v>
      </c>
      <c r="M2619" t="s">
        <v>8643</v>
      </c>
      <c r="N2619" t="s">
        <v>4547</v>
      </c>
      <c r="O2619" t="s">
        <v>8644</v>
      </c>
      <c r="P2619">
        <v>14575</v>
      </c>
      <c r="Q2619" t="str">
        <f>"38.125315"</f>
        <v>38.125315</v>
      </c>
      <c r="R2619" t="str">
        <f>"23.879466"</f>
        <v>23.879466</v>
      </c>
      <c r="S2619" t="s">
        <v>26</v>
      </c>
    </row>
    <row r="2620" spans="1:19" x14ac:dyDescent="0.3">
      <c r="A2620" t="s">
        <v>3237</v>
      </c>
      <c r="B2620" t="s">
        <v>7919</v>
      </c>
      <c r="C2620" t="s">
        <v>8645</v>
      </c>
      <c r="D2620" t="s">
        <v>3262</v>
      </c>
      <c r="E2620" t="s">
        <v>4019</v>
      </c>
      <c r="F2620" t="s">
        <v>4054</v>
      </c>
      <c r="G2620" t="s">
        <v>4054</v>
      </c>
      <c r="H2620" t="s">
        <v>868</v>
      </c>
      <c r="I2620" t="s">
        <v>1157</v>
      </c>
      <c r="J2620" t="str">
        <f>"9050591"</f>
        <v>9050591</v>
      </c>
      <c r="K2620">
        <v>2294098212</v>
      </c>
      <c r="L2620">
        <v>2294098212</v>
      </c>
      <c r="M2620" t="s">
        <v>8646</v>
      </c>
      <c r="N2620" t="s">
        <v>4177</v>
      </c>
      <c r="O2620" t="s">
        <v>8647</v>
      </c>
      <c r="P2620">
        <v>19005</v>
      </c>
      <c r="Q2620" t="str">
        <f>"38.072971"</f>
        <v>38.072971</v>
      </c>
      <c r="R2620" t="str">
        <f>"23.981134"</f>
        <v>23.981134</v>
      </c>
      <c r="S2620" t="s">
        <v>26</v>
      </c>
    </row>
    <row r="2621" spans="1:19" x14ac:dyDescent="0.3">
      <c r="A2621" t="s">
        <v>3237</v>
      </c>
      <c r="B2621" t="s">
        <v>7919</v>
      </c>
      <c r="C2621" t="s">
        <v>8651</v>
      </c>
      <c r="D2621" t="s">
        <v>3262</v>
      </c>
      <c r="E2621" t="s">
        <v>4067</v>
      </c>
      <c r="F2621" t="s">
        <v>8476</v>
      </c>
      <c r="G2621" t="s">
        <v>8476</v>
      </c>
      <c r="H2621" t="s">
        <v>868</v>
      </c>
      <c r="I2621" t="s">
        <v>869</v>
      </c>
      <c r="J2621" t="str">
        <f>"9050288"</f>
        <v>9050288</v>
      </c>
      <c r="K2621">
        <v>2295052333</v>
      </c>
      <c r="L2621">
        <v>2295052333</v>
      </c>
      <c r="M2621" t="s">
        <v>8652</v>
      </c>
      <c r="N2621" t="s">
        <v>8653</v>
      </c>
      <c r="O2621" t="s">
        <v>8479</v>
      </c>
      <c r="P2621">
        <v>19014</v>
      </c>
      <c r="Q2621" t="str">
        <f>"38.214639"</f>
        <v>38.214639</v>
      </c>
      <c r="R2621" t="str">
        <f>"23.867875"</f>
        <v>23.867875</v>
      </c>
      <c r="S2621" t="s">
        <v>26</v>
      </c>
    </row>
    <row r="2622" spans="1:19" x14ac:dyDescent="0.3">
      <c r="A2622" t="s">
        <v>3237</v>
      </c>
      <c r="B2622" t="s">
        <v>7919</v>
      </c>
      <c r="C2622" t="s">
        <v>8654</v>
      </c>
      <c r="D2622" t="s">
        <v>3262</v>
      </c>
      <c r="E2622" t="s">
        <v>3298</v>
      </c>
      <c r="F2622" t="s">
        <v>3298</v>
      </c>
      <c r="G2622" t="s">
        <v>3298</v>
      </c>
      <c r="H2622" t="s">
        <v>868</v>
      </c>
      <c r="I2622" t="s">
        <v>869</v>
      </c>
      <c r="J2622" t="str">
        <f>"9051120"</f>
        <v>9051120</v>
      </c>
      <c r="K2622">
        <v>2102443370</v>
      </c>
      <c r="L2622">
        <v>2102443370</v>
      </c>
      <c r="M2622" t="s">
        <v>8655</v>
      </c>
      <c r="N2622" t="s">
        <v>4342</v>
      </c>
      <c r="O2622" t="s">
        <v>8357</v>
      </c>
      <c r="P2622">
        <v>13673</v>
      </c>
      <c r="Q2622" t="str">
        <f>"38.076215"</f>
        <v>38.076215</v>
      </c>
      <c r="R2622" t="str">
        <f>"23.736439"</f>
        <v>23.736439</v>
      </c>
      <c r="S2622" t="s">
        <v>26</v>
      </c>
    </row>
    <row r="2623" spans="1:19" x14ac:dyDescent="0.3">
      <c r="A2623" t="s">
        <v>3237</v>
      </c>
      <c r="B2623" t="s">
        <v>7919</v>
      </c>
      <c r="C2623" t="s">
        <v>4053</v>
      </c>
      <c r="D2623" t="s">
        <v>3262</v>
      </c>
      <c r="E2623" t="s">
        <v>3298</v>
      </c>
      <c r="F2623" t="s">
        <v>3298</v>
      </c>
      <c r="G2623" t="s">
        <v>3298</v>
      </c>
      <c r="H2623" t="s">
        <v>868</v>
      </c>
      <c r="I2623" t="s">
        <v>869</v>
      </c>
      <c r="J2623" t="str">
        <f>"9051857"</f>
        <v>9051857</v>
      </c>
      <c r="K2623">
        <v>2102402220</v>
      </c>
      <c r="L2623">
        <v>2102402220</v>
      </c>
      <c r="M2623" t="s">
        <v>8667</v>
      </c>
      <c r="N2623" t="s">
        <v>4028</v>
      </c>
      <c r="O2623" t="s">
        <v>8668</v>
      </c>
      <c r="P2623">
        <v>13678</v>
      </c>
      <c r="Q2623" t="str">
        <f>"38.091838"</f>
        <v>38.091838</v>
      </c>
      <c r="R2623" t="str">
        <f>"23.739426"</f>
        <v>23.739426</v>
      </c>
      <c r="S2623" t="s">
        <v>26</v>
      </c>
    </row>
    <row r="2624" spans="1:19" x14ac:dyDescent="0.3">
      <c r="A2624" t="s">
        <v>3237</v>
      </c>
      <c r="B2624" t="s">
        <v>7919</v>
      </c>
      <c r="C2624" t="s">
        <v>8688</v>
      </c>
      <c r="D2624" t="s">
        <v>3262</v>
      </c>
      <c r="E2624" t="s">
        <v>4207</v>
      </c>
      <c r="F2624" t="s">
        <v>4207</v>
      </c>
      <c r="G2624" t="s">
        <v>4207</v>
      </c>
      <c r="H2624" t="s">
        <v>868</v>
      </c>
      <c r="I2624" t="s">
        <v>869</v>
      </c>
      <c r="J2624" t="str">
        <f>"9050586"</f>
        <v>9050586</v>
      </c>
      <c r="K2624">
        <v>2299084996</v>
      </c>
      <c r="L2624">
        <v>2299084996</v>
      </c>
      <c r="M2624" t="s">
        <v>8689</v>
      </c>
      <c r="N2624" t="s">
        <v>4541</v>
      </c>
      <c r="O2624" t="s">
        <v>8690</v>
      </c>
      <c r="P2624">
        <v>19023</v>
      </c>
      <c r="Q2624" t="str">
        <f>"37.889490"</f>
        <v>37.889490</v>
      </c>
      <c r="R2624" t="str">
        <f>"24.001348"</f>
        <v>24.001348</v>
      </c>
      <c r="S2624" t="s">
        <v>26</v>
      </c>
    </row>
    <row r="2625" spans="1:19" x14ac:dyDescent="0.3">
      <c r="A2625" t="s">
        <v>3237</v>
      </c>
      <c r="B2625" t="s">
        <v>7919</v>
      </c>
      <c r="C2625" t="s">
        <v>4107</v>
      </c>
      <c r="D2625" t="s">
        <v>3262</v>
      </c>
      <c r="E2625" t="s">
        <v>3298</v>
      </c>
      <c r="F2625" t="s">
        <v>3298</v>
      </c>
      <c r="G2625" t="s">
        <v>3298</v>
      </c>
      <c r="H2625" t="s">
        <v>868</v>
      </c>
      <c r="I2625" t="s">
        <v>869</v>
      </c>
      <c r="J2625" t="str">
        <f>"9520569"</f>
        <v>9520569</v>
      </c>
      <c r="K2625">
        <v>2102409598</v>
      </c>
      <c r="L2625">
        <v>2102409548</v>
      </c>
      <c r="M2625" t="s">
        <v>8694</v>
      </c>
      <c r="N2625" t="s">
        <v>4028</v>
      </c>
      <c r="O2625" t="s">
        <v>8374</v>
      </c>
      <c r="P2625">
        <v>13678</v>
      </c>
      <c r="Q2625" t="str">
        <f>"38.097909"</f>
        <v>38.097909</v>
      </c>
      <c r="R2625" t="str">
        <f>"23.741634"</f>
        <v>23.741634</v>
      </c>
      <c r="S2625" t="s">
        <v>26</v>
      </c>
    </row>
    <row r="2626" spans="1:19" x14ac:dyDescent="0.3">
      <c r="A2626" t="s">
        <v>3237</v>
      </c>
      <c r="B2626" t="s">
        <v>7919</v>
      </c>
      <c r="C2626" t="s">
        <v>8695</v>
      </c>
      <c r="D2626" t="s">
        <v>3262</v>
      </c>
      <c r="E2626" t="s">
        <v>4067</v>
      </c>
      <c r="F2626" t="s">
        <v>4262</v>
      </c>
      <c r="G2626" t="s">
        <v>4067</v>
      </c>
      <c r="H2626" t="s">
        <v>868</v>
      </c>
      <c r="I2626" t="s">
        <v>869</v>
      </c>
      <c r="J2626" t="str">
        <f>"9050298"</f>
        <v>9050298</v>
      </c>
      <c r="K2626">
        <v>2295036383</v>
      </c>
      <c r="L2626">
        <v>2295036383</v>
      </c>
      <c r="M2626" t="s">
        <v>8696</v>
      </c>
      <c r="N2626" t="s">
        <v>4582</v>
      </c>
      <c r="O2626" t="s">
        <v>8697</v>
      </c>
      <c r="P2626">
        <v>19015</v>
      </c>
      <c r="Q2626" t="str">
        <f>"38.302030"</f>
        <v>38.302030</v>
      </c>
      <c r="R2626" t="str">
        <f>"23.754242"</f>
        <v>23.754242</v>
      </c>
      <c r="S2626" t="s">
        <v>26</v>
      </c>
    </row>
    <row r="2627" spans="1:19" x14ac:dyDescent="0.3">
      <c r="A2627" t="s">
        <v>3237</v>
      </c>
      <c r="B2627" t="s">
        <v>7919</v>
      </c>
      <c r="C2627" t="s">
        <v>8698</v>
      </c>
      <c r="D2627" t="s">
        <v>3262</v>
      </c>
      <c r="E2627" t="s">
        <v>4075</v>
      </c>
      <c r="F2627" t="s">
        <v>4075</v>
      </c>
      <c r="G2627" t="s">
        <v>4075</v>
      </c>
      <c r="H2627" t="s">
        <v>868</v>
      </c>
      <c r="I2627" t="s">
        <v>869</v>
      </c>
      <c r="J2627" t="str">
        <f>"9521049"</f>
        <v>9521049</v>
      </c>
      <c r="N2627" t="s">
        <v>4139</v>
      </c>
      <c r="O2627" t="s">
        <v>4139</v>
      </c>
      <c r="P2627">
        <v>19002</v>
      </c>
      <c r="Q2627" t="str">
        <f>""</f>
        <v/>
      </c>
      <c r="R2627" t="str">
        <f>""</f>
        <v/>
      </c>
      <c r="S2627" t="s">
        <v>26</v>
      </c>
    </row>
    <row r="2628" spans="1:19" x14ac:dyDescent="0.3">
      <c r="A2628" t="s">
        <v>3237</v>
      </c>
      <c r="B2628" t="s">
        <v>7919</v>
      </c>
      <c r="C2628" t="s">
        <v>8711</v>
      </c>
      <c r="D2628" t="s">
        <v>3262</v>
      </c>
      <c r="E2628" t="s">
        <v>3298</v>
      </c>
      <c r="F2628" t="s">
        <v>3298</v>
      </c>
      <c r="G2628" t="s">
        <v>3298</v>
      </c>
      <c r="H2628" t="s">
        <v>868</v>
      </c>
      <c r="I2628" t="s">
        <v>869</v>
      </c>
      <c r="J2628" t="str">
        <f>"9521047"</f>
        <v>9521047</v>
      </c>
      <c r="K2628">
        <v>2102476444</v>
      </c>
      <c r="L2628">
        <v>2102478944</v>
      </c>
      <c r="M2628" t="s">
        <v>8712</v>
      </c>
      <c r="N2628" t="s">
        <v>4342</v>
      </c>
      <c r="O2628" t="s">
        <v>8713</v>
      </c>
      <c r="P2628">
        <v>13677</v>
      </c>
      <c r="Q2628" t="str">
        <f>"38.114702"</f>
        <v>38.114702</v>
      </c>
      <c r="R2628" t="str">
        <f>"23.769667"</f>
        <v>23.769667</v>
      </c>
      <c r="S2628" t="s">
        <v>26</v>
      </c>
    </row>
    <row r="2629" spans="1:19" x14ac:dyDescent="0.3">
      <c r="A2629" t="s">
        <v>3237</v>
      </c>
      <c r="B2629" t="s">
        <v>7919</v>
      </c>
      <c r="C2629" t="s">
        <v>4099</v>
      </c>
      <c r="D2629" t="s">
        <v>3262</v>
      </c>
      <c r="E2629" t="s">
        <v>4067</v>
      </c>
      <c r="F2629" t="s">
        <v>4262</v>
      </c>
      <c r="G2629" t="s">
        <v>4263</v>
      </c>
      <c r="H2629" t="s">
        <v>868</v>
      </c>
      <c r="I2629" t="s">
        <v>869</v>
      </c>
      <c r="J2629" t="str">
        <f>"9521178"</f>
        <v>9521178</v>
      </c>
      <c r="K2629">
        <v>2295039544</v>
      </c>
      <c r="L2629">
        <v>2295039545</v>
      </c>
      <c r="M2629" t="s">
        <v>8714</v>
      </c>
      <c r="N2629" t="s">
        <v>4274</v>
      </c>
      <c r="O2629" t="s">
        <v>8715</v>
      </c>
      <c r="P2629">
        <v>19015</v>
      </c>
      <c r="Q2629" t="str">
        <f>"38.327867"</f>
        <v>38.327867</v>
      </c>
      <c r="R2629" t="str">
        <f>"23.775879"</f>
        <v>23.775879</v>
      </c>
      <c r="S2629" t="s">
        <v>26</v>
      </c>
    </row>
    <row r="2630" spans="1:19" x14ac:dyDescent="0.3">
      <c r="A2630" t="s">
        <v>3237</v>
      </c>
      <c r="B2630" t="s">
        <v>7919</v>
      </c>
      <c r="C2630" t="s">
        <v>4490</v>
      </c>
      <c r="D2630" t="s">
        <v>3262</v>
      </c>
      <c r="E2630" t="s">
        <v>3298</v>
      </c>
      <c r="F2630" t="s">
        <v>3298</v>
      </c>
      <c r="G2630" t="s">
        <v>3298</v>
      </c>
      <c r="H2630" t="s">
        <v>868</v>
      </c>
      <c r="I2630" t="s">
        <v>869</v>
      </c>
      <c r="J2630" t="str">
        <f>"9521048"</f>
        <v>9521048</v>
      </c>
      <c r="K2630">
        <v>2102476741</v>
      </c>
      <c r="L2630">
        <v>2102476741</v>
      </c>
      <c r="M2630" t="s">
        <v>8738</v>
      </c>
      <c r="N2630" t="s">
        <v>4028</v>
      </c>
      <c r="O2630" t="s">
        <v>8739</v>
      </c>
      <c r="P2630">
        <v>13677</v>
      </c>
      <c r="Q2630" t="str">
        <f>"38.104534"</f>
        <v>38.104534</v>
      </c>
      <c r="R2630" t="str">
        <f>"23.767634"</f>
        <v>23.767634</v>
      </c>
      <c r="S2630" t="s">
        <v>26</v>
      </c>
    </row>
    <row r="2631" spans="1:19" x14ac:dyDescent="0.3">
      <c r="A2631" t="s">
        <v>3237</v>
      </c>
      <c r="B2631" t="s">
        <v>7919</v>
      </c>
      <c r="C2631" t="s">
        <v>8740</v>
      </c>
      <c r="D2631" t="s">
        <v>3262</v>
      </c>
      <c r="E2631" t="s">
        <v>3298</v>
      </c>
      <c r="F2631" t="s">
        <v>3298</v>
      </c>
      <c r="G2631" t="s">
        <v>3298</v>
      </c>
      <c r="H2631" t="s">
        <v>868</v>
      </c>
      <c r="I2631" t="s">
        <v>869</v>
      </c>
      <c r="J2631" t="str">
        <f>"9521331"</f>
        <v>9521331</v>
      </c>
      <c r="K2631">
        <v>6932474779</v>
      </c>
      <c r="L2631">
        <v>2102448761</v>
      </c>
      <c r="M2631" t="s">
        <v>8741</v>
      </c>
      <c r="N2631" t="s">
        <v>8742</v>
      </c>
      <c r="O2631" t="s">
        <v>8743</v>
      </c>
      <c r="P2631">
        <v>13677</v>
      </c>
      <c r="Q2631" t="str">
        <f>"38.114744"</f>
        <v>38.114744</v>
      </c>
      <c r="R2631" t="str">
        <f>"23.769323"</f>
        <v>23.769323</v>
      </c>
      <c r="S2631" t="s">
        <v>26</v>
      </c>
    </row>
    <row r="2632" spans="1:19" x14ac:dyDescent="0.3">
      <c r="A2632" t="s">
        <v>3237</v>
      </c>
      <c r="B2632" t="s">
        <v>7919</v>
      </c>
      <c r="C2632" t="s">
        <v>8744</v>
      </c>
      <c r="D2632" t="s">
        <v>3262</v>
      </c>
      <c r="E2632" t="s">
        <v>3298</v>
      </c>
      <c r="F2632" t="s">
        <v>3298</v>
      </c>
      <c r="G2632" t="s">
        <v>3298</v>
      </c>
      <c r="H2632" t="s">
        <v>868</v>
      </c>
      <c r="I2632" t="s">
        <v>869</v>
      </c>
      <c r="J2632" t="str">
        <f>"9521332"</f>
        <v>9521332</v>
      </c>
      <c r="K2632">
        <v>2102448720</v>
      </c>
      <c r="L2632">
        <v>2102448720</v>
      </c>
      <c r="M2632" t="s">
        <v>8745</v>
      </c>
      <c r="N2632" t="s">
        <v>4028</v>
      </c>
      <c r="O2632" t="s">
        <v>8746</v>
      </c>
      <c r="P2632">
        <v>13677</v>
      </c>
      <c r="Q2632" t="str">
        <f>"38.104341"</f>
        <v>38.104341</v>
      </c>
      <c r="R2632" t="str">
        <f>"23.770564"</f>
        <v>23.770564</v>
      </c>
      <c r="S2632" t="s">
        <v>26</v>
      </c>
    </row>
    <row r="2633" spans="1:19" x14ac:dyDescent="0.3">
      <c r="A2633" t="s">
        <v>3237</v>
      </c>
      <c r="B2633" t="s">
        <v>7919</v>
      </c>
      <c r="C2633" t="s">
        <v>8747</v>
      </c>
      <c r="D2633" t="s">
        <v>3262</v>
      </c>
      <c r="E2633" t="s">
        <v>4067</v>
      </c>
      <c r="F2633" t="s">
        <v>4470</v>
      </c>
      <c r="G2633" t="s">
        <v>4470</v>
      </c>
      <c r="H2633" t="s">
        <v>868</v>
      </c>
      <c r="I2633" t="s">
        <v>869</v>
      </c>
      <c r="J2633" t="str">
        <f>"9050276"</f>
        <v>9050276</v>
      </c>
      <c r="K2633">
        <v>2295084088</v>
      </c>
      <c r="L2633">
        <v>2295080854</v>
      </c>
      <c r="M2633" t="s">
        <v>8748</v>
      </c>
      <c r="N2633" t="s">
        <v>8749</v>
      </c>
      <c r="O2633" t="s">
        <v>8750</v>
      </c>
      <c r="P2633">
        <v>19014</v>
      </c>
      <c r="Q2633" t="str">
        <f>"38.296665"</f>
        <v>38.296665</v>
      </c>
      <c r="R2633" t="str">
        <f>"23.908512"</f>
        <v>23.908512</v>
      </c>
      <c r="S2633" t="s">
        <v>26</v>
      </c>
    </row>
    <row r="2634" spans="1:19" x14ac:dyDescent="0.3">
      <c r="A2634" t="s">
        <v>3237</v>
      </c>
      <c r="B2634" t="s">
        <v>7919</v>
      </c>
      <c r="C2634" t="s">
        <v>4261</v>
      </c>
      <c r="D2634" t="s">
        <v>3262</v>
      </c>
      <c r="E2634" t="s">
        <v>4043</v>
      </c>
      <c r="F2634" t="s">
        <v>4330</v>
      </c>
      <c r="G2634" t="s">
        <v>4330</v>
      </c>
      <c r="H2634" t="s">
        <v>868</v>
      </c>
      <c r="I2634" t="s">
        <v>869</v>
      </c>
      <c r="J2634" t="str">
        <f>"9050293"</f>
        <v>9050293</v>
      </c>
      <c r="K2634">
        <v>2106210735</v>
      </c>
      <c r="L2634">
        <v>2108152286</v>
      </c>
      <c r="M2634" t="s">
        <v>8751</v>
      </c>
      <c r="N2634" t="s">
        <v>8752</v>
      </c>
      <c r="O2634" t="s">
        <v>8753</v>
      </c>
      <c r="P2634">
        <v>14574</v>
      </c>
      <c r="Q2634" t="str">
        <f>"38.117784"</f>
        <v>38.117784</v>
      </c>
      <c r="R2634" t="str">
        <f>"23.875401"</f>
        <v>23.875401</v>
      </c>
      <c r="S2634" t="s">
        <v>26</v>
      </c>
    </row>
    <row r="2635" spans="1:19" x14ac:dyDescent="0.3">
      <c r="A2635" t="s">
        <v>3237</v>
      </c>
      <c r="B2635" t="s">
        <v>7919</v>
      </c>
      <c r="C2635" t="s">
        <v>8785</v>
      </c>
      <c r="D2635" t="s">
        <v>3262</v>
      </c>
      <c r="E2635" t="s">
        <v>4118</v>
      </c>
      <c r="F2635" t="s">
        <v>4248</v>
      </c>
      <c r="G2635" t="s">
        <v>4249</v>
      </c>
      <c r="H2635" t="s">
        <v>868</v>
      </c>
      <c r="I2635" t="s">
        <v>869</v>
      </c>
      <c r="J2635" t="str">
        <f>"9521194"</f>
        <v>9521194</v>
      </c>
      <c r="K2635">
        <v>2294045790</v>
      </c>
      <c r="L2635">
        <v>2294045791</v>
      </c>
      <c r="M2635" t="s">
        <v>8786</v>
      </c>
      <c r="N2635" t="s">
        <v>4252</v>
      </c>
      <c r="O2635" t="s">
        <v>8303</v>
      </c>
      <c r="P2635">
        <v>19016</v>
      </c>
      <c r="Q2635" t="str">
        <f>"37.942531"</f>
        <v>37.942531</v>
      </c>
      <c r="R2635" t="str">
        <f>"24.006469"</f>
        <v>24.006469</v>
      </c>
      <c r="S2635" t="s">
        <v>26</v>
      </c>
    </row>
    <row r="2636" spans="1:19" x14ac:dyDescent="0.3">
      <c r="A2636" t="s">
        <v>3237</v>
      </c>
      <c r="B2636" t="s">
        <v>7919</v>
      </c>
      <c r="C2636" t="s">
        <v>8787</v>
      </c>
      <c r="D2636" t="s">
        <v>3262</v>
      </c>
      <c r="E2636" t="s">
        <v>4118</v>
      </c>
      <c r="F2636" t="s">
        <v>4248</v>
      </c>
      <c r="G2636" t="s">
        <v>4249</v>
      </c>
      <c r="H2636" t="s">
        <v>868</v>
      </c>
      <c r="I2636" t="s">
        <v>869</v>
      </c>
      <c r="J2636" t="str">
        <f>"9521197"</f>
        <v>9521197</v>
      </c>
      <c r="K2636">
        <v>2294022023</v>
      </c>
      <c r="M2636" t="s">
        <v>8788</v>
      </c>
      <c r="N2636" t="s">
        <v>4554</v>
      </c>
      <c r="O2636" t="s">
        <v>8789</v>
      </c>
      <c r="P2636">
        <v>19016</v>
      </c>
      <c r="Q2636" t="str">
        <f>"37.997649"</f>
        <v>37.997649</v>
      </c>
      <c r="R2636" t="str">
        <f>"24.019896"</f>
        <v>24.019896</v>
      </c>
      <c r="S2636" t="s">
        <v>26</v>
      </c>
    </row>
    <row r="2637" spans="1:19" x14ac:dyDescent="0.3">
      <c r="A2637" t="s">
        <v>3237</v>
      </c>
      <c r="B2637" t="s">
        <v>7919</v>
      </c>
      <c r="C2637" t="s">
        <v>8790</v>
      </c>
      <c r="D2637" t="s">
        <v>3262</v>
      </c>
      <c r="E2637" t="s">
        <v>4024</v>
      </c>
      <c r="F2637" t="s">
        <v>2199</v>
      </c>
      <c r="G2637" t="s">
        <v>2199</v>
      </c>
      <c r="H2637" t="s">
        <v>868</v>
      </c>
      <c r="I2637" t="s">
        <v>869</v>
      </c>
      <c r="J2637" t="str">
        <f>"9521195"</f>
        <v>9521195</v>
      </c>
      <c r="K2637">
        <v>2106049631</v>
      </c>
      <c r="L2637">
        <v>2106049631</v>
      </c>
      <c r="M2637" t="s">
        <v>8791</v>
      </c>
      <c r="N2637" t="s">
        <v>4172</v>
      </c>
      <c r="O2637" t="s">
        <v>8792</v>
      </c>
      <c r="P2637">
        <v>15344</v>
      </c>
      <c r="Q2637" t="str">
        <f>"38.000334"</f>
        <v>38.000334</v>
      </c>
      <c r="R2637" t="str">
        <f>"23.856999"</f>
        <v>23.856999</v>
      </c>
      <c r="S2637" t="s">
        <v>26</v>
      </c>
    </row>
    <row r="2638" spans="1:19" x14ac:dyDescent="0.3">
      <c r="A2638" t="s">
        <v>3237</v>
      </c>
      <c r="B2638" t="s">
        <v>7919</v>
      </c>
      <c r="C2638" t="s">
        <v>8793</v>
      </c>
      <c r="D2638" t="s">
        <v>3262</v>
      </c>
      <c r="E2638" t="s">
        <v>3997</v>
      </c>
      <c r="F2638" t="s">
        <v>3998</v>
      </c>
      <c r="G2638" t="s">
        <v>3998</v>
      </c>
      <c r="H2638" t="s">
        <v>868</v>
      </c>
      <c r="I2638" t="s">
        <v>869</v>
      </c>
      <c r="J2638" t="str">
        <f>"9521192"</f>
        <v>9521192</v>
      </c>
      <c r="K2638">
        <v>2291071533</v>
      </c>
      <c r="L2638">
        <v>2291071573</v>
      </c>
      <c r="M2638" t="s">
        <v>8794</v>
      </c>
      <c r="N2638" t="s">
        <v>8795</v>
      </c>
      <c r="O2638" t="s">
        <v>8796</v>
      </c>
      <c r="P2638">
        <v>19010</v>
      </c>
      <c r="Q2638" t="str">
        <f>"37.803285"</f>
        <v>37.803285</v>
      </c>
      <c r="R2638" t="str">
        <f>"23.892671"</f>
        <v>23.892671</v>
      </c>
      <c r="S2638" t="s">
        <v>26</v>
      </c>
    </row>
    <row r="2639" spans="1:19" x14ac:dyDescent="0.3">
      <c r="A2639" t="s">
        <v>3237</v>
      </c>
      <c r="B2639" t="s">
        <v>7919</v>
      </c>
      <c r="C2639" t="s">
        <v>8797</v>
      </c>
      <c r="D2639" t="s">
        <v>3262</v>
      </c>
      <c r="E2639" t="s">
        <v>4031</v>
      </c>
      <c r="F2639" t="s">
        <v>4031</v>
      </c>
      <c r="G2639" t="s">
        <v>4031</v>
      </c>
      <c r="H2639" t="s">
        <v>868</v>
      </c>
      <c r="I2639" t="s">
        <v>1157</v>
      </c>
      <c r="J2639" t="str">
        <f>"9521038"</f>
        <v>9521038</v>
      </c>
      <c r="K2639">
        <v>2292022095</v>
      </c>
      <c r="L2639">
        <v>2292022095</v>
      </c>
      <c r="M2639" t="s">
        <v>8798</v>
      </c>
      <c r="N2639" t="s">
        <v>4236</v>
      </c>
      <c r="O2639" t="s">
        <v>8799</v>
      </c>
      <c r="P2639">
        <v>19500</v>
      </c>
      <c r="Q2639" t="str">
        <f>"37.714570"</f>
        <v>37.714570</v>
      </c>
      <c r="R2639" t="str">
        <f>"24.053293"</f>
        <v>24.053293</v>
      </c>
      <c r="S2639" t="s">
        <v>26</v>
      </c>
    </row>
    <row r="2640" spans="1:19" x14ac:dyDescent="0.3">
      <c r="A2640" t="s">
        <v>3237</v>
      </c>
      <c r="B2640" t="s">
        <v>7919</v>
      </c>
      <c r="C2640" t="s">
        <v>8807</v>
      </c>
      <c r="D2640" t="s">
        <v>3262</v>
      </c>
      <c r="E2640" t="s">
        <v>4067</v>
      </c>
      <c r="F2640" t="s">
        <v>4262</v>
      </c>
      <c r="G2640" t="s">
        <v>4067</v>
      </c>
      <c r="H2640" t="s">
        <v>868</v>
      </c>
      <c r="I2640" t="s">
        <v>1157</v>
      </c>
      <c r="J2640" t="str">
        <f>"9521488"</f>
        <v>9521488</v>
      </c>
      <c r="K2640">
        <v>2295079945</v>
      </c>
      <c r="L2640">
        <v>2295079945</v>
      </c>
      <c r="M2640" t="s">
        <v>8808</v>
      </c>
      <c r="N2640" t="s">
        <v>4266</v>
      </c>
      <c r="O2640" t="s">
        <v>8809</v>
      </c>
      <c r="P2640">
        <v>19015</v>
      </c>
      <c r="Q2640" t="str">
        <f>"38.331642"</f>
        <v>38.331642</v>
      </c>
      <c r="R2640" t="str">
        <f>"23.732014"</f>
        <v>23.732014</v>
      </c>
      <c r="S2640" t="s">
        <v>26</v>
      </c>
    </row>
    <row r="2641" spans="1:19" x14ac:dyDescent="0.3">
      <c r="A2641" t="s">
        <v>3237</v>
      </c>
      <c r="B2641" t="s">
        <v>7919</v>
      </c>
      <c r="C2641" t="s">
        <v>8810</v>
      </c>
      <c r="D2641" t="s">
        <v>3262</v>
      </c>
      <c r="E2641" t="s">
        <v>4207</v>
      </c>
      <c r="F2641" t="s">
        <v>4207</v>
      </c>
      <c r="G2641" t="s">
        <v>4207</v>
      </c>
      <c r="H2641" t="s">
        <v>868</v>
      </c>
      <c r="I2641" t="s">
        <v>869</v>
      </c>
      <c r="J2641" t="str">
        <f>"9521336"</f>
        <v>9521336</v>
      </c>
      <c r="K2641">
        <v>2299022978</v>
      </c>
      <c r="L2641">
        <v>2299022978</v>
      </c>
      <c r="M2641" t="s">
        <v>8811</v>
      </c>
      <c r="N2641" t="s">
        <v>4210</v>
      </c>
      <c r="O2641" t="s">
        <v>8812</v>
      </c>
      <c r="P2641">
        <v>19003</v>
      </c>
      <c r="Q2641" t="str">
        <f>"37.889573"</f>
        <v>37.889573</v>
      </c>
      <c r="R2641" t="str">
        <f>"23.943450"</f>
        <v>23.943450</v>
      </c>
      <c r="S2641" t="s">
        <v>26</v>
      </c>
    </row>
    <row r="2642" spans="1:19" x14ac:dyDescent="0.3">
      <c r="A2642" t="s">
        <v>3237</v>
      </c>
      <c r="B2642" t="s">
        <v>7919</v>
      </c>
      <c r="C2642" t="s">
        <v>8813</v>
      </c>
      <c r="D2642" t="s">
        <v>3262</v>
      </c>
      <c r="E2642" t="s">
        <v>4024</v>
      </c>
      <c r="F2642" t="s">
        <v>2199</v>
      </c>
      <c r="G2642" t="s">
        <v>2199</v>
      </c>
      <c r="H2642" t="s">
        <v>868</v>
      </c>
      <c r="I2642" t="s">
        <v>869</v>
      </c>
      <c r="J2642" t="str">
        <f>"9521196"</f>
        <v>9521196</v>
      </c>
      <c r="K2642">
        <v>2106618649</v>
      </c>
      <c r="L2642">
        <v>2106618649</v>
      </c>
      <c r="M2642" t="s">
        <v>8814</v>
      </c>
      <c r="N2642" t="s">
        <v>4172</v>
      </c>
      <c r="O2642" t="s">
        <v>8815</v>
      </c>
      <c r="P2642">
        <v>15344</v>
      </c>
      <c r="Q2642" t="str">
        <f>"38.022618"</f>
        <v>38.022618</v>
      </c>
      <c r="R2642" t="str">
        <f>"23.855568"</f>
        <v>23.855568</v>
      </c>
      <c r="S2642" t="s">
        <v>26</v>
      </c>
    </row>
    <row r="2643" spans="1:19" x14ac:dyDescent="0.3">
      <c r="A2643" t="s">
        <v>3237</v>
      </c>
      <c r="B2643" t="s">
        <v>7919</v>
      </c>
      <c r="C2643" t="s">
        <v>8822</v>
      </c>
      <c r="D2643" t="s">
        <v>3262</v>
      </c>
      <c r="E2643" t="s">
        <v>4060</v>
      </c>
      <c r="F2643" t="s">
        <v>4082</v>
      </c>
      <c r="G2643" t="s">
        <v>4082</v>
      </c>
      <c r="H2643" t="s">
        <v>868</v>
      </c>
      <c r="I2643" t="s">
        <v>869</v>
      </c>
      <c r="J2643" t="str">
        <f>"9521337"</f>
        <v>9521337</v>
      </c>
      <c r="K2643">
        <v>2106043398</v>
      </c>
      <c r="L2643">
        <v>2106043398</v>
      </c>
      <c r="M2643" t="s">
        <v>8823</v>
      </c>
      <c r="N2643" t="s">
        <v>8824</v>
      </c>
      <c r="O2643" t="s">
        <v>4086</v>
      </c>
      <c r="P2643">
        <v>19009</v>
      </c>
      <c r="Q2643" t="str">
        <f>"38.004418"</f>
        <v>38.004418</v>
      </c>
      <c r="R2643" t="str">
        <f>"23.938266"</f>
        <v>23.938266</v>
      </c>
      <c r="S2643" t="s">
        <v>26</v>
      </c>
    </row>
    <row r="2644" spans="1:19" x14ac:dyDescent="0.3">
      <c r="A2644" t="s">
        <v>3237</v>
      </c>
      <c r="B2644" t="s">
        <v>7919</v>
      </c>
      <c r="C2644" t="s">
        <v>4521</v>
      </c>
      <c r="D2644" t="s">
        <v>3262</v>
      </c>
      <c r="E2644" t="s">
        <v>3997</v>
      </c>
      <c r="F2644" t="s">
        <v>4239</v>
      </c>
      <c r="G2644" t="s">
        <v>4239</v>
      </c>
      <c r="H2644" t="s">
        <v>868</v>
      </c>
      <c r="I2644" t="s">
        <v>869</v>
      </c>
      <c r="J2644" t="str">
        <f>"9521409"</f>
        <v>9521409</v>
      </c>
      <c r="K2644">
        <v>2291052780</v>
      </c>
      <c r="L2644">
        <v>2291052780</v>
      </c>
      <c r="M2644" t="s">
        <v>8840</v>
      </c>
      <c r="N2644" t="s">
        <v>4242</v>
      </c>
      <c r="O2644" t="s">
        <v>8841</v>
      </c>
      <c r="P2644">
        <v>19013</v>
      </c>
      <c r="Q2644" t="str">
        <f>"37.741322"</f>
        <v>37.741322</v>
      </c>
      <c r="R2644" t="str">
        <f>"23.922267"</f>
        <v>23.922267</v>
      </c>
      <c r="S2644" t="s">
        <v>26</v>
      </c>
    </row>
    <row r="2645" spans="1:19" x14ac:dyDescent="0.3">
      <c r="A2645" t="s">
        <v>3237</v>
      </c>
      <c r="B2645" t="s">
        <v>7919</v>
      </c>
      <c r="C2645" t="s">
        <v>8842</v>
      </c>
      <c r="D2645" t="s">
        <v>3262</v>
      </c>
      <c r="E2645" t="s">
        <v>4011</v>
      </c>
      <c r="F2645" t="s">
        <v>4160</v>
      </c>
      <c r="G2645" t="s">
        <v>4160</v>
      </c>
      <c r="H2645" t="s">
        <v>868</v>
      </c>
      <c r="I2645" t="s">
        <v>869</v>
      </c>
      <c r="J2645" t="str">
        <f>"9521193"</f>
        <v>9521193</v>
      </c>
      <c r="N2645" t="s">
        <v>4163</v>
      </c>
      <c r="O2645" t="s">
        <v>4163</v>
      </c>
      <c r="P2645">
        <v>0</v>
      </c>
      <c r="Q2645" t="str">
        <f>""</f>
        <v/>
      </c>
      <c r="R2645" t="str">
        <f>""</f>
        <v/>
      </c>
      <c r="S2645" t="s">
        <v>26</v>
      </c>
    </row>
    <row r="2646" spans="1:19" x14ac:dyDescent="0.3">
      <c r="A2646" t="s">
        <v>3237</v>
      </c>
      <c r="B2646" t="s">
        <v>7919</v>
      </c>
      <c r="C2646" t="s">
        <v>4042</v>
      </c>
      <c r="D2646" t="s">
        <v>3262</v>
      </c>
      <c r="E2646" t="s">
        <v>4031</v>
      </c>
      <c r="F2646" t="s">
        <v>4037</v>
      </c>
      <c r="G2646" t="s">
        <v>4037</v>
      </c>
      <c r="H2646" t="s">
        <v>868</v>
      </c>
      <c r="I2646" t="s">
        <v>869</v>
      </c>
      <c r="J2646" t="str">
        <f>"9521407"</f>
        <v>9521407</v>
      </c>
      <c r="K2646">
        <v>2299066186</v>
      </c>
      <c r="L2646">
        <v>2299042021</v>
      </c>
      <c r="M2646" t="s">
        <v>8843</v>
      </c>
      <c r="N2646" t="s">
        <v>4040</v>
      </c>
      <c r="O2646" t="s">
        <v>8844</v>
      </c>
      <c r="P2646">
        <v>19001</v>
      </c>
      <c r="Q2646" t="str">
        <f>"37.809553"</f>
        <v>37.809553</v>
      </c>
      <c r="R2646" t="str">
        <f>"23.969231"</f>
        <v>23.969231</v>
      </c>
      <c r="S2646" t="s">
        <v>26</v>
      </c>
    </row>
    <row r="2647" spans="1:19" x14ac:dyDescent="0.3">
      <c r="A2647" t="s">
        <v>3237</v>
      </c>
      <c r="B2647" t="s">
        <v>7919</v>
      </c>
      <c r="C2647" t="s">
        <v>8845</v>
      </c>
      <c r="D2647" t="s">
        <v>3262</v>
      </c>
      <c r="E2647" t="s">
        <v>3263</v>
      </c>
      <c r="F2647" t="s">
        <v>3263</v>
      </c>
      <c r="G2647" t="s">
        <v>3263</v>
      </c>
      <c r="H2647" t="s">
        <v>868</v>
      </c>
      <c r="I2647" t="s">
        <v>869</v>
      </c>
      <c r="J2647" t="str">
        <f>"9521334"</f>
        <v>9521334</v>
      </c>
      <c r="K2647">
        <v>2106622033</v>
      </c>
      <c r="M2647" t="s">
        <v>8846</v>
      </c>
      <c r="N2647" t="s">
        <v>3266</v>
      </c>
      <c r="O2647" t="s">
        <v>8847</v>
      </c>
      <c r="P2647">
        <v>19400</v>
      </c>
      <c r="Q2647" t="str">
        <f>"37.908256"</f>
        <v>37.908256</v>
      </c>
      <c r="R2647" t="str">
        <f>"23.875866"</f>
        <v>23.875866</v>
      </c>
      <c r="S2647" t="s">
        <v>26</v>
      </c>
    </row>
    <row r="2648" spans="1:19" x14ac:dyDescent="0.3">
      <c r="A2648" t="s">
        <v>3237</v>
      </c>
      <c r="B2648" t="s">
        <v>7919</v>
      </c>
      <c r="C2648" t="s">
        <v>8848</v>
      </c>
      <c r="D2648" t="s">
        <v>3262</v>
      </c>
      <c r="E2648" t="s">
        <v>4207</v>
      </c>
      <c r="F2648" t="s">
        <v>4207</v>
      </c>
      <c r="G2648" t="s">
        <v>4207</v>
      </c>
      <c r="H2648" t="s">
        <v>868</v>
      </c>
      <c r="I2648" t="s">
        <v>869</v>
      </c>
      <c r="J2648" t="str">
        <f>"9521408"</f>
        <v>9521408</v>
      </c>
      <c r="K2648">
        <v>2299071812</v>
      </c>
      <c r="M2648" t="s">
        <v>8849</v>
      </c>
      <c r="N2648" t="s">
        <v>4541</v>
      </c>
      <c r="O2648" t="s">
        <v>8850</v>
      </c>
      <c r="P2648">
        <v>19023</v>
      </c>
      <c r="Q2648" t="str">
        <f>"37.889520"</f>
        <v>37.889520</v>
      </c>
      <c r="R2648" t="str">
        <f>"24.000841"</f>
        <v>24.000841</v>
      </c>
      <c r="S2648" t="s">
        <v>26</v>
      </c>
    </row>
    <row r="2649" spans="1:19" x14ac:dyDescent="0.3">
      <c r="A2649" t="s">
        <v>3237</v>
      </c>
      <c r="B2649" t="s">
        <v>7919</v>
      </c>
      <c r="C2649" t="s">
        <v>4093</v>
      </c>
      <c r="D2649" t="s">
        <v>3262</v>
      </c>
      <c r="E2649" t="s">
        <v>4043</v>
      </c>
      <c r="F2649" t="s">
        <v>4043</v>
      </c>
      <c r="G2649" t="s">
        <v>4043</v>
      </c>
      <c r="H2649" t="s">
        <v>868</v>
      </c>
      <c r="I2649" t="s">
        <v>869</v>
      </c>
      <c r="J2649" t="str">
        <f>"9521661"</f>
        <v>9521661</v>
      </c>
      <c r="K2649">
        <v>2108131567</v>
      </c>
      <c r="L2649">
        <v>2108131567</v>
      </c>
      <c r="M2649" t="s">
        <v>8900</v>
      </c>
      <c r="N2649" t="s">
        <v>2805</v>
      </c>
      <c r="O2649" t="s">
        <v>8901</v>
      </c>
      <c r="P2649">
        <v>14572</v>
      </c>
      <c r="Q2649" t="str">
        <f>"38.123326"</f>
        <v>38.123326</v>
      </c>
      <c r="R2649" t="str">
        <f>"23.863400"</f>
        <v>23.863400</v>
      </c>
      <c r="S2649" t="s">
        <v>26</v>
      </c>
    </row>
    <row r="2650" spans="1:19" x14ac:dyDescent="0.3">
      <c r="A2650" t="s">
        <v>3237</v>
      </c>
      <c r="B2650" t="s">
        <v>7919</v>
      </c>
      <c r="C2650" t="s">
        <v>8903</v>
      </c>
      <c r="D2650" t="s">
        <v>3262</v>
      </c>
      <c r="E2650" t="s">
        <v>4118</v>
      </c>
      <c r="F2650" t="s">
        <v>4119</v>
      </c>
      <c r="G2650" t="s">
        <v>4119</v>
      </c>
      <c r="H2650" t="s">
        <v>868</v>
      </c>
      <c r="I2650" t="s">
        <v>869</v>
      </c>
      <c r="J2650" t="str">
        <f>"9521665"</f>
        <v>9521665</v>
      </c>
      <c r="N2650" t="s">
        <v>4122</v>
      </c>
      <c r="O2650" t="s">
        <v>8872</v>
      </c>
      <c r="P2650">
        <v>0</v>
      </c>
      <c r="Q2650" t="str">
        <f>""</f>
        <v/>
      </c>
      <c r="R2650" t="str">
        <f>""</f>
        <v/>
      </c>
      <c r="S2650" t="s">
        <v>26</v>
      </c>
    </row>
    <row r="2651" spans="1:19" x14ac:dyDescent="0.3">
      <c r="A2651" t="s">
        <v>3237</v>
      </c>
      <c r="B2651" t="s">
        <v>7919</v>
      </c>
      <c r="C2651" t="s">
        <v>4380</v>
      </c>
      <c r="D2651" t="s">
        <v>3262</v>
      </c>
      <c r="E2651" t="s">
        <v>4060</v>
      </c>
      <c r="F2651" t="s">
        <v>4061</v>
      </c>
      <c r="G2651" t="s">
        <v>4061</v>
      </c>
      <c r="H2651" t="s">
        <v>868</v>
      </c>
      <c r="I2651" t="s">
        <v>869</v>
      </c>
      <c r="J2651" t="str">
        <f>"9521338"</f>
        <v>9521338</v>
      </c>
      <c r="K2651">
        <v>2294306726</v>
      </c>
      <c r="L2651">
        <v>2294306726</v>
      </c>
      <c r="M2651" t="s">
        <v>8904</v>
      </c>
      <c r="N2651" t="s">
        <v>4064</v>
      </c>
      <c r="O2651" t="s">
        <v>8905</v>
      </c>
      <c r="P2651">
        <v>19009</v>
      </c>
      <c r="Q2651" t="str">
        <f>"38.017956"</f>
        <v>38.017956</v>
      </c>
      <c r="R2651" t="str">
        <f>"24.008344"</f>
        <v>24.008344</v>
      </c>
      <c r="S2651" t="s">
        <v>26</v>
      </c>
    </row>
    <row r="2652" spans="1:19" x14ac:dyDescent="0.3">
      <c r="A2652" t="s">
        <v>3237</v>
      </c>
      <c r="B2652" t="s">
        <v>7919</v>
      </c>
      <c r="C2652" t="s">
        <v>8907</v>
      </c>
      <c r="D2652" t="s">
        <v>3262</v>
      </c>
      <c r="E2652" t="s">
        <v>4024</v>
      </c>
      <c r="F2652" t="s">
        <v>2199</v>
      </c>
      <c r="G2652" t="s">
        <v>2199</v>
      </c>
      <c r="H2652" t="s">
        <v>868</v>
      </c>
      <c r="I2652" t="s">
        <v>869</v>
      </c>
      <c r="J2652" t="str">
        <f>"9521711"</f>
        <v>9521711</v>
      </c>
      <c r="K2652">
        <v>2106615873</v>
      </c>
      <c r="L2652">
        <v>2106610569</v>
      </c>
      <c r="M2652" t="s">
        <v>8908</v>
      </c>
      <c r="N2652" t="s">
        <v>4172</v>
      </c>
      <c r="O2652" t="s">
        <v>8909</v>
      </c>
      <c r="P2652">
        <v>15344</v>
      </c>
      <c r="Q2652" t="str">
        <f>"38.012563"</f>
        <v>38.012563</v>
      </c>
      <c r="R2652" t="str">
        <f>"23.851529"</f>
        <v>23.851529</v>
      </c>
      <c r="S2652" t="s">
        <v>26</v>
      </c>
    </row>
    <row r="2653" spans="1:19" x14ac:dyDescent="0.3">
      <c r="A2653" t="s">
        <v>3237</v>
      </c>
      <c r="B2653" t="s">
        <v>7919</v>
      </c>
      <c r="C2653" t="s">
        <v>8910</v>
      </c>
      <c r="D2653" t="s">
        <v>3262</v>
      </c>
      <c r="E2653" t="s">
        <v>3298</v>
      </c>
      <c r="F2653" t="s">
        <v>3298</v>
      </c>
      <c r="G2653" t="s">
        <v>3298</v>
      </c>
      <c r="H2653" t="s">
        <v>868</v>
      </c>
      <c r="I2653" t="s">
        <v>869</v>
      </c>
      <c r="J2653" t="str">
        <f>"9521728"</f>
        <v>9521728</v>
      </c>
      <c r="Q2653" t="str">
        <f>""</f>
        <v/>
      </c>
      <c r="R2653" t="str">
        <f>""</f>
        <v/>
      </c>
      <c r="S2653" t="s">
        <v>26</v>
      </c>
    </row>
    <row r="2654" spans="1:19" x14ac:dyDescent="0.3">
      <c r="A2654" t="s">
        <v>3237</v>
      </c>
      <c r="B2654" t="s">
        <v>7919</v>
      </c>
      <c r="C2654" t="s">
        <v>8911</v>
      </c>
      <c r="D2654" t="s">
        <v>3262</v>
      </c>
      <c r="E2654" t="s">
        <v>4043</v>
      </c>
      <c r="F2654" t="s">
        <v>4073</v>
      </c>
      <c r="G2654" t="s">
        <v>4073</v>
      </c>
      <c r="H2654" t="s">
        <v>868</v>
      </c>
      <c r="I2654" t="s">
        <v>869</v>
      </c>
      <c r="J2654" t="str">
        <f>"9521729"</f>
        <v>9521729</v>
      </c>
      <c r="K2654">
        <v>2106218574</v>
      </c>
      <c r="M2654" t="s">
        <v>8912</v>
      </c>
      <c r="N2654" t="s">
        <v>4292</v>
      </c>
      <c r="O2654" t="s">
        <v>8913</v>
      </c>
      <c r="P2654">
        <v>14565</v>
      </c>
      <c r="Q2654" t="str">
        <f>"38.141029"</f>
        <v>38.141029</v>
      </c>
      <c r="R2654" t="str">
        <f>"23.857462"</f>
        <v>23.857462</v>
      </c>
      <c r="S2654" t="s">
        <v>26</v>
      </c>
    </row>
    <row r="2655" spans="1:19" x14ac:dyDescent="0.3">
      <c r="A2655" t="s">
        <v>3237</v>
      </c>
      <c r="B2655" t="s">
        <v>8935</v>
      </c>
      <c r="C2655" t="s">
        <v>5050</v>
      </c>
      <c r="D2655" t="s">
        <v>3245</v>
      </c>
      <c r="E2655" t="s">
        <v>4591</v>
      </c>
      <c r="F2655" t="s">
        <v>4591</v>
      </c>
      <c r="G2655" t="s">
        <v>4591</v>
      </c>
      <c r="H2655" t="s">
        <v>868</v>
      </c>
      <c r="I2655" t="s">
        <v>869</v>
      </c>
      <c r="J2655" t="str">
        <f>"9050033"</f>
        <v>9050033</v>
      </c>
      <c r="K2655">
        <v>2106196248</v>
      </c>
      <c r="L2655">
        <v>2106196248</v>
      </c>
      <c r="M2655" t="s">
        <v>8965</v>
      </c>
      <c r="N2655" t="s">
        <v>4600</v>
      </c>
      <c r="O2655" t="s">
        <v>8966</v>
      </c>
      <c r="P2655">
        <v>15125</v>
      </c>
      <c r="Q2655" t="str">
        <f>"38.041614"</f>
        <v>38.041614</v>
      </c>
      <c r="R2655" t="str">
        <f>"23.816267"</f>
        <v>23.816267</v>
      </c>
      <c r="S2655" t="s">
        <v>26</v>
      </c>
    </row>
    <row r="2656" spans="1:19" x14ac:dyDescent="0.3">
      <c r="A2656" t="s">
        <v>3237</v>
      </c>
      <c r="B2656" t="s">
        <v>8935</v>
      </c>
      <c r="C2656" t="s">
        <v>4669</v>
      </c>
      <c r="D2656" t="s">
        <v>3245</v>
      </c>
      <c r="E2656" t="s">
        <v>4591</v>
      </c>
      <c r="F2656" t="s">
        <v>4591</v>
      </c>
      <c r="G2656" t="s">
        <v>4591</v>
      </c>
      <c r="H2656" t="s">
        <v>868</v>
      </c>
      <c r="I2656" t="s">
        <v>869</v>
      </c>
      <c r="J2656" t="str">
        <f>"9050034"</f>
        <v>9050034</v>
      </c>
      <c r="K2656">
        <v>2106197707</v>
      </c>
      <c r="L2656">
        <v>2106100887</v>
      </c>
      <c r="M2656" t="s">
        <v>8970</v>
      </c>
      <c r="N2656" t="s">
        <v>4600</v>
      </c>
      <c r="O2656" t="s">
        <v>8971</v>
      </c>
      <c r="P2656">
        <v>15124</v>
      </c>
      <c r="Q2656" t="str">
        <f>"38.038332"</f>
        <v>38.038332</v>
      </c>
      <c r="R2656" t="str">
        <f>"23.797166"</f>
        <v>23.797166</v>
      </c>
      <c r="S2656" t="s">
        <v>26</v>
      </c>
    </row>
    <row r="2657" spans="1:19" x14ac:dyDescent="0.3">
      <c r="A2657" t="s">
        <v>3237</v>
      </c>
      <c r="B2657" t="s">
        <v>8935</v>
      </c>
      <c r="C2657" t="s">
        <v>8972</v>
      </c>
      <c r="D2657" t="s">
        <v>3245</v>
      </c>
      <c r="E2657" t="s">
        <v>4591</v>
      </c>
      <c r="F2657" t="s">
        <v>4591</v>
      </c>
      <c r="G2657" t="s">
        <v>4591</v>
      </c>
      <c r="H2657" t="s">
        <v>868</v>
      </c>
      <c r="I2657" t="s">
        <v>869</v>
      </c>
      <c r="J2657" t="str">
        <f>"9051465"</f>
        <v>9051465</v>
      </c>
      <c r="K2657">
        <v>2108066515</v>
      </c>
      <c r="L2657">
        <v>2106147579</v>
      </c>
      <c r="M2657" t="s">
        <v>8973</v>
      </c>
      <c r="N2657" t="s">
        <v>4600</v>
      </c>
      <c r="O2657" t="s">
        <v>8974</v>
      </c>
      <c r="P2657">
        <v>15124</v>
      </c>
      <c r="Q2657" t="str">
        <f>"38.052044"</f>
        <v>38.052044</v>
      </c>
      <c r="R2657" t="str">
        <f>"23.802056"</f>
        <v>23.802056</v>
      </c>
      <c r="S2657" t="s">
        <v>26</v>
      </c>
    </row>
    <row r="2658" spans="1:19" x14ac:dyDescent="0.3">
      <c r="A2658" t="s">
        <v>3237</v>
      </c>
      <c r="B2658" t="s">
        <v>8935</v>
      </c>
      <c r="C2658" t="s">
        <v>4597</v>
      </c>
      <c r="D2658" t="s">
        <v>3245</v>
      </c>
      <c r="E2658" t="s">
        <v>4591</v>
      </c>
      <c r="F2658" t="s">
        <v>4591</v>
      </c>
      <c r="G2658" t="s">
        <v>4591</v>
      </c>
      <c r="H2658" t="s">
        <v>868</v>
      </c>
      <c r="I2658" t="s">
        <v>869</v>
      </c>
      <c r="J2658" t="str">
        <f>"9050032"</f>
        <v>9050032</v>
      </c>
      <c r="K2658">
        <v>2108020788</v>
      </c>
      <c r="L2658">
        <v>2108020788</v>
      </c>
      <c r="M2658" t="s">
        <v>8975</v>
      </c>
      <c r="N2658" t="s">
        <v>4600</v>
      </c>
      <c r="O2658" t="s">
        <v>8976</v>
      </c>
      <c r="P2658">
        <v>15125</v>
      </c>
      <c r="Q2658" t="str">
        <f>"38.050734"</f>
        <v>38.050734</v>
      </c>
      <c r="R2658" t="str">
        <f>"23.813628"</f>
        <v>23.813628</v>
      </c>
      <c r="S2658" t="s">
        <v>26</v>
      </c>
    </row>
    <row r="2659" spans="1:19" x14ac:dyDescent="0.3">
      <c r="A2659" t="s">
        <v>3237</v>
      </c>
      <c r="B2659" t="s">
        <v>8935</v>
      </c>
      <c r="C2659" t="s">
        <v>8990</v>
      </c>
      <c r="D2659" t="s">
        <v>3245</v>
      </c>
      <c r="E2659" t="s">
        <v>4586</v>
      </c>
      <c r="F2659" t="s">
        <v>4807</v>
      </c>
      <c r="G2659" t="s">
        <v>4807</v>
      </c>
      <c r="H2659" t="s">
        <v>868</v>
      </c>
      <c r="I2659" t="s">
        <v>869</v>
      </c>
      <c r="J2659" t="str">
        <f>"9050055"</f>
        <v>9050055</v>
      </c>
      <c r="K2659">
        <v>2108041260</v>
      </c>
      <c r="L2659">
        <v>2108041260</v>
      </c>
      <c r="M2659" t="s">
        <v>8991</v>
      </c>
      <c r="N2659" t="s">
        <v>4810</v>
      </c>
      <c r="O2659" t="s">
        <v>8992</v>
      </c>
      <c r="P2659">
        <v>15127</v>
      </c>
      <c r="Q2659" t="str">
        <f>"38.059810"</f>
        <v>38.059810</v>
      </c>
      <c r="R2659" t="str">
        <f>"23.835859"</f>
        <v>23.835859</v>
      </c>
      <c r="S2659" t="s">
        <v>26</v>
      </c>
    </row>
    <row r="2660" spans="1:19" x14ac:dyDescent="0.3">
      <c r="A2660" t="s">
        <v>3237</v>
      </c>
      <c r="B2660" t="s">
        <v>8935</v>
      </c>
      <c r="C2660" t="s">
        <v>4635</v>
      </c>
      <c r="D2660" t="s">
        <v>3245</v>
      </c>
      <c r="E2660" t="s">
        <v>4591</v>
      </c>
      <c r="F2660" t="s">
        <v>4591</v>
      </c>
      <c r="G2660" t="s">
        <v>4591</v>
      </c>
      <c r="H2660" t="s">
        <v>868</v>
      </c>
      <c r="I2660" t="s">
        <v>869</v>
      </c>
      <c r="J2660" t="str">
        <f>"9050036"</f>
        <v>9050036</v>
      </c>
      <c r="K2660">
        <v>2106814830</v>
      </c>
      <c r="L2660">
        <v>2106820748</v>
      </c>
      <c r="M2660" t="s">
        <v>8993</v>
      </c>
      <c r="N2660" t="s">
        <v>4600</v>
      </c>
      <c r="O2660" t="s">
        <v>8994</v>
      </c>
      <c r="P2660">
        <v>15123</v>
      </c>
      <c r="Q2660" t="str">
        <f>"38.030641"</f>
        <v>38.030641</v>
      </c>
      <c r="R2660" t="str">
        <f>"23.788187"</f>
        <v>23.788187</v>
      </c>
      <c r="S2660" t="s">
        <v>26</v>
      </c>
    </row>
    <row r="2661" spans="1:19" x14ac:dyDescent="0.3">
      <c r="A2661" t="s">
        <v>3237</v>
      </c>
      <c r="B2661" t="s">
        <v>8935</v>
      </c>
      <c r="C2661" t="s">
        <v>8995</v>
      </c>
      <c r="D2661" t="s">
        <v>3245</v>
      </c>
      <c r="E2661" t="s">
        <v>4591</v>
      </c>
      <c r="F2661" t="s">
        <v>4591</v>
      </c>
      <c r="G2661" t="s">
        <v>4591</v>
      </c>
      <c r="H2661" t="s">
        <v>868</v>
      </c>
      <c r="I2661" t="s">
        <v>869</v>
      </c>
      <c r="J2661" t="str">
        <f>"9051861"</f>
        <v>9051861</v>
      </c>
      <c r="K2661">
        <v>2106850760</v>
      </c>
      <c r="L2661">
        <v>2106850760</v>
      </c>
      <c r="M2661" t="s">
        <v>8996</v>
      </c>
      <c r="N2661" t="s">
        <v>4600</v>
      </c>
      <c r="O2661" t="s">
        <v>8997</v>
      </c>
      <c r="P2661">
        <v>15125</v>
      </c>
      <c r="Q2661" t="str">
        <f>"38.032947"</f>
        <v>38.032947</v>
      </c>
      <c r="R2661" t="str">
        <f>"23.815845"</f>
        <v>23.815845</v>
      </c>
      <c r="S2661" t="s">
        <v>26</v>
      </c>
    </row>
    <row r="2662" spans="1:19" x14ac:dyDescent="0.3">
      <c r="A2662" t="s">
        <v>3237</v>
      </c>
      <c r="B2662" t="s">
        <v>8935</v>
      </c>
      <c r="C2662" t="s">
        <v>4812</v>
      </c>
      <c r="D2662" t="s">
        <v>3245</v>
      </c>
      <c r="E2662" t="s">
        <v>4586</v>
      </c>
      <c r="F2662" t="s">
        <v>4807</v>
      </c>
      <c r="G2662" t="s">
        <v>4807</v>
      </c>
      <c r="H2662" t="s">
        <v>868</v>
      </c>
      <c r="I2662" t="s">
        <v>869</v>
      </c>
      <c r="J2662" t="str">
        <f>"9051114"</f>
        <v>9051114</v>
      </c>
      <c r="K2662">
        <v>2108047555</v>
      </c>
      <c r="L2662">
        <v>2108047555</v>
      </c>
      <c r="M2662" t="s">
        <v>8998</v>
      </c>
      <c r="N2662" t="s">
        <v>4810</v>
      </c>
      <c r="O2662" t="s">
        <v>8999</v>
      </c>
      <c r="P2662">
        <v>15127</v>
      </c>
      <c r="Q2662" t="str">
        <f>"38.060218"</f>
        <v>38.060218</v>
      </c>
      <c r="R2662" t="str">
        <f>"23.843865"</f>
        <v>23.843865</v>
      </c>
      <c r="S2662" t="s">
        <v>26</v>
      </c>
    </row>
    <row r="2663" spans="1:19" x14ac:dyDescent="0.3">
      <c r="A2663" t="s">
        <v>3237</v>
      </c>
      <c r="B2663" t="s">
        <v>8935</v>
      </c>
      <c r="C2663" t="s">
        <v>4865</v>
      </c>
      <c r="D2663" t="s">
        <v>3245</v>
      </c>
      <c r="E2663" t="s">
        <v>4591</v>
      </c>
      <c r="F2663" t="s">
        <v>4591</v>
      </c>
      <c r="G2663" t="s">
        <v>4591</v>
      </c>
      <c r="H2663" t="s">
        <v>868</v>
      </c>
      <c r="I2663" t="s">
        <v>869</v>
      </c>
      <c r="J2663" t="str">
        <f>"9050035"</f>
        <v>9050035</v>
      </c>
      <c r="K2663">
        <v>2106818264</v>
      </c>
      <c r="L2663">
        <v>2106818264</v>
      </c>
      <c r="M2663" t="s">
        <v>9000</v>
      </c>
      <c r="N2663" t="s">
        <v>4600</v>
      </c>
      <c r="O2663" t="s">
        <v>9001</v>
      </c>
      <c r="P2663">
        <v>15125</v>
      </c>
      <c r="Q2663" t="str">
        <f>"38.034344"</f>
        <v>38.034344</v>
      </c>
      <c r="R2663" t="str">
        <f>"23.801845"</f>
        <v>23.801845</v>
      </c>
      <c r="S2663" t="s">
        <v>26</v>
      </c>
    </row>
    <row r="2664" spans="1:19" x14ac:dyDescent="0.3">
      <c r="A2664" t="s">
        <v>3237</v>
      </c>
      <c r="B2664" t="s">
        <v>8935</v>
      </c>
      <c r="C2664" t="s">
        <v>9002</v>
      </c>
      <c r="D2664" t="s">
        <v>3245</v>
      </c>
      <c r="E2664" t="s">
        <v>4832</v>
      </c>
      <c r="F2664" t="s">
        <v>4832</v>
      </c>
      <c r="G2664" t="s">
        <v>4832</v>
      </c>
      <c r="H2664" t="s">
        <v>868</v>
      </c>
      <c r="I2664" t="s">
        <v>869</v>
      </c>
      <c r="J2664" t="str">
        <f>"9051117"</f>
        <v>9051117</v>
      </c>
      <c r="K2664">
        <v>2102826333</v>
      </c>
      <c r="L2664">
        <v>2102826333</v>
      </c>
      <c r="M2664" t="s">
        <v>9003</v>
      </c>
      <c r="N2664" t="s">
        <v>9004</v>
      </c>
      <c r="O2664" t="s">
        <v>9005</v>
      </c>
      <c r="P2664">
        <v>14451</v>
      </c>
      <c r="Q2664" t="str">
        <f>"38.055916"</f>
        <v>38.055916</v>
      </c>
      <c r="R2664" t="str">
        <f>"23.747882"</f>
        <v>23.747882</v>
      </c>
      <c r="S2664" t="s">
        <v>26</v>
      </c>
    </row>
    <row r="2665" spans="1:19" x14ac:dyDescent="0.3">
      <c r="A2665" t="s">
        <v>3237</v>
      </c>
      <c r="B2665" t="s">
        <v>8935</v>
      </c>
      <c r="C2665" t="s">
        <v>9006</v>
      </c>
      <c r="D2665" t="s">
        <v>3245</v>
      </c>
      <c r="E2665" t="s">
        <v>4618</v>
      </c>
      <c r="F2665" t="s">
        <v>4618</v>
      </c>
      <c r="G2665" t="s">
        <v>4618</v>
      </c>
      <c r="H2665" t="s">
        <v>868</v>
      </c>
      <c r="I2665" t="s">
        <v>869</v>
      </c>
      <c r="J2665" t="str">
        <f>"9051116"</f>
        <v>9051116</v>
      </c>
      <c r="K2665">
        <v>2102753868</v>
      </c>
      <c r="L2665">
        <v>2102753868</v>
      </c>
      <c r="M2665" t="s">
        <v>9007</v>
      </c>
      <c r="N2665" t="s">
        <v>4621</v>
      </c>
      <c r="O2665" t="s">
        <v>9008</v>
      </c>
      <c r="P2665">
        <v>14121</v>
      </c>
      <c r="Q2665" t="str">
        <f>"38.039616"</f>
        <v>38.039616</v>
      </c>
      <c r="R2665" t="str">
        <f>"23.773525"</f>
        <v>23.773525</v>
      </c>
      <c r="S2665" t="s">
        <v>26</v>
      </c>
    </row>
    <row r="2666" spans="1:19" x14ac:dyDescent="0.3">
      <c r="A2666" t="s">
        <v>3237</v>
      </c>
      <c r="B2666" t="s">
        <v>8935</v>
      </c>
      <c r="C2666" t="s">
        <v>9012</v>
      </c>
      <c r="D2666" t="s">
        <v>3245</v>
      </c>
      <c r="E2666" t="s">
        <v>4591</v>
      </c>
      <c r="F2666" t="s">
        <v>4591</v>
      </c>
      <c r="G2666" t="s">
        <v>4591</v>
      </c>
      <c r="H2666" t="s">
        <v>868</v>
      </c>
      <c r="I2666" t="s">
        <v>869</v>
      </c>
      <c r="J2666" t="str">
        <f>"9050956"</f>
        <v>9050956</v>
      </c>
      <c r="K2666">
        <v>2108024452</v>
      </c>
      <c r="L2666">
        <v>2108024452</v>
      </c>
      <c r="M2666" t="s">
        <v>9013</v>
      </c>
      <c r="N2666" t="s">
        <v>4600</v>
      </c>
      <c r="O2666" t="s">
        <v>8976</v>
      </c>
      <c r="P2666">
        <v>15125</v>
      </c>
      <c r="Q2666" t="str">
        <f>"38.050734"</f>
        <v>38.050734</v>
      </c>
      <c r="R2666" t="str">
        <f>"23.813628"</f>
        <v>23.813628</v>
      </c>
      <c r="S2666" t="s">
        <v>26</v>
      </c>
    </row>
    <row r="2667" spans="1:19" x14ac:dyDescent="0.3">
      <c r="A2667" t="s">
        <v>3237</v>
      </c>
      <c r="B2667" t="s">
        <v>8935</v>
      </c>
      <c r="C2667" t="s">
        <v>4762</v>
      </c>
      <c r="D2667" t="s">
        <v>3245</v>
      </c>
      <c r="E2667" t="s">
        <v>4048</v>
      </c>
      <c r="F2667" t="s">
        <v>4048</v>
      </c>
      <c r="G2667" t="s">
        <v>4048</v>
      </c>
      <c r="H2667" t="s">
        <v>868</v>
      </c>
      <c r="I2667" t="s">
        <v>869</v>
      </c>
      <c r="J2667" t="str">
        <f>"9050044"</f>
        <v>9050044</v>
      </c>
      <c r="K2667">
        <v>2108019857</v>
      </c>
      <c r="M2667" t="s">
        <v>9016</v>
      </c>
      <c r="N2667" t="s">
        <v>4605</v>
      </c>
      <c r="O2667" t="s">
        <v>9017</v>
      </c>
      <c r="P2667">
        <v>14561</v>
      </c>
      <c r="Q2667" t="str">
        <f>"38.077167"</f>
        <v>38.077167</v>
      </c>
      <c r="R2667" t="str">
        <f>"23.799321"</f>
        <v>23.799321</v>
      </c>
      <c r="S2667" t="s">
        <v>26</v>
      </c>
    </row>
    <row r="2668" spans="1:19" x14ac:dyDescent="0.3">
      <c r="A2668" t="s">
        <v>3237</v>
      </c>
      <c r="B2668" t="s">
        <v>8935</v>
      </c>
      <c r="C2668" t="s">
        <v>9018</v>
      </c>
      <c r="D2668" t="s">
        <v>3245</v>
      </c>
      <c r="E2668" t="s">
        <v>4768</v>
      </c>
      <c r="F2668" t="s">
        <v>4766</v>
      </c>
      <c r="G2668" t="s">
        <v>4766</v>
      </c>
      <c r="H2668" t="s">
        <v>868</v>
      </c>
      <c r="I2668" t="s">
        <v>869</v>
      </c>
      <c r="J2668" t="str">
        <f>"9050954"</f>
        <v>9050954</v>
      </c>
      <c r="K2668">
        <v>2106523215</v>
      </c>
      <c r="L2668">
        <v>2106523215</v>
      </c>
      <c r="M2668" t="s">
        <v>9019</v>
      </c>
      <c r="N2668" t="s">
        <v>4771</v>
      </c>
      <c r="O2668" t="s">
        <v>9020</v>
      </c>
      <c r="P2668">
        <v>15562</v>
      </c>
      <c r="Q2668" t="str">
        <f>"37.998582"</f>
        <v>37.998582</v>
      </c>
      <c r="R2668" t="str">
        <f>"23.806576"</f>
        <v>23.806576</v>
      </c>
      <c r="S2668" t="s">
        <v>26</v>
      </c>
    </row>
    <row r="2669" spans="1:19" x14ac:dyDescent="0.3">
      <c r="A2669" t="s">
        <v>3237</v>
      </c>
      <c r="B2669" t="s">
        <v>8935</v>
      </c>
      <c r="C2669" t="s">
        <v>9022</v>
      </c>
      <c r="D2669" t="s">
        <v>3245</v>
      </c>
      <c r="E2669" t="s">
        <v>4713</v>
      </c>
      <c r="F2669" t="s">
        <v>4714</v>
      </c>
      <c r="G2669" t="s">
        <v>4714</v>
      </c>
      <c r="H2669" t="s">
        <v>868</v>
      </c>
      <c r="I2669" t="s">
        <v>869</v>
      </c>
      <c r="J2669" t="str">
        <f>"9050053"</f>
        <v>9050053</v>
      </c>
      <c r="K2669">
        <v>2108068520</v>
      </c>
      <c r="L2669">
        <v>2108068520</v>
      </c>
      <c r="M2669" t="s">
        <v>9023</v>
      </c>
      <c r="N2669" t="s">
        <v>4717</v>
      </c>
      <c r="O2669" t="s">
        <v>9024</v>
      </c>
      <c r="P2669">
        <v>15121</v>
      </c>
      <c r="Q2669" t="str">
        <f>"38.065781"</f>
        <v>38.065781</v>
      </c>
      <c r="R2669" t="str">
        <f>"23.800505"</f>
        <v>23.800505</v>
      </c>
      <c r="S2669" t="s">
        <v>26</v>
      </c>
    </row>
    <row r="2670" spans="1:19" x14ac:dyDescent="0.3">
      <c r="A2670" t="s">
        <v>3237</v>
      </c>
      <c r="B2670" t="s">
        <v>8935</v>
      </c>
      <c r="C2670" t="s">
        <v>9033</v>
      </c>
      <c r="D2670" t="s">
        <v>3245</v>
      </c>
      <c r="E2670" t="s">
        <v>4768</v>
      </c>
      <c r="F2670" t="s">
        <v>4766</v>
      </c>
      <c r="G2670" t="s">
        <v>4766</v>
      </c>
      <c r="H2670" t="s">
        <v>868</v>
      </c>
      <c r="I2670" t="s">
        <v>869</v>
      </c>
      <c r="J2670" t="str">
        <f>"9051535"</f>
        <v>9051535</v>
      </c>
      <c r="K2670">
        <v>2106526765</v>
      </c>
      <c r="L2670">
        <v>2106526765</v>
      </c>
      <c r="M2670" t="s">
        <v>9034</v>
      </c>
      <c r="N2670" t="s">
        <v>4771</v>
      </c>
      <c r="O2670" t="s">
        <v>9035</v>
      </c>
      <c r="P2670">
        <v>15561</v>
      </c>
      <c r="Q2670" t="str">
        <f>"37.996704"</f>
        <v>37.996704</v>
      </c>
      <c r="R2670" t="str">
        <f>"23.796489"</f>
        <v>23.796489</v>
      </c>
      <c r="S2670" t="s">
        <v>26</v>
      </c>
    </row>
    <row r="2671" spans="1:19" x14ac:dyDescent="0.3">
      <c r="A2671" t="s">
        <v>3237</v>
      </c>
      <c r="B2671" t="s">
        <v>8935</v>
      </c>
      <c r="C2671" t="s">
        <v>9039</v>
      </c>
      <c r="D2671" t="s">
        <v>3245</v>
      </c>
      <c r="E2671" t="s">
        <v>4048</v>
      </c>
      <c r="F2671" t="s">
        <v>4048</v>
      </c>
      <c r="G2671" t="s">
        <v>4048</v>
      </c>
      <c r="H2671" t="s">
        <v>868</v>
      </c>
      <c r="I2671" t="s">
        <v>869</v>
      </c>
      <c r="J2671" t="str">
        <f>"9050930"</f>
        <v>9050930</v>
      </c>
      <c r="K2671">
        <v>2108018256</v>
      </c>
      <c r="L2671">
        <v>2108018256</v>
      </c>
      <c r="M2671" t="s">
        <v>9040</v>
      </c>
      <c r="N2671" t="s">
        <v>4605</v>
      </c>
      <c r="O2671" t="s">
        <v>9041</v>
      </c>
      <c r="P2671">
        <v>14562</v>
      </c>
      <c r="Q2671" t="str">
        <f>"38.066467"</f>
        <v>38.066467</v>
      </c>
      <c r="R2671" t="str">
        <f>"23.830954"</f>
        <v>23.830954</v>
      </c>
      <c r="S2671" t="s">
        <v>26</v>
      </c>
    </row>
    <row r="2672" spans="1:19" x14ac:dyDescent="0.3">
      <c r="A2672" t="s">
        <v>3237</v>
      </c>
      <c r="B2672" t="s">
        <v>8935</v>
      </c>
      <c r="C2672" t="s">
        <v>9047</v>
      </c>
      <c r="D2672" t="s">
        <v>3245</v>
      </c>
      <c r="E2672" t="s">
        <v>4591</v>
      </c>
      <c r="F2672" t="s">
        <v>4591</v>
      </c>
      <c r="G2672" t="s">
        <v>4591</v>
      </c>
      <c r="H2672" t="s">
        <v>868</v>
      </c>
      <c r="I2672" t="s">
        <v>1157</v>
      </c>
      <c r="J2672" t="str">
        <f>"9051537"</f>
        <v>9051537</v>
      </c>
      <c r="K2672">
        <v>2106143318</v>
      </c>
      <c r="L2672">
        <v>2106143656</v>
      </c>
      <c r="M2672" t="s">
        <v>9048</v>
      </c>
      <c r="N2672" t="s">
        <v>4595</v>
      </c>
      <c r="O2672" t="s">
        <v>9049</v>
      </c>
      <c r="P2672">
        <v>15126</v>
      </c>
      <c r="Q2672" t="str">
        <f>"38.051347"</f>
        <v>38.051347</v>
      </c>
      <c r="R2672" t="str">
        <f>"23.821365"</f>
        <v>23.821365</v>
      </c>
      <c r="S2672" t="s">
        <v>26</v>
      </c>
    </row>
    <row r="2673" spans="1:19" x14ac:dyDescent="0.3">
      <c r="A2673" t="s">
        <v>3237</v>
      </c>
      <c r="B2673" t="s">
        <v>8935</v>
      </c>
      <c r="C2673" t="s">
        <v>9063</v>
      </c>
      <c r="D2673" t="s">
        <v>3245</v>
      </c>
      <c r="E2673" t="s">
        <v>152</v>
      </c>
      <c r="F2673" t="s">
        <v>152</v>
      </c>
      <c r="G2673" t="s">
        <v>152</v>
      </c>
      <c r="H2673" t="s">
        <v>868</v>
      </c>
      <c r="I2673" t="s">
        <v>869</v>
      </c>
      <c r="J2673" t="str">
        <f>"9051363"</f>
        <v>9051363</v>
      </c>
      <c r="K2673">
        <v>2106014032</v>
      </c>
      <c r="L2673">
        <v>2106014032</v>
      </c>
      <c r="M2673" t="s">
        <v>9064</v>
      </c>
      <c r="N2673" t="s">
        <v>9065</v>
      </c>
      <c r="O2673" t="s">
        <v>9066</v>
      </c>
      <c r="P2673">
        <v>15342</v>
      </c>
      <c r="Q2673" t="str">
        <f>"38.011482"</f>
        <v>38.011482</v>
      </c>
      <c r="R2673" t="str">
        <f>"23.829685"</f>
        <v>23.829685</v>
      </c>
      <c r="S2673" t="s">
        <v>26</v>
      </c>
    </row>
    <row r="2674" spans="1:19" x14ac:dyDescent="0.3">
      <c r="A2674" t="s">
        <v>3237</v>
      </c>
      <c r="B2674" t="s">
        <v>8935</v>
      </c>
      <c r="C2674" t="s">
        <v>9067</v>
      </c>
      <c r="D2674" t="s">
        <v>3245</v>
      </c>
      <c r="E2674" t="s">
        <v>4591</v>
      </c>
      <c r="F2674" t="s">
        <v>4591</v>
      </c>
      <c r="G2674" t="s">
        <v>4591</v>
      </c>
      <c r="H2674" t="s">
        <v>868</v>
      </c>
      <c r="I2674" t="s">
        <v>869</v>
      </c>
      <c r="J2674" t="str">
        <f>"9051365"</f>
        <v>9051365</v>
      </c>
      <c r="K2674">
        <v>2106109809</v>
      </c>
      <c r="L2674">
        <v>2106109809</v>
      </c>
      <c r="M2674" t="s">
        <v>9068</v>
      </c>
      <c r="N2674" t="s">
        <v>4600</v>
      </c>
      <c r="O2674" t="s">
        <v>9069</v>
      </c>
      <c r="P2674">
        <v>15126</v>
      </c>
      <c r="Q2674" t="str">
        <f>"38.041731"</f>
        <v>38.041731</v>
      </c>
      <c r="R2674" t="str">
        <f>"23.823465"</f>
        <v>23.823465</v>
      </c>
      <c r="S2674" t="s">
        <v>26</v>
      </c>
    </row>
    <row r="2675" spans="1:19" x14ac:dyDescent="0.3">
      <c r="A2675" t="s">
        <v>3237</v>
      </c>
      <c r="B2675" t="s">
        <v>8935</v>
      </c>
      <c r="C2675" t="s">
        <v>4773</v>
      </c>
      <c r="D2675" t="s">
        <v>3245</v>
      </c>
      <c r="E2675" t="s">
        <v>4768</v>
      </c>
      <c r="F2675" t="s">
        <v>4766</v>
      </c>
      <c r="G2675" t="s">
        <v>4766</v>
      </c>
      <c r="H2675" t="s">
        <v>868</v>
      </c>
      <c r="I2675" t="s">
        <v>869</v>
      </c>
      <c r="J2675" t="str">
        <f>"9050085"</f>
        <v>9050085</v>
      </c>
      <c r="K2675">
        <v>2106512220</v>
      </c>
      <c r="L2675">
        <v>2106512220</v>
      </c>
      <c r="M2675" t="s">
        <v>9070</v>
      </c>
      <c r="N2675" t="s">
        <v>4771</v>
      </c>
      <c r="O2675" t="s">
        <v>9071</v>
      </c>
      <c r="P2675">
        <v>15562</v>
      </c>
      <c r="Q2675" t="str">
        <f>"37.998700"</f>
        <v>37.998700</v>
      </c>
      <c r="R2675" t="str">
        <f>"23.806598"</f>
        <v>23.806598</v>
      </c>
      <c r="S2675" t="s">
        <v>26</v>
      </c>
    </row>
    <row r="2676" spans="1:19" x14ac:dyDescent="0.3">
      <c r="A2676" t="s">
        <v>3237</v>
      </c>
      <c r="B2676" t="s">
        <v>8935</v>
      </c>
      <c r="C2676" t="s">
        <v>4822</v>
      </c>
      <c r="D2676" t="s">
        <v>3245</v>
      </c>
      <c r="E2676" t="s">
        <v>4586</v>
      </c>
      <c r="F2676" t="s">
        <v>4807</v>
      </c>
      <c r="G2676" t="s">
        <v>4807</v>
      </c>
      <c r="H2676" t="s">
        <v>868</v>
      </c>
      <c r="I2676" t="s">
        <v>869</v>
      </c>
      <c r="J2676" t="str">
        <f>"9050045"</f>
        <v>9050045</v>
      </c>
      <c r="K2676">
        <v>2108042342</v>
      </c>
      <c r="L2676">
        <v>2108042342</v>
      </c>
      <c r="M2676" t="s">
        <v>9072</v>
      </c>
      <c r="N2676" t="s">
        <v>4810</v>
      </c>
      <c r="O2676" t="s">
        <v>9073</v>
      </c>
      <c r="P2676">
        <v>15127</v>
      </c>
      <c r="Q2676" t="str">
        <f>"38.050296"</f>
        <v>38.050296</v>
      </c>
      <c r="R2676" t="str">
        <f>"23.836843"</f>
        <v>23.836843</v>
      </c>
      <c r="S2676" t="s">
        <v>26</v>
      </c>
    </row>
    <row r="2677" spans="1:19" x14ac:dyDescent="0.3">
      <c r="A2677" t="s">
        <v>3237</v>
      </c>
      <c r="B2677" t="s">
        <v>8935</v>
      </c>
      <c r="C2677" t="s">
        <v>4896</v>
      </c>
      <c r="D2677" t="s">
        <v>3245</v>
      </c>
      <c r="E2677" t="s">
        <v>3246</v>
      </c>
      <c r="F2677" t="s">
        <v>3246</v>
      </c>
      <c r="G2677" t="s">
        <v>3246</v>
      </c>
      <c r="H2677" t="s">
        <v>868</v>
      </c>
      <c r="I2677" t="s">
        <v>869</v>
      </c>
      <c r="J2677" t="str">
        <f>"9050495"</f>
        <v>9050495</v>
      </c>
      <c r="K2677">
        <v>2102779545</v>
      </c>
      <c r="L2677">
        <v>2102799031</v>
      </c>
      <c r="M2677" t="s">
        <v>9079</v>
      </c>
      <c r="N2677" t="s">
        <v>3249</v>
      </c>
      <c r="O2677" t="s">
        <v>9080</v>
      </c>
      <c r="P2677">
        <v>14231</v>
      </c>
      <c r="Q2677" t="str">
        <f>"38.049407"</f>
        <v>38.049407</v>
      </c>
      <c r="R2677" t="str">
        <f>"23.750475"</f>
        <v>23.750475</v>
      </c>
      <c r="S2677" t="s">
        <v>26</v>
      </c>
    </row>
    <row r="2678" spans="1:19" x14ac:dyDescent="0.3">
      <c r="A2678" t="s">
        <v>3237</v>
      </c>
      <c r="B2678" t="s">
        <v>8935</v>
      </c>
      <c r="C2678" t="s">
        <v>9081</v>
      </c>
      <c r="D2678" t="s">
        <v>3245</v>
      </c>
      <c r="E2678" t="s">
        <v>4048</v>
      </c>
      <c r="F2678" t="s">
        <v>4048</v>
      </c>
      <c r="G2678" t="s">
        <v>4048</v>
      </c>
      <c r="H2678" t="s">
        <v>868</v>
      </c>
      <c r="I2678" t="s">
        <v>869</v>
      </c>
      <c r="J2678" t="str">
        <f>"9051330"</f>
        <v>9051330</v>
      </c>
      <c r="K2678">
        <v>2108089194</v>
      </c>
      <c r="L2678">
        <v>2108089195</v>
      </c>
      <c r="M2678" t="s">
        <v>9082</v>
      </c>
      <c r="N2678" t="s">
        <v>4605</v>
      </c>
      <c r="O2678" t="s">
        <v>9083</v>
      </c>
      <c r="P2678">
        <v>14561</v>
      </c>
      <c r="Q2678" t="str">
        <f>"38.072760"</f>
        <v>38.072760</v>
      </c>
      <c r="R2678" t="str">
        <f>"23.797469"</f>
        <v>23.797469</v>
      </c>
      <c r="S2678" t="s">
        <v>26</v>
      </c>
    </row>
    <row r="2679" spans="1:19" x14ac:dyDescent="0.3">
      <c r="A2679" t="s">
        <v>3237</v>
      </c>
      <c r="B2679" t="s">
        <v>8935</v>
      </c>
      <c r="C2679" t="s">
        <v>4945</v>
      </c>
      <c r="D2679" t="s">
        <v>3245</v>
      </c>
      <c r="E2679" t="s">
        <v>4670</v>
      </c>
      <c r="F2679" t="s">
        <v>3344</v>
      </c>
      <c r="G2679" t="s">
        <v>3344</v>
      </c>
      <c r="H2679" t="s">
        <v>868</v>
      </c>
      <c r="I2679" t="s">
        <v>869</v>
      </c>
      <c r="J2679" t="str">
        <f>"9050023"</f>
        <v>9050023</v>
      </c>
      <c r="K2679">
        <v>2106712207</v>
      </c>
      <c r="L2679">
        <v>2106722877</v>
      </c>
      <c r="M2679" t="s">
        <v>9084</v>
      </c>
      <c r="N2679" t="s">
        <v>4788</v>
      </c>
      <c r="O2679" t="s">
        <v>9085</v>
      </c>
      <c r="P2679">
        <v>15452</v>
      </c>
      <c r="Q2679" t="str">
        <f>"38.009813"</f>
        <v>38.009813</v>
      </c>
      <c r="R2679" t="str">
        <f>"23.771303"</f>
        <v>23.771303</v>
      </c>
      <c r="S2679" t="s">
        <v>26</v>
      </c>
    </row>
    <row r="2680" spans="1:19" x14ac:dyDescent="0.3">
      <c r="A2680" t="s">
        <v>3237</v>
      </c>
      <c r="B2680" t="s">
        <v>8935</v>
      </c>
      <c r="C2680" t="s">
        <v>9089</v>
      </c>
      <c r="D2680" t="s">
        <v>3245</v>
      </c>
      <c r="E2680" t="s">
        <v>4591</v>
      </c>
      <c r="F2680" t="s">
        <v>4591</v>
      </c>
      <c r="G2680" t="s">
        <v>4591</v>
      </c>
      <c r="H2680" t="s">
        <v>868</v>
      </c>
      <c r="I2680" t="s">
        <v>869</v>
      </c>
      <c r="J2680" t="str">
        <f>"9050037"</f>
        <v>9050037</v>
      </c>
      <c r="K2680">
        <v>2108052552</v>
      </c>
      <c r="L2680">
        <v>2108025807</v>
      </c>
      <c r="M2680" t="s">
        <v>9090</v>
      </c>
      <c r="N2680" t="s">
        <v>4600</v>
      </c>
      <c r="O2680" t="s">
        <v>9091</v>
      </c>
      <c r="P2680">
        <v>15124</v>
      </c>
      <c r="Q2680" t="str">
        <f>"38.050117"</f>
        <v>38.050117</v>
      </c>
      <c r="R2680" t="str">
        <f>"23.806243"</f>
        <v>23.806243</v>
      </c>
      <c r="S2680" t="s">
        <v>26</v>
      </c>
    </row>
    <row r="2681" spans="1:19" x14ac:dyDescent="0.3">
      <c r="A2681" t="s">
        <v>3237</v>
      </c>
      <c r="B2681" t="s">
        <v>8935</v>
      </c>
      <c r="C2681" t="s">
        <v>5032</v>
      </c>
      <c r="D2681" t="s">
        <v>3245</v>
      </c>
      <c r="E2681" t="s">
        <v>4768</v>
      </c>
      <c r="F2681" t="s">
        <v>5028</v>
      </c>
      <c r="G2681" t="s">
        <v>5028</v>
      </c>
      <c r="H2681" t="s">
        <v>868</v>
      </c>
      <c r="I2681" t="s">
        <v>869</v>
      </c>
      <c r="J2681" t="str">
        <f>"9050084"</f>
        <v>9050084</v>
      </c>
      <c r="K2681">
        <v>2106510338</v>
      </c>
      <c r="L2681">
        <v>2106510338</v>
      </c>
      <c r="M2681" t="s">
        <v>9092</v>
      </c>
      <c r="N2681" t="s">
        <v>5028</v>
      </c>
      <c r="O2681" t="s">
        <v>9093</v>
      </c>
      <c r="P2681">
        <v>15669</v>
      </c>
      <c r="Q2681" t="str">
        <f>"37.990625"</f>
        <v>37.990625</v>
      </c>
      <c r="R2681" t="str">
        <f>"23.788904"</f>
        <v>23.788904</v>
      </c>
      <c r="S2681" t="s">
        <v>26</v>
      </c>
    </row>
    <row r="2682" spans="1:19" x14ac:dyDescent="0.3">
      <c r="A2682" t="s">
        <v>3237</v>
      </c>
      <c r="B2682" t="s">
        <v>8935</v>
      </c>
      <c r="C2682" t="s">
        <v>4617</v>
      </c>
      <c r="D2682" t="s">
        <v>3245</v>
      </c>
      <c r="E2682" t="s">
        <v>4586</v>
      </c>
      <c r="F2682" t="s">
        <v>4612</v>
      </c>
      <c r="G2682" t="s">
        <v>4612</v>
      </c>
      <c r="H2682" t="s">
        <v>868</v>
      </c>
      <c r="I2682" t="s">
        <v>869</v>
      </c>
      <c r="J2682" t="str">
        <f>"9050050"</f>
        <v>9050050</v>
      </c>
      <c r="K2682">
        <v>2108040470</v>
      </c>
      <c r="L2682">
        <v>2108040470</v>
      </c>
      <c r="M2682" t="s">
        <v>9094</v>
      </c>
      <c r="N2682" t="s">
        <v>4615</v>
      </c>
      <c r="O2682" t="s">
        <v>9095</v>
      </c>
      <c r="P2682">
        <v>15239</v>
      </c>
      <c r="Q2682" t="str">
        <f>"38.057278"</f>
        <v>38.057278</v>
      </c>
      <c r="R2682" t="str">
        <f>"23.858405"</f>
        <v>23.858405</v>
      </c>
      <c r="S2682" t="s">
        <v>26</v>
      </c>
    </row>
    <row r="2683" spans="1:19" x14ac:dyDescent="0.3">
      <c r="A2683" t="s">
        <v>3237</v>
      </c>
      <c r="B2683" t="s">
        <v>8935</v>
      </c>
      <c r="C2683" t="s">
        <v>9096</v>
      </c>
      <c r="D2683" t="s">
        <v>3245</v>
      </c>
      <c r="E2683" t="s">
        <v>4649</v>
      </c>
      <c r="F2683" t="s">
        <v>4649</v>
      </c>
      <c r="G2683" t="s">
        <v>4649</v>
      </c>
      <c r="H2683" t="s">
        <v>868</v>
      </c>
      <c r="I2683" t="s">
        <v>869</v>
      </c>
      <c r="J2683" t="str">
        <f>"9050070"</f>
        <v>9050070</v>
      </c>
      <c r="K2683">
        <v>2106812120</v>
      </c>
      <c r="L2683">
        <v>2106812179</v>
      </c>
      <c r="M2683" t="s">
        <v>9097</v>
      </c>
      <c r="N2683" t="s">
        <v>4652</v>
      </c>
      <c r="O2683" t="s">
        <v>9098</v>
      </c>
      <c r="P2683">
        <v>15234</v>
      </c>
      <c r="Q2683" t="str">
        <f>"38.022201"</f>
        <v>38.022201</v>
      </c>
      <c r="R2683" t="str">
        <f>"23.805235"</f>
        <v>23.805235</v>
      </c>
      <c r="S2683" t="s">
        <v>26</v>
      </c>
    </row>
    <row r="2684" spans="1:19" x14ac:dyDescent="0.3">
      <c r="A2684" t="s">
        <v>3237</v>
      </c>
      <c r="B2684" t="s">
        <v>8935</v>
      </c>
      <c r="C2684" t="s">
        <v>4746</v>
      </c>
      <c r="D2684" t="s">
        <v>3245</v>
      </c>
      <c r="E2684" t="s">
        <v>4649</v>
      </c>
      <c r="F2684" t="s">
        <v>4649</v>
      </c>
      <c r="G2684" t="s">
        <v>4649</v>
      </c>
      <c r="H2684" t="s">
        <v>868</v>
      </c>
      <c r="I2684" t="s">
        <v>869</v>
      </c>
      <c r="J2684" t="str">
        <f>"9050072"</f>
        <v>9050072</v>
      </c>
      <c r="K2684">
        <v>2106813036</v>
      </c>
      <c r="L2684">
        <v>2130412766</v>
      </c>
      <c r="M2684" t="s">
        <v>9099</v>
      </c>
      <c r="N2684" t="s">
        <v>4652</v>
      </c>
      <c r="O2684" t="s">
        <v>9100</v>
      </c>
      <c r="P2684">
        <v>15232</v>
      </c>
      <c r="Q2684" t="str">
        <f>"38.015155"</f>
        <v>38.015155</v>
      </c>
      <c r="R2684" t="str">
        <f>"23.799187"</f>
        <v>23.799187</v>
      </c>
      <c r="S2684" t="s">
        <v>26</v>
      </c>
    </row>
    <row r="2685" spans="1:19" x14ac:dyDescent="0.3">
      <c r="A2685" t="s">
        <v>3237</v>
      </c>
      <c r="B2685" t="s">
        <v>8935</v>
      </c>
      <c r="C2685" t="s">
        <v>4602</v>
      </c>
      <c r="D2685" t="s">
        <v>3245</v>
      </c>
      <c r="E2685" t="s">
        <v>4591</v>
      </c>
      <c r="F2685" t="s">
        <v>4591</v>
      </c>
      <c r="G2685" t="s">
        <v>4591</v>
      </c>
      <c r="H2685" t="s">
        <v>868</v>
      </c>
      <c r="I2685" t="s">
        <v>869</v>
      </c>
      <c r="J2685" t="str">
        <f>"9050038"</f>
        <v>9050038</v>
      </c>
      <c r="K2685">
        <v>2106140681</v>
      </c>
      <c r="L2685">
        <v>2106140681</v>
      </c>
      <c r="M2685" t="s">
        <v>9104</v>
      </c>
      <c r="N2685" t="s">
        <v>4600</v>
      </c>
      <c r="O2685" t="s">
        <v>9105</v>
      </c>
      <c r="P2685">
        <v>15122</v>
      </c>
      <c r="Q2685" t="str">
        <f>"38.051994"</f>
        <v>38.051994</v>
      </c>
      <c r="R2685" t="str">
        <f>"23.795325"</f>
        <v>23.795325</v>
      </c>
      <c r="S2685" t="s">
        <v>26</v>
      </c>
    </row>
    <row r="2686" spans="1:19" x14ac:dyDescent="0.3">
      <c r="A2686" t="s">
        <v>3237</v>
      </c>
      <c r="B2686" t="s">
        <v>8935</v>
      </c>
      <c r="C2686" t="s">
        <v>9106</v>
      </c>
      <c r="D2686" t="s">
        <v>3245</v>
      </c>
      <c r="E2686" t="s">
        <v>3246</v>
      </c>
      <c r="F2686" t="s">
        <v>3246</v>
      </c>
      <c r="G2686" t="s">
        <v>3246</v>
      </c>
      <c r="H2686" t="s">
        <v>868</v>
      </c>
      <c r="I2686" t="s">
        <v>869</v>
      </c>
      <c r="J2686" t="str">
        <f>"9050485"</f>
        <v>9050485</v>
      </c>
      <c r="K2686">
        <v>2102799029</v>
      </c>
      <c r="L2686">
        <v>2102799130</v>
      </c>
      <c r="M2686" t="s">
        <v>9107</v>
      </c>
      <c r="N2686" t="s">
        <v>3249</v>
      </c>
      <c r="O2686" t="s">
        <v>9108</v>
      </c>
      <c r="P2686">
        <v>14231</v>
      </c>
      <c r="Q2686" t="str">
        <f>"38.041398"</f>
        <v>38.041398</v>
      </c>
      <c r="R2686" t="str">
        <f>"23.750867"</f>
        <v>23.750867</v>
      </c>
      <c r="S2686" t="s">
        <v>26</v>
      </c>
    </row>
    <row r="2687" spans="1:19" x14ac:dyDescent="0.3">
      <c r="A2687" t="s">
        <v>3237</v>
      </c>
      <c r="B2687" t="s">
        <v>8935</v>
      </c>
      <c r="C2687" t="s">
        <v>4958</v>
      </c>
      <c r="D2687" t="s">
        <v>3245</v>
      </c>
      <c r="E2687" t="s">
        <v>4670</v>
      </c>
      <c r="F2687" t="s">
        <v>3721</v>
      </c>
      <c r="G2687" t="s">
        <v>3721</v>
      </c>
      <c r="H2687" t="s">
        <v>868</v>
      </c>
      <c r="I2687" t="s">
        <v>869</v>
      </c>
      <c r="J2687" t="str">
        <f>"9050027"</f>
        <v>9050027</v>
      </c>
      <c r="K2687">
        <v>2106725142</v>
      </c>
      <c r="L2687">
        <v>2106725142</v>
      </c>
      <c r="M2687" t="s">
        <v>9109</v>
      </c>
      <c r="N2687" t="s">
        <v>4936</v>
      </c>
      <c r="O2687" t="s">
        <v>9110</v>
      </c>
      <c r="P2687">
        <v>15451</v>
      </c>
      <c r="Q2687" t="str">
        <f>"38.003226"</f>
        <v>38.003226</v>
      </c>
      <c r="R2687" t="str">
        <f>"23.784025"</f>
        <v>23.784025</v>
      </c>
      <c r="S2687" t="s">
        <v>26</v>
      </c>
    </row>
    <row r="2688" spans="1:19" x14ac:dyDescent="0.3">
      <c r="A2688" t="s">
        <v>3237</v>
      </c>
      <c r="B2688" t="s">
        <v>8935</v>
      </c>
      <c r="C2688" t="s">
        <v>4654</v>
      </c>
      <c r="D2688" t="s">
        <v>3245</v>
      </c>
      <c r="E2688" t="s">
        <v>4649</v>
      </c>
      <c r="F2688" t="s">
        <v>4649</v>
      </c>
      <c r="G2688" t="s">
        <v>4649</v>
      </c>
      <c r="H2688" t="s">
        <v>868</v>
      </c>
      <c r="I2688" t="s">
        <v>869</v>
      </c>
      <c r="J2688" t="str">
        <f>"9050071"</f>
        <v>9050071</v>
      </c>
      <c r="K2688">
        <v>2106811564</v>
      </c>
      <c r="M2688" t="s">
        <v>9112</v>
      </c>
      <c r="N2688" t="s">
        <v>4652</v>
      </c>
      <c r="O2688" t="s">
        <v>9113</v>
      </c>
      <c r="P2688">
        <v>15233</v>
      </c>
      <c r="Q2688" t="str">
        <f>"38.028848"</f>
        <v>38.028848</v>
      </c>
      <c r="R2688" t="str">
        <f>"23.796093"</f>
        <v>23.796093</v>
      </c>
      <c r="S2688" t="s">
        <v>26</v>
      </c>
    </row>
    <row r="2689" spans="1:19" x14ac:dyDescent="0.3">
      <c r="A2689" t="s">
        <v>3237</v>
      </c>
      <c r="B2689" t="s">
        <v>8935</v>
      </c>
      <c r="C2689" t="s">
        <v>9114</v>
      </c>
      <c r="D2689" t="s">
        <v>3245</v>
      </c>
      <c r="E2689" t="s">
        <v>152</v>
      </c>
      <c r="F2689" t="s">
        <v>152</v>
      </c>
      <c r="G2689" t="s">
        <v>152</v>
      </c>
      <c r="H2689" t="s">
        <v>868</v>
      </c>
      <c r="I2689" t="s">
        <v>869</v>
      </c>
      <c r="J2689" t="str">
        <f>"9050599"</f>
        <v>9050599</v>
      </c>
      <c r="K2689">
        <v>2106392242</v>
      </c>
      <c r="L2689">
        <v>2106001945</v>
      </c>
      <c r="M2689" t="s">
        <v>9115</v>
      </c>
      <c r="N2689" t="s">
        <v>4693</v>
      </c>
      <c r="O2689" t="s">
        <v>9116</v>
      </c>
      <c r="P2689">
        <v>15343</v>
      </c>
      <c r="Q2689" t="str">
        <f>"38.020931"</f>
        <v>38.020931</v>
      </c>
      <c r="R2689" t="str">
        <f>"23.839350"</f>
        <v>23.839350</v>
      </c>
      <c r="S2689" t="s">
        <v>26</v>
      </c>
    </row>
    <row r="2690" spans="1:19" x14ac:dyDescent="0.3">
      <c r="A2690" t="s">
        <v>3237</v>
      </c>
      <c r="B2690" t="s">
        <v>8935</v>
      </c>
      <c r="C2690" t="s">
        <v>9117</v>
      </c>
      <c r="D2690" t="s">
        <v>3245</v>
      </c>
      <c r="E2690" t="s">
        <v>4048</v>
      </c>
      <c r="F2690" t="s">
        <v>8986</v>
      </c>
      <c r="G2690" t="s">
        <v>8986</v>
      </c>
      <c r="H2690" t="s">
        <v>868</v>
      </c>
      <c r="I2690" t="s">
        <v>869</v>
      </c>
      <c r="J2690" t="str">
        <f>"9050062"</f>
        <v>9050062</v>
      </c>
      <c r="K2690">
        <v>2108132405</v>
      </c>
      <c r="L2690">
        <v>2108132407</v>
      </c>
      <c r="M2690" t="s">
        <v>9118</v>
      </c>
      <c r="N2690" t="s">
        <v>4148</v>
      </c>
      <c r="O2690" t="s">
        <v>9119</v>
      </c>
      <c r="P2690">
        <v>14578</v>
      </c>
      <c r="Q2690" t="str">
        <f>""</f>
        <v/>
      </c>
      <c r="R2690" t="str">
        <f>""</f>
        <v/>
      </c>
      <c r="S2690" t="s">
        <v>26</v>
      </c>
    </row>
    <row r="2691" spans="1:19" x14ac:dyDescent="0.3">
      <c r="A2691" t="s">
        <v>3237</v>
      </c>
      <c r="B2691" t="s">
        <v>8935</v>
      </c>
      <c r="C2691" t="s">
        <v>4724</v>
      </c>
      <c r="D2691" t="s">
        <v>3245</v>
      </c>
      <c r="E2691" t="s">
        <v>4649</v>
      </c>
      <c r="F2691" t="s">
        <v>4649</v>
      </c>
      <c r="G2691" t="s">
        <v>4649</v>
      </c>
      <c r="H2691" t="s">
        <v>868</v>
      </c>
      <c r="I2691" t="s">
        <v>869</v>
      </c>
      <c r="J2691" t="str">
        <f>"9050068"</f>
        <v>9050068</v>
      </c>
      <c r="K2691">
        <v>2106847273</v>
      </c>
      <c r="L2691">
        <v>210684727</v>
      </c>
      <c r="M2691" t="s">
        <v>9120</v>
      </c>
      <c r="N2691" t="s">
        <v>9121</v>
      </c>
      <c r="O2691" t="s">
        <v>9122</v>
      </c>
      <c r="P2691">
        <v>15234</v>
      </c>
      <c r="Q2691" t="str">
        <f>"38.025494"</f>
        <v>38.025494</v>
      </c>
      <c r="R2691" t="str">
        <f>"23.819904"</f>
        <v>23.819904</v>
      </c>
      <c r="S2691" t="s">
        <v>26</v>
      </c>
    </row>
    <row r="2692" spans="1:19" x14ac:dyDescent="0.3">
      <c r="A2692" t="s">
        <v>3237</v>
      </c>
      <c r="B2692" t="s">
        <v>8935</v>
      </c>
      <c r="C2692" t="s">
        <v>9126</v>
      </c>
      <c r="D2692" t="s">
        <v>3245</v>
      </c>
      <c r="E2692" t="s">
        <v>152</v>
      </c>
      <c r="F2692" t="s">
        <v>152</v>
      </c>
      <c r="G2692" t="s">
        <v>152</v>
      </c>
      <c r="H2692" t="s">
        <v>868</v>
      </c>
      <c r="I2692" t="s">
        <v>869</v>
      </c>
      <c r="J2692" t="str">
        <f>"9050078"</f>
        <v>9050078</v>
      </c>
      <c r="K2692">
        <v>2106392290</v>
      </c>
      <c r="M2692" t="s">
        <v>9127</v>
      </c>
      <c r="N2692" t="s">
        <v>4693</v>
      </c>
      <c r="O2692" t="s">
        <v>9038</v>
      </c>
      <c r="P2692">
        <v>15342</v>
      </c>
      <c r="Q2692" t="str">
        <f>"38.010280"</f>
        <v>38.010280</v>
      </c>
      <c r="R2692" t="str">
        <f>"23.824490"</f>
        <v>23.824490</v>
      </c>
      <c r="S2692" t="s">
        <v>26</v>
      </c>
    </row>
    <row r="2693" spans="1:19" x14ac:dyDescent="0.3">
      <c r="A2693" t="s">
        <v>3237</v>
      </c>
      <c r="B2693" t="s">
        <v>8935</v>
      </c>
      <c r="C2693" t="s">
        <v>4709</v>
      </c>
      <c r="D2693" t="s">
        <v>3245</v>
      </c>
      <c r="E2693" t="s">
        <v>4591</v>
      </c>
      <c r="F2693" t="s">
        <v>4591</v>
      </c>
      <c r="G2693" t="s">
        <v>4591</v>
      </c>
      <c r="H2693" t="s">
        <v>868</v>
      </c>
      <c r="I2693" t="s">
        <v>869</v>
      </c>
      <c r="J2693" t="str">
        <f>"9050030"</f>
        <v>9050030</v>
      </c>
      <c r="K2693">
        <v>2108020697</v>
      </c>
      <c r="L2693">
        <v>2108028620</v>
      </c>
      <c r="M2693" t="s">
        <v>9131</v>
      </c>
      <c r="N2693" t="s">
        <v>4600</v>
      </c>
      <c r="O2693" t="s">
        <v>9132</v>
      </c>
      <c r="P2693">
        <v>15124</v>
      </c>
      <c r="Q2693" t="str">
        <f>"38.058359"</f>
        <v>38.058359</v>
      </c>
      <c r="R2693" t="str">
        <f>"23.808159"</f>
        <v>23.808159</v>
      </c>
      <c r="S2693" t="s">
        <v>26</v>
      </c>
    </row>
    <row r="2694" spans="1:19" x14ac:dyDescent="0.3">
      <c r="A2694" t="s">
        <v>3237</v>
      </c>
      <c r="B2694" t="s">
        <v>8935</v>
      </c>
      <c r="C2694" t="s">
        <v>4611</v>
      </c>
      <c r="D2694" t="s">
        <v>3245</v>
      </c>
      <c r="E2694" t="s">
        <v>3246</v>
      </c>
      <c r="F2694" t="s">
        <v>3246</v>
      </c>
      <c r="G2694" t="s">
        <v>3246</v>
      </c>
      <c r="H2694" t="s">
        <v>868</v>
      </c>
      <c r="I2694" t="s">
        <v>869</v>
      </c>
      <c r="J2694" t="str">
        <f>"9050504"</f>
        <v>9050504</v>
      </c>
      <c r="K2694">
        <v>2102798403</v>
      </c>
      <c r="L2694">
        <v>2102798403</v>
      </c>
      <c r="M2694" t="s">
        <v>9133</v>
      </c>
      <c r="N2694" t="s">
        <v>3249</v>
      </c>
      <c r="O2694" t="s">
        <v>4986</v>
      </c>
      <c r="P2694">
        <v>14232</v>
      </c>
      <c r="Q2694" t="str">
        <f>"38.034991"</f>
        <v>38.034991</v>
      </c>
      <c r="R2694" t="str">
        <f>"23.753239"</f>
        <v>23.753239</v>
      </c>
      <c r="S2694" t="s">
        <v>26</v>
      </c>
    </row>
    <row r="2695" spans="1:19" x14ac:dyDescent="0.3">
      <c r="A2695" t="s">
        <v>3237</v>
      </c>
      <c r="B2695" t="s">
        <v>8935</v>
      </c>
      <c r="C2695" t="s">
        <v>9134</v>
      </c>
      <c r="D2695" t="s">
        <v>3245</v>
      </c>
      <c r="E2695" t="s">
        <v>4713</v>
      </c>
      <c r="F2695" t="s">
        <v>4714</v>
      </c>
      <c r="G2695" t="s">
        <v>4714</v>
      </c>
      <c r="H2695" t="s">
        <v>868</v>
      </c>
      <c r="I2695" t="s">
        <v>1157</v>
      </c>
      <c r="J2695" t="str">
        <f>"9051614"</f>
        <v>9051614</v>
      </c>
      <c r="K2695">
        <v>2106810579</v>
      </c>
      <c r="L2695">
        <v>2106891720</v>
      </c>
      <c r="M2695" t="s">
        <v>9135</v>
      </c>
      <c r="N2695" t="s">
        <v>9136</v>
      </c>
      <c r="O2695" t="s">
        <v>9062</v>
      </c>
      <c r="P2695">
        <v>15121</v>
      </c>
      <c r="Q2695" t="str">
        <f>"38.064927"</f>
        <v>38.064927</v>
      </c>
      <c r="R2695" t="str">
        <f>"23.797237"</f>
        <v>23.797237</v>
      </c>
      <c r="S2695" t="s">
        <v>26</v>
      </c>
    </row>
    <row r="2696" spans="1:19" x14ac:dyDescent="0.3">
      <c r="A2696" t="s">
        <v>3237</v>
      </c>
      <c r="B2696" t="s">
        <v>8935</v>
      </c>
      <c r="C2696" t="s">
        <v>4719</v>
      </c>
      <c r="D2696" t="s">
        <v>3245</v>
      </c>
      <c r="E2696" t="s">
        <v>4713</v>
      </c>
      <c r="F2696" t="s">
        <v>4714</v>
      </c>
      <c r="G2696" t="s">
        <v>4714</v>
      </c>
      <c r="H2696" t="s">
        <v>868</v>
      </c>
      <c r="I2696" t="s">
        <v>869</v>
      </c>
      <c r="J2696" t="str">
        <f>"9051270"</f>
        <v>9051270</v>
      </c>
      <c r="K2696">
        <v>2108069041</v>
      </c>
      <c r="L2696">
        <v>2108069041</v>
      </c>
      <c r="M2696" t="s">
        <v>9137</v>
      </c>
      <c r="N2696" t="s">
        <v>4717</v>
      </c>
      <c r="O2696" t="s">
        <v>9138</v>
      </c>
      <c r="P2696">
        <v>15121</v>
      </c>
      <c r="Q2696" t="str">
        <f>"38.052289"</f>
        <v>38.052289</v>
      </c>
      <c r="R2696" t="str">
        <f>"23.787953"</f>
        <v>23.787953</v>
      </c>
      <c r="S2696" t="s">
        <v>26</v>
      </c>
    </row>
    <row r="2697" spans="1:19" x14ac:dyDescent="0.3">
      <c r="A2697" t="s">
        <v>3237</v>
      </c>
      <c r="B2697" t="s">
        <v>8935</v>
      </c>
      <c r="C2697" t="s">
        <v>4827</v>
      </c>
      <c r="D2697" t="s">
        <v>3245</v>
      </c>
      <c r="E2697" t="s">
        <v>152</v>
      </c>
      <c r="F2697" t="s">
        <v>152</v>
      </c>
      <c r="G2697" t="s">
        <v>152</v>
      </c>
      <c r="H2697" t="s">
        <v>868</v>
      </c>
      <c r="I2697" t="s">
        <v>869</v>
      </c>
      <c r="J2697" t="str">
        <f>"9051327"</f>
        <v>9051327</v>
      </c>
      <c r="K2697">
        <v>2106009860</v>
      </c>
      <c r="L2697">
        <v>2106009860</v>
      </c>
      <c r="M2697" t="s">
        <v>9139</v>
      </c>
      <c r="N2697" t="s">
        <v>4693</v>
      </c>
      <c r="O2697" t="s">
        <v>9140</v>
      </c>
      <c r="P2697">
        <v>15343</v>
      </c>
      <c r="Q2697" t="str">
        <f>"38.015995"</f>
        <v>38.015995</v>
      </c>
      <c r="R2697" t="str">
        <f>"23.824470"</f>
        <v>23.824470</v>
      </c>
      <c r="S2697" t="s">
        <v>26</v>
      </c>
    </row>
    <row r="2698" spans="1:19" x14ac:dyDescent="0.3">
      <c r="A2698" t="s">
        <v>3237</v>
      </c>
      <c r="B2698" t="s">
        <v>8935</v>
      </c>
      <c r="C2698" t="s">
        <v>9141</v>
      </c>
      <c r="D2698" t="s">
        <v>3245</v>
      </c>
      <c r="E2698" t="s">
        <v>3246</v>
      </c>
      <c r="F2698" t="s">
        <v>3246</v>
      </c>
      <c r="G2698" t="s">
        <v>3246</v>
      </c>
      <c r="H2698" t="s">
        <v>868</v>
      </c>
      <c r="I2698" t="s">
        <v>869</v>
      </c>
      <c r="J2698" t="str">
        <f>"9051481"</f>
        <v>9051481</v>
      </c>
      <c r="K2698">
        <v>2102531572</v>
      </c>
      <c r="L2698">
        <v>2102526256</v>
      </c>
      <c r="M2698" t="s">
        <v>9142</v>
      </c>
      <c r="N2698" t="s">
        <v>9143</v>
      </c>
      <c r="O2698" t="s">
        <v>9144</v>
      </c>
      <c r="P2698">
        <v>14232</v>
      </c>
      <c r="Q2698" t="str">
        <f>"38.031484"</f>
        <v>38.031484</v>
      </c>
      <c r="R2698" t="str">
        <f>"23.745945"</f>
        <v>23.745945</v>
      </c>
      <c r="S2698" t="s">
        <v>26</v>
      </c>
    </row>
    <row r="2699" spans="1:19" x14ac:dyDescent="0.3">
      <c r="A2699" t="s">
        <v>3237</v>
      </c>
      <c r="B2699" t="s">
        <v>8935</v>
      </c>
      <c r="C2699" t="s">
        <v>4767</v>
      </c>
      <c r="D2699" t="s">
        <v>3245</v>
      </c>
      <c r="E2699" t="s">
        <v>4649</v>
      </c>
      <c r="F2699" t="s">
        <v>4649</v>
      </c>
      <c r="G2699" t="s">
        <v>4649</v>
      </c>
      <c r="H2699" t="s">
        <v>868</v>
      </c>
      <c r="I2699" t="s">
        <v>869</v>
      </c>
      <c r="J2699" t="str">
        <f>"9050073"</f>
        <v>9050073</v>
      </c>
      <c r="K2699">
        <v>2106397445</v>
      </c>
      <c r="L2699">
        <v>2106001201</v>
      </c>
      <c r="M2699" t="s">
        <v>9145</v>
      </c>
      <c r="N2699" t="s">
        <v>4652</v>
      </c>
      <c r="O2699" t="s">
        <v>9146</v>
      </c>
      <c r="P2699">
        <v>15234</v>
      </c>
      <c r="Q2699" t="str">
        <f>"38.024140"</f>
        <v>38.024140</v>
      </c>
      <c r="R2699" t="str">
        <f>"23.826311"</f>
        <v>23.826311</v>
      </c>
      <c r="S2699" t="s">
        <v>26</v>
      </c>
    </row>
    <row r="2700" spans="1:19" x14ac:dyDescent="0.3">
      <c r="A2700" t="s">
        <v>3237</v>
      </c>
      <c r="B2700" t="s">
        <v>8935</v>
      </c>
      <c r="C2700" t="s">
        <v>9147</v>
      </c>
      <c r="D2700" t="s">
        <v>3245</v>
      </c>
      <c r="E2700" t="s">
        <v>3246</v>
      </c>
      <c r="F2700" t="s">
        <v>3246</v>
      </c>
      <c r="G2700" t="s">
        <v>3246</v>
      </c>
      <c r="H2700" t="s">
        <v>868</v>
      </c>
      <c r="I2700" t="s">
        <v>1157</v>
      </c>
      <c r="J2700" t="str">
        <f>"9051524"</f>
        <v>9051524</v>
      </c>
      <c r="K2700">
        <v>2102770991</v>
      </c>
      <c r="L2700">
        <v>2102770991</v>
      </c>
      <c r="M2700" t="s">
        <v>9148</v>
      </c>
      <c r="N2700" t="s">
        <v>3249</v>
      </c>
      <c r="O2700" t="s">
        <v>9149</v>
      </c>
      <c r="P2700">
        <v>14235</v>
      </c>
      <c r="Q2700" t="str">
        <f>"38.037860"</f>
        <v>38.037860</v>
      </c>
      <c r="R2700" t="str">
        <f>"23.778694"</f>
        <v>23.778694</v>
      </c>
      <c r="S2700" t="s">
        <v>26</v>
      </c>
    </row>
    <row r="2701" spans="1:19" x14ac:dyDescent="0.3">
      <c r="A2701" t="s">
        <v>3237</v>
      </c>
      <c r="B2701" t="s">
        <v>8935</v>
      </c>
      <c r="C2701" t="s">
        <v>4695</v>
      </c>
      <c r="D2701" t="s">
        <v>3245</v>
      </c>
      <c r="E2701" t="s">
        <v>4649</v>
      </c>
      <c r="F2701" t="s">
        <v>4649</v>
      </c>
      <c r="G2701" t="s">
        <v>4649</v>
      </c>
      <c r="H2701" t="s">
        <v>868</v>
      </c>
      <c r="I2701" t="s">
        <v>869</v>
      </c>
      <c r="J2701" t="str">
        <f>"9050074"</f>
        <v>9050074</v>
      </c>
      <c r="K2701">
        <v>2106818029</v>
      </c>
      <c r="L2701">
        <v>2106859519</v>
      </c>
      <c r="M2701" t="s">
        <v>9150</v>
      </c>
      <c r="N2701" t="s">
        <v>4652</v>
      </c>
      <c r="O2701" t="s">
        <v>9151</v>
      </c>
      <c r="P2701">
        <v>15232</v>
      </c>
      <c r="Q2701" t="str">
        <f>"38.018020"</f>
        <v>38.018020</v>
      </c>
      <c r="R2701" t="str">
        <f>"23.788898"</f>
        <v>23.788898</v>
      </c>
      <c r="S2701" t="s">
        <v>26</v>
      </c>
    </row>
    <row r="2702" spans="1:19" x14ac:dyDescent="0.3">
      <c r="A2702" t="s">
        <v>3237</v>
      </c>
      <c r="B2702" t="s">
        <v>8935</v>
      </c>
      <c r="C2702" t="s">
        <v>4900</v>
      </c>
      <c r="D2702" t="s">
        <v>3245</v>
      </c>
      <c r="E2702" t="s">
        <v>152</v>
      </c>
      <c r="F2702" t="s">
        <v>152</v>
      </c>
      <c r="G2702" t="s">
        <v>152</v>
      </c>
      <c r="H2702" t="s">
        <v>868</v>
      </c>
      <c r="I2702" t="s">
        <v>869</v>
      </c>
      <c r="J2702" t="str">
        <f>"9050082"</f>
        <v>9050082</v>
      </c>
      <c r="K2702">
        <v>2106399474</v>
      </c>
      <c r="L2702">
        <v>2106399807</v>
      </c>
      <c r="M2702" t="s">
        <v>9152</v>
      </c>
      <c r="N2702" t="s">
        <v>4693</v>
      </c>
      <c r="O2702" t="s">
        <v>9103</v>
      </c>
      <c r="P2702">
        <v>15341</v>
      </c>
      <c r="Q2702" t="str">
        <f>"38.003317"</f>
        <v>38.003317</v>
      </c>
      <c r="R2702" t="str">
        <f>"23.825524"</f>
        <v>23.825524</v>
      </c>
      <c r="S2702" t="s">
        <v>26</v>
      </c>
    </row>
    <row r="2703" spans="1:19" x14ac:dyDescent="0.3">
      <c r="A2703" t="s">
        <v>3237</v>
      </c>
      <c r="B2703" t="s">
        <v>8935</v>
      </c>
      <c r="C2703" t="s">
        <v>4631</v>
      </c>
      <c r="D2703" t="s">
        <v>3245</v>
      </c>
      <c r="E2703" t="s">
        <v>4048</v>
      </c>
      <c r="F2703" t="s">
        <v>4048</v>
      </c>
      <c r="G2703" t="s">
        <v>4048</v>
      </c>
      <c r="H2703" t="s">
        <v>868</v>
      </c>
      <c r="I2703" t="s">
        <v>869</v>
      </c>
      <c r="J2703" t="str">
        <f>"9051369"</f>
        <v>9051369</v>
      </c>
      <c r="K2703">
        <v>2108071312</v>
      </c>
      <c r="L2703">
        <v>2108071312</v>
      </c>
      <c r="M2703" t="s">
        <v>9160</v>
      </c>
      <c r="N2703" t="s">
        <v>4605</v>
      </c>
      <c r="O2703" t="s">
        <v>9161</v>
      </c>
      <c r="P2703">
        <v>14564</v>
      </c>
      <c r="Q2703" t="str">
        <f>"38.099671"</f>
        <v>38.099671</v>
      </c>
      <c r="R2703" t="str">
        <f>"23.797965"</f>
        <v>23.797965</v>
      </c>
      <c r="S2703" t="s">
        <v>26</v>
      </c>
    </row>
    <row r="2704" spans="1:19" x14ac:dyDescent="0.3">
      <c r="A2704" t="s">
        <v>3237</v>
      </c>
      <c r="B2704" t="s">
        <v>8935</v>
      </c>
      <c r="C2704" t="s">
        <v>9162</v>
      </c>
      <c r="D2704" t="s">
        <v>3245</v>
      </c>
      <c r="E2704" t="s">
        <v>4048</v>
      </c>
      <c r="F2704" t="s">
        <v>4918</v>
      </c>
      <c r="G2704" t="s">
        <v>4918</v>
      </c>
      <c r="H2704" t="s">
        <v>868</v>
      </c>
      <c r="I2704" t="s">
        <v>869</v>
      </c>
      <c r="J2704" t="str">
        <f>"9050047"</f>
        <v>9050047</v>
      </c>
      <c r="K2704">
        <v>2108002011</v>
      </c>
      <c r="L2704">
        <v>2108071434</v>
      </c>
      <c r="M2704" t="s">
        <v>9163</v>
      </c>
      <c r="N2704" t="s">
        <v>5059</v>
      </c>
      <c r="O2704" t="s">
        <v>9164</v>
      </c>
      <c r="P2704">
        <v>14671</v>
      </c>
      <c r="Q2704" t="str">
        <f>"38.095359"</f>
        <v>38.095359</v>
      </c>
      <c r="R2704" t="str">
        <f>"23.812471"</f>
        <v>23.812471</v>
      </c>
      <c r="S2704" t="s">
        <v>26</v>
      </c>
    </row>
    <row r="2705" spans="1:19" x14ac:dyDescent="0.3">
      <c r="A2705" t="s">
        <v>3237</v>
      </c>
      <c r="B2705" t="s">
        <v>8935</v>
      </c>
      <c r="C2705" t="s">
        <v>4923</v>
      </c>
      <c r="D2705" t="s">
        <v>3245</v>
      </c>
      <c r="E2705" t="s">
        <v>4048</v>
      </c>
      <c r="F2705" t="s">
        <v>4918</v>
      </c>
      <c r="G2705" t="s">
        <v>4918</v>
      </c>
      <c r="H2705" t="s">
        <v>868</v>
      </c>
      <c r="I2705" t="s">
        <v>869</v>
      </c>
      <c r="J2705" t="str">
        <f>"9050046"</f>
        <v>9050046</v>
      </c>
      <c r="K2705">
        <v>2108078331</v>
      </c>
      <c r="L2705">
        <v>2108073212</v>
      </c>
      <c r="M2705" t="s">
        <v>9165</v>
      </c>
      <c r="N2705" t="s">
        <v>9166</v>
      </c>
      <c r="O2705" t="s">
        <v>9167</v>
      </c>
      <c r="P2705">
        <v>14564</v>
      </c>
      <c r="Q2705" t="str">
        <f>"38.094201"</f>
        <v>38.094201</v>
      </c>
      <c r="R2705" t="str">
        <f>"23.796513"</f>
        <v>23.796513</v>
      </c>
      <c r="S2705" t="s">
        <v>26</v>
      </c>
    </row>
    <row r="2706" spans="1:19" x14ac:dyDescent="0.3">
      <c r="A2706" t="s">
        <v>3237</v>
      </c>
      <c r="B2706" t="s">
        <v>8935</v>
      </c>
      <c r="C2706" t="s">
        <v>5061</v>
      </c>
      <c r="D2706" t="s">
        <v>3245</v>
      </c>
      <c r="E2706" t="s">
        <v>4048</v>
      </c>
      <c r="F2706" t="s">
        <v>4918</v>
      </c>
      <c r="G2706" t="s">
        <v>4918</v>
      </c>
      <c r="H2706" t="s">
        <v>868</v>
      </c>
      <c r="I2706" t="s">
        <v>869</v>
      </c>
      <c r="J2706" t="str">
        <f>"9051644"</f>
        <v>9051644</v>
      </c>
      <c r="K2706">
        <v>2106252333</v>
      </c>
      <c r="L2706">
        <v>2106252333</v>
      </c>
      <c r="M2706" t="s">
        <v>9168</v>
      </c>
      <c r="N2706" t="s">
        <v>4921</v>
      </c>
      <c r="O2706" t="s">
        <v>9169</v>
      </c>
      <c r="P2706">
        <v>14671</v>
      </c>
      <c r="Q2706" t="str">
        <f>"38.095443"</f>
        <v>38.095443</v>
      </c>
      <c r="R2706" t="str">
        <f>"23.812643"</f>
        <v>23.812643</v>
      </c>
      <c r="S2706" t="s">
        <v>26</v>
      </c>
    </row>
    <row r="2707" spans="1:19" x14ac:dyDescent="0.3">
      <c r="A2707" t="s">
        <v>3237</v>
      </c>
      <c r="B2707" t="s">
        <v>8935</v>
      </c>
      <c r="C2707" t="s">
        <v>4754</v>
      </c>
      <c r="D2707" t="s">
        <v>3245</v>
      </c>
      <c r="E2707" t="s">
        <v>4649</v>
      </c>
      <c r="F2707" t="s">
        <v>4649</v>
      </c>
      <c r="G2707" t="s">
        <v>4649</v>
      </c>
      <c r="H2707" t="s">
        <v>868</v>
      </c>
      <c r="I2707" t="s">
        <v>869</v>
      </c>
      <c r="J2707" t="str">
        <f>"9050066"</f>
        <v>9050066</v>
      </c>
      <c r="K2707">
        <v>2106813956</v>
      </c>
      <c r="L2707">
        <v>2106813956</v>
      </c>
      <c r="M2707" t="s">
        <v>9173</v>
      </c>
      <c r="N2707" t="s">
        <v>9174</v>
      </c>
      <c r="O2707" t="s">
        <v>9175</v>
      </c>
      <c r="P2707">
        <v>15233</v>
      </c>
      <c r="Q2707" t="str">
        <f>"38.029815"</f>
        <v>38.029815</v>
      </c>
      <c r="R2707" t="str">
        <f>"23.808200"</f>
        <v>23.808200</v>
      </c>
      <c r="S2707" t="s">
        <v>26</v>
      </c>
    </row>
    <row r="2708" spans="1:19" x14ac:dyDescent="0.3">
      <c r="A2708" t="s">
        <v>3237</v>
      </c>
      <c r="B2708" t="s">
        <v>8935</v>
      </c>
      <c r="C2708" t="s">
        <v>5036</v>
      </c>
      <c r="D2708" t="s">
        <v>3245</v>
      </c>
      <c r="E2708" t="s">
        <v>152</v>
      </c>
      <c r="F2708" t="s">
        <v>152</v>
      </c>
      <c r="G2708" t="s">
        <v>152</v>
      </c>
      <c r="H2708" t="s">
        <v>868</v>
      </c>
      <c r="I2708" t="s">
        <v>869</v>
      </c>
      <c r="J2708" t="str">
        <f>"9051351"</f>
        <v>9051351</v>
      </c>
      <c r="K2708">
        <v>2106012914</v>
      </c>
      <c r="L2708">
        <v>2106012914</v>
      </c>
      <c r="M2708" t="s">
        <v>9183</v>
      </c>
      <c r="N2708" t="s">
        <v>4693</v>
      </c>
      <c r="O2708" t="s">
        <v>9184</v>
      </c>
      <c r="P2708">
        <v>15343</v>
      </c>
      <c r="Q2708" t="str">
        <f>"38.016367"</f>
        <v>38.016367</v>
      </c>
      <c r="R2708" t="str">
        <f>"23.833557"</f>
        <v>23.833557</v>
      </c>
      <c r="S2708" t="s">
        <v>26</v>
      </c>
    </row>
    <row r="2709" spans="1:19" x14ac:dyDescent="0.3">
      <c r="A2709" t="s">
        <v>3237</v>
      </c>
      <c r="B2709" t="s">
        <v>8935</v>
      </c>
      <c r="C2709" t="s">
        <v>9194</v>
      </c>
      <c r="D2709" t="s">
        <v>3245</v>
      </c>
      <c r="E2709" t="s">
        <v>4682</v>
      </c>
      <c r="F2709" t="s">
        <v>4682</v>
      </c>
      <c r="G2709" t="s">
        <v>4682</v>
      </c>
      <c r="H2709" t="s">
        <v>868</v>
      </c>
      <c r="I2709" t="s">
        <v>869</v>
      </c>
      <c r="J2709" t="str">
        <f>"9050039"</f>
        <v>9050039</v>
      </c>
      <c r="K2709">
        <v>2108045965</v>
      </c>
      <c r="L2709">
        <v>2108045823</v>
      </c>
      <c r="M2709" t="s">
        <v>9195</v>
      </c>
      <c r="N2709" t="s">
        <v>4685</v>
      </c>
      <c r="O2709" t="s">
        <v>9196</v>
      </c>
      <c r="P2709">
        <v>15235</v>
      </c>
      <c r="Q2709" t="str">
        <f>"38.035996"</f>
        <v>38.035996</v>
      </c>
      <c r="R2709" t="str">
        <f>"23.830439"</f>
        <v>23.830439</v>
      </c>
      <c r="S2709" t="s">
        <v>26</v>
      </c>
    </row>
    <row r="2710" spans="1:19" x14ac:dyDescent="0.3">
      <c r="A2710" t="s">
        <v>3237</v>
      </c>
      <c r="B2710" t="s">
        <v>8935</v>
      </c>
      <c r="C2710" t="s">
        <v>9200</v>
      </c>
      <c r="D2710" t="s">
        <v>3245</v>
      </c>
      <c r="E2710" t="s">
        <v>4670</v>
      </c>
      <c r="F2710" t="s">
        <v>3721</v>
      </c>
      <c r="G2710" t="s">
        <v>3721</v>
      </c>
      <c r="H2710" t="s">
        <v>868</v>
      </c>
      <c r="I2710" t="s">
        <v>869</v>
      </c>
      <c r="J2710" t="str">
        <f>"9050022"</f>
        <v>9050022</v>
      </c>
      <c r="K2710">
        <v>2106713822</v>
      </c>
      <c r="L2710">
        <v>2106717184</v>
      </c>
      <c r="M2710" t="s">
        <v>9201</v>
      </c>
      <c r="N2710" t="s">
        <v>4956</v>
      </c>
      <c r="O2710" t="s">
        <v>9202</v>
      </c>
      <c r="P2710">
        <v>15451</v>
      </c>
      <c r="Q2710" t="str">
        <f>"38.003867"</f>
        <v>38.003867</v>
      </c>
      <c r="R2710" t="str">
        <f>"23.778994"</f>
        <v>23.778994</v>
      </c>
      <c r="S2710" t="s">
        <v>26</v>
      </c>
    </row>
    <row r="2711" spans="1:19" x14ac:dyDescent="0.3">
      <c r="A2711" t="s">
        <v>3237</v>
      </c>
      <c r="B2711" t="s">
        <v>8935</v>
      </c>
      <c r="C2711" t="s">
        <v>9203</v>
      </c>
      <c r="D2711" t="s">
        <v>3245</v>
      </c>
      <c r="E2711" t="s">
        <v>4682</v>
      </c>
      <c r="F2711" t="s">
        <v>4682</v>
      </c>
      <c r="G2711" t="s">
        <v>4682</v>
      </c>
      <c r="H2711" t="s">
        <v>868</v>
      </c>
      <c r="I2711" t="s">
        <v>869</v>
      </c>
      <c r="J2711" t="str">
        <f>"9051478"</f>
        <v>9051478</v>
      </c>
      <c r="K2711">
        <v>2108046275</v>
      </c>
      <c r="L2711">
        <v>2108046275</v>
      </c>
      <c r="M2711" t="s">
        <v>9204</v>
      </c>
      <c r="N2711" t="s">
        <v>4685</v>
      </c>
      <c r="O2711" t="s">
        <v>9205</v>
      </c>
      <c r="P2711">
        <v>15235</v>
      </c>
      <c r="Q2711" t="str">
        <f>"38.041379"</f>
        <v>38.041379</v>
      </c>
      <c r="R2711" t="str">
        <f>"23.827928"</f>
        <v>23.827928</v>
      </c>
      <c r="S2711" t="s">
        <v>26</v>
      </c>
    </row>
    <row r="2712" spans="1:19" x14ac:dyDescent="0.3">
      <c r="A2712" t="s">
        <v>3237</v>
      </c>
      <c r="B2712" t="s">
        <v>8935</v>
      </c>
      <c r="C2712" t="s">
        <v>4781</v>
      </c>
      <c r="D2712" t="s">
        <v>3245</v>
      </c>
      <c r="E2712" t="s">
        <v>4591</v>
      </c>
      <c r="F2712" t="s">
        <v>4591</v>
      </c>
      <c r="G2712" t="s">
        <v>4591</v>
      </c>
      <c r="H2712" t="s">
        <v>868</v>
      </c>
      <c r="I2712" t="s">
        <v>869</v>
      </c>
      <c r="J2712" t="str">
        <f>"9050955"</f>
        <v>9050955</v>
      </c>
      <c r="K2712">
        <v>2106143321</v>
      </c>
      <c r="L2712">
        <v>2108024454</v>
      </c>
      <c r="M2712" t="s">
        <v>9206</v>
      </c>
      <c r="N2712" t="s">
        <v>4600</v>
      </c>
      <c r="O2712" t="s">
        <v>9207</v>
      </c>
      <c r="P2712">
        <v>15126</v>
      </c>
      <c r="Q2712" t="str">
        <f>"38.055268"</f>
        <v>38.055268</v>
      </c>
      <c r="R2712" t="str">
        <f>"23.821184"</f>
        <v>23.821184</v>
      </c>
      <c r="S2712" t="s">
        <v>26</v>
      </c>
    </row>
    <row r="2713" spans="1:19" x14ac:dyDescent="0.3">
      <c r="A2713" t="s">
        <v>3237</v>
      </c>
      <c r="B2713" t="s">
        <v>8935</v>
      </c>
      <c r="C2713" t="s">
        <v>4662</v>
      </c>
      <c r="D2713" t="s">
        <v>3245</v>
      </c>
      <c r="E2713" t="s">
        <v>4048</v>
      </c>
      <c r="F2713" t="s">
        <v>4048</v>
      </c>
      <c r="G2713" t="s">
        <v>4048</v>
      </c>
      <c r="H2713" t="s">
        <v>868</v>
      </c>
      <c r="I2713" t="s">
        <v>869</v>
      </c>
      <c r="J2713" t="str">
        <f>"9050041"</f>
        <v>9050041</v>
      </c>
      <c r="K2713">
        <v>2108085740</v>
      </c>
      <c r="L2713">
        <v>2108011702</v>
      </c>
      <c r="M2713" t="s">
        <v>9223</v>
      </c>
      <c r="N2713" t="s">
        <v>4605</v>
      </c>
      <c r="O2713" t="s">
        <v>9224</v>
      </c>
      <c r="P2713">
        <v>14562</v>
      </c>
      <c r="Q2713" t="str">
        <f>"38.069282"</f>
        <v>38.069282</v>
      </c>
      <c r="R2713" t="str">
        <f>"23.815964"</f>
        <v>23.815964</v>
      </c>
      <c r="S2713" t="s">
        <v>26</v>
      </c>
    </row>
    <row r="2714" spans="1:19" x14ac:dyDescent="0.3">
      <c r="A2714" t="s">
        <v>3237</v>
      </c>
      <c r="B2714" t="s">
        <v>8935</v>
      </c>
      <c r="C2714" t="s">
        <v>4873</v>
      </c>
      <c r="D2714" t="s">
        <v>3245</v>
      </c>
      <c r="E2714" t="s">
        <v>4670</v>
      </c>
      <c r="F2714" t="s">
        <v>4671</v>
      </c>
      <c r="G2714" t="s">
        <v>4671</v>
      </c>
      <c r="H2714" t="s">
        <v>868</v>
      </c>
      <c r="I2714" t="s">
        <v>869</v>
      </c>
      <c r="J2714" t="str">
        <f>"9050058"</f>
        <v>9050058</v>
      </c>
      <c r="K2714">
        <v>2106812906</v>
      </c>
      <c r="L2714">
        <v>2106834007</v>
      </c>
      <c r="M2714" t="s">
        <v>9244</v>
      </c>
      <c r="N2714" t="s">
        <v>4674</v>
      </c>
      <c r="O2714" t="s">
        <v>9245</v>
      </c>
      <c r="P2714">
        <v>15237</v>
      </c>
      <c r="Q2714" t="str">
        <f>"38.024638"</f>
        <v>38.024638</v>
      </c>
      <c r="R2714" t="str">
        <f>"23.784054"</f>
        <v>23.784054</v>
      </c>
      <c r="S2714" t="s">
        <v>26</v>
      </c>
    </row>
    <row r="2715" spans="1:19" x14ac:dyDescent="0.3">
      <c r="A2715" t="s">
        <v>3237</v>
      </c>
      <c r="B2715" t="s">
        <v>8935</v>
      </c>
      <c r="C2715" t="s">
        <v>4592</v>
      </c>
      <c r="D2715" t="s">
        <v>3245</v>
      </c>
      <c r="E2715" t="s">
        <v>4586</v>
      </c>
      <c r="F2715" t="s">
        <v>4586</v>
      </c>
      <c r="G2715" t="s">
        <v>4586</v>
      </c>
      <c r="H2715" t="s">
        <v>868</v>
      </c>
      <c r="I2715" t="s">
        <v>869</v>
      </c>
      <c r="J2715" t="str">
        <f>"9050059"</f>
        <v>9050059</v>
      </c>
      <c r="K2715">
        <v>2108104919</v>
      </c>
      <c r="L2715">
        <v>2108041330</v>
      </c>
      <c r="M2715" t="s">
        <v>9246</v>
      </c>
      <c r="N2715" t="s">
        <v>4589</v>
      </c>
      <c r="O2715" t="s">
        <v>9247</v>
      </c>
      <c r="P2715">
        <v>15236</v>
      </c>
      <c r="Q2715" t="str">
        <f>"38.049165"</f>
        <v>38.049165</v>
      </c>
      <c r="R2715" t="str">
        <f>"23.867976"</f>
        <v>23.867976</v>
      </c>
      <c r="S2715" t="s">
        <v>26</v>
      </c>
    </row>
    <row r="2716" spans="1:19" x14ac:dyDescent="0.3">
      <c r="A2716" t="s">
        <v>3237</v>
      </c>
      <c r="B2716" t="s">
        <v>8935</v>
      </c>
      <c r="C2716" t="s">
        <v>9260</v>
      </c>
      <c r="D2716" t="s">
        <v>3245</v>
      </c>
      <c r="E2716" t="s">
        <v>4586</v>
      </c>
      <c r="F2716" t="s">
        <v>4586</v>
      </c>
      <c r="G2716" t="s">
        <v>4586</v>
      </c>
      <c r="H2716" t="s">
        <v>868</v>
      </c>
      <c r="I2716" t="s">
        <v>1157</v>
      </c>
      <c r="J2716" t="str">
        <f>"9051364"</f>
        <v>9051364</v>
      </c>
      <c r="K2716">
        <v>2108041433</v>
      </c>
      <c r="L2716">
        <v>2108041433</v>
      </c>
      <c r="M2716" t="s">
        <v>9261</v>
      </c>
      <c r="N2716" t="s">
        <v>4589</v>
      </c>
      <c r="O2716" t="s">
        <v>9262</v>
      </c>
      <c r="P2716">
        <v>15236</v>
      </c>
      <c r="Q2716" t="str">
        <f>"38.051905"</f>
        <v>38.051905</v>
      </c>
      <c r="R2716" t="str">
        <f>"23.875797"</f>
        <v>23.875797</v>
      </c>
      <c r="S2716" t="s">
        <v>26</v>
      </c>
    </row>
    <row r="2717" spans="1:19" x14ac:dyDescent="0.3">
      <c r="A2717" t="s">
        <v>3237</v>
      </c>
      <c r="B2717" t="s">
        <v>8935</v>
      </c>
      <c r="C2717" t="s">
        <v>4869</v>
      </c>
      <c r="D2717" t="s">
        <v>3245</v>
      </c>
      <c r="E2717" t="s">
        <v>4682</v>
      </c>
      <c r="F2717" t="s">
        <v>4682</v>
      </c>
      <c r="G2717" t="s">
        <v>4682</v>
      </c>
      <c r="H2717" t="s">
        <v>868</v>
      </c>
      <c r="I2717" t="s">
        <v>869</v>
      </c>
      <c r="J2717" t="str">
        <f>"9050060"</f>
        <v>9050060</v>
      </c>
      <c r="K2717">
        <v>2108043291</v>
      </c>
      <c r="L2717">
        <v>2108043291</v>
      </c>
      <c r="M2717" t="s">
        <v>9277</v>
      </c>
      <c r="N2717" t="s">
        <v>4685</v>
      </c>
      <c r="O2717" t="s">
        <v>9278</v>
      </c>
      <c r="P2717">
        <v>15235</v>
      </c>
      <c r="Q2717" t="str">
        <f>"38.045299"</f>
        <v>38.045299</v>
      </c>
      <c r="R2717" t="str">
        <f>"23.847714"</f>
        <v>23.847714</v>
      </c>
      <c r="S2717" t="s">
        <v>26</v>
      </c>
    </row>
    <row r="2718" spans="1:19" x14ac:dyDescent="0.3">
      <c r="A2718" t="s">
        <v>3237</v>
      </c>
      <c r="B2718" t="s">
        <v>8935</v>
      </c>
      <c r="C2718" t="s">
        <v>9281</v>
      </c>
      <c r="D2718" t="s">
        <v>3245</v>
      </c>
      <c r="E2718" t="s">
        <v>4768</v>
      </c>
      <c r="F2718" t="s">
        <v>5028</v>
      </c>
      <c r="G2718" t="s">
        <v>5028</v>
      </c>
      <c r="H2718" t="s">
        <v>868</v>
      </c>
      <c r="I2718" t="s">
        <v>869</v>
      </c>
      <c r="J2718" t="str">
        <f>"9050902"</f>
        <v>9050902</v>
      </c>
      <c r="K2718">
        <v>2106517450</v>
      </c>
      <c r="L2718">
        <v>2106510144</v>
      </c>
      <c r="M2718" t="s">
        <v>9282</v>
      </c>
      <c r="N2718" t="s">
        <v>5028</v>
      </c>
      <c r="O2718" t="s">
        <v>9283</v>
      </c>
      <c r="P2718">
        <v>15669</v>
      </c>
      <c r="Q2718" t="str">
        <f>"37.984931"</f>
        <v>37.984931</v>
      </c>
      <c r="R2718" t="str">
        <f>"23.793866"</f>
        <v>23.793866</v>
      </c>
      <c r="S2718" t="s">
        <v>26</v>
      </c>
    </row>
    <row r="2719" spans="1:19" x14ac:dyDescent="0.3">
      <c r="A2719" t="s">
        <v>3237</v>
      </c>
      <c r="B2719" t="s">
        <v>8935</v>
      </c>
      <c r="C2719" t="s">
        <v>9284</v>
      </c>
      <c r="D2719" t="s">
        <v>3245</v>
      </c>
      <c r="E2719" t="s">
        <v>4768</v>
      </c>
      <c r="F2719" t="s">
        <v>5028</v>
      </c>
      <c r="G2719" t="s">
        <v>5028</v>
      </c>
      <c r="H2719" t="s">
        <v>868</v>
      </c>
      <c r="I2719" t="s">
        <v>869</v>
      </c>
      <c r="J2719" t="str">
        <f>"9051485"</f>
        <v>9051485</v>
      </c>
      <c r="K2719">
        <v>2106561882</v>
      </c>
      <c r="L2719">
        <v>2106510144</v>
      </c>
      <c r="M2719" t="s">
        <v>9285</v>
      </c>
      <c r="N2719" t="s">
        <v>5028</v>
      </c>
      <c r="O2719" t="s">
        <v>9283</v>
      </c>
      <c r="P2719">
        <v>15669</v>
      </c>
      <c r="Q2719" t="str">
        <f>"37.984855"</f>
        <v>37.984855</v>
      </c>
      <c r="R2719" t="str">
        <f>"23.794123"</f>
        <v>23.794123</v>
      </c>
      <c r="S2719" t="s">
        <v>26</v>
      </c>
    </row>
    <row r="2720" spans="1:19" x14ac:dyDescent="0.3">
      <c r="A2720" t="s">
        <v>3237</v>
      </c>
      <c r="B2720" t="s">
        <v>8935</v>
      </c>
      <c r="C2720" t="s">
        <v>5065</v>
      </c>
      <c r="D2720" t="s">
        <v>3245</v>
      </c>
      <c r="E2720" t="s">
        <v>4682</v>
      </c>
      <c r="F2720" t="s">
        <v>4682</v>
      </c>
      <c r="G2720" t="s">
        <v>4682</v>
      </c>
      <c r="H2720" t="s">
        <v>868</v>
      </c>
      <c r="I2720" t="s">
        <v>869</v>
      </c>
      <c r="J2720" t="str">
        <f>"9051266"</f>
        <v>9051266</v>
      </c>
      <c r="K2720">
        <v>2106012394</v>
      </c>
      <c r="L2720">
        <v>2106084708</v>
      </c>
      <c r="M2720" t="s">
        <v>9298</v>
      </c>
      <c r="N2720" t="s">
        <v>4685</v>
      </c>
      <c r="O2720" t="s">
        <v>9299</v>
      </c>
      <c r="P2720">
        <v>15235</v>
      </c>
      <c r="Q2720" t="str">
        <f>"38.028230"</f>
        <v>38.028230</v>
      </c>
      <c r="R2720" t="str">
        <f>"23.832248"</f>
        <v>23.832248</v>
      </c>
      <c r="S2720" t="s">
        <v>26</v>
      </c>
    </row>
    <row r="2721" spans="1:19" x14ac:dyDescent="0.3">
      <c r="A2721" t="s">
        <v>3237</v>
      </c>
      <c r="B2721" t="s">
        <v>8935</v>
      </c>
      <c r="C2721" t="s">
        <v>4938</v>
      </c>
      <c r="D2721" t="s">
        <v>3245</v>
      </c>
      <c r="E2721" t="s">
        <v>4670</v>
      </c>
      <c r="F2721" t="s">
        <v>3721</v>
      </c>
      <c r="G2721" t="s">
        <v>3721</v>
      </c>
      <c r="H2721" t="s">
        <v>868</v>
      </c>
      <c r="I2721" t="s">
        <v>869</v>
      </c>
      <c r="J2721" t="str">
        <f>"9050025"</f>
        <v>9050025</v>
      </c>
      <c r="K2721">
        <v>2106715210</v>
      </c>
      <c r="M2721" t="s">
        <v>9300</v>
      </c>
      <c r="N2721" t="s">
        <v>9301</v>
      </c>
      <c r="O2721" t="s">
        <v>9302</v>
      </c>
      <c r="P2721">
        <v>11525</v>
      </c>
      <c r="Q2721" t="str">
        <f>"37.998166"</f>
        <v>37.998166</v>
      </c>
      <c r="R2721" t="str">
        <f>"23.778858"</f>
        <v>23.778858</v>
      </c>
      <c r="S2721" t="s">
        <v>26</v>
      </c>
    </row>
    <row r="2722" spans="1:19" x14ac:dyDescent="0.3">
      <c r="A2722" t="s">
        <v>3237</v>
      </c>
      <c r="B2722" t="s">
        <v>8935</v>
      </c>
      <c r="C2722" t="s">
        <v>4790</v>
      </c>
      <c r="D2722" t="s">
        <v>3245</v>
      </c>
      <c r="E2722" t="s">
        <v>4670</v>
      </c>
      <c r="F2722" t="s">
        <v>3721</v>
      </c>
      <c r="G2722" t="s">
        <v>3721</v>
      </c>
      <c r="H2722" t="s">
        <v>868</v>
      </c>
      <c r="I2722" t="s">
        <v>869</v>
      </c>
      <c r="J2722" t="str">
        <f>"9050953"</f>
        <v>9050953</v>
      </c>
      <c r="K2722">
        <v>2106710275</v>
      </c>
      <c r="L2722">
        <v>2106710275</v>
      </c>
      <c r="M2722" t="s">
        <v>9310</v>
      </c>
      <c r="N2722" t="s">
        <v>4936</v>
      </c>
      <c r="O2722" t="s">
        <v>9311</v>
      </c>
      <c r="P2722">
        <v>11525</v>
      </c>
      <c r="Q2722" t="str">
        <f>"37.995752"</f>
        <v>37.995752</v>
      </c>
      <c r="R2722" t="str">
        <f>"23.777681"</f>
        <v>23.777681</v>
      </c>
      <c r="S2722" t="s">
        <v>26</v>
      </c>
    </row>
    <row r="2723" spans="1:19" x14ac:dyDescent="0.3">
      <c r="A2723" t="s">
        <v>3237</v>
      </c>
      <c r="B2723" t="s">
        <v>8935</v>
      </c>
      <c r="C2723" t="s">
        <v>9314</v>
      </c>
      <c r="D2723" t="s">
        <v>3245</v>
      </c>
      <c r="E2723" t="s">
        <v>4682</v>
      </c>
      <c r="F2723" t="s">
        <v>4682</v>
      </c>
      <c r="G2723" t="s">
        <v>4682</v>
      </c>
      <c r="H2723" t="s">
        <v>868</v>
      </c>
      <c r="I2723" t="s">
        <v>869</v>
      </c>
      <c r="J2723" t="str">
        <f>"9051855"</f>
        <v>9051855</v>
      </c>
      <c r="K2723">
        <v>2106131132</v>
      </c>
      <c r="L2723">
        <v>2106131004</v>
      </c>
      <c r="M2723" t="s">
        <v>9315</v>
      </c>
      <c r="N2723" t="s">
        <v>4685</v>
      </c>
      <c r="O2723" t="s">
        <v>9316</v>
      </c>
      <c r="P2723">
        <v>15235</v>
      </c>
      <c r="Q2723" t="str">
        <f>"38.040513"</f>
        <v>38.040513</v>
      </c>
      <c r="R2723" t="str">
        <f>"23.845788"</f>
        <v>23.845788</v>
      </c>
      <c r="S2723" t="s">
        <v>26</v>
      </c>
    </row>
    <row r="2724" spans="1:19" x14ac:dyDescent="0.3">
      <c r="A2724" t="s">
        <v>3237</v>
      </c>
      <c r="B2724" t="s">
        <v>8935</v>
      </c>
      <c r="C2724" t="s">
        <v>4687</v>
      </c>
      <c r="D2724" t="s">
        <v>3245</v>
      </c>
      <c r="E2724" t="s">
        <v>4682</v>
      </c>
      <c r="F2724" t="s">
        <v>4682</v>
      </c>
      <c r="G2724" t="s">
        <v>4682</v>
      </c>
      <c r="H2724" t="s">
        <v>868</v>
      </c>
      <c r="I2724" t="s">
        <v>869</v>
      </c>
      <c r="J2724" t="str">
        <f>"9520567"</f>
        <v>9520567</v>
      </c>
      <c r="K2724">
        <v>2108105220</v>
      </c>
      <c r="L2724">
        <v>2108102272</v>
      </c>
      <c r="M2724" t="s">
        <v>9317</v>
      </c>
      <c r="N2724" t="s">
        <v>4685</v>
      </c>
      <c r="O2724" t="s">
        <v>9318</v>
      </c>
      <c r="P2724">
        <v>15235</v>
      </c>
      <c r="Q2724" t="str">
        <f>"38.042118"</f>
        <v>38.042118</v>
      </c>
      <c r="R2724" t="str">
        <f>"23.836074"</f>
        <v>23.836074</v>
      </c>
      <c r="S2724" t="s">
        <v>26</v>
      </c>
    </row>
    <row r="2725" spans="1:19" x14ac:dyDescent="0.3">
      <c r="A2725" t="s">
        <v>3237</v>
      </c>
      <c r="B2725" t="s">
        <v>8935</v>
      </c>
      <c r="C2725" t="s">
        <v>9319</v>
      </c>
      <c r="D2725" t="s">
        <v>3245</v>
      </c>
      <c r="E2725" t="s">
        <v>4649</v>
      </c>
      <c r="F2725" t="s">
        <v>4649</v>
      </c>
      <c r="G2725" t="s">
        <v>4649</v>
      </c>
      <c r="H2725" t="s">
        <v>868</v>
      </c>
      <c r="I2725" t="s">
        <v>869</v>
      </c>
      <c r="J2725" t="str">
        <f>"9050075"</f>
        <v>9050075</v>
      </c>
      <c r="K2725">
        <v>2106714497</v>
      </c>
      <c r="M2725" t="s">
        <v>9320</v>
      </c>
      <c r="N2725" t="s">
        <v>4652</v>
      </c>
      <c r="O2725" t="s">
        <v>9321</v>
      </c>
      <c r="P2725">
        <v>15231</v>
      </c>
      <c r="Q2725" t="str">
        <f>"38.009478"</f>
        <v>38.009478</v>
      </c>
      <c r="R2725" t="str">
        <f>"23.797985"</f>
        <v>23.797985</v>
      </c>
      <c r="S2725" t="s">
        <v>26</v>
      </c>
    </row>
    <row r="2726" spans="1:19" x14ac:dyDescent="0.3">
      <c r="A2726" t="s">
        <v>3237</v>
      </c>
      <c r="B2726" t="s">
        <v>8935</v>
      </c>
      <c r="C2726" t="s">
        <v>9322</v>
      </c>
      <c r="D2726" t="s">
        <v>3245</v>
      </c>
      <c r="E2726" t="s">
        <v>4649</v>
      </c>
      <c r="F2726" t="s">
        <v>4649</v>
      </c>
      <c r="G2726" t="s">
        <v>4649</v>
      </c>
      <c r="H2726" t="s">
        <v>868</v>
      </c>
      <c r="I2726" t="s">
        <v>869</v>
      </c>
      <c r="J2726" t="str">
        <f>"9050077"</f>
        <v>9050077</v>
      </c>
      <c r="K2726">
        <v>2106832871</v>
      </c>
      <c r="L2726">
        <v>2106832533</v>
      </c>
      <c r="M2726" t="s">
        <v>9323</v>
      </c>
      <c r="N2726" t="s">
        <v>4652</v>
      </c>
      <c r="O2726" t="s">
        <v>9324</v>
      </c>
      <c r="P2726">
        <v>15233</v>
      </c>
      <c r="Q2726" t="str">
        <f>"38.027851"</f>
        <v>38.027851</v>
      </c>
      <c r="R2726" t="str">
        <f>"23.803441"</f>
        <v>23.803441</v>
      </c>
      <c r="S2726" t="s">
        <v>26</v>
      </c>
    </row>
    <row r="2727" spans="1:19" x14ac:dyDescent="0.3">
      <c r="A2727" t="s">
        <v>3237</v>
      </c>
      <c r="B2727" t="s">
        <v>8935</v>
      </c>
      <c r="C2727" t="s">
        <v>4877</v>
      </c>
      <c r="D2727" t="s">
        <v>3245</v>
      </c>
      <c r="E2727" t="s">
        <v>4649</v>
      </c>
      <c r="F2727" t="s">
        <v>4649</v>
      </c>
      <c r="G2727" t="s">
        <v>4649</v>
      </c>
      <c r="H2727" t="s">
        <v>868</v>
      </c>
      <c r="I2727" t="s">
        <v>869</v>
      </c>
      <c r="J2727" t="str">
        <f>"9051113"</f>
        <v>9051113</v>
      </c>
      <c r="K2727">
        <v>2106745001</v>
      </c>
      <c r="L2727">
        <v>2106745071</v>
      </c>
      <c r="M2727" t="s">
        <v>9325</v>
      </c>
      <c r="N2727" t="s">
        <v>4652</v>
      </c>
      <c r="O2727" t="s">
        <v>9321</v>
      </c>
      <c r="P2727">
        <v>15231</v>
      </c>
      <c r="Q2727" t="str">
        <f>"38.010202"</f>
        <v>38.010202</v>
      </c>
      <c r="R2727" t="str">
        <f>"23.797717"</f>
        <v>23.797717</v>
      </c>
      <c r="S2727" t="s">
        <v>26</v>
      </c>
    </row>
    <row r="2728" spans="1:19" x14ac:dyDescent="0.3">
      <c r="A2728" t="s">
        <v>3237</v>
      </c>
      <c r="B2728" t="s">
        <v>8935</v>
      </c>
      <c r="C2728" t="s">
        <v>9361</v>
      </c>
      <c r="D2728" t="s">
        <v>3245</v>
      </c>
      <c r="E2728" t="s">
        <v>4649</v>
      </c>
      <c r="F2728" t="s">
        <v>4649</v>
      </c>
      <c r="G2728" t="s">
        <v>4649</v>
      </c>
      <c r="H2728" t="s">
        <v>868</v>
      </c>
      <c r="I2728" t="s">
        <v>869</v>
      </c>
      <c r="J2728" t="str">
        <f>"9051479"</f>
        <v>9051479</v>
      </c>
      <c r="K2728">
        <v>2106849439</v>
      </c>
      <c r="L2728">
        <v>2106849439</v>
      </c>
      <c r="M2728" t="s">
        <v>9362</v>
      </c>
      <c r="N2728" t="s">
        <v>4652</v>
      </c>
      <c r="O2728" t="s">
        <v>9363</v>
      </c>
      <c r="P2728">
        <v>15234</v>
      </c>
      <c r="Q2728" t="str">
        <f>"38.029941"</f>
        <v>38.029941</v>
      </c>
      <c r="R2728" t="str">
        <f>"23.821425"</f>
        <v>23.821425</v>
      </c>
      <c r="S2728" t="s">
        <v>26</v>
      </c>
    </row>
    <row r="2729" spans="1:19" x14ac:dyDescent="0.3">
      <c r="A2729" t="s">
        <v>3237</v>
      </c>
      <c r="B2729" t="s">
        <v>8935</v>
      </c>
      <c r="C2729" t="s">
        <v>9364</v>
      </c>
      <c r="D2729" t="s">
        <v>3245</v>
      </c>
      <c r="E2729" t="s">
        <v>4591</v>
      </c>
      <c r="F2729" t="s">
        <v>4591</v>
      </c>
      <c r="G2729" t="s">
        <v>4591</v>
      </c>
      <c r="H2729" t="s">
        <v>868</v>
      </c>
      <c r="I2729" t="s">
        <v>869</v>
      </c>
      <c r="J2729" t="str">
        <f>"9051606"</f>
        <v>9051606</v>
      </c>
      <c r="K2729">
        <v>2106142166</v>
      </c>
      <c r="L2729">
        <v>2106142166</v>
      </c>
      <c r="M2729" t="s">
        <v>9365</v>
      </c>
      <c r="N2729" t="s">
        <v>4600</v>
      </c>
      <c r="O2729" t="s">
        <v>9366</v>
      </c>
      <c r="P2729">
        <v>15126</v>
      </c>
      <c r="Q2729" t="str">
        <f>"38.057189"</f>
        <v>38.057189</v>
      </c>
      <c r="R2729" t="str">
        <f>"23.815541"</f>
        <v>23.815541</v>
      </c>
      <c r="S2729" t="s">
        <v>26</v>
      </c>
    </row>
    <row r="2730" spans="1:19" x14ac:dyDescent="0.3">
      <c r="A2730" t="s">
        <v>3237</v>
      </c>
      <c r="B2730" t="s">
        <v>8935</v>
      </c>
      <c r="C2730" t="s">
        <v>9367</v>
      </c>
      <c r="D2730" t="s">
        <v>3245</v>
      </c>
      <c r="E2730" t="s">
        <v>4618</v>
      </c>
      <c r="F2730" t="s">
        <v>4618</v>
      </c>
      <c r="G2730" t="s">
        <v>4618</v>
      </c>
      <c r="H2730" t="s">
        <v>868</v>
      </c>
      <c r="I2730" t="s">
        <v>869</v>
      </c>
      <c r="J2730" t="str">
        <f>"9051731"</f>
        <v>9051731</v>
      </c>
      <c r="K2730">
        <v>2102841382</v>
      </c>
      <c r="L2730">
        <v>2102822859</v>
      </c>
      <c r="M2730" t="s">
        <v>9368</v>
      </c>
      <c r="N2730" t="s">
        <v>9369</v>
      </c>
      <c r="O2730" t="s">
        <v>9370</v>
      </c>
      <c r="P2730">
        <v>14121</v>
      </c>
      <c r="Q2730" t="str">
        <f>"38.048606"</f>
        <v>38.048606</v>
      </c>
      <c r="R2730" t="str">
        <f>"23.776980"</f>
        <v>23.776980</v>
      </c>
      <c r="S2730" t="s">
        <v>26</v>
      </c>
    </row>
    <row r="2731" spans="1:19" x14ac:dyDescent="0.3">
      <c r="A2731" t="s">
        <v>3237</v>
      </c>
      <c r="B2731" t="s">
        <v>8935</v>
      </c>
      <c r="C2731" t="s">
        <v>4909</v>
      </c>
      <c r="D2731" t="s">
        <v>3245</v>
      </c>
      <c r="E2731" t="s">
        <v>4618</v>
      </c>
      <c r="F2731" t="s">
        <v>4618</v>
      </c>
      <c r="G2731" t="s">
        <v>4618</v>
      </c>
      <c r="H2731" t="s">
        <v>868</v>
      </c>
      <c r="I2731" t="s">
        <v>869</v>
      </c>
      <c r="J2731" t="str">
        <f>"9050904"</f>
        <v>9050904</v>
      </c>
      <c r="K2731">
        <v>2102820243</v>
      </c>
      <c r="M2731" t="s">
        <v>9374</v>
      </c>
      <c r="N2731" t="s">
        <v>4621</v>
      </c>
      <c r="O2731" t="s">
        <v>9375</v>
      </c>
      <c r="P2731">
        <v>14121</v>
      </c>
      <c r="Q2731" t="str">
        <f>"38.048479"</f>
        <v>38.048479</v>
      </c>
      <c r="R2731" t="str">
        <f>"23.777045"</f>
        <v>23.777045</v>
      </c>
      <c r="S2731" t="s">
        <v>26</v>
      </c>
    </row>
    <row r="2732" spans="1:19" x14ac:dyDescent="0.3">
      <c r="A2732" t="s">
        <v>3237</v>
      </c>
      <c r="B2732" t="s">
        <v>8935</v>
      </c>
      <c r="C2732" t="s">
        <v>9383</v>
      </c>
      <c r="D2732" t="s">
        <v>3245</v>
      </c>
      <c r="E2732" t="s">
        <v>4618</v>
      </c>
      <c r="F2732" t="s">
        <v>4618</v>
      </c>
      <c r="G2732" t="s">
        <v>4618</v>
      </c>
      <c r="H2732" t="s">
        <v>868</v>
      </c>
      <c r="I2732" t="s">
        <v>869</v>
      </c>
      <c r="J2732" t="str">
        <f>"9051115"</f>
        <v>9051115</v>
      </c>
      <c r="K2732">
        <v>2102826648</v>
      </c>
      <c r="L2732">
        <v>2102826648</v>
      </c>
      <c r="M2732" t="s">
        <v>9384</v>
      </c>
      <c r="N2732" t="s">
        <v>9385</v>
      </c>
      <c r="O2732" t="s">
        <v>9386</v>
      </c>
      <c r="P2732">
        <v>14122</v>
      </c>
      <c r="Q2732" t="str">
        <f>"38.048444"</f>
        <v>38.048444</v>
      </c>
      <c r="R2732" t="str">
        <f>"23.756030"</f>
        <v>23.756030</v>
      </c>
      <c r="S2732" t="s">
        <v>26</v>
      </c>
    </row>
    <row r="2733" spans="1:19" x14ac:dyDescent="0.3">
      <c r="A2733" t="s">
        <v>3237</v>
      </c>
      <c r="B2733" t="s">
        <v>8935</v>
      </c>
      <c r="C2733" t="s">
        <v>4794</v>
      </c>
      <c r="D2733" t="s">
        <v>3245</v>
      </c>
      <c r="E2733" t="s">
        <v>4713</v>
      </c>
      <c r="F2733" t="s">
        <v>4714</v>
      </c>
      <c r="G2733" t="s">
        <v>4714</v>
      </c>
      <c r="H2733" t="s">
        <v>868</v>
      </c>
      <c r="I2733" t="s">
        <v>869</v>
      </c>
      <c r="J2733" t="str">
        <f>"9050054"</f>
        <v>9050054</v>
      </c>
      <c r="K2733">
        <v>2108020060</v>
      </c>
      <c r="L2733">
        <v>2108020060</v>
      </c>
      <c r="M2733" t="s">
        <v>9452</v>
      </c>
      <c r="N2733" t="s">
        <v>4717</v>
      </c>
      <c r="O2733" t="s">
        <v>9453</v>
      </c>
      <c r="P2733">
        <v>15121</v>
      </c>
      <c r="Q2733" t="str">
        <f>"38.057359"</f>
        <v>38.057359</v>
      </c>
      <c r="R2733" t="str">
        <f>"23.789670"</f>
        <v>23.789670</v>
      </c>
      <c r="S2733" t="s">
        <v>26</v>
      </c>
    </row>
    <row r="2734" spans="1:19" x14ac:dyDescent="0.3">
      <c r="A2734" t="s">
        <v>3237</v>
      </c>
      <c r="B2734" t="s">
        <v>8935</v>
      </c>
      <c r="C2734" t="s">
        <v>4681</v>
      </c>
      <c r="D2734" t="s">
        <v>3245</v>
      </c>
      <c r="E2734" t="s">
        <v>4649</v>
      </c>
      <c r="F2734" t="s">
        <v>4649</v>
      </c>
      <c r="G2734" t="s">
        <v>4649</v>
      </c>
      <c r="H2734" t="s">
        <v>868</v>
      </c>
      <c r="I2734" t="s">
        <v>869</v>
      </c>
      <c r="J2734" t="str">
        <f>"9051480"</f>
        <v>9051480</v>
      </c>
      <c r="K2734">
        <v>2106832986</v>
      </c>
      <c r="L2734">
        <v>2106832929</v>
      </c>
      <c r="M2734" t="s">
        <v>9457</v>
      </c>
      <c r="N2734" t="s">
        <v>4652</v>
      </c>
      <c r="O2734" t="s">
        <v>9438</v>
      </c>
      <c r="P2734">
        <v>15234</v>
      </c>
      <c r="Q2734" t="str">
        <f>"38.022192"</f>
        <v>38.022192</v>
      </c>
      <c r="R2734" t="str">
        <f>"23.810742"</f>
        <v>23.810742</v>
      </c>
      <c r="S2734" t="s">
        <v>26</v>
      </c>
    </row>
    <row r="2735" spans="1:19" x14ac:dyDescent="0.3">
      <c r="A2735" t="s">
        <v>3237</v>
      </c>
      <c r="B2735" t="s">
        <v>8935</v>
      </c>
      <c r="C2735" t="s">
        <v>9460</v>
      </c>
      <c r="D2735" t="s">
        <v>3245</v>
      </c>
      <c r="E2735" t="s">
        <v>3246</v>
      </c>
      <c r="F2735" t="s">
        <v>3246</v>
      </c>
      <c r="G2735" t="s">
        <v>3246</v>
      </c>
      <c r="H2735" t="s">
        <v>868</v>
      </c>
      <c r="I2735" t="s">
        <v>869</v>
      </c>
      <c r="J2735" t="str">
        <f>"9050491"</f>
        <v>9050491</v>
      </c>
      <c r="K2735">
        <v>2102791503</v>
      </c>
      <c r="L2735">
        <v>2102717873</v>
      </c>
      <c r="M2735" t="s">
        <v>9461</v>
      </c>
      <c r="N2735" t="s">
        <v>9462</v>
      </c>
      <c r="O2735" t="s">
        <v>9463</v>
      </c>
      <c r="P2735">
        <v>14235</v>
      </c>
      <c r="Q2735" t="str">
        <f>"38.038164"</f>
        <v>38.038164</v>
      </c>
      <c r="R2735" t="str">
        <f>"23.773817"</f>
        <v>23.773817</v>
      </c>
      <c r="S2735" t="s">
        <v>26</v>
      </c>
    </row>
    <row r="2736" spans="1:19" x14ac:dyDescent="0.3">
      <c r="A2736" t="s">
        <v>3237</v>
      </c>
      <c r="B2736" t="s">
        <v>8935</v>
      </c>
      <c r="C2736" t="s">
        <v>9492</v>
      </c>
      <c r="D2736" t="s">
        <v>3245</v>
      </c>
      <c r="E2736" t="s">
        <v>4832</v>
      </c>
      <c r="F2736" t="s">
        <v>4832</v>
      </c>
      <c r="G2736" t="s">
        <v>4832</v>
      </c>
      <c r="H2736" t="s">
        <v>868</v>
      </c>
      <c r="I2736" t="s">
        <v>869</v>
      </c>
      <c r="J2736" t="str">
        <f>"9050681"</f>
        <v>9050681</v>
      </c>
      <c r="K2736">
        <v>2102811054</v>
      </c>
      <c r="L2736">
        <v>2102811254</v>
      </c>
      <c r="M2736" t="s">
        <v>9493</v>
      </c>
      <c r="N2736" t="s">
        <v>4835</v>
      </c>
      <c r="O2736" t="s">
        <v>9494</v>
      </c>
      <c r="P2736">
        <v>14452</v>
      </c>
      <c r="Q2736" t="str">
        <f>"38.065019"</f>
        <v>38.065019</v>
      </c>
      <c r="R2736" t="str">
        <f>"23.767758"</f>
        <v>23.767758</v>
      </c>
      <c r="S2736" t="s">
        <v>26</v>
      </c>
    </row>
    <row r="2737" spans="1:19" x14ac:dyDescent="0.3">
      <c r="A2737" t="s">
        <v>3237</v>
      </c>
      <c r="B2737" t="s">
        <v>8935</v>
      </c>
      <c r="C2737" t="s">
        <v>9495</v>
      </c>
      <c r="D2737" t="s">
        <v>3245</v>
      </c>
      <c r="E2737" t="s">
        <v>4649</v>
      </c>
      <c r="F2737" t="s">
        <v>4649</v>
      </c>
      <c r="G2737" t="s">
        <v>4649</v>
      </c>
      <c r="H2737" t="s">
        <v>868</v>
      </c>
      <c r="I2737" t="s">
        <v>869</v>
      </c>
      <c r="J2737" t="str">
        <f>"9050069"</f>
        <v>9050069</v>
      </c>
      <c r="K2737">
        <v>2106812916</v>
      </c>
      <c r="L2737">
        <v>2106812916</v>
      </c>
      <c r="M2737" t="s">
        <v>9496</v>
      </c>
      <c r="N2737" t="s">
        <v>4652</v>
      </c>
      <c r="O2737" t="s">
        <v>9497</v>
      </c>
      <c r="P2737">
        <v>15232</v>
      </c>
      <c r="Q2737" t="str">
        <f>"38.019238"</f>
        <v>38.019238</v>
      </c>
      <c r="R2737" t="str">
        <f>"23.800439"</f>
        <v>23.800439</v>
      </c>
      <c r="S2737" t="s">
        <v>26</v>
      </c>
    </row>
    <row r="2738" spans="1:19" x14ac:dyDescent="0.3">
      <c r="A2738" t="s">
        <v>3237</v>
      </c>
      <c r="B2738" t="s">
        <v>8935</v>
      </c>
      <c r="C2738" t="s">
        <v>9498</v>
      </c>
      <c r="D2738" t="s">
        <v>3245</v>
      </c>
      <c r="E2738" t="s">
        <v>4618</v>
      </c>
      <c r="F2738" t="s">
        <v>4618</v>
      </c>
      <c r="G2738" t="s">
        <v>4618</v>
      </c>
      <c r="H2738" t="s">
        <v>868</v>
      </c>
      <c r="I2738" t="s">
        <v>1157</v>
      </c>
      <c r="J2738" t="str">
        <f>"9051645"</f>
        <v>9051645</v>
      </c>
      <c r="K2738">
        <v>2102716446</v>
      </c>
      <c r="L2738">
        <v>2102716446</v>
      </c>
      <c r="M2738" t="s">
        <v>9499</v>
      </c>
      <c r="N2738" t="s">
        <v>4621</v>
      </c>
      <c r="O2738" t="s">
        <v>8939</v>
      </c>
      <c r="P2738">
        <v>14121</v>
      </c>
      <c r="Q2738" t="str">
        <f>"38.043142"</f>
        <v>38.043142</v>
      </c>
      <c r="R2738" t="str">
        <f>"23.775917"</f>
        <v>23.775917</v>
      </c>
      <c r="S2738" t="s">
        <v>26</v>
      </c>
    </row>
    <row r="2739" spans="1:19" x14ac:dyDescent="0.3">
      <c r="A2739" t="s">
        <v>3237</v>
      </c>
      <c r="B2739" t="s">
        <v>8935</v>
      </c>
      <c r="C2739" t="s">
        <v>9500</v>
      </c>
      <c r="D2739" t="s">
        <v>3245</v>
      </c>
      <c r="E2739" t="s">
        <v>4048</v>
      </c>
      <c r="F2739" t="s">
        <v>4048</v>
      </c>
      <c r="G2739" t="s">
        <v>4048</v>
      </c>
      <c r="H2739" t="s">
        <v>868</v>
      </c>
      <c r="I2739" t="s">
        <v>869</v>
      </c>
      <c r="J2739" t="str">
        <f>"9051371"</f>
        <v>9051371</v>
      </c>
      <c r="K2739">
        <v>2106202585</v>
      </c>
      <c r="L2739">
        <v>2108070104</v>
      </c>
      <c r="M2739" t="s">
        <v>9501</v>
      </c>
      <c r="N2739" t="s">
        <v>4605</v>
      </c>
      <c r="O2739" t="s">
        <v>9502</v>
      </c>
      <c r="P2739">
        <v>14563</v>
      </c>
      <c r="Q2739" t="str">
        <f>"38.084768"</f>
        <v>38.084768</v>
      </c>
      <c r="R2739" t="str">
        <f>"23.832046"</f>
        <v>23.832046</v>
      </c>
      <c r="S2739" t="s">
        <v>26</v>
      </c>
    </row>
    <row r="2740" spans="1:19" x14ac:dyDescent="0.3">
      <c r="A2740" t="s">
        <v>3237</v>
      </c>
      <c r="B2740" t="s">
        <v>8935</v>
      </c>
      <c r="C2740" t="s">
        <v>9505</v>
      </c>
      <c r="D2740" t="s">
        <v>3245</v>
      </c>
      <c r="E2740" t="s">
        <v>4618</v>
      </c>
      <c r="F2740" t="s">
        <v>4618</v>
      </c>
      <c r="G2740" t="s">
        <v>4618</v>
      </c>
      <c r="H2740" t="s">
        <v>868</v>
      </c>
      <c r="I2740" t="s">
        <v>869</v>
      </c>
      <c r="J2740" t="str">
        <f>"9050959"</f>
        <v>9050959</v>
      </c>
      <c r="K2740">
        <v>2102810467</v>
      </c>
      <c r="L2740">
        <v>2102810467</v>
      </c>
      <c r="M2740" t="s">
        <v>9506</v>
      </c>
      <c r="N2740" t="s">
        <v>4621</v>
      </c>
      <c r="O2740" t="s">
        <v>9373</v>
      </c>
      <c r="P2740">
        <v>14122</v>
      </c>
      <c r="Q2740" t="str">
        <f>"38.056190"</f>
        <v>38.056190</v>
      </c>
      <c r="R2740" t="str">
        <f>"23.774757"</f>
        <v>23.774757</v>
      </c>
      <c r="S2740" t="s">
        <v>26</v>
      </c>
    </row>
    <row r="2741" spans="1:19" x14ac:dyDescent="0.3">
      <c r="A2741" t="s">
        <v>3237</v>
      </c>
      <c r="B2741" t="s">
        <v>8935</v>
      </c>
      <c r="C2741" t="s">
        <v>9516</v>
      </c>
      <c r="D2741" t="s">
        <v>3245</v>
      </c>
      <c r="E2741" t="s">
        <v>4713</v>
      </c>
      <c r="F2741" t="s">
        <v>4714</v>
      </c>
      <c r="G2741" t="s">
        <v>4714</v>
      </c>
      <c r="H2741" t="s">
        <v>868</v>
      </c>
      <c r="I2741" t="s">
        <v>869</v>
      </c>
      <c r="J2741" t="str">
        <f>"9051367"</f>
        <v>9051367</v>
      </c>
      <c r="K2741">
        <v>2108062060</v>
      </c>
      <c r="L2741">
        <v>2106143067</v>
      </c>
      <c r="M2741" t="s">
        <v>9517</v>
      </c>
      <c r="N2741" t="s">
        <v>4717</v>
      </c>
      <c r="O2741" t="s">
        <v>9518</v>
      </c>
      <c r="P2741">
        <v>15121</v>
      </c>
      <c r="Q2741" t="str">
        <f>"38.063402"</f>
        <v>38.063402</v>
      </c>
      <c r="R2741" t="str">
        <f>"23.792642"</f>
        <v>23.792642</v>
      </c>
      <c r="S2741" t="s">
        <v>26</v>
      </c>
    </row>
    <row r="2742" spans="1:19" x14ac:dyDescent="0.3">
      <c r="A2742" t="s">
        <v>3237</v>
      </c>
      <c r="B2742" t="s">
        <v>8935</v>
      </c>
      <c r="C2742" t="s">
        <v>4623</v>
      </c>
      <c r="D2742" t="s">
        <v>3245</v>
      </c>
      <c r="E2742" t="s">
        <v>4618</v>
      </c>
      <c r="F2742" t="s">
        <v>4618</v>
      </c>
      <c r="G2742" t="s">
        <v>4618</v>
      </c>
      <c r="H2742" t="s">
        <v>868</v>
      </c>
      <c r="I2742" t="s">
        <v>869</v>
      </c>
      <c r="J2742" t="str">
        <f>"9050469"</f>
        <v>9050469</v>
      </c>
      <c r="K2742">
        <v>2102820112</v>
      </c>
      <c r="L2742">
        <v>2102820112</v>
      </c>
      <c r="M2742" t="s">
        <v>9519</v>
      </c>
      <c r="N2742" t="s">
        <v>4621</v>
      </c>
      <c r="O2742" t="s">
        <v>9520</v>
      </c>
      <c r="P2742">
        <v>14121</v>
      </c>
      <c r="Q2742" t="str">
        <f>"38.048267"</f>
        <v>38.048267</v>
      </c>
      <c r="R2742" t="str">
        <f>"23.772470"</f>
        <v>23.772470</v>
      </c>
      <c r="S2742" t="s">
        <v>26</v>
      </c>
    </row>
    <row r="2743" spans="1:19" x14ac:dyDescent="0.3">
      <c r="A2743" t="s">
        <v>3237</v>
      </c>
      <c r="B2743" t="s">
        <v>8935</v>
      </c>
      <c r="C2743" t="s">
        <v>4648</v>
      </c>
      <c r="D2743" t="s">
        <v>3245</v>
      </c>
      <c r="E2743" t="s">
        <v>4618</v>
      </c>
      <c r="F2743" t="s">
        <v>4618</v>
      </c>
      <c r="G2743" t="s">
        <v>4618</v>
      </c>
      <c r="H2743" t="s">
        <v>868</v>
      </c>
      <c r="I2743" t="s">
        <v>869</v>
      </c>
      <c r="J2743" t="str">
        <f>"9050470"</f>
        <v>9050470</v>
      </c>
      <c r="K2743">
        <v>2102826804</v>
      </c>
      <c r="L2743">
        <v>2102826804</v>
      </c>
      <c r="M2743" t="s">
        <v>9521</v>
      </c>
      <c r="N2743" t="s">
        <v>4741</v>
      </c>
      <c r="O2743" t="s">
        <v>9522</v>
      </c>
      <c r="P2743">
        <v>14122</v>
      </c>
      <c r="Q2743" t="str">
        <f>"38.049013"</f>
        <v>38.049013</v>
      </c>
      <c r="R2743" t="str">
        <f>"23.760690"</f>
        <v>23.760690</v>
      </c>
      <c r="S2743" t="s">
        <v>26</v>
      </c>
    </row>
    <row r="2744" spans="1:19" x14ac:dyDescent="0.3">
      <c r="A2744" t="s">
        <v>3237</v>
      </c>
      <c r="B2744" t="s">
        <v>8935</v>
      </c>
      <c r="C2744" t="s">
        <v>9523</v>
      </c>
      <c r="D2744" t="s">
        <v>3245</v>
      </c>
      <c r="E2744" t="s">
        <v>4048</v>
      </c>
      <c r="F2744" t="s">
        <v>8986</v>
      </c>
      <c r="G2744" t="s">
        <v>8986</v>
      </c>
      <c r="H2744" t="s">
        <v>868</v>
      </c>
      <c r="I2744" t="s">
        <v>869</v>
      </c>
      <c r="J2744" t="str">
        <f>"9051370"</f>
        <v>9051370</v>
      </c>
      <c r="K2744">
        <v>2108133050</v>
      </c>
      <c r="M2744" t="s">
        <v>9524</v>
      </c>
      <c r="N2744" t="s">
        <v>4148</v>
      </c>
      <c r="O2744" t="s">
        <v>9525</v>
      </c>
      <c r="P2744">
        <v>14578</v>
      </c>
      <c r="Q2744" t="str">
        <f>"38.110788"</f>
        <v>38.110788</v>
      </c>
      <c r="R2744" t="str">
        <f>"23.837230"</f>
        <v>23.837230</v>
      </c>
      <c r="S2744" t="s">
        <v>26</v>
      </c>
    </row>
    <row r="2745" spans="1:19" x14ac:dyDescent="0.3">
      <c r="A2745" t="s">
        <v>3237</v>
      </c>
      <c r="B2745" t="s">
        <v>8935</v>
      </c>
      <c r="C2745" t="s">
        <v>9526</v>
      </c>
      <c r="D2745" t="s">
        <v>3245</v>
      </c>
      <c r="E2745" t="s">
        <v>4618</v>
      </c>
      <c r="F2745" t="s">
        <v>4618</v>
      </c>
      <c r="G2745" t="s">
        <v>4618</v>
      </c>
      <c r="H2745" t="s">
        <v>868</v>
      </c>
      <c r="I2745" t="s">
        <v>869</v>
      </c>
      <c r="J2745" t="str">
        <f>"9050680"</f>
        <v>9050680</v>
      </c>
      <c r="K2745">
        <v>2102754001</v>
      </c>
      <c r="L2745">
        <v>2102754001</v>
      </c>
      <c r="M2745" t="s">
        <v>9527</v>
      </c>
      <c r="N2745" t="s">
        <v>9528</v>
      </c>
      <c r="O2745" t="s">
        <v>9529</v>
      </c>
      <c r="P2745">
        <v>14121</v>
      </c>
      <c r="Q2745" t="str">
        <f>"38.040180"</f>
        <v>38.040180</v>
      </c>
      <c r="R2745" t="str">
        <f>"23.772581"</f>
        <v>23.772581</v>
      </c>
      <c r="S2745" t="s">
        <v>26</v>
      </c>
    </row>
    <row r="2746" spans="1:19" x14ac:dyDescent="0.3">
      <c r="A2746" t="s">
        <v>3237</v>
      </c>
      <c r="B2746" t="s">
        <v>8935</v>
      </c>
      <c r="C2746" t="s">
        <v>4861</v>
      </c>
      <c r="D2746" t="s">
        <v>3245</v>
      </c>
      <c r="E2746" t="s">
        <v>4618</v>
      </c>
      <c r="F2746" t="s">
        <v>4618</v>
      </c>
      <c r="G2746" t="s">
        <v>4618</v>
      </c>
      <c r="H2746" t="s">
        <v>868</v>
      </c>
      <c r="I2746" t="s">
        <v>869</v>
      </c>
      <c r="J2746" t="str">
        <f>"9050473"</f>
        <v>9050473</v>
      </c>
      <c r="K2746">
        <v>2102819390</v>
      </c>
      <c r="M2746" t="s">
        <v>9530</v>
      </c>
      <c r="N2746" t="s">
        <v>9531</v>
      </c>
      <c r="O2746" t="s">
        <v>9532</v>
      </c>
      <c r="P2746">
        <v>14122</v>
      </c>
      <c r="Q2746" t="str">
        <f>"38.060757"</f>
        <v>38.060757</v>
      </c>
      <c r="R2746" t="str">
        <f>"23.772407"</f>
        <v>23.772407</v>
      </c>
      <c r="S2746" t="s">
        <v>26</v>
      </c>
    </row>
    <row r="2747" spans="1:19" x14ac:dyDescent="0.3">
      <c r="A2747" t="s">
        <v>3237</v>
      </c>
      <c r="B2747" t="s">
        <v>8935</v>
      </c>
      <c r="C2747" t="s">
        <v>9533</v>
      </c>
      <c r="D2747" t="s">
        <v>3245</v>
      </c>
      <c r="E2747" t="s">
        <v>4618</v>
      </c>
      <c r="F2747" t="s">
        <v>4618</v>
      </c>
      <c r="G2747" t="s">
        <v>4618</v>
      </c>
      <c r="H2747" t="s">
        <v>868</v>
      </c>
      <c r="I2747" t="s">
        <v>869</v>
      </c>
      <c r="J2747" t="str">
        <f>"9050466"</f>
        <v>9050466</v>
      </c>
      <c r="K2747">
        <v>2102827074</v>
      </c>
      <c r="L2747">
        <v>2102827074</v>
      </c>
      <c r="M2747" t="s">
        <v>9534</v>
      </c>
      <c r="N2747" t="s">
        <v>9531</v>
      </c>
      <c r="O2747" t="s">
        <v>9535</v>
      </c>
      <c r="P2747">
        <v>14122</v>
      </c>
      <c r="Q2747" t="str">
        <f>"38.048310"</f>
        <v>38.048310</v>
      </c>
      <c r="R2747" t="str">
        <f>"23.763791"</f>
        <v>23.763791</v>
      </c>
      <c r="S2747" t="s">
        <v>26</v>
      </c>
    </row>
    <row r="2748" spans="1:19" x14ac:dyDescent="0.3">
      <c r="A2748" t="s">
        <v>3237</v>
      </c>
      <c r="B2748" t="s">
        <v>8935</v>
      </c>
      <c r="C2748" t="s">
        <v>4997</v>
      </c>
      <c r="D2748" t="s">
        <v>3245</v>
      </c>
      <c r="E2748" t="s">
        <v>4713</v>
      </c>
      <c r="F2748" t="s">
        <v>4992</v>
      </c>
      <c r="G2748" t="s">
        <v>4992</v>
      </c>
      <c r="H2748" t="s">
        <v>868</v>
      </c>
      <c r="I2748" t="s">
        <v>869</v>
      </c>
      <c r="J2748" t="str">
        <f>"9051271"</f>
        <v>9051271</v>
      </c>
      <c r="K2748">
        <v>2102827025</v>
      </c>
      <c r="M2748" t="s">
        <v>9536</v>
      </c>
      <c r="N2748" t="s">
        <v>5079</v>
      </c>
      <c r="O2748" t="s">
        <v>9537</v>
      </c>
      <c r="P2748">
        <v>14123</v>
      </c>
      <c r="Q2748" t="str">
        <f>"38.072824"</f>
        <v>38.072824</v>
      </c>
      <c r="R2748" t="str">
        <f>"23.784567"</f>
        <v>23.784567</v>
      </c>
      <c r="S2748" t="s">
        <v>26</v>
      </c>
    </row>
    <row r="2749" spans="1:19" x14ac:dyDescent="0.3">
      <c r="A2749" t="s">
        <v>3237</v>
      </c>
      <c r="B2749" t="s">
        <v>8935</v>
      </c>
      <c r="C2749" t="s">
        <v>4930</v>
      </c>
      <c r="D2749" t="s">
        <v>3245</v>
      </c>
      <c r="E2749" t="s">
        <v>4832</v>
      </c>
      <c r="F2749" t="s">
        <v>4832</v>
      </c>
      <c r="G2749" t="s">
        <v>4832</v>
      </c>
      <c r="H2749" t="s">
        <v>868</v>
      </c>
      <c r="I2749" t="s">
        <v>869</v>
      </c>
      <c r="J2749" t="str">
        <f>"9050480"</f>
        <v>9050480</v>
      </c>
      <c r="K2749">
        <v>2102811910</v>
      </c>
      <c r="L2749">
        <v>2102811910</v>
      </c>
      <c r="M2749" t="s">
        <v>9538</v>
      </c>
      <c r="N2749" t="s">
        <v>4835</v>
      </c>
      <c r="O2749" t="s">
        <v>9539</v>
      </c>
      <c r="P2749">
        <v>14451</v>
      </c>
      <c r="Q2749" t="str">
        <f>"38.055214"</f>
        <v>38.055214</v>
      </c>
      <c r="R2749" t="str">
        <f>"23.758631"</f>
        <v>23.758631</v>
      </c>
      <c r="S2749" t="s">
        <v>26</v>
      </c>
    </row>
    <row r="2750" spans="1:19" x14ac:dyDescent="0.3">
      <c r="A2750" t="s">
        <v>3237</v>
      </c>
      <c r="B2750" t="s">
        <v>8935</v>
      </c>
      <c r="C2750" t="s">
        <v>4884</v>
      </c>
      <c r="D2750" t="s">
        <v>3245</v>
      </c>
      <c r="E2750" t="s">
        <v>4832</v>
      </c>
      <c r="F2750" t="s">
        <v>4832</v>
      </c>
      <c r="G2750" t="s">
        <v>4832</v>
      </c>
      <c r="H2750" t="s">
        <v>868</v>
      </c>
      <c r="I2750" t="s">
        <v>869</v>
      </c>
      <c r="J2750" t="str">
        <f>"9050481"</f>
        <v>9050481</v>
      </c>
      <c r="K2750">
        <v>2102810211</v>
      </c>
      <c r="L2750">
        <v>2102810211</v>
      </c>
      <c r="M2750" t="s">
        <v>9540</v>
      </c>
      <c r="N2750" t="s">
        <v>4835</v>
      </c>
      <c r="O2750" t="s">
        <v>9541</v>
      </c>
      <c r="P2750">
        <v>14451</v>
      </c>
      <c r="Q2750" t="str">
        <f>"38.058664"</f>
        <v>38.058664</v>
      </c>
      <c r="R2750" t="str">
        <f>"23.763234"</f>
        <v>23.763234</v>
      </c>
      <c r="S2750" t="s">
        <v>26</v>
      </c>
    </row>
    <row r="2751" spans="1:19" x14ac:dyDescent="0.3">
      <c r="A2751" t="s">
        <v>3237</v>
      </c>
      <c r="B2751" t="s">
        <v>8935</v>
      </c>
      <c r="C2751" t="s">
        <v>9542</v>
      </c>
      <c r="D2751" t="s">
        <v>3245</v>
      </c>
      <c r="E2751" t="s">
        <v>4832</v>
      </c>
      <c r="F2751" t="s">
        <v>4832</v>
      </c>
      <c r="G2751" t="s">
        <v>4832</v>
      </c>
      <c r="H2751" t="s">
        <v>868</v>
      </c>
      <c r="I2751" t="s">
        <v>869</v>
      </c>
      <c r="J2751" t="str">
        <f>"9051844"</f>
        <v>9051844</v>
      </c>
      <c r="K2751">
        <v>2102840210</v>
      </c>
      <c r="L2751">
        <v>2102847958</v>
      </c>
      <c r="M2751" t="s">
        <v>9543</v>
      </c>
      <c r="N2751" t="s">
        <v>4835</v>
      </c>
      <c r="O2751" t="s">
        <v>9544</v>
      </c>
      <c r="P2751">
        <v>14452</v>
      </c>
      <c r="Q2751" t="str">
        <f>"38.068430"</f>
        <v>38.068430</v>
      </c>
      <c r="R2751" t="str">
        <f>"23.766673"</f>
        <v>23.766673</v>
      </c>
      <c r="S2751" t="s">
        <v>26</v>
      </c>
    </row>
    <row r="2752" spans="1:19" x14ac:dyDescent="0.3">
      <c r="A2752" t="s">
        <v>3237</v>
      </c>
      <c r="B2752" t="s">
        <v>8935</v>
      </c>
      <c r="C2752" t="s">
        <v>4699</v>
      </c>
      <c r="D2752" t="s">
        <v>3245</v>
      </c>
      <c r="E2752" t="s">
        <v>3246</v>
      </c>
      <c r="F2752" t="s">
        <v>3246</v>
      </c>
      <c r="G2752" t="s">
        <v>3246</v>
      </c>
      <c r="H2752" t="s">
        <v>868</v>
      </c>
      <c r="I2752" t="s">
        <v>869</v>
      </c>
      <c r="J2752" t="str">
        <f>"9050496"</f>
        <v>9050496</v>
      </c>
      <c r="K2752">
        <v>2102799106</v>
      </c>
      <c r="L2752">
        <v>2102712035</v>
      </c>
      <c r="M2752" t="s">
        <v>9545</v>
      </c>
      <c r="N2752" t="s">
        <v>3249</v>
      </c>
      <c r="O2752" t="s">
        <v>9546</v>
      </c>
      <c r="P2752">
        <v>14231</v>
      </c>
      <c r="Q2752" t="str">
        <f>"38.039542"</f>
        <v>38.039542</v>
      </c>
      <c r="R2752" t="str">
        <f>"23.750742"</f>
        <v>23.750742</v>
      </c>
      <c r="S2752" t="s">
        <v>26</v>
      </c>
    </row>
    <row r="2753" spans="1:19" x14ac:dyDescent="0.3">
      <c r="A2753" t="s">
        <v>3237</v>
      </c>
      <c r="B2753" t="s">
        <v>8935</v>
      </c>
      <c r="C2753" t="s">
        <v>9547</v>
      </c>
      <c r="D2753" t="s">
        <v>3245</v>
      </c>
      <c r="E2753" t="s">
        <v>4586</v>
      </c>
      <c r="F2753" t="s">
        <v>4807</v>
      </c>
      <c r="G2753" t="s">
        <v>4807</v>
      </c>
      <c r="H2753" t="s">
        <v>868</v>
      </c>
      <c r="I2753" t="s">
        <v>869</v>
      </c>
      <c r="J2753" t="str">
        <f>"9051607"</f>
        <v>9051607</v>
      </c>
      <c r="K2753">
        <v>2108048669</v>
      </c>
      <c r="M2753" t="s">
        <v>9548</v>
      </c>
      <c r="N2753" t="s">
        <v>4810</v>
      </c>
      <c r="O2753" t="s">
        <v>9355</v>
      </c>
      <c r="P2753">
        <v>15127</v>
      </c>
      <c r="Q2753" t="str">
        <f>"38.054795"</f>
        <v>38.054795</v>
      </c>
      <c r="R2753" t="str">
        <f>"23.846395"</f>
        <v>23.846395</v>
      </c>
      <c r="S2753" t="s">
        <v>26</v>
      </c>
    </row>
    <row r="2754" spans="1:19" x14ac:dyDescent="0.3">
      <c r="A2754" t="s">
        <v>3237</v>
      </c>
      <c r="B2754" t="s">
        <v>8935</v>
      </c>
      <c r="C2754" t="s">
        <v>9549</v>
      </c>
      <c r="D2754" t="s">
        <v>3245</v>
      </c>
      <c r="E2754" t="s">
        <v>3246</v>
      </c>
      <c r="F2754" t="s">
        <v>3246</v>
      </c>
      <c r="G2754" t="s">
        <v>3246</v>
      </c>
      <c r="H2754" t="s">
        <v>868</v>
      </c>
      <c r="I2754" t="s">
        <v>869</v>
      </c>
      <c r="J2754" t="str">
        <f>"9050492"</f>
        <v>9050492</v>
      </c>
      <c r="K2754">
        <v>2102796966</v>
      </c>
      <c r="L2754">
        <v>2102796966</v>
      </c>
      <c r="M2754" t="s">
        <v>9550</v>
      </c>
      <c r="N2754" t="s">
        <v>3249</v>
      </c>
      <c r="O2754" t="s">
        <v>9551</v>
      </c>
      <c r="P2754">
        <v>14233</v>
      </c>
      <c r="Q2754" t="str">
        <f>"38.033465"</f>
        <v>38.033465</v>
      </c>
      <c r="R2754" t="str">
        <f>"23.763217"</f>
        <v>23.763217</v>
      </c>
      <c r="S2754" t="s">
        <v>26</v>
      </c>
    </row>
    <row r="2755" spans="1:19" x14ac:dyDescent="0.3">
      <c r="A2755" t="s">
        <v>3237</v>
      </c>
      <c r="B2755" t="s">
        <v>8935</v>
      </c>
      <c r="C2755" t="s">
        <v>9552</v>
      </c>
      <c r="D2755" t="s">
        <v>3245</v>
      </c>
      <c r="E2755" t="s">
        <v>3246</v>
      </c>
      <c r="F2755" t="s">
        <v>3246</v>
      </c>
      <c r="G2755" t="s">
        <v>3246</v>
      </c>
      <c r="H2755" t="s">
        <v>868</v>
      </c>
      <c r="I2755" t="s">
        <v>869</v>
      </c>
      <c r="J2755" t="str">
        <f>"9050493"</f>
        <v>9050493</v>
      </c>
      <c r="K2755">
        <v>2102791420</v>
      </c>
      <c r="L2755">
        <v>2102791122</v>
      </c>
      <c r="M2755" t="s">
        <v>9553</v>
      </c>
      <c r="N2755" t="s">
        <v>3249</v>
      </c>
      <c r="O2755" t="s">
        <v>9149</v>
      </c>
      <c r="P2755">
        <v>14235</v>
      </c>
      <c r="Q2755" t="str">
        <f>"38.037930"</f>
        <v>38.037930</v>
      </c>
      <c r="R2755" t="str">
        <f>"23.778616"</f>
        <v>23.778616</v>
      </c>
      <c r="S2755" t="s">
        <v>26</v>
      </c>
    </row>
    <row r="2756" spans="1:19" x14ac:dyDescent="0.3">
      <c r="A2756" t="s">
        <v>3237</v>
      </c>
      <c r="B2756" t="s">
        <v>8935</v>
      </c>
      <c r="C2756" t="s">
        <v>4607</v>
      </c>
      <c r="D2756" t="s">
        <v>3245</v>
      </c>
      <c r="E2756" t="s">
        <v>4048</v>
      </c>
      <c r="F2756" t="s">
        <v>4048</v>
      </c>
      <c r="G2756" t="s">
        <v>4048</v>
      </c>
      <c r="H2756" t="s">
        <v>868</v>
      </c>
      <c r="I2756" t="s">
        <v>869</v>
      </c>
      <c r="J2756" t="str">
        <f>"9050042"</f>
        <v>9050042</v>
      </c>
      <c r="K2756">
        <v>2108077517</v>
      </c>
      <c r="L2756">
        <v>2108077517</v>
      </c>
      <c r="M2756" t="s">
        <v>9554</v>
      </c>
      <c r="N2756" t="s">
        <v>4605</v>
      </c>
      <c r="O2756" t="s">
        <v>9555</v>
      </c>
      <c r="P2756">
        <v>14563</v>
      </c>
      <c r="Q2756" t="str">
        <f>"38.079892"</f>
        <v>38.079892</v>
      </c>
      <c r="R2756" t="str">
        <f>"23.814449"</f>
        <v>23.814449</v>
      </c>
      <c r="S2756" t="s">
        <v>26</v>
      </c>
    </row>
    <row r="2757" spans="1:19" x14ac:dyDescent="0.3">
      <c r="A2757" t="s">
        <v>3237</v>
      </c>
      <c r="B2757" t="s">
        <v>8935</v>
      </c>
      <c r="C2757" t="s">
        <v>9556</v>
      </c>
      <c r="D2757" t="s">
        <v>3245</v>
      </c>
      <c r="E2757" t="s">
        <v>3246</v>
      </c>
      <c r="F2757" t="s">
        <v>3246</v>
      </c>
      <c r="G2757" t="s">
        <v>3246</v>
      </c>
      <c r="H2757" t="s">
        <v>868</v>
      </c>
      <c r="I2757" t="s">
        <v>2930</v>
      </c>
      <c r="J2757" t="str">
        <f>"9051651"</f>
        <v>9051651</v>
      </c>
      <c r="K2757">
        <v>2102776459</v>
      </c>
      <c r="L2757">
        <v>2102751176</v>
      </c>
      <c r="M2757" t="s">
        <v>9557</v>
      </c>
      <c r="N2757" t="s">
        <v>3249</v>
      </c>
      <c r="O2757" t="s">
        <v>9558</v>
      </c>
      <c r="P2757">
        <v>14235</v>
      </c>
      <c r="Q2757" t="str">
        <f>"38.035570"</f>
        <v>38.035570</v>
      </c>
      <c r="R2757" t="str">
        <f>"23.777055"</f>
        <v>23.777055</v>
      </c>
      <c r="S2757" t="s">
        <v>26</v>
      </c>
    </row>
    <row r="2758" spans="1:19" x14ac:dyDescent="0.3">
      <c r="A2758" t="s">
        <v>3237</v>
      </c>
      <c r="B2758" t="s">
        <v>8935</v>
      </c>
      <c r="C2758" t="s">
        <v>4777</v>
      </c>
      <c r="D2758" t="s">
        <v>3245</v>
      </c>
      <c r="E2758" t="s">
        <v>152</v>
      </c>
      <c r="F2758" t="s">
        <v>152</v>
      </c>
      <c r="G2758" t="s">
        <v>152</v>
      </c>
      <c r="H2758" t="s">
        <v>868</v>
      </c>
      <c r="I2758" t="s">
        <v>869</v>
      </c>
      <c r="J2758" t="str">
        <f>"9051735"</f>
        <v>9051735</v>
      </c>
      <c r="K2758">
        <v>2106012158</v>
      </c>
      <c r="L2758">
        <v>2106009860</v>
      </c>
      <c r="M2758" t="s">
        <v>9559</v>
      </c>
      <c r="N2758" t="s">
        <v>4693</v>
      </c>
      <c r="O2758" t="s">
        <v>9140</v>
      </c>
      <c r="P2758">
        <v>15343</v>
      </c>
      <c r="Q2758" t="str">
        <f>"38.015950"</f>
        <v>38.015950</v>
      </c>
      <c r="R2758" t="str">
        <f>"23.824734"</f>
        <v>23.824734</v>
      </c>
      <c r="S2758" t="s">
        <v>26</v>
      </c>
    </row>
    <row r="2759" spans="1:19" x14ac:dyDescent="0.3">
      <c r="A2759" t="s">
        <v>3237</v>
      </c>
      <c r="B2759" t="s">
        <v>8935</v>
      </c>
      <c r="C2759" t="s">
        <v>9560</v>
      </c>
      <c r="D2759" t="s">
        <v>3245</v>
      </c>
      <c r="E2759" t="s">
        <v>4768</v>
      </c>
      <c r="F2759" t="s">
        <v>4766</v>
      </c>
      <c r="G2759" t="s">
        <v>4766</v>
      </c>
      <c r="H2759" t="s">
        <v>868</v>
      </c>
      <c r="I2759" t="s">
        <v>869</v>
      </c>
      <c r="J2759" t="str">
        <f>"9051536"</f>
        <v>9051536</v>
      </c>
      <c r="K2759">
        <v>2106546895</v>
      </c>
      <c r="L2759">
        <v>2106511198</v>
      </c>
      <c r="M2759" t="s">
        <v>9561</v>
      </c>
      <c r="N2759" t="s">
        <v>4771</v>
      </c>
      <c r="O2759" t="s">
        <v>9562</v>
      </c>
      <c r="P2759">
        <v>15561</v>
      </c>
      <c r="Q2759" t="str">
        <f>""</f>
        <v/>
      </c>
      <c r="R2759" t="str">
        <f>""</f>
        <v/>
      </c>
      <c r="S2759" t="s">
        <v>26</v>
      </c>
    </row>
    <row r="2760" spans="1:19" x14ac:dyDescent="0.3">
      <c r="A2760" t="s">
        <v>3237</v>
      </c>
      <c r="B2760" t="s">
        <v>8935</v>
      </c>
      <c r="C2760" t="s">
        <v>9563</v>
      </c>
      <c r="D2760" t="s">
        <v>3245</v>
      </c>
      <c r="E2760" t="s">
        <v>4768</v>
      </c>
      <c r="F2760" t="s">
        <v>4766</v>
      </c>
      <c r="G2760" t="s">
        <v>4766</v>
      </c>
      <c r="H2760" t="s">
        <v>868</v>
      </c>
      <c r="I2760" t="s">
        <v>869</v>
      </c>
      <c r="J2760" t="str">
        <f>"9051112"</f>
        <v>9051112</v>
      </c>
      <c r="K2760">
        <v>2106515590</v>
      </c>
      <c r="M2760" t="s">
        <v>9564</v>
      </c>
      <c r="N2760" t="s">
        <v>9565</v>
      </c>
      <c r="O2760" t="s">
        <v>9566</v>
      </c>
      <c r="P2760">
        <v>15562</v>
      </c>
      <c r="Q2760" t="str">
        <f>"38.001429"</f>
        <v>38.001429</v>
      </c>
      <c r="R2760" t="str">
        <f>"23.801293"</f>
        <v>23.801293</v>
      </c>
      <c r="S2760" t="s">
        <v>26</v>
      </c>
    </row>
    <row r="2761" spans="1:19" x14ac:dyDescent="0.3">
      <c r="A2761" t="s">
        <v>3237</v>
      </c>
      <c r="B2761" t="s">
        <v>8935</v>
      </c>
      <c r="C2761" t="s">
        <v>4785</v>
      </c>
      <c r="D2761" t="s">
        <v>3245</v>
      </c>
      <c r="E2761" t="s">
        <v>4768</v>
      </c>
      <c r="F2761" t="s">
        <v>4766</v>
      </c>
      <c r="G2761" t="s">
        <v>4766</v>
      </c>
      <c r="H2761" t="s">
        <v>868</v>
      </c>
      <c r="I2761" t="s">
        <v>869</v>
      </c>
      <c r="J2761" t="str">
        <f>"9050080"</f>
        <v>9050080</v>
      </c>
      <c r="K2761">
        <v>2106511198</v>
      </c>
      <c r="M2761" t="s">
        <v>9567</v>
      </c>
      <c r="N2761" t="s">
        <v>4771</v>
      </c>
      <c r="O2761" t="s">
        <v>9562</v>
      </c>
      <c r="P2761">
        <v>15561</v>
      </c>
      <c r="Q2761" t="str">
        <f>"37.998189"</f>
        <v>37.998189</v>
      </c>
      <c r="R2761" t="str">
        <f>"23.800193"</f>
        <v>23.800193</v>
      </c>
      <c r="S2761" t="s">
        <v>26</v>
      </c>
    </row>
    <row r="2762" spans="1:19" x14ac:dyDescent="0.3">
      <c r="A2762" t="s">
        <v>3237</v>
      </c>
      <c r="B2762" t="s">
        <v>8935</v>
      </c>
      <c r="C2762" t="s">
        <v>4917</v>
      </c>
      <c r="D2762" t="s">
        <v>3245</v>
      </c>
      <c r="E2762" t="s">
        <v>152</v>
      </c>
      <c r="F2762" t="s">
        <v>152</v>
      </c>
      <c r="G2762" t="s">
        <v>152</v>
      </c>
      <c r="H2762" t="s">
        <v>868</v>
      </c>
      <c r="I2762" t="s">
        <v>869</v>
      </c>
      <c r="J2762" t="str">
        <f>"9050086"</f>
        <v>9050086</v>
      </c>
      <c r="K2762">
        <v>2106512309</v>
      </c>
      <c r="L2762">
        <v>2106522554</v>
      </c>
      <c r="M2762" t="s">
        <v>9568</v>
      </c>
      <c r="N2762" t="s">
        <v>4693</v>
      </c>
      <c r="O2762" t="s">
        <v>9569</v>
      </c>
      <c r="P2762">
        <v>15341</v>
      </c>
      <c r="Q2762" t="str">
        <f>"38.003342"</f>
        <v>38.003342</v>
      </c>
      <c r="R2762" t="str">
        <f>"23.811205"</f>
        <v>23.811205</v>
      </c>
      <c r="S2762" t="s">
        <v>26</v>
      </c>
    </row>
    <row r="2763" spans="1:19" x14ac:dyDescent="0.3">
      <c r="A2763" t="s">
        <v>3237</v>
      </c>
      <c r="B2763" t="s">
        <v>8935</v>
      </c>
      <c r="C2763" t="s">
        <v>9570</v>
      </c>
      <c r="D2763" t="s">
        <v>3245</v>
      </c>
      <c r="E2763" t="s">
        <v>152</v>
      </c>
      <c r="F2763" t="s">
        <v>152</v>
      </c>
      <c r="G2763" t="s">
        <v>152</v>
      </c>
      <c r="H2763" t="s">
        <v>868</v>
      </c>
      <c r="I2763" t="s">
        <v>869</v>
      </c>
      <c r="J2763" t="str">
        <f>"9050088"</f>
        <v>9050088</v>
      </c>
      <c r="K2763">
        <v>2106390210</v>
      </c>
      <c r="L2763">
        <v>2106083000</v>
      </c>
      <c r="M2763" t="s">
        <v>9571</v>
      </c>
      <c r="N2763" t="s">
        <v>5014</v>
      </c>
      <c r="O2763" t="s">
        <v>9572</v>
      </c>
      <c r="P2763">
        <v>15343</v>
      </c>
      <c r="Q2763" t="str">
        <f>"38.018810"</f>
        <v>38.018810</v>
      </c>
      <c r="R2763" t="str">
        <f>"23.825697"</f>
        <v>23.825697</v>
      </c>
      <c r="S2763" t="s">
        <v>26</v>
      </c>
    </row>
    <row r="2764" spans="1:19" x14ac:dyDescent="0.3">
      <c r="A2764" t="s">
        <v>3237</v>
      </c>
      <c r="B2764" t="s">
        <v>8935</v>
      </c>
      <c r="C2764" t="s">
        <v>4856</v>
      </c>
      <c r="D2764" t="s">
        <v>3245</v>
      </c>
      <c r="E2764" t="s">
        <v>152</v>
      </c>
      <c r="F2764" t="s">
        <v>152</v>
      </c>
      <c r="G2764" t="s">
        <v>152</v>
      </c>
      <c r="H2764" t="s">
        <v>868</v>
      </c>
      <c r="I2764" t="s">
        <v>869</v>
      </c>
      <c r="J2764" t="str">
        <f>"9051265"</f>
        <v>9051265</v>
      </c>
      <c r="K2764">
        <v>2106527551</v>
      </c>
      <c r="L2764">
        <v>2106527551</v>
      </c>
      <c r="M2764" t="s">
        <v>9573</v>
      </c>
      <c r="N2764" t="s">
        <v>4693</v>
      </c>
      <c r="O2764" t="s">
        <v>9574</v>
      </c>
      <c r="P2764">
        <v>15341</v>
      </c>
      <c r="Q2764" t="str">
        <f>"38.005969"</f>
        <v>38.005969</v>
      </c>
      <c r="R2764" t="str">
        <f>"23.813059"</f>
        <v>23.813059</v>
      </c>
      <c r="S2764" t="s">
        <v>26</v>
      </c>
    </row>
    <row r="2765" spans="1:19" x14ac:dyDescent="0.3">
      <c r="A2765" t="s">
        <v>3237</v>
      </c>
      <c r="B2765" t="s">
        <v>8935</v>
      </c>
      <c r="C2765" t="s">
        <v>5006</v>
      </c>
      <c r="D2765" t="s">
        <v>3245</v>
      </c>
      <c r="E2765" t="s">
        <v>4048</v>
      </c>
      <c r="F2765" t="s">
        <v>4048</v>
      </c>
      <c r="G2765" t="s">
        <v>4048</v>
      </c>
      <c r="H2765" t="s">
        <v>868</v>
      </c>
      <c r="I2765" t="s">
        <v>869</v>
      </c>
      <c r="J2765" t="str">
        <f>"9050043"</f>
        <v>9050043</v>
      </c>
      <c r="K2765">
        <v>2108071526</v>
      </c>
      <c r="L2765">
        <v>2108071526</v>
      </c>
      <c r="M2765" t="s">
        <v>9575</v>
      </c>
      <c r="N2765" t="s">
        <v>4605</v>
      </c>
      <c r="O2765" t="s">
        <v>9576</v>
      </c>
      <c r="P2765">
        <v>14564</v>
      </c>
      <c r="Q2765" t="str">
        <f>"38.095409"</f>
        <v>38.095409</v>
      </c>
      <c r="R2765" t="str">
        <f>"23.801338"</f>
        <v>23.801338</v>
      </c>
      <c r="S2765" t="s">
        <v>26</v>
      </c>
    </row>
    <row r="2766" spans="1:19" x14ac:dyDescent="0.3">
      <c r="A2766" t="s">
        <v>3237</v>
      </c>
      <c r="B2766" t="s">
        <v>8935</v>
      </c>
      <c r="C2766" t="s">
        <v>4837</v>
      </c>
      <c r="D2766" t="s">
        <v>3245</v>
      </c>
      <c r="E2766" t="s">
        <v>4832</v>
      </c>
      <c r="F2766" t="s">
        <v>4832</v>
      </c>
      <c r="G2766" t="s">
        <v>4832</v>
      </c>
      <c r="H2766" t="s">
        <v>868</v>
      </c>
      <c r="I2766" t="s">
        <v>869</v>
      </c>
      <c r="J2766" t="str">
        <f>"9050477"</f>
        <v>9050477</v>
      </c>
      <c r="K2766">
        <v>2102818118</v>
      </c>
      <c r="L2766">
        <v>2102818118</v>
      </c>
      <c r="M2766" t="s">
        <v>9584</v>
      </c>
      <c r="N2766" t="s">
        <v>4835</v>
      </c>
      <c r="O2766" t="s">
        <v>9585</v>
      </c>
      <c r="P2766">
        <v>14452</v>
      </c>
      <c r="Q2766" t="str">
        <f>"38.061623"</f>
        <v>38.061623</v>
      </c>
      <c r="R2766" t="str">
        <f>"23.758061"</f>
        <v>23.758061</v>
      </c>
      <c r="S2766" t="s">
        <v>26</v>
      </c>
    </row>
    <row r="2767" spans="1:19" x14ac:dyDescent="0.3">
      <c r="A2767" t="s">
        <v>3237</v>
      </c>
      <c r="B2767" t="s">
        <v>8935</v>
      </c>
      <c r="C2767" t="s">
        <v>5011</v>
      </c>
      <c r="D2767" t="s">
        <v>3245</v>
      </c>
      <c r="E2767" t="s">
        <v>4713</v>
      </c>
      <c r="F2767" t="s">
        <v>4992</v>
      </c>
      <c r="G2767" t="s">
        <v>4992</v>
      </c>
      <c r="H2767" t="s">
        <v>868</v>
      </c>
      <c r="I2767" t="s">
        <v>869</v>
      </c>
      <c r="J2767" t="str">
        <f>"9051368"</f>
        <v>9051368</v>
      </c>
      <c r="K2767">
        <v>2102846276</v>
      </c>
      <c r="L2767">
        <v>2102846276</v>
      </c>
      <c r="M2767" t="s">
        <v>9586</v>
      </c>
      <c r="N2767" t="s">
        <v>5079</v>
      </c>
      <c r="O2767" t="s">
        <v>9587</v>
      </c>
      <c r="P2767">
        <v>14123</v>
      </c>
      <c r="Q2767" t="str">
        <f>"38.068176"</f>
        <v>38.068176</v>
      </c>
      <c r="R2767" t="str">
        <f>"23.786212"</f>
        <v>23.786212</v>
      </c>
      <c r="S2767" t="s">
        <v>26</v>
      </c>
    </row>
    <row r="2768" spans="1:19" x14ac:dyDescent="0.3">
      <c r="A2768" t="s">
        <v>3237</v>
      </c>
      <c r="B2768" t="s">
        <v>8935</v>
      </c>
      <c r="C2768" t="s">
        <v>4913</v>
      </c>
      <c r="D2768" t="s">
        <v>3245</v>
      </c>
      <c r="E2768" t="s">
        <v>3246</v>
      </c>
      <c r="F2768" t="s">
        <v>3246</v>
      </c>
      <c r="G2768" t="s">
        <v>3246</v>
      </c>
      <c r="H2768" t="s">
        <v>868</v>
      </c>
      <c r="I2768" t="s">
        <v>869</v>
      </c>
      <c r="J2768" t="str">
        <f>"9050499"</f>
        <v>9050499</v>
      </c>
      <c r="K2768">
        <v>2102798361</v>
      </c>
      <c r="L2768">
        <v>2102798361</v>
      </c>
      <c r="M2768" t="s">
        <v>9588</v>
      </c>
      <c r="N2768" t="s">
        <v>5069</v>
      </c>
      <c r="O2768" t="s">
        <v>9589</v>
      </c>
      <c r="P2768">
        <v>14234</v>
      </c>
      <c r="Q2768" t="str">
        <f>"38.040460"</f>
        <v>38.040460</v>
      </c>
      <c r="R2768" t="str">
        <f>"23.754450"</f>
        <v>23.754450</v>
      </c>
      <c r="S2768" t="s">
        <v>26</v>
      </c>
    </row>
    <row r="2769" spans="1:19" x14ac:dyDescent="0.3">
      <c r="A2769" t="s">
        <v>3237</v>
      </c>
      <c r="B2769" t="s">
        <v>8935</v>
      </c>
      <c r="C2769" t="s">
        <v>4644</v>
      </c>
      <c r="D2769" t="s">
        <v>3245</v>
      </c>
      <c r="E2769" t="s">
        <v>4618</v>
      </c>
      <c r="F2769" t="s">
        <v>4618</v>
      </c>
      <c r="G2769" t="s">
        <v>4618</v>
      </c>
      <c r="H2769" t="s">
        <v>868</v>
      </c>
      <c r="I2769" t="s">
        <v>869</v>
      </c>
      <c r="J2769" t="str">
        <f>"9050474"</f>
        <v>9050474</v>
      </c>
      <c r="K2769">
        <v>2102818311</v>
      </c>
      <c r="L2769">
        <v>2102818311</v>
      </c>
      <c r="M2769" t="s">
        <v>9590</v>
      </c>
      <c r="N2769" t="s">
        <v>4621</v>
      </c>
      <c r="O2769" t="s">
        <v>9591</v>
      </c>
      <c r="P2769">
        <v>14121</v>
      </c>
      <c r="Q2769" t="str">
        <f>"38.055934"</f>
        <v>38.055934</v>
      </c>
      <c r="R2769" t="str">
        <f>"23.782161"</f>
        <v>23.782161</v>
      </c>
      <c r="S2769" t="s">
        <v>26</v>
      </c>
    </row>
    <row r="2770" spans="1:19" x14ac:dyDescent="0.3">
      <c r="A2770" t="s">
        <v>3237</v>
      </c>
      <c r="B2770" t="s">
        <v>8935</v>
      </c>
      <c r="C2770" t="s">
        <v>4983</v>
      </c>
      <c r="D2770" t="s">
        <v>3245</v>
      </c>
      <c r="E2770" t="s">
        <v>4832</v>
      </c>
      <c r="F2770" t="s">
        <v>4832</v>
      </c>
      <c r="G2770" t="s">
        <v>4832</v>
      </c>
      <c r="H2770" t="s">
        <v>868</v>
      </c>
      <c r="I2770" t="s">
        <v>869</v>
      </c>
      <c r="J2770" t="str">
        <f>"9050484"</f>
        <v>9050484</v>
      </c>
      <c r="K2770">
        <v>2102815781</v>
      </c>
      <c r="L2770">
        <v>2169003110</v>
      </c>
      <c r="M2770" t="s">
        <v>9592</v>
      </c>
      <c r="N2770" t="s">
        <v>4835</v>
      </c>
      <c r="O2770" t="s">
        <v>9593</v>
      </c>
      <c r="P2770">
        <v>14452</v>
      </c>
      <c r="Q2770" t="str">
        <f>"38.064114"</f>
        <v>38.064114</v>
      </c>
      <c r="R2770" t="str">
        <f>"23.757213"</f>
        <v>23.757213</v>
      </c>
      <c r="S2770" t="s">
        <v>26</v>
      </c>
    </row>
    <row r="2771" spans="1:19" x14ac:dyDescent="0.3">
      <c r="A2771" t="s">
        <v>3237</v>
      </c>
      <c r="B2771" t="s">
        <v>8935</v>
      </c>
      <c r="C2771" t="s">
        <v>9594</v>
      </c>
      <c r="D2771" t="s">
        <v>3245</v>
      </c>
      <c r="E2771" t="s">
        <v>4618</v>
      </c>
      <c r="F2771" t="s">
        <v>4618</v>
      </c>
      <c r="G2771" t="s">
        <v>4618</v>
      </c>
      <c r="H2771" t="s">
        <v>868</v>
      </c>
      <c r="I2771" t="s">
        <v>869</v>
      </c>
      <c r="J2771" t="str">
        <f>"9050465"</f>
        <v>9050465</v>
      </c>
      <c r="K2771">
        <v>2102796157</v>
      </c>
      <c r="L2771">
        <v>2102796157</v>
      </c>
      <c r="M2771" t="s">
        <v>9595</v>
      </c>
      <c r="N2771" t="s">
        <v>4621</v>
      </c>
      <c r="O2771" t="s">
        <v>9596</v>
      </c>
      <c r="P2771">
        <v>14121</v>
      </c>
      <c r="Q2771" t="str">
        <f>"38.040535"</f>
        <v>38.040535</v>
      </c>
      <c r="R2771" t="str">
        <f>"23.767845"</f>
        <v>23.767845</v>
      </c>
      <c r="S2771" t="s">
        <v>26</v>
      </c>
    </row>
    <row r="2772" spans="1:19" x14ac:dyDescent="0.3">
      <c r="A2772" t="s">
        <v>3237</v>
      </c>
      <c r="B2772" t="s">
        <v>8935</v>
      </c>
      <c r="C2772" t="s">
        <v>4639</v>
      </c>
      <c r="D2772" t="s">
        <v>3245</v>
      </c>
      <c r="E2772" t="s">
        <v>3246</v>
      </c>
      <c r="F2772" t="s">
        <v>3246</v>
      </c>
      <c r="G2772" t="s">
        <v>3246</v>
      </c>
      <c r="H2772" t="s">
        <v>868</v>
      </c>
      <c r="I2772" t="s">
        <v>869</v>
      </c>
      <c r="J2772" t="str">
        <f>"9050502"</f>
        <v>9050502</v>
      </c>
      <c r="K2772">
        <v>2102798369</v>
      </c>
      <c r="L2772">
        <v>2102798369</v>
      </c>
      <c r="M2772" t="s">
        <v>9597</v>
      </c>
      <c r="N2772" t="s">
        <v>3249</v>
      </c>
      <c r="O2772" t="s">
        <v>9598</v>
      </c>
      <c r="P2772">
        <v>14233</v>
      </c>
      <c r="Q2772" t="str">
        <f>"38.035856"</f>
        <v>38.035856</v>
      </c>
      <c r="R2772" t="str">
        <f>"23.758364"</f>
        <v>23.758364</v>
      </c>
      <c r="S2772" t="s">
        <v>26</v>
      </c>
    </row>
    <row r="2773" spans="1:19" x14ac:dyDescent="0.3">
      <c r="A2773" t="s">
        <v>3237</v>
      </c>
      <c r="B2773" t="s">
        <v>8935</v>
      </c>
      <c r="C2773" t="s">
        <v>9602</v>
      </c>
      <c r="D2773" t="s">
        <v>3245</v>
      </c>
      <c r="E2773" t="s">
        <v>4713</v>
      </c>
      <c r="F2773" t="s">
        <v>4992</v>
      </c>
      <c r="G2773" t="s">
        <v>4992</v>
      </c>
      <c r="H2773" t="s">
        <v>868</v>
      </c>
      <c r="I2773" t="s">
        <v>869</v>
      </c>
      <c r="J2773" t="str">
        <f>"9521180"</f>
        <v>9521180</v>
      </c>
      <c r="N2773" t="s">
        <v>5009</v>
      </c>
      <c r="O2773" t="s">
        <v>383</v>
      </c>
      <c r="P2773">
        <v>0</v>
      </c>
      <c r="Q2773" t="str">
        <f>""</f>
        <v/>
      </c>
      <c r="R2773" t="str">
        <f>""</f>
        <v/>
      </c>
      <c r="S2773" t="s">
        <v>26</v>
      </c>
    </row>
    <row r="2774" spans="1:19" x14ac:dyDescent="0.3">
      <c r="A2774" t="s">
        <v>3237</v>
      </c>
      <c r="B2774" t="s">
        <v>8935</v>
      </c>
      <c r="C2774" t="s">
        <v>4977</v>
      </c>
      <c r="D2774" t="s">
        <v>3245</v>
      </c>
      <c r="E2774" t="s">
        <v>3246</v>
      </c>
      <c r="F2774" t="s">
        <v>3246</v>
      </c>
      <c r="G2774" t="s">
        <v>3246</v>
      </c>
      <c r="H2774" t="s">
        <v>868</v>
      </c>
      <c r="I2774" t="s">
        <v>869</v>
      </c>
      <c r="J2774" t="str">
        <f>"9050506"</f>
        <v>9050506</v>
      </c>
      <c r="K2774">
        <v>2102516836</v>
      </c>
      <c r="L2774">
        <v>2102516841</v>
      </c>
      <c r="M2774" t="s">
        <v>9619</v>
      </c>
      <c r="N2774" t="s">
        <v>3249</v>
      </c>
      <c r="O2774" t="s">
        <v>9620</v>
      </c>
      <c r="P2774">
        <v>14232</v>
      </c>
      <c r="Q2774" t="str">
        <f>"38.032768"</f>
        <v>38.032768</v>
      </c>
      <c r="R2774" t="str">
        <f>"23.748764"</f>
        <v>23.748764</v>
      </c>
      <c r="S2774" t="s">
        <v>26</v>
      </c>
    </row>
    <row r="2775" spans="1:19" x14ac:dyDescent="0.3">
      <c r="A2775" t="s">
        <v>3237</v>
      </c>
      <c r="B2775" t="s">
        <v>8935</v>
      </c>
      <c r="C2775" t="s">
        <v>9621</v>
      </c>
      <c r="D2775" t="s">
        <v>3245</v>
      </c>
      <c r="E2775" t="s">
        <v>3246</v>
      </c>
      <c r="F2775" t="s">
        <v>3246</v>
      </c>
      <c r="G2775" t="s">
        <v>3246</v>
      </c>
      <c r="H2775" t="s">
        <v>868</v>
      </c>
      <c r="I2775" t="s">
        <v>869</v>
      </c>
      <c r="J2775" t="str">
        <f>"9050508"</f>
        <v>9050508</v>
      </c>
      <c r="K2775">
        <v>2102799160</v>
      </c>
      <c r="M2775" t="s">
        <v>9622</v>
      </c>
      <c r="N2775" t="s">
        <v>3249</v>
      </c>
      <c r="O2775" t="s">
        <v>9623</v>
      </c>
      <c r="P2775">
        <v>14234</v>
      </c>
      <c r="Q2775" t="str">
        <f>"38.037916"</f>
        <v>38.037916</v>
      </c>
      <c r="R2775" t="str">
        <f>"23.765952"</f>
        <v>23.765952</v>
      </c>
      <c r="S2775" t="s">
        <v>26</v>
      </c>
    </row>
    <row r="2776" spans="1:19" x14ac:dyDescent="0.3">
      <c r="A2776" t="s">
        <v>3237</v>
      </c>
      <c r="B2776" t="s">
        <v>8935</v>
      </c>
      <c r="C2776" t="s">
        <v>4627</v>
      </c>
      <c r="D2776" t="s">
        <v>3245</v>
      </c>
      <c r="E2776" t="s">
        <v>3246</v>
      </c>
      <c r="F2776" t="s">
        <v>3246</v>
      </c>
      <c r="G2776" t="s">
        <v>3246</v>
      </c>
      <c r="H2776" t="s">
        <v>868</v>
      </c>
      <c r="I2776" t="s">
        <v>869</v>
      </c>
      <c r="J2776" t="str">
        <f>"9050487"</f>
        <v>9050487</v>
      </c>
      <c r="K2776">
        <v>2102791011</v>
      </c>
      <c r="L2776">
        <v>2102791011</v>
      </c>
      <c r="M2776" t="s">
        <v>9624</v>
      </c>
      <c r="N2776" t="s">
        <v>3249</v>
      </c>
      <c r="O2776" t="s">
        <v>9625</v>
      </c>
      <c r="P2776">
        <v>14235</v>
      </c>
      <c r="Q2776" t="str">
        <f>"38.032714"</f>
        <v>38.032714</v>
      </c>
      <c r="R2776" t="str">
        <f>"23.779240"</f>
        <v>23.779240</v>
      </c>
      <c r="S2776" t="s">
        <v>26</v>
      </c>
    </row>
    <row r="2777" spans="1:19" x14ac:dyDescent="0.3">
      <c r="A2777" t="s">
        <v>3237</v>
      </c>
      <c r="B2777" t="s">
        <v>8935</v>
      </c>
      <c r="C2777" t="s">
        <v>4758</v>
      </c>
      <c r="D2777" t="s">
        <v>3245</v>
      </c>
      <c r="E2777" t="s">
        <v>3246</v>
      </c>
      <c r="F2777" t="s">
        <v>3246</v>
      </c>
      <c r="G2777" t="s">
        <v>3246</v>
      </c>
      <c r="H2777" t="s">
        <v>868</v>
      </c>
      <c r="I2777" t="s">
        <v>869</v>
      </c>
      <c r="J2777" t="str">
        <f>"9050488"</f>
        <v>9050488</v>
      </c>
      <c r="K2777">
        <v>2102791801</v>
      </c>
      <c r="L2777">
        <v>2102791801</v>
      </c>
      <c r="M2777" t="s">
        <v>9626</v>
      </c>
      <c r="N2777" t="s">
        <v>3249</v>
      </c>
      <c r="O2777" t="s">
        <v>9288</v>
      </c>
      <c r="P2777">
        <v>14233</v>
      </c>
      <c r="Q2777" t="str">
        <f>"38.033182"</f>
        <v>38.033182</v>
      </c>
      <c r="R2777" t="str">
        <f>"23.763410"</f>
        <v>23.763410</v>
      </c>
      <c r="S2777" t="s">
        <v>26</v>
      </c>
    </row>
    <row r="2778" spans="1:19" x14ac:dyDescent="0.3">
      <c r="A2778" t="s">
        <v>3237</v>
      </c>
      <c r="B2778" t="s">
        <v>8935</v>
      </c>
      <c r="C2778" t="s">
        <v>4750</v>
      </c>
      <c r="D2778" t="s">
        <v>3245</v>
      </c>
      <c r="E2778" t="s">
        <v>4649</v>
      </c>
      <c r="F2778" t="s">
        <v>4649</v>
      </c>
      <c r="G2778" t="s">
        <v>4649</v>
      </c>
      <c r="H2778" t="s">
        <v>868</v>
      </c>
      <c r="I2778" t="s">
        <v>869</v>
      </c>
      <c r="J2778" t="str">
        <f>"9521179"</f>
        <v>9521179</v>
      </c>
      <c r="K2778">
        <v>2106000211</v>
      </c>
      <c r="L2778">
        <v>2106000918</v>
      </c>
      <c r="M2778" t="s">
        <v>9628</v>
      </c>
      <c r="N2778" t="s">
        <v>9121</v>
      </c>
      <c r="O2778" t="s">
        <v>9629</v>
      </c>
      <c r="P2778">
        <v>15238</v>
      </c>
      <c r="Q2778" t="str">
        <f>"38.033246"</f>
        <v>38.033246</v>
      </c>
      <c r="R2778" t="str">
        <f>"23.843677"</f>
        <v>23.843677</v>
      </c>
      <c r="S2778" t="s">
        <v>26</v>
      </c>
    </row>
    <row r="2779" spans="1:19" x14ac:dyDescent="0.3">
      <c r="A2779" t="s">
        <v>3237</v>
      </c>
      <c r="B2779" t="s">
        <v>8935</v>
      </c>
      <c r="C2779" t="s">
        <v>9636</v>
      </c>
      <c r="D2779" t="s">
        <v>3245</v>
      </c>
      <c r="E2779" t="s">
        <v>4586</v>
      </c>
      <c r="F2779" t="s">
        <v>4586</v>
      </c>
      <c r="G2779" t="s">
        <v>4586</v>
      </c>
      <c r="H2779" t="s">
        <v>868</v>
      </c>
      <c r="I2779" t="s">
        <v>869</v>
      </c>
      <c r="J2779" t="str">
        <f>"9051860"</f>
        <v>9051860</v>
      </c>
      <c r="K2779">
        <v>2106034515</v>
      </c>
      <c r="M2779" t="s">
        <v>9637</v>
      </c>
      <c r="N2779" t="s">
        <v>9638</v>
      </c>
      <c r="O2779" t="s">
        <v>9639</v>
      </c>
      <c r="P2779">
        <v>15235</v>
      </c>
      <c r="Q2779" t="str">
        <f>"38.036337"</f>
        <v>38.036337</v>
      </c>
      <c r="R2779" t="str">
        <f>"23.876005"</f>
        <v>23.876005</v>
      </c>
      <c r="S2779" t="s">
        <v>26</v>
      </c>
    </row>
    <row r="2780" spans="1:19" x14ac:dyDescent="0.3">
      <c r="A2780" t="s">
        <v>3237</v>
      </c>
      <c r="B2780" t="s">
        <v>8935</v>
      </c>
      <c r="C2780" t="s">
        <v>9646</v>
      </c>
      <c r="D2780" t="s">
        <v>3245</v>
      </c>
      <c r="E2780" t="s">
        <v>152</v>
      </c>
      <c r="F2780" t="s">
        <v>152</v>
      </c>
      <c r="G2780" t="s">
        <v>152</v>
      </c>
      <c r="H2780" t="s">
        <v>868</v>
      </c>
      <c r="I2780" t="s">
        <v>869</v>
      </c>
      <c r="J2780" t="str">
        <f>"9051843"</f>
        <v>9051843</v>
      </c>
      <c r="M2780" t="s">
        <v>9647</v>
      </c>
      <c r="N2780" t="s">
        <v>152</v>
      </c>
      <c r="O2780" t="s">
        <v>7582</v>
      </c>
      <c r="P2780">
        <v>0</v>
      </c>
      <c r="Q2780" t="str">
        <f>""</f>
        <v/>
      </c>
      <c r="R2780" t="str">
        <f>""</f>
        <v/>
      </c>
      <c r="S2780" t="s">
        <v>26</v>
      </c>
    </row>
    <row r="2781" spans="1:19" x14ac:dyDescent="0.3">
      <c r="A2781" t="s">
        <v>3237</v>
      </c>
      <c r="B2781" t="s">
        <v>8935</v>
      </c>
      <c r="C2781" t="s">
        <v>9665</v>
      </c>
      <c r="D2781" t="s">
        <v>3245</v>
      </c>
      <c r="E2781" t="s">
        <v>4832</v>
      </c>
      <c r="F2781" t="s">
        <v>4832</v>
      </c>
      <c r="G2781" t="s">
        <v>4832</v>
      </c>
      <c r="H2781" t="s">
        <v>868</v>
      </c>
      <c r="I2781" t="s">
        <v>1157</v>
      </c>
      <c r="J2781" t="str">
        <f>"9521568"</f>
        <v>9521568</v>
      </c>
      <c r="K2781">
        <v>2102848402</v>
      </c>
      <c r="L2781">
        <v>2102848402</v>
      </c>
      <c r="M2781" t="s">
        <v>9666</v>
      </c>
      <c r="N2781" t="s">
        <v>4835</v>
      </c>
      <c r="O2781" t="s">
        <v>9667</v>
      </c>
      <c r="P2781">
        <v>14451</v>
      </c>
      <c r="Q2781" t="str">
        <f>"38.058570"</f>
        <v>38.058570</v>
      </c>
      <c r="R2781" t="str">
        <f>"23.764026"</f>
        <v>23.764026</v>
      </c>
      <c r="S2781" t="s">
        <v>26</v>
      </c>
    </row>
    <row r="2782" spans="1:19" x14ac:dyDescent="0.3">
      <c r="A2782" t="s">
        <v>3237</v>
      </c>
      <c r="B2782" t="s">
        <v>8935</v>
      </c>
      <c r="C2782" t="s">
        <v>9670</v>
      </c>
      <c r="D2782" t="s">
        <v>3245</v>
      </c>
      <c r="E2782" t="s">
        <v>4649</v>
      </c>
      <c r="F2782" t="s">
        <v>4649</v>
      </c>
      <c r="G2782" t="s">
        <v>4649</v>
      </c>
      <c r="H2782" t="s">
        <v>868</v>
      </c>
      <c r="I2782" t="s">
        <v>869</v>
      </c>
      <c r="J2782" t="str">
        <f>"9521667"</f>
        <v>9521667</v>
      </c>
      <c r="N2782" t="s">
        <v>4652</v>
      </c>
      <c r="O2782" t="s">
        <v>9671</v>
      </c>
      <c r="P2782">
        <v>0</v>
      </c>
      <c r="Q2782" t="str">
        <f>""</f>
        <v/>
      </c>
      <c r="R2782" t="str">
        <f>""</f>
        <v/>
      </c>
      <c r="S2782" t="s">
        <v>26</v>
      </c>
    </row>
    <row r="2783" spans="1:19" x14ac:dyDescent="0.3">
      <c r="A2783" t="s">
        <v>3237</v>
      </c>
      <c r="B2783" t="s">
        <v>8935</v>
      </c>
      <c r="C2783" t="s">
        <v>9672</v>
      </c>
      <c r="D2783" t="s">
        <v>3245</v>
      </c>
      <c r="E2783" t="s">
        <v>4048</v>
      </c>
      <c r="F2783" t="s">
        <v>4048</v>
      </c>
      <c r="G2783" t="s">
        <v>4048</v>
      </c>
      <c r="H2783" t="s">
        <v>868</v>
      </c>
      <c r="I2783" t="s">
        <v>869</v>
      </c>
      <c r="J2783" t="str">
        <f>"9521668"</f>
        <v>9521668</v>
      </c>
      <c r="N2783" t="s">
        <v>4048</v>
      </c>
      <c r="O2783" t="s">
        <v>4605</v>
      </c>
      <c r="P2783">
        <v>0</v>
      </c>
      <c r="Q2783" t="str">
        <f>""</f>
        <v/>
      </c>
      <c r="R2783" t="str">
        <f>""</f>
        <v/>
      </c>
      <c r="S2783" t="s">
        <v>26</v>
      </c>
    </row>
    <row r="2784" spans="1:19" x14ac:dyDescent="0.3">
      <c r="A2784" t="s">
        <v>3237</v>
      </c>
      <c r="B2784" t="s">
        <v>8935</v>
      </c>
      <c r="C2784" t="s">
        <v>9675</v>
      </c>
      <c r="D2784" t="s">
        <v>3245</v>
      </c>
      <c r="E2784" t="s">
        <v>4048</v>
      </c>
      <c r="F2784" t="s">
        <v>4048</v>
      </c>
      <c r="G2784" t="s">
        <v>4048</v>
      </c>
      <c r="H2784" t="s">
        <v>868</v>
      </c>
      <c r="I2784" t="s">
        <v>869</v>
      </c>
      <c r="J2784" t="str">
        <f>"9521678"</f>
        <v>9521678</v>
      </c>
      <c r="N2784" t="s">
        <v>4605</v>
      </c>
      <c r="O2784" t="s">
        <v>7582</v>
      </c>
      <c r="P2784">
        <v>0</v>
      </c>
      <c r="Q2784" t="str">
        <f>""</f>
        <v/>
      </c>
      <c r="R2784" t="str">
        <f>""</f>
        <v/>
      </c>
      <c r="S2784" t="s">
        <v>26</v>
      </c>
    </row>
    <row r="2785" spans="1:19" x14ac:dyDescent="0.3">
      <c r="A2785" t="s">
        <v>3237</v>
      </c>
      <c r="B2785" t="s">
        <v>8935</v>
      </c>
      <c r="C2785" t="s">
        <v>9680</v>
      </c>
      <c r="D2785" t="s">
        <v>3245</v>
      </c>
      <c r="E2785" t="s">
        <v>4768</v>
      </c>
      <c r="F2785" t="s">
        <v>5028</v>
      </c>
      <c r="G2785" t="s">
        <v>5028</v>
      </c>
      <c r="H2785" t="s">
        <v>868</v>
      </c>
      <c r="I2785" t="s">
        <v>869</v>
      </c>
      <c r="J2785" t="str">
        <f>"9052000"</f>
        <v>9052000</v>
      </c>
      <c r="Q2785" t="str">
        <f>""</f>
        <v/>
      </c>
      <c r="R2785" t="str">
        <f>""</f>
        <v/>
      </c>
      <c r="S2785" t="s">
        <v>26</v>
      </c>
    </row>
    <row r="2786" spans="1:19" x14ac:dyDescent="0.3">
      <c r="A2786" t="s">
        <v>3237</v>
      </c>
      <c r="B2786" t="s">
        <v>9684</v>
      </c>
      <c r="C2786" t="s">
        <v>5233</v>
      </c>
      <c r="D2786" t="s">
        <v>3251</v>
      </c>
      <c r="E2786" t="s">
        <v>5171</v>
      </c>
      <c r="F2786" t="s">
        <v>5171</v>
      </c>
      <c r="G2786" t="s">
        <v>5171</v>
      </c>
      <c r="H2786" t="s">
        <v>868</v>
      </c>
      <c r="I2786" t="s">
        <v>869</v>
      </c>
      <c r="J2786" t="str">
        <f>"9050441"</f>
        <v>9050441</v>
      </c>
      <c r="K2786">
        <v>2105017123</v>
      </c>
      <c r="L2786">
        <v>2105065385</v>
      </c>
      <c r="M2786" t="s">
        <v>9691</v>
      </c>
      <c r="N2786" t="s">
        <v>5174</v>
      </c>
      <c r="O2786" t="s">
        <v>9692</v>
      </c>
      <c r="P2786">
        <v>13231</v>
      </c>
      <c r="Q2786" t="str">
        <f>"38.047995"</f>
        <v>38.047995</v>
      </c>
      <c r="R2786" t="str">
        <f>"23.688014"</f>
        <v>23.688014</v>
      </c>
      <c r="S2786" t="s">
        <v>26</v>
      </c>
    </row>
    <row r="2787" spans="1:19" x14ac:dyDescent="0.3">
      <c r="A2787" t="s">
        <v>3237</v>
      </c>
      <c r="B2787" t="s">
        <v>9684</v>
      </c>
      <c r="C2787" t="s">
        <v>5258</v>
      </c>
      <c r="D2787" t="s">
        <v>3251</v>
      </c>
      <c r="E2787" t="s">
        <v>5121</v>
      </c>
      <c r="F2787" t="s">
        <v>5085</v>
      </c>
      <c r="G2787" t="s">
        <v>5085</v>
      </c>
      <c r="H2787" t="s">
        <v>868</v>
      </c>
      <c r="I2787" t="s">
        <v>869</v>
      </c>
      <c r="J2787" t="str">
        <f>"9050417"</f>
        <v>9050417</v>
      </c>
      <c r="K2787">
        <v>2102315989</v>
      </c>
      <c r="L2787">
        <v>2102315406</v>
      </c>
      <c r="M2787" t="s">
        <v>9724</v>
      </c>
      <c r="N2787" t="s">
        <v>5159</v>
      </c>
      <c r="O2787" t="s">
        <v>9725</v>
      </c>
      <c r="P2787">
        <v>13562</v>
      </c>
      <c r="Q2787" t="str">
        <f>"38.040085"</f>
        <v>38.040085</v>
      </c>
      <c r="R2787" t="str">
        <f>"23.731051"</f>
        <v>23.731051</v>
      </c>
      <c r="S2787" t="s">
        <v>26</v>
      </c>
    </row>
    <row r="2788" spans="1:19" x14ac:dyDescent="0.3">
      <c r="A2788" t="s">
        <v>3237</v>
      </c>
      <c r="B2788" t="s">
        <v>9684</v>
      </c>
      <c r="C2788" t="s">
        <v>5397</v>
      </c>
      <c r="D2788" t="s">
        <v>3251</v>
      </c>
      <c r="E2788" t="s">
        <v>5199</v>
      </c>
      <c r="F2788" t="s">
        <v>5200</v>
      </c>
      <c r="G2788" t="s">
        <v>5200</v>
      </c>
      <c r="H2788" t="s">
        <v>868</v>
      </c>
      <c r="I2788" t="s">
        <v>869</v>
      </c>
      <c r="J2788" t="str">
        <f>"9050373"</f>
        <v>9050373</v>
      </c>
      <c r="K2788">
        <v>2105813451</v>
      </c>
      <c r="L2788">
        <v>2105326494</v>
      </c>
      <c r="M2788" t="s">
        <v>9742</v>
      </c>
      <c r="N2788" t="s">
        <v>9743</v>
      </c>
      <c r="O2788" t="s">
        <v>9744</v>
      </c>
      <c r="P2788">
        <v>12461</v>
      </c>
      <c r="Q2788" t="str">
        <f>"38.010179"</f>
        <v>38.010179</v>
      </c>
      <c r="R2788" t="str">
        <f>"23.651468"</f>
        <v>23.651468</v>
      </c>
      <c r="S2788" t="s">
        <v>26</v>
      </c>
    </row>
    <row r="2789" spans="1:19" x14ac:dyDescent="0.3">
      <c r="A2789" t="s">
        <v>3237</v>
      </c>
      <c r="B2789" t="s">
        <v>9684</v>
      </c>
      <c r="C2789" t="s">
        <v>9745</v>
      </c>
      <c r="D2789" t="s">
        <v>3251</v>
      </c>
      <c r="E2789" t="s">
        <v>5121</v>
      </c>
      <c r="F2789" t="s">
        <v>5085</v>
      </c>
      <c r="G2789" t="s">
        <v>5085</v>
      </c>
      <c r="H2789" t="s">
        <v>868</v>
      </c>
      <c r="I2789" t="s">
        <v>869</v>
      </c>
      <c r="J2789" t="str">
        <f>"9050414"</f>
        <v>9050414</v>
      </c>
      <c r="K2789">
        <v>2108325377</v>
      </c>
      <c r="M2789" t="s">
        <v>9746</v>
      </c>
      <c r="N2789" t="s">
        <v>5159</v>
      </c>
      <c r="O2789" t="s">
        <v>9747</v>
      </c>
      <c r="P2789">
        <v>13561</v>
      </c>
      <c r="Q2789" t="str">
        <f>"38.020347"</f>
        <v>38.020347</v>
      </c>
      <c r="R2789" t="str">
        <f>"23.713322"</f>
        <v>23.713322</v>
      </c>
      <c r="S2789" t="s">
        <v>26</v>
      </c>
    </row>
    <row r="2790" spans="1:19" x14ac:dyDescent="0.3">
      <c r="A2790" t="s">
        <v>3237</v>
      </c>
      <c r="B2790" t="s">
        <v>9684</v>
      </c>
      <c r="C2790" t="s">
        <v>9751</v>
      </c>
      <c r="D2790" t="s">
        <v>3251</v>
      </c>
      <c r="E2790" t="s">
        <v>5199</v>
      </c>
      <c r="F2790" t="s">
        <v>5200</v>
      </c>
      <c r="G2790" t="s">
        <v>5200</v>
      </c>
      <c r="H2790" t="s">
        <v>868</v>
      </c>
      <c r="I2790" t="s">
        <v>869</v>
      </c>
      <c r="J2790" t="str">
        <f>"9050376"</f>
        <v>9050376</v>
      </c>
      <c r="K2790">
        <v>2105324488</v>
      </c>
      <c r="L2790">
        <v>2105815158</v>
      </c>
      <c r="M2790" t="s">
        <v>9752</v>
      </c>
      <c r="N2790" t="s">
        <v>5203</v>
      </c>
      <c r="O2790" t="s">
        <v>9753</v>
      </c>
      <c r="P2790">
        <v>12462</v>
      </c>
      <c r="Q2790" t="str">
        <f>"38.014031"</f>
        <v>38.014031</v>
      </c>
      <c r="R2790" t="str">
        <f>"23.649853"</f>
        <v>23.649853</v>
      </c>
      <c r="S2790" t="s">
        <v>26</v>
      </c>
    </row>
    <row r="2791" spans="1:19" x14ac:dyDescent="0.3">
      <c r="A2791" t="s">
        <v>3237</v>
      </c>
      <c r="B2791" t="s">
        <v>9684</v>
      </c>
      <c r="C2791" t="s">
        <v>5186</v>
      </c>
      <c r="D2791" t="s">
        <v>3251</v>
      </c>
      <c r="E2791" t="s">
        <v>3252</v>
      </c>
      <c r="F2791" t="s">
        <v>3252</v>
      </c>
      <c r="G2791" t="s">
        <v>3252</v>
      </c>
      <c r="H2791" t="s">
        <v>868</v>
      </c>
      <c r="I2791" t="s">
        <v>869</v>
      </c>
      <c r="J2791" t="str">
        <f>"9050366"</f>
        <v>9050366</v>
      </c>
      <c r="K2791">
        <v>2105982757</v>
      </c>
      <c r="L2791">
        <v>2105988273</v>
      </c>
      <c r="M2791" t="s">
        <v>9766</v>
      </c>
      <c r="N2791" t="s">
        <v>3252</v>
      </c>
      <c r="O2791" t="s">
        <v>9767</v>
      </c>
      <c r="P2791">
        <v>12242</v>
      </c>
      <c r="Q2791" t="str">
        <f>"37.995772"</f>
        <v>37.995772</v>
      </c>
      <c r="R2791" t="str">
        <f>"23.681398"</f>
        <v>23.681398</v>
      </c>
      <c r="S2791" t="s">
        <v>26</v>
      </c>
    </row>
    <row r="2792" spans="1:19" x14ac:dyDescent="0.3">
      <c r="A2792" t="s">
        <v>3237</v>
      </c>
      <c r="B2792" t="s">
        <v>9684</v>
      </c>
      <c r="C2792" t="s">
        <v>5112</v>
      </c>
      <c r="D2792" t="s">
        <v>3251</v>
      </c>
      <c r="E2792" t="s">
        <v>3252</v>
      </c>
      <c r="F2792" t="s">
        <v>3252</v>
      </c>
      <c r="G2792" t="s">
        <v>3252</v>
      </c>
      <c r="H2792" t="s">
        <v>868</v>
      </c>
      <c r="I2792" t="s">
        <v>869</v>
      </c>
      <c r="J2792" t="str">
        <f>"9050348"</f>
        <v>9050348</v>
      </c>
      <c r="K2792">
        <v>2105613754</v>
      </c>
      <c r="L2792">
        <v>2105613754</v>
      </c>
      <c r="M2792" t="s">
        <v>9780</v>
      </c>
      <c r="N2792" t="s">
        <v>3252</v>
      </c>
      <c r="O2792" t="s">
        <v>9781</v>
      </c>
      <c r="P2792">
        <v>12244</v>
      </c>
      <c r="Q2792" t="str">
        <f>"37.983775"</f>
        <v>37.983775</v>
      </c>
      <c r="R2792" t="str">
        <f>"23.668184"</f>
        <v>23.668184</v>
      </c>
      <c r="S2792" t="s">
        <v>26</v>
      </c>
    </row>
    <row r="2793" spans="1:19" x14ac:dyDescent="0.3">
      <c r="A2793" t="s">
        <v>3237</v>
      </c>
      <c r="B2793" t="s">
        <v>9684</v>
      </c>
      <c r="C2793" t="s">
        <v>5190</v>
      </c>
      <c r="D2793" t="s">
        <v>3251</v>
      </c>
      <c r="E2793" t="s">
        <v>3290</v>
      </c>
      <c r="F2793" t="s">
        <v>3290</v>
      </c>
      <c r="G2793" t="s">
        <v>3290</v>
      </c>
      <c r="H2793" t="s">
        <v>868</v>
      </c>
      <c r="I2793" t="s">
        <v>869</v>
      </c>
      <c r="J2793" t="str">
        <f>"9050829"</f>
        <v>9050829</v>
      </c>
      <c r="K2793">
        <v>2105028595</v>
      </c>
      <c r="L2793">
        <v>2105028595</v>
      </c>
      <c r="M2793" t="s">
        <v>9782</v>
      </c>
      <c r="N2793" t="s">
        <v>3293</v>
      </c>
      <c r="O2793" t="s">
        <v>9783</v>
      </c>
      <c r="P2793">
        <v>13123</v>
      </c>
      <c r="Q2793" t="str">
        <f>"38.038424"</f>
        <v>38.038424</v>
      </c>
      <c r="R2793" t="str">
        <f>"23.695521"</f>
        <v>23.695521</v>
      </c>
      <c r="S2793" t="s">
        <v>26</v>
      </c>
    </row>
    <row r="2794" spans="1:19" x14ac:dyDescent="0.3">
      <c r="A2794" t="s">
        <v>3237</v>
      </c>
      <c r="B2794" t="s">
        <v>9684</v>
      </c>
      <c r="C2794" t="s">
        <v>5093</v>
      </c>
      <c r="D2794" t="s">
        <v>3251</v>
      </c>
      <c r="E2794" t="s">
        <v>5087</v>
      </c>
      <c r="F2794" t="s">
        <v>5087</v>
      </c>
      <c r="G2794" t="s">
        <v>5088</v>
      </c>
      <c r="H2794" t="s">
        <v>868</v>
      </c>
      <c r="I2794" t="s">
        <v>869</v>
      </c>
      <c r="J2794" t="str">
        <f>"9050386"</f>
        <v>9050386</v>
      </c>
      <c r="K2794">
        <v>2105759938</v>
      </c>
      <c r="L2794">
        <v>2105759938</v>
      </c>
      <c r="M2794" t="s">
        <v>9787</v>
      </c>
      <c r="N2794" t="s">
        <v>5102</v>
      </c>
      <c r="O2794" t="s">
        <v>9788</v>
      </c>
      <c r="P2794">
        <v>12137</v>
      </c>
      <c r="Q2794" t="str">
        <f>"38.028329"</f>
        <v>38.028329</v>
      </c>
      <c r="R2794" t="str">
        <f>"23.681636"</f>
        <v>23.681636</v>
      </c>
      <c r="S2794" t="s">
        <v>26</v>
      </c>
    </row>
    <row r="2795" spans="1:19" x14ac:dyDescent="0.3">
      <c r="A2795" t="s">
        <v>3237</v>
      </c>
      <c r="B2795" t="s">
        <v>9684</v>
      </c>
      <c r="C2795" t="s">
        <v>5380</v>
      </c>
      <c r="D2795" t="s">
        <v>3251</v>
      </c>
      <c r="E2795" t="s">
        <v>5199</v>
      </c>
      <c r="F2795" t="s">
        <v>5200</v>
      </c>
      <c r="G2795" t="s">
        <v>5200</v>
      </c>
      <c r="H2795" t="s">
        <v>868</v>
      </c>
      <c r="I2795" t="s">
        <v>869</v>
      </c>
      <c r="J2795" t="str">
        <f>"9050369"</f>
        <v>9050369</v>
      </c>
      <c r="K2795">
        <v>2105815138</v>
      </c>
      <c r="L2795">
        <v>2105815138</v>
      </c>
      <c r="M2795" t="s">
        <v>9798</v>
      </c>
      <c r="N2795" t="s">
        <v>5203</v>
      </c>
      <c r="O2795" t="s">
        <v>9799</v>
      </c>
      <c r="P2795">
        <v>12462</v>
      </c>
      <c r="Q2795" t="str">
        <f>"38.017138"</f>
        <v>38.017138</v>
      </c>
      <c r="R2795" t="str">
        <f>"23.651734"</f>
        <v>23.651734</v>
      </c>
      <c r="S2795" t="s">
        <v>26</v>
      </c>
    </row>
    <row r="2796" spans="1:19" x14ac:dyDescent="0.3">
      <c r="A2796" t="s">
        <v>3237</v>
      </c>
      <c r="B2796" t="s">
        <v>9684</v>
      </c>
      <c r="C2796" t="s">
        <v>5463</v>
      </c>
      <c r="D2796" t="s">
        <v>3251</v>
      </c>
      <c r="E2796" t="s">
        <v>5199</v>
      </c>
      <c r="F2796" t="s">
        <v>5200</v>
      </c>
      <c r="G2796" t="s">
        <v>5200</v>
      </c>
      <c r="H2796" t="s">
        <v>868</v>
      </c>
      <c r="I2796" t="s">
        <v>869</v>
      </c>
      <c r="J2796" t="str">
        <f>"9051613"</f>
        <v>9051613</v>
      </c>
      <c r="K2796">
        <v>2105905476</v>
      </c>
      <c r="L2796">
        <v>2105905476</v>
      </c>
      <c r="M2796" t="s">
        <v>9800</v>
      </c>
      <c r="N2796" t="s">
        <v>5203</v>
      </c>
      <c r="O2796" t="s">
        <v>9801</v>
      </c>
      <c r="P2796">
        <v>12461</v>
      </c>
      <c r="Q2796" t="str">
        <f>"38.007915"</f>
        <v>38.007915</v>
      </c>
      <c r="R2796" t="str">
        <f>"23.666323"</f>
        <v>23.666323</v>
      </c>
      <c r="S2796" t="s">
        <v>26</v>
      </c>
    </row>
    <row r="2797" spans="1:19" x14ac:dyDescent="0.3">
      <c r="A2797" t="s">
        <v>3237</v>
      </c>
      <c r="B2797" t="s">
        <v>9684</v>
      </c>
      <c r="C2797" t="s">
        <v>9805</v>
      </c>
      <c r="D2797" t="s">
        <v>3251</v>
      </c>
      <c r="E2797" t="s">
        <v>3252</v>
      </c>
      <c r="F2797" t="s">
        <v>3252</v>
      </c>
      <c r="G2797" t="s">
        <v>3252</v>
      </c>
      <c r="H2797" t="s">
        <v>868</v>
      </c>
      <c r="I2797" t="s">
        <v>869</v>
      </c>
      <c r="J2797" t="str">
        <f>"9050346"</f>
        <v>9050346</v>
      </c>
      <c r="K2797">
        <v>2105445175</v>
      </c>
      <c r="L2797">
        <v>2105445175</v>
      </c>
      <c r="M2797" t="s">
        <v>9806</v>
      </c>
      <c r="N2797" t="s">
        <v>3252</v>
      </c>
      <c r="O2797" t="s">
        <v>9807</v>
      </c>
      <c r="P2797">
        <v>12244</v>
      </c>
      <c r="Q2797" t="str">
        <f>"37.988026"</f>
        <v>37.988026</v>
      </c>
      <c r="R2797" t="str">
        <f>"23.675026"</f>
        <v>23.675026</v>
      </c>
      <c r="S2797" t="s">
        <v>26</v>
      </c>
    </row>
    <row r="2798" spans="1:19" x14ac:dyDescent="0.3">
      <c r="A2798" t="s">
        <v>3237</v>
      </c>
      <c r="B2798" t="s">
        <v>9684</v>
      </c>
      <c r="C2798" t="s">
        <v>5150</v>
      </c>
      <c r="D2798" t="s">
        <v>3251</v>
      </c>
      <c r="E2798" t="s">
        <v>3290</v>
      </c>
      <c r="F2798" t="s">
        <v>3290</v>
      </c>
      <c r="G2798" t="s">
        <v>3290</v>
      </c>
      <c r="H2798" t="s">
        <v>868</v>
      </c>
      <c r="I2798" t="s">
        <v>869</v>
      </c>
      <c r="J2798" t="str">
        <f>"9050425"</f>
        <v>9050425</v>
      </c>
      <c r="K2798">
        <v>2102612083</v>
      </c>
      <c r="L2798">
        <v>2102612083</v>
      </c>
      <c r="M2798" t="s">
        <v>9808</v>
      </c>
      <c r="N2798" t="s">
        <v>3293</v>
      </c>
      <c r="O2798" t="s">
        <v>9786</v>
      </c>
      <c r="P2798">
        <v>13121</v>
      </c>
      <c r="Q2798" t="str">
        <f>"38.024770"</f>
        <v>38.024770</v>
      </c>
      <c r="R2798" t="str">
        <f>"23.702670"</f>
        <v>23.702670</v>
      </c>
      <c r="S2798" t="s">
        <v>26</v>
      </c>
    </row>
    <row r="2799" spans="1:19" x14ac:dyDescent="0.3">
      <c r="A2799" t="s">
        <v>3237</v>
      </c>
      <c r="B2799" t="s">
        <v>9684</v>
      </c>
      <c r="C2799" t="s">
        <v>5456</v>
      </c>
      <c r="D2799" t="s">
        <v>3251</v>
      </c>
      <c r="E2799" t="s">
        <v>5162</v>
      </c>
      <c r="F2799" t="s">
        <v>5162</v>
      </c>
      <c r="G2799" t="s">
        <v>5162</v>
      </c>
      <c r="H2799" t="s">
        <v>868</v>
      </c>
      <c r="I2799" t="s">
        <v>869</v>
      </c>
      <c r="J2799" t="str">
        <f>"9050342"</f>
        <v>9050342</v>
      </c>
      <c r="K2799">
        <v>2105610430</v>
      </c>
      <c r="L2799">
        <v>2105610430</v>
      </c>
      <c r="M2799" t="s">
        <v>9809</v>
      </c>
      <c r="N2799" t="s">
        <v>5165</v>
      </c>
      <c r="O2799" t="s">
        <v>9810</v>
      </c>
      <c r="P2799">
        <v>12351</v>
      </c>
      <c r="Q2799" t="str">
        <f>"37.989171"</f>
        <v>37.989171</v>
      </c>
      <c r="R2799" t="str">
        <f>"23.652757"</f>
        <v>23.652757</v>
      </c>
      <c r="S2799" t="s">
        <v>26</v>
      </c>
    </row>
    <row r="2800" spans="1:19" x14ac:dyDescent="0.3">
      <c r="A2800" t="s">
        <v>3237</v>
      </c>
      <c r="B2800" t="s">
        <v>9684</v>
      </c>
      <c r="C2800" t="s">
        <v>9821</v>
      </c>
      <c r="D2800" t="s">
        <v>3251</v>
      </c>
      <c r="E2800" t="s">
        <v>5171</v>
      </c>
      <c r="F2800" t="s">
        <v>5171</v>
      </c>
      <c r="G2800" t="s">
        <v>5171</v>
      </c>
      <c r="H2800" t="s">
        <v>868</v>
      </c>
      <c r="I2800" t="s">
        <v>869</v>
      </c>
      <c r="J2800" t="str">
        <f>"9051147"</f>
        <v>9051147</v>
      </c>
      <c r="K2800">
        <v>2105011887</v>
      </c>
      <c r="L2800">
        <v>2105011887</v>
      </c>
      <c r="M2800" t="s">
        <v>9822</v>
      </c>
      <c r="N2800" t="s">
        <v>5174</v>
      </c>
      <c r="O2800" t="s">
        <v>9823</v>
      </c>
      <c r="P2800">
        <v>13231</v>
      </c>
      <c r="Q2800" t="str">
        <f>"38.040868"</f>
        <v>38.040868</v>
      </c>
      <c r="R2800" t="str">
        <f>"23.672903"</f>
        <v>23.672903</v>
      </c>
      <c r="S2800" t="s">
        <v>26</v>
      </c>
    </row>
    <row r="2801" spans="1:19" x14ac:dyDescent="0.3">
      <c r="A2801" t="s">
        <v>3237</v>
      </c>
      <c r="B2801" t="s">
        <v>9684</v>
      </c>
      <c r="C2801" t="s">
        <v>9851</v>
      </c>
      <c r="D2801" t="s">
        <v>3251</v>
      </c>
      <c r="E2801" t="s">
        <v>5199</v>
      </c>
      <c r="F2801" t="s">
        <v>5200</v>
      </c>
      <c r="G2801" t="s">
        <v>5200</v>
      </c>
      <c r="H2801" t="s">
        <v>868</v>
      </c>
      <c r="I2801" t="s">
        <v>869</v>
      </c>
      <c r="J2801" t="str">
        <f>"9051154"</f>
        <v>9051154</v>
      </c>
      <c r="K2801">
        <v>2105817941</v>
      </c>
      <c r="L2801">
        <v>2105812894</v>
      </c>
      <c r="M2801" t="s">
        <v>9852</v>
      </c>
      <c r="N2801" t="s">
        <v>5203</v>
      </c>
      <c r="O2801" t="s">
        <v>9853</v>
      </c>
      <c r="P2801">
        <v>12462</v>
      </c>
      <c r="Q2801" t="str">
        <f>"38.015394"</f>
        <v>38.015394</v>
      </c>
      <c r="R2801" t="str">
        <f>"23.646537"</f>
        <v>23.646537</v>
      </c>
      <c r="S2801" t="s">
        <v>26</v>
      </c>
    </row>
    <row r="2802" spans="1:19" x14ac:dyDescent="0.3">
      <c r="A2802" t="s">
        <v>3237</v>
      </c>
      <c r="B2802" t="s">
        <v>9684</v>
      </c>
      <c r="C2802" t="s">
        <v>5285</v>
      </c>
      <c r="D2802" t="s">
        <v>3251</v>
      </c>
      <c r="E2802" t="s">
        <v>5087</v>
      </c>
      <c r="F2802" t="s">
        <v>5087</v>
      </c>
      <c r="G2802" t="s">
        <v>5281</v>
      </c>
      <c r="H2802" t="s">
        <v>868</v>
      </c>
      <c r="I2802" t="s">
        <v>869</v>
      </c>
      <c r="J2802" t="str">
        <f>"9050403"</f>
        <v>9050403</v>
      </c>
      <c r="K2802">
        <v>2105313128</v>
      </c>
      <c r="L2802">
        <v>2130102132</v>
      </c>
      <c r="M2802" t="s">
        <v>9854</v>
      </c>
      <c r="N2802" t="s">
        <v>5102</v>
      </c>
      <c r="O2802" t="s">
        <v>9855</v>
      </c>
      <c r="P2802">
        <v>12131</v>
      </c>
      <c r="Q2802" t="str">
        <f>"38.001415"</f>
        <v>38.001415</v>
      </c>
      <c r="R2802" t="str">
        <f>"23.689185"</f>
        <v>23.689185</v>
      </c>
      <c r="S2802" t="s">
        <v>26</v>
      </c>
    </row>
    <row r="2803" spans="1:19" x14ac:dyDescent="0.3">
      <c r="A2803" t="s">
        <v>3237</v>
      </c>
      <c r="B2803" t="s">
        <v>9684</v>
      </c>
      <c r="C2803" t="s">
        <v>9856</v>
      </c>
      <c r="D2803" t="s">
        <v>3251</v>
      </c>
      <c r="E2803" t="s">
        <v>5171</v>
      </c>
      <c r="F2803" t="s">
        <v>5171</v>
      </c>
      <c r="G2803" t="s">
        <v>5171</v>
      </c>
      <c r="H2803" t="s">
        <v>868</v>
      </c>
      <c r="I2803" t="s">
        <v>869</v>
      </c>
      <c r="J2803" t="str">
        <f>"9050962"</f>
        <v>9050962</v>
      </c>
      <c r="K2803">
        <v>2105010340</v>
      </c>
      <c r="L2803">
        <v>2105010340</v>
      </c>
      <c r="M2803" t="s">
        <v>9857</v>
      </c>
      <c r="N2803" t="s">
        <v>5174</v>
      </c>
      <c r="O2803" t="s">
        <v>9858</v>
      </c>
      <c r="P2803">
        <v>13231</v>
      </c>
      <c r="Q2803" t="str">
        <f>"38.037563"</f>
        <v>38.037563</v>
      </c>
      <c r="R2803" t="str">
        <f>"23.670014"</f>
        <v>23.670014</v>
      </c>
      <c r="S2803" t="s">
        <v>26</v>
      </c>
    </row>
    <row r="2804" spans="1:19" x14ac:dyDescent="0.3">
      <c r="A2804" t="s">
        <v>3237</v>
      </c>
      <c r="B2804" t="s">
        <v>9684</v>
      </c>
      <c r="C2804" t="s">
        <v>5176</v>
      </c>
      <c r="D2804" t="s">
        <v>3251</v>
      </c>
      <c r="E2804" t="s">
        <v>5171</v>
      </c>
      <c r="F2804" t="s">
        <v>5171</v>
      </c>
      <c r="G2804" t="s">
        <v>5171</v>
      </c>
      <c r="H2804" t="s">
        <v>868</v>
      </c>
      <c r="I2804" t="s">
        <v>869</v>
      </c>
      <c r="J2804" t="str">
        <f>"9050065"</f>
        <v>9050065</v>
      </c>
      <c r="K2804">
        <v>2105017623</v>
      </c>
      <c r="L2804">
        <v>2105062715</v>
      </c>
      <c r="M2804" t="s">
        <v>9859</v>
      </c>
      <c r="N2804" t="s">
        <v>5174</v>
      </c>
      <c r="O2804" t="s">
        <v>9860</v>
      </c>
      <c r="P2804">
        <v>13231</v>
      </c>
      <c r="Q2804" t="str">
        <f>"38.037309"</f>
        <v>38.037309</v>
      </c>
      <c r="R2804" t="str">
        <f>"23.682899"</f>
        <v>23.682899</v>
      </c>
      <c r="S2804" t="s">
        <v>26</v>
      </c>
    </row>
    <row r="2805" spans="1:19" x14ac:dyDescent="0.3">
      <c r="A2805" t="s">
        <v>3237</v>
      </c>
      <c r="B2805" t="s">
        <v>9684</v>
      </c>
      <c r="C2805" t="s">
        <v>9861</v>
      </c>
      <c r="D2805" t="s">
        <v>3251</v>
      </c>
      <c r="E2805" t="s">
        <v>5199</v>
      </c>
      <c r="F2805" t="s">
        <v>5200</v>
      </c>
      <c r="G2805" t="s">
        <v>5200</v>
      </c>
      <c r="H2805" t="s">
        <v>868</v>
      </c>
      <c r="I2805" t="s">
        <v>869</v>
      </c>
      <c r="J2805" t="str">
        <f>"9050677"</f>
        <v>9050677</v>
      </c>
      <c r="K2805">
        <v>2105316375</v>
      </c>
      <c r="L2805">
        <v>2105900653</v>
      </c>
      <c r="M2805" t="s">
        <v>9862</v>
      </c>
      <c r="N2805" t="s">
        <v>5203</v>
      </c>
      <c r="O2805" t="s">
        <v>9863</v>
      </c>
      <c r="P2805">
        <v>12461</v>
      </c>
      <c r="Q2805" t="str">
        <f>"37.998975"</f>
        <v>37.998975</v>
      </c>
      <c r="R2805" t="str">
        <f>"23.666036"</f>
        <v>23.666036</v>
      </c>
      <c r="S2805" t="s">
        <v>26</v>
      </c>
    </row>
    <row r="2806" spans="1:19" x14ac:dyDescent="0.3">
      <c r="A2806" t="s">
        <v>3237</v>
      </c>
      <c r="B2806" t="s">
        <v>9684</v>
      </c>
      <c r="C2806" t="s">
        <v>9864</v>
      </c>
      <c r="D2806" t="s">
        <v>3251</v>
      </c>
      <c r="E2806" t="s">
        <v>5121</v>
      </c>
      <c r="F2806" t="s">
        <v>5085</v>
      </c>
      <c r="G2806" t="s">
        <v>5085</v>
      </c>
      <c r="H2806" t="s">
        <v>868</v>
      </c>
      <c r="I2806" t="s">
        <v>869</v>
      </c>
      <c r="J2806" t="str">
        <f>"9051272"</f>
        <v>9051272</v>
      </c>
      <c r="K2806">
        <v>2102693104</v>
      </c>
      <c r="L2806">
        <v>2102693117</v>
      </c>
      <c r="M2806" t="s">
        <v>9865</v>
      </c>
      <c r="N2806" t="s">
        <v>5159</v>
      </c>
      <c r="O2806" t="s">
        <v>9866</v>
      </c>
      <c r="P2806">
        <v>13561</v>
      </c>
      <c r="Q2806" t="str">
        <f>"38.023481"</f>
        <v>38.023481</v>
      </c>
      <c r="R2806" t="str">
        <f>"23.719877"</f>
        <v>23.719877</v>
      </c>
      <c r="S2806" t="s">
        <v>26</v>
      </c>
    </row>
    <row r="2807" spans="1:19" x14ac:dyDescent="0.3">
      <c r="A2807" t="s">
        <v>3237</v>
      </c>
      <c r="B2807" t="s">
        <v>9684</v>
      </c>
      <c r="C2807" t="s">
        <v>9867</v>
      </c>
      <c r="D2807" t="s">
        <v>3251</v>
      </c>
      <c r="E2807" t="s">
        <v>5087</v>
      </c>
      <c r="F2807" t="s">
        <v>5087</v>
      </c>
      <c r="G2807" t="s">
        <v>5099</v>
      </c>
      <c r="H2807" t="s">
        <v>868</v>
      </c>
      <c r="I2807" t="s">
        <v>869</v>
      </c>
      <c r="J2807" t="str">
        <f>"9050410"</f>
        <v>9050410</v>
      </c>
      <c r="K2807">
        <v>2105711673</v>
      </c>
      <c r="L2807">
        <v>2105711673</v>
      </c>
      <c r="M2807" t="s">
        <v>9868</v>
      </c>
      <c r="N2807" t="s">
        <v>5102</v>
      </c>
      <c r="O2807" t="s">
        <v>9869</v>
      </c>
      <c r="P2807">
        <v>12136</v>
      </c>
      <c r="Q2807" t="str">
        <f>"38.008860"</f>
        <v>38.008860</v>
      </c>
      <c r="R2807" t="str">
        <f>"23.687690"</f>
        <v>23.687690</v>
      </c>
      <c r="S2807" t="s">
        <v>26</v>
      </c>
    </row>
    <row r="2808" spans="1:19" x14ac:dyDescent="0.3">
      <c r="A2808" t="s">
        <v>3237</v>
      </c>
      <c r="B2808" t="s">
        <v>9684</v>
      </c>
      <c r="C2808" t="s">
        <v>5524</v>
      </c>
      <c r="D2808" t="s">
        <v>3251</v>
      </c>
      <c r="E2808" t="s">
        <v>5121</v>
      </c>
      <c r="F2808" t="s">
        <v>5085</v>
      </c>
      <c r="G2808" t="s">
        <v>5085</v>
      </c>
      <c r="H2808" t="s">
        <v>868</v>
      </c>
      <c r="I2808" t="s">
        <v>869</v>
      </c>
      <c r="J2808" t="str">
        <f>"9050679"</f>
        <v>9050679</v>
      </c>
      <c r="K2808">
        <v>2102319495</v>
      </c>
      <c r="L2808">
        <v>2102319404</v>
      </c>
      <c r="M2808" t="s">
        <v>9870</v>
      </c>
      <c r="N2808" t="s">
        <v>5159</v>
      </c>
      <c r="O2808" t="s">
        <v>9871</v>
      </c>
      <c r="P2808">
        <v>13562</v>
      </c>
      <c r="Q2808" t="str">
        <f>"38.048551"</f>
        <v>38.048551</v>
      </c>
      <c r="R2808" t="str">
        <f>"23.729951"</f>
        <v>23.729951</v>
      </c>
      <c r="S2808" t="s">
        <v>26</v>
      </c>
    </row>
    <row r="2809" spans="1:19" x14ac:dyDescent="0.3">
      <c r="A2809" t="s">
        <v>3237</v>
      </c>
      <c r="B2809" t="s">
        <v>9684</v>
      </c>
      <c r="C2809" t="s">
        <v>9872</v>
      </c>
      <c r="D2809" t="s">
        <v>3251</v>
      </c>
      <c r="E2809" t="s">
        <v>5162</v>
      </c>
      <c r="F2809" t="s">
        <v>5162</v>
      </c>
      <c r="G2809" t="s">
        <v>5162</v>
      </c>
      <c r="H2809" t="s">
        <v>868</v>
      </c>
      <c r="I2809" t="s">
        <v>869</v>
      </c>
      <c r="J2809" t="str">
        <f>"9050341"</f>
        <v>9050341</v>
      </c>
      <c r="K2809">
        <v>2105615256</v>
      </c>
      <c r="L2809">
        <v>2105615256</v>
      </c>
      <c r="M2809" t="s">
        <v>9873</v>
      </c>
      <c r="N2809" t="s">
        <v>5165</v>
      </c>
      <c r="O2809" t="s">
        <v>9874</v>
      </c>
      <c r="P2809">
        <v>12351</v>
      </c>
      <c r="Q2809" t="str">
        <f>"37.986213"</f>
        <v>37.986213</v>
      </c>
      <c r="R2809" t="str">
        <f>"23.661382"</f>
        <v>23.661382</v>
      </c>
      <c r="S2809" t="s">
        <v>26</v>
      </c>
    </row>
    <row r="2810" spans="1:19" x14ac:dyDescent="0.3">
      <c r="A2810" t="s">
        <v>3237</v>
      </c>
      <c r="B2810" t="s">
        <v>9684</v>
      </c>
      <c r="C2810" t="s">
        <v>5401</v>
      </c>
      <c r="D2810" t="s">
        <v>3251</v>
      </c>
      <c r="E2810" t="s">
        <v>3290</v>
      </c>
      <c r="F2810" t="s">
        <v>3290</v>
      </c>
      <c r="G2810" t="s">
        <v>3290</v>
      </c>
      <c r="H2810" t="s">
        <v>868</v>
      </c>
      <c r="I2810" t="s">
        <v>869</v>
      </c>
      <c r="J2810" t="str">
        <f>"9050433"</f>
        <v>9050433</v>
      </c>
      <c r="K2810">
        <v>2102615727</v>
      </c>
      <c r="L2810">
        <v>2102615727</v>
      </c>
      <c r="M2810" t="s">
        <v>9875</v>
      </c>
      <c r="N2810" t="s">
        <v>3293</v>
      </c>
      <c r="O2810" t="s">
        <v>9876</v>
      </c>
      <c r="P2810">
        <v>13123</v>
      </c>
      <c r="Q2810" t="str">
        <f>"38.040053"</f>
        <v>38.040053</v>
      </c>
      <c r="R2810" t="str">
        <f>"23.701904"</f>
        <v>23.701904</v>
      </c>
      <c r="S2810" t="s">
        <v>26</v>
      </c>
    </row>
    <row r="2811" spans="1:19" x14ac:dyDescent="0.3">
      <c r="A2811" t="s">
        <v>3237</v>
      </c>
      <c r="B2811" t="s">
        <v>9684</v>
      </c>
      <c r="C2811" t="s">
        <v>5276</v>
      </c>
      <c r="D2811" t="s">
        <v>3251</v>
      </c>
      <c r="E2811" t="s">
        <v>5087</v>
      </c>
      <c r="F2811" t="s">
        <v>5087</v>
      </c>
      <c r="G2811" t="s">
        <v>5099</v>
      </c>
      <c r="H2811" t="s">
        <v>868</v>
      </c>
      <c r="I2811" t="s">
        <v>869</v>
      </c>
      <c r="J2811" t="str">
        <f>"9050383"</f>
        <v>9050383</v>
      </c>
      <c r="K2811">
        <v>2105712632</v>
      </c>
      <c r="L2811">
        <v>2105712632</v>
      </c>
      <c r="M2811" t="s">
        <v>9881</v>
      </c>
      <c r="N2811" t="s">
        <v>5102</v>
      </c>
      <c r="O2811" t="s">
        <v>9882</v>
      </c>
      <c r="P2811">
        <v>12136</v>
      </c>
      <c r="Q2811" t="str">
        <f>"38.012119"</f>
        <v>38.012119</v>
      </c>
      <c r="R2811" t="str">
        <f>"23.679193"</f>
        <v>23.679193</v>
      </c>
      <c r="S2811" t="s">
        <v>26</v>
      </c>
    </row>
    <row r="2812" spans="1:19" x14ac:dyDescent="0.3">
      <c r="A2812" t="s">
        <v>3237</v>
      </c>
      <c r="B2812" t="s">
        <v>9684</v>
      </c>
      <c r="C2812" t="s">
        <v>5356</v>
      </c>
      <c r="D2812" t="s">
        <v>3251</v>
      </c>
      <c r="E2812" t="s">
        <v>5171</v>
      </c>
      <c r="F2812" t="s">
        <v>5171</v>
      </c>
      <c r="G2812" t="s">
        <v>5171</v>
      </c>
      <c r="H2812" t="s">
        <v>868</v>
      </c>
      <c r="I2812" t="s">
        <v>869</v>
      </c>
      <c r="J2812" t="str">
        <f>"9050437"</f>
        <v>9050437</v>
      </c>
      <c r="K2812">
        <v>2105010528</v>
      </c>
      <c r="L2812">
        <v>2105010528</v>
      </c>
      <c r="M2812" t="s">
        <v>9883</v>
      </c>
      <c r="N2812" t="s">
        <v>5174</v>
      </c>
      <c r="O2812" t="s">
        <v>9884</v>
      </c>
      <c r="P2812">
        <v>13232</v>
      </c>
      <c r="Q2812" t="str">
        <f>"38.045960"</f>
        <v>38.045960</v>
      </c>
      <c r="R2812" t="str">
        <f>"23.676263"</f>
        <v>23.676263</v>
      </c>
      <c r="S2812" t="s">
        <v>26</v>
      </c>
    </row>
    <row r="2813" spans="1:19" x14ac:dyDescent="0.3">
      <c r="A2813" t="s">
        <v>3237</v>
      </c>
      <c r="B2813" t="s">
        <v>9684</v>
      </c>
      <c r="C2813" t="s">
        <v>5539</v>
      </c>
      <c r="D2813" t="s">
        <v>3251</v>
      </c>
      <c r="E2813" t="s">
        <v>5087</v>
      </c>
      <c r="F2813" t="s">
        <v>5087</v>
      </c>
      <c r="G2813" t="s">
        <v>5116</v>
      </c>
      <c r="H2813" t="s">
        <v>868</v>
      </c>
      <c r="I2813" t="s">
        <v>869</v>
      </c>
      <c r="J2813" t="str">
        <f>"9050391"</f>
        <v>9050391</v>
      </c>
      <c r="K2813">
        <v>2105711184</v>
      </c>
      <c r="L2813">
        <v>2105776207</v>
      </c>
      <c r="M2813" t="s">
        <v>9910</v>
      </c>
      <c r="N2813" t="s">
        <v>5102</v>
      </c>
      <c r="O2813" t="s">
        <v>9911</v>
      </c>
      <c r="P2813">
        <v>12133</v>
      </c>
      <c r="Q2813" t="str">
        <f>"38.019052"</f>
        <v>38.019052</v>
      </c>
      <c r="R2813" t="str">
        <f>"23.697080"</f>
        <v>23.697080</v>
      </c>
      <c r="S2813" t="s">
        <v>26</v>
      </c>
    </row>
    <row r="2814" spans="1:19" x14ac:dyDescent="0.3">
      <c r="A2814" t="s">
        <v>3237</v>
      </c>
      <c r="B2814" t="s">
        <v>9684</v>
      </c>
      <c r="C2814" t="s">
        <v>5289</v>
      </c>
      <c r="D2814" t="s">
        <v>3251</v>
      </c>
      <c r="E2814" t="s">
        <v>3290</v>
      </c>
      <c r="F2814" t="s">
        <v>3290</v>
      </c>
      <c r="G2814" t="s">
        <v>3290</v>
      </c>
      <c r="H2814" t="s">
        <v>868</v>
      </c>
      <c r="I2814" t="s">
        <v>869</v>
      </c>
      <c r="J2814" t="str">
        <f>"9050828"</f>
        <v>9050828</v>
      </c>
      <c r="K2814">
        <v>2105754345</v>
      </c>
      <c r="L2814">
        <v>105786192</v>
      </c>
      <c r="M2814" t="s">
        <v>9912</v>
      </c>
      <c r="N2814" t="s">
        <v>3293</v>
      </c>
      <c r="O2814" t="s">
        <v>9913</v>
      </c>
      <c r="P2814">
        <v>13121</v>
      </c>
      <c r="Q2814" t="str">
        <f>"38.027084"</f>
        <v>38.027084</v>
      </c>
      <c r="R2814" t="str">
        <f>"23.694568"</f>
        <v>23.694568</v>
      </c>
      <c r="S2814" t="s">
        <v>26</v>
      </c>
    </row>
    <row r="2815" spans="1:19" x14ac:dyDescent="0.3">
      <c r="A2815" t="s">
        <v>3237</v>
      </c>
      <c r="B2815" t="s">
        <v>9684</v>
      </c>
      <c r="C2815" t="s">
        <v>5167</v>
      </c>
      <c r="D2815" t="s">
        <v>3251</v>
      </c>
      <c r="E2815" t="s">
        <v>5162</v>
      </c>
      <c r="F2815" t="s">
        <v>5162</v>
      </c>
      <c r="G2815" t="s">
        <v>5162</v>
      </c>
      <c r="H2815" t="s">
        <v>868</v>
      </c>
      <c r="I2815" t="s">
        <v>869</v>
      </c>
      <c r="J2815" t="str">
        <f>"9050676"</f>
        <v>9050676</v>
      </c>
      <c r="K2815">
        <v>2105614261</v>
      </c>
      <c r="L2815">
        <v>2105614261</v>
      </c>
      <c r="M2815" t="s">
        <v>9914</v>
      </c>
      <c r="N2815" t="s">
        <v>5165</v>
      </c>
      <c r="O2815" t="s">
        <v>5420</v>
      </c>
      <c r="P2815">
        <v>12351</v>
      </c>
      <c r="Q2815" t="str">
        <f>"37.995152"</f>
        <v>37.995152</v>
      </c>
      <c r="R2815" t="str">
        <f>"23.663096"</f>
        <v>23.663096</v>
      </c>
      <c r="S2815" t="s">
        <v>26</v>
      </c>
    </row>
    <row r="2816" spans="1:19" x14ac:dyDescent="0.3">
      <c r="A2816" t="s">
        <v>3237</v>
      </c>
      <c r="B2816" t="s">
        <v>9684</v>
      </c>
      <c r="C2816" t="s">
        <v>9918</v>
      </c>
      <c r="D2816" t="s">
        <v>3251</v>
      </c>
      <c r="E2816" t="s">
        <v>5087</v>
      </c>
      <c r="F2816" t="s">
        <v>5087</v>
      </c>
      <c r="G2816" t="s">
        <v>5088</v>
      </c>
      <c r="H2816" t="s">
        <v>868</v>
      </c>
      <c r="I2816" t="s">
        <v>869</v>
      </c>
      <c r="J2816" t="str">
        <f>"9051467"</f>
        <v>9051467</v>
      </c>
      <c r="K2816">
        <v>2105746313</v>
      </c>
      <c r="L2816">
        <v>2105746313</v>
      </c>
      <c r="M2816" t="s">
        <v>9919</v>
      </c>
      <c r="N2816" t="s">
        <v>5102</v>
      </c>
      <c r="O2816" t="s">
        <v>9920</v>
      </c>
      <c r="P2816">
        <v>12137</v>
      </c>
      <c r="Q2816" t="str">
        <f>"38.022786"</f>
        <v>38.022786</v>
      </c>
      <c r="R2816" t="str">
        <f>"23.675820"</f>
        <v>23.675820</v>
      </c>
      <c r="S2816" t="s">
        <v>26</v>
      </c>
    </row>
    <row r="2817" spans="1:19" x14ac:dyDescent="0.3">
      <c r="A2817" t="s">
        <v>3237</v>
      </c>
      <c r="B2817" t="s">
        <v>9684</v>
      </c>
      <c r="C2817" t="s">
        <v>5209</v>
      </c>
      <c r="D2817" t="s">
        <v>3251</v>
      </c>
      <c r="E2817" t="s">
        <v>3290</v>
      </c>
      <c r="F2817" t="s">
        <v>3290</v>
      </c>
      <c r="G2817" t="s">
        <v>3290</v>
      </c>
      <c r="H2817" t="s">
        <v>868</v>
      </c>
      <c r="I2817" t="s">
        <v>869</v>
      </c>
      <c r="J2817" t="str">
        <f>"9050428"</f>
        <v>9050428</v>
      </c>
      <c r="K2817">
        <v>2105714068</v>
      </c>
      <c r="L2817">
        <v>2105714068</v>
      </c>
      <c r="M2817" t="s">
        <v>9927</v>
      </c>
      <c r="N2817" t="s">
        <v>3293</v>
      </c>
      <c r="O2817" t="s">
        <v>9928</v>
      </c>
      <c r="P2817">
        <v>13121</v>
      </c>
      <c r="Q2817" t="str">
        <f>"38.021342"</f>
        <v>38.021342</v>
      </c>
      <c r="R2817" t="str">
        <f>"23.707781"</f>
        <v>23.707781</v>
      </c>
      <c r="S2817" t="s">
        <v>26</v>
      </c>
    </row>
    <row r="2818" spans="1:19" x14ac:dyDescent="0.3">
      <c r="A2818" t="s">
        <v>3237</v>
      </c>
      <c r="B2818" t="s">
        <v>9684</v>
      </c>
      <c r="C2818" t="s">
        <v>5384</v>
      </c>
      <c r="D2818" t="s">
        <v>3251</v>
      </c>
      <c r="E2818" t="s">
        <v>5087</v>
      </c>
      <c r="F2818" t="s">
        <v>5087</v>
      </c>
      <c r="G2818" t="s">
        <v>5099</v>
      </c>
      <c r="H2818" t="s">
        <v>868</v>
      </c>
      <c r="I2818" t="s">
        <v>869</v>
      </c>
      <c r="J2818" t="str">
        <f>"9050412"</f>
        <v>9050412</v>
      </c>
      <c r="K2818">
        <v>2105711414</v>
      </c>
      <c r="L2818">
        <v>2105711414</v>
      </c>
      <c r="M2818" t="s">
        <v>9932</v>
      </c>
      <c r="N2818" t="s">
        <v>5102</v>
      </c>
      <c r="O2818" t="s">
        <v>9933</v>
      </c>
      <c r="P2818">
        <v>12136</v>
      </c>
      <c r="Q2818" t="str">
        <f>"38.007626"</f>
        <v>38.007626</v>
      </c>
      <c r="R2818" t="str">
        <f>"23.680724"</f>
        <v>23.680724</v>
      </c>
      <c r="S2818" t="s">
        <v>26</v>
      </c>
    </row>
    <row r="2819" spans="1:19" x14ac:dyDescent="0.3">
      <c r="A2819" t="s">
        <v>3237</v>
      </c>
      <c r="B2819" t="s">
        <v>9684</v>
      </c>
      <c r="C2819" t="s">
        <v>9934</v>
      </c>
      <c r="D2819" t="s">
        <v>3251</v>
      </c>
      <c r="E2819" t="s">
        <v>5087</v>
      </c>
      <c r="F2819" t="s">
        <v>5087</v>
      </c>
      <c r="G2819" t="s">
        <v>5281</v>
      </c>
      <c r="H2819" t="s">
        <v>868</v>
      </c>
      <c r="I2819" t="s">
        <v>869</v>
      </c>
      <c r="J2819" t="str">
        <f>"9050396"</f>
        <v>9050396</v>
      </c>
      <c r="K2819">
        <v>2105735220</v>
      </c>
      <c r="L2819">
        <v>2105735781</v>
      </c>
      <c r="M2819" t="s">
        <v>9935</v>
      </c>
      <c r="N2819" t="s">
        <v>5102</v>
      </c>
      <c r="O2819" t="s">
        <v>9936</v>
      </c>
      <c r="P2819">
        <v>12131</v>
      </c>
      <c r="Q2819" t="str">
        <f>"38.000250"</f>
        <v>38.000250</v>
      </c>
      <c r="R2819" t="str">
        <f>"23.694233"</f>
        <v>23.694233</v>
      </c>
      <c r="S2819" t="s">
        <v>26</v>
      </c>
    </row>
    <row r="2820" spans="1:19" x14ac:dyDescent="0.3">
      <c r="A2820" t="s">
        <v>3237</v>
      </c>
      <c r="B2820" t="s">
        <v>9684</v>
      </c>
      <c r="C2820" t="s">
        <v>9946</v>
      </c>
      <c r="D2820" t="s">
        <v>3251</v>
      </c>
      <c r="E2820" t="s">
        <v>5162</v>
      </c>
      <c r="F2820" t="s">
        <v>5162</v>
      </c>
      <c r="G2820" t="s">
        <v>5162</v>
      </c>
      <c r="H2820" t="s">
        <v>868</v>
      </c>
      <c r="I2820" t="s">
        <v>869</v>
      </c>
      <c r="J2820" t="str">
        <f>"9050340"</f>
        <v>9050340</v>
      </c>
      <c r="K2820">
        <v>2105614005</v>
      </c>
      <c r="L2820">
        <v>2105614005</v>
      </c>
      <c r="M2820" t="s">
        <v>9947</v>
      </c>
      <c r="N2820" t="s">
        <v>5165</v>
      </c>
      <c r="O2820" t="s">
        <v>9948</v>
      </c>
      <c r="P2820">
        <v>12351</v>
      </c>
      <c r="Q2820" t="str">
        <f>"37.994970"</f>
        <v>37.994970</v>
      </c>
      <c r="R2820" t="str">
        <f>"23.653214"</f>
        <v>23.653214</v>
      </c>
      <c r="S2820" t="s">
        <v>26</v>
      </c>
    </row>
    <row r="2821" spans="1:19" x14ac:dyDescent="0.3">
      <c r="A2821" t="s">
        <v>3237</v>
      </c>
      <c r="B2821" t="s">
        <v>9684</v>
      </c>
      <c r="C2821" t="s">
        <v>9952</v>
      </c>
      <c r="D2821" t="s">
        <v>3251</v>
      </c>
      <c r="E2821" t="s">
        <v>3252</v>
      </c>
      <c r="F2821" t="s">
        <v>3252</v>
      </c>
      <c r="G2821" t="s">
        <v>3252</v>
      </c>
      <c r="H2821" t="s">
        <v>868</v>
      </c>
      <c r="I2821" t="s">
        <v>1157</v>
      </c>
      <c r="J2821" t="str">
        <f>"9051533"</f>
        <v>9051533</v>
      </c>
      <c r="K2821">
        <v>2105906750</v>
      </c>
      <c r="L2821">
        <v>2105906750</v>
      </c>
      <c r="M2821" t="s">
        <v>9953</v>
      </c>
      <c r="N2821" t="s">
        <v>3252</v>
      </c>
      <c r="O2821" t="s">
        <v>4630</v>
      </c>
      <c r="P2821">
        <v>12243</v>
      </c>
      <c r="Q2821" t="str">
        <f>"37.996501"</f>
        <v>37.996501</v>
      </c>
      <c r="R2821" t="str">
        <f>"23.676627"</f>
        <v>23.676627</v>
      </c>
      <c r="S2821" t="s">
        <v>26</v>
      </c>
    </row>
    <row r="2822" spans="1:19" x14ac:dyDescent="0.3">
      <c r="A2822" t="s">
        <v>3237</v>
      </c>
      <c r="B2822" t="s">
        <v>9684</v>
      </c>
      <c r="C2822" t="s">
        <v>9963</v>
      </c>
      <c r="D2822" t="s">
        <v>3251</v>
      </c>
      <c r="E2822" t="s">
        <v>5121</v>
      </c>
      <c r="F2822" t="s">
        <v>5085</v>
      </c>
      <c r="G2822" t="s">
        <v>5085</v>
      </c>
      <c r="H2822" t="s">
        <v>868</v>
      </c>
      <c r="I2822" t="s">
        <v>869</v>
      </c>
      <c r="J2822" t="str">
        <f>"9051139"</f>
        <v>9051139</v>
      </c>
      <c r="K2822">
        <v>2102311614</v>
      </c>
      <c r="L2822">
        <v>2102315406</v>
      </c>
      <c r="M2822" t="s">
        <v>9964</v>
      </c>
      <c r="N2822" t="s">
        <v>9965</v>
      </c>
      <c r="O2822" t="s">
        <v>9966</v>
      </c>
      <c r="P2822">
        <v>13562</v>
      </c>
      <c r="Q2822" t="str">
        <f>"38.040039"</f>
        <v>38.040039</v>
      </c>
      <c r="R2822" t="str">
        <f>"23.731156"</f>
        <v>23.731156</v>
      </c>
      <c r="S2822" t="s">
        <v>26</v>
      </c>
    </row>
    <row r="2823" spans="1:19" x14ac:dyDescent="0.3">
      <c r="A2823" t="s">
        <v>3237</v>
      </c>
      <c r="B2823" t="s">
        <v>9684</v>
      </c>
      <c r="C2823" t="s">
        <v>9967</v>
      </c>
      <c r="D2823" t="s">
        <v>3251</v>
      </c>
      <c r="E2823" t="s">
        <v>3252</v>
      </c>
      <c r="F2823" t="s">
        <v>3252</v>
      </c>
      <c r="G2823" t="s">
        <v>3252</v>
      </c>
      <c r="H2823" t="s">
        <v>868</v>
      </c>
      <c r="I2823" t="s">
        <v>869</v>
      </c>
      <c r="J2823" t="str">
        <f>"9050349"</f>
        <v>9050349</v>
      </c>
      <c r="K2823">
        <v>2105987274</v>
      </c>
      <c r="L2823">
        <v>2105987274</v>
      </c>
      <c r="M2823" t="s">
        <v>9968</v>
      </c>
      <c r="N2823" t="s">
        <v>3252</v>
      </c>
      <c r="O2823" t="s">
        <v>9969</v>
      </c>
      <c r="P2823">
        <v>12243</v>
      </c>
      <c r="Q2823" t="str">
        <f>"38.003719"</f>
        <v>38.003719</v>
      </c>
      <c r="R2823" t="str">
        <f>"23.672853"</f>
        <v>23.672853</v>
      </c>
      <c r="S2823" t="s">
        <v>26</v>
      </c>
    </row>
    <row r="2824" spans="1:19" x14ac:dyDescent="0.3">
      <c r="A2824" t="s">
        <v>3237</v>
      </c>
      <c r="B2824" t="s">
        <v>9684</v>
      </c>
      <c r="C2824" t="s">
        <v>9990</v>
      </c>
      <c r="D2824" t="s">
        <v>3251</v>
      </c>
      <c r="E2824" t="s">
        <v>5121</v>
      </c>
      <c r="F2824" t="s">
        <v>5127</v>
      </c>
      <c r="G2824" t="s">
        <v>5127</v>
      </c>
      <c r="H2824" t="s">
        <v>868</v>
      </c>
      <c r="I2824" t="s">
        <v>869</v>
      </c>
      <c r="J2824" t="str">
        <f>"9050241"</f>
        <v>9050241</v>
      </c>
      <c r="K2824">
        <v>2102310287</v>
      </c>
      <c r="L2824">
        <v>2102318240</v>
      </c>
      <c r="M2824" t="s">
        <v>9991</v>
      </c>
      <c r="N2824" t="s">
        <v>5130</v>
      </c>
      <c r="O2824" t="s">
        <v>9992</v>
      </c>
      <c r="P2824">
        <v>13451</v>
      </c>
      <c r="Q2824" t="str">
        <f>"38.053242"</f>
        <v>38.053242</v>
      </c>
      <c r="R2824" t="str">
        <f>"23.724101"</f>
        <v>23.724101</v>
      </c>
      <c r="S2824" t="s">
        <v>26</v>
      </c>
    </row>
    <row r="2825" spans="1:19" x14ac:dyDescent="0.3">
      <c r="A2825" t="s">
        <v>3237</v>
      </c>
      <c r="B2825" t="s">
        <v>9684</v>
      </c>
      <c r="C2825" t="s">
        <v>5410</v>
      </c>
      <c r="D2825" t="s">
        <v>3251</v>
      </c>
      <c r="E2825" t="s">
        <v>3252</v>
      </c>
      <c r="F2825" t="s">
        <v>3252</v>
      </c>
      <c r="G2825" t="s">
        <v>3252</v>
      </c>
      <c r="H2825" t="s">
        <v>868</v>
      </c>
      <c r="I2825" t="s">
        <v>869</v>
      </c>
      <c r="J2825" t="str">
        <f>"9050365"</f>
        <v>9050365</v>
      </c>
      <c r="K2825">
        <v>2105982854</v>
      </c>
      <c r="L2825">
        <v>2105982854</v>
      </c>
      <c r="M2825" t="s">
        <v>9999</v>
      </c>
      <c r="N2825" t="s">
        <v>3252</v>
      </c>
      <c r="O2825" t="s">
        <v>5523</v>
      </c>
      <c r="P2825">
        <v>12243</v>
      </c>
      <c r="Q2825" t="str">
        <f>"38.001848"</f>
        <v>38.001848</v>
      </c>
      <c r="R2825" t="str">
        <f>"23.677347"</f>
        <v>23.677347</v>
      </c>
      <c r="S2825" t="s">
        <v>26</v>
      </c>
    </row>
    <row r="2826" spans="1:19" x14ac:dyDescent="0.3">
      <c r="A2826" t="s">
        <v>3237</v>
      </c>
      <c r="B2826" t="s">
        <v>9684</v>
      </c>
      <c r="C2826" t="s">
        <v>5303</v>
      </c>
      <c r="D2826" t="s">
        <v>3251</v>
      </c>
      <c r="E2826" t="s">
        <v>5199</v>
      </c>
      <c r="F2826" t="s">
        <v>5200</v>
      </c>
      <c r="G2826" t="s">
        <v>5200</v>
      </c>
      <c r="H2826" t="s">
        <v>868</v>
      </c>
      <c r="I2826" t="s">
        <v>869</v>
      </c>
      <c r="J2826" t="str">
        <f>"9050371"</f>
        <v>9050371</v>
      </c>
      <c r="K2826">
        <v>2105813742</v>
      </c>
      <c r="L2826">
        <v>2105813742</v>
      </c>
      <c r="M2826" t="s">
        <v>10006</v>
      </c>
      <c r="N2826" t="s">
        <v>5203</v>
      </c>
      <c r="O2826" t="s">
        <v>10002</v>
      </c>
      <c r="P2826">
        <v>12461</v>
      </c>
      <c r="Q2826" t="str">
        <f>"38.011775"</f>
        <v>38.011775</v>
      </c>
      <c r="R2826" t="str">
        <f>"23.661478"</f>
        <v>23.661478</v>
      </c>
      <c r="S2826" t="s">
        <v>26</v>
      </c>
    </row>
    <row r="2827" spans="1:19" x14ac:dyDescent="0.3">
      <c r="A2827" t="s">
        <v>3237</v>
      </c>
      <c r="B2827" t="s">
        <v>9684</v>
      </c>
      <c r="C2827" t="s">
        <v>10007</v>
      </c>
      <c r="D2827" t="s">
        <v>3251</v>
      </c>
      <c r="E2827" t="s">
        <v>3252</v>
      </c>
      <c r="F2827" t="s">
        <v>3252</v>
      </c>
      <c r="G2827" t="s">
        <v>3252</v>
      </c>
      <c r="H2827" t="s">
        <v>868</v>
      </c>
      <c r="I2827" t="s">
        <v>869</v>
      </c>
      <c r="J2827" t="str">
        <f>"9050344"</f>
        <v>9050344</v>
      </c>
      <c r="K2827">
        <v>2105989017</v>
      </c>
      <c r="L2827">
        <v>2105981797</v>
      </c>
      <c r="M2827" t="s">
        <v>10008</v>
      </c>
      <c r="N2827" t="s">
        <v>3252</v>
      </c>
      <c r="O2827" t="s">
        <v>10009</v>
      </c>
      <c r="P2827">
        <v>12242</v>
      </c>
      <c r="Q2827" t="str">
        <f>"37.996483"</f>
        <v>37.996483</v>
      </c>
      <c r="R2827" t="str">
        <f>"23.685004"</f>
        <v>23.685004</v>
      </c>
      <c r="S2827" t="s">
        <v>26</v>
      </c>
    </row>
    <row r="2828" spans="1:19" x14ac:dyDescent="0.3">
      <c r="A2828" t="s">
        <v>3237</v>
      </c>
      <c r="B2828" t="s">
        <v>9684</v>
      </c>
      <c r="C2828" t="s">
        <v>10015</v>
      </c>
      <c r="D2828" t="s">
        <v>3251</v>
      </c>
      <c r="E2828" t="s">
        <v>3252</v>
      </c>
      <c r="F2828" t="s">
        <v>3252</v>
      </c>
      <c r="G2828" t="s">
        <v>3252</v>
      </c>
      <c r="H2828" t="s">
        <v>868</v>
      </c>
      <c r="I2828" t="s">
        <v>869</v>
      </c>
      <c r="J2828" t="str">
        <f>"9050960"</f>
        <v>9050960</v>
      </c>
      <c r="K2828">
        <v>2105612011</v>
      </c>
      <c r="L2828">
        <v>2105612016</v>
      </c>
      <c r="M2828" t="s">
        <v>10016</v>
      </c>
      <c r="N2828" t="s">
        <v>3252</v>
      </c>
      <c r="O2828" t="s">
        <v>10017</v>
      </c>
      <c r="P2828">
        <v>12241</v>
      </c>
      <c r="Q2828" t="str">
        <f>"37.984692"</f>
        <v>37.984692</v>
      </c>
      <c r="R2828" t="str">
        <f>"23.675722"</f>
        <v>23.675722</v>
      </c>
      <c r="S2828" t="s">
        <v>26</v>
      </c>
    </row>
    <row r="2829" spans="1:19" x14ac:dyDescent="0.3">
      <c r="A2829" t="s">
        <v>3237</v>
      </c>
      <c r="B2829" t="s">
        <v>9684</v>
      </c>
      <c r="C2829" t="s">
        <v>5280</v>
      </c>
      <c r="D2829" t="s">
        <v>3251</v>
      </c>
      <c r="E2829" t="s">
        <v>5199</v>
      </c>
      <c r="F2829" t="s">
        <v>5200</v>
      </c>
      <c r="G2829" t="s">
        <v>5200</v>
      </c>
      <c r="H2829" t="s">
        <v>868</v>
      </c>
      <c r="I2829" t="s">
        <v>869</v>
      </c>
      <c r="J2829" t="str">
        <f>"9050372"</f>
        <v>9050372</v>
      </c>
      <c r="K2829">
        <v>2105810487</v>
      </c>
      <c r="L2829">
        <v>2105810487</v>
      </c>
      <c r="M2829" t="s">
        <v>10021</v>
      </c>
      <c r="N2829" t="s">
        <v>5203</v>
      </c>
      <c r="O2829" t="s">
        <v>10022</v>
      </c>
      <c r="P2829">
        <v>12461</v>
      </c>
      <c r="Q2829" t="str">
        <f>"38.013087"</f>
        <v>38.013087</v>
      </c>
      <c r="R2829" t="str">
        <f>"23.667165"</f>
        <v>23.667165</v>
      </c>
      <c r="S2829" t="s">
        <v>26</v>
      </c>
    </row>
    <row r="2830" spans="1:19" x14ac:dyDescent="0.3">
      <c r="A2830" t="s">
        <v>3237</v>
      </c>
      <c r="B2830" t="s">
        <v>9684</v>
      </c>
      <c r="C2830" t="s">
        <v>10029</v>
      </c>
      <c r="D2830" t="s">
        <v>3251</v>
      </c>
      <c r="E2830" t="s">
        <v>3252</v>
      </c>
      <c r="F2830" t="s">
        <v>3252</v>
      </c>
      <c r="G2830" t="s">
        <v>3252</v>
      </c>
      <c r="H2830" t="s">
        <v>868</v>
      </c>
      <c r="I2830" t="s">
        <v>869</v>
      </c>
      <c r="J2830" t="str">
        <f>"9050360"</f>
        <v>9050360</v>
      </c>
      <c r="K2830">
        <v>2105982493</v>
      </c>
      <c r="L2830">
        <v>2105982493</v>
      </c>
      <c r="M2830" t="s">
        <v>10030</v>
      </c>
      <c r="N2830" t="s">
        <v>3252</v>
      </c>
      <c r="O2830" t="s">
        <v>10031</v>
      </c>
      <c r="P2830">
        <v>12242</v>
      </c>
      <c r="Q2830" t="str">
        <f>"37.997333"</f>
        <v>37.997333</v>
      </c>
      <c r="R2830" t="str">
        <f>"23.685519"</f>
        <v>23.685519</v>
      </c>
      <c r="S2830" t="s">
        <v>26</v>
      </c>
    </row>
    <row r="2831" spans="1:19" x14ac:dyDescent="0.3">
      <c r="A2831" t="s">
        <v>3237</v>
      </c>
      <c r="B2831" t="s">
        <v>9684</v>
      </c>
      <c r="C2831" t="s">
        <v>10052</v>
      </c>
      <c r="D2831" t="s">
        <v>3251</v>
      </c>
      <c r="E2831" t="s">
        <v>5199</v>
      </c>
      <c r="F2831" t="s">
        <v>5200</v>
      </c>
      <c r="G2831" t="s">
        <v>5200</v>
      </c>
      <c r="H2831" t="s">
        <v>868</v>
      </c>
      <c r="I2831" t="s">
        <v>869</v>
      </c>
      <c r="J2831" t="str">
        <f>"9050375"</f>
        <v>9050375</v>
      </c>
      <c r="K2831">
        <v>2105819642</v>
      </c>
      <c r="L2831">
        <v>2105819642</v>
      </c>
      <c r="M2831" t="s">
        <v>10053</v>
      </c>
      <c r="N2831" t="s">
        <v>5203</v>
      </c>
      <c r="O2831" t="s">
        <v>10054</v>
      </c>
      <c r="P2831">
        <v>12461</v>
      </c>
      <c r="Q2831" t="str">
        <f>"38.009661"</f>
        <v>38.009661</v>
      </c>
      <c r="R2831" t="str">
        <f>"23.663598"</f>
        <v>23.663598</v>
      </c>
      <c r="S2831" t="s">
        <v>26</v>
      </c>
    </row>
    <row r="2832" spans="1:19" x14ac:dyDescent="0.3">
      <c r="A2832" t="s">
        <v>3237</v>
      </c>
      <c r="B2832" t="s">
        <v>9684</v>
      </c>
      <c r="C2832" t="s">
        <v>5447</v>
      </c>
      <c r="D2832" t="s">
        <v>3251</v>
      </c>
      <c r="E2832" t="s">
        <v>5171</v>
      </c>
      <c r="F2832" t="s">
        <v>5171</v>
      </c>
      <c r="G2832" t="s">
        <v>5171</v>
      </c>
      <c r="H2832" t="s">
        <v>868</v>
      </c>
      <c r="I2832" t="s">
        <v>869</v>
      </c>
      <c r="J2832" t="str">
        <f>"9050439"</f>
        <v>9050439</v>
      </c>
      <c r="K2832">
        <v>2105016763</v>
      </c>
      <c r="L2832">
        <v>2105016763</v>
      </c>
      <c r="M2832" t="s">
        <v>10055</v>
      </c>
      <c r="N2832" t="s">
        <v>5174</v>
      </c>
      <c r="O2832" t="s">
        <v>10056</v>
      </c>
      <c r="P2832">
        <v>13231</v>
      </c>
      <c r="Q2832" t="str">
        <f>"38.037273"</f>
        <v>38.037273</v>
      </c>
      <c r="R2832" t="str">
        <f>"23.682925"</f>
        <v>23.682925</v>
      </c>
      <c r="S2832" t="s">
        <v>26</v>
      </c>
    </row>
    <row r="2833" spans="1:19" x14ac:dyDescent="0.3">
      <c r="A2833" t="s">
        <v>3237</v>
      </c>
      <c r="B2833" t="s">
        <v>9684</v>
      </c>
      <c r="C2833" t="s">
        <v>10057</v>
      </c>
      <c r="D2833" t="s">
        <v>3251</v>
      </c>
      <c r="E2833" t="s">
        <v>3290</v>
      </c>
      <c r="F2833" t="s">
        <v>3290</v>
      </c>
      <c r="G2833" t="s">
        <v>3290</v>
      </c>
      <c r="H2833" t="s">
        <v>868</v>
      </c>
      <c r="I2833" t="s">
        <v>869</v>
      </c>
      <c r="J2833" t="str">
        <f>"9050426"</f>
        <v>9050426</v>
      </c>
      <c r="K2833">
        <v>2105018647</v>
      </c>
      <c r="L2833">
        <v>2105028036</v>
      </c>
      <c r="M2833" t="s">
        <v>10058</v>
      </c>
      <c r="N2833" t="s">
        <v>3293</v>
      </c>
      <c r="O2833" t="s">
        <v>9779</v>
      </c>
      <c r="P2833">
        <v>13121</v>
      </c>
      <c r="Q2833" t="str">
        <f>"38.030621"</f>
        <v>38.030621</v>
      </c>
      <c r="R2833" t="str">
        <f>"23.690909"</f>
        <v>23.690909</v>
      </c>
      <c r="S2833" t="s">
        <v>26</v>
      </c>
    </row>
    <row r="2834" spans="1:19" x14ac:dyDescent="0.3">
      <c r="A2834" t="s">
        <v>3237</v>
      </c>
      <c r="B2834" t="s">
        <v>9684</v>
      </c>
      <c r="C2834" t="s">
        <v>10059</v>
      </c>
      <c r="D2834" t="s">
        <v>3251</v>
      </c>
      <c r="E2834" t="s">
        <v>3252</v>
      </c>
      <c r="F2834" t="s">
        <v>3252</v>
      </c>
      <c r="G2834" t="s">
        <v>3252</v>
      </c>
      <c r="H2834" t="s">
        <v>868</v>
      </c>
      <c r="I2834" t="s">
        <v>869</v>
      </c>
      <c r="J2834" t="str">
        <f>"9050357"</f>
        <v>9050357</v>
      </c>
      <c r="K2834">
        <v>2105445174</v>
      </c>
      <c r="L2834">
        <v>2105445174</v>
      </c>
      <c r="M2834" t="s">
        <v>10060</v>
      </c>
      <c r="N2834" t="s">
        <v>3252</v>
      </c>
      <c r="O2834" t="s">
        <v>10061</v>
      </c>
      <c r="P2834">
        <v>12244</v>
      </c>
      <c r="Q2834" t="str">
        <f>"37.988696"</f>
        <v>37.988696</v>
      </c>
      <c r="R2834" t="str">
        <f>"23.675487"</f>
        <v>23.675487</v>
      </c>
      <c r="S2834" t="s">
        <v>26</v>
      </c>
    </row>
    <row r="2835" spans="1:19" x14ac:dyDescent="0.3">
      <c r="A2835" t="s">
        <v>3237</v>
      </c>
      <c r="B2835" t="s">
        <v>9684</v>
      </c>
      <c r="C2835" t="s">
        <v>5376</v>
      </c>
      <c r="D2835" t="s">
        <v>3251</v>
      </c>
      <c r="E2835" t="s">
        <v>3252</v>
      </c>
      <c r="F2835" t="s">
        <v>3252</v>
      </c>
      <c r="G2835" t="s">
        <v>3252</v>
      </c>
      <c r="H2835" t="s">
        <v>868</v>
      </c>
      <c r="I2835" t="s">
        <v>869</v>
      </c>
      <c r="J2835" t="str">
        <f>"9050353"</f>
        <v>9050353</v>
      </c>
      <c r="K2835">
        <v>2105900591</v>
      </c>
      <c r="M2835" t="s">
        <v>10062</v>
      </c>
      <c r="N2835" t="s">
        <v>3252</v>
      </c>
      <c r="O2835" t="s">
        <v>10063</v>
      </c>
      <c r="P2835">
        <v>12243</v>
      </c>
      <c r="Q2835" t="str">
        <f>"37.996985"</f>
        <v>37.996985</v>
      </c>
      <c r="R2835" t="str">
        <f>"23.676892"</f>
        <v>23.676892</v>
      </c>
      <c r="S2835" t="s">
        <v>26</v>
      </c>
    </row>
    <row r="2836" spans="1:19" x14ac:dyDescent="0.3">
      <c r="A2836" t="s">
        <v>3237</v>
      </c>
      <c r="B2836" t="s">
        <v>9684</v>
      </c>
      <c r="C2836" t="s">
        <v>10073</v>
      </c>
      <c r="D2836" t="s">
        <v>3251</v>
      </c>
      <c r="E2836" t="s">
        <v>5087</v>
      </c>
      <c r="F2836" t="s">
        <v>5087</v>
      </c>
      <c r="G2836" t="s">
        <v>5099</v>
      </c>
      <c r="H2836" t="s">
        <v>868</v>
      </c>
      <c r="I2836" t="s">
        <v>869</v>
      </c>
      <c r="J2836" t="str">
        <f>"9050900"</f>
        <v>9050900</v>
      </c>
      <c r="K2836">
        <v>2105733844</v>
      </c>
      <c r="L2836">
        <v>2105733844</v>
      </c>
      <c r="M2836" t="s">
        <v>10074</v>
      </c>
      <c r="N2836" t="s">
        <v>5102</v>
      </c>
      <c r="O2836" t="s">
        <v>9882</v>
      </c>
      <c r="P2836">
        <v>12136</v>
      </c>
      <c r="Q2836" t="str">
        <f>"38.012082"</f>
        <v>38.012082</v>
      </c>
      <c r="R2836" t="str">
        <f>"23.679360"</f>
        <v>23.679360</v>
      </c>
      <c r="S2836" t="s">
        <v>26</v>
      </c>
    </row>
    <row r="2837" spans="1:19" x14ac:dyDescent="0.3">
      <c r="A2837" t="s">
        <v>3237</v>
      </c>
      <c r="B2837" t="s">
        <v>9684</v>
      </c>
      <c r="C2837" t="s">
        <v>10075</v>
      </c>
      <c r="D2837" t="s">
        <v>3251</v>
      </c>
      <c r="E2837" t="s">
        <v>3290</v>
      </c>
      <c r="F2837" t="s">
        <v>3290</v>
      </c>
      <c r="G2837" t="s">
        <v>3290</v>
      </c>
      <c r="H2837" t="s">
        <v>868</v>
      </c>
      <c r="I2837" t="s">
        <v>869</v>
      </c>
      <c r="J2837" t="str">
        <f>"9050917"</f>
        <v>9050917</v>
      </c>
      <c r="K2837">
        <v>2102629276</v>
      </c>
      <c r="L2837">
        <v>2102629276</v>
      </c>
      <c r="M2837" t="s">
        <v>10076</v>
      </c>
      <c r="N2837" t="s">
        <v>3293</v>
      </c>
      <c r="O2837" t="s">
        <v>10077</v>
      </c>
      <c r="P2837">
        <v>13123</v>
      </c>
      <c r="Q2837" t="str">
        <f>"38.033807"</f>
        <v>38.033807</v>
      </c>
      <c r="R2837" t="str">
        <f>"23.698227"</f>
        <v>23.698227</v>
      </c>
      <c r="S2837" t="s">
        <v>26</v>
      </c>
    </row>
    <row r="2838" spans="1:19" x14ac:dyDescent="0.3">
      <c r="A2838" t="s">
        <v>3237</v>
      </c>
      <c r="B2838" t="s">
        <v>9684</v>
      </c>
      <c r="C2838" t="s">
        <v>10078</v>
      </c>
      <c r="D2838" t="s">
        <v>3251</v>
      </c>
      <c r="E2838" t="s">
        <v>5087</v>
      </c>
      <c r="F2838" t="s">
        <v>5087</v>
      </c>
      <c r="G2838" t="s">
        <v>5088</v>
      </c>
      <c r="H2838" t="s">
        <v>868</v>
      </c>
      <c r="I2838" t="s">
        <v>869</v>
      </c>
      <c r="J2838" t="str">
        <f>"9050395"</f>
        <v>9050395</v>
      </c>
      <c r="K2838">
        <v>2105715659</v>
      </c>
      <c r="L2838">
        <v>2105715659</v>
      </c>
      <c r="M2838" t="s">
        <v>10079</v>
      </c>
      <c r="N2838" t="s">
        <v>5102</v>
      </c>
      <c r="O2838" t="s">
        <v>10080</v>
      </c>
      <c r="P2838">
        <v>12135</v>
      </c>
      <c r="Q2838" t="str">
        <f>"38.022081"</f>
        <v>38.022081</v>
      </c>
      <c r="R2838" t="str">
        <f>"23.680510"</f>
        <v>23.680510</v>
      </c>
      <c r="S2838" t="s">
        <v>26</v>
      </c>
    </row>
    <row r="2839" spans="1:19" x14ac:dyDescent="0.3">
      <c r="A2839" t="s">
        <v>3237</v>
      </c>
      <c r="B2839" t="s">
        <v>9684</v>
      </c>
      <c r="C2839" t="s">
        <v>5223</v>
      </c>
      <c r="D2839" t="s">
        <v>3251</v>
      </c>
      <c r="E2839" t="s">
        <v>5162</v>
      </c>
      <c r="F2839" t="s">
        <v>5162</v>
      </c>
      <c r="G2839" t="s">
        <v>5162</v>
      </c>
      <c r="H2839" t="s">
        <v>868</v>
      </c>
      <c r="I2839" t="s">
        <v>869</v>
      </c>
      <c r="J2839" t="str">
        <f>"9050333"</f>
        <v>9050333</v>
      </c>
      <c r="K2839">
        <v>2105613623</v>
      </c>
      <c r="L2839">
        <v>2105613623</v>
      </c>
      <c r="M2839" t="s">
        <v>10081</v>
      </c>
      <c r="N2839" t="s">
        <v>5165</v>
      </c>
      <c r="O2839" t="s">
        <v>10082</v>
      </c>
      <c r="P2839">
        <v>12351</v>
      </c>
      <c r="Q2839" t="str">
        <f>"37.989891"</f>
        <v>37.989891</v>
      </c>
      <c r="R2839" t="str">
        <f>"23.657513"</f>
        <v>23.657513</v>
      </c>
      <c r="S2839" t="s">
        <v>26</v>
      </c>
    </row>
    <row r="2840" spans="1:19" x14ac:dyDescent="0.3">
      <c r="A2840" t="s">
        <v>3237</v>
      </c>
      <c r="B2840" t="s">
        <v>9684</v>
      </c>
      <c r="C2840" t="s">
        <v>10083</v>
      </c>
      <c r="D2840" t="s">
        <v>3251</v>
      </c>
      <c r="E2840" t="s">
        <v>5121</v>
      </c>
      <c r="F2840" t="s">
        <v>5127</v>
      </c>
      <c r="G2840" t="s">
        <v>5127</v>
      </c>
      <c r="H2840" t="s">
        <v>868</v>
      </c>
      <c r="I2840" t="s">
        <v>869</v>
      </c>
      <c r="J2840" t="str">
        <f>"9050964"</f>
        <v>9050964</v>
      </c>
      <c r="K2840">
        <v>2105055771</v>
      </c>
      <c r="L2840">
        <v>2105055771</v>
      </c>
      <c r="M2840" t="s">
        <v>10084</v>
      </c>
      <c r="N2840" t="s">
        <v>5130</v>
      </c>
      <c r="O2840" t="s">
        <v>10085</v>
      </c>
      <c r="P2840">
        <v>13451</v>
      </c>
      <c r="Q2840" t="str">
        <f>"38.051245"</f>
        <v>38.051245</v>
      </c>
      <c r="R2840" t="str">
        <f>"23.694418"</f>
        <v>23.694418</v>
      </c>
      <c r="S2840" t="s">
        <v>26</v>
      </c>
    </row>
    <row r="2841" spans="1:19" x14ac:dyDescent="0.3">
      <c r="A2841" t="s">
        <v>3237</v>
      </c>
      <c r="B2841" t="s">
        <v>9684</v>
      </c>
      <c r="C2841" t="s">
        <v>5262</v>
      </c>
      <c r="D2841" t="s">
        <v>3251</v>
      </c>
      <c r="E2841" t="s">
        <v>3252</v>
      </c>
      <c r="F2841" t="s">
        <v>3252</v>
      </c>
      <c r="G2841" t="s">
        <v>3252</v>
      </c>
      <c r="H2841" t="s">
        <v>868</v>
      </c>
      <c r="I2841" t="s">
        <v>869</v>
      </c>
      <c r="J2841" t="str">
        <f>"9050363"</f>
        <v>9050363</v>
      </c>
      <c r="K2841">
        <v>2105981574</v>
      </c>
      <c r="L2841">
        <v>2105981574</v>
      </c>
      <c r="M2841" t="s">
        <v>10086</v>
      </c>
      <c r="N2841" t="s">
        <v>3252</v>
      </c>
      <c r="O2841" t="s">
        <v>5261</v>
      </c>
      <c r="P2841">
        <v>12242</v>
      </c>
      <c r="Q2841" t="str">
        <f>"37.994329"</f>
        <v>37.994329</v>
      </c>
      <c r="R2841" t="str">
        <f>"23.691222"</f>
        <v>23.691222</v>
      </c>
      <c r="S2841" t="s">
        <v>26</v>
      </c>
    </row>
    <row r="2842" spans="1:19" x14ac:dyDescent="0.3">
      <c r="A2842" t="s">
        <v>3237</v>
      </c>
      <c r="B2842" t="s">
        <v>9684</v>
      </c>
      <c r="C2842" t="s">
        <v>10090</v>
      </c>
      <c r="D2842" t="s">
        <v>3251</v>
      </c>
      <c r="E2842" t="s">
        <v>3252</v>
      </c>
      <c r="F2842" t="s">
        <v>3252</v>
      </c>
      <c r="G2842" t="s">
        <v>3252</v>
      </c>
      <c r="H2842" t="s">
        <v>868</v>
      </c>
      <c r="I2842" t="s">
        <v>869</v>
      </c>
      <c r="J2842" t="str">
        <f>"9050361"</f>
        <v>9050361</v>
      </c>
      <c r="K2842">
        <v>2105981935</v>
      </c>
      <c r="L2842">
        <v>2105981935</v>
      </c>
      <c r="M2842" t="s">
        <v>10091</v>
      </c>
      <c r="N2842" t="s">
        <v>10092</v>
      </c>
      <c r="O2842" t="s">
        <v>10089</v>
      </c>
      <c r="P2842">
        <v>12243</v>
      </c>
      <c r="Q2842" t="str">
        <f>"38.000637"</f>
        <v>38.000637</v>
      </c>
      <c r="R2842" t="str">
        <f>"23.670394"</f>
        <v>23.670394</v>
      </c>
      <c r="S2842" t="s">
        <v>26</v>
      </c>
    </row>
    <row r="2843" spans="1:19" x14ac:dyDescent="0.3">
      <c r="A2843" t="s">
        <v>3237</v>
      </c>
      <c r="B2843" t="s">
        <v>9684</v>
      </c>
      <c r="C2843" t="s">
        <v>10093</v>
      </c>
      <c r="D2843" t="s">
        <v>3251</v>
      </c>
      <c r="E2843" t="s">
        <v>5199</v>
      </c>
      <c r="F2843" t="s">
        <v>5200</v>
      </c>
      <c r="G2843" t="s">
        <v>5200</v>
      </c>
      <c r="H2843" t="s">
        <v>868</v>
      </c>
      <c r="I2843" t="s">
        <v>869</v>
      </c>
      <c r="J2843" t="str">
        <f>"9050374"</f>
        <v>9050374</v>
      </c>
      <c r="K2843">
        <v>2105811277</v>
      </c>
      <c r="L2843">
        <v>2105811277</v>
      </c>
      <c r="M2843" t="s">
        <v>10094</v>
      </c>
      <c r="N2843" t="s">
        <v>5203</v>
      </c>
      <c r="O2843" t="s">
        <v>10095</v>
      </c>
      <c r="P2843">
        <v>12462</v>
      </c>
      <c r="Q2843" t="str">
        <f>"38.016053"</f>
        <v>38.016053</v>
      </c>
      <c r="R2843" t="str">
        <f>"23.633735"</f>
        <v>23.633735</v>
      </c>
      <c r="S2843" t="s">
        <v>26</v>
      </c>
    </row>
    <row r="2844" spans="1:19" x14ac:dyDescent="0.3">
      <c r="A2844" t="s">
        <v>3237</v>
      </c>
      <c r="B2844" t="s">
        <v>9684</v>
      </c>
      <c r="C2844" t="s">
        <v>5205</v>
      </c>
      <c r="D2844" t="s">
        <v>3251</v>
      </c>
      <c r="E2844" t="s">
        <v>5199</v>
      </c>
      <c r="F2844" t="s">
        <v>5200</v>
      </c>
      <c r="G2844" t="s">
        <v>5200</v>
      </c>
      <c r="H2844" t="s">
        <v>868</v>
      </c>
      <c r="I2844" t="s">
        <v>869</v>
      </c>
      <c r="J2844" t="str">
        <f>"9051153"</f>
        <v>9051153</v>
      </c>
      <c r="K2844">
        <v>2105818225</v>
      </c>
      <c r="L2844">
        <v>2105818225</v>
      </c>
      <c r="M2844" t="s">
        <v>10099</v>
      </c>
      <c r="N2844" t="s">
        <v>9743</v>
      </c>
      <c r="O2844" t="s">
        <v>10100</v>
      </c>
      <c r="P2844">
        <v>12461</v>
      </c>
      <c r="Q2844" t="str">
        <f>"38.016398"</f>
        <v>38.016398</v>
      </c>
      <c r="R2844" t="str">
        <f>"23.668791"</f>
        <v>23.668791</v>
      </c>
      <c r="S2844" t="s">
        <v>26</v>
      </c>
    </row>
    <row r="2845" spans="1:19" x14ac:dyDescent="0.3">
      <c r="A2845" t="s">
        <v>3237</v>
      </c>
      <c r="B2845" t="s">
        <v>9684</v>
      </c>
      <c r="C2845" t="s">
        <v>10115</v>
      </c>
      <c r="D2845" t="s">
        <v>3251</v>
      </c>
      <c r="E2845" t="s">
        <v>5121</v>
      </c>
      <c r="F2845" t="s">
        <v>5127</v>
      </c>
      <c r="G2845" t="s">
        <v>5127</v>
      </c>
      <c r="H2845" t="s">
        <v>868</v>
      </c>
      <c r="I2845" t="s">
        <v>869</v>
      </c>
      <c r="J2845" t="str">
        <f>"9051274"</f>
        <v>9051274</v>
      </c>
      <c r="K2845">
        <v>2102387570</v>
      </c>
      <c r="L2845">
        <v>2102387570</v>
      </c>
      <c r="M2845" t="s">
        <v>10116</v>
      </c>
      <c r="N2845" t="s">
        <v>10117</v>
      </c>
      <c r="O2845" t="s">
        <v>10118</v>
      </c>
      <c r="P2845">
        <v>13451</v>
      </c>
      <c r="Q2845" t="str">
        <f>"38.058640"</f>
        <v>38.058640</v>
      </c>
      <c r="R2845" t="str">
        <f>"23.720414"</f>
        <v>23.720414</v>
      </c>
      <c r="S2845" t="s">
        <v>26</v>
      </c>
    </row>
    <row r="2846" spans="1:19" x14ac:dyDescent="0.3">
      <c r="A2846" t="s">
        <v>3237</v>
      </c>
      <c r="B2846" t="s">
        <v>9684</v>
      </c>
      <c r="C2846" t="s">
        <v>5213</v>
      </c>
      <c r="D2846" t="s">
        <v>3251</v>
      </c>
      <c r="E2846" t="s">
        <v>5087</v>
      </c>
      <c r="F2846" t="s">
        <v>5087</v>
      </c>
      <c r="G2846" t="s">
        <v>5116</v>
      </c>
      <c r="H2846" t="s">
        <v>868</v>
      </c>
      <c r="I2846" t="s">
        <v>869</v>
      </c>
      <c r="J2846" t="str">
        <f>"9050398"</f>
        <v>9050398</v>
      </c>
      <c r="K2846">
        <v>2105717300</v>
      </c>
      <c r="L2846">
        <v>2105717300</v>
      </c>
      <c r="M2846" t="s">
        <v>10119</v>
      </c>
      <c r="N2846" t="s">
        <v>5102</v>
      </c>
      <c r="O2846" t="s">
        <v>10120</v>
      </c>
      <c r="P2846">
        <v>12133</v>
      </c>
      <c r="Q2846" t="str">
        <f>"38.020261"</f>
        <v>38.020261</v>
      </c>
      <c r="R2846" t="str">
        <f>"23.700166"</f>
        <v>23.700166</v>
      </c>
      <c r="S2846" t="s">
        <v>26</v>
      </c>
    </row>
    <row r="2847" spans="1:19" x14ac:dyDescent="0.3">
      <c r="A2847" t="s">
        <v>3237</v>
      </c>
      <c r="B2847" t="s">
        <v>9684</v>
      </c>
      <c r="C2847" t="s">
        <v>10163</v>
      </c>
      <c r="D2847" t="s">
        <v>3251</v>
      </c>
      <c r="E2847" t="s">
        <v>3252</v>
      </c>
      <c r="F2847" t="s">
        <v>3252</v>
      </c>
      <c r="G2847" t="s">
        <v>3252</v>
      </c>
      <c r="H2847" t="s">
        <v>868</v>
      </c>
      <c r="I2847" t="s">
        <v>869</v>
      </c>
      <c r="J2847" t="str">
        <f>"9050350"</f>
        <v>9050350</v>
      </c>
      <c r="K2847">
        <v>2105448444</v>
      </c>
      <c r="M2847" t="s">
        <v>10164</v>
      </c>
      <c r="N2847" t="s">
        <v>3252</v>
      </c>
      <c r="O2847" t="s">
        <v>10165</v>
      </c>
      <c r="P2847">
        <v>12444</v>
      </c>
      <c r="Q2847" t="str">
        <f>"37.991295"</f>
        <v>37.991295</v>
      </c>
      <c r="R2847" t="str">
        <f>"23.667469"</f>
        <v>23.667469</v>
      </c>
      <c r="S2847" t="s">
        <v>26</v>
      </c>
    </row>
    <row r="2848" spans="1:19" x14ac:dyDescent="0.3">
      <c r="A2848" t="s">
        <v>3237</v>
      </c>
      <c r="B2848" t="s">
        <v>9684</v>
      </c>
      <c r="C2848" t="s">
        <v>5250</v>
      </c>
      <c r="D2848" t="s">
        <v>3251</v>
      </c>
      <c r="E2848" t="s">
        <v>5087</v>
      </c>
      <c r="F2848" t="s">
        <v>5087</v>
      </c>
      <c r="G2848" t="s">
        <v>5088</v>
      </c>
      <c r="H2848" t="s">
        <v>868</v>
      </c>
      <c r="I2848" t="s">
        <v>869</v>
      </c>
      <c r="J2848" t="str">
        <f>"9051134"</f>
        <v>9051134</v>
      </c>
      <c r="K2848">
        <v>2105738067</v>
      </c>
      <c r="L2848">
        <v>2105738067</v>
      </c>
      <c r="M2848" t="s">
        <v>10169</v>
      </c>
      <c r="N2848" t="s">
        <v>5102</v>
      </c>
      <c r="O2848" t="s">
        <v>10170</v>
      </c>
      <c r="P2848">
        <v>12135</v>
      </c>
      <c r="Q2848" t="str">
        <f>"38.021473"</f>
        <v>38.021473</v>
      </c>
      <c r="R2848" t="str">
        <f>"23.680558"</f>
        <v>23.680558</v>
      </c>
      <c r="S2848" t="s">
        <v>26</v>
      </c>
    </row>
    <row r="2849" spans="1:19" x14ac:dyDescent="0.3">
      <c r="A2849" t="s">
        <v>3237</v>
      </c>
      <c r="B2849" t="s">
        <v>9684</v>
      </c>
      <c r="C2849" t="s">
        <v>5108</v>
      </c>
      <c r="D2849" t="s">
        <v>3251</v>
      </c>
      <c r="E2849" t="s">
        <v>3252</v>
      </c>
      <c r="F2849" t="s">
        <v>3252</v>
      </c>
      <c r="G2849" t="s">
        <v>3252</v>
      </c>
      <c r="H2849" t="s">
        <v>868</v>
      </c>
      <c r="I2849" t="s">
        <v>869</v>
      </c>
      <c r="J2849" t="str">
        <f>"9050347"</f>
        <v>9050347</v>
      </c>
      <c r="K2849">
        <v>2105611233</v>
      </c>
      <c r="L2849">
        <v>2105611233</v>
      </c>
      <c r="M2849" t="s">
        <v>10183</v>
      </c>
      <c r="N2849" t="s">
        <v>3252</v>
      </c>
      <c r="O2849" t="s">
        <v>9773</v>
      </c>
      <c r="P2849">
        <v>12241</v>
      </c>
      <c r="Q2849" t="str">
        <f>"37.982276"</f>
        <v>37.982276</v>
      </c>
      <c r="R2849" t="str">
        <f>"23.677100"</f>
        <v>23.677100</v>
      </c>
      <c r="S2849" t="s">
        <v>26</v>
      </c>
    </row>
    <row r="2850" spans="1:19" x14ac:dyDescent="0.3">
      <c r="A2850" t="s">
        <v>3237</v>
      </c>
      <c r="B2850" t="s">
        <v>9684</v>
      </c>
      <c r="C2850" t="s">
        <v>10184</v>
      </c>
      <c r="D2850" t="s">
        <v>3251</v>
      </c>
      <c r="E2850" t="s">
        <v>5171</v>
      </c>
      <c r="F2850" t="s">
        <v>5171</v>
      </c>
      <c r="G2850" t="s">
        <v>5171</v>
      </c>
      <c r="H2850" t="s">
        <v>868</v>
      </c>
      <c r="I2850" t="s">
        <v>869</v>
      </c>
      <c r="J2850" t="str">
        <f>"9051650"</f>
        <v>9051650</v>
      </c>
      <c r="K2850">
        <v>2105024001</v>
      </c>
      <c r="L2850">
        <v>2105014666</v>
      </c>
      <c r="M2850" t="s">
        <v>10185</v>
      </c>
      <c r="N2850" t="s">
        <v>5174</v>
      </c>
      <c r="O2850" t="s">
        <v>10186</v>
      </c>
      <c r="P2850">
        <v>13231</v>
      </c>
      <c r="Q2850" t="str">
        <f>"38.039567"</f>
        <v>38.039567</v>
      </c>
      <c r="R2850" t="str">
        <f>"23.685890"</f>
        <v>23.685890</v>
      </c>
      <c r="S2850" t="s">
        <v>26</v>
      </c>
    </row>
    <row r="2851" spans="1:19" x14ac:dyDescent="0.3">
      <c r="A2851" t="s">
        <v>3237</v>
      </c>
      <c r="B2851" t="s">
        <v>9684</v>
      </c>
      <c r="C2851" t="s">
        <v>5487</v>
      </c>
      <c r="D2851" t="s">
        <v>3251</v>
      </c>
      <c r="E2851" t="s">
        <v>5087</v>
      </c>
      <c r="F2851" t="s">
        <v>5087</v>
      </c>
      <c r="G2851" t="s">
        <v>5281</v>
      </c>
      <c r="H2851" t="s">
        <v>868</v>
      </c>
      <c r="I2851" t="s">
        <v>869</v>
      </c>
      <c r="J2851" t="str">
        <f>"9051130"</f>
        <v>9051130</v>
      </c>
      <c r="K2851">
        <v>2105739821</v>
      </c>
      <c r="L2851">
        <v>2105722923</v>
      </c>
      <c r="M2851" t="s">
        <v>10187</v>
      </c>
      <c r="N2851" t="s">
        <v>5102</v>
      </c>
      <c r="O2851" t="s">
        <v>10188</v>
      </c>
      <c r="P2851">
        <v>12131</v>
      </c>
      <c r="Q2851" t="str">
        <f>"38.003654"</f>
        <v>38.003654</v>
      </c>
      <c r="R2851" t="str">
        <f>"23.695589"</f>
        <v>23.695589</v>
      </c>
      <c r="S2851" t="s">
        <v>26</v>
      </c>
    </row>
    <row r="2852" spans="1:19" x14ac:dyDescent="0.3">
      <c r="A2852" t="s">
        <v>3237</v>
      </c>
      <c r="B2852" t="s">
        <v>9684</v>
      </c>
      <c r="C2852" t="s">
        <v>10189</v>
      </c>
      <c r="D2852" t="s">
        <v>3251</v>
      </c>
      <c r="E2852" t="s">
        <v>5171</v>
      </c>
      <c r="F2852" t="s">
        <v>5171</v>
      </c>
      <c r="G2852" t="s">
        <v>5171</v>
      </c>
      <c r="H2852" t="s">
        <v>868</v>
      </c>
      <c r="I2852" t="s">
        <v>869</v>
      </c>
      <c r="J2852" t="str">
        <f>"9050440"</f>
        <v>9050440</v>
      </c>
      <c r="K2852">
        <v>2105015408</v>
      </c>
      <c r="L2852">
        <v>2130293704</v>
      </c>
      <c r="M2852" t="s">
        <v>10190</v>
      </c>
      <c r="N2852" t="s">
        <v>5174</v>
      </c>
      <c r="O2852" t="s">
        <v>10191</v>
      </c>
      <c r="P2852">
        <v>13231</v>
      </c>
      <c r="Q2852" t="str">
        <f>"38.048722"</f>
        <v>38.048722</v>
      </c>
      <c r="R2852" t="str">
        <f>"23.682554"</f>
        <v>23.682554</v>
      </c>
      <c r="S2852" t="s">
        <v>26</v>
      </c>
    </row>
    <row r="2853" spans="1:19" x14ac:dyDescent="0.3">
      <c r="A2853" t="s">
        <v>3237</v>
      </c>
      <c r="B2853" t="s">
        <v>9684</v>
      </c>
      <c r="C2853" t="s">
        <v>5161</v>
      </c>
      <c r="D2853" t="s">
        <v>3251</v>
      </c>
      <c r="E2853" t="s">
        <v>5087</v>
      </c>
      <c r="F2853" t="s">
        <v>5087</v>
      </c>
      <c r="G2853" t="s">
        <v>5116</v>
      </c>
      <c r="H2853" t="s">
        <v>868</v>
      </c>
      <c r="I2853" t="s">
        <v>869</v>
      </c>
      <c r="J2853" t="str">
        <f>"9050407"</f>
        <v>9050407</v>
      </c>
      <c r="K2853">
        <v>2105712906</v>
      </c>
      <c r="L2853">
        <v>2105712906</v>
      </c>
      <c r="M2853" t="s">
        <v>10192</v>
      </c>
      <c r="N2853" t="s">
        <v>5102</v>
      </c>
      <c r="O2853" t="s">
        <v>10193</v>
      </c>
      <c r="P2853">
        <v>12133</v>
      </c>
      <c r="Q2853" t="str">
        <f>"38.014192"</f>
        <v>38.014192</v>
      </c>
      <c r="R2853" t="str">
        <f>"23.712665"</f>
        <v>23.712665</v>
      </c>
      <c r="S2853" t="s">
        <v>26</v>
      </c>
    </row>
    <row r="2854" spans="1:19" x14ac:dyDescent="0.3">
      <c r="A2854" t="s">
        <v>3237</v>
      </c>
      <c r="B2854" t="s">
        <v>9684</v>
      </c>
      <c r="C2854" t="s">
        <v>5369</v>
      </c>
      <c r="D2854" t="s">
        <v>3251</v>
      </c>
      <c r="E2854" t="s">
        <v>5199</v>
      </c>
      <c r="F2854" t="s">
        <v>5200</v>
      </c>
      <c r="G2854" t="s">
        <v>5200</v>
      </c>
      <c r="H2854" t="s">
        <v>868</v>
      </c>
      <c r="I2854" t="s">
        <v>869</v>
      </c>
      <c r="J2854" t="str">
        <f>"9050370"</f>
        <v>9050370</v>
      </c>
      <c r="K2854">
        <v>2105815208</v>
      </c>
      <c r="L2854">
        <v>2105815208</v>
      </c>
      <c r="M2854" t="s">
        <v>10200</v>
      </c>
      <c r="N2854" t="s">
        <v>5203</v>
      </c>
      <c r="O2854" t="s">
        <v>9951</v>
      </c>
      <c r="P2854">
        <v>12461</v>
      </c>
      <c r="Q2854" t="str">
        <f>"38.004757"</f>
        <v>38.004757</v>
      </c>
      <c r="R2854" t="str">
        <f>"23.656591"</f>
        <v>23.656591</v>
      </c>
      <c r="S2854" t="s">
        <v>26</v>
      </c>
    </row>
    <row r="2855" spans="1:19" x14ac:dyDescent="0.3">
      <c r="A2855" t="s">
        <v>3237</v>
      </c>
      <c r="B2855" t="s">
        <v>9684</v>
      </c>
      <c r="C2855" t="s">
        <v>10213</v>
      </c>
      <c r="D2855" t="s">
        <v>3251</v>
      </c>
      <c r="E2855" t="s">
        <v>5162</v>
      </c>
      <c r="F2855" t="s">
        <v>5162</v>
      </c>
      <c r="G2855" t="s">
        <v>5162</v>
      </c>
      <c r="H2855" t="s">
        <v>868</v>
      </c>
      <c r="I2855" t="s">
        <v>869</v>
      </c>
      <c r="J2855" t="str">
        <f>"9050334"</f>
        <v>9050334</v>
      </c>
      <c r="K2855">
        <v>2105611954</v>
      </c>
      <c r="L2855">
        <v>2105611954</v>
      </c>
      <c r="M2855" t="s">
        <v>10214</v>
      </c>
      <c r="N2855" t="s">
        <v>5165</v>
      </c>
      <c r="O2855" t="s">
        <v>10215</v>
      </c>
      <c r="P2855">
        <v>12351</v>
      </c>
      <c r="Q2855" t="str">
        <f>"37.994782"</f>
        <v>37.994782</v>
      </c>
      <c r="R2855" t="str">
        <f>"23.658303"</f>
        <v>23.658303</v>
      </c>
      <c r="S2855" t="s">
        <v>26</v>
      </c>
    </row>
    <row r="2856" spans="1:19" x14ac:dyDescent="0.3">
      <c r="A2856" t="s">
        <v>3237</v>
      </c>
      <c r="B2856" t="s">
        <v>9684</v>
      </c>
      <c r="C2856" t="s">
        <v>5266</v>
      </c>
      <c r="D2856" t="s">
        <v>3251</v>
      </c>
      <c r="E2856" t="s">
        <v>5087</v>
      </c>
      <c r="F2856" t="s">
        <v>5087</v>
      </c>
      <c r="G2856" t="s">
        <v>5116</v>
      </c>
      <c r="H2856" t="s">
        <v>868</v>
      </c>
      <c r="I2856" t="s">
        <v>869</v>
      </c>
      <c r="J2856" t="str">
        <f>"9050388"</f>
        <v>9050388</v>
      </c>
      <c r="K2856">
        <v>2105719337</v>
      </c>
      <c r="L2856">
        <v>2105719337</v>
      </c>
      <c r="M2856" t="s">
        <v>10229</v>
      </c>
      <c r="N2856" t="s">
        <v>5091</v>
      </c>
      <c r="O2856" t="s">
        <v>10230</v>
      </c>
      <c r="P2856">
        <v>12132</v>
      </c>
      <c r="Q2856" t="str">
        <f>"38.007537"</f>
        <v>38.007537</v>
      </c>
      <c r="R2856" t="str">
        <f>"23.708889"</f>
        <v>23.708889</v>
      </c>
      <c r="S2856" t="s">
        <v>26</v>
      </c>
    </row>
    <row r="2857" spans="1:19" x14ac:dyDescent="0.3">
      <c r="A2857" t="s">
        <v>3237</v>
      </c>
      <c r="B2857" t="s">
        <v>9684</v>
      </c>
      <c r="C2857" t="s">
        <v>5362</v>
      </c>
      <c r="D2857" t="s">
        <v>3251</v>
      </c>
      <c r="E2857" t="s">
        <v>3252</v>
      </c>
      <c r="F2857" t="s">
        <v>3252</v>
      </c>
      <c r="G2857" t="s">
        <v>3252</v>
      </c>
      <c r="H2857" t="s">
        <v>868</v>
      </c>
      <c r="I2857" t="s">
        <v>869</v>
      </c>
      <c r="J2857" t="str">
        <f>"9050355"</f>
        <v>9050355</v>
      </c>
      <c r="K2857">
        <v>2105610474</v>
      </c>
      <c r="L2857">
        <v>2105612180</v>
      </c>
      <c r="M2857" t="s">
        <v>10234</v>
      </c>
      <c r="N2857" t="s">
        <v>3252</v>
      </c>
      <c r="O2857" t="s">
        <v>10235</v>
      </c>
      <c r="P2857">
        <v>12241</v>
      </c>
      <c r="Q2857" t="str">
        <f>"37.989563"</f>
        <v>37.989563</v>
      </c>
      <c r="R2857" t="str">
        <f>"23.679152"</f>
        <v>23.679152</v>
      </c>
      <c r="S2857" t="s">
        <v>26</v>
      </c>
    </row>
    <row r="2858" spans="1:19" x14ac:dyDescent="0.3">
      <c r="A2858" t="s">
        <v>3237</v>
      </c>
      <c r="B2858" t="s">
        <v>9684</v>
      </c>
      <c r="C2858" t="s">
        <v>10245</v>
      </c>
      <c r="D2858" t="s">
        <v>3251</v>
      </c>
      <c r="E2858" t="s">
        <v>5121</v>
      </c>
      <c r="F2858" t="s">
        <v>5085</v>
      </c>
      <c r="G2858" t="s">
        <v>5085</v>
      </c>
      <c r="H2858" t="s">
        <v>868</v>
      </c>
      <c r="I2858" t="s">
        <v>869</v>
      </c>
      <c r="J2858" t="str">
        <f>"9050416"</f>
        <v>9050416</v>
      </c>
      <c r="K2858">
        <v>2102613219</v>
      </c>
      <c r="L2858">
        <v>2102613219</v>
      </c>
      <c r="M2858" t="s">
        <v>10246</v>
      </c>
      <c r="N2858" t="s">
        <v>5159</v>
      </c>
      <c r="O2858" t="s">
        <v>10247</v>
      </c>
      <c r="P2858">
        <v>13561</v>
      </c>
      <c r="Q2858" t="str">
        <f>"38.025702"</f>
        <v>38.025702</v>
      </c>
      <c r="R2858" t="str">
        <f>"23.714174"</f>
        <v>23.714174</v>
      </c>
      <c r="S2858" t="s">
        <v>26</v>
      </c>
    </row>
    <row r="2859" spans="1:19" x14ac:dyDescent="0.3">
      <c r="A2859" t="s">
        <v>3237</v>
      </c>
      <c r="B2859" t="s">
        <v>9684</v>
      </c>
      <c r="C2859" t="s">
        <v>5132</v>
      </c>
      <c r="D2859" t="s">
        <v>3251</v>
      </c>
      <c r="E2859" t="s">
        <v>5121</v>
      </c>
      <c r="F2859" t="s">
        <v>5127</v>
      </c>
      <c r="G2859" t="s">
        <v>5127</v>
      </c>
      <c r="H2859" t="s">
        <v>868</v>
      </c>
      <c r="I2859" t="s">
        <v>869</v>
      </c>
      <c r="J2859" t="str">
        <f>"9051779"</f>
        <v>9051779</v>
      </c>
      <c r="K2859">
        <v>2102380737</v>
      </c>
      <c r="L2859">
        <v>2102380737</v>
      </c>
      <c r="M2859" t="s">
        <v>10252</v>
      </c>
      <c r="N2859" t="s">
        <v>5130</v>
      </c>
      <c r="O2859" t="s">
        <v>10253</v>
      </c>
      <c r="P2859">
        <v>13451</v>
      </c>
      <c r="Q2859" t="str">
        <f>"38.056925"</f>
        <v>38.056925</v>
      </c>
      <c r="R2859" t="str">
        <f>"23.701436"</f>
        <v>23.701436</v>
      </c>
      <c r="S2859" t="s">
        <v>26</v>
      </c>
    </row>
    <row r="2860" spans="1:19" x14ac:dyDescent="0.3">
      <c r="A2860" t="s">
        <v>3237</v>
      </c>
      <c r="B2860" t="s">
        <v>9684</v>
      </c>
      <c r="C2860" t="s">
        <v>5086</v>
      </c>
      <c r="D2860" t="s">
        <v>3251</v>
      </c>
      <c r="E2860" t="s">
        <v>3290</v>
      </c>
      <c r="F2860" t="s">
        <v>3290</v>
      </c>
      <c r="G2860" t="s">
        <v>3290</v>
      </c>
      <c r="H2860" t="s">
        <v>868</v>
      </c>
      <c r="I2860" t="s">
        <v>869</v>
      </c>
      <c r="J2860" t="str">
        <f>"9050427"</f>
        <v>9050427</v>
      </c>
      <c r="K2860">
        <v>2105023440</v>
      </c>
      <c r="L2860">
        <v>2105023440</v>
      </c>
      <c r="M2860" t="s">
        <v>10257</v>
      </c>
      <c r="N2860" t="s">
        <v>3293</v>
      </c>
      <c r="O2860" t="s">
        <v>10258</v>
      </c>
      <c r="P2860">
        <v>13123</v>
      </c>
      <c r="Q2860" t="str">
        <f>"38.044919"</f>
        <v>38.044919</v>
      </c>
      <c r="R2860" t="str">
        <f>"23.696863"</f>
        <v>23.696863</v>
      </c>
      <c r="S2860" t="s">
        <v>26</v>
      </c>
    </row>
    <row r="2861" spans="1:19" x14ac:dyDescent="0.3">
      <c r="A2861" t="s">
        <v>3237</v>
      </c>
      <c r="B2861" t="s">
        <v>9684</v>
      </c>
      <c r="C2861" t="s">
        <v>5254</v>
      </c>
      <c r="D2861" t="s">
        <v>3251</v>
      </c>
      <c r="E2861" t="s">
        <v>5087</v>
      </c>
      <c r="F2861" t="s">
        <v>5087</v>
      </c>
      <c r="G2861" t="s">
        <v>5099</v>
      </c>
      <c r="H2861" t="s">
        <v>868</v>
      </c>
      <c r="I2861" t="s">
        <v>869</v>
      </c>
      <c r="J2861" t="str">
        <f>"9050387"</f>
        <v>9050387</v>
      </c>
      <c r="K2861">
        <v>2105719229</v>
      </c>
      <c r="L2861">
        <v>2105719229</v>
      </c>
      <c r="M2861" t="s">
        <v>10269</v>
      </c>
      <c r="N2861" t="s">
        <v>5102</v>
      </c>
      <c r="O2861" t="s">
        <v>9690</v>
      </c>
      <c r="P2861">
        <v>12137</v>
      </c>
      <c r="Q2861" t="str">
        <f>"38.016658"</f>
        <v>38.016658</v>
      </c>
      <c r="R2861" t="str">
        <f>"23.674914"</f>
        <v>23.674914</v>
      </c>
      <c r="S2861" t="s">
        <v>26</v>
      </c>
    </row>
    <row r="2862" spans="1:19" x14ac:dyDescent="0.3">
      <c r="A2862" t="s">
        <v>3237</v>
      </c>
      <c r="B2862" t="s">
        <v>9684</v>
      </c>
      <c r="C2862" t="s">
        <v>5136</v>
      </c>
      <c r="D2862" t="s">
        <v>3251</v>
      </c>
      <c r="E2862" t="s">
        <v>3290</v>
      </c>
      <c r="F2862" t="s">
        <v>3290</v>
      </c>
      <c r="G2862" t="s">
        <v>3290</v>
      </c>
      <c r="H2862" t="s">
        <v>868</v>
      </c>
      <c r="I2862" t="s">
        <v>869</v>
      </c>
      <c r="J2862" t="str">
        <f>"9051751"</f>
        <v>9051751</v>
      </c>
      <c r="K2862">
        <v>2102626256</v>
      </c>
      <c r="L2862">
        <v>2102626256</v>
      </c>
      <c r="M2862" t="s">
        <v>10277</v>
      </c>
      <c r="N2862" t="s">
        <v>3293</v>
      </c>
      <c r="O2862" t="s">
        <v>10278</v>
      </c>
      <c r="P2862">
        <v>13122</v>
      </c>
      <c r="Q2862" t="str">
        <f>"38.027319"</f>
        <v>38.027319</v>
      </c>
      <c r="R2862" t="str">
        <f>"23.712886"</f>
        <v>23.712886</v>
      </c>
      <c r="S2862" t="s">
        <v>26</v>
      </c>
    </row>
    <row r="2863" spans="1:19" x14ac:dyDescent="0.3">
      <c r="A2863" t="s">
        <v>3237</v>
      </c>
      <c r="B2863" t="s">
        <v>9684</v>
      </c>
      <c r="C2863" t="s">
        <v>5241</v>
      </c>
      <c r="D2863" t="s">
        <v>3251</v>
      </c>
      <c r="E2863" t="s">
        <v>5121</v>
      </c>
      <c r="F2863" t="s">
        <v>5127</v>
      </c>
      <c r="G2863" t="s">
        <v>5127</v>
      </c>
      <c r="H2863" t="s">
        <v>868</v>
      </c>
      <c r="I2863" t="s">
        <v>869</v>
      </c>
      <c r="J2863" t="str">
        <f>"9051149"</f>
        <v>9051149</v>
      </c>
      <c r="K2863">
        <v>2102313666</v>
      </c>
      <c r="L2863">
        <v>2102313666</v>
      </c>
      <c r="M2863" t="s">
        <v>10279</v>
      </c>
      <c r="N2863" t="s">
        <v>5130</v>
      </c>
      <c r="O2863" t="s">
        <v>10280</v>
      </c>
      <c r="P2863">
        <v>13451</v>
      </c>
      <c r="Q2863" t="str">
        <f>"38.049206"</f>
        <v>38.049206</v>
      </c>
      <c r="R2863" t="str">
        <f>"23.721909"</f>
        <v>23.721909</v>
      </c>
      <c r="S2863" t="s">
        <v>26</v>
      </c>
    </row>
    <row r="2864" spans="1:19" x14ac:dyDescent="0.3">
      <c r="A2864" t="s">
        <v>3237</v>
      </c>
      <c r="B2864" t="s">
        <v>9684</v>
      </c>
      <c r="C2864" t="s">
        <v>10281</v>
      </c>
      <c r="D2864" t="s">
        <v>3251</v>
      </c>
      <c r="E2864" t="s">
        <v>5087</v>
      </c>
      <c r="F2864" t="s">
        <v>5087</v>
      </c>
      <c r="G2864" t="s">
        <v>5116</v>
      </c>
      <c r="H2864" t="s">
        <v>868</v>
      </c>
      <c r="I2864" t="s">
        <v>869</v>
      </c>
      <c r="J2864" t="str">
        <f>"9051131"</f>
        <v>9051131</v>
      </c>
      <c r="K2864">
        <v>2105716958</v>
      </c>
      <c r="L2864">
        <v>2105716616</v>
      </c>
      <c r="M2864" t="s">
        <v>10282</v>
      </c>
      <c r="N2864" t="s">
        <v>5102</v>
      </c>
      <c r="O2864" t="s">
        <v>10283</v>
      </c>
      <c r="P2864">
        <v>12133</v>
      </c>
      <c r="Q2864" t="str">
        <f>"38.017938"</f>
        <v>38.017938</v>
      </c>
      <c r="R2864" t="str">
        <f>"23.706436"</f>
        <v>23.706436</v>
      </c>
      <c r="S2864" t="s">
        <v>26</v>
      </c>
    </row>
    <row r="2865" spans="1:19" x14ac:dyDescent="0.3">
      <c r="A2865" t="s">
        <v>3237</v>
      </c>
      <c r="B2865" t="s">
        <v>9684</v>
      </c>
      <c r="C2865" t="s">
        <v>10284</v>
      </c>
      <c r="D2865" t="s">
        <v>3251</v>
      </c>
      <c r="E2865" t="s">
        <v>5087</v>
      </c>
      <c r="F2865" t="s">
        <v>5087</v>
      </c>
      <c r="G2865" t="s">
        <v>5116</v>
      </c>
      <c r="H2865" t="s">
        <v>868</v>
      </c>
      <c r="I2865" t="s">
        <v>869</v>
      </c>
      <c r="J2865" t="str">
        <f>"9050380"</f>
        <v>9050380</v>
      </c>
      <c r="K2865">
        <v>2105712424</v>
      </c>
      <c r="L2865">
        <v>2105712424</v>
      </c>
      <c r="M2865" t="s">
        <v>10285</v>
      </c>
      <c r="N2865" t="s">
        <v>5102</v>
      </c>
      <c r="O2865" t="s">
        <v>10199</v>
      </c>
      <c r="P2865">
        <v>12133</v>
      </c>
      <c r="Q2865" t="str">
        <f>"38.017556"</f>
        <v>38.017556</v>
      </c>
      <c r="R2865" t="str">
        <f>"23.702962"</f>
        <v>23.702962</v>
      </c>
      <c r="S2865" t="s">
        <v>26</v>
      </c>
    </row>
    <row r="2866" spans="1:19" x14ac:dyDescent="0.3">
      <c r="A2866" t="s">
        <v>3237</v>
      </c>
      <c r="B2866" t="s">
        <v>9684</v>
      </c>
      <c r="C2866" t="s">
        <v>10295</v>
      </c>
      <c r="D2866" t="s">
        <v>3251</v>
      </c>
      <c r="E2866" t="s">
        <v>5087</v>
      </c>
      <c r="F2866" t="s">
        <v>5087</v>
      </c>
      <c r="G2866" t="s">
        <v>5088</v>
      </c>
      <c r="H2866" t="s">
        <v>868</v>
      </c>
      <c r="I2866" t="s">
        <v>869</v>
      </c>
      <c r="J2866" t="str">
        <f>"9050678"</f>
        <v>9050678</v>
      </c>
      <c r="K2866">
        <v>2105017021</v>
      </c>
      <c r="L2866">
        <v>2130433129</v>
      </c>
      <c r="M2866" t="s">
        <v>10296</v>
      </c>
      <c r="N2866" t="s">
        <v>5102</v>
      </c>
      <c r="O2866" t="s">
        <v>10297</v>
      </c>
      <c r="P2866">
        <v>12137</v>
      </c>
      <c r="Q2866" t="str">
        <f>"38.030363"</f>
        <v>38.030363</v>
      </c>
      <c r="R2866" t="str">
        <f>"23.671005"</f>
        <v>23.671005</v>
      </c>
      <c r="S2866" t="s">
        <v>26</v>
      </c>
    </row>
    <row r="2867" spans="1:19" x14ac:dyDescent="0.3">
      <c r="A2867" t="s">
        <v>3237</v>
      </c>
      <c r="B2867" t="s">
        <v>9684</v>
      </c>
      <c r="C2867" t="s">
        <v>5417</v>
      </c>
      <c r="D2867" t="s">
        <v>3251</v>
      </c>
      <c r="E2867" t="s">
        <v>5087</v>
      </c>
      <c r="F2867" t="s">
        <v>5087</v>
      </c>
      <c r="G2867" t="s">
        <v>5088</v>
      </c>
      <c r="H2867" t="s">
        <v>868</v>
      </c>
      <c r="I2867" t="s">
        <v>869</v>
      </c>
      <c r="J2867" t="str">
        <f>"9050384"</f>
        <v>9050384</v>
      </c>
      <c r="K2867">
        <v>2105713301</v>
      </c>
      <c r="L2867">
        <v>2105713301</v>
      </c>
      <c r="M2867" t="s">
        <v>10298</v>
      </c>
      <c r="N2867" t="s">
        <v>5102</v>
      </c>
      <c r="O2867" t="s">
        <v>10128</v>
      </c>
      <c r="P2867">
        <v>12135</v>
      </c>
      <c r="Q2867" t="str">
        <f>"38.020399"</f>
        <v>38.020399</v>
      </c>
      <c r="R2867" t="str">
        <f>"23.688657"</f>
        <v>23.688657</v>
      </c>
      <c r="S2867" t="s">
        <v>26</v>
      </c>
    </row>
    <row r="2868" spans="1:19" x14ac:dyDescent="0.3">
      <c r="A2868" t="s">
        <v>3237</v>
      </c>
      <c r="B2868" t="s">
        <v>9684</v>
      </c>
      <c r="C2868" t="s">
        <v>10299</v>
      </c>
      <c r="D2868" t="s">
        <v>3251</v>
      </c>
      <c r="E2868" t="s">
        <v>5087</v>
      </c>
      <c r="F2868" t="s">
        <v>5087</v>
      </c>
      <c r="G2868" t="s">
        <v>5116</v>
      </c>
      <c r="H2868" t="s">
        <v>868</v>
      </c>
      <c r="I2868" t="s">
        <v>869</v>
      </c>
      <c r="J2868" t="str">
        <f>"9050389"</f>
        <v>9050389</v>
      </c>
      <c r="K2868">
        <v>2105712330</v>
      </c>
      <c r="L2868">
        <v>2130453043</v>
      </c>
      <c r="M2868" t="s">
        <v>10300</v>
      </c>
      <c r="N2868" t="s">
        <v>5102</v>
      </c>
      <c r="O2868" t="s">
        <v>10301</v>
      </c>
      <c r="P2868">
        <v>12134</v>
      </c>
      <c r="Q2868" t="str">
        <f>"38.015188"</f>
        <v>38.015188</v>
      </c>
      <c r="R2868" t="str">
        <f>"23.696908"</f>
        <v>23.696908</v>
      </c>
      <c r="S2868" t="s">
        <v>26</v>
      </c>
    </row>
    <row r="2869" spans="1:19" x14ac:dyDescent="0.3">
      <c r="A2869" t="s">
        <v>3237</v>
      </c>
      <c r="B2869" t="s">
        <v>9684</v>
      </c>
      <c r="C2869" t="s">
        <v>10302</v>
      </c>
      <c r="D2869" t="s">
        <v>3251</v>
      </c>
      <c r="E2869" t="s">
        <v>5087</v>
      </c>
      <c r="F2869" t="s">
        <v>5087</v>
      </c>
      <c r="G2869" t="s">
        <v>5281</v>
      </c>
      <c r="H2869" t="s">
        <v>868</v>
      </c>
      <c r="I2869" t="s">
        <v>869</v>
      </c>
      <c r="J2869" t="str">
        <f>"9050400"</f>
        <v>9050400</v>
      </c>
      <c r="K2869">
        <v>2105711579</v>
      </c>
      <c r="L2869">
        <v>2105711579</v>
      </c>
      <c r="M2869" t="s">
        <v>10303</v>
      </c>
      <c r="N2869" t="s">
        <v>5102</v>
      </c>
      <c r="O2869" t="s">
        <v>10304</v>
      </c>
      <c r="P2869">
        <v>12131</v>
      </c>
      <c r="Q2869" t="str">
        <f>"38.004895"</f>
        <v>38.004895</v>
      </c>
      <c r="R2869" t="str">
        <f>"23.687992"</f>
        <v>23.687992</v>
      </c>
      <c r="S2869" t="s">
        <v>26</v>
      </c>
    </row>
    <row r="2870" spans="1:19" x14ac:dyDescent="0.3">
      <c r="A2870" t="s">
        <v>3237</v>
      </c>
      <c r="B2870" t="s">
        <v>9684</v>
      </c>
      <c r="C2870" t="s">
        <v>5194</v>
      </c>
      <c r="D2870" t="s">
        <v>3251</v>
      </c>
      <c r="E2870" t="s">
        <v>3290</v>
      </c>
      <c r="F2870" t="s">
        <v>3290</v>
      </c>
      <c r="G2870" t="s">
        <v>3290</v>
      </c>
      <c r="H2870" t="s">
        <v>868</v>
      </c>
      <c r="I2870" t="s">
        <v>869</v>
      </c>
      <c r="J2870" t="str">
        <f>"9050901"</f>
        <v>9050901</v>
      </c>
      <c r="K2870">
        <v>2102634180</v>
      </c>
      <c r="L2870">
        <v>2102631724</v>
      </c>
      <c r="M2870" t="s">
        <v>10307</v>
      </c>
      <c r="N2870" t="s">
        <v>3293</v>
      </c>
      <c r="O2870" t="s">
        <v>10308</v>
      </c>
      <c r="P2870">
        <v>13122</v>
      </c>
      <c r="Q2870" t="str">
        <f>"38.038939"</f>
        <v>38.038939</v>
      </c>
      <c r="R2870" t="str">
        <f>"23.707179"</f>
        <v>23.707179</v>
      </c>
      <c r="S2870" t="s">
        <v>26</v>
      </c>
    </row>
    <row r="2871" spans="1:19" x14ac:dyDescent="0.3">
      <c r="A2871" t="s">
        <v>3237</v>
      </c>
      <c r="B2871" t="s">
        <v>9684</v>
      </c>
      <c r="C2871" t="s">
        <v>5246</v>
      </c>
      <c r="D2871" t="s">
        <v>3251</v>
      </c>
      <c r="E2871" t="s">
        <v>5121</v>
      </c>
      <c r="F2871" t="s">
        <v>5085</v>
      </c>
      <c r="G2871" t="s">
        <v>5085</v>
      </c>
      <c r="H2871" t="s">
        <v>868</v>
      </c>
      <c r="I2871" t="s">
        <v>869</v>
      </c>
      <c r="J2871" t="str">
        <f>"9050413"</f>
        <v>9050413</v>
      </c>
      <c r="K2871">
        <v>2102611479</v>
      </c>
      <c r="L2871">
        <v>102611479</v>
      </c>
      <c r="M2871" t="s">
        <v>10309</v>
      </c>
      <c r="N2871" t="s">
        <v>5159</v>
      </c>
      <c r="O2871" t="s">
        <v>10310</v>
      </c>
      <c r="P2871">
        <v>13561</v>
      </c>
      <c r="Q2871" t="str">
        <f>"38.027602"</f>
        <v>38.027602</v>
      </c>
      <c r="R2871" t="str">
        <f>"23.723449"</f>
        <v>23.723449</v>
      </c>
      <c r="S2871" t="s">
        <v>26</v>
      </c>
    </row>
    <row r="2872" spans="1:19" x14ac:dyDescent="0.3">
      <c r="A2872" t="s">
        <v>3237</v>
      </c>
      <c r="B2872" t="s">
        <v>9684</v>
      </c>
      <c r="C2872" t="s">
        <v>5269</v>
      </c>
      <c r="D2872" t="s">
        <v>3251</v>
      </c>
      <c r="E2872" t="s">
        <v>3252</v>
      </c>
      <c r="F2872" t="s">
        <v>3252</v>
      </c>
      <c r="G2872" t="s">
        <v>3252</v>
      </c>
      <c r="H2872" t="s">
        <v>868</v>
      </c>
      <c r="I2872" t="s">
        <v>869</v>
      </c>
      <c r="J2872" t="str">
        <f>"9050367"</f>
        <v>9050367</v>
      </c>
      <c r="K2872">
        <v>2105315835</v>
      </c>
      <c r="L2872">
        <v>2105315835</v>
      </c>
      <c r="M2872" t="s">
        <v>10311</v>
      </c>
      <c r="N2872" t="s">
        <v>3252</v>
      </c>
      <c r="O2872" t="s">
        <v>10312</v>
      </c>
      <c r="P2872">
        <v>12244</v>
      </c>
      <c r="Q2872" t="str">
        <f>"37.995238"</f>
        <v>37.995238</v>
      </c>
      <c r="R2872" t="str">
        <f>"23.669788"</f>
        <v>23.669788</v>
      </c>
      <c r="S2872" t="s">
        <v>26</v>
      </c>
    </row>
    <row r="2873" spans="1:19" x14ac:dyDescent="0.3">
      <c r="A2873" t="s">
        <v>3237</v>
      </c>
      <c r="B2873" t="s">
        <v>9684</v>
      </c>
      <c r="C2873" t="s">
        <v>10313</v>
      </c>
      <c r="D2873" t="s">
        <v>3251</v>
      </c>
      <c r="E2873" t="s">
        <v>3290</v>
      </c>
      <c r="F2873" t="s">
        <v>3290</v>
      </c>
      <c r="G2873" t="s">
        <v>3290</v>
      </c>
      <c r="H2873" t="s">
        <v>868</v>
      </c>
      <c r="I2873" t="s">
        <v>1157</v>
      </c>
      <c r="J2873" t="str">
        <f>"9050912"</f>
        <v>9050912</v>
      </c>
      <c r="K2873">
        <v>2102625172</v>
      </c>
      <c r="L2873">
        <v>2102625170</v>
      </c>
      <c r="M2873" t="s">
        <v>10314</v>
      </c>
      <c r="N2873" t="s">
        <v>3293</v>
      </c>
      <c r="O2873" t="s">
        <v>10315</v>
      </c>
      <c r="P2873">
        <v>13121</v>
      </c>
      <c r="Q2873" t="str">
        <f>"38.027318"</f>
        <v>38.027318</v>
      </c>
      <c r="R2873" t="str">
        <f>"23.697084"</f>
        <v>23.697084</v>
      </c>
      <c r="S2873" t="s">
        <v>26</v>
      </c>
    </row>
    <row r="2874" spans="1:19" x14ac:dyDescent="0.3">
      <c r="A2874" t="s">
        <v>3237</v>
      </c>
      <c r="B2874" t="s">
        <v>9684</v>
      </c>
      <c r="C2874" t="s">
        <v>5315</v>
      </c>
      <c r="D2874" t="s">
        <v>3251</v>
      </c>
      <c r="E2874" t="s">
        <v>5087</v>
      </c>
      <c r="F2874" t="s">
        <v>5087</v>
      </c>
      <c r="G2874" t="s">
        <v>5116</v>
      </c>
      <c r="H2874" t="s">
        <v>868</v>
      </c>
      <c r="I2874" t="s">
        <v>869</v>
      </c>
      <c r="J2874" t="str">
        <f>"9050381"</f>
        <v>9050381</v>
      </c>
      <c r="K2874">
        <v>2105712669</v>
      </c>
      <c r="L2874">
        <v>2105712668</v>
      </c>
      <c r="M2874" t="s">
        <v>10318</v>
      </c>
      <c r="N2874" t="s">
        <v>5102</v>
      </c>
      <c r="O2874" t="s">
        <v>10319</v>
      </c>
      <c r="P2874">
        <v>12132</v>
      </c>
      <c r="Q2874" t="str">
        <f>"38.012603"</f>
        <v>38.012603</v>
      </c>
      <c r="R2874" t="str">
        <f>"23.702246"</f>
        <v>23.702246</v>
      </c>
      <c r="S2874" t="s">
        <v>26</v>
      </c>
    </row>
    <row r="2875" spans="1:19" x14ac:dyDescent="0.3">
      <c r="A2875" t="s">
        <v>3237</v>
      </c>
      <c r="B2875" t="s">
        <v>9684</v>
      </c>
      <c r="C2875" t="s">
        <v>10320</v>
      </c>
      <c r="D2875" t="s">
        <v>3251</v>
      </c>
      <c r="E2875" t="s">
        <v>3290</v>
      </c>
      <c r="F2875" t="s">
        <v>3290</v>
      </c>
      <c r="G2875" t="s">
        <v>3290</v>
      </c>
      <c r="H2875" t="s">
        <v>868</v>
      </c>
      <c r="I2875" t="s">
        <v>869</v>
      </c>
      <c r="J2875" t="str">
        <f>"9050424"</f>
        <v>9050424</v>
      </c>
      <c r="K2875">
        <v>2102611633</v>
      </c>
      <c r="L2875">
        <v>2102611633</v>
      </c>
      <c r="M2875" t="s">
        <v>10321</v>
      </c>
      <c r="N2875" t="s">
        <v>3293</v>
      </c>
      <c r="O2875" t="s">
        <v>10322</v>
      </c>
      <c r="P2875">
        <v>13122</v>
      </c>
      <c r="Q2875" t="str">
        <f>"38.023857"</f>
        <v>38.023857</v>
      </c>
      <c r="R2875" t="str">
        <f>"23.709712"</f>
        <v>23.709712</v>
      </c>
      <c r="S2875" t="s">
        <v>26</v>
      </c>
    </row>
    <row r="2876" spans="1:19" x14ac:dyDescent="0.3">
      <c r="A2876" t="s">
        <v>3237</v>
      </c>
      <c r="B2876" t="s">
        <v>9684</v>
      </c>
      <c r="C2876" t="s">
        <v>5198</v>
      </c>
      <c r="D2876" t="s">
        <v>3251</v>
      </c>
      <c r="E2876" t="s">
        <v>3290</v>
      </c>
      <c r="F2876" t="s">
        <v>3290</v>
      </c>
      <c r="G2876" t="s">
        <v>3290</v>
      </c>
      <c r="H2876" t="s">
        <v>868</v>
      </c>
      <c r="I2876" t="s">
        <v>869</v>
      </c>
      <c r="J2876" t="str">
        <f>"9051750"</f>
        <v>9051750</v>
      </c>
      <c r="K2876">
        <v>2105011000</v>
      </c>
      <c r="L2876">
        <v>2105011000</v>
      </c>
      <c r="M2876" t="s">
        <v>10323</v>
      </c>
      <c r="N2876" t="s">
        <v>3293</v>
      </c>
      <c r="O2876" t="s">
        <v>10324</v>
      </c>
      <c r="P2876">
        <v>13123</v>
      </c>
      <c r="Q2876" t="str">
        <f>"38.045529"</f>
        <v>38.045529</v>
      </c>
      <c r="R2876" t="str">
        <f>"23.699652"</f>
        <v>23.699652</v>
      </c>
      <c r="S2876" t="s">
        <v>26</v>
      </c>
    </row>
    <row r="2877" spans="1:19" x14ac:dyDescent="0.3">
      <c r="A2877" t="s">
        <v>3237</v>
      </c>
      <c r="B2877" t="s">
        <v>9684</v>
      </c>
      <c r="C2877" t="s">
        <v>5237</v>
      </c>
      <c r="D2877" t="s">
        <v>3251</v>
      </c>
      <c r="E2877" t="s">
        <v>5121</v>
      </c>
      <c r="F2877" t="s">
        <v>5085</v>
      </c>
      <c r="G2877" t="s">
        <v>5085</v>
      </c>
      <c r="H2877" t="s">
        <v>868</v>
      </c>
      <c r="I2877" t="s">
        <v>869</v>
      </c>
      <c r="J2877" t="str">
        <f>"9050418"</f>
        <v>9050418</v>
      </c>
      <c r="K2877">
        <v>2108329376</v>
      </c>
      <c r="L2877">
        <v>2108329700</v>
      </c>
      <c r="M2877" t="s">
        <v>10328</v>
      </c>
      <c r="N2877" t="s">
        <v>5159</v>
      </c>
      <c r="O2877" t="s">
        <v>10329</v>
      </c>
      <c r="P2877">
        <v>13561</v>
      </c>
      <c r="Q2877" t="str">
        <f>"38.021159"</f>
        <v>38.021159</v>
      </c>
      <c r="R2877" t="str">
        <f>"23.719002"</f>
        <v>23.719002</v>
      </c>
      <c r="S2877" t="s">
        <v>26</v>
      </c>
    </row>
    <row r="2878" spans="1:19" x14ac:dyDescent="0.3">
      <c r="A2878" t="s">
        <v>3237</v>
      </c>
      <c r="B2878" t="s">
        <v>9684</v>
      </c>
      <c r="C2878" t="s">
        <v>10330</v>
      </c>
      <c r="D2878" t="s">
        <v>3251</v>
      </c>
      <c r="E2878" t="s">
        <v>3290</v>
      </c>
      <c r="F2878" t="s">
        <v>3290</v>
      </c>
      <c r="G2878" t="s">
        <v>3290</v>
      </c>
      <c r="H2878" t="s">
        <v>868</v>
      </c>
      <c r="I2878" t="s">
        <v>869</v>
      </c>
      <c r="J2878" t="str">
        <f>"9050432"</f>
        <v>9050432</v>
      </c>
      <c r="K2878">
        <v>2105028035</v>
      </c>
      <c r="L2878">
        <v>2105028035</v>
      </c>
      <c r="M2878" t="s">
        <v>10331</v>
      </c>
      <c r="N2878" t="s">
        <v>3293</v>
      </c>
      <c r="O2878" t="s">
        <v>10332</v>
      </c>
      <c r="P2878">
        <v>13121</v>
      </c>
      <c r="Q2878" t="str">
        <f>"38.030067"</f>
        <v>38.030067</v>
      </c>
      <c r="R2878" t="str">
        <f>"23.691645"</f>
        <v>23.691645</v>
      </c>
      <c r="S2878" t="s">
        <v>26</v>
      </c>
    </row>
    <row r="2879" spans="1:19" x14ac:dyDescent="0.3">
      <c r="A2879" t="s">
        <v>3237</v>
      </c>
      <c r="B2879" t="s">
        <v>9684</v>
      </c>
      <c r="C2879" t="s">
        <v>5352</v>
      </c>
      <c r="D2879" t="s">
        <v>3251</v>
      </c>
      <c r="E2879" t="s">
        <v>5121</v>
      </c>
      <c r="F2879" t="s">
        <v>5085</v>
      </c>
      <c r="G2879" t="s">
        <v>5085</v>
      </c>
      <c r="H2879" t="s">
        <v>868</v>
      </c>
      <c r="I2879" t="s">
        <v>869</v>
      </c>
      <c r="J2879" t="str">
        <f>"9050415"</f>
        <v>9050415</v>
      </c>
      <c r="K2879">
        <v>2102611305</v>
      </c>
      <c r="L2879">
        <v>2102611305</v>
      </c>
      <c r="M2879" t="s">
        <v>10333</v>
      </c>
      <c r="N2879" t="s">
        <v>10334</v>
      </c>
      <c r="O2879" t="s">
        <v>10335</v>
      </c>
      <c r="P2879">
        <v>13562</v>
      </c>
      <c r="Q2879" t="str">
        <f>"38.035807"</f>
        <v>38.035807</v>
      </c>
      <c r="R2879" t="str">
        <f>"23.728997"</f>
        <v>23.728997</v>
      </c>
      <c r="S2879" t="s">
        <v>26</v>
      </c>
    </row>
    <row r="2880" spans="1:19" x14ac:dyDescent="0.3">
      <c r="A2880" t="s">
        <v>3237</v>
      </c>
      <c r="B2880" t="s">
        <v>9684</v>
      </c>
      <c r="C2880" t="s">
        <v>5126</v>
      </c>
      <c r="D2880" t="s">
        <v>3251</v>
      </c>
      <c r="E2880" t="s">
        <v>5087</v>
      </c>
      <c r="F2880" t="s">
        <v>5087</v>
      </c>
      <c r="G2880" t="s">
        <v>5116</v>
      </c>
      <c r="H2880" t="s">
        <v>868</v>
      </c>
      <c r="I2880" t="s">
        <v>869</v>
      </c>
      <c r="J2880" t="str">
        <f>"9051747"</f>
        <v>9051747</v>
      </c>
      <c r="K2880">
        <v>2105759750</v>
      </c>
      <c r="L2880">
        <v>2105759750</v>
      </c>
      <c r="M2880" t="s">
        <v>10336</v>
      </c>
      <c r="N2880" t="s">
        <v>5102</v>
      </c>
      <c r="O2880" t="s">
        <v>10337</v>
      </c>
      <c r="P2880">
        <v>12133</v>
      </c>
      <c r="Q2880" t="str">
        <f>"38.012736"</f>
        <v>38.012736</v>
      </c>
      <c r="R2880" t="str">
        <f>"23.713471"</f>
        <v>23.713471</v>
      </c>
      <c r="S2880" t="s">
        <v>26</v>
      </c>
    </row>
    <row r="2881" spans="1:19" x14ac:dyDescent="0.3">
      <c r="A2881" t="s">
        <v>3237</v>
      </c>
      <c r="B2881" t="s">
        <v>9684</v>
      </c>
      <c r="C2881" t="s">
        <v>5098</v>
      </c>
      <c r="D2881" t="s">
        <v>3251</v>
      </c>
      <c r="E2881" t="s">
        <v>3290</v>
      </c>
      <c r="F2881" t="s">
        <v>3290</v>
      </c>
      <c r="G2881" t="s">
        <v>3290</v>
      </c>
      <c r="H2881" t="s">
        <v>868</v>
      </c>
      <c r="I2881" t="s">
        <v>869</v>
      </c>
      <c r="J2881" t="str">
        <f>"9050423"</f>
        <v>9050423</v>
      </c>
      <c r="K2881">
        <v>2102611930</v>
      </c>
      <c r="L2881">
        <v>2102611930</v>
      </c>
      <c r="M2881" t="s">
        <v>10338</v>
      </c>
      <c r="N2881" t="s">
        <v>3293</v>
      </c>
      <c r="O2881" t="s">
        <v>10339</v>
      </c>
      <c r="P2881">
        <v>13122</v>
      </c>
      <c r="Q2881" t="str">
        <f>"38.029832"</f>
        <v>38.029832</v>
      </c>
      <c r="R2881" t="str">
        <f>"23.704827"</f>
        <v>23.704827</v>
      </c>
      <c r="S2881" t="s">
        <v>26</v>
      </c>
    </row>
    <row r="2882" spans="1:19" x14ac:dyDescent="0.3">
      <c r="A2882" t="s">
        <v>3237</v>
      </c>
      <c r="B2882" t="s">
        <v>9684</v>
      </c>
      <c r="C2882" t="s">
        <v>10343</v>
      </c>
      <c r="D2882" t="s">
        <v>3251</v>
      </c>
      <c r="E2882" t="s">
        <v>5162</v>
      </c>
      <c r="F2882" t="s">
        <v>5162</v>
      </c>
      <c r="G2882" t="s">
        <v>5162</v>
      </c>
      <c r="H2882" t="s">
        <v>868</v>
      </c>
      <c r="I2882" t="s">
        <v>869</v>
      </c>
      <c r="J2882" t="str">
        <f>"9050339"</f>
        <v>9050339</v>
      </c>
      <c r="K2882">
        <v>2105614785</v>
      </c>
      <c r="M2882" t="s">
        <v>10344</v>
      </c>
      <c r="N2882" t="s">
        <v>5165</v>
      </c>
      <c r="O2882" t="s">
        <v>10345</v>
      </c>
      <c r="P2882">
        <v>12351</v>
      </c>
      <c r="Q2882" t="str">
        <f>"37.986083"</f>
        <v>37.986083</v>
      </c>
      <c r="R2882" t="str">
        <f>"23.662684"</f>
        <v>23.662684</v>
      </c>
      <c r="S2882" t="s">
        <v>26</v>
      </c>
    </row>
    <row r="2883" spans="1:19" x14ac:dyDescent="0.3">
      <c r="A2883" t="s">
        <v>3237</v>
      </c>
      <c r="B2883" t="s">
        <v>9684</v>
      </c>
      <c r="C2883" t="s">
        <v>5483</v>
      </c>
      <c r="D2883" t="s">
        <v>3251</v>
      </c>
      <c r="E2883" t="s">
        <v>5087</v>
      </c>
      <c r="F2883" t="s">
        <v>5087</v>
      </c>
      <c r="G2883" t="s">
        <v>5099</v>
      </c>
      <c r="H2883" t="s">
        <v>868</v>
      </c>
      <c r="I2883" t="s">
        <v>869</v>
      </c>
      <c r="J2883" t="str">
        <f>"9050382"</f>
        <v>9050382</v>
      </c>
      <c r="K2883">
        <v>2105712311</v>
      </c>
      <c r="L2883">
        <v>2105712311</v>
      </c>
      <c r="M2883" t="s">
        <v>10349</v>
      </c>
      <c r="N2883" t="s">
        <v>5102</v>
      </c>
      <c r="O2883" t="s">
        <v>10350</v>
      </c>
      <c r="P2883">
        <v>12136</v>
      </c>
      <c r="Q2883" t="str">
        <f>"38.014798"</f>
        <v>38.014798</v>
      </c>
      <c r="R2883" t="str">
        <f>"23.680722"</f>
        <v>23.680722</v>
      </c>
      <c r="S2883" t="s">
        <v>26</v>
      </c>
    </row>
    <row r="2884" spans="1:19" x14ac:dyDescent="0.3">
      <c r="A2884" t="s">
        <v>3237</v>
      </c>
      <c r="B2884" t="s">
        <v>9684</v>
      </c>
      <c r="C2884" t="s">
        <v>5296</v>
      </c>
      <c r="D2884" t="s">
        <v>3251</v>
      </c>
      <c r="E2884" t="s">
        <v>3290</v>
      </c>
      <c r="F2884" t="s">
        <v>3290</v>
      </c>
      <c r="G2884" t="s">
        <v>3290</v>
      </c>
      <c r="H2884" t="s">
        <v>868</v>
      </c>
      <c r="I2884" t="s">
        <v>869</v>
      </c>
      <c r="J2884" t="str">
        <f>"9051143"</f>
        <v>9051143</v>
      </c>
      <c r="K2884">
        <v>2102626737</v>
      </c>
      <c r="L2884">
        <v>2102626737</v>
      </c>
      <c r="M2884" t="s">
        <v>10351</v>
      </c>
      <c r="N2884" t="s">
        <v>3293</v>
      </c>
      <c r="O2884" t="s">
        <v>10352</v>
      </c>
      <c r="P2884">
        <v>13122</v>
      </c>
      <c r="Q2884" t="str">
        <f>"38.043721"</f>
        <v>38.043721</v>
      </c>
      <c r="R2884" t="str">
        <f>"23.708260"</f>
        <v>23.708260</v>
      </c>
      <c r="S2884" t="s">
        <v>26</v>
      </c>
    </row>
    <row r="2885" spans="1:19" x14ac:dyDescent="0.3">
      <c r="A2885" t="s">
        <v>3237</v>
      </c>
      <c r="B2885" t="s">
        <v>9684</v>
      </c>
      <c r="C2885" t="s">
        <v>10358</v>
      </c>
      <c r="D2885" t="s">
        <v>3251</v>
      </c>
      <c r="E2885" t="s">
        <v>3290</v>
      </c>
      <c r="F2885" t="s">
        <v>3290</v>
      </c>
      <c r="G2885" t="s">
        <v>3290</v>
      </c>
      <c r="H2885" t="s">
        <v>868</v>
      </c>
      <c r="I2885" t="s">
        <v>869</v>
      </c>
      <c r="J2885" t="str">
        <f>"9050431"</f>
        <v>9050431</v>
      </c>
      <c r="K2885">
        <v>2102630249</v>
      </c>
      <c r="L2885">
        <v>2102630249</v>
      </c>
      <c r="M2885" t="s">
        <v>10359</v>
      </c>
      <c r="N2885" t="s">
        <v>3293</v>
      </c>
      <c r="O2885" t="s">
        <v>10106</v>
      </c>
      <c r="P2885">
        <v>13121</v>
      </c>
      <c r="Q2885" t="str">
        <f>"38.023747"</f>
        <v>38.023747</v>
      </c>
      <c r="R2885" t="str">
        <f>"23.702694"</f>
        <v>23.702694</v>
      </c>
      <c r="S2885" t="s">
        <v>26</v>
      </c>
    </row>
    <row r="2886" spans="1:19" x14ac:dyDescent="0.3">
      <c r="A2886" t="s">
        <v>3237</v>
      </c>
      <c r="B2886" t="s">
        <v>9684</v>
      </c>
      <c r="C2886" t="s">
        <v>10365</v>
      </c>
      <c r="D2886" t="s">
        <v>3251</v>
      </c>
      <c r="E2886" t="s">
        <v>5087</v>
      </c>
      <c r="F2886" t="s">
        <v>5087</v>
      </c>
      <c r="G2886" t="s">
        <v>5099</v>
      </c>
      <c r="H2886" t="s">
        <v>868</v>
      </c>
      <c r="I2886" t="s">
        <v>869</v>
      </c>
      <c r="J2886" t="str">
        <f>"9050402"</f>
        <v>9050402</v>
      </c>
      <c r="K2886">
        <v>2105726586</v>
      </c>
      <c r="L2886">
        <v>2105726586</v>
      </c>
      <c r="M2886" t="s">
        <v>10366</v>
      </c>
      <c r="N2886" t="s">
        <v>5102</v>
      </c>
      <c r="O2886" t="s">
        <v>10072</v>
      </c>
      <c r="P2886">
        <v>12137</v>
      </c>
      <c r="Q2886" t="str">
        <f>"38.020250"</f>
        <v>38.020250</v>
      </c>
      <c r="R2886" t="str">
        <f>"23.676354"</f>
        <v>23.676354</v>
      </c>
      <c r="S2886" t="s">
        <v>26</v>
      </c>
    </row>
    <row r="2887" spans="1:19" x14ac:dyDescent="0.3">
      <c r="A2887" t="s">
        <v>3237</v>
      </c>
      <c r="B2887" t="s">
        <v>9684</v>
      </c>
      <c r="C2887" t="s">
        <v>5341</v>
      </c>
      <c r="D2887" t="s">
        <v>3251</v>
      </c>
      <c r="E2887" t="s">
        <v>5171</v>
      </c>
      <c r="F2887" t="s">
        <v>5171</v>
      </c>
      <c r="G2887" t="s">
        <v>5171</v>
      </c>
      <c r="H2887" t="s">
        <v>868</v>
      </c>
      <c r="I2887" t="s">
        <v>869</v>
      </c>
      <c r="J2887" t="str">
        <f>"9050830"</f>
        <v>9050830</v>
      </c>
      <c r="K2887">
        <v>2105012339</v>
      </c>
      <c r="L2887">
        <v>2105012339</v>
      </c>
      <c r="M2887" t="s">
        <v>10367</v>
      </c>
      <c r="N2887" t="s">
        <v>5174</v>
      </c>
      <c r="O2887" t="s">
        <v>10368</v>
      </c>
      <c r="P2887">
        <v>13231</v>
      </c>
      <c r="Q2887" t="str">
        <f>"38.039057"</f>
        <v>38.039057</v>
      </c>
      <c r="R2887" t="str">
        <f>"23.671780"</f>
        <v>23.671780</v>
      </c>
      <c r="S2887" t="s">
        <v>26</v>
      </c>
    </row>
    <row r="2888" spans="1:19" x14ac:dyDescent="0.3">
      <c r="A2888" t="s">
        <v>3237</v>
      </c>
      <c r="B2888" t="s">
        <v>9684</v>
      </c>
      <c r="C2888" t="s">
        <v>10369</v>
      </c>
      <c r="D2888" t="s">
        <v>3251</v>
      </c>
      <c r="E2888" t="s">
        <v>3252</v>
      </c>
      <c r="F2888" t="s">
        <v>3252</v>
      </c>
      <c r="G2888" t="s">
        <v>3252</v>
      </c>
      <c r="H2888" t="s">
        <v>868</v>
      </c>
      <c r="I2888" t="s">
        <v>869</v>
      </c>
      <c r="J2888" t="str">
        <f>"9050899"</f>
        <v>9050899</v>
      </c>
      <c r="K2888">
        <v>2105902620</v>
      </c>
      <c r="L2888">
        <v>2105902620</v>
      </c>
      <c r="M2888" t="s">
        <v>10370</v>
      </c>
      <c r="N2888" t="s">
        <v>3252</v>
      </c>
      <c r="O2888" t="s">
        <v>10371</v>
      </c>
      <c r="P2888">
        <v>12243</v>
      </c>
      <c r="Q2888" t="str">
        <f>"38.007136"</f>
        <v>38.007136</v>
      </c>
      <c r="R2888" t="str">
        <f>"23.672635"</f>
        <v>23.672635</v>
      </c>
      <c r="S2888" t="s">
        <v>26</v>
      </c>
    </row>
    <row r="2889" spans="1:19" x14ac:dyDescent="0.3">
      <c r="A2889" t="s">
        <v>3237</v>
      </c>
      <c r="B2889" t="s">
        <v>9684</v>
      </c>
      <c r="C2889" t="s">
        <v>10372</v>
      </c>
      <c r="D2889" t="s">
        <v>3251</v>
      </c>
      <c r="E2889" t="s">
        <v>5171</v>
      </c>
      <c r="F2889" t="s">
        <v>5171</v>
      </c>
      <c r="G2889" t="s">
        <v>5171</v>
      </c>
      <c r="H2889" t="s">
        <v>868</v>
      </c>
      <c r="I2889" t="s">
        <v>869</v>
      </c>
      <c r="J2889" t="str">
        <f>"9051273"</f>
        <v>9051273</v>
      </c>
      <c r="K2889">
        <v>2105016555</v>
      </c>
      <c r="L2889">
        <v>2105024621</v>
      </c>
      <c r="M2889" t="s">
        <v>10373</v>
      </c>
      <c r="N2889" t="s">
        <v>5174</v>
      </c>
      <c r="O2889" t="s">
        <v>10374</v>
      </c>
      <c r="P2889">
        <v>13231</v>
      </c>
      <c r="Q2889" t="str">
        <f>"38.038846"</f>
        <v>38.038846</v>
      </c>
      <c r="R2889" t="str">
        <f>"23.688278"</f>
        <v>23.688278</v>
      </c>
      <c r="S2889" t="s">
        <v>26</v>
      </c>
    </row>
    <row r="2890" spans="1:19" x14ac:dyDescent="0.3">
      <c r="A2890" t="s">
        <v>3237</v>
      </c>
      <c r="B2890" t="s">
        <v>9684</v>
      </c>
      <c r="C2890" t="s">
        <v>10378</v>
      </c>
      <c r="D2890" t="s">
        <v>3251</v>
      </c>
      <c r="E2890" t="s">
        <v>5121</v>
      </c>
      <c r="F2890" t="s">
        <v>5085</v>
      </c>
      <c r="G2890" t="s">
        <v>5085</v>
      </c>
      <c r="H2890" t="s">
        <v>868</v>
      </c>
      <c r="I2890" t="s">
        <v>869</v>
      </c>
      <c r="J2890" t="str">
        <f>"9050419"</f>
        <v>9050419</v>
      </c>
      <c r="K2890">
        <v>2102615082</v>
      </c>
      <c r="L2890">
        <v>2102615082</v>
      </c>
      <c r="M2890" t="s">
        <v>10379</v>
      </c>
      <c r="N2890" t="s">
        <v>5159</v>
      </c>
      <c r="O2890" t="s">
        <v>10380</v>
      </c>
      <c r="P2890">
        <v>13561</v>
      </c>
      <c r="Q2890" t="str">
        <f>"38.029662"</f>
        <v>38.029662</v>
      </c>
      <c r="R2890" t="str">
        <f>"23.727124"</f>
        <v>23.727124</v>
      </c>
      <c r="S2890" t="s">
        <v>26</v>
      </c>
    </row>
    <row r="2891" spans="1:19" x14ac:dyDescent="0.3">
      <c r="A2891" t="s">
        <v>3237</v>
      </c>
      <c r="B2891" t="s">
        <v>9684</v>
      </c>
      <c r="C2891" t="s">
        <v>10381</v>
      </c>
      <c r="D2891" t="s">
        <v>3251</v>
      </c>
      <c r="E2891" t="s">
        <v>5171</v>
      </c>
      <c r="F2891" t="s">
        <v>5171</v>
      </c>
      <c r="G2891" t="s">
        <v>5171</v>
      </c>
      <c r="H2891" t="s">
        <v>868</v>
      </c>
      <c r="I2891" t="s">
        <v>869</v>
      </c>
      <c r="J2891" t="str">
        <f>"9050438"</f>
        <v>9050438</v>
      </c>
      <c r="K2891">
        <v>2105012729</v>
      </c>
      <c r="L2891">
        <v>2105012729</v>
      </c>
      <c r="M2891" t="s">
        <v>10382</v>
      </c>
      <c r="N2891" t="s">
        <v>5174</v>
      </c>
      <c r="O2891" t="s">
        <v>10383</v>
      </c>
      <c r="P2891">
        <v>13231</v>
      </c>
      <c r="Q2891" t="str">
        <f>"38.043204"</f>
        <v>38.043204</v>
      </c>
      <c r="R2891" t="str">
        <f>"23.690042"</f>
        <v>23.690042</v>
      </c>
      <c r="S2891" t="s">
        <v>26</v>
      </c>
    </row>
    <row r="2892" spans="1:19" x14ac:dyDescent="0.3">
      <c r="A2892" t="s">
        <v>3237</v>
      </c>
      <c r="B2892" t="s">
        <v>9684</v>
      </c>
      <c r="C2892" t="s">
        <v>5348</v>
      </c>
      <c r="D2892" t="s">
        <v>3251</v>
      </c>
      <c r="E2892" t="s">
        <v>3290</v>
      </c>
      <c r="F2892" t="s">
        <v>3290</v>
      </c>
      <c r="G2892" t="s">
        <v>3290</v>
      </c>
      <c r="H2892" t="s">
        <v>868</v>
      </c>
      <c r="I2892" t="s">
        <v>869</v>
      </c>
      <c r="J2892" t="str">
        <f>"9050430"</f>
        <v>9050430</v>
      </c>
      <c r="K2892">
        <v>2105019461</v>
      </c>
      <c r="M2892" t="s">
        <v>10384</v>
      </c>
      <c r="N2892" t="s">
        <v>3293</v>
      </c>
      <c r="O2892" t="s">
        <v>9986</v>
      </c>
      <c r="P2892">
        <v>13123</v>
      </c>
      <c r="Q2892" t="str">
        <f>"38.034738"</f>
        <v>38.034738</v>
      </c>
      <c r="R2892" t="str">
        <f>"23.695614"</f>
        <v>23.695614</v>
      </c>
      <c r="S2892" t="s">
        <v>26</v>
      </c>
    </row>
    <row r="2893" spans="1:19" x14ac:dyDescent="0.3">
      <c r="A2893" t="s">
        <v>3237</v>
      </c>
      <c r="B2893" t="s">
        <v>9684</v>
      </c>
      <c r="C2893" t="s">
        <v>10385</v>
      </c>
      <c r="D2893" t="s">
        <v>3251</v>
      </c>
      <c r="E2893" t="s">
        <v>5087</v>
      </c>
      <c r="F2893" t="s">
        <v>5087</v>
      </c>
      <c r="G2893" t="s">
        <v>5099</v>
      </c>
      <c r="H2893" t="s">
        <v>868</v>
      </c>
      <c r="I2893" t="s">
        <v>869</v>
      </c>
      <c r="J2893" t="str">
        <f>"9050385"</f>
        <v>9050385</v>
      </c>
      <c r="K2893">
        <v>2105715121</v>
      </c>
      <c r="M2893" t="s">
        <v>10386</v>
      </c>
      <c r="N2893" t="s">
        <v>5102</v>
      </c>
      <c r="O2893" t="s">
        <v>10387</v>
      </c>
      <c r="P2893">
        <v>12136</v>
      </c>
      <c r="Q2893" t="str">
        <f>"38.006808"</f>
        <v>38.006808</v>
      </c>
      <c r="R2893" t="str">
        <f>"23.677410"</f>
        <v>23.677410</v>
      </c>
      <c r="S2893" t="s">
        <v>26</v>
      </c>
    </row>
    <row r="2894" spans="1:19" x14ac:dyDescent="0.3">
      <c r="A2894" t="s">
        <v>3237</v>
      </c>
      <c r="B2894" t="s">
        <v>9684</v>
      </c>
      <c r="C2894" t="s">
        <v>5104</v>
      </c>
      <c r="D2894" t="s">
        <v>3251</v>
      </c>
      <c r="E2894" t="s">
        <v>5087</v>
      </c>
      <c r="F2894" t="s">
        <v>5087</v>
      </c>
      <c r="G2894" t="s">
        <v>5099</v>
      </c>
      <c r="H2894" t="s">
        <v>868</v>
      </c>
      <c r="I2894" t="s">
        <v>869</v>
      </c>
      <c r="J2894" t="str">
        <f>"9050397"</f>
        <v>9050397</v>
      </c>
      <c r="K2894">
        <v>2105710783</v>
      </c>
      <c r="L2894">
        <v>2105710783</v>
      </c>
      <c r="M2894" t="s">
        <v>10388</v>
      </c>
      <c r="N2894" t="s">
        <v>5102</v>
      </c>
      <c r="O2894" t="s">
        <v>10389</v>
      </c>
      <c r="P2894">
        <v>12136</v>
      </c>
      <c r="Q2894" t="str">
        <f>"38.011064"</f>
        <v>38.011064</v>
      </c>
      <c r="R2894" t="str">
        <f>"23.686543"</f>
        <v>23.686543</v>
      </c>
      <c r="S2894" t="s">
        <v>26</v>
      </c>
    </row>
    <row r="2895" spans="1:19" x14ac:dyDescent="0.3">
      <c r="A2895" t="s">
        <v>3237</v>
      </c>
      <c r="B2895" t="s">
        <v>9684</v>
      </c>
      <c r="C2895" t="s">
        <v>5333</v>
      </c>
      <c r="D2895" t="s">
        <v>3251</v>
      </c>
      <c r="E2895" t="s">
        <v>3290</v>
      </c>
      <c r="F2895" t="s">
        <v>3290</v>
      </c>
      <c r="G2895" t="s">
        <v>3290</v>
      </c>
      <c r="H2895" t="s">
        <v>868</v>
      </c>
      <c r="I2895" t="s">
        <v>869</v>
      </c>
      <c r="J2895" t="str">
        <f>"9051532"</f>
        <v>9051532</v>
      </c>
      <c r="K2895">
        <v>2102614372</v>
      </c>
      <c r="L2895">
        <v>2102614372</v>
      </c>
      <c r="M2895" t="s">
        <v>10390</v>
      </c>
      <c r="N2895" t="s">
        <v>10391</v>
      </c>
      <c r="O2895" t="s">
        <v>10392</v>
      </c>
      <c r="P2895">
        <v>13122</v>
      </c>
      <c r="Q2895" t="str">
        <f>"38.043937"</f>
        <v>38.043937</v>
      </c>
      <c r="R2895" t="str">
        <f>"23.714187"</f>
        <v>23.714187</v>
      </c>
      <c r="S2895" t="s">
        <v>26</v>
      </c>
    </row>
    <row r="2896" spans="1:19" x14ac:dyDescent="0.3">
      <c r="A2896" t="s">
        <v>3237</v>
      </c>
      <c r="B2896" t="s">
        <v>9684</v>
      </c>
      <c r="C2896" t="s">
        <v>5308</v>
      </c>
      <c r="D2896" t="s">
        <v>3251</v>
      </c>
      <c r="E2896" t="s">
        <v>5121</v>
      </c>
      <c r="F2896" t="s">
        <v>5127</v>
      </c>
      <c r="G2896" t="s">
        <v>5127</v>
      </c>
      <c r="H2896" t="s">
        <v>868</v>
      </c>
      <c r="I2896" t="s">
        <v>869</v>
      </c>
      <c r="J2896" t="str">
        <f>"9051151"</f>
        <v>9051151</v>
      </c>
      <c r="K2896">
        <v>2102387388</v>
      </c>
      <c r="L2896">
        <v>2102387388</v>
      </c>
      <c r="M2896" t="s">
        <v>10393</v>
      </c>
      <c r="N2896" t="s">
        <v>5130</v>
      </c>
      <c r="O2896" t="s">
        <v>10233</v>
      </c>
      <c r="P2896">
        <v>13451</v>
      </c>
      <c r="Q2896" t="str">
        <f>"38.050054"</f>
        <v>38.050054</v>
      </c>
      <c r="R2896" t="str">
        <f>"23.705539"</f>
        <v>23.705539</v>
      </c>
      <c r="S2896" t="s">
        <v>26</v>
      </c>
    </row>
    <row r="2897" spans="1:19" x14ac:dyDescent="0.3">
      <c r="A2897" t="s">
        <v>3237</v>
      </c>
      <c r="B2897" t="s">
        <v>9684</v>
      </c>
      <c r="C2897" t="s">
        <v>5140</v>
      </c>
      <c r="D2897" t="s">
        <v>3251</v>
      </c>
      <c r="E2897" t="s">
        <v>3290</v>
      </c>
      <c r="F2897" t="s">
        <v>3290</v>
      </c>
      <c r="G2897" t="s">
        <v>3290</v>
      </c>
      <c r="H2897" t="s">
        <v>868</v>
      </c>
      <c r="I2897" t="s">
        <v>869</v>
      </c>
      <c r="J2897" t="str">
        <f>"9050429"</f>
        <v>9050429</v>
      </c>
      <c r="K2897">
        <v>2102637624</v>
      </c>
      <c r="L2897">
        <v>2102637624</v>
      </c>
      <c r="M2897" t="s">
        <v>10394</v>
      </c>
      <c r="N2897" t="s">
        <v>3293</v>
      </c>
      <c r="O2897" t="s">
        <v>10395</v>
      </c>
      <c r="P2897">
        <v>13122</v>
      </c>
      <c r="Q2897" t="str">
        <f>"38.031791"</f>
        <v>38.031791</v>
      </c>
      <c r="R2897" t="str">
        <f>"23.715624"</f>
        <v>23.715624</v>
      </c>
      <c r="S2897" t="s">
        <v>26</v>
      </c>
    </row>
    <row r="2898" spans="1:19" x14ac:dyDescent="0.3">
      <c r="A2898" t="s">
        <v>3237</v>
      </c>
      <c r="B2898" t="s">
        <v>9684</v>
      </c>
      <c r="C2898" t="s">
        <v>5473</v>
      </c>
      <c r="D2898" t="s">
        <v>3251</v>
      </c>
      <c r="E2898" t="s">
        <v>5087</v>
      </c>
      <c r="F2898" t="s">
        <v>5087</v>
      </c>
      <c r="G2898" t="s">
        <v>5088</v>
      </c>
      <c r="H2898" t="s">
        <v>868</v>
      </c>
      <c r="I2898" t="s">
        <v>869</v>
      </c>
      <c r="J2898" t="str">
        <f>"9051136"</f>
        <v>9051136</v>
      </c>
      <c r="K2898">
        <v>2105759937</v>
      </c>
      <c r="L2898">
        <v>2105759937</v>
      </c>
      <c r="M2898" t="s">
        <v>10396</v>
      </c>
      <c r="N2898" t="s">
        <v>5102</v>
      </c>
      <c r="O2898" t="s">
        <v>10397</v>
      </c>
      <c r="P2898">
        <v>12137</v>
      </c>
      <c r="Q2898" t="str">
        <f>"38.027067"</f>
        <v>38.027067</v>
      </c>
      <c r="R2898" t="str">
        <f>"23.681237"</f>
        <v>23.681237</v>
      </c>
      <c r="S2898" t="s">
        <v>26</v>
      </c>
    </row>
    <row r="2899" spans="1:19" x14ac:dyDescent="0.3">
      <c r="A2899" t="s">
        <v>3237</v>
      </c>
      <c r="B2899" t="s">
        <v>9684</v>
      </c>
      <c r="C2899" t="s">
        <v>10402</v>
      </c>
      <c r="D2899" t="s">
        <v>3251</v>
      </c>
      <c r="E2899" t="s">
        <v>5087</v>
      </c>
      <c r="F2899" t="s">
        <v>5087</v>
      </c>
      <c r="G2899" t="s">
        <v>5281</v>
      </c>
      <c r="H2899" t="s">
        <v>868</v>
      </c>
      <c r="I2899" t="s">
        <v>869</v>
      </c>
      <c r="J2899" t="str">
        <f>"9050405"</f>
        <v>9050405</v>
      </c>
      <c r="K2899">
        <v>2105711204</v>
      </c>
      <c r="L2899">
        <v>2105711204</v>
      </c>
      <c r="M2899" t="s">
        <v>10403</v>
      </c>
      <c r="N2899" t="s">
        <v>5102</v>
      </c>
      <c r="O2899" t="s">
        <v>10404</v>
      </c>
      <c r="P2899">
        <v>12134</v>
      </c>
      <c r="Q2899" t="str">
        <f>"38.012604"</f>
        <v>38.012604</v>
      </c>
      <c r="R2899" t="str">
        <f>"23.690864"</f>
        <v>23.690864</v>
      </c>
      <c r="S2899" t="s">
        <v>26</v>
      </c>
    </row>
    <row r="2900" spans="1:19" x14ac:dyDescent="0.3">
      <c r="A2900" t="s">
        <v>3237</v>
      </c>
      <c r="B2900" t="s">
        <v>9684</v>
      </c>
      <c r="C2900" t="s">
        <v>10405</v>
      </c>
      <c r="D2900" t="s">
        <v>3251</v>
      </c>
      <c r="E2900" t="s">
        <v>5087</v>
      </c>
      <c r="F2900" t="s">
        <v>5087</v>
      </c>
      <c r="G2900" t="s">
        <v>5088</v>
      </c>
      <c r="H2900" t="s">
        <v>868</v>
      </c>
      <c r="I2900" t="s">
        <v>869</v>
      </c>
      <c r="J2900" t="str">
        <f>"9051133"</f>
        <v>9051133</v>
      </c>
      <c r="K2900">
        <v>2105731146</v>
      </c>
      <c r="L2900">
        <v>2105731146</v>
      </c>
      <c r="M2900" t="s">
        <v>10406</v>
      </c>
      <c r="N2900" t="s">
        <v>5102</v>
      </c>
      <c r="O2900" t="s">
        <v>10407</v>
      </c>
      <c r="P2900">
        <v>12135</v>
      </c>
      <c r="Q2900" t="str">
        <f>"38.023530"</f>
        <v>38.023530</v>
      </c>
      <c r="R2900" t="str">
        <f>"23.691310"</f>
        <v>23.691310</v>
      </c>
      <c r="S2900" t="s">
        <v>26</v>
      </c>
    </row>
    <row r="2901" spans="1:19" x14ac:dyDescent="0.3">
      <c r="A2901" t="s">
        <v>3237</v>
      </c>
      <c r="B2901" t="s">
        <v>9684</v>
      </c>
      <c r="C2901" t="s">
        <v>5329</v>
      </c>
      <c r="D2901" t="s">
        <v>3251</v>
      </c>
      <c r="E2901" t="s">
        <v>5121</v>
      </c>
      <c r="F2901" t="s">
        <v>5127</v>
      </c>
      <c r="G2901" t="s">
        <v>5127</v>
      </c>
      <c r="H2901" t="s">
        <v>868</v>
      </c>
      <c r="I2901" t="s">
        <v>869</v>
      </c>
      <c r="J2901" t="str">
        <f>"9050259"</f>
        <v>9050259</v>
      </c>
      <c r="K2901">
        <v>2102319000</v>
      </c>
      <c r="L2901">
        <v>2102319000</v>
      </c>
      <c r="M2901" t="s">
        <v>10408</v>
      </c>
      <c r="N2901" t="s">
        <v>5130</v>
      </c>
      <c r="O2901" t="s">
        <v>10147</v>
      </c>
      <c r="P2901">
        <v>13451</v>
      </c>
      <c r="Q2901" t="str">
        <f>"38.062019"</f>
        <v>38.062019</v>
      </c>
      <c r="R2901" t="str">
        <f>"23.706842"</f>
        <v>23.706842</v>
      </c>
      <c r="S2901" t="s">
        <v>26</v>
      </c>
    </row>
    <row r="2902" spans="1:19" x14ac:dyDescent="0.3">
      <c r="A2902" t="s">
        <v>3237</v>
      </c>
      <c r="B2902" t="s">
        <v>9684</v>
      </c>
      <c r="C2902" t="s">
        <v>10409</v>
      </c>
      <c r="D2902" t="s">
        <v>3251</v>
      </c>
      <c r="E2902" t="s">
        <v>5121</v>
      </c>
      <c r="F2902" t="s">
        <v>5127</v>
      </c>
      <c r="G2902" t="s">
        <v>5127</v>
      </c>
      <c r="H2902" t="s">
        <v>868</v>
      </c>
      <c r="I2902" t="s">
        <v>869</v>
      </c>
      <c r="J2902" t="str">
        <f>"9050260"</f>
        <v>9050260</v>
      </c>
      <c r="K2902">
        <v>2102385535</v>
      </c>
      <c r="L2902">
        <v>2102385535</v>
      </c>
      <c r="M2902" t="s">
        <v>10410</v>
      </c>
      <c r="N2902" t="s">
        <v>5130</v>
      </c>
      <c r="O2902" t="s">
        <v>10411</v>
      </c>
      <c r="P2902">
        <v>13451</v>
      </c>
      <c r="Q2902" t="str">
        <f>"38.057851"</f>
        <v>38.057851</v>
      </c>
      <c r="R2902" t="str">
        <f>"23.711309"</f>
        <v>23.711309</v>
      </c>
      <c r="S2902" t="s">
        <v>26</v>
      </c>
    </row>
    <row r="2903" spans="1:19" x14ac:dyDescent="0.3">
      <c r="A2903" t="s">
        <v>3237</v>
      </c>
      <c r="B2903" t="s">
        <v>9684</v>
      </c>
      <c r="C2903" t="s">
        <v>10412</v>
      </c>
      <c r="D2903" t="s">
        <v>3251</v>
      </c>
      <c r="E2903" t="s">
        <v>5087</v>
      </c>
      <c r="F2903" t="s">
        <v>5087</v>
      </c>
      <c r="G2903" t="s">
        <v>5088</v>
      </c>
      <c r="H2903" t="s">
        <v>868</v>
      </c>
      <c r="I2903" t="s">
        <v>869</v>
      </c>
      <c r="J2903" t="str">
        <f>"9050404"</f>
        <v>9050404</v>
      </c>
      <c r="K2903">
        <v>2105723777</v>
      </c>
      <c r="L2903">
        <v>2105723777</v>
      </c>
      <c r="M2903" t="s">
        <v>10413</v>
      </c>
      <c r="N2903" t="s">
        <v>5102</v>
      </c>
      <c r="O2903" t="s">
        <v>10414</v>
      </c>
      <c r="P2903">
        <v>12137</v>
      </c>
      <c r="Q2903" t="str">
        <f>"38.025515"</f>
        <v>38.025515</v>
      </c>
      <c r="R2903" t="str">
        <f>"23.677213"</f>
        <v>23.677213</v>
      </c>
      <c r="S2903" t="s">
        <v>26</v>
      </c>
    </row>
    <row r="2904" spans="1:19" x14ac:dyDescent="0.3">
      <c r="A2904" t="s">
        <v>3237</v>
      </c>
      <c r="B2904" t="s">
        <v>9684</v>
      </c>
      <c r="C2904" t="s">
        <v>10424</v>
      </c>
      <c r="D2904" t="s">
        <v>3251</v>
      </c>
      <c r="E2904" t="s">
        <v>5087</v>
      </c>
      <c r="F2904" t="s">
        <v>5087</v>
      </c>
      <c r="G2904" t="s">
        <v>5088</v>
      </c>
      <c r="H2904" t="s">
        <v>868</v>
      </c>
      <c r="I2904" t="s">
        <v>869</v>
      </c>
      <c r="J2904" t="str">
        <f>"9050399"</f>
        <v>9050399</v>
      </c>
      <c r="K2904">
        <v>2105734245</v>
      </c>
      <c r="L2904">
        <v>2105734245</v>
      </c>
      <c r="M2904" t="s">
        <v>10425</v>
      </c>
      <c r="N2904" t="s">
        <v>5102</v>
      </c>
      <c r="O2904" t="s">
        <v>10128</v>
      </c>
      <c r="P2904">
        <v>12135</v>
      </c>
      <c r="Q2904" t="str">
        <f>"38.020742"</f>
        <v>38.020742</v>
      </c>
      <c r="R2904" t="str">
        <f>"23.689069"</f>
        <v>23.689069</v>
      </c>
      <c r="S2904" t="s">
        <v>26</v>
      </c>
    </row>
    <row r="2905" spans="1:19" x14ac:dyDescent="0.3">
      <c r="A2905" t="s">
        <v>3237</v>
      </c>
      <c r="B2905" t="s">
        <v>9684</v>
      </c>
      <c r="C2905" t="s">
        <v>10426</v>
      </c>
      <c r="D2905" t="s">
        <v>3251</v>
      </c>
      <c r="E2905" t="s">
        <v>5087</v>
      </c>
      <c r="F2905" t="s">
        <v>5087</v>
      </c>
      <c r="G2905" t="s">
        <v>5088</v>
      </c>
      <c r="H2905" t="s">
        <v>868</v>
      </c>
      <c r="I2905" t="s">
        <v>869</v>
      </c>
      <c r="J2905" t="str">
        <f>"9051135"</f>
        <v>9051135</v>
      </c>
      <c r="K2905">
        <v>2105787449</v>
      </c>
      <c r="M2905" t="s">
        <v>10427</v>
      </c>
      <c r="N2905" t="s">
        <v>5102</v>
      </c>
      <c r="O2905" t="s">
        <v>10428</v>
      </c>
      <c r="P2905">
        <v>12137</v>
      </c>
      <c r="Q2905" t="str">
        <f>"38.026014"</f>
        <v>38.026014</v>
      </c>
      <c r="R2905" t="str">
        <f>"23.672122"</f>
        <v>23.672122</v>
      </c>
      <c r="S2905" t="s">
        <v>26</v>
      </c>
    </row>
    <row r="2906" spans="1:19" x14ac:dyDescent="0.3">
      <c r="A2906" t="s">
        <v>3237</v>
      </c>
      <c r="B2906" t="s">
        <v>9684</v>
      </c>
      <c r="C2906" t="s">
        <v>10429</v>
      </c>
      <c r="D2906" t="s">
        <v>3251</v>
      </c>
      <c r="E2906" t="s">
        <v>5087</v>
      </c>
      <c r="F2906" t="s">
        <v>5087</v>
      </c>
      <c r="G2906" t="s">
        <v>5088</v>
      </c>
      <c r="H2906" t="s">
        <v>868</v>
      </c>
      <c r="I2906" t="s">
        <v>869</v>
      </c>
      <c r="J2906" t="str">
        <f>"9050379"</f>
        <v>9050379</v>
      </c>
      <c r="K2906">
        <v>2105774950</v>
      </c>
      <c r="L2906">
        <v>2105712509</v>
      </c>
      <c r="M2906" t="s">
        <v>10430</v>
      </c>
      <c r="N2906" t="s">
        <v>5102</v>
      </c>
      <c r="O2906" t="s">
        <v>10431</v>
      </c>
      <c r="P2906">
        <v>12135</v>
      </c>
      <c r="Q2906" t="str">
        <f>"38.026823"</f>
        <v>38.026823</v>
      </c>
      <c r="R2906" t="str">
        <f>"23.688604"</f>
        <v>23.688604</v>
      </c>
      <c r="S2906" t="s">
        <v>26</v>
      </c>
    </row>
    <row r="2907" spans="1:19" x14ac:dyDescent="0.3">
      <c r="A2907" t="s">
        <v>3237</v>
      </c>
      <c r="B2907" t="s">
        <v>9684</v>
      </c>
      <c r="C2907" t="s">
        <v>10432</v>
      </c>
      <c r="D2907" t="s">
        <v>3251</v>
      </c>
      <c r="E2907" t="s">
        <v>5087</v>
      </c>
      <c r="F2907" t="s">
        <v>5087</v>
      </c>
      <c r="G2907" t="s">
        <v>5099</v>
      </c>
      <c r="H2907" t="s">
        <v>868</v>
      </c>
      <c r="I2907" t="s">
        <v>869</v>
      </c>
      <c r="J2907" t="str">
        <f>"9050392"</f>
        <v>9050392</v>
      </c>
      <c r="K2907">
        <v>2105710240</v>
      </c>
      <c r="L2907">
        <v>2105710240</v>
      </c>
      <c r="M2907" t="s">
        <v>10433</v>
      </c>
      <c r="N2907" t="s">
        <v>5102</v>
      </c>
      <c r="O2907" t="s">
        <v>10434</v>
      </c>
      <c r="P2907">
        <v>12135</v>
      </c>
      <c r="Q2907" t="str">
        <f>"38.014670"</f>
        <v>38.014670</v>
      </c>
      <c r="R2907" t="str">
        <f>"23.685363"</f>
        <v>23.685363</v>
      </c>
      <c r="S2907" t="s">
        <v>26</v>
      </c>
    </row>
    <row r="2908" spans="1:19" x14ac:dyDescent="0.3">
      <c r="A2908" t="s">
        <v>3237</v>
      </c>
      <c r="B2908" t="s">
        <v>9684</v>
      </c>
      <c r="C2908" t="s">
        <v>10435</v>
      </c>
      <c r="D2908" t="s">
        <v>3251</v>
      </c>
      <c r="E2908" t="s">
        <v>3290</v>
      </c>
      <c r="F2908" t="s">
        <v>3290</v>
      </c>
      <c r="G2908" t="s">
        <v>3290</v>
      </c>
      <c r="H2908" t="s">
        <v>868</v>
      </c>
      <c r="I2908" t="s">
        <v>869</v>
      </c>
      <c r="J2908" t="str">
        <f>"9051144"</f>
        <v>9051144</v>
      </c>
      <c r="K2908">
        <v>2105737370</v>
      </c>
      <c r="L2908">
        <v>2105711062</v>
      </c>
      <c r="M2908" t="s">
        <v>10436</v>
      </c>
      <c r="N2908" t="s">
        <v>3293</v>
      </c>
      <c r="O2908" t="s">
        <v>10437</v>
      </c>
      <c r="P2908">
        <v>13121</v>
      </c>
      <c r="Q2908" t="str">
        <f>"38.024609"</f>
        <v>38.024609</v>
      </c>
      <c r="R2908" t="str">
        <f>"23.695616"</f>
        <v>23.695616</v>
      </c>
      <c r="S2908" t="s">
        <v>26</v>
      </c>
    </row>
    <row r="2909" spans="1:19" x14ac:dyDescent="0.3">
      <c r="A2909" t="s">
        <v>3237</v>
      </c>
      <c r="B2909" t="s">
        <v>9684</v>
      </c>
      <c r="C2909" t="s">
        <v>10438</v>
      </c>
      <c r="D2909" t="s">
        <v>3251</v>
      </c>
      <c r="E2909" t="s">
        <v>5087</v>
      </c>
      <c r="F2909" t="s">
        <v>5087</v>
      </c>
      <c r="G2909" t="s">
        <v>5088</v>
      </c>
      <c r="H2909" t="s">
        <v>868</v>
      </c>
      <c r="I2909" t="s">
        <v>869</v>
      </c>
      <c r="J2909" t="str">
        <f>"9050394"</f>
        <v>9050394</v>
      </c>
      <c r="K2909">
        <v>2105719409</v>
      </c>
      <c r="L2909">
        <v>2105719409</v>
      </c>
      <c r="M2909" t="s">
        <v>10439</v>
      </c>
      <c r="N2909" t="s">
        <v>5102</v>
      </c>
      <c r="O2909" t="s">
        <v>10440</v>
      </c>
      <c r="P2909">
        <v>12135</v>
      </c>
      <c r="Q2909" t="str">
        <f>"38.025599"</f>
        <v>38.025599</v>
      </c>
      <c r="R2909" t="str">
        <f>"23.683877"</f>
        <v>23.683877</v>
      </c>
      <c r="S2909" t="s">
        <v>26</v>
      </c>
    </row>
    <row r="2910" spans="1:19" x14ac:dyDescent="0.3">
      <c r="A2910" t="s">
        <v>3237</v>
      </c>
      <c r="B2910" t="s">
        <v>9684</v>
      </c>
      <c r="C2910" t="s">
        <v>10441</v>
      </c>
      <c r="D2910" t="s">
        <v>3251</v>
      </c>
      <c r="E2910" t="s">
        <v>5087</v>
      </c>
      <c r="F2910" t="s">
        <v>5087</v>
      </c>
      <c r="G2910" t="s">
        <v>5099</v>
      </c>
      <c r="H2910" t="s">
        <v>868</v>
      </c>
      <c r="I2910" t="s">
        <v>869</v>
      </c>
      <c r="J2910" t="str">
        <f>"9050916"</f>
        <v>9050916</v>
      </c>
      <c r="K2910">
        <v>2105743966</v>
      </c>
      <c r="L2910">
        <v>2105743966</v>
      </c>
      <c r="M2910" t="s">
        <v>10442</v>
      </c>
      <c r="N2910" t="s">
        <v>5102</v>
      </c>
      <c r="O2910" t="s">
        <v>10350</v>
      </c>
      <c r="P2910">
        <v>12136</v>
      </c>
      <c r="Q2910" t="str">
        <f>"38.014689"</f>
        <v>38.014689</v>
      </c>
      <c r="R2910" t="str">
        <f>"23.680587"</f>
        <v>23.680587</v>
      </c>
      <c r="S2910" t="s">
        <v>26</v>
      </c>
    </row>
    <row r="2911" spans="1:19" x14ac:dyDescent="0.3">
      <c r="A2911" t="s">
        <v>3237</v>
      </c>
      <c r="B2911" t="s">
        <v>9684</v>
      </c>
      <c r="C2911" t="s">
        <v>10443</v>
      </c>
      <c r="D2911" t="s">
        <v>3251</v>
      </c>
      <c r="E2911" t="s">
        <v>5087</v>
      </c>
      <c r="F2911" t="s">
        <v>5087</v>
      </c>
      <c r="G2911" t="s">
        <v>5116</v>
      </c>
      <c r="H2911" t="s">
        <v>868</v>
      </c>
      <c r="I2911" t="s">
        <v>869</v>
      </c>
      <c r="J2911" t="str">
        <f>"9050411"</f>
        <v>9050411</v>
      </c>
      <c r="K2911">
        <v>2105712979</v>
      </c>
      <c r="L2911">
        <v>2105712979</v>
      </c>
      <c r="M2911" t="s">
        <v>10444</v>
      </c>
      <c r="N2911" t="s">
        <v>5102</v>
      </c>
      <c r="O2911" t="s">
        <v>10445</v>
      </c>
      <c r="P2911">
        <v>12133</v>
      </c>
      <c r="Q2911" t="str">
        <f>"38.021671"</f>
        <v>38.021671</v>
      </c>
      <c r="R2911" t="str">
        <f>"23.694831"</f>
        <v>23.694831</v>
      </c>
      <c r="S2911" t="s">
        <v>26</v>
      </c>
    </row>
    <row r="2912" spans="1:19" x14ac:dyDescent="0.3">
      <c r="A2912" t="s">
        <v>3237</v>
      </c>
      <c r="B2912" t="s">
        <v>9684</v>
      </c>
      <c r="C2912" t="s">
        <v>5120</v>
      </c>
      <c r="D2912" t="s">
        <v>3251</v>
      </c>
      <c r="E2912" t="s">
        <v>5087</v>
      </c>
      <c r="F2912" t="s">
        <v>5087</v>
      </c>
      <c r="G2912" t="s">
        <v>5116</v>
      </c>
      <c r="H2912" t="s">
        <v>868</v>
      </c>
      <c r="I2912" t="s">
        <v>869</v>
      </c>
      <c r="J2912" t="str">
        <f>"9050377"</f>
        <v>9050377</v>
      </c>
      <c r="K2912">
        <v>2105711747</v>
      </c>
      <c r="L2912">
        <v>2105725778</v>
      </c>
      <c r="M2912" t="s">
        <v>10446</v>
      </c>
      <c r="N2912" t="s">
        <v>5091</v>
      </c>
      <c r="O2912" t="s">
        <v>10447</v>
      </c>
      <c r="P2912">
        <v>12132</v>
      </c>
      <c r="Q2912" t="str">
        <f>"38.007311"</f>
        <v>38.007311</v>
      </c>
      <c r="R2912" t="str">
        <f>"23.699469"</f>
        <v>23.699469</v>
      </c>
      <c r="S2912" t="s">
        <v>26</v>
      </c>
    </row>
    <row r="2913" spans="1:19" x14ac:dyDescent="0.3">
      <c r="A2913" t="s">
        <v>3237</v>
      </c>
      <c r="B2913" t="s">
        <v>9684</v>
      </c>
      <c r="C2913" t="s">
        <v>10448</v>
      </c>
      <c r="D2913" t="s">
        <v>3251</v>
      </c>
      <c r="E2913" t="s">
        <v>5087</v>
      </c>
      <c r="F2913" t="s">
        <v>5087</v>
      </c>
      <c r="G2913" t="s">
        <v>5281</v>
      </c>
      <c r="H2913" t="s">
        <v>868</v>
      </c>
      <c r="I2913" t="s">
        <v>1157</v>
      </c>
      <c r="J2913" t="str">
        <f>"9050911"</f>
        <v>9050911</v>
      </c>
      <c r="K2913">
        <v>2105714104</v>
      </c>
      <c r="L2913">
        <v>2105714104</v>
      </c>
      <c r="M2913" t="s">
        <v>10449</v>
      </c>
      <c r="N2913" t="s">
        <v>5087</v>
      </c>
      <c r="O2913" t="s">
        <v>10450</v>
      </c>
      <c r="P2913">
        <v>12131</v>
      </c>
      <c r="Q2913" t="str">
        <f>"38.000724"</f>
        <v>38.000724</v>
      </c>
      <c r="R2913" t="str">
        <f>"23.693810"</f>
        <v>23.693810</v>
      </c>
      <c r="S2913" t="s">
        <v>26</v>
      </c>
    </row>
    <row r="2914" spans="1:19" x14ac:dyDescent="0.3">
      <c r="A2914" t="s">
        <v>3237</v>
      </c>
      <c r="B2914" t="s">
        <v>9684</v>
      </c>
      <c r="C2914" t="s">
        <v>10462</v>
      </c>
      <c r="D2914" t="s">
        <v>3251</v>
      </c>
      <c r="E2914" t="s">
        <v>3252</v>
      </c>
      <c r="F2914" t="s">
        <v>3252</v>
      </c>
      <c r="G2914" t="s">
        <v>3252</v>
      </c>
      <c r="H2914" t="s">
        <v>868</v>
      </c>
      <c r="I2914" t="s">
        <v>1157</v>
      </c>
      <c r="J2914" t="str">
        <f>"9521166"</f>
        <v>9521166</v>
      </c>
      <c r="K2914">
        <v>2105621203</v>
      </c>
      <c r="L2914">
        <v>2105621204</v>
      </c>
      <c r="M2914" t="s">
        <v>10463</v>
      </c>
      <c r="N2914" t="s">
        <v>3252</v>
      </c>
      <c r="O2914" t="s">
        <v>10464</v>
      </c>
      <c r="P2914">
        <v>12244</v>
      </c>
      <c r="Q2914" t="str">
        <f>"37.983700"</f>
        <v>37.983700</v>
      </c>
      <c r="R2914" t="str">
        <f>"23.668450"</f>
        <v>23.668450</v>
      </c>
      <c r="S2914" t="s">
        <v>26</v>
      </c>
    </row>
    <row r="2915" spans="1:19" x14ac:dyDescent="0.3">
      <c r="A2915" t="s">
        <v>3237</v>
      </c>
      <c r="B2915" t="s">
        <v>9684</v>
      </c>
      <c r="C2915" t="s">
        <v>10465</v>
      </c>
      <c r="D2915" t="s">
        <v>3251</v>
      </c>
      <c r="E2915" t="s">
        <v>3252</v>
      </c>
      <c r="F2915" t="s">
        <v>3252</v>
      </c>
      <c r="G2915" t="s">
        <v>3252</v>
      </c>
      <c r="H2915" t="s">
        <v>868</v>
      </c>
      <c r="I2915" t="s">
        <v>1157</v>
      </c>
      <c r="J2915" t="str">
        <f>"9521164"</f>
        <v>9521164</v>
      </c>
      <c r="K2915">
        <v>2105621277</v>
      </c>
      <c r="L2915">
        <v>2105621277</v>
      </c>
      <c r="M2915" t="s">
        <v>10466</v>
      </c>
      <c r="N2915" t="s">
        <v>3252</v>
      </c>
      <c r="O2915" t="s">
        <v>10464</v>
      </c>
      <c r="P2915">
        <v>12244</v>
      </c>
      <c r="Q2915" t="str">
        <f>"37.983715"</f>
        <v>37.983715</v>
      </c>
      <c r="R2915" t="str">
        <f>"23.668451"</f>
        <v>23.668451</v>
      </c>
      <c r="S2915" t="s">
        <v>26</v>
      </c>
    </row>
    <row r="2916" spans="1:19" x14ac:dyDescent="0.3">
      <c r="A2916" t="s">
        <v>3237</v>
      </c>
      <c r="B2916" t="s">
        <v>9684</v>
      </c>
      <c r="C2916" t="s">
        <v>10475</v>
      </c>
      <c r="D2916" t="s">
        <v>3251</v>
      </c>
      <c r="E2916" t="s">
        <v>3290</v>
      </c>
      <c r="F2916" t="s">
        <v>3290</v>
      </c>
      <c r="G2916" t="s">
        <v>3290</v>
      </c>
      <c r="H2916" t="s">
        <v>868</v>
      </c>
      <c r="I2916" t="s">
        <v>869</v>
      </c>
      <c r="J2916" t="str">
        <f>"9050422"</f>
        <v>9050422</v>
      </c>
      <c r="K2916">
        <v>2102611753</v>
      </c>
      <c r="L2916">
        <v>2102611753</v>
      </c>
      <c r="M2916" t="s">
        <v>10476</v>
      </c>
      <c r="N2916" t="s">
        <v>3293</v>
      </c>
      <c r="O2916" t="s">
        <v>10477</v>
      </c>
      <c r="P2916">
        <v>13122</v>
      </c>
      <c r="Q2916" t="str">
        <f>"38.033347"</f>
        <v>38.033347</v>
      </c>
      <c r="R2916" t="str">
        <f>"23.708953"</f>
        <v>23.708953</v>
      </c>
      <c r="S2916" t="s">
        <v>26</v>
      </c>
    </row>
    <row r="2917" spans="1:19" x14ac:dyDescent="0.3">
      <c r="A2917" t="s">
        <v>3237</v>
      </c>
      <c r="B2917" t="s">
        <v>10503</v>
      </c>
      <c r="C2917" t="s">
        <v>10504</v>
      </c>
      <c r="D2917" t="s">
        <v>3256</v>
      </c>
      <c r="E2917" t="s">
        <v>5599</v>
      </c>
      <c r="F2917" t="s">
        <v>5600</v>
      </c>
      <c r="G2917" t="s">
        <v>5601</v>
      </c>
      <c r="H2917" t="s">
        <v>868</v>
      </c>
      <c r="I2917" t="s">
        <v>1157</v>
      </c>
      <c r="J2917" t="str">
        <f>"9520480"</f>
        <v>9520480</v>
      </c>
      <c r="K2917">
        <v>2109627917</v>
      </c>
      <c r="L2917">
        <v>2109627917</v>
      </c>
      <c r="M2917" t="s">
        <v>10505</v>
      </c>
      <c r="N2917" t="s">
        <v>1038</v>
      </c>
      <c r="O2917" t="s">
        <v>10506</v>
      </c>
      <c r="P2917">
        <v>16452</v>
      </c>
      <c r="Q2917" t="str">
        <f>"37.902122"</f>
        <v>37.902122</v>
      </c>
      <c r="R2917" t="str">
        <f>"23.750236"</f>
        <v>23.750236</v>
      </c>
      <c r="S2917" t="s">
        <v>26</v>
      </c>
    </row>
    <row r="2918" spans="1:19" x14ac:dyDescent="0.3">
      <c r="A2918" t="s">
        <v>3237</v>
      </c>
      <c r="B2918" t="s">
        <v>10503</v>
      </c>
      <c r="C2918" t="s">
        <v>10619</v>
      </c>
      <c r="D2918" t="s">
        <v>3256</v>
      </c>
      <c r="E2918" t="s">
        <v>5599</v>
      </c>
      <c r="F2918" t="s">
        <v>5600</v>
      </c>
      <c r="G2918" t="s">
        <v>5601</v>
      </c>
      <c r="H2918" t="s">
        <v>868</v>
      </c>
      <c r="I2918" t="s">
        <v>869</v>
      </c>
      <c r="J2918" t="str">
        <f>"9050674"</f>
        <v>9050674</v>
      </c>
      <c r="K2918">
        <v>2109922212</v>
      </c>
      <c r="L2918">
        <v>2109922212</v>
      </c>
      <c r="M2918" t="s">
        <v>10620</v>
      </c>
      <c r="N2918" t="s">
        <v>1038</v>
      </c>
      <c r="O2918" t="s">
        <v>10621</v>
      </c>
      <c r="P2918">
        <v>16451</v>
      </c>
      <c r="Q2918" t="str">
        <f>"37.914517"</f>
        <v>37.914517</v>
      </c>
      <c r="R2918" t="str">
        <f>"23.750427"</f>
        <v>23.750427</v>
      </c>
      <c r="S2918" t="s">
        <v>26</v>
      </c>
    </row>
    <row r="2919" spans="1:19" x14ac:dyDescent="0.3">
      <c r="A2919" t="s">
        <v>3237</v>
      </c>
      <c r="B2919" t="s">
        <v>10503</v>
      </c>
      <c r="C2919" t="s">
        <v>10622</v>
      </c>
      <c r="D2919" t="s">
        <v>3256</v>
      </c>
      <c r="E2919" t="s">
        <v>3295</v>
      </c>
      <c r="F2919" t="s">
        <v>3295</v>
      </c>
      <c r="G2919" t="s">
        <v>3295</v>
      </c>
      <c r="H2919" t="s">
        <v>868</v>
      </c>
      <c r="I2919" t="s">
        <v>869</v>
      </c>
      <c r="J2919" t="str">
        <f>"9050143"</f>
        <v>9050143</v>
      </c>
      <c r="K2919">
        <v>2109700154</v>
      </c>
      <c r="L2919">
        <v>2109700154</v>
      </c>
      <c r="M2919" t="s">
        <v>10623</v>
      </c>
      <c r="N2919" t="s">
        <v>3472</v>
      </c>
      <c r="O2919" t="s">
        <v>10624</v>
      </c>
      <c r="P2919">
        <v>17342</v>
      </c>
      <c r="Q2919" t="str">
        <f>"37.933428"</f>
        <v>37.933428</v>
      </c>
      <c r="R2919" t="str">
        <f>"23.737339"</f>
        <v>23.737339</v>
      </c>
      <c r="S2919" t="s">
        <v>26</v>
      </c>
    </row>
    <row r="2920" spans="1:19" x14ac:dyDescent="0.3">
      <c r="A2920" t="s">
        <v>3237</v>
      </c>
      <c r="B2920" t="s">
        <v>10503</v>
      </c>
      <c r="C2920" t="s">
        <v>10628</v>
      </c>
      <c r="D2920" t="s">
        <v>3256</v>
      </c>
      <c r="E2920" t="s">
        <v>5563</v>
      </c>
      <c r="F2920" t="s">
        <v>5563</v>
      </c>
      <c r="G2920" t="s">
        <v>5611</v>
      </c>
      <c r="H2920" t="s">
        <v>868</v>
      </c>
      <c r="I2920" t="s">
        <v>869</v>
      </c>
      <c r="J2920" t="str">
        <f>"9050219"</f>
        <v>9050219</v>
      </c>
      <c r="K2920">
        <v>2109564944</v>
      </c>
      <c r="L2920">
        <v>2109564944</v>
      </c>
      <c r="M2920" t="s">
        <v>10629</v>
      </c>
      <c r="N2920" t="s">
        <v>5567</v>
      </c>
      <c r="O2920" t="s">
        <v>10523</v>
      </c>
      <c r="P2920">
        <v>17671</v>
      </c>
      <c r="Q2920" t="str">
        <f>"37.956927"</f>
        <v>37.956927</v>
      </c>
      <c r="R2920" t="str">
        <f>"23.713406"</f>
        <v>23.713406</v>
      </c>
      <c r="S2920" t="s">
        <v>26</v>
      </c>
    </row>
    <row r="2921" spans="1:19" x14ac:dyDescent="0.3">
      <c r="A2921" t="s">
        <v>3237</v>
      </c>
      <c r="B2921" t="s">
        <v>10503</v>
      </c>
      <c r="C2921" t="s">
        <v>5939</v>
      </c>
      <c r="D2921" t="s">
        <v>3256</v>
      </c>
      <c r="E2921" t="s">
        <v>5586</v>
      </c>
      <c r="F2921" t="s">
        <v>5586</v>
      </c>
      <c r="G2921" t="s">
        <v>5586</v>
      </c>
      <c r="H2921" t="s">
        <v>868</v>
      </c>
      <c r="I2921" t="s">
        <v>869</v>
      </c>
      <c r="J2921" t="str">
        <f>"9050238"</f>
        <v>9050238</v>
      </c>
      <c r="K2921">
        <v>2109334200</v>
      </c>
      <c r="L2921">
        <v>2109334200</v>
      </c>
      <c r="M2921" t="s">
        <v>10630</v>
      </c>
      <c r="N2921" t="s">
        <v>5964</v>
      </c>
      <c r="O2921" t="s">
        <v>10631</v>
      </c>
      <c r="P2921">
        <v>17121</v>
      </c>
      <c r="Q2921" t="str">
        <f>"37.949008"</f>
        <v>37.949008</v>
      </c>
      <c r="R2921" t="str">
        <f>"23.713064"</f>
        <v>23.713064</v>
      </c>
      <c r="S2921" t="s">
        <v>26</v>
      </c>
    </row>
    <row r="2922" spans="1:19" x14ac:dyDescent="0.3">
      <c r="A2922" t="s">
        <v>3237</v>
      </c>
      <c r="B2922" t="s">
        <v>10503</v>
      </c>
      <c r="C2922" t="s">
        <v>10632</v>
      </c>
      <c r="D2922" t="s">
        <v>3256</v>
      </c>
      <c r="E2922" t="s">
        <v>3295</v>
      </c>
      <c r="F2922" t="s">
        <v>3295</v>
      </c>
      <c r="G2922" t="s">
        <v>3295</v>
      </c>
      <c r="H2922" t="s">
        <v>868</v>
      </c>
      <c r="I2922" t="s">
        <v>1157</v>
      </c>
      <c r="J2922" t="str">
        <f>"9520383"</f>
        <v>9520383</v>
      </c>
      <c r="K2922">
        <v>2109920604</v>
      </c>
      <c r="L2922">
        <v>2109920604</v>
      </c>
      <c r="M2922" t="s">
        <v>10633</v>
      </c>
      <c r="N2922" t="s">
        <v>3472</v>
      </c>
      <c r="O2922" t="s">
        <v>10634</v>
      </c>
      <c r="P2922">
        <v>17342</v>
      </c>
      <c r="Q2922" t="str">
        <f>"37.926148"</f>
        <v>37.926148</v>
      </c>
      <c r="R2922" t="str">
        <f>"23.727929"</f>
        <v>23.727929</v>
      </c>
      <c r="S2922" t="s">
        <v>26</v>
      </c>
    </row>
    <row r="2923" spans="1:19" x14ac:dyDescent="0.3">
      <c r="A2923" t="s">
        <v>3237</v>
      </c>
      <c r="B2923" t="s">
        <v>10503</v>
      </c>
      <c r="C2923" t="s">
        <v>5786</v>
      </c>
      <c r="D2923" t="s">
        <v>3256</v>
      </c>
      <c r="E2923" t="s">
        <v>5656</v>
      </c>
      <c r="F2923" t="s">
        <v>5680</v>
      </c>
      <c r="G2923" t="s">
        <v>5680</v>
      </c>
      <c r="H2923" t="s">
        <v>868</v>
      </c>
      <c r="I2923" t="s">
        <v>869</v>
      </c>
      <c r="J2923" t="str">
        <f>"9050228"</f>
        <v>9050228</v>
      </c>
      <c r="K2923">
        <v>2109417091</v>
      </c>
      <c r="L2923">
        <v>2109419702</v>
      </c>
      <c r="M2923" t="s">
        <v>10635</v>
      </c>
      <c r="N2923" t="s">
        <v>5683</v>
      </c>
      <c r="O2923" t="s">
        <v>10636</v>
      </c>
      <c r="P2923">
        <v>18344</v>
      </c>
      <c r="Q2923" t="str">
        <f>"37.946531"</f>
        <v>37.946531</v>
      </c>
      <c r="R2923" t="str">
        <f>"23.679395"</f>
        <v>23.679395</v>
      </c>
      <c r="S2923" t="s">
        <v>26</v>
      </c>
    </row>
    <row r="2924" spans="1:19" x14ac:dyDescent="0.3">
      <c r="A2924" t="s">
        <v>3237</v>
      </c>
      <c r="B2924" t="s">
        <v>10503</v>
      </c>
      <c r="C2924" t="s">
        <v>10637</v>
      </c>
      <c r="D2924" t="s">
        <v>3256</v>
      </c>
      <c r="E2924" t="s">
        <v>5570</v>
      </c>
      <c r="F2924" t="s">
        <v>5570</v>
      </c>
      <c r="G2924" t="s">
        <v>5570</v>
      </c>
      <c r="H2924" t="s">
        <v>868</v>
      </c>
      <c r="I2924" t="s">
        <v>869</v>
      </c>
      <c r="J2924" t="str">
        <f>"9051343"</f>
        <v>9051343</v>
      </c>
      <c r="K2924">
        <v>2109832230</v>
      </c>
      <c r="M2924" t="s">
        <v>10638</v>
      </c>
      <c r="N2924" t="s">
        <v>10639</v>
      </c>
      <c r="O2924" t="s">
        <v>10640</v>
      </c>
      <c r="P2924">
        <v>17563</v>
      </c>
      <c r="Q2924" t="str">
        <f>"37.929611"</f>
        <v>37.929611</v>
      </c>
      <c r="R2924" t="str">
        <f>"23.705391"</f>
        <v>23.705391</v>
      </c>
      <c r="S2924" t="s">
        <v>26</v>
      </c>
    </row>
    <row r="2925" spans="1:19" x14ac:dyDescent="0.3">
      <c r="A2925" t="s">
        <v>3237</v>
      </c>
      <c r="B2925" t="s">
        <v>10503</v>
      </c>
      <c r="C2925" t="s">
        <v>5701</v>
      </c>
      <c r="D2925" t="s">
        <v>3256</v>
      </c>
      <c r="E2925" t="s">
        <v>5599</v>
      </c>
      <c r="F2925" t="s">
        <v>5600</v>
      </c>
      <c r="G2925" t="s">
        <v>5601</v>
      </c>
      <c r="H2925" t="s">
        <v>868</v>
      </c>
      <c r="I2925" t="s">
        <v>869</v>
      </c>
      <c r="J2925" t="str">
        <f>"9050969"</f>
        <v>9050969</v>
      </c>
      <c r="K2925">
        <v>2109614248</v>
      </c>
      <c r="L2925">
        <v>2109614248</v>
      </c>
      <c r="M2925" t="s">
        <v>10644</v>
      </c>
      <c r="N2925" t="s">
        <v>1038</v>
      </c>
      <c r="O2925" t="s">
        <v>10645</v>
      </c>
      <c r="P2925">
        <v>16452</v>
      </c>
      <c r="Q2925" t="str">
        <f>"37.901614"</f>
        <v>37.901614</v>
      </c>
      <c r="R2925" t="str">
        <f>"23.754964"</f>
        <v>23.754964</v>
      </c>
      <c r="S2925" t="s">
        <v>26</v>
      </c>
    </row>
    <row r="2926" spans="1:19" x14ac:dyDescent="0.3">
      <c r="A2926" t="s">
        <v>3237</v>
      </c>
      <c r="B2926" t="s">
        <v>10503</v>
      </c>
      <c r="C2926" t="s">
        <v>5911</v>
      </c>
      <c r="D2926" t="s">
        <v>3256</v>
      </c>
      <c r="E2926" t="s">
        <v>5563</v>
      </c>
      <c r="F2926" t="s">
        <v>5563</v>
      </c>
      <c r="G2926" t="s">
        <v>5611</v>
      </c>
      <c r="H2926" t="s">
        <v>868</v>
      </c>
      <c r="I2926" t="s">
        <v>869</v>
      </c>
      <c r="J2926" t="str">
        <f>"9050212"</f>
        <v>9050212</v>
      </c>
      <c r="K2926">
        <v>2109565130</v>
      </c>
      <c r="L2926">
        <v>2109565130</v>
      </c>
      <c r="M2926" t="s">
        <v>10646</v>
      </c>
      <c r="N2926" t="s">
        <v>5567</v>
      </c>
      <c r="O2926" t="s">
        <v>10647</v>
      </c>
      <c r="P2926">
        <v>17676</v>
      </c>
      <c r="Q2926" t="str">
        <f>"37.960724"</f>
        <v>37.960724</v>
      </c>
      <c r="R2926" t="str">
        <f>"23.706114"</f>
        <v>23.706114</v>
      </c>
      <c r="S2926" t="s">
        <v>26</v>
      </c>
    </row>
    <row r="2927" spans="1:19" x14ac:dyDescent="0.3">
      <c r="A2927" t="s">
        <v>3237</v>
      </c>
      <c r="B2927" t="s">
        <v>10503</v>
      </c>
      <c r="C2927" t="s">
        <v>10648</v>
      </c>
      <c r="D2927" t="s">
        <v>3256</v>
      </c>
      <c r="E2927" t="s">
        <v>5570</v>
      </c>
      <c r="F2927" t="s">
        <v>5570</v>
      </c>
      <c r="G2927" t="s">
        <v>5570</v>
      </c>
      <c r="H2927" t="s">
        <v>868</v>
      </c>
      <c r="I2927" t="s">
        <v>869</v>
      </c>
      <c r="J2927" t="str">
        <f>"9050137"</f>
        <v>9050137</v>
      </c>
      <c r="K2927">
        <v>2109818850</v>
      </c>
      <c r="L2927">
        <v>2109818850</v>
      </c>
      <c r="M2927" t="s">
        <v>10649</v>
      </c>
      <c r="N2927" t="s">
        <v>10650</v>
      </c>
      <c r="O2927" t="s">
        <v>10651</v>
      </c>
      <c r="P2927">
        <v>17563</v>
      </c>
      <c r="Q2927" t="str">
        <f>"37.920462"</f>
        <v>37.920462</v>
      </c>
      <c r="R2927" t="str">
        <f>"23.711410"</f>
        <v>23.711410</v>
      </c>
      <c r="S2927" t="s">
        <v>26</v>
      </c>
    </row>
    <row r="2928" spans="1:19" x14ac:dyDescent="0.3">
      <c r="A2928" t="s">
        <v>3237</v>
      </c>
      <c r="B2928" t="s">
        <v>10503</v>
      </c>
      <c r="C2928" t="s">
        <v>5670</v>
      </c>
      <c r="D2928" t="s">
        <v>3256</v>
      </c>
      <c r="E2928" t="s">
        <v>4017</v>
      </c>
      <c r="F2928" t="s">
        <v>4017</v>
      </c>
      <c r="G2928" t="s">
        <v>4017</v>
      </c>
      <c r="H2928" t="s">
        <v>868</v>
      </c>
      <c r="I2928" t="s">
        <v>869</v>
      </c>
      <c r="J2928" t="str">
        <f>"9050836"</f>
        <v>9050836</v>
      </c>
      <c r="K2928">
        <v>2109614827</v>
      </c>
      <c r="L2928">
        <v>2109614827</v>
      </c>
      <c r="M2928" t="s">
        <v>10652</v>
      </c>
      <c r="N2928" t="s">
        <v>5578</v>
      </c>
      <c r="O2928" t="s">
        <v>10653</v>
      </c>
      <c r="P2928">
        <v>16561</v>
      </c>
      <c r="Q2928" t="str">
        <f>"37.884762"</f>
        <v>37.884762</v>
      </c>
      <c r="R2928" t="str">
        <f>"23.773544"</f>
        <v>23.773544</v>
      </c>
      <c r="S2928" t="s">
        <v>26</v>
      </c>
    </row>
    <row r="2929" spans="1:19" x14ac:dyDescent="0.3">
      <c r="A2929" t="s">
        <v>3237</v>
      </c>
      <c r="B2929" t="s">
        <v>10503</v>
      </c>
      <c r="C2929" t="s">
        <v>5714</v>
      </c>
      <c r="D2929" t="s">
        <v>3256</v>
      </c>
      <c r="E2929" t="s">
        <v>5563</v>
      </c>
      <c r="F2929" t="s">
        <v>5563</v>
      </c>
      <c r="G2929" t="s">
        <v>5611</v>
      </c>
      <c r="H2929" t="s">
        <v>868</v>
      </c>
      <c r="I2929" t="s">
        <v>869</v>
      </c>
      <c r="J2929" t="str">
        <f>"9051336"</f>
        <v>9051336</v>
      </c>
      <c r="K2929">
        <v>2109584235</v>
      </c>
      <c r="L2929">
        <v>2109584235</v>
      </c>
      <c r="M2929" t="s">
        <v>10654</v>
      </c>
      <c r="O2929" t="s">
        <v>10655</v>
      </c>
      <c r="P2929">
        <v>17672</v>
      </c>
      <c r="Q2929" t="str">
        <f>"37.953532"</f>
        <v>37.953532</v>
      </c>
      <c r="R2929" t="str">
        <f>"23.708155"</f>
        <v>23.708155</v>
      </c>
      <c r="S2929" t="s">
        <v>26</v>
      </c>
    </row>
    <row r="2930" spans="1:19" x14ac:dyDescent="0.3">
      <c r="A2930" t="s">
        <v>3237</v>
      </c>
      <c r="B2930" t="s">
        <v>10503</v>
      </c>
      <c r="C2930" t="s">
        <v>5575</v>
      </c>
      <c r="D2930" t="s">
        <v>3256</v>
      </c>
      <c r="E2930" t="s">
        <v>5570</v>
      </c>
      <c r="F2930" t="s">
        <v>5570</v>
      </c>
      <c r="G2930" t="s">
        <v>5570</v>
      </c>
      <c r="H2930" t="s">
        <v>868</v>
      </c>
      <c r="I2930" t="s">
        <v>869</v>
      </c>
      <c r="J2930" t="str">
        <f>"9050182"</f>
        <v>9050182</v>
      </c>
      <c r="K2930">
        <v>2109328853</v>
      </c>
      <c r="L2930">
        <v>2109328853</v>
      </c>
      <c r="M2930" t="s">
        <v>10659</v>
      </c>
      <c r="N2930" t="s">
        <v>10650</v>
      </c>
      <c r="O2930" t="s">
        <v>10660</v>
      </c>
      <c r="P2930">
        <v>17564</v>
      </c>
      <c r="Q2930" t="str">
        <f>"37.933405"</f>
        <v>37.933405</v>
      </c>
      <c r="R2930" t="str">
        <f>"23.704764"</f>
        <v>23.704764</v>
      </c>
      <c r="S2930" t="s">
        <v>26</v>
      </c>
    </row>
    <row r="2931" spans="1:19" x14ac:dyDescent="0.3">
      <c r="A2931" t="s">
        <v>3237</v>
      </c>
      <c r="B2931" t="s">
        <v>10503</v>
      </c>
      <c r="C2931" t="s">
        <v>5750</v>
      </c>
      <c r="D2931" t="s">
        <v>3256</v>
      </c>
      <c r="E2931" t="s">
        <v>5563</v>
      </c>
      <c r="F2931" t="s">
        <v>5563</v>
      </c>
      <c r="G2931" t="s">
        <v>5633</v>
      </c>
      <c r="H2931" t="s">
        <v>868</v>
      </c>
      <c r="I2931" t="s">
        <v>869</v>
      </c>
      <c r="J2931" t="str">
        <f>"9051164"</f>
        <v>9051164</v>
      </c>
      <c r="K2931">
        <v>2109580133</v>
      </c>
      <c r="L2931">
        <v>2109580101</v>
      </c>
      <c r="M2931" t="s">
        <v>10661</v>
      </c>
      <c r="N2931" t="s">
        <v>5567</v>
      </c>
      <c r="O2931" t="s">
        <v>10662</v>
      </c>
      <c r="P2931">
        <v>17676</v>
      </c>
      <c r="Q2931" t="str">
        <f>"37.961170"</f>
        <v>37.961170</v>
      </c>
      <c r="R2931" t="str">
        <f>"23.705649"</f>
        <v>23.705649</v>
      </c>
      <c r="S2931" t="s">
        <v>26</v>
      </c>
    </row>
    <row r="2932" spans="1:19" x14ac:dyDescent="0.3">
      <c r="A2932" t="s">
        <v>3237</v>
      </c>
      <c r="B2932" t="s">
        <v>10503</v>
      </c>
      <c r="C2932" t="s">
        <v>10663</v>
      </c>
      <c r="D2932" t="s">
        <v>3256</v>
      </c>
      <c r="E2932" t="s">
        <v>5570</v>
      </c>
      <c r="F2932" t="s">
        <v>5570</v>
      </c>
      <c r="G2932" t="s">
        <v>5570</v>
      </c>
      <c r="H2932" t="s">
        <v>868</v>
      </c>
      <c r="I2932" t="s">
        <v>2930</v>
      </c>
      <c r="J2932" t="str">
        <f>"9520535"</f>
        <v>9520535</v>
      </c>
      <c r="K2932">
        <v>2109423118</v>
      </c>
      <c r="M2932" t="s">
        <v>10664</v>
      </c>
      <c r="N2932" t="s">
        <v>10665</v>
      </c>
      <c r="O2932" t="s">
        <v>10666</v>
      </c>
      <c r="P2932">
        <v>17564</v>
      </c>
      <c r="Q2932" t="str">
        <f>"37.937811"</f>
        <v>37.937811</v>
      </c>
      <c r="R2932" t="str">
        <f>"23.705428"</f>
        <v>23.705428</v>
      </c>
      <c r="S2932" t="s">
        <v>26</v>
      </c>
    </row>
    <row r="2933" spans="1:19" x14ac:dyDescent="0.3">
      <c r="A2933" t="s">
        <v>3237</v>
      </c>
      <c r="B2933" t="s">
        <v>10503</v>
      </c>
      <c r="C2933" t="s">
        <v>10667</v>
      </c>
      <c r="D2933" t="s">
        <v>3256</v>
      </c>
      <c r="E2933" t="s">
        <v>3295</v>
      </c>
      <c r="F2933" t="s">
        <v>3295</v>
      </c>
      <c r="G2933" t="s">
        <v>3295</v>
      </c>
      <c r="H2933" t="s">
        <v>868</v>
      </c>
      <c r="I2933" t="s">
        <v>869</v>
      </c>
      <c r="J2933" t="str">
        <f>"9050672"</f>
        <v>9050672</v>
      </c>
      <c r="K2933">
        <v>2109733211</v>
      </c>
      <c r="L2933">
        <v>2109733211</v>
      </c>
      <c r="M2933" t="s">
        <v>10668</v>
      </c>
      <c r="N2933" t="s">
        <v>10669</v>
      </c>
      <c r="O2933" t="s">
        <v>10670</v>
      </c>
      <c r="P2933">
        <v>17343</v>
      </c>
      <c r="Q2933" t="str">
        <f>"37.938769"</f>
        <v>37.938769</v>
      </c>
      <c r="R2933" t="str">
        <f>"23.738532"</f>
        <v>23.738532</v>
      </c>
      <c r="S2933" t="s">
        <v>26</v>
      </c>
    </row>
    <row r="2934" spans="1:19" x14ac:dyDescent="0.3">
      <c r="A2934" t="s">
        <v>3237</v>
      </c>
      <c r="B2934" t="s">
        <v>10503</v>
      </c>
      <c r="C2934" t="s">
        <v>5637</v>
      </c>
      <c r="D2934" t="s">
        <v>3256</v>
      </c>
      <c r="E2934" t="s">
        <v>5563</v>
      </c>
      <c r="F2934" t="s">
        <v>5563</v>
      </c>
      <c r="G2934" t="s">
        <v>5633</v>
      </c>
      <c r="H2934" t="s">
        <v>868</v>
      </c>
      <c r="I2934" t="s">
        <v>869</v>
      </c>
      <c r="J2934" t="str">
        <f>"9050224"</f>
        <v>9050224</v>
      </c>
      <c r="K2934">
        <v>2109581036</v>
      </c>
      <c r="L2934">
        <v>2109581036</v>
      </c>
      <c r="M2934" t="s">
        <v>10671</v>
      </c>
      <c r="N2934" t="s">
        <v>5567</v>
      </c>
      <c r="O2934" t="s">
        <v>10523</v>
      </c>
      <c r="P2934">
        <v>17671</v>
      </c>
      <c r="Q2934" t="str">
        <f>"37.956986"</f>
        <v>37.956986</v>
      </c>
      <c r="R2934" t="str">
        <f>"23.713682"</f>
        <v>23.713682</v>
      </c>
      <c r="S2934" t="s">
        <v>26</v>
      </c>
    </row>
    <row r="2935" spans="1:19" x14ac:dyDescent="0.3">
      <c r="A2935" t="s">
        <v>3237</v>
      </c>
      <c r="B2935" t="s">
        <v>10503</v>
      </c>
      <c r="C2935" t="s">
        <v>10672</v>
      </c>
      <c r="D2935" t="s">
        <v>3256</v>
      </c>
      <c r="E2935" t="s">
        <v>5563</v>
      </c>
      <c r="F2935" t="s">
        <v>5563</v>
      </c>
      <c r="G2935" t="s">
        <v>5564</v>
      </c>
      <c r="H2935" t="s">
        <v>868</v>
      </c>
      <c r="I2935" t="s">
        <v>869</v>
      </c>
      <c r="J2935" t="str">
        <f>"9520407"</f>
        <v>9520407</v>
      </c>
      <c r="K2935">
        <v>2109530230</v>
      </c>
      <c r="L2935">
        <v>2109530230</v>
      </c>
      <c r="M2935" t="s">
        <v>10673</v>
      </c>
      <c r="N2935" t="s">
        <v>5996</v>
      </c>
      <c r="O2935" t="s">
        <v>10674</v>
      </c>
      <c r="P2935">
        <v>17675</v>
      </c>
      <c r="Q2935" t="str">
        <f>"37.953882"</f>
        <v>37.953882</v>
      </c>
      <c r="R2935" t="str">
        <f>"23.693320"</f>
        <v>23.693320</v>
      </c>
      <c r="S2935" t="s">
        <v>26</v>
      </c>
    </row>
    <row r="2936" spans="1:19" x14ac:dyDescent="0.3">
      <c r="A2936" t="s">
        <v>3237</v>
      </c>
      <c r="B2936" t="s">
        <v>10503</v>
      </c>
      <c r="C2936" t="s">
        <v>10678</v>
      </c>
      <c r="D2936" t="s">
        <v>3256</v>
      </c>
      <c r="E2936" t="s">
        <v>5563</v>
      </c>
      <c r="F2936" t="s">
        <v>5563</v>
      </c>
      <c r="G2936" t="s">
        <v>5611</v>
      </c>
      <c r="H2936" t="s">
        <v>868</v>
      </c>
      <c r="I2936" t="s">
        <v>869</v>
      </c>
      <c r="J2936" t="str">
        <f>"9050675"</f>
        <v>9050675</v>
      </c>
      <c r="K2936">
        <v>2109582161</v>
      </c>
      <c r="L2936">
        <v>2109582161</v>
      </c>
      <c r="M2936" t="s">
        <v>10679</v>
      </c>
      <c r="N2936" t="s">
        <v>5567</v>
      </c>
      <c r="O2936" t="s">
        <v>10680</v>
      </c>
      <c r="P2936">
        <v>17675</v>
      </c>
      <c r="Q2936" t="str">
        <f>"37.956571"</f>
        <v>37.956571</v>
      </c>
      <c r="R2936" t="str">
        <f>"23.697700"</f>
        <v>23.697700</v>
      </c>
      <c r="S2936" t="s">
        <v>26</v>
      </c>
    </row>
    <row r="2937" spans="1:19" x14ac:dyDescent="0.3">
      <c r="A2937" t="s">
        <v>3237</v>
      </c>
      <c r="B2937" t="s">
        <v>10503</v>
      </c>
      <c r="C2937" t="s">
        <v>5915</v>
      </c>
      <c r="D2937" t="s">
        <v>3256</v>
      </c>
      <c r="E2937" t="s">
        <v>3295</v>
      </c>
      <c r="F2937" t="s">
        <v>3295</v>
      </c>
      <c r="G2937" t="s">
        <v>3295</v>
      </c>
      <c r="H2937" t="s">
        <v>868</v>
      </c>
      <c r="I2937" t="s">
        <v>869</v>
      </c>
      <c r="J2937" t="str">
        <f>"9050146"</f>
        <v>9050146</v>
      </c>
      <c r="K2937">
        <v>2109911615</v>
      </c>
      <c r="L2937">
        <v>2109911615</v>
      </c>
      <c r="M2937" t="s">
        <v>10681</v>
      </c>
      <c r="N2937" t="s">
        <v>3472</v>
      </c>
      <c r="O2937" t="s">
        <v>10682</v>
      </c>
      <c r="P2937">
        <v>17342</v>
      </c>
      <c r="Q2937" t="str">
        <f>"37.930486"</f>
        <v>37.930486</v>
      </c>
      <c r="R2937" t="str">
        <f>"23.738694"</f>
        <v>23.738694</v>
      </c>
      <c r="S2937" t="s">
        <v>26</v>
      </c>
    </row>
    <row r="2938" spans="1:19" x14ac:dyDescent="0.3">
      <c r="A2938" t="s">
        <v>3237</v>
      </c>
      <c r="B2938" t="s">
        <v>10503</v>
      </c>
      <c r="C2938" t="s">
        <v>10683</v>
      </c>
      <c r="D2938" t="s">
        <v>3256</v>
      </c>
      <c r="E2938" t="s">
        <v>5656</v>
      </c>
      <c r="F2938" t="s">
        <v>5680</v>
      </c>
      <c r="G2938" t="s">
        <v>5680</v>
      </c>
      <c r="H2938" t="s">
        <v>868</v>
      </c>
      <c r="I2938" t="s">
        <v>869</v>
      </c>
      <c r="J2938" t="str">
        <f>"9051165"</f>
        <v>9051165</v>
      </c>
      <c r="K2938">
        <v>2109410172</v>
      </c>
      <c r="L2938">
        <v>2109413465</v>
      </c>
      <c r="M2938" t="s">
        <v>10684</v>
      </c>
      <c r="N2938" t="s">
        <v>5683</v>
      </c>
      <c r="O2938" t="s">
        <v>10685</v>
      </c>
      <c r="P2938">
        <v>18345</v>
      </c>
      <c r="Q2938" t="str">
        <f>"37.955378"</f>
        <v>37.955378</v>
      </c>
      <c r="R2938" t="str">
        <f>"23.685171"</f>
        <v>23.685171</v>
      </c>
      <c r="S2938" t="s">
        <v>26</v>
      </c>
    </row>
    <row r="2939" spans="1:19" x14ac:dyDescent="0.3">
      <c r="A2939" t="s">
        <v>3237</v>
      </c>
      <c r="B2939" t="s">
        <v>10503</v>
      </c>
      <c r="C2939" t="s">
        <v>10686</v>
      </c>
      <c r="D2939" t="s">
        <v>3256</v>
      </c>
      <c r="E2939" t="s">
        <v>3257</v>
      </c>
      <c r="F2939" t="s">
        <v>3257</v>
      </c>
      <c r="G2939" t="s">
        <v>3257</v>
      </c>
      <c r="H2939" t="s">
        <v>868</v>
      </c>
      <c r="I2939" t="s">
        <v>869</v>
      </c>
      <c r="J2939" t="str">
        <f>"9050176"</f>
        <v>9050176</v>
      </c>
      <c r="K2939">
        <v>2109922215</v>
      </c>
      <c r="L2939">
        <v>2109922215</v>
      </c>
      <c r="M2939" t="s">
        <v>10687</v>
      </c>
      <c r="N2939" t="s">
        <v>5630</v>
      </c>
      <c r="O2939" t="s">
        <v>10688</v>
      </c>
      <c r="P2939">
        <v>17456</v>
      </c>
      <c r="Q2939" t="str">
        <f>"37.917389"</f>
        <v>37.917389</v>
      </c>
      <c r="R2939" t="str">
        <f>"23.735426"</f>
        <v>23.735426</v>
      </c>
      <c r="S2939" t="s">
        <v>26</v>
      </c>
    </row>
    <row r="2940" spans="1:19" x14ac:dyDescent="0.3">
      <c r="A2940" t="s">
        <v>3237</v>
      </c>
      <c r="B2940" t="s">
        <v>10503</v>
      </c>
      <c r="C2940" t="s">
        <v>10692</v>
      </c>
      <c r="D2940" t="s">
        <v>3256</v>
      </c>
      <c r="E2940" t="s">
        <v>5570</v>
      </c>
      <c r="F2940" t="s">
        <v>5570</v>
      </c>
      <c r="G2940" t="s">
        <v>5570</v>
      </c>
      <c r="H2940" t="s">
        <v>868</v>
      </c>
      <c r="I2940" t="s">
        <v>869</v>
      </c>
      <c r="J2940" t="str">
        <f>"9050181"</f>
        <v>9050181</v>
      </c>
      <c r="K2940">
        <v>2109416773</v>
      </c>
      <c r="L2940">
        <v>2109416773</v>
      </c>
      <c r="M2940" t="s">
        <v>10693</v>
      </c>
      <c r="N2940" t="s">
        <v>10639</v>
      </c>
      <c r="O2940" t="s">
        <v>10694</v>
      </c>
      <c r="P2940">
        <v>17564</v>
      </c>
      <c r="Q2940" t="str">
        <f>"37.940022"</f>
        <v>37.940022</v>
      </c>
      <c r="R2940" t="str">
        <f>"23.701342"</f>
        <v>23.701342</v>
      </c>
      <c r="S2940" t="s">
        <v>26</v>
      </c>
    </row>
    <row r="2941" spans="1:19" x14ac:dyDescent="0.3">
      <c r="A2941" t="s">
        <v>3237</v>
      </c>
      <c r="B2941" t="s">
        <v>10503</v>
      </c>
      <c r="C2941" t="s">
        <v>10699</v>
      </c>
      <c r="D2941" t="s">
        <v>3256</v>
      </c>
      <c r="E2941" t="s">
        <v>3295</v>
      </c>
      <c r="F2941" t="s">
        <v>3295</v>
      </c>
      <c r="G2941" t="s">
        <v>3295</v>
      </c>
      <c r="H2941" t="s">
        <v>868</v>
      </c>
      <c r="I2941" t="s">
        <v>869</v>
      </c>
      <c r="J2941" t="str">
        <f>"9050967"</f>
        <v>9050967</v>
      </c>
      <c r="K2941">
        <v>2109919559</v>
      </c>
      <c r="L2941">
        <v>2109919559</v>
      </c>
      <c r="M2941" t="s">
        <v>10700</v>
      </c>
      <c r="N2941" t="s">
        <v>3472</v>
      </c>
      <c r="O2941" t="s">
        <v>10701</v>
      </c>
      <c r="P2941">
        <v>17342</v>
      </c>
      <c r="Q2941" t="str">
        <f>"37.930710"</f>
        <v>37.930710</v>
      </c>
      <c r="R2941" t="str">
        <f>"23.732508"</f>
        <v>23.732508</v>
      </c>
      <c r="S2941" t="s">
        <v>26</v>
      </c>
    </row>
    <row r="2942" spans="1:19" x14ac:dyDescent="0.3">
      <c r="A2942" t="s">
        <v>3237</v>
      </c>
      <c r="B2942" t="s">
        <v>10503</v>
      </c>
      <c r="C2942" t="s">
        <v>10702</v>
      </c>
      <c r="D2942" t="s">
        <v>3256</v>
      </c>
      <c r="E2942" t="s">
        <v>5563</v>
      </c>
      <c r="F2942" t="s">
        <v>5563</v>
      </c>
      <c r="G2942" t="s">
        <v>5611</v>
      </c>
      <c r="H2942" t="s">
        <v>868</v>
      </c>
      <c r="I2942" t="s">
        <v>1157</v>
      </c>
      <c r="J2942" t="str">
        <f>"9520889"</f>
        <v>9520889</v>
      </c>
      <c r="K2942">
        <v>2109588137</v>
      </c>
      <c r="L2942">
        <v>2109588137</v>
      </c>
      <c r="M2942" t="s">
        <v>10703</v>
      </c>
      <c r="N2942" t="s">
        <v>5567</v>
      </c>
      <c r="O2942" t="s">
        <v>10704</v>
      </c>
      <c r="P2942">
        <v>17675</v>
      </c>
      <c r="Q2942" t="str">
        <f>"37.952366"</f>
        <v>37.952366</v>
      </c>
      <c r="R2942" t="str">
        <f>"23.696110"</f>
        <v>23.696110</v>
      </c>
      <c r="S2942" t="s">
        <v>26</v>
      </c>
    </row>
    <row r="2943" spans="1:19" x14ac:dyDescent="0.3">
      <c r="A2943" t="s">
        <v>3237</v>
      </c>
      <c r="B2943" t="s">
        <v>10503</v>
      </c>
      <c r="C2943" t="s">
        <v>10705</v>
      </c>
      <c r="D2943" t="s">
        <v>3256</v>
      </c>
      <c r="E2943" t="s">
        <v>5563</v>
      </c>
      <c r="F2943" t="s">
        <v>5563</v>
      </c>
      <c r="G2943" t="s">
        <v>5633</v>
      </c>
      <c r="H2943" t="s">
        <v>868</v>
      </c>
      <c r="I2943" t="s">
        <v>1157</v>
      </c>
      <c r="J2943" t="str">
        <f>"9520346"</f>
        <v>9520346</v>
      </c>
      <c r="K2943">
        <v>2109576855</v>
      </c>
      <c r="L2943">
        <v>2109576855</v>
      </c>
      <c r="M2943" t="s">
        <v>10706</v>
      </c>
      <c r="N2943" t="s">
        <v>5567</v>
      </c>
      <c r="O2943" t="s">
        <v>10707</v>
      </c>
      <c r="P2943">
        <v>17674</v>
      </c>
      <c r="Q2943" t="str">
        <f>"37.946380"</f>
        <v>37.946380</v>
      </c>
      <c r="R2943" t="str">
        <f>"23.696204"</f>
        <v>23.696204</v>
      </c>
      <c r="S2943" t="s">
        <v>26</v>
      </c>
    </row>
    <row r="2944" spans="1:19" x14ac:dyDescent="0.3">
      <c r="A2944" t="s">
        <v>3237</v>
      </c>
      <c r="B2944" t="s">
        <v>10503</v>
      </c>
      <c r="C2944" t="s">
        <v>10708</v>
      </c>
      <c r="D2944" t="s">
        <v>3256</v>
      </c>
      <c r="E2944" t="s">
        <v>5563</v>
      </c>
      <c r="F2944" t="s">
        <v>5563</v>
      </c>
      <c r="G2944" t="s">
        <v>5611</v>
      </c>
      <c r="H2944" t="s">
        <v>868</v>
      </c>
      <c r="I2944" t="s">
        <v>1157</v>
      </c>
      <c r="J2944" t="str">
        <f>"9520438"</f>
        <v>9520438</v>
      </c>
      <c r="K2944">
        <v>2109588066</v>
      </c>
      <c r="L2944">
        <v>2109588066</v>
      </c>
      <c r="M2944" t="s">
        <v>10709</v>
      </c>
      <c r="N2944" t="s">
        <v>5567</v>
      </c>
      <c r="O2944" t="s">
        <v>10710</v>
      </c>
      <c r="P2944">
        <v>17675</v>
      </c>
      <c r="Q2944" t="str">
        <f>"37.952916"</f>
        <v>37.952916</v>
      </c>
      <c r="R2944" t="str">
        <f>"23.696314"</f>
        <v>23.696314</v>
      </c>
      <c r="S2944" t="s">
        <v>26</v>
      </c>
    </row>
    <row r="2945" spans="1:19" x14ac:dyDescent="0.3">
      <c r="A2945" t="s">
        <v>3237</v>
      </c>
      <c r="B2945" t="s">
        <v>10503</v>
      </c>
      <c r="C2945" t="s">
        <v>5662</v>
      </c>
      <c r="D2945" t="s">
        <v>3256</v>
      </c>
      <c r="E2945" t="s">
        <v>5656</v>
      </c>
      <c r="F2945" t="s">
        <v>5657</v>
      </c>
      <c r="G2945" t="s">
        <v>5657</v>
      </c>
      <c r="H2945" t="s">
        <v>868</v>
      </c>
      <c r="I2945" t="s">
        <v>869</v>
      </c>
      <c r="J2945" t="str">
        <f>"9050330"</f>
        <v>9050330</v>
      </c>
      <c r="K2945">
        <v>2103460370</v>
      </c>
      <c r="L2945">
        <v>2103460370</v>
      </c>
      <c r="M2945" t="s">
        <v>10711</v>
      </c>
      <c r="N2945" t="s">
        <v>5660</v>
      </c>
      <c r="O2945" t="s">
        <v>10712</v>
      </c>
      <c r="P2945">
        <v>17778</v>
      </c>
      <c r="Q2945" t="str">
        <f>"37.971472"</f>
        <v>37.971472</v>
      </c>
      <c r="R2945" t="str">
        <f>"23.694717"</f>
        <v>23.694717</v>
      </c>
      <c r="S2945" t="s">
        <v>26</v>
      </c>
    </row>
    <row r="2946" spans="1:19" x14ac:dyDescent="0.3">
      <c r="A2946" t="s">
        <v>3237</v>
      </c>
      <c r="B2946" t="s">
        <v>10503</v>
      </c>
      <c r="C2946" t="s">
        <v>10716</v>
      </c>
      <c r="D2946" t="s">
        <v>3256</v>
      </c>
      <c r="E2946" t="s">
        <v>5563</v>
      </c>
      <c r="F2946" t="s">
        <v>5563</v>
      </c>
      <c r="G2946" t="s">
        <v>5611</v>
      </c>
      <c r="H2946" t="s">
        <v>868</v>
      </c>
      <c r="I2946" t="s">
        <v>869</v>
      </c>
      <c r="J2946" t="str">
        <f>"9050218"</f>
        <v>9050218</v>
      </c>
      <c r="K2946">
        <v>2109567892</v>
      </c>
      <c r="L2946">
        <v>2109567890</v>
      </c>
      <c r="M2946" t="s">
        <v>10717</v>
      </c>
      <c r="N2946" t="s">
        <v>5567</v>
      </c>
      <c r="O2946" t="s">
        <v>10718</v>
      </c>
      <c r="P2946">
        <v>17676</v>
      </c>
      <c r="Q2946" t="str">
        <f>"37.962930"</f>
        <v>37.962930</v>
      </c>
      <c r="R2946" t="str">
        <f>"23.709553"</f>
        <v>23.709553</v>
      </c>
      <c r="S2946" t="s">
        <v>26</v>
      </c>
    </row>
    <row r="2947" spans="1:19" x14ac:dyDescent="0.3">
      <c r="A2947" t="s">
        <v>3237</v>
      </c>
      <c r="B2947" t="s">
        <v>10503</v>
      </c>
      <c r="C2947" t="s">
        <v>5605</v>
      </c>
      <c r="D2947" t="s">
        <v>3256</v>
      </c>
      <c r="E2947" t="s">
        <v>5599</v>
      </c>
      <c r="F2947" t="s">
        <v>5600</v>
      </c>
      <c r="G2947" t="s">
        <v>5601</v>
      </c>
      <c r="H2947" t="s">
        <v>868</v>
      </c>
      <c r="I2947" t="s">
        <v>869</v>
      </c>
      <c r="J2947" t="str">
        <f>"9050968"</f>
        <v>9050968</v>
      </c>
      <c r="K2947">
        <v>2109922610</v>
      </c>
      <c r="L2947">
        <v>2109922610</v>
      </c>
      <c r="M2947" t="s">
        <v>10722</v>
      </c>
      <c r="N2947" t="s">
        <v>1038</v>
      </c>
      <c r="O2947" t="s">
        <v>10723</v>
      </c>
      <c r="P2947">
        <v>16452</v>
      </c>
      <c r="Q2947" t="str">
        <f>"37.912934"</f>
        <v>37.912934</v>
      </c>
      <c r="R2947" t="str">
        <f>"23.747199"</f>
        <v>23.747199</v>
      </c>
      <c r="S2947" t="s">
        <v>26</v>
      </c>
    </row>
    <row r="2948" spans="1:19" x14ac:dyDescent="0.3">
      <c r="A2948" t="s">
        <v>3237</v>
      </c>
      <c r="B2948" t="s">
        <v>10503</v>
      </c>
      <c r="C2948" t="s">
        <v>10724</v>
      </c>
      <c r="D2948" t="s">
        <v>3256</v>
      </c>
      <c r="E2948" t="s">
        <v>5570</v>
      </c>
      <c r="F2948" t="s">
        <v>5570</v>
      </c>
      <c r="G2948" t="s">
        <v>5570</v>
      </c>
      <c r="H2948" t="s">
        <v>868</v>
      </c>
      <c r="I2948" t="s">
        <v>869</v>
      </c>
      <c r="J2948" t="str">
        <f>"9051162"</f>
        <v>9051162</v>
      </c>
      <c r="K2948">
        <v>2109850216</v>
      </c>
      <c r="L2948">
        <v>2109850216</v>
      </c>
      <c r="M2948" t="s">
        <v>10725</v>
      </c>
      <c r="N2948" t="s">
        <v>10650</v>
      </c>
      <c r="O2948" t="s">
        <v>10726</v>
      </c>
      <c r="P2948">
        <v>17562</v>
      </c>
      <c r="Q2948" t="str">
        <f>"37.927711"</f>
        <v>37.927711</v>
      </c>
      <c r="R2948" t="str">
        <f>"23.699739"</f>
        <v>23.699739</v>
      </c>
      <c r="S2948" t="s">
        <v>26</v>
      </c>
    </row>
    <row r="2949" spans="1:19" x14ac:dyDescent="0.3">
      <c r="A2949" t="s">
        <v>3237</v>
      </c>
      <c r="B2949" t="s">
        <v>10503</v>
      </c>
      <c r="C2949" t="s">
        <v>5655</v>
      </c>
      <c r="D2949" t="s">
        <v>3256</v>
      </c>
      <c r="E2949" t="s">
        <v>3295</v>
      </c>
      <c r="F2949" t="s">
        <v>3295</v>
      </c>
      <c r="G2949" t="s">
        <v>3295</v>
      </c>
      <c r="H2949" t="s">
        <v>868</v>
      </c>
      <c r="I2949" t="s">
        <v>869</v>
      </c>
      <c r="J2949" t="str">
        <f>"9520481"</f>
        <v>9520481</v>
      </c>
      <c r="K2949">
        <v>2109711116</v>
      </c>
      <c r="L2949">
        <v>2109711116</v>
      </c>
      <c r="M2949" t="s">
        <v>10729</v>
      </c>
      <c r="N2949" t="s">
        <v>3472</v>
      </c>
      <c r="O2949" t="s">
        <v>10730</v>
      </c>
      <c r="P2949">
        <v>17343</v>
      </c>
      <c r="Q2949" t="str">
        <f>"37.940686"</f>
        <v>37.940686</v>
      </c>
      <c r="R2949" t="str">
        <f>"23.737409"</f>
        <v>23.737409</v>
      </c>
      <c r="S2949" t="s">
        <v>26</v>
      </c>
    </row>
    <row r="2950" spans="1:19" x14ac:dyDescent="0.3">
      <c r="A2950" t="s">
        <v>3237</v>
      </c>
      <c r="B2950" t="s">
        <v>10503</v>
      </c>
      <c r="C2950" t="s">
        <v>10731</v>
      </c>
      <c r="D2950" t="s">
        <v>3256</v>
      </c>
      <c r="E2950" t="s">
        <v>5586</v>
      </c>
      <c r="F2950" t="s">
        <v>5586</v>
      </c>
      <c r="G2950" t="s">
        <v>5586</v>
      </c>
      <c r="H2950" t="s">
        <v>868</v>
      </c>
      <c r="I2950" t="s">
        <v>869</v>
      </c>
      <c r="J2950" t="str">
        <f>"9050236"</f>
        <v>9050236</v>
      </c>
      <c r="K2950">
        <v>2109338908</v>
      </c>
      <c r="L2950">
        <v>2109338908</v>
      </c>
      <c r="M2950" t="s">
        <v>10732</v>
      </c>
      <c r="N2950" t="s">
        <v>10733</v>
      </c>
      <c r="O2950" t="s">
        <v>10734</v>
      </c>
      <c r="P2950">
        <v>17121</v>
      </c>
      <c r="Q2950" t="str">
        <f>"37.951326"</f>
        <v>37.951326</v>
      </c>
      <c r="R2950" t="str">
        <f>"23.719163"</f>
        <v>23.719163</v>
      </c>
      <c r="S2950" t="s">
        <v>26</v>
      </c>
    </row>
    <row r="2951" spans="1:19" x14ac:dyDescent="0.3">
      <c r="A2951" t="s">
        <v>3237</v>
      </c>
      <c r="B2951" t="s">
        <v>10503</v>
      </c>
      <c r="C2951" t="s">
        <v>10735</v>
      </c>
      <c r="D2951" t="s">
        <v>3256</v>
      </c>
      <c r="E2951" t="s">
        <v>5563</v>
      </c>
      <c r="F2951" t="s">
        <v>5563</v>
      </c>
      <c r="G2951" t="s">
        <v>5564</v>
      </c>
      <c r="H2951" t="s">
        <v>868</v>
      </c>
      <c r="I2951" t="s">
        <v>869</v>
      </c>
      <c r="J2951" t="str">
        <f>"9520384"</f>
        <v>9520384</v>
      </c>
      <c r="K2951">
        <v>2109516149</v>
      </c>
      <c r="L2951">
        <v>2109576948</v>
      </c>
      <c r="M2951" t="s">
        <v>10736</v>
      </c>
      <c r="N2951" t="s">
        <v>5567</v>
      </c>
      <c r="O2951" t="s">
        <v>10737</v>
      </c>
      <c r="P2951">
        <v>17673</v>
      </c>
      <c r="Q2951" t="str">
        <f>"37.948081"</f>
        <v>37.948081</v>
      </c>
      <c r="R2951" t="str">
        <f>"23.698982"</f>
        <v>23.698982</v>
      </c>
      <c r="S2951" t="s">
        <v>26</v>
      </c>
    </row>
    <row r="2952" spans="1:19" x14ac:dyDescent="0.3">
      <c r="A2952" t="s">
        <v>3237</v>
      </c>
      <c r="B2952" t="s">
        <v>10503</v>
      </c>
      <c r="C2952" t="s">
        <v>5641</v>
      </c>
      <c r="D2952" t="s">
        <v>3256</v>
      </c>
      <c r="E2952" t="s">
        <v>5563</v>
      </c>
      <c r="F2952" t="s">
        <v>5563</v>
      </c>
      <c r="G2952" t="s">
        <v>5564</v>
      </c>
      <c r="H2952" t="s">
        <v>868</v>
      </c>
      <c r="I2952" t="s">
        <v>869</v>
      </c>
      <c r="J2952" t="str">
        <f>"9050223"</f>
        <v>9050223</v>
      </c>
      <c r="K2952">
        <v>2109431341</v>
      </c>
      <c r="L2952">
        <v>2109431074</v>
      </c>
      <c r="M2952" t="s">
        <v>10738</v>
      </c>
      <c r="N2952" t="s">
        <v>5567</v>
      </c>
      <c r="O2952" t="s">
        <v>10739</v>
      </c>
      <c r="P2952">
        <v>17674</v>
      </c>
      <c r="Q2952" t="str">
        <f>"37.945599"</f>
        <v>37.945599</v>
      </c>
      <c r="R2952" t="str">
        <f>"23.696632"</f>
        <v>23.696632</v>
      </c>
      <c r="S2952" t="s">
        <v>26</v>
      </c>
    </row>
    <row r="2953" spans="1:19" x14ac:dyDescent="0.3">
      <c r="A2953" t="s">
        <v>3237</v>
      </c>
      <c r="B2953" t="s">
        <v>10503</v>
      </c>
      <c r="C2953" t="s">
        <v>5891</v>
      </c>
      <c r="D2953" t="s">
        <v>3256</v>
      </c>
      <c r="E2953" t="s">
        <v>3295</v>
      </c>
      <c r="F2953" t="s">
        <v>3295</v>
      </c>
      <c r="G2953" t="s">
        <v>3295</v>
      </c>
      <c r="H2953" t="s">
        <v>868</v>
      </c>
      <c r="I2953" t="s">
        <v>869</v>
      </c>
      <c r="J2953" t="str">
        <f>"9050144"</f>
        <v>9050144</v>
      </c>
      <c r="K2953">
        <v>2109346041</v>
      </c>
      <c r="L2953">
        <v>2109346016</v>
      </c>
      <c r="M2953" t="s">
        <v>10743</v>
      </c>
      <c r="N2953" t="s">
        <v>3472</v>
      </c>
      <c r="O2953" t="s">
        <v>10744</v>
      </c>
      <c r="P2953">
        <v>17341</v>
      </c>
      <c r="Q2953" t="str">
        <f>"37.927542"</f>
        <v>37.927542</v>
      </c>
      <c r="R2953" t="str">
        <f>"23.722441"</f>
        <v>23.722441</v>
      </c>
      <c r="S2953" t="s">
        <v>26</v>
      </c>
    </row>
    <row r="2954" spans="1:19" x14ac:dyDescent="0.3">
      <c r="A2954" t="s">
        <v>3237</v>
      </c>
      <c r="B2954" t="s">
        <v>10503</v>
      </c>
      <c r="C2954" t="s">
        <v>10751</v>
      </c>
      <c r="D2954" t="s">
        <v>3256</v>
      </c>
      <c r="E2954" t="s">
        <v>5570</v>
      </c>
      <c r="F2954" t="s">
        <v>5570</v>
      </c>
      <c r="G2954" t="s">
        <v>5570</v>
      </c>
      <c r="H2954" t="s">
        <v>868</v>
      </c>
      <c r="I2954" t="s">
        <v>869</v>
      </c>
      <c r="J2954" t="str">
        <f>"9050202"</f>
        <v>9050202</v>
      </c>
      <c r="K2954">
        <v>2109811926</v>
      </c>
      <c r="L2954">
        <v>2109811926</v>
      </c>
      <c r="M2954" t="s">
        <v>10752</v>
      </c>
      <c r="N2954" t="s">
        <v>5573</v>
      </c>
      <c r="O2954" t="s">
        <v>10753</v>
      </c>
      <c r="P2954">
        <v>17562</v>
      </c>
      <c r="Q2954" t="str">
        <f>"37.924332"</f>
        <v>37.924332</v>
      </c>
      <c r="R2954" t="str">
        <f>"23.701657"</f>
        <v>23.701657</v>
      </c>
      <c r="S2954" t="s">
        <v>26</v>
      </c>
    </row>
    <row r="2955" spans="1:19" x14ac:dyDescent="0.3">
      <c r="A2955" t="s">
        <v>3237</v>
      </c>
      <c r="B2955" t="s">
        <v>10503</v>
      </c>
      <c r="C2955" t="s">
        <v>10763</v>
      </c>
      <c r="D2955" t="s">
        <v>3256</v>
      </c>
      <c r="E2955" t="s">
        <v>5586</v>
      </c>
      <c r="F2955" t="s">
        <v>5586</v>
      </c>
      <c r="G2955" t="s">
        <v>5586</v>
      </c>
      <c r="H2955" t="s">
        <v>868</v>
      </c>
      <c r="I2955" t="s">
        <v>869</v>
      </c>
      <c r="J2955" t="str">
        <f>"9050231"</f>
        <v>9050231</v>
      </c>
      <c r="K2955">
        <v>2109348238</v>
      </c>
      <c r="L2955">
        <v>2109348514</v>
      </c>
      <c r="M2955" t="s">
        <v>10764</v>
      </c>
      <c r="N2955" t="s">
        <v>5964</v>
      </c>
      <c r="O2955" t="s">
        <v>10765</v>
      </c>
      <c r="P2955">
        <v>17121</v>
      </c>
      <c r="Q2955" t="str">
        <f>"37.951144"</f>
        <v>37.951144</v>
      </c>
      <c r="R2955" t="str">
        <f>"23.718883"</f>
        <v>23.718883</v>
      </c>
      <c r="S2955" t="s">
        <v>26</v>
      </c>
    </row>
    <row r="2956" spans="1:19" x14ac:dyDescent="0.3">
      <c r="A2956" t="s">
        <v>3237</v>
      </c>
      <c r="B2956" t="s">
        <v>10503</v>
      </c>
      <c r="C2956" t="s">
        <v>5919</v>
      </c>
      <c r="D2956" t="s">
        <v>3256</v>
      </c>
      <c r="E2956" t="s">
        <v>5586</v>
      </c>
      <c r="F2956" t="s">
        <v>5586</v>
      </c>
      <c r="G2956" t="s">
        <v>5586</v>
      </c>
      <c r="H2956" t="s">
        <v>868</v>
      </c>
      <c r="I2956" t="s">
        <v>869</v>
      </c>
      <c r="J2956" t="str">
        <f>"9050239"</f>
        <v>9050239</v>
      </c>
      <c r="K2956">
        <v>2109345380</v>
      </c>
      <c r="M2956" t="s">
        <v>10766</v>
      </c>
      <c r="N2956" t="s">
        <v>3260</v>
      </c>
      <c r="O2956" t="s">
        <v>10767</v>
      </c>
      <c r="P2956">
        <v>17124</v>
      </c>
      <c r="Q2956" t="str">
        <f>"37.938934"</f>
        <v>37.938934</v>
      </c>
      <c r="R2956" t="str">
        <f>"23.722117"</f>
        <v>23.722117</v>
      </c>
      <c r="S2956" t="s">
        <v>26</v>
      </c>
    </row>
    <row r="2957" spans="1:19" x14ac:dyDescent="0.3">
      <c r="A2957" t="s">
        <v>3237</v>
      </c>
      <c r="B2957" t="s">
        <v>10503</v>
      </c>
      <c r="C2957" t="s">
        <v>10768</v>
      </c>
      <c r="D2957" t="s">
        <v>3256</v>
      </c>
      <c r="E2957" t="s">
        <v>3295</v>
      </c>
      <c r="F2957" t="s">
        <v>3295</v>
      </c>
      <c r="G2957" t="s">
        <v>3295</v>
      </c>
      <c r="H2957" t="s">
        <v>868</v>
      </c>
      <c r="I2957" t="s">
        <v>869</v>
      </c>
      <c r="J2957" t="str">
        <f>"9050139"</f>
        <v>9050139</v>
      </c>
      <c r="K2957">
        <v>2109711809</v>
      </c>
      <c r="L2957">
        <v>2109711809</v>
      </c>
      <c r="M2957" t="s">
        <v>10769</v>
      </c>
      <c r="N2957" t="s">
        <v>3472</v>
      </c>
      <c r="O2957" t="s">
        <v>10770</v>
      </c>
      <c r="P2957">
        <v>17343</v>
      </c>
      <c r="Q2957" t="str">
        <f>"37.941694"</f>
        <v>37.941694</v>
      </c>
      <c r="R2957" t="str">
        <f>"23.735185"</f>
        <v>23.735185</v>
      </c>
      <c r="S2957" t="s">
        <v>26</v>
      </c>
    </row>
    <row r="2958" spans="1:19" x14ac:dyDescent="0.3">
      <c r="A2958" t="s">
        <v>3237</v>
      </c>
      <c r="B2958" t="s">
        <v>10503</v>
      </c>
      <c r="C2958" t="s">
        <v>10771</v>
      </c>
      <c r="D2958" t="s">
        <v>3256</v>
      </c>
      <c r="E2958" t="s">
        <v>5563</v>
      </c>
      <c r="F2958" t="s">
        <v>5563</v>
      </c>
      <c r="G2958" t="s">
        <v>5611</v>
      </c>
      <c r="H2958" t="s">
        <v>868</v>
      </c>
      <c r="I2958" t="s">
        <v>869</v>
      </c>
      <c r="J2958" t="str">
        <f>"9050216"</f>
        <v>9050216</v>
      </c>
      <c r="K2958">
        <v>2109561629</v>
      </c>
      <c r="L2958">
        <v>2109561629</v>
      </c>
      <c r="M2958" t="s">
        <v>10772</v>
      </c>
      <c r="N2958" t="s">
        <v>5567</v>
      </c>
      <c r="O2958" t="s">
        <v>10518</v>
      </c>
      <c r="P2958">
        <v>17673</v>
      </c>
      <c r="Q2958" t="str">
        <f>"37.950964"</f>
        <v>37.950964</v>
      </c>
      <c r="R2958" t="str">
        <f>"23.702827"</f>
        <v>23.702827</v>
      </c>
      <c r="S2958" t="s">
        <v>26</v>
      </c>
    </row>
    <row r="2959" spans="1:19" x14ac:dyDescent="0.3">
      <c r="A2959" t="s">
        <v>3237</v>
      </c>
      <c r="B2959" t="s">
        <v>10503</v>
      </c>
      <c r="C2959" t="s">
        <v>10779</v>
      </c>
      <c r="D2959" t="s">
        <v>3256</v>
      </c>
      <c r="E2959" t="s">
        <v>5563</v>
      </c>
      <c r="F2959" t="s">
        <v>5563</v>
      </c>
      <c r="G2959" t="s">
        <v>5611</v>
      </c>
      <c r="H2959" t="s">
        <v>868</v>
      </c>
      <c r="I2959" t="s">
        <v>869</v>
      </c>
      <c r="J2959" t="str">
        <f>"9050972"</f>
        <v>9050972</v>
      </c>
      <c r="K2959">
        <v>2109589278</v>
      </c>
      <c r="L2959">
        <v>2109589220</v>
      </c>
      <c r="M2959" t="s">
        <v>10780</v>
      </c>
      <c r="N2959" t="s">
        <v>5567</v>
      </c>
      <c r="O2959" t="s">
        <v>10781</v>
      </c>
      <c r="P2959">
        <v>17675</v>
      </c>
      <c r="Q2959" t="str">
        <f>"37.956771"</f>
        <v>37.956771</v>
      </c>
      <c r="R2959" t="str">
        <f>"23.694046"</f>
        <v>23.694046</v>
      </c>
      <c r="S2959" t="s">
        <v>26</v>
      </c>
    </row>
    <row r="2960" spans="1:19" x14ac:dyDescent="0.3">
      <c r="A2960" t="s">
        <v>3237</v>
      </c>
      <c r="B2960" t="s">
        <v>10503</v>
      </c>
      <c r="C2960" t="s">
        <v>5710</v>
      </c>
      <c r="D2960" t="s">
        <v>3256</v>
      </c>
      <c r="E2960" t="s">
        <v>5570</v>
      </c>
      <c r="F2960" t="s">
        <v>5570</v>
      </c>
      <c r="G2960" t="s">
        <v>5570</v>
      </c>
      <c r="H2960" t="s">
        <v>868</v>
      </c>
      <c r="I2960" t="s">
        <v>869</v>
      </c>
      <c r="J2960" t="str">
        <f>"9520406"</f>
        <v>9520406</v>
      </c>
      <c r="K2960">
        <v>2109402572</v>
      </c>
      <c r="L2960">
        <v>2109484059</v>
      </c>
      <c r="M2960" t="s">
        <v>10782</v>
      </c>
      <c r="N2960" t="s">
        <v>10650</v>
      </c>
      <c r="O2960" t="s">
        <v>10783</v>
      </c>
      <c r="P2960">
        <v>17564</v>
      </c>
      <c r="Q2960" t="str">
        <f>"37.937940"</f>
        <v>37.937940</v>
      </c>
      <c r="R2960" t="str">
        <f>"23.698177"</f>
        <v>23.698177</v>
      </c>
      <c r="S2960" t="s">
        <v>26</v>
      </c>
    </row>
    <row r="2961" spans="1:19" x14ac:dyDescent="0.3">
      <c r="A2961" t="s">
        <v>3237</v>
      </c>
      <c r="B2961" t="s">
        <v>10503</v>
      </c>
      <c r="C2961" t="s">
        <v>5797</v>
      </c>
      <c r="D2961" t="s">
        <v>3256</v>
      </c>
      <c r="E2961" t="s">
        <v>3295</v>
      </c>
      <c r="F2961" t="s">
        <v>3295</v>
      </c>
      <c r="G2961" t="s">
        <v>3295</v>
      </c>
      <c r="H2961" t="s">
        <v>868</v>
      </c>
      <c r="I2961" t="s">
        <v>869</v>
      </c>
      <c r="J2961" t="str">
        <f>"9520482"</f>
        <v>9520482</v>
      </c>
      <c r="K2961">
        <v>2109354403</v>
      </c>
      <c r="L2961">
        <v>2109320612</v>
      </c>
      <c r="M2961" t="s">
        <v>10784</v>
      </c>
      <c r="N2961" t="s">
        <v>3472</v>
      </c>
      <c r="O2961" t="s">
        <v>10785</v>
      </c>
      <c r="P2961">
        <v>17341</v>
      </c>
      <c r="Q2961" t="str">
        <f>"37.938788"</f>
        <v>37.938788</v>
      </c>
      <c r="R2961" t="str">
        <f>"23.723119"</f>
        <v>23.723119</v>
      </c>
      <c r="S2961" t="s">
        <v>26</v>
      </c>
    </row>
    <row r="2962" spans="1:19" x14ac:dyDescent="0.3">
      <c r="A2962" t="s">
        <v>3237</v>
      </c>
      <c r="B2962" t="s">
        <v>10503</v>
      </c>
      <c r="C2962" t="s">
        <v>5779</v>
      </c>
      <c r="D2962" t="s">
        <v>3256</v>
      </c>
      <c r="E2962" t="s">
        <v>5656</v>
      </c>
      <c r="F2962" t="s">
        <v>5657</v>
      </c>
      <c r="G2962" t="s">
        <v>5657</v>
      </c>
      <c r="H2962" t="s">
        <v>868</v>
      </c>
      <c r="I2962" t="s">
        <v>869</v>
      </c>
      <c r="J2962" t="str">
        <f>"9051104"</f>
        <v>9051104</v>
      </c>
      <c r="K2962">
        <v>2103414317</v>
      </c>
      <c r="L2962">
        <v>2103414317</v>
      </c>
      <c r="M2962" t="s">
        <v>10786</v>
      </c>
      <c r="N2962" t="s">
        <v>5660</v>
      </c>
      <c r="O2962" t="s">
        <v>10787</v>
      </c>
      <c r="P2962">
        <v>17778</v>
      </c>
      <c r="Q2962" t="str">
        <f>"37.968115"</f>
        <v>37.968115</v>
      </c>
      <c r="R2962" t="str">
        <f>"23.698521"</f>
        <v>23.698521</v>
      </c>
      <c r="S2962" t="s">
        <v>26</v>
      </c>
    </row>
    <row r="2963" spans="1:19" x14ac:dyDescent="0.3">
      <c r="A2963" t="s">
        <v>3237</v>
      </c>
      <c r="B2963" t="s">
        <v>10503</v>
      </c>
      <c r="C2963" t="s">
        <v>10797</v>
      </c>
      <c r="D2963" t="s">
        <v>3256</v>
      </c>
      <c r="E2963" t="s">
        <v>4017</v>
      </c>
      <c r="F2963" t="s">
        <v>4017</v>
      </c>
      <c r="G2963" t="s">
        <v>4017</v>
      </c>
      <c r="H2963" t="s">
        <v>868</v>
      </c>
      <c r="I2963" t="s">
        <v>869</v>
      </c>
      <c r="J2963" t="str">
        <f>"9050204"</f>
        <v>9050204</v>
      </c>
      <c r="K2963">
        <v>2109636114</v>
      </c>
      <c r="M2963" t="s">
        <v>10798</v>
      </c>
      <c r="N2963" t="s">
        <v>5578</v>
      </c>
      <c r="O2963" t="s">
        <v>10799</v>
      </c>
      <c r="P2963">
        <v>16674</v>
      </c>
      <c r="Q2963" t="str">
        <f>"37.876123"</f>
        <v>37.876123</v>
      </c>
      <c r="R2963" t="str">
        <f>"23.765812"</f>
        <v>23.765812</v>
      </c>
      <c r="S2963" t="s">
        <v>26</v>
      </c>
    </row>
    <row r="2964" spans="1:19" x14ac:dyDescent="0.3">
      <c r="A2964" t="s">
        <v>3237</v>
      </c>
      <c r="B2964" t="s">
        <v>10503</v>
      </c>
      <c r="C2964" t="s">
        <v>5737</v>
      </c>
      <c r="D2964" t="s">
        <v>3256</v>
      </c>
      <c r="E2964" t="s">
        <v>5586</v>
      </c>
      <c r="F2964" t="s">
        <v>5586</v>
      </c>
      <c r="G2964" t="s">
        <v>5586</v>
      </c>
      <c r="H2964" t="s">
        <v>868</v>
      </c>
      <c r="I2964" t="s">
        <v>869</v>
      </c>
      <c r="J2964" t="str">
        <f>"9050233"</f>
        <v>9050233</v>
      </c>
      <c r="K2964">
        <v>2109331314</v>
      </c>
      <c r="L2964">
        <v>2109331314</v>
      </c>
      <c r="M2964" t="s">
        <v>10800</v>
      </c>
      <c r="N2964" t="s">
        <v>3260</v>
      </c>
      <c r="O2964" t="s">
        <v>5887</v>
      </c>
      <c r="P2964">
        <v>17122</v>
      </c>
      <c r="Q2964" t="str">
        <f>"37.943885"</f>
        <v>37.943885</v>
      </c>
      <c r="R2964" t="str">
        <f>"23.711638"</f>
        <v>23.711638</v>
      </c>
      <c r="S2964" t="s">
        <v>26</v>
      </c>
    </row>
    <row r="2965" spans="1:19" x14ac:dyDescent="0.3">
      <c r="A2965" t="s">
        <v>3237</v>
      </c>
      <c r="B2965" t="s">
        <v>10503</v>
      </c>
      <c r="C2965" t="s">
        <v>10804</v>
      </c>
      <c r="D2965" t="s">
        <v>3256</v>
      </c>
      <c r="E2965" t="s">
        <v>3295</v>
      </c>
      <c r="F2965" t="s">
        <v>3295</v>
      </c>
      <c r="G2965" t="s">
        <v>3295</v>
      </c>
      <c r="H2965" t="s">
        <v>868</v>
      </c>
      <c r="I2965" t="s">
        <v>869</v>
      </c>
      <c r="J2965" t="str">
        <f>"9051276"</f>
        <v>9051276</v>
      </c>
      <c r="K2965">
        <v>2109703913</v>
      </c>
      <c r="L2965">
        <v>2109712325</v>
      </c>
      <c r="M2965" t="s">
        <v>10805</v>
      </c>
      <c r="N2965" t="s">
        <v>5954</v>
      </c>
      <c r="O2965" t="s">
        <v>10806</v>
      </c>
      <c r="P2965">
        <v>17343</v>
      </c>
      <c r="Q2965" t="str">
        <f>"37.944958"</f>
        <v>37.944958</v>
      </c>
      <c r="R2965" t="str">
        <f>"23.737322"</f>
        <v>23.737322</v>
      </c>
      <c r="S2965" t="s">
        <v>26</v>
      </c>
    </row>
    <row r="2966" spans="1:19" x14ac:dyDescent="0.3">
      <c r="A2966" t="s">
        <v>3237</v>
      </c>
      <c r="B2966" t="s">
        <v>10503</v>
      </c>
      <c r="C2966" t="s">
        <v>5666</v>
      </c>
      <c r="D2966" t="s">
        <v>3256</v>
      </c>
      <c r="E2966" t="s">
        <v>3257</v>
      </c>
      <c r="F2966" t="s">
        <v>3257</v>
      </c>
      <c r="G2966" t="s">
        <v>3257</v>
      </c>
      <c r="H2966" t="s">
        <v>868</v>
      </c>
      <c r="I2966" t="s">
        <v>869</v>
      </c>
      <c r="J2966" t="str">
        <f>"9050177"</f>
        <v>9050177</v>
      </c>
      <c r="K2966">
        <v>2109824068</v>
      </c>
      <c r="L2966">
        <v>2109824068</v>
      </c>
      <c r="M2966" t="s">
        <v>10807</v>
      </c>
      <c r="N2966" t="s">
        <v>5630</v>
      </c>
      <c r="O2966" t="s">
        <v>10808</v>
      </c>
      <c r="P2966">
        <v>17455</v>
      </c>
      <c r="Q2966" t="str">
        <f>"37.908912"</f>
        <v>37.908912</v>
      </c>
      <c r="R2966" t="str">
        <f>"23.719725"</f>
        <v>23.719725</v>
      </c>
      <c r="S2966" t="s">
        <v>26</v>
      </c>
    </row>
    <row r="2967" spans="1:19" x14ac:dyDescent="0.3">
      <c r="A2967" t="s">
        <v>3237</v>
      </c>
      <c r="B2967" t="s">
        <v>10503</v>
      </c>
      <c r="C2967" t="s">
        <v>10809</v>
      </c>
      <c r="D2967" t="s">
        <v>3256</v>
      </c>
      <c r="E2967" t="s">
        <v>5656</v>
      </c>
      <c r="F2967" t="s">
        <v>5680</v>
      </c>
      <c r="G2967" t="s">
        <v>5680</v>
      </c>
      <c r="H2967" t="s">
        <v>868</v>
      </c>
      <c r="I2967" t="s">
        <v>869</v>
      </c>
      <c r="J2967" t="str">
        <f>"9050229"</f>
        <v>9050229</v>
      </c>
      <c r="K2967">
        <v>2109424603</v>
      </c>
      <c r="L2967">
        <v>2109424603</v>
      </c>
      <c r="M2967" t="s">
        <v>10810</v>
      </c>
      <c r="N2967" t="s">
        <v>5683</v>
      </c>
      <c r="O2967" t="s">
        <v>10811</v>
      </c>
      <c r="P2967">
        <v>18345</v>
      </c>
      <c r="Q2967" t="str">
        <f>"37.955737"</f>
        <v>37.955737</v>
      </c>
      <c r="R2967" t="str">
        <f>"23.685297"</f>
        <v>23.685297</v>
      </c>
      <c r="S2967" t="s">
        <v>26</v>
      </c>
    </row>
    <row r="2968" spans="1:19" x14ac:dyDescent="0.3">
      <c r="A2968" t="s">
        <v>3237</v>
      </c>
      <c r="B2968" t="s">
        <v>10503</v>
      </c>
      <c r="C2968" t="s">
        <v>10817</v>
      </c>
      <c r="D2968" t="s">
        <v>3256</v>
      </c>
      <c r="E2968" t="s">
        <v>5570</v>
      </c>
      <c r="F2968" t="s">
        <v>5570</v>
      </c>
      <c r="G2968" t="s">
        <v>5570</v>
      </c>
      <c r="H2968" t="s">
        <v>868</v>
      </c>
      <c r="I2968" t="s">
        <v>869</v>
      </c>
      <c r="J2968" t="str">
        <f>"9520455"</f>
        <v>9520455</v>
      </c>
      <c r="K2968">
        <v>2109828591</v>
      </c>
      <c r="L2968">
        <v>2109828591</v>
      </c>
      <c r="M2968" t="s">
        <v>10818</v>
      </c>
      <c r="N2968" t="s">
        <v>10650</v>
      </c>
      <c r="O2968" t="s">
        <v>10819</v>
      </c>
      <c r="P2968">
        <v>17563</v>
      </c>
      <c r="Q2968" t="str">
        <f>"37.925862"</f>
        <v>37.925862</v>
      </c>
      <c r="R2968" t="str">
        <f>"23.711925"</f>
        <v>23.711925</v>
      </c>
      <c r="S2968" t="s">
        <v>26</v>
      </c>
    </row>
    <row r="2969" spans="1:19" x14ac:dyDescent="0.3">
      <c r="A2969" t="s">
        <v>3237</v>
      </c>
      <c r="B2969" t="s">
        <v>10503</v>
      </c>
      <c r="C2969" t="s">
        <v>10820</v>
      </c>
      <c r="D2969" t="s">
        <v>3256</v>
      </c>
      <c r="E2969" t="s">
        <v>5570</v>
      </c>
      <c r="F2969" t="s">
        <v>5570</v>
      </c>
      <c r="G2969" t="s">
        <v>5570</v>
      </c>
      <c r="H2969" t="s">
        <v>868</v>
      </c>
      <c r="I2969" t="s">
        <v>869</v>
      </c>
      <c r="J2969" t="str">
        <f>"9050138"</f>
        <v>9050138</v>
      </c>
      <c r="K2969">
        <v>2109810175</v>
      </c>
      <c r="L2969">
        <v>2109810175</v>
      </c>
      <c r="M2969" t="s">
        <v>10821</v>
      </c>
      <c r="N2969" t="s">
        <v>10650</v>
      </c>
      <c r="O2969" t="s">
        <v>10822</v>
      </c>
      <c r="P2969">
        <v>17563</v>
      </c>
      <c r="Q2969" t="str">
        <f>"37.925862"</f>
        <v>37.925862</v>
      </c>
      <c r="R2969" t="str">
        <f>"23.711925"</f>
        <v>23.711925</v>
      </c>
      <c r="S2969" t="s">
        <v>26</v>
      </c>
    </row>
    <row r="2970" spans="1:19" x14ac:dyDescent="0.3">
      <c r="A2970" t="s">
        <v>3237</v>
      </c>
      <c r="B2970" t="s">
        <v>10503</v>
      </c>
      <c r="C2970" t="s">
        <v>5685</v>
      </c>
      <c r="D2970" t="s">
        <v>3256</v>
      </c>
      <c r="E2970" t="s">
        <v>5563</v>
      </c>
      <c r="F2970" t="s">
        <v>5563</v>
      </c>
      <c r="G2970" t="s">
        <v>5564</v>
      </c>
      <c r="H2970" t="s">
        <v>868</v>
      </c>
      <c r="I2970" t="s">
        <v>869</v>
      </c>
      <c r="J2970" t="str">
        <f>"9050225"</f>
        <v>9050225</v>
      </c>
      <c r="K2970">
        <v>2109417466</v>
      </c>
      <c r="L2970">
        <v>2109419552</v>
      </c>
      <c r="M2970" t="s">
        <v>10823</v>
      </c>
      <c r="N2970" t="s">
        <v>5567</v>
      </c>
      <c r="O2970" t="s">
        <v>10824</v>
      </c>
      <c r="P2970">
        <v>17675</v>
      </c>
      <c r="Q2970" t="str">
        <f>"37.951523"</f>
        <v>37.951523</v>
      </c>
      <c r="R2970" t="str">
        <f>"23.689039"</f>
        <v>23.689039</v>
      </c>
      <c r="S2970" t="s">
        <v>26</v>
      </c>
    </row>
    <row r="2971" spans="1:19" x14ac:dyDescent="0.3">
      <c r="A2971" t="s">
        <v>3237</v>
      </c>
      <c r="B2971" t="s">
        <v>10503</v>
      </c>
      <c r="C2971" t="s">
        <v>5895</v>
      </c>
      <c r="D2971" t="s">
        <v>3256</v>
      </c>
      <c r="E2971" t="s">
        <v>3295</v>
      </c>
      <c r="F2971" t="s">
        <v>3295</v>
      </c>
      <c r="G2971" t="s">
        <v>3295</v>
      </c>
      <c r="H2971" t="s">
        <v>868</v>
      </c>
      <c r="I2971" t="s">
        <v>869</v>
      </c>
      <c r="J2971" t="str">
        <f>"9051159"</f>
        <v>9051159</v>
      </c>
      <c r="K2971">
        <v>2109816958</v>
      </c>
      <c r="L2971">
        <v>2109816958</v>
      </c>
      <c r="M2971" t="s">
        <v>10831</v>
      </c>
      <c r="N2971" t="s">
        <v>3472</v>
      </c>
      <c r="O2971" t="s">
        <v>10832</v>
      </c>
      <c r="P2971">
        <v>17342</v>
      </c>
      <c r="Q2971" t="str">
        <f>"37.919905"</f>
        <v>37.919905</v>
      </c>
      <c r="R2971" t="str">
        <f>"23.727276"</f>
        <v>23.727276</v>
      </c>
      <c r="S2971" t="s">
        <v>26</v>
      </c>
    </row>
    <row r="2972" spans="1:19" x14ac:dyDescent="0.3">
      <c r="A2972" t="s">
        <v>3237</v>
      </c>
      <c r="B2972" t="s">
        <v>10503</v>
      </c>
      <c r="C2972" t="s">
        <v>5754</v>
      </c>
      <c r="D2972" t="s">
        <v>3256</v>
      </c>
      <c r="E2972" t="s">
        <v>3295</v>
      </c>
      <c r="F2972" t="s">
        <v>3295</v>
      </c>
      <c r="G2972" t="s">
        <v>3295</v>
      </c>
      <c r="H2972" t="s">
        <v>868</v>
      </c>
      <c r="I2972" t="s">
        <v>869</v>
      </c>
      <c r="J2972" t="str">
        <f>"9520499"</f>
        <v>9520499</v>
      </c>
      <c r="K2972">
        <v>2109819211</v>
      </c>
      <c r="L2972">
        <v>2109816958</v>
      </c>
      <c r="M2972" t="s">
        <v>10833</v>
      </c>
      <c r="N2972" t="s">
        <v>5954</v>
      </c>
      <c r="O2972" t="s">
        <v>10832</v>
      </c>
      <c r="P2972">
        <v>17342</v>
      </c>
      <c r="Q2972" t="str">
        <f>"37.919211"</f>
        <v>37.919211</v>
      </c>
      <c r="R2972" t="str">
        <f>"23.727278"</f>
        <v>23.727278</v>
      </c>
      <c r="S2972" t="s">
        <v>26</v>
      </c>
    </row>
    <row r="2973" spans="1:19" x14ac:dyDescent="0.3">
      <c r="A2973" t="s">
        <v>3237</v>
      </c>
      <c r="B2973" t="s">
        <v>10503</v>
      </c>
      <c r="C2973" t="s">
        <v>10834</v>
      </c>
      <c r="D2973" t="s">
        <v>3256</v>
      </c>
      <c r="E2973" t="s">
        <v>3295</v>
      </c>
      <c r="F2973" t="s">
        <v>3295</v>
      </c>
      <c r="G2973" t="s">
        <v>3295</v>
      </c>
      <c r="H2973" t="s">
        <v>868</v>
      </c>
      <c r="I2973" t="s">
        <v>869</v>
      </c>
      <c r="J2973" t="str">
        <f>"9050147"</f>
        <v>9050147</v>
      </c>
      <c r="K2973">
        <v>2109715614</v>
      </c>
      <c r="L2973">
        <v>2109715614</v>
      </c>
      <c r="M2973" t="s">
        <v>10835</v>
      </c>
      <c r="N2973" t="s">
        <v>3472</v>
      </c>
      <c r="O2973" t="s">
        <v>10836</v>
      </c>
      <c r="P2973">
        <v>17343</v>
      </c>
      <c r="Q2973" t="str">
        <f>"37.934965"</f>
        <v>37.934965</v>
      </c>
      <c r="R2973" t="str">
        <f>"23.735061"</f>
        <v>23.735061</v>
      </c>
      <c r="S2973" t="s">
        <v>26</v>
      </c>
    </row>
    <row r="2974" spans="1:19" x14ac:dyDescent="0.3">
      <c r="A2974" t="s">
        <v>3237</v>
      </c>
      <c r="B2974" t="s">
        <v>10503</v>
      </c>
      <c r="C2974" t="s">
        <v>10848</v>
      </c>
      <c r="D2974" t="s">
        <v>3256</v>
      </c>
      <c r="E2974" t="s">
        <v>5586</v>
      </c>
      <c r="F2974" t="s">
        <v>5586</v>
      </c>
      <c r="G2974" t="s">
        <v>5586</v>
      </c>
      <c r="H2974" t="s">
        <v>868</v>
      </c>
      <c r="I2974" t="s">
        <v>869</v>
      </c>
      <c r="J2974" t="str">
        <f>"9050234"</f>
        <v>9050234</v>
      </c>
      <c r="K2974">
        <v>2109330490</v>
      </c>
      <c r="L2974">
        <v>2109330490</v>
      </c>
      <c r="M2974" t="s">
        <v>10849</v>
      </c>
      <c r="N2974" t="s">
        <v>5964</v>
      </c>
      <c r="O2974" t="s">
        <v>10850</v>
      </c>
      <c r="P2974">
        <v>17123</v>
      </c>
      <c r="Q2974" t="str">
        <f>"37.938764"</f>
        <v>37.938764</v>
      </c>
      <c r="R2974" t="str">
        <f>"23.715705"</f>
        <v>23.715705</v>
      </c>
      <c r="S2974" t="s">
        <v>26</v>
      </c>
    </row>
    <row r="2975" spans="1:19" x14ac:dyDescent="0.3">
      <c r="A2975" t="s">
        <v>3237</v>
      </c>
      <c r="B2975" t="s">
        <v>10503</v>
      </c>
      <c r="C2975" t="s">
        <v>10851</v>
      </c>
      <c r="D2975" t="s">
        <v>3256</v>
      </c>
      <c r="E2975" t="s">
        <v>4017</v>
      </c>
      <c r="F2975" t="s">
        <v>4017</v>
      </c>
      <c r="G2975" t="s">
        <v>4017</v>
      </c>
      <c r="H2975" t="s">
        <v>868</v>
      </c>
      <c r="I2975" t="s">
        <v>869</v>
      </c>
      <c r="J2975" t="str">
        <f>"9051172"</f>
        <v>9051172</v>
      </c>
      <c r="K2975">
        <v>2109614758</v>
      </c>
      <c r="L2975">
        <v>2109614758</v>
      </c>
      <c r="M2975" t="s">
        <v>10852</v>
      </c>
      <c r="N2975" t="s">
        <v>5578</v>
      </c>
      <c r="O2975" t="s">
        <v>10853</v>
      </c>
      <c r="P2975">
        <v>16561</v>
      </c>
      <c r="Q2975" t="str">
        <f>"37.880741"</f>
        <v>37.880741</v>
      </c>
      <c r="R2975" t="str">
        <f>"23.765602"</f>
        <v>23.765602</v>
      </c>
      <c r="S2975" t="s">
        <v>26</v>
      </c>
    </row>
    <row r="2976" spans="1:19" x14ac:dyDescent="0.3">
      <c r="A2976" t="s">
        <v>3237</v>
      </c>
      <c r="B2976" t="s">
        <v>10503</v>
      </c>
      <c r="C2976" t="s">
        <v>10854</v>
      </c>
      <c r="D2976" t="s">
        <v>3256</v>
      </c>
      <c r="E2976" t="s">
        <v>3295</v>
      </c>
      <c r="F2976" t="s">
        <v>3295</v>
      </c>
      <c r="G2976" t="s">
        <v>3295</v>
      </c>
      <c r="H2976" t="s">
        <v>868</v>
      </c>
      <c r="I2976" t="s">
        <v>869</v>
      </c>
      <c r="J2976" t="str">
        <f>"9050140"</f>
        <v>9050140</v>
      </c>
      <c r="K2976">
        <v>2109333385</v>
      </c>
      <c r="L2976">
        <v>2109319501</v>
      </c>
      <c r="M2976" t="s">
        <v>10855</v>
      </c>
      <c r="N2976" t="s">
        <v>3472</v>
      </c>
      <c r="O2976" t="s">
        <v>10856</v>
      </c>
      <c r="P2976">
        <v>17341</v>
      </c>
      <c r="Q2976" t="str">
        <f>"37.934192"</f>
        <v>37.934192</v>
      </c>
      <c r="R2976" t="str">
        <f>"23.720869"</f>
        <v>23.720869</v>
      </c>
      <c r="S2976" t="s">
        <v>26</v>
      </c>
    </row>
    <row r="2977" spans="1:19" x14ac:dyDescent="0.3">
      <c r="A2977" t="s">
        <v>3237</v>
      </c>
      <c r="B2977" t="s">
        <v>10503</v>
      </c>
      <c r="C2977" t="s">
        <v>5722</v>
      </c>
      <c r="D2977" t="s">
        <v>3256</v>
      </c>
      <c r="E2977" t="s">
        <v>5599</v>
      </c>
      <c r="F2977" t="s">
        <v>5600</v>
      </c>
      <c r="G2977" t="s">
        <v>5601</v>
      </c>
      <c r="H2977" t="s">
        <v>868</v>
      </c>
      <c r="I2977" t="s">
        <v>869</v>
      </c>
      <c r="J2977" t="str">
        <f>"9050184"</f>
        <v>9050184</v>
      </c>
      <c r="K2977">
        <v>2109610234</v>
      </c>
      <c r="L2977">
        <v>2109610234</v>
      </c>
      <c r="M2977" t="s">
        <v>10860</v>
      </c>
      <c r="N2977" t="s">
        <v>1038</v>
      </c>
      <c r="O2977" t="s">
        <v>10861</v>
      </c>
      <c r="P2977">
        <v>16452</v>
      </c>
      <c r="Q2977" t="str">
        <f>"37.902382"</f>
        <v>37.902382</v>
      </c>
      <c r="R2977" t="str">
        <f>"23.749780"</f>
        <v>23.749780</v>
      </c>
      <c r="S2977" t="s">
        <v>26</v>
      </c>
    </row>
    <row r="2978" spans="1:19" x14ac:dyDescent="0.3">
      <c r="A2978" t="s">
        <v>3237</v>
      </c>
      <c r="B2978" t="s">
        <v>10503</v>
      </c>
      <c r="C2978" t="s">
        <v>5741</v>
      </c>
      <c r="D2978" t="s">
        <v>3256</v>
      </c>
      <c r="E2978" t="s">
        <v>5599</v>
      </c>
      <c r="F2978" t="s">
        <v>5600</v>
      </c>
      <c r="G2978" t="s">
        <v>5601</v>
      </c>
      <c r="H2978" t="s">
        <v>868</v>
      </c>
      <c r="I2978" t="s">
        <v>869</v>
      </c>
      <c r="J2978" t="str">
        <f>"9051169"</f>
        <v>9051169</v>
      </c>
      <c r="K2978">
        <v>2109919584</v>
      </c>
      <c r="L2978">
        <v>2109901662</v>
      </c>
      <c r="M2978" t="s">
        <v>10862</v>
      </c>
      <c r="N2978" t="s">
        <v>1038</v>
      </c>
      <c r="O2978" t="s">
        <v>10863</v>
      </c>
      <c r="P2978">
        <v>16451</v>
      </c>
      <c r="Q2978" t="str">
        <f>"37.910699"</f>
        <v>37.910699</v>
      </c>
      <c r="R2978" t="str">
        <f>"23.754162"</f>
        <v>23.754162</v>
      </c>
      <c r="S2978" t="s">
        <v>26</v>
      </c>
    </row>
    <row r="2979" spans="1:19" x14ac:dyDescent="0.3">
      <c r="A2979" t="s">
        <v>3237</v>
      </c>
      <c r="B2979" t="s">
        <v>10503</v>
      </c>
      <c r="C2979" t="s">
        <v>10867</v>
      </c>
      <c r="D2979" t="s">
        <v>3256</v>
      </c>
      <c r="E2979" t="s">
        <v>3295</v>
      </c>
      <c r="F2979" t="s">
        <v>3295</v>
      </c>
      <c r="G2979" t="s">
        <v>3295</v>
      </c>
      <c r="H2979" t="s">
        <v>868</v>
      </c>
      <c r="I2979" t="s">
        <v>869</v>
      </c>
      <c r="J2979" t="str">
        <f>"9051334"</f>
        <v>9051334</v>
      </c>
      <c r="K2979">
        <v>2109837627</v>
      </c>
      <c r="L2979">
        <v>2109837627</v>
      </c>
      <c r="M2979" t="s">
        <v>10868</v>
      </c>
      <c r="N2979" t="s">
        <v>3472</v>
      </c>
      <c r="O2979" t="s">
        <v>10869</v>
      </c>
      <c r="P2979">
        <v>17341</v>
      </c>
      <c r="Q2979" t="str">
        <f>"37.928301"</f>
        <v>37.928301</v>
      </c>
      <c r="R2979" t="str">
        <f>"23.719256"</f>
        <v>23.719256</v>
      </c>
      <c r="S2979" t="s">
        <v>26</v>
      </c>
    </row>
    <row r="2980" spans="1:19" x14ac:dyDescent="0.3">
      <c r="A2980" t="s">
        <v>3237</v>
      </c>
      <c r="B2980" t="s">
        <v>10503</v>
      </c>
      <c r="C2980" t="s">
        <v>10870</v>
      </c>
      <c r="D2980" t="s">
        <v>3256</v>
      </c>
      <c r="E2980" t="s">
        <v>5656</v>
      </c>
      <c r="F2980" t="s">
        <v>5657</v>
      </c>
      <c r="G2980" t="s">
        <v>5657</v>
      </c>
      <c r="H2980" t="s">
        <v>868</v>
      </c>
      <c r="I2980" t="s">
        <v>869</v>
      </c>
      <c r="J2980" t="str">
        <f>"9050328"</f>
        <v>9050328</v>
      </c>
      <c r="K2980">
        <v>2103464247</v>
      </c>
      <c r="L2980">
        <v>2103417977</v>
      </c>
      <c r="M2980" t="s">
        <v>10871</v>
      </c>
      <c r="N2980" t="s">
        <v>5660</v>
      </c>
      <c r="O2980" t="s">
        <v>10872</v>
      </c>
      <c r="P2980">
        <v>17778</v>
      </c>
      <c r="Q2980" t="str">
        <f>"37.966898"</f>
        <v>37.966898</v>
      </c>
      <c r="R2980" t="str">
        <f>"23.692635"</f>
        <v>23.692635</v>
      </c>
      <c r="S2980" t="s">
        <v>26</v>
      </c>
    </row>
    <row r="2981" spans="1:19" x14ac:dyDescent="0.3">
      <c r="A2981" t="s">
        <v>3237</v>
      </c>
      <c r="B2981" t="s">
        <v>10503</v>
      </c>
      <c r="C2981" t="s">
        <v>10873</v>
      </c>
      <c r="D2981" t="s">
        <v>3256</v>
      </c>
      <c r="E2981" t="s">
        <v>5599</v>
      </c>
      <c r="F2981" t="s">
        <v>5600</v>
      </c>
      <c r="G2981" t="s">
        <v>5601</v>
      </c>
      <c r="H2981" t="s">
        <v>868</v>
      </c>
      <c r="I2981" t="s">
        <v>1157</v>
      </c>
      <c r="J2981" t="str">
        <f>"9520490"</f>
        <v>9520490</v>
      </c>
      <c r="K2981">
        <v>2109932814</v>
      </c>
      <c r="L2981">
        <v>2109932814</v>
      </c>
      <c r="M2981" t="s">
        <v>10874</v>
      </c>
      <c r="N2981" t="s">
        <v>1038</v>
      </c>
      <c r="O2981" t="s">
        <v>10875</v>
      </c>
      <c r="P2981">
        <v>16452</v>
      </c>
      <c r="Q2981" t="str">
        <f>"37.909482"</f>
        <v>37.909482</v>
      </c>
      <c r="R2981" t="str">
        <f>"23.743862"</f>
        <v>23.743862</v>
      </c>
      <c r="S2981" t="s">
        <v>26</v>
      </c>
    </row>
    <row r="2982" spans="1:19" x14ac:dyDescent="0.3">
      <c r="A2982" t="s">
        <v>3237</v>
      </c>
      <c r="B2982" t="s">
        <v>10503</v>
      </c>
      <c r="C2982" t="s">
        <v>10876</v>
      </c>
      <c r="D2982" t="s">
        <v>3256</v>
      </c>
      <c r="E2982" t="s">
        <v>5656</v>
      </c>
      <c r="F2982" t="s">
        <v>5680</v>
      </c>
      <c r="G2982" t="s">
        <v>5680</v>
      </c>
      <c r="H2982" t="s">
        <v>868</v>
      </c>
      <c r="I2982" t="s">
        <v>869</v>
      </c>
      <c r="J2982" t="str">
        <f>"9050230"</f>
        <v>9050230</v>
      </c>
      <c r="K2982">
        <v>2104825966</v>
      </c>
      <c r="L2982">
        <v>2104825966</v>
      </c>
      <c r="M2982" t="s">
        <v>10877</v>
      </c>
      <c r="N2982" t="s">
        <v>5683</v>
      </c>
      <c r="O2982" t="s">
        <v>10878</v>
      </c>
      <c r="P2982">
        <v>18345</v>
      </c>
      <c r="Q2982" t="str">
        <f>"37.952964"</f>
        <v>37.952964</v>
      </c>
      <c r="R2982" t="str">
        <f>"23.676692"</f>
        <v>23.676692</v>
      </c>
      <c r="S2982" t="s">
        <v>26</v>
      </c>
    </row>
    <row r="2983" spans="1:19" x14ac:dyDescent="0.3">
      <c r="A2983" t="s">
        <v>3237</v>
      </c>
      <c r="B2983" t="s">
        <v>10503</v>
      </c>
      <c r="C2983" t="s">
        <v>5569</v>
      </c>
      <c r="D2983" t="s">
        <v>3256</v>
      </c>
      <c r="E2983" t="s">
        <v>5563</v>
      </c>
      <c r="F2983" t="s">
        <v>5563</v>
      </c>
      <c r="G2983" t="s">
        <v>5564</v>
      </c>
      <c r="H2983" t="s">
        <v>868</v>
      </c>
      <c r="I2983" t="s">
        <v>869</v>
      </c>
      <c r="J2983" t="str">
        <f>"9051335"</f>
        <v>9051335</v>
      </c>
      <c r="K2983">
        <v>2109411776</v>
      </c>
      <c r="L2983">
        <v>2109430605</v>
      </c>
      <c r="M2983" t="s">
        <v>10879</v>
      </c>
      <c r="N2983" t="s">
        <v>5567</v>
      </c>
      <c r="O2983" t="s">
        <v>10880</v>
      </c>
      <c r="P2983">
        <v>17675</v>
      </c>
      <c r="Q2983" t="str">
        <f>"37.952393"</f>
        <v>37.952393</v>
      </c>
      <c r="R2983" t="str">
        <f>"23.692824"</f>
        <v>23.692824</v>
      </c>
      <c r="S2983" t="s">
        <v>26</v>
      </c>
    </row>
    <row r="2984" spans="1:19" x14ac:dyDescent="0.3">
      <c r="A2984" t="s">
        <v>3237</v>
      </c>
      <c r="B2984" t="s">
        <v>10503</v>
      </c>
      <c r="C2984" t="s">
        <v>10890</v>
      </c>
      <c r="D2984" t="s">
        <v>3256</v>
      </c>
      <c r="E2984" t="s">
        <v>4017</v>
      </c>
      <c r="F2984" t="s">
        <v>4017</v>
      </c>
      <c r="G2984" t="s">
        <v>4017</v>
      </c>
      <c r="H2984" t="s">
        <v>868</v>
      </c>
      <c r="I2984" t="s">
        <v>869</v>
      </c>
      <c r="J2984" t="str">
        <f>"9050207"</f>
        <v>9050207</v>
      </c>
      <c r="K2984">
        <v>2109610842</v>
      </c>
      <c r="L2984">
        <v>2109638908</v>
      </c>
      <c r="M2984" t="s">
        <v>10891</v>
      </c>
      <c r="N2984" t="s">
        <v>5578</v>
      </c>
      <c r="O2984" t="s">
        <v>10892</v>
      </c>
      <c r="P2984">
        <v>16562</v>
      </c>
      <c r="Q2984" t="str">
        <f>"37.898434"</f>
        <v>37.898434</v>
      </c>
      <c r="R2984" t="str">
        <f>"23.767560"</f>
        <v>23.767560</v>
      </c>
      <c r="S2984" t="s">
        <v>26</v>
      </c>
    </row>
    <row r="2985" spans="1:19" x14ac:dyDescent="0.3">
      <c r="A2985" t="s">
        <v>3237</v>
      </c>
      <c r="B2985" t="s">
        <v>10503</v>
      </c>
      <c r="C2985" t="s">
        <v>10905</v>
      </c>
      <c r="D2985" t="s">
        <v>3256</v>
      </c>
      <c r="E2985" t="s">
        <v>5570</v>
      </c>
      <c r="F2985" t="s">
        <v>5570</v>
      </c>
      <c r="G2985" t="s">
        <v>5570</v>
      </c>
      <c r="H2985" t="s">
        <v>868</v>
      </c>
      <c r="I2985" t="s">
        <v>869</v>
      </c>
      <c r="J2985" t="str">
        <f>"9050203"</f>
        <v>9050203</v>
      </c>
      <c r="K2985">
        <v>2109824529</v>
      </c>
      <c r="L2985">
        <v>2109824529</v>
      </c>
      <c r="M2985" t="s">
        <v>10906</v>
      </c>
      <c r="N2985" t="s">
        <v>5573</v>
      </c>
      <c r="O2985" t="s">
        <v>10907</v>
      </c>
      <c r="P2985">
        <v>17562</v>
      </c>
      <c r="Q2985" t="str">
        <f>"37.925538"</f>
        <v>37.925538</v>
      </c>
      <c r="R2985" t="str">
        <f>"23.698788"</f>
        <v>23.698788</v>
      </c>
      <c r="S2985" t="s">
        <v>26</v>
      </c>
    </row>
    <row r="2986" spans="1:19" x14ac:dyDescent="0.3">
      <c r="A2986" t="s">
        <v>3237</v>
      </c>
      <c r="B2986" t="s">
        <v>10503</v>
      </c>
      <c r="C2986" t="s">
        <v>5859</v>
      </c>
      <c r="D2986" t="s">
        <v>3256</v>
      </c>
      <c r="E2986" t="s">
        <v>5563</v>
      </c>
      <c r="F2986" t="s">
        <v>5563</v>
      </c>
      <c r="G2986" t="s">
        <v>5564</v>
      </c>
      <c r="H2986" t="s">
        <v>868</v>
      </c>
      <c r="I2986" t="s">
        <v>869</v>
      </c>
      <c r="J2986" t="str">
        <f>"9050973"</f>
        <v>9050973</v>
      </c>
      <c r="K2986">
        <v>2109564600</v>
      </c>
      <c r="L2986">
        <v>2109564600</v>
      </c>
      <c r="M2986" t="s">
        <v>10914</v>
      </c>
      <c r="N2986" t="s">
        <v>5567</v>
      </c>
      <c r="O2986" t="s">
        <v>10915</v>
      </c>
      <c r="P2986">
        <v>17673</v>
      </c>
      <c r="Q2986" t="str">
        <f>"37.948037"</f>
        <v>37.948037</v>
      </c>
      <c r="R2986" t="str">
        <f>"23.701997"</f>
        <v>23.701997</v>
      </c>
      <c r="S2986" t="s">
        <v>26</v>
      </c>
    </row>
    <row r="2987" spans="1:19" x14ac:dyDescent="0.3">
      <c r="A2987" t="s">
        <v>3237</v>
      </c>
      <c r="B2987" t="s">
        <v>10503</v>
      </c>
      <c r="C2987" t="s">
        <v>5718</v>
      </c>
      <c r="D2987" t="s">
        <v>3256</v>
      </c>
      <c r="E2987" t="s">
        <v>5570</v>
      </c>
      <c r="F2987" t="s">
        <v>5570</v>
      </c>
      <c r="G2987" t="s">
        <v>5570</v>
      </c>
      <c r="H2987" t="s">
        <v>868</v>
      </c>
      <c r="I2987" t="s">
        <v>869</v>
      </c>
      <c r="J2987" t="str">
        <f>"9050201"</f>
        <v>9050201</v>
      </c>
      <c r="K2987">
        <v>2109829925</v>
      </c>
      <c r="L2987">
        <v>2109814548</v>
      </c>
      <c r="M2987" t="s">
        <v>10916</v>
      </c>
      <c r="N2987" t="s">
        <v>10650</v>
      </c>
      <c r="O2987" t="s">
        <v>10917</v>
      </c>
      <c r="P2987">
        <v>17561</v>
      </c>
      <c r="Q2987" t="str">
        <f>"37.929933"</f>
        <v>37.929933</v>
      </c>
      <c r="R2987" t="str">
        <f>"23.692523"</f>
        <v>23.692523</v>
      </c>
      <c r="S2987" t="s">
        <v>26</v>
      </c>
    </row>
    <row r="2988" spans="1:19" x14ac:dyDescent="0.3">
      <c r="A2988" t="s">
        <v>3237</v>
      </c>
      <c r="B2988" t="s">
        <v>10503</v>
      </c>
      <c r="C2988" t="s">
        <v>5826</v>
      </c>
      <c r="D2988" t="s">
        <v>3256</v>
      </c>
      <c r="E2988" t="s">
        <v>5563</v>
      </c>
      <c r="F2988" t="s">
        <v>5563</v>
      </c>
      <c r="G2988" t="s">
        <v>5611</v>
      </c>
      <c r="H2988" t="s">
        <v>868</v>
      </c>
      <c r="I2988" t="s">
        <v>869</v>
      </c>
      <c r="J2988" t="str">
        <f>"9050222"</f>
        <v>9050222</v>
      </c>
      <c r="K2988">
        <v>2109511707</v>
      </c>
      <c r="L2988">
        <v>2109511707</v>
      </c>
      <c r="M2988" t="s">
        <v>10918</v>
      </c>
      <c r="N2988" t="s">
        <v>5567</v>
      </c>
      <c r="O2988" t="s">
        <v>10919</v>
      </c>
      <c r="P2988">
        <v>17675</v>
      </c>
      <c r="Q2988" t="str">
        <f>"37.955225"</f>
        <v>37.955225</v>
      </c>
      <c r="R2988" t="str">
        <f>"23.698212"</f>
        <v>23.698212</v>
      </c>
      <c r="S2988" t="s">
        <v>26</v>
      </c>
    </row>
    <row r="2989" spans="1:19" x14ac:dyDescent="0.3">
      <c r="A2989" t="s">
        <v>3237</v>
      </c>
      <c r="B2989" t="s">
        <v>10503</v>
      </c>
      <c r="C2989" t="s">
        <v>5956</v>
      </c>
      <c r="D2989" t="s">
        <v>3256</v>
      </c>
      <c r="E2989" t="s">
        <v>3295</v>
      </c>
      <c r="F2989" t="s">
        <v>3295</v>
      </c>
      <c r="G2989" t="s">
        <v>3295</v>
      </c>
      <c r="H2989" t="s">
        <v>868</v>
      </c>
      <c r="I2989" t="s">
        <v>869</v>
      </c>
      <c r="J2989" t="str">
        <f>"9050141"</f>
        <v>9050141</v>
      </c>
      <c r="K2989">
        <v>2109717510</v>
      </c>
      <c r="L2989">
        <v>2109717510</v>
      </c>
      <c r="M2989" t="s">
        <v>10920</v>
      </c>
      <c r="N2989" t="s">
        <v>3472</v>
      </c>
      <c r="O2989" t="s">
        <v>10921</v>
      </c>
      <c r="P2989">
        <v>17341</v>
      </c>
      <c r="Q2989" t="str">
        <f>"37.944545"</f>
        <v>37.944545</v>
      </c>
      <c r="R2989" t="str">
        <f>"23.730847"</f>
        <v>23.730847</v>
      </c>
      <c r="S2989" t="s">
        <v>26</v>
      </c>
    </row>
    <row r="2990" spans="1:19" x14ac:dyDescent="0.3">
      <c r="A2990" t="s">
        <v>3237</v>
      </c>
      <c r="B2990" t="s">
        <v>10503</v>
      </c>
      <c r="C2990" t="s">
        <v>5619</v>
      </c>
      <c r="D2990" t="s">
        <v>3256</v>
      </c>
      <c r="E2990" t="s">
        <v>5570</v>
      </c>
      <c r="F2990" t="s">
        <v>5570</v>
      </c>
      <c r="G2990" t="s">
        <v>5570</v>
      </c>
      <c r="H2990" t="s">
        <v>868</v>
      </c>
      <c r="I2990" t="s">
        <v>869</v>
      </c>
      <c r="J2990" t="str">
        <f>"9051160"</f>
        <v>9051160</v>
      </c>
      <c r="K2990">
        <v>2109821203</v>
      </c>
      <c r="L2990">
        <v>2109821203</v>
      </c>
      <c r="M2990" t="s">
        <v>10922</v>
      </c>
      <c r="N2990" t="s">
        <v>10650</v>
      </c>
      <c r="O2990" t="s">
        <v>5935</v>
      </c>
      <c r="P2990">
        <v>17563</v>
      </c>
      <c r="Q2990" t="str">
        <f>"37.926969"</f>
        <v>37.926969</v>
      </c>
      <c r="R2990" t="str">
        <f>"23.711632"</f>
        <v>23.711632</v>
      </c>
      <c r="S2990" t="s">
        <v>26</v>
      </c>
    </row>
    <row r="2991" spans="1:19" x14ac:dyDescent="0.3">
      <c r="A2991" t="s">
        <v>3237</v>
      </c>
      <c r="B2991" t="s">
        <v>10503</v>
      </c>
      <c r="C2991" t="s">
        <v>5697</v>
      </c>
      <c r="D2991" t="s">
        <v>3256</v>
      </c>
      <c r="E2991" t="s">
        <v>5586</v>
      </c>
      <c r="F2991" t="s">
        <v>5586</v>
      </c>
      <c r="G2991" t="s">
        <v>5586</v>
      </c>
      <c r="H2991" t="s">
        <v>868</v>
      </c>
      <c r="I2991" t="s">
        <v>869</v>
      </c>
      <c r="J2991" t="str">
        <f>"9050237"</f>
        <v>9050237</v>
      </c>
      <c r="K2991">
        <v>2109345760</v>
      </c>
      <c r="L2991">
        <v>2109345760</v>
      </c>
      <c r="M2991" t="s">
        <v>10923</v>
      </c>
      <c r="N2991" t="s">
        <v>3260</v>
      </c>
      <c r="O2991" t="s">
        <v>10924</v>
      </c>
      <c r="P2991">
        <v>17123</v>
      </c>
      <c r="Q2991" t="str">
        <f>"37.939475"</f>
        <v>37.939475</v>
      </c>
      <c r="R2991" t="str">
        <f>"23.713473"</f>
        <v>23.713473</v>
      </c>
      <c r="S2991" t="s">
        <v>26</v>
      </c>
    </row>
    <row r="2992" spans="1:19" x14ac:dyDescent="0.3">
      <c r="A2992" t="s">
        <v>3237</v>
      </c>
      <c r="B2992" t="s">
        <v>10503</v>
      </c>
      <c r="C2992" t="s">
        <v>10927</v>
      </c>
      <c r="D2992" t="s">
        <v>3256</v>
      </c>
      <c r="E2992" t="s">
        <v>4017</v>
      </c>
      <c r="F2992" t="s">
        <v>4017</v>
      </c>
      <c r="G2992" t="s">
        <v>4017</v>
      </c>
      <c r="H2992" t="s">
        <v>868</v>
      </c>
      <c r="I2992" t="s">
        <v>869</v>
      </c>
      <c r="J2992" t="str">
        <f>"9050815"</f>
        <v>9050815</v>
      </c>
      <c r="K2992">
        <v>2109619957</v>
      </c>
      <c r="L2992">
        <v>2109619957</v>
      </c>
      <c r="M2992" t="s">
        <v>10928</v>
      </c>
      <c r="N2992" t="s">
        <v>5578</v>
      </c>
      <c r="O2992" t="s">
        <v>10929</v>
      </c>
      <c r="P2992">
        <v>16561</v>
      </c>
      <c r="Q2992" t="str">
        <f>"37.884541"</f>
        <v>37.884541</v>
      </c>
      <c r="R2992" t="str">
        <f>"23.759467"</f>
        <v>23.759467</v>
      </c>
      <c r="S2992" t="s">
        <v>26</v>
      </c>
    </row>
    <row r="2993" spans="1:19" x14ac:dyDescent="0.3">
      <c r="A2993" t="s">
        <v>3237</v>
      </c>
      <c r="B2993" t="s">
        <v>10503</v>
      </c>
      <c r="C2993" t="s">
        <v>5651</v>
      </c>
      <c r="D2993" t="s">
        <v>3256</v>
      </c>
      <c r="E2993" t="s">
        <v>5599</v>
      </c>
      <c r="F2993" t="s">
        <v>5726</v>
      </c>
      <c r="G2993" t="s">
        <v>5726</v>
      </c>
      <c r="H2993" t="s">
        <v>868</v>
      </c>
      <c r="I2993" t="s">
        <v>869</v>
      </c>
      <c r="J2993" t="str">
        <f>"9051168"</f>
        <v>9051168</v>
      </c>
      <c r="K2993">
        <v>2109618827</v>
      </c>
      <c r="L2993">
        <v>2109618827</v>
      </c>
      <c r="M2993" t="s">
        <v>10932</v>
      </c>
      <c r="N2993" t="s">
        <v>5817</v>
      </c>
      <c r="O2993" t="s">
        <v>10933</v>
      </c>
      <c r="P2993">
        <v>16777</v>
      </c>
      <c r="Q2993" t="str">
        <f>"37.895118"</f>
        <v>37.895118</v>
      </c>
      <c r="R2993" t="str">
        <f>"23.752521"</f>
        <v>23.752521</v>
      </c>
      <c r="S2993" t="s">
        <v>26</v>
      </c>
    </row>
    <row r="2994" spans="1:19" x14ac:dyDescent="0.3">
      <c r="A2994" t="s">
        <v>3237</v>
      </c>
      <c r="B2994" t="s">
        <v>10503</v>
      </c>
      <c r="C2994" t="s">
        <v>5615</v>
      </c>
      <c r="D2994" t="s">
        <v>3256</v>
      </c>
      <c r="E2994" t="s">
        <v>5656</v>
      </c>
      <c r="F2994" t="s">
        <v>5657</v>
      </c>
      <c r="G2994" t="s">
        <v>5657</v>
      </c>
      <c r="H2994" t="s">
        <v>868</v>
      </c>
      <c r="I2994" t="s">
        <v>869</v>
      </c>
      <c r="J2994" t="str">
        <f>"9050332"</f>
        <v>9050332</v>
      </c>
      <c r="K2994">
        <v>2104823801</v>
      </c>
      <c r="L2994">
        <v>2104823801</v>
      </c>
      <c r="M2994" t="s">
        <v>10934</v>
      </c>
      <c r="N2994" t="s">
        <v>5657</v>
      </c>
      <c r="O2994" t="s">
        <v>10935</v>
      </c>
      <c r="P2994">
        <v>17778</v>
      </c>
      <c r="Q2994" t="str">
        <f>"37.962224"</f>
        <v>37.962224</v>
      </c>
      <c r="R2994" t="str">
        <f>"23.698276"</f>
        <v>23.698276</v>
      </c>
      <c r="S2994" t="s">
        <v>26</v>
      </c>
    </row>
    <row r="2995" spans="1:19" x14ac:dyDescent="0.3">
      <c r="A2995" t="s">
        <v>3237</v>
      </c>
      <c r="B2995" t="s">
        <v>10503</v>
      </c>
      <c r="C2995" t="s">
        <v>10936</v>
      </c>
      <c r="D2995" t="s">
        <v>3256</v>
      </c>
      <c r="E2995" t="s">
        <v>5586</v>
      </c>
      <c r="F2995" t="s">
        <v>5586</v>
      </c>
      <c r="G2995" t="s">
        <v>5586</v>
      </c>
      <c r="H2995" t="s">
        <v>868</v>
      </c>
      <c r="I2995" t="s">
        <v>869</v>
      </c>
      <c r="J2995" t="str">
        <f>"9050235"</f>
        <v>9050235</v>
      </c>
      <c r="K2995">
        <v>2109336779</v>
      </c>
      <c r="L2995">
        <v>2109336779</v>
      </c>
      <c r="M2995" t="s">
        <v>10937</v>
      </c>
      <c r="N2995" t="s">
        <v>3260</v>
      </c>
      <c r="O2995" t="s">
        <v>10938</v>
      </c>
      <c r="P2995">
        <v>17124</v>
      </c>
      <c r="Q2995" t="str">
        <f>"37.946980"</f>
        <v>37.946980</v>
      </c>
      <c r="R2995" t="str">
        <f>"23.723542"</f>
        <v>23.723542</v>
      </c>
      <c r="S2995" t="s">
        <v>26</v>
      </c>
    </row>
    <row r="2996" spans="1:19" x14ac:dyDescent="0.3">
      <c r="A2996" t="s">
        <v>3237</v>
      </c>
      <c r="B2996" t="s">
        <v>10503</v>
      </c>
      <c r="C2996" t="s">
        <v>5706</v>
      </c>
      <c r="D2996" t="s">
        <v>3256</v>
      </c>
      <c r="E2996" t="s">
        <v>3295</v>
      </c>
      <c r="F2996" t="s">
        <v>3295</v>
      </c>
      <c r="G2996" t="s">
        <v>3295</v>
      </c>
      <c r="H2996" t="s">
        <v>868</v>
      </c>
      <c r="I2996" t="s">
        <v>869</v>
      </c>
      <c r="J2996" t="str">
        <f>"9050145"</f>
        <v>9050145</v>
      </c>
      <c r="K2996">
        <v>2109333194</v>
      </c>
      <c r="L2996">
        <v>2109333194</v>
      </c>
      <c r="M2996" t="s">
        <v>10954</v>
      </c>
      <c r="N2996" t="s">
        <v>10669</v>
      </c>
      <c r="O2996" t="s">
        <v>10955</v>
      </c>
      <c r="P2996">
        <v>17341</v>
      </c>
      <c r="Q2996" t="str">
        <f>"37.933808"</f>
        <v>37.933808</v>
      </c>
      <c r="R2996" t="str">
        <f>"23.728302"</f>
        <v>23.728302</v>
      </c>
      <c r="S2996" t="s">
        <v>26</v>
      </c>
    </row>
    <row r="2997" spans="1:19" x14ac:dyDescent="0.3">
      <c r="A2997" t="s">
        <v>3237</v>
      </c>
      <c r="B2997" t="s">
        <v>10503</v>
      </c>
      <c r="C2997" t="s">
        <v>10959</v>
      </c>
      <c r="D2997" t="s">
        <v>3256</v>
      </c>
      <c r="E2997" t="s">
        <v>5563</v>
      </c>
      <c r="F2997" t="s">
        <v>5563</v>
      </c>
      <c r="G2997" t="s">
        <v>5611</v>
      </c>
      <c r="H2997" t="s">
        <v>868</v>
      </c>
      <c r="I2997" t="s">
        <v>869</v>
      </c>
      <c r="J2997" t="str">
        <f>"9050215"</f>
        <v>9050215</v>
      </c>
      <c r="K2997">
        <v>2109578829</v>
      </c>
      <c r="L2997">
        <v>2109569494</v>
      </c>
      <c r="M2997" t="s">
        <v>10960</v>
      </c>
      <c r="N2997" t="s">
        <v>10961</v>
      </c>
      <c r="O2997" t="s">
        <v>10570</v>
      </c>
      <c r="P2997">
        <v>17673</v>
      </c>
      <c r="Q2997" t="str">
        <f>"37.950929"</f>
        <v>37.950929</v>
      </c>
      <c r="R2997" t="str">
        <f>"23.694947"</f>
        <v>23.694947</v>
      </c>
      <c r="S2997" t="s">
        <v>26</v>
      </c>
    </row>
    <row r="2998" spans="1:19" x14ac:dyDescent="0.3">
      <c r="A2998" t="s">
        <v>3237</v>
      </c>
      <c r="B2998" t="s">
        <v>10503</v>
      </c>
      <c r="C2998" t="s">
        <v>5679</v>
      </c>
      <c r="D2998" t="s">
        <v>3256</v>
      </c>
      <c r="E2998" t="s">
        <v>5656</v>
      </c>
      <c r="F2998" t="s">
        <v>5657</v>
      </c>
      <c r="G2998" t="s">
        <v>5657</v>
      </c>
      <c r="H2998" t="s">
        <v>868</v>
      </c>
      <c r="I2998" t="s">
        <v>869</v>
      </c>
      <c r="J2998" t="str">
        <f>"9050331"</f>
        <v>9050331</v>
      </c>
      <c r="K2998">
        <v>2103461637</v>
      </c>
      <c r="L2998">
        <v>2103461637</v>
      </c>
      <c r="M2998" t="s">
        <v>10968</v>
      </c>
      <c r="N2998" t="s">
        <v>5660</v>
      </c>
      <c r="O2998" t="s">
        <v>10969</v>
      </c>
      <c r="P2998">
        <v>17778</v>
      </c>
      <c r="Q2998" t="str">
        <f>"37.963619"</f>
        <v>37.963619</v>
      </c>
      <c r="R2998" t="str">
        <f>"23.703054"</f>
        <v>23.703054</v>
      </c>
      <c r="S2998" t="s">
        <v>26</v>
      </c>
    </row>
    <row r="2999" spans="1:19" x14ac:dyDescent="0.3">
      <c r="A2999" t="s">
        <v>3237</v>
      </c>
      <c r="B2999" t="s">
        <v>10503</v>
      </c>
      <c r="C2999" t="s">
        <v>5675</v>
      </c>
      <c r="D2999" t="s">
        <v>3256</v>
      </c>
      <c r="E2999" t="s">
        <v>3257</v>
      </c>
      <c r="F2999" t="s">
        <v>3257</v>
      </c>
      <c r="G2999" t="s">
        <v>3257</v>
      </c>
      <c r="H2999" t="s">
        <v>868</v>
      </c>
      <c r="I2999" t="s">
        <v>869</v>
      </c>
      <c r="J2999" t="str">
        <f>"9050174"</f>
        <v>9050174</v>
      </c>
      <c r="K2999">
        <v>2109913100</v>
      </c>
      <c r="L2999">
        <v>2109919526</v>
      </c>
      <c r="M2999" t="s">
        <v>10976</v>
      </c>
      <c r="N2999" t="s">
        <v>5673</v>
      </c>
      <c r="O2999" t="s">
        <v>10977</v>
      </c>
      <c r="P2999">
        <v>17456</v>
      </c>
      <c r="Q2999" t="str">
        <f>"37.923254"</f>
        <v>37.923254</v>
      </c>
      <c r="R2999" t="str">
        <f>"23.740265"</f>
        <v>23.740265</v>
      </c>
      <c r="S2999" t="s">
        <v>26</v>
      </c>
    </row>
    <row r="3000" spans="1:19" x14ac:dyDescent="0.3">
      <c r="A3000" t="s">
        <v>3237</v>
      </c>
      <c r="B3000" t="s">
        <v>10503</v>
      </c>
      <c r="C3000" t="s">
        <v>10979</v>
      </c>
      <c r="D3000" t="s">
        <v>3256</v>
      </c>
      <c r="E3000" t="s">
        <v>4017</v>
      </c>
      <c r="F3000" t="s">
        <v>4017</v>
      </c>
      <c r="G3000" t="s">
        <v>4017</v>
      </c>
      <c r="H3000" t="s">
        <v>868</v>
      </c>
      <c r="I3000" t="s">
        <v>869</v>
      </c>
      <c r="J3000" t="str">
        <f>"9050197"</f>
        <v>9050197</v>
      </c>
      <c r="K3000">
        <v>2108983093</v>
      </c>
      <c r="L3000">
        <v>2108946251</v>
      </c>
      <c r="M3000" t="s">
        <v>10980</v>
      </c>
      <c r="N3000" t="s">
        <v>5578</v>
      </c>
      <c r="O3000" t="s">
        <v>10981</v>
      </c>
      <c r="P3000">
        <v>16674</v>
      </c>
      <c r="Q3000" t="str">
        <f>"37.863699"</f>
        <v>37.863699</v>
      </c>
      <c r="R3000" t="str">
        <f>"23.755844"</f>
        <v>23.755844</v>
      </c>
      <c r="S3000" t="s">
        <v>26</v>
      </c>
    </row>
    <row r="3001" spans="1:19" x14ac:dyDescent="0.3">
      <c r="A3001" t="s">
        <v>3237</v>
      </c>
      <c r="B3001" t="s">
        <v>10503</v>
      </c>
      <c r="C3001" t="s">
        <v>11005</v>
      </c>
      <c r="D3001" t="s">
        <v>3256</v>
      </c>
      <c r="E3001" t="s">
        <v>3257</v>
      </c>
      <c r="F3001" t="s">
        <v>3257</v>
      </c>
      <c r="G3001" t="s">
        <v>3257</v>
      </c>
      <c r="H3001" t="s">
        <v>868</v>
      </c>
      <c r="I3001" t="s">
        <v>869</v>
      </c>
      <c r="J3001" t="str">
        <f>"9050173"</f>
        <v>9050173</v>
      </c>
      <c r="K3001">
        <v>2109842063</v>
      </c>
      <c r="L3001">
        <v>2109842574</v>
      </c>
      <c r="M3001" t="s">
        <v>11006</v>
      </c>
      <c r="N3001" t="s">
        <v>5630</v>
      </c>
      <c r="O3001" t="s">
        <v>11007</v>
      </c>
      <c r="P3001">
        <v>17455</v>
      </c>
      <c r="Q3001" t="str">
        <f>"37.909660"</f>
        <v>37.909660</v>
      </c>
      <c r="R3001" t="str">
        <f>"23.714780"</f>
        <v>23.714780</v>
      </c>
      <c r="S3001" t="s">
        <v>26</v>
      </c>
    </row>
    <row r="3002" spans="1:19" x14ac:dyDescent="0.3">
      <c r="A3002" t="s">
        <v>3237</v>
      </c>
      <c r="B3002" t="s">
        <v>10503</v>
      </c>
      <c r="C3002" t="s">
        <v>5591</v>
      </c>
      <c r="D3002" t="s">
        <v>3256</v>
      </c>
      <c r="E3002" t="s">
        <v>5586</v>
      </c>
      <c r="F3002" t="s">
        <v>5586</v>
      </c>
      <c r="G3002" t="s">
        <v>5586</v>
      </c>
      <c r="H3002" t="s">
        <v>868</v>
      </c>
      <c r="I3002" t="s">
        <v>869</v>
      </c>
      <c r="J3002" t="str">
        <f>"9520390"</f>
        <v>9520390</v>
      </c>
      <c r="K3002">
        <v>2109341550</v>
      </c>
      <c r="L3002">
        <v>2109341550</v>
      </c>
      <c r="M3002" t="s">
        <v>11011</v>
      </c>
      <c r="N3002" t="s">
        <v>5964</v>
      </c>
      <c r="O3002" t="s">
        <v>11012</v>
      </c>
      <c r="P3002">
        <v>17124</v>
      </c>
      <c r="Q3002" t="str">
        <f>"37.947109"</f>
        <v>37.947109</v>
      </c>
      <c r="R3002" t="str">
        <f>"23.723065"</f>
        <v>23.723065</v>
      </c>
      <c r="S3002" t="s">
        <v>26</v>
      </c>
    </row>
    <row r="3003" spans="1:19" x14ac:dyDescent="0.3">
      <c r="A3003" t="s">
        <v>3237</v>
      </c>
      <c r="B3003" t="s">
        <v>10503</v>
      </c>
      <c r="C3003" t="s">
        <v>5580</v>
      </c>
      <c r="D3003" t="s">
        <v>3256</v>
      </c>
      <c r="E3003" t="s">
        <v>4017</v>
      </c>
      <c r="F3003" t="s">
        <v>4017</v>
      </c>
      <c r="G3003" t="s">
        <v>4017</v>
      </c>
      <c r="H3003" t="s">
        <v>868</v>
      </c>
      <c r="I3003" t="s">
        <v>869</v>
      </c>
      <c r="J3003" t="str">
        <f>"9050198"</f>
        <v>9050198</v>
      </c>
      <c r="K3003">
        <v>2109626995</v>
      </c>
      <c r="L3003">
        <v>2109625272</v>
      </c>
      <c r="M3003" t="s">
        <v>11015</v>
      </c>
      <c r="N3003" t="s">
        <v>5578</v>
      </c>
      <c r="O3003" t="s">
        <v>11016</v>
      </c>
      <c r="P3003">
        <v>16675</v>
      </c>
      <c r="Q3003" t="str">
        <f>"37.882912"</f>
        <v>37.882912</v>
      </c>
      <c r="R3003" t="str">
        <f>"23.745827"</f>
        <v>23.745827</v>
      </c>
      <c r="S3003" t="s">
        <v>26</v>
      </c>
    </row>
    <row r="3004" spans="1:19" x14ac:dyDescent="0.3">
      <c r="A3004" t="s">
        <v>3237</v>
      </c>
      <c r="B3004" t="s">
        <v>10503</v>
      </c>
      <c r="C3004" t="s">
        <v>5693</v>
      </c>
      <c r="D3004" t="s">
        <v>3256</v>
      </c>
      <c r="E3004" t="s">
        <v>4017</v>
      </c>
      <c r="F3004" t="s">
        <v>4017</v>
      </c>
      <c r="G3004" t="s">
        <v>4017</v>
      </c>
      <c r="H3004" t="s">
        <v>868</v>
      </c>
      <c r="I3004" t="s">
        <v>869</v>
      </c>
      <c r="J3004" t="str">
        <f>"9050206"</f>
        <v>9050206</v>
      </c>
      <c r="K3004">
        <v>2109610893</v>
      </c>
      <c r="L3004">
        <v>211825283</v>
      </c>
      <c r="M3004" t="s">
        <v>11026</v>
      </c>
      <c r="N3004" t="s">
        <v>5578</v>
      </c>
      <c r="O3004" t="s">
        <v>11027</v>
      </c>
      <c r="P3004">
        <v>16561</v>
      </c>
      <c r="Q3004" t="str">
        <f>"37.890608"</f>
        <v>37.890608</v>
      </c>
      <c r="R3004" t="str">
        <f>"23.766141"</f>
        <v>23.766141</v>
      </c>
      <c r="S3004" t="s">
        <v>26</v>
      </c>
    </row>
    <row r="3005" spans="1:19" x14ac:dyDescent="0.3">
      <c r="A3005" t="s">
        <v>3237</v>
      </c>
      <c r="B3005" t="s">
        <v>10503</v>
      </c>
      <c r="C3005" t="s">
        <v>5770</v>
      </c>
      <c r="D3005" t="s">
        <v>3256</v>
      </c>
      <c r="E3005" t="s">
        <v>5656</v>
      </c>
      <c r="F3005" t="s">
        <v>5680</v>
      </c>
      <c r="G3005" t="s">
        <v>5680</v>
      </c>
      <c r="H3005" t="s">
        <v>868</v>
      </c>
      <c r="I3005" t="s">
        <v>869</v>
      </c>
      <c r="J3005" t="str">
        <f>"9050227"</f>
        <v>9050227</v>
      </c>
      <c r="K3005">
        <v>2109416993</v>
      </c>
      <c r="M3005" t="s">
        <v>11028</v>
      </c>
      <c r="N3005" t="s">
        <v>5683</v>
      </c>
      <c r="O3005" t="s">
        <v>11029</v>
      </c>
      <c r="P3005">
        <v>18345</v>
      </c>
      <c r="Q3005" t="str">
        <f>"37.949374"</f>
        <v>37.949374</v>
      </c>
      <c r="R3005" t="str">
        <f>"23.682325"</f>
        <v>23.682325</v>
      </c>
      <c r="S3005" t="s">
        <v>26</v>
      </c>
    </row>
    <row r="3006" spans="1:19" x14ac:dyDescent="0.3">
      <c r="A3006" t="s">
        <v>3237</v>
      </c>
      <c r="B3006" t="s">
        <v>10503</v>
      </c>
      <c r="C3006" t="s">
        <v>5610</v>
      </c>
      <c r="D3006" t="s">
        <v>3256</v>
      </c>
      <c r="E3006" t="s">
        <v>5586</v>
      </c>
      <c r="F3006" t="s">
        <v>5586</v>
      </c>
      <c r="G3006" t="s">
        <v>5586</v>
      </c>
      <c r="H3006" t="s">
        <v>868</v>
      </c>
      <c r="I3006" t="s">
        <v>869</v>
      </c>
      <c r="J3006" t="str">
        <f>"9520385"</f>
        <v>9520385</v>
      </c>
      <c r="K3006">
        <v>2109420888</v>
      </c>
      <c r="L3006">
        <v>2109420050</v>
      </c>
      <c r="M3006" t="s">
        <v>11033</v>
      </c>
      <c r="N3006" t="s">
        <v>3260</v>
      </c>
      <c r="O3006" t="s">
        <v>11034</v>
      </c>
      <c r="P3006">
        <v>17122</v>
      </c>
      <c r="Q3006" t="str">
        <f>"37.941539"</f>
        <v>37.941539</v>
      </c>
      <c r="R3006" t="str">
        <f>"23.704564"</f>
        <v>23.704564</v>
      </c>
      <c r="S3006" t="s">
        <v>26</v>
      </c>
    </row>
    <row r="3007" spans="1:19" x14ac:dyDescent="0.3">
      <c r="A3007" t="s">
        <v>3237</v>
      </c>
      <c r="B3007" t="s">
        <v>10503</v>
      </c>
      <c r="C3007" t="s">
        <v>5689</v>
      </c>
      <c r="D3007" t="s">
        <v>3256</v>
      </c>
      <c r="E3007" t="s">
        <v>5656</v>
      </c>
      <c r="F3007" t="s">
        <v>5680</v>
      </c>
      <c r="G3007" t="s">
        <v>5680</v>
      </c>
      <c r="H3007" t="s">
        <v>868</v>
      </c>
      <c r="I3007" t="s">
        <v>869</v>
      </c>
      <c r="J3007" t="str">
        <f>"9051166"</f>
        <v>9051166</v>
      </c>
      <c r="K3007">
        <v>2104813810</v>
      </c>
      <c r="L3007">
        <v>2104817772</v>
      </c>
      <c r="M3007" t="s">
        <v>11035</v>
      </c>
      <c r="N3007" t="s">
        <v>5683</v>
      </c>
      <c r="O3007" t="s">
        <v>11036</v>
      </c>
      <c r="P3007">
        <v>18344</v>
      </c>
      <c r="Q3007" t="str">
        <f>"37.946046"</f>
        <v>37.946046</v>
      </c>
      <c r="R3007" t="str">
        <f>"23.673677"</f>
        <v>23.673677</v>
      </c>
      <c r="S3007" t="s">
        <v>26</v>
      </c>
    </row>
    <row r="3008" spans="1:19" x14ac:dyDescent="0.3">
      <c r="A3008" t="s">
        <v>3237</v>
      </c>
      <c r="B3008" t="s">
        <v>10503</v>
      </c>
      <c r="C3008" t="s">
        <v>11040</v>
      </c>
      <c r="D3008" t="s">
        <v>3256</v>
      </c>
      <c r="E3008" t="s">
        <v>3295</v>
      </c>
      <c r="F3008" t="s">
        <v>3295</v>
      </c>
      <c r="G3008" t="s">
        <v>3295</v>
      </c>
      <c r="H3008" t="s">
        <v>868</v>
      </c>
      <c r="I3008" t="s">
        <v>869</v>
      </c>
      <c r="J3008" t="str">
        <f>"9050142"</f>
        <v>9050142</v>
      </c>
      <c r="K3008">
        <v>2109322490</v>
      </c>
      <c r="L3008">
        <v>2109322469</v>
      </c>
      <c r="M3008" t="s">
        <v>11041</v>
      </c>
      <c r="N3008" t="s">
        <v>5954</v>
      </c>
      <c r="O3008" t="s">
        <v>11042</v>
      </c>
      <c r="P3008">
        <v>17341</v>
      </c>
      <c r="Q3008" t="str">
        <f>"37.936512"</f>
        <v>37.936512</v>
      </c>
      <c r="R3008" t="str">
        <f>"23.727581"</f>
        <v>23.727581</v>
      </c>
      <c r="S3008" t="s">
        <v>26</v>
      </c>
    </row>
    <row r="3009" spans="1:19" x14ac:dyDescent="0.3">
      <c r="A3009" t="s">
        <v>3237</v>
      </c>
      <c r="B3009" t="s">
        <v>10503</v>
      </c>
      <c r="C3009" t="s">
        <v>5585</v>
      </c>
      <c r="D3009" t="s">
        <v>3256</v>
      </c>
      <c r="E3009" t="s">
        <v>3295</v>
      </c>
      <c r="F3009" t="s">
        <v>3295</v>
      </c>
      <c r="G3009" t="s">
        <v>3295</v>
      </c>
      <c r="H3009" t="s">
        <v>868</v>
      </c>
      <c r="I3009" t="s">
        <v>869</v>
      </c>
      <c r="J3009" t="str">
        <f>"9520484"</f>
        <v>9520484</v>
      </c>
      <c r="K3009">
        <v>2109849088</v>
      </c>
      <c r="L3009">
        <v>2109849088</v>
      </c>
      <c r="M3009" t="s">
        <v>11043</v>
      </c>
      <c r="N3009" t="s">
        <v>3472</v>
      </c>
      <c r="O3009" t="s">
        <v>11044</v>
      </c>
      <c r="P3009">
        <v>17342</v>
      </c>
      <c r="Q3009" t="str">
        <f>"37.923286"</f>
        <v>37.923286</v>
      </c>
      <c r="R3009" t="str">
        <f>"23.728996"</f>
        <v>23.728996</v>
      </c>
      <c r="S3009" t="s">
        <v>26</v>
      </c>
    </row>
    <row r="3010" spans="1:19" x14ac:dyDescent="0.3">
      <c r="A3010" t="s">
        <v>3237</v>
      </c>
      <c r="B3010" t="s">
        <v>10503</v>
      </c>
      <c r="C3010" t="s">
        <v>11056</v>
      </c>
      <c r="D3010" t="s">
        <v>3256</v>
      </c>
      <c r="E3010" t="s">
        <v>5563</v>
      </c>
      <c r="F3010" t="s">
        <v>5563</v>
      </c>
      <c r="G3010" t="s">
        <v>5611</v>
      </c>
      <c r="H3010" t="s">
        <v>868</v>
      </c>
      <c r="I3010" t="s">
        <v>869</v>
      </c>
      <c r="J3010" t="str">
        <f>"9050221"</f>
        <v>9050221</v>
      </c>
      <c r="K3010">
        <v>2109422847</v>
      </c>
      <c r="L3010">
        <v>2109422847</v>
      </c>
      <c r="M3010" t="s">
        <v>11057</v>
      </c>
      <c r="N3010" t="s">
        <v>5567</v>
      </c>
      <c r="O3010" t="s">
        <v>10558</v>
      </c>
      <c r="P3010">
        <v>17674</v>
      </c>
      <c r="Q3010" t="str">
        <f>"37.941241"</f>
        <v>37.941241</v>
      </c>
      <c r="R3010" t="str">
        <f>"23.688165"</f>
        <v>23.688165</v>
      </c>
      <c r="S3010" t="s">
        <v>26</v>
      </c>
    </row>
    <row r="3011" spans="1:19" x14ac:dyDescent="0.3">
      <c r="A3011" t="s">
        <v>3237</v>
      </c>
      <c r="B3011" t="s">
        <v>10503</v>
      </c>
      <c r="C3011" t="s">
        <v>11058</v>
      </c>
      <c r="D3011" t="s">
        <v>3256</v>
      </c>
      <c r="E3011" t="s">
        <v>3257</v>
      </c>
      <c r="F3011" t="s">
        <v>3257</v>
      </c>
      <c r="G3011" t="s">
        <v>3257</v>
      </c>
      <c r="H3011" t="s">
        <v>868</v>
      </c>
      <c r="I3011" t="s">
        <v>869</v>
      </c>
      <c r="J3011" t="str">
        <f>"9051167"</f>
        <v>9051167</v>
      </c>
      <c r="K3011">
        <v>2109904315</v>
      </c>
      <c r="L3011">
        <v>2109919526</v>
      </c>
      <c r="M3011" t="s">
        <v>11059</v>
      </c>
      <c r="N3011" t="s">
        <v>5673</v>
      </c>
      <c r="O3011" t="s">
        <v>10977</v>
      </c>
      <c r="P3011">
        <v>17456</v>
      </c>
      <c r="Q3011" t="str">
        <f>"37.923254"</f>
        <v>37.923254</v>
      </c>
      <c r="R3011" t="str">
        <f>"23.740265"</f>
        <v>23.740265</v>
      </c>
      <c r="S3011" t="s">
        <v>26</v>
      </c>
    </row>
    <row r="3012" spans="1:19" x14ac:dyDescent="0.3">
      <c r="A3012" t="s">
        <v>3237</v>
      </c>
      <c r="B3012" t="s">
        <v>10503</v>
      </c>
      <c r="C3012" t="s">
        <v>11069</v>
      </c>
      <c r="D3012" t="s">
        <v>3256</v>
      </c>
      <c r="E3012" t="s">
        <v>3295</v>
      </c>
      <c r="F3012" t="s">
        <v>3295</v>
      </c>
      <c r="G3012" t="s">
        <v>3295</v>
      </c>
      <c r="H3012" t="s">
        <v>868</v>
      </c>
      <c r="I3012" t="s">
        <v>869</v>
      </c>
      <c r="J3012" t="str">
        <f>"9050148"</f>
        <v>9050148</v>
      </c>
      <c r="K3012">
        <v>2109931825</v>
      </c>
      <c r="L3012">
        <v>2109931825</v>
      </c>
      <c r="M3012" t="s">
        <v>11070</v>
      </c>
      <c r="N3012" t="s">
        <v>3472</v>
      </c>
      <c r="O3012" t="s">
        <v>11071</v>
      </c>
      <c r="P3012">
        <v>17342</v>
      </c>
      <c r="Q3012" t="str">
        <f>"37.926229"</f>
        <v>37.926229</v>
      </c>
      <c r="R3012" t="str">
        <f>"23.732059"</f>
        <v>23.732059</v>
      </c>
      <c r="S3012" t="s">
        <v>26</v>
      </c>
    </row>
    <row r="3013" spans="1:19" x14ac:dyDescent="0.3">
      <c r="A3013" t="s">
        <v>3237</v>
      </c>
      <c r="B3013" t="s">
        <v>10503</v>
      </c>
      <c r="C3013" t="s">
        <v>11072</v>
      </c>
      <c r="D3013" t="s">
        <v>3256</v>
      </c>
      <c r="E3013" t="s">
        <v>4017</v>
      </c>
      <c r="F3013" t="s">
        <v>4017</v>
      </c>
      <c r="G3013" t="s">
        <v>4017</v>
      </c>
      <c r="H3013" t="s">
        <v>868</v>
      </c>
      <c r="I3013" t="s">
        <v>869</v>
      </c>
      <c r="J3013" t="str">
        <f>"9050208"</f>
        <v>9050208</v>
      </c>
      <c r="K3013">
        <v>2109611418</v>
      </c>
      <c r="L3013">
        <v>2109611418</v>
      </c>
      <c r="M3013" t="s">
        <v>11073</v>
      </c>
      <c r="N3013" t="s">
        <v>5578</v>
      </c>
      <c r="O3013" t="s">
        <v>11074</v>
      </c>
      <c r="P3013">
        <v>16562</v>
      </c>
      <c r="Q3013" t="str">
        <f>"37.893268"</f>
        <v>37.893268</v>
      </c>
      <c r="R3013" t="str">
        <f>"23.770491"</f>
        <v>23.770491</v>
      </c>
      <c r="S3013" t="s">
        <v>26</v>
      </c>
    </row>
    <row r="3014" spans="1:19" x14ac:dyDescent="0.3">
      <c r="A3014" t="s">
        <v>3237</v>
      </c>
      <c r="B3014" t="s">
        <v>10503</v>
      </c>
      <c r="C3014" t="s">
        <v>11075</v>
      </c>
      <c r="D3014" t="s">
        <v>3256</v>
      </c>
      <c r="E3014" t="s">
        <v>4017</v>
      </c>
      <c r="F3014" t="s">
        <v>4017</v>
      </c>
      <c r="G3014" t="s">
        <v>4017</v>
      </c>
      <c r="H3014" t="s">
        <v>868</v>
      </c>
      <c r="I3014" t="s">
        <v>869</v>
      </c>
      <c r="J3014" t="str">
        <f>"9051173"</f>
        <v>9051173</v>
      </c>
      <c r="K3014">
        <v>2109611311</v>
      </c>
      <c r="M3014" t="s">
        <v>11076</v>
      </c>
      <c r="N3014" t="s">
        <v>5578</v>
      </c>
      <c r="O3014" t="s">
        <v>11077</v>
      </c>
      <c r="P3014">
        <v>16562</v>
      </c>
      <c r="Q3014" t="str">
        <f>"37.900605"</f>
        <v>37.900605</v>
      </c>
      <c r="R3014" t="str">
        <f>"23.769644"</f>
        <v>23.769644</v>
      </c>
      <c r="S3014" t="s">
        <v>26</v>
      </c>
    </row>
    <row r="3015" spans="1:19" x14ac:dyDescent="0.3">
      <c r="A3015" t="s">
        <v>3237</v>
      </c>
      <c r="B3015" t="s">
        <v>10503</v>
      </c>
      <c r="C3015" t="s">
        <v>5875</v>
      </c>
      <c r="D3015" t="s">
        <v>3256</v>
      </c>
      <c r="E3015" t="s">
        <v>4017</v>
      </c>
      <c r="F3015" t="s">
        <v>4017</v>
      </c>
      <c r="G3015" t="s">
        <v>4017</v>
      </c>
      <c r="H3015" t="s">
        <v>868</v>
      </c>
      <c r="I3015" t="s">
        <v>869</v>
      </c>
      <c r="J3015" t="str">
        <f>"9051174"</f>
        <v>9051174</v>
      </c>
      <c r="K3015">
        <v>2109611107</v>
      </c>
      <c r="L3015">
        <v>2109604020</v>
      </c>
      <c r="M3015" t="s">
        <v>11078</v>
      </c>
      <c r="N3015" t="s">
        <v>5578</v>
      </c>
      <c r="O3015" t="s">
        <v>11079</v>
      </c>
      <c r="P3015">
        <v>16562</v>
      </c>
      <c r="Q3015" t="str">
        <f>"37.891678"</f>
        <v>37.891678</v>
      </c>
      <c r="R3015" t="str">
        <f>"23.768590"</f>
        <v>23.768590</v>
      </c>
      <c r="S3015" t="s">
        <v>26</v>
      </c>
    </row>
    <row r="3016" spans="1:19" x14ac:dyDescent="0.3">
      <c r="A3016" t="s">
        <v>3237</v>
      </c>
      <c r="B3016" t="s">
        <v>10503</v>
      </c>
      <c r="C3016" t="s">
        <v>5627</v>
      </c>
      <c r="D3016" t="s">
        <v>3256</v>
      </c>
      <c r="E3016" t="s">
        <v>4017</v>
      </c>
      <c r="F3016" t="s">
        <v>4017</v>
      </c>
      <c r="G3016" t="s">
        <v>4017</v>
      </c>
      <c r="H3016" t="s">
        <v>868</v>
      </c>
      <c r="I3016" t="s">
        <v>869</v>
      </c>
      <c r="J3016" t="str">
        <f>"9051175"</f>
        <v>9051175</v>
      </c>
      <c r="K3016">
        <v>2109632543</v>
      </c>
      <c r="L3016">
        <v>2109632543</v>
      </c>
      <c r="M3016" t="s">
        <v>11080</v>
      </c>
      <c r="N3016" t="s">
        <v>5578</v>
      </c>
      <c r="O3016" t="s">
        <v>11081</v>
      </c>
      <c r="P3016">
        <v>16675</v>
      </c>
      <c r="Q3016" t="str">
        <f>"37.868014"</f>
        <v>37.868014</v>
      </c>
      <c r="R3016" t="str">
        <f>"23.752071"</f>
        <v>23.752071</v>
      </c>
      <c r="S3016" t="s">
        <v>26</v>
      </c>
    </row>
    <row r="3017" spans="1:19" x14ac:dyDescent="0.3">
      <c r="A3017" t="s">
        <v>3237</v>
      </c>
      <c r="B3017" t="s">
        <v>10503</v>
      </c>
      <c r="C3017" t="s">
        <v>5645</v>
      </c>
      <c r="D3017" t="s">
        <v>3256</v>
      </c>
      <c r="E3017" t="s">
        <v>4017</v>
      </c>
      <c r="F3017" t="s">
        <v>4017</v>
      </c>
      <c r="G3017" t="s">
        <v>4017</v>
      </c>
      <c r="H3017" t="s">
        <v>868</v>
      </c>
      <c r="I3017" t="s">
        <v>869</v>
      </c>
      <c r="J3017" t="str">
        <f>"9051280"</f>
        <v>9051280</v>
      </c>
      <c r="K3017">
        <v>2109620042</v>
      </c>
      <c r="L3017">
        <v>2109620042</v>
      </c>
      <c r="M3017" t="s">
        <v>11082</v>
      </c>
      <c r="N3017" t="s">
        <v>5578</v>
      </c>
      <c r="O3017" t="s">
        <v>11083</v>
      </c>
      <c r="P3017">
        <v>16674</v>
      </c>
      <c r="Q3017" t="str">
        <f>"37.866724"</f>
        <v>37.866724</v>
      </c>
      <c r="R3017" t="str">
        <f>"23.767635"</f>
        <v>23.767635</v>
      </c>
      <c r="S3017" t="s">
        <v>26</v>
      </c>
    </row>
    <row r="3018" spans="1:19" x14ac:dyDescent="0.3">
      <c r="A3018" t="s">
        <v>3237</v>
      </c>
      <c r="B3018" t="s">
        <v>10503</v>
      </c>
      <c r="C3018" t="s">
        <v>11084</v>
      </c>
      <c r="D3018" t="s">
        <v>3256</v>
      </c>
      <c r="E3018" t="s">
        <v>4017</v>
      </c>
      <c r="F3018" t="s">
        <v>4017</v>
      </c>
      <c r="G3018" t="s">
        <v>4017</v>
      </c>
      <c r="H3018" t="s">
        <v>868</v>
      </c>
      <c r="I3018" t="s">
        <v>869</v>
      </c>
      <c r="J3018" t="str">
        <f>"9520489"</f>
        <v>9520489</v>
      </c>
      <c r="K3018">
        <v>2109603119</v>
      </c>
      <c r="L3018">
        <v>2109634219</v>
      </c>
      <c r="M3018" t="s">
        <v>11085</v>
      </c>
      <c r="N3018" t="s">
        <v>5578</v>
      </c>
      <c r="O3018" t="s">
        <v>11086</v>
      </c>
      <c r="P3018">
        <v>16561</v>
      </c>
      <c r="Q3018" t="str">
        <f>"37.890539"</f>
        <v>37.890539</v>
      </c>
      <c r="R3018" t="str">
        <f>"23.765337"</f>
        <v>23.765337</v>
      </c>
      <c r="S3018" t="s">
        <v>26</v>
      </c>
    </row>
    <row r="3019" spans="1:19" x14ac:dyDescent="0.3">
      <c r="A3019" t="s">
        <v>3237</v>
      </c>
      <c r="B3019" t="s">
        <v>10503</v>
      </c>
      <c r="C3019" t="s">
        <v>11090</v>
      </c>
      <c r="D3019" t="s">
        <v>3256</v>
      </c>
      <c r="E3019" t="s">
        <v>5599</v>
      </c>
      <c r="F3019" t="s">
        <v>5726</v>
      </c>
      <c r="G3019" t="s">
        <v>5726</v>
      </c>
      <c r="H3019" t="s">
        <v>868</v>
      </c>
      <c r="I3019" t="s">
        <v>869</v>
      </c>
      <c r="J3019" t="str">
        <f>"9050180"</f>
        <v>9050180</v>
      </c>
      <c r="K3019">
        <v>2109618634</v>
      </c>
      <c r="L3019">
        <v>2109618634</v>
      </c>
      <c r="M3019" t="s">
        <v>11091</v>
      </c>
      <c r="N3019" t="s">
        <v>5817</v>
      </c>
      <c r="O3019" t="s">
        <v>11092</v>
      </c>
      <c r="P3019">
        <v>16777</v>
      </c>
      <c r="Q3019" t="str">
        <f>"37.892280"</f>
        <v>37.892280</v>
      </c>
      <c r="R3019" t="str">
        <f>"23.755295"</f>
        <v>23.755295</v>
      </c>
      <c r="S3019" t="s">
        <v>26</v>
      </c>
    </row>
    <row r="3020" spans="1:19" x14ac:dyDescent="0.3">
      <c r="A3020" t="s">
        <v>3237</v>
      </c>
      <c r="B3020" t="s">
        <v>10503</v>
      </c>
      <c r="C3020" t="s">
        <v>5819</v>
      </c>
      <c r="D3020" t="s">
        <v>3256</v>
      </c>
      <c r="E3020" t="s">
        <v>5599</v>
      </c>
      <c r="F3020" t="s">
        <v>5726</v>
      </c>
      <c r="G3020" t="s">
        <v>5726</v>
      </c>
      <c r="H3020" t="s">
        <v>868</v>
      </c>
      <c r="I3020" t="s">
        <v>869</v>
      </c>
      <c r="J3020" t="str">
        <f>"9050179"</f>
        <v>9050179</v>
      </c>
      <c r="K3020">
        <v>2109628881</v>
      </c>
      <c r="L3020">
        <v>2109628881</v>
      </c>
      <c r="M3020" t="s">
        <v>11093</v>
      </c>
      <c r="N3020" t="s">
        <v>5817</v>
      </c>
      <c r="O3020" t="s">
        <v>11094</v>
      </c>
      <c r="P3020">
        <v>16777</v>
      </c>
      <c r="Q3020" t="str">
        <f>"37.892529"</f>
        <v>37.892529</v>
      </c>
      <c r="R3020" t="str">
        <f>"23.746407"</f>
        <v>23.746407</v>
      </c>
      <c r="S3020" t="s">
        <v>26</v>
      </c>
    </row>
    <row r="3021" spans="1:19" x14ac:dyDescent="0.3">
      <c r="A3021" t="s">
        <v>3237</v>
      </c>
      <c r="B3021" t="s">
        <v>10503</v>
      </c>
      <c r="C3021" t="s">
        <v>11095</v>
      </c>
      <c r="D3021" t="s">
        <v>3256</v>
      </c>
      <c r="E3021" t="s">
        <v>5599</v>
      </c>
      <c r="F3021" t="s">
        <v>5726</v>
      </c>
      <c r="G3021" t="s">
        <v>5726</v>
      </c>
      <c r="H3021" t="s">
        <v>868</v>
      </c>
      <c r="I3021" t="s">
        <v>869</v>
      </c>
      <c r="J3021" t="str">
        <f>"9051006"</f>
        <v>9051006</v>
      </c>
      <c r="K3021">
        <v>2109917595</v>
      </c>
      <c r="L3021">
        <v>2109917595</v>
      </c>
      <c r="M3021" t="s">
        <v>11096</v>
      </c>
      <c r="N3021" t="s">
        <v>5817</v>
      </c>
      <c r="O3021" t="s">
        <v>11097</v>
      </c>
      <c r="P3021">
        <v>16777</v>
      </c>
      <c r="Q3021" t="str">
        <f>"37.905544"</f>
        <v>37.905544</v>
      </c>
      <c r="R3021" t="str">
        <f>"23.742280"</f>
        <v>23.742280</v>
      </c>
      <c r="S3021" t="s">
        <v>26</v>
      </c>
    </row>
    <row r="3022" spans="1:19" x14ac:dyDescent="0.3">
      <c r="A3022" t="s">
        <v>3237</v>
      </c>
      <c r="B3022" t="s">
        <v>10503</v>
      </c>
      <c r="C3022" t="s">
        <v>5841</v>
      </c>
      <c r="D3022" t="s">
        <v>3256</v>
      </c>
      <c r="E3022" t="s">
        <v>5599</v>
      </c>
      <c r="F3022" t="s">
        <v>5600</v>
      </c>
      <c r="G3022" t="s">
        <v>5601</v>
      </c>
      <c r="H3022" t="s">
        <v>868</v>
      </c>
      <c r="I3022" t="s">
        <v>869</v>
      </c>
      <c r="J3022" t="str">
        <f>"9050187"</f>
        <v>9050187</v>
      </c>
      <c r="K3022">
        <v>2109919525</v>
      </c>
      <c r="L3022">
        <v>2109919525</v>
      </c>
      <c r="M3022" t="s">
        <v>11098</v>
      </c>
      <c r="N3022" t="s">
        <v>1038</v>
      </c>
      <c r="O3022" t="s">
        <v>11099</v>
      </c>
      <c r="P3022">
        <v>16451</v>
      </c>
      <c r="Q3022" t="str">
        <f>"37.907227"</f>
        <v>37.907227</v>
      </c>
      <c r="R3022" t="str">
        <f>"23.758129"</f>
        <v>23.758129</v>
      </c>
      <c r="S3022" t="s">
        <v>26</v>
      </c>
    </row>
    <row r="3023" spans="1:19" x14ac:dyDescent="0.3">
      <c r="A3023" t="s">
        <v>3237</v>
      </c>
      <c r="B3023" t="s">
        <v>10503</v>
      </c>
      <c r="C3023" t="s">
        <v>5632</v>
      </c>
      <c r="D3023" t="s">
        <v>3256</v>
      </c>
      <c r="E3023" t="s">
        <v>3257</v>
      </c>
      <c r="F3023" t="s">
        <v>3257</v>
      </c>
      <c r="G3023" t="s">
        <v>3257</v>
      </c>
      <c r="H3023" t="s">
        <v>868</v>
      </c>
      <c r="I3023" t="s">
        <v>869</v>
      </c>
      <c r="J3023" t="str">
        <f>"9050178"</f>
        <v>9050178</v>
      </c>
      <c r="K3023">
        <v>2109813942</v>
      </c>
      <c r="L3023">
        <v>2109813942</v>
      </c>
      <c r="M3023" t="s">
        <v>11100</v>
      </c>
      <c r="N3023" t="s">
        <v>5673</v>
      </c>
      <c r="O3023" t="s">
        <v>11101</v>
      </c>
      <c r="P3023">
        <v>17455</v>
      </c>
      <c r="Q3023" t="str">
        <f>"37.920576"</f>
        <v>37.920576</v>
      </c>
      <c r="R3023" t="str">
        <f>"23.718640"</f>
        <v>23.718640</v>
      </c>
      <c r="S3023" t="s">
        <v>26</v>
      </c>
    </row>
    <row r="3024" spans="1:19" x14ac:dyDescent="0.3">
      <c r="A3024" t="s">
        <v>3237</v>
      </c>
      <c r="B3024" t="s">
        <v>10503</v>
      </c>
      <c r="C3024" t="s">
        <v>11102</v>
      </c>
      <c r="D3024" t="s">
        <v>3256</v>
      </c>
      <c r="E3024" t="s">
        <v>3257</v>
      </c>
      <c r="F3024" t="s">
        <v>3257</v>
      </c>
      <c r="G3024" t="s">
        <v>3257</v>
      </c>
      <c r="H3024" t="s">
        <v>868</v>
      </c>
      <c r="I3024" t="s">
        <v>869</v>
      </c>
      <c r="J3024" t="str">
        <f>"9050971"</f>
        <v>9050971</v>
      </c>
      <c r="K3024">
        <v>2109833990</v>
      </c>
      <c r="L3024">
        <v>2109833990</v>
      </c>
      <c r="M3024" t="s">
        <v>11103</v>
      </c>
      <c r="N3024" t="s">
        <v>5630</v>
      </c>
      <c r="O3024" t="s">
        <v>11104</v>
      </c>
      <c r="P3024">
        <v>17455</v>
      </c>
      <c r="Q3024" t="str">
        <f>"37.918661"</f>
        <v>37.918661</v>
      </c>
      <c r="R3024" t="str">
        <f>"23.706895"</f>
        <v>23.706895</v>
      </c>
      <c r="S3024" t="s">
        <v>26</v>
      </c>
    </row>
    <row r="3025" spans="1:19" x14ac:dyDescent="0.3">
      <c r="A3025" t="s">
        <v>3237</v>
      </c>
      <c r="B3025" t="s">
        <v>10503</v>
      </c>
      <c r="C3025" t="s">
        <v>5866</v>
      </c>
      <c r="D3025" t="s">
        <v>3256</v>
      </c>
      <c r="E3025" t="s">
        <v>5599</v>
      </c>
      <c r="F3025" t="s">
        <v>5600</v>
      </c>
      <c r="G3025" t="s">
        <v>5601</v>
      </c>
      <c r="H3025" t="s">
        <v>868</v>
      </c>
      <c r="I3025" t="s">
        <v>869</v>
      </c>
      <c r="J3025" t="str">
        <f>"9050185"</f>
        <v>9050185</v>
      </c>
      <c r="K3025">
        <v>2109919524</v>
      </c>
      <c r="L3025">
        <v>2109919524</v>
      </c>
      <c r="M3025" t="s">
        <v>11105</v>
      </c>
      <c r="N3025" t="s">
        <v>1038</v>
      </c>
      <c r="O3025" t="s">
        <v>11106</v>
      </c>
      <c r="P3025">
        <v>16451</v>
      </c>
      <c r="Q3025" t="str">
        <f>"37.914508"</f>
        <v>37.914508</v>
      </c>
      <c r="R3025" t="str">
        <f>"23.752604"</f>
        <v>23.752604</v>
      </c>
      <c r="S3025" t="s">
        <v>26</v>
      </c>
    </row>
    <row r="3026" spans="1:19" x14ac:dyDescent="0.3">
      <c r="A3026" t="s">
        <v>3237</v>
      </c>
      <c r="B3026" t="s">
        <v>10503</v>
      </c>
      <c r="C3026" t="s">
        <v>5907</v>
      </c>
      <c r="D3026" t="s">
        <v>3256</v>
      </c>
      <c r="E3026" t="s">
        <v>5599</v>
      </c>
      <c r="F3026" t="s">
        <v>5600</v>
      </c>
      <c r="G3026" t="s">
        <v>5601</v>
      </c>
      <c r="H3026" t="s">
        <v>868</v>
      </c>
      <c r="I3026" t="s">
        <v>869</v>
      </c>
      <c r="J3026" t="str">
        <f>"9050186"</f>
        <v>9050186</v>
      </c>
      <c r="K3026">
        <v>2109916932</v>
      </c>
      <c r="L3026">
        <v>2109954096</v>
      </c>
      <c r="M3026" t="s">
        <v>11109</v>
      </c>
      <c r="N3026" t="s">
        <v>1038</v>
      </c>
      <c r="O3026" t="s">
        <v>11110</v>
      </c>
      <c r="P3026">
        <v>16452</v>
      </c>
      <c r="Q3026" t="str">
        <f>"37.909800"</f>
        <v>37.909800</v>
      </c>
      <c r="R3026" t="str">
        <f>"23.736704"</f>
        <v>23.736704</v>
      </c>
      <c r="S3026" t="s">
        <v>26</v>
      </c>
    </row>
    <row r="3027" spans="1:19" x14ac:dyDescent="0.3">
      <c r="A3027" t="s">
        <v>3237</v>
      </c>
      <c r="B3027" t="s">
        <v>10503</v>
      </c>
      <c r="C3027" t="s">
        <v>5623</v>
      </c>
      <c r="D3027" t="s">
        <v>3256</v>
      </c>
      <c r="E3027" t="s">
        <v>4017</v>
      </c>
      <c r="F3027" t="s">
        <v>4017</v>
      </c>
      <c r="G3027" t="s">
        <v>4017</v>
      </c>
      <c r="H3027" t="s">
        <v>868</v>
      </c>
      <c r="I3027" t="s">
        <v>869</v>
      </c>
      <c r="J3027" t="str">
        <f>"9050970"</f>
        <v>9050970</v>
      </c>
      <c r="K3027">
        <v>2108946001</v>
      </c>
      <c r="L3027">
        <v>2108946001</v>
      </c>
      <c r="M3027" t="s">
        <v>11111</v>
      </c>
      <c r="N3027" t="s">
        <v>5578</v>
      </c>
      <c r="O3027" t="s">
        <v>11112</v>
      </c>
      <c r="P3027">
        <v>16674</v>
      </c>
      <c r="Q3027" t="str">
        <f>"37.861614"</f>
        <v>37.861614</v>
      </c>
      <c r="R3027" t="str">
        <f>"23.763397"</f>
        <v>23.763397</v>
      </c>
      <c r="S3027" t="s">
        <v>26</v>
      </c>
    </row>
    <row r="3028" spans="1:19" x14ac:dyDescent="0.3">
      <c r="A3028" t="s">
        <v>3237</v>
      </c>
      <c r="B3028" t="s">
        <v>10503</v>
      </c>
      <c r="C3028" t="s">
        <v>11113</v>
      </c>
      <c r="D3028" t="s">
        <v>3256</v>
      </c>
      <c r="E3028" t="s">
        <v>3257</v>
      </c>
      <c r="F3028" t="s">
        <v>3257</v>
      </c>
      <c r="G3028" t="s">
        <v>3257</v>
      </c>
      <c r="H3028" t="s">
        <v>868</v>
      </c>
      <c r="I3028" t="s">
        <v>869</v>
      </c>
      <c r="J3028" t="str">
        <f>"9050175"</f>
        <v>9050175</v>
      </c>
      <c r="K3028">
        <v>2109829800</v>
      </c>
      <c r="L3028">
        <v>2109829800</v>
      </c>
      <c r="M3028" t="s">
        <v>11114</v>
      </c>
      <c r="N3028" t="s">
        <v>5630</v>
      </c>
      <c r="O3028" t="s">
        <v>11115</v>
      </c>
      <c r="P3028">
        <v>17456</v>
      </c>
      <c r="Q3028" t="str">
        <f>"37.917705"</f>
        <v>37.917705</v>
      </c>
      <c r="R3028" t="str">
        <f>"23.734385"</f>
        <v>23.734385</v>
      </c>
      <c r="S3028" t="s">
        <v>26</v>
      </c>
    </row>
    <row r="3029" spans="1:19" x14ac:dyDescent="0.3">
      <c r="A3029" t="s">
        <v>3237</v>
      </c>
      <c r="B3029" t="s">
        <v>10503</v>
      </c>
      <c r="C3029" t="s">
        <v>5879</v>
      </c>
      <c r="D3029" t="s">
        <v>3256</v>
      </c>
      <c r="E3029" t="s">
        <v>5599</v>
      </c>
      <c r="F3029" t="s">
        <v>5600</v>
      </c>
      <c r="G3029" t="s">
        <v>5601</v>
      </c>
      <c r="H3029" t="s">
        <v>868</v>
      </c>
      <c r="I3029" t="s">
        <v>869</v>
      </c>
      <c r="J3029" t="str">
        <f>"9051279"</f>
        <v>9051279</v>
      </c>
      <c r="K3029">
        <v>2109919563</v>
      </c>
      <c r="L3029">
        <v>2109919563</v>
      </c>
      <c r="M3029" t="s">
        <v>11116</v>
      </c>
      <c r="N3029" t="s">
        <v>1038</v>
      </c>
      <c r="O3029" t="s">
        <v>11117</v>
      </c>
      <c r="P3029">
        <v>16452</v>
      </c>
      <c r="Q3029" t="str">
        <f>"37.908124"</f>
        <v>37.908124</v>
      </c>
      <c r="R3029" t="str">
        <f>"23.745820"</f>
        <v>23.745820</v>
      </c>
      <c r="S3029" t="s">
        <v>26</v>
      </c>
    </row>
    <row r="3030" spans="1:19" x14ac:dyDescent="0.3">
      <c r="A3030" t="s">
        <v>3237</v>
      </c>
      <c r="B3030" t="s">
        <v>10503</v>
      </c>
      <c r="C3030" t="s">
        <v>11139</v>
      </c>
      <c r="D3030" t="s">
        <v>3256</v>
      </c>
      <c r="E3030" t="s">
        <v>5563</v>
      </c>
      <c r="F3030" t="s">
        <v>5563</v>
      </c>
      <c r="G3030" t="s">
        <v>5611</v>
      </c>
      <c r="H3030" t="s">
        <v>868</v>
      </c>
      <c r="I3030" t="s">
        <v>869</v>
      </c>
      <c r="J3030" t="str">
        <f>"9050211"</f>
        <v>9050211</v>
      </c>
      <c r="K3030">
        <v>2109560128</v>
      </c>
      <c r="L3030">
        <v>2109560128</v>
      </c>
      <c r="M3030" t="s">
        <v>11140</v>
      </c>
      <c r="N3030" t="s">
        <v>5567</v>
      </c>
      <c r="O3030" t="s">
        <v>11141</v>
      </c>
      <c r="P3030">
        <v>17673</v>
      </c>
      <c r="Q3030" t="str">
        <f>"37.950608"</f>
        <v>37.950608</v>
      </c>
      <c r="R3030" t="str">
        <f>"23.702480"</f>
        <v>23.702480</v>
      </c>
      <c r="S3030" t="s">
        <v>26</v>
      </c>
    </row>
    <row r="3031" spans="1:19" x14ac:dyDescent="0.3">
      <c r="A3031" t="s">
        <v>3237</v>
      </c>
      <c r="B3031" t="s">
        <v>10503</v>
      </c>
      <c r="C3031" t="s">
        <v>11146</v>
      </c>
      <c r="D3031" t="s">
        <v>3256</v>
      </c>
      <c r="E3031" t="s">
        <v>5599</v>
      </c>
      <c r="F3031" t="s">
        <v>5600</v>
      </c>
      <c r="G3031" t="s">
        <v>5601</v>
      </c>
      <c r="H3031" t="s">
        <v>868</v>
      </c>
      <c r="I3031" t="s">
        <v>1157</v>
      </c>
      <c r="J3031" t="str">
        <f>"9521288"</f>
        <v>9521288</v>
      </c>
      <c r="N3031" t="s">
        <v>1038</v>
      </c>
      <c r="Q3031" t="str">
        <f>""</f>
        <v/>
      </c>
      <c r="R3031" t="str">
        <f>""</f>
        <v/>
      </c>
      <c r="S3031" t="s">
        <v>26</v>
      </c>
    </row>
    <row r="3032" spans="1:19" x14ac:dyDescent="0.3">
      <c r="A3032" t="s">
        <v>3237</v>
      </c>
      <c r="B3032" t="s">
        <v>10503</v>
      </c>
      <c r="C3032" t="s">
        <v>11151</v>
      </c>
      <c r="D3032" t="s">
        <v>3256</v>
      </c>
      <c r="E3032" t="s">
        <v>3257</v>
      </c>
      <c r="F3032" t="s">
        <v>3257</v>
      </c>
      <c r="G3032" t="s">
        <v>3257</v>
      </c>
      <c r="H3032" t="s">
        <v>868</v>
      </c>
      <c r="I3032" t="s">
        <v>869</v>
      </c>
      <c r="J3032" t="str">
        <f>"9520516"</f>
        <v>9520516</v>
      </c>
      <c r="N3032" t="s">
        <v>5630</v>
      </c>
      <c r="Q3032" t="str">
        <f>""</f>
        <v/>
      </c>
      <c r="R3032" t="str">
        <f>""</f>
        <v/>
      </c>
      <c r="S3032" t="s">
        <v>26</v>
      </c>
    </row>
    <row r="3033" spans="1:19" x14ac:dyDescent="0.3">
      <c r="A3033" t="s">
        <v>3237</v>
      </c>
      <c r="B3033" t="s">
        <v>10503</v>
      </c>
      <c r="C3033" t="s">
        <v>11162</v>
      </c>
      <c r="D3033" t="s">
        <v>3256</v>
      </c>
      <c r="E3033" t="s">
        <v>4017</v>
      </c>
      <c r="F3033" t="s">
        <v>4017</v>
      </c>
      <c r="G3033" t="s">
        <v>4017</v>
      </c>
      <c r="H3033" t="s">
        <v>868</v>
      </c>
      <c r="I3033" t="s">
        <v>1157</v>
      </c>
      <c r="J3033" t="str">
        <f>"9521723"</f>
        <v>9521723</v>
      </c>
      <c r="Q3033" t="str">
        <f>""</f>
        <v/>
      </c>
      <c r="R3033" t="str">
        <f>""</f>
        <v/>
      </c>
      <c r="S3033" t="s">
        <v>26</v>
      </c>
    </row>
    <row r="3034" spans="1:19" x14ac:dyDescent="0.3">
      <c r="A3034" t="s">
        <v>3237</v>
      </c>
      <c r="B3034" t="s">
        <v>11164</v>
      </c>
      <c r="C3034" t="s">
        <v>6094</v>
      </c>
      <c r="D3034" t="s">
        <v>3268</v>
      </c>
      <c r="E3034" t="s">
        <v>3269</v>
      </c>
      <c r="F3034" t="s">
        <v>6089</v>
      </c>
      <c r="G3034" t="s">
        <v>6089</v>
      </c>
      <c r="H3034" t="s">
        <v>868</v>
      </c>
      <c r="I3034" t="s">
        <v>869</v>
      </c>
      <c r="J3034" t="str">
        <f>"9521012"</f>
        <v>9521012</v>
      </c>
      <c r="K3034">
        <v>2105555466</v>
      </c>
      <c r="L3034">
        <v>2105555466</v>
      </c>
      <c r="M3034" t="s">
        <v>11165</v>
      </c>
      <c r="N3034" t="s">
        <v>6089</v>
      </c>
      <c r="O3034" t="s">
        <v>11166</v>
      </c>
      <c r="P3034">
        <v>19018</v>
      </c>
      <c r="Q3034" t="str">
        <f>"38.077972"</f>
        <v>38.077972</v>
      </c>
      <c r="R3034" t="str">
        <f>"23.522536"</f>
        <v>23.522536</v>
      </c>
      <c r="S3034" t="s">
        <v>26</v>
      </c>
    </row>
    <row r="3035" spans="1:19" x14ac:dyDescent="0.3">
      <c r="A3035" t="s">
        <v>3237</v>
      </c>
      <c r="B3035" t="s">
        <v>11164</v>
      </c>
      <c r="C3035" t="s">
        <v>11170</v>
      </c>
      <c r="D3035" t="s">
        <v>3268</v>
      </c>
      <c r="E3035" t="s">
        <v>6017</v>
      </c>
      <c r="F3035" t="s">
        <v>6017</v>
      </c>
      <c r="G3035" t="s">
        <v>6017</v>
      </c>
      <c r="H3035" t="s">
        <v>868</v>
      </c>
      <c r="I3035" t="s">
        <v>869</v>
      </c>
      <c r="J3035" t="str">
        <f>"9050649"</f>
        <v>9050649</v>
      </c>
      <c r="K3035">
        <v>2296028580</v>
      </c>
      <c r="L3035">
        <v>2296028580</v>
      </c>
      <c r="M3035" t="s">
        <v>11171</v>
      </c>
      <c r="N3035" t="s">
        <v>6046</v>
      </c>
      <c r="O3035" t="s">
        <v>11172</v>
      </c>
      <c r="P3035">
        <v>19100</v>
      </c>
      <c r="Q3035" t="str">
        <f>"37.999824"</f>
        <v>37.999824</v>
      </c>
      <c r="R3035" t="str">
        <f>"23.331677"</f>
        <v>23.331677</v>
      </c>
      <c r="S3035" t="s">
        <v>26</v>
      </c>
    </row>
    <row r="3036" spans="1:19" x14ac:dyDescent="0.3">
      <c r="A3036" t="s">
        <v>3237</v>
      </c>
      <c r="B3036" t="s">
        <v>11164</v>
      </c>
      <c r="C3036" t="s">
        <v>11173</v>
      </c>
      <c r="D3036" t="s">
        <v>3268</v>
      </c>
      <c r="E3036" t="s">
        <v>6017</v>
      </c>
      <c r="F3036" t="s">
        <v>6017</v>
      </c>
      <c r="G3036" t="s">
        <v>6017</v>
      </c>
      <c r="H3036" t="s">
        <v>868</v>
      </c>
      <c r="I3036" t="s">
        <v>869</v>
      </c>
      <c r="J3036" t="str">
        <f>"9050925"</f>
        <v>9050925</v>
      </c>
      <c r="K3036">
        <v>2296081779</v>
      </c>
      <c r="L3036">
        <v>2296081779</v>
      </c>
      <c r="M3036" t="s">
        <v>11174</v>
      </c>
      <c r="N3036" t="s">
        <v>11175</v>
      </c>
      <c r="O3036" t="s">
        <v>11176</v>
      </c>
      <c r="P3036">
        <v>19100</v>
      </c>
      <c r="Q3036" t="str">
        <f>"37.988030"</f>
        <v>37.988030</v>
      </c>
      <c r="R3036" t="str">
        <f>"23.345464"</f>
        <v>23.345464</v>
      </c>
      <c r="S3036" t="s">
        <v>26</v>
      </c>
    </row>
    <row r="3037" spans="1:19" x14ac:dyDescent="0.3">
      <c r="A3037" t="s">
        <v>3237</v>
      </c>
      <c r="B3037" t="s">
        <v>11164</v>
      </c>
      <c r="C3037" t="s">
        <v>11177</v>
      </c>
      <c r="D3037" t="s">
        <v>3268</v>
      </c>
      <c r="E3037" t="s">
        <v>6006</v>
      </c>
      <c r="F3037" t="s">
        <v>6116</v>
      </c>
      <c r="G3037" t="s">
        <v>6116</v>
      </c>
      <c r="H3037" t="s">
        <v>868</v>
      </c>
      <c r="I3037" t="s">
        <v>869</v>
      </c>
      <c r="J3037" t="str">
        <f>"9051158"</f>
        <v>9051158</v>
      </c>
      <c r="K3037">
        <v>2105556248</v>
      </c>
      <c r="L3037">
        <v>2105556248</v>
      </c>
      <c r="M3037" t="s">
        <v>11178</v>
      </c>
      <c r="N3037" t="s">
        <v>6155</v>
      </c>
      <c r="O3037" t="s">
        <v>11179</v>
      </c>
      <c r="P3037">
        <v>19600</v>
      </c>
      <c r="Q3037" t="str">
        <f>"38.058861"</f>
        <v>38.058861</v>
      </c>
      <c r="R3037" t="str">
        <f>"23.524818"</f>
        <v>23.524818</v>
      </c>
      <c r="S3037" t="s">
        <v>26</v>
      </c>
    </row>
    <row r="3038" spans="1:19" x14ac:dyDescent="0.3">
      <c r="A3038" t="s">
        <v>3237</v>
      </c>
      <c r="B3038" t="s">
        <v>11164</v>
      </c>
      <c r="C3038" t="s">
        <v>6170</v>
      </c>
      <c r="D3038" t="s">
        <v>3268</v>
      </c>
      <c r="E3038" t="s">
        <v>6028</v>
      </c>
      <c r="F3038" t="s">
        <v>6028</v>
      </c>
      <c r="G3038" t="s">
        <v>6028</v>
      </c>
      <c r="H3038" t="s">
        <v>868</v>
      </c>
      <c r="I3038" t="s">
        <v>869</v>
      </c>
      <c r="J3038" t="str">
        <f>"9050832"</f>
        <v>9050832</v>
      </c>
      <c r="K3038">
        <v>2105598382</v>
      </c>
      <c r="L3038">
        <v>2105598382</v>
      </c>
      <c r="M3038" t="s">
        <v>11180</v>
      </c>
      <c r="N3038" t="s">
        <v>6031</v>
      </c>
      <c r="O3038" t="s">
        <v>11181</v>
      </c>
      <c r="P3038">
        <v>19300</v>
      </c>
      <c r="Q3038" t="str">
        <f>"38.077770"</f>
        <v>38.077770</v>
      </c>
      <c r="R3038" t="str">
        <f>"23.569399"</f>
        <v>23.569399</v>
      </c>
      <c r="S3038" t="s">
        <v>26</v>
      </c>
    </row>
    <row r="3039" spans="1:19" x14ac:dyDescent="0.3">
      <c r="A3039" t="s">
        <v>3237</v>
      </c>
      <c r="B3039" t="s">
        <v>11164</v>
      </c>
      <c r="C3039" t="s">
        <v>11182</v>
      </c>
      <c r="D3039" t="s">
        <v>3268</v>
      </c>
      <c r="E3039" t="s">
        <v>6017</v>
      </c>
      <c r="F3039" t="s">
        <v>6017</v>
      </c>
      <c r="G3039" t="s">
        <v>6017</v>
      </c>
      <c r="H3039" t="s">
        <v>868</v>
      </c>
      <c r="I3039" t="s">
        <v>869</v>
      </c>
      <c r="J3039" t="str">
        <f>"9050644"</f>
        <v>9050644</v>
      </c>
      <c r="K3039">
        <v>2296029277</v>
      </c>
      <c r="L3039">
        <v>2296029277</v>
      </c>
      <c r="M3039" t="s">
        <v>11183</v>
      </c>
      <c r="N3039" t="s">
        <v>6046</v>
      </c>
      <c r="O3039" t="s">
        <v>11184</v>
      </c>
      <c r="P3039">
        <v>19100</v>
      </c>
      <c r="Q3039" t="str">
        <f>"38.002075"</f>
        <v>38.002075</v>
      </c>
      <c r="R3039" t="str">
        <f>"23.345830"</f>
        <v>23.345830</v>
      </c>
      <c r="S3039" t="s">
        <v>26</v>
      </c>
    </row>
    <row r="3040" spans="1:19" x14ac:dyDescent="0.3">
      <c r="A3040" t="s">
        <v>3237</v>
      </c>
      <c r="B3040" t="s">
        <v>11164</v>
      </c>
      <c r="C3040" t="s">
        <v>11188</v>
      </c>
      <c r="D3040" t="s">
        <v>3268</v>
      </c>
      <c r="E3040" t="s">
        <v>6028</v>
      </c>
      <c r="F3040" t="s">
        <v>6028</v>
      </c>
      <c r="G3040" t="s">
        <v>6028</v>
      </c>
      <c r="H3040" t="s">
        <v>868</v>
      </c>
      <c r="I3040" t="s">
        <v>869</v>
      </c>
      <c r="J3040" t="str">
        <f>"9050615"</f>
        <v>9050615</v>
      </c>
      <c r="K3040">
        <v>2105574010</v>
      </c>
      <c r="L3040">
        <v>2105574010</v>
      </c>
      <c r="M3040" t="s">
        <v>11189</v>
      </c>
      <c r="N3040" t="s">
        <v>6031</v>
      </c>
      <c r="O3040" t="s">
        <v>11190</v>
      </c>
      <c r="P3040">
        <v>19300</v>
      </c>
      <c r="Q3040" t="str">
        <f>"38.068374"</f>
        <v>38.068374</v>
      </c>
      <c r="R3040" t="str">
        <f>"23.594851"</f>
        <v>23.594851</v>
      </c>
      <c r="S3040" t="s">
        <v>26</v>
      </c>
    </row>
    <row r="3041" spans="1:19" x14ac:dyDescent="0.3">
      <c r="A3041" t="s">
        <v>3237</v>
      </c>
      <c r="B3041" t="s">
        <v>11164</v>
      </c>
      <c r="C3041" t="s">
        <v>11197</v>
      </c>
      <c r="D3041" t="s">
        <v>3268</v>
      </c>
      <c r="E3041" t="s">
        <v>6017</v>
      </c>
      <c r="F3041" t="s">
        <v>456</v>
      </c>
      <c r="G3041" t="s">
        <v>456</v>
      </c>
      <c r="H3041" t="s">
        <v>868</v>
      </c>
      <c r="I3041" t="s">
        <v>869</v>
      </c>
      <c r="J3041" t="str">
        <f>"9051842"</f>
        <v>9051842</v>
      </c>
      <c r="K3041">
        <v>2296032677</v>
      </c>
      <c r="L3041">
        <v>2296032677</v>
      </c>
      <c r="M3041" t="s">
        <v>11198</v>
      </c>
      <c r="N3041" t="s">
        <v>11199</v>
      </c>
      <c r="O3041" t="s">
        <v>11200</v>
      </c>
      <c r="P3041">
        <v>19006</v>
      </c>
      <c r="Q3041" t="str">
        <f>"37.999084"</f>
        <v>37.999084</v>
      </c>
      <c r="R3041" t="str">
        <f>"23.414774"</f>
        <v>23.414774</v>
      </c>
      <c r="S3041" t="s">
        <v>26</v>
      </c>
    </row>
    <row r="3042" spans="1:19" x14ac:dyDescent="0.3">
      <c r="A3042" t="s">
        <v>3237</v>
      </c>
      <c r="B3042" t="s">
        <v>11164</v>
      </c>
      <c r="C3042" t="s">
        <v>6052</v>
      </c>
      <c r="D3042" t="s">
        <v>3268</v>
      </c>
      <c r="E3042" t="s">
        <v>6028</v>
      </c>
      <c r="F3042" t="s">
        <v>6028</v>
      </c>
      <c r="G3042" t="s">
        <v>6028</v>
      </c>
      <c r="H3042" t="s">
        <v>868</v>
      </c>
      <c r="I3042" t="s">
        <v>869</v>
      </c>
      <c r="J3042" t="str">
        <f>"9051801"</f>
        <v>9051801</v>
      </c>
      <c r="K3042">
        <v>2105575949</v>
      </c>
      <c r="L3042">
        <v>2105573273</v>
      </c>
      <c r="M3042" t="s">
        <v>11203</v>
      </c>
      <c r="N3042" t="s">
        <v>6031</v>
      </c>
      <c r="O3042" t="s">
        <v>11204</v>
      </c>
      <c r="P3042">
        <v>19300</v>
      </c>
      <c r="Q3042" t="str">
        <f>"38.066667"</f>
        <v>38.066667</v>
      </c>
      <c r="R3042" t="str">
        <f>"23.587084"</f>
        <v>23.587084</v>
      </c>
      <c r="S3042" t="s">
        <v>26</v>
      </c>
    </row>
    <row r="3043" spans="1:19" x14ac:dyDescent="0.3">
      <c r="A3043" t="s">
        <v>3237</v>
      </c>
      <c r="B3043" t="s">
        <v>11164</v>
      </c>
      <c r="C3043" t="s">
        <v>11205</v>
      </c>
      <c r="D3043" t="s">
        <v>3268</v>
      </c>
      <c r="E3043" t="s">
        <v>6017</v>
      </c>
      <c r="F3043" t="s">
        <v>6017</v>
      </c>
      <c r="G3043" t="s">
        <v>6017</v>
      </c>
      <c r="H3043" t="s">
        <v>868</v>
      </c>
      <c r="I3043" t="s">
        <v>869</v>
      </c>
      <c r="J3043" t="str">
        <f>"9051785"</f>
        <v>9051785</v>
      </c>
      <c r="K3043">
        <v>2296025919</v>
      </c>
      <c r="L3043">
        <v>2296025919</v>
      </c>
      <c r="M3043" t="s">
        <v>11206</v>
      </c>
      <c r="N3043" t="s">
        <v>6046</v>
      </c>
      <c r="O3043" t="s">
        <v>11207</v>
      </c>
      <c r="P3043">
        <v>19100</v>
      </c>
      <c r="Q3043" t="str">
        <f>"37.989695"</f>
        <v>37.989695</v>
      </c>
      <c r="R3043" t="str">
        <f>"23.355699"</f>
        <v>23.355699</v>
      </c>
      <c r="S3043" t="s">
        <v>26</v>
      </c>
    </row>
    <row r="3044" spans="1:19" x14ac:dyDescent="0.3">
      <c r="A3044" t="s">
        <v>3237</v>
      </c>
      <c r="B3044" t="s">
        <v>11164</v>
      </c>
      <c r="C3044" t="s">
        <v>11211</v>
      </c>
      <c r="D3044" t="s">
        <v>3268</v>
      </c>
      <c r="E3044" t="s">
        <v>6006</v>
      </c>
      <c r="F3044" t="s">
        <v>6116</v>
      </c>
      <c r="G3044" t="s">
        <v>6116</v>
      </c>
      <c r="H3044" t="s">
        <v>868</v>
      </c>
      <c r="I3044" t="s">
        <v>869</v>
      </c>
      <c r="J3044" t="str">
        <f>"9051805"</f>
        <v>9051805</v>
      </c>
      <c r="K3044">
        <v>2105558178</v>
      </c>
      <c r="L3044">
        <v>2105558178</v>
      </c>
      <c r="M3044" t="s">
        <v>11212</v>
      </c>
      <c r="N3044" t="s">
        <v>6155</v>
      </c>
      <c r="O3044" t="s">
        <v>11213</v>
      </c>
      <c r="P3044">
        <v>19600</v>
      </c>
      <c r="Q3044" t="str">
        <f>"38.071221"</f>
        <v>38.071221</v>
      </c>
      <c r="R3044" t="str">
        <f>"23.503126"</f>
        <v>23.503126</v>
      </c>
      <c r="S3044" t="s">
        <v>26</v>
      </c>
    </row>
    <row r="3045" spans="1:19" x14ac:dyDescent="0.3">
      <c r="A3045" t="s">
        <v>3237</v>
      </c>
      <c r="B3045" t="s">
        <v>11164</v>
      </c>
      <c r="C3045" t="s">
        <v>6125</v>
      </c>
      <c r="D3045" t="s">
        <v>3268</v>
      </c>
      <c r="E3045" t="s">
        <v>3269</v>
      </c>
      <c r="F3045" t="s">
        <v>3270</v>
      </c>
      <c r="G3045" t="s">
        <v>3270</v>
      </c>
      <c r="H3045" t="s">
        <v>868</v>
      </c>
      <c r="I3045" t="s">
        <v>869</v>
      </c>
      <c r="J3045" t="str">
        <f>"9051840"</f>
        <v>9051840</v>
      </c>
      <c r="K3045">
        <v>2105543035</v>
      </c>
      <c r="L3045">
        <v>2105543035</v>
      </c>
      <c r="M3045" t="s">
        <v>11214</v>
      </c>
      <c r="N3045" t="s">
        <v>3273</v>
      </c>
      <c r="O3045" t="s">
        <v>11215</v>
      </c>
      <c r="P3045">
        <v>19200</v>
      </c>
      <c r="Q3045" t="str">
        <f>"38.046400"</f>
        <v>38.046400</v>
      </c>
      <c r="R3045" t="str">
        <f>"23.543109"</f>
        <v>23.543109</v>
      </c>
      <c r="S3045" t="s">
        <v>26</v>
      </c>
    </row>
    <row r="3046" spans="1:19" x14ac:dyDescent="0.3">
      <c r="A3046" t="s">
        <v>3237</v>
      </c>
      <c r="B3046" t="s">
        <v>11164</v>
      </c>
      <c r="C3046" t="s">
        <v>6130</v>
      </c>
      <c r="D3046" t="s">
        <v>3268</v>
      </c>
      <c r="E3046" t="s">
        <v>6028</v>
      </c>
      <c r="F3046" t="s">
        <v>6028</v>
      </c>
      <c r="G3046" t="s">
        <v>6028</v>
      </c>
      <c r="H3046" t="s">
        <v>868</v>
      </c>
      <c r="I3046" t="s">
        <v>869</v>
      </c>
      <c r="J3046" t="str">
        <f>"9051341"</f>
        <v>9051341</v>
      </c>
      <c r="K3046">
        <v>2105575800</v>
      </c>
      <c r="L3046">
        <v>2105575800</v>
      </c>
      <c r="M3046" t="s">
        <v>11225</v>
      </c>
      <c r="N3046" t="s">
        <v>6031</v>
      </c>
      <c r="O3046" t="s">
        <v>11226</v>
      </c>
      <c r="P3046">
        <v>19300</v>
      </c>
      <c r="Q3046" t="str">
        <f>"38.060282"</f>
        <v>38.060282</v>
      </c>
      <c r="R3046" t="str">
        <f>"23.599454"</f>
        <v>23.599454</v>
      </c>
      <c r="S3046" t="s">
        <v>26</v>
      </c>
    </row>
    <row r="3047" spans="1:19" x14ac:dyDescent="0.3">
      <c r="A3047" t="s">
        <v>3237</v>
      </c>
      <c r="B3047" t="s">
        <v>11164</v>
      </c>
      <c r="C3047" t="s">
        <v>6048</v>
      </c>
      <c r="D3047" t="s">
        <v>3268</v>
      </c>
      <c r="E3047" t="s">
        <v>6017</v>
      </c>
      <c r="F3047" t="s">
        <v>6017</v>
      </c>
      <c r="G3047" t="s">
        <v>6017</v>
      </c>
      <c r="H3047" t="s">
        <v>868</v>
      </c>
      <c r="I3047" t="s">
        <v>869</v>
      </c>
      <c r="J3047" t="str">
        <f>"9050640"</f>
        <v>9050640</v>
      </c>
      <c r="K3047">
        <v>2296029249</v>
      </c>
      <c r="L3047">
        <v>2296029249</v>
      </c>
      <c r="M3047" t="s">
        <v>11230</v>
      </c>
      <c r="N3047" t="s">
        <v>6046</v>
      </c>
      <c r="O3047" t="s">
        <v>6060</v>
      </c>
      <c r="P3047">
        <v>19100</v>
      </c>
      <c r="Q3047" t="str">
        <f>"37.996121"</f>
        <v>37.996121</v>
      </c>
      <c r="R3047" t="str">
        <f>"23.347042"</f>
        <v>23.347042</v>
      </c>
      <c r="S3047" t="s">
        <v>26</v>
      </c>
    </row>
    <row r="3048" spans="1:19" x14ac:dyDescent="0.3">
      <c r="A3048" t="s">
        <v>3237</v>
      </c>
      <c r="B3048" t="s">
        <v>11164</v>
      </c>
      <c r="C3048" t="s">
        <v>6104</v>
      </c>
      <c r="D3048" t="s">
        <v>3268</v>
      </c>
      <c r="E3048" t="s">
        <v>6028</v>
      </c>
      <c r="F3048" t="s">
        <v>6028</v>
      </c>
      <c r="G3048" t="s">
        <v>6028</v>
      </c>
      <c r="H3048" t="s">
        <v>868</v>
      </c>
      <c r="I3048" t="s">
        <v>869</v>
      </c>
      <c r="J3048" t="str">
        <f>"9050618"</f>
        <v>9050618</v>
      </c>
      <c r="K3048">
        <v>2105573597</v>
      </c>
      <c r="L3048">
        <v>2105573597</v>
      </c>
      <c r="M3048" t="s">
        <v>11231</v>
      </c>
      <c r="N3048" t="s">
        <v>6031</v>
      </c>
      <c r="O3048" t="s">
        <v>11232</v>
      </c>
      <c r="P3048">
        <v>19300</v>
      </c>
      <c r="Q3048" t="str">
        <f>"38.040224"</f>
        <v>38.040224</v>
      </c>
      <c r="R3048" t="str">
        <f>"23.590674"</f>
        <v>23.590674</v>
      </c>
      <c r="S3048" t="s">
        <v>26</v>
      </c>
    </row>
    <row r="3049" spans="1:19" x14ac:dyDescent="0.3">
      <c r="A3049" t="s">
        <v>3237</v>
      </c>
      <c r="B3049" t="s">
        <v>11164</v>
      </c>
      <c r="C3049" t="s">
        <v>6121</v>
      </c>
      <c r="D3049" t="s">
        <v>3268</v>
      </c>
      <c r="E3049" t="s">
        <v>6006</v>
      </c>
      <c r="F3049" t="s">
        <v>6116</v>
      </c>
      <c r="G3049" t="s">
        <v>6116</v>
      </c>
      <c r="H3049" t="s">
        <v>868</v>
      </c>
      <c r="I3049" t="s">
        <v>869</v>
      </c>
      <c r="J3049" t="str">
        <f>"9050636"</f>
        <v>9050636</v>
      </c>
      <c r="K3049">
        <v>2105555433</v>
      </c>
      <c r="L3049">
        <v>2105559944</v>
      </c>
      <c r="M3049" t="s">
        <v>11233</v>
      </c>
      <c r="N3049" t="s">
        <v>6155</v>
      </c>
      <c r="O3049" t="s">
        <v>11234</v>
      </c>
      <c r="P3049">
        <v>19600</v>
      </c>
      <c r="Q3049" t="str">
        <f>"38.071718"</f>
        <v>38.071718</v>
      </c>
      <c r="R3049" t="str">
        <f>"23.498146"</f>
        <v>23.498146</v>
      </c>
      <c r="S3049" t="s">
        <v>26</v>
      </c>
    </row>
    <row r="3050" spans="1:19" x14ac:dyDescent="0.3">
      <c r="A3050" t="s">
        <v>3237</v>
      </c>
      <c r="B3050" t="s">
        <v>11164</v>
      </c>
      <c r="C3050" t="s">
        <v>6011</v>
      </c>
      <c r="D3050" t="s">
        <v>3268</v>
      </c>
      <c r="E3050" t="s">
        <v>6006</v>
      </c>
      <c r="F3050" t="s">
        <v>6007</v>
      </c>
      <c r="G3050" t="s">
        <v>6007</v>
      </c>
      <c r="H3050" t="s">
        <v>868</v>
      </c>
      <c r="I3050" t="s">
        <v>869</v>
      </c>
      <c r="J3050" t="str">
        <f>"9051900"</f>
        <v>9051900</v>
      </c>
      <c r="K3050">
        <v>2263062346</v>
      </c>
      <c r="L3050">
        <v>2263062346</v>
      </c>
      <c r="M3050" t="s">
        <v>11235</v>
      </c>
      <c r="N3050" t="s">
        <v>6078</v>
      </c>
      <c r="O3050" t="s">
        <v>11236</v>
      </c>
      <c r="P3050">
        <v>19008</v>
      </c>
      <c r="Q3050" t="str">
        <f>"38.220197"</f>
        <v>38.220197</v>
      </c>
      <c r="R3050" t="str">
        <f>"23.325637"</f>
        <v>23.325637</v>
      </c>
      <c r="S3050" t="s">
        <v>26</v>
      </c>
    </row>
    <row r="3051" spans="1:19" x14ac:dyDescent="0.3">
      <c r="A3051" t="s">
        <v>3237</v>
      </c>
      <c r="B3051" t="s">
        <v>11164</v>
      </c>
      <c r="C3051" t="s">
        <v>6022</v>
      </c>
      <c r="D3051" t="s">
        <v>3268</v>
      </c>
      <c r="E3051" t="s">
        <v>6017</v>
      </c>
      <c r="F3051" t="s">
        <v>6017</v>
      </c>
      <c r="G3051" t="s">
        <v>6017</v>
      </c>
      <c r="H3051" t="s">
        <v>868</v>
      </c>
      <c r="I3051" t="s">
        <v>869</v>
      </c>
      <c r="J3051" t="str">
        <f>"9050650"</f>
        <v>9050650</v>
      </c>
      <c r="K3051">
        <v>2296083346</v>
      </c>
      <c r="L3051">
        <v>2296083346</v>
      </c>
      <c r="M3051" t="s">
        <v>11237</v>
      </c>
      <c r="N3051" t="s">
        <v>6020</v>
      </c>
      <c r="O3051" t="s">
        <v>11238</v>
      </c>
      <c r="P3051">
        <v>19100</v>
      </c>
      <c r="Q3051" t="str">
        <f>"37.985070"</f>
        <v>37.985070</v>
      </c>
      <c r="R3051" t="str">
        <f>"23.341172"</f>
        <v>23.341172</v>
      </c>
      <c r="S3051" t="s">
        <v>26</v>
      </c>
    </row>
    <row r="3052" spans="1:19" x14ac:dyDescent="0.3">
      <c r="A3052" t="s">
        <v>3237</v>
      </c>
      <c r="B3052" t="s">
        <v>11164</v>
      </c>
      <c r="C3052" t="s">
        <v>6033</v>
      </c>
      <c r="D3052" t="s">
        <v>3268</v>
      </c>
      <c r="E3052" t="s">
        <v>6028</v>
      </c>
      <c r="F3052" t="s">
        <v>6028</v>
      </c>
      <c r="G3052" t="s">
        <v>6028</v>
      </c>
      <c r="H3052" t="s">
        <v>868</v>
      </c>
      <c r="I3052" t="s">
        <v>869</v>
      </c>
      <c r="J3052" t="str">
        <f>"9050613"</f>
        <v>9050613</v>
      </c>
      <c r="K3052">
        <v>2105572620</v>
      </c>
      <c r="L3052">
        <v>2105572621</v>
      </c>
      <c r="M3052" t="s">
        <v>11239</v>
      </c>
      <c r="N3052" t="s">
        <v>6031</v>
      </c>
      <c r="O3052" t="s">
        <v>11240</v>
      </c>
      <c r="P3052">
        <v>19300</v>
      </c>
      <c r="Q3052" t="str">
        <f>"38.060007"</f>
        <v>38.060007</v>
      </c>
      <c r="R3052" t="str">
        <f>"23.589496"</f>
        <v>23.589496</v>
      </c>
      <c r="S3052" t="s">
        <v>26</v>
      </c>
    </row>
    <row r="3053" spans="1:19" x14ac:dyDescent="0.3">
      <c r="A3053" t="s">
        <v>3237</v>
      </c>
      <c r="B3053" t="s">
        <v>11164</v>
      </c>
      <c r="C3053" t="s">
        <v>11241</v>
      </c>
      <c r="D3053" t="s">
        <v>3268</v>
      </c>
      <c r="E3053" t="s">
        <v>6028</v>
      </c>
      <c r="F3053" t="s">
        <v>6028</v>
      </c>
      <c r="G3053" t="s">
        <v>6028</v>
      </c>
      <c r="H3053" t="s">
        <v>868</v>
      </c>
      <c r="I3053" t="s">
        <v>869</v>
      </c>
      <c r="J3053" t="str">
        <f>"9050616"</f>
        <v>9050616</v>
      </c>
      <c r="K3053">
        <v>2105590089</v>
      </c>
      <c r="L3053">
        <v>2105590089</v>
      </c>
      <c r="M3053" t="s">
        <v>11242</v>
      </c>
      <c r="N3053" t="s">
        <v>6031</v>
      </c>
      <c r="O3053" t="s">
        <v>11243</v>
      </c>
      <c r="P3053">
        <v>19300</v>
      </c>
      <c r="Q3053" t="str">
        <f>"38.033062"</f>
        <v>38.033062</v>
      </c>
      <c r="R3053" t="str">
        <f>"23.628059"</f>
        <v>23.628059</v>
      </c>
      <c r="S3053" t="s">
        <v>26</v>
      </c>
    </row>
    <row r="3054" spans="1:19" x14ac:dyDescent="0.3">
      <c r="A3054" t="s">
        <v>3237</v>
      </c>
      <c r="B3054" t="s">
        <v>11164</v>
      </c>
      <c r="C3054" t="s">
        <v>11244</v>
      </c>
      <c r="D3054" t="s">
        <v>3268</v>
      </c>
      <c r="E3054" t="s">
        <v>6006</v>
      </c>
      <c r="F3054" t="s">
        <v>6116</v>
      </c>
      <c r="G3054" t="s">
        <v>6116</v>
      </c>
      <c r="H3054" t="s">
        <v>868</v>
      </c>
      <c r="I3054" t="s">
        <v>869</v>
      </c>
      <c r="J3054" t="str">
        <f>"9050630"</f>
        <v>9050630</v>
      </c>
      <c r="K3054">
        <v>2105546294</v>
      </c>
      <c r="L3054">
        <v>2105546294</v>
      </c>
      <c r="M3054" t="s">
        <v>11245</v>
      </c>
      <c r="N3054" t="s">
        <v>6155</v>
      </c>
      <c r="O3054" t="s">
        <v>11246</v>
      </c>
      <c r="P3054">
        <v>19600</v>
      </c>
      <c r="Q3054" t="str">
        <f>"38.053339"</f>
        <v>38.053339</v>
      </c>
      <c r="R3054" t="str">
        <f>"23.526431"</f>
        <v>23.526431</v>
      </c>
      <c r="S3054" t="s">
        <v>26</v>
      </c>
    </row>
    <row r="3055" spans="1:19" x14ac:dyDescent="0.3">
      <c r="A3055" t="s">
        <v>3237</v>
      </c>
      <c r="B3055" t="s">
        <v>11164</v>
      </c>
      <c r="C3055" t="s">
        <v>6190</v>
      </c>
      <c r="D3055" t="s">
        <v>3268</v>
      </c>
      <c r="E3055" t="s">
        <v>5999</v>
      </c>
      <c r="F3055" t="s">
        <v>6016</v>
      </c>
      <c r="G3055" t="s">
        <v>6016</v>
      </c>
      <c r="H3055" t="s">
        <v>868</v>
      </c>
      <c r="I3055" t="s">
        <v>869</v>
      </c>
      <c r="J3055" t="str">
        <f>"9051148"</f>
        <v>9051148</v>
      </c>
      <c r="K3055">
        <v>2102471245</v>
      </c>
      <c r="L3055">
        <v>2102471245</v>
      </c>
      <c r="M3055" t="s">
        <v>11251</v>
      </c>
      <c r="N3055" t="s">
        <v>6041</v>
      </c>
      <c r="O3055" t="s">
        <v>11252</v>
      </c>
      <c r="P3055">
        <v>13341</v>
      </c>
      <c r="Q3055" t="str">
        <f>"38.080710"</f>
        <v>38.080710</v>
      </c>
      <c r="R3055" t="str">
        <f>"23.706755"</f>
        <v>23.706755</v>
      </c>
      <c r="S3055" t="s">
        <v>26</v>
      </c>
    </row>
    <row r="3056" spans="1:19" x14ac:dyDescent="0.3">
      <c r="A3056" t="s">
        <v>3237</v>
      </c>
      <c r="B3056" t="s">
        <v>11164</v>
      </c>
      <c r="C3056" t="s">
        <v>6005</v>
      </c>
      <c r="D3056" t="s">
        <v>3268</v>
      </c>
      <c r="E3056" t="s">
        <v>5999</v>
      </c>
      <c r="F3056" t="s">
        <v>6000</v>
      </c>
      <c r="G3056" t="s">
        <v>6000</v>
      </c>
      <c r="H3056" t="s">
        <v>868</v>
      </c>
      <c r="I3056" t="s">
        <v>869</v>
      </c>
      <c r="J3056" t="str">
        <f>"9050257"</f>
        <v>9050257</v>
      </c>
      <c r="K3056">
        <v>2102318888</v>
      </c>
      <c r="L3056">
        <v>2102318888</v>
      </c>
      <c r="M3056" t="s">
        <v>11253</v>
      </c>
      <c r="N3056" t="s">
        <v>6003</v>
      </c>
      <c r="O3056" t="s">
        <v>11254</v>
      </c>
      <c r="P3056">
        <v>13461</v>
      </c>
      <c r="Q3056" t="str">
        <f>"38.065847"</f>
        <v>38.065847</v>
      </c>
      <c r="R3056" t="str">
        <f>"23.717493"</f>
        <v>23.717493</v>
      </c>
      <c r="S3056" t="s">
        <v>26</v>
      </c>
    </row>
    <row r="3057" spans="1:19" x14ac:dyDescent="0.3">
      <c r="A3057" t="s">
        <v>3237</v>
      </c>
      <c r="B3057" t="s">
        <v>11164</v>
      </c>
      <c r="C3057" t="s">
        <v>11261</v>
      </c>
      <c r="D3057" t="s">
        <v>3268</v>
      </c>
      <c r="E3057" t="s">
        <v>6006</v>
      </c>
      <c r="F3057" t="s">
        <v>6116</v>
      </c>
      <c r="G3057" t="s">
        <v>6116</v>
      </c>
      <c r="H3057" t="s">
        <v>868</v>
      </c>
      <c r="I3057" t="s">
        <v>869</v>
      </c>
      <c r="J3057" t="str">
        <f>"9050638"</f>
        <v>9050638</v>
      </c>
      <c r="K3057">
        <v>2105555652</v>
      </c>
      <c r="L3057">
        <v>2105557490</v>
      </c>
      <c r="M3057" t="s">
        <v>11262</v>
      </c>
      <c r="N3057" t="s">
        <v>6155</v>
      </c>
      <c r="O3057" t="s">
        <v>11263</v>
      </c>
      <c r="P3057">
        <v>19600</v>
      </c>
      <c r="Q3057" t="str">
        <f>"38.079423"</f>
        <v>38.079423</v>
      </c>
      <c r="R3057" t="str">
        <f>"23.490953"</f>
        <v>23.490953</v>
      </c>
      <c r="S3057" t="s">
        <v>26</v>
      </c>
    </row>
    <row r="3058" spans="1:19" x14ac:dyDescent="0.3">
      <c r="A3058" t="s">
        <v>3237</v>
      </c>
      <c r="B3058" t="s">
        <v>11164</v>
      </c>
      <c r="C3058" t="s">
        <v>11264</v>
      </c>
      <c r="D3058" t="s">
        <v>3268</v>
      </c>
      <c r="E3058" t="s">
        <v>3269</v>
      </c>
      <c r="F3058" t="s">
        <v>3270</v>
      </c>
      <c r="G3058" t="s">
        <v>3270</v>
      </c>
      <c r="H3058" t="s">
        <v>868</v>
      </c>
      <c r="I3058" t="s">
        <v>869</v>
      </c>
      <c r="J3058" t="str">
        <f>"9050631"</f>
        <v>9050631</v>
      </c>
      <c r="K3058">
        <v>2105546147</v>
      </c>
      <c r="L3058">
        <v>2105546147</v>
      </c>
      <c r="M3058" t="s">
        <v>11265</v>
      </c>
      <c r="N3058" t="s">
        <v>3273</v>
      </c>
      <c r="O3058" t="s">
        <v>11266</v>
      </c>
      <c r="P3058">
        <v>19200</v>
      </c>
      <c r="Q3058" t="str">
        <f>"38.040526"</f>
        <v>38.040526</v>
      </c>
      <c r="R3058" t="str">
        <f>"23.547679"</f>
        <v>23.547679</v>
      </c>
      <c r="S3058" t="s">
        <v>26</v>
      </c>
    </row>
    <row r="3059" spans="1:19" x14ac:dyDescent="0.3">
      <c r="A3059" t="s">
        <v>3237</v>
      </c>
      <c r="B3059" t="s">
        <v>11164</v>
      </c>
      <c r="C3059" t="s">
        <v>11273</v>
      </c>
      <c r="D3059" t="s">
        <v>3268</v>
      </c>
      <c r="E3059" t="s">
        <v>3269</v>
      </c>
      <c r="F3059" t="s">
        <v>3270</v>
      </c>
      <c r="G3059" t="s">
        <v>3270</v>
      </c>
      <c r="H3059" t="s">
        <v>868</v>
      </c>
      <c r="I3059" t="s">
        <v>869</v>
      </c>
      <c r="J3059" t="str">
        <f>"9051780"</f>
        <v>9051780</v>
      </c>
      <c r="K3059">
        <v>2105547810</v>
      </c>
      <c r="L3059">
        <v>2105547810</v>
      </c>
      <c r="M3059" t="s">
        <v>11274</v>
      </c>
      <c r="N3059" t="s">
        <v>3273</v>
      </c>
      <c r="O3059" t="s">
        <v>11275</v>
      </c>
      <c r="P3059">
        <v>19200</v>
      </c>
      <c r="Q3059" t="str">
        <f>"38.051094"</f>
        <v>38.051094</v>
      </c>
      <c r="R3059" t="str">
        <f>"23.527378"</f>
        <v>23.527378</v>
      </c>
      <c r="S3059" t="s">
        <v>26</v>
      </c>
    </row>
    <row r="3060" spans="1:19" x14ac:dyDescent="0.3">
      <c r="A3060" t="s">
        <v>3237</v>
      </c>
      <c r="B3060" t="s">
        <v>11164</v>
      </c>
      <c r="C3060" t="s">
        <v>6038</v>
      </c>
      <c r="D3060" t="s">
        <v>3268</v>
      </c>
      <c r="E3060" t="s">
        <v>6017</v>
      </c>
      <c r="F3060" t="s">
        <v>456</v>
      </c>
      <c r="G3060" t="s">
        <v>456</v>
      </c>
      <c r="H3060" t="s">
        <v>868</v>
      </c>
      <c r="I3060" t="s">
        <v>869</v>
      </c>
      <c r="J3060" t="str">
        <f>"9051804"</f>
        <v>9051804</v>
      </c>
      <c r="K3060">
        <v>2296032147</v>
      </c>
      <c r="L3060">
        <v>2296032147</v>
      </c>
      <c r="M3060" t="s">
        <v>11287</v>
      </c>
      <c r="N3060" t="s">
        <v>456</v>
      </c>
      <c r="O3060" t="s">
        <v>11288</v>
      </c>
      <c r="P3060">
        <v>19006</v>
      </c>
      <c r="Q3060" t="str">
        <f>"38.017403"</f>
        <v>38.017403</v>
      </c>
      <c r="R3060" t="str">
        <f>"23.434365"</f>
        <v>23.434365</v>
      </c>
      <c r="S3060" t="s">
        <v>26</v>
      </c>
    </row>
    <row r="3061" spans="1:19" x14ac:dyDescent="0.3">
      <c r="A3061" t="s">
        <v>3237</v>
      </c>
      <c r="B3061" t="s">
        <v>11164</v>
      </c>
      <c r="C3061" t="s">
        <v>11295</v>
      </c>
      <c r="D3061" t="s">
        <v>3268</v>
      </c>
      <c r="E3061" t="s">
        <v>5999</v>
      </c>
      <c r="F3061" t="s">
        <v>6000</v>
      </c>
      <c r="G3061" t="s">
        <v>6000</v>
      </c>
      <c r="H3061" t="s">
        <v>868</v>
      </c>
      <c r="I3061" t="s">
        <v>869</v>
      </c>
      <c r="J3061" t="str">
        <f>"9051150"</f>
        <v>9051150</v>
      </c>
      <c r="K3061">
        <v>2102473400</v>
      </c>
      <c r="L3061">
        <v>2102473400</v>
      </c>
      <c r="M3061" t="s">
        <v>11296</v>
      </c>
      <c r="N3061" t="s">
        <v>6003</v>
      </c>
      <c r="O3061" t="s">
        <v>11297</v>
      </c>
      <c r="P3061">
        <v>13461</v>
      </c>
      <c r="Q3061" t="str">
        <f>"38.074482"</f>
        <v>38.074482</v>
      </c>
      <c r="R3061" t="str">
        <f>"23.720923"</f>
        <v>23.720923</v>
      </c>
      <c r="S3061" t="s">
        <v>26</v>
      </c>
    </row>
    <row r="3062" spans="1:19" x14ac:dyDescent="0.3">
      <c r="A3062" t="s">
        <v>3237</v>
      </c>
      <c r="B3062" t="s">
        <v>11164</v>
      </c>
      <c r="C3062" t="s">
        <v>6143</v>
      </c>
      <c r="D3062" t="s">
        <v>3268</v>
      </c>
      <c r="E3062" t="s">
        <v>6006</v>
      </c>
      <c r="F3062" t="s">
        <v>6138</v>
      </c>
      <c r="G3062" t="s">
        <v>6138</v>
      </c>
      <c r="H3062" t="s">
        <v>868</v>
      </c>
      <c r="I3062" t="s">
        <v>869</v>
      </c>
      <c r="J3062" t="str">
        <f>"9050619"</f>
        <v>9050619</v>
      </c>
      <c r="K3062">
        <v>2263022482</v>
      </c>
      <c r="L3062">
        <v>2263022482</v>
      </c>
      <c r="M3062" t="s">
        <v>11304</v>
      </c>
      <c r="N3062" t="s">
        <v>6141</v>
      </c>
      <c r="O3062" t="s">
        <v>11305</v>
      </c>
      <c r="P3062">
        <v>19012</v>
      </c>
      <c r="Q3062" t="str">
        <f>"38.166650"</f>
        <v>38.166650</v>
      </c>
      <c r="R3062" t="str">
        <f>"23.337176"</f>
        <v>23.337176</v>
      </c>
      <c r="S3062" t="s">
        <v>26</v>
      </c>
    </row>
    <row r="3063" spans="1:19" x14ac:dyDescent="0.3">
      <c r="A3063" t="s">
        <v>3237</v>
      </c>
      <c r="B3063" t="s">
        <v>11164</v>
      </c>
      <c r="C3063" t="s">
        <v>11306</v>
      </c>
      <c r="D3063" t="s">
        <v>3268</v>
      </c>
      <c r="E3063" t="s">
        <v>5999</v>
      </c>
      <c r="F3063" t="s">
        <v>6000</v>
      </c>
      <c r="G3063" t="s">
        <v>6000</v>
      </c>
      <c r="H3063" t="s">
        <v>868</v>
      </c>
      <c r="I3063" t="s">
        <v>869</v>
      </c>
      <c r="J3063" t="str">
        <f>"9051778"</f>
        <v>9051778</v>
      </c>
      <c r="K3063">
        <v>2102310190</v>
      </c>
      <c r="L3063">
        <v>2102310190</v>
      </c>
      <c r="M3063" t="s">
        <v>11307</v>
      </c>
      <c r="N3063" t="s">
        <v>6003</v>
      </c>
      <c r="O3063" t="s">
        <v>11308</v>
      </c>
      <c r="P3063">
        <v>13461</v>
      </c>
      <c r="Q3063" t="str">
        <f>"38.069327"</f>
        <v>38.069327</v>
      </c>
      <c r="R3063" t="str">
        <f>"23.716093"</f>
        <v>23.716093</v>
      </c>
      <c r="S3063" t="s">
        <v>26</v>
      </c>
    </row>
    <row r="3064" spans="1:19" x14ac:dyDescent="0.3">
      <c r="A3064" t="s">
        <v>3237</v>
      </c>
      <c r="B3064" t="s">
        <v>11164</v>
      </c>
      <c r="C3064" t="s">
        <v>6186</v>
      </c>
      <c r="D3064" t="s">
        <v>3268</v>
      </c>
      <c r="E3064" t="s">
        <v>5999</v>
      </c>
      <c r="F3064" t="s">
        <v>5999</v>
      </c>
      <c r="G3064" t="s">
        <v>5999</v>
      </c>
      <c r="H3064" t="s">
        <v>868</v>
      </c>
      <c r="I3064" t="s">
        <v>869</v>
      </c>
      <c r="J3064" t="str">
        <f>"9050296"</f>
        <v>9050296</v>
      </c>
      <c r="K3064">
        <v>2102411169</v>
      </c>
      <c r="L3064">
        <v>2102411169</v>
      </c>
      <c r="M3064" t="s">
        <v>11312</v>
      </c>
      <c r="N3064" t="s">
        <v>6184</v>
      </c>
      <c r="O3064" t="s">
        <v>11313</v>
      </c>
      <c r="P3064">
        <v>13351</v>
      </c>
      <c r="Q3064" t="str">
        <f>"38.101861"</f>
        <v>38.101861</v>
      </c>
      <c r="R3064" t="str">
        <f>"23.665224"</f>
        <v>23.665224</v>
      </c>
      <c r="S3064" t="s">
        <v>26</v>
      </c>
    </row>
    <row r="3065" spans="1:19" x14ac:dyDescent="0.3">
      <c r="A3065" t="s">
        <v>3237</v>
      </c>
      <c r="B3065" t="s">
        <v>11164</v>
      </c>
      <c r="C3065" t="s">
        <v>11327</v>
      </c>
      <c r="D3065" t="s">
        <v>3268</v>
      </c>
      <c r="E3065" t="s">
        <v>3269</v>
      </c>
      <c r="F3065" t="s">
        <v>3270</v>
      </c>
      <c r="G3065" t="s">
        <v>3270</v>
      </c>
      <c r="H3065" t="s">
        <v>868</v>
      </c>
      <c r="I3065" t="s">
        <v>869</v>
      </c>
      <c r="J3065" t="str">
        <f>"9050632"</f>
        <v>9050632</v>
      </c>
      <c r="K3065">
        <v>2105546785</v>
      </c>
      <c r="L3065">
        <v>2105546785</v>
      </c>
      <c r="M3065" t="s">
        <v>11328</v>
      </c>
      <c r="N3065" t="s">
        <v>11329</v>
      </c>
      <c r="O3065" t="s">
        <v>11330</v>
      </c>
      <c r="P3065">
        <v>19200</v>
      </c>
      <c r="Q3065" t="str">
        <f>"38.039985"</f>
        <v>38.039985</v>
      </c>
      <c r="R3065" t="str">
        <f>"23.544808"</f>
        <v>23.544808</v>
      </c>
      <c r="S3065" t="s">
        <v>26</v>
      </c>
    </row>
    <row r="3066" spans="1:19" x14ac:dyDescent="0.3">
      <c r="A3066" t="s">
        <v>3237</v>
      </c>
      <c r="B3066" t="s">
        <v>11164</v>
      </c>
      <c r="C3066" t="s">
        <v>11334</v>
      </c>
      <c r="D3066" t="s">
        <v>3268</v>
      </c>
      <c r="E3066" t="s">
        <v>3269</v>
      </c>
      <c r="F3066" t="s">
        <v>3270</v>
      </c>
      <c r="G3066" t="s">
        <v>3270</v>
      </c>
      <c r="H3066" t="s">
        <v>868</v>
      </c>
      <c r="I3066" t="s">
        <v>869</v>
      </c>
      <c r="J3066" t="str">
        <f>"9050628"</f>
        <v>9050628</v>
      </c>
      <c r="K3066">
        <v>2105546265</v>
      </c>
      <c r="L3066">
        <v>2105546265</v>
      </c>
      <c r="M3066" t="s">
        <v>11335</v>
      </c>
      <c r="N3066" t="s">
        <v>3273</v>
      </c>
      <c r="O3066" t="s">
        <v>11286</v>
      </c>
      <c r="P3066">
        <v>19200</v>
      </c>
      <c r="Q3066" t="str">
        <f>"38.053303"</f>
        <v>38.053303</v>
      </c>
      <c r="R3066" t="str">
        <f>"23.530804"</f>
        <v>23.530804</v>
      </c>
      <c r="S3066" t="s">
        <v>26</v>
      </c>
    </row>
    <row r="3067" spans="1:19" x14ac:dyDescent="0.3">
      <c r="A3067" t="s">
        <v>3237</v>
      </c>
      <c r="B3067" t="s">
        <v>11164</v>
      </c>
      <c r="C3067" t="s">
        <v>11336</v>
      </c>
      <c r="D3067" t="s">
        <v>3268</v>
      </c>
      <c r="E3067" t="s">
        <v>6017</v>
      </c>
      <c r="F3067" t="s">
        <v>456</v>
      </c>
      <c r="G3067" t="s">
        <v>456</v>
      </c>
      <c r="H3067" t="s">
        <v>868</v>
      </c>
      <c r="I3067" t="s">
        <v>869</v>
      </c>
      <c r="J3067" t="str">
        <f>"9050654"</f>
        <v>9050654</v>
      </c>
      <c r="K3067">
        <v>2296033195</v>
      </c>
      <c r="L3067">
        <v>2296033195</v>
      </c>
      <c r="M3067" t="s">
        <v>11337</v>
      </c>
      <c r="N3067" t="s">
        <v>11199</v>
      </c>
      <c r="O3067" t="s">
        <v>11338</v>
      </c>
      <c r="P3067">
        <v>19006</v>
      </c>
      <c r="Q3067" t="str">
        <f>"37.999650"</f>
        <v>37.999650</v>
      </c>
      <c r="R3067" t="str">
        <f>"23.415364"</f>
        <v>23.415364</v>
      </c>
      <c r="S3067" t="s">
        <v>26</v>
      </c>
    </row>
    <row r="3068" spans="1:19" x14ac:dyDescent="0.3">
      <c r="A3068" t="s">
        <v>3237</v>
      </c>
      <c r="B3068" t="s">
        <v>11164</v>
      </c>
      <c r="C3068" t="s">
        <v>11347</v>
      </c>
      <c r="D3068" t="s">
        <v>3268</v>
      </c>
      <c r="E3068" t="s">
        <v>6028</v>
      </c>
      <c r="F3068" t="s">
        <v>6028</v>
      </c>
      <c r="G3068" t="s">
        <v>6028</v>
      </c>
      <c r="H3068" t="s">
        <v>868</v>
      </c>
      <c r="I3068" t="s">
        <v>869</v>
      </c>
      <c r="J3068" t="str">
        <f>"9051869"</f>
        <v>9051869</v>
      </c>
      <c r="K3068">
        <v>2105570493</v>
      </c>
      <c r="L3068">
        <v>2105570493</v>
      </c>
      <c r="M3068" t="s">
        <v>11348</v>
      </c>
      <c r="N3068" t="s">
        <v>6031</v>
      </c>
      <c r="O3068" t="s">
        <v>11349</v>
      </c>
      <c r="P3068">
        <v>19300</v>
      </c>
      <c r="Q3068" t="str">
        <f>"38.075370"</f>
        <v>38.075370</v>
      </c>
      <c r="R3068" t="str">
        <f>"23.611918"</f>
        <v>23.611918</v>
      </c>
      <c r="S3068" t="s">
        <v>26</v>
      </c>
    </row>
    <row r="3069" spans="1:19" x14ac:dyDescent="0.3">
      <c r="A3069" t="s">
        <v>3237</v>
      </c>
      <c r="B3069" t="s">
        <v>11164</v>
      </c>
      <c r="C3069" t="s">
        <v>11368</v>
      </c>
      <c r="D3069" t="s">
        <v>3268</v>
      </c>
      <c r="E3069" t="s">
        <v>5999</v>
      </c>
      <c r="F3069" t="s">
        <v>6016</v>
      </c>
      <c r="G3069" t="s">
        <v>6016</v>
      </c>
      <c r="H3069" t="s">
        <v>868</v>
      </c>
      <c r="I3069" t="s">
        <v>869</v>
      </c>
      <c r="J3069" t="str">
        <f>"9050264"</f>
        <v>9050264</v>
      </c>
      <c r="K3069">
        <v>2102470140</v>
      </c>
      <c r="L3069">
        <v>2102470140</v>
      </c>
      <c r="M3069" t="s">
        <v>11369</v>
      </c>
      <c r="N3069" t="s">
        <v>6041</v>
      </c>
      <c r="O3069" t="s">
        <v>11370</v>
      </c>
      <c r="P3069">
        <v>13341</v>
      </c>
      <c r="Q3069" t="str">
        <f>"38.083531"</f>
        <v>38.083531</v>
      </c>
      <c r="R3069" t="str">
        <f>"23.705476"</f>
        <v>23.705476</v>
      </c>
      <c r="S3069" t="s">
        <v>26</v>
      </c>
    </row>
    <row r="3070" spans="1:19" x14ac:dyDescent="0.3">
      <c r="A3070" t="s">
        <v>3237</v>
      </c>
      <c r="B3070" t="s">
        <v>11164</v>
      </c>
      <c r="C3070" t="s">
        <v>6088</v>
      </c>
      <c r="D3070" t="s">
        <v>3268</v>
      </c>
      <c r="E3070" t="s">
        <v>3269</v>
      </c>
      <c r="F3070" t="s">
        <v>3270</v>
      </c>
      <c r="G3070" t="s">
        <v>3270</v>
      </c>
      <c r="H3070" t="s">
        <v>868</v>
      </c>
      <c r="I3070" t="s">
        <v>869</v>
      </c>
      <c r="J3070" t="str">
        <f>"9050621"</f>
        <v>9050621</v>
      </c>
      <c r="K3070">
        <v>2105546276</v>
      </c>
      <c r="L3070">
        <v>2105546276</v>
      </c>
      <c r="M3070" t="s">
        <v>11374</v>
      </c>
      <c r="N3070" t="s">
        <v>3273</v>
      </c>
      <c r="O3070" t="s">
        <v>11375</v>
      </c>
      <c r="P3070">
        <v>19200</v>
      </c>
      <c r="Q3070" t="str">
        <f>"38.040562"</f>
        <v>38.040562</v>
      </c>
      <c r="R3070" t="str">
        <f>"23.540422"</f>
        <v>23.540422</v>
      </c>
      <c r="S3070" t="s">
        <v>26</v>
      </c>
    </row>
    <row r="3071" spans="1:19" x14ac:dyDescent="0.3">
      <c r="A3071" t="s">
        <v>3237</v>
      </c>
      <c r="B3071" t="s">
        <v>11164</v>
      </c>
      <c r="C3071" t="s">
        <v>6152</v>
      </c>
      <c r="D3071" t="s">
        <v>3268</v>
      </c>
      <c r="E3071" t="s">
        <v>5999</v>
      </c>
      <c r="F3071" t="s">
        <v>6016</v>
      </c>
      <c r="G3071" t="s">
        <v>6016</v>
      </c>
      <c r="H3071" t="s">
        <v>868</v>
      </c>
      <c r="I3071" t="s">
        <v>869</v>
      </c>
      <c r="J3071" t="str">
        <f>"9050267"</f>
        <v>9050267</v>
      </c>
      <c r="K3071">
        <v>2102473816</v>
      </c>
      <c r="L3071">
        <v>2102473816</v>
      </c>
      <c r="M3071" t="s">
        <v>11380</v>
      </c>
      <c r="N3071" t="s">
        <v>11381</v>
      </c>
      <c r="O3071" t="s">
        <v>11382</v>
      </c>
      <c r="P3071">
        <v>13341</v>
      </c>
      <c r="Q3071" t="str">
        <f>"38.091509"</f>
        <v>38.091509</v>
      </c>
      <c r="R3071" t="str">
        <f>"23.687493"</f>
        <v>23.687493</v>
      </c>
      <c r="S3071" t="s">
        <v>26</v>
      </c>
    </row>
    <row r="3072" spans="1:19" x14ac:dyDescent="0.3">
      <c r="A3072" t="s">
        <v>3237</v>
      </c>
      <c r="B3072" t="s">
        <v>11164</v>
      </c>
      <c r="C3072" t="s">
        <v>11392</v>
      </c>
      <c r="D3072" t="s">
        <v>3268</v>
      </c>
      <c r="E3072" t="s">
        <v>5999</v>
      </c>
      <c r="F3072" t="s">
        <v>6016</v>
      </c>
      <c r="G3072" t="s">
        <v>6016</v>
      </c>
      <c r="H3072" t="s">
        <v>868</v>
      </c>
      <c r="I3072" t="s">
        <v>869</v>
      </c>
      <c r="J3072" t="str">
        <f>"9050268"</f>
        <v>9050268</v>
      </c>
      <c r="K3072">
        <v>2102471531</v>
      </c>
      <c r="L3072">
        <v>2102471531</v>
      </c>
      <c r="M3072" t="s">
        <v>11393</v>
      </c>
      <c r="N3072" t="s">
        <v>6041</v>
      </c>
      <c r="O3072" t="s">
        <v>11394</v>
      </c>
      <c r="P3072">
        <v>13341</v>
      </c>
      <c r="Q3072" t="str">
        <f>"38.067273"</f>
        <v>38.067273</v>
      </c>
      <c r="R3072" t="str">
        <f>"23.699845"</f>
        <v>23.699845</v>
      </c>
      <c r="S3072" t="s">
        <v>26</v>
      </c>
    </row>
    <row r="3073" spans="1:19" x14ac:dyDescent="0.3">
      <c r="A3073" t="s">
        <v>3237</v>
      </c>
      <c r="B3073" t="s">
        <v>11164</v>
      </c>
      <c r="C3073" t="s">
        <v>11403</v>
      </c>
      <c r="D3073" t="s">
        <v>3268</v>
      </c>
      <c r="E3073" t="s">
        <v>3269</v>
      </c>
      <c r="F3073" t="s">
        <v>3270</v>
      </c>
      <c r="G3073" t="s">
        <v>3270</v>
      </c>
      <c r="H3073" t="s">
        <v>868</v>
      </c>
      <c r="I3073" t="s">
        <v>1157</v>
      </c>
      <c r="J3073" t="str">
        <f>"9051469"</f>
        <v>9051469</v>
      </c>
      <c r="K3073">
        <v>2105540423</v>
      </c>
      <c r="L3073">
        <v>2105540423</v>
      </c>
      <c r="M3073" t="s">
        <v>11404</v>
      </c>
      <c r="N3073" t="s">
        <v>11405</v>
      </c>
      <c r="O3073" t="s">
        <v>11406</v>
      </c>
      <c r="P3073">
        <v>19200</v>
      </c>
      <c r="Q3073" t="str">
        <f>"38.060239"</f>
        <v>38.060239</v>
      </c>
      <c r="R3073" t="str">
        <f>"23.530912"</f>
        <v>23.530912</v>
      </c>
      <c r="S3073" t="s">
        <v>26</v>
      </c>
    </row>
    <row r="3074" spans="1:19" x14ac:dyDescent="0.3">
      <c r="A3074" t="s">
        <v>3237</v>
      </c>
      <c r="B3074" t="s">
        <v>11164</v>
      </c>
      <c r="C3074" t="s">
        <v>11407</v>
      </c>
      <c r="D3074" t="s">
        <v>3268</v>
      </c>
      <c r="E3074" t="s">
        <v>3269</v>
      </c>
      <c r="F3074" t="s">
        <v>3270</v>
      </c>
      <c r="G3074" t="s">
        <v>3270</v>
      </c>
      <c r="H3074" t="s">
        <v>868</v>
      </c>
      <c r="I3074" t="s">
        <v>869</v>
      </c>
      <c r="J3074" t="str">
        <f>"9050623"</f>
        <v>9050623</v>
      </c>
      <c r="K3074">
        <v>2105546865</v>
      </c>
      <c r="M3074" t="s">
        <v>11408</v>
      </c>
      <c r="N3074" t="s">
        <v>3273</v>
      </c>
      <c r="O3074" t="s">
        <v>11409</v>
      </c>
      <c r="P3074">
        <v>19200</v>
      </c>
      <c r="Q3074" t="str">
        <f>"38.040105"</f>
        <v>38.040105</v>
      </c>
      <c r="R3074" t="str">
        <f>"23.540580"</f>
        <v>23.540580</v>
      </c>
      <c r="S3074" t="s">
        <v>26</v>
      </c>
    </row>
    <row r="3075" spans="1:19" x14ac:dyDescent="0.3">
      <c r="A3075" t="s">
        <v>3237</v>
      </c>
      <c r="B3075" t="s">
        <v>11164</v>
      </c>
      <c r="C3075" t="s">
        <v>11413</v>
      </c>
      <c r="D3075" t="s">
        <v>3268</v>
      </c>
      <c r="E3075" t="s">
        <v>6028</v>
      </c>
      <c r="F3075" t="s">
        <v>6028</v>
      </c>
      <c r="G3075" t="s">
        <v>6028</v>
      </c>
      <c r="H3075" t="s">
        <v>868</v>
      </c>
      <c r="I3075" t="s">
        <v>869</v>
      </c>
      <c r="J3075" t="str">
        <f>"9051852"</f>
        <v>9051852</v>
      </c>
      <c r="K3075">
        <v>2105595091</v>
      </c>
      <c r="L3075">
        <v>2105595091</v>
      </c>
      <c r="M3075" t="s">
        <v>11414</v>
      </c>
      <c r="N3075" t="s">
        <v>6031</v>
      </c>
      <c r="O3075" t="s">
        <v>11415</v>
      </c>
      <c r="P3075">
        <v>19300</v>
      </c>
      <c r="Q3075" t="str">
        <f>"38.070725"</f>
        <v>38.070725</v>
      </c>
      <c r="R3075" t="str">
        <f>"23.630262"</f>
        <v>23.630262</v>
      </c>
      <c r="S3075" t="s">
        <v>26</v>
      </c>
    </row>
    <row r="3076" spans="1:19" x14ac:dyDescent="0.3">
      <c r="A3076" t="s">
        <v>3237</v>
      </c>
      <c r="B3076" t="s">
        <v>11164</v>
      </c>
      <c r="C3076" t="s">
        <v>6043</v>
      </c>
      <c r="D3076" t="s">
        <v>3268</v>
      </c>
      <c r="E3076" t="s">
        <v>5999</v>
      </c>
      <c r="F3076" t="s">
        <v>6016</v>
      </c>
      <c r="G3076" t="s">
        <v>6016</v>
      </c>
      <c r="H3076" t="s">
        <v>868</v>
      </c>
      <c r="I3076" t="s">
        <v>869</v>
      </c>
      <c r="J3076" t="str">
        <f>"9050686"</f>
        <v>9050686</v>
      </c>
      <c r="K3076">
        <v>2102482217</v>
      </c>
      <c r="L3076">
        <v>2102472678</v>
      </c>
      <c r="M3076" t="s">
        <v>11416</v>
      </c>
      <c r="N3076" t="s">
        <v>6041</v>
      </c>
      <c r="O3076" t="s">
        <v>11417</v>
      </c>
      <c r="P3076">
        <v>13341</v>
      </c>
      <c r="Q3076" t="str">
        <f>"38.074628"</f>
        <v>38.074628</v>
      </c>
      <c r="R3076" t="str">
        <f>"23.704868"</f>
        <v>23.704868</v>
      </c>
      <c r="S3076" t="s">
        <v>26</v>
      </c>
    </row>
    <row r="3077" spans="1:19" x14ac:dyDescent="0.3">
      <c r="A3077" t="s">
        <v>3237</v>
      </c>
      <c r="B3077" t="s">
        <v>11164</v>
      </c>
      <c r="C3077" t="s">
        <v>6147</v>
      </c>
      <c r="D3077" t="s">
        <v>3268</v>
      </c>
      <c r="E3077" t="s">
        <v>5999</v>
      </c>
      <c r="F3077" t="s">
        <v>6000</v>
      </c>
      <c r="G3077" t="s">
        <v>6000</v>
      </c>
      <c r="H3077" t="s">
        <v>868</v>
      </c>
      <c r="I3077" t="s">
        <v>869</v>
      </c>
      <c r="J3077" t="str">
        <f>"9050287"</f>
        <v>9050287</v>
      </c>
      <c r="K3077">
        <v>2102475067</v>
      </c>
      <c r="L3077">
        <v>2102475067</v>
      </c>
      <c r="M3077" t="s">
        <v>11418</v>
      </c>
      <c r="N3077" t="s">
        <v>6000</v>
      </c>
      <c r="O3077" t="s">
        <v>11419</v>
      </c>
      <c r="P3077">
        <v>13461</v>
      </c>
      <c r="Q3077" t="str">
        <f>"38.073066"</f>
        <v>38.073066</v>
      </c>
      <c r="R3077" t="str">
        <f>"23.712028"</f>
        <v>23.712028</v>
      </c>
      <c r="S3077" t="s">
        <v>26</v>
      </c>
    </row>
    <row r="3078" spans="1:19" x14ac:dyDescent="0.3">
      <c r="A3078" t="s">
        <v>3237</v>
      </c>
      <c r="B3078" t="s">
        <v>11164</v>
      </c>
      <c r="C3078" t="s">
        <v>6075</v>
      </c>
      <c r="D3078" t="s">
        <v>3268</v>
      </c>
      <c r="E3078" t="s">
        <v>3269</v>
      </c>
      <c r="F3078" t="s">
        <v>3270</v>
      </c>
      <c r="G3078" t="s">
        <v>3270</v>
      </c>
      <c r="H3078" t="s">
        <v>868</v>
      </c>
      <c r="I3078" t="s">
        <v>869</v>
      </c>
      <c r="J3078" t="str">
        <f>"9051157"</f>
        <v>9051157</v>
      </c>
      <c r="K3078">
        <v>2105545001</v>
      </c>
      <c r="L3078">
        <v>2105545001</v>
      </c>
      <c r="M3078" t="s">
        <v>11423</v>
      </c>
      <c r="N3078" t="s">
        <v>3273</v>
      </c>
      <c r="O3078" t="s">
        <v>11424</v>
      </c>
      <c r="P3078">
        <v>19200</v>
      </c>
      <c r="Q3078" t="str">
        <f>"38.048698"</f>
        <v>38.048698</v>
      </c>
      <c r="R3078" t="str">
        <f>"23.543870"</f>
        <v>23.543870</v>
      </c>
      <c r="S3078" t="s">
        <v>26</v>
      </c>
    </row>
    <row r="3079" spans="1:19" x14ac:dyDescent="0.3">
      <c r="A3079" t="s">
        <v>3237</v>
      </c>
      <c r="B3079" t="s">
        <v>11164</v>
      </c>
      <c r="C3079" t="s">
        <v>11431</v>
      </c>
      <c r="D3079" t="s">
        <v>3268</v>
      </c>
      <c r="E3079" t="s">
        <v>5999</v>
      </c>
      <c r="F3079" t="s">
        <v>6016</v>
      </c>
      <c r="G3079" t="s">
        <v>6016</v>
      </c>
      <c r="H3079" t="s">
        <v>868</v>
      </c>
      <c r="I3079" t="s">
        <v>869</v>
      </c>
      <c r="J3079" t="str">
        <f>"9050831"</f>
        <v>9050831</v>
      </c>
      <c r="K3079">
        <v>2102475843</v>
      </c>
      <c r="L3079">
        <v>2102475843</v>
      </c>
      <c r="M3079" t="s">
        <v>11432</v>
      </c>
      <c r="N3079" t="s">
        <v>6041</v>
      </c>
      <c r="O3079" t="s">
        <v>11433</v>
      </c>
      <c r="P3079">
        <v>13341</v>
      </c>
      <c r="Q3079" t="str">
        <f>"38.097801"</f>
        <v>38.097801</v>
      </c>
      <c r="R3079" t="str">
        <f>"23.689921"</f>
        <v>23.689921</v>
      </c>
      <c r="S3079" t="s">
        <v>26</v>
      </c>
    </row>
    <row r="3080" spans="1:19" x14ac:dyDescent="0.3">
      <c r="A3080" t="s">
        <v>3237</v>
      </c>
      <c r="B3080" t="s">
        <v>11164</v>
      </c>
      <c r="C3080" t="s">
        <v>11434</v>
      </c>
      <c r="D3080" t="s">
        <v>3268</v>
      </c>
      <c r="E3080" t="s">
        <v>3269</v>
      </c>
      <c r="F3080" t="s">
        <v>6089</v>
      </c>
      <c r="G3080" t="s">
        <v>6089</v>
      </c>
      <c r="H3080" t="s">
        <v>868</v>
      </c>
      <c r="I3080" t="s">
        <v>869</v>
      </c>
      <c r="J3080" t="str">
        <f>"9051648"</f>
        <v>9051648</v>
      </c>
      <c r="K3080">
        <v>2105551270</v>
      </c>
      <c r="M3080" t="s">
        <v>11435</v>
      </c>
      <c r="N3080" t="s">
        <v>6092</v>
      </c>
      <c r="O3080" t="s">
        <v>11436</v>
      </c>
      <c r="P3080">
        <v>19018</v>
      </c>
      <c r="Q3080" t="str">
        <f>"38.076958"</f>
        <v>38.076958</v>
      </c>
      <c r="R3080" t="str">
        <f>"23.515225"</f>
        <v>23.515225</v>
      </c>
      <c r="S3080" t="s">
        <v>26</v>
      </c>
    </row>
    <row r="3081" spans="1:19" x14ac:dyDescent="0.3">
      <c r="A3081" t="s">
        <v>3237</v>
      </c>
      <c r="B3081" t="s">
        <v>11164</v>
      </c>
      <c r="C3081" t="s">
        <v>11437</v>
      </c>
      <c r="D3081" t="s">
        <v>3268</v>
      </c>
      <c r="E3081" t="s">
        <v>6028</v>
      </c>
      <c r="F3081" t="s">
        <v>6028</v>
      </c>
      <c r="G3081" t="s">
        <v>6028</v>
      </c>
      <c r="H3081" t="s">
        <v>868</v>
      </c>
      <c r="I3081" t="s">
        <v>869</v>
      </c>
      <c r="J3081" t="str">
        <f>"9051877"</f>
        <v>9051877</v>
      </c>
      <c r="K3081">
        <v>2105598929</v>
      </c>
      <c r="L3081">
        <v>2105598929</v>
      </c>
      <c r="M3081" t="s">
        <v>11438</v>
      </c>
      <c r="N3081" t="s">
        <v>6031</v>
      </c>
      <c r="O3081" t="s">
        <v>11439</v>
      </c>
      <c r="P3081">
        <v>19300</v>
      </c>
      <c r="Q3081" t="str">
        <f>"38.098190"</f>
        <v>38.098190</v>
      </c>
      <c r="R3081" t="str">
        <f>"23.592358"</f>
        <v>23.592358</v>
      </c>
      <c r="S3081" t="s">
        <v>26</v>
      </c>
    </row>
    <row r="3082" spans="1:19" x14ac:dyDescent="0.3">
      <c r="A3082" t="s">
        <v>3237</v>
      </c>
      <c r="B3082" t="s">
        <v>11164</v>
      </c>
      <c r="C3082" t="s">
        <v>11440</v>
      </c>
      <c r="D3082" t="s">
        <v>3268</v>
      </c>
      <c r="E3082" t="s">
        <v>5999</v>
      </c>
      <c r="F3082" t="s">
        <v>6016</v>
      </c>
      <c r="G3082" t="s">
        <v>6016</v>
      </c>
      <c r="H3082" t="s">
        <v>868</v>
      </c>
      <c r="I3082" t="s">
        <v>869</v>
      </c>
      <c r="J3082" t="str">
        <f>"9050965"</f>
        <v>9050965</v>
      </c>
      <c r="K3082">
        <v>2102472837</v>
      </c>
      <c r="M3082" t="s">
        <v>11441</v>
      </c>
      <c r="N3082" t="s">
        <v>11442</v>
      </c>
      <c r="O3082" t="s">
        <v>11443</v>
      </c>
      <c r="P3082">
        <v>13341</v>
      </c>
      <c r="Q3082" t="str">
        <f>"38.085601"</f>
        <v>38.085601</v>
      </c>
      <c r="R3082" t="str">
        <f>"23.715947"</f>
        <v>23.715947</v>
      </c>
      <c r="S3082" t="s">
        <v>26</v>
      </c>
    </row>
    <row r="3083" spans="1:19" x14ac:dyDescent="0.3">
      <c r="A3083" t="s">
        <v>3237</v>
      </c>
      <c r="B3083" t="s">
        <v>11164</v>
      </c>
      <c r="C3083" t="s">
        <v>6027</v>
      </c>
      <c r="D3083" t="s">
        <v>3268</v>
      </c>
      <c r="E3083" t="s">
        <v>5999</v>
      </c>
      <c r="F3083" t="s">
        <v>6016</v>
      </c>
      <c r="G3083" t="s">
        <v>6016</v>
      </c>
      <c r="H3083" t="s">
        <v>868</v>
      </c>
      <c r="I3083" t="s">
        <v>869</v>
      </c>
      <c r="J3083" t="str">
        <f>"9051752"</f>
        <v>9051752</v>
      </c>
      <c r="K3083">
        <v>2102474132</v>
      </c>
      <c r="L3083">
        <v>2102474132</v>
      </c>
      <c r="M3083" t="s">
        <v>11444</v>
      </c>
      <c r="N3083" t="s">
        <v>6041</v>
      </c>
      <c r="O3083" t="s">
        <v>11445</v>
      </c>
      <c r="P3083">
        <v>13341</v>
      </c>
      <c r="Q3083" t="str">
        <f>"38.085354"</f>
        <v>38.085354</v>
      </c>
      <c r="R3083" t="str">
        <f>"23.691531"</f>
        <v>23.691531</v>
      </c>
      <c r="S3083" t="s">
        <v>26</v>
      </c>
    </row>
    <row r="3084" spans="1:19" x14ac:dyDescent="0.3">
      <c r="A3084" t="s">
        <v>3237</v>
      </c>
      <c r="B3084" t="s">
        <v>11164</v>
      </c>
      <c r="C3084" t="s">
        <v>6084</v>
      </c>
      <c r="D3084" t="s">
        <v>3268</v>
      </c>
      <c r="E3084" t="s">
        <v>3269</v>
      </c>
      <c r="F3084" t="s">
        <v>3270</v>
      </c>
      <c r="G3084" t="s">
        <v>3270</v>
      </c>
      <c r="H3084" t="s">
        <v>868</v>
      </c>
      <c r="I3084" t="s">
        <v>869</v>
      </c>
      <c r="J3084" t="str">
        <f>"9050626"</f>
        <v>9050626</v>
      </c>
      <c r="K3084">
        <v>2105546867</v>
      </c>
      <c r="L3084">
        <v>2105561739</v>
      </c>
      <c r="M3084" t="s">
        <v>11449</v>
      </c>
      <c r="N3084" t="s">
        <v>3273</v>
      </c>
      <c r="O3084" t="s">
        <v>11450</v>
      </c>
      <c r="P3084">
        <v>19200</v>
      </c>
      <c r="Q3084" t="str">
        <f>"38.049660"</f>
        <v>38.049660</v>
      </c>
      <c r="R3084" t="str">
        <f>"23.533456"</f>
        <v>23.533456</v>
      </c>
      <c r="S3084" t="s">
        <v>26</v>
      </c>
    </row>
    <row r="3085" spans="1:19" x14ac:dyDescent="0.3">
      <c r="A3085" t="s">
        <v>3237</v>
      </c>
      <c r="B3085" t="s">
        <v>11164</v>
      </c>
      <c r="C3085" t="s">
        <v>11451</v>
      </c>
      <c r="D3085" t="s">
        <v>3268</v>
      </c>
      <c r="E3085" t="s">
        <v>5999</v>
      </c>
      <c r="F3085" t="s">
        <v>6000</v>
      </c>
      <c r="G3085" t="s">
        <v>6000</v>
      </c>
      <c r="H3085" t="s">
        <v>868</v>
      </c>
      <c r="I3085" t="s">
        <v>1157</v>
      </c>
      <c r="J3085" t="str">
        <f>"9051878"</f>
        <v>9051878</v>
      </c>
      <c r="K3085">
        <v>2102386990</v>
      </c>
      <c r="L3085">
        <v>2102386990</v>
      </c>
      <c r="M3085" t="s">
        <v>11452</v>
      </c>
      <c r="N3085" t="s">
        <v>6003</v>
      </c>
      <c r="O3085" t="s">
        <v>11453</v>
      </c>
      <c r="P3085">
        <v>13461</v>
      </c>
      <c r="Q3085" t="str">
        <f>"38.073301"</f>
        <v>38.073301</v>
      </c>
      <c r="R3085" t="str">
        <f>"23.713034"</f>
        <v>23.713034</v>
      </c>
      <c r="S3085" t="s">
        <v>26</v>
      </c>
    </row>
    <row r="3086" spans="1:19" x14ac:dyDescent="0.3">
      <c r="A3086" t="s">
        <v>3237</v>
      </c>
      <c r="B3086" t="s">
        <v>11164</v>
      </c>
      <c r="C3086" t="s">
        <v>11454</v>
      </c>
      <c r="D3086" t="s">
        <v>3268</v>
      </c>
      <c r="E3086" t="s">
        <v>6028</v>
      </c>
      <c r="F3086" t="s">
        <v>6028</v>
      </c>
      <c r="G3086" t="s">
        <v>6028</v>
      </c>
      <c r="H3086" t="s">
        <v>868</v>
      </c>
      <c r="I3086" t="s">
        <v>869</v>
      </c>
      <c r="J3086" t="str">
        <f>"9051870"</f>
        <v>9051870</v>
      </c>
      <c r="K3086">
        <v>2105598343</v>
      </c>
      <c r="L3086">
        <v>2105598343</v>
      </c>
      <c r="M3086" t="s">
        <v>11455</v>
      </c>
      <c r="N3086" t="s">
        <v>6031</v>
      </c>
      <c r="O3086" t="s">
        <v>11456</v>
      </c>
      <c r="P3086">
        <v>19300</v>
      </c>
      <c r="Q3086" t="str">
        <f>"38.082179"</f>
        <v>38.082179</v>
      </c>
      <c r="R3086" t="str">
        <f>"23.567445"</f>
        <v>23.567445</v>
      </c>
      <c r="S3086" t="s">
        <v>26</v>
      </c>
    </row>
    <row r="3087" spans="1:19" x14ac:dyDescent="0.3">
      <c r="A3087" t="s">
        <v>3237</v>
      </c>
      <c r="B3087" t="s">
        <v>11164</v>
      </c>
      <c r="C3087" t="s">
        <v>11457</v>
      </c>
      <c r="D3087" t="s">
        <v>3268</v>
      </c>
      <c r="E3087" t="s">
        <v>3269</v>
      </c>
      <c r="F3087" t="s">
        <v>6089</v>
      </c>
      <c r="G3087" t="s">
        <v>6089</v>
      </c>
      <c r="H3087" t="s">
        <v>868</v>
      </c>
      <c r="I3087" t="s">
        <v>869</v>
      </c>
      <c r="J3087" t="str">
        <f>"9050653"</f>
        <v>9050653</v>
      </c>
      <c r="K3087">
        <v>2105555462</v>
      </c>
      <c r="L3087">
        <v>2105555462</v>
      </c>
      <c r="M3087" t="s">
        <v>11458</v>
      </c>
      <c r="N3087" t="s">
        <v>6089</v>
      </c>
      <c r="O3087" t="s">
        <v>11400</v>
      </c>
      <c r="P3087">
        <v>19600</v>
      </c>
      <c r="Q3087" t="str">
        <f>"38.077972"</f>
        <v>38.077972</v>
      </c>
      <c r="R3087" t="str">
        <f>"23.522536"</f>
        <v>23.522536</v>
      </c>
      <c r="S3087" t="s">
        <v>26</v>
      </c>
    </row>
    <row r="3088" spans="1:19" x14ac:dyDescent="0.3">
      <c r="A3088" t="s">
        <v>3237</v>
      </c>
      <c r="B3088" t="s">
        <v>11164</v>
      </c>
      <c r="C3088" t="s">
        <v>6178</v>
      </c>
      <c r="D3088" t="s">
        <v>3268</v>
      </c>
      <c r="E3088" t="s">
        <v>3269</v>
      </c>
      <c r="F3088" t="s">
        <v>3270</v>
      </c>
      <c r="G3088" t="s">
        <v>3270</v>
      </c>
      <c r="H3088" t="s">
        <v>868</v>
      </c>
      <c r="I3088" t="s">
        <v>869</v>
      </c>
      <c r="J3088" t="str">
        <f>"9050633"</f>
        <v>9050633</v>
      </c>
      <c r="K3088">
        <v>2105546256</v>
      </c>
      <c r="L3088">
        <v>2105546256</v>
      </c>
      <c r="M3088" t="s">
        <v>11462</v>
      </c>
      <c r="N3088" t="s">
        <v>3273</v>
      </c>
      <c r="O3088" t="s">
        <v>11463</v>
      </c>
      <c r="P3088">
        <v>19200</v>
      </c>
      <c r="Q3088" t="str">
        <f>"38.059440"</f>
        <v>38.059440</v>
      </c>
      <c r="R3088" t="str">
        <f>"23.532542"</f>
        <v>23.532542</v>
      </c>
      <c r="S3088" t="s">
        <v>26</v>
      </c>
    </row>
    <row r="3089" spans="1:19" x14ac:dyDescent="0.3">
      <c r="A3089" t="s">
        <v>3237</v>
      </c>
      <c r="B3089" t="s">
        <v>11164</v>
      </c>
      <c r="C3089" t="s">
        <v>6057</v>
      </c>
      <c r="D3089" t="s">
        <v>3268</v>
      </c>
      <c r="E3089" t="s">
        <v>6017</v>
      </c>
      <c r="F3089" t="s">
        <v>6017</v>
      </c>
      <c r="G3089" t="s">
        <v>6017</v>
      </c>
      <c r="H3089" t="s">
        <v>868</v>
      </c>
      <c r="I3089" t="s">
        <v>869</v>
      </c>
      <c r="J3089" t="str">
        <f>"9050647"</f>
        <v>9050647</v>
      </c>
      <c r="K3089">
        <v>2296028188</v>
      </c>
      <c r="L3089">
        <v>296028188</v>
      </c>
      <c r="M3089" t="s">
        <v>11471</v>
      </c>
      <c r="N3089" t="s">
        <v>6046</v>
      </c>
      <c r="O3089" t="s">
        <v>11472</v>
      </c>
      <c r="P3089">
        <v>19100</v>
      </c>
      <c r="Q3089" t="str">
        <f>"37.992736"</f>
        <v>37.992736</v>
      </c>
      <c r="R3089" t="str">
        <f>"23.333419"</f>
        <v>23.333419</v>
      </c>
      <c r="S3089" t="s">
        <v>26</v>
      </c>
    </row>
    <row r="3090" spans="1:19" x14ac:dyDescent="0.3">
      <c r="A3090" t="s">
        <v>3237</v>
      </c>
      <c r="B3090" t="s">
        <v>11164</v>
      </c>
      <c r="C3090" t="s">
        <v>11473</v>
      </c>
      <c r="D3090" t="s">
        <v>3268</v>
      </c>
      <c r="E3090" t="s">
        <v>6017</v>
      </c>
      <c r="F3090" t="s">
        <v>6017</v>
      </c>
      <c r="G3090" t="s">
        <v>6017</v>
      </c>
      <c r="H3090" t="s">
        <v>868</v>
      </c>
      <c r="I3090" t="s">
        <v>869</v>
      </c>
      <c r="J3090" t="str">
        <f>"9050642"</f>
        <v>9050642</v>
      </c>
      <c r="K3090">
        <v>2296080645</v>
      </c>
      <c r="L3090">
        <v>2296081893</v>
      </c>
      <c r="M3090" t="s">
        <v>11474</v>
      </c>
      <c r="N3090" t="s">
        <v>6046</v>
      </c>
      <c r="O3090" t="s">
        <v>11475</v>
      </c>
      <c r="P3090">
        <v>19100</v>
      </c>
      <c r="Q3090" t="str">
        <f>"37.995101"</f>
        <v>37.995101</v>
      </c>
      <c r="R3090" t="str">
        <f>"23.349105"</f>
        <v>23.349105</v>
      </c>
      <c r="S3090" t="s">
        <v>26</v>
      </c>
    </row>
    <row r="3091" spans="1:19" x14ac:dyDescent="0.3">
      <c r="A3091" t="s">
        <v>3237</v>
      </c>
      <c r="B3091" t="s">
        <v>11164</v>
      </c>
      <c r="C3091" t="s">
        <v>11479</v>
      </c>
      <c r="D3091" t="s">
        <v>3268</v>
      </c>
      <c r="E3091" t="s">
        <v>6017</v>
      </c>
      <c r="F3091" t="s">
        <v>6017</v>
      </c>
      <c r="G3091" t="s">
        <v>6017</v>
      </c>
      <c r="H3091" t="s">
        <v>868</v>
      </c>
      <c r="I3091" t="s">
        <v>869</v>
      </c>
      <c r="J3091" t="str">
        <f>"9050648"</f>
        <v>9050648</v>
      </c>
      <c r="K3091">
        <v>2296029390</v>
      </c>
      <c r="L3091">
        <v>2296029390</v>
      </c>
      <c r="M3091" t="s">
        <v>11480</v>
      </c>
      <c r="N3091" t="s">
        <v>6046</v>
      </c>
      <c r="O3091" t="s">
        <v>11481</v>
      </c>
      <c r="P3091">
        <v>19100</v>
      </c>
      <c r="Q3091" t="str">
        <f>"37.996002"</f>
        <v>37.996002</v>
      </c>
      <c r="R3091" t="str">
        <f>"23.333091"</f>
        <v>23.333091</v>
      </c>
      <c r="S3091" t="s">
        <v>26</v>
      </c>
    </row>
    <row r="3092" spans="1:19" x14ac:dyDescent="0.3">
      <c r="A3092" t="s">
        <v>3237</v>
      </c>
      <c r="B3092" t="s">
        <v>11164</v>
      </c>
      <c r="C3092" t="s">
        <v>6068</v>
      </c>
      <c r="D3092" t="s">
        <v>3268</v>
      </c>
      <c r="E3092" t="s">
        <v>5999</v>
      </c>
      <c r="F3092" t="s">
        <v>6016</v>
      </c>
      <c r="G3092" t="s">
        <v>6016</v>
      </c>
      <c r="H3092" t="s">
        <v>868</v>
      </c>
      <c r="I3092" t="s">
        <v>869</v>
      </c>
      <c r="J3092" t="str">
        <f>"9051851"</f>
        <v>9051851</v>
      </c>
      <c r="K3092">
        <v>2102480014</v>
      </c>
      <c r="L3092">
        <v>2102480014</v>
      </c>
      <c r="M3092" t="s">
        <v>11499</v>
      </c>
      <c r="N3092" t="s">
        <v>6041</v>
      </c>
      <c r="O3092" t="s">
        <v>11500</v>
      </c>
      <c r="P3092">
        <v>13341</v>
      </c>
      <c r="Q3092" t="str">
        <f>"38.089694"</f>
        <v>38.089694</v>
      </c>
      <c r="R3092" t="str">
        <f>"23.702329"</f>
        <v>23.702329</v>
      </c>
      <c r="S3092" t="s">
        <v>26</v>
      </c>
    </row>
    <row r="3093" spans="1:19" x14ac:dyDescent="0.3">
      <c r="A3093" t="s">
        <v>3237</v>
      </c>
      <c r="B3093" t="s">
        <v>11164</v>
      </c>
      <c r="C3093" t="s">
        <v>11501</v>
      </c>
      <c r="D3093" t="s">
        <v>3268</v>
      </c>
      <c r="E3093" t="s">
        <v>5999</v>
      </c>
      <c r="F3093" t="s">
        <v>6016</v>
      </c>
      <c r="G3093" t="s">
        <v>6016</v>
      </c>
      <c r="H3093" t="s">
        <v>868</v>
      </c>
      <c r="I3093" t="s">
        <v>869</v>
      </c>
      <c r="J3093" t="str">
        <f>"9051468"</f>
        <v>9051468</v>
      </c>
      <c r="N3093" t="s">
        <v>6016</v>
      </c>
      <c r="O3093" t="s">
        <v>6041</v>
      </c>
      <c r="P3093">
        <v>0</v>
      </c>
      <c r="Q3093" t="str">
        <f>""</f>
        <v/>
      </c>
      <c r="R3093" t="str">
        <f>""</f>
        <v/>
      </c>
      <c r="S3093" t="s">
        <v>26</v>
      </c>
    </row>
    <row r="3094" spans="1:19" x14ac:dyDescent="0.3">
      <c r="A3094" t="s">
        <v>3237</v>
      </c>
      <c r="B3094" t="s">
        <v>11164</v>
      </c>
      <c r="C3094" t="s">
        <v>11502</v>
      </c>
      <c r="D3094" t="s">
        <v>3268</v>
      </c>
      <c r="E3094" t="s">
        <v>5999</v>
      </c>
      <c r="F3094" t="s">
        <v>6016</v>
      </c>
      <c r="G3094" t="s">
        <v>6016</v>
      </c>
      <c r="H3094" t="s">
        <v>868</v>
      </c>
      <c r="I3094" t="s">
        <v>869</v>
      </c>
      <c r="J3094" t="str">
        <f>"9531000"</f>
        <v>9531000</v>
      </c>
      <c r="Q3094" t="str">
        <f>""</f>
        <v/>
      </c>
      <c r="R3094" t="str">
        <f>""</f>
        <v/>
      </c>
      <c r="S3094" t="s">
        <v>26</v>
      </c>
    </row>
    <row r="3095" spans="1:19" x14ac:dyDescent="0.3">
      <c r="A3095" t="s">
        <v>3237</v>
      </c>
      <c r="B3095" t="s">
        <v>11503</v>
      </c>
      <c r="C3095" t="s">
        <v>11504</v>
      </c>
      <c r="D3095" t="s">
        <v>3275</v>
      </c>
      <c r="E3095" t="s">
        <v>6266</v>
      </c>
      <c r="F3095" t="s">
        <v>6267</v>
      </c>
      <c r="G3095" t="s">
        <v>6267</v>
      </c>
      <c r="H3095" t="s">
        <v>868</v>
      </c>
      <c r="I3095" t="s">
        <v>1157</v>
      </c>
      <c r="J3095" t="str">
        <f>"9520007"</f>
        <v>9520007</v>
      </c>
      <c r="K3095">
        <v>2104136774</v>
      </c>
      <c r="M3095" t="s">
        <v>11505</v>
      </c>
      <c r="N3095" t="s">
        <v>11506</v>
      </c>
      <c r="O3095" t="s">
        <v>11507</v>
      </c>
      <c r="P3095">
        <v>18233</v>
      </c>
      <c r="Q3095" t="str">
        <f>"37.971384"</f>
        <v>37.971384</v>
      </c>
      <c r="R3095" t="str">
        <f>"23.677284"</f>
        <v>23.677284</v>
      </c>
      <c r="S3095" t="s">
        <v>26</v>
      </c>
    </row>
    <row r="3096" spans="1:19" x14ac:dyDescent="0.3">
      <c r="A3096" t="s">
        <v>3237</v>
      </c>
      <c r="B3096" t="s">
        <v>11503</v>
      </c>
      <c r="C3096" t="s">
        <v>6427</v>
      </c>
      <c r="D3096" t="s">
        <v>3275</v>
      </c>
      <c r="E3096" t="s">
        <v>6266</v>
      </c>
      <c r="F3096" t="s">
        <v>5431</v>
      </c>
      <c r="G3096" t="s">
        <v>5431</v>
      </c>
      <c r="H3096" t="s">
        <v>868</v>
      </c>
      <c r="I3096" t="s">
        <v>869</v>
      </c>
      <c r="J3096" t="str">
        <f>"9520094"</f>
        <v>9520094</v>
      </c>
      <c r="K3096">
        <v>2104952931</v>
      </c>
      <c r="L3096">
        <v>2104952931</v>
      </c>
      <c r="M3096" t="s">
        <v>11592</v>
      </c>
      <c r="N3096" t="s">
        <v>6352</v>
      </c>
      <c r="O3096" t="s">
        <v>11593</v>
      </c>
      <c r="P3096">
        <v>18454</v>
      </c>
      <c r="Q3096" t="str">
        <f>"37.972223"</f>
        <v>37.972223</v>
      </c>
      <c r="R3096" t="str">
        <f>"23.657558"</f>
        <v>23.657558</v>
      </c>
      <c r="S3096" t="s">
        <v>26</v>
      </c>
    </row>
    <row r="3097" spans="1:19" x14ac:dyDescent="0.3">
      <c r="A3097" t="s">
        <v>3237</v>
      </c>
      <c r="B3097" t="s">
        <v>11503</v>
      </c>
      <c r="C3097" t="s">
        <v>6499</v>
      </c>
      <c r="D3097" t="s">
        <v>3275</v>
      </c>
      <c r="E3097" t="s">
        <v>3275</v>
      </c>
      <c r="F3097" t="s">
        <v>3275</v>
      </c>
      <c r="G3097" t="s">
        <v>6382</v>
      </c>
      <c r="H3097" t="s">
        <v>868</v>
      </c>
      <c r="I3097" t="s">
        <v>869</v>
      </c>
      <c r="J3097" t="str">
        <f>"9520005"</f>
        <v>9520005</v>
      </c>
      <c r="K3097">
        <v>2104824188</v>
      </c>
      <c r="M3097" t="s">
        <v>11685</v>
      </c>
      <c r="N3097" t="s">
        <v>3279</v>
      </c>
      <c r="O3097" t="s">
        <v>11686</v>
      </c>
      <c r="P3097">
        <v>18547</v>
      </c>
      <c r="Q3097" t="str">
        <f>"37.946809"</f>
        <v>37.946809</v>
      </c>
      <c r="R3097" t="str">
        <f>"23.671015"</f>
        <v>23.671015</v>
      </c>
      <c r="S3097" t="s">
        <v>26</v>
      </c>
    </row>
    <row r="3098" spans="1:19" x14ac:dyDescent="0.3">
      <c r="A3098" t="s">
        <v>3237</v>
      </c>
      <c r="B3098" t="s">
        <v>11503</v>
      </c>
      <c r="C3098" t="s">
        <v>11687</v>
      </c>
      <c r="D3098" t="s">
        <v>3275</v>
      </c>
      <c r="E3098" t="s">
        <v>6212</v>
      </c>
      <c r="F3098" t="s">
        <v>6256</v>
      </c>
      <c r="G3098" t="s">
        <v>6256</v>
      </c>
      <c r="H3098" t="s">
        <v>868</v>
      </c>
      <c r="I3098" t="s">
        <v>869</v>
      </c>
      <c r="J3098" t="str">
        <f>"9520184"</f>
        <v>9520184</v>
      </c>
      <c r="K3098">
        <v>2104315276</v>
      </c>
      <c r="L3098">
        <v>2104315276</v>
      </c>
      <c r="M3098" t="s">
        <v>11688</v>
      </c>
      <c r="N3098" t="s">
        <v>11689</v>
      </c>
      <c r="O3098" t="s">
        <v>11530</v>
      </c>
      <c r="P3098">
        <v>18757</v>
      </c>
      <c r="Q3098" t="str">
        <f>"37.971025"</f>
        <v>37.971025</v>
      </c>
      <c r="R3098" t="str">
        <f>"23.623253"</f>
        <v>23.623253</v>
      </c>
      <c r="S3098" t="s">
        <v>26</v>
      </c>
    </row>
    <row r="3099" spans="1:19" x14ac:dyDescent="0.3">
      <c r="A3099" t="s">
        <v>3237</v>
      </c>
      <c r="B3099" t="s">
        <v>11503</v>
      </c>
      <c r="C3099" t="s">
        <v>6230</v>
      </c>
      <c r="D3099" t="s">
        <v>6222</v>
      </c>
      <c r="E3099" t="s">
        <v>6223</v>
      </c>
      <c r="F3099" t="s">
        <v>6224</v>
      </c>
      <c r="G3099" t="s">
        <v>6224</v>
      </c>
      <c r="H3099" t="s">
        <v>868</v>
      </c>
      <c r="I3099" t="s">
        <v>869</v>
      </c>
      <c r="J3099" t="str">
        <f>"9520204"</f>
        <v>9520204</v>
      </c>
      <c r="K3099">
        <v>2114078780</v>
      </c>
      <c r="L3099">
        <v>2104677369</v>
      </c>
      <c r="M3099" t="s">
        <v>11690</v>
      </c>
      <c r="N3099" t="s">
        <v>11691</v>
      </c>
      <c r="O3099" t="s">
        <v>11692</v>
      </c>
      <c r="P3099">
        <v>18902</v>
      </c>
      <c r="Q3099" t="str">
        <f>"37.949396"</f>
        <v>37.949396</v>
      </c>
      <c r="R3099" t="str">
        <f>"23.530712"</f>
        <v>23.530712</v>
      </c>
      <c r="S3099" t="s">
        <v>26</v>
      </c>
    </row>
    <row r="3100" spans="1:19" x14ac:dyDescent="0.3">
      <c r="A3100" t="s">
        <v>3237</v>
      </c>
      <c r="B3100" t="s">
        <v>11503</v>
      </c>
      <c r="C3100" t="s">
        <v>6294</v>
      </c>
      <c r="D3100" t="s">
        <v>3275</v>
      </c>
      <c r="E3100" t="s">
        <v>3275</v>
      </c>
      <c r="F3100" t="s">
        <v>3275</v>
      </c>
      <c r="G3100" t="s">
        <v>6290</v>
      </c>
      <c r="H3100" t="s">
        <v>868</v>
      </c>
      <c r="I3100" t="s">
        <v>869</v>
      </c>
      <c r="J3100" t="str">
        <f>"9520057"</f>
        <v>9520057</v>
      </c>
      <c r="K3100">
        <v>2104173894</v>
      </c>
      <c r="L3100">
        <v>2104177433</v>
      </c>
      <c r="M3100" t="s">
        <v>11693</v>
      </c>
      <c r="N3100" t="s">
        <v>3279</v>
      </c>
      <c r="O3100" t="s">
        <v>11694</v>
      </c>
      <c r="P3100">
        <v>18534</v>
      </c>
      <c r="Q3100" t="str">
        <f>"37.935560"</f>
        <v>37.935560</v>
      </c>
      <c r="R3100" t="str">
        <f>"23.651152"</f>
        <v>23.651152</v>
      </c>
      <c r="S3100" t="s">
        <v>26</v>
      </c>
    </row>
    <row r="3101" spans="1:19" x14ac:dyDescent="0.3">
      <c r="A3101" t="s">
        <v>3237</v>
      </c>
      <c r="B3101" t="s">
        <v>11503</v>
      </c>
      <c r="C3101" t="s">
        <v>11695</v>
      </c>
      <c r="D3101" t="s">
        <v>3275</v>
      </c>
      <c r="E3101" t="s">
        <v>3275</v>
      </c>
      <c r="F3101" t="s">
        <v>3275</v>
      </c>
      <c r="G3101" t="s">
        <v>3276</v>
      </c>
      <c r="H3101" t="s">
        <v>868</v>
      </c>
      <c r="I3101" t="s">
        <v>869</v>
      </c>
      <c r="J3101" t="str">
        <f>"9520339"</f>
        <v>9520339</v>
      </c>
      <c r="K3101">
        <v>2104180029</v>
      </c>
      <c r="L3101">
        <v>2104180029</v>
      </c>
      <c r="M3101" t="s">
        <v>11696</v>
      </c>
      <c r="N3101" t="s">
        <v>3279</v>
      </c>
      <c r="O3101" t="s">
        <v>11697</v>
      </c>
      <c r="P3101">
        <v>18539</v>
      </c>
      <c r="Q3101" t="str">
        <f>"37.931199"</f>
        <v>37.931199</v>
      </c>
      <c r="R3101" t="str">
        <f>"23.627677"</f>
        <v>23.627677</v>
      </c>
      <c r="S3101" t="s">
        <v>26</v>
      </c>
    </row>
    <row r="3102" spans="1:19" x14ac:dyDescent="0.3">
      <c r="A3102" t="s">
        <v>3237</v>
      </c>
      <c r="B3102" t="s">
        <v>11503</v>
      </c>
      <c r="C3102" t="s">
        <v>11698</v>
      </c>
      <c r="D3102" t="s">
        <v>3275</v>
      </c>
      <c r="E3102" t="s">
        <v>3275</v>
      </c>
      <c r="F3102" t="s">
        <v>3275</v>
      </c>
      <c r="G3102" t="s">
        <v>6193</v>
      </c>
      <c r="H3102" t="s">
        <v>868</v>
      </c>
      <c r="I3102" t="s">
        <v>869</v>
      </c>
      <c r="J3102" t="str">
        <f>"9520139"</f>
        <v>9520139</v>
      </c>
      <c r="K3102">
        <v>2104614777</v>
      </c>
      <c r="L3102">
        <v>2104612366</v>
      </c>
      <c r="M3102" t="s">
        <v>11699</v>
      </c>
      <c r="N3102" t="s">
        <v>3279</v>
      </c>
      <c r="O3102" t="s">
        <v>11700</v>
      </c>
      <c r="P3102">
        <v>18546</v>
      </c>
      <c r="Q3102" t="str">
        <f>"37.954195"</f>
        <v>37.954195</v>
      </c>
      <c r="R3102" t="str">
        <f>"23.634403"</f>
        <v>23.634403</v>
      </c>
      <c r="S3102" t="s">
        <v>26</v>
      </c>
    </row>
    <row r="3103" spans="1:19" x14ac:dyDescent="0.3">
      <c r="A3103" t="s">
        <v>3237</v>
      </c>
      <c r="B3103" t="s">
        <v>11503</v>
      </c>
      <c r="C3103" t="s">
        <v>11701</v>
      </c>
      <c r="D3103" t="s">
        <v>3275</v>
      </c>
      <c r="E3103" t="s">
        <v>3303</v>
      </c>
      <c r="F3103" t="s">
        <v>3303</v>
      </c>
      <c r="G3103" t="s">
        <v>3303</v>
      </c>
      <c r="H3103" t="s">
        <v>868</v>
      </c>
      <c r="I3103" t="s">
        <v>1157</v>
      </c>
      <c r="J3103" t="str">
        <f>"9050910"</f>
        <v>9050910</v>
      </c>
      <c r="K3103">
        <v>2105620131</v>
      </c>
      <c r="L3103">
        <v>2105620131</v>
      </c>
      <c r="M3103" t="s">
        <v>11702</v>
      </c>
      <c r="N3103" t="s">
        <v>6249</v>
      </c>
      <c r="O3103" t="s">
        <v>11703</v>
      </c>
      <c r="P3103">
        <v>18122</v>
      </c>
      <c r="Q3103" t="str">
        <f>"37.986826"</f>
        <v>37.986826</v>
      </c>
      <c r="R3103" t="str">
        <f>"23.644847"</f>
        <v>23.644847</v>
      </c>
      <c r="S3103" t="s">
        <v>26</v>
      </c>
    </row>
    <row r="3104" spans="1:19" x14ac:dyDescent="0.3">
      <c r="A3104" t="s">
        <v>3237</v>
      </c>
      <c r="B3104" t="s">
        <v>11503</v>
      </c>
      <c r="C3104" t="s">
        <v>6572</v>
      </c>
      <c r="D3104" t="s">
        <v>3275</v>
      </c>
      <c r="E3104" t="s">
        <v>3303</v>
      </c>
      <c r="F3104" t="s">
        <v>3303</v>
      </c>
      <c r="G3104" t="s">
        <v>3303</v>
      </c>
      <c r="H3104" t="s">
        <v>868</v>
      </c>
      <c r="I3104" t="s">
        <v>869</v>
      </c>
      <c r="J3104" t="str">
        <f>"9520249"</f>
        <v>9520249</v>
      </c>
      <c r="K3104">
        <v>2104952052</v>
      </c>
      <c r="L3104">
        <v>2104952052</v>
      </c>
      <c r="M3104" t="s">
        <v>11707</v>
      </c>
      <c r="N3104" t="s">
        <v>6249</v>
      </c>
      <c r="O3104" t="s">
        <v>11708</v>
      </c>
      <c r="P3104">
        <v>18120</v>
      </c>
      <c r="Q3104" t="str">
        <f>"37.977702"</f>
        <v>37.977702</v>
      </c>
      <c r="R3104" t="str">
        <f>"23.650626"</f>
        <v>23.650626</v>
      </c>
      <c r="S3104" t="s">
        <v>26</v>
      </c>
    </row>
    <row r="3105" spans="1:19" x14ac:dyDescent="0.3">
      <c r="A3105" t="s">
        <v>3237</v>
      </c>
      <c r="B3105" t="s">
        <v>11503</v>
      </c>
      <c r="C3105" t="s">
        <v>6218</v>
      </c>
      <c r="D3105" t="s">
        <v>3275</v>
      </c>
      <c r="E3105" t="s">
        <v>6212</v>
      </c>
      <c r="F3105" t="s">
        <v>6213</v>
      </c>
      <c r="G3105" t="s">
        <v>6213</v>
      </c>
      <c r="H3105" t="s">
        <v>868</v>
      </c>
      <c r="I3105" t="s">
        <v>869</v>
      </c>
      <c r="J3105" t="str">
        <f>"9520054"</f>
        <v>9520054</v>
      </c>
      <c r="K3105">
        <v>2104618220</v>
      </c>
      <c r="L3105">
        <v>2104618220</v>
      </c>
      <c r="M3105" t="s">
        <v>11709</v>
      </c>
      <c r="N3105" t="s">
        <v>6216</v>
      </c>
      <c r="O3105" t="s">
        <v>11710</v>
      </c>
      <c r="P3105">
        <v>18648</v>
      </c>
      <c r="Q3105" t="str">
        <f>"37.950752"</f>
        <v>37.950752</v>
      </c>
      <c r="R3105" t="str">
        <f>"23.634759"</f>
        <v>23.634759</v>
      </c>
      <c r="S3105" t="s">
        <v>26</v>
      </c>
    </row>
    <row r="3106" spans="1:19" x14ac:dyDescent="0.3">
      <c r="A3106" t="s">
        <v>3237</v>
      </c>
      <c r="B3106" t="s">
        <v>11503</v>
      </c>
      <c r="C3106" t="s">
        <v>11711</v>
      </c>
      <c r="D3106" t="s">
        <v>3275</v>
      </c>
      <c r="E3106" t="s">
        <v>6212</v>
      </c>
      <c r="F3106" t="s">
        <v>6213</v>
      </c>
      <c r="G3106" t="s">
        <v>6213</v>
      </c>
      <c r="H3106" t="s">
        <v>868</v>
      </c>
      <c r="I3106" t="s">
        <v>1157</v>
      </c>
      <c r="J3106" t="str">
        <f>"9520266"</f>
        <v>9520266</v>
      </c>
      <c r="K3106">
        <v>2104616494</v>
      </c>
      <c r="L3106">
        <v>2104625778</v>
      </c>
      <c r="M3106" t="s">
        <v>11712</v>
      </c>
      <c r="N3106" t="s">
        <v>6216</v>
      </c>
      <c r="O3106" t="s">
        <v>11713</v>
      </c>
      <c r="P3106">
        <v>18648</v>
      </c>
      <c r="Q3106" t="str">
        <f>"37.951293"</f>
        <v>37.951293</v>
      </c>
      <c r="R3106" t="str">
        <f>"23.634968"</f>
        <v>23.634968</v>
      </c>
      <c r="S3106" t="s">
        <v>26</v>
      </c>
    </row>
    <row r="3107" spans="1:19" x14ac:dyDescent="0.3">
      <c r="A3107" t="s">
        <v>3237</v>
      </c>
      <c r="B3107" t="s">
        <v>11503</v>
      </c>
      <c r="C3107" t="s">
        <v>11714</v>
      </c>
      <c r="D3107" t="s">
        <v>3275</v>
      </c>
      <c r="E3107" t="s">
        <v>3275</v>
      </c>
      <c r="F3107" t="s">
        <v>3275</v>
      </c>
      <c r="G3107" t="s">
        <v>6290</v>
      </c>
      <c r="H3107" t="s">
        <v>868</v>
      </c>
      <c r="I3107" t="s">
        <v>869</v>
      </c>
      <c r="J3107" t="str">
        <f>"9520020"</f>
        <v>9520020</v>
      </c>
      <c r="K3107">
        <v>2104173289</v>
      </c>
      <c r="L3107">
        <v>2104173289</v>
      </c>
      <c r="M3107" t="s">
        <v>11715</v>
      </c>
      <c r="N3107" t="s">
        <v>3279</v>
      </c>
      <c r="O3107" t="s">
        <v>11716</v>
      </c>
      <c r="P3107">
        <v>18534</v>
      </c>
      <c r="Q3107" t="str">
        <f>"37.942467"</f>
        <v>37.942467</v>
      </c>
      <c r="R3107" t="str">
        <f>"23.653525"</f>
        <v>23.653525</v>
      </c>
      <c r="S3107" t="s">
        <v>26</v>
      </c>
    </row>
    <row r="3108" spans="1:19" x14ac:dyDescent="0.3">
      <c r="A3108" t="s">
        <v>3237</v>
      </c>
      <c r="B3108" t="s">
        <v>11503</v>
      </c>
      <c r="C3108" t="s">
        <v>6627</v>
      </c>
      <c r="D3108" t="s">
        <v>3275</v>
      </c>
      <c r="E3108" t="s">
        <v>6212</v>
      </c>
      <c r="F3108" t="s">
        <v>6256</v>
      </c>
      <c r="G3108" t="s">
        <v>6256</v>
      </c>
      <c r="H3108" t="s">
        <v>868</v>
      </c>
      <c r="I3108" t="s">
        <v>869</v>
      </c>
      <c r="J3108" t="str">
        <f>"9520334"</f>
        <v>9520334</v>
      </c>
      <c r="K3108">
        <v>2104014420</v>
      </c>
      <c r="L3108">
        <v>2104000606</v>
      </c>
      <c r="M3108" t="s">
        <v>11720</v>
      </c>
      <c r="N3108" t="s">
        <v>11721</v>
      </c>
      <c r="O3108" t="s">
        <v>11722</v>
      </c>
      <c r="P3108">
        <v>18755</v>
      </c>
      <c r="Q3108" t="str">
        <f>"37.952170"</f>
        <v>37.952170</v>
      </c>
      <c r="R3108" t="str">
        <f>"23.613651"</f>
        <v>23.613651</v>
      </c>
      <c r="S3108" t="s">
        <v>26</v>
      </c>
    </row>
    <row r="3109" spans="1:19" x14ac:dyDescent="0.3">
      <c r="A3109" t="s">
        <v>3237</v>
      </c>
      <c r="B3109" t="s">
        <v>11503</v>
      </c>
      <c r="C3109" t="s">
        <v>6336</v>
      </c>
      <c r="D3109" t="s">
        <v>3275</v>
      </c>
      <c r="E3109" t="s">
        <v>3275</v>
      </c>
      <c r="F3109" t="s">
        <v>3275</v>
      </c>
      <c r="G3109" t="s">
        <v>3276</v>
      </c>
      <c r="H3109" t="s">
        <v>868</v>
      </c>
      <c r="I3109" t="s">
        <v>869</v>
      </c>
      <c r="J3109" t="str">
        <f>"9520069"</f>
        <v>9520069</v>
      </c>
      <c r="K3109">
        <v>2104513869</v>
      </c>
      <c r="L3109">
        <v>2104513869</v>
      </c>
      <c r="M3109" t="s">
        <v>11726</v>
      </c>
      <c r="N3109" t="s">
        <v>3279</v>
      </c>
      <c r="O3109" t="s">
        <v>6607</v>
      </c>
      <c r="P3109">
        <v>18539</v>
      </c>
      <c r="Q3109" t="str">
        <f>"37.935801"</f>
        <v>37.935801</v>
      </c>
      <c r="R3109" t="str">
        <f>"23.631178"</f>
        <v>23.631178</v>
      </c>
      <c r="S3109" t="s">
        <v>26</v>
      </c>
    </row>
    <row r="3110" spans="1:19" x14ac:dyDescent="0.3">
      <c r="A3110" t="s">
        <v>3237</v>
      </c>
      <c r="B3110" t="s">
        <v>11503</v>
      </c>
      <c r="C3110" t="s">
        <v>6476</v>
      </c>
      <c r="D3110" t="s">
        <v>3275</v>
      </c>
      <c r="E3110" t="s">
        <v>3275</v>
      </c>
      <c r="F3110" t="s">
        <v>3275</v>
      </c>
      <c r="G3110" t="s">
        <v>6290</v>
      </c>
      <c r="H3110" t="s">
        <v>868</v>
      </c>
      <c r="I3110" t="s">
        <v>869</v>
      </c>
      <c r="J3110" t="str">
        <f>"9520022"</f>
        <v>9520022</v>
      </c>
      <c r="K3110">
        <v>2104123683</v>
      </c>
      <c r="L3110">
        <v>2104123683</v>
      </c>
      <c r="M3110" t="s">
        <v>11730</v>
      </c>
      <c r="N3110" t="s">
        <v>6200</v>
      </c>
      <c r="O3110" t="s">
        <v>11731</v>
      </c>
      <c r="P3110">
        <v>18532</v>
      </c>
      <c r="Q3110" t="str">
        <f>"37.947730"</f>
        <v>37.947730</v>
      </c>
      <c r="R3110" t="str">
        <f>"23.651772"</f>
        <v>23.651772</v>
      </c>
      <c r="S3110" t="s">
        <v>26</v>
      </c>
    </row>
    <row r="3111" spans="1:19" x14ac:dyDescent="0.3">
      <c r="A3111" t="s">
        <v>3237</v>
      </c>
      <c r="B3111" t="s">
        <v>11503</v>
      </c>
      <c r="C3111" t="s">
        <v>6381</v>
      </c>
      <c r="D3111" t="s">
        <v>6222</v>
      </c>
      <c r="E3111" t="s">
        <v>6223</v>
      </c>
      <c r="F3111" t="s">
        <v>6229</v>
      </c>
      <c r="G3111" t="s">
        <v>6223</v>
      </c>
      <c r="H3111" t="s">
        <v>868</v>
      </c>
      <c r="I3111" t="s">
        <v>869</v>
      </c>
      <c r="J3111" t="str">
        <f>"9520200"</f>
        <v>9520200</v>
      </c>
      <c r="K3111">
        <v>2104651275</v>
      </c>
      <c r="L3111">
        <v>2104644434</v>
      </c>
      <c r="M3111" t="s">
        <v>11814</v>
      </c>
      <c r="N3111" t="s">
        <v>6389</v>
      </c>
      <c r="O3111" t="s">
        <v>11815</v>
      </c>
      <c r="P3111">
        <v>18900</v>
      </c>
      <c r="Q3111" t="str">
        <f>"37.965972"</f>
        <v>37.965972</v>
      </c>
      <c r="R3111" t="str">
        <f>"23.500636"</f>
        <v>23.500636</v>
      </c>
      <c r="S3111" t="s">
        <v>26</v>
      </c>
    </row>
    <row r="3112" spans="1:19" x14ac:dyDescent="0.3">
      <c r="A3112" t="s">
        <v>3237</v>
      </c>
      <c r="B3112" t="s">
        <v>11503</v>
      </c>
      <c r="C3112" t="s">
        <v>6682</v>
      </c>
      <c r="D3112" t="s">
        <v>3275</v>
      </c>
      <c r="E3112" t="s">
        <v>6212</v>
      </c>
      <c r="F3112" t="s">
        <v>6213</v>
      </c>
      <c r="G3112" t="s">
        <v>6213</v>
      </c>
      <c r="H3112" t="s">
        <v>868</v>
      </c>
      <c r="I3112" t="s">
        <v>869</v>
      </c>
      <c r="J3112" t="str">
        <f>"9520050"</f>
        <v>9520050</v>
      </c>
      <c r="K3112">
        <v>2104616067</v>
      </c>
      <c r="L3112">
        <v>2104616067</v>
      </c>
      <c r="M3112" t="s">
        <v>11816</v>
      </c>
      <c r="N3112" t="s">
        <v>11817</v>
      </c>
      <c r="O3112" t="s">
        <v>11818</v>
      </c>
      <c r="P3112">
        <v>18648</v>
      </c>
      <c r="Q3112" t="str">
        <f>"37.946827"</f>
        <v>37.946827</v>
      </c>
      <c r="R3112" t="str">
        <f>"23.625746"</f>
        <v>23.625746</v>
      </c>
      <c r="S3112" t="s">
        <v>26</v>
      </c>
    </row>
    <row r="3113" spans="1:19" x14ac:dyDescent="0.3">
      <c r="A3113" t="s">
        <v>3237</v>
      </c>
      <c r="B3113" t="s">
        <v>11503</v>
      </c>
      <c r="C3113" t="s">
        <v>11819</v>
      </c>
      <c r="D3113" t="s">
        <v>3275</v>
      </c>
      <c r="E3113" t="s">
        <v>6212</v>
      </c>
      <c r="F3113" t="s">
        <v>6213</v>
      </c>
      <c r="G3113" t="s">
        <v>6213</v>
      </c>
      <c r="H3113" t="s">
        <v>868</v>
      </c>
      <c r="I3113" t="s">
        <v>869</v>
      </c>
      <c r="J3113" t="str">
        <f>"9520052"</f>
        <v>9520052</v>
      </c>
      <c r="K3113">
        <v>2104614305</v>
      </c>
      <c r="L3113">
        <v>2104082863</v>
      </c>
      <c r="M3113" t="s">
        <v>11820</v>
      </c>
      <c r="N3113" t="s">
        <v>6216</v>
      </c>
      <c r="O3113" t="s">
        <v>11821</v>
      </c>
      <c r="P3113">
        <v>18648</v>
      </c>
      <c r="Q3113" t="str">
        <f>"37.949286"</f>
        <v>37.949286</v>
      </c>
      <c r="R3113" t="str">
        <f>"23.623207"</f>
        <v>23.623207</v>
      </c>
      <c r="S3113" t="s">
        <v>26</v>
      </c>
    </row>
    <row r="3114" spans="1:19" x14ac:dyDescent="0.3">
      <c r="A3114" t="s">
        <v>3237</v>
      </c>
      <c r="B3114" t="s">
        <v>11503</v>
      </c>
      <c r="C3114" t="s">
        <v>6251</v>
      </c>
      <c r="D3114" t="s">
        <v>3275</v>
      </c>
      <c r="E3114" t="s">
        <v>3303</v>
      </c>
      <c r="F3114" t="s">
        <v>3303</v>
      </c>
      <c r="G3114" t="s">
        <v>3303</v>
      </c>
      <c r="H3114" t="s">
        <v>868</v>
      </c>
      <c r="I3114" t="s">
        <v>869</v>
      </c>
      <c r="J3114" t="str">
        <f>"9520090"</f>
        <v>9520090</v>
      </c>
      <c r="K3114">
        <v>2104949032</v>
      </c>
      <c r="L3114">
        <v>2104949032</v>
      </c>
      <c r="M3114" t="s">
        <v>11822</v>
      </c>
      <c r="N3114" t="s">
        <v>6249</v>
      </c>
      <c r="O3114" t="s">
        <v>11823</v>
      </c>
      <c r="P3114">
        <v>18122</v>
      </c>
      <c r="Q3114" t="str">
        <f>"37.983639"</f>
        <v>37.983639</v>
      </c>
      <c r="R3114" t="str">
        <f>"23.650371"</f>
        <v>23.650371</v>
      </c>
      <c r="S3114" t="s">
        <v>26</v>
      </c>
    </row>
    <row r="3115" spans="1:19" x14ac:dyDescent="0.3">
      <c r="A3115" t="s">
        <v>3237</v>
      </c>
      <c r="B3115" t="s">
        <v>11503</v>
      </c>
      <c r="C3115" t="s">
        <v>6675</v>
      </c>
      <c r="D3115" t="s">
        <v>3275</v>
      </c>
      <c r="E3115" t="s">
        <v>3275</v>
      </c>
      <c r="F3115" t="s">
        <v>3275</v>
      </c>
      <c r="G3115" t="s">
        <v>3276</v>
      </c>
      <c r="H3115" t="s">
        <v>868</v>
      </c>
      <c r="I3115" t="s">
        <v>869</v>
      </c>
      <c r="J3115" t="str">
        <f>"9520071"</f>
        <v>9520071</v>
      </c>
      <c r="K3115">
        <v>2104516296</v>
      </c>
      <c r="L3115">
        <v>2104526111</v>
      </c>
      <c r="M3115" t="s">
        <v>11827</v>
      </c>
      <c r="N3115" t="s">
        <v>3279</v>
      </c>
      <c r="O3115" t="s">
        <v>11828</v>
      </c>
      <c r="P3115">
        <v>18539</v>
      </c>
      <c r="Q3115" t="str">
        <f>"37.930665"</f>
        <v>37.930665</v>
      </c>
      <c r="R3115" t="str">
        <f>"23.633560"</f>
        <v>23.633560</v>
      </c>
      <c r="S3115" t="s">
        <v>26</v>
      </c>
    </row>
    <row r="3116" spans="1:19" x14ac:dyDescent="0.3">
      <c r="A3116" t="s">
        <v>3237</v>
      </c>
      <c r="B3116" t="s">
        <v>11503</v>
      </c>
      <c r="C3116" t="s">
        <v>11829</v>
      </c>
      <c r="D3116" t="s">
        <v>3275</v>
      </c>
      <c r="E3116" t="s">
        <v>3303</v>
      </c>
      <c r="F3116" t="s">
        <v>3303</v>
      </c>
      <c r="G3116" t="s">
        <v>3303</v>
      </c>
      <c r="H3116" t="s">
        <v>868</v>
      </c>
      <c r="I3116" t="s">
        <v>869</v>
      </c>
      <c r="J3116" t="str">
        <f>"9520086"</f>
        <v>9520086</v>
      </c>
      <c r="K3116">
        <v>2104951998</v>
      </c>
      <c r="L3116">
        <v>2104951998</v>
      </c>
      <c r="M3116" t="s">
        <v>11830</v>
      </c>
      <c r="N3116" t="s">
        <v>6249</v>
      </c>
      <c r="O3116" t="s">
        <v>11831</v>
      </c>
      <c r="P3116">
        <v>18120</v>
      </c>
      <c r="Q3116" t="str">
        <f>"37.971509"</f>
        <v>37.971509</v>
      </c>
      <c r="R3116" t="str">
        <f>"23.648365"</f>
        <v>23.648365</v>
      </c>
      <c r="S3116" t="s">
        <v>26</v>
      </c>
    </row>
    <row r="3117" spans="1:19" x14ac:dyDescent="0.3">
      <c r="A3117" t="s">
        <v>3237</v>
      </c>
      <c r="B3117" t="s">
        <v>11503</v>
      </c>
      <c r="C3117" t="s">
        <v>6324</v>
      </c>
      <c r="D3117" t="s">
        <v>3275</v>
      </c>
      <c r="E3117" t="s">
        <v>3275</v>
      </c>
      <c r="F3117" t="s">
        <v>3275</v>
      </c>
      <c r="G3117" t="s">
        <v>6290</v>
      </c>
      <c r="H3117" t="s">
        <v>868</v>
      </c>
      <c r="I3117" t="s">
        <v>869</v>
      </c>
      <c r="J3117" t="str">
        <f>"9520017"</f>
        <v>9520017</v>
      </c>
      <c r="K3117">
        <v>2104129876</v>
      </c>
      <c r="L3117">
        <v>2104129876</v>
      </c>
      <c r="M3117" t="s">
        <v>11832</v>
      </c>
      <c r="N3117" t="s">
        <v>3279</v>
      </c>
      <c r="O3117" t="s">
        <v>11833</v>
      </c>
      <c r="P3117">
        <v>18532</v>
      </c>
      <c r="Q3117" t="str">
        <f>"37.945676"</f>
        <v>37.945676</v>
      </c>
      <c r="R3117" t="str">
        <f>"23.650467"</f>
        <v>23.650467</v>
      </c>
      <c r="S3117" t="s">
        <v>26</v>
      </c>
    </row>
    <row r="3118" spans="1:19" x14ac:dyDescent="0.3">
      <c r="A3118" t="s">
        <v>3237</v>
      </c>
      <c r="B3118" t="s">
        <v>11503</v>
      </c>
      <c r="C3118" t="s">
        <v>11834</v>
      </c>
      <c r="D3118" t="s">
        <v>3275</v>
      </c>
      <c r="E3118" t="s">
        <v>3275</v>
      </c>
      <c r="F3118" t="s">
        <v>3275</v>
      </c>
      <c r="G3118" t="s">
        <v>6193</v>
      </c>
      <c r="H3118" t="s">
        <v>868</v>
      </c>
      <c r="I3118" t="s">
        <v>869</v>
      </c>
      <c r="J3118" t="str">
        <f>"9520141"</f>
        <v>9520141</v>
      </c>
      <c r="K3118">
        <v>2104206233</v>
      </c>
      <c r="L3118">
        <v>2104206233</v>
      </c>
      <c r="M3118" t="s">
        <v>11835</v>
      </c>
      <c r="N3118" t="s">
        <v>3279</v>
      </c>
      <c r="O3118" t="s">
        <v>11836</v>
      </c>
      <c r="P3118">
        <v>18543</v>
      </c>
      <c r="Q3118" t="str">
        <f>"37.955928"</f>
        <v>37.955928</v>
      </c>
      <c r="R3118" t="str">
        <f>"23.650240"</f>
        <v>23.650240</v>
      </c>
      <c r="S3118" t="s">
        <v>26</v>
      </c>
    </row>
    <row r="3119" spans="1:19" x14ac:dyDescent="0.3">
      <c r="A3119" t="s">
        <v>3237</v>
      </c>
      <c r="B3119" t="s">
        <v>11503</v>
      </c>
      <c r="C3119" t="s">
        <v>11837</v>
      </c>
      <c r="D3119" t="s">
        <v>3275</v>
      </c>
      <c r="E3119" t="s">
        <v>6266</v>
      </c>
      <c r="F3119" t="s">
        <v>6267</v>
      </c>
      <c r="G3119" t="s">
        <v>6267</v>
      </c>
      <c r="H3119" t="s">
        <v>868</v>
      </c>
      <c r="I3119" t="s">
        <v>869</v>
      </c>
      <c r="J3119" t="str">
        <f>"9520003"</f>
        <v>9520003</v>
      </c>
      <c r="K3119">
        <v>2103460270</v>
      </c>
      <c r="L3119">
        <v>2103466867</v>
      </c>
      <c r="M3119" t="s">
        <v>11838</v>
      </c>
      <c r="N3119" t="s">
        <v>6309</v>
      </c>
      <c r="O3119" t="s">
        <v>11839</v>
      </c>
      <c r="P3119">
        <v>18233</v>
      </c>
      <c r="Q3119" t="str">
        <f>"37.971252"</f>
        <v>37.971252</v>
      </c>
      <c r="R3119" t="str">
        <f>"23.676977"</f>
        <v>23.676977</v>
      </c>
      <c r="S3119" t="s">
        <v>26</v>
      </c>
    </row>
    <row r="3120" spans="1:19" x14ac:dyDescent="0.3">
      <c r="A3120" t="s">
        <v>3237</v>
      </c>
      <c r="B3120" t="s">
        <v>11503</v>
      </c>
      <c r="C3120" t="s">
        <v>6588</v>
      </c>
      <c r="D3120" t="s">
        <v>3275</v>
      </c>
      <c r="E3120" t="s">
        <v>3303</v>
      </c>
      <c r="F3120" t="s">
        <v>3303</v>
      </c>
      <c r="G3120" t="s">
        <v>3303</v>
      </c>
      <c r="H3120" t="s">
        <v>868</v>
      </c>
      <c r="I3120" t="s">
        <v>869</v>
      </c>
      <c r="J3120" t="str">
        <f>"9520084"</f>
        <v>9520084</v>
      </c>
      <c r="K3120">
        <v>2104953106</v>
      </c>
      <c r="L3120">
        <v>2104953106</v>
      </c>
      <c r="M3120" t="s">
        <v>11840</v>
      </c>
      <c r="N3120" t="s">
        <v>6249</v>
      </c>
      <c r="O3120" t="s">
        <v>11841</v>
      </c>
      <c r="P3120">
        <v>18120</v>
      </c>
      <c r="Q3120" t="str">
        <f>"37.978378"</f>
        <v>37.978378</v>
      </c>
      <c r="R3120" t="str">
        <f>"23.654805"</f>
        <v>23.654805</v>
      </c>
      <c r="S3120" t="s">
        <v>26</v>
      </c>
    </row>
    <row r="3121" spans="1:19" x14ac:dyDescent="0.3">
      <c r="A3121" t="s">
        <v>3237</v>
      </c>
      <c r="B3121" t="s">
        <v>11503</v>
      </c>
      <c r="C3121" t="s">
        <v>6393</v>
      </c>
      <c r="D3121" t="s">
        <v>6222</v>
      </c>
      <c r="E3121" t="s">
        <v>6223</v>
      </c>
      <c r="F3121" t="s">
        <v>6229</v>
      </c>
      <c r="G3121" t="s">
        <v>6223</v>
      </c>
      <c r="H3121" t="s">
        <v>868</v>
      </c>
      <c r="I3121" t="s">
        <v>869</v>
      </c>
      <c r="J3121" t="str">
        <f>"9520201"</f>
        <v>9520201</v>
      </c>
      <c r="K3121">
        <v>2104653697</v>
      </c>
      <c r="L3121">
        <v>2104653697</v>
      </c>
      <c r="M3121" t="s">
        <v>11845</v>
      </c>
      <c r="N3121" t="s">
        <v>6389</v>
      </c>
      <c r="O3121" t="s">
        <v>11846</v>
      </c>
      <c r="P3121">
        <v>18900</v>
      </c>
      <c r="Q3121" t="str">
        <f>"37.966736"</f>
        <v>37.966736</v>
      </c>
      <c r="R3121" t="str">
        <f>"23.487823"</f>
        <v>23.487823</v>
      </c>
      <c r="S3121" t="s">
        <v>26</v>
      </c>
    </row>
    <row r="3122" spans="1:19" x14ac:dyDescent="0.3">
      <c r="A3122" t="s">
        <v>3237</v>
      </c>
      <c r="B3122" t="s">
        <v>11503</v>
      </c>
      <c r="C3122" t="s">
        <v>11861</v>
      </c>
      <c r="D3122" t="s">
        <v>3275</v>
      </c>
      <c r="E3122" t="s">
        <v>6266</v>
      </c>
      <c r="F3122" t="s">
        <v>6267</v>
      </c>
      <c r="G3122" t="s">
        <v>6267</v>
      </c>
      <c r="H3122" t="s">
        <v>868</v>
      </c>
      <c r="I3122" t="s">
        <v>869</v>
      </c>
      <c r="J3122" t="str">
        <f>"9520303"</f>
        <v>9520303</v>
      </c>
      <c r="K3122">
        <v>2104822868</v>
      </c>
      <c r="L3122">
        <v>2104822146</v>
      </c>
      <c r="M3122" t="s">
        <v>11862</v>
      </c>
      <c r="N3122" t="s">
        <v>11863</v>
      </c>
      <c r="O3122" t="s">
        <v>11864</v>
      </c>
      <c r="P3122">
        <v>18233</v>
      </c>
      <c r="Q3122" t="str">
        <f>"37.964676"</f>
        <v>37.964676</v>
      </c>
      <c r="R3122" t="str">
        <f>"23.670767"</f>
        <v>23.670767</v>
      </c>
      <c r="S3122" t="s">
        <v>26</v>
      </c>
    </row>
    <row r="3123" spans="1:19" x14ac:dyDescent="0.3">
      <c r="A3123" t="s">
        <v>3237</v>
      </c>
      <c r="B3123" t="s">
        <v>11503</v>
      </c>
      <c r="C3123" t="s">
        <v>11868</v>
      </c>
      <c r="D3123" t="s">
        <v>3275</v>
      </c>
      <c r="E3123" t="s">
        <v>6266</v>
      </c>
      <c r="F3123" t="s">
        <v>6267</v>
      </c>
      <c r="G3123" t="s">
        <v>6267</v>
      </c>
      <c r="H3123" t="s">
        <v>868</v>
      </c>
      <c r="I3123" t="s">
        <v>869</v>
      </c>
      <c r="J3123" t="str">
        <f>"9520001"</f>
        <v>9520001</v>
      </c>
      <c r="K3123">
        <v>2104814721</v>
      </c>
      <c r="M3123" t="s">
        <v>11869</v>
      </c>
      <c r="N3123" t="s">
        <v>6309</v>
      </c>
      <c r="O3123" t="s">
        <v>11650</v>
      </c>
      <c r="P3123">
        <v>18233</v>
      </c>
      <c r="Q3123" t="str">
        <f>"37.962817"</f>
        <v>37.962817</v>
      </c>
      <c r="R3123" t="str">
        <f>"23.672571"</f>
        <v>23.672571</v>
      </c>
      <c r="S3123" t="s">
        <v>26</v>
      </c>
    </row>
    <row r="3124" spans="1:19" x14ac:dyDescent="0.3">
      <c r="A3124" t="s">
        <v>3237</v>
      </c>
      <c r="B3124" t="s">
        <v>11503</v>
      </c>
      <c r="C3124" t="s">
        <v>6540</v>
      </c>
      <c r="D3124" t="s">
        <v>3275</v>
      </c>
      <c r="E3124" t="s">
        <v>3275</v>
      </c>
      <c r="F3124" t="s">
        <v>3275</v>
      </c>
      <c r="G3124" t="s">
        <v>3276</v>
      </c>
      <c r="H3124" t="s">
        <v>868</v>
      </c>
      <c r="I3124" t="s">
        <v>869</v>
      </c>
      <c r="J3124" t="str">
        <f>"9520341"</f>
        <v>9520341</v>
      </c>
      <c r="K3124">
        <v>2104282101</v>
      </c>
      <c r="L3124">
        <v>2104282101</v>
      </c>
      <c r="M3124" t="s">
        <v>11879</v>
      </c>
      <c r="N3124" t="s">
        <v>3279</v>
      </c>
      <c r="O3124" t="s">
        <v>11880</v>
      </c>
      <c r="P3124">
        <v>18538</v>
      </c>
      <c r="Q3124" t="str">
        <f>"37.936106"</f>
        <v>37.936106</v>
      </c>
      <c r="R3124" t="str">
        <f>"23.632200"</f>
        <v>23.632200</v>
      </c>
      <c r="S3124" t="s">
        <v>26</v>
      </c>
    </row>
    <row r="3125" spans="1:19" x14ac:dyDescent="0.3">
      <c r="A3125" t="s">
        <v>3237</v>
      </c>
      <c r="B3125" t="s">
        <v>11503</v>
      </c>
      <c r="C3125" t="s">
        <v>11887</v>
      </c>
      <c r="D3125" t="s">
        <v>3275</v>
      </c>
      <c r="E3125" t="s">
        <v>3303</v>
      </c>
      <c r="F3125" t="s">
        <v>3303</v>
      </c>
      <c r="G3125" t="s">
        <v>3303</v>
      </c>
      <c r="H3125" t="s">
        <v>868</v>
      </c>
      <c r="I3125" t="s">
        <v>869</v>
      </c>
      <c r="J3125" t="str">
        <f>"9520092"</f>
        <v>9520092</v>
      </c>
      <c r="K3125">
        <v>2104958281</v>
      </c>
      <c r="L3125">
        <v>2104958281</v>
      </c>
      <c r="M3125" t="s">
        <v>11888</v>
      </c>
      <c r="N3125" t="s">
        <v>6249</v>
      </c>
      <c r="O3125" t="s">
        <v>11889</v>
      </c>
      <c r="P3125">
        <v>18122</v>
      </c>
      <c r="Q3125" t="str">
        <f>"37.983619"</f>
        <v>37.983619</v>
      </c>
      <c r="R3125" t="str">
        <f>"23.650539"</f>
        <v>23.650539</v>
      </c>
      <c r="S3125" t="s">
        <v>26</v>
      </c>
    </row>
    <row r="3126" spans="1:19" x14ac:dyDescent="0.3">
      <c r="A3126" t="s">
        <v>3237</v>
      </c>
      <c r="B3126" t="s">
        <v>11503</v>
      </c>
      <c r="C3126" t="s">
        <v>6406</v>
      </c>
      <c r="D3126" t="s">
        <v>3275</v>
      </c>
      <c r="E3126" t="s">
        <v>6203</v>
      </c>
      <c r="F3126" t="s">
        <v>6203</v>
      </c>
      <c r="G3126" t="s">
        <v>6203</v>
      </c>
      <c r="H3126" t="s">
        <v>868</v>
      </c>
      <c r="I3126" t="s">
        <v>869</v>
      </c>
      <c r="J3126" t="str">
        <f>"9520174"</f>
        <v>9520174</v>
      </c>
      <c r="K3126">
        <v>2104411010</v>
      </c>
      <c r="L3126">
        <v>2104411010</v>
      </c>
      <c r="M3126" t="s">
        <v>11893</v>
      </c>
      <c r="N3126" t="s">
        <v>1291</v>
      </c>
      <c r="O3126" t="s">
        <v>11894</v>
      </c>
      <c r="P3126">
        <v>18863</v>
      </c>
      <c r="Q3126" t="str">
        <f>"37.967150"</f>
        <v>37.967150</v>
      </c>
      <c r="R3126" t="str">
        <f>"23.563363"</f>
        <v>23.563363</v>
      </c>
      <c r="S3126" t="s">
        <v>26</v>
      </c>
    </row>
    <row r="3127" spans="1:19" x14ac:dyDescent="0.3">
      <c r="A3127" t="s">
        <v>3237</v>
      </c>
      <c r="B3127" t="s">
        <v>11503</v>
      </c>
      <c r="C3127" t="s">
        <v>6698</v>
      </c>
      <c r="D3127" t="s">
        <v>3275</v>
      </c>
      <c r="E3127" t="s">
        <v>6203</v>
      </c>
      <c r="F3127" t="s">
        <v>6203</v>
      </c>
      <c r="G3127" t="s">
        <v>6203</v>
      </c>
      <c r="H3127" t="s">
        <v>868</v>
      </c>
      <c r="I3127" t="s">
        <v>869</v>
      </c>
      <c r="J3127" t="str">
        <f>"9520175"</f>
        <v>9520175</v>
      </c>
      <c r="K3127">
        <v>2104413699</v>
      </c>
      <c r="L3127">
        <v>2104413699</v>
      </c>
      <c r="M3127" t="s">
        <v>11895</v>
      </c>
      <c r="N3127" t="s">
        <v>11896</v>
      </c>
      <c r="O3127" t="s">
        <v>11897</v>
      </c>
      <c r="P3127">
        <v>18863</v>
      </c>
      <c r="Q3127" t="str">
        <f>"37.964048"</f>
        <v>37.964048</v>
      </c>
      <c r="R3127" t="str">
        <f>"23.578222"</f>
        <v>23.578222</v>
      </c>
      <c r="S3127" t="s">
        <v>26</v>
      </c>
    </row>
    <row r="3128" spans="1:19" x14ac:dyDescent="0.3">
      <c r="A3128" t="s">
        <v>3237</v>
      </c>
      <c r="B3128" t="s">
        <v>11503</v>
      </c>
      <c r="C3128" t="s">
        <v>6534</v>
      </c>
      <c r="D3128" t="s">
        <v>3275</v>
      </c>
      <c r="E3128" t="s">
        <v>6266</v>
      </c>
      <c r="F3128" t="s">
        <v>5431</v>
      </c>
      <c r="G3128" t="s">
        <v>5431</v>
      </c>
      <c r="H3128" t="s">
        <v>868</v>
      </c>
      <c r="I3128" t="s">
        <v>869</v>
      </c>
      <c r="J3128" t="str">
        <f>"9520126"</f>
        <v>9520126</v>
      </c>
      <c r="K3128">
        <v>2104912625</v>
      </c>
      <c r="L3128">
        <v>2104912625</v>
      </c>
      <c r="M3128" t="s">
        <v>11898</v>
      </c>
      <c r="N3128" t="s">
        <v>6352</v>
      </c>
      <c r="O3128" t="s">
        <v>11899</v>
      </c>
      <c r="P3128">
        <v>18452</v>
      </c>
      <c r="Q3128" t="str">
        <f>"37.981075"</f>
        <v>37.981075</v>
      </c>
      <c r="R3128" t="str">
        <f>"23.635333"</f>
        <v>23.635333</v>
      </c>
      <c r="S3128" t="s">
        <v>26</v>
      </c>
    </row>
    <row r="3129" spans="1:19" x14ac:dyDescent="0.3">
      <c r="A3129" t="s">
        <v>3237</v>
      </c>
      <c r="B3129" t="s">
        <v>11503</v>
      </c>
      <c r="C3129" t="s">
        <v>11902</v>
      </c>
      <c r="D3129" t="s">
        <v>3275</v>
      </c>
      <c r="E3129" t="s">
        <v>3275</v>
      </c>
      <c r="F3129" t="s">
        <v>3275</v>
      </c>
      <c r="G3129" t="s">
        <v>3276</v>
      </c>
      <c r="H3129" t="s">
        <v>868</v>
      </c>
      <c r="I3129" t="s">
        <v>869</v>
      </c>
      <c r="J3129" t="str">
        <f>"9520065"</f>
        <v>9520065</v>
      </c>
      <c r="K3129">
        <v>2104512841</v>
      </c>
      <c r="L3129">
        <v>2104512841</v>
      </c>
      <c r="M3129" t="s">
        <v>11903</v>
      </c>
      <c r="N3129" t="s">
        <v>3279</v>
      </c>
      <c r="O3129" t="s">
        <v>11904</v>
      </c>
      <c r="P3129">
        <v>18538</v>
      </c>
      <c r="Q3129" t="str">
        <f>"37.935849"</f>
        <v>37.935849</v>
      </c>
      <c r="R3129" t="str">
        <f>"23.628934"</f>
        <v>23.628934</v>
      </c>
      <c r="S3129" t="s">
        <v>26</v>
      </c>
    </row>
    <row r="3130" spans="1:19" x14ac:dyDescent="0.3">
      <c r="A3130" t="s">
        <v>3237</v>
      </c>
      <c r="B3130" t="s">
        <v>11503</v>
      </c>
      <c r="C3130" t="s">
        <v>6372</v>
      </c>
      <c r="D3130" t="s">
        <v>3275</v>
      </c>
      <c r="E3130" t="s">
        <v>3275</v>
      </c>
      <c r="F3130" t="s">
        <v>3275</v>
      </c>
      <c r="G3130" t="s">
        <v>6290</v>
      </c>
      <c r="H3130" t="s">
        <v>868</v>
      </c>
      <c r="I3130" t="s">
        <v>869</v>
      </c>
      <c r="J3130" t="str">
        <f>"9520073"</f>
        <v>9520073</v>
      </c>
      <c r="K3130">
        <v>2104174469</v>
      </c>
      <c r="L3130">
        <v>2104174931</v>
      </c>
      <c r="M3130" t="s">
        <v>11908</v>
      </c>
      <c r="N3130" t="s">
        <v>3279</v>
      </c>
      <c r="O3130" t="s">
        <v>11909</v>
      </c>
      <c r="P3130">
        <v>18534</v>
      </c>
      <c r="Q3130" t="str">
        <f>"37.940607"</f>
        <v>37.940607</v>
      </c>
      <c r="R3130" t="str">
        <f>"23.651117"</f>
        <v>23.651117</v>
      </c>
      <c r="S3130" t="s">
        <v>26</v>
      </c>
    </row>
    <row r="3131" spans="1:19" x14ac:dyDescent="0.3">
      <c r="A3131" t="s">
        <v>3237</v>
      </c>
      <c r="B3131" t="s">
        <v>11503</v>
      </c>
      <c r="C3131" t="s">
        <v>11916</v>
      </c>
      <c r="D3131" t="s">
        <v>3275</v>
      </c>
      <c r="E3131" t="s">
        <v>3275</v>
      </c>
      <c r="F3131" t="s">
        <v>3275</v>
      </c>
      <c r="G3131" t="s">
        <v>6382</v>
      </c>
      <c r="H3131" t="s">
        <v>868</v>
      </c>
      <c r="I3131" t="s">
        <v>1157</v>
      </c>
      <c r="J3131" t="str">
        <f>"9520552"</f>
        <v>9520552</v>
      </c>
      <c r="K3131">
        <v>2104210089</v>
      </c>
      <c r="L3131">
        <v>2104210077</v>
      </c>
      <c r="M3131" t="s">
        <v>11917</v>
      </c>
      <c r="N3131" t="s">
        <v>3279</v>
      </c>
      <c r="O3131" t="s">
        <v>11918</v>
      </c>
      <c r="P3131">
        <v>18533</v>
      </c>
      <c r="Q3131" t="str">
        <f>"37.943988"</f>
        <v>37.943988</v>
      </c>
      <c r="R3131" t="str">
        <f>"23.659582"</f>
        <v>23.659582</v>
      </c>
      <c r="S3131" t="s">
        <v>26</v>
      </c>
    </row>
    <row r="3132" spans="1:19" x14ac:dyDescent="0.3">
      <c r="A3132" t="s">
        <v>3237</v>
      </c>
      <c r="B3132" t="s">
        <v>11503</v>
      </c>
      <c r="C3132" t="s">
        <v>11922</v>
      </c>
      <c r="D3132" t="s">
        <v>3275</v>
      </c>
      <c r="E3132" t="s">
        <v>3303</v>
      </c>
      <c r="F3132" t="s">
        <v>3303</v>
      </c>
      <c r="G3132" t="s">
        <v>3303</v>
      </c>
      <c r="H3132" t="s">
        <v>868</v>
      </c>
      <c r="I3132" t="s">
        <v>869</v>
      </c>
      <c r="J3132" t="str">
        <f>"9520082"</f>
        <v>9520082</v>
      </c>
      <c r="K3132">
        <v>2105612010</v>
      </c>
      <c r="L3132">
        <v>2105612010</v>
      </c>
      <c r="M3132" t="s">
        <v>11923</v>
      </c>
      <c r="N3132" t="s">
        <v>6249</v>
      </c>
      <c r="O3132" t="s">
        <v>11826</v>
      </c>
      <c r="P3132">
        <v>18121</v>
      </c>
      <c r="Q3132" t="str">
        <f>"37.990317"</f>
        <v>37.990317</v>
      </c>
      <c r="R3132" t="str">
        <f>"23.647751"</f>
        <v>23.647751</v>
      </c>
      <c r="S3132" t="s">
        <v>26</v>
      </c>
    </row>
    <row r="3133" spans="1:19" x14ac:dyDescent="0.3">
      <c r="A3133" t="s">
        <v>3237</v>
      </c>
      <c r="B3133" t="s">
        <v>11503</v>
      </c>
      <c r="C3133" t="s">
        <v>6368</v>
      </c>
      <c r="D3133" t="s">
        <v>3275</v>
      </c>
      <c r="E3133" t="s">
        <v>6266</v>
      </c>
      <c r="F3133" t="s">
        <v>5431</v>
      </c>
      <c r="G3133" t="s">
        <v>5431</v>
      </c>
      <c r="H3133" t="s">
        <v>868</v>
      </c>
      <c r="I3133" t="s">
        <v>869</v>
      </c>
      <c r="J3133" t="str">
        <f>"9520097"</f>
        <v>9520097</v>
      </c>
      <c r="K3133">
        <v>2104934154</v>
      </c>
      <c r="L3133">
        <v>2104934154</v>
      </c>
      <c r="M3133" t="s">
        <v>11927</v>
      </c>
      <c r="N3133" t="s">
        <v>5431</v>
      </c>
      <c r="O3133" t="s">
        <v>11928</v>
      </c>
      <c r="P3133">
        <v>18451</v>
      </c>
      <c r="Q3133" t="str">
        <f>"37.981985"</f>
        <v>37.981985</v>
      </c>
      <c r="R3133" t="str">
        <f>"23.639992"</f>
        <v>23.639992</v>
      </c>
      <c r="S3133" t="s">
        <v>26</v>
      </c>
    </row>
    <row r="3134" spans="1:19" x14ac:dyDescent="0.3">
      <c r="A3134" t="s">
        <v>3237</v>
      </c>
      <c r="B3134" t="s">
        <v>11503</v>
      </c>
      <c r="C3134" t="s">
        <v>6329</v>
      </c>
      <c r="D3134" t="s">
        <v>3275</v>
      </c>
      <c r="E3134" t="s">
        <v>6212</v>
      </c>
      <c r="F3134" t="s">
        <v>6256</v>
      </c>
      <c r="G3134" t="s">
        <v>6256</v>
      </c>
      <c r="H3134" t="s">
        <v>868</v>
      </c>
      <c r="I3134" t="s">
        <v>869</v>
      </c>
      <c r="J3134" t="str">
        <f>"9520178"</f>
        <v>9520178</v>
      </c>
      <c r="K3134">
        <v>2104315428</v>
      </c>
      <c r="L3134">
        <v>2104315428</v>
      </c>
      <c r="M3134" t="s">
        <v>11929</v>
      </c>
      <c r="N3134" t="s">
        <v>6327</v>
      </c>
      <c r="O3134" t="s">
        <v>11930</v>
      </c>
      <c r="P3134">
        <v>18757</v>
      </c>
      <c r="Q3134" t="str">
        <f>"37.968926"</f>
        <v>37.968926</v>
      </c>
      <c r="R3134" t="str">
        <f>"23.625779"</f>
        <v>23.625779</v>
      </c>
      <c r="S3134" t="s">
        <v>26</v>
      </c>
    </row>
    <row r="3135" spans="1:19" x14ac:dyDescent="0.3">
      <c r="A3135" t="s">
        <v>3237</v>
      </c>
      <c r="B3135" t="s">
        <v>11503</v>
      </c>
      <c r="C3135" t="s">
        <v>6441</v>
      </c>
      <c r="D3135" t="s">
        <v>3275</v>
      </c>
      <c r="E3135" t="s">
        <v>3303</v>
      </c>
      <c r="F3135" t="s">
        <v>3303</v>
      </c>
      <c r="G3135" t="s">
        <v>3303</v>
      </c>
      <c r="H3135" t="s">
        <v>868</v>
      </c>
      <c r="I3135" t="s">
        <v>869</v>
      </c>
      <c r="J3135" t="str">
        <f>"9520089"</f>
        <v>9520089</v>
      </c>
      <c r="K3135">
        <v>2104951177</v>
      </c>
      <c r="L3135">
        <v>2104951177</v>
      </c>
      <c r="M3135" t="s">
        <v>11931</v>
      </c>
      <c r="N3135" t="s">
        <v>6249</v>
      </c>
      <c r="O3135" t="s">
        <v>11932</v>
      </c>
      <c r="P3135">
        <v>18122</v>
      </c>
      <c r="Q3135" t="str">
        <f>"37.987579"</f>
        <v>37.987579</v>
      </c>
      <c r="R3135" t="str">
        <f>"23.644638"</f>
        <v>23.644638</v>
      </c>
      <c r="S3135" t="s">
        <v>26</v>
      </c>
    </row>
    <row r="3136" spans="1:19" x14ac:dyDescent="0.3">
      <c r="A3136" t="s">
        <v>3237</v>
      </c>
      <c r="B3136" t="s">
        <v>11503</v>
      </c>
      <c r="C3136" t="s">
        <v>11933</v>
      </c>
      <c r="D3136" t="s">
        <v>3275</v>
      </c>
      <c r="E3136" t="s">
        <v>3303</v>
      </c>
      <c r="F3136" t="s">
        <v>3303</v>
      </c>
      <c r="G3136" t="s">
        <v>3303</v>
      </c>
      <c r="H3136" t="s">
        <v>868</v>
      </c>
      <c r="I3136" t="s">
        <v>869</v>
      </c>
      <c r="J3136" t="str">
        <f>"9520080"</f>
        <v>9520080</v>
      </c>
      <c r="K3136">
        <v>2104973504</v>
      </c>
      <c r="L3136">
        <v>2104973504</v>
      </c>
      <c r="M3136" t="s">
        <v>11934</v>
      </c>
      <c r="N3136" t="s">
        <v>6249</v>
      </c>
      <c r="O3136" t="s">
        <v>11935</v>
      </c>
      <c r="P3136">
        <v>18122</v>
      </c>
      <c r="Q3136" t="str">
        <f>"37.989609"</f>
        <v>37.989609</v>
      </c>
      <c r="R3136" t="str">
        <f>"23.638138"</f>
        <v>23.638138</v>
      </c>
      <c r="S3136" t="s">
        <v>26</v>
      </c>
    </row>
    <row r="3137" spans="1:19" x14ac:dyDescent="0.3">
      <c r="A3137" t="s">
        <v>3237</v>
      </c>
      <c r="B3137" t="s">
        <v>11503</v>
      </c>
      <c r="C3137" t="s">
        <v>11936</v>
      </c>
      <c r="D3137" t="s">
        <v>3275</v>
      </c>
      <c r="E3137" t="s">
        <v>3275</v>
      </c>
      <c r="F3137" t="s">
        <v>3275</v>
      </c>
      <c r="G3137" t="s">
        <v>3276</v>
      </c>
      <c r="H3137" t="s">
        <v>868</v>
      </c>
      <c r="I3137" t="s">
        <v>869</v>
      </c>
      <c r="J3137" t="str">
        <f>"9520340"</f>
        <v>9520340</v>
      </c>
      <c r="K3137">
        <v>2104513383</v>
      </c>
      <c r="L3137">
        <v>2104513383</v>
      </c>
      <c r="M3137" t="s">
        <v>11937</v>
      </c>
      <c r="N3137" t="s">
        <v>3279</v>
      </c>
      <c r="O3137" t="s">
        <v>11938</v>
      </c>
      <c r="P3137">
        <v>18537</v>
      </c>
      <c r="Q3137" t="str">
        <f>"37.932979"</f>
        <v>37.932979</v>
      </c>
      <c r="R3137" t="str">
        <f>"23.642762"</f>
        <v>23.642762</v>
      </c>
      <c r="S3137" t="s">
        <v>26</v>
      </c>
    </row>
    <row r="3138" spans="1:19" x14ac:dyDescent="0.3">
      <c r="A3138" t="s">
        <v>3237</v>
      </c>
      <c r="B3138" t="s">
        <v>11503</v>
      </c>
      <c r="C3138" t="s">
        <v>6365</v>
      </c>
      <c r="D3138" t="s">
        <v>3275</v>
      </c>
      <c r="E3138" t="s">
        <v>6212</v>
      </c>
      <c r="F3138" t="s">
        <v>6213</v>
      </c>
      <c r="G3138" t="s">
        <v>6213</v>
      </c>
      <c r="H3138" t="s">
        <v>868</v>
      </c>
      <c r="I3138" t="s">
        <v>869</v>
      </c>
      <c r="J3138" t="str">
        <f>"9520076"</f>
        <v>9520076</v>
      </c>
      <c r="K3138">
        <v>2104615409</v>
      </c>
      <c r="L3138">
        <v>2104615409</v>
      </c>
      <c r="M3138" t="s">
        <v>11939</v>
      </c>
      <c r="N3138" t="s">
        <v>6216</v>
      </c>
      <c r="O3138" t="s">
        <v>11940</v>
      </c>
      <c r="P3138">
        <v>18648</v>
      </c>
      <c r="Q3138" t="str">
        <f>"37.950717"</f>
        <v>37.950717</v>
      </c>
      <c r="R3138" t="str">
        <f>"23.628733"</f>
        <v>23.628733</v>
      </c>
      <c r="S3138" t="s">
        <v>26</v>
      </c>
    </row>
    <row r="3139" spans="1:19" x14ac:dyDescent="0.3">
      <c r="A3139" t="s">
        <v>3237</v>
      </c>
      <c r="B3139" t="s">
        <v>11503</v>
      </c>
      <c r="C3139" t="s">
        <v>11941</v>
      </c>
      <c r="D3139" t="s">
        <v>3275</v>
      </c>
      <c r="E3139" t="s">
        <v>6266</v>
      </c>
      <c r="F3139" t="s">
        <v>5431</v>
      </c>
      <c r="G3139" t="s">
        <v>5431</v>
      </c>
      <c r="H3139" t="s">
        <v>868</v>
      </c>
      <c r="I3139" t="s">
        <v>869</v>
      </c>
      <c r="J3139" t="str">
        <f>"9520027"</f>
        <v>9520027</v>
      </c>
      <c r="K3139">
        <v>2104256145</v>
      </c>
      <c r="L3139">
        <v>2104256145</v>
      </c>
      <c r="M3139" t="s">
        <v>11942</v>
      </c>
      <c r="N3139" t="s">
        <v>6352</v>
      </c>
      <c r="O3139" t="s">
        <v>11943</v>
      </c>
      <c r="P3139">
        <v>18450</v>
      </c>
      <c r="Q3139" t="str">
        <f>"37.965955"</f>
        <v>37.965955</v>
      </c>
      <c r="R3139" t="str">
        <f>"23.659721"</f>
        <v>23.659721</v>
      </c>
      <c r="S3139" t="s">
        <v>26</v>
      </c>
    </row>
    <row r="3140" spans="1:19" x14ac:dyDescent="0.3">
      <c r="A3140" t="s">
        <v>3237</v>
      </c>
      <c r="B3140" t="s">
        <v>11503</v>
      </c>
      <c r="C3140" t="s">
        <v>6277</v>
      </c>
      <c r="D3140" t="s">
        <v>3275</v>
      </c>
      <c r="E3140" t="s">
        <v>6266</v>
      </c>
      <c r="F3140" t="s">
        <v>6267</v>
      </c>
      <c r="G3140" t="s">
        <v>6267</v>
      </c>
      <c r="H3140" t="s">
        <v>868</v>
      </c>
      <c r="I3140" t="s">
        <v>869</v>
      </c>
      <c r="J3140" t="str">
        <f>"9520486"</f>
        <v>9520486</v>
      </c>
      <c r="K3140">
        <v>2104815933</v>
      </c>
      <c r="L3140">
        <v>2104815933</v>
      </c>
      <c r="M3140" t="s">
        <v>11944</v>
      </c>
      <c r="N3140" t="s">
        <v>6309</v>
      </c>
      <c r="O3140" t="s">
        <v>11945</v>
      </c>
      <c r="P3140">
        <v>18233</v>
      </c>
      <c r="Q3140" t="str">
        <f>"37.957961"</f>
        <v>37.957961</v>
      </c>
      <c r="R3140" t="str">
        <f>"23.673576"</f>
        <v>23.673576</v>
      </c>
      <c r="S3140" t="s">
        <v>26</v>
      </c>
    </row>
    <row r="3141" spans="1:19" x14ac:dyDescent="0.3">
      <c r="A3141" t="s">
        <v>3237</v>
      </c>
      <c r="B3141" t="s">
        <v>11503</v>
      </c>
      <c r="C3141" t="s">
        <v>11949</v>
      </c>
      <c r="D3141" t="s">
        <v>3275</v>
      </c>
      <c r="E3141" t="s">
        <v>3303</v>
      </c>
      <c r="F3141" t="s">
        <v>3303</v>
      </c>
      <c r="G3141" t="s">
        <v>3303</v>
      </c>
      <c r="H3141" t="s">
        <v>868</v>
      </c>
      <c r="I3141" t="s">
        <v>869</v>
      </c>
      <c r="J3141" t="str">
        <f>"9520299"</f>
        <v>9520299</v>
      </c>
      <c r="K3141">
        <v>2104955416</v>
      </c>
      <c r="L3141">
        <v>2104955416</v>
      </c>
      <c r="M3141" t="s">
        <v>11950</v>
      </c>
      <c r="N3141" t="s">
        <v>6249</v>
      </c>
      <c r="O3141" t="s">
        <v>11878</v>
      </c>
      <c r="P3141">
        <v>18120</v>
      </c>
      <c r="Q3141" t="str">
        <f>"37.976978"</f>
        <v>37.976978</v>
      </c>
      <c r="R3141" t="str">
        <f>"23.652941"</f>
        <v>23.652941</v>
      </c>
      <c r="S3141" t="s">
        <v>26</v>
      </c>
    </row>
    <row r="3142" spans="1:19" x14ac:dyDescent="0.3">
      <c r="A3142" t="s">
        <v>3237</v>
      </c>
      <c r="B3142" t="s">
        <v>11503</v>
      </c>
      <c r="C3142" t="s">
        <v>6302</v>
      </c>
      <c r="D3142" t="s">
        <v>3275</v>
      </c>
      <c r="E3142" t="s">
        <v>3275</v>
      </c>
      <c r="F3142" t="s">
        <v>3275</v>
      </c>
      <c r="G3142" t="s">
        <v>3276</v>
      </c>
      <c r="H3142" t="s">
        <v>868</v>
      </c>
      <c r="I3142" t="s">
        <v>869</v>
      </c>
      <c r="J3142" t="str">
        <f>"9520064"</f>
        <v>9520064</v>
      </c>
      <c r="K3142">
        <v>2104512978</v>
      </c>
      <c r="L3142">
        <v>2104512978</v>
      </c>
      <c r="M3142" t="s">
        <v>11953</v>
      </c>
      <c r="N3142" t="s">
        <v>3279</v>
      </c>
      <c r="O3142" t="s">
        <v>11954</v>
      </c>
      <c r="P3142">
        <v>18537</v>
      </c>
      <c r="Q3142" t="str">
        <f>"37.936443"</f>
        <v>37.936443</v>
      </c>
      <c r="R3142" t="str">
        <f>"23.641245"</f>
        <v>23.641245</v>
      </c>
      <c r="S3142" t="s">
        <v>26</v>
      </c>
    </row>
    <row r="3143" spans="1:19" x14ac:dyDescent="0.3">
      <c r="A3143" t="s">
        <v>3237</v>
      </c>
      <c r="B3143" t="s">
        <v>11503</v>
      </c>
      <c r="C3143" t="s">
        <v>11955</v>
      </c>
      <c r="D3143" t="s">
        <v>3275</v>
      </c>
      <c r="E3143" t="s">
        <v>6266</v>
      </c>
      <c r="F3143" t="s">
        <v>5431</v>
      </c>
      <c r="G3143" t="s">
        <v>5431</v>
      </c>
      <c r="H3143" t="s">
        <v>868</v>
      </c>
      <c r="I3143" t="s">
        <v>869</v>
      </c>
      <c r="J3143" t="str">
        <f>"9520103"</f>
        <v>9520103</v>
      </c>
      <c r="K3143">
        <v>2104928152</v>
      </c>
      <c r="L3143">
        <v>2104928152</v>
      </c>
      <c r="M3143" t="s">
        <v>11956</v>
      </c>
      <c r="N3143" t="s">
        <v>6352</v>
      </c>
      <c r="O3143" t="s">
        <v>11621</v>
      </c>
      <c r="P3143">
        <v>18451</v>
      </c>
      <c r="Q3143" t="str">
        <f>"37.974718"</f>
        <v>37.974718</v>
      </c>
      <c r="R3143" t="str">
        <f>"23.638539"</f>
        <v>23.638539</v>
      </c>
      <c r="S3143" t="s">
        <v>26</v>
      </c>
    </row>
    <row r="3144" spans="1:19" x14ac:dyDescent="0.3">
      <c r="A3144" t="s">
        <v>3237</v>
      </c>
      <c r="B3144" t="s">
        <v>11503</v>
      </c>
      <c r="C3144" t="s">
        <v>6614</v>
      </c>
      <c r="D3144" t="s">
        <v>6222</v>
      </c>
      <c r="E3144" t="s">
        <v>6223</v>
      </c>
      <c r="F3144" t="s">
        <v>6229</v>
      </c>
      <c r="G3144" t="s">
        <v>6223</v>
      </c>
      <c r="H3144" t="s">
        <v>868</v>
      </c>
      <c r="I3144" t="s">
        <v>869</v>
      </c>
      <c r="J3144" t="str">
        <f>"9520199"</f>
        <v>9520199</v>
      </c>
      <c r="K3144">
        <v>2104651285</v>
      </c>
      <c r="M3144" t="s">
        <v>11957</v>
      </c>
      <c r="N3144" t="s">
        <v>6389</v>
      </c>
      <c r="O3144" t="s">
        <v>11958</v>
      </c>
      <c r="P3144">
        <v>18900</v>
      </c>
      <c r="Q3144" t="str">
        <f>"37.962819"</f>
        <v>37.962819</v>
      </c>
      <c r="R3144" t="str">
        <f>"23.482435"</f>
        <v>23.482435</v>
      </c>
      <c r="S3144" t="s">
        <v>26</v>
      </c>
    </row>
    <row r="3145" spans="1:19" x14ac:dyDescent="0.3">
      <c r="A3145" t="s">
        <v>3237</v>
      </c>
      <c r="B3145" t="s">
        <v>11503</v>
      </c>
      <c r="C3145" t="s">
        <v>11959</v>
      </c>
      <c r="D3145" t="s">
        <v>3275</v>
      </c>
      <c r="E3145" t="s">
        <v>3275</v>
      </c>
      <c r="F3145" t="s">
        <v>3275</v>
      </c>
      <c r="G3145" t="s">
        <v>6382</v>
      </c>
      <c r="H3145" t="s">
        <v>868</v>
      </c>
      <c r="I3145" t="s">
        <v>1602</v>
      </c>
      <c r="J3145" t="str">
        <f>"9520272"</f>
        <v>9520272</v>
      </c>
      <c r="K3145">
        <v>2104176135</v>
      </c>
      <c r="L3145">
        <v>2104176136</v>
      </c>
      <c r="M3145" t="s">
        <v>11960</v>
      </c>
      <c r="N3145" t="s">
        <v>6200</v>
      </c>
      <c r="O3145" t="s">
        <v>11659</v>
      </c>
      <c r="P3145">
        <v>18533</v>
      </c>
      <c r="Q3145" t="str">
        <f>"37.944102"</f>
        <v>37.944102</v>
      </c>
      <c r="R3145" t="str">
        <f>"23.657936"</f>
        <v>23.657936</v>
      </c>
      <c r="S3145" t="s">
        <v>26</v>
      </c>
    </row>
    <row r="3146" spans="1:19" x14ac:dyDescent="0.3">
      <c r="A3146" t="s">
        <v>3237</v>
      </c>
      <c r="B3146" t="s">
        <v>11503</v>
      </c>
      <c r="C3146" t="s">
        <v>11961</v>
      </c>
      <c r="D3146" t="s">
        <v>3275</v>
      </c>
      <c r="E3146" t="s">
        <v>3275</v>
      </c>
      <c r="F3146" t="s">
        <v>3275</v>
      </c>
      <c r="G3146" t="s">
        <v>3276</v>
      </c>
      <c r="H3146" t="s">
        <v>868</v>
      </c>
      <c r="I3146" t="s">
        <v>869</v>
      </c>
      <c r="J3146" t="str">
        <f>"9520300"</f>
        <v>9520300</v>
      </c>
      <c r="K3146">
        <v>2104519839</v>
      </c>
      <c r="L3146">
        <v>2104519839</v>
      </c>
      <c r="M3146" t="s">
        <v>11962</v>
      </c>
      <c r="N3146" t="s">
        <v>6200</v>
      </c>
      <c r="O3146" t="s">
        <v>11963</v>
      </c>
      <c r="P3146">
        <v>18537</v>
      </c>
      <c r="Q3146" t="str">
        <f>"37.934438"</f>
        <v>37.934438</v>
      </c>
      <c r="R3146" t="str">
        <f>"23.642307"</f>
        <v>23.642307</v>
      </c>
      <c r="S3146" t="s">
        <v>26</v>
      </c>
    </row>
    <row r="3147" spans="1:19" x14ac:dyDescent="0.3">
      <c r="A3147" t="s">
        <v>3237</v>
      </c>
      <c r="B3147" t="s">
        <v>11503</v>
      </c>
      <c r="C3147" t="s">
        <v>6402</v>
      </c>
      <c r="D3147" t="s">
        <v>3275</v>
      </c>
      <c r="E3147" t="s">
        <v>3275</v>
      </c>
      <c r="F3147" t="s">
        <v>3275</v>
      </c>
      <c r="G3147" t="s">
        <v>6261</v>
      </c>
      <c r="H3147" t="s">
        <v>868</v>
      </c>
      <c r="I3147" t="s">
        <v>869</v>
      </c>
      <c r="J3147" t="str">
        <f>"9520026"</f>
        <v>9520026</v>
      </c>
      <c r="K3147">
        <v>2104201234</v>
      </c>
      <c r="L3147">
        <v>2110128432</v>
      </c>
      <c r="M3147" t="s">
        <v>11964</v>
      </c>
      <c r="N3147" t="s">
        <v>6529</v>
      </c>
      <c r="O3147" t="s">
        <v>11734</v>
      </c>
      <c r="P3147">
        <v>18542</v>
      </c>
      <c r="Q3147" t="str">
        <f>"37.960876"</f>
        <v>37.960876</v>
      </c>
      <c r="R3147" t="str">
        <f>"23.654681"</f>
        <v>23.654681</v>
      </c>
      <c r="S3147" t="s">
        <v>26</v>
      </c>
    </row>
    <row r="3148" spans="1:19" x14ac:dyDescent="0.3">
      <c r="A3148" t="s">
        <v>3237</v>
      </c>
      <c r="B3148" t="s">
        <v>11503</v>
      </c>
      <c r="C3148" t="s">
        <v>6597</v>
      </c>
      <c r="D3148" t="s">
        <v>6222</v>
      </c>
      <c r="E3148" t="s">
        <v>6592</v>
      </c>
      <c r="F3148" t="s">
        <v>6592</v>
      </c>
      <c r="G3148" t="s">
        <v>6592</v>
      </c>
      <c r="H3148" t="s">
        <v>868</v>
      </c>
      <c r="I3148" t="s">
        <v>950</v>
      </c>
      <c r="J3148" t="str">
        <f>"9520160"</f>
        <v>9520160</v>
      </c>
      <c r="K3148">
        <v>2297091487</v>
      </c>
      <c r="L3148">
        <v>2297091487</v>
      </c>
      <c r="M3148" t="s">
        <v>11975</v>
      </c>
      <c r="N3148" t="s">
        <v>6595</v>
      </c>
      <c r="O3148" t="s">
        <v>6595</v>
      </c>
      <c r="P3148">
        <v>18010</v>
      </c>
      <c r="Q3148" t="str">
        <f>"37.709510"</f>
        <v>37.709510</v>
      </c>
      <c r="R3148" t="str">
        <f>"23.347851"</f>
        <v>23.347851</v>
      </c>
      <c r="S3148" t="s">
        <v>26</v>
      </c>
    </row>
    <row r="3149" spans="1:19" x14ac:dyDescent="0.3">
      <c r="A3149" t="s">
        <v>3237</v>
      </c>
      <c r="B3149" t="s">
        <v>11503</v>
      </c>
      <c r="C3149" t="s">
        <v>6237</v>
      </c>
      <c r="D3149" t="s">
        <v>6222</v>
      </c>
      <c r="E3149" t="s">
        <v>6231</v>
      </c>
      <c r="F3149" t="s">
        <v>6232</v>
      </c>
      <c r="G3149" t="s">
        <v>6233</v>
      </c>
      <c r="H3149" t="s">
        <v>868</v>
      </c>
      <c r="I3149" t="s">
        <v>869</v>
      </c>
      <c r="J3149" t="str">
        <f>"9520208"</f>
        <v>9520208</v>
      </c>
      <c r="K3149">
        <v>2298092280</v>
      </c>
      <c r="L3149">
        <v>2298092280</v>
      </c>
      <c r="M3149" t="s">
        <v>11994</v>
      </c>
      <c r="N3149" t="s">
        <v>6236</v>
      </c>
      <c r="O3149" t="s">
        <v>6236</v>
      </c>
      <c r="P3149">
        <v>18030</v>
      </c>
      <c r="Q3149" t="str">
        <f>"37.582399"</f>
        <v>37.582399</v>
      </c>
      <c r="R3149" t="str">
        <f>"23.388526"</f>
        <v>23.388526</v>
      </c>
      <c r="S3149" t="s">
        <v>26</v>
      </c>
    </row>
    <row r="3150" spans="1:19" x14ac:dyDescent="0.3">
      <c r="A3150" t="s">
        <v>3237</v>
      </c>
      <c r="B3150" t="s">
        <v>11503</v>
      </c>
      <c r="C3150" t="s">
        <v>11995</v>
      </c>
      <c r="D3150" t="s">
        <v>3275</v>
      </c>
      <c r="E3150" t="s">
        <v>6212</v>
      </c>
      <c r="F3150" t="s">
        <v>6256</v>
      </c>
      <c r="G3150" t="s">
        <v>6256</v>
      </c>
      <c r="H3150" t="s">
        <v>868</v>
      </c>
      <c r="I3150" t="s">
        <v>1157</v>
      </c>
      <c r="J3150" t="str">
        <f>"9520543"</f>
        <v>9520543</v>
      </c>
      <c r="K3150">
        <v>2104311939</v>
      </c>
      <c r="L3150">
        <v>2104311939</v>
      </c>
      <c r="M3150" t="s">
        <v>11996</v>
      </c>
      <c r="N3150" t="s">
        <v>6327</v>
      </c>
      <c r="O3150" t="s">
        <v>11997</v>
      </c>
      <c r="P3150">
        <v>18756</v>
      </c>
      <c r="Q3150" t="str">
        <f>"37.951057"</f>
        <v>37.951057</v>
      </c>
      <c r="R3150" t="str">
        <f>"23.615717"</f>
        <v>23.615717</v>
      </c>
      <c r="S3150" t="s">
        <v>26</v>
      </c>
    </row>
    <row r="3151" spans="1:19" x14ac:dyDescent="0.3">
      <c r="A3151" t="s">
        <v>3237</v>
      </c>
      <c r="B3151" t="s">
        <v>11503</v>
      </c>
      <c r="C3151" t="s">
        <v>6255</v>
      </c>
      <c r="D3151" t="s">
        <v>3275</v>
      </c>
      <c r="E3151" t="s">
        <v>3303</v>
      </c>
      <c r="F3151" t="s">
        <v>3303</v>
      </c>
      <c r="G3151" t="s">
        <v>3303</v>
      </c>
      <c r="H3151" t="s">
        <v>868</v>
      </c>
      <c r="I3151" t="s">
        <v>869</v>
      </c>
      <c r="J3151" t="str">
        <f>"9520088"</f>
        <v>9520088</v>
      </c>
      <c r="K3151">
        <v>2105616606</v>
      </c>
      <c r="L3151">
        <v>2105616606</v>
      </c>
      <c r="M3151" t="s">
        <v>12001</v>
      </c>
      <c r="N3151" t="s">
        <v>6249</v>
      </c>
      <c r="O3151" t="s">
        <v>12002</v>
      </c>
      <c r="P3151">
        <v>18121</v>
      </c>
      <c r="Q3151" t="str">
        <f>"37.981799"</f>
        <v>37.981799</v>
      </c>
      <c r="R3151" t="str">
        <f>"23.663106"</f>
        <v>23.663106</v>
      </c>
      <c r="S3151" t="s">
        <v>26</v>
      </c>
    </row>
    <row r="3152" spans="1:19" x14ac:dyDescent="0.3">
      <c r="A3152" t="s">
        <v>3237</v>
      </c>
      <c r="B3152" t="s">
        <v>11503</v>
      </c>
      <c r="C3152" t="s">
        <v>12003</v>
      </c>
      <c r="D3152" t="s">
        <v>6222</v>
      </c>
      <c r="E3152" t="s">
        <v>6280</v>
      </c>
      <c r="F3152" t="s">
        <v>6280</v>
      </c>
      <c r="G3152" t="s">
        <v>6280</v>
      </c>
      <c r="H3152" t="s">
        <v>868</v>
      </c>
      <c r="I3152" t="s">
        <v>869</v>
      </c>
      <c r="J3152" t="str">
        <f>"9520206"</f>
        <v>9520206</v>
      </c>
      <c r="K3152">
        <v>2297022618</v>
      </c>
      <c r="L3152">
        <v>2297022618</v>
      </c>
      <c r="M3152" t="s">
        <v>12004</v>
      </c>
      <c r="N3152" t="s">
        <v>6280</v>
      </c>
      <c r="O3152" t="s">
        <v>12005</v>
      </c>
      <c r="P3152">
        <v>18010</v>
      </c>
      <c r="Q3152" t="str">
        <f>"37.747066"</f>
        <v>37.747066</v>
      </c>
      <c r="R3152" t="str">
        <f>"23.431297"</f>
        <v>23.431297</v>
      </c>
      <c r="S3152" t="s">
        <v>26</v>
      </c>
    </row>
    <row r="3153" spans="1:19" x14ac:dyDescent="0.3">
      <c r="A3153" t="s">
        <v>3237</v>
      </c>
      <c r="B3153" t="s">
        <v>11503</v>
      </c>
      <c r="C3153" t="s">
        <v>6289</v>
      </c>
      <c r="D3153" t="s">
        <v>6222</v>
      </c>
      <c r="E3153" t="s">
        <v>6280</v>
      </c>
      <c r="F3153" t="s">
        <v>6280</v>
      </c>
      <c r="G3153" t="s">
        <v>6280</v>
      </c>
      <c r="H3153" t="s">
        <v>868</v>
      </c>
      <c r="I3153" t="s">
        <v>869</v>
      </c>
      <c r="J3153" t="str">
        <f>"9520155"</f>
        <v>9520155</v>
      </c>
      <c r="K3153">
        <v>2297022739</v>
      </c>
      <c r="L3153">
        <v>2297022739</v>
      </c>
      <c r="M3153" t="s">
        <v>12006</v>
      </c>
      <c r="N3153" t="s">
        <v>12007</v>
      </c>
      <c r="O3153" t="s">
        <v>12008</v>
      </c>
      <c r="P3153">
        <v>18010</v>
      </c>
      <c r="Q3153" t="str">
        <f>"37.746023"</f>
        <v>37.746023</v>
      </c>
      <c r="R3153" t="str">
        <f>"23.449515"</f>
        <v>23.449515</v>
      </c>
      <c r="S3153" t="s">
        <v>26</v>
      </c>
    </row>
    <row r="3154" spans="1:19" x14ac:dyDescent="0.3">
      <c r="A3154" t="s">
        <v>3237</v>
      </c>
      <c r="B3154" t="s">
        <v>11503</v>
      </c>
      <c r="C3154" t="s">
        <v>6243</v>
      </c>
      <c r="D3154" t="s">
        <v>6222</v>
      </c>
      <c r="E3154" t="s">
        <v>6231</v>
      </c>
      <c r="F3154" t="s">
        <v>6238</v>
      </c>
      <c r="G3154" t="s">
        <v>6337</v>
      </c>
      <c r="H3154" t="s">
        <v>868</v>
      </c>
      <c r="I3154" t="s">
        <v>869</v>
      </c>
      <c r="J3154" t="str">
        <f>"9520056"</f>
        <v>9520056</v>
      </c>
      <c r="K3154">
        <v>2298043620</v>
      </c>
      <c r="L3154">
        <v>2298043620</v>
      </c>
      <c r="M3154" t="s">
        <v>12016</v>
      </c>
      <c r="N3154" t="s">
        <v>6242</v>
      </c>
      <c r="O3154" t="s">
        <v>6241</v>
      </c>
      <c r="P3154">
        <v>18020</v>
      </c>
      <c r="Q3154" t="str">
        <f>"37.500533"</f>
        <v>37.500533</v>
      </c>
      <c r="R3154" t="str">
        <f>"23.439638"</f>
        <v>23.439638</v>
      </c>
      <c r="S3154" t="s">
        <v>26</v>
      </c>
    </row>
    <row r="3155" spans="1:19" x14ac:dyDescent="0.3">
      <c r="A3155" t="s">
        <v>3237</v>
      </c>
      <c r="B3155" t="s">
        <v>11503</v>
      </c>
      <c r="C3155" t="s">
        <v>6581</v>
      </c>
      <c r="D3155" t="s">
        <v>6222</v>
      </c>
      <c r="E3155" t="s">
        <v>6576</v>
      </c>
      <c r="F3155" t="s">
        <v>6576</v>
      </c>
      <c r="G3155" t="s">
        <v>6576</v>
      </c>
      <c r="H3155" t="s">
        <v>868</v>
      </c>
      <c r="I3155" t="s">
        <v>869</v>
      </c>
      <c r="J3155" t="str">
        <f>"9520194"</f>
        <v>9520194</v>
      </c>
      <c r="K3155">
        <v>2298022329</v>
      </c>
      <c r="L3155">
        <v>2298022329</v>
      </c>
      <c r="M3155" t="s">
        <v>12022</v>
      </c>
      <c r="N3155" t="s">
        <v>6579</v>
      </c>
      <c r="O3155" t="s">
        <v>12023</v>
      </c>
      <c r="P3155">
        <v>18020</v>
      </c>
      <c r="Q3155" t="str">
        <f>"37.500892"</f>
        <v>37.500892</v>
      </c>
      <c r="R3155" t="str">
        <f>"23.454872"</f>
        <v>23.454872</v>
      </c>
      <c r="S3155" t="s">
        <v>26</v>
      </c>
    </row>
    <row r="3156" spans="1:19" x14ac:dyDescent="0.3">
      <c r="A3156" t="s">
        <v>3237</v>
      </c>
      <c r="B3156" t="s">
        <v>11503</v>
      </c>
      <c r="C3156" t="s">
        <v>12025</v>
      </c>
      <c r="D3156" t="s">
        <v>6222</v>
      </c>
      <c r="E3156" t="s">
        <v>6280</v>
      </c>
      <c r="F3156" t="s">
        <v>6280</v>
      </c>
      <c r="G3156" t="s">
        <v>12024</v>
      </c>
      <c r="H3156" t="s">
        <v>868</v>
      </c>
      <c r="I3156" t="s">
        <v>950</v>
      </c>
      <c r="J3156" t="str">
        <f>"9520164"</f>
        <v>9520164</v>
      </c>
      <c r="K3156">
        <v>2297061206</v>
      </c>
      <c r="L3156">
        <v>2297061206</v>
      </c>
      <c r="M3156" t="s">
        <v>12026</v>
      </c>
      <c r="N3156" t="s">
        <v>12027</v>
      </c>
      <c r="O3156" t="s">
        <v>12028</v>
      </c>
      <c r="P3156">
        <v>18010</v>
      </c>
      <c r="Q3156" t="str">
        <f>"37.692417"</f>
        <v>37.692417</v>
      </c>
      <c r="R3156" t="str">
        <f>"23.452878"</f>
        <v>23.452878</v>
      </c>
      <c r="S3156" t="s">
        <v>26</v>
      </c>
    </row>
    <row r="3157" spans="1:19" x14ac:dyDescent="0.3">
      <c r="A3157" t="s">
        <v>3237</v>
      </c>
      <c r="B3157" t="s">
        <v>11503</v>
      </c>
      <c r="C3157" t="s">
        <v>6349</v>
      </c>
      <c r="D3157" t="s">
        <v>6222</v>
      </c>
      <c r="E3157" t="s">
        <v>6345</v>
      </c>
      <c r="F3157" t="s">
        <v>6345</v>
      </c>
      <c r="G3157" t="s">
        <v>6345</v>
      </c>
      <c r="H3157" t="s">
        <v>868</v>
      </c>
      <c r="I3157" t="s">
        <v>869</v>
      </c>
      <c r="J3157" t="str">
        <f>"9520197"</f>
        <v>9520197</v>
      </c>
      <c r="K3157">
        <v>2298052972</v>
      </c>
      <c r="L3157">
        <v>2298052295</v>
      </c>
      <c r="M3157" t="s">
        <v>12031</v>
      </c>
      <c r="N3157" t="s">
        <v>6348</v>
      </c>
      <c r="O3157" t="s">
        <v>6348</v>
      </c>
      <c r="P3157">
        <v>18040</v>
      </c>
      <c r="Q3157" t="str">
        <f>"37.347378"</f>
        <v>37.347378</v>
      </c>
      <c r="R3157" t="str">
        <f>"23.467310"</f>
        <v>23.467310</v>
      </c>
      <c r="S3157" t="s">
        <v>26</v>
      </c>
    </row>
    <row r="3158" spans="1:19" x14ac:dyDescent="0.3">
      <c r="A3158" t="s">
        <v>3237</v>
      </c>
      <c r="B3158" t="s">
        <v>11503</v>
      </c>
      <c r="C3158" t="s">
        <v>6197</v>
      </c>
      <c r="D3158" t="s">
        <v>3275</v>
      </c>
      <c r="E3158" t="s">
        <v>3275</v>
      </c>
      <c r="F3158" t="s">
        <v>3275</v>
      </c>
      <c r="G3158" t="s">
        <v>6193</v>
      </c>
      <c r="H3158" t="s">
        <v>868</v>
      </c>
      <c r="I3158" t="s">
        <v>869</v>
      </c>
      <c r="J3158" t="str">
        <f>"9520143"</f>
        <v>9520143</v>
      </c>
      <c r="K3158">
        <v>2104615379</v>
      </c>
      <c r="L3158">
        <v>2104615379</v>
      </c>
      <c r="M3158" t="s">
        <v>12032</v>
      </c>
      <c r="N3158" t="s">
        <v>6200</v>
      </c>
      <c r="O3158" t="s">
        <v>12033</v>
      </c>
      <c r="P3158">
        <v>18546</v>
      </c>
      <c r="Q3158" t="str">
        <f>"37.963068"</f>
        <v>37.963068</v>
      </c>
      <c r="R3158" t="str">
        <f>"23.632733"</f>
        <v>23.632733</v>
      </c>
      <c r="S3158" t="s">
        <v>26</v>
      </c>
    </row>
    <row r="3159" spans="1:19" x14ac:dyDescent="0.3">
      <c r="A3159" t="s">
        <v>3237</v>
      </c>
      <c r="B3159" t="s">
        <v>11503</v>
      </c>
      <c r="C3159" t="s">
        <v>6464</v>
      </c>
      <c r="D3159" t="s">
        <v>3275</v>
      </c>
      <c r="E3159" t="s">
        <v>3275</v>
      </c>
      <c r="F3159" t="s">
        <v>3275</v>
      </c>
      <c r="G3159" t="s">
        <v>6290</v>
      </c>
      <c r="H3159" t="s">
        <v>868</v>
      </c>
      <c r="I3159" t="s">
        <v>869</v>
      </c>
      <c r="J3159" t="str">
        <f>"9520019"</f>
        <v>9520019</v>
      </c>
      <c r="K3159">
        <v>2104173396</v>
      </c>
      <c r="L3159">
        <v>2104173396</v>
      </c>
      <c r="M3159" t="s">
        <v>12034</v>
      </c>
      <c r="N3159" t="s">
        <v>3279</v>
      </c>
      <c r="O3159" t="s">
        <v>12035</v>
      </c>
      <c r="P3159">
        <v>18534</v>
      </c>
      <c r="Q3159" t="str">
        <f>"37.941905"</f>
        <v>37.941905</v>
      </c>
      <c r="R3159" t="str">
        <f>"23.651338"</f>
        <v>23.651338</v>
      </c>
      <c r="S3159" t="s">
        <v>26</v>
      </c>
    </row>
    <row r="3160" spans="1:19" x14ac:dyDescent="0.3">
      <c r="A3160" t="s">
        <v>3237</v>
      </c>
      <c r="B3160" t="s">
        <v>11503</v>
      </c>
      <c r="C3160" t="s">
        <v>12042</v>
      </c>
      <c r="D3160" t="s">
        <v>6222</v>
      </c>
      <c r="E3160" t="s">
        <v>6280</v>
      </c>
      <c r="F3160" t="s">
        <v>6280</v>
      </c>
      <c r="G3160" t="s">
        <v>12041</v>
      </c>
      <c r="H3160" t="s">
        <v>868</v>
      </c>
      <c r="I3160" t="s">
        <v>869</v>
      </c>
      <c r="J3160" t="str">
        <f>"9520161"</f>
        <v>9520161</v>
      </c>
      <c r="K3160">
        <v>2297052091</v>
      </c>
      <c r="L3160">
        <v>2297052091</v>
      </c>
      <c r="M3160" t="s">
        <v>12043</v>
      </c>
      <c r="N3160" t="s">
        <v>12044</v>
      </c>
      <c r="O3160" t="s">
        <v>12045</v>
      </c>
      <c r="P3160">
        <v>18010</v>
      </c>
      <c r="Q3160" t="str">
        <f>"37.763408"</f>
        <v>37.763408</v>
      </c>
      <c r="R3160" t="str">
        <f>"23.479364"</f>
        <v>23.479364</v>
      </c>
      <c r="S3160" t="s">
        <v>26</v>
      </c>
    </row>
    <row r="3161" spans="1:19" x14ac:dyDescent="0.3">
      <c r="A3161" t="s">
        <v>3237</v>
      </c>
      <c r="B3161" t="s">
        <v>11503</v>
      </c>
      <c r="C3161" t="s">
        <v>6708</v>
      </c>
      <c r="D3161" t="s">
        <v>6222</v>
      </c>
      <c r="E3161" t="s">
        <v>6280</v>
      </c>
      <c r="F3161" t="s">
        <v>6280</v>
      </c>
      <c r="G3161" t="s">
        <v>6703</v>
      </c>
      <c r="H3161" t="s">
        <v>868</v>
      </c>
      <c r="I3161" t="s">
        <v>869</v>
      </c>
      <c r="J3161" t="str">
        <f>"9520163"</f>
        <v>9520163</v>
      </c>
      <c r="K3161">
        <v>2297071205</v>
      </c>
      <c r="L3161">
        <v>2297071208</v>
      </c>
      <c r="M3161" t="s">
        <v>12046</v>
      </c>
      <c r="N3161" t="s">
        <v>6706</v>
      </c>
      <c r="O3161" t="s">
        <v>6707</v>
      </c>
      <c r="P3161">
        <v>18010</v>
      </c>
      <c r="Q3161" t="str">
        <f>"37.757559"</f>
        <v>37.757559</v>
      </c>
      <c r="R3161" t="str">
        <f>"23.521473"</f>
        <v>23.521473</v>
      </c>
      <c r="S3161" t="s">
        <v>26</v>
      </c>
    </row>
    <row r="3162" spans="1:19" x14ac:dyDescent="0.3">
      <c r="A3162" t="s">
        <v>3237</v>
      </c>
      <c r="B3162" t="s">
        <v>11503</v>
      </c>
      <c r="C3162" t="s">
        <v>6544</v>
      </c>
      <c r="D3162" t="s">
        <v>6222</v>
      </c>
      <c r="E3162" t="s">
        <v>6280</v>
      </c>
      <c r="F3162" t="s">
        <v>6280</v>
      </c>
      <c r="G3162" t="s">
        <v>12047</v>
      </c>
      <c r="H3162" t="s">
        <v>868</v>
      </c>
      <c r="I3162" t="s">
        <v>869</v>
      </c>
      <c r="J3162" t="str">
        <f>"9520207"</f>
        <v>9520207</v>
      </c>
      <c r="K3162">
        <v>2297022143</v>
      </c>
      <c r="L3162">
        <v>2297022143</v>
      </c>
      <c r="M3162" t="s">
        <v>12048</v>
      </c>
      <c r="N3162" t="s">
        <v>7912</v>
      </c>
      <c r="O3162" t="s">
        <v>12049</v>
      </c>
      <c r="P3162">
        <v>18010</v>
      </c>
      <c r="Q3162" t="str">
        <f>"37.756951"</f>
        <v>37.756951</v>
      </c>
      <c r="R3162" t="str">
        <f>"23.457769"</f>
        <v>23.457769</v>
      </c>
      <c r="S3162" t="s">
        <v>26</v>
      </c>
    </row>
    <row r="3163" spans="1:19" x14ac:dyDescent="0.3">
      <c r="A3163" t="s">
        <v>3237</v>
      </c>
      <c r="B3163" t="s">
        <v>11503</v>
      </c>
      <c r="C3163" t="s">
        <v>6285</v>
      </c>
      <c r="D3163" t="s">
        <v>6222</v>
      </c>
      <c r="E3163" t="s">
        <v>6280</v>
      </c>
      <c r="F3163" t="s">
        <v>6280</v>
      </c>
      <c r="G3163" t="s">
        <v>6280</v>
      </c>
      <c r="H3163" t="s">
        <v>868</v>
      </c>
      <c r="I3163" t="s">
        <v>869</v>
      </c>
      <c r="J3163" t="str">
        <f>"9520205"</f>
        <v>9520205</v>
      </c>
      <c r="K3163">
        <v>2297022252</v>
      </c>
      <c r="L3163">
        <v>2297022252</v>
      </c>
      <c r="M3163" t="s">
        <v>12050</v>
      </c>
      <c r="N3163" t="s">
        <v>6283</v>
      </c>
      <c r="O3163" t="s">
        <v>6037</v>
      </c>
      <c r="P3163">
        <v>18010</v>
      </c>
      <c r="Q3163" t="str">
        <f>"37.743046"</f>
        <v>37.743046</v>
      </c>
      <c r="R3163" t="str">
        <f>"23.432070"</f>
        <v>23.432070</v>
      </c>
      <c r="S3163" t="s">
        <v>26</v>
      </c>
    </row>
    <row r="3164" spans="1:19" x14ac:dyDescent="0.3">
      <c r="A3164" t="s">
        <v>3237</v>
      </c>
      <c r="B3164" t="s">
        <v>11503</v>
      </c>
      <c r="C3164" t="s">
        <v>12051</v>
      </c>
      <c r="D3164" t="s">
        <v>3275</v>
      </c>
      <c r="E3164" t="s">
        <v>6203</v>
      </c>
      <c r="F3164" t="s">
        <v>6203</v>
      </c>
      <c r="G3164" t="s">
        <v>6203</v>
      </c>
      <c r="H3164" t="s">
        <v>868</v>
      </c>
      <c r="I3164" t="s">
        <v>869</v>
      </c>
      <c r="J3164" t="str">
        <f>"9520497"</f>
        <v>9520497</v>
      </c>
      <c r="K3164">
        <v>2104412178</v>
      </c>
      <c r="L3164">
        <v>2104412178</v>
      </c>
      <c r="M3164" t="s">
        <v>12052</v>
      </c>
      <c r="N3164" t="s">
        <v>1291</v>
      </c>
      <c r="O3164" t="s">
        <v>12053</v>
      </c>
      <c r="P3164">
        <v>18863</v>
      </c>
      <c r="Q3164" t="str">
        <f>"37.966398"</f>
        <v>37.966398</v>
      </c>
      <c r="R3164" t="str">
        <f>"23.578882"</f>
        <v>23.578882</v>
      </c>
      <c r="S3164" t="s">
        <v>26</v>
      </c>
    </row>
    <row r="3165" spans="1:19" x14ac:dyDescent="0.3">
      <c r="A3165" t="s">
        <v>3237</v>
      </c>
      <c r="B3165" t="s">
        <v>11503</v>
      </c>
      <c r="C3165" t="s">
        <v>6272</v>
      </c>
      <c r="D3165" t="s">
        <v>3275</v>
      </c>
      <c r="E3165" t="s">
        <v>6266</v>
      </c>
      <c r="F3165" t="s">
        <v>6267</v>
      </c>
      <c r="G3165" t="s">
        <v>6267</v>
      </c>
      <c r="H3165" t="s">
        <v>868</v>
      </c>
      <c r="I3165" t="s">
        <v>869</v>
      </c>
      <c r="J3165" t="str">
        <f>"9520002"</f>
        <v>9520002</v>
      </c>
      <c r="K3165">
        <v>2104256251</v>
      </c>
      <c r="L3165">
        <v>2104911490</v>
      </c>
      <c r="M3165" t="s">
        <v>12054</v>
      </c>
      <c r="N3165" t="s">
        <v>6275</v>
      </c>
      <c r="O3165" t="s">
        <v>12055</v>
      </c>
      <c r="P3165">
        <v>18233</v>
      </c>
      <c r="Q3165" t="str">
        <f>"37.963582"</f>
        <v>37.963582</v>
      </c>
      <c r="R3165" t="str">
        <f>"23.661720"</f>
        <v>23.661720</v>
      </c>
      <c r="S3165" t="s">
        <v>26</v>
      </c>
    </row>
    <row r="3166" spans="1:19" x14ac:dyDescent="0.3">
      <c r="A3166" t="s">
        <v>3237</v>
      </c>
      <c r="B3166" t="s">
        <v>11503</v>
      </c>
      <c r="C3166" t="s">
        <v>12065</v>
      </c>
      <c r="D3166" t="s">
        <v>6222</v>
      </c>
      <c r="E3166" t="s">
        <v>6231</v>
      </c>
      <c r="F3166" t="s">
        <v>6238</v>
      </c>
      <c r="G3166" t="s">
        <v>12061</v>
      </c>
      <c r="H3166" t="s">
        <v>868</v>
      </c>
      <c r="I3166" t="s">
        <v>950</v>
      </c>
      <c r="J3166" t="str">
        <f>"9520116"</f>
        <v>9520116</v>
      </c>
      <c r="K3166">
        <v>2298034237</v>
      </c>
      <c r="L3166">
        <v>2298034237</v>
      </c>
      <c r="M3166" t="s">
        <v>12066</v>
      </c>
      <c r="N3166" t="s">
        <v>12061</v>
      </c>
      <c r="O3166" t="s">
        <v>12064</v>
      </c>
      <c r="P3166">
        <v>18020</v>
      </c>
      <c r="Q3166" t="str">
        <f>"37.537485"</f>
        <v>37.537485</v>
      </c>
      <c r="R3166" t="str">
        <f>"23.203015"</f>
        <v>23.203015</v>
      </c>
      <c r="S3166" t="s">
        <v>26</v>
      </c>
    </row>
    <row r="3167" spans="1:19" x14ac:dyDescent="0.3">
      <c r="A3167" t="s">
        <v>3237</v>
      </c>
      <c r="B3167" t="s">
        <v>11503</v>
      </c>
      <c r="C3167" t="s">
        <v>12071</v>
      </c>
      <c r="D3167" t="s">
        <v>3275</v>
      </c>
      <c r="E3167" t="s">
        <v>6212</v>
      </c>
      <c r="F3167" t="s">
        <v>6256</v>
      </c>
      <c r="G3167" t="s">
        <v>6256</v>
      </c>
      <c r="H3167" t="s">
        <v>868</v>
      </c>
      <c r="I3167" t="s">
        <v>869</v>
      </c>
      <c r="J3167" t="str">
        <f>"9520498"</f>
        <v>9520498</v>
      </c>
      <c r="K3167">
        <v>2104319690</v>
      </c>
      <c r="L3167">
        <v>2104327396</v>
      </c>
      <c r="M3167" t="s">
        <v>12072</v>
      </c>
      <c r="N3167" t="s">
        <v>6327</v>
      </c>
      <c r="O3167" t="s">
        <v>12073</v>
      </c>
      <c r="P3167">
        <v>18757</v>
      </c>
      <c r="Q3167" t="str">
        <f>"37.973898"</f>
        <v>37.973898</v>
      </c>
      <c r="R3167" t="str">
        <f>"23.627108"</f>
        <v>23.627108</v>
      </c>
      <c r="S3167" t="s">
        <v>26</v>
      </c>
    </row>
    <row r="3168" spans="1:19" x14ac:dyDescent="0.3">
      <c r="A3168" t="s">
        <v>3237</v>
      </c>
      <c r="B3168" t="s">
        <v>11503</v>
      </c>
      <c r="C3168" t="s">
        <v>12074</v>
      </c>
      <c r="D3168" t="s">
        <v>3275</v>
      </c>
      <c r="E3168" t="s">
        <v>3275</v>
      </c>
      <c r="F3168" t="s">
        <v>3275</v>
      </c>
      <c r="G3168" t="s">
        <v>6261</v>
      </c>
      <c r="H3168" t="s">
        <v>868</v>
      </c>
      <c r="I3168" t="s">
        <v>1157</v>
      </c>
      <c r="J3168" t="str">
        <f>"9520246"</f>
        <v>9520246</v>
      </c>
      <c r="K3168">
        <v>2104204119</v>
      </c>
      <c r="L3168">
        <v>2104207792</v>
      </c>
      <c r="M3168" t="s">
        <v>12075</v>
      </c>
      <c r="N3168" t="s">
        <v>6200</v>
      </c>
      <c r="O3168" t="s">
        <v>12076</v>
      </c>
      <c r="P3168">
        <v>18542</v>
      </c>
      <c r="Q3168" t="str">
        <f>"37.959494"</f>
        <v>37.959494</v>
      </c>
      <c r="R3168" t="str">
        <f>"23.657521"</f>
        <v>23.657521</v>
      </c>
      <c r="S3168" t="s">
        <v>26</v>
      </c>
    </row>
    <row r="3169" spans="1:19" x14ac:dyDescent="0.3">
      <c r="A3169" t="s">
        <v>3237</v>
      </c>
      <c r="B3169" t="s">
        <v>11503</v>
      </c>
      <c r="C3169" t="s">
        <v>12080</v>
      </c>
      <c r="D3169" t="s">
        <v>3275</v>
      </c>
      <c r="E3169" t="s">
        <v>6266</v>
      </c>
      <c r="F3169" t="s">
        <v>5431</v>
      </c>
      <c r="G3169" t="s">
        <v>5431</v>
      </c>
      <c r="H3169" t="s">
        <v>868</v>
      </c>
      <c r="I3169" t="s">
        <v>869</v>
      </c>
      <c r="J3169" t="str">
        <f>"9520122"</f>
        <v>9520122</v>
      </c>
      <c r="K3169">
        <v>2104916804</v>
      </c>
      <c r="L3169">
        <v>2104916804</v>
      </c>
      <c r="M3169" t="s">
        <v>12081</v>
      </c>
      <c r="N3169" t="s">
        <v>6352</v>
      </c>
      <c r="O3169" t="s">
        <v>12082</v>
      </c>
      <c r="P3169">
        <v>18450</v>
      </c>
      <c r="Q3169" t="str">
        <f>"37.967816"</f>
        <v>37.967816</v>
      </c>
      <c r="R3169" t="str">
        <f>"23.647213"</f>
        <v>23.647213</v>
      </c>
      <c r="S3169" t="s">
        <v>26</v>
      </c>
    </row>
    <row r="3170" spans="1:19" x14ac:dyDescent="0.3">
      <c r="A3170" t="s">
        <v>3237</v>
      </c>
      <c r="B3170" t="s">
        <v>11503</v>
      </c>
      <c r="C3170" t="s">
        <v>12085</v>
      </c>
      <c r="D3170" t="s">
        <v>3275</v>
      </c>
      <c r="E3170" t="s">
        <v>6203</v>
      </c>
      <c r="F3170" t="s">
        <v>6203</v>
      </c>
      <c r="G3170" t="s">
        <v>6203</v>
      </c>
      <c r="H3170" t="s">
        <v>868</v>
      </c>
      <c r="I3170" t="s">
        <v>869</v>
      </c>
      <c r="J3170" t="str">
        <f>"9520173"</f>
        <v>9520173</v>
      </c>
      <c r="K3170">
        <v>2104411400</v>
      </c>
      <c r="L3170">
        <v>2104411400</v>
      </c>
      <c r="M3170" t="s">
        <v>12086</v>
      </c>
      <c r="N3170" t="s">
        <v>1291</v>
      </c>
      <c r="O3170" t="s">
        <v>12087</v>
      </c>
      <c r="P3170">
        <v>18863</v>
      </c>
      <c r="Q3170" t="str">
        <f>"37.968883"</f>
        <v>37.968883</v>
      </c>
      <c r="R3170" t="str">
        <f>"23.567582"</f>
        <v>23.567582</v>
      </c>
      <c r="S3170" t="s">
        <v>26</v>
      </c>
    </row>
    <row r="3171" spans="1:19" x14ac:dyDescent="0.3">
      <c r="A3171" t="s">
        <v>3237</v>
      </c>
      <c r="B3171" t="s">
        <v>11503</v>
      </c>
      <c r="C3171" t="s">
        <v>12088</v>
      </c>
      <c r="D3171" t="s">
        <v>3275</v>
      </c>
      <c r="E3171" t="s">
        <v>3275</v>
      </c>
      <c r="F3171" t="s">
        <v>3275</v>
      </c>
      <c r="G3171" t="s">
        <v>6382</v>
      </c>
      <c r="H3171" t="s">
        <v>868</v>
      </c>
      <c r="I3171" t="s">
        <v>1602</v>
      </c>
      <c r="J3171" t="str">
        <f>"9520037"</f>
        <v>9520037</v>
      </c>
      <c r="K3171">
        <v>2104176135</v>
      </c>
      <c r="L3171">
        <v>2104176136</v>
      </c>
      <c r="M3171" t="s">
        <v>12089</v>
      </c>
      <c r="N3171" t="s">
        <v>3279</v>
      </c>
      <c r="O3171" t="s">
        <v>11659</v>
      </c>
      <c r="P3171">
        <v>18533</v>
      </c>
      <c r="Q3171" t="str">
        <f>"37.944051"</f>
        <v>37.944051</v>
      </c>
      <c r="R3171" t="str">
        <f>"23.657904"</f>
        <v>23.657904</v>
      </c>
      <c r="S3171" t="s">
        <v>26</v>
      </c>
    </row>
    <row r="3172" spans="1:19" x14ac:dyDescent="0.3">
      <c r="A3172" t="s">
        <v>3237</v>
      </c>
      <c r="B3172" t="s">
        <v>11503</v>
      </c>
      <c r="C3172" t="s">
        <v>12096</v>
      </c>
      <c r="D3172" t="s">
        <v>3275</v>
      </c>
      <c r="E3172" t="s">
        <v>6266</v>
      </c>
      <c r="F3172" t="s">
        <v>6267</v>
      </c>
      <c r="G3172" t="s">
        <v>6267</v>
      </c>
      <c r="H3172" t="s">
        <v>868</v>
      </c>
      <c r="I3172" t="s">
        <v>869</v>
      </c>
      <c r="J3172" t="str">
        <f>"9520825"</f>
        <v>9520825</v>
      </c>
      <c r="K3172">
        <v>2104914395</v>
      </c>
      <c r="L3172">
        <v>2104914395</v>
      </c>
      <c r="M3172" t="s">
        <v>12097</v>
      </c>
      <c r="N3172" t="s">
        <v>12098</v>
      </c>
      <c r="O3172" t="s">
        <v>11675</v>
      </c>
      <c r="P3172">
        <v>18233</v>
      </c>
      <c r="Q3172" t="str">
        <f>"37.961682"</f>
        <v>37.961682</v>
      </c>
      <c r="R3172" t="str">
        <f>"23.659875"</f>
        <v>23.659875</v>
      </c>
      <c r="S3172" t="s">
        <v>26</v>
      </c>
    </row>
    <row r="3173" spans="1:19" x14ac:dyDescent="0.3">
      <c r="A3173" t="s">
        <v>3237</v>
      </c>
      <c r="B3173" t="s">
        <v>11503</v>
      </c>
      <c r="C3173" t="s">
        <v>6376</v>
      </c>
      <c r="D3173" t="s">
        <v>3275</v>
      </c>
      <c r="E3173" t="s">
        <v>6266</v>
      </c>
      <c r="F3173" t="s">
        <v>5431</v>
      </c>
      <c r="G3173" t="s">
        <v>5431</v>
      </c>
      <c r="H3173" t="s">
        <v>868</v>
      </c>
      <c r="I3173" t="s">
        <v>869</v>
      </c>
      <c r="J3173" t="str">
        <f>"9520130"</f>
        <v>9520130</v>
      </c>
      <c r="K3173">
        <v>2104918962</v>
      </c>
      <c r="L3173">
        <v>2104918962</v>
      </c>
      <c r="M3173" t="s">
        <v>12102</v>
      </c>
      <c r="N3173" t="s">
        <v>6352</v>
      </c>
      <c r="O3173" t="s">
        <v>12103</v>
      </c>
      <c r="P3173">
        <v>18451</v>
      </c>
      <c r="Q3173" t="str">
        <f>"37.971048"</f>
        <v>37.971048</v>
      </c>
      <c r="R3173" t="str">
        <f>"23.637746"</f>
        <v>23.637746</v>
      </c>
      <c r="S3173" t="s">
        <v>26</v>
      </c>
    </row>
    <row r="3174" spans="1:19" x14ac:dyDescent="0.3">
      <c r="A3174" t="s">
        <v>3237</v>
      </c>
      <c r="B3174" t="s">
        <v>11503</v>
      </c>
      <c r="C3174" t="s">
        <v>6386</v>
      </c>
      <c r="D3174" t="s">
        <v>3275</v>
      </c>
      <c r="E3174" t="s">
        <v>3275</v>
      </c>
      <c r="F3174" t="s">
        <v>3275</v>
      </c>
      <c r="G3174" t="s">
        <v>6382</v>
      </c>
      <c r="H3174" t="s">
        <v>868</v>
      </c>
      <c r="I3174" t="s">
        <v>869</v>
      </c>
      <c r="J3174" t="str">
        <f>"9520023"</f>
        <v>9520023</v>
      </c>
      <c r="K3174">
        <v>2104178282</v>
      </c>
      <c r="L3174">
        <v>2104178282</v>
      </c>
      <c r="M3174" t="s">
        <v>12104</v>
      </c>
      <c r="N3174" t="s">
        <v>3279</v>
      </c>
      <c r="O3174" t="s">
        <v>11659</v>
      </c>
      <c r="P3174">
        <v>18533</v>
      </c>
      <c r="Q3174" t="str">
        <f>"37.944379"</f>
        <v>37.944379</v>
      </c>
      <c r="R3174" t="str">
        <f>"23.658081"</f>
        <v>23.658081</v>
      </c>
      <c r="S3174" t="s">
        <v>26</v>
      </c>
    </row>
    <row r="3175" spans="1:19" x14ac:dyDescent="0.3">
      <c r="A3175" t="s">
        <v>3237</v>
      </c>
      <c r="B3175" t="s">
        <v>11503</v>
      </c>
      <c r="C3175" t="s">
        <v>12107</v>
      </c>
      <c r="D3175" t="s">
        <v>3275</v>
      </c>
      <c r="E3175" t="s">
        <v>3303</v>
      </c>
      <c r="F3175" t="s">
        <v>3303</v>
      </c>
      <c r="G3175" t="s">
        <v>3303</v>
      </c>
      <c r="H3175" t="s">
        <v>868</v>
      </c>
      <c r="I3175" t="s">
        <v>869</v>
      </c>
      <c r="J3175" t="str">
        <f>"9520093"</f>
        <v>9520093</v>
      </c>
      <c r="K3175">
        <v>2104955197</v>
      </c>
      <c r="L3175">
        <v>2104955197</v>
      </c>
      <c r="M3175" t="s">
        <v>12108</v>
      </c>
      <c r="N3175" t="s">
        <v>6249</v>
      </c>
      <c r="O3175" t="s">
        <v>12109</v>
      </c>
      <c r="P3175">
        <v>18122</v>
      </c>
      <c r="Q3175" t="str">
        <f>"37.996307"</f>
        <v>37.996307</v>
      </c>
      <c r="R3175" t="str">
        <f>"23.643545"</f>
        <v>23.643545</v>
      </c>
      <c r="S3175" t="s">
        <v>26</v>
      </c>
    </row>
    <row r="3176" spans="1:19" x14ac:dyDescent="0.3">
      <c r="A3176" t="s">
        <v>3237</v>
      </c>
      <c r="B3176" t="s">
        <v>11503</v>
      </c>
      <c r="C3176" t="s">
        <v>6354</v>
      </c>
      <c r="D3176" t="s">
        <v>3275</v>
      </c>
      <c r="E3176" t="s">
        <v>6266</v>
      </c>
      <c r="F3176" t="s">
        <v>5431</v>
      </c>
      <c r="G3176" t="s">
        <v>5431</v>
      </c>
      <c r="H3176" t="s">
        <v>868</v>
      </c>
      <c r="I3176" t="s">
        <v>869</v>
      </c>
      <c r="J3176" t="str">
        <f>"9520134"</f>
        <v>9520134</v>
      </c>
      <c r="K3176">
        <v>2104916454</v>
      </c>
      <c r="L3176">
        <v>2104916454</v>
      </c>
      <c r="M3176" t="s">
        <v>12110</v>
      </c>
      <c r="N3176" t="s">
        <v>6352</v>
      </c>
      <c r="O3176" t="s">
        <v>12111</v>
      </c>
      <c r="P3176">
        <v>18450</v>
      </c>
      <c r="Q3176" t="str">
        <f>"37.966144"</f>
        <v>37.966144</v>
      </c>
      <c r="R3176" t="str">
        <f>"23.642737"</f>
        <v>23.642737</v>
      </c>
      <c r="S3176" t="s">
        <v>26</v>
      </c>
    </row>
    <row r="3177" spans="1:19" x14ac:dyDescent="0.3">
      <c r="A3177" t="s">
        <v>3237</v>
      </c>
      <c r="B3177" t="s">
        <v>11503</v>
      </c>
      <c r="C3177" t="s">
        <v>12114</v>
      </c>
      <c r="D3177" t="s">
        <v>6222</v>
      </c>
      <c r="E3177" t="s">
        <v>6223</v>
      </c>
      <c r="F3177" t="s">
        <v>6229</v>
      </c>
      <c r="G3177" t="s">
        <v>6223</v>
      </c>
      <c r="H3177" t="s">
        <v>868</v>
      </c>
      <c r="I3177" t="s">
        <v>869</v>
      </c>
      <c r="J3177" t="str">
        <f>"9520203"</f>
        <v>9520203</v>
      </c>
      <c r="K3177">
        <v>2104677290</v>
      </c>
      <c r="M3177" t="s">
        <v>12115</v>
      </c>
      <c r="N3177" t="s">
        <v>12116</v>
      </c>
      <c r="O3177" t="s">
        <v>12117</v>
      </c>
      <c r="P3177">
        <v>18901</v>
      </c>
      <c r="Q3177" t="str">
        <f>"37.963673"</f>
        <v>37.963673</v>
      </c>
      <c r="R3177" t="str">
        <f>"23.520388"</f>
        <v>23.520388</v>
      </c>
      <c r="S3177" t="s">
        <v>26</v>
      </c>
    </row>
    <row r="3178" spans="1:19" x14ac:dyDescent="0.3">
      <c r="A3178" t="s">
        <v>3237</v>
      </c>
      <c r="B3178" t="s">
        <v>11503</v>
      </c>
      <c r="C3178" t="s">
        <v>12122</v>
      </c>
      <c r="D3178" t="s">
        <v>3275</v>
      </c>
      <c r="E3178" t="s">
        <v>6203</v>
      </c>
      <c r="F3178" t="s">
        <v>6203</v>
      </c>
      <c r="G3178" t="s">
        <v>6203</v>
      </c>
      <c r="H3178" t="s">
        <v>868</v>
      </c>
      <c r="I3178" t="s">
        <v>869</v>
      </c>
      <c r="J3178" t="str">
        <f>"9520172"</f>
        <v>9520172</v>
      </c>
      <c r="K3178">
        <v>2104411002</v>
      </c>
      <c r="L3178">
        <v>2104411002</v>
      </c>
      <c r="M3178" t="s">
        <v>12123</v>
      </c>
      <c r="N3178" t="s">
        <v>1291</v>
      </c>
      <c r="O3178" t="s">
        <v>12124</v>
      </c>
      <c r="P3178">
        <v>18863</v>
      </c>
      <c r="Q3178" t="str">
        <f>"37.963648"</f>
        <v>37.963648</v>
      </c>
      <c r="R3178" t="str">
        <f>"23.575636"</f>
        <v>23.575636</v>
      </c>
      <c r="S3178" t="s">
        <v>26</v>
      </c>
    </row>
    <row r="3179" spans="1:19" x14ac:dyDescent="0.3">
      <c r="A3179" t="s">
        <v>3237</v>
      </c>
      <c r="B3179" t="s">
        <v>11503</v>
      </c>
      <c r="C3179" t="s">
        <v>6211</v>
      </c>
      <c r="D3179" t="s">
        <v>3275</v>
      </c>
      <c r="E3179" t="s">
        <v>3275</v>
      </c>
      <c r="F3179" t="s">
        <v>3275</v>
      </c>
      <c r="G3179" t="s">
        <v>6193</v>
      </c>
      <c r="H3179" t="s">
        <v>868</v>
      </c>
      <c r="I3179" t="s">
        <v>869</v>
      </c>
      <c r="J3179" t="str">
        <f>"9520009"</f>
        <v>9520009</v>
      </c>
      <c r="K3179">
        <v>2104206177</v>
      </c>
      <c r="L3179">
        <v>2104206111</v>
      </c>
      <c r="M3179" t="s">
        <v>12125</v>
      </c>
      <c r="N3179" t="s">
        <v>3279</v>
      </c>
      <c r="O3179" t="s">
        <v>12126</v>
      </c>
      <c r="P3179">
        <v>18545</v>
      </c>
      <c r="Q3179" t="str">
        <f>"37.954327"</f>
        <v>37.954327</v>
      </c>
      <c r="R3179" t="str">
        <f>"23.644993"</f>
        <v>23.644993</v>
      </c>
      <c r="S3179" t="s">
        <v>26</v>
      </c>
    </row>
    <row r="3180" spans="1:19" x14ac:dyDescent="0.3">
      <c r="A3180" t="s">
        <v>3237</v>
      </c>
      <c r="B3180" t="s">
        <v>11503</v>
      </c>
      <c r="C3180" t="s">
        <v>12130</v>
      </c>
      <c r="D3180" t="s">
        <v>3275</v>
      </c>
      <c r="E3180" t="s">
        <v>3275</v>
      </c>
      <c r="F3180" t="s">
        <v>3275</v>
      </c>
      <c r="G3180" t="s">
        <v>3276</v>
      </c>
      <c r="H3180" t="s">
        <v>868</v>
      </c>
      <c r="I3180" t="s">
        <v>869</v>
      </c>
      <c r="J3180" t="str">
        <f>"9520063"</f>
        <v>9520063</v>
      </c>
      <c r="K3180">
        <v>2104513227</v>
      </c>
      <c r="M3180" t="s">
        <v>12131</v>
      </c>
      <c r="N3180" t="s">
        <v>3279</v>
      </c>
      <c r="O3180" t="s">
        <v>12132</v>
      </c>
      <c r="P3180">
        <v>18537</v>
      </c>
      <c r="Q3180" t="str">
        <f>"37.929961"</f>
        <v>37.929961</v>
      </c>
      <c r="R3180" t="str">
        <f>"23.641309"</f>
        <v>23.641309</v>
      </c>
      <c r="S3180" t="s">
        <v>26</v>
      </c>
    </row>
    <row r="3181" spans="1:19" x14ac:dyDescent="0.3">
      <c r="A3181" t="s">
        <v>3237</v>
      </c>
      <c r="B3181" t="s">
        <v>11503</v>
      </c>
      <c r="C3181" t="s">
        <v>12135</v>
      </c>
      <c r="D3181" t="s">
        <v>3275</v>
      </c>
      <c r="E3181" t="s">
        <v>6212</v>
      </c>
      <c r="F3181" t="s">
        <v>6256</v>
      </c>
      <c r="G3181" t="s">
        <v>6256</v>
      </c>
      <c r="H3181" t="s">
        <v>868</v>
      </c>
      <c r="I3181" t="s">
        <v>869</v>
      </c>
      <c r="J3181" t="str">
        <f>"9520060"</f>
        <v>9520060</v>
      </c>
      <c r="K3181">
        <v>2104002185</v>
      </c>
      <c r="L3181">
        <v>2104001906</v>
      </c>
      <c r="M3181" t="s">
        <v>12136</v>
      </c>
      <c r="N3181" t="s">
        <v>6737</v>
      </c>
      <c r="O3181" t="s">
        <v>12137</v>
      </c>
      <c r="P3181">
        <v>18755</v>
      </c>
      <c r="Q3181" t="str">
        <f>"37.952542"</f>
        <v>37.952542</v>
      </c>
      <c r="R3181" t="str">
        <f>"23.614005"</f>
        <v>23.614005</v>
      </c>
      <c r="S3181" t="s">
        <v>26</v>
      </c>
    </row>
    <row r="3182" spans="1:19" x14ac:dyDescent="0.3">
      <c r="A3182" t="s">
        <v>3237</v>
      </c>
      <c r="B3182" t="s">
        <v>11503</v>
      </c>
      <c r="C3182" t="s">
        <v>6702</v>
      </c>
      <c r="D3182" t="s">
        <v>3275</v>
      </c>
      <c r="E3182" t="s">
        <v>3275</v>
      </c>
      <c r="F3182" t="s">
        <v>3275</v>
      </c>
      <c r="G3182" t="s">
        <v>6382</v>
      </c>
      <c r="H3182" t="s">
        <v>868</v>
      </c>
      <c r="I3182" t="s">
        <v>869</v>
      </c>
      <c r="J3182" t="str">
        <f>"9520024"</f>
        <v>9520024</v>
      </c>
      <c r="K3182">
        <v>2104174232</v>
      </c>
      <c r="L3182">
        <v>2104174232</v>
      </c>
      <c r="M3182" t="s">
        <v>12138</v>
      </c>
      <c r="N3182" t="s">
        <v>3279</v>
      </c>
      <c r="O3182" t="s">
        <v>11684</v>
      </c>
      <c r="P3182">
        <v>18533</v>
      </c>
      <c r="Q3182" t="str">
        <f>"37.944442"</f>
        <v>37.944442</v>
      </c>
      <c r="R3182" t="str">
        <f>"23.657840"</f>
        <v>23.657840</v>
      </c>
      <c r="S3182" t="s">
        <v>26</v>
      </c>
    </row>
    <row r="3183" spans="1:19" x14ac:dyDescent="0.3">
      <c r="A3183" t="s">
        <v>3237</v>
      </c>
      <c r="B3183" t="s">
        <v>11503</v>
      </c>
      <c r="C3183" t="s">
        <v>12139</v>
      </c>
      <c r="D3183" t="s">
        <v>3275</v>
      </c>
      <c r="E3183" t="s">
        <v>6266</v>
      </c>
      <c r="F3183" t="s">
        <v>5431</v>
      </c>
      <c r="G3183" t="s">
        <v>5431</v>
      </c>
      <c r="H3183" t="s">
        <v>868</v>
      </c>
      <c r="I3183" t="s">
        <v>869</v>
      </c>
      <c r="J3183" t="str">
        <f>"9520250"</f>
        <v>9520250</v>
      </c>
      <c r="K3183">
        <v>2104916134</v>
      </c>
      <c r="L3183">
        <v>2104916134</v>
      </c>
      <c r="M3183" t="s">
        <v>12140</v>
      </c>
      <c r="N3183" t="s">
        <v>6352</v>
      </c>
      <c r="O3183" t="s">
        <v>12141</v>
      </c>
      <c r="P3183">
        <v>18451</v>
      </c>
      <c r="Q3183" t="str">
        <f>"37.967695"</f>
        <v>37.967695</v>
      </c>
      <c r="R3183" t="str">
        <f>"23.643520"</f>
        <v>23.643520</v>
      </c>
      <c r="S3183" t="s">
        <v>26</v>
      </c>
    </row>
    <row r="3184" spans="1:19" x14ac:dyDescent="0.3">
      <c r="A3184" t="s">
        <v>3237</v>
      </c>
      <c r="B3184" t="s">
        <v>11503</v>
      </c>
      <c r="C3184" t="s">
        <v>12142</v>
      </c>
      <c r="D3184" t="s">
        <v>3275</v>
      </c>
      <c r="E3184" t="s">
        <v>6266</v>
      </c>
      <c r="F3184" t="s">
        <v>5431</v>
      </c>
      <c r="G3184" t="s">
        <v>5431</v>
      </c>
      <c r="H3184" t="s">
        <v>868</v>
      </c>
      <c r="I3184" t="s">
        <v>869</v>
      </c>
      <c r="J3184" t="str">
        <f>"9520101"</f>
        <v>9520101</v>
      </c>
      <c r="K3184">
        <v>2104915709</v>
      </c>
      <c r="M3184" t="s">
        <v>12143</v>
      </c>
      <c r="N3184" t="s">
        <v>6352</v>
      </c>
      <c r="O3184" t="s">
        <v>12144</v>
      </c>
      <c r="P3184">
        <v>18453</v>
      </c>
      <c r="Q3184" t="str">
        <f>"37.971720"</f>
        <v>37.971720</v>
      </c>
      <c r="R3184" t="str">
        <f>"23.644795"</f>
        <v>23.644795</v>
      </c>
      <c r="S3184" t="s">
        <v>26</v>
      </c>
    </row>
    <row r="3185" spans="1:19" x14ac:dyDescent="0.3">
      <c r="A3185" t="s">
        <v>3237</v>
      </c>
      <c r="B3185" t="s">
        <v>11503</v>
      </c>
      <c r="C3185" t="s">
        <v>12145</v>
      </c>
      <c r="D3185" t="s">
        <v>3275</v>
      </c>
      <c r="E3185" t="s">
        <v>6266</v>
      </c>
      <c r="F3185" t="s">
        <v>5431</v>
      </c>
      <c r="G3185" t="s">
        <v>5431</v>
      </c>
      <c r="H3185" t="s">
        <v>868</v>
      </c>
      <c r="I3185" t="s">
        <v>869</v>
      </c>
      <c r="J3185" t="str">
        <f>"9520131"</f>
        <v>9520131</v>
      </c>
      <c r="K3185">
        <v>2104901495</v>
      </c>
      <c r="L3185">
        <v>2104901495</v>
      </c>
      <c r="M3185" t="s">
        <v>12146</v>
      </c>
      <c r="N3185" t="s">
        <v>6352</v>
      </c>
      <c r="O3185" t="s">
        <v>12147</v>
      </c>
      <c r="P3185">
        <v>18450</v>
      </c>
      <c r="Q3185" t="str">
        <f>"37.968265"</f>
        <v>37.968265</v>
      </c>
      <c r="R3185" t="str">
        <f>"23.647653"</f>
        <v>23.647653</v>
      </c>
      <c r="S3185" t="s">
        <v>26</v>
      </c>
    </row>
    <row r="3186" spans="1:19" x14ac:dyDescent="0.3">
      <c r="A3186" t="s">
        <v>3237</v>
      </c>
      <c r="B3186" t="s">
        <v>11503</v>
      </c>
      <c r="C3186" t="s">
        <v>6620</v>
      </c>
      <c r="D3186" t="s">
        <v>3275</v>
      </c>
      <c r="E3186" t="s">
        <v>6266</v>
      </c>
      <c r="F3186" t="s">
        <v>5431</v>
      </c>
      <c r="G3186" t="s">
        <v>5431</v>
      </c>
      <c r="H3186" t="s">
        <v>868</v>
      </c>
      <c r="I3186" t="s">
        <v>869</v>
      </c>
      <c r="J3186" t="str">
        <f>"9520102"</f>
        <v>9520102</v>
      </c>
      <c r="K3186">
        <v>2104913859</v>
      </c>
      <c r="L3186">
        <v>2104913859</v>
      </c>
      <c r="M3186" t="s">
        <v>12148</v>
      </c>
      <c r="N3186" t="s">
        <v>6352</v>
      </c>
      <c r="O3186" t="s">
        <v>12149</v>
      </c>
      <c r="P3186">
        <v>18453</v>
      </c>
      <c r="Q3186" t="str">
        <f>"37.971955"</f>
        <v>37.971955</v>
      </c>
      <c r="R3186" t="str">
        <f>"23.645377"</f>
        <v>23.645377</v>
      </c>
      <c r="S3186" t="s">
        <v>26</v>
      </c>
    </row>
    <row r="3187" spans="1:19" x14ac:dyDescent="0.3">
      <c r="A3187" t="s">
        <v>3237</v>
      </c>
      <c r="B3187" t="s">
        <v>11503</v>
      </c>
      <c r="C3187" t="s">
        <v>6562</v>
      </c>
      <c r="D3187" t="s">
        <v>3275</v>
      </c>
      <c r="E3187" t="s">
        <v>6266</v>
      </c>
      <c r="F3187" t="s">
        <v>5431</v>
      </c>
      <c r="G3187" t="s">
        <v>5431</v>
      </c>
      <c r="H3187" t="s">
        <v>868</v>
      </c>
      <c r="I3187" t="s">
        <v>869</v>
      </c>
      <c r="J3187" t="str">
        <f>"9520136"</f>
        <v>9520136</v>
      </c>
      <c r="K3187">
        <v>2104918921</v>
      </c>
      <c r="L3187">
        <v>2104918923</v>
      </c>
      <c r="M3187" t="s">
        <v>12150</v>
      </c>
      <c r="N3187" t="s">
        <v>6352</v>
      </c>
      <c r="O3187" t="s">
        <v>12151</v>
      </c>
      <c r="P3187">
        <v>18450</v>
      </c>
      <c r="Q3187" t="str">
        <f>"37.964716"</f>
        <v>37.964716</v>
      </c>
      <c r="R3187" t="str">
        <f>"23.650739"</f>
        <v>23.650739</v>
      </c>
      <c r="S3187" t="s">
        <v>26</v>
      </c>
    </row>
    <row r="3188" spans="1:19" x14ac:dyDescent="0.3">
      <c r="A3188" t="s">
        <v>3237</v>
      </c>
      <c r="B3188" t="s">
        <v>11503</v>
      </c>
      <c r="C3188" t="s">
        <v>12152</v>
      </c>
      <c r="D3188" t="s">
        <v>3275</v>
      </c>
      <c r="E3188" t="s">
        <v>6266</v>
      </c>
      <c r="F3188" t="s">
        <v>5431</v>
      </c>
      <c r="G3188" t="s">
        <v>5431</v>
      </c>
      <c r="H3188" t="s">
        <v>868</v>
      </c>
      <c r="I3188" t="s">
        <v>869</v>
      </c>
      <c r="J3188" t="str">
        <f>"9520124"</f>
        <v>9520124</v>
      </c>
      <c r="K3188">
        <v>2104901152</v>
      </c>
      <c r="M3188" t="s">
        <v>12153</v>
      </c>
      <c r="N3188" t="s">
        <v>6352</v>
      </c>
      <c r="O3188" t="s">
        <v>12154</v>
      </c>
      <c r="P3188">
        <v>18454</v>
      </c>
      <c r="Q3188" t="str">
        <f>"37.969475"</f>
        <v>37.969475</v>
      </c>
      <c r="R3188" t="str">
        <f>"23.655294"</f>
        <v>23.655294</v>
      </c>
      <c r="S3188" t="s">
        <v>26</v>
      </c>
    </row>
    <row r="3189" spans="1:19" x14ac:dyDescent="0.3">
      <c r="A3189" t="s">
        <v>3237</v>
      </c>
      <c r="B3189" t="s">
        <v>11503</v>
      </c>
      <c r="C3189" t="s">
        <v>12155</v>
      </c>
      <c r="D3189" t="s">
        <v>3275</v>
      </c>
      <c r="E3189" t="s">
        <v>6266</v>
      </c>
      <c r="F3189" t="s">
        <v>5431</v>
      </c>
      <c r="G3189" t="s">
        <v>5431</v>
      </c>
      <c r="H3189" t="s">
        <v>868</v>
      </c>
      <c r="I3189" t="s">
        <v>869</v>
      </c>
      <c r="J3189" t="str">
        <f>"9520125"</f>
        <v>9520125</v>
      </c>
      <c r="K3189">
        <v>2104912873</v>
      </c>
      <c r="L3189">
        <v>2104912873</v>
      </c>
      <c r="M3189" t="s">
        <v>12156</v>
      </c>
      <c r="N3189" t="s">
        <v>6352</v>
      </c>
      <c r="O3189" t="s">
        <v>12157</v>
      </c>
      <c r="P3189">
        <v>18451</v>
      </c>
      <c r="Q3189" t="str">
        <f>"37.965522"</f>
        <v>37.965522</v>
      </c>
      <c r="R3189" t="str">
        <f>"23.635994"</f>
        <v>23.635994</v>
      </c>
      <c r="S3189" t="s">
        <v>26</v>
      </c>
    </row>
    <row r="3190" spans="1:19" x14ac:dyDescent="0.3">
      <c r="A3190" t="s">
        <v>3237</v>
      </c>
      <c r="B3190" t="s">
        <v>11503</v>
      </c>
      <c r="C3190" t="s">
        <v>6445</v>
      </c>
      <c r="D3190" t="s">
        <v>3275</v>
      </c>
      <c r="E3190" t="s">
        <v>6266</v>
      </c>
      <c r="F3190" t="s">
        <v>5431</v>
      </c>
      <c r="G3190" t="s">
        <v>5431</v>
      </c>
      <c r="H3190" t="s">
        <v>868</v>
      </c>
      <c r="I3190" t="s">
        <v>869</v>
      </c>
      <c r="J3190" t="str">
        <f>"9520127"</f>
        <v>9520127</v>
      </c>
      <c r="K3190">
        <v>2104934304</v>
      </c>
      <c r="L3190">
        <v>2104934304</v>
      </c>
      <c r="M3190" t="s">
        <v>12158</v>
      </c>
      <c r="N3190" t="s">
        <v>12159</v>
      </c>
      <c r="O3190" t="s">
        <v>11793</v>
      </c>
      <c r="P3190">
        <v>18547</v>
      </c>
      <c r="Q3190" t="str">
        <f>"37.965413"</f>
        <v>37.965413</v>
      </c>
      <c r="R3190" t="str">
        <f>"23.643961"</f>
        <v>23.643961</v>
      </c>
      <c r="S3190" t="s">
        <v>26</v>
      </c>
    </row>
    <row r="3191" spans="1:19" x14ac:dyDescent="0.3">
      <c r="A3191" t="s">
        <v>3237</v>
      </c>
      <c r="B3191" t="s">
        <v>11503</v>
      </c>
      <c r="C3191" t="s">
        <v>12160</v>
      </c>
      <c r="D3191" t="s">
        <v>3275</v>
      </c>
      <c r="E3191" t="s">
        <v>3275</v>
      </c>
      <c r="F3191" t="s">
        <v>3275</v>
      </c>
      <c r="G3191" t="s">
        <v>6261</v>
      </c>
      <c r="H3191" t="s">
        <v>868</v>
      </c>
      <c r="I3191" t="s">
        <v>869</v>
      </c>
      <c r="J3191" t="str">
        <f>"9520030"</f>
        <v>9520030</v>
      </c>
      <c r="K3191">
        <v>2104914718</v>
      </c>
      <c r="L3191">
        <v>2104914754</v>
      </c>
      <c r="M3191" t="s">
        <v>12161</v>
      </c>
      <c r="N3191" t="s">
        <v>3279</v>
      </c>
      <c r="O3191" t="s">
        <v>12162</v>
      </c>
      <c r="P3191">
        <v>18542</v>
      </c>
      <c r="Q3191" t="str">
        <f>"37.964392"</f>
        <v>37.964392</v>
      </c>
      <c r="R3191" t="str">
        <f>"23.653349"</f>
        <v>23.653349</v>
      </c>
      <c r="S3191" t="s">
        <v>26</v>
      </c>
    </row>
    <row r="3192" spans="1:19" x14ac:dyDescent="0.3">
      <c r="A3192" t="s">
        <v>3237</v>
      </c>
      <c r="B3192" t="s">
        <v>11503</v>
      </c>
      <c r="C3192" t="s">
        <v>12163</v>
      </c>
      <c r="D3192" t="s">
        <v>3275</v>
      </c>
      <c r="E3192" t="s">
        <v>3275</v>
      </c>
      <c r="F3192" t="s">
        <v>3275</v>
      </c>
      <c r="G3192" t="s">
        <v>6261</v>
      </c>
      <c r="H3192" t="s">
        <v>868</v>
      </c>
      <c r="I3192" t="s">
        <v>869</v>
      </c>
      <c r="J3192" t="str">
        <f>"9520011"</f>
        <v>9520011</v>
      </c>
      <c r="K3192">
        <v>2104252304</v>
      </c>
      <c r="L3192">
        <v>2110128403</v>
      </c>
      <c r="M3192" t="s">
        <v>12164</v>
      </c>
      <c r="N3192" t="s">
        <v>3279</v>
      </c>
      <c r="O3192" t="s">
        <v>12165</v>
      </c>
      <c r="P3192">
        <v>18542</v>
      </c>
      <c r="Q3192" t="str">
        <f>"37.962368"</f>
        <v>37.962368</v>
      </c>
      <c r="R3192" t="str">
        <f>"23.654241"</f>
        <v>23.654241</v>
      </c>
      <c r="S3192" t="s">
        <v>26</v>
      </c>
    </row>
    <row r="3193" spans="1:19" x14ac:dyDescent="0.3">
      <c r="A3193" t="s">
        <v>3237</v>
      </c>
      <c r="B3193" t="s">
        <v>11503</v>
      </c>
      <c r="C3193" t="s">
        <v>6265</v>
      </c>
      <c r="D3193" t="s">
        <v>3275</v>
      </c>
      <c r="E3193" t="s">
        <v>3275</v>
      </c>
      <c r="F3193" t="s">
        <v>3275</v>
      </c>
      <c r="G3193" t="s">
        <v>6261</v>
      </c>
      <c r="H3193" t="s">
        <v>868</v>
      </c>
      <c r="I3193" t="s">
        <v>869</v>
      </c>
      <c r="J3193" t="str">
        <f>"9520012"</f>
        <v>9520012</v>
      </c>
      <c r="K3193">
        <v>2104812321</v>
      </c>
      <c r="L3193">
        <v>2104812321</v>
      </c>
      <c r="M3193" t="s">
        <v>12166</v>
      </c>
      <c r="N3193" t="s">
        <v>3279</v>
      </c>
      <c r="O3193" t="s">
        <v>11737</v>
      </c>
      <c r="P3193">
        <v>18541</v>
      </c>
      <c r="Q3193" t="str">
        <f>"37.952932"</f>
        <v>37.952932</v>
      </c>
      <c r="R3193" t="str">
        <f>"23.662397"</f>
        <v>23.662397</v>
      </c>
      <c r="S3193" t="s">
        <v>26</v>
      </c>
    </row>
    <row r="3194" spans="1:19" x14ac:dyDescent="0.3">
      <c r="A3194" t="s">
        <v>3237</v>
      </c>
      <c r="B3194" t="s">
        <v>11503</v>
      </c>
      <c r="C3194" t="s">
        <v>6361</v>
      </c>
      <c r="D3194" t="s">
        <v>3275</v>
      </c>
      <c r="E3194" t="s">
        <v>6266</v>
      </c>
      <c r="F3194" t="s">
        <v>5431</v>
      </c>
      <c r="G3194" t="s">
        <v>5431</v>
      </c>
      <c r="H3194" t="s">
        <v>868</v>
      </c>
      <c r="I3194" t="s">
        <v>869</v>
      </c>
      <c r="J3194" t="str">
        <f>"9520301"</f>
        <v>9520301</v>
      </c>
      <c r="K3194">
        <v>2104910187</v>
      </c>
      <c r="L3194">
        <v>2104910187</v>
      </c>
      <c r="M3194" t="s">
        <v>12174</v>
      </c>
      <c r="N3194" t="s">
        <v>6352</v>
      </c>
      <c r="O3194" t="s">
        <v>12175</v>
      </c>
      <c r="P3194">
        <v>18451</v>
      </c>
      <c r="Q3194" t="str">
        <f>"37.970532"</f>
        <v>37.970532</v>
      </c>
      <c r="R3194" t="str">
        <f>"23.637481"</f>
        <v>23.637481</v>
      </c>
      <c r="S3194" t="s">
        <v>26</v>
      </c>
    </row>
    <row r="3195" spans="1:19" x14ac:dyDescent="0.3">
      <c r="A3195" t="s">
        <v>3237</v>
      </c>
      <c r="B3195" t="s">
        <v>11503</v>
      </c>
      <c r="C3195" t="s">
        <v>12176</v>
      </c>
      <c r="D3195" t="s">
        <v>3275</v>
      </c>
      <c r="E3195" t="s">
        <v>3303</v>
      </c>
      <c r="F3195" t="s">
        <v>3303</v>
      </c>
      <c r="G3195" t="s">
        <v>3303</v>
      </c>
      <c r="H3195" t="s">
        <v>868</v>
      </c>
      <c r="I3195" t="s">
        <v>869</v>
      </c>
      <c r="J3195" t="str">
        <f>"9520083"</f>
        <v>9520083</v>
      </c>
      <c r="K3195">
        <v>2105616476</v>
      </c>
      <c r="L3195">
        <v>2105616476</v>
      </c>
      <c r="M3195" t="s">
        <v>12177</v>
      </c>
      <c r="N3195" t="s">
        <v>6249</v>
      </c>
      <c r="O3195" t="s">
        <v>12178</v>
      </c>
      <c r="P3195">
        <v>18121</v>
      </c>
      <c r="Q3195" t="str">
        <f>"37.979545"</f>
        <v>37.979545</v>
      </c>
      <c r="R3195" t="str">
        <f>"23.659763"</f>
        <v>23.659763</v>
      </c>
      <c r="S3195" t="s">
        <v>26</v>
      </c>
    </row>
    <row r="3196" spans="1:19" x14ac:dyDescent="0.3">
      <c r="A3196" t="s">
        <v>3237</v>
      </c>
      <c r="B3196" t="s">
        <v>11503</v>
      </c>
      <c r="C3196" t="s">
        <v>6694</v>
      </c>
      <c r="D3196" t="s">
        <v>3275</v>
      </c>
      <c r="E3196" t="s">
        <v>3275</v>
      </c>
      <c r="F3196" t="s">
        <v>3275</v>
      </c>
      <c r="G3196" t="s">
        <v>6261</v>
      </c>
      <c r="H3196" t="s">
        <v>868</v>
      </c>
      <c r="I3196" t="s">
        <v>869</v>
      </c>
      <c r="J3196" t="str">
        <f>"9520013"</f>
        <v>9520013</v>
      </c>
      <c r="K3196">
        <v>2104127003</v>
      </c>
      <c r="L3196">
        <v>2104121496</v>
      </c>
      <c r="M3196" t="s">
        <v>12187</v>
      </c>
      <c r="N3196" t="s">
        <v>3279</v>
      </c>
      <c r="O3196" t="s">
        <v>12188</v>
      </c>
      <c r="P3196">
        <v>18540</v>
      </c>
      <c r="Q3196" t="str">
        <f>"37.950816"</f>
        <v>37.950816</v>
      </c>
      <c r="R3196" t="str">
        <f>"23.652856"</f>
        <v>23.652856</v>
      </c>
      <c r="S3196" t="s">
        <v>26</v>
      </c>
    </row>
    <row r="3197" spans="1:19" x14ac:dyDescent="0.3">
      <c r="A3197" t="s">
        <v>3237</v>
      </c>
      <c r="B3197" t="s">
        <v>11503</v>
      </c>
      <c r="C3197" t="s">
        <v>12193</v>
      </c>
      <c r="D3197" t="s">
        <v>3275</v>
      </c>
      <c r="E3197" t="s">
        <v>6212</v>
      </c>
      <c r="F3197" t="s">
        <v>6256</v>
      </c>
      <c r="G3197" t="s">
        <v>6256</v>
      </c>
      <c r="H3197" t="s">
        <v>868</v>
      </c>
      <c r="I3197" t="s">
        <v>869</v>
      </c>
      <c r="J3197" t="str">
        <f>"9520457"</f>
        <v>9520457</v>
      </c>
      <c r="K3197">
        <v>2104328468</v>
      </c>
      <c r="M3197" t="s">
        <v>12194</v>
      </c>
      <c r="N3197" t="s">
        <v>6327</v>
      </c>
      <c r="O3197" t="s">
        <v>12195</v>
      </c>
      <c r="P3197">
        <v>18758</v>
      </c>
      <c r="Q3197" t="str">
        <f>"37.975582"</f>
        <v>37.975582</v>
      </c>
      <c r="R3197" t="str">
        <f>"23.624946"</f>
        <v>23.624946</v>
      </c>
      <c r="S3197" t="s">
        <v>26</v>
      </c>
    </row>
    <row r="3198" spans="1:19" x14ac:dyDescent="0.3">
      <c r="A3198" t="s">
        <v>3237</v>
      </c>
      <c r="B3198" t="s">
        <v>11503</v>
      </c>
      <c r="C3198" t="s">
        <v>12203</v>
      </c>
      <c r="D3198" t="s">
        <v>6222</v>
      </c>
      <c r="E3198" t="s">
        <v>6231</v>
      </c>
      <c r="F3198" t="s">
        <v>6238</v>
      </c>
      <c r="G3198" t="s">
        <v>6238</v>
      </c>
      <c r="H3198" t="s">
        <v>868</v>
      </c>
      <c r="I3198" t="s">
        <v>950</v>
      </c>
      <c r="J3198" t="str">
        <f>"9520115"</f>
        <v>9520115</v>
      </c>
      <c r="K3198">
        <v>2298035333</v>
      </c>
      <c r="L3198">
        <v>2298035333</v>
      </c>
      <c r="M3198" t="s">
        <v>12204</v>
      </c>
      <c r="N3198" t="s">
        <v>11974</v>
      </c>
      <c r="O3198" t="s">
        <v>11974</v>
      </c>
      <c r="P3198">
        <v>18020</v>
      </c>
      <c r="Q3198" t="str">
        <f>"37.496478"</f>
        <v>37.496478</v>
      </c>
      <c r="R3198" t="str">
        <f>"23.362728"</f>
        <v>23.362728</v>
      </c>
      <c r="S3198" t="s">
        <v>26</v>
      </c>
    </row>
    <row r="3199" spans="1:19" x14ac:dyDescent="0.3">
      <c r="A3199" t="s">
        <v>3237</v>
      </c>
      <c r="B3199" t="s">
        <v>11503</v>
      </c>
      <c r="C3199" t="s">
        <v>6688</v>
      </c>
      <c r="D3199" t="s">
        <v>6222</v>
      </c>
      <c r="E3199" t="s">
        <v>6576</v>
      </c>
      <c r="F3199" t="s">
        <v>6576</v>
      </c>
      <c r="G3199" t="s">
        <v>6576</v>
      </c>
      <c r="H3199" t="s">
        <v>868</v>
      </c>
      <c r="I3199" t="s">
        <v>869</v>
      </c>
      <c r="J3199" t="str">
        <f>"9520193"</f>
        <v>9520193</v>
      </c>
      <c r="K3199">
        <v>2298022388</v>
      </c>
      <c r="L3199">
        <v>2298022388</v>
      </c>
      <c r="M3199" t="s">
        <v>12205</v>
      </c>
      <c r="N3199" t="s">
        <v>6579</v>
      </c>
      <c r="O3199" t="s">
        <v>12206</v>
      </c>
      <c r="P3199">
        <v>18020</v>
      </c>
      <c r="Q3199" t="str">
        <f>"37.503307"</f>
        <v>37.503307</v>
      </c>
      <c r="R3199" t="str">
        <f>"23.458768"</f>
        <v>23.458768</v>
      </c>
      <c r="S3199" t="s">
        <v>26</v>
      </c>
    </row>
    <row r="3200" spans="1:19" x14ac:dyDescent="0.3">
      <c r="A3200" t="s">
        <v>3237</v>
      </c>
      <c r="B3200" t="s">
        <v>11503</v>
      </c>
      <c r="C3200" t="s">
        <v>12207</v>
      </c>
      <c r="D3200" t="s">
        <v>3275</v>
      </c>
      <c r="E3200" t="s">
        <v>6266</v>
      </c>
      <c r="F3200" t="s">
        <v>5431</v>
      </c>
      <c r="G3200" t="s">
        <v>5431</v>
      </c>
      <c r="H3200" t="s">
        <v>868</v>
      </c>
      <c r="I3200" t="s">
        <v>869</v>
      </c>
      <c r="J3200" t="str">
        <f>"9520096"</f>
        <v>9520096</v>
      </c>
      <c r="K3200">
        <v>2104953025</v>
      </c>
      <c r="L3200">
        <v>2104953025</v>
      </c>
      <c r="M3200" t="s">
        <v>12208</v>
      </c>
      <c r="N3200" t="s">
        <v>6352</v>
      </c>
      <c r="O3200" t="s">
        <v>11593</v>
      </c>
      <c r="P3200">
        <v>18454</v>
      </c>
      <c r="Q3200" t="str">
        <f>"37.972223"</f>
        <v>37.972223</v>
      </c>
      <c r="R3200" t="str">
        <f>"23.657558"</f>
        <v>23.657558</v>
      </c>
      <c r="S3200" t="s">
        <v>26</v>
      </c>
    </row>
    <row r="3201" spans="1:19" x14ac:dyDescent="0.3">
      <c r="A3201" t="s">
        <v>3237</v>
      </c>
      <c r="B3201" t="s">
        <v>11503</v>
      </c>
      <c r="C3201" t="s">
        <v>6306</v>
      </c>
      <c r="D3201" t="s">
        <v>3275</v>
      </c>
      <c r="E3201" t="s">
        <v>3275</v>
      </c>
      <c r="F3201" t="s">
        <v>3275</v>
      </c>
      <c r="G3201" t="s">
        <v>6261</v>
      </c>
      <c r="H3201" t="s">
        <v>868</v>
      </c>
      <c r="I3201" t="s">
        <v>869</v>
      </c>
      <c r="J3201" t="str">
        <f>"9520015"</f>
        <v>9520015</v>
      </c>
      <c r="K3201">
        <v>2104813619</v>
      </c>
      <c r="L3201">
        <v>2104813619</v>
      </c>
      <c r="M3201" t="s">
        <v>12209</v>
      </c>
      <c r="N3201" t="s">
        <v>3279</v>
      </c>
      <c r="O3201" t="s">
        <v>12210</v>
      </c>
      <c r="P3201">
        <v>18541</v>
      </c>
      <c r="Q3201" t="str">
        <f>"37.953378"</f>
        <v>37.953378</v>
      </c>
      <c r="R3201" t="str">
        <f>"23.663502"</f>
        <v>23.663502</v>
      </c>
      <c r="S3201" t="s">
        <v>26</v>
      </c>
    </row>
    <row r="3202" spans="1:19" x14ac:dyDescent="0.3">
      <c r="A3202" t="s">
        <v>3237</v>
      </c>
      <c r="B3202" t="s">
        <v>11503</v>
      </c>
      <c r="C3202" t="s">
        <v>12211</v>
      </c>
      <c r="D3202" t="s">
        <v>3275</v>
      </c>
      <c r="E3202" t="s">
        <v>6266</v>
      </c>
      <c r="F3202" t="s">
        <v>5431</v>
      </c>
      <c r="G3202" t="s">
        <v>5431</v>
      </c>
      <c r="H3202" t="s">
        <v>868</v>
      </c>
      <c r="I3202" t="s">
        <v>869</v>
      </c>
      <c r="J3202" t="str">
        <f>"9520453"</f>
        <v>9520453</v>
      </c>
      <c r="K3202">
        <v>2104903030</v>
      </c>
      <c r="L3202">
        <v>2104903030</v>
      </c>
      <c r="M3202" t="s">
        <v>12212</v>
      </c>
      <c r="N3202" t="s">
        <v>6352</v>
      </c>
      <c r="O3202" t="s">
        <v>12213</v>
      </c>
      <c r="P3202">
        <v>18452</v>
      </c>
      <c r="Q3202" t="str">
        <f>"37.980626"</f>
        <v>37.980626</v>
      </c>
      <c r="R3202" t="str">
        <f>"23.635834"</f>
        <v>23.635834</v>
      </c>
      <c r="S3202" t="s">
        <v>26</v>
      </c>
    </row>
    <row r="3203" spans="1:19" x14ac:dyDescent="0.3">
      <c r="A3203" t="s">
        <v>3237</v>
      </c>
      <c r="B3203" t="s">
        <v>11503</v>
      </c>
      <c r="C3203" t="s">
        <v>6554</v>
      </c>
      <c r="D3203" t="s">
        <v>3275</v>
      </c>
      <c r="E3203" t="s">
        <v>3275</v>
      </c>
      <c r="F3203" t="s">
        <v>3275</v>
      </c>
      <c r="G3203" t="s">
        <v>6261</v>
      </c>
      <c r="H3203" t="s">
        <v>868</v>
      </c>
      <c r="I3203" t="s">
        <v>869</v>
      </c>
      <c r="J3203" t="str">
        <f>"9520016"</f>
        <v>9520016</v>
      </c>
      <c r="K3203">
        <v>2104203006</v>
      </c>
      <c r="L3203">
        <v>2104203569</v>
      </c>
      <c r="M3203" t="s">
        <v>12214</v>
      </c>
      <c r="N3203" t="s">
        <v>3279</v>
      </c>
      <c r="O3203" t="s">
        <v>12215</v>
      </c>
      <c r="P3203">
        <v>18543</v>
      </c>
      <c r="Q3203" t="str">
        <f>"37.957966"</f>
        <v>37.957966</v>
      </c>
      <c r="R3203" t="str">
        <f>"23.652573"</f>
        <v>23.652573</v>
      </c>
      <c r="S3203" t="s">
        <v>26</v>
      </c>
    </row>
    <row r="3204" spans="1:19" x14ac:dyDescent="0.3">
      <c r="A3204" t="s">
        <v>3237</v>
      </c>
      <c r="B3204" t="s">
        <v>11503</v>
      </c>
      <c r="C3204" t="s">
        <v>12216</v>
      </c>
      <c r="D3204" t="s">
        <v>3275</v>
      </c>
      <c r="E3204" t="s">
        <v>6266</v>
      </c>
      <c r="F3204" t="s">
        <v>5431</v>
      </c>
      <c r="G3204" t="s">
        <v>5431</v>
      </c>
      <c r="H3204" t="s">
        <v>868</v>
      </c>
      <c r="I3204" t="s">
        <v>869</v>
      </c>
      <c r="J3204" t="str">
        <f>"9520454"</f>
        <v>9520454</v>
      </c>
      <c r="K3204">
        <v>2104962666</v>
      </c>
      <c r="L3204">
        <v>2104962666</v>
      </c>
      <c r="M3204" t="s">
        <v>12217</v>
      </c>
      <c r="N3204" t="s">
        <v>12218</v>
      </c>
      <c r="O3204" t="s">
        <v>12219</v>
      </c>
      <c r="P3204">
        <v>18452</v>
      </c>
      <c r="Q3204" t="str">
        <f>"37.986441"</f>
        <v>37.986441</v>
      </c>
      <c r="R3204" t="str">
        <f>"23.634184"</f>
        <v>23.634184</v>
      </c>
      <c r="S3204" t="s">
        <v>26</v>
      </c>
    </row>
    <row r="3205" spans="1:19" x14ac:dyDescent="0.3">
      <c r="A3205" t="s">
        <v>3237</v>
      </c>
      <c r="B3205" t="s">
        <v>11503</v>
      </c>
      <c r="C3205" t="s">
        <v>6473</v>
      </c>
      <c r="D3205" t="s">
        <v>3275</v>
      </c>
      <c r="E3205" t="s">
        <v>6266</v>
      </c>
      <c r="F3205" t="s">
        <v>5431</v>
      </c>
      <c r="G3205" t="s">
        <v>5431</v>
      </c>
      <c r="H3205" t="s">
        <v>868</v>
      </c>
      <c r="I3205" t="s">
        <v>869</v>
      </c>
      <c r="J3205" t="str">
        <f>"9520099"</f>
        <v>9520099</v>
      </c>
      <c r="K3205">
        <v>2104972023</v>
      </c>
      <c r="L3205">
        <v>2104972023</v>
      </c>
      <c r="M3205" t="s">
        <v>12220</v>
      </c>
      <c r="N3205" t="s">
        <v>12221</v>
      </c>
      <c r="O3205" t="s">
        <v>12222</v>
      </c>
      <c r="P3205">
        <v>18452</v>
      </c>
      <c r="Q3205" t="str">
        <f>"37.987354"</f>
        <v>37.987354</v>
      </c>
      <c r="R3205" t="str">
        <f>"23.632436"</f>
        <v>23.632436</v>
      </c>
      <c r="S3205" t="s">
        <v>26</v>
      </c>
    </row>
    <row r="3206" spans="1:19" x14ac:dyDescent="0.3">
      <c r="A3206" t="s">
        <v>3237</v>
      </c>
      <c r="B3206" t="s">
        <v>11503</v>
      </c>
      <c r="C3206" t="s">
        <v>12223</v>
      </c>
      <c r="D3206" t="s">
        <v>3275</v>
      </c>
      <c r="E3206" t="s">
        <v>3275</v>
      </c>
      <c r="F3206" t="s">
        <v>3275</v>
      </c>
      <c r="G3206" t="s">
        <v>6261</v>
      </c>
      <c r="H3206" t="s">
        <v>868</v>
      </c>
      <c r="I3206" t="s">
        <v>869</v>
      </c>
      <c r="J3206" t="str">
        <f>"9520028"</f>
        <v>9520028</v>
      </c>
      <c r="K3206">
        <v>2104209616</v>
      </c>
      <c r="L3206">
        <v>2110128390</v>
      </c>
      <c r="M3206" t="s">
        <v>12224</v>
      </c>
      <c r="N3206" t="s">
        <v>3279</v>
      </c>
      <c r="O3206" t="s">
        <v>12225</v>
      </c>
      <c r="P3206">
        <v>18541</v>
      </c>
      <c r="Q3206" t="str">
        <f>"37.957618"</f>
        <v>37.957618</v>
      </c>
      <c r="R3206" t="str">
        <f>"23.659767"</f>
        <v>23.659767</v>
      </c>
      <c r="S3206" t="s">
        <v>26</v>
      </c>
    </row>
    <row r="3207" spans="1:19" x14ac:dyDescent="0.3">
      <c r="A3207" t="s">
        <v>3237</v>
      </c>
      <c r="B3207" t="s">
        <v>11503</v>
      </c>
      <c r="C3207" t="s">
        <v>12226</v>
      </c>
      <c r="D3207" t="s">
        <v>6222</v>
      </c>
      <c r="E3207" t="s">
        <v>6223</v>
      </c>
      <c r="F3207" t="s">
        <v>6229</v>
      </c>
      <c r="G3207" t="s">
        <v>6223</v>
      </c>
      <c r="H3207" t="s">
        <v>868</v>
      </c>
      <c r="I3207" t="s">
        <v>869</v>
      </c>
      <c r="J3207" t="str">
        <f>"9520191"</f>
        <v>9520191</v>
      </c>
      <c r="K3207">
        <v>2104677280</v>
      </c>
      <c r="L3207">
        <v>2104677280</v>
      </c>
      <c r="M3207" t="s">
        <v>12227</v>
      </c>
      <c r="N3207" t="s">
        <v>12228</v>
      </c>
      <c r="O3207" t="s">
        <v>12229</v>
      </c>
      <c r="P3207">
        <v>18901</v>
      </c>
      <c r="Q3207" t="str">
        <f>"37.959114"</f>
        <v>37.959114</v>
      </c>
      <c r="R3207" t="str">
        <f>"23.520315"</f>
        <v>23.520315</v>
      </c>
      <c r="S3207" t="s">
        <v>26</v>
      </c>
    </row>
    <row r="3208" spans="1:19" x14ac:dyDescent="0.3">
      <c r="A3208" t="s">
        <v>3237</v>
      </c>
      <c r="B3208" t="s">
        <v>11503</v>
      </c>
      <c r="C3208" t="s">
        <v>12230</v>
      </c>
      <c r="D3208" t="s">
        <v>3275</v>
      </c>
      <c r="E3208" t="s">
        <v>3275</v>
      </c>
      <c r="F3208" t="s">
        <v>3275</v>
      </c>
      <c r="G3208" t="s">
        <v>6261</v>
      </c>
      <c r="H3208" t="s">
        <v>868</v>
      </c>
      <c r="I3208" t="s">
        <v>869</v>
      </c>
      <c r="J3208" t="str">
        <f>"9520333"</f>
        <v>9520333</v>
      </c>
      <c r="K3208">
        <v>2104209506</v>
      </c>
      <c r="L3208">
        <v>2110128391</v>
      </c>
      <c r="M3208" t="s">
        <v>12231</v>
      </c>
      <c r="N3208" t="s">
        <v>3279</v>
      </c>
      <c r="O3208" t="s">
        <v>12232</v>
      </c>
      <c r="P3208">
        <v>18541</v>
      </c>
      <c r="Q3208" t="str">
        <f>"37.957417"</f>
        <v>37.957417</v>
      </c>
      <c r="R3208" t="str">
        <f>"23.660135"</f>
        <v>23.660135</v>
      </c>
      <c r="S3208" t="s">
        <v>26</v>
      </c>
    </row>
    <row r="3209" spans="1:19" x14ac:dyDescent="0.3">
      <c r="A3209" t="s">
        <v>3237</v>
      </c>
      <c r="B3209" t="s">
        <v>11503</v>
      </c>
      <c r="C3209" t="s">
        <v>12234</v>
      </c>
      <c r="D3209" t="s">
        <v>6222</v>
      </c>
      <c r="E3209" t="s">
        <v>6223</v>
      </c>
      <c r="F3209" t="s">
        <v>6224</v>
      </c>
      <c r="G3209" t="s">
        <v>12233</v>
      </c>
      <c r="H3209" t="s">
        <v>868</v>
      </c>
      <c r="I3209" t="s">
        <v>869</v>
      </c>
      <c r="J3209" t="str">
        <f>"9520192"</f>
        <v>9520192</v>
      </c>
      <c r="K3209">
        <v>2104671630</v>
      </c>
      <c r="L3209">
        <v>2104671630</v>
      </c>
      <c r="M3209" t="s">
        <v>12235</v>
      </c>
      <c r="N3209" t="s">
        <v>12236</v>
      </c>
      <c r="O3209" t="s">
        <v>12237</v>
      </c>
      <c r="P3209">
        <v>18902</v>
      </c>
      <c r="Q3209" t="str">
        <f>"37.934535"</f>
        <v>37.934535</v>
      </c>
      <c r="R3209" t="str">
        <f>"23.532490"</f>
        <v>23.532490</v>
      </c>
      <c r="S3209" t="s">
        <v>26</v>
      </c>
    </row>
    <row r="3210" spans="1:19" x14ac:dyDescent="0.3">
      <c r="A3210" t="s">
        <v>3237</v>
      </c>
      <c r="B3210" t="s">
        <v>11503</v>
      </c>
      <c r="C3210" t="s">
        <v>12238</v>
      </c>
      <c r="D3210" t="s">
        <v>3275</v>
      </c>
      <c r="E3210" t="s">
        <v>6212</v>
      </c>
      <c r="F3210" t="s">
        <v>6256</v>
      </c>
      <c r="G3210" t="s">
        <v>6256</v>
      </c>
      <c r="H3210" t="s">
        <v>868</v>
      </c>
      <c r="I3210" t="s">
        <v>869</v>
      </c>
      <c r="J3210" t="str">
        <f>"9520077"</f>
        <v>9520077</v>
      </c>
      <c r="K3210">
        <v>2104006548</v>
      </c>
      <c r="L3210">
        <v>2104006548</v>
      </c>
      <c r="M3210" t="s">
        <v>12239</v>
      </c>
      <c r="N3210" t="s">
        <v>6327</v>
      </c>
      <c r="O3210" t="s">
        <v>12240</v>
      </c>
      <c r="P3210">
        <v>18755</v>
      </c>
      <c r="Q3210" t="str">
        <f>"37.955912"</f>
        <v>37.955912</v>
      </c>
      <c r="R3210" t="str">
        <f>"23.617405"</f>
        <v>23.617405</v>
      </c>
      <c r="S3210" t="s">
        <v>26</v>
      </c>
    </row>
    <row r="3211" spans="1:19" x14ac:dyDescent="0.3">
      <c r="A3211" t="s">
        <v>3237</v>
      </c>
      <c r="B3211" t="s">
        <v>11503</v>
      </c>
      <c r="C3211" t="s">
        <v>12241</v>
      </c>
      <c r="D3211" t="s">
        <v>6222</v>
      </c>
      <c r="E3211" t="s">
        <v>6223</v>
      </c>
      <c r="F3211" t="s">
        <v>6229</v>
      </c>
      <c r="G3211" t="s">
        <v>6223</v>
      </c>
      <c r="H3211" t="s">
        <v>868</v>
      </c>
      <c r="I3211" t="s">
        <v>869</v>
      </c>
      <c r="J3211" t="str">
        <f>"9520404"</f>
        <v>9520404</v>
      </c>
      <c r="K3211">
        <v>2104685997</v>
      </c>
      <c r="L3211">
        <v>2104685908</v>
      </c>
      <c r="M3211" t="s">
        <v>12242</v>
      </c>
      <c r="N3211" t="s">
        <v>12243</v>
      </c>
      <c r="O3211" t="s">
        <v>12244</v>
      </c>
      <c r="P3211">
        <v>18900</v>
      </c>
      <c r="Q3211" t="str">
        <f>"37.983309"</f>
        <v>37.983309</v>
      </c>
      <c r="R3211" t="str">
        <f>"23.478483"</f>
        <v>23.478483</v>
      </c>
      <c r="S3211" t="s">
        <v>26</v>
      </c>
    </row>
    <row r="3212" spans="1:19" x14ac:dyDescent="0.3">
      <c r="A3212" t="s">
        <v>3237</v>
      </c>
      <c r="B3212" t="s">
        <v>11503</v>
      </c>
      <c r="C3212" t="s">
        <v>12245</v>
      </c>
      <c r="D3212" t="s">
        <v>3275</v>
      </c>
      <c r="E3212" t="s">
        <v>6212</v>
      </c>
      <c r="F3212" t="s">
        <v>6256</v>
      </c>
      <c r="G3212" t="s">
        <v>6256</v>
      </c>
      <c r="H3212" t="s">
        <v>868</v>
      </c>
      <c r="I3212" t="s">
        <v>869</v>
      </c>
      <c r="J3212" t="str">
        <f>"9520182"</f>
        <v>9520182</v>
      </c>
      <c r="K3212">
        <v>2104314558</v>
      </c>
      <c r="L3212">
        <v>2104314558</v>
      </c>
      <c r="M3212" t="s">
        <v>12246</v>
      </c>
      <c r="N3212" t="s">
        <v>6327</v>
      </c>
      <c r="O3212" t="s">
        <v>11548</v>
      </c>
      <c r="P3212">
        <v>18757</v>
      </c>
      <c r="Q3212" t="str">
        <f>"37.968224"</f>
        <v>37.968224</v>
      </c>
      <c r="R3212" t="str">
        <f>"23.621176"</f>
        <v>23.621176</v>
      </c>
      <c r="S3212" t="s">
        <v>26</v>
      </c>
    </row>
    <row r="3213" spans="1:19" x14ac:dyDescent="0.3">
      <c r="A3213" t="s">
        <v>3237</v>
      </c>
      <c r="B3213" t="s">
        <v>11503</v>
      </c>
      <c r="C3213" t="s">
        <v>6298</v>
      </c>
      <c r="D3213" t="s">
        <v>3275</v>
      </c>
      <c r="E3213" t="s">
        <v>6212</v>
      </c>
      <c r="F3213" t="s">
        <v>6256</v>
      </c>
      <c r="G3213" t="s">
        <v>6256</v>
      </c>
      <c r="H3213" t="s">
        <v>868</v>
      </c>
      <c r="I3213" t="s">
        <v>869</v>
      </c>
      <c r="J3213" t="str">
        <f>"9520074"</f>
        <v>9520074</v>
      </c>
      <c r="K3213">
        <v>2104006303</v>
      </c>
      <c r="L3213">
        <v>2104006303</v>
      </c>
      <c r="M3213" t="s">
        <v>12249</v>
      </c>
      <c r="N3213" t="s">
        <v>6327</v>
      </c>
      <c r="O3213" t="s">
        <v>11568</v>
      </c>
      <c r="P3213">
        <v>18755</v>
      </c>
      <c r="Q3213" t="str">
        <f>"37.952688"</f>
        <v>37.952688</v>
      </c>
      <c r="R3213" t="str">
        <f>"23.622280"</f>
        <v>23.622280</v>
      </c>
      <c r="S3213" t="s">
        <v>26</v>
      </c>
    </row>
    <row r="3214" spans="1:19" x14ac:dyDescent="0.3">
      <c r="A3214" t="s">
        <v>3237</v>
      </c>
      <c r="B3214" t="s">
        <v>11503</v>
      </c>
      <c r="C3214" t="s">
        <v>6344</v>
      </c>
      <c r="D3214" t="s">
        <v>3275</v>
      </c>
      <c r="E3214" t="s">
        <v>3275</v>
      </c>
      <c r="F3214" t="s">
        <v>3275</v>
      </c>
      <c r="G3214" t="s">
        <v>6193</v>
      </c>
      <c r="H3214" t="s">
        <v>868</v>
      </c>
      <c r="I3214" t="s">
        <v>869</v>
      </c>
      <c r="J3214" t="str">
        <f>"9520151"</f>
        <v>9520151</v>
      </c>
      <c r="K3214">
        <v>2104613836</v>
      </c>
      <c r="L3214">
        <v>2104613836</v>
      </c>
      <c r="M3214" t="s">
        <v>12250</v>
      </c>
      <c r="N3214" t="s">
        <v>3279</v>
      </c>
      <c r="O3214" t="s">
        <v>12251</v>
      </c>
      <c r="P3214">
        <v>18546</v>
      </c>
      <c r="Q3214" t="str">
        <f>"37.957588"</f>
        <v>37.957588</v>
      </c>
      <c r="R3214" t="str">
        <f>"23.633227"</f>
        <v>23.633227</v>
      </c>
      <c r="S3214" t="s">
        <v>26</v>
      </c>
    </row>
    <row r="3215" spans="1:19" x14ac:dyDescent="0.3">
      <c r="A3215" t="s">
        <v>3237</v>
      </c>
      <c r="B3215" t="s">
        <v>11503</v>
      </c>
      <c r="C3215" t="s">
        <v>12252</v>
      </c>
      <c r="D3215" t="s">
        <v>3275</v>
      </c>
      <c r="E3215" t="s">
        <v>6212</v>
      </c>
      <c r="F3215" t="s">
        <v>6256</v>
      </c>
      <c r="G3215" t="s">
        <v>6256</v>
      </c>
      <c r="H3215" t="s">
        <v>868</v>
      </c>
      <c r="I3215" t="s">
        <v>869</v>
      </c>
      <c r="J3215" t="str">
        <f>"9520181"</f>
        <v>9520181</v>
      </c>
      <c r="K3215">
        <v>2104314554</v>
      </c>
      <c r="L3215">
        <v>2104314554</v>
      </c>
      <c r="M3215" t="s">
        <v>12253</v>
      </c>
      <c r="N3215" t="s">
        <v>6327</v>
      </c>
      <c r="O3215" t="s">
        <v>12254</v>
      </c>
      <c r="P3215">
        <v>18758</v>
      </c>
      <c r="Q3215" t="str">
        <f>"37.971936"</f>
        <v>37.971936</v>
      </c>
      <c r="R3215" t="str">
        <f>"23.620674"</f>
        <v>23.620674</v>
      </c>
      <c r="S3215" t="s">
        <v>26</v>
      </c>
    </row>
    <row r="3216" spans="1:19" x14ac:dyDescent="0.3">
      <c r="A3216" t="s">
        <v>3237</v>
      </c>
      <c r="B3216" t="s">
        <v>11503</v>
      </c>
      <c r="C3216" t="s">
        <v>12255</v>
      </c>
      <c r="D3216" t="s">
        <v>6222</v>
      </c>
      <c r="E3216" t="s">
        <v>6231</v>
      </c>
      <c r="F3216" t="s">
        <v>6238</v>
      </c>
      <c r="G3216" t="s">
        <v>11980</v>
      </c>
      <c r="H3216" t="s">
        <v>868</v>
      </c>
      <c r="I3216" t="s">
        <v>950</v>
      </c>
      <c r="J3216" t="str">
        <f>"9520110"</f>
        <v>9520110</v>
      </c>
      <c r="K3216">
        <v>2298031161</v>
      </c>
      <c r="L3216">
        <v>2298031161</v>
      </c>
      <c r="M3216" t="s">
        <v>12256</v>
      </c>
      <c r="N3216" t="s">
        <v>11984</v>
      </c>
      <c r="O3216" t="s">
        <v>11984</v>
      </c>
      <c r="P3216">
        <v>18020</v>
      </c>
      <c r="Q3216" t="str">
        <f>"37.539228"</f>
        <v>37.539228</v>
      </c>
      <c r="R3216" t="str">
        <f>"23.287800"</f>
        <v>23.287800</v>
      </c>
      <c r="S3216" t="s">
        <v>26</v>
      </c>
    </row>
    <row r="3217" spans="1:19" x14ac:dyDescent="0.3">
      <c r="A3217" t="s">
        <v>3237</v>
      </c>
      <c r="B3217" t="s">
        <v>11503</v>
      </c>
      <c r="C3217" t="s">
        <v>12257</v>
      </c>
      <c r="D3217" t="s">
        <v>3275</v>
      </c>
      <c r="E3217" t="s">
        <v>6212</v>
      </c>
      <c r="F3217" t="s">
        <v>6256</v>
      </c>
      <c r="G3217" t="s">
        <v>6256</v>
      </c>
      <c r="H3217" t="s">
        <v>868</v>
      </c>
      <c r="I3217" t="s">
        <v>869</v>
      </c>
      <c r="J3217" t="str">
        <f>"9520176"</f>
        <v>9520176</v>
      </c>
      <c r="K3217">
        <v>2104313244</v>
      </c>
      <c r="L3217">
        <v>2104313244</v>
      </c>
      <c r="M3217" t="s">
        <v>12258</v>
      </c>
      <c r="N3217" t="s">
        <v>6737</v>
      </c>
      <c r="O3217" t="s">
        <v>9664</v>
      </c>
      <c r="P3217">
        <v>18756</v>
      </c>
      <c r="Q3217" t="str">
        <f>"37.961997"</f>
        <v>37.961997</v>
      </c>
      <c r="R3217" t="str">
        <f>"23.615109"</f>
        <v>23.615109</v>
      </c>
      <c r="S3217" t="s">
        <v>26</v>
      </c>
    </row>
    <row r="3218" spans="1:19" x14ac:dyDescent="0.3">
      <c r="A3218" t="s">
        <v>3237</v>
      </c>
      <c r="B3218" t="s">
        <v>11503</v>
      </c>
      <c r="C3218" t="s">
        <v>12259</v>
      </c>
      <c r="D3218" t="s">
        <v>3275</v>
      </c>
      <c r="E3218" t="s">
        <v>6212</v>
      </c>
      <c r="F3218" t="s">
        <v>6256</v>
      </c>
      <c r="G3218" t="s">
        <v>6256</v>
      </c>
      <c r="H3218" t="s">
        <v>868</v>
      </c>
      <c r="I3218" t="s">
        <v>869</v>
      </c>
      <c r="J3218" t="str">
        <f>"9520059"</f>
        <v>9520059</v>
      </c>
      <c r="K3218">
        <v>2104321011</v>
      </c>
      <c r="L3218">
        <v>2104321011</v>
      </c>
      <c r="M3218" t="s">
        <v>12260</v>
      </c>
      <c r="N3218" t="s">
        <v>6327</v>
      </c>
      <c r="O3218" t="s">
        <v>12261</v>
      </c>
      <c r="P3218">
        <v>18755</v>
      </c>
      <c r="Q3218" t="str">
        <f>"37.954680"</f>
        <v>37.954680</v>
      </c>
      <c r="R3218" t="str">
        <f>"23.622065"</f>
        <v>23.622065</v>
      </c>
      <c r="S3218" t="s">
        <v>26</v>
      </c>
    </row>
    <row r="3219" spans="1:19" x14ac:dyDescent="0.3">
      <c r="A3219" t="s">
        <v>3237</v>
      </c>
      <c r="B3219" t="s">
        <v>11503</v>
      </c>
      <c r="C3219" t="s">
        <v>12262</v>
      </c>
      <c r="D3219" t="s">
        <v>3275</v>
      </c>
      <c r="E3219" t="s">
        <v>6212</v>
      </c>
      <c r="F3219" t="s">
        <v>6256</v>
      </c>
      <c r="G3219" t="s">
        <v>6256</v>
      </c>
      <c r="H3219" t="s">
        <v>868</v>
      </c>
      <c r="I3219" t="s">
        <v>869</v>
      </c>
      <c r="J3219" t="str">
        <f>"9520343"</f>
        <v>9520343</v>
      </c>
      <c r="K3219">
        <v>2104312402</v>
      </c>
      <c r="L3219">
        <v>2104312402</v>
      </c>
      <c r="M3219" t="s">
        <v>12263</v>
      </c>
      <c r="N3219" t="s">
        <v>6327</v>
      </c>
      <c r="O3219" t="s">
        <v>12264</v>
      </c>
      <c r="P3219">
        <v>18756</v>
      </c>
      <c r="Q3219" t="str">
        <f>"37.963375"</f>
        <v>37.963375</v>
      </c>
      <c r="R3219" t="str">
        <f>"23.622463"</f>
        <v>23.622463</v>
      </c>
      <c r="S3219" t="s">
        <v>26</v>
      </c>
    </row>
    <row r="3220" spans="1:19" x14ac:dyDescent="0.3">
      <c r="A3220" t="s">
        <v>3237</v>
      </c>
      <c r="B3220" t="s">
        <v>11503</v>
      </c>
      <c r="C3220" t="s">
        <v>12265</v>
      </c>
      <c r="D3220" t="s">
        <v>3275</v>
      </c>
      <c r="E3220" t="s">
        <v>6212</v>
      </c>
      <c r="F3220" t="s">
        <v>6256</v>
      </c>
      <c r="G3220" t="s">
        <v>6256</v>
      </c>
      <c r="H3220" t="s">
        <v>868</v>
      </c>
      <c r="I3220" t="s">
        <v>869</v>
      </c>
      <c r="J3220" t="str">
        <f>"9520302"</f>
        <v>9520302</v>
      </c>
      <c r="K3220">
        <v>2104319690</v>
      </c>
      <c r="L3220">
        <v>2104327396</v>
      </c>
      <c r="M3220" t="s">
        <v>12266</v>
      </c>
      <c r="N3220" t="s">
        <v>6327</v>
      </c>
      <c r="O3220" t="s">
        <v>12267</v>
      </c>
      <c r="P3220">
        <v>18757</v>
      </c>
      <c r="Q3220" t="str">
        <f>"37.973898"</f>
        <v>37.973898</v>
      </c>
      <c r="R3220" t="str">
        <f>"23.627108"</f>
        <v>23.627108</v>
      </c>
      <c r="S3220" t="s">
        <v>26</v>
      </c>
    </row>
    <row r="3221" spans="1:19" x14ac:dyDescent="0.3">
      <c r="A3221" t="s">
        <v>3237</v>
      </c>
      <c r="B3221" t="s">
        <v>11503</v>
      </c>
      <c r="C3221" t="s">
        <v>12268</v>
      </c>
      <c r="D3221" t="s">
        <v>3275</v>
      </c>
      <c r="E3221" t="s">
        <v>6203</v>
      </c>
      <c r="F3221" t="s">
        <v>6203</v>
      </c>
      <c r="G3221" t="s">
        <v>6203</v>
      </c>
      <c r="H3221" t="s">
        <v>868</v>
      </c>
      <c r="I3221" t="s">
        <v>1157</v>
      </c>
      <c r="J3221" t="str">
        <f>"9520336"</f>
        <v>9520336</v>
      </c>
      <c r="K3221">
        <v>2104415600</v>
      </c>
      <c r="L3221">
        <v>2104022100</v>
      </c>
      <c r="M3221" t="s">
        <v>12269</v>
      </c>
      <c r="N3221" t="s">
        <v>1291</v>
      </c>
      <c r="O3221" t="s">
        <v>10992</v>
      </c>
      <c r="P3221">
        <v>18863</v>
      </c>
      <c r="Q3221" t="str">
        <f>"37.965857"</f>
        <v>37.965857</v>
      </c>
      <c r="R3221" t="str">
        <f>"23.564866"</f>
        <v>23.564866</v>
      </c>
      <c r="S3221" t="s">
        <v>26</v>
      </c>
    </row>
    <row r="3222" spans="1:19" x14ac:dyDescent="0.3">
      <c r="A3222" t="s">
        <v>3237</v>
      </c>
      <c r="B3222" t="s">
        <v>11503</v>
      </c>
      <c r="C3222" t="s">
        <v>6431</v>
      </c>
      <c r="D3222" t="s">
        <v>3275</v>
      </c>
      <c r="E3222" t="s">
        <v>6212</v>
      </c>
      <c r="F3222" t="s">
        <v>6256</v>
      </c>
      <c r="G3222" t="s">
        <v>6256</v>
      </c>
      <c r="H3222" t="s">
        <v>868</v>
      </c>
      <c r="I3222" t="s">
        <v>869</v>
      </c>
      <c r="J3222" t="str">
        <f>"9520177"</f>
        <v>9520177</v>
      </c>
      <c r="K3222">
        <v>2104316757</v>
      </c>
      <c r="L3222">
        <v>2014316757</v>
      </c>
      <c r="M3222" t="s">
        <v>12270</v>
      </c>
      <c r="N3222" t="s">
        <v>6256</v>
      </c>
      <c r="O3222" t="s">
        <v>12271</v>
      </c>
      <c r="P3222">
        <v>18758</v>
      </c>
      <c r="Q3222" t="str">
        <f>"37.966978"</f>
        <v>37.966978</v>
      </c>
      <c r="R3222" t="str">
        <f>"23.610117"</f>
        <v>23.610117</v>
      </c>
      <c r="S3222" t="s">
        <v>26</v>
      </c>
    </row>
    <row r="3223" spans="1:19" x14ac:dyDescent="0.3">
      <c r="A3223" t="s">
        <v>3237</v>
      </c>
      <c r="B3223" t="s">
        <v>11503</v>
      </c>
      <c r="C3223" t="s">
        <v>12272</v>
      </c>
      <c r="D3223" t="s">
        <v>3275</v>
      </c>
      <c r="E3223" t="s">
        <v>6212</v>
      </c>
      <c r="F3223" t="s">
        <v>6256</v>
      </c>
      <c r="G3223" t="s">
        <v>6256</v>
      </c>
      <c r="H3223" t="s">
        <v>868</v>
      </c>
      <c r="I3223" t="s">
        <v>869</v>
      </c>
      <c r="J3223" t="str">
        <f>"9520388"</f>
        <v>9520388</v>
      </c>
      <c r="K3223">
        <v>2104002415</v>
      </c>
      <c r="L3223">
        <v>2104326361</v>
      </c>
      <c r="M3223" t="s">
        <v>12273</v>
      </c>
      <c r="N3223" t="s">
        <v>6327</v>
      </c>
      <c r="O3223" t="s">
        <v>12274</v>
      </c>
      <c r="P3223">
        <v>18758</v>
      </c>
      <c r="Q3223" t="str">
        <f>"37.973140"</f>
        <v>37.973140</v>
      </c>
      <c r="R3223" t="str">
        <f>"23.616077"</f>
        <v>23.616077</v>
      </c>
      <c r="S3223" t="s">
        <v>26</v>
      </c>
    </row>
    <row r="3224" spans="1:19" x14ac:dyDescent="0.3">
      <c r="A3224" t="s">
        <v>3237</v>
      </c>
      <c r="B3224" t="s">
        <v>11503</v>
      </c>
      <c r="C3224" t="s">
        <v>6485</v>
      </c>
      <c r="D3224" t="s">
        <v>3275</v>
      </c>
      <c r="E3224" t="s">
        <v>6212</v>
      </c>
      <c r="F3224" t="s">
        <v>6256</v>
      </c>
      <c r="G3224" t="s">
        <v>6256</v>
      </c>
      <c r="H3224" t="s">
        <v>868</v>
      </c>
      <c r="I3224" t="s">
        <v>869</v>
      </c>
      <c r="J3224" t="str">
        <f>"9520058"</f>
        <v>9520058</v>
      </c>
      <c r="K3224">
        <v>2104612287</v>
      </c>
      <c r="L3224">
        <v>2104612287</v>
      </c>
      <c r="M3224" t="s">
        <v>12277</v>
      </c>
      <c r="N3224" t="s">
        <v>6327</v>
      </c>
      <c r="O3224" t="s">
        <v>12278</v>
      </c>
      <c r="P3224">
        <v>18756</v>
      </c>
      <c r="Q3224" t="str">
        <f>"37.962857"</f>
        <v>37.962857</v>
      </c>
      <c r="R3224" t="str">
        <f>"23.626344"</f>
        <v>23.626344</v>
      </c>
      <c r="S3224" t="s">
        <v>26</v>
      </c>
    </row>
    <row r="3225" spans="1:19" x14ac:dyDescent="0.3">
      <c r="A3225" t="s">
        <v>3237</v>
      </c>
      <c r="B3225" t="s">
        <v>11503</v>
      </c>
      <c r="C3225" t="s">
        <v>12282</v>
      </c>
      <c r="D3225" t="s">
        <v>3275</v>
      </c>
      <c r="E3225" t="s">
        <v>3275</v>
      </c>
      <c r="F3225" t="s">
        <v>3275</v>
      </c>
      <c r="G3225" t="s">
        <v>3276</v>
      </c>
      <c r="H3225" t="s">
        <v>868</v>
      </c>
      <c r="I3225" t="s">
        <v>869</v>
      </c>
      <c r="J3225" t="str">
        <f>"9520070"</f>
        <v>9520070</v>
      </c>
      <c r="K3225">
        <v>2104514589</v>
      </c>
      <c r="L3225">
        <v>2104514589</v>
      </c>
      <c r="M3225" t="s">
        <v>12283</v>
      </c>
      <c r="N3225" t="s">
        <v>3279</v>
      </c>
      <c r="O3225" t="s">
        <v>12284</v>
      </c>
      <c r="P3225">
        <v>18537</v>
      </c>
      <c r="Q3225" t="str">
        <f>"37.933841"</f>
        <v>37.933841</v>
      </c>
      <c r="R3225" t="str">
        <f>"23.640465"</f>
        <v>23.640465</v>
      </c>
      <c r="S3225" t="s">
        <v>26</v>
      </c>
    </row>
    <row r="3226" spans="1:19" x14ac:dyDescent="0.3">
      <c r="A3226" t="s">
        <v>3237</v>
      </c>
      <c r="B3226" t="s">
        <v>11503</v>
      </c>
      <c r="C3226" t="s">
        <v>12285</v>
      </c>
      <c r="D3226" t="s">
        <v>6222</v>
      </c>
      <c r="E3226" t="s">
        <v>6223</v>
      </c>
      <c r="F3226" t="s">
        <v>6229</v>
      </c>
      <c r="G3226" t="s">
        <v>6223</v>
      </c>
      <c r="H3226" t="s">
        <v>868</v>
      </c>
      <c r="I3226" t="s">
        <v>869</v>
      </c>
      <c r="J3226" t="str">
        <f>"9520202"</f>
        <v>9520202</v>
      </c>
      <c r="K3226">
        <v>2104651116</v>
      </c>
      <c r="L3226">
        <v>2104651116</v>
      </c>
      <c r="M3226" t="s">
        <v>12286</v>
      </c>
      <c r="N3226" t="s">
        <v>6389</v>
      </c>
      <c r="O3226" t="s">
        <v>12287</v>
      </c>
      <c r="P3226">
        <v>18900</v>
      </c>
      <c r="Q3226" t="str">
        <f>"37.964110"</f>
        <v>37.964110</v>
      </c>
      <c r="R3226" t="str">
        <f>"23.512188"</f>
        <v>23.512188</v>
      </c>
      <c r="S3226" t="s">
        <v>26</v>
      </c>
    </row>
    <row r="3227" spans="1:19" x14ac:dyDescent="0.3">
      <c r="A3227" t="s">
        <v>3237</v>
      </c>
      <c r="B3227" t="s">
        <v>11503</v>
      </c>
      <c r="C3227" t="s">
        <v>12288</v>
      </c>
      <c r="D3227" t="s">
        <v>3275</v>
      </c>
      <c r="E3227" t="s">
        <v>6203</v>
      </c>
      <c r="F3227" t="s">
        <v>6203</v>
      </c>
      <c r="G3227" t="s">
        <v>6203</v>
      </c>
      <c r="H3227" t="s">
        <v>868</v>
      </c>
      <c r="I3227" t="s">
        <v>869</v>
      </c>
      <c r="J3227" t="str">
        <f>"9520169"</f>
        <v>9520169</v>
      </c>
      <c r="K3227">
        <v>2104410633</v>
      </c>
      <c r="L3227">
        <v>2104410633</v>
      </c>
      <c r="M3227" t="s">
        <v>12289</v>
      </c>
      <c r="N3227" t="s">
        <v>12290</v>
      </c>
      <c r="O3227" t="s">
        <v>12291</v>
      </c>
      <c r="P3227">
        <v>18863</v>
      </c>
      <c r="Q3227" t="str">
        <f>"37.965898"</f>
        <v>37.965898</v>
      </c>
      <c r="R3227" t="str">
        <f>"23.565768"</f>
        <v>23.565768</v>
      </c>
      <c r="S3227" t="s">
        <v>26</v>
      </c>
    </row>
    <row r="3228" spans="1:19" x14ac:dyDescent="0.3">
      <c r="A3228" t="s">
        <v>3237</v>
      </c>
      <c r="B3228" t="s">
        <v>11503</v>
      </c>
      <c r="C3228" t="s">
        <v>6558</v>
      </c>
      <c r="D3228" t="s">
        <v>6222</v>
      </c>
      <c r="E3228" t="s">
        <v>6223</v>
      </c>
      <c r="F3228" t="s">
        <v>6229</v>
      </c>
      <c r="G3228" t="s">
        <v>6223</v>
      </c>
      <c r="H3228" t="s">
        <v>868</v>
      </c>
      <c r="I3228" t="s">
        <v>869</v>
      </c>
      <c r="J3228" t="str">
        <f>"9520405"</f>
        <v>9520405</v>
      </c>
      <c r="K3228">
        <v>2104650765</v>
      </c>
      <c r="L3228">
        <v>2104650765</v>
      </c>
      <c r="M3228" t="s">
        <v>12292</v>
      </c>
      <c r="N3228" t="s">
        <v>6389</v>
      </c>
      <c r="O3228" t="s">
        <v>12293</v>
      </c>
      <c r="P3228">
        <v>18900</v>
      </c>
      <c r="Q3228" t="str">
        <f>"37.969703"</f>
        <v>37.969703</v>
      </c>
      <c r="R3228" t="str">
        <f>"23.508941"</f>
        <v>23.508941</v>
      </c>
      <c r="S3228" t="s">
        <v>26</v>
      </c>
    </row>
    <row r="3229" spans="1:19" x14ac:dyDescent="0.3">
      <c r="A3229" t="s">
        <v>3237</v>
      </c>
      <c r="B3229" t="s">
        <v>11503</v>
      </c>
      <c r="C3229" t="s">
        <v>12294</v>
      </c>
      <c r="D3229" t="s">
        <v>6222</v>
      </c>
      <c r="E3229" t="s">
        <v>6223</v>
      </c>
      <c r="F3229" t="s">
        <v>6229</v>
      </c>
      <c r="G3229" t="s">
        <v>6223</v>
      </c>
      <c r="H3229" t="s">
        <v>868</v>
      </c>
      <c r="I3229" t="s">
        <v>1157</v>
      </c>
      <c r="J3229" t="str">
        <f>"9520546"</f>
        <v>9520546</v>
      </c>
      <c r="K3229">
        <v>2104672374</v>
      </c>
      <c r="L3229">
        <v>2104672374</v>
      </c>
      <c r="M3229" t="s">
        <v>12295</v>
      </c>
      <c r="N3229" t="s">
        <v>12296</v>
      </c>
      <c r="O3229" t="s">
        <v>12297</v>
      </c>
      <c r="P3229">
        <v>18900</v>
      </c>
      <c r="Q3229" t="str">
        <f>"37.964140"</f>
        <v>37.964140</v>
      </c>
      <c r="R3229" t="str">
        <f>"23.522841"</f>
        <v>23.522841</v>
      </c>
      <c r="S3229" t="s">
        <v>26</v>
      </c>
    </row>
    <row r="3230" spans="1:19" x14ac:dyDescent="0.3">
      <c r="A3230" t="s">
        <v>3237</v>
      </c>
      <c r="B3230" t="s">
        <v>11503</v>
      </c>
      <c r="C3230" t="s">
        <v>12298</v>
      </c>
      <c r="D3230" t="s">
        <v>3275</v>
      </c>
      <c r="E3230" t="s">
        <v>6212</v>
      </c>
      <c r="F3230" t="s">
        <v>6256</v>
      </c>
      <c r="G3230" t="s">
        <v>6256</v>
      </c>
      <c r="H3230" t="s">
        <v>868</v>
      </c>
      <c r="I3230" t="s">
        <v>869</v>
      </c>
      <c r="J3230" t="str">
        <f>"9520183"</f>
        <v>9520183</v>
      </c>
      <c r="K3230">
        <v>2104320605</v>
      </c>
      <c r="L3230">
        <v>2104320605</v>
      </c>
      <c r="M3230" t="s">
        <v>12299</v>
      </c>
      <c r="N3230" t="s">
        <v>6327</v>
      </c>
      <c r="O3230" t="s">
        <v>12300</v>
      </c>
      <c r="P3230">
        <v>18756</v>
      </c>
      <c r="Q3230" t="str">
        <f>"37.961935"</f>
        <v>37.961935</v>
      </c>
      <c r="R3230" t="str">
        <f>"23.619776"</f>
        <v>23.619776</v>
      </c>
      <c r="S3230" t="s">
        <v>26</v>
      </c>
    </row>
    <row r="3231" spans="1:19" x14ac:dyDescent="0.3">
      <c r="A3231" t="s">
        <v>3237</v>
      </c>
      <c r="B3231" t="s">
        <v>11503</v>
      </c>
      <c r="C3231" t="s">
        <v>6437</v>
      </c>
      <c r="D3231" t="s">
        <v>6222</v>
      </c>
      <c r="E3231" t="s">
        <v>6432</v>
      </c>
      <c r="F3231" t="s">
        <v>6432</v>
      </c>
      <c r="G3231" t="s">
        <v>6432</v>
      </c>
      <c r="H3231" t="s">
        <v>868</v>
      </c>
      <c r="I3231" t="s">
        <v>869</v>
      </c>
      <c r="J3231" t="str">
        <f>"9520196"</f>
        <v>9520196</v>
      </c>
      <c r="K3231">
        <v>2298072321</v>
      </c>
      <c r="L3231">
        <v>2298072321</v>
      </c>
      <c r="M3231" t="s">
        <v>12301</v>
      </c>
      <c r="N3231" t="s">
        <v>6435</v>
      </c>
      <c r="O3231" t="s">
        <v>6435</v>
      </c>
      <c r="P3231">
        <v>18050</v>
      </c>
      <c r="Q3231" t="str">
        <f>"37.262911"</f>
        <v>37.262911</v>
      </c>
      <c r="R3231" t="str">
        <f>"23.156351"</f>
        <v>23.156351</v>
      </c>
      <c r="S3231" t="s">
        <v>26</v>
      </c>
    </row>
    <row r="3232" spans="1:19" x14ac:dyDescent="0.3">
      <c r="A3232" t="s">
        <v>3237</v>
      </c>
      <c r="B3232" t="s">
        <v>11503</v>
      </c>
      <c r="C3232" t="s">
        <v>12306</v>
      </c>
      <c r="D3232" t="s">
        <v>3275</v>
      </c>
      <c r="E3232" t="s">
        <v>6212</v>
      </c>
      <c r="F3232" t="s">
        <v>6256</v>
      </c>
      <c r="G3232" t="s">
        <v>6256</v>
      </c>
      <c r="H3232" t="s">
        <v>868</v>
      </c>
      <c r="I3232" t="s">
        <v>869</v>
      </c>
      <c r="J3232" t="str">
        <f>"9520179"</f>
        <v>9520179</v>
      </c>
      <c r="K3232">
        <v>2104316763</v>
      </c>
      <c r="L3232">
        <v>2104316763</v>
      </c>
      <c r="M3232" t="s">
        <v>12307</v>
      </c>
      <c r="N3232" t="s">
        <v>12308</v>
      </c>
      <c r="O3232" t="s">
        <v>12309</v>
      </c>
      <c r="P3232">
        <v>18757</v>
      </c>
      <c r="Q3232" t="str">
        <f>"37.964537"</f>
        <v>37.964537</v>
      </c>
      <c r="R3232" t="str">
        <f>"23.621094"</f>
        <v>23.621094</v>
      </c>
      <c r="S3232" t="s">
        <v>26</v>
      </c>
    </row>
    <row r="3233" spans="1:19" x14ac:dyDescent="0.3">
      <c r="A3233" t="s">
        <v>3237</v>
      </c>
      <c r="B3233" t="s">
        <v>11503</v>
      </c>
      <c r="C3233" t="s">
        <v>12310</v>
      </c>
      <c r="D3233" t="s">
        <v>6222</v>
      </c>
      <c r="E3233" t="s">
        <v>6345</v>
      </c>
      <c r="F3233" t="s">
        <v>6345</v>
      </c>
      <c r="G3233" t="s">
        <v>6345</v>
      </c>
      <c r="H3233" t="s">
        <v>868</v>
      </c>
      <c r="I3233" t="s">
        <v>950</v>
      </c>
      <c r="J3233" t="str">
        <f>"9520198"</f>
        <v>9520198</v>
      </c>
      <c r="K3233">
        <v>2298052981</v>
      </c>
      <c r="L3233">
        <v>2298052981</v>
      </c>
      <c r="M3233" t="s">
        <v>12311</v>
      </c>
      <c r="N3233" t="s">
        <v>6348</v>
      </c>
      <c r="O3233" t="s">
        <v>6348</v>
      </c>
      <c r="P3233">
        <v>18040</v>
      </c>
      <c r="Q3233" t="str">
        <f>"37.345948"</f>
        <v>37.345948</v>
      </c>
      <c r="R3233" t="str">
        <f>"23.460990"</f>
        <v>23.460990</v>
      </c>
      <c r="S3233" t="s">
        <v>26</v>
      </c>
    </row>
    <row r="3234" spans="1:19" x14ac:dyDescent="0.3">
      <c r="A3234" t="s">
        <v>3237</v>
      </c>
      <c r="B3234" t="s">
        <v>11503</v>
      </c>
      <c r="C3234" t="s">
        <v>6202</v>
      </c>
      <c r="D3234" t="s">
        <v>3275</v>
      </c>
      <c r="E3234" t="s">
        <v>3275</v>
      </c>
      <c r="F3234" t="s">
        <v>3275</v>
      </c>
      <c r="G3234" t="s">
        <v>6193</v>
      </c>
      <c r="H3234" t="s">
        <v>868</v>
      </c>
      <c r="I3234" t="s">
        <v>869</v>
      </c>
      <c r="J3234" t="str">
        <f>"9520146"</f>
        <v>9520146</v>
      </c>
      <c r="K3234">
        <v>2104203272</v>
      </c>
      <c r="L3234">
        <v>2104203272</v>
      </c>
      <c r="M3234" t="s">
        <v>12316</v>
      </c>
      <c r="N3234" t="s">
        <v>3279</v>
      </c>
      <c r="O3234" t="s">
        <v>12317</v>
      </c>
      <c r="P3234">
        <v>18544</v>
      </c>
      <c r="Q3234" t="str">
        <f>"37.958873"</f>
        <v>37.958873</v>
      </c>
      <c r="R3234" t="str">
        <f>"23.640964"</f>
        <v>23.640964</v>
      </c>
      <c r="S3234" t="s">
        <v>26</v>
      </c>
    </row>
    <row r="3235" spans="1:19" x14ac:dyDescent="0.3">
      <c r="A3235" t="s">
        <v>3237</v>
      </c>
      <c r="B3235" t="s">
        <v>11503</v>
      </c>
      <c r="C3235" t="s">
        <v>6207</v>
      </c>
      <c r="D3235" t="s">
        <v>3275</v>
      </c>
      <c r="E3235" t="s">
        <v>6203</v>
      </c>
      <c r="F3235" t="s">
        <v>6203</v>
      </c>
      <c r="G3235" t="s">
        <v>6203</v>
      </c>
      <c r="H3235" t="s">
        <v>868</v>
      </c>
      <c r="I3235" t="s">
        <v>869</v>
      </c>
      <c r="J3235" t="str">
        <f>"9520167"</f>
        <v>9520167</v>
      </c>
      <c r="K3235">
        <v>2104015420</v>
      </c>
      <c r="L3235">
        <v>2104015420</v>
      </c>
      <c r="M3235" t="s">
        <v>12321</v>
      </c>
      <c r="N3235" t="s">
        <v>12322</v>
      </c>
      <c r="O3235" t="s">
        <v>12323</v>
      </c>
      <c r="P3235">
        <v>18863</v>
      </c>
      <c r="Q3235" t="str">
        <f>"37.962718"</f>
        <v>37.962718</v>
      </c>
      <c r="R3235" t="str">
        <f>"23.598974"</f>
        <v>23.598974</v>
      </c>
      <c r="S3235" t="s">
        <v>26</v>
      </c>
    </row>
    <row r="3236" spans="1:19" x14ac:dyDescent="0.3">
      <c r="A3236" t="s">
        <v>3237</v>
      </c>
      <c r="B3236" t="s">
        <v>11503</v>
      </c>
      <c r="C3236" t="s">
        <v>12324</v>
      </c>
      <c r="D3236" t="s">
        <v>3275</v>
      </c>
      <c r="E3236" t="s">
        <v>3275</v>
      </c>
      <c r="F3236" t="s">
        <v>3275</v>
      </c>
      <c r="G3236" t="s">
        <v>6193</v>
      </c>
      <c r="H3236" t="s">
        <v>868</v>
      </c>
      <c r="I3236" t="s">
        <v>869</v>
      </c>
      <c r="J3236" t="str">
        <f>"9520144"</f>
        <v>9520144</v>
      </c>
      <c r="K3236">
        <v>2104916172</v>
      </c>
      <c r="L3236">
        <v>2104916172</v>
      </c>
      <c r="M3236" t="s">
        <v>12325</v>
      </c>
      <c r="N3236" t="s">
        <v>3279</v>
      </c>
      <c r="O3236" t="s">
        <v>12326</v>
      </c>
      <c r="P3236">
        <v>18544</v>
      </c>
      <c r="Q3236" t="str">
        <f>"37.960914"</f>
        <v>37.960914</v>
      </c>
      <c r="R3236" t="str">
        <f>"23.640582"</f>
        <v>23.640582</v>
      </c>
      <c r="S3236" t="s">
        <v>26</v>
      </c>
    </row>
    <row r="3237" spans="1:19" x14ac:dyDescent="0.3">
      <c r="A3237" t="s">
        <v>3237</v>
      </c>
      <c r="B3237" t="s">
        <v>11503</v>
      </c>
      <c r="C3237" t="s">
        <v>12327</v>
      </c>
      <c r="D3237" t="s">
        <v>3275</v>
      </c>
      <c r="E3237" t="s">
        <v>3275</v>
      </c>
      <c r="F3237" t="s">
        <v>3275</v>
      </c>
      <c r="G3237" t="s">
        <v>6382</v>
      </c>
      <c r="H3237" t="s">
        <v>868</v>
      </c>
      <c r="I3237" t="s">
        <v>869</v>
      </c>
      <c r="J3237" t="str">
        <f>"9520006"</f>
        <v>9520006</v>
      </c>
      <c r="K3237">
        <v>2104816447</v>
      </c>
      <c r="L3237">
        <v>2104816447</v>
      </c>
      <c r="M3237" t="s">
        <v>12328</v>
      </c>
      <c r="N3237" t="s">
        <v>6497</v>
      </c>
      <c r="O3237" t="s">
        <v>11672</v>
      </c>
      <c r="P3237">
        <v>18547</v>
      </c>
      <c r="Q3237" t="str">
        <f>"37.951214"</f>
        <v>37.951214</v>
      </c>
      <c r="R3237" t="str">
        <f>"23.668412"</f>
        <v>23.668412</v>
      </c>
      <c r="S3237" t="s">
        <v>26</v>
      </c>
    </row>
    <row r="3238" spans="1:19" x14ac:dyDescent="0.3">
      <c r="A3238" t="s">
        <v>3237</v>
      </c>
      <c r="B3238" t="s">
        <v>11503</v>
      </c>
      <c r="C3238" t="s">
        <v>6492</v>
      </c>
      <c r="D3238" t="s">
        <v>3275</v>
      </c>
      <c r="E3238" t="s">
        <v>3275</v>
      </c>
      <c r="F3238" t="s">
        <v>3275</v>
      </c>
      <c r="G3238" t="s">
        <v>6193</v>
      </c>
      <c r="H3238" t="s">
        <v>868</v>
      </c>
      <c r="I3238" t="s">
        <v>869</v>
      </c>
      <c r="J3238" t="str">
        <f>"9520152"</f>
        <v>9520152</v>
      </c>
      <c r="K3238">
        <v>2104619183</v>
      </c>
      <c r="L3238">
        <v>2104619183</v>
      </c>
      <c r="M3238" t="s">
        <v>12329</v>
      </c>
      <c r="N3238" t="s">
        <v>3279</v>
      </c>
      <c r="O3238" t="s">
        <v>12330</v>
      </c>
      <c r="P3238">
        <v>18546</v>
      </c>
      <c r="Q3238" t="str">
        <f>"37.956745"</f>
        <v>37.956745</v>
      </c>
      <c r="R3238" t="str">
        <f>"23.631272"</f>
        <v>23.631272</v>
      </c>
      <c r="S3238" t="s">
        <v>26</v>
      </c>
    </row>
    <row r="3239" spans="1:19" x14ac:dyDescent="0.3">
      <c r="A3239" t="s">
        <v>3237</v>
      </c>
      <c r="B3239" t="s">
        <v>11503</v>
      </c>
      <c r="C3239" t="s">
        <v>12331</v>
      </c>
      <c r="D3239" t="s">
        <v>3275</v>
      </c>
      <c r="E3239" t="s">
        <v>3275</v>
      </c>
      <c r="F3239" t="s">
        <v>3275</v>
      </c>
      <c r="G3239" t="s">
        <v>3276</v>
      </c>
      <c r="H3239" t="s">
        <v>868</v>
      </c>
      <c r="I3239" t="s">
        <v>869</v>
      </c>
      <c r="J3239" t="str">
        <f>"9520067"</f>
        <v>9520067</v>
      </c>
      <c r="K3239">
        <v>2104512593</v>
      </c>
      <c r="M3239" t="s">
        <v>12332</v>
      </c>
      <c r="N3239" t="s">
        <v>3279</v>
      </c>
      <c r="O3239" t="s">
        <v>11618</v>
      </c>
      <c r="P3239">
        <v>18539</v>
      </c>
      <c r="Q3239" t="str">
        <f>"37.928793"</f>
        <v>37.928793</v>
      </c>
      <c r="R3239" t="str">
        <f>"23.638747"</f>
        <v>23.638747</v>
      </c>
      <c r="S3239" t="s">
        <v>26</v>
      </c>
    </row>
    <row r="3240" spans="1:19" x14ac:dyDescent="0.3">
      <c r="A3240" t="s">
        <v>3237</v>
      </c>
      <c r="B3240" t="s">
        <v>11503</v>
      </c>
      <c r="C3240" t="s">
        <v>6725</v>
      </c>
      <c r="D3240" t="s">
        <v>3275</v>
      </c>
      <c r="E3240" t="s">
        <v>3275</v>
      </c>
      <c r="F3240" t="s">
        <v>3275</v>
      </c>
      <c r="G3240" t="s">
        <v>6261</v>
      </c>
      <c r="H3240" t="s">
        <v>868</v>
      </c>
      <c r="I3240" t="s">
        <v>869</v>
      </c>
      <c r="J3240" t="str">
        <f>"9520142"</f>
        <v>9520142</v>
      </c>
      <c r="K3240">
        <v>2104914203</v>
      </c>
      <c r="L3240">
        <v>2104914203</v>
      </c>
      <c r="M3240" t="s">
        <v>12333</v>
      </c>
      <c r="N3240" t="s">
        <v>3279</v>
      </c>
      <c r="O3240" t="s">
        <v>12334</v>
      </c>
      <c r="P3240">
        <v>18543</v>
      </c>
      <c r="Q3240" t="str">
        <f>"37.961151"</f>
        <v>37.961151</v>
      </c>
      <c r="R3240" t="str">
        <f>"23.648665"</f>
        <v>23.648665</v>
      </c>
      <c r="S3240" t="s">
        <v>26</v>
      </c>
    </row>
    <row r="3241" spans="1:19" x14ac:dyDescent="0.3">
      <c r="A3241" t="s">
        <v>3237</v>
      </c>
      <c r="B3241" t="s">
        <v>11503</v>
      </c>
      <c r="C3241" t="s">
        <v>12335</v>
      </c>
      <c r="D3241" t="s">
        <v>6222</v>
      </c>
      <c r="E3241" t="s">
        <v>6223</v>
      </c>
      <c r="F3241" t="s">
        <v>6229</v>
      </c>
      <c r="G3241" t="s">
        <v>6612</v>
      </c>
      <c r="H3241" t="s">
        <v>868</v>
      </c>
      <c r="I3241" t="s">
        <v>869</v>
      </c>
      <c r="J3241" t="str">
        <f>"9520188"</f>
        <v>9520188</v>
      </c>
      <c r="K3241">
        <v>2104662876</v>
      </c>
      <c r="L3241">
        <v>2104662876</v>
      </c>
      <c r="M3241" t="s">
        <v>12336</v>
      </c>
      <c r="N3241" t="s">
        <v>12337</v>
      </c>
      <c r="O3241" t="s">
        <v>12338</v>
      </c>
      <c r="P3241">
        <v>18903</v>
      </c>
      <c r="Q3241" t="str">
        <f>"37.921877"</f>
        <v>37.921877</v>
      </c>
      <c r="R3241" t="str">
        <f>"23.465779"</f>
        <v>23.465779</v>
      </c>
      <c r="S3241" t="s">
        <v>26</v>
      </c>
    </row>
    <row r="3242" spans="1:19" x14ac:dyDescent="0.3">
      <c r="A3242" t="s">
        <v>3237</v>
      </c>
      <c r="B3242" t="s">
        <v>11503</v>
      </c>
      <c r="C3242" t="s">
        <v>12342</v>
      </c>
      <c r="D3242" t="s">
        <v>3275</v>
      </c>
      <c r="E3242" t="s">
        <v>3303</v>
      </c>
      <c r="F3242" t="s">
        <v>3303</v>
      </c>
      <c r="G3242" t="s">
        <v>3303</v>
      </c>
      <c r="H3242" t="s">
        <v>868</v>
      </c>
      <c r="I3242" t="s">
        <v>869</v>
      </c>
      <c r="J3242" t="str">
        <f>"9520081"</f>
        <v>9520081</v>
      </c>
      <c r="K3242">
        <v>2104970285</v>
      </c>
      <c r="L3242">
        <v>2104974687</v>
      </c>
      <c r="M3242" t="s">
        <v>12343</v>
      </c>
      <c r="N3242" t="s">
        <v>3303</v>
      </c>
      <c r="O3242" t="s">
        <v>11912</v>
      </c>
      <c r="P3242">
        <v>18120</v>
      </c>
      <c r="Q3242" t="str">
        <f>"37.978486"</f>
        <v>37.978486</v>
      </c>
      <c r="R3242" t="str">
        <f>"23.657313"</f>
        <v>23.657313</v>
      </c>
      <c r="S3242" t="s">
        <v>26</v>
      </c>
    </row>
    <row r="3243" spans="1:19" x14ac:dyDescent="0.3">
      <c r="A3243" t="s">
        <v>3237</v>
      </c>
      <c r="B3243" t="s">
        <v>11503</v>
      </c>
      <c r="C3243" t="s">
        <v>12344</v>
      </c>
      <c r="D3243" t="s">
        <v>3275</v>
      </c>
      <c r="E3243" t="s">
        <v>3275</v>
      </c>
      <c r="F3243" t="s">
        <v>3275</v>
      </c>
      <c r="G3243" t="s">
        <v>6193</v>
      </c>
      <c r="H3243" t="s">
        <v>868</v>
      </c>
      <c r="I3243" t="s">
        <v>869</v>
      </c>
      <c r="J3243" t="str">
        <f>"9520150"</f>
        <v>9520150</v>
      </c>
      <c r="K3243">
        <v>2104634333</v>
      </c>
      <c r="L3243">
        <v>2104634333</v>
      </c>
      <c r="M3243" t="s">
        <v>12345</v>
      </c>
      <c r="N3243" t="s">
        <v>3279</v>
      </c>
      <c r="O3243" t="s">
        <v>11647</v>
      </c>
      <c r="P3243">
        <v>18546</v>
      </c>
      <c r="Q3243" t="str">
        <f>"37.954068"</f>
        <v>37.954068</v>
      </c>
      <c r="R3243" t="str">
        <f>"23.634094"</f>
        <v>23.634094</v>
      </c>
      <c r="S3243" t="s">
        <v>26</v>
      </c>
    </row>
    <row r="3244" spans="1:19" x14ac:dyDescent="0.3">
      <c r="A3244" t="s">
        <v>3237</v>
      </c>
      <c r="B3244" t="s">
        <v>11503</v>
      </c>
      <c r="C3244" t="s">
        <v>6665</v>
      </c>
      <c r="D3244" t="s">
        <v>3275</v>
      </c>
      <c r="E3244" t="s">
        <v>3275</v>
      </c>
      <c r="F3244" t="s">
        <v>3275</v>
      </c>
      <c r="G3244" t="s">
        <v>6193</v>
      </c>
      <c r="H3244" t="s">
        <v>868</v>
      </c>
      <c r="I3244" t="s">
        <v>869</v>
      </c>
      <c r="J3244" t="str">
        <f>"9520147"</f>
        <v>9520147</v>
      </c>
      <c r="K3244">
        <v>2104613665</v>
      </c>
      <c r="L3244">
        <v>2104613239</v>
      </c>
      <c r="M3244" t="s">
        <v>12346</v>
      </c>
      <c r="N3244" t="s">
        <v>3279</v>
      </c>
      <c r="O3244" t="s">
        <v>11725</v>
      </c>
      <c r="P3244">
        <v>18544</v>
      </c>
      <c r="Q3244" t="str">
        <f>"37.959738"</f>
        <v>37.959738</v>
      </c>
      <c r="R3244" t="str">
        <f>"23.637603"</f>
        <v>23.637603</v>
      </c>
      <c r="S3244" t="s">
        <v>26</v>
      </c>
    </row>
    <row r="3245" spans="1:19" x14ac:dyDescent="0.3">
      <c r="A3245" t="s">
        <v>3237</v>
      </c>
      <c r="B3245" t="s">
        <v>11503</v>
      </c>
      <c r="C3245" t="s">
        <v>12348</v>
      </c>
      <c r="D3245" t="s">
        <v>6222</v>
      </c>
      <c r="E3245" t="s">
        <v>6394</v>
      </c>
      <c r="F3245" t="s">
        <v>6394</v>
      </c>
      <c r="G3245" t="s">
        <v>12347</v>
      </c>
      <c r="H3245" t="s">
        <v>868</v>
      </c>
      <c r="I3245" t="s">
        <v>869</v>
      </c>
      <c r="J3245" t="str">
        <f>"9520047"</f>
        <v>9520047</v>
      </c>
      <c r="K3245">
        <v>2736033229</v>
      </c>
      <c r="L3245">
        <v>2736033229</v>
      </c>
      <c r="M3245" t="s">
        <v>12349</v>
      </c>
      <c r="N3245" t="s">
        <v>12350</v>
      </c>
      <c r="O3245" t="s">
        <v>12351</v>
      </c>
      <c r="P3245">
        <v>80200</v>
      </c>
      <c r="Q3245" t="str">
        <f>"36.300005"</f>
        <v>36.300005</v>
      </c>
      <c r="R3245" t="str">
        <f>"22.966165"</f>
        <v>22.966165</v>
      </c>
      <c r="S3245" t="s">
        <v>57</v>
      </c>
    </row>
    <row r="3246" spans="1:19" x14ac:dyDescent="0.3">
      <c r="A3246" t="s">
        <v>3237</v>
      </c>
      <c r="B3246" t="s">
        <v>11503</v>
      </c>
      <c r="C3246" t="s">
        <v>6398</v>
      </c>
      <c r="D3246" t="s">
        <v>6222</v>
      </c>
      <c r="E3246" t="s">
        <v>6394</v>
      </c>
      <c r="F3246" t="s">
        <v>6394</v>
      </c>
      <c r="G3246" t="s">
        <v>6394</v>
      </c>
      <c r="H3246" t="s">
        <v>868</v>
      </c>
      <c r="I3246" t="s">
        <v>869</v>
      </c>
      <c r="J3246" t="str">
        <f>"9520042"</f>
        <v>9520042</v>
      </c>
      <c r="K3246">
        <v>2736031229</v>
      </c>
      <c r="L3246">
        <v>2736031229</v>
      </c>
      <c r="M3246" t="s">
        <v>12352</v>
      </c>
      <c r="N3246" t="s">
        <v>12353</v>
      </c>
      <c r="O3246" t="s">
        <v>6522</v>
      </c>
      <c r="P3246">
        <v>80100</v>
      </c>
      <c r="Q3246" t="str">
        <f>"36.148620"</f>
        <v>36.148620</v>
      </c>
      <c r="R3246" t="str">
        <f>"22.990530"</f>
        <v>22.990530</v>
      </c>
      <c r="S3246" t="s">
        <v>57</v>
      </c>
    </row>
    <row r="3247" spans="1:19" x14ac:dyDescent="0.3">
      <c r="A3247" t="s">
        <v>3237</v>
      </c>
      <c r="B3247" t="s">
        <v>11503</v>
      </c>
      <c r="C3247" t="s">
        <v>12363</v>
      </c>
      <c r="D3247" t="s">
        <v>3275</v>
      </c>
      <c r="E3247" t="s">
        <v>3275</v>
      </c>
      <c r="F3247" t="s">
        <v>3275</v>
      </c>
      <c r="G3247" t="s">
        <v>6382</v>
      </c>
      <c r="H3247" t="s">
        <v>868</v>
      </c>
      <c r="I3247" t="s">
        <v>1602</v>
      </c>
      <c r="J3247" t="str">
        <f>"9520271"</f>
        <v>9520271</v>
      </c>
      <c r="K3247">
        <v>2104176135</v>
      </c>
      <c r="L3247">
        <v>2104176136</v>
      </c>
      <c r="M3247" t="s">
        <v>12364</v>
      </c>
      <c r="N3247" t="s">
        <v>3279</v>
      </c>
      <c r="O3247" t="s">
        <v>11659</v>
      </c>
      <c r="P3247">
        <v>18533</v>
      </c>
      <c r="Q3247" t="str">
        <f>"37.944076"</f>
        <v>37.944076</v>
      </c>
      <c r="R3247" t="str">
        <f>"23.657872"</f>
        <v>23.657872</v>
      </c>
      <c r="S3247" t="s">
        <v>26</v>
      </c>
    </row>
    <row r="3248" spans="1:19" x14ac:dyDescent="0.3">
      <c r="A3248" t="s">
        <v>3237</v>
      </c>
      <c r="B3248" t="s">
        <v>11503</v>
      </c>
      <c r="C3248" t="s">
        <v>6639</v>
      </c>
      <c r="D3248" t="s">
        <v>3275</v>
      </c>
      <c r="E3248" t="s">
        <v>6266</v>
      </c>
      <c r="F3248" t="s">
        <v>5431</v>
      </c>
      <c r="G3248" t="s">
        <v>5431</v>
      </c>
      <c r="H3248" t="s">
        <v>868</v>
      </c>
      <c r="I3248" t="s">
        <v>869</v>
      </c>
      <c r="J3248" t="str">
        <f>"9520248"</f>
        <v>9520248</v>
      </c>
      <c r="K3248">
        <v>2104915950</v>
      </c>
      <c r="L3248">
        <v>2104915950</v>
      </c>
      <c r="M3248" t="s">
        <v>12371</v>
      </c>
      <c r="N3248" t="s">
        <v>6352</v>
      </c>
      <c r="O3248" t="s">
        <v>12372</v>
      </c>
      <c r="P3248">
        <v>18451</v>
      </c>
      <c r="Q3248" t="str">
        <f>"37.977111"</f>
        <v>37.977111</v>
      </c>
      <c r="R3248" t="str">
        <f>"23.631844"</f>
        <v>23.631844</v>
      </c>
      <c r="S3248" t="s">
        <v>26</v>
      </c>
    </row>
    <row r="3249" spans="1:19" x14ac:dyDescent="0.3">
      <c r="A3249" t="s">
        <v>3237</v>
      </c>
      <c r="B3249" t="s">
        <v>11503</v>
      </c>
      <c r="C3249" t="s">
        <v>12373</v>
      </c>
      <c r="D3249" t="s">
        <v>3275</v>
      </c>
      <c r="E3249" t="s">
        <v>6266</v>
      </c>
      <c r="F3249" t="s">
        <v>5431</v>
      </c>
      <c r="G3249" t="s">
        <v>5431</v>
      </c>
      <c r="H3249" t="s">
        <v>868</v>
      </c>
      <c r="I3249" t="s">
        <v>869</v>
      </c>
      <c r="J3249" t="str">
        <f>"9520135"</f>
        <v>9520135</v>
      </c>
      <c r="K3249">
        <v>2104917565</v>
      </c>
      <c r="L3249">
        <v>2104917565</v>
      </c>
      <c r="M3249" t="s">
        <v>12374</v>
      </c>
      <c r="N3249" t="s">
        <v>6352</v>
      </c>
      <c r="O3249" t="s">
        <v>12375</v>
      </c>
      <c r="P3249">
        <v>18451</v>
      </c>
      <c r="Q3249" t="str">
        <f>"37.974736"</f>
        <v>37.974736</v>
      </c>
      <c r="R3249" t="str">
        <f>"23.640948"</f>
        <v>23.640948</v>
      </c>
      <c r="S3249" t="s">
        <v>26</v>
      </c>
    </row>
    <row r="3250" spans="1:19" x14ac:dyDescent="0.3">
      <c r="A3250" t="s">
        <v>3237</v>
      </c>
      <c r="B3250" t="s">
        <v>11503</v>
      </c>
      <c r="C3250" t="s">
        <v>12376</v>
      </c>
      <c r="D3250" t="s">
        <v>3275</v>
      </c>
      <c r="E3250" t="s">
        <v>3275</v>
      </c>
      <c r="F3250" t="s">
        <v>3275</v>
      </c>
      <c r="G3250" t="s">
        <v>6193</v>
      </c>
      <c r="H3250" t="s">
        <v>868</v>
      </c>
      <c r="I3250" t="s">
        <v>1157</v>
      </c>
      <c r="J3250" t="str">
        <f>"9520247"</f>
        <v>9520247</v>
      </c>
      <c r="K3250">
        <v>2110133062</v>
      </c>
      <c r="M3250" t="s">
        <v>12377</v>
      </c>
      <c r="N3250" t="s">
        <v>3279</v>
      </c>
      <c r="O3250" t="s">
        <v>12378</v>
      </c>
      <c r="P3250">
        <v>18543</v>
      </c>
      <c r="Q3250" t="str">
        <f>"37.935857"</f>
        <v>37.935857</v>
      </c>
      <c r="R3250" t="str">
        <f>"23.631176"</f>
        <v>23.631176</v>
      </c>
      <c r="S3250" t="s">
        <v>26</v>
      </c>
    </row>
    <row r="3251" spans="1:19" x14ac:dyDescent="0.3">
      <c r="A3251" t="s">
        <v>3237</v>
      </c>
      <c r="B3251" t="s">
        <v>11503</v>
      </c>
      <c r="C3251" t="s">
        <v>12407</v>
      </c>
      <c r="D3251" t="s">
        <v>6222</v>
      </c>
      <c r="E3251" t="s">
        <v>6231</v>
      </c>
      <c r="F3251" t="s">
        <v>6238</v>
      </c>
      <c r="G3251" t="s">
        <v>6238</v>
      </c>
      <c r="H3251" t="s">
        <v>868</v>
      </c>
      <c r="I3251" t="s">
        <v>950</v>
      </c>
      <c r="J3251" t="str">
        <f>"9520114"</f>
        <v>9520114</v>
      </c>
      <c r="K3251">
        <v>2298035222</v>
      </c>
      <c r="L3251">
        <v>2298035222</v>
      </c>
      <c r="M3251" t="s">
        <v>12408</v>
      </c>
      <c r="N3251" t="s">
        <v>12409</v>
      </c>
      <c r="O3251" t="s">
        <v>12410</v>
      </c>
      <c r="P3251">
        <v>18020</v>
      </c>
      <c r="Q3251" t="str">
        <f>"37.505847"</f>
        <v>37.505847</v>
      </c>
      <c r="R3251" t="str">
        <f>"23.389380"</f>
        <v>23.389380</v>
      </c>
      <c r="S3251" t="s">
        <v>26</v>
      </c>
    </row>
    <row r="3252" spans="1:19" x14ac:dyDescent="0.3">
      <c r="A3252" t="s">
        <v>3237</v>
      </c>
      <c r="B3252" t="s">
        <v>11503</v>
      </c>
      <c r="C3252" t="s">
        <v>12411</v>
      </c>
      <c r="D3252" t="s">
        <v>3275</v>
      </c>
      <c r="E3252" t="s">
        <v>6203</v>
      </c>
      <c r="F3252" t="s">
        <v>6203</v>
      </c>
      <c r="G3252" t="s">
        <v>6203</v>
      </c>
      <c r="H3252" t="s">
        <v>868</v>
      </c>
      <c r="I3252" t="s">
        <v>869</v>
      </c>
      <c r="J3252" t="str">
        <f>"9520171"</f>
        <v>9520171</v>
      </c>
      <c r="K3252">
        <v>2104410206</v>
      </c>
      <c r="L3252">
        <v>2104410206</v>
      </c>
      <c r="M3252" t="s">
        <v>12412</v>
      </c>
      <c r="N3252" t="s">
        <v>1291</v>
      </c>
      <c r="O3252" t="s">
        <v>12413</v>
      </c>
      <c r="P3252">
        <v>18863</v>
      </c>
      <c r="Q3252" t="str">
        <f>"37.966077"</f>
        <v>37.966077</v>
      </c>
      <c r="R3252" t="str">
        <f>"23.573772"</f>
        <v>23.573772</v>
      </c>
      <c r="S3252" t="s">
        <v>26</v>
      </c>
    </row>
    <row r="3253" spans="1:19" x14ac:dyDescent="0.3">
      <c r="A3253" t="s">
        <v>3237</v>
      </c>
      <c r="B3253" t="s">
        <v>11503</v>
      </c>
      <c r="C3253" t="s">
        <v>12414</v>
      </c>
      <c r="D3253" t="s">
        <v>3275</v>
      </c>
      <c r="E3253" t="s">
        <v>3303</v>
      </c>
      <c r="F3253" t="s">
        <v>3303</v>
      </c>
      <c r="G3253" t="s">
        <v>3303</v>
      </c>
      <c r="H3253" t="s">
        <v>868</v>
      </c>
      <c r="I3253" t="s">
        <v>869</v>
      </c>
      <c r="J3253" t="str">
        <f>"9520078"</f>
        <v>9520078</v>
      </c>
      <c r="K3253">
        <v>2104951273</v>
      </c>
      <c r="L3253">
        <v>2104951257</v>
      </c>
      <c r="M3253" t="s">
        <v>12415</v>
      </c>
      <c r="N3253" t="s">
        <v>6249</v>
      </c>
      <c r="O3253" t="s">
        <v>12416</v>
      </c>
      <c r="P3253">
        <v>18120</v>
      </c>
      <c r="Q3253" t="str">
        <f>"37.973727"</f>
        <v>37.973727</v>
      </c>
      <c r="R3253" t="str">
        <f>"23.650324"</f>
        <v>23.650324</v>
      </c>
      <c r="S3253" t="s">
        <v>26</v>
      </c>
    </row>
    <row r="3254" spans="1:19" x14ac:dyDescent="0.3">
      <c r="A3254" t="s">
        <v>3237</v>
      </c>
      <c r="B3254" t="s">
        <v>11503</v>
      </c>
      <c r="C3254" t="s">
        <v>12417</v>
      </c>
      <c r="D3254" t="s">
        <v>6222</v>
      </c>
      <c r="E3254" t="s">
        <v>6223</v>
      </c>
      <c r="F3254" t="s">
        <v>6229</v>
      </c>
      <c r="G3254" t="s">
        <v>6223</v>
      </c>
      <c r="H3254" t="s">
        <v>868</v>
      </c>
      <c r="I3254" t="s">
        <v>869</v>
      </c>
      <c r="J3254" t="str">
        <f>"9520251"</f>
        <v>9520251</v>
      </c>
      <c r="N3254" t="s">
        <v>12418</v>
      </c>
      <c r="O3254" t="s">
        <v>12181</v>
      </c>
      <c r="P3254">
        <v>0</v>
      </c>
      <c r="Q3254" t="str">
        <f>""</f>
        <v/>
      </c>
      <c r="R3254" t="str">
        <f>""</f>
        <v/>
      </c>
      <c r="S3254" t="s">
        <v>26</v>
      </c>
    </row>
    <row r="3255" spans="1:19" x14ac:dyDescent="0.3">
      <c r="A3255" t="s">
        <v>3237</v>
      </c>
      <c r="B3255" t="s">
        <v>11503</v>
      </c>
      <c r="C3255" t="s">
        <v>12428</v>
      </c>
      <c r="D3255" t="s">
        <v>6222</v>
      </c>
      <c r="E3255" t="s">
        <v>6394</v>
      </c>
      <c r="F3255" t="s">
        <v>12427</v>
      </c>
      <c r="G3255" t="s">
        <v>12427</v>
      </c>
      <c r="H3255" t="s">
        <v>868</v>
      </c>
      <c r="I3255" t="s">
        <v>950</v>
      </c>
      <c r="J3255" t="str">
        <f>"9521733"</f>
        <v>9521733</v>
      </c>
      <c r="K3255">
        <v>2736038316</v>
      </c>
      <c r="M3255" t="s">
        <v>12429</v>
      </c>
      <c r="N3255" t="s">
        <v>12430</v>
      </c>
      <c r="O3255" t="s">
        <v>12431</v>
      </c>
      <c r="P3255">
        <v>80100</v>
      </c>
      <c r="Q3255" t="str">
        <f>"35.868501"</f>
        <v>35.868501</v>
      </c>
      <c r="R3255" t="str">
        <f>"23.300121"</f>
        <v>23.300121</v>
      </c>
      <c r="S3255" t="s">
        <v>26</v>
      </c>
    </row>
    <row r="3256" spans="1:19" x14ac:dyDescent="0.3">
      <c r="A3256" t="s">
        <v>12435</v>
      </c>
      <c r="B3256" t="s">
        <v>12921</v>
      </c>
      <c r="C3256" t="s">
        <v>12528</v>
      </c>
      <c r="D3256" t="s">
        <v>12453</v>
      </c>
      <c r="E3256" t="s">
        <v>12453</v>
      </c>
      <c r="F3256" t="s">
        <v>12523</v>
      </c>
      <c r="G3256" t="s">
        <v>12523</v>
      </c>
      <c r="H3256" t="s">
        <v>868</v>
      </c>
      <c r="I3256" t="s">
        <v>869</v>
      </c>
      <c r="J3256" t="str">
        <f>"9330117"</f>
        <v>9330117</v>
      </c>
      <c r="K3256">
        <v>2254071251</v>
      </c>
      <c r="L3256">
        <v>2254071692</v>
      </c>
      <c r="M3256" t="s">
        <v>12925</v>
      </c>
      <c r="N3256" t="s">
        <v>12527</v>
      </c>
      <c r="O3256" t="s">
        <v>12527</v>
      </c>
      <c r="P3256">
        <v>81401</v>
      </c>
      <c r="Q3256" t="str">
        <f>"39.874312"</f>
        <v>39.874312</v>
      </c>
      <c r="R3256" t="str">
        <f>"25.267854"</f>
        <v>25.267854</v>
      </c>
      <c r="S3256" t="s">
        <v>57</v>
      </c>
    </row>
    <row r="3257" spans="1:19" x14ac:dyDescent="0.3">
      <c r="A3257" t="s">
        <v>12435</v>
      </c>
      <c r="B3257" t="s">
        <v>12921</v>
      </c>
      <c r="C3257" t="s">
        <v>12927</v>
      </c>
      <c r="D3257" t="s">
        <v>12436</v>
      </c>
      <c r="E3257" t="s">
        <v>12437</v>
      </c>
      <c r="F3257" t="s">
        <v>12579</v>
      </c>
      <c r="G3257" t="s">
        <v>12926</v>
      </c>
      <c r="H3257" t="s">
        <v>868</v>
      </c>
      <c r="I3257" t="s">
        <v>950</v>
      </c>
      <c r="J3257" t="str">
        <f>"9330018"</f>
        <v>9330018</v>
      </c>
      <c r="K3257">
        <v>2251093475</v>
      </c>
      <c r="L3257">
        <v>2251093475</v>
      </c>
      <c r="M3257" t="s">
        <v>12928</v>
      </c>
      <c r="N3257" t="s">
        <v>12929</v>
      </c>
      <c r="O3257" t="s">
        <v>12930</v>
      </c>
      <c r="P3257">
        <v>81101</v>
      </c>
      <c r="Q3257" t="str">
        <f>"39.123414"</f>
        <v>39.123414</v>
      </c>
      <c r="R3257" t="str">
        <f>"26.422304"</f>
        <v>26.422304</v>
      </c>
      <c r="S3257" t="s">
        <v>26</v>
      </c>
    </row>
    <row r="3258" spans="1:19" x14ac:dyDescent="0.3">
      <c r="A3258" t="s">
        <v>12435</v>
      </c>
      <c r="B3258" t="s">
        <v>12921</v>
      </c>
      <c r="C3258" t="s">
        <v>12556</v>
      </c>
      <c r="D3258" t="s">
        <v>12436</v>
      </c>
      <c r="E3258" t="s">
        <v>12465</v>
      </c>
      <c r="F3258" t="s">
        <v>12551</v>
      </c>
      <c r="G3258" t="s">
        <v>12551</v>
      </c>
      <c r="H3258" t="s">
        <v>868</v>
      </c>
      <c r="I3258" t="s">
        <v>869</v>
      </c>
      <c r="J3258" t="str">
        <f>"9330010"</f>
        <v>9330010</v>
      </c>
      <c r="K3258">
        <v>2252042030</v>
      </c>
      <c r="L3258">
        <v>2252042030</v>
      </c>
      <c r="M3258" t="s">
        <v>12937</v>
      </c>
      <c r="N3258" t="s">
        <v>12554</v>
      </c>
      <c r="O3258" t="s">
        <v>12938</v>
      </c>
      <c r="P3258">
        <v>81300</v>
      </c>
      <c r="Q3258" t="str">
        <f>"39.082737"</f>
        <v>39.082737</v>
      </c>
      <c r="R3258" t="str">
        <f>"26.185428"</f>
        <v>26.185428</v>
      </c>
      <c r="S3258" t="s">
        <v>26</v>
      </c>
    </row>
    <row r="3259" spans="1:19" x14ac:dyDescent="0.3">
      <c r="A3259" t="s">
        <v>12435</v>
      </c>
      <c r="B3259" t="s">
        <v>12921</v>
      </c>
      <c r="C3259" t="s">
        <v>12624</v>
      </c>
      <c r="D3259" t="s">
        <v>12436</v>
      </c>
      <c r="E3259" t="s">
        <v>12465</v>
      </c>
      <c r="F3259" t="s">
        <v>11983</v>
      </c>
      <c r="G3259" t="s">
        <v>12619</v>
      </c>
      <c r="H3259" t="s">
        <v>868</v>
      </c>
      <c r="I3259" t="s">
        <v>950</v>
      </c>
      <c r="J3259" t="str">
        <f>"9330069"</f>
        <v>9330069</v>
      </c>
      <c r="K3259">
        <v>2253098256</v>
      </c>
      <c r="L3259">
        <v>2253098256</v>
      </c>
      <c r="M3259" t="s">
        <v>12939</v>
      </c>
      <c r="N3259" t="s">
        <v>12940</v>
      </c>
      <c r="O3259" t="s">
        <v>12941</v>
      </c>
      <c r="P3259">
        <v>81107</v>
      </c>
      <c r="Q3259" t="str">
        <f>"39.260274"</f>
        <v>39.260274</v>
      </c>
      <c r="R3259" t="str">
        <f>"26.138309"</f>
        <v>26.138309</v>
      </c>
      <c r="S3259" t="s">
        <v>26</v>
      </c>
    </row>
    <row r="3260" spans="1:19" x14ac:dyDescent="0.3">
      <c r="A3260" t="s">
        <v>12435</v>
      </c>
      <c r="B3260" t="s">
        <v>12921</v>
      </c>
      <c r="C3260" t="s">
        <v>12943</v>
      </c>
      <c r="D3260" t="s">
        <v>12453</v>
      </c>
      <c r="E3260" t="s">
        <v>12453</v>
      </c>
      <c r="F3260" t="s">
        <v>12942</v>
      </c>
      <c r="G3260" t="s">
        <v>12942</v>
      </c>
      <c r="H3260" t="s">
        <v>868</v>
      </c>
      <c r="I3260" t="s">
        <v>869</v>
      </c>
      <c r="J3260" t="str">
        <f>"9330099"</f>
        <v>9330099</v>
      </c>
      <c r="K3260">
        <v>2254031708</v>
      </c>
      <c r="L3260">
        <v>2254031708</v>
      </c>
      <c r="M3260" t="s">
        <v>12944</v>
      </c>
      <c r="N3260" t="s">
        <v>12945</v>
      </c>
      <c r="O3260" t="s">
        <v>12945</v>
      </c>
      <c r="P3260">
        <v>81401</v>
      </c>
      <c r="Q3260" t="str">
        <f>"39.946042"</f>
        <v>39.946042</v>
      </c>
      <c r="R3260" t="str">
        <f>"25.224950"</f>
        <v>25.224950</v>
      </c>
      <c r="S3260" t="s">
        <v>57</v>
      </c>
    </row>
    <row r="3261" spans="1:19" x14ac:dyDescent="0.3">
      <c r="A3261" t="s">
        <v>12435</v>
      </c>
      <c r="B3261" t="s">
        <v>12921</v>
      </c>
      <c r="C3261" t="s">
        <v>12578</v>
      </c>
      <c r="D3261" t="s">
        <v>12436</v>
      </c>
      <c r="E3261" t="s">
        <v>12465</v>
      </c>
      <c r="F3261" t="s">
        <v>12946</v>
      </c>
      <c r="G3261" t="s">
        <v>12947</v>
      </c>
      <c r="H3261" t="s">
        <v>868</v>
      </c>
      <c r="I3261" t="s">
        <v>950</v>
      </c>
      <c r="J3261" t="str">
        <f>"9330068"</f>
        <v>9330068</v>
      </c>
      <c r="K3261">
        <v>2253055221</v>
      </c>
      <c r="L3261">
        <v>2253055221</v>
      </c>
      <c r="M3261" t="s">
        <v>12948</v>
      </c>
      <c r="N3261" t="s">
        <v>12949</v>
      </c>
      <c r="O3261" t="s">
        <v>12949</v>
      </c>
      <c r="P3261">
        <v>81104</v>
      </c>
      <c r="Q3261" t="str">
        <f>"39.362232"</f>
        <v>39.362232</v>
      </c>
      <c r="R3261" t="str">
        <f>"26.295377"</f>
        <v>26.295377</v>
      </c>
      <c r="S3261" t="s">
        <v>26</v>
      </c>
    </row>
    <row r="3262" spans="1:19" x14ac:dyDescent="0.3">
      <c r="A3262" t="s">
        <v>12435</v>
      </c>
      <c r="B3262" t="s">
        <v>12921</v>
      </c>
      <c r="C3262" t="s">
        <v>12951</v>
      </c>
      <c r="D3262" t="s">
        <v>12453</v>
      </c>
      <c r="E3262" t="s">
        <v>12453</v>
      </c>
      <c r="F3262" t="s">
        <v>12454</v>
      </c>
      <c r="G3262" t="s">
        <v>12950</v>
      </c>
      <c r="H3262" t="s">
        <v>868</v>
      </c>
      <c r="I3262" t="s">
        <v>950</v>
      </c>
      <c r="J3262" t="str">
        <f>"9330103"</f>
        <v>9330103</v>
      </c>
      <c r="K3262">
        <v>2254025842</v>
      </c>
      <c r="L3262">
        <v>2254023034</v>
      </c>
      <c r="M3262" t="s">
        <v>12952</v>
      </c>
      <c r="N3262" t="s">
        <v>12953</v>
      </c>
      <c r="O3262" t="s">
        <v>12953</v>
      </c>
      <c r="P3262">
        <v>81400</v>
      </c>
      <c r="Q3262" t="str">
        <f>"39.855540"</f>
        <v>39.855540</v>
      </c>
      <c r="R3262" t="str">
        <f>"25.086802"</f>
        <v>25.086802</v>
      </c>
      <c r="S3262" t="s">
        <v>57</v>
      </c>
    </row>
    <row r="3263" spans="1:19" x14ac:dyDescent="0.3">
      <c r="A3263" t="s">
        <v>12435</v>
      </c>
      <c r="B3263" t="s">
        <v>12921</v>
      </c>
      <c r="C3263" t="s">
        <v>12658</v>
      </c>
      <c r="D3263" t="s">
        <v>12453</v>
      </c>
      <c r="E3263" t="s">
        <v>12453</v>
      </c>
      <c r="F3263" t="s">
        <v>12652</v>
      </c>
      <c r="G3263" t="s">
        <v>12652</v>
      </c>
      <c r="H3263" t="s">
        <v>868</v>
      </c>
      <c r="I3263" t="s">
        <v>869</v>
      </c>
      <c r="J3263" t="str">
        <f>"9330118"</f>
        <v>9330118</v>
      </c>
      <c r="K3263">
        <v>2254092380</v>
      </c>
      <c r="L3263">
        <v>2254092380</v>
      </c>
      <c r="M3263" t="s">
        <v>12957</v>
      </c>
      <c r="O3263" t="s">
        <v>12958</v>
      </c>
      <c r="P3263">
        <v>81400</v>
      </c>
      <c r="Q3263" t="str">
        <f>"39.893853"</f>
        <v>39.893853</v>
      </c>
      <c r="R3263" t="str">
        <f>"25.203516"</f>
        <v>25.203516</v>
      </c>
      <c r="S3263" t="s">
        <v>57</v>
      </c>
    </row>
    <row r="3264" spans="1:19" x14ac:dyDescent="0.3">
      <c r="A3264" t="s">
        <v>12435</v>
      </c>
      <c r="B3264" t="s">
        <v>12921</v>
      </c>
      <c r="C3264" t="s">
        <v>12963</v>
      </c>
      <c r="D3264" t="s">
        <v>12436</v>
      </c>
      <c r="E3264" t="s">
        <v>12437</v>
      </c>
      <c r="F3264" t="s">
        <v>12437</v>
      </c>
      <c r="G3264" t="s">
        <v>12962</v>
      </c>
      <c r="H3264" t="s">
        <v>868</v>
      </c>
      <c r="I3264" t="s">
        <v>869</v>
      </c>
      <c r="J3264" t="str">
        <f>"9330088"</f>
        <v>9330088</v>
      </c>
      <c r="K3264">
        <v>2251031294</v>
      </c>
      <c r="L3264">
        <v>2251031294</v>
      </c>
      <c r="M3264" t="s">
        <v>12964</v>
      </c>
      <c r="N3264" t="s">
        <v>12965</v>
      </c>
      <c r="O3264" t="s">
        <v>12966</v>
      </c>
      <c r="P3264">
        <v>81100</v>
      </c>
      <c r="Q3264" t="str">
        <f>"39.145560"</f>
        <v>39.145560</v>
      </c>
      <c r="R3264" t="str">
        <f>"26.528038"</f>
        <v>26.528038</v>
      </c>
      <c r="S3264" t="s">
        <v>26</v>
      </c>
    </row>
    <row r="3265" spans="1:19" x14ac:dyDescent="0.3">
      <c r="A3265" t="s">
        <v>12435</v>
      </c>
      <c r="B3265" t="s">
        <v>12921</v>
      </c>
      <c r="C3265" t="s">
        <v>12479</v>
      </c>
      <c r="D3265" t="s">
        <v>12436</v>
      </c>
      <c r="E3265" t="s">
        <v>12437</v>
      </c>
      <c r="F3265" t="s">
        <v>12473</v>
      </c>
      <c r="G3265" t="s">
        <v>12473</v>
      </c>
      <c r="H3265" t="s">
        <v>868</v>
      </c>
      <c r="I3265" t="s">
        <v>869</v>
      </c>
      <c r="J3265" t="str">
        <f>"9330001"</f>
        <v>9330001</v>
      </c>
      <c r="K3265">
        <v>2252022243</v>
      </c>
      <c r="L3265">
        <v>2252022243</v>
      </c>
      <c r="M3265" t="s">
        <v>12967</v>
      </c>
      <c r="N3265" t="s">
        <v>12478</v>
      </c>
      <c r="O3265" t="s">
        <v>12478</v>
      </c>
      <c r="P3265">
        <v>81101</v>
      </c>
      <c r="Q3265" t="str">
        <f>"39.084968"</f>
        <v>39.084968</v>
      </c>
      <c r="R3265" t="str">
        <f>"26.371856"</f>
        <v>26.371856</v>
      </c>
      <c r="S3265" t="s">
        <v>26</v>
      </c>
    </row>
    <row r="3266" spans="1:19" x14ac:dyDescent="0.3">
      <c r="A3266" t="s">
        <v>12435</v>
      </c>
      <c r="B3266" t="s">
        <v>12921</v>
      </c>
      <c r="C3266" t="s">
        <v>12969</v>
      </c>
      <c r="D3266" t="s">
        <v>12453</v>
      </c>
      <c r="E3266" t="s">
        <v>12453</v>
      </c>
      <c r="F3266" t="s">
        <v>12652</v>
      </c>
      <c r="G3266" t="s">
        <v>12968</v>
      </c>
      <c r="H3266" t="s">
        <v>868</v>
      </c>
      <c r="I3266" t="s">
        <v>869</v>
      </c>
      <c r="J3266" t="str">
        <f>"9330110"</f>
        <v>9330110</v>
      </c>
      <c r="K3266">
        <v>2254051375</v>
      </c>
      <c r="L3266">
        <v>2254051375</v>
      </c>
      <c r="M3266" t="s">
        <v>12970</v>
      </c>
      <c r="N3266" t="s">
        <v>12971</v>
      </c>
      <c r="O3266" t="s">
        <v>12971</v>
      </c>
      <c r="P3266">
        <v>81400</v>
      </c>
      <c r="Q3266" t="str">
        <f>"39.866624"</f>
        <v>39.866624</v>
      </c>
      <c r="R3266" t="str">
        <f>"25.152087"</f>
        <v>25.152087</v>
      </c>
      <c r="S3266" t="s">
        <v>57</v>
      </c>
    </row>
    <row r="3267" spans="1:19" x14ac:dyDescent="0.3">
      <c r="A3267" t="s">
        <v>12435</v>
      </c>
      <c r="B3267" t="s">
        <v>12921</v>
      </c>
      <c r="C3267" t="s">
        <v>12972</v>
      </c>
      <c r="D3267" t="s">
        <v>12436</v>
      </c>
      <c r="E3267" t="s">
        <v>12437</v>
      </c>
      <c r="F3267" t="s">
        <v>12437</v>
      </c>
      <c r="G3267" t="s">
        <v>12437</v>
      </c>
      <c r="H3267" t="s">
        <v>868</v>
      </c>
      <c r="I3267" t="s">
        <v>869</v>
      </c>
      <c r="J3267" t="str">
        <f>"9330230"</f>
        <v>9330230</v>
      </c>
      <c r="K3267">
        <v>2251024854</v>
      </c>
      <c r="L3267">
        <v>2251024854</v>
      </c>
      <c r="M3267" t="s">
        <v>12973</v>
      </c>
      <c r="N3267" t="s">
        <v>12974</v>
      </c>
      <c r="O3267" t="s">
        <v>12975</v>
      </c>
      <c r="P3267">
        <v>81100</v>
      </c>
      <c r="Q3267" t="str">
        <f>"39.090122"</f>
        <v>39.090122</v>
      </c>
      <c r="R3267" t="str">
        <f>"26.552240"</f>
        <v>26.552240</v>
      </c>
      <c r="S3267" t="s">
        <v>26</v>
      </c>
    </row>
    <row r="3268" spans="1:19" x14ac:dyDescent="0.3">
      <c r="A3268" t="s">
        <v>12435</v>
      </c>
      <c r="B3268" t="s">
        <v>12921</v>
      </c>
      <c r="C3268" t="s">
        <v>12618</v>
      </c>
      <c r="D3268" t="s">
        <v>12436</v>
      </c>
      <c r="E3268" t="s">
        <v>12437</v>
      </c>
      <c r="F3268" t="s">
        <v>12437</v>
      </c>
      <c r="G3268" t="s">
        <v>12437</v>
      </c>
      <c r="H3268" t="s">
        <v>868</v>
      </c>
      <c r="I3268" t="s">
        <v>869</v>
      </c>
      <c r="J3268" t="str">
        <f>"9330222"</f>
        <v>9330222</v>
      </c>
      <c r="K3268">
        <v>2251024067</v>
      </c>
      <c r="L3268">
        <v>2251024067</v>
      </c>
      <c r="M3268" t="s">
        <v>12976</v>
      </c>
      <c r="N3268" t="s">
        <v>12440</v>
      </c>
      <c r="O3268" t="s">
        <v>12617</v>
      </c>
      <c r="P3268">
        <v>81100</v>
      </c>
      <c r="Q3268" t="str">
        <f>"39.093990"</f>
        <v>39.093990</v>
      </c>
      <c r="R3268" t="str">
        <f>"26.550171"</f>
        <v>26.550171</v>
      </c>
      <c r="S3268" t="s">
        <v>26</v>
      </c>
    </row>
    <row r="3269" spans="1:19" x14ac:dyDescent="0.3">
      <c r="A3269" t="s">
        <v>12435</v>
      </c>
      <c r="B3269" t="s">
        <v>12921</v>
      </c>
      <c r="C3269" t="s">
        <v>12571</v>
      </c>
      <c r="D3269" t="s">
        <v>12436</v>
      </c>
      <c r="E3269" t="s">
        <v>12437</v>
      </c>
      <c r="F3269" t="s">
        <v>12437</v>
      </c>
      <c r="G3269" t="s">
        <v>12437</v>
      </c>
      <c r="H3269" t="s">
        <v>868</v>
      </c>
      <c r="I3269" t="s">
        <v>869</v>
      </c>
      <c r="J3269" t="str">
        <f>"9330004"</f>
        <v>9330004</v>
      </c>
      <c r="K3269">
        <v>2251022726</v>
      </c>
      <c r="L3269">
        <v>2251022726</v>
      </c>
      <c r="M3269" t="s">
        <v>12977</v>
      </c>
      <c r="N3269" t="s">
        <v>12440</v>
      </c>
      <c r="O3269" t="s">
        <v>12978</v>
      </c>
      <c r="P3269">
        <v>81100</v>
      </c>
      <c r="Q3269" t="str">
        <f>"39.104956"</f>
        <v>39.104956</v>
      </c>
      <c r="R3269" t="str">
        <f>"26.554719"</f>
        <v>26.554719</v>
      </c>
      <c r="S3269" t="s">
        <v>26</v>
      </c>
    </row>
    <row r="3270" spans="1:19" x14ac:dyDescent="0.3">
      <c r="A3270" t="s">
        <v>12435</v>
      </c>
      <c r="B3270" t="s">
        <v>12921</v>
      </c>
      <c r="C3270" t="s">
        <v>12980</v>
      </c>
      <c r="D3270" t="s">
        <v>12436</v>
      </c>
      <c r="E3270" t="s">
        <v>12465</v>
      </c>
      <c r="F3270" t="s">
        <v>11983</v>
      </c>
      <c r="G3270" t="s">
        <v>12979</v>
      </c>
      <c r="H3270" t="s">
        <v>868</v>
      </c>
      <c r="I3270" t="s">
        <v>950</v>
      </c>
      <c r="J3270" t="str">
        <f>"9330064"</f>
        <v>9330064</v>
      </c>
      <c r="K3270">
        <v>2253098202</v>
      </c>
      <c r="L3270">
        <v>2253098202</v>
      </c>
      <c r="M3270" t="s">
        <v>12981</v>
      </c>
      <c r="N3270" t="s">
        <v>12982</v>
      </c>
      <c r="O3270" t="s">
        <v>12982</v>
      </c>
      <c r="P3270">
        <v>81110</v>
      </c>
      <c r="Q3270" t="str">
        <f>"39.258773"</f>
        <v>39.258773</v>
      </c>
      <c r="R3270" t="str">
        <f>"26.071915"</f>
        <v>26.071915</v>
      </c>
      <c r="S3270" t="s">
        <v>57</v>
      </c>
    </row>
    <row r="3271" spans="1:19" x14ac:dyDescent="0.3">
      <c r="A3271" t="s">
        <v>12435</v>
      </c>
      <c r="B3271" t="s">
        <v>12921</v>
      </c>
      <c r="C3271" t="s">
        <v>12984</v>
      </c>
      <c r="D3271" t="s">
        <v>12436</v>
      </c>
      <c r="E3271" t="s">
        <v>12465</v>
      </c>
      <c r="F3271" t="s">
        <v>12572</v>
      </c>
      <c r="G3271" t="s">
        <v>12983</v>
      </c>
      <c r="H3271" t="s">
        <v>868</v>
      </c>
      <c r="I3271" t="s">
        <v>869</v>
      </c>
      <c r="J3271" t="str">
        <f>"9330077"</f>
        <v>9330077</v>
      </c>
      <c r="K3271">
        <v>2253093206</v>
      </c>
      <c r="L3271">
        <v>2253093206</v>
      </c>
      <c r="M3271" t="s">
        <v>12985</v>
      </c>
      <c r="N3271" t="s">
        <v>12986</v>
      </c>
      <c r="O3271" t="s">
        <v>12986</v>
      </c>
      <c r="P3271">
        <v>81104</v>
      </c>
      <c r="Q3271" t="str">
        <f>"39.337127"</f>
        <v>39.337127</v>
      </c>
      <c r="R3271" t="str">
        <f>"26.317028"</f>
        <v>26.317028</v>
      </c>
      <c r="S3271" t="s">
        <v>26</v>
      </c>
    </row>
    <row r="3272" spans="1:19" x14ac:dyDescent="0.3">
      <c r="A3272" t="s">
        <v>12435</v>
      </c>
      <c r="B3272" t="s">
        <v>12921</v>
      </c>
      <c r="C3272" t="s">
        <v>12993</v>
      </c>
      <c r="D3272" t="s">
        <v>12453</v>
      </c>
      <c r="E3272" t="s">
        <v>12453</v>
      </c>
      <c r="F3272" t="s">
        <v>12942</v>
      </c>
      <c r="G3272" t="s">
        <v>3295</v>
      </c>
      <c r="H3272" t="s">
        <v>868</v>
      </c>
      <c r="I3272" t="s">
        <v>869</v>
      </c>
      <c r="J3272" t="str">
        <f>"9330096"</f>
        <v>9330096</v>
      </c>
      <c r="K3272">
        <v>2254061307</v>
      </c>
      <c r="L3272">
        <v>2254061307</v>
      </c>
      <c r="M3272" t="s">
        <v>12994</v>
      </c>
      <c r="N3272" t="s">
        <v>10669</v>
      </c>
      <c r="P3272">
        <v>81400</v>
      </c>
      <c r="Q3272" t="str">
        <f>"39.913151"</f>
        <v>39.913151</v>
      </c>
      <c r="R3272" t="str">
        <f>"25.153381"</f>
        <v>25.153381</v>
      </c>
      <c r="S3272" t="s">
        <v>57</v>
      </c>
    </row>
    <row r="3273" spans="1:19" x14ac:dyDescent="0.3">
      <c r="A3273" t="s">
        <v>12435</v>
      </c>
      <c r="B3273" t="s">
        <v>12921</v>
      </c>
      <c r="C3273" t="s">
        <v>12532</v>
      </c>
      <c r="D3273" t="s">
        <v>12436</v>
      </c>
      <c r="E3273" t="s">
        <v>12437</v>
      </c>
      <c r="F3273" t="s">
        <v>12515</v>
      </c>
      <c r="G3273" t="s">
        <v>12515</v>
      </c>
      <c r="H3273" t="s">
        <v>868</v>
      </c>
      <c r="I3273" t="s">
        <v>869</v>
      </c>
      <c r="J3273" t="str">
        <f>"9330033"</f>
        <v>9330033</v>
      </c>
      <c r="K3273">
        <v>2252032273</v>
      </c>
      <c r="L3273">
        <v>2252032273</v>
      </c>
      <c r="M3273" t="s">
        <v>12995</v>
      </c>
      <c r="N3273" t="s">
        <v>12996</v>
      </c>
      <c r="O3273" t="s">
        <v>12518</v>
      </c>
      <c r="P3273">
        <v>81200</v>
      </c>
      <c r="Q3273" t="str">
        <f>"38.975747"</f>
        <v>38.975747</v>
      </c>
      <c r="R3273" t="str">
        <f>"26.375801"</f>
        <v>26.375801</v>
      </c>
      <c r="S3273" t="s">
        <v>26</v>
      </c>
    </row>
    <row r="3274" spans="1:19" x14ac:dyDescent="0.3">
      <c r="A3274" t="s">
        <v>12435</v>
      </c>
      <c r="B3274" t="s">
        <v>12921</v>
      </c>
      <c r="C3274" t="s">
        <v>12472</v>
      </c>
      <c r="D3274" t="s">
        <v>12436</v>
      </c>
      <c r="E3274" t="s">
        <v>12465</v>
      </c>
      <c r="F3274" t="s">
        <v>12466</v>
      </c>
      <c r="G3274" t="s">
        <v>12466</v>
      </c>
      <c r="H3274" t="s">
        <v>868</v>
      </c>
      <c r="I3274" t="s">
        <v>869</v>
      </c>
      <c r="J3274" t="str">
        <f>"9330061"</f>
        <v>9330061</v>
      </c>
      <c r="K3274">
        <v>2253041204</v>
      </c>
      <c r="L3274">
        <v>2253041279</v>
      </c>
      <c r="M3274" t="s">
        <v>13001</v>
      </c>
      <c r="N3274" t="s">
        <v>12471</v>
      </c>
      <c r="O3274" t="s">
        <v>12471</v>
      </c>
      <c r="P3274">
        <v>81109</v>
      </c>
      <c r="Q3274" t="str">
        <f>"39.327396"</f>
        <v>39.327396</v>
      </c>
      <c r="R3274" t="str">
        <f>"26.181141"</f>
        <v>26.181141</v>
      </c>
      <c r="S3274" t="s">
        <v>26</v>
      </c>
    </row>
    <row r="3275" spans="1:19" x14ac:dyDescent="0.3">
      <c r="A3275" t="s">
        <v>12435</v>
      </c>
      <c r="B3275" t="s">
        <v>12921</v>
      </c>
      <c r="C3275" t="s">
        <v>13005</v>
      </c>
      <c r="D3275" t="s">
        <v>12436</v>
      </c>
      <c r="E3275" t="s">
        <v>12465</v>
      </c>
      <c r="F3275" t="s">
        <v>12508</v>
      </c>
      <c r="G3275" t="s">
        <v>13004</v>
      </c>
      <c r="H3275" t="s">
        <v>868</v>
      </c>
      <c r="I3275" t="s">
        <v>950</v>
      </c>
      <c r="J3275" t="str">
        <f>"9330052"</f>
        <v>9330052</v>
      </c>
      <c r="K3275">
        <v>2253051230</v>
      </c>
      <c r="L3275">
        <v>2253051230</v>
      </c>
      <c r="M3275" t="s">
        <v>13006</v>
      </c>
      <c r="N3275" t="s">
        <v>13007</v>
      </c>
      <c r="O3275" t="s">
        <v>13007</v>
      </c>
      <c r="P3275">
        <v>81103</v>
      </c>
      <c r="Q3275" t="str">
        <f>"39.223256"</f>
        <v>39.223256</v>
      </c>
      <c r="R3275" t="str">
        <f>"26.048632"</f>
        <v>26.048632</v>
      </c>
      <c r="S3275" t="s">
        <v>57</v>
      </c>
    </row>
    <row r="3276" spans="1:19" x14ac:dyDescent="0.3">
      <c r="A3276" t="s">
        <v>12435</v>
      </c>
      <c r="B3276" t="s">
        <v>12921</v>
      </c>
      <c r="C3276" t="s">
        <v>13009</v>
      </c>
      <c r="D3276" t="s">
        <v>12436</v>
      </c>
      <c r="E3276" t="s">
        <v>12465</v>
      </c>
      <c r="F3276" t="s">
        <v>11983</v>
      </c>
      <c r="G3276" t="s">
        <v>13008</v>
      </c>
      <c r="H3276" t="s">
        <v>868</v>
      </c>
      <c r="I3276" t="s">
        <v>869</v>
      </c>
      <c r="J3276" t="str">
        <f>"9330079"</f>
        <v>9330079</v>
      </c>
      <c r="K3276">
        <v>2253022343</v>
      </c>
      <c r="L3276">
        <v>2253022343</v>
      </c>
      <c r="M3276" t="s">
        <v>13010</v>
      </c>
      <c r="N3276" t="s">
        <v>13011</v>
      </c>
      <c r="O3276" t="s">
        <v>13012</v>
      </c>
      <c r="P3276">
        <v>81107</v>
      </c>
      <c r="Q3276" t="str">
        <f>"39.215032"</f>
        <v>39.215032</v>
      </c>
      <c r="R3276" t="str">
        <f>"26.209391"</f>
        <v>26.209391</v>
      </c>
      <c r="S3276" t="s">
        <v>26</v>
      </c>
    </row>
    <row r="3277" spans="1:19" x14ac:dyDescent="0.3">
      <c r="A3277" t="s">
        <v>12435</v>
      </c>
      <c r="B3277" t="s">
        <v>12921</v>
      </c>
      <c r="C3277" t="s">
        <v>13013</v>
      </c>
      <c r="D3277" t="s">
        <v>12453</v>
      </c>
      <c r="E3277" t="s">
        <v>12453</v>
      </c>
      <c r="F3277" t="s">
        <v>12454</v>
      </c>
      <c r="G3277" t="s">
        <v>12455</v>
      </c>
      <c r="H3277" t="s">
        <v>868</v>
      </c>
      <c r="I3277" t="s">
        <v>869</v>
      </c>
      <c r="J3277" t="str">
        <f>"9330094"</f>
        <v>9330094</v>
      </c>
      <c r="K3277">
        <v>2254022559</v>
      </c>
      <c r="L3277">
        <v>2254022559</v>
      </c>
      <c r="M3277" t="s">
        <v>13014</v>
      </c>
      <c r="N3277" t="s">
        <v>12563</v>
      </c>
      <c r="O3277" t="s">
        <v>13015</v>
      </c>
      <c r="P3277">
        <v>81400</v>
      </c>
      <c r="Q3277" t="str">
        <f>"39.874632"</f>
        <v>39.874632</v>
      </c>
      <c r="R3277" t="str">
        <f>"25.063810"</f>
        <v>25.063810</v>
      </c>
      <c r="S3277" t="s">
        <v>57</v>
      </c>
    </row>
    <row r="3278" spans="1:19" x14ac:dyDescent="0.3">
      <c r="A3278" t="s">
        <v>12435</v>
      </c>
      <c r="B3278" t="s">
        <v>12921</v>
      </c>
      <c r="C3278" t="s">
        <v>12611</v>
      </c>
      <c r="D3278" t="s">
        <v>12436</v>
      </c>
      <c r="E3278" t="s">
        <v>12465</v>
      </c>
      <c r="F3278" t="s">
        <v>11983</v>
      </c>
      <c r="G3278" t="s">
        <v>2861</v>
      </c>
      <c r="H3278" t="s">
        <v>868</v>
      </c>
      <c r="I3278" t="s">
        <v>869</v>
      </c>
      <c r="J3278" t="str">
        <f>"9330047"</f>
        <v>9330047</v>
      </c>
      <c r="K3278">
        <v>2253095225</v>
      </c>
      <c r="L3278">
        <v>2253095225</v>
      </c>
      <c r="M3278" t="s">
        <v>13016</v>
      </c>
      <c r="N3278" t="s">
        <v>12610</v>
      </c>
      <c r="O3278" t="s">
        <v>12610</v>
      </c>
      <c r="P3278">
        <v>81105</v>
      </c>
      <c r="Q3278" t="str">
        <f>"39.156841"</f>
        <v>39.156841</v>
      </c>
      <c r="R3278" t="str">
        <f>"26.060269"</f>
        <v>26.060269</v>
      </c>
      <c r="S3278" t="s">
        <v>57</v>
      </c>
    </row>
    <row r="3279" spans="1:19" x14ac:dyDescent="0.3">
      <c r="A3279" t="s">
        <v>12435</v>
      </c>
      <c r="B3279" t="s">
        <v>12921</v>
      </c>
      <c r="C3279" t="s">
        <v>13018</v>
      </c>
      <c r="D3279" t="s">
        <v>12436</v>
      </c>
      <c r="E3279" t="s">
        <v>12465</v>
      </c>
      <c r="F3279" t="s">
        <v>12508</v>
      </c>
      <c r="G3279" t="s">
        <v>13017</v>
      </c>
      <c r="H3279" t="s">
        <v>868</v>
      </c>
      <c r="I3279" t="s">
        <v>950</v>
      </c>
      <c r="J3279" t="str">
        <f>"9330063"</f>
        <v>9330063</v>
      </c>
      <c r="K3279">
        <v>2253054341</v>
      </c>
      <c r="L3279">
        <v>2253054361</v>
      </c>
      <c r="M3279" t="s">
        <v>13019</v>
      </c>
      <c r="N3279" t="s">
        <v>13020</v>
      </c>
      <c r="O3279" t="s">
        <v>13021</v>
      </c>
      <c r="P3279">
        <v>81103</v>
      </c>
      <c r="Q3279" t="str">
        <f>"39.211346"</f>
        <v>39.211346</v>
      </c>
      <c r="R3279" t="str">
        <f>"25.850727"</f>
        <v>25.850727</v>
      </c>
      <c r="S3279" t="s">
        <v>57</v>
      </c>
    </row>
    <row r="3280" spans="1:19" x14ac:dyDescent="0.3">
      <c r="A3280" t="s">
        <v>12435</v>
      </c>
      <c r="B3280" t="s">
        <v>12921</v>
      </c>
      <c r="C3280" t="s">
        <v>13023</v>
      </c>
      <c r="D3280" t="s">
        <v>12436</v>
      </c>
      <c r="E3280" t="s">
        <v>12465</v>
      </c>
      <c r="F3280" t="s">
        <v>12466</v>
      </c>
      <c r="G3280" t="s">
        <v>13022</v>
      </c>
      <c r="H3280" t="s">
        <v>868</v>
      </c>
      <c r="I3280" t="s">
        <v>869</v>
      </c>
      <c r="J3280" t="str">
        <f>"9330065"</f>
        <v>9330065</v>
      </c>
      <c r="K3280">
        <v>2253092393</v>
      </c>
      <c r="M3280" t="s">
        <v>13024</v>
      </c>
      <c r="N3280" t="s">
        <v>13025</v>
      </c>
      <c r="O3280" t="s">
        <v>13025</v>
      </c>
      <c r="P3280">
        <v>81109</v>
      </c>
      <c r="Q3280" t="str">
        <f>"39.291882"</f>
        <v>39.291882</v>
      </c>
      <c r="R3280" t="str">
        <f>"26.134079"</f>
        <v>26.134079</v>
      </c>
      <c r="S3280" t="s">
        <v>26</v>
      </c>
    </row>
    <row r="3281" spans="1:19" x14ac:dyDescent="0.3">
      <c r="A3281" t="s">
        <v>12435</v>
      </c>
      <c r="B3281" t="s">
        <v>12921</v>
      </c>
      <c r="C3281" t="s">
        <v>13027</v>
      </c>
      <c r="D3281" t="s">
        <v>12453</v>
      </c>
      <c r="E3281" t="s">
        <v>12453</v>
      </c>
      <c r="F3281" t="s">
        <v>12454</v>
      </c>
      <c r="G3281" t="s">
        <v>13026</v>
      </c>
      <c r="H3281" t="s">
        <v>868</v>
      </c>
      <c r="I3281" t="s">
        <v>950</v>
      </c>
      <c r="J3281" t="str">
        <f>"9330108"</f>
        <v>9330108</v>
      </c>
      <c r="K3281">
        <v>2254061509</v>
      </c>
      <c r="L3281">
        <v>2254061509</v>
      </c>
      <c r="M3281" t="s">
        <v>13028</v>
      </c>
      <c r="N3281" t="s">
        <v>13029</v>
      </c>
      <c r="O3281" t="s">
        <v>13029</v>
      </c>
      <c r="P3281">
        <v>81400</v>
      </c>
      <c r="Q3281" t="str">
        <f>"39.913818"</f>
        <v>39.913818</v>
      </c>
      <c r="R3281" t="str">
        <f>"25.080279"</f>
        <v>25.080279</v>
      </c>
      <c r="S3281" t="s">
        <v>57</v>
      </c>
    </row>
    <row r="3282" spans="1:19" x14ac:dyDescent="0.3">
      <c r="A3282" t="s">
        <v>12435</v>
      </c>
      <c r="B3282" t="s">
        <v>12921</v>
      </c>
      <c r="C3282" t="s">
        <v>12628</v>
      </c>
      <c r="D3282" t="s">
        <v>12436</v>
      </c>
      <c r="E3282" t="s">
        <v>12465</v>
      </c>
      <c r="F3282" t="s">
        <v>152</v>
      </c>
      <c r="G3282" t="s">
        <v>152</v>
      </c>
      <c r="H3282" t="s">
        <v>868</v>
      </c>
      <c r="I3282" t="s">
        <v>869</v>
      </c>
      <c r="J3282" t="str">
        <f>"9330046"</f>
        <v>9330046</v>
      </c>
      <c r="K3282">
        <v>2253031291</v>
      </c>
      <c r="L3282">
        <v>2253031291</v>
      </c>
      <c r="M3282" t="s">
        <v>13030</v>
      </c>
      <c r="N3282" t="s">
        <v>12627</v>
      </c>
      <c r="O3282" t="s">
        <v>4693</v>
      </c>
      <c r="P3282">
        <v>81102</v>
      </c>
      <c r="Q3282" t="str">
        <f>"39.246058"</f>
        <v>39.246058</v>
      </c>
      <c r="R3282" t="str">
        <f>"26.270964"</f>
        <v>26.270964</v>
      </c>
      <c r="S3282" t="s">
        <v>26</v>
      </c>
    </row>
    <row r="3283" spans="1:19" x14ac:dyDescent="0.3">
      <c r="A3283" t="s">
        <v>12435</v>
      </c>
      <c r="B3283" t="s">
        <v>12921</v>
      </c>
      <c r="C3283" t="s">
        <v>13032</v>
      </c>
      <c r="D3283" t="s">
        <v>12436</v>
      </c>
      <c r="E3283" t="s">
        <v>12437</v>
      </c>
      <c r="F3283" t="s">
        <v>12515</v>
      </c>
      <c r="G3283" t="s">
        <v>13031</v>
      </c>
      <c r="H3283" t="s">
        <v>868</v>
      </c>
      <c r="I3283" t="s">
        <v>950</v>
      </c>
      <c r="J3283" t="str">
        <f>"9330037"</f>
        <v>9330037</v>
      </c>
      <c r="K3283">
        <v>2252092390</v>
      </c>
      <c r="L3283">
        <v>2252092390</v>
      </c>
      <c r="M3283" t="s">
        <v>13033</v>
      </c>
      <c r="N3283" t="s">
        <v>13034</v>
      </c>
      <c r="O3283" t="s">
        <v>13034</v>
      </c>
      <c r="P3283">
        <v>81200</v>
      </c>
      <c r="Q3283" t="str">
        <f>"39.018088"</f>
        <v>39.018088</v>
      </c>
      <c r="R3283" t="str">
        <f>"26.363724"</f>
        <v>26.363724</v>
      </c>
      <c r="S3283" t="s">
        <v>57</v>
      </c>
    </row>
    <row r="3284" spans="1:19" x14ac:dyDescent="0.3">
      <c r="A3284" t="s">
        <v>12435</v>
      </c>
      <c r="B3284" t="s">
        <v>12921</v>
      </c>
      <c r="C3284" t="s">
        <v>12519</v>
      </c>
      <c r="D3284" t="s">
        <v>12436</v>
      </c>
      <c r="E3284" t="s">
        <v>12437</v>
      </c>
      <c r="F3284" t="s">
        <v>12515</v>
      </c>
      <c r="G3284" t="s">
        <v>12515</v>
      </c>
      <c r="H3284" t="s">
        <v>868</v>
      </c>
      <c r="I3284" t="s">
        <v>869</v>
      </c>
      <c r="J3284" t="str">
        <f>"9330032"</f>
        <v>9330032</v>
      </c>
      <c r="K3284">
        <v>2252032774</v>
      </c>
      <c r="L3284">
        <v>2252032774</v>
      </c>
      <c r="M3284" t="s">
        <v>13035</v>
      </c>
      <c r="N3284" t="s">
        <v>12996</v>
      </c>
      <c r="O3284" t="s">
        <v>12996</v>
      </c>
      <c r="P3284">
        <v>81200</v>
      </c>
      <c r="Q3284" t="str">
        <f>"38.976510"</f>
        <v>38.976510</v>
      </c>
      <c r="R3284" t="str">
        <f>"26.368366"</f>
        <v>26.368366</v>
      </c>
      <c r="S3284" t="s">
        <v>26</v>
      </c>
    </row>
    <row r="3285" spans="1:19" x14ac:dyDescent="0.3">
      <c r="A3285" t="s">
        <v>12435</v>
      </c>
      <c r="B3285" t="s">
        <v>12921</v>
      </c>
      <c r="C3285" t="s">
        <v>13037</v>
      </c>
      <c r="D3285" t="s">
        <v>12436</v>
      </c>
      <c r="E3285" t="s">
        <v>12437</v>
      </c>
      <c r="F3285" t="s">
        <v>12515</v>
      </c>
      <c r="G3285" t="s">
        <v>13036</v>
      </c>
      <c r="H3285" t="s">
        <v>868</v>
      </c>
      <c r="I3285" t="s">
        <v>950</v>
      </c>
      <c r="J3285" t="str">
        <f>"9330040"</f>
        <v>9330040</v>
      </c>
      <c r="K3285">
        <v>2252032024</v>
      </c>
      <c r="L3285">
        <v>2252032024</v>
      </c>
      <c r="M3285" t="s">
        <v>13038</v>
      </c>
      <c r="N3285" t="s">
        <v>13039</v>
      </c>
      <c r="O3285" t="s">
        <v>13039</v>
      </c>
      <c r="P3285">
        <v>81200</v>
      </c>
      <c r="Q3285" t="str">
        <f>"38.982980"</f>
        <v>38.982980</v>
      </c>
      <c r="R3285" t="str">
        <f>"26.397104"</f>
        <v>26.397104</v>
      </c>
      <c r="S3285" t="s">
        <v>26</v>
      </c>
    </row>
    <row r="3286" spans="1:19" x14ac:dyDescent="0.3">
      <c r="A3286" t="s">
        <v>12435</v>
      </c>
      <c r="B3286" t="s">
        <v>12921</v>
      </c>
      <c r="C3286" t="s">
        <v>13040</v>
      </c>
      <c r="D3286" t="s">
        <v>12436</v>
      </c>
      <c r="E3286" t="s">
        <v>12437</v>
      </c>
      <c r="F3286" t="s">
        <v>12437</v>
      </c>
      <c r="G3286" t="s">
        <v>12437</v>
      </c>
      <c r="H3286" t="s">
        <v>868</v>
      </c>
      <c r="I3286" t="s">
        <v>869</v>
      </c>
      <c r="J3286" t="str">
        <f>"9330003"</f>
        <v>9330003</v>
      </c>
      <c r="K3286">
        <v>2251025334</v>
      </c>
      <c r="L3286">
        <v>2251025334</v>
      </c>
      <c r="M3286" t="s">
        <v>13041</v>
      </c>
      <c r="N3286" t="s">
        <v>13042</v>
      </c>
      <c r="O3286" t="s">
        <v>13043</v>
      </c>
      <c r="P3286">
        <v>81100</v>
      </c>
      <c r="Q3286" t="str">
        <f>"39.077606"</f>
        <v>39.077606</v>
      </c>
      <c r="R3286" t="str">
        <f>"26.574398"</f>
        <v>26.574398</v>
      </c>
      <c r="S3286" t="s">
        <v>26</v>
      </c>
    </row>
    <row r="3287" spans="1:19" x14ac:dyDescent="0.3">
      <c r="A3287" t="s">
        <v>12435</v>
      </c>
      <c r="B3287" t="s">
        <v>12921</v>
      </c>
      <c r="C3287" t="s">
        <v>12464</v>
      </c>
      <c r="D3287" t="s">
        <v>12436</v>
      </c>
      <c r="E3287" t="s">
        <v>12437</v>
      </c>
      <c r="F3287" t="s">
        <v>12437</v>
      </c>
      <c r="G3287" t="s">
        <v>12437</v>
      </c>
      <c r="H3287" t="s">
        <v>868</v>
      </c>
      <c r="I3287" t="s">
        <v>869</v>
      </c>
      <c r="J3287" t="str">
        <f>"9330073"</f>
        <v>9330073</v>
      </c>
      <c r="K3287">
        <v>2251028381</v>
      </c>
      <c r="L3287">
        <v>2251028381</v>
      </c>
      <c r="M3287" t="s">
        <v>13066</v>
      </c>
      <c r="N3287" t="s">
        <v>12440</v>
      </c>
      <c r="O3287" t="s">
        <v>13067</v>
      </c>
      <c r="P3287">
        <v>81100</v>
      </c>
      <c r="Q3287" t="str">
        <f>"39.107884"</f>
        <v>39.107884</v>
      </c>
      <c r="R3287" t="str">
        <f>"26.555529"</f>
        <v>26.555529</v>
      </c>
      <c r="S3287" t="s">
        <v>26</v>
      </c>
    </row>
    <row r="3288" spans="1:19" x14ac:dyDescent="0.3">
      <c r="A3288" t="s">
        <v>12435</v>
      </c>
      <c r="B3288" t="s">
        <v>12921</v>
      </c>
      <c r="C3288" t="s">
        <v>13072</v>
      </c>
      <c r="D3288" t="s">
        <v>12436</v>
      </c>
      <c r="E3288" t="s">
        <v>12465</v>
      </c>
      <c r="F3288" t="s">
        <v>12466</v>
      </c>
      <c r="G3288" t="s">
        <v>13071</v>
      </c>
      <c r="H3288" t="s">
        <v>868</v>
      </c>
      <c r="I3288" t="s">
        <v>950</v>
      </c>
      <c r="J3288" t="str">
        <f>"9330066"</f>
        <v>9330066</v>
      </c>
      <c r="K3288">
        <v>2253091210</v>
      </c>
      <c r="L3288">
        <v>2253091210</v>
      </c>
      <c r="M3288" t="s">
        <v>13073</v>
      </c>
      <c r="N3288" t="s">
        <v>13074</v>
      </c>
      <c r="O3288" t="s">
        <v>13074</v>
      </c>
      <c r="P3288">
        <v>81109</v>
      </c>
      <c r="Q3288" t="str">
        <f>"39.308980"</f>
        <v>39.308980</v>
      </c>
      <c r="R3288" t="str">
        <f>"26.214194"</f>
        <v>26.214194</v>
      </c>
      <c r="S3288" t="s">
        <v>26</v>
      </c>
    </row>
    <row r="3289" spans="1:19" x14ac:dyDescent="0.3">
      <c r="A3289" t="s">
        <v>12435</v>
      </c>
      <c r="B3289" t="s">
        <v>12921</v>
      </c>
      <c r="C3289" t="s">
        <v>13076</v>
      </c>
      <c r="D3289" t="s">
        <v>12436</v>
      </c>
      <c r="E3289" t="s">
        <v>12465</v>
      </c>
      <c r="F3289" t="s">
        <v>12508</v>
      </c>
      <c r="G3289" t="s">
        <v>13075</v>
      </c>
      <c r="H3289" t="s">
        <v>868</v>
      </c>
      <c r="I3289" t="s">
        <v>950</v>
      </c>
      <c r="J3289" t="str">
        <f>"9330070"</f>
        <v>9330070</v>
      </c>
      <c r="K3289">
        <v>2253051390</v>
      </c>
      <c r="L3289">
        <v>2253051390</v>
      </c>
      <c r="M3289" t="s">
        <v>13077</v>
      </c>
      <c r="N3289" t="s">
        <v>13078</v>
      </c>
      <c r="O3289" t="s">
        <v>13079</v>
      </c>
      <c r="P3289">
        <v>81103</v>
      </c>
      <c r="Q3289" t="str">
        <f>"39.202636"</f>
        <v>39.202636</v>
      </c>
      <c r="R3289" t="str">
        <f>"26.024355"</f>
        <v>26.024355</v>
      </c>
      <c r="S3289" t="s">
        <v>57</v>
      </c>
    </row>
    <row r="3290" spans="1:19" x14ac:dyDescent="0.3">
      <c r="A3290" t="s">
        <v>12435</v>
      </c>
      <c r="B3290" t="s">
        <v>12921</v>
      </c>
      <c r="C3290" t="s">
        <v>12547</v>
      </c>
      <c r="D3290" t="s">
        <v>12453</v>
      </c>
      <c r="E3290" t="s">
        <v>12453</v>
      </c>
      <c r="F3290" t="s">
        <v>12454</v>
      </c>
      <c r="G3290" t="s">
        <v>12455</v>
      </c>
      <c r="H3290" t="s">
        <v>868</v>
      </c>
      <c r="I3290" t="s">
        <v>869</v>
      </c>
      <c r="J3290" t="str">
        <f>"9330093"</f>
        <v>9330093</v>
      </c>
      <c r="K3290">
        <v>2254022494</v>
      </c>
      <c r="L3290">
        <v>2254024595</v>
      </c>
      <c r="M3290" t="s">
        <v>13080</v>
      </c>
      <c r="N3290" t="s">
        <v>12482</v>
      </c>
      <c r="O3290" t="s">
        <v>13081</v>
      </c>
      <c r="P3290">
        <v>81400</v>
      </c>
      <c r="Q3290" t="str">
        <f>"39.879228"</f>
        <v>39.879228</v>
      </c>
      <c r="R3290" t="str">
        <f>"25.062649"</f>
        <v>25.062649</v>
      </c>
      <c r="S3290" t="s">
        <v>57</v>
      </c>
    </row>
    <row r="3291" spans="1:19" x14ac:dyDescent="0.3">
      <c r="A3291" t="s">
        <v>12435</v>
      </c>
      <c r="B3291" t="s">
        <v>12921</v>
      </c>
      <c r="C3291" t="s">
        <v>13083</v>
      </c>
      <c r="D3291" t="s">
        <v>12436</v>
      </c>
      <c r="E3291" t="s">
        <v>12437</v>
      </c>
      <c r="F3291" t="s">
        <v>12437</v>
      </c>
      <c r="G3291" t="s">
        <v>13082</v>
      </c>
      <c r="H3291" t="s">
        <v>868</v>
      </c>
      <c r="I3291" t="s">
        <v>869</v>
      </c>
      <c r="J3291" t="str">
        <f>"9330021"</f>
        <v>9330021</v>
      </c>
      <c r="K3291">
        <v>2251091351</v>
      </c>
      <c r="L3291">
        <v>2251091351</v>
      </c>
      <c r="M3291" t="s">
        <v>13084</v>
      </c>
      <c r="N3291" t="s">
        <v>13085</v>
      </c>
      <c r="O3291" t="s">
        <v>13086</v>
      </c>
      <c r="P3291">
        <v>81100</v>
      </c>
      <c r="Q3291" t="str">
        <f>"39.056601"</f>
        <v>39.056601</v>
      </c>
      <c r="R3291" t="str">
        <f>"26.543423"</f>
        <v>26.543423</v>
      </c>
      <c r="S3291" t="s">
        <v>26</v>
      </c>
    </row>
    <row r="3292" spans="1:19" x14ac:dyDescent="0.3">
      <c r="A3292" t="s">
        <v>12435</v>
      </c>
      <c r="B3292" t="s">
        <v>12921</v>
      </c>
      <c r="C3292" t="s">
        <v>13088</v>
      </c>
      <c r="D3292" t="s">
        <v>12436</v>
      </c>
      <c r="E3292" t="s">
        <v>12465</v>
      </c>
      <c r="F3292" t="s">
        <v>11983</v>
      </c>
      <c r="G3292" t="s">
        <v>13087</v>
      </c>
      <c r="H3292" t="s">
        <v>868</v>
      </c>
      <c r="I3292" t="s">
        <v>869</v>
      </c>
      <c r="J3292" t="str">
        <f>"9330059"</f>
        <v>9330059</v>
      </c>
      <c r="K3292">
        <v>2253094371</v>
      </c>
      <c r="L3292">
        <v>2253094376</v>
      </c>
      <c r="M3292" t="s">
        <v>13089</v>
      </c>
      <c r="N3292" t="s">
        <v>13090</v>
      </c>
      <c r="O3292" t="s">
        <v>13090</v>
      </c>
      <c r="P3292">
        <v>81107</v>
      </c>
      <c r="Q3292" t="str">
        <f>"39.169502"</f>
        <v>39.169502</v>
      </c>
      <c r="R3292" t="str">
        <f>"26.140194"</f>
        <v>26.140194</v>
      </c>
      <c r="S3292" t="s">
        <v>26</v>
      </c>
    </row>
    <row r="3293" spans="1:19" x14ac:dyDescent="0.3">
      <c r="A3293" t="s">
        <v>12435</v>
      </c>
      <c r="B3293" t="s">
        <v>12921</v>
      </c>
      <c r="C3293" t="s">
        <v>13102</v>
      </c>
      <c r="D3293" t="s">
        <v>12436</v>
      </c>
      <c r="E3293" t="s">
        <v>12465</v>
      </c>
      <c r="F3293" t="s">
        <v>12946</v>
      </c>
      <c r="G3293" t="s">
        <v>13101</v>
      </c>
      <c r="H3293" t="s">
        <v>868</v>
      </c>
      <c r="I3293" t="s">
        <v>869</v>
      </c>
      <c r="J3293" t="str">
        <f>"9330045"</f>
        <v>9330045</v>
      </c>
      <c r="K3293">
        <v>2253071270</v>
      </c>
      <c r="L3293">
        <v>2253071270</v>
      </c>
      <c r="M3293" t="s">
        <v>13103</v>
      </c>
      <c r="N3293" t="s">
        <v>13104</v>
      </c>
      <c r="O3293" t="s">
        <v>13105</v>
      </c>
      <c r="P3293">
        <v>81108</v>
      </c>
      <c r="Q3293" t="str">
        <f>"39.365504"</f>
        <v>39.365504</v>
      </c>
      <c r="R3293" t="str">
        <f>"26.177861"</f>
        <v>26.177861</v>
      </c>
      <c r="S3293" t="s">
        <v>26</v>
      </c>
    </row>
    <row r="3294" spans="1:19" x14ac:dyDescent="0.3">
      <c r="A3294" t="s">
        <v>12435</v>
      </c>
      <c r="B3294" t="s">
        <v>12921</v>
      </c>
      <c r="C3294" t="s">
        <v>12685</v>
      </c>
      <c r="D3294" t="s">
        <v>12453</v>
      </c>
      <c r="E3294" t="s">
        <v>12453</v>
      </c>
      <c r="F3294" t="s">
        <v>12523</v>
      </c>
      <c r="G3294" t="s">
        <v>13106</v>
      </c>
      <c r="H3294" t="s">
        <v>868</v>
      </c>
      <c r="I3294" t="s">
        <v>869</v>
      </c>
      <c r="J3294" t="str">
        <f>"9330113"</f>
        <v>9330113</v>
      </c>
      <c r="K3294">
        <v>2254041204</v>
      </c>
      <c r="L3294">
        <v>2254041204</v>
      </c>
      <c r="M3294" t="s">
        <v>13107</v>
      </c>
      <c r="N3294" t="s">
        <v>13108</v>
      </c>
      <c r="O3294" t="s">
        <v>13109</v>
      </c>
      <c r="P3294">
        <v>81401</v>
      </c>
      <c r="Q3294" t="str">
        <f>"39.925871"</f>
        <v>39.925871</v>
      </c>
      <c r="R3294" t="str">
        <f>"25.331023"</f>
        <v>25.331023</v>
      </c>
      <c r="S3294" t="s">
        <v>57</v>
      </c>
    </row>
    <row r="3295" spans="1:19" x14ac:dyDescent="0.3">
      <c r="A3295" t="s">
        <v>12435</v>
      </c>
      <c r="B3295" t="s">
        <v>12921</v>
      </c>
      <c r="C3295" t="s">
        <v>12638</v>
      </c>
      <c r="D3295" t="s">
        <v>12436</v>
      </c>
      <c r="E3295" t="s">
        <v>12465</v>
      </c>
      <c r="F3295" t="s">
        <v>12572</v>
      </c>
      <c r="G3295" t="s">
        <v>12572</v>
      </c>
      <c r="H3295" t="s">
        <v>868</v>
      </c>
      <c r="I3295" t="s">
        <v>869</v>
      </c>
      <c r="J3295" t="str">
        <f>"9330083"</f>
        <v>9330083</v>
      </c>
      <c r="K3295">
        <v>2253061202</v>
      </c>
      <c r="L3295">
        <v>2253061202</v>
      </c>
      <c r="M3295" t="s">
        <v>13123</v>
      </c>
      <c r="N3295" t="s">
        <v>13124</v>
      </c>
      <c r="O3295" t="s">
        <v>13124</v>
      </c>
      <c r="P3295">
        <v>81104</v>
      </c>
      <c r="Q3295" t="str">
        <f>"39.310000"</f>
        <v>39.310000</v>
      </c>
      <c r="R3295" t="str">
        <f>"26.330000"</f>
        <v>26.330000</v>
      </c>
      <c r="S3295" t="s">
        <v>26</v>
      </c>
    </row>
    <row r="3296" spans="1:19" x14ac:dyDescent="0.3">
      <c r="A3296" t="s">
        <v>12435</v>
      </c>
      <c r="B3296" t="s">
        <v>12921</v>
      </c>
      <c r="C3296" t="s">
        <v>13140</v>
      </c>
      <c r="D3296" t="s">
        <v>12436</v>
      </c>
      <c r="E3296" t="s">
        <v>12437</v>
      </c>
      <c r="F3296" t="s">
        <v>12500</v>
      </c>
      <c r="G3296" t="s">
        <v>13139</v>
      </c>
      <c r="H3296" t="s">
        <v>868</v>
      </c>
      <c r="I3296" t="s">
        <v>869</v>
      </c>
      <c r="J3296" t="str">
        <f>"9330029"</f>
        <v>9330029</v>
      </c>
      <c r="K3296">
        <v>2251082426</v>
      </c>
      <c r="L3296">
        <v>2251082426</v>
      </c>
      <c r="M3296" t="s">
        <v>13141</v>
      </c>
      <c r="N3296" t="s">
        <v>13142</v>
      </c>
      <c r="O3296" t="s">
        <v>13142</v>
      </c>
      <c r="P3296">
        <v>81106</v>
      </c>
      <c r="Q3296" t="str">
        <f>"39.029302"</f>
        <v>39.029302</v>
      </c>
      <c r="R3296" t="str">
        <f>"26.448050"</f>
        <v>26.448050</v>
      </c>
      <c r="S3296" t="s">
        <v>26</v>
      </c>
    </row>
    <row r="3297" spans="1:19" x14ac:dyDescent="0.3">
      <c r="A3297" t="s">
        <v>12435</v>
      </c>
      <c r="B3297" t="s">
        <v>12921</v>
      </c>
      <c r="C3297" t="s">
        <v>13148</v>
      </c>
      <c r="D3297" t="s">
        <v>12436</v>
      </c>
      <c r="E3297" t="s">
        <v>12437</v>
      </c>
      <c r="F3297" t="s">
        <v>12437</v>
      </c>
      <c r="G3297" t="s">
        <v>12437</v>
      </c>
      <c r="H3297" t="s">
        <v>868</v>
      </c>
      <c r="I3297" t="s">
        <v>869</v>
      </c>
      <c r="J3297" t="str">
        <f>"9330005"</f>
        <v>9330005</v>
      </c>
      <c r="K3297">
        <v>2251022721</v>
      </c>
      <c r="L3297">
        <v>2251022721</v>
      </c>
      <c r="M3297" t="s">
        <v>13149</v>
      </c>
      <c r="N3297" t="s">
        <v>12440</v>
      </c>
      <c r="O3297" t="s">
        <v>13150</v>
      </c>
      <c r="P3297">
        <v>81100</v>
      </c>
      <c r="Q3297" t="str">
        <f>"39.107465"</f>
        <v>39.107465</v>
      </c>
      <c r="R3297" t="str">
        <f>"26.550139"</f>
        <v>26.550139</v>
      </c>
      <c r="S3297" t="s">
        <v>26</v>
      </c>
    </row>
    <row r="3298" spans="1:19" x14ac:dyDescent="0.3">
      <c r="A3298" t="s">
        <v>12435</v>
      </c>
      <c r="B3298" t="s">
        <v>12921</v>
      </c>
      <c r="C3298" t="s">
        <v>12649</v>
      </c>
      <c r="D3298" t="s">
        <v>12436</v>
      </c>
      <c r="E3298" t="s">
        <v>12437</v>
      </c>
      <c r="F3298" t="s">
        <v>12688</v>
      </c>
      <c r="G3298" t="s">
        <v>12688</v>
      </c>
      <c r="H3298" t="s">
        <v>868</v>
      </c>
      <c r="I3298" t="s">
        <v>869</v>
      </c>
      <c r="J3298" t="str">
        <f>"9330082"</f>
        <v>9330082</v>
      </c>
      <c r="K3298">
        <v>2251071055</v>
      </c>
      <c r="L3298">
        <v>2251071055</v>
      </c>
      <c r="M3298" t="s">
        <v>13151</v>
      </c>
      <c r="N3298" t="s">
        <v>13152</v>
      </c>
      <c r="O3298" t="s">
        <v>13153</v>
      </c>
      <c r="P3298">
        <v>81100</v>
      </c>
      <c r="Q3298" t="str">
        <f>"39.179653"</f>
        <v>39.179653</v>
      </c>
      <c r="R3298" t="str">
        <f>"26.485121"</f>
        <v>26.485121</v>
      </c>
      <c r="S3298" t="s">
        <v>26</v>
      </c>
    </row>
    <row r="3299" spans="1:19" x14ac:dyDescent="0.3">
      <c r="A3299" t="s">
        <v>12435</v>
      </c>
      <c r="B3299" t="s">
        <v>12921</v>
      </c>
      <c r="C3299" t="s">
        <v>12514</v>
      </c>
      <c r="D3299" t="s">
        <v>12436</v>
      </c>
      <c r="E3299" t="s">
        <v>12465</v>
      </c>
      <c r="F3299" t="s">
        <v>12508</v>
      </c>
      <c r="G3299" t="s">
        <v>12509</v>
      </c>
      <c r="H3299" t="s">
        <v>868</v>
      </c>
      <c r="I3299" t="s">
        <v>869</v>
      </c>
      <c r="J3299" t="str">
        <f>"9330049"</f>
        <v>9330049</v>
      </c>
      <c r="K3299">
        <v>2253056205</v>
      </c>
      <c r="L3299">
        <v>2253056205</v>
      </c>
      <c r="M3299" t="s">
        <v>13156</v>
      </c>
      <c r="N3299" t="s">
        <v>12512</v>
      </c>
      <c r="O3299" t="s">
        <v>12512</v>
      </c>
      <c r="P3299">
        <v>81103</v>
      </c>
      <c r="Q3299" t="str">
        <f>"39.234005"</f>
        <v>39.234005</v>
      </c>
      <c r="R3299" t="str">
        <f>"25.980129"</f>
        <v>25.980129</v>
      </c>
      <c r="S3299" t="s">
        <v>57</v>
      </c>
    </row>
    <row r="3300" spans="1:19" x14ac:dyDescent="0.3">
      <c r="A3300" t="s">
        <v>12435</v>
      </c>
      <c r="B3300" t="s">
        <v>12921</v>
      </c>
      <c r="C3300" t="s">
        <v>13158</v>
      </c>
      <c r="D3300" t="s">
        <v>12436</v>
      </c>
      <c r="E3300" t="s">
        <v>12437</v>
      </c>
      <c r="F3300" t="s">
        <v>12688</v>
      </c>
      <c r="G3300" t="s">
        <v>13157</v>
      </c>
      <c r="H3300" t="s">
        <v>868</v>
      </c>
      <c r="I3300" t="s">
        <v>950</v>
      </c>
      <c r="J3300" t="str">
        <f>"9330089"</f>
        <v>9330089</v>
      </c>
      <c r="K3300">
        <v>2251071743</v>
      </c>
      <c r="M3300" t="s">
        <v>13159</v>
      </c>
      <c r="N3300" t="s">
        <v>13160</v>
      </c>
      <c r="O3300" t="s">
        <v>13160</v>
      </c>
      <c r="P3300">
        <v>81100</v>
      </c>
      <c r="Q3300" t="str">
        <f>"39.181324"</f>
        <v>39.181324</v>
      </c>
      <c r="R3300" t="str">
        <f>"26.415846"</f>
        <v>26.415846</v>
      </c>
      <c r="S3300" t="s">
        <v>26</v>
      </c>
    </row>
    <row r="3301" spans="1:19" x14ac:dyDescent="0.3">
      <c r="A3301" t="s">
        <v>12435</v>
      </c>
      <c r="B3301" t="s">
        <v>12921</v>
      </c>
      <c r="C3301" t="s">
        <v>13184</v>
      </c>
      <c r="D3301" t="s">
        <v>12436</v>
      </c>
      <c r="E3301" t="s">
        <v>12437</v>
      </c>
      <c r="F3301" t="s">
        <v>12688</v>
      </c>
      <c r="G3301" t="s">
        <v>13183</v>
      </c>
      <c r="H3301" t="s">
        <v>868</v>
      </c>
      <c r="I3301" t="s">
        <v>950</v>
      </c>
      <c r="J3301" t="str">
        <f>"9330084"</f>
        <v>9330084</v>
      </c>
      <c r="K3301">
        <v>2251094206</v>
      </c>
      <c r="L3301">
        <v>2251094206</v>
      </c>
      <c r="M3301" t="s">
        <v>13185</v>
      </c>
      <c r="N3301" t="s">
        <v>13186</v>
      </c>
      <c r="O3301" t="s">
        <v>13186</v>
      </c>
      <c r="P3301">
        <v>81100</v>
      </c>
      <c r="Q3301" t="str">
        <f>"39.211912"</f>
        <v>39.211912</v>
      </c>
      <c r="R3301" t="str">
        <f>"26.464512"</f>
        <v>26.464512</v>
      </c>
      <c r="S3301" t="s">
        <v>26</v>
      </c>
    </row>
    <row r="3302" spans="1:19" x14ac:dyDescent="0.3">
      <c r="A3302" t="s">
        <v>12435</v>
      </c>
      <c r="B3302" t="s">
        <v>12921</v>
      </c>
      <c r="C3302" t="s">
        <v>12499</v>
      </c>
      <c r="D3302" t="s">
        <v>12453</v>
      </c>
      <c r="E3302" t="s">
        <v>12494</v>
      </c>
      <c r="F3302" t="s">
        <v>12494</v>
      </c>
      <c r="G3302" t="s">
        <v>12494</v>
      </c>
      <c r="H3302" t="s">
        <v>868</v>
      </c>
      <c r="I3302" t="s">
        <v>950</v>
      </c>
      <c r="J3302" t="str">
        <f>"9330097"</f>
        <v>9330097</v>
      </c>
      <c r="K3302">
        <v>2254093388</v>
      </c>
      <c r="L3302">
        <v>2254093388</v>
      </c>
      <c r="M3302" t="s">
        <v>13187</v>
      </c>
      <c r="N3302" t="s">
        <v>12498</v>
      </c>
      <c r="O3302" t="s">
        <v>13188</v>
      </c>
      <c r="P3302">
        <v>81500</v>
      </c>
      <c r="Q3302" t="str">
        <f>"39.539488"</f>
        <v>39.539488</v>
      </c>
      <c r="R3302" t="str">
        <f>"24.988669"</f>
        <v>24.988669</v>
      </c>
      <c r="S3302" t="s">
        <v>57</v>
      </c>
    </row>
    <row r="3303" spans="1:19" x14ac:dyDescent="0.3">
      <c r="A3303" t="s">
        <v>12435</v>
      </c>
      <c r="B3303" t="s">
        <v>12921</v>
      </c>
      <c r="C3303" t="s">
        <v>12665</v>
      </c>
      <c r="D3303" t="s">
        <v>12436</v>
      </c>
      <c r="E3303" t="s">
        <v>12437</v>
      </c>
      <c r="F3303" t="s">
        <v>12437</v>
      </c>
      <c r="G3303" t="s">
        <v>12437</v>
      </c>
      <c r="H3303" t="s">
        <v>868</v>
      </c>
      <c r="I3303" t="s">
        <v>869</v>
      </c>
      <c r="J3303" t="str">
        <f>"9330074"</f>
        <v>9330074</v>
      </c>
      <c r="K3303">
        <v>2251022625</v>
      </c>
      <c r="L3303">
        <v>2251022625</v>
      </c>
      <c r="M3303" t="s">
        <v>13189</v>
      </c>
      <c r="N3303" t="s">
        <v>12440</v>
      </c>
      <c r="O3303" t="s">
        <v>13190</v>
      </c>
      <c r="P3303">
        <v>81131</v>
      </c>
      <c r="Q3303" t="str">
        <f>"39.111251"</f>
        <v>39.111251</v>
      </c>
      <c r="R3303" t="str">
        <f>"26.559261"</f>
        <v>26.559261</v>
      </c>
      <c r="S3303" t="s">
        <v>26</v>
      </c>
    </row>
    <row r="3304" spans="1:19" x14ac:dyDescent="0.3">
      <c r="A3304" t="s">
        <v>12435</v>
      </c>
      <c r="B3304" t="s">
        <v>12921</v>
      </c>
      <c r="C3304" t="s">
        <v>12493</v>
      </c>
      <c r="D3304" t="s">
        <v>12436</v>
      </c>
      <c r="E3304" t="s">
        <v>12437</v>
      </c>
      <c r="F3304" t="s">
        <v>12437</v>
      </c>
      <c r="G3304" t="s">
        <v>12592</v>
      </c>
      <c r="H3304" t="s">
        <v>868</v>
      </c>
      <c r="I3304" t="s">
        <v>869</v>
      </c>
      <c r="J3304" t="str">
        <f>"9330087"</f>
        <v>9330087</v>
      </c>
      <c r="K3304">
        <v>2251031388</v>
      </c>
      <c r="L3304">
        <v>2251031388</v>
      </c>
      <c r="M3304" t="s">
        <v>13195</v>
      </c>
      <c r="N3304" t="s">
        <v>12695</v>
      </c>
      <c r="O3304" t="s">
        <v>13196</v>
      </c>
      <c r="P3304">
        <v>81100</v>
      </c>
      <c r="Q3304" t="str">
        <f>"39.154375"</f>
        <v>39.154375</v>
      </c>
      <c r="R3304" t="str">
        <f>"26.520668"</f>
        <v>26.520668</v>
      </c>
      <c r="S3304" t="s">
        <v>26</v>
      </c>
    </row>
    <row r="3305" spans="1:19" x14ac:dyDescent="0.3">
      <c r="A3305" t="s">
        <v>12435</v>
      </c>
      <c r="B3305" t="s">
        <v>12921</v>
      </c>
      <c r="C3305" t="s">
        <v>13197</v>
      </c>
      <c r="D3305" t="s">
        <v>12453</v>
      </c>
      <c r="E3305" t="s">
        <v>12453</v>
      </c>
      <c r="F3305" t="s">
        <v>12454</v>
      </c>
      <c r="G3305" t="s">
        <v>12455</v>
      </c>
      <c r="H3305" t="s">
        <v>868</v>
      </c>
      <c r="I3305" t="s">
        <v>869</v>
      </c>
      <c r="J3305" t="str">
        <f>"9330214"</f>
        <v>9330214</v>
      </c>
      <c r="K3305">
        <v>2254022919</v>
      </c>
      <c r="L3305">
        <v>2254022919</v>
      </c>
      <c r="M3305" t="s">
        <v>13198</v>
      </c>
      <c r="N3305" t="s">
        <v>12482</v>
      </c>
      <c r="O3305" t="s">
        <v>13199</v>
      </c>
      <c r="P3305">
        <v>81400</v>
      </c>
      <c r="Q3305" t="str">
        <f>"39.884646"</f>
        <v>39.884646</v>
      </c>
      <c r="R3305" t="str">
        <f>"25.066653"</f>
        <v>25.066653</v>
      </c>
      <c r="S3305" t="s">
        <v>57</v>
      </c>
    </row>
    <row r="3306" spans="1:19" x14ac:dyDescent="0.3">
      <c r="A3306" t="s">
        <v>12435</v>
      </c>
      <c r="B3306" t="s">
        <v>12921</v>
      </c>
      <c r="C3306" t="s">
        <v>13209</v>
      </c>
      <c r="D3306" t="s">
        <v>12436</v>
      </c>
      <c r="E3306" t="s">
        <v>12465</v>
      </c>
      <c r="F3306" t="s">
        <v>12508</v>
      </c>
      <c r="G3306" t="s">
        <v>13208</v>
      </c>
      <c r="H3306" t="s">
        <v>868</v>
      </c>
      <c r="I3306" t="s">
        <v>869</v>
      </c>
      <c r="J3306" t="str">
        <f>"9330057"</f>
        <v>9330057</v>
      </c>
      <c r="K3306">
        <v>2253096225</v>
      </c>
      <c r="L3306">
        <v>2253096225</v>
      </c>
      <c r="M3306" t="s">
        <v>13210</v>
      </c>
      <c r="N3306" t="s">
        <v>13211</v>
      </c>
      <c r="O3306" t="s">
        <v>13211</v>
      </c>
      <c r="P3306">
        <v>81105</v>
      </c>
      <c r="Q3306" t="str">
        <f>"39.132119"</f>
        <v>39.132119</v>
      </c>
      <c r="R3306" t="str">
        <f>"26.001948"</f>
        <v>26.001948</v>
      </c>
      <c r="S3306" t="s">
        <v>57</v>
      </c>
    </row>
    <row r="3307" spans="1:19" x14ac:dyDescent="0.3">
      <c r="A3307" t="s">
        <v>12435</v>
      </c>
      <c r="B3307" t="s">
        <v>12921</v>
      </c>
      <c r="C3307" t="s">
        <v>12677</v>
      </c>
      <c r="D3307" t="s">
        <v>12436</v>
      </c>
      <c r="E3307" t="s">
        <v>12465</v>
      </c>
      <c r="F3307" t="s">
        <v>12508</v>
      </c>
      <c r="G3307" t="s">
        <v>12673</v>
      </c>
      <c r="H3307" t="s">
        <v>868</v>
      </c>
      <c r="I3307" t="s">
        <v>869</v>
      </c>
      <c r="J3307" t="str">
        <f>"9330043"</f>
        <v>9330043</v>
      </c>
      <c r="K3307">
        <v>2253053225</v>
      </c>
      <c r="L3307">
        <v>2253053225</v>
      </c>
      <c r="M3307" t="s">
        <v>13212</v>
      </c>
      <c r="N3307" t="s">
        <v>13213</v>
      </c>
      <c r="O3307" t="s">
        <v>13213</v>
      </c>
      <c r="P3307">
        <v>81105</v>
      </c>
      <c r="Q3307" t="str">
        <f>"39.169614"</f>
        <v>39.169614</v>
      </c>
      <c r="R3307" t="str">
        <f>"25.935397"</f>
        <v>25.935397</v>
      </c>
      <c r="S3307" t="s">
        <v>57</v>
      </c>
    </row>
    <row r="3308" spans="1:19" x14ac:dyDescent="0.3">
      <c r="A3308" t="s">
        <v>12435</v>
      </c>
      <c r="B3308" t="s">
        <v>12921</v>
      </c>
      <c r="C3308" t="s">
        <v>13241</v>
      </c>
      <c r="D3308" t="s">
        <v>12436</v>
      </c>
      <c r="E3308" t="s">
        <v>12437</v>
      </c>
      <c r="F3308" t="s">
        <v>12437</v>
      </c>
      <c r="G3308" t="s">
        <v>12437</v>
      </c>
      <c r="H3308" t="s">
        <v>868</v>
      </c>
      <c r="I3308" t="s">
        <v>1157</v>
      </c>
      <c r="J3308" t="str">
        <f>"9330134"</f>
        <v>9330134</v>
      </c>
      <c r="K3308">
        <v>2251023171</v>
      </c>
      <c r="L3308">
        <v>2251023171</v>
      </c>
      <c r="M3308" t="s">
        <v>13242</v>
      </c>
      <c r="N3308" t="s">
        <v>12695</v>
      </c>
      <c r="O3308" t="s">
        <v>13243</v>
      </c>
      <c r="P3308">
        <v>81100</v>
      </c>
      <c r="Q3308" t="str">
        <f>"39.087505"</f>
        <v>39.087505</v>
      </c>
      <c r="R3308" t="str">
        <f>"26.561347"</f>
        <v>26.561347</v>
      </c>
      <c r="S3308" t="s">
        <v>26</v>
      </c>
    </row>
    <row r="3309" spans="1:19" x14ac:dyDescent="0.3">
      <c r="A3309" t="s">
        <v>12435</v>
      </c>
      <c r="B3309" t="s">
        <v>12921</v>
      </c>
      <c r="C3309" t="s">
        <v>13254</v>
      </c>
      <c r="D3309" t="s">
        <v>12436</v>
      </c>
      <c r="E3309" t="s">
        <v>12437</v>
      </c>
      <c r="F3309" t="s">
        <v>12437</v>
      </c>
      <c r="G3309" t="s">
        <v>12437</v>
      </c>
      <c r="H3309" t="s">
        <v>868</v>
      </c>
      <c r="I3309" t="s">
        <v>869</v>
      </c>
      <c r="J3309" t="str">
        <f>"9330006"</f>
        <v>9330006</v>
      </c>
      <c r="K3309">
        <v>2251028149</v>
      </c>
      <c r="L3309">
        <v>2251028149</v>
      </c>
      <c r="M3309" t="s">
        <v>13255</v>
      </c>
      <c r="N3309" t="s">
        <v>12440</v>
      </c>
      <c r="O3309" t="s">
        <v>13256</v>
      </c>
      <c r="P3309">
        <v>81100</v>
      </c>
      <c r="Q3309" t="str">
        <f>"39.102512"</f>
        <v>39.102512</v>
      </c>
      <c r="R3309" t="str">
        <f>"26.556503"</f>
        <v>26.556503</v>
      </c>
      <c r="S3309" t="s">
        <v>26</v>
      </c>
    </row>
    <row r="3310" spans="1:19" x14ac:dyDescent="0.3">
      <c r="A3310" t="s">
        <v>12435</v>
      </c>
      <c r="B3310" t="s">
        <v>12921</v>
      </c>
      <c r="C3310" t="s">
        <v>13267</v>
      </c>
      <c r="D3310" t="s">
        <v>12436</v>
      </c>
      <c r="E3310" t="s">
        <v>12437</v>
      </c>
      <c r="F3310" t="s">
        <v>12579</v>
      </c>
      <c r="G3310" t="s">
        <v>13130</v>
      </c>
      <c r="H3310" t="s">
        <v>868</v>
      </c>
      <c r="I3310" t="s">
        <v>869</v>
      </c>
      <c r="J3310" t="str">
        <f>"9330017"</f>
        <v>9330017</v>
      </c>
      <c r="K3310">
        <v>2251093473</v>
      </c>
      <c r="L3310">
        <v>2251093473</v>
      </c>
      <c r="M3310" t="s">
        <v>13268</v>
      </c>
      <c r="N3310" t="s">
        <v>13133</v>
      </c>
      <c r="O3310" t="s">
        <v>13133</v>
      </c>
      <c r="P3310">
        <v>81106</v>
      </c>
      <c r="Q3310" t="str">
        <f>"39.087939"</f>
        <v>39.087939</v>
      </c>
      <c r="R3310" t="str">
        <f>"26.431759"</f>
        <v>26.431759</v>
      </c>
      <c r="S3310" t="s">
        <v>26</v>
      </c>
    </row>
    <row r="3311" spans="1:19" x14ac:dyDescent="0.3">
      <c r="A3311" t="s">
        <v>12435</v>
      </c>
      <c r="B3311" t="s">
        <v>12921</v>
      </c>
      <c r="C3311" t="s">
        <v>12632</v>
      </c>
      <c r="D3311" t="s">
        <v>12436</v>
      </c>
      <c r="E3311" t="s">
        <v>12437</v>
      </c>
      <c r="F3311" t="s">
        <v>12437</v>
      </c>
      <c r="G3311" t="s">
        <v>12437</v>
      </c>
      <c r="H3311" t="s">
        <v>868</v>
      </c>
      <c r="I3311" t="s">
        <v>869</v>
      </c>
      <c r="J3311" t="str">
        <f>"9330009"</f>
        <v>9330009</v>
      </c>
      <c r="K3311">
        <v>2251024659</v>
      </c>
      <c r="M3311" t="s">
        <v>13269</v>
      </c>
      <c r="N3311" t="s">
        <v>13270</v>
      </c>
      <c r="O3311" t="s">
        <v>13271</v>
      </c>
      <c r="P3311">
        <v>81100</v>
      </c>
      <c r="Q3311" t="str">
        <f>"39.087515"</f>
        <v>39.087515</v>
      </c>
      <c r="R3311" t="str">
        <f>"26.551613"</f>
        <v>26.551613</v>
      </c>
      <c r="S3311" t="s">
        <v>26</v>
      </c>
    </row>
    <row r="3312" spans="1:19" x14ac:dyDescent="0.3">
      <c r="A3312" t="s">
        <v>12435</v>
      </c>
      <c r="B3312" t="s">
        <v>12921</v>
      </c>
      <c r="C3312" t="s">
        <v>12488</v>
      </c>
      <c r="D3312" t="s">
        <v>12436</v>
      </c>
      <c r="E3312" t="s">
        <v>12437</v>
      </c>
      <c r="F3312" t="s">
        <v>12437</v>
      </c>
      <c r="G3312" t="s">
        <v>12437</v>
      </c>
      <c r="H3312" t="s">
        <v>868</v>
      </c>
      <c r="I3312" t="s">
        <v>869</v>
      </c>
      <c r="J3312" t="str">
        <f>"9520879"</f>
        <v>9520879</v>
      </c>
      <c r="K3312">
        <v>2251044238</v>
      </c>
      <c r="L3312">
        <v>2251044238</v>
      </c>
      <c r="M3312" t="s">
        <v>13293</v>
      </c>
      <c r="N3312" t="s">
        <v>12440</v>
      </c>
      <c r="O3312" t="s">
        <v>13294</v>
      </c>
      <c r="P3312">
        <v>81100</v>
      </c>
      <c r="Q3312" t="str">
        <f>"39.097963"</f>
        <v>39.097963</v>
      </c>
      <c r="R3312" t="str">
        <f>"26.549900"</f>
        <v>26.549900</v>
      </c>
      <c r="S3312" t="s">
        <v>26</v>
      </c>
    </row>
    <row r="3313" spans="1:19" x14ac:dyDescent="0.3">
      <c r="A3313" t="s">
        <v>12435</v>
      </c>
      <c r="B3313" t="s">
        <v>12921</v>
      </c>
      <c r="C3313" t="s">
        <v>13299</v>
      </c>
      <c r="D3313" t="s">
        <v>12436</v>
      </c>
      <c r="E3313" t="s">
        <v>12437</v>
      </c>
      <c r="F3313" t="s">
        <v>12688</v>
      </c>
      <c r="G3313" t="s">
        <v>13214</v>
      </c>
      <c r="H3313" t="s">
        <v>868</v>
      </c>
      <c r="I3313" t="s">
        <v>869</v>
      </c>
      <c r="J3313" t="str">
        <f>"9330086"</f>
        <v>9330086</v>
      </c>
      <c r="K3313">
        <v>2251094088</v>
      </c>
      <c r="L3313">
        <v>2251094088</v>
      </c>
      <c r="M3313" t="s">
        <v>13300</v>
      </c>
      <c r="N3313" t="s">
        <v>13301</v>
      </c>
      <c r="O3313" t="s">
        <v>13301</v>
      </c>
      <c r="P3313">
        <v>81100</v>
      </c>
      <c r="Q3313" t="str">
        <f>"39.227300"</f>
        <v>39.227300</v>
      </c>
      <c r="R3313" t="str">
        <f>"26.440134"</f>
        <v>26.440134</v>
      </c>
      <c r="S3313" t="s">
        <v>26</v>
      </c>
    </row>
    <row r="3314" spans="1:19" x14ac:dyDescent="0.3">
      <c r="A3314" t="s">
        <v>12435</v>
      </c>
      <c r="B3314" t="s">
        <v>12921</v>
      </c>
      <c r="C3314" t="s">
        <v>12585</v>
      </c>
      <c r="D3314" t="s">
        <v>12436</v>
      </c>
      <c r="E3314" t="s">
        <v>12437</v>
      </c>
      <c r="F3314" t="s">
        <v>12579</v>
      </c>
      <c r="G3314" t="s">
        <v>12580</v>
      </c>
      <c r="H3314" t="s">
        <v>868</v>
      </c>
      <c r="I3314" t="s">
        <v>869</v>
      </c>
      <c r="J3314" t="str">
        <f>"9330016"</f>
        <v>9330016</v>
      </c>
      <c r="K3314">
        <v>2251093474</v>
      </c>
      <c r="L3314">
        <v>2251093474</v>
      </c>
      <c r="M3314" t="s">
        <v>13302</v>
      </c>
      <c r="N3314" t="s">
        <v>12584</v>
      </c>
      <c r="O3314" t="s">
        <v>12584</v>
      </c>
      <c r="P3314">
        <v>81101</v>
      </c>
      <c r="Q3314" t="str">
        <f>"39.118009"</f>
        <v>39.118009</v>
      </c>
      <c r="R3314" t="str">
        <f>"26.410657"</f>
        <v>26.410657</v>
      </c>
      <c r="S3314" t="s">
        <v>26</v>
      </c>
    </row>
    <row r="3315" spans="1:19" x14ac:dyDescent="0.3">
      <c r="A3315" t="s">
        <v>12435</v>
      </c>
      <c r="B3315" t="s">
        <v>12921</v>
      </c>
      <c r="C3315" t="s">
        <v>12544</v>
      </c>
      <c r="D3315" t="s">
        <v>12436</v>
      </c>
      <c r="E3315" t="s">
        <v>12437</v>
      </c>
      <c r="F3315" t="s">
        <v>12437</v>
      </c>
      <c r="G3315" t="s">
        <v>12437</v>
      </c>
      <c r="H3315" t="s">
        <v>868</v>
      </c>
      <c r="I3315" t="s">
        <v>869</v>
      </c>
      <c r="J3315" t="str">
        <f>"9330216"</f>
        <v>9330216</v>
      </c>
      <c r="K3315">
        <v>2251046994</v>
      </c>
      <c r="L3315">
        <v>2251046994</v>
      </c>
      <c r="M3315" t="s">
        <v>13303</v>
      </c>
      <c r="N3315" t="s">
        <v>12974</v>
      </c>
      <c r="O3315" t="s">
        <v>12543</v>
      </c>
      <c r="P3315">
        <v>81100</v>
      </c>
      <c r="Q3315" t="str">
        <f>"39.087651"</f>
        <v>39.087651</v>
      </c>
      <c r="R3315" t="str">
        <f>"26.561015"</f>
        <v>26.561015</v>
      </c>
      <c r="S3315" t="s">
        <v>26</v>
      </c>
    </row>
    <row r="3316" spans="1:19" x14ac:dyDescent="0.3">
      <c r="A3316" t="s">
        <v>12435</v>
      </c>
      <c r="B3316" t="s">
        <v>12921</v>
      </c>
      <c r="C3316" t="s">
        <v>13304</v>
      </c>
      <c r="D3316" t="s">
        <v>12436</v>
      </c>
      <c r="E3316" t="s">
        <v>12437</v>
      </c>
      <c r="F3316" t="s">
        <v>12437</v>
      </c>
      <c r="G3316" t="s">
        <v>12437</v>
      </c>
      <c r="H3316" t="s">
        <v>868</v>
      </c>
      <c r="I3316" t="s">
        <v>869</v>
      </c>
      <c r="J3316" t="str">
        <f>"9330007"</f>
        <v>9330007</v>
      </c>
      <c r="K3316">
        <v>2251022538</v>
      </c>
      <c r="L3316">
        <v>2251022538</v>
      </c>
      <c r="M3316" t="s">
        <v>13305</v>
      </c>
      <c r="N3316" t="s">
        <v>12440</v>
      </c>
      <c r="O3316" t="s">
        <v>13294</v>
      </c>
      <c r="P3316">
        <v>81100</v>
      </c>
      <c r="Q3316" t="str">
        <f>"39.098596"</f>
        <v>39.098596</v>
      </c>
      <c r="R3316" t="str">
        <f>"26.550078"</f>
        <v>26.550078</v>
      </c>
      <c r="S3316" t="s">
        <v>26</v>
      </c>
    </row>
    <row r="3317" spans="1:19" x14ac:dyDescent="0.3">
      <c r="A3317" t="s">
        <v>12435</v>
      </c>
      <c r="B3317" t="s">
        <v>12921</v>
      </c>
      <c r="C3317" t="s">
        <v>12505</v>
      </c>
      <c r="D3317" t="s">
        <v>12436</v>
      </c>
      <c r="E3317" t="s">
        <v>12437</v>
      </c>
      <c r="F3317" t="s">
        <v>12500</v>
      </c>
      <c r="G3317" t="s">
        <v>12501</v>
      </c>
      <c r="H3317" t="s">
        <v>868</v>
      </c>
      <c r="I3317" t="s">
        <v>869</v>
      </c>
      <c r="J3317" t="str">
        <f>"9330026"</f>
        <v>9330026</v>
      </c>
      <c r="K3317">
        <v>2251082242</v>
      </c>
      <c r="L3317">
        <v>2251082242</v>
      </c>
      <c r="M3317" t="s">
        <v>13313</v>
      </c>
      <c r="N3317" t="s">
        <v>12504</v>
      </c>
      <c r="O3317" t="s">
        <v>12504</v>
      </c>
      <c r="P3317">
        <v>81106</v>
      </c>
      <c r="Q3317" t="str">
        <f>"39.036519"</f>
        <v>39.036519</v>
      </c>
      <c r="R3317" t="str">
        <f>"26.454518"</f>
        <v>26.454518</v>
      </c>
      <c r="S3317" t="s">
        <v>26</v>
      </c>
    </row>
    <row r="3318" spans="1:19" x14ac:dyDescent="0.3">
      <c r="A3318" t="s">
        <v>12435</v>
      </c>
      <c r="B3318" t="s">
        <v>12921</v>
      </c>
      <c r="C3318" t="s">
        <v>12591</v>
      </c>
      <c r="D3318" t="s">
        <v>12436</v>
      </c>
      <c r="E3318" t="s">
        <v>12437</v>
      </c>
      <c r="F3318" t="s">
        <v>12437</v>
      </c>
      <c r="G3318" t="s">
        <v>12586</v>
      </c>
      <c r="H3318" t="s">
        <v>868</v>
      </c>
      <c r="I3318" t="s">
        <v>869</v>
      </c>
      <c r="J3318" t="str">
        <f>"9330085"</f>
        <v>9330085</v>
      </c>
      <c r="K3318">
        <v>2251031464</v>
      </c>
      <c r="L3318">
        <v>2251031464</v>
      </c>
      <c r="M3318" t="s">
        <v>13314</v>
      </c>
      <c r="N3318" t="s">
        <v>12590</v>
      </c>
      <c r="O3318" t="s">
        <v>12590</v>
      </c>
      <c r="P3318">
        <v>81100</v>
      </c>
      <c r="Q3318" t="str">
        <f>"39.133831"</f>
        <v>39.133831</v>
      </c>
      <c r="R3318" t="str">
        <f>"26.520711"</f>
        <v>26.520711</v>
      </c>
      <c r="S3318" t="s">
        <v>26</v>
      </c>
    </row>
    <row r="3319" spans="1:19" x14ac:dyDescent="0.3">
      <c r="A3319" t="s">
        <v>12435</v>
      </c>
      <c r="B3319" t="s">
        <v>12921</v>
      </c>
      <c r="C3319" t="s">
        <v>13316</v>
      </c>
      <c r="D3319" t="s">
        <v>12436</v>
      </c>
      <c r="E3319" t="s">
        <v>12465</v>
      </c>
      <c r="F3319" t="s">
        <v>12551</v>
      </c>
      <c r="G3319" t="s">
        <v>13315</v>
      </c>
      <c r="H3319" t="s">
        <v>868</v>
      </c>
      <c r="I3319" t="s">
        <v>950</v>
      </c>
      <c r="J3319" t="str">
        <f>"9330015"</f>
        <v>9330015</v>
      </c>
      <c r="K3319">
        <v>2252061203</v>
      </c>
      <c r="L3319">
        <v>2252061203</v>
      </c>
      <c r="M3319" t="s">
        <v>13317</v>
      </c>
      <c r="N3319" t="s">
        <v>13318</v>
      </c>
      <c r="O3319" t="s">
        <v>13318</v>
      </c>
      <c r="P3319">
        <v>81300</v>
      </c>
      <c r="Q3319" t="str">
        <f>"39.038766"</f>
        <v>39.038766</v>
      </c>
      <c r="R3319" t="str">
        <f>"26.199377"</f>
        <v>26.199377</v>
      </c>
      <c r="S3319" t="s">
        <v>26</v>
      </c>
    </row>
    <row r="3320" spans="1:19" x14ac:dyDescent="0.3">
      <c r="A3320" t="s">
        <v>12435</v>
      </c>
      <c r="B3320" t="s">
        <v>12921</v>
      </c>
      <c r="C3320" t="s">
        <v>13319</v>
      </c>
      <c r="D3320" t="s">
        <v>12436</v>
      </c>
      <c r="E3320" t="s">
        <v>12437</v>
      </c>
      <c r="F3320" t="s">
        <v>12500</v>
      </c>
      <c r="G3320" t="s">
        <v>13191</v>
      </c>
      <c r="H3320" t="s">
        <v>868</v>
      </c>
      <c r="I3320" t="s">
        <v>869</v>
      </c>
      <c r="J3320" t="str">
        <f>"9330025"</f>
        <v>9330025</v>
      </c>
      <c r="K3320">
        <v>2251082358</v>
      </c>
      <c r="L3320">
        <v>2251082358</v>
      </c>
      <c r="M3320" t="s">
        <v>13320</v>
      </c>
      <c r="N3320" t="s">
        <v>13194</v>
      </c>
      <c r="O3320" t="s">
        <v>13194</v>
      </c>
      <c r="P3320">
        <v>81106</v>
      </c>
      <c r="Q3320" t="str">
        <f>"39.059071"</f>
        <v>39.059071</v>
      </c>
      <c r="R3320" t="str">
        <f>"26.454083"</f>
        <v>26.454083</v>
      </c>
      <c r="S3320" t="s">
        <v>26</v>
      </c>
    </row>
    <row r="3321" spans="1:19" x14ac:dyDescent="0.3">
      <c r="A3321" t="s">
        <v>12435</v>
      </c>
      <c r="B3321" t="s">
        <v>12921</v>
      </c>
      <c r="C3321" t="s">
        <v>13321</v>
      </c>
      <c r="D3321" t="s">
        <v>12436</v>
      </c>
      <c r="E3321" t="s">
        <v>12437</v>
      </c>
      <c r="F3321" t="s">
        <v>12500</v>
      </c>
      <c r="G3321" t="s">
        <v>6203</v>
      </c>
      <c r="H3321" t="s">
        <v>868</v>
      </c>
      <c r="I3321" t="s">
        <v>869</v>
      </c>
      <c r="J3321" t="str">
        <f>"9330027"</f>
        <v>9330027</v>
      </c>
      <c r="K3321">
        <v>2251051200</v>
      </c>
      <c r="L3321">
        <v>2251051200</v>
      </c>
      <c r="M3321" t="s">
        <v>13322</v>
      </c>
      <c r="N3321" t="s">
        <v>13119</v>
      </c>
      <c r="O3321" t="s">
        <v>13323</v>
      </c>
      <c r="P3321">
        <v>81106</v>
      </c>
      <c r="Q3321" t="str">
        <f>"39.042895"</f>
        <v>39.042895</v>
      </c>
      <c r="R3321" t="str">
        <f>"26.504063"</f>
        <v>26.504063</v>
      </c>
      <c r="S3321" t="s">
        <v>26</v>
      </c>
    </row>
    <row r="3322" spans="1:19" x14ac:dyDescent="0.3">
      <c r="A3322" t="s">
        <v>12435</v>
      </c>
      <c r="B3322" t="s">
        <v>12921</v>
      </c>
      <c r="C3322" t="s">
        <v>13324</v>
      </c>
      <c r="D3322" t="s">
        <v>12436</v>
      </c>
      <c r="E3322" t="s">
        <v>12437</v>
      </c>
      <c r="F3322" t="s">
        <v>12437</v>
      </c>
      <c r="G3322" t="s">
        <v>12437</v>
      </c>
      <c r="H3322" t="s">
        <v>868</v>
      </c>
      <c r="I3322" t="s">
        <v>869</v>
      </c>
      <c r="J3322" t="str">
        <f>"9330075"</f>
        <v>9330075</v>
      </c>
      <c r="K3322">
        <v>2251022001</v>
      </c>
      <c r="M3322" t="s">
        <v>13325</v>
      </c>
      <c r="N3322" t="s">
        <v>12440</v>
      </c>
      <c r="O3322" t="s">
        <v>13326</v>
      </c>
      <c r="P3322">
        <v>81100</v>
      </c>
      <c r="Q3322" t="str">
        <f>"39.110233"</f>
        <v>39.110233</v>
      </c>
      <c r="R3322" t="str">
        <f>"26.554319"</f>
        <v>26.554319</v>
      </c>
      <c r="S3322" t="s">
        <v>26</v>
      </c>
    </row>
    <row r="3323" spans="1:19" x14ac:dyDescent="0.3">
      <c r="A3323" t="s">
        <v>12435</v>
      </c>
      <c r="B3323" t="s">
        <v>12921</v>
      </c>
      <c r="C3323" t="s">
        <v>13327</v>
      </c>
      <c r="D3323" t="s">
        <v>12436</v>
      </c>
      <c r="E3323" t="s">
        <v>12437</v>
      </c>
      <c r="F3323" t="s">
        <v>12437</v>
      </c>
      <c r="G3323" t="s">
        <v>12437</v>
      </c>
      <c r="H3323" t="s">
        <v>868</v>
      </c>
      <c r="I3323" t="s">
        <v>869</v>
      </c>
      <c r="J3323" t="str">
        <f>"9330196"</f>
        <v>9330196</v>
      </c>
      <c r="K3323">
        <v>2251021977</v>
      </c>
      <c r="L3323">
        <v>2251021977</v>
      </c>
      <c r="M3323" t="s">
        <v>13328</v>
      </c>
      <c r="N3323" t="s">
        <v>13329</v>
      </c>
      <c r="O3323" t="s">
        <v>12975</v>
      </c>
      <c r="P3323">
        <v>81100</v>
      </c>
      <c r="Q3323" t="str">
        <f>"39.094649"</f>
        <v>39.094649</v>
      </c>
      <c r="R3323" t="str">
        <f>"26.553890"</f>
        <v>26.553890</v>
      </c>
      <c r="S3323" t="s">
        <v>26</v>
      </c>
    </row>
    <row r="3324" spans="1:19" x14ac:dyDescent="0.3">
      <c r="A3324" t="s">
        <v>12435</v>
      </c>
      <c r="B3324" t="s">
        <v>12921</v>
      </c>
      <c r="C3324" t="s">
        <v>12537</v>
      </c>
      <c r="D3324" t="s">
        <v>12436</v>
      </c>
      <c r="E3324" t="s">
        <v>12465</v>
      </c>
      <c r="F3324" t="s">
        <v>11983</v>
      </c>
      <c r="G3324" t="s">
        <v>11983</v>
      </c>
      <c r="H3324" t="s">
        <v>868</v>
      </c>
      <c r="I3324" t="s">
        <v>869</v>
      </c>
      <c r="J3324" t="str">
        <f>"9330054"</f>
        <v>9330054</v>
      </c>
      <c r="K3324">
        <v>2253022283</v>
      </c>
      <c r="L3324">
        <v>2253024120</v>
      </c>
      <c r="M3324" t="s">
        <v>13332</v>
      </c>
      <c r="N3324" t="s">
        <v>12568</v>
      </c>
      <c r="O3324" t="s">
        <v>12568</v>
      </c>
      <c r="P3324">
        <v>81107</v>
      </c>
      <c r="Q3324" t="str">
        <f>"39.234572"</f>
        <v>39.234572</v>
      </c>
      <c r="R3324" t="str">
        <f>"26.207563"</f>
        <v>26.207563</v>
      </c>
      <c r="S3324" t="s">
        <v>26</v>
      </c>
    </row>
    <row r="3325" spans="1:19" x14ac:dyDescent="0.3">
      <c r="A3325" t="s">
        <v>12435</v>
      </c>
      <c r="B3325" t="s">
        <v>12921</v>
      </c>
      <c r="C3325" t="s">
        <v>13341</v>
      </c>
      <c r="D3325" t="s">
        <v>12436</v>
      </c>
      <c r="E3325" t="s">
        <v>12465</v>
      </c>
      <c r="F3325" t="s">
        <v>11983</v>
      </c>
      <c r="G3325" t="s">
        <v>13340</v>
      </c>
      <c r="H3325" t="s">
        <v>868</v>
      </c>
      <c r="I3325" t="s">
        <v>869</v>
      </c>
      <c r="J3325" t="str">
        <f>"9330053"</f>
        <v>9330053</v>
      </c>
      <c r="K3325">
        <v>2253022332</v>
      </c>
      <c r="L3325">
        <v>2253022332</v>
      </c>
      <c r="M3325" t="s">
        <v>13342</v>
      </c>
      <c r="N3325" t="s">
        <v>13343</v>
      </c>
      <c r="O3325" t="s">
        <v>13344</v>
      </c>
      <c r="P3325">
        <v>81107</v>
      </c>
      <c r="Q3325" t="str">
        <f>"39.238566"</f>
        <v>39.238566</v>
      </c>
      <c r="R3325" t="str">
        <f>"26.198205"</f>
        <v>26.198205</v>
      </c>
      <c r="S3325" t="s">
        <v>26</v>
      </c>
    </row>
    <row r="3326" spans="1:19" x14ac:dyDescent="0.3">
      <c r="A3326" t="s">
        <v>12435</v>
      </c>
      <c r="B3326" t="s">
        <v>12921</v>
      </c>
      <c r="C3326" t="s">
        <v>13372</v>
      </c>
      <c r="D3326" t="s">
        <v>12436</v>
      </c>
      <c r="E3326" t="s">
        <v>12465</v>
      </c>
      <c r="F3326" t="s">
        <v>11983</v>
      </c>
      <c r="G3326" t="s">
        <v>11983</v>
      </c>
      <c r="H3326" t="s">
        <v>868</v>
      </c>
      <c r="I3326" t="s">
        <v>1157</v>
      </c>
      <c r="J3326" t="str">
        <f>"9521168"</f>
        <v>9521168</v>
      </c>
      <c r="K3326">
        <v>2253022329</v>
      </c>
      <c r="L3326">
        <v>2253022329</v>
      </c>
      <c r="M3326" t="s">
        <v>13373</v>
      </c>
      <c r="N3326" t="s">
        <v>12568</v>
      </c>
      <c r="O3326" t="s">
        <v>11984</v>
      </c>
      <c r="P3326">
        <v>81107</v>
      </c>
      <c r="Q3326" t="str">
        <f>"39.234813"</f>
        <v>39.234813</v>
      </c>
      <c r="R3326" t="str">
        <f>"26.206874"</f>
        <v>26.206874</v>
      </c>
      <c r="S3326" t="s">
        <v>26</v>
      </c>
    </row>
    <row r="3327" spans="1:19" x14ac:dyDescent="0.3">
      <c r="A3327" t="s">
        <v>12435</v>
      </c>
      <c r="B3327" t="s">
        <v>12921</v>
      </c>
      <c r="C3327" t="s">
        <v>13374</v>
      </c>
      <c r="D3327" t="s">
        <v>12436</v>
      </c>
      <c r="E3327" t="s">
        <v>12437</v>
      </c>
      <c r="F3327" t="s">
        <v>12437</v>
      </c>
      <c r="G3327" t="s">
        <v>12932</v>
      </c>
      <c r="H3327" t="s">
        <v>868</v>
      </c>
      <c r="I3327" t="s">
        <v>869</v>
      </c>
      <c r="J3327" t="str">
        <f>"9330031"</f>
        <v>9330031</v>
      </c>
      <c r="K3327">
        <v>2251061414</v>
      </c>
      <c r="L3327">
        <v>2251061414</v>
      </c>
      <c r="M3327" t="s">
        <v>13375</v>
      </c>
      <c r="N3327" t="s">
        <v>12936</v>
      </c>
      <c r="O3327" t="s">
        <v>13376</v>
      </c>
      <c r="P3327">
        <v>81100</v>
      </c>
      <c r="Q3327" t="str">
        <f>"39.067312"</f>
        <v>39.067312</v>
      </c>
      <c r="R3327" t="str">
        <f>"26.573466"</f>
        <v>26.573466</v>
      </c>
      <c r="S3327" t="s">
        <v>26</v>
      </c>
    </row>
    <row r="3328" spans="1:19" x14ac:dyDescent="0.3">
      <c r="A3328" t="s">
        <v>12435</v>
      </c>
      <c r="B3328" t="s">
        <v>12921</v>
      </c>
      <c r="C3328" t="s">
        <v>13377</v>
      </c>
      <c r="D3328" t="s">
        <v>12453</v>
      </c>
      <c r="E3328" t="s">
        <v>12453</v>
      </c>
      <c r="F3328" t="s">
        <v>12652</v>
      </c>
      <c r="G3328" t="s">
        <v>5563</v>
      </c>
      <c r="H3328" t="s">
        <v>868</v>
      </c>
      <c r="I3328" t="s">
        <v>1157</v>
      </c>
      <c r="J3328" t="str">
        <f>"9520726"</f>
        <v>9520726</v>
      </c>
      <c r="K3328">
        <v>2254092573</v>
      </c>
      <c r="L3328">
        <v>2254092573</v>
      </c>
      <c r="M3328" t="s">
        <v>13378</v>
      </c>
      <c r="N3328" t="s">
        <v>13379</v>
      </c>
      <c r="O3328" t="s">
        <v>12924</v>
      </c>
      <c r="P3328">
        <v>81400</v>
      </c>
      <c r="Q3328" t="str">
        <f>"39.902578"</f>
        <v>39.902578</v>
      </c>
      <c r="R3328" t="str">
        <f>"25.210532"</f>
        <v>25.210532</v>
      </c>
      <c r="S3328" t="s">
        <v>57</v>
      </c>
    </row>
    <row r="3329" spans="1:19" x14ac:dyDescent="0.3">
      <c r="A3329" t="s">
        <v>12435</v>
      </c>
      <c r="B3329" t="s">
        <v>13382</v>
      </c>
      <c r="C3329" t="s">
        <v>13397</v>
      </c>
      <c r="D3329" t="s">
        <v>12442</v>
      </c>
      <c r="E3329" t="s">
        <v>12443</v>
      </c>
      <c r="F3329" t="s">
        <v>12041</v>
      </c>
      <c r="G3329" t="s">
        <v>13393</v>
      </c>
      <c r="H3329" t="s">
        <v>868</v>
      </c>
      <c r="I3329" t="s">
        <v>950</v>
      </c>
      <c r="J3329" t="str">
        <f>"9430046"</f>
        <v>9430046</v>
      </c>
      <c r="K3329">
        <v>2273094273</v>
      </c>
      <c r="L3329">
        <v>2273094273</v>
      </c>
      <c r="M3329" t="s">
        <v>13398</v>
      </c>
      <c r="N3329" t="s">
        <v>13393</v>
      </c>
      <c r="O3329" t="s">
        <v>13396</v>
      </c>
      <c r="P3329">
        <v>83200</v>
      </c>
      <c r="Q3329" t="str">
        <f>"37.805809"</f>
        <v>37.805809</v>
      </c>
      <c r="R3329" t="str">
        <f>"26.820844"</f>
        <v>26.820844</v>
      </c>
      <c r="S3329" t="s">
        <v>26</v>
      </c>
    </row>
    <row r="3330" spans="1:19" x14ac:dyDescent="0.3">
      <c r="A3330" t="s">
        <v>12435</v>
      </c>
      <c r="B3330" t="s">
        <v>13382</v>
      </c>
      <c r="C3330" t="s">
        <v>12772</v>
      </c>
      <c r="D3330" t="s">
        <v>12442</v>
      </c>
      <c r="E3330" t="s">
        <v>12443</v>
      </c>
      <c r="F3330" t="s">
        <v>12767</v>
      </c>
      <c r="G3330" t="s">
        <v>12767</v>
      </c>
      <c r="H3330" t="s">
        <v>868</v>
      </c>
      <c r="I3330" t="s">
        <v>869</v>
      </c>
      <c r="J3330" t="str">
        <f>"9430074"</f>
        <v>9430074</v>
      </c>
      <c r="K3330">
        <v>2273061231</v>
      </c>
      <c r="L3330">
        <v>2273061231</v>
      </c>
      <c r="M3330" t="s">
        <v>13412</v>
      </c>
      <c r="N3330" t="s">
        <v>13413</v>
      </c>
      <c r="O3330" t="s">
        <v>13414</v>
      </c>
      <c r="P3330">
        <v>83103</v>
      </c>
      <c r="Q3330" t="str">
        <f>"37.690208"</f>
        <v>37.690208</v>
      </c>
      <c r="R3330" t="str">
        <f>"26.935497"</f>
        <v>26.935497</v>
      </c>
      <c r="S3330" t="s">
        <v>26</v>
      </c>
    </row>
    <row r="3331" spans="1:19" x14ac:dyDescent="0.3">
      <c r="A3331" t="s">
        <v>12435</v>
      </c>
      <c r="B3331" t="s">
        <v>13382</v>
      </c>
      <c r="C3331" t="s">
        <v>13441</v>
      </c>
      <c r="D3331" t="s">
        <v>12442</v>
      </c>
      <c r="E3331" t="s">
        <v>12720</v>
      </c>
      <c r="F3331" t="s">
        <v>12736</v>
      </c>
      <c r="G3331" t="s">
        <v>13440</v>
      </c>
      <c r="H3331" t="s">
        <v>868</v>
      </c>
      <c r="I3331" t="s">
        <v>950</v>
      </c>
      <c r="J3331" t="str">
        <f>"9430060"</f>
        <v>9430060</v>
      </c>
      <c r="K3331">
        <v>2273032015</v>
      </c>
      <c r="L3331">
        <v>2273032015</v>
      </c>
      <c r="M3331" t="s">
        <v>13442</v>
      </c>
      <c r="N3331" t="s">
        <v>13443</v>
      </c>
      <c r="O3331" t="s">
        <v>13443</v>
      </c>
      <c r="P3331">
        <v>83200</v>
      </c>
      <c r="Q3331" t="str">
        <f>"37.775382"</f>
        <v>37.775382</v>
      </c>
      <c r="R3331" t="str">
        <f>"26.687190"</f>
        <v>26.687190</v>
      </c>
      <c r="S3331" t="s">
        <v>26</v>
      </c>
    </row>
    <row r="3332" spans="1:19" x14ac:dyDescent="0.3">
      <c r="A3332" t="s">
        <v>12435</v>
      </c>
      <c r="B3332" t="s">
        <v>13382</v>
      </c>
      <c r="C3332" t="s">
        <v>13446</v>
      </c>
      <c r="D3332" t="s">
        <v>12442</v>
      </c>
      <c r="E3332" t="s">
        <v>12720</v>
      </c>
      <c r="F3332" t="s">
        <v>12736</v>
      </c>
      <c r="G3332" t="s">
        <v>13419</v>
      </c>
      <c r="H3332" t="s">
        <v>868</v>
      </c>
      <c r="I3332" t="s">
        <v>950</v>
      </c>
      <c r="J3332" t="str">
        <f>"9430078"</f>
        <v>9430078</v>
      </c>
      <c r="K3332">
        <v>2273033342</v>
      </c>
      <c r="L3332">
        <v>2273033342</v>
      </c>
      <c r="M3332" t="s">
        <v>13447</v>
      </c>
      <c r="N3332" t="s">
        <v>13423</v>
      </c>
      <c r="O3332" t="s">
        <v>13423</v>
      </c>
      <c r="P3332">
        <v>83200</v>
      </c>
      <c r="Q3332" t="str">
        <f>"37.778040"</f>
        <v>37.778040</v>
      </c>
      <c r="R3332" t="str">
        <f>"26.747867"</f>
        <v>26.747867</v>
      </c>
      <c r="S3332" t="s">
        <v>26</v>
      </c>
    </row>
    <row r="3333" spans="1:19" x14ac:dyDescent="0.3">
      <c r="A3333" t="s">
        <v>12435</v>
      </c>
      <c r="B3333" t="s">
        <v>13382</v>
      </c>
      <c r="C3333" t="s">
        <v>13452</v>
      </c>
      <c r="D3333" t="s">
        <v>12442</v>
      </c>
      <c r="E3333" t="s">
        <v>12720</v>
      </c>
      <c r="F3333" t="s">
        <v>12736</v>
      </c>
      <c r="G3333" t="s">
        <v>12736</v>
      </c>
      <c r="H3333" t="s">
        <v>868</v>
      </c>
      <c r="I3333" t="s">
        <v>869</v>
      </c>
      <c r="J3333" t="str">
        <f>"9430041"</f>
        <v>9430041</v>
      </c>
      <c r="K3333">
        <v>2273032393</v>
      </c>
      <c r="L3333">
        <v>2273032393</v>
      </c>
      <c r="M3333" t="s">
        <v>13453</v>
      </c>
      <c r="N3333" t="s">
        <v>13454</v>
      </c>
      <c r="O3333" t="s">
        <v>13455</v>
      </c>
      <c r="P3333">
        <v>83200</v>
      </c>
      <c r="Q3333" t="str">
        <f>"37.800069"</f>
        <v>37.800069</v>
      </c>
      <c r="R3333" t="str">
        <f>"26.709857"</f>
        <v>26.709857</v>
      </c>
      <c r="S3333" t="s">
        <v>26</v>
      </c>
    </row>
    <row r="3334" spans="1:19" x14ac:dyDescent="0.3">
      <c r="A3334" t="s">
        <v>12435</v>
      </c>
      <c r="B3334" t="s">
        <v>13382</v>
      </c>
      <c r="C3334" t="s">
        <v>13456</v>
      </c>
      <c r="D3334" t="s">
        <v>12442</v>
      </c>
      <c r="E3334" t="s">
        <v>12443</v>
      </c>
      <c r="F3334" t="s">
        <v>12041</v>
      </c>
      <c r="G3334" t="s">
        <v>13436</v>
      </c>
      <c r="H3334" t="s">
        <v>868</v>
      </c>
      <c r="I3334" t="s">
        <v>950</v>
      </c>
      <c r="J3334" t="str">
        <f>"9430050"</f>
        <v>9430050</v>
      </c>
      <c r="K3334">
        <v>2273093355</v>
      </c>
      <c r="L3334">
        <v>2273093355</v>
      </c>
      <c r="M3334" t="s">
        <v>13457</v>
      </c>
      <c r="N3334" t="s">
        <v>13439</v>
      </c>
      <c r="O3334" t="s">
        <v>13439</v>
      </c>
      <c r="P3334">
        <v>83100</v>
      </c>
      <c r="Q3334" t="str">
        <f>"37.786350"</f>
        <v>37.786350</v>
      </c>
      <c r="R3334" t="str">
        <f>"26.847316"</f>
        <v>26.847316</v>
      </c>
      <c r="S3334" t="s">
        <v>26</v>
      </c>
    </row>
    <row r="3335" spans="1:19" x14ac:dyDescent="0.3">
      <c r="A3335" t="s">
        <v>12435</v>
      </c>
      <c r="B3335" t="s">
        <v>13382</v>
      </c>
      <c r="C3335" t="s">
        <v>13460</v>
      </c>
      <c r="D3335" t="s">
        <v>12442</v>
      </c>
      <c r="E3335" t="s">
        <v>12720</v>
      </c>
      <c r="F3335" t="s">
        <v>12736</v>
      </c>
      <c r="G3335" t="s">
        <v>12736</v>
      </c>
      <c r="H3335" t="s">
        <v>868</v>
      </c>
      <c r="I3335" t="s">
        <v>869</v>
      </c>
      <c r="J3335" t="str">
        <f>"9430038"</f>
        <v>9430038</v>
      </c>
      <c r="K3335">
        <v>2273032877</v>
      </c>
      <c r="L3335">
        <v>2273034144</v>
      </c>
      <c r="M3335" t="s">
        <v>13461</v>
      </c>
      <c r="N3335" t="s">
        <v>13402</v>
      </c>
      <c r="O3335" t="s">
        <v>8281</v>
      </c>
      <c r="P3335">
        <v>83200</v>
      </c>
      <c r="Q3335" t="str">
        <f>"37.794673"</f>
        <v>37.794673</v>
      </c>
      <c r="R3335" t="str">
        <f>"26.698627"</f>
        <v>26.698627</v>
      </c>
      <c r="S3335" t="s">
        <v>26</v>
      </c>
    </row>
    <row r="3336" spans="1:19" x14ac:dyDescent="0.3">
      <c r="A3336" t="s">
        <v>12435</v>
      </c>
      <c r="B3336" t="s">
        <v>13382</v>
      </c>
      <c r="C3336" t="s">
        <v>12731</v>
      </c>
      <c r="D3336" t="s">
        <v>12442</v>
      </c>
      <c r="E3336" t="s">
        <v>12443</v>
      </c>
      <c r="F3336" t="s">
        <v>12041</v>
      </c>
      <c r="G3336" t="s">
        <v>12727</v>
      </c>
      <c r="H3336" t="s">
        <v>868</v>
      </c>
      <c r="I3336" t="s">
        <v>869</v>
      </c>
      <c r="J3336" t="str">
        <f>"9430045"</f>
        <v>9430045</v>
      </c>
      <c r="K3336">
        <v>2273025268</v>
      </c>
      <c r="L3336">
        <v>2273025268</v>
      </c>
      <c r="M3336" t="s">
        <v>13462</v>
      </c>
      <c r="N3336" t="s">
        <v>13463</v>
      </c>
      <c r="O3336" t="s">
        <v>13464</v>
      </c>
      <c r="P3336">
        <v>83100</v>
      </c>
      <c r="Q3336" t="str">
        <f>"37.749719"</f>
        <v>37.749719</v>
      </c>
      <c r="R3336" t="str">
        <f>"26.975563"</f>
        <v>26.975563</v>
      </c>
      <c r="S3336" t="s">
        <v>26</v>
      </c>
    </row>
    <row r="3337" spans="1:19" x14ac:dyDescent="0.3">
      <c r="A3337" t="s">
        <v>12435</v>
      </c>
      <c r="B3337" t="s">
        <v>13382</v>
      </c>
      <c r="C3337" t="s">
        <v>13465</v>
      </c>
      <c r="D3337" t="s">
        <v>12442</v>
      </c>
      <c r="E3337" t="s">
        <v>12443</v>
      </c>
      <c r="F3337" t="s">
        <v>12041</v>
      </c>
      <c r="G3337" t="s">
        <v>13448</v>
      </c>
      <c r="H3337" t="s">
        <v>868</v>
      </c>
      <c r="I3337" t="s">
        <v>869</v>
      </c>
      <c r="J3337" t="str">
        <f>"9430054"</f>
        <v>9430054</v>
      </c>
      <c r="K3337">
        <v>2273092252</v>
      </c>
      <c r="L3337">
        <v>2273092252</v>
      </c>
      <c r="M3337" t="s">
        <v>13466</v>
      </c>
      <c r="N3337" t="s">
        <v>13451</v>
      </c>
      <c r="O3337" t="s">
        <v>13451</v>
      </c>
      <c r="P3337">
        <v>83100</v>
      </c>
      <c r="Q3337" t="str">
        <f>"37.774416"</f>
        <v>37.774416</v>
      </c>
      <c r="R3337" t="str">
        <f>"26.895944"</f>
        <v>26.895944</v>
      </c>
      <c r="S3337" t="s">
        <v>26</v>
      </c>
    </row>
    <row r="3338" spans="1:19" x14ac:dyDescent="0.3">
      <c r="A3338" t="s">
        <v>12435</v>
      </c>
      <c r="B3338" t="s">
        <v>13382</v>
      </c>
      <c r="C3338" t="s">
        <v>13467</v>
      </c>
      <c r="D3338" t="s">
        <v>12442</v>
      </c>
      <c r="E3338" t="s">
        <v>12443</v>
      </c>
      <c r="F3338" t="s">
        <v>12767</v>
      </c>
      <c r="G3338" t="s">
        <v>13427</v>
      </c>
      <c r="H3338" t="s">
        <v>868</v>
      </c>
      <c r="I3338" t="s">
        <v>869</v>
      </c>
      <c r="J3338" t="str">
        <f>"9430070"</f>
        <v>9430070</v>
      </c>
      <c r="K3338">
        <v>2273071206</v>
      </c>
      <c r="L3338">
        <v>2273071206</v>
      </c>
      <c r="M3338" t="s">
        <v>13468</v>
      </c>
      <c r="N3338" t="s">
        <v>13469</v>
      </c>
      <c r="O3338" t="s">
        <v>13470</v>
      </c>
      <c r="P3338">
        <v>83103</v>
      </c>
      <c r="Q3338" t="str">
        <f>"37.671077"</f>
        <v>37.671077</v>
      </c>
      <c r="R3338" t="str">
        <f>"26.830557"</f>
        <v>26.830557</v>
      </c>
      <c r="S3338" t="s">
        <v>26</v>
      </c>
    </row>
    <row r="3339" spans="1:19" x14ac:dyDescent="0.3">
      <c r="A3339" t="s">
        <v>12435</v>
      </c>
      <c r="B3339" t="s">
        <v>13382</v>
      </c>
      <c r="C3339" t="s">
        <v>13471</v>
      </c>
      <c r="D3339" t="s">
        <v>12442</v>
      </c>
      <c r="E3339" t="s">
        <v>12443</v>
      </c>
      <c r="F3339" t="s">
        <v>12767</v>
      </c>
      <c r="G3339" t="s">
        <v>13415</v>
      </c>
      <c r="H3339" t="s">
        <v>868</v>
      </c>
      <c r="I3339" t="s">
        <v>869</v>
      </c>
      <c r="J3339" t="str">
        <f>"9430069"</f>
        <v>9430069</v>
      </c>
      <c r="K3339">
        <v>2273051282</v>
      </c>
      <c r="L3339">
        <v>2273051282</v>
      </c>
      <c r="M3339" t="s">
        <v>13472</v>
      </c>
      <c r="N3339" t="s">
        <v>13473</v>
      </c>
      <c r="O3339" t="s">
        <v>13474</v>
      </c>
      <c r="P3339">
        <v>83101</v>
      </c>
      <c r="Q3339" t="str">
        <f>"37.725223"</f>
        <v>37.725223</v>
      </c>
      <c r="R3339" t="str">
        <f>"26.910783"</f>
        <v>26.910783</v>
      </c>
      <c r="S3339" t="s">
        <v>26</v>
      </c>
    </row>
    <row r="3340" spans="1:19" x14ac:dyDescent="0.3">
      <c r="A3340" t="s">
        <v>12435</v>
      </c>
      <c r="B3340" t="s">
        <v>13382</v>
      </c>
      <c r="C3340" t="s">
        <v>13476</v>
      </c>
      <c r="D3340" t="s">
        <v>12442</v>
      </c>
      <c r="E3340" t="s">
        <v>12720</v>
      </c>
      <c r="F3340" t="s">
        <v>12736</v>
      </c>
      <c r="G3340" t="s">
        <v>13475</v>
      </c>
      <c r="H3340" t="s">
        <v>868</v>
      </c>
      <c r="I3340" t="s">
        <v>869</v>
      </c>
      <c r="J3340" t="str">
        <f>"9430056"</f>
        <v>9430056</v>
      </c>
      <c r="K3340">
        <v>2273033568</v>
      </c>
      <c r="L3340">
        <v>2273033568</v>
      </c>
      <c r="M3340" t="s">
        <v>13477</v>
      </c>
      <c r="N3340" t="s">
        <v>13478</v>
      </c>
      <c r="O3340" t="s">
        <v>13478</v>
      </c>
      <c r="P3340">
        <v>83200</v>
      </c>
      <c r="Q3340" t="str">
        <f>"37.766243"</f>
        <v>37.766243</v>
      </c>
      <c r="R3340" t="str">
        <f>"26.726071"</f>
        <v>26.726071</v>
      </c>
      <c r="S3340" t="s">
        <v>26</v>
      </c>
    </row>
    <row r="3341" spans="1:19" x14ac:dyDescent="0.3">
      <c r="A3341" t="s">
        <v>12435</v>
      </c>
      <c r="B3341" t="s">
        <v>13382</v>
      </c>
      <c r="C3341" t="s">
        <v>12735</v>
      </c>
      <c r="D3341" t="s">
        <v>12442</v>
      </c>
      <c r="E3341" t="s">
        <v>12443</v>
      </c>
      <c r="F3341" t="s">
        <v>12041</v>
      </c>
      <c r="G3341" t="s">
        <v>12727</v>
      </c>
      <c r="H3341" t="s">
        <v>868</v>
      </c>
      <c r="I3341" t="s">
        <v>869</v>
      </c>
      <c r="J3341" t="str">
        <f>"9430043"</f>
        <v>9430043</v>
      </c>
      <c r="K3341">
        <v>2273027378</v>
      </c>
      <c r="L3341">
        <v>2273027378</v>
      </c>
      <c r="M3341" t="s">
        <v>13485</v>
      </c>
      <c r="N3341" t="s">
        <v>13486</v>
      </c>
      <c r="O3341" t="s">
        <v>13487</v>
      </c>
      <c r="P3341">
        <v>83100</v>
      </c>
      <c r="Q3341" t="str">
        <f>"37.754734"</f>
        <v>37.754734</v>
      </c>
      <c r="R3341" t="str">
        <f>"26.978764"</f>
        <v>26.978764</v>
      </c>
      <c r="S3341" t="s">
        <v>26</v>
      </c>
    </row>
    <row r="3342" spans="1:19" x14ac:dyDescent="0.3">
      <c r="A3342" t="s">
        <v>12435</v>
      </c>
      <c r="B3342" t="s">
        <v>13382</v>
      </c>
      <c r="C3342" t="s">
        <v>12757</v>
      </c>
      <c r="D3342" t="s">
        <v>12442</v>
      </c>
      <c r="E3342" t="s">
        <v>12443</v>
      </c>
      <c r="F3342" t="s">
        <v>12041</v>
      </c>
      <c r="G3342" t="s">
        <v>12041</v>
      </c>
      <c r="H3342" t="s">
        <v>868</v>
      </c>
      <c r="I3342" t="s">
        <v>869</v>
      </c>
      <c r="J3342" t="str">
        <f>"9430049"</f>
        <v>9430049</v>
      </c>
      <c r="K3342">
        <v>2273027503</v>
      </c>
      <c r="M3342" t="s">
        <v>13488</v>
      </c>
      <c r="O3342" t="s">
        <v>13489</v>
      </c>
      <c r="P3342">
        <v>83100</v>
      </c>
      <c r="Q3342" t="str">
        <f>"37.749036"</f>
        <v>37.749036</v>
      </c>
      <c r="R3342" t="str">
        <f>"26.981423"</f>
        <v>26.981423</v>
      </c>
      <c r="S3342" t="s">
        <v>26</v>
      </c>
    </row>
    <row r="3343" spans="1:19" x14ac:dyDescent="0.3">
      <c r="A3343" t="s">
        <v>12435</v>
      </c>
      <c r="B3343" t="s">
        <v>13382</v>
      </c>
      <c r="C3343" t="s">
        <v>13490</v>
      </c>
      <c r="D3343" t="s">
        <v>12442</v>
      </c>
      <c r="E3343" t="s">
        <v>12443</v>
      </c>
      <c r="F3343" t="s">
        <v>12041</v>
      </c>
      <c r="G3343" t="s">
        <v>12727</v>
      </c>
      <c r="H3343" t="s">
        <v>868</v>
      </c>
      <c r="I3343" t="s">
        <v>1157</v>
      </c>
      <c r="J3343" t="str">
        <f>"9430116"</f>
        <v>9430116</v>
      </c>
      <c r="K3343">
        <v>2273089788</v>
      </c>
      <c r="L3343">
        <v>2273089788</v>
      </c>
      <c r="M3343" t="s">
        <v>13491</v>
      </c>
      <c r="N3343" t="s">
        <v>13492</v>
      </c>
      <c r="O3343" t="s">
        <v>13493</v>
      </c>
      <c r="P3343">
        <v>83100</v>
      </c>
      <c r="Q3343" t="str">
        <f>"37.744197"</f>
        <v>37.744197</v>
      </c>
      <c r="R3343" t="str">
        <f>"26.971719"</f>
        <v>26.971719</v>
      </c>
      <c r="S3343" t="s">
        <v>26</v>
      </c>
    </row>
    <row r="3344" spans="1:19" x14ac:dyDescent="0.3">
      <c r="A3344" t="s">
        <v>12435</v>
      </c>
      <c r="B3344" t="s">
        <v>13382</v>
      </c>
      <c r="C3344" t="s">
        <v>13494</v>
      </c>
      <c r="D3344" t="s">
        <v>12442</v>
      </c>
      <c r="E3344" t="s">
        <v>12443</v>
      </c>
      <c r="F3344" t="s">
        <v>12041</v>
      </c>
      <c r="G3344" t="s">
        <v>12727</v>
      </c>
      <c r="H3344" t="s">
        <v>868</v>
      </c>
      <c r="I3344" t="s">
        <v>869</v>
      </c>
      <c r="J3344" t="str">
        <f>"9430044"</f>
        <v>9430044</v>
      </c>
      <c r="K3344">
        <v>2273080910</v>
      </c>
      <c r="L3344">
        <v>2273080910</v>
      </c>
      <c r="M3344" t="s">
        <v>13495</v>
      </c>
      <c r="N3344" t="s">
        <v>12446</v>
      </c>
      <c r="O3344" t="s">
        <v>13496</v>
      </c>
      <c r="P3344">
        <v>83100</v>
      </c>
      <c r="Q3344" t="str">
        <f>"37.725748"</f>
        <v>37.725748</v>
      </c>
      <c r="R3344" t="str">
        <f>"27.042202"</f>
        <v>27.042202</v>
      </c>
      <c r="S3344" t="s">
        <v>26</v>
      </c>
    </row>
    <row r="3345" spans="1:19" x14ac:dyDescent="0.3">
      <c r="A3345" t="s">
        <v>12435</v>
      </c>
      <c r="B3345" t="s">
        <v>13382</v>
      </c>
      <c r="C3345" t="s">
        <v>12741</v>
      </c>
      <c r="D3345" t="s">
        <v>12442</v>
      </c>
      <c r="E3345" t="s">
        <v>12720</v>
      </c>
      <c r="F3345" t="s">
        <v>12736</v>
      </c>
      <c r="G3345" t="s">
        <v>12736</v>
      </c>
      <c r="H3345" t="s">
        <v>868</v>
      </c>
      <c r="I3345" t="s">
        <v>869</v>
      </c>
      <c r="J3345" t="str">
        <f>"9430039"</f>
        <v>9430039</v>
      </c>
      <c r="K3345">
        <v>2273032940</v>
      </c>
      <c r="L3345">
        <v>2273032572</v>
      </c>
      <c r="M3345" t="s">
        <v>13497</v>
      </c>
      <c r="N3345" t="s">
        <v>12740</v>
      </c>
      <c r="O3345" t="s">
        <v>13498</v>
      </c>
      <c r="P3345">
        <v>83200</v>
      </c>
      <c r="Q3345" t="str">
        <f>"37.792836"</f>
        <v>37.792836</v>
      </c>
      <c r="R3345" t="str">
        <f>"26.704760"</f>
        <v>26.704760</v>
      </c>
      <c r="S3345" t="s">
        <v>26</v>
      </c>
    </row>
    <row r="3346" spans="1:19" x14ac:dyDescent="0.3">
      <c r="A3346" t="s">
        <v>12435</v>
      </c>
      <c r="B3346" t="s">
        <v>13382</v>
      </c>
      <c r="C3346" t="s">
        <v>12726</v>
      </c>
      <c r="D3346" t="s">
        <v>12442</v>
      </c>
      <c r="E3346" t="s">
        <v>12720</v>
      </c>
      <c r="F3346" t="s">
        <v>12721</v>
      </c>
      <c r="G3346" t="s">
        <v>12721</v>
      </c>
      <c r="H3346" t="s">
        <v>868</v>
      </c>
      <c r="I3346" t="s">
        <v>869</v>
      </c>
      <c r="J3346" t="str">
        <f>"9430063"</f>
        <v>9430063</v>
      </c>
      <c r="K3346">
        <v>2273031275</v>
      </c>
      <c r="L3346">
        <v>2273031275</v>
      </c>
      <c r="M3346" t="s">
        <v>13499</v>
      </c>
      <c r="N3346" t="s">
        <v>12725</v>
      </c>
      <c r="O3346" t="s">
        <v>12725</v>
      </c>
      <c r="P3346">
        <v>83102</v>
      </c>
      <c r="Q3346" t="str">
        <f>"37.726506"</f>
        <v>37.726506</v>
      </c>
      <c r="R3346" t="str">
        <f>"26.687700"</f>
        <v>26.687700</v>
      </c>
      <c r="S3346" t="s">
        <v>57</v>
      </c>
    </row>
    <row r="3347" spans="1:19" x14ac:dyDescent="0.3">
      <c r="A3347" t="s">
        <v>12435</v>
      </c>
      <c r="B3347" t="s">
        <v>13382</v>
      </c>
      <c r="C3347" t="s">
        <v>12708</v>
      </c>
      <c r="D3347" t="s">
        <v>12699</v>
      </c>
      <c r="E3347" t="s">
        <v>12700</v>
      </c>
      <c r="F3347" t="s">
        <v>12700</v>
      </c>
      <c r="G3347" t="s">
        <v>12701</v>
      </c>
      <c r="H3347" t="s">
        <v>868</v>
      </c>
      <c r="I3347" t="s">
        <v>869</v>
      </c>
      <c r="J3347" t="str">
        <f>"9430032"</f>
        <v>9430032</v>
      </c>
      <c r="K3347">
        <v>2275051374</v>
      </c>
      <c r="L3347">
        <v>2275051374</v>
      </c>
      <c r="M3347" t="s">
        <v>13500</v>
      </c>
      <c r="N3347" t="s">
        <v>13501</v>
      </c>
      <c r="O3347" t="s">
        <v>12705</v>
      </c>
      <c r="P3347">
        <v>83400</v>
      </c>
      <c r="Q3347" t="str">
        <f>"37.575768"</f>
        <v>37.575768</v>
      </c>
      <c r="R3347" t="str">
        <f>"26.481283"</f>
        <v>26.481283</v>
      </c>
      <c r="S3347" t="s">
        <v>57</v>
      </c>
    </row>
    <row r="3348" spans="1:19" x14ac:dyDescent="0.3">
      <c r="A3348" t="s">
        <v>12435</v>
      </c>
      <c r="B3348" t="s">
        <v>13382</v>
      </c>
      <c r="C3348" t="s">
        <v>12714</v>
      </c>
      <c r="D3348" t="s">
        <v>12699</v>
      </c>
      <c r="E3348" t="s">
        <v>12699</v>
      </c>
      <c r="F3348" t="s">
        <v>12709</v>
      </c>
      <c r="G3348" t="s">
        <v>12709</v>
      </c>
      <c r="H3348" t="s">
        <v>868</v>
      </c>
      <c r="I3348" t="s">
        <v>869</v>
      </c>
      <c r="J3348" t="str">
        <f>"9430030"</f>
        <v>9430030</v>
      </c>
      <c r="K3348">
        <v>2275041346</v>
      </c>
      <c r="L3348">
        <v>2275041346</v>
      </c>
      <c r="M3348" t="s">
        <v>13502</v>
      </c>
      <c r="N3348" t="s">
        <v>12712</v>
      </c>
      <c r="O3348" t="s">
        <v>13503</v>
      </c>
      <c r="P3348">
        <v>83301</v>
      </c>
      <c r="Q3348" t="str">
        <f>"37.600757"</f>
        <v>37.600757</v>
      </c>
      <c r="R3348" t="str">
        <f>"26.081149"</f>
        <v>26.081149</v>
      </c>
      <c r="S3348" t="s">
        <v>57</v>
      </c>
    </row>
    <row r="3349" spans="1:19" x14ac:dyDescent="0.3">
      <c r="A3349" t="s">
        <v>12435</v>
      </c>
      <c r="B3349" t="s">
        <v>13382</v>
      </c>
      <c r="C3349" t="s">
        <v>13504</v>
      </c>
      <c r="D3349" t="s">
        <v>12699</v>
      </c>
      <c r="E3349" t="s">
        <v>12699</v>
      </c>
      <c r="F3349" t="s">
        <v>12747</v>
      </c>
      <c r="G3349" t="s">
        <v>12748</v>
      </c>
      <c r="H3349" t="s">
        <v>868</v>
      </c>
      <c r="I3349" t="s">
        <v>950</v>
      </c>
      <c r="J3349" t="str">
        <f>"9430019"</f>
        <v>9430019</v>
      </c>
      <c r="K3349">
        <v>2275061344</v>
      </c>
      <c r="L3349">
        <v>2275061344</v>
      </c>
      <c r="M3349" t="s">
        <v>13505</v>
      </c>
      <c r="N3349" t="s">
        <v>13506</v>
      </c>
      <c r="O3349" t="s">
        <v>13385</v>
      </c>
      <c r="P3349">
        <v>83302</v>
      </c>
      <c r="Q3349" t="str">
        <f>"37.633730"</f>
        <v>37.633730</v>
      </c>
      <c r="R3349" t="str">
        <f>"26.219526"</f>
        <v>26.219526</v>
      </c>
      <c r="S3349" t="s">
        <v>57</v>
      </c>
    </row>
    <row r="3350" spans="1:19" x14ac:dyDescent="0.3">
      <c r="A3350" t="s">
        <v>12435</v>
      </c>
      <c r="B3350" t="s">
        <v>13382</v>
      </c>
      <c r="C3350" t="s">
        <v>13507</v>
      </c>
      <c r="D3350" t="s">
        <v>12699</v>
      </c>
      <c r="E3350" t="s">
        <v>12700</v>
      </c>
      <c r="F3350" t="s">
        <v>12700</v>
      </c>
      <c r="G3350" t="s">
        <v>12701</v>
      </c>
      <c r="H3350" t="s">
        <v>868</v>
      </c>
      <c r="I3350" t="s">
        <v>950</v>
      </c>
      <c r="J3350" t="str">
        <f>"9430033"</f>
        <v>9430033</v>
      </c>
      <c r="K3350">
        <v>2275032328</v>
      </c>
      <c r="L3350">
        <v>2275032328</v>
      </c>
      <c r="M3350" t="s">
        <v>13508</v>
      </c>
      <c r="N3350" t="s">
        <v>13509</v>
      </c>
      <c r="O3350" t="s">
        <v>13509</v>
      </c>
      <c r="P3350">
        <v>83400</v>
      </c>
      <c r="Q3350" t="str">
        <f>"37.630920"</f>
        <v>37.630920</v>
      </c>
      <c r="R3350" t="str">
        <f>"26.511429"</f>
        <v>26.511429</v>
      </c>
      <c r="S3350" t="s">
        <v>57</v>
      </c>
    </row>
    <row r="3351" spans="1:19" x14ac:dyDescent="0.3">
      <c r="A3351" t="s">
        <v>12435</v>
      </c>
      <c r="B3351" t="s">
        <v>13382</v>
      </c>
      <c r="C3351" t="s">
        <v>13510</v>
      </c>
      <c r="D3351" t="s">
        <v>12699</v>
      </c>
      <c r="E3351" t="s">
        <v>12700</v>
      </c>
      <c r="F3351" t="s">
        <v>12700</v>
      </c>
      <c r="G3351" t="s">
        <v>12701</v>
      </c>
      <c r="H3351" t="s">
        <v>868</v>
      </c>
      <c r="I3351" t="s">
        <v>950</v>
      </c>
      <c r="J3351" t="str">
        <f>"9430031"</f>
        <v>9430031</v>
      </c>
      <c r="K3351">
        <v>2275032236</v>
      </c>
      <c r="L3351">
        <v>2275032236</v>
      </c>
      <c r="M3351" t="s">
        <v>13511</v>
      </c>
      <c r="N3351" t="s">
        <v>13512</v>
      </c>
      <c r="O3351" t="s">
        <v>13513</v>
      </c>
      <c r="P3351">
        <v>83400</v>
      </c>
      <c r="Q3351" t="str">
        <f>"37.581837"</f>
        <v>37.581837</v>
      </c>
      <c r="R3351" t="str">
        <f>"26.452621"</f>
        <v>26.452621</v>
      </c>
      <c r="S3351" t="s">
        <v>57</v>
      </c>
    </row>
    <row r="3352" spans="1:19" x14ac:dyDescent="0.3">
      <c r="A3352" t="s">
        <v>12435</v>
      </c>
      <c r="B3352" t="s">
        <v>13382</v>
      </c>
      <c r="C3352" t="s">
        <v>12753</v>
      </c>
      <c r="D3352" t="s">
        <v>12699</v>
      </c>
      <c r="E3352" t="s">
        <v>12699</v>
      </c>
      <c r="F3352" t="s">
        <v>12747</v>
      </c>
      <c r="G3352" t="s">
        <v>12747</v>
      </c>
      <c r="H3352" t="s">
        <v>868</v>
      </c>
      <c r="I3352" t="s">
        <v>869</v>
      </c>
      <c r="J3352" t="str">
        <f>"9430017"</f>
        <v>9430017</v>
      </c>
      <c r="K3352">
        <v>2275031279</v>
      </c>
      <c r="L3352">
        <v>2275031279</v>
      </c>
      <c r="M3352" t="s">
        <v>13514</v>
      </c>
      <c r="N3352" t="s">
        <v>13515</v>
      </c>
      <c r="O3352" t="s">
        <v>12752</v>
      </c>
      <c r="P3352">
        <v>83302</v>
      </c>
      <c r="Q3352" t="str">
        <f>"37.628731"</f>
        <v>37.628731</v>
      </c>
      <c r="R3352" t="str">
        <f>"26.177819"</f>
        <v>26.177819</v>
      </c>
      <c r="S3352" t="s">
        <v>57</v>
      </c>
    </row>
    <row r="3353" spans="1:19" x14ac:dyDescent="0.3">
      <c r="A3353" t="s">
        <v>12435</v>
      </c>
      <c r="B3353" t="s">
        <v>13382</v>
      </c>
      <c r="C3353" t="s">
        <v>13516</v>
      </c>
      <c r="D3353" t="s">
        <v>12699</v>
      </c>
      <c r="E3353" t="s">
        <v>12699</v>
      </c>
      <c r="F3353" t="s">
        <v>12715</v>
      </c>
      <c r="G3353" t="s">
        <v>12715</v>
      </c>
      <c r="H3353" t="s">
        <v>868</v>
      </c>
      <c r="I3353" t="s">
        <v>869</v>
      </c>
      <c r="J3353" t="str">
        <f>"9430008"</f>
        <v>9430008</v>
      </c>
      <c r="K3353">
        <v>2275023780</v>
      </c>
      <c r="L3353">
        <v>2275023780</v>
      </c>
      <c r="M3353" t="s">
        <v>13517</v>
      </c>
      <c r="N3353" t="s">
        <v>13518</v>
      </c>
      <c r="O3353" t="s">
        <v>2648</v>
      </c>
      <c r="P3353">
        <v>83300</v>
      </c>
      <c r="Q3353" t="str">
        <f>"37.597850"</f>
        <v>37.597850</v>
      </c>
      <c r="R3353" t="str">
        <f>"26.258299"</f>
        <v>26.258299</v>
      </c>
      <c r="S3353" t="s">
        <v>57</v>
      </c>
    </row>
    <row r="3354" spans="1:19" x14ac:dyDescent="0.3">
      <c r="A3354" t="s">
        <v>12435</v>
      </c>
      <c r="B3354" t="s">
        <v>13382</v>
      </c>
      <c r="C3354" t="s">
        <v>13520</v>
      </c>
      <c r="D3354" t="s">
        <v>12699</v>
      </c>
      <c r="E3354" t="s">
        <v>12699</v>
      </c>
      <c r="F3354" t="s">
        <v>12709</v>
      </c>
      <c r="G3354" t="s">
        <v>13519</v>
      </c>
      <c r="H3354" t="s">
        <v>868</v>
      </c>
      <c r="I3354" t="s">
        <v>950</v>
      </c>
      <c r="J3354" t="str">
        <f>"9430021"</f>
        <v>9430021</v>
      </c>
      <c r="K3354">
        <v>2275091212</v>
      </c>
      <c r="L3354">
        <v>2275091212</v>
      </c>
      <c r="M3354" t="s">
        <v>13521</v>
      </c>
      <c r="N3354" t="s">
        <v>13519</v>
      </c>
      <c r="O3354" t="s">
        <v>13522</v>
      </c>
      <c r="P3354">
        <v>83301</v>
      </c>
      <c r="Q3354" t="str">
        <f>"37.517158"</f>
        <v>37.517158</v>
      </c>
      <c r="R3354" t="str">
        <f>"26.019705"</f>
        <v>26.019705</v>
      </c>
      <c r="S3354" t="s">
        <v>57</v>
      </c>
    </row>
    <row r="3355" spans="1:19" x14ac:dyDescent="0.3">
      <c r="A3355" t="s">
        <v>12435</v>
      </c>
      <c r="B3355" t="s">
        <v>13382</v>
      </c>
      <c r="C3355" t="s">
        <v>13523</v>
      </c>
      <c r="D3355" t="s">
        <v>12699</v>
      </c>
      <c r="E3355" t="s">
        <v>12699</v>
      </c>
      <c r="F3355" t="s">
        <v>12715</v>
      </c>
      <c r="G3355" t="s">
        <v>12715</v>
      </c>
      <c r="H3355" t="s">
        <v>868</v>
      </c>
      <c r="I3355" t="s">
        <v>950</v>
      </c>
      <c r="J3355" t="str">
        <f>"9430006"</f>
        <v>9430006</v>
      </c>
      <c r="K3355">
        <v>2275022773</v>
      </c>
      <c r="L3355">
        <v>2275022773</v>
      </c>
      <c r="M3355" t="s">
        <v>13524</v>
      </c>
      <c r="N3355" t="s">
        <v>13525</v>
      </c>
      <c r="O3355" t="s">
        <v>13525</v>
      </c>
      <c r="P3355">
        <v>83300</v>
      </c>
      <c r="Q3355" t="str">
        <f>"37.589099"</f>
        <v>37.589099</v>
      </c>
      <c r="R3355" t="str">
        <f>"26.249023"</f>
        <v>26.249023</v>
      </c>
      <c r="S3355" t="s">
        <v>57</v>
      </c>
    </row>
    <row r="3356" spans="1:19" x14ac:dyDescent="0.3">
      <c r="A3356" t="s">
        <v>12435</v>
      </c>
      <c r="B3356" t="s">
        <v>13382</v>
      </c>
      <c r="C3356" t="s">
        <v>12719</v>
      </c>
      <c r="D3356" t="s">
        <v>12699</v>
      </c>
      <c r="E3356" t="s">
        <v>12699</v>
      </c>
      <c r="F3356" t="s">
        <v>12715</v>
      </c>
      <c r="G3356" t="s">
        <v>12715</v>
      </c>
      <c r="H3356" t="s">
        <v>868</v>
      </c>
      <c r="I3356" t="s">
        <v>869</v>
      </c>
      <c r="J3356" t="str">
        <f>"9430002"</f>
        <v>9430002</v>
      </c>
      <c r="K3356">
        <v>2275022263</v>
      </c>
      <c r="L3356">
        <v>2275022133</v>
      </c>
      <c r="M3356" t="s">
        <v>13541</v>
      </c>
      <c r="N3356" t="s">
        <v>12715</v>
      </c>
      <c r="O3356" t="s">
        <v>13518</v>
      </c>
      <c r="P3356">
        <v>83300</v>
      </c>
      <c r="Q3356" t="str">
        <f>"37.615979"</f>
        <v>37.615979</v>
      </c>
      <c r="R3356" t="str">
        <f>"26.294415"</f>
        <v>26.294415</v>
      </c>
      <c r="S3356" t="s">
        <v>57</v>
      </c>
    </row>
    <row r="3357" spans="1:19" x14ac:dyDescent="0.3">
      <c r="A3357" t="s">
        <v>12435</v>
      </c>
      <c r="B3357" t="s">
        <v>13382</v>
      </c>
      <c r="C3357" t="s">
        <v>13546</v>
      </c>
      <c r="D3357" t="s">
        <v>12442</v>
      </c>
      <c r="E3357" t="s">
        <v>12720</v>
      </c>
      <c r="F3357" t="s">
        <v>12721</v>
      </c>
      <c r="G3357" t="s">
        <v>13545</v>
      </c>
      <c r="H3357" t="s">
        <v>868</v>
      </c>
      <c r="I3357" t="s">
        <v>950</v>
      </c>
      <c r="J3357" t="str">
        <f>"9430058"</f>
        <v>9430058</v>
      </c>
      <c r="K3357">
        <v>2273036246</v>
      </c>
      <c r="L3357">
        <v>2273036246</v>
      </c>
      <c r="M3357" t="s">
        <v>13547</v>
      </c>
      <c r="N3357" t="s">
        <v>13548</v>
      </c>
      <c r="O3357" t="s">
        <v>13548</v>
      </c>
      <c r="P3357">
        <v>83104</v>
      </c>
      <c r="Q3357" t="str">
        <f>"37.709534"</f>
        <v>37.709534</v>
      </c>
      <c r="R3357" t="str">
        <f>"26.748573"</f>
        <v>26.748573</v>
      </c>
      <c r="S3357" t="s">
        <v>26</v>
      </c>
    </row>
    <row r="3358" spans="1:19" x14ac:dyDescent="0.3">
      <c r="A3358" t="s">
        <v>12435</v>
      </c>
      <c r="B3358" t="s">
        <v>13382</v>
      </c>
      <c r="C3358" t="s">
        <v>13555</v>
      </c>
      <c r="D3358" t="s">
        <v>12442</v>
      </c>
      <c r="E3358" t="s">
        <v>12443</v>
      </c>
      <c r="F3358" t="s">
        <v>12041</v>
      </c>
      <c r="G3358" t="s">
        <v>13554</v>
      </c>
      <c r="H3358" t="s">
        <v>868</v>
      </c>
      <c r="I3358" t="s">
        <v>950</v>
      </c>
      <c r="J3358" t="str">
        <f>"9430072"</f>
        <v>9430072</v>
      </c>
      <c r="K3358">
        <v>2273023260</v>
      </c>
      <c r="L3358">
        <v>2273023260</v>
      </c>
      <c r="M3358" t="s">
        <v>13556</v>
      </c>
      <c r="N3358" t="s">
        <v>13557</v>
      </c>
      <c r="O3358" t="s">
        <v>13558</v>
      </c>
      <c r="P3358">
        <v>83100</v>
      </c>
      <c r="Q3358" t="str">
        <f>"37.738681"</f>
        <v>37.738681</v>
      </c>
      <c r="R3358" t="str">
        <f>"27.000502"</f>
        <v>27.000502</v>
      </c>
      <c r="S3358" t="s">
        <v>26</v>
      </c>
    </row>
    <row r="3359" spans="1:19" x14ac:dyDescent="0.3">
      <c r="A3359" t="s">
        <v>12435</v>
      </c>
      <c r="B3359" t="s">
        <v>13382</v>
      </c>
      <c r="C3359" t="s">
        <v>13559</v>
      </c>
      <c r="D3359" t="s">
        <v>12442</v>
      </c>
      <c r="E3359" t="s">
        <v>12443</v>
      </c>
      <c r="F3359" t="s">
        <v>12767</v>
      </c>
      <c r="G3359" t="s">
        <v>1490</v>
      </c>
      <c r="H3359" t="s">
        <v>868</v>
      </c>
      <c r="I3359" t="s">
        <v>869</v>
      </c>
      <c r="J3359" t="str">
        <f>"9430079"</f>
        <v>9430079</v>
      </c>
      <c r="K3359">
        <v>2273091775</v>
      </c>
      <c r="L3359">
        <v>2273091404</v>
      </c>
      <c r="M3359" t="s">
        <v>13560</v>
      </c>
      <c r="N3359" t="s">
        <v>13408</v>
      </c>
      <c r="O3359" t="s">
        <v>13408</v>
      </c>
      <c r="P3359">
        <v>83103</v>
      </c>
      <c r="Q3359" t="str">
        <f>"37.704329"</f>
        <v>37.704329</v>
      </c>
      <c r="R3359" t="str">
        <f>"26.903595"</f>
        <v>26.903595</v>
      </c>
      <c r="S3359" t="s">
        <v>26</v>
      </c>
    </row>
    <row r="3360" spans="1:19" x14ac:dyDescent="0.3">
      <c r="A3360" t="s">
        <v>12435</v>
      </c>
      <c r="B3360" t="s">
        <v>13382</v>
      </c>
      <c r="C3360" t="s">
        <v>12789</v>
      </c>
      <c r="D3360" t="s">
        <v>12442</v>
      </c>
      <c r="E3360" t="s">
        <v>12443</v>
      </c>
      <c r="F3360" t="s">
        <v>12767</v>
      </c>
      <c r="G3360" t="s">
        <v>1210</v>
      </c>
      <c r="H3360" t="s">
        <v>868</v>
      </c>
      <c r="I3360" t="s">
        <v>950</v>
      </c>
      <c r="J3360" t="str">
        <f>"9430075"</f>
        <v>9430075</v>
      </c>
      <c r="K3360">
        <v>2273041039</v>
      </c>
      <c r="L3360">
        <v>2273041039</v>
      </c>
      <c r="M3360" t="s">
        <v>13561</v>
      </c>
      <c r="N3360" t="s">
        <v>13562</v>
      </c>
      <c r="O3360" t="s">
        <v>1211</v>
      </c>
      <c r="P3360">
        <v>83104</v>
      </c>
      <c r="Q3360" t="str">
        <f>"37.708922"</f>
        <v>37.708922</v>
      </c>
      <c r="R3360" t="str">
        <f>"26.803322"</f>
        <v>26.803322</v>
      </c>
      <c r="S3360" t="s">
        <v>26</v>
      </c>
    </row>
    <row r="3361" spans="1:19" x14ac:dyDescent="0.3">
      <c r="A3361" t="s">
        <v>12435</v>
      </c>
      <c r="B3361" t="s">
        <v>13382</v>
      </c>
      <c r="C3361" t="s">
        <v>13563</v>
      </c>
      <c r="D3361" t="s">
        <v>12442</v>
      </c>
      <c r="E3361" t="s">
        <v>12720</v>
      </c>
      <c r="F3361" t="s">
        <v>12736</v>
      </c>
      <c r="G3361" t="s">
        <v>13386</v>
      </c>
      <c r="H3361" t="s">
        <v>868</v>
      </c>
      <c r="I3361" t="s">
        <v>950</v>
      </c>
      <c r="J3361" t="str">
        <f>"9430071"</f>
        <v>9430071</v>
      </c>
      <c r="K3361">
        <v>2273039229</v>
      </c>
      <c r="L3361">
        <v>2273039229</v>
      </c>
      <c r="M3361" t="s">
        <v>13564</v>
      </c>
      <c r="N3361" t="s">
        <v>13389</v>
      </c>
      <c r="O3361" t="s">
        <v>13389</v>
      </c>
      <c r="P3361">
        <v>83200</v>
      </c>
      <c r="Q3361" t="str">
        <f>"37.737252"</f>
        <v>37.737252</v>
      </c>
      <c r="R3361" t="str">
        <f>"26.747216"</f>
        <v>26.747216</v>
      </c>
      <c r="S3361" t="s">
        <v>26</v>
      </c>
    </row>
    <row r="3362" spans="1:19" x14ac:dyDescent="0.3">
      <c r="A3362" t="s">
        <v>12435</v>
      </c>
      <c r="B3362" t="s">
        <v>13382</v>
      </c>
      <c r="C3362" t="s">
        <v>13565</v>
      </c>
      <c r="D3362" t="s">
        <v>12442</v>
      </c>
      <c r="E3362" t="s">
        <v>12720</v>
      </c>
      <c r="F3362" t="s">
        <v>12721</v>
      </c>
      <c r="G3362" t="s">
        <v>5563</v>
      </c>
      <c r="H3362" t="s">
        <v>868</v>
      </c>
      <c r="I3362" t="s">
        <v>950</v>
      </c>
      <c r="J3362" t="str">
        <f>"9430052"</f>
        <v>9430052</v>
      </c>
      <c r="K3362">
        <v>2273031100</v>
      </c>
      <c r="L3362">
        <v>2273037925</v>
      </c>
      <c r="M3362" t="s">
        <v>13566</v>
      </c>
      <c r="N3362" t="s">
        <v>13567</v>
      </c>
      <c r="O3362" t="s">
        <v>5567</v>
      </c>
      <c r="P3362">
        <v>83102</v>
      </c>
      <c r="Q3362" t="str">
        <f>"37.733456"</f>
        <v>37.733456</v>
      </c>
      <c r="R3362" t="str">
        <f>"26.583068"</f>
        <v>26.583068</v>
      </c>
      <c r="S3362" t="s">
        <v>57</v>
      </c>
    </row>
    <row r="3363" spans="1:19" x14ac:dyDescent="0.3">
      <c r="A3363" t="s">
        <v>12435</v>
      </c>
      <c r="B3363" t="s">
        <v>13382</v>
      </c>
      <c r="C3363" t="s">
        <v>13573</v>
      </c>
      <c r="D3363" t="s">
        <v>12699</v>
      </c>
      <c r="E3363" t="s">
        <v>12699</v>
      </c>
      <c r="F3363" t="s">
        <v>12747</v>
      </c>
      <c r="G3363" t="s">
        <v>12748</v>
      </c>
      <c r="H3363" t="s">
        <v>868</v>
      </c>
      <c r="I3363" t="s">
        <v>1157</v>
      </c>
      <c r="J3363" t="str">
        <f>"9521489"</f>
        <v>9521489</v>
      </c>
      <c r="K3363">
        <v>2275061279</v>
      </c>
      <c r="L3363">
        <v>2275061279</v>
      </c>
      <c r="M3363" t="s">
        <v>13574</v>
      </c>
      <c r="N3363" t="s">
        <v>12699</v>
      </c>
      <c r="O3363" t="s">
        <v>13575</v>
      </c>
      <c r="P3363">
        <v>83302</v>
      </c>
      <c r="Q3363" t="str">
        <f>"37.633731"</f>
        <v>37.633731</v>
      </c>
      <c r="R3363" t="str">
        <f>"26.219311"</f>
        <v>26.219311</v>
      </c>
      <c r="S3363" t="s">
        <v>57</v>
      </c>
    </row>
    <row r="3364" spans="1:19" x14ac:dyDescent="0.3">
      <c r="A3364" t="s">
        <v>12435</v>
      </c>
      <c r="B3364" t="s">
        <v>13382</v>
      </c>
      <c r="C3364" t="s">
        <v>13588</v>
      </c>
      <c r="D3364" t="s">
        <v>12699</v>
      </c>
      <c r="E3364" t="s">
        <v>12699</v>
      </c>
      <c r="F3364" t="s">
        <v>12709</v>
      </c>
      <c r="G3364" t="s">
        <v>13587</v>
      </c>
      <c r="H3364" t="s">
        <v>868</v>
      </c>
      <c r="I3364" t="s">
        <v>869</v>
      </c>
      <c r="J3364" t="str">
        <f>"9521631"</f>
        <v>9521631</v>
      </c>
      <c r="K3364">
        <v>2275041482</v>
      </c>
      <c r="L3364">
        <v>2275041482</v>
      </c>
      <c r="M3364" t="s">
        <v>13589</v>
      </c>
      <c r="N3364" t="s">
        <v>13590</v>
      </c>
      <c r="O3364" t="s">
        <v>12712</v>
      </c>
      <c r="P3364">
        <v>83301</v>
      </c>
      <c r="Q3364" t="str">
        <f>"37.611670"</f>
        <v>37.611670</v>
      </c>
      <c r="R3364" t="str">
        <f>"26.089957"</f>
        <v>26.089957</v>
      </c>
      <c r="S3364" t="s">
        <v>57</v>
      </c>
    </row>
    <row r="3365" spans="1:19" x14ac:dyDescent="0.3">
      <c r="A3365" t="s">
        <v>12435</v>
      </c>
      <c r="B3365" t="s">
        <v>13593</v>
      </c>
      <c r="C3365" t="s">
        <v>12821</v>
      </c>
      <c r="D3365" t="s">
        <v>12448</v>
      </c>
      <c r="E3365" t="s">
        <v>12816</v>
      </c>
      <c r="F3365" t="s">
        <v>12816</v>
      </c>
      <c r="G3365" t="s">
        <v>12816</v>
      </c>
      <c r="H3365" t="s">
        <v>868</v>
      </c>
      <c r="I3365" t="s">
        <v>950</v>
      </c>
      <c r="J3365" t="str">
        <f>"9510061"</f>
        <v>9510061</v>
      </c>
      <c r="K3365">
        <v>2271055393</v>
      </c>
      <c r="L3365">
        <v>2271055400</v>
      </c>
      <c r="M3365" t="s">
        <v>13597</v>
      </c>
      <c r="N3365" t="s">
        <v>12820</v>
      </c>
      <c r="O3365" t="s">
        <v>12820</v>
      </c>
      <c r="P3365">
        <v>82101</v>
      </c>
      <c r="Q3365" t="str">
        <f>"38.515435"</f>
        <v>38.515435</v>
      </c>
      <c r="R3365" t="str">
        <f>"26.220492"</f>
        <v>26.220492</v>
      </c>
      <c r="S3365" t="s">
        <v>57</v>
      </c>
    </row>
    <row r="3366" spans="1:19" x14ac:dyDescent="0.3">
      <c r="A3366" t="s">
        <v>12435</v>
      </c>
      <c r="B3366" t="s">
        <v>13593</v>
      </c>
      <c r="C3366" t="s">
        <v>13600</v>
      </c>
      <c r="D3366" t="s">
        <v>12448</v>
      </c>
      <c r="E3366" t="s">
        <v>12448</v>
      </c>
      <c r="F3366" t="s">
        <v>13598</v>
      </c>
      <c r="G3366" t="s">
        <v>13599</v>
      </c>
      <c r="H3366" t="s">
        <v>868</v>
      </c>
      <c r="I3366" t="s">
        <v>869</v>
      </c>
      <c r="J3366" t="str">
        <f>"9510073"</f>
        <v>9510073</v>
      </c>
      <c r="K3366">
        <v>2271078300</v>
      </c>
      <c r="L3366">
        <v>2271031311</v>
      </c>
      <c r="M3366" t="s">
        <v>13601</v>
      </c>
      <c r="N3366" t="s">
        <v>13602</v>
      </c>
      <c r="O3366" t="s">
        <v>13603</v>
      </c>
      <c r="P3366">
        <v>82150</v>
      </c>
      <c r="Q3366" t="str">
        <f>"38.332485"</f>
        <v>38.332485</v>
      </c>
      <c r="R3366" t="str">
        <f>"26.108267"</f>
        <v>26.108267</v>
      </c>
      <c r="S3366" t="s">
        <v>26</v>
      </c>
    </row>
    <row r="3367" spans="1:19" x14ac:dyDescent="0.3">
      <c r="A3367" t="s">
        <v>12435</v>
      </c>
      <c r="B3367" t="s">
        <v>13593</v>
      </c>
      <c r="C3367" t="s">
        <v>13624</v>
      </c>
      <c r="D3367" t="s">
        <v>12448</v>
      </c>
      <c r="E3367" t="s">
        <v>12448</v>
      </c>
      <c r="F3367" t="s">
        <v>12842</v>
      </c>
      <c r="G3367" t="s">
        <v>13623</v>
      </c>
      <c r="H3367" t="s">
        <v>868</v>
      </c>
      <c r="I3367" t="s">
        <v>869</v>
      </c>
      <c r="J3367" t="str">
        <f>"9510068"</f>
        <v>9510068</v>
      </c>
      <c r="K3367">
        <v>2271072261</v>
      </c>
      <c r="L3367">
        <v>2271072261</v>
      </c>
      <c r="M3367" t="s">
        <v>13625</v>
      </c>
      <c r="N3367" t="s">
        <v>13626</v>
      </c>
      <c r="O3367" t="s">
        <v>13626</v>
      </c>
      <c r="P3367">
        <v>82102</v>
      </c>
      <c r="Q3367" t="str">
        <f>"38.207670"</f>
        <v>38.207670</v>
      </c>
      <c r="R3367" t="str">
        <f>"26.021894"</f>
        <v>26.021894</v>
      </c>
      <c r="S3367" t="s">
        <v>26</v>
      </c>
    </row>
    <row r="3368" spans="1:19" x14ac:dyDescent="0.3">
      <c r="A3368" t="s">
        <v>12435</v>
      </c>
      <c r="B3368" t="s">
        <v>13593</v>
      </c>
      <c r="C3368" t="s">
        <v>12861</v>
      </c>
      <c r="D3368" t="s">
        <v>12448</v>
      </c>
      <c r="E3368" t="s">
        <v>12448</v>
      </c>
      <c r="F3368" t="s">
        <v>12448</v>
      </c>
      <c r="G3368" t="s">
        <v>12448</v>
      </c>
      <c r="H3368" t="s">
        <v>868</v>
      </c>
      <c r="I3368" t="s">
        <v>869</v>
      </c>
      <c r="J3368" t="str">
        <f>"9510014"</f>
        <v>9510014</v>
      </c>
      <c r="K3368">
        <v>2271021421</v>
      </c>
      <c r="L3368">
        <v>2271022561</v>
      </c>
      <c r="M3368" t="s">
        <v>13645</v>
      </c>
      <c r="N3368" t="s">
        <v>13646</v>
      </c>
      <c r="O3368" t="s">
        <v>13647</v>
      </c>
      <c r="P3368">
        <v>82100</v>
      </c>
      <c r="Q3368" t="str">
        <f>"38.392724"</f>
        <v>38.392724</v>
      </c>
      <c r="R3368" t="str">
        <f>"26.135090"</f>
        <v>26.135090</v>
      </c>
      <c r="S3368" t="s">
        <v>26</v>
      </c>
    </row>
    <row r="3369" spans="1:19" x14ac:dyDescent="0.3">
      <c r="A3369" t="s">
        <v>12435</v>
      </c>
      <c r="B3369" t="s">
        <v>13593</v>
      </c>
      <c r="C3369" t="s">
        <v>13648</v>
      </c>
      <c r="D3369" t="s">
        <v>12448</v>
      </c>
      <c r="E3369" t="s">
        <v>12448</v>
      </c>
      <c r="F3369" t="s">
        <v>12448</v>
      </c>
      <c r="G3369" t="s">
        <v>12448</v>
      </c>
      <c r="H3369" t="s">
        <v>868</v>
      </c>
      <c r="I3369" t="s">
        <v>1157</v>
      </c>
      <c r="J3369" t="str">
        <f>"9510110"</f>
        <v>9510110</v>
      </c>
      <c r="K3369">
        <v>2271022130</v>
      </c>
      <c r="L3369">
        <v>2271022130</v>
      </c>
      <c r="M3369" t="s">
        <v>13649</v>
      </c>
      <c r="N3369" t="s">
        <v>12451</v>
      </c>
      <c r="O3369" t="s">
        <v>13650</v>
      </c>
      <c r="P3369">
        <v>82100</v>
      </c>
      <c r="Q3369" t="str">
        <f>"38.393679"</f>
        <v>38.393679</v>
      </c>
      <c r="R3369" t="str">
        <f>"26.130895"</f>
        <v>26.130895</v>
      </c>
      <c r="S3369" t="s">
        <v>26</v>
      </c>
    </row>
    <row r="3370" spans="1:19" x14ac:dyDescent="0.3">
      <c r="A3370" t="s">
        <v>12435</v>
      </c>
      <c r="B3370" t="s">
        <v>13593</v>
      </c>
      <c r="C3370" t="s">
        <v>13655</v>
      </c>
      <c r="D3370" t="s">
        <v>12448</v>
      </c>
      <c r="E3370" t="s">
        <v>12448</v>
      </c>
      <c r="F3370" t="s">
        <v>12809</v>
      </c>
      <c r="G3370" t="s">
        <v>13654</v>
      </c>
      <c r="H3370" t="s">
        <v>868</v>
      </c>
      <c r="I3370" t="s">
        <v>869</v>
      </c>
      <c r="J3370" t="str">
        <f>"9510042"</f>
        <v>9510042</v>
      </c>
      <c r="K3370">
        <v>2271051201</v>
      </c>
      <c r="L3370">
        <v>2271051201</v>
      </c>
      <c r="M3370" t="s">
        <v>13656</v>
      </c>
      <c r="N3370" t="s">
        <v>13657</v>
      </c>
      <c r="O3370" t="s">
        <v>13657</v>
      </c>
      <c r="P3370">
        <v>82100</v>
      </c>
      <c r="Q3370" t="str">
        <f>"38.293512"</f>
        <v>38.293512</v>
      </c>
      <c r="R3370" t="str">
        <f>"26.073089"</f>
        <v>26.073089</v>
      </c>
      <c r="S3370" t="s">
        <v>26</v>
      </c>
    </row>
    <row r="3371" spans="1:19" x14ac:dyDescent="0.3">
      <c r="A3371" t="s">
        <v>12435</v>
      </c>
      <c r="B3371" t="s">
        <v>13593</v>
      </c>
      <c r="C3371" t="s">
        <v>13662</v>
      </c>
      <c r="D3371" t="s">
        <v>12448</v>
      </c>
      <c r="E3371" t="s">
        <v>12448</v>
      </c>
      <c r="F3371" t="s">
        <v>12809</v>
      </c>
      <c r="G3371" t="s">
        <v>13658</v>
      </c>
      <c r="H3371" t="s">
        <v>868</v>
      </c>
      <c r="I3371" t="s">
        <v>869</v>
      </c>
      <c r="J3371" t="str">
        <f>"9510059"</f>
        <v>9510059</v>
      </c>
      <c r="K3371">
        <v>2271061532</v>
      </c>
      <c r="L3371">
        <v>2271061532</v>
      </c>
      <c r="M3371" t="s">
        <v>13663</v>
      </c>
      <c r="N3371" t="s">
        <v>13664</v>
      </c>
      <c r="O3371" t="s">
        <v>13661</v>
      </c>
      <c r="P3371">
        <v>82102</v>
      </c>
      <c r="Q3371" t="str">
        <f>"38.239221"</f>
        <v>38.239221</v>
      </c>
      <c r="R3371" t="str">
        <f>"26.093114"</f>
        <v>26.093114</v>
      </c>
      <c r="S3371" t="s">
        <v>26</v>
      </c>
    </row>
    <row r="3372" spans="1:19" x14ac:dyDescent="0.3">
      <c r="A3372" t="s">
        <v>12435</v>
      </c>
      <c r="B3372" t="s">
        <v>13593</v>
      </c>
      <c r="C3372" t="s">
        <v>13665</v>
      </c>
      <c r="D3372" t="s">
        <v>12448</v>
      </c>
      <c r="E3372" t="s">
        <v>12448</v>
      </c>
      <c r="F3372" t="s">
        <v>12809</v>
      </c>
      <c r="G3372" t="s">
        <v>13629</v>
      </c>
      <c r="H3372" t="s">
        <v>868</v>
      </c>
      <c r="I3372" t="s">
        <v>950</v>
      </c>
      <c r="J3372" t="str">
        <f>"9510049"</f>
        <v>9510049</v>
      </c>
      <c r="K3372">
        <v>2271061334</v>
      </c>
      <c r="L3372">
        <v>2271061334</v>
      </c>
      <c r="M3372" t="s">
        <v>13666</v>
      </c>
      <c r="N3372" t="s">
        <v>13632</v>
      </c>
      <c r="O3372" t="s">
        <v>13633</v>
      </c>
      <c r="P3372">
        <v>82102</v>
      </c>
      <c r="Q3372" t="str">
        <f>"38.265372"</f>
        <v>38.265372</v>
      </c>
      <c r="R3372" t="str">
        <f>"26.101884"</f>
        <v>26.101884</v>
      </c>
      <c r="S3372" t="s">
        <v>26</v>
      </c>
    </row>
    <row r="3373" spans="1:19" x14ac:dyDescent="0.3">
      <c r="A3373" t="s">
        <v>12435</v>
      </c>
      <c r="B3373" t="s">
        <v>13593</v>
      </c>
      <c r="C3373" t="s">
        <v>12815</v>
      </c>
      <c r="D3373" t="s">
        <v>12448</v>
      </c>
      <c r="E3373" t="s">
        <v>12448</v>
      </c>
      <c r="F3373" t="s">
        <v>12809</v>
      </c>
      <c r="G3373" t="s">
        <v>12810</v>
      </c>
      <c r="H3373" t="s">
        <v>868</v>
      </c>
      <c r="I3373" t="s">
        <v>869</v>
      </c>
      <c r="J3373" t="str">
        <f>"9510045"</f>
        <v>9510045</v>
      </c>
      <c r="K3373">
        <v>2271051207</v>
      </c>
      <c r="L3373">
        <v>2271051207</v>
      </c>
      <c r="M3373" t="s">
        <v>13667</v>
      </c>
      <c r="N3373" t="s">
        <v>12851</v>
      </c>
      <c r="O3373" t="s">
        <v>12851</v>
      </c>
      <c r="P3373">
        <v>82100</v>
      </c>
      <c r="Q3373" t="str">
        <f>"38.292000"</f>
        <v>38.292000</v>
      </c>
      <c r="R3373" t="str">
        <f>"26.104232"</f>
        <v>26.104232</v>
      </c>
      <c r="S3373" t="s">
        <v>26</v>
      </c>
    </row>
    <row r="3374" spans="1:19" x14ac:dyDescent="0.3">
      <c r="A3374" t="s">
        <v>12435</v>
      </c>
      <c r="B3374" t="s">
        <v>13593</v>
      </c>
      <c r="C3374" t="s">
        <v>12808</v>
      </c>
      <c r="D3374" t="s">
        <v>12448</v>
      </c>
      <c r="E3374" t="s">
        <v>12448</v>
      </c>
      <c r="F3374" t="s">
        <v>12802</v>
      </c>
      <c r="G3374" t="s">
        <v>12803</v>
      </c>
      <c r="H3374" t="s">
        <v>868</v>
      </c>
      <c r="I3374" t="s">
        <v>950</v>
      </c>
      <c r="J3374" t="str">
        <f>"9510038"</f>
        <v>9510038</v>
      </c>
      <c r="K3374">
        <v>2274021206</v>
      </c>
      <c r="L3374">
        <v>2274021206</v>
      </c>
      <c r="M3374" t="s">
        <v>13668</v>
      </c>
      <c r="N3374" t="s">
        <v>12451</v>
      </c>
      <c r="O3374" t="s">
        <v>12806</v>
      </c>
      <c r="P3374">
        <v>82103</v>
      </c>
      <c r="Q3374" t="str">
        <f>"38.481329"</f>
        <v>38.481329</v>
      </c>
      <c r="R3374" t="str">
        <f>"25.924856"</f>
        <v>25.924856</v>
      </c>
      <c r="S3374" t="s">
        <v>57</v>
      </c>
    </row>
    <row r="3375" spans="1:19" x14ac:dyDescent="0.3">
      <c r="A3375" t="s">
        <v>12435</v>
      </c>
      <c r="B3375" t="s">
        <v>13593</v>
      </c>
      <c r="C3375" t="s">
        <v>13671</v>
      </c>
      <c r="D3375" t="s">
        <v>12448</v>
      </c>
      <c r="E3375" t="s">
        <v>12448</v>
      </c>
      <c r="F3375" t="s">
        <v>12448</v>
      </c>
      <c r="G3375" t="s">
        <v>12448</v>
      </c>
      <c r="H3375" t="s">
        <v>868</v>
      </c>
      <c r="I3375" t="s">
        <v>869</v>
      </c>
      <c r="J3375" t="str">
        <f>"9510019"</f>
        <v>9510019</v>
      </c>
      <c r="K3375">
        <v>2271022387</v>
      </c>
      <c r="M3375" t="s">
        <v>13672</v>
      </c>
      <c r="N3375" t="s">
        <v>12451</v>
      </c>
      <c r="O3375" t="s">
        <v>13673</v>
      </c>
      <c r="P3375">
        <v>82131</v>
      </c>
      <c r="Q3375" t="str">
        <f>"38.376414"</f>
        <v>38.376414</v>
      </c>
      <c r="R3375" t="str">
        <f>"26.134552"</f>
        <v>26.134552</v>
      </c>
      <c r="S3375" t="s">
        <v>26</v>
      </c>
    </row>
    <row r="3376" spans="1:19" x14ac:dyDescent="0.3">
      <c r="A3376" t="s">
        <v>12435</v>
      </c>
      <c r="B3376" t="s">
        <v>13593</v>
      </c>
      <c r="C3376" t="s">
        <v>13674</v>
      </c>
      <c r="D3376" t="s">
        <v>12448</v>
      </c>
      <c r="E3376" t="s">
        <v>12448</v>
      </c>
      <c r="F3376" t="s">
        <v>12842</v>
      </c>
      <c r="G3376" t="s">
        <v>13616</v>
      </c>
      <c r="H3376" t="s">
        <v>868</v>
      </c>
      <c r="I3376" t="s">
        <v>950</v>
      </c>
      <c r="J3376" t="str">
        <f>"9510054"</f>
        <v>9510054</v>
      </c>
      <c r="K3376">
        <v>2271073277</v>
      </c>
      <c r="L3376">
        <v>2271073277</v>
      </c>
      <c r="M3376" t="s">
        <v>13675</v>
      </c>
      <c r="N3376" t="s">
        <v>13616</v>
      </c>
      <c r="O3376" t="s">
        <v>13620</v>
      </c>
      <c r="P3376">
        <v>82102</v>
      </c>
      <c r="Q3376" t="str">
        <f>"38.332749"</f>
        <v>38.332749</v>
      </c>
      <c r="R3376" t="str">
        <f>"26.000013"</f>
        <v>26.000013</v>
      </c>
      <c r="S3376" t="s">
        <v>26</v>
      </c>
    </row>
    <row r="3377" spans="1:19" x14ac:dyDescent="0.3">
      <c r="A3377" t="s">
        <v>12435</v>
      </c>
      <c r="B3377" t="s">
        <v>13593</v>
      </c>
      <c r="C3377" t="s">
        <v>12826</v>
      </c>
      <c r="D3377" t="s">
        <v>12448</v>
      </c>
      <c r="E3377" t="s">
        <v>12448</v>
      </c>
      <c r="F3377" t="s">
        <v>12822</v>
      </c>
      <c r="G3377" t="s">
        <v>12822</v>
      </c>
      <c r="H3377" t="s">
        <v>868</v>
      </c>
      <c r="I3377" t="s">
        <v>869</v>
      </c>
      <c r="J3377" t="str">
        <f>"9510009"</f>
        <v>9510009</v>
      </c>
      <c r="K3377">
        <v>2272022267</v>
      </c>
      <c r="L3377">
        <v>2272022364</v>
      </c>
      <c r="M3377" t="s">
        <v>13720</v>
      </c>
      <c r="N3377" t="s">
        <v>12825</v>
      </c>
      <c r="O3377" t="s">
        <v>13721</v>
      </c>
      <c r="P3377">
        <v>82300</v>
      </c>
      <c r="Q3377" t="str">
        <f>"38.543418"</f>
        <v>38.543418</v>
      </c>
      <c r="R3377" t="str">
        <f>"26.107805"</f>
        <v>26.107805</v>
      </c>
      <c r="S3377" t="s">
        <v>26</v>
      </c>
    </row>
    <row r="3378" spans="1:19" x14ac:dyDescent="0.3">
      <c r="A3378" t="s">
        <v>12435</v>
      </c>
      <c r="B3378" t="s">
        <v>13593</v>
      </c>
      <c r="C3378" t="s">
        <v>12872</v>
      </c>
      <c r="D3378" t="s">
        <v>12448</v>
      </c>
      <c r="E3378" t="s">
        <v>12448</v>
      </c>
      <c r="F3378" t="s">
        <v>12448</v>
      </c>
      <c r="G3378" t="s">
        <v>12448</v>
      </c>
      <c r="H3378" t="s">
        <v>868</v>
      </c>
      <c r="I3378" t="s">
        <v>869</v>
      </c>
      <c r="J3378" t="str">
        <f>"9510013"</f>
        <v>9510013</v>
      </c>
      <c r="K3378">
        <v>2271031541</v>
      </c>
      <c r="L3378">
        <v>2271031541</v>
      </c>
      <c r="M3378" t="s">
        <v>13722</v>
      </c>
      <c r="N3378" t="s">
        <v>13723</v>
      </c>
      <c r="O3378" t="s">
        <v>13724</v>
      </c>
      <c r="P3378">
        <v>82100</v>
      </c>
      <c r="Q3378" t="str">
        <f>"38.322833"</f>
        <v>38.322833</v>
      </c>
      <c r="R3378" t="str">
        <f>"26.128458"</f>
        <v>26.128458</v>
      </c>
      <c r="S3378" t="s">
        <v>26</v>
      </c>
    </row>
    <row r="3379" spans="1:19" x14ac:dyDescent="0.3">
      <c r="A3379" t="s">
        <v>12435</v>
      </c>
      <c r="B3379" t="s">
        <v>13593</v>
      </c>
      <c r="C3379" t="s">
        <v>12896</v>
      </c>
      <c r="D3379" t="s">
        <v>12448</v>
      </c>
      <c r="E3379" t="s">
        <v>12892</v>
      </c>
      <c r="F3379" t="s">
        <v>12892</v>
      </c>
      <c r="G3379" t="s">
        <v>12892</v>
      </c>
      <c r="H3379" t="s">
        <v>868</v>
      </c>
      <c r="I3379" t="s">
        <v>950</v>
      </c>
      <c r="J3379" t="str">
        <f>"9510074"</f>
        <v>9510074</v>
      </c>
      <c r="K3379">
        <v>2274061221</v>
      </c>
      <c r="L3379">
        <v>2274061221</v>
      </c>
      <c r="M3379" t="s">
        <v>13725</v>
      </c>
      <c r="N3379" t="s">
        <v>13726</v>
      </c>
      <c r="O3379" t="s">
        <v>13696</v>
      </c>
      <c r="P3379">
        <v>82104</v>
      </c>
      <c r="Q3379" t="str">
        <f>"38.541705"</f>
        <v>38.541705</v>
      </c>
      <c r="R3379" t="str">
        <f>"25.562576"</f>
        <v>25.562576</v>
      </c>
      <c r="S3379" t="s">
        <v>57</v>
      </c>
    </row>
    <row r="3380" spans="1:19" x14ac:dyDescent="0.3">
      <c r="A3380" t="s">
        <v>12435</v>
      </c>
      <c r="B3380" t="s">
        <v>13593</v>
      </c>
      <c r="C3380" t="s">
        <v>12879</v>
      </c>
      <c r="D3380" t="s">
        <v>12448</v>
      </c>
      <c r="E3380" t="s">
        <v>12448</v>
      </c>
      <c r="F3380" t="s">
        <v>12448</v>
      </c>
      <c r="G3380" t="s">
        <v>12448</v>
      </c>
      <c r="H3380" t="s">
        <v>868</v>
      </c>
      <c r="I3380" t="s">
        <v>869</v>
      </c>
      <c r="J3380" t="str">
        <f>"9510028"</f>
        <v>9510028</v>
      </c>
      <c r="K3380">
        <v>2271023103</v>
      </c>
      <c r="L3380">
        <v>2271023103</v>
      </c>
      <c r="M3380" t="s">
        <v>13729</v>
      </c>
      <c r="N3380" t="s">
        <v>12451</v>
      </c>
      <c r="O3380" t="s">
        <v>13730</v>
      </c>
      <c r="P3380">
        <v>82100</v>
      </c>
      <c r="Q3380" t="str">
        <f>"38.384130"</f>
        <v>38.384130</v>
      </c>
      <c r="R3380" t="str">
        <f>"26.133116"</f>
        <v>26.133116</v>
      </c>
      <c r="S3380" t="s">
        <v>26</v>
      </c>
    </row>
    <row r="3381" spans="1:19" x14ac:dyDescent="0.3">
      <c r="A3381" t="s">
        <v>12435</v>
      </c>
      <c r="B3381" t="s">
        <v>13593</v>
      </c>
      <c r="C3381" t="s">
        <v>12886</v>
      </c>
      <c r="D3381" t="s">
        <v>12448</v>
      </c>
      <c r="E3381" t="s">
        <v>12448</v>
      </c>
      <c r="F3381" t="s">
        <v>12448</v>
      </c>
      <c r="G3381" t="s">
        <v>12448</v>
      </c>
      <c r="H3381" t="s">
        <v>868</v>
      </c>
      <c r="I3381" t="s">
        <v>869</v>
      </c>
      <c r="J3381" t="str">
        <f>"9510025"</f>
        <v>9510025</v>
      </c>
      <c r="K3381">
        <v>2271022409</v>
      </c>
      <c r="L3381">
        <v>2271022409</v>
      </c>
      <c r="M3381" t="s">
        <v>13734</v>
      </c>
      <c r="N3381" t="s">
        <v>12451</v>
      </c>
      <c r="O3381" t="s">
        <v>13735</v>
      </c>
      <c r="P3381">
        <v>82100</v>
      </c>
      <c r="Q3381" t="str">
        <f>"38.366010"</f>
        <v>38.366010</v>
      </c>
      <c r="R3381" t="str">
        <f>"26.132034"</f>
        <v>26.132034</v>
      </c>
      <c r="S3381" t="s">
        <v>26</v>
      </c>
    </row>
    <row r="3382" spans="1:19" x14ac:dyDescent="0.3">
      <c r="A3382" t="s">
        <v>12435</v>
      </c>
      <c r="B3382" t="s">
        <v>13593</v>
      </c>
      <c r="C3382" t="s">
        <v>13736</v>
      </c>
      <c r="D3382" t="s">
        <v>12448</v>
      </c>
      <c r="E3382" t="s">
        <v>12448</v>
      </c>
      <c r="F3382" t="s">
        <v>12448</v>
      </c>
      <c r="G3382" t="s">
        <v>12448</v>
      </c>
      <c r="H3382" t="s">
        <v>868</v>
      </c>
      <c r="I3382" t="s">
        <v>869</v>
      </c>
      <c r="J3382" t="str">
        <f>"9510016"</f>
        <v>9510016</v>
      </c>
      <c r="K3382">
        <v>2271022408</v>
      </c>
      <c r="L3382">
        <v>2271023162</v>
      </c>
      <c r="M3382" t="s">
        <v>13737</v>
      </c>
      <c r="N3382" t="s">
        <v>12451</v>
      </c>
      <c r="O3382" t="s">
        <v>13738</v>
      </c>
      <c r="P3382">
        <v>82132</v>
      </c>
      <c r="Q3382" t="str">
        <f>"38.366178"</f>
        <v>38.366178</v>
      </c>
      <c r="R3382" t="str">
        <f>"26.131628"</f>
        <v>26.131628</v>
      </c>
      <c r="S3382" t="s">
        <v>26</v>
      </c>
    </row>
    <row r="3383" spans="1:19" x14ac:dyDescent="0.3">
      <c r="A3383" t="s">
        <v>12435</v>
      </c>
      <c r="B3383" t="s">
        <v>13593</v>
      </c>
      <c r="C3383" t="s">
        <v>13739</v>
      </c>
      <c r="D3383" t="s">
        <v>12448</v>
      </c>
      <c r="E3383" t="s">
        <v>12448</v>
      </c>
      <c r="F3383" t="s">
        <v>12827</v>
      </c>
      <c r="G3383" t="s">
        <v>12828</v>
      </c>
      <c r="H3383" t="s">
        <v>868</v>
      </c>
      <c r="I3383" t="s">
        <v>869</v>
      </c>
      <c r="J3383" t="str">
        <f>"9510005"</f>
        <v>9510005</v>
      </c>
      <c r="K3383">
        <v>2271092380</v>
      </c>
      <c r="L3383">
        <v>2271092380</v>
      </c>
      <c r="M3383" t="s">
        <v>13740</v>
      </c>
      <c r="N3383" t="s">
        <v>12828</v>
      </c>
      <c r="O3383" t="s">
        <v>13741</v>
      </c>
      <c r="P3383">
        <v>82200</v>
      </c>
      <c r="Q3383" t="str">
        <f>"38.417111"</f>
        <v>38.417111</v>
      </c>
      <c r="R3383" t="str">
        <f>"26.129941"</f>
        <v>26.129941</v>
      </c>
      <c r="S3383" t="s">
        <v>26</v>
      </c>
    </row>
    <row r="3384" spans="1:19" x14ac:dyDescent="0.3">
      <c r="A3384" t="s">
        <v>12435</v>
      </c>
      <c r="B3384" t="s">
        <v>13593</v>
      </c>
      <c r="C3384" t="s">
        <v>13754</v>
      </c>
      <c r="D3384" t="s">
        <v>12448</v>
      </c>
      <c r="E3384" t="s">
        <v>12448</v>
      </c>
      <c r="F3384" t="s">
        <v>12448</v>
      </c>
      <c r="G3384" t="s">
        <v>12448</v>
      </c>
      <c r="H3384" t="s">
        <v>868</v>
      </c>
      <c r="I3384" t="s">
        <v>869</v>
      </c>
      <c r="J3384" t="str">
        <f>"9510026"</f>
        <v>9510026</v>
      </c>
      <c r="K3384">
        <v>2271022410</v>
      </c>
      <c r="L3384">
        <v>2271022327</v>
      </c>
      <c r="M3384" t="s">
        <v>13755</v>
      </c>
      <c r="N3384" t="s">
        <v>13756</v>
      </c>
      <c r="O3384" t="s">
        <v>13596</v>
      </c>
      <c r="P3384">
        <v>82131</v>
      </c>
      <c r="Q3384" t="str">
        <f>"38.370418"</f>
        <v>38.370418</v>
      </c>
      <c r="R3384" t="str">
        <f>"26.130502"</f>
        <v>26.130502</v>
      </c>
      <c r="S3384" t="s">
        <v>26</v>
      </c>
    </row>
    <row r="3385" spans="1:19" x14ac:dyDescent="0.3">
      <c r="A3385" t="s">
        <v>12435</v>
      </c>
      <c r="B3385" t="s">
        <v>13593</v>
      </c>
      <c r="C3385" t="s">
        <v>12855</v>
      </c>
      <c r="D3385" t="s">
        <v>12448</v>
      </c>
      <c r="E3385" t="s">
        <v>12448</v>
      </c>
      <c r="F3385" t="s">
        <v>12448</v>
      </c>
      <c r="G3385" t="s">
        <v>12448</v>
      </c>
      <c r="H3385" t="s">
        <v>868</v>
      </c>
      <c r="I3385" t="s">
        <v>869</v>
      </c>
      <c r="J3385" t="str">
        <f>"9510023"</f>
        <v>9510023</v>
      </c>
      <c r="K3385">
        <v>2271022418</v>
      </c>
      <c r="L3385">
        <v>2271022418</v>
      </c>
      <c r="M3385" t="s">
        <v>13757</v>
      </c>
      <c r="N3385" t="s">
        <v>13758</v>
      </c>
      <c r="O3385" t="s">
        <v>13759</v>
      </c>
      <c r="P3385">
        <v>82100</v>
      </c>
      <c r="Q3385" t="str">
        <f>"38.356803"</f>
        <v>38.356803</v>
      </c>
      <c r="R3385" t="str">
        <f>"26.133052"</f>
        <v>26.133052</v>
      </c>
      <c r="S3385" t="s">
        <v>26</v>
      </c>
    </row>
    <row r="3386" spans="1:19" x14ac:dyDescent="0.3">
      <c r="A3386" t="s">
        <v>12435</v>
      </c>
      <c r="B3386" t="s">
        <v>13593</v>
      </c>
      <c r="C3386" t="s">
        <v>12837</v>
      </c>
      <c r="D3386" t="s">
        <v>12448</v>
      </c>
      <c r="E3386" t="s">
        <v>12448</v>
      </c>
      <c r="F3386" t="s">
        <v>12448</v>
      </c>
      <c r="G3386" t="s">
        <v>12448</v>
      </c>
      <c r="H3386" t="s">
        <v>868</v>
      </c>
      <c r="I3386" t="s">
        <v>869</v>
      </c>
      <c r="J3386" t="str">
        <f>"9510017"</f>
        <v>9510017</v>
      </c>
      <c r="K3386">
        <v>2271022411</v>
      </c>
      <c r="L3386">
        <v>2271022411</v>
      </c>
      <c r="M3386" t="s">
        <v>13760</v>
      </c>
      <c r="N3386" t="s">
        <v>12448</v>
      </c>
      <c r="O3386" t="s">
        <v>13761</v>
      </c>
      <c r="P3386">
        <v>82132</v>
      </c>
      <c r="Q3386" t="str">
        <f>"38.365083"</f>
        <v>38.365083</v>
      </c>
      <c r="R3386" t="str">
        <f>"26.140192"</f>
        <v>26.140192</v>
      </c>
      <c r="S3386" t="s">
        <v>26</v>
      </c>
    </row>
    <row r="3387" spans="1:19" x14ac:dyDescent="0.3">
      <c r="A3387" t="s">
        <v>12435</v>
      </c>
      <c r="B3387" t="s">
        <v>13593</v>
      </c>
      <c r="C3387" t="s">
        <v>13762</v>
      </c>
      <c r="D3387" t="s">
        <v>12448</v>
      </c>
      <c r="E3387" t="s">
        <v>12448</v>
      </c>
      <c r="F3387" t="s">
        <v>12448</v>
      </c>
      <c r="G3387" t="s">
        <v>12448</v>
      </c>
      <c r="H3387" t="s">
        <v>868</v>
      </c>
      <c r="I3387" t="s">
        <v>869</v>
      </c>
      <c r="J3387" t="str">
        <f>"9510027"</f>
        <v>9510027</v>
      </c>
      <c r="K3387">
        <v>2271022386</v>
      </c>
      <c r="L3387">
        <v>2271022386</v>
      </c>
      <c r="M3387" t="s">
        <v>13763</v>
      </c>
      <c r="N3387" t="s">
        <v>12451</v>
      </c>
      <c r="O3387" t="s">
        <v>13764</v>
      </c>
      <c r="P3387">
        <v>82131</v>
      </c>
      <c r="Q3387" t="str">
        <f>"38.376421"</f>
        <v>38.376421</v>
      </c>
      <c r="R3387" t="str">
        <f>"26.135015"</f>
        <v>26.135015</v>
      </c>
      <c r="S3387" t="s">
        <v>26</v>
      </c>
    </row>
    <row r="3388" spans="1:19" x14ac:dyDescent="0.3">
      <c r="A3388" t="s">
        <v>12435</v>
      </c>
      <c r="B3388" t="s">
        <v>13593</v>
      </c>
      <c r="C3388" t="s">
        <v>12865</v>
      </c>
      <c r="D3388" t="s">
        <v>12448</v>
      </c>
      <c r="E3388" t="s">
        <v>12448</v>
      </c>
      <c r="F3388" t="s">
        <v>12448</v>
      </c>
      <c r="G3388" t="s">
        <v>12448</v>
      </c>
      <c r="H3388" t="s">
        <v>868</v>
      </c>
      <c r="I3388" t="s">
        <v>869</v>
      </c>
      <c r="J3388" t="str">
        <f>"9510102"</f>
        <v>9510102</v>
      </c>
      <c r="K3388">
        <v>2271024491</v>
      </c>
      <c r="L3388">
        <v>2271024491</v>
      </c>
      <c r="M3388" t="s">
        <v>13765</v>
      </c>
      <c r="N3388" t="s">
        <v>12448</v>
      </c>
      <c r="O3388" t="s">
        <v>13766</v>
      </c>
      <c r="P3388">
        <v>82100</v>
      </c>
      <c r="Q3388" t="str">
        <f>"38.368384"</f>
        <v>38.368384</v>
      </c>
      <c r="R3388" t="str">
        <f>"26.135970"</f>
        <v>26.135970</v>
      </c>
      <c r="S3388" t="s">
        <v>26</v>
      </c>
    </row>
    <row r="3389" spans="1:19" x14ac:dyDescent="0.3">
      <c r="A3389" t="s">
        <v>12435</v>
      </c>
      <c r="B3389" t="s">
        <v>13593</v>
      </c>
      <c r="C3389" t="s">
        <v>12914</v>
      </c>
      <c r="D3389" t="s">
        <v>12448</v>
      </c>
      <c r="E3389" t="s">
        <v>12448</v>
      </c>
      <c r="F3389" t="s">
        <v>12909</v>
      </c>
      <c r="G3389" t="s">
        <v>12910</v>
      </c>
      <c r="H3389" t="s">
        <v>868</v>
      </c>
      <c r="I3389" t="s">
        <v>869</v>
      </c>
      <c r="J3389" t="str">
        <f>"9510043"</f>
        <v>9510043</v>
      </c>
      <c r="K3389">
        <v>2271031226</v>
      </c>
      <c r="L3389">
        <v>2271031226</v>
      </c>
      <c r="M3389" t="s">
        <v>13767</v>
      </c>
      <c r="N3389" t="s">
        <v>13768</v>
      </c>
      <c r="O3389" t="s">
        <v>13769</v>
      </c>
      <c r="P3389">
        <v>82100</v>
      </c>
      <c r="Q3389" t="str">
        <f>"38.314718"</f>
        <v>38.314718</v>
      </c>
      <c r="R3389" t="str">
        <f>"26.131615"</f>
        <v>26.131615</v>
      </c>
      <c r="S3389" t="s">
        <v>26</v>
      </c>
    </row>
    <row r="3390" spans="1:19" x14ac:dyDescent="0.3">
      <c r="A3390" t="s">
        <v>12435</v>
      </c>
      <c r="B3390" t="s">
        <v>13593</v>
      </c>
      <c r="C3390" t="s">
        <v>13770</v>
      </c>
      <c r="D3390" t="s">
        <v>12448</v>
      </c>
      <c r="E3390" t="s">
        <v>12448</v>
      </c>
      <c r="F3390" t="s">
        <v>12448</v>
      </c>
      <c r="G3390" t="s">
        <v>12448</v>
      </c>
      <c r="H3390" t="s">
        <v>868</v>
      </c>
      <c r="I3390" t="s">
        <v>869</v>
      </c>
      <c r="J3390" t="str">
        <f>"9510104"</f>
        <v>9510104</v>
      </c>
      <c r="K3390">
        <v>2271028513</v>
      </c>
      <c r="L3390">
        <v>2271028513</v>
      </c>
      <c r="M3390" t="s">
        <v>13771</v>
      </c>
      <c r="N3390" t="s">
        <v>12448</v>
      </c>
      <c r="O3390" t="s">
        <v>13636</v>
      </c>
      <c r="P3390">
        <v>82100</v>
      </c>
      <c r="Q3390" t="str">
        <f>"38.373957"</f>
        <v>38.373957</v>
      </c>
      <c r="R3390" t="str">
        <f>"26.125358"</f>
        <v>26.125358</v>
      </c>
      <c r="S3390" t="s">
        <v>26</v>
      </c>
    </row>
    <row r="3391" spans="1:19" x14ac:dyDescent="0.3">
      <c r="A3391" t="s">
        <v>12435</v>
      </c>
      <c r="B3391" t="s">
        <v>13593</v>
      </c>
      <c r="C3391" t="s">
        <v>12848</v>
      </c>
      <c r="D3391" t="s">
        <v>12448</v>
      </c>
      <c r="E3391" t="s">
        <v>12448</v>
      </c>
      <c r="F3391" t="s">
        <v>12842</v>
      </c>
      <c r="G3391" t="s">
        <v>12843</v>
      </c>
      <c r="H3391" t="s">
        <v>868</v>
      </c>
      <c r="I3391" t="s">
        <v>950</v>
      </c>
      <c r="J3391" t="str">
        <f>"9510044"</f>
        <v>9510044</v>
      </c>
      <c r="K3391">
        <v>2271071216</v>
      </c>
      <c r="L3391">
        <v>2271071216</v>
      </c>
      <c r="M3391" t="s">
        <v>13772</v>
      </c>
      <c r="N3391" t="s">
        <v>12843</v>
      </c>
      <c r="O3391" t="s">
        <v>12847</v>
      </c>
      <c r="P3391">
        <v>82102</v>
      </c>
      <c r="Q3391" t="str">
        <f>"38.232831"</f>
        <v>38.232831</v>
      </c>
      <c r="R3391" t="str">
        <f>"26.046786"</f>
        <v>26.046786</v>
      </c>
      <c r="S3391" t="s">
        <v>26</v>
      </c>
    </row>
    <row r="3392" spans="1:19" x14ac:dyDescent="0.3">
      <c r="A3392" t="s">
        <v>12435</v>
      </c>
      <c r="B3392" t="s">
        <v>13593</v>
      </c>
      <c r="C3392" t="s">
        <v>12834</v>
      </c>
      <c r="D3392" t="s">
        <v>12448</v>
      </c>
      <c r="E3392" t="s">
        <v>12448</v>
      </c>
      <c r="F3392" t="s">
        <v>12827</v>
      </c>
      <c r="G3392" t="s">
        <v>12828</v>
      </c>
      <c r="H3392" t="s">
        <v>868</v>
      </c>
      <c r="I3392" t="s">
        <v>869</v>
      </c>
      <c r="J3392" t="str">
        <f>"9510004"</f>
        <v>9510004</v>
      </c>
      <c r="K3392">
        <v>2271092482</v>
      </c>
      <c r="L3392">
        <v>2271092482</v>
      </c>
      <c r="M3392" t="s">
        <v>13773</v>
      </c>
      <c r="N3392" t="s">
        <v>12831</v>
      </c>
      <c r="O3392" t="s">
        <v>13774</v>
      </c>
      <c r="P3392">
        <v>82200</v>
      </c>
      <c r="Q3392" t="str">
        <f>"38.412075"</f>
        <v>38.412075</v>
      </c>
      <c r="R3392" t="str">
        <f>"26.126850"</f>
        <v>26.126850</v>
      </c>
      <c r="S3392" t="s">
        <v>26</v>
      </c>
    </row>
    <row r="3393" spans="1:19" x14ac:dyDescent="0.3">
      <c r="A3393" t="s">
        <v>12435</v>
      </c>
      <c r="B3393" t="s">
        <v>13593</v>
      </c>
      <c r="C3393" t="s">
        <v>13775</v>
      </c>
      <c r="D3393" t="s">
        <v>12448</v>
      </c>
      <c r="E3393" t="s">
        <v>12448</v>
      </c>
      <c r="F3393" t="s">
        <v>12827</v>
      </c>
      <c r="G3393" t="s">
        <v>12828</v>
      </c>
      <c r="H3393" t="s">
        <v>868</v>
      </c>
      <c r="I3393" t="s">
        <v>869</v>
      </c>
      <c r="J3393" t="str">
        <f>"9510001"</f>
        <v>9510001</v>
      </c>
      <c r="K3393">
        <v>2271092356</v>
      </c>
      <c r="L3393">
        <v>2271092356</v>
      </c>
      <c r="M3393" t="s">
        <v>13776</v>
      </c>
      <c r="N3393" t="s">
        <v>12831</v>
      </c>
      <c r="O3393" t="s">
        <v>13777</v>
      </c>
      <c r="P3393">
        <v>82200</v>
      </c>
      <c r="Q3393" t="str">
        <f>"38.402781"</f>
        <v>38.402781</v>
      </c>
      <c r="R3393" t="str">
        <f>"26.121250"</f>
        <v>26.121250</v>
      </c>
      <c r="S3393" t="s">
        <v>26</v>
      </c>
    </row>
    <row r="3394" spans="1:19" x14ac:dyDescent="0.3">
      <c r="A3394" t="s">
        <v>12435</v>
      </c>
      <c r="B3394" t="s">
        <v>13593</v>
      </c>
      <c r="C3394" t="s">
        <v>13782</v>
      </c>
      <c r="D3394" t="s">
        <v>12448</v>
      </c>
      <c r="E3394" t="s">
        <v>12448</v>
      </c>
      <c r="F3394" t="s">
        <v>13598</v>
      </c>
      <c r="G3394" t="s">
        <v>13781</v>
      </c>
      <c r="H3394" t="s">
        <v>868</v>
      </c>
      <c r="I3394" t="s">
        <v>950</v>
      </c>
      <c r="J3394" t="str">
        <f>"9510030"</f>
        <v>9510030</v>
      </c>
      <c r="K3394">
        <v>2271078392</v>
      </c>
      <c r="L3394">
        <v>2271078392</v>
      </c>
      <c r="M3394" t="s">
        <v>13783</v>
      </c>
      <c r="N3394" t="s">
        <v>13784</v>
      </c>
      <c r="O3394" t="s">
        <v>13784</v>
      </c>
      <c r="P3394">
        <v>82100</v>
      </c>
      <c r="Q3394" t="str">
        <f>"38.317106"</f>
        <v>38.317106</v>
      </c>
      <c r="R3394" t="str">
        <f>"26.058779"</f>
        <v>26.058779</v>
      </c>
      <c r="S3394" t="s">
        <v>26</v>
      </c>
    </row>
    <row r="3395" spans="1:19" x14ac:dyDescent="0.3">
      <c r="A3395" t="s">
        <v>12435</v>
      </c>
      <c r="B3395" t="s">
        <v>13593</v>
      </c>
      <c r="C3395" t="s">
        <v>13785</v>
      </c>
      <c r="D3395" t="s">
        <v>12448</v>
      </c>
      <c r="E3395" t="s">
        <v>12448</v>
      </c>
      <c r="F3395" t="s">
        <v>12827</v>
      </c>
      <c r="G3395" t="s">
        <v>13678</v>
      </c>
      <c r="H3395" t="s">
        <v>868</v>
      </c>
      <c r="I3395" t="s">
        <v>950</v>
      </c>
      <c r="J3395" t="str">
        <f>"9510048"</f>
        <v>9510048</v>
      </c>
      <c r="K3395">
        <v>2271079215</v>
      </c>
      <c r="L3395">
        <v>2271079215</v>
      </c>
      <c r="M3395" t="s">
        <v>13786</v>
      </c>
      <c r="N3395" t="s">
        <v>13681</v>
      </c>
      <c r="O3395" t="s">
        <v>13681</v>
      </c>
      <c r="P3395">
        <v>82100</v>
      </c>
      <c r="Q3395" t="str">
        <f>"38.390184"</f>
        <v>38.390184</v>
      </c>
      <c r="R3395" t="str">
        <f>"26.097781"</f>
        <v>26.097781</v>
      </c>
      <c r="S3395" t="s">
        <v>26</v>
      </c>
    </row>
    <row r="3396" spans="1:19" x14ac:dyDescent="0.3">
      <c r="A3396" t="s">
        <v>12435</v>
      </c>
      <c r="B3396" t="s">
        <v>13593</v>
      </c>
      <c r="C3396" t="s">
        <v>13789</v>
      </c>
      <c r="D3396" t="s">
        <v>12448</v>
      </c>
      <c r="E3396" t="s">
        <v>12448</v>
      </c>
      <c r="F3396" t="s">
        <v>12827</v>
      </c>
      <c r="G3396" t="s">
        <v>13690</v>
      </c>
      <c r="H3396" t="s">
        <v>868</v>
      </c>
      <c r="I3396" t="s">
        <v>950</v>
      </c>
      <c r="J3396" t="str">
        <f>"9510070"</f>
        <v>9510070</v>
      </c>
      <c r="K3396">
        <v>2271074266</v>
      </c>
      <c r="L3396">
        <v>2271074266</v>
      </c>
      <c r="M3396" t="s">
        <v>13790</v>
      </c>
      <c r="N3396" t="s">
        <v>13690</v>
      </c>
      <c r="O3396" t="s">
        <v>13693</v>
      </c>
      <c r="P3396">
        <v>82300</v>
      </c>
      <c r="Q3396" t="str">
        <f>"38.463820"</f>
        <v>38.463820</v>
      </c>
      <c r="R3396" t="str">
        <f>"26.125249"</f>
        <v>26.125249</v>
      </c>
      <c r="S3396" t="s">
        <v>26</v>
      </c>
    </row>
    <row r="3397" spans="1:19" x14ac:dyDescent="0.3">
      <c r="A3397" t="s">
        <v>13791</v>
      </c>
      <c r="B3397" t="s">
        <v>14950</v>
      </c>
      <c r="C3397" t="s">
        <v>14104</v>
      </c>
      <c r="D3397" t="s">
        <v>13792</v>
      </c>
      <c r="E3397" t="s">
        <v>13793</v>
      </c>
      <c r="F3397" t="s">
        <v>13793</v>
      </c>
      <c r="G3397" t="s">
        <v>3986</v>
      </c>
      <c r="H3397" t="s">
        <v>868</v>
      </c>
      <c r="I3397" t="s">
        <v>869</v>
      </c>
      <c r="J3397" t="str">
        <f>"9010289"</f>
        <v>9010289</v>
      </c>
      <c r="K3397">
        <v>2631022351</v>
      </c>
      <c r="L3397">
        <v>2631022351</v>
      </c>
      <c r="M3397" t="s">
        <v>14954</v>
      </c>
      <c r="N3397" t="s">
        <v>13796</v>
      </c>
      <c r="O3397" t="s">
        <v>14955</v>
      </c>
      <c r="P3397">
        <v>30200</v>
      </c>
      <c r="Q3397" t="str">
        <f>"38.368939"</f>
        <v>38.368939</v>
      </c>
      <c r="R3397" t="str">
        <f>"21.422213"</f>
        <v>21.422213</v>
      </c>
      <c r="S3397" t="s">
        <v>26</v>
      </c>
    </row>
    <row r="3398" spans="1:19" x14ac:dyDescent="0.3">
      <c r="A3398" t="s">
        <v>13791</v>
      </c>
      <c r="B3398" t="s">
        <v>14950</v>
      </c>
      <c r="C3398" t="s">
        <v>14957</v>
      </c>
      <c r="D3398" t="s">
        <v>13792</v>
      </c>
      <c r="E3398" t="s">
        <v>13836</v>
      </c>
      <c r="F3398" t="s">
        <v>13837</v>
      </c>
      <c r="G3398" t="s">
        <v>14956</v>
      </c>
      <c r="H3398" t="s">
        <v>868</v>
      </c>
      <c r="I3398" t="s">
        <v>869</v>
      </c>
      <c r="J3398" t="str">
        <f>"9010217"</f>
        <v>9010217</v>
      </c>
      <c r="K3398">
        <v>2643081201</v>
      </c>
      <c r="L3398">
        <v>2643081201</v>
      </c>
      <c r="M3398" t="s">
        <v>14958</v>
      </c>
      <c r="N3398" t="s">
        <v>14959</v>
      </c>
      <c r="O3398" t="s">
        <v>14960</v>
      </c>
      <c r="P3398">
        <v>30002</v>
      </c>
      <c r="Q3398" t="str">
        <f>"38.865356"</f>
        <v>38.865356</v>
      </c>
      <c r="R3398" t="str">
        <f>"20.804535"</f>
        <v>20.804535</v>
      </c>
      <c r="S3398" t="s">
        <v>26</v>
      </c>
    </row>
    <row r="3399" spans="1:19" x14ac:dyDescent="0.3">
      <c r="A3399" t="s">
        <v>13791</v>
      </c>
      <c r="B3399" t="s">
        <v>14950</v>
      </c>
      <c r="C3399" t="s">
        <v>13887</v>
      </c>
      <c r="D3399" t="s">
        <v>13792</v>
      </c>
      <c r="E3399" t="s">
        <v>13851</v>
      </c>
      <c r="F3399" t="s">
        <v>13851</v>
      </c>
      <c r="G3399" t="s">
        <v>13393</v>
      </c>
      <c r="H3399" t="s">
        <v>868</v>
      </c>
      <c r="I3399" t="s">
        <v>869</v>
      </c>
      <c r="J3399" t="str">
        <f>"9010098"</f>
        <v>9010098</v>
      </c>
      <c r="K3399">
        <v>2641022037</v>
      </c>
      <c r="L3399">
        <v>2641022037</v>
      </c>
      <c r="M3399" t="s">
        <v>14964</v>
      </c>
      <c r="N3399" t="s">
        <v>14965</v>
      </c>
      <c r="O3399" t="s">
        <v>11599</v>
      </c>
      <c r="P3399">
        <v>30027</v>
      </c>
      <c r="Q3399" t="str">
        <f>"38.635558"</f>
        <v>38.635558</v>
      </c>
      <c r="R3399" t="str">
        <f>"21.396371"</f>
        <v>21.396371</v>
      </c>
      <c r="S3399" t="s">
        <v>26</v>
      </c>
    </row>
    <row r="3400" spans="1:19" x14ac:dyDescent="0.3">
      <c r="A3400" t="s">
        <v>13791</v>
      </c>
      <c r="B3400" t="s">
        <v>14950</v>
      </c>
      <c r="C3400" t="s">
        <v>14983</v>
      </c>
      <c r="D3400" t="s">
        <v>13792</v>
      </c>
      <c r="E3400" t="s">
        <v>13820</v>
      </c>
      <c r="F3400" t="s">
        <v>13826</v>
      </c>
      <c r="G3400" t="s">
        <v>14978</v>
      </c>
      <c r="H3400" t="s">
        <v>868</v>
      </c>
      <c r="I3400" t="s">
        <v>950</v>
      </c>
      <c r="J3400" t="str">
        <f>"9010069"</f>
        <v>9010069</v>
      </c>
      <c r="K3400">
        <v>2646093310</v>
      </c>
      <c r="L3400">
        <v>2646093310</v>
      </c>
      <c r="M3400" t="s">
        <v>14984</v>
      </c>
      <c r="N3400" t="s">
        <v>14985</v>
      </c>
      <c r="O3400" t="s">
        <v>14985</v>
      </c>
      <c r="P3400">
        <v>30006</v>
      </c>
      <c r="Q3400" t="str">
        <f>"38.591234"</f>
        <v>38.591234</v>
      </c>
      <c r="R3400" t="str">
        <f>"21.143967"</f>
        <v>21.143967</v>
      </c>
      <c r="S3400" t="s">
        <v>26</v>
      </c>
    </row>
    <row r="3401" spans="1:19" x14ac:dyDescent="0.3">
      <c r="A3401" t="s">
        <v>13791</v>
      </c>
      <c r="B3401" t="s">
        <v>14950</v>
      </c>
      <c r="C3401" t="s">
        <v>14014</v>
      </c>
      <c r="D3401" t="s">
        <v>13792</v>
      </c>
      <c r="E3401" t="s">
        <v>13851</v>
      </c>
      <c r="F3401" t="s">
        <v>13851</v>
      </c>
      <c r="G3401" t="s">
        <v>13851</v>
      </c>
      <c r="H3401" t="s">
        <v>868</v>
      </c>
      <c r="I3401" t="s">
        <v>869</v>
      </c>
      <c r="J3401" t="str">
        <f>"9010096"</f>
        <v>9010096</v>
      </c>
      <c r="K3401">
        <v>2641026430</v>
      </c>
      <c r="L3401">
        <v>2641026779</v>
      </c>
      <c r="M3401" t="s">
        <v>15042</v>
      </c>
      <c r="N3401" t="s">
        <v>13885</v>
      </c>
      <c r="O3401" t="s">
        <v>15043</v>
      </c>
      <c r="P3401">
        <v>30100</v>
      </c>
      <c r="Q3401" t="str">
        <f>"38.619094"</f>
        <v>38.619094</v>
      </c>
      <c r="R3401" t="str">
        <f>"21.396175"</f>
        <v>21.396175</v>
      </c>
      <c r="S3401" t="s">
        <v>26</v>
      </c>
    </row>
    <row r="3402" spans="1:19" x14ac:dyDescent="0.3">
      <c r="A3402" t="s">
        <v>13791</v>
      </c>
      <c r="B3402" t="s">
        <v>14950</v>
      </c>
      <c r="C3402" t="s">
        <v>15056</v>
      </c>
      <c r="D3402" t="s">
        <v>13792</v>
      </c>
      <c r="E3402" t="s">
        <v>13820</v>
      </c>
      <c r="F3402" t="s">
        <v>13826</v>
      </c>
      <c r="G3402" t="s">
        <v>15055</v>
      </c>
      <c r="H3402" t="s">
        <v>868</v>
      </c>
      <c r="I3402" t="s">
        <v>950</v>
      </c>
      <c r="J3402" t="str">
        <f>"9010267"</f>
        <v>9010267</v>
      </c>
      <c r="K3402">
        <v>2646093352</v>
      </c>
      <c r="L3402">
        <v>2646093352</v>
      </c>
      <c r="M3402" t="s">
        <v>15057</v>
      </c>
      <c r="N3402" t="s">
        <v>15058</v>
      </c>
      <c r="O3402" t="s">
        <v>15058</v>
      </c>
      <c r="P3402">
        <v>30009</v>
      </c>
      <c r="Q3402" t="str">
        <f>"38.658371"</f>
        <v>38.658371</v>
      </c>
      <c r="R3402" t="str">
        <f>"21.146221"</f>
        <v>21.146221</v>
      </c>
      <c r="S3402" t="s">
        <v>26</v>
      </c>
    </row>
    <row r="3403" spans="1:19" x14ac:dyDescent="0.3">
      <c r="A3403" t="s">
        <v>13791</v>
      </c>
      <c r="B3403" t="s">
        <v>14950</v>
      </c>
      <c r="C3403" t="s">
        <v>14037</v>
      </c>
      <c r="D3403" t="s">
        <v>13792</v>
      </c>
      <c r="E3403" t="s">
        <v>13851</v>
      </c>
      <c r="F3403" t="s">
        <v>13851</v>
      </c>
      <c r="G3403" t="s">
        <v>13851</v>
      </c>
      <c r="H3403" t="s">
        <v>868</v>
      </c>
      <c r="I3403" t="s">
        <v>869</v>
      </c>
      <c r="J3403" t="str">
        <f>"9010095"</f>
        <v>9010095</v>
      </c>
      <c r="K3403">
        <v>2641024884</v>
      </c>
      <c r="L3403">
        <v>2641024884</v>
      </c>
      <c r="M3403" t="s">
        <v>15070</v>
      </c>
      <c r="N3403" t="s">
        <v>13885</v>
      </c>
      <c r="O3403" t="s">
        <v>15071</v>
      </c>
      <c r="P3403">
        <v>30100</v>
      </c>
      <c r="Q3403" t="str">
        <f>"38.638668"</f>
        <v>38.638668</v>
      </c>
      <c r="R3403" t="str">
        <f>"21.407859"</f>
        <v>21.407859</v>
      </c>
      <c r="S3403" t="s">
        <v>26</v>
      </c>
    </row>
    <row r="3404" spans="1:19" x14ac:dyDescent="0.3">
      <c r="A3404" t="s">
        <v>13791</v>
      </c>
      <c r="B3404" t="s">
        <v>14950</v>
      </c>
      <c r="C3404" t="s">
        <v>15072</v>
      </c>
      <c r="D3404" t="s">
        <v>13792</v>
      </c>
      <c r="E3404" t="s">
        <v>13836</v>
      </c>
      <c r="F3404" t="s">
        <v>14005</v>
      </c>
      <c r="G3404" t="s">
        <v>13036</v>
      </c>
      <c r="H3404" t="s">
        <v>868</v>
      </c>
      <c r="I3404" t="s">
        <v>869</v>
      </c>
      <c r="J3404" t="str">
        <f>"9010241"</f>
        <v>9010241</v>
      </c>
      <c r="K3404">
        <v>2643051243</v>
      </c>
      <c r="M3404" t="s">
        <v>15073</v>
      </c>
      <c r="N3404" t="s">
        <v>2755</v>
      </c>
      <c r="O3404" t="s">
        <v>15074</v>
      </c>
      <c r="P3404">
        <v>30002</v>
      </c>
      <c r="Q3404" t="str">
        <f>"38.798887"</f>
        <v>38.798887</v>
      </c>
      <c r="R3404" t="str">
        <f>"20.741093"</f>
        <v>20.741093</v>
      </c>
      <c r="S3404" t="s">
        <v>26</v>
      </c>
    </row>
    <row r="3405" spans="1:19" x14ac:dyDescent="0.3">
      <c r="A3405" t="s">
        <v>13791</v>
      </c>
      <c r="B3405" t="s">
        <v>14950</v>
      </c>
      <c r="C3405" t="s">
        <v>15077</v>
      </c>
      <c r="D3405" t="s">
        <v>13792</v>
      </c>
      <c r="E3405" t="s">
        <v>13851</v>
      </c>
      <c r="F3405" t="s">
        <v>15075</v>
      </c>
      <c r="G3405" t="s">
        <v>15076</v>
      </c>
      <c r="H3405" t="s">
        <v>868</v>
      </c>
      <c r="I3405" t="s">
        <v>950</v>
      </c>
      <c r="J3405" t="str">
        <f>"9010133"</f>
        <v>9010133</v>
      </c>
      <c r="K3405">
        <v>2641042358</v>
      </c>
      <c r="L3405">
        <v>2641042358</v>
      </c>
      <c r="M3405" t="s">
        <v>15078</v>
      </c>
      <c r="N3405" t="s">
        <v>15079</v>
      </c>
      <c r="O3405" t="s">
        <v>15079</v>
      </c>
      <c r="P3405">
        <v>30150</v>
      </c>
      <c r="Q3405" t="str">
        <f>"38.682597"</f>
        <v>38.682597</v>
      </c>
      <c r="R3405" t="str">
        <f>"21.475101"</f>
        <v>21.475101</v>
      </c>
      <c r="S3405" t="s">
        <v>26</v>
      </c>
    </row>
    <row r="3406" spans="1:19" x14ac:dyDescent="0.3">
      <c r="A3406" t="s">
        <v>13791</v>
      </c>
      <c r="B3406" t="s">
        <v>14950</v>
      </c>
      <c r="C3406" t="s">
        <v>14119</v>
      </c>
      <c r="D3406" t="s">
        <v>13792</v>
      </c>
      <c r="E3406" t="s">
        <v>13836</v>
      </c>
      <c r="F3406" t="s">
        <v>13837</v>
      </c>
      <c r="G3406" t="s">
        <v>938</v>
      </c>
      <c r="H3406" t="s">
        <v>868</v>
      </c>
      <c r="I3406" t="s">
        <v>869</v>
      </c>
      <c r="J3406" t="str">
        <f>"9010234"</f>
        <v>9010234</v>
      </c>
      <c r="K3406">
        <v>2643031243</v>
      </c>
      <c r="L3406">
        <v>2643031243</v>
      </c>
      <c r="M3406" t="s">
        <v>15080</v>
      </c>
      <c r="N3406" t="s">
        <v>941</v>
      </c>
      <c r="O3406" t="s">
        <v>941</v>
      </c>
      <c r="P3406">
        <v>30002</v>
      </c>
      <c r="Q3406" t="str">
        <f>"38.851384"</f>
        <v>38.851384</v>
      </c>
      <c r="R3406" t="str">
        <f>"20.943025"</f>
        <v>20.943025</v>
      </c>
      <c r="S3406" t="s">
        <v>26</v>
      </c>
    </row>
    <row r="3407" spans="1:19" x14ac:dyDescent="0.3">
      <c r="A3407" t="s">
        <v>13791</v>
      </c>
      <c r="B3407" t="s">
        <v>14950</v>
      </c>
      <c r="C3407" t="s">
        <v>15103</v>
      </c>
      <c r="D3407" t="s">
        <v>13792</v>
      </c>
      <c r="E3407" t="s">
        <v>13820</v>
      </c>
      <c r="F3407" t="s">
        <v>13821</v>
      </c>
      <c r="G3407" t="s">
        <v>15102</v>
      </c>
      <c r="H3407" t="s">
        <v>868</v>
      </c>
      <c r="I3407" t="s">
        <v>950</v>
      </c>
      <c r="J3407" t="str">
        <f>"9010250"</f>
        <v>9010250</v>
      </c>
      <c r="K3407">
        <v>2646071205</v>
      </c>
      <c r="L3407">
        <v>2646071207</v>
      </c>
      <c r="M3407" t="s">
        <v>15104</v>
      </c>
      <c r="N3407" t="s">
        <v>15102</v>
      </c>
      <c r="O3407" t="s">
        <v>15105</v>
      </c>
      <c r="P3407">
        <v>30019</v>
      </c>
      <c r="Q3407" t="str">
        <f>"38.702315"</f>
        <v>38.702315</v>
      </c>
      <c r="R3407" t="str">
        <f>"21.040709"</f>
        <v>21.040709</v>
      </c>
      <c r="S3407" t="s">
        <v>26</v>
      </c>
    </row>
    <row r="3408" spans="1:19" x14ac:dyDescent="0.3">
      <c r="A3408" t="s">
        <v>13791</v>
      </c>
      <c r="B3408" t="s">
        <v>14950</v>
      </c>
      <c r="C3408" t="s">
        <v>15107</v>
      </c>
      <c r="D3408" t="s">
        <v>13792</v>
      </c>
      <c r="E3408" t="s">
        <v>13793</v>
      </c>
      <c r="F3408" t="s">
        <v>13828</v>
      </c>
      <c r="G3408" t="s">
        <v>15106</v>
      </c>
      <c r="H3408" t="s">
        <v>868</v>
      </c>
      <c r="I3408" t="s">
        <v>950</v>
      </c>
      <c r="J3408" t="str">
        <f>"9010245"</f>
        <v>9010245</v>
      </c>
      <c r="K3408">
        <v>2632031280</v>
      </c>
      <c r="L3408">
        <v>2632031280</v>
      </c>
      <c r="M3408" t="s">
        <v>15108</v>
      </c>
      <c r="N3408" t="s">
        <v>15109</v>
      </c>
      <c r="O3408" t="s">
        <v>15110</v>
      </c>
      <c r="P3408">
        <v>30001</v>
      </c>
      <c r="Q3408" t="str">
        <f>"38.413998"</f>
        <v>38.413998</v>
      </c>
      <c r="R3408" t="str">
        <f>"21.289932"</f>
        <v>21.289932</v>
      </c>
      <c r="S3408" t="s">
        <v>26</v>
      </c>
    </row>
    <row r="3409" spans="1:19" x14ac:dyDescent="0.3">
      <c r="A3409" t="s">
        <v>13791</v>
      </c>
      <c r="B3409" t="s">
        <v>14950</v>
      </c>
      <c r="C3409" t="s">
        <v>15115</v>
      </c>
      <c r="D3409" t="s">
        <v>13792</v>
      </c>
      <c r="E3409" t="s">
        <v>13851</v>
      </c>
      <c r="F3409" t="s">
        <v>11666</v>
      </c>
      <c r="G3409" t="s">
        <v>15114</v>
      </c>
      <c r="H3409" t="s">
        <v>868</v>
      </c>
      <c r="I3409" t="s">
        <v>869</v>
      </c>
      <c r="J3409" t="str">
        <f>"9010648"</f>
        <v>9010648</v>
      </c>
      <c r="K3409">
        <v>2641031385</v>
      </c>
      <c r="L3409">
        <v>2641034486</v>
      </c>
      <c r="M3409" t="s">
        <v>15116</v>
      </c>
      <c r="N3409" t="s">
        <v>613</v>
      </c>
      <c r="O3409" t="s">
        <v>15117</v>
      </c>
      <c r="P3409">
        <v>30100</v>
      </c>
      <c r="Q3409" t="str">
        <f>"38.646584"</f>
        <v>38.646584</v>
      </c>
      <c r="R3409" t="str">
        <f>"21.374950"</f>
        <v>21.374950</v>
      </c>
      <c r="S3409" t="s">
        <v>26</v>
      </c>
    </row>
    <row r="3410" spans="1:19" x14ac:dyDescent="0.3">
      <c r="A3410" t="s">
        <v>13791</v>
      </c>
      <c r="B3410" t="s">
        <v>14950</v>
      </c>
      <c r="C3410" t="s">
        <v>14001</v>
      </c>
      <c r="D3410" t="s">
        <v>13792</v>
      </c>
      <c r="E3410" t="s">
        <v>13851</v>
      </c>
      <c r="F3410" t="s">
        <v>13852</v>
      </c>
      <c r="G3410" t="s">
        <v>13853</v>
      </c>
      <c r="H3410" t="s">
        <v>868</v>
      </c>
      <c r="I3410" t="s">
        <v>869</v>
      </c>
      <c r="J3410" t="str">
        <f>"9010642"</f>
        <v>9010642</v>
      </c>
      <c r="K3410">
        <v>2641064916</v>
      </c>
      <c r="L3410">
        <v>2641061247</v>
      </c>
      <c r="M3410" t="s">
        <v>15118</v>
      </c>
      <c r="N3410" t="s">
        <v>15119</v>
      </c>
      <c r="O3410" t="s">
        <v>15120</v>
      </c>
      <c r="P3410">
        <v>30005</v>
      </c>
      <c r="Q3410" t="str">
        <f>"38.605109"</f>
        <v>38.605109</v>
      </c>
      <c r="R3410" t="str">
        <f>"21.489126"</f>
        <v>21.489126</v>
      </c>
      <c r="S3410" t="s">
        <v>26</v>
      </c>
    </row>
    <row r="3411" spans="1:19" x14ac:dyDescent="0.3">
      <c r="A3411" t="s">
        <v>13791</v>
      </c>
      <c r="B3411" t="s">
        <v>14950</v>
      </c>
      <c r="C3411" t="s">
        <v>15125</v>
      </c>
      <c r="D3411" t="s">
        <v>13792</v>
      </c>
      <c r="E3411" t="s">
        <v>13793</v>
      </c>
      <c r="F3411" t="s">
        <v>13793</v>
      </c>
      <c r="G3411" t="s">
        <v>3986</v>
      </c>
      <c r="H3411" t="s">
        <v>868</v>
      </c>
      <c r="I3411" t="s">
        <v>1157</v>
      </c>
      <c r="J3411" t="str">
        <f>"9010629"</f>
        <v>9010629</v>
      </c>
      <c r="K3411">
        <v>2631051114</v>
      </c>
      <c r="L3411">
        <v>2631051114</v>
      </c>
      <c r="M3411" t="s">
        <v>15126</v>
      </c>
      <c r="N3411" t="s">
        <v>13796</v>
      </c>
      <c r="O3411" t="s">
        <v>15127</v>
      </c>
      <c r="P3411">
        <v>30200</v>
      </c>
      <c r="Q3411" t="str">
        <f>"38.373486"</f>
        <v>38.373486</v>
      </c>
      <c r="R3411" t="str">
        <f>"21.428541"</f>
        <v>21.428541</v>
      </c>
      <c r="S3411" t="s">
        <v>26</v>
      </c>
    </row>
    <row r="3412" spans="1:19" x14ac:dyDescent="0.3">
      <c r="A3412" t="s">
        <v>13791</v>
      </c>
      <c r="B3412" t="s">
        <v>14950</v>
      </c>
      <c r="C3412" t="s">
        <v>14150</v>
      </c>
      <c r="D3412" t="s">
        <v>13792</v>
      </c>
      <c r="E3412" t="s">
        <v>13851</v>
      </c>
      <c r="F3412" t="s">
        <v>13851</v>
      </c>
      <c r="G3412" t="s">
        <v>13393</v>
      </c>
      <c r="H3412" t="s">
        <v>868</v>
      </c>
      <c r="I3412" t="s">
        <v>869</v>
      </c>
      <c r="J3412" t="str">
        <f>"9010097"</f>
        <v>9010097</v>
      </c>
      <c r="K3412">
        <v>2641024194</v>
      </c>
      <c r="L3412">
        <v>2641024194</v>
      </c>
      <c r="M3412" t="s">
        <v>15128</v>
      </c>
      <c r="N3412" t="s">
        <v>13396</v>
      </c>
      <c r="O3412" t="s">
        <v>15129</v>
      </c>
      <c r="P3412">
        <v>30027</v>
      </c>
      <c r="Q3412" t="str">
        <f>"38.632299"</f>
        <v>38.632299</v>
      </c>
      <c r="R3412" t="str">
        <f>"21.398097"</f>
        <v>21.398097</v>
      </c>
      <c r="S3412" t="s">
        <v>26</v>
      </c>
    </row>
    <row r="3413" spans="1:19" x14ac:dyDescent="0.3">
      <c r="A3413" t="s">
        <v>13791</v>
      </c>
      <c r="B3413" t="s">
        <v>14950</v>
      </c>
      <c r="C3413" t="s">
        <v>15132</v>
      </c>
      <c r="D3413" t="s">
        <v>13792</v>
      </c>
      <c r="E3413" t="s">
        <v>13793</v>
      </c>
      <c r="F3413" t="s">
        <v>13793</v>
      </c>
      <c r="G3413" t="s">
        <v>3986</v>
      </c>
      <c r="H3413" t="s">
        <v>868</v>
      </c>
      <c r="I3413" t="s">
        <v>869</v>
      </c>
      <c r="J3413" t="str">
        <f>"9010385"</f>
        <v>9010385</v>
      </c>
      <c r="K3413">
        <v>2631028150</v>
      </c>
      <c r="L3413">
        <v>2631028150</v>
      </c>
      <c r="M3413" t="s">
        <v>15133</v>
      </c>
      <c r="N3413" t="s">
        <v>15134</v>
      </c>
      <c r="O3413" t="s">
        <v>15135</v>
      </c>
      <c r="P3413">
        <v>30200</v>
      </c>
      <c r="Q3413" t="str">
        <f>"38.378685"</f>
        <v>38.378685</v>
      </c>
      <c r="R3413" t="str">
        <f>"21.429858"</f>
        <v>21.429858</v>
      </c>
      <c r="S3413" t="s">
        <v>26</v>
      </c>
    </row>
    <row r="3414" spans="1:19" x14ac:dyDescent="0.3">
      <c r="A3414" t="s">
        <v>13791</v>
      </c>
      <c r="B3414" t="s">
        <v>14950</v>
      </c>
      <c r="C3414" t="s">
        <v>14024</v>
      </c>
      <c r="D3414" t="s">
        <v>13792</v>
      </c>
      <c r="E3414" t="s">
        <v>13851</v>
      </c>
      <c r="F3414" t="s">
        <v>13851</v>
      </c>
      <c r="G3414" t="s">
        <v>13851</v>
      </c>
      <c r="H3414" t="s">
        <v>868</v>
      </c>
      <c r="I3414" t="s">
        <v>869</v>
      </c>
      <c r="J3414" t="str">
        <f>"9010604"</f>
        <v>9010604</v>
      </c>
      <c r="K3414">
        <v>2641020645</v>
      </c>
      <c r="L3414">
        <v>2641020645</v>
      </c>
      <c r="M3414" t="s">
        <v>15136</v>
      </c>
      <c r="N3414" t="s">
        <v>13885</v>
      </c>
      <c r="O3414" t="s">
        <v>15137</v>
      </c>
      <c r="P3414">
        <v>30132</v>
      </c>
      <c r="Q3414" t="str">
        <f>"38.621664"</f>
        <v>38.621664</v>
      </c>
      <c r="R3414" t="str">
        <f>"21.413186"</f>
        <v>21.413186</v>
      </c>
      <c r="S3414" t="s">
        <v>26</v>
      </c>
    </row>
    <row r="3415" spans="1:19" x14ac:dyDescent="0.3">
      <c r="A3415" t="s">
        <v>13791</v>
      </c>
      <c r="B3415" t="s">
        <v>14950</v>
      </c>
      <c r="C3415" t="s">
        <v>15138</v>
      </c>
      <c r="D3415" t="s">
        <v>13792</v>
      </c>
      <c r="E3415" t="s">
        <v>13851</v>
      </c>
      <c r="F3415" t="s">
        <v>13851</v>
      </c>
      <c r="G3415" t="s">
        <v>13851</v>
      </c>
      <c r="H3415" t="s">
        <v>868</v>
      </c>
      <c r="I3415" t="s">
        <v>869</v>
      </c>
      <c r="J3415" t="str">
        <f>"9010001"</f>
        <v>9010001</v>
      </c>
      <c r="K3415">
        <v>2641023468</v>
      </c>
      <c r="L3415">
        <v>2641023468</v>
      </c>
      <c r="M3415" t="s">
        <v>15139</v>
      </c>
      <c r="N3415" t="s">
        <v>3984</v>
      </c>
      <c r="O3415" t="s">
        <v>15140</v>
      </c>
      <c r="P3415">
        <v>30100</v>
      </c>
      <c r="Q3415" t="str">
        <f>"38.625582"</f>
        <v>38.625582</v>
      </c>
      <c r="R3415" t="str">
        <f>"21.422407"</f>
        <v>21.422407</v>
      </c>
      <c r="S3415" t="s">
        <v>26</v>
      </c>
    </row>
    <row r="3416" spans="1:19" x14ac:dyDescent="0.3">
      <c r="A3416" t="s">
        <v>13791</v>
      </c>
      <c r="B3416" t="s">
        <v>14950</v>
      </c>
      <c r="C3416" t="s">
        <v>15141</v>
      </c>
      <c r="D3416" t="s">
        <v>13792</v>
      </c>
      <c r="E3416" t="s">
        <v>13851</v>
      </c>
      <c r="F3416" t="s">
        <v>13851</v>
      </c>
      <c r="G3416" t="s">
        <v>13851</v>
      </c>
      <c r="H3416" t="s">
        <v>868</v>
      </c>
      <c r="I3416" t="s">
        <v>869</v>
      </c>
      <c r="J3416" t="str">
        <f>"9010005"</f>
        <v>9010005</v>
      </c>
      <c r="K3416">
        <v>2641045988</v>
      </c>
      <c r="L3416">
        <v>2641045988</v>
      </c>
      <c r="M3416" t="s">
        <v>15142</v>
      </c>
      <c r="N3416" t="s">
        <v>13851</v>
      </c>
      <c r="O3416" t="s">
        <v>15143</v>
      </c>
      <c r="P3416">
        <v>30131</v>
      </c>
      <c r="Q3416" t="str">
        <f>"38.629190"</f>
        <v>38.629190</v>
      </c>
      <c r="R3416" t="str">
        <f>"21.414352"</f>
        <v>21.414352</v>
      </c>
      <c r="S3416" t="s">
        <v>26</v>
      </c>
    </row>
    <row r="3417" spans="1:19" x14ac:dyDescent="0.3">
      <c r="A3417" t="s">
        <v>13791</v>
      </c>
      <c r="B3417" t="s">
        <v>14950</v>
      </c>
      <c r="C3417" t="s">
        <v>14010</v>
      </c>
      <c r="D3417" t="s">
        <v>13792</v>
      </c>
      <c r="E3417" t="s">
        <v>13836</v>
      </c>
      <c r="F3417" t="s">
        <v>14005</v>
      </c>
      <c r="G3417" t="s">
        <v>14005</v>
      </c>
      <c r="H3417" t="s">
        <v>868</v>
      </c>
      <c r="I3417" t="s">
        <v>869</v>
      </c>
      <c r="J3417" t="str">
        <f>"9010645"</f>
        <v>9010645</v>
      </c>
      <c r="K3417">
        <v>2643041216</v>
      </c>
      <c r="L3417">
        <v>2643041216</v>
      </c>
      <c r="M3417" t="s">
        <v>15144</v>
      </c>
      <c r="N3417" t="s">
        <v>14009</v>
      </c>
      <c r="O3417" t="s">
        <v>15145</v>
      </c>
      <c r="P3417">
        <v>30012</v>
      </c>
      <c r="Q3417" t="str">
        <f>"38.786099"</f>
        <v>38.786099</v>
      </c>
      <c r="R3417" t="str">
        <f>"20.880379"</f>
        <v>20.880379</v>
      </c>
      <c r="S3417" t="s">
        <v>26</v>
      </c>
    </row>
    <row r="3418" spans="1:19" x14ac:dyDescent="0.3">
      <c r="A3418" t="s">
        <v>13791</v>
      </c>
      <c r="B3418" t="s">
        <v>14950</v>
      </c>
      <c r="C3418" t="s">
        <v>13850</v>
      </c>
      <c r="D3418" t="s">
        <v>13792</v>
      </c>
      <c r="E3418" t="s">
        <v>13793</v>
      </c>
      <c r="F3418" t="s">
        <v>13828</v>
      </c>
      <c r="G3418" t="s">
        <v>13845</v>
      </c>
      <c r="H3418" t="s">
        <v>868</v>
      </c>
      <c r="I3418" t="s">
        <v>869</v>
      </c>
      <c r="J3418" t="str">
        <f>"9010265"</f>
        <v>9010265</v>
      </c>
      <c r="K3418">
        <v>2632091368</v>
      </c>
      <c r="L3418">
        <v>2632091368</v>
      </c>
      <c r="M3418" t="s">
        <v>15149</v>
      </c>
      <c r="N3418" t="s">
        <v>15150</v>
      </c>
      <c r="O3418" t="s">
        <v>15151</v>
      </c>
      <c r="P3418">
        <v>30007</v>
      </c>
      <c r="Q3418" t="str">
        <f>"38.415818"</f>
        <v>38.415818</v>
      </c>
      <c r="R3418" t="str">
        <f>"21.252162"</f>
        <v>21.252162</v>
      </c>
      <c r="S3418" t="s">
        <v>26</v>
      </c>
    </row>
    <row r="3419" spans="1:19" x14ac:dyDescent="0.3">
      <c r="A3419" t="s">
        <v>13791</v>
      </c>
      <c r="B3419" t="s">
        <v>14950</v>
      </c>
      <c r="C3419" t="s">
        <v>15152</v>
      </c>
      <c r="D3419" t="s">
        <v>13792</v>
      </c>
      <c r="E3419" t="s">
        <v>13851</v>
      </c>
      <c r="F3419" t="s">
        <v>13859</v>
      </c>
      <c r="G3419" t="s">
        <v>15020</v>
      </c>
      <c r="H3419" t="s">
        <v>868</v>
      </c>
      <c r="I3419" t="s">
        <v>950</v>
      </c>
      <c r="J3419" t="str">
        <f>"9010410"</f>
        <v>9010410</v>
      </c>
      <c r="K3419">
        <v>2635031095</v>
      </c>
      <c r="L3419">
        <v>2635031057</v>
      </c>
      <c r="M3419" t="s">
        <v>15153</v>
      </c>
      <c r="N3419" t="s">
        <v>15154</v>
      </c>
      <c r="O3419" t="s">
        <v>15024</v>
      </c>
      <c r="P3419">
        <v>30015</v>
      </c>
      <c r="Q3419" t="str">
        <f>"38.486167"</f>
        <v>38.486167</v>
      </c>
      <c r="R3419" t="str">
        <f>"21.625399"</f>
        <v>21.625399</v>
      </c>
      <c r="S3419" t="s">
        <v>26</v>
      </c>
    </row>
    <row r="3420" spans="1:19" x14ac:dyDescent="0.3">
      <c r="A3420" t="s">
        <v>13791</v>
      </c>
      <c r="B3420" t="s">
        <v>14950</v>
      </c>
      <c r="C3420" t="s">
        <v>15155</v>
      </c>
      <c r="D3420" t="s">
        <v>13792</v>
      </c>
      <c r="E3420" t="s">
        <v>13851</v>
      </c>
      <c r="F3420" t="s">
        <v>13851</v>
      </c>
      <c r="G3420" t="s">
        <v>13851</v>
      </c>
      <c r="H3420" t="s">
        <v>868</v>
      </c>
      <c r="I3420" t="s">
        <v>1157</v>
      </c>
      <c r="J3420" t="str">
        <f>"9520885"</f>
        <v>9520885</v>
      </c>
      <c r="K3420">
        <v>2641049499</v>
      </c>
      <c r="L3420">
        <v>2641049499</v>
      </c>
      <c r="M3420" t="s">
        <v>15156</v>
      </c>
      <c r="N3420" t="s">
        <v>13885</v>
      </c>
      <c r="O3420" t="s">
        <v>15157</v>
      </c>
      <c r="P3420">
        <v>30100</v>
      </c>
      <c r="Q3420" t="str">
        <f>"38.624472"</f>
        <v>38.624472</v>
      </c>
      <c r="R3420" t="str">
        <f>"21.409593"</f>
        <v>21.409593</v>
      </c>
      <c r="S3420" t="s">
        <v>26</v>
      </c>
    </row>
    <row r="3421" spans="1:19" x14ac:dyDescent="0.3">
      <c r="A3421" t="s">
        <v>13791</v>
      </c>
      <c r="B3421" t="s">
        <v>14950</v>
      </c>
      <c r="C3421" t="s">
        <v>15164</v>
      </c>
      <c r="D3421" t="s">
        <v>13792</v>
      </c>
      <c r="E3421" t="s">
        <v>13820</v>
      </c>
      <c r="F3421" t="s">
        <v>13826</v>
      </c>
      <c r="G3421" t="s">
        <v>15163</v>
      </c>
      <c r="H3421" t="s">
        <v>868</v>
      </c>
      <c r="I3421" t="s">
        <v>950</v>
      </c>
      <c r="J3421" t="str">
        <f>"9010276"</f>
        <v>9010276</v>
      </c>
      <c r="K3421">
        <v>2632041388</v>
      </c>
      <c r="L3421">
        <v>2632055102</v>
      </c>
      <c r="M3421" t="s">
        <v>15165</v>
      </c>
      <c r="N3421" t="s">
        <v>15166</v>
      </c>
      <c r="O3421" t="s">
        <v>15167</v>
      </c>
      <c r="P3421">
        <v>30001</v>
      </c>
      <c r="Q3421" t="str">
        <f>"38.528667"</f>
        <v>38.528667</v>
      </c>
      <c r="R3421" t="str">
        <f>"21.212629"</f>
        <v>21.212629</v>
      </c>
      <c r="S3421" t="s">
        <v>26</v>
      </c>
    </row>
    <row r="3422" spans="1:19" x14ac:dyDescent="0.3">
      <c r="A3422" t="s">
        <v>13791</v>
      </c>
      <c r="B3422" t="s">
        <v>14950</v>
      </c>
      <c r="C3422" t="s">
        <v>15169</v>
      </c>
      <c r="D3422" t="s">
        <v>13792</v>
      </c>
      <c r="E3422" t="s">
        <v>13851</v>
      </c>
      <c r="F3422" t="s">
        <v>13852</v>
      </c>
      <c r="G3422" t="s">
        <v>15168</v>
      </c>
      <c r="H3422" t="s">
        <v>868</v>
      </c>
      <c r="I3422" t="s">
        <v>950</v>
      </c>
      <c r="J3422" t="str">
        <f>"9010046"</f>
        <v>9010046</v>
      </c>
      <c r="K3422">
        <v>2641028116</v>
      </c>
      <c r="L3422">
        <v>2641028116</v>
      </c>
      <c r="M3422" t="s">
        <v>15170</v>
      </c>
      <c r="N3422" t="s">
        <v>15171</v>
      </c>
      <c r="O3422" t="s">
        <v>15172</v>
      </c>
      <c r="P3422">
        <v>30100</v>
      </c>
      <c r="Q3422" t="str">
        <f>"38.607256"</f>
        <v>38.607256</v>
      </c>
      <c r="R3422" t="str">
        <f>"21.446732"</f>
        <v>21.446732</v>
      </c>
      <c r="S3422" t="s">
        <v>26</v>
      </c>
    </row>
    <row r="3423" spans="1:19" x14ac:dyDescent="0.3">
      <c r="A3423" t="s">
        <v>13791</v>
      </c>
      <c r="B3423" t="s">
        <v>14950</v>
      </c>
      <c r="C3423" t="s">
        <v>15173</v>
      </c>
      <c r="D3423" t="s">
        <v>13792</v>
      </c>
      <c r="E3423" t="s">
        <v>13851</v>
      </c>
      <c r="F3423" t="s">
        <v>13851</v>
      </c>
      <c r="G3423" t="s">
        <v>13851</v>
      </c>
      <c r="H3423" t="s">
        <v>868</v>
      </c>
      <c r="I3423" t="s">
        <v>869</v>
      </c>
      <c r="J3423" t="str">
        <f>"9010013"</f>
        <v>9010013</v>
      </c>
      <c r="K3423">
        <v>2641023479</v>
      </c>
      <c r="L3423">
        <v>2641023479</v>
      </c>
      <c r="M3423" t="s">
        <v>15174</v>
      </c>
      <c r="N3423" t="s">
        <v>13885</v>
      </c>
      <c r="O3423" t="s">
        <v>15175</v>
      </c>
      <c r="P3423">
        <v>30133</v>
      </c>
      <c r="Q3423" t="str">
        <f>"38.637422"</f>
        <v>38.637422</v>
      </c>
      <c r="R3423" t="str">
        <f>"21.416974"</f>
        <v>21.416974</v>
      </c>
      <c r="S3423" t="s">
        <v>26</v>
      </c>
    </row>
    <row r="3424" spans="1:19" x14ac:dyDescent="0.3">
      <c r="A3424" t="s">
        <v>13791</v>
      </c>
      <c r="B3424" t="s">
        <v>14950</v>
      </c>
      <c r="C3424" t="s">
        <v>15176</v>
      </c>
      <c r="D3424" t="s">
        <v>13792</v>
      </c>
      <c r="E3424" t="s">
        <v>13793</v>
      </c>
      <c r="F3424" t="s">
        <v>13987</v>
      </c>
      <c r="G3424" t="s">
        <v>13987</v>
      </c>
      <c r="H3424" t="s">
        <v>868</v>
      </c>
      <c r="I3424" t="s">
        <v>869</v>
      </c>
      <c r="J3424" t="str">
        <f>"9010281"</f>
        <v>9010281</v>
      </c>
      <c r="K3424">
        <v>2632022587</v>
      </c>
      <c r="L3424">
        <v>2632022587</v>
      </c>
      <c r="M3424" t="s">
        <v>15177</v>
      </c>
      <c r="N3424" t="s">
        <v>15178</v>
      </c>
      <c r="O3424" t="s">
        <v>15179</v>
      </c>
      <c r="P3424">
        <v>30400</v>
      </c>
      <c r="Q3424" t="str">
        <f>"38.435774"</f>
        <v>38.435774</v>
      </c>
      <c r="R3424" t="str">
        <f>"21.355980"</f>
        <v>21.355980</v>
      </c>
      <c r="S3424" t="s">
        <v>26</v>
      </c>
    </row>
    <row r="3425" spans="1:19" x14ac:dyDescent="0.3">
      <c r="A3425" t="s">
        <v>13791</v>
      </c>
      <c r="B3425" t="s">
        <v>14950</v>
      </c>
      <c r="C3425" t="s">
        <v>14071</v>
      </c>
      <c r="D3425" t="s">
        <v>13792</v>
      </c>
      <c r="E3425" t="s">
        <v>13851</v>
      </c>
      <c r="F3425" t="s">
        <v>14066</v>
      </c>
      <c r="G3425" t="s">
        <v>14067</v>
      </c>
      <c r="H3425" t="s">
        <v>868</v>
      </c>
      <c r="I3425" t="s">
        <v>869</v>
      </c>
      <c r="J3425" t="str">
        <f>"9010073"</f>
        <v>9010073</v>
      </c>
      <c r="K3425">
        <v>2641092030</v>
      </c>
      <c r="L3425">
        <v>2641092030</v>
      </c>
      <c r="M3425" t="s">
        <v>15183</v>
      </c>
      <c r="N3425" t="s">
        <v>15184</v>
      </c>
      <c r="O3425" t="s">
        <v>15184</v>
      </c>
      <c r="P3425">
        <v>30100</v>
      </c>
      <c r="Q3425" t="str">
        <f>"38.699067"</f>
        <v>38.699067</v>
      </c>
      <c r="R3425" t="str">
        <f>"21.292193"</f>
        <v>21.292193</v>
      </c>
      <c r="S3425" t="s">
        <v>26</v>
      </c>
    </row>
    <row r="3426" spans="1:19" x14ac:dyDescent="0.3">
      <c r="A3426" t="s">
        <v>13791</v>
      </c>
      <c r="B3426" t="s">
        <v>14950</v>
      </c>
      <c r="C3426" t="s">
        <v>15185</v>
      </c>
      <c r="D3426" t="s">
        <v>13792</v>
      </c>
      <c r="E3426" t="s">
        <v>13793</v>
      </c>
      <c r="F3426" t="s">
        <v>13987</v>
      </c>
      <c r="G3426" t="s">
        <v>13987</v>
      </c>
      <c r="H3426" t="s">
        <v>868</v>
      </c>
      <c r="I3426" t="s">
        <v>950</v>
      </c>
      <c r="J3426" t="str">
        <f>"9010379"</f>
        <v>9010379</v>
      </c>
      <c r="K3426">
        <v>2632022588</v>
      </c>
      <c r="L3426">
        <v>2632022588</v>
      </c>
      <c r="M3426" t="s">
        <v>15186</v>
      </c>
      <c r="O3426" t="s">
        <v>15187</v>
      </c>
      <c r="P3426">
        <v>30400</v>
      </c>
      <c r="Q3426" t="str">
        <f>"38.461816"</f>
        <v>38.461816</v>
      </c>
      <c r="R3426" t="str">
        <f>"21.364299"</f>
        <v>21.364299</v>
      </c>
      <c r="S3426" t="s">
        <v>26</v>
      </c>
    </row>
    <row r="3427" spans="1:19" x14ac:dyDescent="0.3">
      <c r="A3427" t="s">
        <v>13791</v>
      </c>
      <c r="B3427" t="s">
        <v>14950</v>
      </c>
      <c r="C3427" t="s">
        <v>13882</v>
      </c>
      <c r="D3427" t="s">
        <v>13792</v>
      </c>
      <c r="E3427" t="s">
        <v>13878</v>
      </c>
      <c r="F3427" t="s">
        <v>13878</v>
      </c>
      <c r="G3427" t="s">
        <v>13878</v>
      </c>
      <c r="H3427" t="s">
        <v>868</v>
      </c>
      <c r="I3427" t="s">
        <v>869</v>
      </c>
      <c r="J3427" t="str">
        <f>"9010028"</f>
        <v>9010028</v>
      </c>
      <c r="K3427">
        <v>2644022278</v>
      </c>
      <c r="L3427">
        <v>2644022278</v>
      </c>
      <c r="M3427" t="s">
        <v>15188</v>
      </c>
      <c r="N3427" t="s">
        <v>13881</v>
      </c>
      <c r="O3427" t="s">
        <v>13881</v>
      </c>
      <c r="P3427">
        <v>30008</v>
      </c>
      <c r="Q3427" t="str">
        <f>"38.571101"</f>
        <v>38.571101</v>
      </c>
      <c r="R3427" t="str">
        <f>"21.666506"</f>
        <v>21.666506</v>
      </c>
      <c r="S3427" t="s">
        <v>26</v>
      </c>
    </row>
    <row r="3428" spans="1:19" x14ac:dyDescent="0.3">
      <c r="A3428" t="s">
        <v>13791</v>
      </c>
      <c r="B3428" t="s">
        <v>14950</v>
      </c>
      <c r="C3428" t="s">
        <v>14090</v>
      </c>
      <c r="D3428" t="s">
        <v>13792</v>
      </c>
      <c r="E3428" t="s">
        <v>13820</v>
      </c>
      <c r="F3428" t="s">
        <v>14085</v>
      </c>
      <c r="G3428" t="s">
        <v>14085</v>
      </c>
      <c r="H3428" t="s">
        <v>868</v>
      </c>
      <c r="I3428" t="s">
        <v>869</v>
      </c>
      <c r="J3428" t="str">
        <f>"9010092"</f>
        <v>9010092</v>
      </c>
      <c r="K3428">
        <v>2646022217</v>
      </c>
      <c r="L3428">
        <v>2646022217</v>
      </c>
      <c r="M3428" t="s">
        <v>15189</v>
      </c>
      <c r="N3428" t="s">
        <v>15190</v>
      </c>
      <c r="O3428" t="s">
        <v>15190</v>
      </c>
      <c r="P3428">
        <v>30009</v>
      </c>
      <c r="Q3428" t="str">
        <f>"38.698472"</f>
        <v>38.698472</v>
      </c>
      <c r="R3428" t="str">
        <f>"21.186958"</f>
        <v>21.186958</v>
      </c>
      <c r="S3428" t="s">
        <v>26</v>
      </c>
    </row>
    <row r="3429" spans="1:19" x14ac:dyDescent="0.3">
      <c r="A3429" t="s">
        <v>13791</v>
      </c>
      <c r="B3429" t="s">
        <v>14950</v>
      </c>
      <c r="C3429" t="s">
        <v>13858</v>
      </c>
      <c r="D3429" t="s">
        <v>13792</v>
      </c>
      <c r="E3429" t="s">
        <v>13851</v>
      </c>
      <c r="F3429" t="s">
        <v>13852</v>
      </c>
      <c r="G3429" t="s">
        <v>13853</v>
      </c>
      <c r="H3429" t="s">
        <v>868</v>
      </c>
      <c r="I3429" t="s">
        <v>869</v>
      </c>
      <c r="J3429" t="str">
        <f>"9010643"</f>
        <v>9010643</v>
      </c>
      <c r="K3429">
        <v>2641061152</v>
      </c>
      <c r="L3429">
        <v>2641061152</v>
      </c>
      <c r="M3429" t="s">
        <v>15191</v>
      </c>
      <c r="O3429" t="s">
        <v>13856</v>
      </c>
      <c r="P3429">
        <v>30005</v>
      </c>
      <c r="Q3429" t="str">
        <f>"38.602082"</f>
        <v>38.602082</v>
      </c>
      <c r="R3429" t="str">
        <f>"21.479328"</f>
        <v>21.479328</v>
      </c>
      <c r="S3429" t="s">
        <v>26</v>
      </c>
    </row>
    <row r="3430" spans="1:19" x14ac:dyDescent="0.3">
      <c r="A3430" t="s">
        <v>13791</v>
      </c>
      <c r="B3430" t="s">
        <v>14950</v>
      </c>
      <c r="C3430" t="s">
        <v>13930</v>
      </c>
      <c r="D3430" t="s">
        <v>13792</v>
      </c>
      <c r="E3430" t="s">
        <v>13820</v>
      </c>
      <c r="F3430" t="s">
        <v>13826</v>
      </c>
      <c r="G3430" t="s">
        <v>13826</v>
      </c>
      <c r="H3430" t="s">
        <v>868</v>
      </c>
      <c r="I3430" t="s">
        <v>869</v>
      </c>
      <c r="J3430" t="str">
        <f>"9010252"</f>
        <v>9010252</v>
      </c>
      <c r="K3430">
        <v>2646041213</v>
      </c>
      <c r="L3430">
        <v>2646041213</v>
      </c>
      <c r="M3430" t="s">
        <v>15192</v>
      </c>
      <c r="N3430" t="s">
        <v>15193</v>
      </c>
      <c r="O3430" t="s">
        <v>15194</v>
      </c>
      <c r="P3430">
        <v>30006</v>
      </c>
      <c r="Q3430" t="str">
        <f>"38.536937"</f>
        <v>38.536937</v>
      </c>
      <c r="R3430" t="str">
        <f>"21.081477"</f>
        <v>21.081477</v>
      </c>
      <c r="S3430" t="s">
        <v>26</v>
      </c>
    </row>
    <row r="3431" spans="1:19" x14ac:dyDescent="0.3">
      <c r="A3431" t="s">
        <v>13791</v>
      </c>
      <c r="B3431" t="s">
        <v>14950</v>
      </c>
      <c r="C3431" t="s">
        <v>15196</v>
      </c>
      <c r="D3431" t="s">
        <v>13792</v>
      </c>
      <c r="E3431" t="s">
        <v>13851</v>
      </c>
      <c r="F3431" t="s">
        <v>13859</v>
      </c>
      <c r="G3431" t="s">
        <v>15195</v>
      </c>
      <c r="H3431" t="s">
        <v>868</v>
      </c>
      <c r="I3431" t="s">
        <v>950</v>
      </c>
      <c r="J3431" t="str">
        <f>"9010422"</f>
        <v>9010422</v>
      </c>
      <c r="K3431">
        <v>2635041456</v>
      </c>
      <c r="L3431">
        <v>2635042305</v>
      </c>
      <c r="M3431" t="s">
        <v>15197</v>
      </c>
      <c r="N3431" t="s">
        <v>15198</v>
      </c>
      <c r="O3431" t="s">
        <v>15198</v>
      </c>
      <c r="P3431">
        <v>30015</v>
      </c>
      <c r="Q3431" t="str">
        <f>"38.484036"</f>
        <v>38.484036</v>
      </c>
      <c r="R3431" t="str">
        <f>"21.587599"</f>
        <v>21.587599</v>
      </c>
      <c r="S3431" t="s">
        <v>26</v>
      </c>
    </row>
    <row r="3432" spans="1:19" x14ac:dyDescent="0.3">
      <c r="A3432" t="s">
        <v>13791</v>
      </c>
      <c r="B3432" t="s">
        <v>14950</v>
      </c>
      <c r="C3432" t="s">
        <v>15200</v>
      </c>
      <c r="D3432" t="s">
        <v>13792</v>
      </c>
      <c r="E3432" t="s">
        <v>13851</v>
      </c>
      <c r="F3432" t="s">
        <v>13871</v>
      </c>
      <c r="G3432" t="s">
        <v>15199</v>
      </c>
      <c r="H3432" t="s">
        <v>868</v>
      </c>
      <c r="I3432" t="s">
        <v>869</v>
      </c>
      <c r="J3432" t="str">
        <f>"9010408"</f>
        <v>9010408</v>
      </c>
      <c r="K3432">
        <v>2635051084</v>
      </c>
      <c r="L3432">
        <v>2635051084</v>
      </c>
      <c r="M3432" t="s">
        <v>15201</v>
      </c>
      <c r="N3432" t="s">
        <v>15202</v>
      </c>
      <c r="O3432" t="s">
        <v>15203</v>
      </c>
      <c r="P3432">
        <v>30011</v>
      </c>
      <c r="Q3432" t="str">
        <f>"38.537470"</f>
        <v>38.537470</v>
      </c>
      <c r="R3432" t="str">
        <f>"21.410894"</f>
        <v>21.410894</v>
      </c>
      <c r="S3432" t="s">
        <v>26</v>
      </c>
    </row>
    <row r="3433" spans="1:19" x14ac:dyDescent="0.3">
      <c r="A3433" t="s">
        <v>13791</v>
      </c>
      <c r="B3433" t="s">
        <v>14950</v>
      </c>
      <c r="C3433" t="s">
        <v>13865</v>
      </c>
      <c r="D3433" t="s">
        <v>13792</v>
      </c>
      <c r="E3433" t="s">
        <v>13851</v>
      </c>
      <c r="F3433" t="s">
        <v>13859</v>
      </c>
      <c r="G3433" t="s">
        <v>13860</v>
      </c>
      <c r="H3433" t="s">
        <v>868</v>
      </c>
      <c r="I3433" t="s">
        <v>869</v>
      </c>
      <c r="J3433" t="str">
        <f>"9010397"</f>
        <v>9010397</v>
      </c>
      <c r="K3433">
        <v>2635041970</v>
      </c>
      <c r="L3433">
        <v>2635041202</v>
      </c>
      <c r="M3433" t="s">
        <v>15209</v>
      </c>
      <c r="N3433" t="s">
        <v>15210</v>
      </c>
      <c r="O3433" t="s">
        <v>15210</v>
      </c>
      <c r="P3433">
        <v>30015</v>
      </c>
      <c r="Q3433" t="str">
        <f>"38.532792"</f>
        <v>38.532792</v>
      </c>
      <c r="R3433" t="str">
        <f>"21.529503"</f>
        <v>21.529503</v>
      </c>
      <c r="S3433" t="s">
        <v>26</v>
      </c>
    </row>
    <row r="3434" spans="1:19" x14ac:dyDescent="0.3">
      <c r="A3434" t="s">
        <v>13791</v>
      </c>
      <c r="B3434" t="s">
        <v>14950</v>
      </c>
      <c r="C3434" t="s">
        <v>15211</v>
      </c>
      <c r="D3434" t="s">
        <v>13792</v>
      </c>
      <c r="E3434" t="s">
        <v>13793</v>
      </c>
      <c r="F3434" t="s">
        <v>13793</v>
      </c>
      <c r="G3434" t="s">
        <v>3986</v>
      </c>
      <c r="H3434" t="s">
        <v>868</v>
      </c>
      <c r="I3434" t="s">
        <v>869</v>
      </c>
      <c r="J3434" t="str">
        <f>"9010383"</f>
        <v>9010383</v>
      </c>
      <c r="K3434">
        <v>2631022122</v>
      </c>
      <c r="L3434">
        <v>2631022122</v>
      </c>
      <c r="M3434" t="s">
        <v>15212</v>
      </c>
      <c r="N3434" t="s">
        <v>15134</v>
      </c>
      <c r="O3434" t="s">
        <v>15213</v>
      </c>
      <c r="P3434">
        <v>30200</v>
      </c>
      <c r="Q3434" t="str">
        <f>"38.384796"</f>
        <v>38.384796</v>
      </c>
      <c r="R3434" t="str">
        <f>"21.434340"</f>
        <v>21.434340</v>
      </c>
      <c r="S3434" t="s">
        <v>26</v>
      </c>
    </row>
    <row r="3435" spans="1:19" x14ac:dyDescent="0.3">
      <c r="A3435" t="s">
        <v>13791</v>
      </c>
      <c r="B3435" t="s">
        <v>14950</v>
      </c>
      <c r="C3435" t="s">
        <v>13965</v>
      </c>
      <c r="D3435" t="s">
        <v>13792</v>
      </c>
      <c r="E3435" t="s">
        <v>13793</v>
      </c>
      <c r="F3435" t="s">
        <v>13828</v>
      </c>
      <c r="G3435" t="s">
        <v>13829</v>
      </c>
      <c r="H3435" t="s">
        <v>868</v>
      </c>
      <c r="I3435" t="s">
        <v>869</v>
      </c>
      <c r="J3435" t="str">
        <f>"9010608"</f>
        <v>9010608</v>
      </c>
      <c r="K3435">
        <v>2632091377</v>
      </c>
      <c r="L3435">
        <v>2632091377</v>
      </c>
      <c r="M3435" t="s">
        <v>15214</v>
      </c>
      <c r="N3435" t="s">
        <v>15215</v>
      </c>
      <c r="O3435" t="s">
        <v>15215</v>
      </c>
      <c r="P3435">
        <v>30001</v>
      </c>
      <c r="Q3435" t="str">
        <f>"38.403649"</f>
        <v>38.403649</v>
      </c>
      <c r="R3435" t="str">
        <f>"21.272758"</f>
        <v>21.272758</v>
      </c>
      <c r="S3435" t="s">
        <v>26</v>
      </c>
    </row>
    <row r="3436" spans="1:19" x14ac:dyDescent="0.3">
      <c r="A3436" t="s">
        <v>13791</v>
      </c>
      <c r="B3436" t="s">
        <v>14950</v>
      </c>
      <c r="C3436" t="s">
        <v>15217</v>
      </c>
      <c r="D3436" t="s">
        <v>13792</v>
      </c>
      <c r="E3436" t="s">
        <v>13836</v>
      </c>
      <c r="F3436" t="s">
        <v>13903</v>
      </c>
      <c r="G3436" t="s">
        <v>15216</v>
      </c>
      <c r="H3436" t="s">
        <v>868</v>
      </c>
      <c r="I3436" t="s">
        <v>950</v>
      </c>
      <c r="J3436" t="str">
        <f>"9010243"</f>
        <v>9010243</v>
      </c>
      <c r="K3436">
        <v>2646061260</v>
      </c>
      <c r="L3436">
        <v>2646061260</v>
      </c>
      <c r="M3436" t="s">
        <v>15218</v>
      </c>
      <c r="N3436" t="s">
        <v>15219</v>
      </c>
      <c r="O3436" t="s">
        <v>15219</v>
      </c>
      <c r="P3436">
        <v>30004</v>
      </c>
      <c r="Q3436" t="str">
        <f>"38.824991"</f>
        <v>38.824991</v>
      </c>
      <c r="R3436" t="str">
        <f>"21.074594"</f>
        <v>21.074594</v>
      </c>
      <c r="S3436" t="s">
        <v>26</v>
      </c>
    </row>
    <row r="3437" spans="1:19" x14ac:dyDescent="0.3">
      <c r="A3437" t="s">
        <v>13791</v>
      </c>
      <c r="B3437" t="s">
        <v>14950</v>
      </c>
      <c r="C3437" t="s">
        <v>15231</v>
      </c>
      <c r="D3437" t="s">
        <v>13792</v>
      </c>
      <c r="E3437" t="s">
        <v>13851</v>
      </c>
      <c r="F3437" t="s">
        <v>13851</v>
      </c>
      <c r="G3437" t="s">
        <v>13851</v>
      </c>
      <c r="H3437" t="s">
        <v>868</v>
      </c>
      <c r="I3437" t="s">
        <v>869</v>
      </c>
      <c r="J3437" t="str">
        <f>"9010523"</f>
        <v>9010523</v>
      </c>
      <c r="K3437">
        <v>2641031614</v>
      </c>
      <c r="L3437">
        <v>2641031350</v>
      </c>
      <c r="M3437" t="s">
        <v>15232</v>
      </c>
      <c r="N3437" t="s">
        <v>3984</v>
      </c>
      <c r="O3437" t="s">
        <v>15233</v>
      </c>
      <c r="P3437">
        <v>30100</v>
      </c>
      <c r="Q3437" t="str">
        <f>"38.618495"</f>
        <v>38.618495</v>
      </c>
      <c r="R3437" t="str">
        <f>"21.424515"</f>
        <v>21.424515</v>
      </c>
      <c r="S3437" t="s">
        <v>26</v>
      </c>
    </row>
    <row r="3438" spans="1:19" x14ac:dyDescent="0.3">
      <c r="A3438" t="s">
        <v>13791</v>
      </c>
      <c r="B3438" t="s">
        <v>14950</v>
      </c>
      <c r="C3438" t="s">
        <v>15235</v>
      </c>
      <c r="D3438" t="s">
        <v>13792</v>
      </c>
      <c r="E3438" t="s">
        <v>13820</v>
      </c>
      <c r="F3438" t="s">
        <v>13826</v>
      </c>
      <c r="G3438" t="s">
        <v>15234</v>
      </c>
      <c r="H3438" t="s">
        <v>868</v>
      </c>
      <c r="I3438" t="s">
        <v>950</v>
      </c>
      <c r="J3438" t="str">
        <f>"9010261"</f>
        <v>9010261</v>
      </c>
      <c r="K3438">
        <v>2646045002</v>
      </c>
      <c r="L3438">
        <v>2646045002</v>
      </c>
      <c r="M3438" t="s">
        <v>15236</v>
      </c>
      <c r="N3438" t="s">
        <v>15234</v>
      </c>
      <c r="O3438" t="s">
        <v>15234</v>
      </c>
      <c r="P3438">
        <v>30006</v>
      </c>
      <c r="Q3438" t="str">
        <f>"38.585110"</f>
        <v>38.585110</v>
      </c>
      <c r="R3438" t="str">
        <f>"21.090060"</f>
        <v>21.090060</v>
      </c>
      <c r="S3438" t="s">
        <v>26</v>
      </c>
    </row>
    <row r="3439" spans="1:19" x14ac:dyDescent="0.3">
      <c r="A3439" t="s">
        <v>13791</v>
      </c>
      <c r="B3439" t="s">
        <v>14950</v>
      </c>
      <c r="C3439" t="s">
        <v>14047</v>
      </c>
      <c r="D3439" t="s">
        <v>13792</v>
      </c>
      <c r="E3439" t="s">
        <v>13851</v>
      </c>
      <c r="F3439" t="s">
        <v>13851</v>
      </c>
      <c r="G3439" t="s">
        <v>13851</v>
      </c>
      <c r="H3439" t="s">
        <v>868</v>
      </c>
      <c r="I3439" t="s">
        <v>869</v>
      </c>
      <c r="J3439" t="str">
        <f>"9010011"</f>
        <v>9010011</v>
      </c>
      <c r="K3439">
        <v>2641023055</v>
      </c>
      <c r="L3439">
        <v>2641023055</v>
      </c>
      <c r="M3439" t="s">
        <v>15242</v>
      </c>
      <c r="N3439" t="s">
        <v>13885</v>
      </c>
      <c r="O3439" t="s">
        <v>14046</v>
      </c>
      <c r="P3439">
        <v>30133</v>
      </c>
      <c r="Q3439" t="str">
        <f>"38.631851"</f>
        <v>38.631851</v>
      </c>
      <c r="R3439" t="str">
        <f>"21.408969"</f>
        <v>21.408969</v>
      </c>
      <c r="S3439" t="s">
        <v>26</v>
      </c>
    </row>
    <row r="3440" spans="1:19" x14ac:dyDescent="0.3">
      <c r="A3440" t="s">
        <v>13791</v>
      </c>
      <c r="B3440" t="s">
        <v>14950</v>
      </c>
      <c r="C3440" t="s">
        <v>15253</v>
      </c>
      <c r="D3440" t="s">
        <v>13792</v>
      </c>
      <c r="E3440" t="s">
        <v>13851</v>
      </c>
      <c r="F3440" t="s">
        <v>13851</v>
      </c>
      <c r="G3440" t="s">
        <v>13851</v>
      </c>
      <c r="H3440" t="s">
        <v>868</v>
      </c>
      <c r="I3440" t="s">
        <v>869</v>
      </c>
      <c r="J3440" t="str">
        <f>"9010008"</f>
        <v>9010008</v>
      </c>
      <c r="K3440">
        <v>2641022733</v>
      </c>
      <c r="L3440">
        <v>2641022733</v>
      </c>
      <c r="M3440" t="s">
        <v>15254</v>
      </c>
      <c r="N3440" t="s">
        <v>3984</v>
      </c>
      <c r="O3440" t="s">
        <v>15137</v>
      </c>
      <c r="P3440">
        <v>30132</v>
      </c>
      <c r="Q3440" t="str">
        <f>"38.621375"</f>
        <v>38.621375</v>
      </c>
      <c r="R3440" t="str">
        <f>"21.413014"</f>
        <v>21.413014</v>
      </c>
      <c r="S3440" t="s">
        <v>26</v>
      </c>
    </row>
    <row r="3441" spans="1:19" x14ac:dyDescent="0.3">
      <c r="A3441" t="s">
        <v>13791</v>
      </c>
      <c r="B3441" t="s">
        <v>14950</v>
      </c>
      <c r="C3441" t="s">
        <v>13992</v>
      </c>
      <c r="D3441" t="s">
        <v>13792</v>
      </c>
      <c r="E3441" t="s">
        <v>13793</v>
      </c>
      <c r="F3441" t="s">
        <v>13987</v>
      </c>
      <c r="G3441" t="s">
        <v>13987</v>
      </c>
      <c r="H3441" t="s">
        <v>868</v>
      </c>
      <c r="I3441" t="s">
        <v>869</v>
      </c>
      <c r="J3441" t="str">
        <f>"9010280"</f>
        <v>9010280</v>
      </c>
      <c r="K3441">
        <v>2632022442</v>
      </c>
      <c r="L3441">
        <v>2632022442</v>
      </c>
      <c r="M3441" t="s">
        <v>15255</v>
      </c>
      <c r="N3441" t="s">
        <v>15178</v>
      </c>
      <c r="O3441" t="s">
        <v>15256</v>
      </c>
      <c r="P3441">
        <v>30400</v>
      </c>
      <c r="Q3441" t="str">
        <f>"38.434759"</f>
        <v>38.434759</v>
      </c>
      <c r="R3441" t="str">
        <f>"21.352334"</f>
        <v>21.352334</v>
      </c>
      <c r="S3441" t="s">
        <v>26</v>
      </c>
    </row>
    <row r="3442" spans="1:19" x14ac:dyDescent="0.3">
      <c r="A3442" t="s">
        <v>13791</v>
      </c>
      <c r="B3442" t="s">
        <v>14950</v>
      </c>
      <c r="C3442" t="s">
        <v>13827</v>
      </c>
      <c r="D3442" t="s">
        <v>13792</v>
      </c>
      <c r="E3442" t="s">
        <v>13820</v>
      </c>
      <c r="F3442" t="s">
        <v>13821</v>
      </c>
      <c r="G3442" t="s">
        <v>13918</v>
      </c>
      <c r="H3442" t="s">
        <v>868</v>
      </c>
      <c r="I3442" t="s">
        <v>869</v>
      </c>
      <c r="J3442" t="str">
        <f>"9010268"</f>
        <v>9010268</v>
      </c>
      <c r="K3442">
        <v>2646038301</v>
      </c>
      <c r="L3442">
        <v>2646081242</v>
      </c>
      <c r="M3442" t="s">
        <v>15261</v>
      </c>
      <c r="N3442" t="s">
        <v>15262</v>
      </c>
      <c r="O3442" t="s">
        <v>15262</v>
      </c>
      <c r="P3442">
        <v>30019</v>
      </c>
      <c r="Q3442" t="str">
        <f>"38.667563"</f>
        <v>38.667563</v>
      </c>
      <c r="R3442" t="str">
        <f>"20.945156"</f>
        <v>20.945156</v>
      </c>
      <c r="S3442" t="s">
        <v>26</v>
      </c>
    </row>
    <row r="3443" spans="1:19" x14ac:dyDescent="0.3">
      <c r="A3443" t="s">
        <v>13791</v>
      </c>
      <c r="B3443" t="s">
        <v>14950</v>
      </c>
      <c r="C3443" t="s">
        <v>14127</v>
      </c>
      <c r="D3443" t="s">
        <v>13792</v>
      </c>
      <c r="E3443" t="s">
        <v>13793</v>
      </c>
      <c r="F3443" t="s">
        <v>13828</v>
      </c>
      <c r="G3443" t="s">
        <v>14123</v>
      </c>
      <c r="H3443" t="s">
        <v>868</v>
      </c>
      <c r="I3443" t="s">
        <v>869</v>
      </c>
      <c r="J3443" t="str">
        <f>"9010292"</f>
        <v>9010292</v>
      </c>
      <c r="K3443">
        <v>2632031207</v>
      </c>
      <c r="L3443">
        <v>2632031207</v>
      </c>
      <c r="M3443" t="s">
        <v>15265</v>
      </c>
      <c r="N3443" t="s">
        <v>14126</v>
      </c>
      <c r="O3443" t="s">
        <v>14126</v>
      </c>
      <c r="P3443">
        <v>30001</v>
      </c>
      <c r="Q3443" t="str">
        <f>"38.469839"</f>
        <v>38.469839</v>
      </c>
      <c r="R3443" t="str">
        <f>"21.260206"</f>
        <v>21.260206</v>
      </c>
      <c r="S3443" t="s">
        <v>26</v>
      </c>
    </row>
    <row r="3444" spans="1:19" x14ac:dyDescent="0.3">
      <c r="A3444" t="s">
        <v>13791</v>
      </c>
      <c r="B3444" t="s">
        <v>14950</v>
      </c>
      <c r="C3444" t="s">
        <v>13997</v>
      </c>
      <c r="D3444" t="s">
        <v>13792</v>
      </c>
      <c r="E3444" t="s">
        <v>13851</v>
      </c>
      <c r="F3444" t="s">
        <v>13851</v>
      </c>
      <c r="G3444" t="s">
        <v>2920</v>
      </c>
      <c r="H3444" t="s">
        <v>868</v>
      </c>
      <c r="I3444" t="s">
        <v>869</v>
      </c>
      <c r="J3444" t="str">
        <f>"9010115"</f>
        <v>9010115</v>
      </c>
      <c r="K3444">
        <v>2641095257</v>
      </c>
      <c r="L3444">
        <v>2641095257</v>
      </c>
      <c r="M3444" t="s">
        <v>15279</v>
      </c>
      <c r="N3444" t="s">
        <v>2921</v>
      </c>
      <c r="O3444" t="s">
        <v>2921</v>
      </c>
      <c r="P3444">
        <v>30100</v>
      </c>
      <c r="Q3444" t="str">
        <f>"38.615682"</f>
        <v>38.615682</v>
      </c>
      <c r="R3444" t="str">
        <f>"21.295689"</f>
        <v>21.295689</v>
      </c>
      <c r="S3444" t="s">
        <v>26</v>
      </c>
    </row>
    <row r="3445" spans="1:19" x14ac:dyDescent="0.3">
      <c r="A3445" t="s">
        <v>13791</v>
      </c>
      <c r="B3445" t="s">
        <v>14950</v>
      </c>
      <c r="C3445" t="s">
        <v>13913</v>
      </c>
      <c r="D3445" t="s">
        <v>13792</v>
      </c>
      <c r="E3445" t="s">
        <v>13851</v>
      </c>
      <c r="F3445" t="s">
        <v>13851</v>
      </c>
      <c r="G3445" t="s">
        <v>13851</v>
      </c>
      <c r="H3445" t="s">
        <v>868</v>
      </c>
      <c r="I3445" t="s">
        <v>869</v>
      </c>
      <c r="J3445" t="str">
        <f>"9010605"</f>
        <v>9010605</v>
      </c>
      <c r="K3445">
        <v>2641027394</v>
      </c>
      <c r="L3445">
        <v>2641027394</v>
      </c>
      <c r="M3445" t="s">
        <v>15280</v>
      </c>
      <c r="N3445" t="s">
        <v>13885</v>
      </c>
      <c r="O3445" t="s">
        <v>15281</v>
      </c>
      <c r="P3445">
        <v>30132</v>
      </c>
      <c r="Q3445" t="str">
        <f>"38.611133"</f>
        <v>38.611133</v>
      </c>
      <c r="R3445" t="str">
        <f>"21.421731"</f>
        <v>21.421731</v>
      </c>
      <c r="S3445" t="s">
        <v>26</v>
      </c>
    </row>
    <row r="3446" spans="1:19" x14ac:dyDescent="0.3">
      <c r="A3446" t="s">
        <v>13791</v>
      </c>
      <c r="B3446" t="s">
        <v>14950</v>
      </c>
      <c r="C3446" t="s">
        <v>15282</v>
      </c>
      <c r="D3446" t="s">
        <v>13792</v>
      </c>
      <c r="E3446" t="s">
        <v>13888</v>
      </c>
      <c r="F3446" t="s">
        <v>13889</v>
      </c>
      <c r="G3446" t="s">
        <v>13889</v>
      </c>
      <c r="H3446" t="s">
        <v>868</v>
      </c>
      <c r="I3446" t="s">
        <v>1157</v>
      </c>
      <c r="J3446" t="str">
        <f>"9520722"</f>
        <v>9520722</v>
      </c>
      <c r="K3446">
        <v>2634021622</v>
      </c>
      <c r="L3446">
        <v>2634021622</v>
      </c>
      <c r="M3446" t="s">
        <v>15283</v>
      </c>
      <c r="N3446" t="s">
        <v>15284</v>
      </c>
      <c r="O3446" t="s">
        <v>15285</v>
      </c>
      <c r="P3446">
        <v>30300</v>
      </c>
      <c r="Q3446" t="str">
        <f>"38.407055"</f>
        <v>38.407055</v>
      </c>
      <c r="R3446" t="str">
        <f>"21.849844"</f>
        <v>21.849844</v>
      </c>
      <c r="S3446" t="s">
        <v>26</v>
      </c>
    </row>
    <row r="3447" spans="1:19" x14ac:dyDescent="0.3">
      <c r="A3447" t="s">
        <v>13791</v>
      </c>
      <c r="B3447" t="s">
        <v>14950</v>
      </c>
      <c r="C3447" t="s">
        <v>15287</v>
      </c>
      <c r="D3447" t="s">
        <v>13792</v>
      </c>
      <c r="E3447" t="s">
        <v>13836</v>
      </c>
      <c r="F3447" t="s">
        <v>13837</v>
      </c>
      <c r="G3447" t="s">
        <v>15286</v>
      </c>
      <c r="H3447" t="s">
        <v>868</v>
      </c>
      <c r="I3447" t="s">
        <v>950</v>
      </c>
      <c r="J3447" t="str">
        <f>"9010229"</f>
        <v>9010229</v>
      </c>
      <c r="K3447">
        <v>2643071245</v>
      </c>
      <c r="L3447">
        <v>2643071245</v>
      </c>
      <c r="M3447" t="s">
        <v>15288</v>
      </c>
      <c r="N3447" t="s">
        <v>15289</v>
      </c>
      <c r="O3447" t="s">
        <v>15290</v>
      </c>
      <c r="P3447">
        <v>30002</v>
      </c>
      <c r="Q3447" t="str">
        <f>"38.857198"</f>
        <v>38.857198</v>
      </c>
      <c r="R3447" t="str">
        <f>"20.981237"</f>
        <v>20.981237</v>
      </c>
      <c r="S3447" t="s">
        <v>26</v>
      </c>
    </row>
    <row r="3448" spans="1:19" x14ac:dyDescent="0.3">
      <c r="A3448" t="s">
        <v>13791</v>
      </c>
      <c r="B3448" t="s">
        <v>14950</v>
      </c>
      <c r="C3448" t="s">
        <v>13957</v>
      </c>
      <c r="D3448" t="s">
        <v>13792</v>
      </c>
      <c r="E3448" t="s">
        <v>13793</v>
      </c>
      <c r="F3448" t="s">
        <v>13793</v>
      </c>
      <c r="G3448" t="s">
        <v>13952</v>
      </c>
      <c r="H3448" t="s">
        <v>868</v>
      </c>
      <c r="I3448" t="s">
        <v>869</v>
      </c>
      <c r="J3448" t="str">
        <f>"9010406"</f>
        <v>9010406</v>
      </c>
      <c r="K3448">
        <v>2631039621</v>
      </c>
      <c r="L3448">
        <v>2631039621</v>
      </c>
      <c r="M3448" t="s">
        <v>15291</v>
      </c>
      <c r="N3448" t="s">
        <v>15292</v>
      </c>
      <c r="O3448" t="s">
        <v>15292</v>
      </c>
      <c r="P3448">
        <v>30014</v>
      </c>
      <c r="Q3448" t="str">
        <f>"38.368257"</f>
        <v>38.368257</v>
      </c>
      <c r="R3448" t="str">
        <f>"21.540845"</f>
        <v>21.540845</v>
      </c>
      <c r="S3448" t="s">
        <v>26</v>
      </c>
    </row>
    <row r="3449" spans="1:19" x14ac:dyDescent="0.3">
      <c r="A3449" t="s">
        <v>13791</v>
      </c>
      <c r="B3449" t="s">
        <v>14950</v>
      </c>
      <c r="C3449" t="s">
        <v>15293</v>
      </c>
      <c r="D3449" t="s">
        <v>13792</v>
      </c>
      <c r="E3449" t="s">
        <v>13851</v>
      </c>
      <c r="F3449" t="s">
        <v>14066</v>
      </c>
      <c r="G3449" t="s">
        <v>14974</v>
      </c>
      <c r="H3449" t="s">
        <v>868</v>
      </c>
      <c r="I3449" t="s">
        <v>950</v>
      </c>
      <c r="J3449" t="str">
        <f>"9010078"</f>
        <v>9010078</v>
      </c>
      <c r="K3449">
        <v>2641071233</v>
      </c>
      <c r="L3449">
        <v>2641071233</v>
      </c>
      <c r="M3449" t="s">
        <v>15294</v>
      </c>
      <c r="N3449" t="s">
        <v>13851</v>
      </c>
      <c r="O3449" t="s">
        <v>14977</v>
      </c>
      <c r="P3449">
        <v>30100</v>
      </c>
      <c r="Q3449" t="str">
        <f>"38.657160"</f>
        <v>38.657160</v>
      </c>
      <c r="R3449" t="str">
        <f>"21.288135"</f>
        <v>21.288135</v>
      </c>
      <c r="S3449" t="s">
        <v>26</v>
      </c>
    </row>
    <row r="3450" spans="1:19" x14ac:dyDescent="0.3">
      <c r="A3450" t="s">
        <v>13791</v>
      </c>
      <c r="B3450" t="s">
        <v>14950</v>
      </c>
      <c r="C3450" t="s">
        <v>13925</v>
      </c>
      <c r="D3450" t="s">
        <v>13792</v>
      </c>
      <c r="E3450" t="s">
        <v>13851</v>
      </c>
      <c r="F3450" t="s">
        <v>13851</v>
      </c>
      <c r="G3450" t="s">
        <v>13851</v>
      </c>
      <c r="H3450" t="s">
        <v>868</v>
      </c>
      <c r="I3450" t="s">
        <v>869</v>
      </c>
      <c r="J3450" t="str">
        <f>"9010094"</f>
        <v>9010094</v>
      </c>
      <c r="K3450">
        <v>2641022034</v>
      </c>
      <c r="L3450">
        <v>2641022034</v>
      </c>
      <c r="M3450" t="s">
        <v>15295</v>
      </c>
      <c r="N3450" t="s">
        <v>13851</v>
      </c>
      <c r="O3450" t="s">
        <v>15296</v>
      </c>
      <c r="P3450">
        <v>30131</v>
      </c>
      <c r="Q3450" t="str">
        <f>"38.622601"</f>
        <v>38.622601</v>
      </c>
      <c r="R3450" t="str">
        <f>"21.405073"</f>
        <v>21.405073</v>
      </c>
      <c r="S3450" t="s">
        <v>26</v>
      </c>
    </row>
    <row r="3451" spans="1:19" x14ac:dyDescent="0.3">
      <c r="A3451" t="s">
        <v>13791</v>
      </c>
      <c r="B3451" t="s">
        <v>14950</v>
      </c>
      <c r="C3451" t="s">
        <v>15298</v>
      </c>
      <c r="D3451" t="s">
        <v>13792</v>
      </c>
      <c r="E3451" t="s">
        <v>13851</v>
      </c>
      <c r="F3451" t="s">
        <v>14075</v>
      </c>
      <c r="G3451" t="s">
        <v>15297</v>
      </c>
      <c r="H3451" t="s">
        <v>868</v>
      </c>
      <c r="I3451" t="s">
        <v>950</v>
      </c>
      <c r="J3451" t="str">
        <f>"9010120"</f>
        <v>9010120</v>
      </c>
      <c r="K3451">
        <v>2641028015</v>
      </c>
      <c r="M3451" t="s">
        <v>15299</v>
      </c>
      <c r="N3451" t="s">
        <v>15300</v>
      </c>
      <c r="O3451" t="s">
        <v>15300</v>
      </c>
      <c r="P3451">
        <v>30021</v>
      </c>
      <c r="Q3451" t="str">
        <f>"38.769500"</f>
        <v>38.769500</v>
      </c>
      <c r="R3451" t="str">
        <f>"21.482937"</f>
        <v>21.482937</v>
      </c>
      <c r="S3451" t="s">
        <v>26</v>
      </c>
    </row>
    <row r="3452" spans="1:19" x14ac:dyDescent="0.3">
      <c r="A3452" t="s">
        <v>13791</v>
      </c>
      <c r="B3452" t="s">
        <v>14950</v>
      </c>
      <c r="C3452" t="s">
        <v>15321</v>
      </c>
      <c r="D3452" t="s">
        <v>13792</v>
      </c>
      <c r="E3452" t="s">
        <v>13851</v>
      </c>
      <c r="F3452" t="s">
        <v>14066</v>
      </c>
      <c r="G3452" t="s">
        <v>14066</v>
      </c>
      <c r="H3452" t="s">
        <v>868</v>
      </c>
      <c r="I3452" t="s">
        <v>869</v>
      </c>
      <c r="J3452" t="str">
        <f>"9010080"</f>
        <v>9010080</v>
      </c>
      <c r="K3452">
        <v>2641071491</v>
      </c>
      <c r="L3452">
        <v>2641071244</v>
      </c>
      <c r="M3452" t="s">
        <v>15322</v>
      </c>
      <c r="N3452" t="s">
        <v>15323</v>
      </c>
      <c r="O3452" t="s">
        <v>15324</v>
      </c>
      <c r="P3452">
        <v>30100</v>
      </c>
      <c r="Q3452" t="str">
        <f>"38.667693"</f>
        <v>38.667693</v>
      </c>
      <c r="R3452" t="str">
        <f>"21.316364"</f>
        <v>21.316364</v>
      </c>
      <c r="S3452" t="s">
        <v>26</v>
      </c>
    </row>
    <row r="3453" spans="1:19" x14ac:dyDescent="0.3">
      <c r="A3453" t="s">
        <v>13791</v>
      </c>
      <c r="B3453" t="s">
        <v>14950</v>
      </c>
      <c r="C3453" t="s">
        <v>15328</v>
      </c>
      <c r="D3453" t="s">
        <v>13792</v>
      </c>
      <c r="E3453" t="s">
        <v>13851</v>
      </c>
      <c r="F3453" t="s">
        <v>14075</v>
      </c>
      <c r="G3453" t="s">
        <v>15327</v>
      </c>
      <c r="H3453" t="s">
        <v>868</v>
      </c>
      <c r="I3453" t="s">
        <v>950</v>
      </c>
      <c r="J3453" t="str">
        <f>"9010126"</f>
        <v>9010126</v>
      </c>
      <c r="K3453">
        <v>2641041241</v>
      </c>
      <c r="L3453">
        <v>2641041241</v>
      </c>
      <c r="M3453" t="s">
        <v>15329</v>
      </c>
      <c r="N3453" t="s">
        <v>15330</v>
      </c>
      <c r="O3453" t="s">
        <v>15330</v>
      </c>
      <c r="P3453">
        <v>30100</v>
      </c>
      <c r="Q3453" t="str">
        <f>"38.768090"</f>
        <v>38.768090</v>
      </c>
      <c r="R3453" t="str">
        <f>"21.441179"</f>
        <v>21.441179</v>
      </c>
      <c r="S3453" t="s">
        <v>26</v>
      </c>
    </row>
    <row r="3454" spans="1:19" x14ac:dyDescent="0.3">
      <c r="A3454" t="s">
        <v>13791</v>
      </c>
      <c r="B3454" t="s">
        <v>14950</v>
      </c>
      <c r="C3454" t="s">
        <v>15336</v>
      </c>
      <c r="D3454" t="s">
        <v>13792</v>
      </c>
      <c r="E3454" t="s">
        <v>13851</v>
      </c>
      <c r="F3454" t="s">
        <v>13851</v>
      </c>
      <c r="G3454" t="s">
        <v>13851</v>
      </c>
      <c r="H3454" t="s">
        <v>868</v>
      </c>
      <c r="I3454" t="s">
        <v>869</v>
      </c>
      <c r="J3454" t="str">
        <f>"9010593"</f>
        <v>9010593</v>
      </c>
      <c r="K3454">
        <v>2641044501</v>
      </c>
      <c r="L3454">
        <v>2641044501</v>
      </c>
      <c r="M3454" t="s">
        <v>15337</v>
      </c>
      <c r="N3454" t="s">
        <v>3984</v>
      </c>
      <c r="O3454" t="s">
        <v>15338</v>
      </c>
      <c r="P3454">
        <v>30132</v>
      </c>
      <c r="Q3454" t="str">
        <f>"38.617748"</f>
        <v>38.617748</v>
      </c>
      <c r="R3454" t="str">
        <f>"21.412381"</f>
        <v>21.412381</v>
      </c>
      <c r="S3454" t="s">
        <v>26</v>
      </c>
    </row>
    <row r="3455" spans="1:19" x14ac:dyDescent="0.3">
      <c r="A3455" t="s">
        <v>13791</v>
      </c>
      <c r="B3455" t="s">
        <v>14950</v>
      </c>
      <c r="C3455" t="s">
        <v>15352</v>
      </c>
      <c r="D3455" t="s">
        <v>13792</v>
      </c>
      <c r="E3455" t="s">
        <v>13851</v>
      </c>
      <c r="F3455" t="s">
        <v>13859</v>
      </c>
      <c r="G3455" t="s">
        <v>15303</v>
      </c>
      <c r="H3455" t="s">
        <v>868</v>
      </c>
      <c r="I3455" t="s">
        <v>950</v>
      </c>
      <c r="J3455" t="str">
        <f>"9010388"</f>
        <v>9010388</v>
      </c>
      <c r="K3455">
        <v>2635041334</v>
      </c>
      <c r="L3455">
        <v>2635041334</v>
      </c>
      <c r="M3455" t="s">
        <v>15353</v>
      </c>
      <c r="N3455" t="s">
        <v>15307</v>
      </c>
      <c r="O3455" t="s">
        <v>15307</v>
      </c>
      <c r="P3455">
        <v>30015</v>
      </c>
      <c r="Q3455" t="str">
        <f>"38.526054"</f>
        <v>38.526054</v>
      </c>
      <c r="R3455" t="str">
        <f>"21.550364"</f>
        <v>21.550364</v>
      </c>
      <c r="S3455" t="s">
        <v>26</v>
      </c>
    </row>
    <row r="3456" spans="1:19" x14ac:dyDescent="0.3">
      <c r="A3456" t="s">
        <v>13791</v>
      </c>
      <c r="B3456" t="s">
        <v>14950</v>
      </c>
      <c r="C3456" t="s">
        <v>15354</v>
      </c>
      <c r="D3456" t="s">
        <v>13792</v>
      </c>
      <c r="E3456" t="s">
        <v>13793</v>
      </c>
      <c r="F3456" t="s">
        <v>13793</v>
      </c>
      <c r="G3456" t="s">
        <v>3986</v>
      </c>
      <c r="H3456" t="s">
        <v>868</v>
      </c>
      <c r="I3456" t="s">
        <v>869</v>
      </c>
      <c r="J3456" t="str">
        <f>"9010291"</f>
        <v>9010291</v>
      </c>
      <c r="K3456">
        <v>2631028105</v>
      </c>
      <c r="L3456">
        <v>2631028105</v>
      </c>
      <c r="M3456" t="s">
        <v>15355</v>
      </c>
      <c r="N3456" t="s">
        <v>13796</v>
      </c>
      <c r="O3456" t="s">
        <v>15356</v>
      </c>
      <c r="P3456">
        <v>30200</v>
      </c>
      <c r="Q3456" t="str">
        <f>"38.372129"</f>
        <v>38.372129</v>
      </c>
      <c r="R3456" t="str">
        <f>"21.436186"</f>
        <v>21.436186</v>
      </c>
      <c r="S3456" t="s">
        <v>26</v>
      </c>
    </row>
    <row r="3457" spans="1:19" x14ac:dyDescent="0.3">
      <c r="A3457" t="s">
        <v>13791</v>
      </c>
      <c r="B3457" t="s">
        <v>14950</v>
      </c>
      <c r="C3457" t="s">
        <v>14080</v>
      </c>
      <c r="D3457" t="s">
        <v>13792</v>
      </c>
      <c r="E3457" t="s">
        <v>13851</v>
      </c>
      <c r="F3457" t="s">
        <v>14075</v>
      </c>
      <c r="G3457" t="s">
        <v>14076</v>
      </c>
      <c r="H3457" t="s">
        <v>868</v>
      </c>
      <c r="I3457" t="s">
        <v>950</v>
      </c>
      <c r="J3457" t="str">
        <f>"9010107"</f>
        <v>9010107</v>
      </c>
      <c r="K3457">
        <v>2641081255</v>
      </c>
      <c r="M3457" t="s">
        <v>15357</v>
      </c>
      <c r="N3457" t="s">
        <v>15358</v>
      </c>
      <c r="O3457" t="s">
        <v>15358</v>
      </c>
      <c r="P3457">
        <v>30021</v>
      </c>
      <c r="Q3457" t="str">
        <f>"38.814081"</f>
        <v>38.814081</v>
      </c>
      <c r="R3457" t="str">
        <f>"21.511663"</f>
        <v>21.511663</v>
      </c>
      <c r="S3457" t="s">
        <v>26</v>
      </c>
    </row>
    <row r="3458" spans="1:19" x14ac:dyDescent="0.3">
      <c r="A3458" t="s">
        <v>13791</v>
      </c>
      <c r="B3458" t="s">
        <v>14950</v>
      </c>
      <c r="C3458" t="s">
        <v>14028</v>
      </c>
      <c r="D3458" t="s">
        <v>13792</v>
      </c>
      <c r="E3458" t="s">
        <v>13851</v>
      </c>
      <c r="F3458" t="s">
        <v>11666</v>
      </c>
      <c r="G3458" t="s">
        <v>15121</v>
      </c>
      <c r="H3458" t="s">
        <v>868</v>
      </c>
      <c r="I3458" t="s">
        <v>869</v>
      </c>
      <c r="J3458" t="str">
        <f>"9010113"</f>
        <v>9010113</v>
      </c>
      <c r="K3458">
        <v>2641021270</v>
      </c>
      <c r="L3458">
        <v>2641021270</v>
      </c>
      <c r="M3458" t="s">
        <v>15365</v>
      </c>
      <c r="N3458" t="s">
        <v>613</v>
      </c>
      <c r="O3458" t="s">
        <v>15366</v>
      </c>
      <c r="P3458">
        <v>30100</v>
      </c>
      <c r="Q3458" t="str">
        <f>"38.657271"</f>
        <v>38.657271</v>
      </c>
      <c r="R3458" t="str">
        <f>"21.384278"</f>
        <v>21.384278</v>
      </c>
      <c r="S3458" t="s">
        <v>26</v>
      </c>
    </row>
    <row r="3459" spans="1:19" x14ac:dyDescent="0.3">
      <c r="A3459" t="s">
        <v>13791</v>
      </c>
      <c r="B3459" t="s">
        <v>14950</v>
      </c>
      <c r="C3459" t="s">
        <v>15367</v>
      </c>
      <c r="D3459" t="s">
        <v>13792</v>
      </c>
      <c r="E3459" t="s">
        <v>13888</v>
      </c>
      <c r="F3459" t="s">
        <v>13889</v>
      </c>
      <c r="G3459" t="s">
        <v>13889</v>
      </c>
      <c r="H3459" t="s">
        <v>868</v>
      </c>
      <c r="I3459" t="s">
        <v>869</v>
      </c>
      <c r="J3459" t="str">
        <f>"9010307"</f>
        <v>9010307</v>
      </c>
      <c r="K3459">
        <v>2634023225</v>
      </c>
      <c r="L3459">
        <v>2634023228</v>
      </c>
      <c r="M3459" t="s">
        <v>15368</v>
      </c>
      <c r="N3459" t="s">
        <v>13892</v>
      </c>
      <c r="O3459" t="s">
        <v>15369</v>
      </c>
      <c r="P3459">
        <v>30300</v>
      </c>
      <c r="Q3459" t="str">
        <f>"38.398790"</f>
        <v>38.398790</v>
      </c>
      <c r="R3459" t="str">
        <f>"21.800610"</f>
        <v>21.800610</v>
      </c>
      <c r="S3459" t="s">
        <v>26</v>
      </c>
    </row>
    <row r="3460" spans="1:19" x14ac:dyDescent="0.3">
      <c r="A3460" t="s">
        <v>13791</v>
      </c>
      <c r="B3460" t="s">
        <v>14950</v>
      </c>
      <c r="C3460" t="s">
        <v>15370</v>
      </c>
      <c r="D3460" t="s">
        <v>13792</v>
      </c>
      <c r="E3460" t="s">
        <v>13793</v>
      </c>
      <c r="F3460" t="s">
        <v>13987</v>
      </c>
      <c r="G3460" t="s">
        <v>15249</v>
      </c>
      <c r="H3460" t="s">
        <v>868</v>
      </c>
      <c r="I3460" t="s">
        <v>950</v>
      </c>
      <c r="J3460" t="str">
        <f>"9010435"</f>
        <v>9010435</v>
      </c>
      <c r="K3460">
        <v>2632081333</v>
      </c>
      <c r="L3460">
        <v>2632081333</v>
      </c>
      <c r="M3460" t="s">
        <v>15371</v>
      </c>
      <c r="N3460" t="s">
        <v>15252</v>
      </c>
      <c r="O3460" t="s">
        <v>15252</v>
      </c>
      <c r="P3460">
        <v>30400</v>
      </c>
      <c r="Q3460" t="str">
        <f>"38.499124"</f>
        <v>38.499124</v>
      </c>
      <c r="R3460" t="str">
        <f>"21.354317"</f>
        <v>21.354317</v>
      </c>
      <c r="S3460" t="s">
        <v>26</v>
      </c>
    </row>
    <row r="3461" spans="1:19" x14ac:dyDescent="0.3">
      <c r="A3461" t="s">
        <v>13791</v>
      </c>
      <c r="B3461" t="s">
        <v>14950</v>
      </c>
      <c r="C3461" t="s">
        <v>15372</v>
      </c>
      <c r="D3461" t="s">
        <v>13792</v>
      </c>
      <c r="E3461" t="s">
        <v>13793</v>
      </c>
      <c r="F3461" t="s">
        <v>13828</v>
      </c>
      <c r="G3461" t="s">
        <v>15257</v>
      </c>
      <c r="H3461" t="s">
        <v>868</v>
      </c>
      <c r="I3461" t="s">
        <v>869</v>
      </c>
      <c r="J3461" t="str">
        <f>"9010273"</f>
        <v>9010273</v>
      </c>
      <c r="K3461">
        <v>2632031224</v>
      </c>
      <c r="L3461">
        <v>2632031224</v>
      </c>
      <c r="M3461" t="s">
        <v>15373</v>
      </c>
      <c r="N3461" t="s">
        <v>15374</v>
      </c>
      <c r="O3461" t="s">
        <v>15375</v>
      </c>
      <c r="P3461">
        <v>30001</v>
      </c>
      <c r="Q3461" t="str">
        <f>"38.480668"</f>
        <v>38.480668</v>
      </c>
      <c r="R3461" t="str">
        <f>"21.244732"</f>
        <v>21.244732</v>
      </c>
      <c r="S3461" t="s">
        <v>26</v>
      </c>
    </row>
    <row r="3462" spans="1:19" x14ac:dyDescent="0.3">
      <c r="A3462" t="s">
        <v>13791</v>
      </c>
      <c r="B3462" t="s">
        <v>14950</v>
      </c>
      <c r="C3462" t="s">
        <v>13947</v>
      </c>
      <c r="D3462" t="s">
        <v>13792</v>
      </c>
      <c r="E3462" t="s">
        <v>13851</v>
      </c>
      <c r="F3462" t="s">
        <v>13942</v>
      </c>
      <c r="G3462" t="s">
        <v>13942</v>
      </c>
      <c r="H3462" t="s">
        <v>868</v>
      </c>
      <c r="I3462" t="s">
        <v>869</v>
      </c>
      <c r="J3462" t="str">
        <f>"9010057"</f>
        <v>9010057</v>
      </c>
      <c r="K3462">
        <v>2641061240</v>
      </c>
      <c r="L3462">
        <v>2641061240</v>
      </c>
      <c r="M3462" t="s">
        <v>15378</v>
      </c>
      <c r="N3462" t="s">
        <v>13946</v>
      </c>
      <c r="O3462" t="s">
        <v>13946</v>
      </c>
      <c r="P3462">
        <v>30010</v>
      </c>
      <c r="Q3462" t="str">
        <f>"38.613696"</f>
        <v>38.613696</v>
      </c>
      <c r="R3462" t="str">
        <f>"21.520302"</f>
        <v>21.520302</v>
      </c>
      <c r="S3462" t="s">
        <v>26</v>
      </c>
    </row>
    <row r="3463" spans="1:19" x14ac:dyDescent="0.3">
      <c r="A3463" t="s">
        <v>13791</v>
      </c>
      <c r="B3463" t="s">
        <v>14950</v>
      </c>
      <c r="C3463" t="s">
        <v>15379</v>
      </c>
      <c r="D3463" t="s">
        <v>13792</v>
      </c>
      <c r="E3463" t="s">
        <v>13851</v>
      </c>
      <c r="F3463" t="s">
        <v>13851</v>
      </c>
      <c r="G3463" t="s">
        <v>13851</v>
      </c>
      <c r="H3463" t="s">
        <v>868</v>
      </c>
      <c r="I3463" t="s">
        <v>1157</v>
      </c>
      <c r="J3463" t="str">
        <f>"9010471"</f>
        <v>9010471</v>
      </c>
      <c r="K3463">
        <v>2641025666</v>
      </c>
      <c r="L3463">
        <v>2641025666</v>
      </c>
      <c r="M3463" t="s">
        <v>15380</v>
      </c>
      <c r="N3463" t="s">
        <v>3984</v>
      </c>
      <c r="O3463" t="s">
        <v>15175</v>
      </c>
      <c r="P3463">
        <v>30133</v>
      </c>
      <c r="Q3463" t="str">
        <f>"38.636871"</f>
        <v>38.636871</v>
      </c>
      <c r="R3463" t="str">
        <f>"21.417225"</f>
        <v>21.417225</v>
      </c>
      <c r="S3463" t="s">
        <v>26</v>
      </c>
    </row>
    <row r="3464" spans="1:19" x14ac:dyDescent="0.3">
      <c r="A3464" t="s">
        <v>13791</v>
      </c>
      <c r="B3464" t="s">
        <v>14950</v>
      </c>
      <c r="C3464" t="s">
        <v>15392</v>
      </c>
      <c r="D3464" t="s">
        <v>13792</v>
      </c>
      <c r="E3464" t="s">
        <v>13851</v>
      </c>
      <c r="F3464" t="s">
        <v>14066</v>
      </c>
      <c r="G3464" t="s">
        <v>14969</v>
      </c>
      <c r="H3464" t="s">
        <v>868</v>
      </c>
      <c r="I3464" t="s">
        <v>950</v>
      </c>
      <c r="J3464" t="str">
        <f>"9010089"</f>
        <v>9010089</v>
      </c>
      <c r="K3464">
        <v>2632041295</v>
      </c>
      <c r="L3464">
        <v>2632041295</v>
      </c>
      <c r="M3464" t="s">
        <v>15393</v>
      </c>
      <c r="N3464" t="s">
        <v>14972</v>
      </c>
      <c r="O3464" t="s">
        <v>14972</v>
      </c>
      <c r="P3464">
        <v>30001</v>
      </c>
      <c r="Q3464" t="str">
        <f>"38.577447"</f>
        <v>38.577447</v>
      </c>
      <c r="R3464" t="str">
        <f>"21.237989"</f>
        <v>21.237989</v>
      </c>
      <c r="S3464" t="s">
        <v>26</v>
      </c>
    </row>
    <row r="3465" spans="1:19" x14ac:dyDescent="0.3">
      <c r="A3465" t="s">
        <v>13791</v>
      </c>
      <c r="B3465" t="s">
        <v>14950</v>
      </c>
      <c r="C3465" t="s">
        <v>13833</v>
      </c>
      <c r="D3465" t="s">
        <v>13792</v>
      </c>
      <c r="E3465" t="s">
        <v>13793</v>
      </c>
      <c r="F3465" t="s">
        <v>13828</v>
      </c>
      <c r="G3465" t="s">
        <v>13829</v>
      </c>
      <c r="H3465" t="s">
        <v>868</v>
      </c>
      <c r="I3465" t="s">
        <v>869</v>
      </c>
      <c r="J3465" t="str">
        <f>"9010297"</f>
        <v>9010297</v>
      </c>
      <c r="K3465">
        <v>2632093731</v>
      </c>
      <c r="L3465">
        <v>2632093731</v>
      </c>
      <c r="M3465" t="s">
        <v>15394</v>
      </c>
      <c r="N3465" t="s">
        <v>13748</v>
      </c>
      <c r="O3465" t="s">
        <v>15215</v>
      </c>
      <c r="P3465">
        <v>30001</v>
      </c>
      <c r="Q3465" t="str">
        <f>"38.408636"</f>
        <v>38.408636</v>
      </c>
      <c r="R3465" t="str">
        <f>"21.274537"</f>
        <v>21.274537</v>
      </c>
      <c r="S3465" t="s">
        <v>26</v>
      </c>
    </row>
    <row r="3466" spans="1:19" x14ac:dyDescent="0.3">
      <c r="A3466" t="s">
        <v>13791</v>
      </c>
      <c r="B3466" t="s">
        <v>14950</v>
      </c>
      <c r="C3466" t="s">
        <v>15401</v>
      </c>
      <c r="D3466" t="s">
        <v>13792</v>
      </c>
      <c r="E3466" t="s">
        <v>13851</v>
      </c>
      <c r="F3466" t="s">
        <v>13851</v>
      </c>
      <c r="G3466" t="s">
        <v>15050</v>
      </c>
      <c r="H3466" t="s">
        <v>868</v>
      </c>
      <c r="I3466" t="s">
        <v>869</v>
      </c>
      <c r="J3466" t="str">
        <f>"9010025"</f>
        <v>9010025</v>
      </c>
      <c r="K3466">
        <v>2641023868</v>
      </c>
      <c r="L3466">
        <v>2641023868</v>
      </c>
      <c r="M3466" t="s">
        <v>15402</v>
      </c>
      <c r="N3466" t="s">
        <v>15053</v>
      </c>
      <c r="O3466" t="s">
        <v>14943</v>
      </c>
      <c r="P3466">
        <v>30100</v>
      </c>
      <c r="Q3466" t="str">
        <f>"38.614223"</f>
        <v>38.614223</v>
      </c>
      <c r="R3466" t="str">
        <f>"21.378947"</f>
        <v>21.378947</v>
      </c>
      <c r="S3466" t="s">
        <v>26</v>
      </c>
    </row>
    <row r="3467" spans="1:19" x14ac:dyDescent="0.3">
      <c r="A3467" t="s">
        <v>13791</v>
      </c>
      <c r="B3467" t="s">
        <v>14950</v>
      </c>
      <c r="C3467" t="s">
        <v>15403</v>
      </c>
      <c r="D3467" t="s">
        <v>13792</v>
      </c>
      <c r="E3467" t="s">
        <v>13793</v>
      </c>
      <c r="F3467" t="s">
        <v>13828</v>
      </c>
      <c r="G3467" t="s">
        <v>13845</v>
      </c>
      <c r="H3467" t="s">
        <v>868</v>
      </c>
      <c r="I3467" t="s">
        <v>869</v>
      </c>
      <c r="J3467" t="str">
        <f>"9010264"</f>
        <v>9010264</v>
      </c>
      <c r="K3467">
        <v>2632091347</v>
      </c>
      <c r="L3467">
        <v>2632091347</v>
      </c>
      <c r="M3467" t="s">
        <v>15404</v>
      </c>
      <c r="N3467" t="s">
        <v>15405</v>
      </c>
      <c r="O3467" t="s">
        <v>13849</v>
      </c>
      <c r="P3467">
        <v>30007</v>
      </c>
      <c r="Q3467" t="str">
        <f>"38.416261"</f>
        <v>38.416261</v>
      </c>
      <c r="R3467" t="str">
        <f>"21.250084"</f>
        <v>21.250084</v>
      </c>
      <c r="S3467" t="s">
        <v>26</v>
      </c>
    </row>
    <row r="3468" spans="1:19" x14ac:dyDescent="0.3">
      <c r="A3468" t="s">
        <v>13791</v>
      </c>
      <c r="B3468" t="s">
        <v>14950</v>
      </c>
      <c r="C3468" t="s">
        <v>15411</v>
      </c>
      <c r="D3468" t="s">
        <v>13792</v>
      </c>
      <c r="E3468" t="s">
        <v>13851</v>
      </c>
      <c r="F3468" t="s">
        <v>14066</v>
      </c>
      <c r="G3468" t="s">
        <v>15002</v>
      </c>
      <c r="H3468" t="s">
        <v>868</v>
      </c>
      <c r="I3468" t="s">
        <v>950</v>
      </c>
      <c r="J3468" t="str">
        <f>"9010072"</f>
        <v>9010072</v>
      </c>
      <c r="K3468">
        <v>2641098228</v>
      </c>
      <c r="L3468">
        <v>2641098228</v>
      </c>
      <c r="M3468" t="s">
        <v>15412</v>
      </c>
      <c r="N3468" t="s">
        <v>15005</v>
      </c>
      <c r="O3468" t="s">
        <v>15413</v>
      </c>
      <c r="P3468">
        <v>30100</v>
      </c>
      <c r="Q3468" t="str">
        <f>"38.735274"</f>
        <v>38.735274</v>
      </c>
      <c r="R3468" t="str">
        <f>"21.347831"</f>
        <v>21.347831</v>
      </c>
      <c r="S3468" t="s">
        <v>26</v>
      </c>
    </row>
    <row r="3469" spans="1:19" x14ac:dyDescent="0.3">
      <c r="A3469" t="s">
        <v>13791</v>
      </c>
      <c r="B3469" t="s">
        <v>14950</v>
      </c>
      <c r="C3469" t="s">
        <v>15460</v>
      </c>
      <c r="D3469" t="s">
        <v>13792</v>
      </c>
      <c r="E3469" t="s">
        <v>13851</v>
      </c>
      <c r="F3469" t="s">
        <v>14066</v>
      </c>
      <c r="G3469" t="s">
        <v>15459</v>
      </c>
      <c r="H3469" t="s">
        <v>868</v>
      </c>
      <c r="I3469" t="s">
        <v>950</v>
      </c>
      <c r="J3469" t="str">
        <f>"9010082"</f>
        <v>9010082</v>
      </c>
      <c r="K3469">
        <v>2632071357</v>
      </c>
      <c r="L3469">
        <v>2632071357</v>
      </c>
      <c r="M3469" t="s">
        <v>15461</v>
      </c>
      <c r="N3469" t="s">
        <v>15462</v>
      </c>
      <c r="O3469" t="s">
        <v>15463</v>
      </c>
      <c r="P3469">
        <v>30100</v>
      </c>
      <c r="Q3469" t="str">
        <f>"38.616155"</f>
        <v>38.616155</v>
      </c>
      <c r="R3469" t="str">
        <f>"21.223278"</f>
        <v>21.223278</v>
      </c>
      <c r="S3469" t="s">
        <v>26</v>
      </c>
    </row>
    <row r="3470" spans="1:19" x14ac:dyDescent="0.3">
      <c r="A3470" t="s">
        <v>13791</v>
      </c>
      <c r="B3470" t="s">
        <v>14950</v>
      </c>
      <c r="C3470" t="s">
        <v>15465</v>
      </c>
      <c r="D3470" t="s">
        <v>13792</v>
      </c>
      <c r="E3470" t="s">
        <v>13836</v>
      </c>
      <c r="F3470" t="s">
        <v>13903</v>
      </c>
      <c r="G3470" t="s">
        <v>15464</v>
      </c>
      <c r="H3470" t="s">
        <v>868</v>
      </c>
      <c r="I3470" t="s">
        <v>950</v>
      </c>
      <c r="J3470" t="str">
        <f>"9010284"</f>
        <v>9010284</v>
      </c>
      <c r="K3470">
        <v>2646031631</v>
      </c>
      <c r="L3470">
        <v>2646031631</v>
      </c>
      <c r="M3470" t="s">
        <v>15466</v>
      </c>
      <c r="N3470" t="s">
        <v>15467</v>
      </c>
      <c r="O3470" t="s">
        <v>15464</v>
      </c>
      <c r="P3470">
        <v>30004</v>
      </c>
      <c r="Q3470" t="str">
        <f>"38.758957"</f>
        <v>38.758957</v>
      </c>
      <c r="R3470" t="str">
        <f>"21.065991"</f>
        <v>21.065991</v>
      </c>
      <c r="S3470" t="s">
        <v>26</v>
      </c>
    </row>
    <row r="3471" spans="1:19" x14ac:dyDescent="0.3">
      <c r="A3471" t="s">
        <v>13791</v>
      </c>
      <c r="B3471" t="s">
        <v>14950</v>
      </c>
      <c r="C3471" t="s">
        <v>15468</v>
      </c>
      <c r="D3471" t="s">
        <v>13792</v>
      </c>
      <c r="E3471" t="s">
        <v>13851</v>
      </c>
      <c r="F3471" t="s">
        <v>13851</v>
      </c>
      <c r="G3471" t="s">
        <v>13851</v>
      </c>
      <c r="H3471" t="s">
        <v>868</v>
      </c>
      <c r="I3471" t="s">
        <v>869</v>
      </c>
      <c r="J3471" t="str">
        <f>"9010606"</f>
        <v>9010606</v>
      </c>
      <c r="K3471">
        <v>2641020792</v>
      </c>
      <c r="L3471">
        <v>2641020792</v>
      </c>
      <c r="M3471" t="s">
        <v>15469</v>
      </c>
      <c r="N3471" t="s">
        <v>13885</v>
      </c>
      <c r="O3471" t="s">
        <v>15383</v>
      </c>
      <c r="P3471">
        <v>30100</v>
      </c>
      <c r="Q3471" t="str">
        <f>"38.638271"</f>
        <v>38.638271</v>
      </c>
      <c r="R3471" t="str">
        <f>"21.415250"</f>
        <v>21.415250</v>
      </c>
      <c r="S3471" t="s">
        <v>26</v>
      </c>
    </row>
    <row r="3472" spans="1:19" x14ac:dyDescent="0.3">
      <c r="A3472" t="s">
        <v>13791</v>
      </c>
      <c r="B3472" t="s">
        <v>14950</v>
      </c>
      <c r="C3472" t="s">
        <v>15470</v>
      </c>
      <c r="D3472" t="s">
        <v>13792</v>
      </c>
      <c r="E3472" t="s">
        <v>13888</v>
      </c>
      <c r="F3472" t="s">
        <v>13889</v>
      </c>
      <c r="G3472" t="s">
        <v>15421</v>
      </c>
      <c r="H3472" t="s">
        <v>868</v>
      </c>
      <c r="I3472" t="s">
        <v>869</v>
      </c>
      <c r="J3472" t="str">
        <f>"9010352"</f>
        <v>9010352</v>
      </c>
      <c r="K3472">
        <v>2634023598</v>
      </c>
      <c r="L3472">
        <v>2634023598</v>
      </c>
      <c r="M3472" t="s">
        <v>15471</v>
      </c>
      <c r="O3472" t="s">
        <v>15472</v>
      </c>
      <c r="P3472">
        <v>30300</v>
      </c>
      <c r="Q3472" t="str">
        <f>"38.403023"</f>
        <v>38.403023</v>
      </c>
      <c r="R3472" t="str">
        <f>"21.858511"</f>
        <v>21.858511</v>
      </c>
      <c r="S3472" t="s">
        <v>26</v>
      </c>
    </row>
    <row r="3473" spans="1:19" x14ac:dyDescent="0.3">
      <c r="A3473" t="s">
        <v>13791</v>
      </c>
      <c r="B3473" t="s">
        <v>14950</v>
      </c>
      <c r="C3473" t="s">
        <v>15473</v>
      </c>
      <c r="D3473" t="s">
        <v>13792</v>
      </c>
      <c r="E3473" t="s">
        <v>13888</v>
      </c>
      <c r="F3473" t="s">
        <v>15243</v>
      </c>
      <c r="G3473" t="s">
        <v>15425</v>
      </c>
      <c r="H3473" t="s">
        <v>868</v>
      </c>
      <c r="I3473" t="s">
        <v>950</v>
      </c>
      <c r="J3473" t="str">
        <f>"9010372"</f>
        <v>9010372</v>
      </c>
      <c r="K3473">
        <v>2634045528</v>
      </c>
      <c r="L3473">
        <v>2634045528</v>
      </c>
      <c r="M3473" t="s">
        <v>15474</v>
      </c>
      <c r="N3473" t="s">
        <v>15475</v>
      </c>
      <c r="O3473" t="s">
        <v>15475</v>
      </c>
      <c r="P3473">
        <v>30014</v>
      </c>
      <c r="Q3473" t="str">
        <f>"38.368610"</f>
        <v>38.368610</v>
      </c>
      <c r="R3473" t="str">
        <f>"21.600580"</f>
        <v>21.600580</v>
      </c>
      <c r="S3473" t="s">
        <v>26</v>
      </c>
    </row>
    <row r="3474" spans="1:19" x14ac:dyDescent="0.3">
      <c r="A3474" t="s">
        <v>13791</v>
      </c>
      <c r="B3474" t="s">
        <v>14950</v>
      </c>
      <c r="C3474" t="s">
        <v>15481</v>
      </c>
      <c r="D3474" t="s">
        <v>13792</v>
      </c>
      <c r="E3474" t="s">
        <v>13888</v>
      </c>
      <c r="F3474" t="s">
        <v>15243</v>
      </c>
      <c r="G3474" t="s">
        <v>15480</v>
      </c>
      <c r="H3474" t="s">
        <v>868</v>
      </c>
      <c r="I3474" t="s">
        <v>950</v>
      </c>
      <c r="J3474" t="str">
        <f>"9010325"</f>
        <v>9010325</v>
      </c>
      <c r="K3474">
        <v>2634045462</v>
      </c>
      <c r="L3474">
        <v>2634045462</v>
      </c>
      <c r="M3474" t="s">
        <v>15482</v>
      </c>
      <c r="N3474" t="s">
        <v>15483</v>
      </c>
      <c r="O3474" t="s">
        <v>15483</v>
      </c>
      <c r="P3474">
        <v>30014</v>
      </c>
      <c r="Q3474" t="str">
        <f>"38.382426"</f>
        <v>38.382426</v>
      </c>
      <c r="R3474" t="str">
        <f>"21.629012"</f>
        <v>21.629012</v>
      </c>
      <c r="S3474" t="s">
        <v>26</v>
      </c>
    </row>
    <row r="3475" spans="1:19" x14ac:dyDescent="0.3">
      <c r="A3475" t="s">
        <v>13791</v>
      </c>
      <c r="B3475" t="s">
        <v>14950</v>
      </c>
      <c r="C3475" t="s">
        <v>14142</v>
      </c>
      <c r="D3475" t="s">
        <v>13792</v>
      </c>
      <c r="E3475" t="s">
        <v>13851</v>
      </c>
      <c r="F3475" t="s">
        <v>13851</v>
      </c>
      <c r="G3475" t="s">
        <v>13851</v>
      </c>
      <c r="H3475" t="s">
        <v>868</v>
      </c>
      <c r="I3475" t="s">
        <v>869</v>
      </c>
      <c r="J3475" t="str">
        <f>"9010538"</f>
        <v>9010538</v>
      </c>
      <c r="K3475">
        <v>2641029668</v>
      </c>
      <c r="L3475">
        <v>2641039234</v>
      </c>
      <c r="M3475" t="s">
        <v>15487</v>
      </c>
      <c r="N3475" t="s">
        <v>3984</v>
      </c>
      <c r="O3475" t="s">
        <v>15488</v>
      </c>
      <c r="P3475">
        <v>30131</v>
      </c>
      <c r="Q3475" t="str">
        <f>"38.627990"</f>
        <v>38.627990</v>
      </c>
      <c r="R3475" t="str">
        <f>"21.398449"</f>
        <v>21.398449</v>
      </c>
      <c r="S3475" t="s">
        <v>26</v>
      </c>
    </row>
    <row r="3476" spans="1:19" x14ac:dyDescent="0.3">
      <c r="A3476" t="s">
        <v>13791</v>
      </c>
      <c r="B3476" t="s">
        <v>14950</v>
      </c>
      <c r="C3476" t="s">
        <v>15492</v>
      </c>
      <c r="D3476" t="s">
        <v>13792</v>
      </c>
      <c r="E3476" t="s">
        <v>13888</v>
      </c>
      <c r="F3476" t="s">
        <v>13889</v>
      </c>
      <c r="G3476" t="s">
        <v>3469</v>
      </c>
      <c r="H3476" t="s">
        <v>868</v>
      </c>
      <c r="I3476" t="s">
        <v>869</v>
      </c>
      <c r="J3476" t="str">
        <f>"9010331"</f>
        <v>9010331</v>
      </c>
      <c r="K3476">
        <v>2634027200</v>
      </c>
      <c r="L3476">
        <v>2634027200</v>
      </c>
      <c r="M3476" t="s">
        <v>15493</v>
      </c>
      <c r="N3476" t="s">
        <v>15494</v>
      </c>
      <c r="O3476" t="s">
        <v>15495</v>
      </c>
      <c r="P3476">
        <v>30300</v>
      </c>
      <c r="Q3476" t="str">
        <f>"38.414478"</f>
        <v>38.414478</v>
      </c>
      <c r="R3476" t="str">
        <f>"21.872697"</f>
        <v>21.872697</v>
      </c>
      <c r="S3476" t="s">
        <v>26</v>
      </c>
    </row>
    <row r="3477" spans="1:19" x14ac:dyDescent="0.3">
      <c r="A3477" t="s">
        <v>13791</v>
      </c>
      <c r="B3477" t="s">
        <v>14950</v>
      </c>
      <c r="C3477" t="s">
        <v>15496</v>
      </c>
      <c r="D3477" t="s">
        <v>13792</v>
      </c>
      <c r="E3477" t="s">
        <v>13888</v>
      </c>
      <c r="F3477" t="s">
        <v>13889</v>
      </c>
      <c r="G3477" t="s">
        <v>13889</v>
      </c>
      <c r="H3477" t="s">
        <v>868</v>
      </c>
      <c r="I3477" t="s">
        <v>869</v>
      </c>
      <c r="J3477" t="str">
        <f>"9010298"</f>
        <v>9010298</v>
      </c>
      <c r="K3477">
        <v>2634027238</v>
      </c>
      <c r="L3477">
        <v>2634027238</v>
      </c>
      <c r="M3477" t="s">
        <v>15497</v>
      </c>
      <c r="N3477" t="s">
        <v>13892</v>
      </c>
      <c r="O3477" t="s">
        <v>15498</v>
      </c>
      <c r="P3477">
        <v>30300</v>
      </c>
      <c r="Q3477" t="str">
        <f>"38.393305"</f>
        <v>38.393305</v>
      </c>
      <c r="R3477" t="str">
        <f>"21.834465"</f>
        <v>21.834465</v>
      </c>
      <c r="S3477" t="s">
        <v>26</v>
      </c>
    </row>
    <row r="3478" spans="1:19" x14ac:dyDescent="0.3">
      <c r="A3478" t="s">
        <v>13791</v>
      </c>
      <c r="B3478" t="s">
        <v>14950</v>
      </c>
      <c r="C3478" t="s">
        <v>13951</v>
      </c>
      <c r="D3478" t="s">
        <v>13792</v>
      </c>
      <c r="E3478" t="s">
        <v>13793</v>
      </c>
      <c r="F3478" t="s">
        <v>13793</v>
      </c>
      <c r="G3478" t="s">
        <v>3986</v>
      </c>
      <c r="H3478" t="s">
        <v>868</v>
      </c>
      <c r="I3478" t="s">
        <v>869</v>
      </c>
      <c r="J3478" t="str">
        <f>"9010290"</f>
        <v>9010290</v>
      </c>
      <c r="K3478">
        <v>2631022787</v>
      </c>
      <c r="L3478">
        <v>2631022787</v>
      </c>
      <c r="M3478" t="s">
        <v>15499</v>
      </c>
      <c r="N3478" t="s">
        <v>15500</v>
      </c>
      <c r="O3478" t="s">
        <v>15127</v>
      </c>
      <c r="P3478">
        <v>30200</v>
      </c>
      <c r="Q3478" t="str">
        <f>"38.365392"</f>
        <v>38.365392</v>
      </c>
      <c r="R3478" t="str">
        <f>"21.424781"</f>
        <v>21.424781</v>
      </c>
      <c r="S3478" t="s">
        <v>26</v>
      </c>
    </row>
    <row r="3479" spans="1:19" x14ac:dyDescent="0.3">
      <c r="A3479" t="s">
        <v>13791</v>
      </c>
      <c r="B3479" t="s">
        <v>14950</v>
      </c>
      <c r="C3479" t="s">
        <v>15501</v>
      </c>
      <c r="D3479" t="s">
        <v>13792</v>
      </c>
      <c r="E3479" t="s">
        <v>13888</v>
      </c>
      <c r="F3479" t="s">
        <v>13889</v>
      </c>
      <c r="G3479" t="s">
        <v>13889</v>
      </c>
      <c r="H3479" t="s">
        <v>868</v>
      </c>
      <c r="I3479" t="s">
        <v>869</v>
      </c>
      <c r="J3479" t="str">
        <f>"9520883"</f>
        <v>9520883</v>
      </c>
      <c r="K3479">
        <v>2634029829</v>
      </c>
      <c r="L3479">
        <v>2634038405</v>
      </c>
      <c r="M3479" t="s">
        <v>15502</v>
      </c>
      <c r="N3479" t="s">
        <v>13892</v>
      </c>
      <c r="O3479" t="s">
        <v>15503</v>
      </c>
      <c r="P3479">
        <v>30300</v>
      </c>
      <c r="Q3479" t="str">
        <f>"38.393314"</f>
        <v>38.393314</v>
      </c>
      <c r="R3479" t="str">
        <f>"21.822155"</f>
        <v>21.822155</v>
      </c>
      <c r="S3479" t="s">
        <v>26</v>
      </c>
    </row>
    <row r="3480" spans="1:19" x14ac:dyDescent="0.3">
      <c r="A3480" t="s">
        <v>13791</v>
      </c>
      <c r="B3480" t="s">
        <v>14950</v>
      </c>
      <c r="C3480" t="s">
        <v>15544</v>
      </c>
      <c r="D3480" t="s">
        <v>13792</v>
      </c>
      <c r="E3480" t="s">
        <v>8765</v>
      </c>
      <c r="F3480" t="s">
        <v>8765</v>
      </c>
      <c r="G3480" t="s">
        <v>15543</v>
      </c>
      <c r="H3480" t="s">
        <v>868</v>
      </c>
      <c r="I3480" t="s">
        <v>950</v>
      </c>
      <c r="J3480" t="str">
        <f>"9010160"</f>
        <v>9010160</v>
      </c>
      <c r="K3480">
        <v>2647031931</v>
      </c>
      <c r="L3480">
        <v>2647031931</v>
      </c>
      <c r="M3480" t="s">
        <v>15545</v>
      </c>
      <c r="N3480" t="s">
        <v>15543</v>
      </c>
      <c r="O3480" t="s">
        <v>15546</v>
      </c>
      <c r="P3480">
        <v>30500</v>
      </c>
      <c r="Q3480" t="str">
        <f>"38.867913"</f>
        <v>38.867913</v>
      </c>
      <c r="R3480" t="str">
        <f>"21.287947"</f>
        <v>21.287947</v>
      </c>
      <c r="S3480" t="s">
        <v>26</v>
      </c>
    </row>
    <row r="3481" spans="1:19" x14ac:dyDescent="0.3">
      <c r="A3481" t="s">
        <v>13791</v>
      </c>
      <c r="B3481" t="s">
        <v>14950</v>
      </c>
      <c r="C3481" t="s">
        <v>15549</v>
      </c>
      <c r="D3481" t="s">
        <v>13792</v>
      </c>
      <c r="E3481" t="s">
        <v>13820</v>
      </c>
      <c r="F3481" t="s">
        <v>14085</v>
      </c>
      <c r="G3481" t="s">
        <v>15006</v>
      </c>
      <c r="H3481" t="s">
        <v>868</v>
      </c>
      <c r="I3481" t="s">
        <v>950</v>
      </c>
      <c r="J3481" t="str">
        <f>"9010088"</f>
        <v>9010088</v>
      </c>
      <c r="K3481">
        <v>2646029155</v>
      </c>
      <c r="L3481">
        <v>2646029155</v>
      </c>
      <c r="M3481" t="s">
        <v>15550</v>
      </c>
      <c r="N3481" t="s">
        <v>15010</v>
      </c>
      <c r="O3481" t="s">
        <v>15010</v>
      </c>
      <c r="P3481">
        <v>30009</v>
      </c>
      <c r="Q3481" t="str">
        <f>"38.727255"</f>
        <v>38.727255</v>
      </c>
      <c r="R3481" t="str">
        <f>"21.197767"</f>
        <v>21.197767</v>
      </c>
      <c r="S3481" t="s">
        <v>26</v>
      </c>
    </row>
    <row r="3482" spans="1:19" x14ac:dyDescent="0.3">
      <c r="A3482" t="s">
        <v>13791</v>
      </c>
      <c r="B3482" t="s">
        <v>14950</v>
      </c>
      <c r="C3482" t="s">
        <v>15551</v>
      </c>
      <c r="D3482" t="s">
        <v>13792</v>
      </c>
      <c r="E3482" t="s">
        <v>13820</v>
      </c>
      <c r="F3482" t="s">
        <v>13826</v>
      </c>
      <c r="G3482" t="s">
        <v>15446</v>
      </c>
      <c r="H3482" t="s">
        <v>868</v>
      </c>
      <c r="I3482" t="s">
        <v>950</v>
      </c>
      <c r="J3482" t="str">
        <f>"9010270"</f>
        <v>9010270</v>
      </c>
      <c r="K3482">
        <v>2632041201</v>
      </c>
      <c r="L3482">
        <v>2632041201</v>
      </c>
      <c r="M3482" t="s">
        <v>15552</v>
      </c>
      <c r="N3482" t="s">
        <v>15446</v>
      </c>
      <c r="O3482" t="s">
        <v>15449</v>
      </c>
      <c r="P3482">
        <v>30001</v>
      </c>
      <c r="Q3482" t="str">
        <f>"38.553700"</f>
        <v>38.553700</v>
      </c>
      <c r="R3482" t="str">
        <f>"21.242429"</f>
        <v>21.242429</v>
      </c>
      <c r="S3482" t="s">
        <v>26</v>
      </c>
    </row>
    <row r="3483" spans="1:19" x14ac:dyDescent="0.3">
      <c r="A3483" t="s">
        <v>13791</v>
      </c>
      <c r="B3483" t="s">
        <v>14950</v>
      </c>
      <c r="C3483" t="s">
        <v>15553</v>
      </c>
      <c r="D3483" t="s">
        <v>13792</v>
      </c>
      <c r="E3483" t="s">
        <v>13851</v>
      </c>
      <c r="F3483" t="s">
        <v>13871</v>
      </c>
      <c r="G3483" t="s">
        <v>15349</v>
      </c>
      <c r="H3483" t="s">
        <v>868</v>
      </c>
      <c r="I3483" t="s">
        <v>950</v>
      </c>
      <c r="J3483" t="str">
        <f>"9010401"</f>
        <v>9010401</v>
      </c>
      <c r="K3483">
        <v>2635041386</v>
      </c>
      <c r="L3483">
        <v>2635041386</v>
      </c>
      <c r="M3483" t="s">
        <v>15554</v>
      </c>
      <c r="N3483" t="s">
        <v>15555</v>
      </c>
      <c r="O3483" t="s">
        <v>8133</v>
      </c>
      <c r="P3483">
        <v>30015</v>
      </c>
      <c r="Q3483" t="str">
        <f>"38.488173"</f>
        <v>38.488173</v>
      </c>
      <c r="R3483" t="str">
        <f>"21.592193"</f>
        <v>21.592193</v>
      </c>
      <c r="S3483" t="s">
        <v>26</v>
      </c>
    </row>
    <row r="3484" spans="1:19" x14ac:dyDescent="0.3">
      <c r="A3484" t="s">
        <v>13791</v>
      </c>
      <c r="B3484" t="s">
        <v>14950</v>
      </c>
      <c r="C3484" t="s">
        <v>15556</v>
      </c>
      <c r="D3484" t="s">
        <v>13792</v>
      </c>
      <c r="E3484" t="s">
        <v>13851</v>
      </c>
      <c r="F3484" t="s">
        <v>13851</v>
      </c>
      <c r="G3484" t="s">
        <v>13851</v>
      </c>
      <c r="H3484" t="s">
        <v>868</v>
      </c>
      <c r="I3484" t="s">
        <v>869</v>
      </c>
      <c r="J3484" t="str">
        <f>"9010100"</f>
        <v>9010100</v>
      </c>
      <c r="K3484">
        <v>2641022003</v>
      </c>
      <c r="L3484">
        <v>2641022003</v>
      </c>
      <c r="M3484" t="s">
        <v>15557</v>
      </c>
      <c r="N3484" t="s">
        <v>13885</v>
      </c>
      <c r="O3484" t="s">
        <v>15558</v>
      </c>
      <c r="P3484">
        <v>30100</v>
      </c>
      <c r="Q3484" t="str">
        <f>"38.631339"</f>
        <v>38.631339</v>
      </c>
      <c r="R3484" t="str">
        <f>"21.405297"</f>
        <v>21.405297</v>
      </c>
      <c r="S3484" t="s">
        <v>26</v>
      </c>
    </row>
    <row r="3485" spans="1:19" x14ac:dyDescent="0.3">
      <c r="A3485" t="s">
        <v>13791</v>
      </c>
      <c r="B3485" t="s">
        <v>14950</v>
      </c>
      <c r="C3485" t="s">
        <v>15559</v>
      </c>
      <c r="D3485" t="s">
        <v>13792</v>
      </c>
      <c r="E3485" t="s">
        <v>13888</v>
      </c>
      <c r="F3485" t="s">
        <v>13889</v>
      </c>
      <c r="G3485" t="s">
        <v>15285</v>
      </c>
      <c r="H3485" t="s">
        <v>868</v>
      </c>
      <c r="I3485" t="s">
        <v>869</v>
      </c>
      <c r="J3485" t="str">
        <f>"9010557"</f>
        <v>9010557</v>
      </c>
      <c r="K3485">
        <v>2634023705</v>
      </c>
      <c r="M3485" t="s">
        <v>15560</v>
      </c>
      <c r="N3485" t="s">
        <v>15561</v>
      </c>
      <c r="O3485" t="s">
        <v>15562</v>
      </c>
      <c r="P3485">
        <v>30300</v>
      </c>
      <c r="Q3485" t="str">
        <f>"38.407469"</f>
        <v>38.407469</v>
      </c>
      <c r="R3485" t="str">
        <f>"21.850271"</f>
        <v>21.850271</v>
      </c>
      <c r="S3485" t="s">
        <v>26</v>
      </c>
    </row>
    <row r="3486" spans="1:19" x14ac:dyDescent="0.3">
      <c r="A3486" t="s">
        <v>13791</v>
      </c>
      <c r="B3486" t="s">
        <v>14950</v>
      </c>
      <c r="C3486" t="s">
        <v>13894</v>
      </c>
      <c r="D3486" t="s">
        <v>13792</v>
      </c>
      <c r="E3486" t="s">
        <v>13888</v>
      </c>
      <c r="F3486" t="s">
        <v>13889</v>
      </c>
      <c r="G3486" t="s">
        <v>13889</v>
      </c>
      <c r="H3486" t="s">
        <v>868</v>
      </c>
      <c r="I3486" t="s">
        <v>869</v>
      </c>
      <c r="J3486" t="str">
        <f>"9010300"</f>
        <v>9010300</v>
      </c>
      <c r="K3486">
        <v>2634027243</v>
      </c>
      <c r="L3486">
        <v>2634027243</v>
      </c>
      <c r="M3486" t="s">
        <v>15570</v>
      </c>
      <c r="N3486" t="s">
        <v>15571</v>
      </c>
      <c r="O3486" t="s">
        <v>15503</v>
      </c>
      <c r="P3486">
        <v>30300</v>
      </c>
      <c r="Q3486" t="str">
        <f>"38.392927"</f>
        <v>38.392927</v>
      </c>
      <c r="R3486" t="str">
        <f>"21.821586"</f>
        <v>21.821586</v>
      </c>
      <c r="S3486" t="s">
        <v>26</v>
      </c>
    </row>
    <row r="3487" spans="1:19" x14ac:dyDescent="0.3">
      <c r="A3487" t="s">
        <v>13791</v>
      </c>
      <c r="B3487" t="s">
        <v>14950</v>
      </c>
      <c r="C3487" t="s">
        <v>15574</v>
      </c>
      <c r="D3487" t="s">
        <v>13792</v>
      </c>
      <c r="E3487" t="s">
        <v>8765</v>
      </c>
      <c r="F3487" t="s">
        <v>15512</v>
      </c>
      <c r="G3487" t="s">
        <v>15532</v>
      </c>
      <c r="H3487" t="s">
        <v>868</v>
      </c>
      <c r="I3487" t="s">
        <v>869</v>
      </c>
      <c r="J3487" t="str">
        <f>"9010208"</f>
        <v>9010208</v>
      </c>
      <c r="K3487">
        <v>2681077348</v>
      </c>
      <c r="L3487">
        <v>26810773</v>
      </c>
      <c r="M3487" t="s">
        <v>15575</v>
      </c>
      <c r="N3487" t="s">
        <v>15535</v>
      </c>
      <c r="O3487" t="s">
        <v>15535</v>
      </c>
      <c r="P3487">
        <v>47040</v>
      </c>
      <c r="Q3487" t="str">
        <f>"39.109743"</f>
        <v>39.109743</v>
      </c>
      <c r="R3487" t="str">
        <f>"21.207876"</f>
        <v>21.207876</v>
      </c>
      <c r="S3487" t="s">
        <v>57</v>
      </c>
    </row>
    <row r="3488" spans="1:19" x14ac:dyDescent="0.3">
      <c r="A3488" t="s">
        <v>13791</v>
      </c>
      <c r="B3488" t="s">
        <v>14950</v>
      </c>
      <c r="C3488" t="s">
        <v>15576</v>
      </c>
      <c r="D3488" t="s">
        <v>13792</v>
      </c>
      <c r="E3488" t="s">
        <v>8765</v>
      </c>
      <c r="F3488" t="s">
        <v>13813</v>
      </c>
      <c r="G3488" t="s">
        <v>15539</v>
      </c>
      <c r="H3488" t="s">
        <v>868</v>
      </c>
      <c r="I3488" t="s">
        <v>950</v>
      </c>
      <c r="J3488" t="str">
        <f>"9010193"</f>
        <v>9010193</v>
      </c>
      <c r="K3488">
        <v>2647031750</v>
      </c>
      <c r="L3488">
        <v>2647031750</v>
      </c>
      <c r="M3488" t="s">
        <v>15577</v>
      </c>
      <c r="N3488" t="s">
        <v>15539</v>
      </c>
      <c r="O3488" t="s">
        <v>15542</v>
      </c>
      <c r="P3488">
        <v>30017</v>
      </c>
      <c r="Q3488" t="str">
        <f>"39.108150"</f>
        <v>39.108150</v>
      </c>
      <c r="R3488" t="str">
        <f>"21.410539"</f>
        <v>21.410539</v>
      </c>
      <c r="S3488" t="s">
        <v>57</v>
      </c>
    </row>
    <row r="3489" spans="1:19" x14ac:dyDescent="0.3">
      <c r="A3489" t="s">
        <v>13791</v>
      </c>
      <c r="B3489" t="s">
        <v>14950</v>
      </c>
      <c r="C3489" t="s">
        <v>15578</v>
      </c>
      <c r="D3489" t="s">
        <v>13792</v>
      </c>
      <c r="E3489" t="s">
        <v>8765</v>
      </c>
      <c r="F3489" t="s">
        <v>8765</v>
      </c>
      <c r="G3489" t="s">
        <v>8765</v>
      </c>
      <c r="H3489" t="s">
        <v>868</v>
      </c>
      <c r="I3489" t="s">
        <v>869</v>
      </c>
      <c r="J3489" t="str">
        <f>"9010145"</f>
        <v>9010145</v>
      </c>
      <c r="K3489">
        <v>2642022280</v>
      </c>
      <c r="L3489">
        <v>2642022280</v>
      </c>
      <c r="M3489" t="s">
        <v>15579</v>
      </c>
      <c r="N3489" t="s">
        <v>13868</v>
      </c>
      <c r="O3489" t="s">
        <v>15580</v>
      </c>
      <c r="P3489">
        <v>30500</v>
      </c>
      <c r="Q3489" t="str">
        <f>"38.867481"</f>
        <v>38.867481</v>
      </c>
      <c r="R3489" t="str">
        <f>"21.162179"</f>
        <v>21.162179</v>
      </c>
      <c r="S3489" t="s">
        <v>26</v>
      </c>
    </row>
    <row r="3490" spans="1:19" x14ac:dyDescent="0.3">
      <c r="A3490" t="s">
        <v>13791</v>
      </c>
      <c r="B3490" t="s">
        <v>14950</v>
      </c>
      <c r="C3490" t="s">
        <v>14032</v>
      </c>
      <c r="D3490" t="s">
        <v>13792</v>
      </c>
      <c r="E3490" t="s">
        <v>13888</v>
      </c>
      <c r="F3490" t="s">
        <v>13889</v>
      </c>
      <c r="G3490" t="s">
        <v>13889</v>
      </c>
      <c r="H3490" t="s">
        <v>868</v>
      </c>
      <c r="I3490" t="s">
        <v>869</v>
      </c>
      <c r="J3490" t="str">
        <f>"9010306"</f>
        <v>9010306</v>
      </c>
      <c r="K3490">
        <v>2634027485</v>
      </c>
      <c r="L3490">
        <v>2634027485</v>
      </c>
      <c r="M3490" t="s">
        <v>15581</v>
      </c>
      <c r="N3490" t="s">
        <v>13892</v>
      </c>
      <c r="O3490" t="s">
        <v>15582</v>
      </c>
      <c r="P3490">
        <v>30300</v>
      </c>
      <c r="Q3490" t="str">
        <f>"38.402775"</f>
        <v>38.402775</v>
      </c>
      <c r="R3490" t="str">
        <f>"21.845746"</f>
        <v>21.845746</v>
      </c>
      <c r="S3490" t="s">
        <v>26</v>
      </c>
    </row>
    <row r="3491" spans="1:19" x14ac:dyDescent="0.3">
      <c r="A3491" t="s">
        <v>13791</v>
      </c>
      <c r="B3491" t="s">
        <v>14950</v>
      </c>
      <c r="C3491" t="s">
        <v>15587</v>
      </c>
      <c r="D3491" t="s">
        <v>13792</v>
      </c>
      <c r="E3491" t="s">
        <v>8765</v>
      </c>
      <c r="F3491" t="s">
        <v>8765</v>
      </c>
      <c r="G3491" t="s">
        <v>15345</v>
      </c>
      <c r="H3491" t="s">
        <v>868</v>
      </c>
      <c r="I3491" t="s">
        <v>950</v>
      </c>
      <c r="J3491" t="str">
        <f>"9010169"</f>
        <v>9010169</v>
      </c>
      <c r="K3491">
        <v>2642081255</v>
      </c>
      <c r="L3491">
        <v>2642081255</v>
      </c>
      <c r="M3491" t="s">
        <v>15588</v>
      </c>
      <c r="O3491" t="s">
        <v>15589</v>
      </c>
      <c r="P3491">
        <v>30500</v>
      </c>
      <c r="Q3491" t="str">
        <f>"38.821060"</f>
        <v>38.821060</v>
      </c>
      <c r="R3491" t="str">
        <f>"21.227048"</f>
        <v>21.227048</v>
      </c>
      <c r="S3491" t="s">
        <v>26</v>
      </c>
    </row>
    <row r="3492" spans="1:19" x14ac:dyDescent="0.3">
      <c r="A3492" t="s">
        <v>13791</v>
      </c>
      <c r="B3492" t="s">
        <v>14950</v>
      </c>
      <c r="C3492" t="s">
        <v>15590</v>
      </c>
      <c r="D3492" t="s">
        <v>13792</v>
      </c>
      <c r="E3492" t="s">
        <v>8765</v>
      </c>
      <c r="F3492" t="s">
        <v>13813</v>
      </c>
      <c r="G3492" t="s">
        <v>15520</v>
      </c>
      <c r="H3492" t="s">
        <v>868</v>
      </c>
      <c r="I3492" t="s">
        <v>950</v>
      </c>
      <c r="J3492" t="str">
        <f>"9010194"</f>
        <v>9010194</v>
      </c>
      <c r="K3492">
        <v>2647031625</v>
      </c>
      <c r="L3492">
        <v>2647031625</v>
      </c>
      <c r="M3492" t="s">
        <v>15591</v>
      </c>
      <c r="N3492" t="s">
        <v>15523</v>
      </c>
      <c r="O3492" t="s">
        <v>15523</v>
      </c>
      <c r="P3492">
        <v>30017</v>
      </c>
      <c r="Q3492" t="str">
        <f>"39.047986"</f>
        <v>39.047986</v>
      </c>
      <c r="R3492" t="str">
        <f>"21.361204"</f>
        <v>21.361204</v>
      </c>
      <c r="S3492" t="s">
        <v>57</v>
      </c>
    </row>
    <row r="3493" spans="1:19" x14ac:dyDescent="0.3">
      <c r="A3493" t="s">
        <v>13791</v>
      </c>
      <c r="B3493" t="s">
        <v>14950</v>
      </c>
      <c r="C3493" t="s">
        <v>13819</v>
      </c>
      <c r="D3493" t="s">
        <v>13792</v>
      </c>
      <c r="E3493" t="s">
        <v>8765</v>
      </c>
      <c r="F3493" t="s">
        <v>13813</v>
      </c>
      <c r="G3493" t="s">
        <v>13814</v>
      </c>
      <c r="H3493" t="s">
        <v>868</v>
      </c>
      <c r="I3493" t="s">
        <v>950</v>
      </c>
      <c r="J3493" t="str">
        <f>"9010165"</f>
        <v>9010165</v>
      </c>
      <c r="K3493">
        <v>2647031288</v>
      </c>
      <c r="L3493">
        <v>2647031288</v>
      </c>
      <c r="M3493" t="s">
        <v>15592</v>
      </c>
      <c r="N3493" t="s">
        <v>13818</v>
      </c>
      <c r="O3493" t="s">
        <v>13818</v>
      </c>
      <c r="P3493">
        <v>30017</v>
      </c>
      <c r="Q3493" t="str">
        <f>"39.026114"</f>
        <v>39.026114</v>
      </c>
      <c r="R3493" t="str">
        <f>"21.316240"</f>
        <v>21.316240</v>
      </c>
      <c r="S3493" t="s">
        <v>57</v>
      </c>
    </row>
    <row r="3494" spans="1:19" x14ac:dyDescent="0.3">
      <c r="A3494" t="s">
        <v>13791</v>
      </c>
      <c r="B3494" t="s">
        <v>14950</v>
      </c>
      <c r="C3494" t="s">
        <v>14062</v>
      </c>
      <c r="D3494" t="s">
        <v>13792</v>
      </c>
      <c r="E3494" t="s">
        <v>8765</v>
      </c>
      <c r="F3494" t="s">
        <v>13813</v>
      </c>
      <c r="G3494" t="s">
        <v>14057</v>
      </c>
      <c r="H3494" t="s">
        <v>868</v>
      </c>
      <c r="I3494" t="s">
        <v>950</v>
      </c>
      <c r="J3494" t="str">
        <f>"9010175"</f>
        <v>9010175</v>
      </c>
      <c r="K3494">
        <v>2647051210</v>
      </c>
      <c r="L3494">
        <v>2647051210</v>
      </c>
      <c r="M3494" t="s">
        <v>15593</v>
      </c>
      <c r="N3494" t="s">
        <v>14061</v>
      </c>
      <c r="O3494" t="s">
        <v>14061</v>
      </c>
      <c r="P3494">
        <v>30018</v>
      </c>
      <c r="Q3494" t="str">
        <f>"38.891474"</f>
        <v>38.891474</v>
      </c>
      <c r="R3494" t="str">
        <f>"21.346658"</f>
        <v>21.346658</v>
      </c>
      <c r="S3494" t="s">
        <v>26</v>
      </c>
    </row>
    <row r="3495" spans="1:19" x14ac:dyDescent="0.3">
      <c r="A3495" t="s">
        <v>13791</v>
      </c>
      <c r="B3495" t="s">
        <v>14950</v>
      </c>
      <c r="C3495" t="s">
        <v>15594</v>
      </c>
      <c r="D3495" t="s">
        <v>13792</v>
      </c>
      <c r="E3495" t="s">
        <v>8765</v>
      </c>
      <c r="F3495" t="s">
        <v>8765</v>
      </c>
      <c r="G3495" t="s">
        <v>8765</v>
      </c>
      <c r="H3495" t="s">
        <v>868</v>
      </c>
      <c r="I3495" t="s">
        <v>950</v>
      </c>
      <c r="J3495" t="str">
        <f>"9010149"</f>
        <v>9010149</v>
      </c>
      <c r="K3495">
        <v>2642051186</v>
      </c>
      <c r="L3495">
        <v>2642051186</v>
      </c>
      <c r="M3495" t="s">
        <v>15595</v>
      </c>
      <c r="N3495" t="s">
        <v>15519</v>
      </c>
      <c r="O3495" t="s">
        <v>15519</v>
      </c>
      <c r="P3495">
        <v>30500</v>
      </c>
      <c r="Q3495" t="str">
        <f>"38.927131"</f>
        <v>38.927131</v>
      </c>
      <c r="R3495" t="str">
        <f>"21.142748"</f>
        <v>21.142748</v>
      </c>
      <c r="S3495" t="s">
        <v>26</v>
      </c>
    </row>
    <row r="3496" spans="1:19" x14ac:dyDescent="0.3">
      <c r="A3496" t="s">
        <v>13791</v>
      </c>
      <c r="B3496" t="s">
        <v>14950</v>
      </c>
      <c r="C3496" t="s">
        <v>14109</v>
      </c>
      <c r="D3496" t="s">
        <v>13792</v>
      </c>
      <c r="E3496" t="s">
        <v>13888</v>
      </c>
      <c r="F3496" t="s">
        <v>14105</v>
      </c>
      <c r="G3496" t="s">
        <v>14105</v>
      </c>
      <c r="H3496" t="s">
        <v>868</v>
      </c>
      <c r="I3496" t="s">
        <v>869</v>
      </c>
      <c r="J3496" t="str">
        <f>"9010312"</f>
        <v>9010312</v>
      </c>
      <c r="K3496">
        <v>2634031219</v>
      </c>
      <c r="L3496">
        <v>2634032347</v>
      </c>
      <c r="M3496" t="s">
        <v>15596</v>
      </c>
      <c r="N3496" t="s">
        <v>15597</v>
      </c>
      <c r="O3496" t="s">
        <v>15598</v>
      </c>
      <c r="P3496">
        <v>30020</v>
      </c>
      <c r="Q3496" t="str">
        <f>"38.333976"</f>
        <v>38.333976</v>
      </c>
      <c r="R3496" t="str">
        <f>"21.762660"</f>
        <v>21.762660</v>
      </c>
      <c r="S3496" t="s">
        <v>26</v>
      </c>
    </row>
    <row r="3497" spans="1:19" x14ac:dyDescent="0.3">
      <c r="A3497" t="s">
        <v>13791</v>
      </c>
      <c r="B3497" t="s">
        <v>14950</v>
      </c>
      <c r="C3497" t="s">
        <v>15600</v>
      </c>
      <c r="D3497" t="s">
        <v>13792</v>
      </c>
      <c r="E3497" t="s">
        <v>8765</v>
      </c>
      <c r="F3497" t="s">
        <v>8765</v>
      </c>
      <c r="G3497" t="s">
        <v>15599</v>
      </c>
      <c r="H3497" t="s">
        <v>868</v>
      </c>
      <c r="I3497" t="s">
        <v>950</v>
      </c>
      <c r="J3497" t="str">
        <f>"9010201"</f>
        <v>9010201</v>
      </c>
      <c r="K3497">
        <v>2642061210</v>
      </c>
      <c r="L3497">
        <v>2642061210</v>
      </c>
      <c r="M3497" t="s">
        <v>15601</v>
      </c>
      <c r="N3497" t="s">
        <v>15602</v>
      </c>
      <c r="O3497" t="s">
        <v>15602</v>
      </c>
      <c r="P3497">
        <v>30500</v>
      </c>
      <c r="Q3497" t="str">
        <f>"38.902484"</f>
        <v>38.902484</v>
      </c>
      <c r="R3497" t="str">
        <f>"21.109770"</f>
        <v>21.109770</v>
      </c>
      <c r="S3497" t="s">
        <v>26</v>
      </c>
    </row>
    <row r="3498" spans="1:19" x14ac:dyDescent="0.3">
      <c r="A3498" t="s">
        <v>13791</v>
      </c>
      <c r="B3498" t="s">
        <v>14950</v>
      </c>
      <c r="C3498" t="s">
        <v>15603</v>
      </c>
      <c r="D3498" t="s">
        <v>13792</v>
      </c>
      <c r="E3498" t="s">
        <v>8765</v>
      </c>
      <c r="F3498" t="s">
        <v>13813</v>
      </c>
      <c r="G3498" t="s">
        <v>15158</v>
      </c>
      <c r="H3498" t="s">
        <v>868</v>
      </c>
      <c r="I3498" t="s">
        <v>950</v>
      </c>
      <c r="J3498" t="str">
        <f>"9010189"</f>
        <v>9010189</v>
      </c>
      <c r="K3498">
        <v>2647041414</v>
      </c>
      <c r="L3498">
        <v>2647041414</v>
      </c>
      <c r="M3498" t="s">
        <v>15604</v>
      </c>
      <c r="N3498" t="s">
        <v>15162</v>
      </c>
      <c r="O3498" t="s">
        <v>15162</v>
      </c>
      <c r="P3498">
        <v>30017</v>
      </c>
      <c r="Q3498" t="str">
        <f>"39.068045"</f>
        <v>39.068045</v>
      </c>
      <c r="R3498" t="str">
        <f>"21.272054"</f>
        <v>21.272054</v>
      </c>
      <c r="S3498" t="s">
        <v>57</v>
      </c>
    </row>
    <row r="3499" spans="1:19" x14ac:dyDescent="0.3">
      <c r="A3499" t="s">
        <v>13791</v>
      </c>
      <c r="B3499" t="s">
        <v>14950</v>
      </c>
      <c r="C3499" t="s">
        <v>15606</v>
      </c>
      <c r="D3499" t="s">
        <v>13792</v>
      </c>
      <c r="E3499" t="s">
        <v>8765</v>
      </c>
      <c r="F3499" t="s">
        <v>13813</v>
      </c>
      <c r="G3499" t="s">
        <v>15605</v>
      </c>
      <c r="H3499" t="s">
        <v>868</v>
      </c>
      <c r="I3499" t="s">
        <v>869</v>
      </c>
      <c r="J3499" t="str">
        <f>"9010576"</f>
        <v>9010576</v>
      </c>
      <c r="K3499">
        <v>2647022273</v>
      </c>
      <c r="L3499">
        <v>2647038103</v>
      </c>
      <c r="M3499" t="s">
        <v>15607</v>
      </c>
      <c r="N3499" t="s">
        <v>15608</v>
      </c>
      <c r="O3499" t="s">
        <v>15609</v>
      </c>
      <c r="P3499">
        <v>30017</v>
      </c>
      <c r="Q3499" t="str">
        <f>"38.978472"</f>
        <v>38.978472</v>
      </c>
      <c r="R3499" t="str">
        <f>"21.353193"</f>
        <v>21.353193</v>
      </c>
      <c r="S3499" t="s">
        <v>26</v>
      </c>
    </row>
    <row r="3500" spans="1:19" x14ac:dyDescent="0.3">
      <c r="A3500" t="s">
        <v>13791</v>
      </c>
      <c r="B3500" t="s">
        <v>14950</v>
      </c>
      <c r="C3500" t="s">
        <v>15610</v>
      </c>
      <c r="D3500" t="s">
        <v>13792</v>
      </c>
      <c r="E3500" t="s">
        <v>13888</v>
      </c>
      <c r="F3500" t="s">
        <v>13889</v>
      </c>
      <c r="G3500" t="s">
        <v>13889</v>
      </c>
      <c r="H3500" t="s">
        <v>868</v>
      </c>
      <c r="I3500" t="s">
        <v>869</v>
      </c>
      <c r="J3500" t="str">
        <f>"9010302"</f>
        <v>9010302</v>
      </c>
      <c r="K3500">
        <v>2634027365</v>
      </c>
      <c r="L3500">
        <v>2634027365</v>
      </c>
      <c r="M3500" t="s">
        <v>15611</v>
      </c>
      <c r="N3500" t="s">
        <v>13892</v>
      </c>
      <c r="O3500" t="s">
        <v>15612</v>
      </c>
      <c r="P3500">
        <v>30300</v>
      </c>
      <c r="Q3500" t="str">
        <f>"38.394779"</f>
        <v>38.394779</v>
      </c>
      <c r="R3500" t="str">
        <f>"21.840478"</f>
        <v>21.840478</v>
      </c>
      <c r="S3500" t="s">
        <v>26</v>
      </c>
    </row>
    <row r="3501" spans="1:19" x14ac:dyDescent="0.3">
      <c r="A3501" t="s">
        <v>13791</v>
      </c>
      <c r="B3501" t="s">
        <v>14950</v>
      </c>
      <c r="C3501" t="s">
        <v>13870</v>
      </c>
      <c r="D3501" t="s">
        <v>13792</v>
      </c>
      <c r="E3501" t="s">
        <v>8765</v>
      </c>
      <c r="F3501" t="s">
        <v>8765</v>
      </c>
      <c r="G3501" t="s">
        <v>8765</v>
      </c>
      <c r="H3501" t="s">
        <v>868</v>
      </c>
      <c r="I3501" t="s">
        <v>869</v>
      </c>
      <c r="J3501" t="str">
        <f>"9010447"</f>
        <v>9010447</v>
      </c>
      <c r="K3501">
        <v>2642022718</v>
      </c>
      <c r="M3501" t="s">
        <v>15613</v>
      </c>
      <c r="N3501" t="s">
        <v>13868</v>
      </c>
      <c r="O3501" t="s">
        <v>15614</v>
      </c>
      <c r="P3501">
        <v>30500</v>
      </c>
      <c r="Q3501" t="str">
        <f>"38.864161"</f>
        <v>38.864161</v>
      </c>
      <c r="R3501" t="str">
        <f>"21.164065"</f>
        <v>21.164065</v>
      </c>
      <c r="S3501" t="s">
        <v>26</v>
      </c>
    </row>
    <row r="3502" spans="1:19" x14ac:dyDescent="0.3">
      <c r="A3502" t="s">
        <v>13791</v>
      </c>
      <c r="B3502" t="s">
        <v>14950</v>
      </c>
      <c r="C3502" t="s">
        <v>15615</v>
      </c>
      <c r="D3502" t="s">
        <v>13792</v>
      </c>
      <c r="E3502" t="s">
        <v>8765</v>
      </c>
      <c r="F3502" t="s">
        <v>15512</v>
      </c>
      <c r="G3502" t="s">
        <v>15512</v>
      </c>
      <c r="H3502" t="s">
        <v>868</v>
      </c>
      <c r="I3502" t="s">
        <v>869</v>
      </c>
      <c r="J3502" t="str">
        <f>"9010181"</f>
        <v>9010181</v>
      </c>
      <c r="K3502">
        <v>2681088229</v>
      </c>
      <c r="L3502">
        <v>2681088229</v>
      </c>
      <c r="M3502" t="s">
        <v>15616</v>
      </c>
      <c r="N3502" t="s">
        <v>15617</v>
      </c>
      <c r="O3502" t="s">
        <v>15618</v>
      </c>
      <c r="P3502">
        <v>30016</v>
      </c>
      <c r="Q3502" t="str">
        <f>"39.043342"</f>
        <v>39.043342</v>
      </c>
      <c r="R3502" t="str">
        <f>"21.116698"</f>
        <v>21.116698</v>
      </c>
      <c r="S3502" t="s">
        <v>26</v>
      </c>
    </row>
    <row r="3503" spans="1:19" x14ac:dyDescent="0.3">
      <c r="A3503" t="s">
        <v>13791</v>
      </c>
      <c r="B3503" t="s">
        <v>14950</v>
      </c>
      <c r="C3503" t="s">
        <v>15627</v>
      </c>
      <c r="D3503" t="s">
        <v>13792</v>
      </c>
      <c r="E3503" t="s">
        <v>8765</v>
      </c>
      <c r="F3503" t="s">
        <v>8765</v>
      </c>
      <c r="G3503" t="s">
        <v>8765</v>
      </c>
      <c r="H3503" t="s">
        <v>868</v>
      </c>
      <c r="I3503" t="s">
        <v>869</v>
      </c>
      <c r="J3503" t="str">
        <f>"9010146"</f>
        <v>9010146</v>
      </c>
      <c r="K3503">
        <v>2642022504</v>
      </c>
      <c r="L3503">
        <v>2642022504</v>
      </c>
      <c r="M3503" t="s">
        <v>15628</v>
      </c>
      <c r="N3503" t="s">
        <v>13868</v>
      </c>
      <c r="O3503" t="s">
        <v>15629</v>
      </c>
      <c r="P3503">
        <v>30500</v>
      </c>
      <c r="Q3503" t="str">
        <f>"38.865505"</f>
        <v>38.865505</v>
      </c>
      <c r="R3503" t="str">
        <f>"21.176738"</f>
        <v>21.176738</v>
      </c>
      <c r="S3503" t="s">
        <v>26</v>
      </c>
    </row>
    <row r="3504" spans="1:19" x14ac:dyDescent="0.3">
      <c r="A3504" t="s">
        <v>13791</v>
      </c>
      <c r="B3504" t="s">
        <v>14950</v>
      </c>
      <c r="C3504" t="s">
        <v>15630</v>
      </c>
      <c r="D3504" t="s">
        <v>13792</v>
      </c>
      <c r="E3504" t="s">
        <v>13793</v>
      </c>
      <c r="F3504" t="s">
        <v>13987</v>
      </c>
      <c r="G3504" t="s">
        <v>15275</v>
      </c>
      <c r="H3504" t="s">
        <v>868</v>
      </c>
      <c r="I3504" t="s">
        <v>869</v>
      </c>
      <c r="J3504" t="str">
        <f>"9010432"</f>
        <v>9010432</v>
      </c>
      <c r="K3504">
        <v>2632051202</v>
      </c>
      <c r="L3504">
        <v>2632051202</v>
      </c>
      <c r="M3504" t="s">
        <v>15631</v>
      </c>
      <c r="N3504" t="s">
        <v>15632</v>
      </c>
      <c r="O3504" t="s">
        <v>15633</v>
      </c>
      <c r="P3504">
        <v>30400</v>
      </c>
      <c r="Q3504" t="str">
        <f>"38.516088"</f>
        <v>38.516088</v>
      </c>
      <c r="R3504" t="str">
        <f>"21.281800"</f>
        <v>21.281800</v>
      </c>
      <c r="S3504" t="s">
        <v>26</v>
      </c>
    </row>
    <row r="3505" spans="1:19" x14ac:dyDescent="0.3">
      <c r="A3505" t="s">
        <v>13791</v>
      </c>
      <c r="B3505" t="s">
        <v>14950</v>
      </c>
      <c r="C3505" t="s">
        <v>15638</v>
      </c>
      <c r="D3505" t="s">
        <v>13792</v>
      </c>
      <c r="E3505" t="s">
        <v>13851</v>
      </c>
      <c r="F3505" t="s">
        <v>13851</v>
      </c>
      <c r="G3505" t="s">
        <v>13851</v>
      </c>
      <c r="H3505" t="s">
        <v>868</v>
      </c>
      <c r="I3505" t="s">
        <v>869</v>
      </c>
      <c r="J3505" t="str">
        <f>"9010002"</f>
        <v>9010002</v>
      </c>
      <c r="K3505">
        <v>2641023240</v>
      </c>
      <c r="L3505">
        <v>2641023240</v>
      </c>
      <c r="M3505" t="s">
        <v>15639</v>
      </c>
      <c r="N3505" t="s">
        <v>13885</v>
      </c>
      <c r="O3505" t="s">
        <v>15640</v>
      </c>
      <c r="P3505">
        <v>30132</v>
      </c>
      <c r="Q3505" t="str">
        <f>"38.617675"</f>
        <v>38.617675</v>
      </c>
      <c r="R3505" t="str">
        <f>"21.412361"</f>
        <v>21.412361</v>
      </c>
      <c r="S3505" t="s">
        <v>26</v>
      </c>
    </row>
    <row r="3506" spans="1:19" x14ac:dyDescent="0.3">
      <c r="A3506" t="s">
        <v>13791</v>
      </c>
      <c r="B3506" t="s">
        <v>14950</v>
      </c>
      <c r="C3506" t="s">
        <v>14114</v>
      </c>
      <c r="D3506" t="s">
        <v>13792</v>
      </c>
      <c r="E3506" t="s">
        <v>8765</v>
      </c>
      <c r="F3506" t="s">
        <v>8765</v>
      </c>
      <c r="G3506" t="s">
        <v>1460</v>
      </c>
      <c r="H3506" t="s">
        <v>868</v>
      </c>
      <c r="I3506" t="s">
        <v>869</v>
      </c>
      <c r="J3506" t="str">
        <f>"9010173"</f>
        <v>9010173</v>
      </c>
      <c r="K3506">
        <v>2642051149</v>
      </c>
      <c r="L3506">
        <v>2642051149</v>
      </c>
      <c r="M3506" t="s">
        <v>15641</v>
      </c>
      <c r="N3506" t="s">
        <v>15148</v>
      </c>
      <c r="O3506" t="s">
        <v>15148</v>
      </c>
      <c r="P3506">
        <v>30500</v>
      </c>
      <c r="Q3506" t="str">
        <f>"38.942637"</f>
        <v>38.942637</v>
      </c>
      <c r="R3506" t="str">
        <f>"21.178926"</f>
        <v>21.178926</v>
      </c>
      <c r="S3506" t="s">
        <v>26</v>
      </c>
    </row>
    <row r="3507" spans="1:19" x14ac:dyDescent="0.3">
      <c r="A3507" t="s">
        <v>13791</v>
      </c>
      <c r="B3507" t="s">
        <v>14950</v>
      </c>
      <c r="C3507" t="s">
        <v>13877</v>
      </c>
      <c r="D3507" t="s">
        <v>13792</v>
      </c>
      <c r="E3507" t="s">
        <v>13851</v>
      </c>
      <c r="F3507" t="s">
        <v>13871</v>
      </c>
      <c r="G3507" t="s">
        <v>13872</v>
      </c>
      <c r="H3507" t="s">
        <v>868</v>
      </c>
      <c r="I3507" t="s">
        <v>950</v>
      </c>
      <c r="J3507" t="str">
        <f>"9010426"</f>
        <v>9010426</v>
      </c>
      <c r="K3507">
        <v>2635022154</v>
      </c>
      <c r="L3507">
        <v>2635022154</v>
      </c>
      <c r="M3507" t="s">
        <v>15647</v>
      </c>
      <c r="N3507" t="s">
        <v>15648</v>
      </c>
      <c r="O3507" t="s">
        <v>15649</v>
      </c>
      <c r="P3507">
        <v>30011</v>
      </c>
      <c r="Q3507" t="str">
        <f>"38.530370"</f>
        <v>38.530370</v>
      </c>
      <c r="R3507" t="str">
        <f>"21.414920"</f>
        <v>21.414920</v>
      </c>
      <c r="S3507" t="s">
        <v>26</v>
      </c>
    </row>
    <row r="3508" spans="1:19" x14ac:dyDescent="0.3">
      <c r="A3508" t="s">
        <v>13791</v>
      </c>
      <c r="B3508" t="s">
        <v>14950</v>
      </c>
      <c r="C3508" t="s">
        <v>15650</v>
      </c>
      <c r="D3508" t="s">
        <v>13792</v>
      </c>
      <c r="E3508" t="s">
        <v>13851</v>
      </c>
      <c r="F3508" t="s">
        <v>13851</v>
      </c>
      <c r="G3508" t="s">
        <v>15033</v>
      </c>
      <c r="H3508" t="s">
        <v>868</v>
      </c>
      <c r="I3508" t="s">
        <v>950</v>
      </c>
      <c r="J3508" t="str">
        <f>"9010070"</f>
        <v>9010070</v>
      </c>
      <c r="K3508">
        <v>2641027237</v>
      </c>
      <c r="L3508">
        <v>2641027237</v>
      </c>
      <c r="M3508" t="s">
        <v>15651</v>
      </c>
      <c r="N3508" t="s">
        <v>15033</v>
      </c>
      <c r="O3508" t="s">
        <v>15036</v>
      </c>
      <c r="P3508">
        <v>30100</v>
      </c>
      <c r="Q3508" t="str">
        <f>"38.634609"</f>
        <v>38.634609</v>
      </c>
      <c r="R3508" t="str">
        <f>"21.441190"</f>
        <v>21.441190</v>
      </c>
      <c r="S3508" t="s">
        <v>26</v>
      </c>
    </row>
    <row r="3509" spans="1:19" x14ac:dyDescent="0.3">
      <c r="A3509" t="s">
        <v>13791</v>
      </c>
      <c r="B3509" t="s">
        <v>14950</v>
      </c>
      <c r="C3509" t="s">
        <v>15652</v>
      </c>
      <c r="D3509" t="s">
        <v>13792</v>
      </c>
      <c r="E3509" t="s">
        <v>13851</v>
      </c>
      <c r="F3509" t="s">
        <v>15046</v>
      </c>
      <c r="G3509" t="s">
        <v>15046</v>
      </c>
      <c r="H3509" t="s">
        <v>868</v>
      </c>
      <c r="I3509" t="s">
        <v>869</v>
      </c>
      <c r="J3509" t="str">
        <f>"9010386"</f>
        <v>9010386</v>
      </c>
      <c r="K3509">
        <v>2641093210</v>
      </c>
      <c r="L3509">
        <v>2641093574</v>
      </c>
      <c r="M3509" t="s">
        <v>15653</v>
      </c>
      <c r="N3509" t="s">
        <v>15654</v>
      </c>
      <c r="O3509" t="s">
        <v>15654</v>
      </c>
      <c r="P3509">
        <v>30400</v>
      </c>
      <c r="Q3509" t="str">
        <f>"38.565599"</f>
        <v>38.565599</v>
      </c>
      <c r="R3509" t="str">
        <f>"21.297057"</f>
        <v>21.297057</v>
      </c>
      <c r="S3509" t="s">
        <v>26</v>
      </c>
    </row>
    <row r="3510" spans="1:19" x14ac:dyDescent="0.3">
      <c r="A3510" t="s">
        <v>13791</v>
      </c>
      <c r="B3510" t="s">
        <v>14950</v>
      </c>
      <c r="C3510" t="s">
        <v>15655</v>
      </c>
      <c r="D3510" t="s">
        <v>13792</v>
      </c>
      <c r="E3510" t="s">
        <v>13820</v>
      </c>
      <c r="F3510" t="s">
        <v>13821</v>
      </c>
      <c r="G3510" t="s">
        <v>15566</v>
      </c>
      <c r="H3510" t="s">
        <v>868</v>
      </c>
      <c r="I3510" t="s">
        <v>950</v>
      </c>
      <c r="J3510" t="str">
        <f>"9010255"</f>
        <v>9010255</v>
      </c>
      <c r="K3510">
        <v>2646051111</v>
      </c>
      <c r="L3510">
        <v>2646051111</v>
      </c>
      <c r="M3510" t="s">
        <v>15656</v>
      </c>
      <c r="N3510" t="s">
        <v>15569</v>
      </c>
      <c r="O3510" t="s">
        <v>15569</v>
      </c>
      <c r="P3510">
        <v>30019</v>
      </c>
      <c r="Q3510" t="str">
        <f>"38.703936"</f>
        <v>38.703936</v>
      </c>
      <c r="R3510" t="str">
        <f>"20.961487"</f>
        <v>20.961487</v>
      </c>
      <c r="S3510" t="s">
        <v>26</v>
      </c>
    </row>
    <row r="3511" spans="1:19" x14ac:dyDescent="0.3">
      <c r="A3511" t="s">
        <v>13791</v>
      </c>
      <c r="B3511" t="s">
        <v>14950</v>
      </c>
      <c r="C3511" t="s">
        <v>15657</v>
      </c>
      <c r="D3511" t="s">
        <v>13792</v>
      </c>
      <c r="E3511" t="s">
        <v>8765</v>
      </c>
      <c r="F3511" t="s">
        <v>13813</v>
      </c>
      <c r="G3511" t="s">
        <v>15317</v>
      </c>
      <c r="H3511" t="s">
        <v>868</v>
      </c>
      <c r="I3511" t="s">
        <v>950</v>
      </c>
      <c r="J3511" t="str">
        <f>"9010154"</f>
        <v>9010154</v>
      </c>
      <c r="K3511">
        <v>2647051137</v>
      </c>
      <c r="L3511">
        <v>2647051137</v>
      </c>
      <c r="M3511" t="s">
        <v>15658</v>
      </c>
      <c r="N3511" t="s">
        <v>15320</v>
      </c>
      <c r="O3511" t="s">
        <v>15320</v>
      </c>
      <c r="P3511">
        <v>30018</v>
      </c>
      <c r="Q3511" t="str">
        <f>"38.867462"</f>
        <v>38.867462</v>
      </c>
      <c r="R3511" t="str">
        <f>"21.349111"</f>
        <v>21.349111</v>
      </c>
      <c r="S3511" t="s">
        <v>26</v>
      </c>
    </row>
    <row r="3512" spans="1:19" x14ac:dyDescent="0.3">
      <c r="A3512" t="s">
        <v>13791</v>
      </c>
      <c r="B3512" t="s">
        <v>14950</v>
      </c>
      <c r="C3512" t="s">
        <v>15660</v>
      </c>
      <c r="D3512" t="s">
        <v>13792</v>
      </c>
      <c r="E3512" t="s">
        <v>13793</v>
      </c>
      <c r="F3512" t="s">
        <v>13793</v>
      </c>
      <c r="G3512" t="s">
        <v>15659</v>
      </c>
      <c r="H3512" t="s">
        <v>868</v>
      </c>
      <c r="I3512" t="s">
        <v>950</v>
      </c>
      <c r="J3512" t="str">
        <f>"9010403"</f>
        <v>9010403</v>
      </c>
      <c r="K3512">
        <v>2631023257</v>
      </c>
      <c r="L3512">
        <v>2631023257</v>
      </c>
      <c r="M3512" t="s">
        <v>15661</v>
      </c>
      <c r="N3512" t="s">
        <v>15662</v>
      </c>
      <c r="O3512" t="s">
        <v>15663</v>
      </c>
      <c r="P3512">
        <v>30200</v>
      </c>
      <c r="Q3512" t="str">
        <f>"38.481963"</f>
        <v>38.481963</v>
      </c>
      <c r="R3512" t="str">
        <f>"21.414996"</f>
        <v>21.414996</v>
      </c>
      <c r="S3512" t="s">
        <v>26</v>
      </c>
    </row>
    <row r="3513" spans="1:19" x14ac:dyDescent="0.3">
      <c r="A3513" t="s">
        <v>13791</v>
      </c>
      <c r="B3513" t="s">
        <v>14950</v>
      </c>
      <c r="C3513" t="s">
        <v>14084</v>
      </c>
      <c r="D3513" t="s">
        <v>13792</v>
      </c>
      <c r="E3513" t="s">
        <v>13888</v>
      </c>
      <c r="F3513" t="s">
        <v>13889</v>
      </c>
      <c r="G3513" t="s">
        <v>13889</v>
      </c>
      <c r="H3513" t="s">
        <v>868</v>
      </c>
      <c r="I3513" t="s">
        <v>869</v>
      </c>
      <c r="J3513" t="str">
        <f>"9010305"</f>
        <v>9010305</v>
      </c>
      <c r="K3513">
        <v>2634028858</v>
      </c>
      <c r="L3513">
        <v>2634023956</v>
      </c>
      <c r="M3513" t="s">
        <v>15664</v>
      </c>
      <c r="N3513" t="s">
        <v>13892</v>
      </c>
      <c r="O3513" t="s">
        <v>15440</v>
      </c>
      <c r="P3513">
        <v>30300</v>
      </c>
      <c r="Q3513" t="str">
        <f>"38.381119"</f>
        <v>38.381119</v>
      </c>
      <c r="R3513" t="str">
        <f>"21.800225"</f>
        <v>21.800225</v>
      </c>
      <c r="S3513" t="s">
        <v>26</v>
      </c>
    </row>
    <row r="3514" spans="1:19" x14ac:dyDescent="0.3">
      <c r="A3514" t="s">
        <v>13791</v>
      </c>
      <c r="B3514" t="s">
        <v>14950</v>
      </c>
      <c r="C3514" t="s">
        <v>13917</v>
      </c>
      <c r="D3514" t="s">
        <v>13792</v>
      </c>
      <c r="E3514" t="s">
        <v>13851</v>
      </c>
      <c r="F3514" t="s">
        <v>13851</v>
      </c>
      <c r="G3514" t="s">
        <v>13851</v>
      </c>
      <c r="H3514" t="s">
        <v>868</v>
      </c>
      <c r="I3514" t="s">
        <v>869</v>
      </c>
      <c r="J3514" t="str">
        <f>"9010554"</f>
        <v>9010554</v>
      </c>
      <c r="K3514">
        <v>2641021526</v>
      </c>
      <c r="L3514">
        <v>2641021526</v>
      </c>
      <c r="M3514" t="s">
        <v>15665</v>
      </c>
      <c r="N3514" t="s">
        <v>13885</v>
      </c>
      <c r="O3514" t="s">
        <v>15666</v>
      </c>
      <c r="P3514">
        <v>30132</v>
      </c>
      <c r="Q3514" t="str">
        <f>"38.629633"</f>
        <v>38.629633</v>
      </c>
      <c r="R3514" t="str">
        <f>"21.416439"</f>
        <v>21.416439</v>
      </c>
      <c r="S3514" t="s">
        <v>26</v>
      </c>
    </row>
    <row r="3515" spans="1:19" x14ac:dyDescent="0.3">
      <c r="A3515" t="s">
        <v>13791</v>
      </c>
      <c r="B3515" t="s">
        <v>14950</v>
      </c>
      <c r="C3515" t="s">
        <v>15667</v>
      </c>
      <c r="D3515" t="s">
        <v>13792</v>
      </c>
      <c r="E3515" t="s">
        <v>8765</v>
      </c>
      <c r="F3515" t="s">
        <v>8765</v>
      </c>
      <c r="G3515" t="s">
        <v>15524</v>
      </c>
      <c r="H3515" t="s">
        <v>868</v>
      </c>
      <c r="I3515" t="s">
        <v>950</v>
      </c>
      <c r="J3515" t="str">
        <f>"9010200"</f>
        <v>9010200</v>
      </c>
      <c r="K3515">
        <v>2642071305</v>
      </c>
      <c r="L3515">
        <v>2642071305</v>
      </c>
      <c r="M3515" t="s">
        <v>15668</v>
      </c>
      <c r="N3515" t="s">
        <v>15527</v>
      </c>
      <c r="O3515" t="s">
        <v>2648</v>
      </c>
      <c r="P3515">
        <v>30500</v>
      </c>
      <c r="Q3515" t="str">
        <f>"38.889946"</f>
        <v>38.889946</v>
      </c>
      <c r="R3515" t="str">
        <f>"21.202240"</f>
        <v>21.202240</v>
      </c>
      <c r="S3515" t="s">
        <v>26</v>
      </c>
    </row>
    <row r="3516" spans="1:19" x14ac:dyDescent="0.3">
      <c r="A3516" t="s">
        <v>13791</v>
      </c>
      <c r="B3516" t="s">
        <v>14950</v>
      </c>
      <c r="C3516" t="s">
        <v>13909</v>
      </c>
      <c r="D3516" t="s">
        <v>13792</v>
      </c>
      <c r="E3516" t="s">
        <v>13836</v>
      </c>
      <c r="F3516" t="s">
        <v>13903</v>
      </c>
      <c r="G3516" t="s">
        <v>13904</v>
      </c>
      <c r="H3516" t="s">
        <v>868</v>
      </c>
      <c r="I3516" t="s">
        <v>869</v>
      </c>
      <c r="J3516" t="str">
        <f>"9010231"</f>
        <v>9010231</v>
      </c>
      <c r="K3516">
        <v>2646031246</v>
      </c>
      <c r="L3516">
        <v>2646031246</v>
      </c>
      <c r="M3516" t="s">
        <v>15669</v>
      </c>
      <c r="N3516" t="s">
        <v>13907</v>
      </c>
      <c r="O3516" t="s">
        <v>13907</v>
      </c>
      <c r="P3516">
        <v>30004</v>
      </c>
      <c r="Q3516" t="str">
        <f>"38.785422"</f>
        <v>38.785422</v>
      </c>
      <c r="R3516" t="str">
        <f>"21.113986"</f>
        <v>21.113986</v>
      </c>
      <c r="S3516" t="s">
        <v>26</v>
      </c>
    </row>
    <row r="3517" spans="1:19" x14ac:dyDescent="0.3">
      <c r="A3517" t="s">
        <v>13791</v>
      </c>
      <c r="B3517" t="s">
        <v>14950</v>
      </c>
      <c r="C3517" t="s">
        <v>13974</v>
      </c>
      <c r="D3517" t="s">
        <v>13792</v>
      </c>
      <c r="E3517" t="s">
        <v>13851</v>
      </c>
      <c r="F3517" t="s">
        <v>13852</v>
      </c>
      <c r="G3517" t="s">
        <v>13969</v>
      </c>
      <c r="H3517" t="s">
        <v>868</v>
      </c>
      <c r="I3517" t="s">
        <v>869</v>
      </c>
      <c r="J3517" t="str">
        <f>"9010054"</f>
        <v>9010054</v>
      </c>
      <c r="K3517">
        <v>2641051234</v>
      </c>
      <c r="L3517">
        <v>2641051234</v>
      </c>
      <c r="M3517" t="s">
        <v>15675</v>
      </c>
      <c r="N3517" t="s">
        <v>13979</v>
      </c>
      <c r="O3517" t="s">
        <v>15676</v>
      </c>
      <c r="P3517">
        <v>30003</v>
      </c>
      <c r="Q3517" t="str">
        <f>"38.583135"</f>
        <v>38.583135</v>
      </c>
      <c r="R3517" t="str">
        <f>"21.447818"</f>
        <v>21.447818</v>
      </c>
      <c r="S3517" t="s">
        <v>26</v>
      </c>
    </row>
    <row r="3518" spans="1:19" x14ac:dyDescent="0.3">
      <c r="A3518" t="s">
        <v>13791</v>
      </c>
      <c r="B3518" t="s">
        <v>14950</v>
      </c>
      <c r="C3518" t="s">
        <v>13981</v>
      </c>
      <c r="D3518" t="s">
        <v>13792</v>
      </c>
      <c r="E3518" t="s">
        <v>13851</v>
      </c>
      <c r="F3518" t="s">
        <v>13852</v>
      </c>
      <c r="G3518" t="s">
        <v>13969</v>
      </c>
      <c r="H3518" t="s">
        <v>868</v>
      </c>
      <c r="I3518" t="s">
        <v>869</v>
      </c>
      <c r="J3518" t="str">
        <f>"9010055"</f>
        <v>9010055</v>
      </c>
      <c r="K3518">
        <v>2641051237</v>
      </c>
      <c r="L3518">
        <v>2641051237</v>
      </c>
      <c r="M3518" t="s">
        <v>15677</v>
      </c>
      <c r="N3518" t="s">
        <v>13979</v>
      </c>
      <c r="O3518" t="s">
        <v>152</v>
      </c>
      <c r="P3518">
        <v>30003</v>
      </c>
      <c r="Q3518" t="str">
        <f>"38.586101"</f>
        <v>38.586101</v>
      </c>
      <c r="R3518" t="str">
        <f>"21.436793"</f>
        <v>21.436793</v>
      </c>
      <c r="S3518" t="s">
        <v>26</v>
      </c>
    </row>
    <row r="3519" spans="1:19" x14ac:dyDescent="0.3">
      <c r="A3519" t="s">
        <v>13791</v>
      </c>
      <c r="B3519" t="s">
        <v>14950</v>
      </c>
      <c r="C3519" t="s">
        <v>15678</v>
      </c>
      <c r="D3519" t="s">
        <v>13792</v>
      </c>
      <c r="E3519" t="s">
        <v>13836</v>
      </c>
      <c r="F3519" t="s">
        <v>13837</v>
      </c>
      <c r="G3519" t="s">
        <v>15634</v>
      </c>
      <c r="H3519" t="s">
        <v>868</v>
      </c>
      <c r="I3519" t="s">
        <v>950</v>
      </c>
      <c r="J3519" t="str">
        <f>"9010238"</f>
        <v>9010238</v>
      </c>
      <c r="K3519">
        <v>2643061211</v>
      </c>
      <c r="L3519">
        <v>2643061211</v>
      </c>
      <c r="M3519" t="s">
        <v>15679</v>
      </c>
      <c r="N3519" t="s">
        <v>15637</v>
      </c>
      <c r="O3519" t="s">
        <v>15637</v>
      </c>
      <c r="P3519">
        <v>30002</v>
      </c>
      <c r="Q3519" t="str">
        <f>"38.914040"</f>
        <v>38.914040</v>
      </c>
      <c r="R3519" t="str">
        <f>"20.954575"</f>
        <v>20.954575</v>
      </c>
      <c r="S3519" t="s">
        <v>26</v>
      </c>
    </row>
    <row r="3520" spans="1:19" x14ac:dyDescent="0.3">
      <c r="A3520" t="s">
        <v>13791</v>
      </c>
      <c r="B3520" t="s">
        <v>14950</v>
      </c>
      <c r="C3520" t="s">
        <v>15680</v>
      </c>
      <c r="D3520" t="s">
        <v>13792</v>
      </c>
      <c r="E3520" t="s">
        <v>13793</v>
      </c>
      <c r="F3520" t="s">
        <v>13987</v>
      </c>
      <c r="G3520" t="s">
        <v>13987</v>
      </c>
      <c r="H3520" t="s">
        <v>868</v>
      </c>
      <c r="I3520" t="s">
        <v>869</v>
      </c>
      <c r="J3520" t="str">
        <f>"9010380"</f>
        <v>9010380</v>
      </c>
      <c r="K3520">
        <v>2632022790</v>
      </c>
      <c r="L3520">
        <v>2632022790</v>
      </c>
      <c r="M3520" t="s">
        <v>15681</v>
      </c>
      <c r="N3520" t="s">
        <v>15682</v>
      </c>
      <c r="O3520" t="s">
        <v>15341</v>
      </c>
      <c r="P3520">
        <v>30400</v>
      </c>
      <c r="Q3520" t="str">
        <f>"38.438861"</f>
        <v>38.438861</v>
      </c>
      <c r="R3520" t="str">
        <f>"21.366259"</f>
        <v>21.366259</v>
      </c>
      <c r="S3520" t="s">
        <v>26</v>
      </c>
    </row>
    <row r="3521" spans="1:19" x14ac:dyDescent="0.3">
      <c r="A3521" t="s">
        <v>13791</v>
      </c>
      <c r="B3521" t="s">
        <v>14950</v>
      </c>
      <c r="C3521" t="s">
        <v>15684</v>
      </c>
      <c r="D3521" t="s">
        <v>13792</v>
      </c>
      <c r="E3521" t="s">
        <v>13836</v>
      </c>
      <c r="F3521" t="s">
        <v>13837</v>
      </c>
      <c r="G3521" t="s">
        <v>15683</v>
      </c>
      <c r="H3521" t="s">
        <v>868</v>
      </c>
      <c r="I3521" t="s">
        <v>950</v>
      </c>
      <c r="J3521" t="str">
        <f>"9010226"</f>
        <v>9010226</v>
      </c>
      <c r="K3521">
        <v>2643091236</v>
      </c>
      <c r="L3521">
        <v>2643091498</v>
      </c>
      <c r="M3521" t="s">
        <v>15685</v>
      </c>
      <c r="N3521" t="s">
        <v>15686</v>
      </c>
      <c r="O3521" t="s">
        <v>15686</v>
      </c>
      <c r="P3521">
        <v>30002</v>
      </c>
      <c r="Q3521" t="str">
        <f>"38.882609"</f>
        <v>38.882609</v>
      </c>
      <c r="R3521" t="str">
        <f>"21.024338"</f>
        <v>21.024338</v>
      </c>
      <c r="S3521" t="s">
        <v>26</v>
      </c>
    </row>
    <row r="3522" spans="1:19" x14ac:dyDescent="0.3">
      <c r="A3522" t="s">
        <v>13791</v>
      </c>
      <c r="B3522" t="s">
        <v>14950</v>
      </c>
      <c r="C3522" t="s">
        <v>13898</v>
      </c>
      <c r="D3522" t="s">
        <v>13792</v>
      </c>
      <c r="E3522" t="s">
        <v>13793</v>
      </c>
      <c r="F3522" t="s">
        <v>13793</v>
      </c>
      <c r="G3522" t="s">
        <v>3986</v>
      </c>
      <c r="H3522" t="s">
        <v>868</v>
      </c>
      <c r="I3522" t="s">
        <v>869</v>
      </c>
      <c r="J3522" t="str">
        <f>"9010384"</f>
        <v>9010384</v>
      </c>
      <c r="K3522">
        <v>2631022549</v>
      </c>
      <c r="L3522">
        <v>2631022549</v>
      </c>
      <c r="M3522" t="s">
        <v>15688</v>
      </c>
      <c r="N3522" t="s">
        <v>3986</v>
      </c>
      <c r="O3522" t="s">
        <v>15689</v>
      </c>
      <c r="P3522">
        <v>30200</v>
      </c>
      <c r="Q3522" t="str">
        <f>"38.369169"</f>
        <v>38.369169</v>
      </c>
      <c r="R3522" t="str">
        <f>"21.435883"</f>
        <v>21.435883</v>
      </c>
      <c r="S3522" t="s">
        <v>26</v>
      </c>
    </row>
    <row r="3523" spans="1:19" x14ac:dyDescent="0.3">
      <c r="A3523" t="s">
        <v>13791</v>
      </c>
      <c r="B3523" t="s">
        <v>14950</v>
      </c>
      <c r="C3523" t="s">
        <v>15693</v>
      </c>
      <c r="D3523" t="s">
        <v>13792</v>
      </c>
      <c r="E3523" t="s">
        <v>13820</v>
      </c>
      <c r="F3523" t="s">
        <v>13821</v>
      </c>
      <c r="G3523" t="s">
        <v>13822</v>
      </c>
      <c r="H3523" t="s">
        <v>868</v>
      </c>
      <c r="I3523" t="s">
        <v>869</v>
      </c>
      <c r="J3523" t="str">
        <f>"9010260"</f>
        <v>9010260</v>
      </c>
      <c r="K3523">
        <v>2646051213</v>
      </c>
      <c r="L3523">
        <v>2646051213</v>
      </c>
      <c r="M3523" t="s">
        <v>15694</v>
      </c>
      <c r="N3523" t="s">
        <v>13822</v>
      </c>
      <c r="O3523" t="s">
        <v>15626</v>
      </c>
      <c r="P3523">
        <v>30019</v>
      </c>
      <c r="Q3523" t="str">
        <f>"38.703480"</f>
        <v>38.703480</v>
      </c>
      <c r="R3523" t="str">
        <f>"20.940076"</f>
        <v>20.940076</v>
      </c>
      <c r="S3523" t="s">
        <v>26</v>
      </c>
    </row>
    <row r="3524" spans="1:19" x14ac:dyDescent="0.3">
      <c r="A3524" t="s">
        <v>13791</v>
      </c>
      <c r="B3524" t="s">
        <v>14950</v>
      </c>
      <c r="C3524" t="s">
        <v>13844</v>
      </c>
      <c r="D3524" t="s">
        <v>13792</v>
      </c>
      <c r="E3524" t="s">
        <v>13836</v>
      </c>
      <c r="F3524" t="s">
        <v>13837</v>
      </c>
      <c r="G3524" t="s">
        <v>13838</v>
      </c>
      <c r="H3524" t="s">
        <v>868</v>
      </c>
      <c r="I3524" t="s">
        <v>869</v>
      </c>
      <c r="J3524" t="str">
        <f>"9010222"</f>
        <v>9010222</v>
      </c>
      <c r="K3524">
        <v>2643022236</v>
      </c>
      <c r="L3524">
        <v>2643022236</v>
      </c>
      <c r="M3524" t="s">
        <v>15695</v>
      </c>
      <c r="N3524" t="s">
        <v>13842</v>
      </c>
      <c r="O3524" t="s">
        <v>15696</v>
      </c>
      <c r="P3524">
        <v>30002</v>
      </c>
      <c r="Q3524" t="str">
        <f>"38.918616"</f>
        <v>38.918616</v>
      </c>
      <c r="R3524" t="str">
        <f>"20.890208"</f>
        <v>20.890208</v>
      </c>
      <c r="S3524" t="s">
        <v>26</v>
      </c>
    </row>
    <row r="3525" spans="1:19" x14ac:dyDescent="0.3">
      <c r="A3525" t="s">
        <v>13791</v>
      </c>
      <c r="B3525" t="s">
        <v>14950</v>
      </c>
      <c r="C3525" t="s">
        <v>15697</v>
      </c>
      <c r="D3525" t="s">
        <v>13792</v>
      </c>
      <c r="E3525" t="s">
        <v>13851</v>
      </c>
      <c r="F3525" t="s">
        <v>13851</v>
      </c>
      <c r="G3525" t="s">
        <v>13851</v>
      </c>
      <c r="H3525" t="s">
        <v>868</v>
      </c>
      <c r="I3525" t="s">
        <v>869</v>
      </c>
      <c r="J3525" t="str">
        <f>"9010010"</f>
        <v>9010010</v>
      </c>
      <c r="K3525">
        <v>2641022075</v>
      </c>
      <c r="L3525">
        <v>2641058075</v>
      </c>
      <c r="M3525" t="s">
        <v>15698</v>
      </c>
      <c r="N3525" t="s">
        <v>13885</v>
      </c>
      <c r="O3525" t="s">
        <v>15699</v>
      </c>
      <c r="P3525">
        <v>30132</v>
      </c>
      <c r="Q3525" t="str">
        <f>"38.622941"</f>
        <v>38.622941</v>
      </c>
      <c r="R3525" t="str">
        <f>"21.410670"</f>
        <v>21.410670</v>
      </c>
      <c r="S3525" t="s">
        <v>26</v>
      </c>
    </row>
    <row r="3526" spans="1:19" x14ac:dyDescent="0.3">
      <c r="A3526" t="s">
        <v>13791</v>
      </c>
      <c r="B3526" t="s">
        <v>14950</v>
      </c>
      <c r="C3526" t="s">
        <v>15702</v>
      </c>
      <c r="D3526" t="s">
        <v>13792</v>
      </c>
      <c r="E3526" t="s">
        <v>13851</v>
      </c>
      <c r="F3526" t="s">
        <v>13942</v>
      </c>
      <c r="G3526" t="s">
        <v>15025</v>
      </c>
      <c r="H3526" t="s">
        <v>868</v>
      </c>
      <c r="I3526" t="s">
        <v>869</v>
      </c>
      <c r="J3526" t="str">
        <f>"9010056"</f>
        <v>9010056</v>
      </c>
      <c r="K3526">
        <v>2641063113</v>
      </c>
      <c r="M3526" t="s">
        <v>15703</v>
      </c>
      <c r="O3526" t="s">
        <v>15029</v>
      </c>
      <c r="P3526">
        <v>30010</v>
      </c>
      <c r="Q3526" t="str">
        <f>"38.603090"</f>
        <v>38.603090</v>
      </c>
      <c r="R3526" t="str">
        <f>"21.557988"</f>
        <v>21.557988</v>
      </c>
      <c r="S3526" t="s">
        <v>26</v>
      </c>
    </row>
    <row r="3527" spans="1:19" x14ac:dyDescent="0.3">
      <c r="A3527" t="s">
        <v>13791</v>
      </c>
      <c r="B3527" t="s">
        <v>14950</v>
      </c>
      <c r="C3527" t="s">
        <v>14157</v>
      </c>
      <c r="D3527" t="s">
        <v>13792</v>
      </c>
      <c r="E3527" t="s">
        <v>13851</v>
      </c>
      <c r="F3527" t="s">
        <v>11666</v>
      </c>
      <c r="G3527" t="s">
        <v>11666</v>
      </c>
      <c r="H3527" t="s">
        <v>868</v>
      </c>
      <c r="I3527" t="s">
        <v>869</v>
      </c>
      <c r="J3527" t="str">
        <f>"9010138"</f>
        <v>9010138</v>
      </c>
      <c r="K3527">
        <v>2641091222</v>
      </c>
      <c r="L3527">
        <v>2641091872</v>
      </c>
      <c r="M3527" t="s">
        <v>15710</v>
      </c>
      <c r="N3527" t="s">
        <v>2340</v>
      </c>
      <c r="O3527" t="s">
        <v>613</v>
      </c>
      <c r="P3527">
        <v>30100</v>
      </c>
      <c r="Q3527" t="str">
        <f>"38.670172"</f>
        <v>38.670172</v>
      </c>
      <c r="R3527" t="str">
        <f>"21.364397"</f>
        <v>21.364397</v>
      </c>
      <c r="S3527" t="s">
        <v>26</v>
      </c>
    </row>
    <row r="3528" spans="1:19" x14ac:dyDescent="0.3">
      <c r="A3528" t="s">
        <v>13791</v>
      </c>
      <c r="B3528" t="s">
        <v>14950</v>
      </c>
      <c r="C3528" t="s">
        <v>14020</v>
      </c>
      <c r="D3528" t="s">
        <v>13792</v>
      </c>
      <c r="E3528" t="s">
        <v>13793</v>
      </c>
      <c r="F3528" t="s">
        <v>13793</v>
      </c>
      <c r="G3528" t="s">
        <v>15717</v>
      </c>
      <c r="H3528" t="s">
        <v>868</v>
      </c>
      <c r="I3528" t="s">
        <v>950</v>
      </c>
      <c r="J3528" t="str">
        <f>"9010394"</f>
        <v>9010394</v>
      </c>
      <c r="K3528">
        <v>2631055370</v>
      </c>
      <c r="L3528">
        <v>2631028707</v>
      </c>
      <c r="M3528" t="s">
        <v>15718</v>
      </c>
      <c r="N3528" t="s">
        <v>15719</v>
      </c>
      <c r="O3528" t="s">
        <v>15719</v>
      </c>
      <c r="P3528">
        <v>30200</v>
      </c>
      <c r="Q3528" t="str">
        <f>"38.388578"</f>
        <v>38.388578</v>
      </c>
      <c r="R3528" t="str">
        <f>"21.467870"</f>
        <v>21.467870</v>
      </c>
      <c r="S3528" t="s">
        <v>26</v>
      </c>
    </row>
    <row r="3529" spans="1:19" x14ac:dyDescent="0.3">
      <c r="A3529" t="s">
        <v>13791</v>
      </c>
      <c r="B3529" t="s">
        <v>14950</v>
      </c>
      <c r="C3529" t="s">
        <v>15720</v>
      </c>
      <c r="D3529" t="s">
        <v>13792</v>
      </c>
      <c r="E3529" t="s">
        <v>13888</v>
      </c>
      <c r="F3529" t="s">
        <v>15243</v>
      </c>
      <c r="G3529" t="s">
        <v>6337</v>
      </c>
      <c r="H3529" t="s">
        <v>868</v>
      </c>
      <c r="I3529" t="s">
        <v>869</v>
      </c>
      <c r="J3529" t="str">
        <f>"9010399"</f>
        <v>9010399</v>
      </c>
      <c r="K3529">
        <v>2631041000</v>
      </c>
      <c r="L3529">
        <v>2631041008</v>
      </c>
      <c r="M3529" t="s">
        <v>15721</v>
      </c>
      <c r="N3529" t="s">
        <v>6242</v>
      </c>
      <c r="O3529" t="s">
        <v>15722</v>
      </c>
      <c r="P3529">
        <v>30014</v>
      </c>
      <c r="Q3529" t="str">
        <f>"38.358552"</f>
        <v>38.358552</v>
      </c>
      <c r="R3529" t="str">
        <f>"21.563524"</f>
        <v>21.563524</v>
      </c>
      <c r="S3529" t="s">
        <v>26</v>
      </c>
    </row>
    <row r="3530" spans="1:19" x14ac:dyDescent="0.3">
      <c r="A3530" t="s">
        <v>13791</v>
      </c>
      <c r="B3530" t="s">
        <v>14950</v>
      </c>
      <c r="C3530" t="s">
        <v>14094</v>
      </c>
      <c r="D3530" t="s">
        <v>13792</v>
      </c>
      <c r="E3530" t="s">
        <v>13851</v>
      </c>
      <c r="F3530" t="s">
        <v>13871</v>
      </c>
      <c r="G3530" t="s">
        <v>13937</v>
      </c>
      <c r="H3530" t="s">
        <v>868</v>
      </c>
      <c r="I3530" t="s">
        <v>869</v>
      </c>
      <c r="J3530" t="str">
        <f>"9010421"</f>
        <v>9010421</v>
      </c>
      <c r="K3530">
        <v>2635022438</v>
      </c>
      <c r="L3530">
        <v>2635022021</v>
      </c>
      <c r="M3530" t="s">
        <v>15723</v>
      </c>
      <c r="N3530" t="s">
        <v>14093</v>
      </c>
      <c r="O3530" t="s">
        <v>15724</v>
      </c>
      <c r="P3530">
        <v>30011</v>
      </c>
      <c r="Q3530" t="str">
        <f>"38.525904"</f>
        <v>38.525904</v>
      </c>
      <c r="R3530" t="str">
        <f>"21.477555"</f>
        <v>21.477555</v>
      </c>
      <c r="S3530" t="s">
        <v>26</v>
      </c>
    </row>
    <row r="3531" spans="1:19" x14ac:dyDescent="0.3">
      <c r="A3531" t="s">
        <v>13791</v>
      </c>
      <c r="B3531" t="s">
        <v>14950</v>
      </c>
      <c r="C3531" t="s">
        <v>15730</v>
      </c>
      <c r="D3531" t="s">
        <v>13792</v>
      </c>
      <c r="E3531" t="s">
        <v>13836</v>
      </c>
      <c r="F3531" t="s">
        <v>13903</v>
      </c>
      <c r="G3531" t="s">
        <v>15619</v>
      </c>
      <c r="H3531" t="s">
        <v>868</v>
      </c>
      <c r="I3531" t="s">
        <v>950</v>
      </c>
      <c r="J3531" t="str">
        <f>"9010248"</f>
        <v>9010248</v>
      </c>
      <c r="K3531">
        <v>2646096231</v>
      </c>
      <c r="L3531">
        <v>2646096231</v>
      </c>
      <c r="M3531" t="s">
        <v>15731</v>
      </c>
      <c r="N3531" t="s">
        <v>15622</v>
      </c>
      <c r="O3531" t="s">
        <v>15732</v>
      </c>
      <c r="P3531">
        <v>30004</v>
      </c>
      <c r="Q3531" t="str">
        <f>"38.726036"</f>
        <v>38.726036</v>
      </c>
      <c r="R3531" t="str">
        <f>"21.085687"</f>
        <v>21.085687</v>
      </c>
      <c r="S3531" t="s">
        <v>26</v>
      </c>
    </row>
    <row r="3532" spans="1:19" x14ac:dyDescent="0.3">
      <c r="A3532" t="s">
        <v>13791</v>
      </c>
      <c r="B3532" t="s">
        <v>14950</v>
      </c>
      <c r="C3532" t="s">
        <v>15737</v>
      </c>
      <c r="D3532" t="s">
        <v>13792</v>
      </c>
      <c r="E3532" t="s">
        <v>8765</v>
      </c>
      <c r="F3532" t="s">
        <v>8765</v>
      </c>
      <c r="G3532" t="s">
        <v>15528</v>
      </c>
      <c r="H3532" t="s">
        <v>868</v>
      </c>
      <c r="I3532" t="s">
        <v>950</v>
      </c>
      <c r="J3532" t="str">
        <f>"9010205"</f>
        <v>9010205</v>
      </c>
      <c r="K3532">
        <v>2642041090</v>
      </c>
      <c r="L3532">
        <v>2642041270</v>
      </c>
      <c r="M3532" t="s">
        <v>15738</v>
      </c>
      <c r="N3532" t="s">
        <v>15531</v>
      </c>
      <c r="O3532" t="s">
        <v>13868</v>
      </c>
      <c r="P3532">
        <v>30500</v>
      </c>
      <c r="Q3532" t="str">
        <f>"38.805624"</f>
        <v>38.805624</v>
      </c>
      <c r="R3532" t="str">
        <f>"21.176848"</f>
        <v>21.176848</v>
      </c>
      <c r="S3532" t="s">
        <v>26</v>
      </c>
    </row>
    <row r="3533" spans="1:19" x14ac:dyDescent="0.3">
      <c r="A3533" t="s">
        <v>13791</v>
      </c>
      <c r="B3533" t="s">
        <v>14950</v>
      </c>
      <c r="C3533" t="s">
        <v>15739</v>
      </c>
      <c r="D3533" t="s">
        <v>13792</v>
      </c>
      <c r="E3533" t="s">
        <v>13793</v>
      </c>
      <c r="F3533" t="s">
        <v>13793</v>
      </c>
      <c r="G3533" t="s">
        <v>1872</v>
      </c>
      <c r="H3533" t="s">
        <v>868</v>
      </c>
      <c r="I3533" t="s">
        <v>950</v>
      </c>
      <c r="J3533" t="str">
        <f>"9010390"</f>
        <v>9010390</v>
      </c>
      <c r="K3533">
        <v>2631039565</v>
      </c>
      <c r="L3533">
        <v>2631038222</v>
      </c>
      <c r="M3533" t="s">
        <v>15740</v>
      </c>
      <c r="N3533" t="s">
        <v>12409</v>
      </c>
      <c r="O3533" t="s">
        <v>12409</v>
      </c>
      <c r="P3533">
        <v>30014</v>
      </c>
      <c r="Q3533" t="str">
        <f>"38.393400"</f>
        <v>38.393400</v>
      </c>
      <c r="R3533" t="str">
        <f>"21.542917"</f>
        <v>21.542917</v>
      </c>
      <c r="S3533" t="s">
        <v>26</v>
      </c>
    </row>
    <row r="3534" spans="1:19" x14ac:dyDescent="0.3">
      <c r="A3534" t="s">
        <v>13791</v>
      </c>
      <c r="B3534" t="s">
        <v>14950</v>
      </c>
      <c r="C3534" t="s">
        <v>15744</v>
      </c>
      <c r="D3534" t="s">
        <v>13792</v>
      </c>
      <c r="E3534" t="s">
        <v>13851</v>
      </c>
      <c r="F3534" t="s">
        <v>13851</v>
      </c>
      <c r="G3534" t="s">
        <v>13851</v>
      </c>
      <c r="H3534" t="s">
        <v>868</v>
      </c>
      <c r="I3534" t="s">
        <v>1157</v>
      </c>
      <c r="J3534" t="str">
        <f>"9520811"</f>
        <v>9520811</v>
      </c>
      <c r="K3534">
        <v>2641044413</v>
      </c>
      <c r="L3534">
        <v>2641044413</v>
      </c>
      <c r="M3534" t="s">
        <v>15745</v>
      </c>
      <c r="N3534" t="s">
        <v>15746</v>
      </c>
      <c r="O3534" t="s">
        <v>15747</v>
      </c>
      <c r="P3534">
        <v>30100</v>
      </c>
      <c r="Q3534" t="str">
        <f>"38.624472"</f>
        <v>38.624472</v>
      </c>
      <c r="R3534" t="str">
        <f>"21.409593"</f>
        <v>21.409593</v>
      </c>
      <c r="S3534" t="s">
        <v>26</v>
      </c>
    </row>
    <row r="3535" spans="1:19" x14ac:dyDescent="0.3">
      <c r="A3535" t="s">
        <v>13791</v>
      </c>
      <c r="B3535" t="s">
        <v>14950</v>
      </c>
      <c r="C3535" t="s">
        <v>15750</v>
      </c>
      <c r="D3535" t="s">
        <v>13792</v>
      </c>
      <c r="E3535" t="s">
        <v>13836</v>
      </c>
      <c r="F3535" t="s">
        <v>13837</v>
      </c>
      <c r="G3535" t="s">
        <v>13838</v>
      </c>
      <c r="H3535" t="s">
        <v>868</v>
      </c>
      <c r="I3535" t="s">
        <v>1157</v>
      </c>
      <c r="J3535" t="str">
        <f>"9521485"</f>
        <v>9521485</v>
      </c>
      <c r="K3535">
        <v>2643022051</v>
      </c>
      <c r="L3535">
        <v>2643022051</v>
      </c>
      <c r="M3535" t="s">
        <v>15751</v>
      </c>
      <c r="N3535" t="s">
        <v>13842</v>
      </c>
      <c r="O3535" t="s">
        <v>15752</v>
      </c>
      <c r="P3535">
        <v>30002</v>
      </c>
      <c r="Q3535" t="str">
        <f>"38.919236"</f>
        <v>38.919236</v>
      </c>
      <c r="R3535" t="str">
        <f>"20.890377"</f>
        <v>20.890377</v>
      </c>
      <c r="S3535" t="s">
        <v>26</v>
      </c>
    </row>
    <row r="3536" spans="1:19" x14ac:dyDescent="0.3">
      <c r="A3536" t="s">
        <v>13791</v>
      </c>
      <c r="B3536" t="s">
        <v>15775</v>
      </c>
      <c r="C3536" t="s">
        <v>14459</v>
      </c>
      <c r="D3536" t="s">
        <v>13798</v>
      </c>
      <c r="E3536" t="s">
        <v>13799</v>
      </c>
      <c r="F3536" t="s">
        <v>13799</v>
      </c>
      <c r="G3536" t="s">
        <v>14241</v>
      </c>
      <c r="H3536" t="s">
        <v>868</v>
      </c>
      <c r="I3536" t="s">
        <v>869</v>
      </c>
      <c r="J3536" t="str">
        <f>"9060308"</f>
        <v>9060308</v>
      </c>
      <c r="K3536">
        <v>2610274472</v>
      </c>
      <c r="L3536">
        <v>2610274472</v>
      </c>
      <c r="M3536" t="s">
        <v>15784</v>
      </c>
      <c r="N3536" t="s">
        <v>13803</v>
      </c>
      <c r="O3536" t="s">
        <v>15785</v>
      </c>
      <c r="P3536">
        <v>26334</v>
      </c>
      <c r="Q3536" t="str">
        <f>"38.234405"</f>
        <v>38.234405</v>
      </c>
      <c r="R3536" t="str">
        <f>"21.754709"</f>
        <v>21.754709</v>
      </c>
      <c r="S3536" t="s">
        <v>26</v>
      </c>
    </row>
    <row r="3537" spans="1:19" x14ac:dyDescent="0.3">
      <c r="A3537" t="s">
        <v>13791</v>
      </c>
      <c r="B3537" t="s">
        <v>15775</v>
      </c>
      <c r="C3537" t="s">
        <v>14504</v>
      </c>
      <c r="D3537" t="s">
        <v>13798</v>
      </c>
      <c r="E3537" t="s">
        <v>13799</v>
      </c>
      <c r="F3537" t="s">
        <v>13799</v>
      </c>
      <c r="G3537" t="s">
        <v>14241</v>
      </c>
      <c r="H3537" t="s">
        <v>868</v>
      </c>
      <c r="I3537" t="s">
        <v>869</v>
      </c>
      <c r="J3537" t="str">
        <f>"9060314"</f>
        <v>9060314</v>
      </c>
      <c r="K3537">
        <v>2610640385</v>
      </c>
      <c r="L3537">
        <v>2610640062</v>
      </c>
      <c r="M3537" t="s">
        <v>15789</v>
      </c>
      <c r="N3537" t="s">
        <v>15790</v>
      </c>
      <c r="O3537" t="s">
        <v>15791</v>
      </c>
      <c r="P3537">
        <v>26335</v>
      </c>
      <c r="Q3537" t="str">
        <f>"38.207990"</f>
        <v>38.207990</v>
      </c>
      <c r="R3537" t="str">
        <f>"21.770284"</f>
        <v>21.770284</v>
      </c>
      <c r="S3537" t="s">
        <v>26</v>
      </c>
    </row>
    <row r="3538" spans="1:19" x14ac:dyDescent="0.3">
      <c r="A3538" t="s">
        <v>13791</v>
      </c>
      <c r="B3538" t="s">
        <v>15775</v>
      </c>
      <c r="C3538" t="s">
        <v>14416</v>
      </c>
      <c r="D3538" t="s">
        <v>13798</v>
      </c>
      <c r="E3538" t="s">
        <v>13799</v>
      </c>
      <c r="F3538" t="s">
        <v>14349</v>
      </c>
      <c r="G3538" t="s">
        <v>14411</v>
      </c>
      <c r="H3538" t="s">
        <v>868</v>
      </c>
      <c r="I3538" t="s">
        <v>869</v>
      </c>
      <c r="J3538" t="str">
        <f>"9060362"</f>
        <v>9060362</v>
      </c>
      <c r="K3538">
        <v>2610521600</v>
      </c>
      <c r="L3538">
        <v>2610520360</v>
      </c>
      <c r="M3538" t="s">
        <v>15792</v>
      </c>
      <c r="N3538" t="s">
        <v>15793</v>
      </c>
      <c r="O3538" t="s">
        <v>15794</v>
      </c>
      <c r="P3538">
        <v>26500</v>
      </c>
      <c r="Q3538" t="str">
        <f>"38.188067"</f>
        <v>38.188067</v>
      </c>
      <c r="R3538" t="str">
        <f>"21.724981"</f>
        <v>21.724981</v>
      </c>
      <c r="S3538" t="s">
        <v>26</v>
      </c>
    </row>
    <row r="3539" spans="1:19" x14ac:dyDescent="0.3">
      <c r="A3539" t="s">
        <v>13791</v>
      </c>
      <c r="B3539" t="s">
        <v>15775</v>
      </c>
      <c r="C3539" t="s">
        <v>15795</v>
      </c>
      <c r="D3539" t="s">
        <v>13798</v>
      </c>
      <c r="E3539" t="s">
        <v>14181</v>
      </c>
      <c r="F3539" t="s">
        <v>14182</v>
      </c>
      <c r="G3539" t="s">
        <v>14182</v>
      </c>
      <c r="H3539" t="s">
        <v>868</v>
      </c>
      <c r="I3539" t="s">
        <v>1157</v>
      </c>
      <c r="J3539" t="str">
        <f>"9060587"</f>
        <v>9060587</v>
      </c>
      <c r="K3539">
        <v>2691026764</v>
      </c>
      <c r="L3539">
        <v>2691026764</v>
      </c>
      <c r="M3539" t="s">
        <v>15796</v>
      </c>
      <c r="N3539" t="s">
        <v>14185</v>
      </c>
      <c r="O3539" t="s">
        <v>15797</v>
      </c>
      <c r="P3539">
        <v>25100</v>
      </c>
      <c r="Q3539" t="str">
        <f>"38.246074"</f>
        <v>38.246074</v>
      </c>
      <c r="R3539" t="str">
        <f>"22.090487"</f>
        <v>22.090487</v>
      </c>
      <c r="S3539" t="s">
        <v>26</v>
      </c>
    </row>
    <row r="3540" spans="1:19" x14ac:dyDescent="0.3">
      <c r="A3540" t="s">
        <v>13791</v>
      </c>
      <c r="B3540" t="s">
        <v>15775</v>
      </c>
      <c r="C3540" t="s">
        <v>15798</v>
      </c>
      <c r="D3540" t="s">
        <v>13798</v>
      </c>
      <c r="E3540" t="s">
        <v>13799</v>
      </c>
      <c r="F3540" t="s">
        <v>13799</v>
      </c>
      <c r="G3540" t="s">
        <v>14236</v>
      </c>
      <c r="H3540" t="s">
        <v>868</v>
      </c>
      <c r="I3540" t="s">
        <v>869</v>
      </c>
      <c r="J3540" t="str">
        <f>"9060154"</f>
        <v>9060154</v>
      </c>
      <c r="K3540">
        <v>2610322712</v>
      </c>
      <c r="L3540">
        <v>2610361447</v>
      </c>
      <c r="M3540" t="s">
        <v>15799</v>
      </c>
      <c r="N3540" t="s">
        <v>13803</v>
      </c>
      <c r="O3540" t="s">
        <v>15800</v>
      </c>
      <c r="P3540">
        <v>26332</v>
      </c>
      <c r="Q3540" t="str">
        <f>"38.219610"</f>
        <v>38.219610</v>
      </c>
      <c r="R3540" t="str">
        <f>"21.729432"</f>
        <v>21.729432</v>
      </c>
      <c r="S3540" t="s">
        <v>26</v>
      </c>
    </row>
    <row r="3541" spans="1:19" x14ac:dyDescent="0.3">
      <c r="A3541" t="s">
        <v>13791</v>
      </c>
      <c r="B3541" t="s">
        <v>15775</v>
      </c>
      <c r="C3541" t="s">
        <v>15803</v>
      </c>
      <c r="D3541" t="s">
        <v>13798</v>
      </c>
      <c r="E3541" t="s">
        <v>14181</v>
      </c>
      <c r="F3541" t="s">
        <v>15801</v>
      </c>
      <c r="G3541" t="s">
        <v>15802</v>
      </c>
      <c r="H3541" t="s">
        <v>868</v>
      </c>
      <c r="I3541" t="s">
        <v>869</v>
      </c>
      <c r="J3541" t="str">
        <f>"9060057"</f>
        <v>9060057</v>
      </c>
      <c r="K3541">
        <v>2691072265</v>
      </c>
      <c r="L3541">
        <v>2691072265</v>
      </c>
      <c r="M3541" t="s">
        <v>15804</v>
      </c>
      <c r="N3541" t="s">
        <v>15805</v>
      </c>
      <c r="O3541" t="s">
        <v>15805</v>
      </c>
      <c r="P3541">
        <v>25100</v>
      </c>
      <c r="Q3541" t="str">
        <f>"38.279282"</f>
        <v>38.279282</v>
      </c>
      <c r="R3541" t="str">
        <f>"22.031414"</f>
        <v>22.031414</v>
      </c>
      <c r="S3541" t="s">
        <v>26</v>
      </c>
    </row>
    <row r="3542" spans="1:19" x14ac:dyDescent="0.3">
      <c r="A3542" t="s">
        <v>13791</v>
      </c>
      <c r="B3542" t="s">
        <v>15775</v>
      </c>
      <c r="C3542" t="s">
        <v>14426</v>
      </c>
      <c r="D3542" t="s">
        <v>13798</v>
      </c>
      <c r="E3542" t="s">
        <v>13799</v>
      </c>
      <c r="F3542" t="s">
        <v>13799</v>
      </c>
      <c r="G3542" t="s">
        <v>14236</v>
      </c>
      <c r="H3542" t="s">
        <v>868</v>
      </c>
      <c r="I3542" t="s">
        <v>869</v>
      </c>
      <c r="J3542" t="str">
        <f>"9060318"</f>
        <v>9060318</v>
      </c>
      <c r="K3542">
        <v>2610327048</v>
      </c>
      <c r="L3542">
        <v>2610327048</v>
      </c>
      <c r="M3542" t="s">
        <v>15806</v>
      </c>
      <c r="N3542" t="s">
        <v>14253</v>
      </c>
      <c r="O3542" t="s">
        <v>15807</v>
      </c>
      <c r="P3542">
        <v>26332</v>
      </c>
      <c r="Q3542" t="str">
        <f>"38.228632"</f>
        <v>38.228632</v>
      </c>
      <c r="R3542" t="str">
        <f>"21.736638"</f>
        <v>21.736638</v>
      </c>
      <c r="S3542" t="s">
        <v>26</v>
      </c>
    </row>
    <row r="3543" spans="1:19" x14ac:dyDescent="0.3">
      <c r="A3543" t="s">
        <v>13791</v>
      </c>
      <c r="B3543" t="s">
        <v>15775</v>
      </c>
      <c r="C3543" t="s">
        <v>14495</v>
      </c>
      <c r="D3543" t="s">
        <v>13798</v>
      </c>
      <c r="E3543" t="s">
        <v>14181</v>
      </c>
      <c r="F3543" t="s">
        <v>14182</v>
      </c>
      <c r="G3543" t="s">
        <v>14182</v>
      </c>
      <c r="H3543" t="s">
        <v>868</v>
      </c>
      <c r="I3543" t="s">
        <v>869</v>
      </c>
      <c r="J3543" t="str">
        <f>"9060007"</f>
        <v>9060007</v>
      </c>
      <c r="K3543">
        <v>2691027766</v>
      </c>
      <c r="L3543">
        <v>2691027766</v>
      </c>
      <c r="M3543" t="s">
        <v>15808</v>
      </c>
      <c r="N3543" t="s">
        <v>15809</v>
      </c>
      <c r="O3543" t="s">
        <v>15810</v>
      </c>
      <c r="P3543">
        <v>25100</v>
      </c>
      <c r="Q3543" t="str">
        <f>"38.251534"</f>
        <v>38.251534</v>
      </c>
      <c r="R3543" t="str">
        <f>"22.080424"</f>
        <v>22.080424</v>
      </c>
      <c r="S3543" t="s">
        <v>26</v>
      </c>
    </row>
    <row r="3544" spans="1:19" x14ac:dyDescent="0.3">
      <c r="A3544" t="s">
        <v>13791</v>
      </c>
      <c r="B3544" t="s">
        <v>15775</v>
      </c>
      <c r="C3544" t="s">
        <v>14514</v>
      </c>
      <c r="D3544" t="s">
        <v>13798</v>
      </c>
      <c r="E3544" t="s">
        <v>13799</v>
      </c>
      <c r="F3544" t="s">
        <v>14349</v>
      </c>
      <c r="G3544" t="s">
        <v>14350</v>
      </c>
      <c r="H3544" t="s">
        <v>868</v>
      </c>
      <c r="I3544" t="s">
        <v>869</v>
      </c>
      <c r="J3544" t="str">
        <f>"9060365"</f>
        <v>9060365</v>
      </c>
      <c r="K3544">
        <v>2610522165</v>
      </c>
      <c r="L3544">
        <v>2610522005</v>
      </c>
      <c r="M3544" t="s">
        <v>15814</v>
      </c>
      <c r="N3544" t="s">
        <v>15815</v>
      </c>
      <c r="O3544" t="s">
        <v>15816</v>
      </c>
      <c r="P3544">
        <v>26500</v>
      </c>
      <c r="Q3544" t="str">
        <f>"38.191499"</f>
        <v>38.191499</v>
      </c>
      <c r="R3544" t="str">
        <f>"21.760627"</f>
        <v>21.760627</v>
      </c>
      <c r="S3544" t="s">
        <v>26</v>
      </c>
    </row>
    <row r="3545" spans="1:19" x14ac:dyDescent="0.3">
      <c r="A3545" t="s">
        <v>13791</v>
      </c>
      <c r="B3545" t="s">
        <v>15775</v>
      </c>
      <c r="C3545" t="s">
        <v>14270</v>
      </c>
      <c r="D3545" t="s">
        <v>13798</v>
      </c>
      <c r="E3545" t="s">
        <v>13799</v>
      </c>
      <c r="F3545" t="s">
        <v>13799</v>
      </c>
      <c r="G3545" t="s">
        <v>14236</v>
      </c>
      <c r="H3545" t="s">
        <v>868</v>
      </c>
      <c r="I3545" t="s">
        <v>869</v>
      </c>
      <c r="J3545" t="str">
        <f>"9060153"</f>
        <v>9060153</v>
      </c>
      <c r="K3545">
        <v>2610521977</v>
      </c>
      <c r="L3545">
        <v>2610524607</v>
      </c>
      <c r="M3545" t="s">
        <v>15817</v>
      </c>
      <c r="N3545" t="s">
        <v>13803</v>
      </c>
      <c r="O3545" t="s">
        <v>15818</v>
      </c>
      <c r="P3545">
        <v>26333</v>
      </c>
      <c r="Q3545" t="str">
        <f>"38.210768"</f>
        <v>38.210768</v>
      </c>
      <c r="R3545" t="str">
        <f>"21.716947"</f>
        <v>21.716947</v>
      </c>
      <c r="S3545" t="s">
        <v>26</v>
      </c>
    </row>
    <row r="3546" spans="1:19" x14ac:dyDescent="0.3">
      <c r="A3546" t="s">
        <v>13791</v>
      </c>
      <c r="B3546" t="s">
        <v>15775</v>
      </c>
      <c r="C3546" t="s">
        <v>14563</v>
      </c>
      <c r="D3546" t="s">
        <v>13798</v>
      </c>
      <c r="E3546" t="s">
        <v>13799</v>
      </c>
      <c r="F3546" t="s">
        <v>13799</v>
      </c>
      <c r="G3546" t="s">
        <v>14241</v>
      </c>
      <c r="H3546" t="s">
        <v>868</v>
      </c>
      <c r="I3546" t="s">
        <v>869</v>
      </c>
      <c r="J3546" t="str">
        <f>"9060313"</f>
        <v>9060313</v>
      </c>
      <c r="K3546">
        <v>2610641534</v>
      </c>
      <c r="L3546">
        <v>2610644240</v>
      </c>
      <c r="M3546" t="s">
        <v>15819</v>
      </c>
      <c r="N3546" t="s">
        <v>13803</v>
      </c>
      <c r="O3546" t="s">
        <v>15820</v>
      </c>
      <c r="P3546">
        <v>26335</v>
      </c>
      <c r="Q3546" t="str">
        <f>"38.225789"</f>
        <v>38.225789</v>
      </c>
      <c r="R3546" t="str">
        <f>"21.761971"</f>
        <v>21.761971</v>
      </c>
      <c r="S3546" t="s">
        <v>26</v>
      </c>
    </row>
    <row r="3547" spans="1:19" x14ac:dyDescent="0.3">
      <c r="A3547" t="s">
        <v>13791</v>
      </c>
      <c r="B3547" t="s">
        <v>15775</v>
      </c>
      <c r="C3547" t="s">
        <v>15825</v>
      </c>
      <c r="D3547" t="s">
        <v>13798</v>
      </c>
      <c r="E3547" t="s">
        <v>13799</v>
      </c>
      <c r="F3547" t="s">
        <v>14276</v>
      </c>
      <c r="G3547" t="s">
        <v>15824</v>
      </c>
      <c r="H3547" t="s">
        <v>868</v>
      </c>
      <c r="I3547" t="s">
        <v>869</v>
      </c>
      <c r="J3547" t="str">
        <f>"9060265"</f>
        <v>9060265</v>
      </c>
      <c r="K3547">
        <v>2610931463</v>
      </c>
      <c r="L3547">
        <v>2610931463</v>
      </c>
      <c r="M3547" t="s">
        <v>15826</v>
      </c>
      <c r="N3547" t="s">
        <v>15827</v>
      </c>
      <c r="O3547" t="s">
        <v>15828</v>
      </c>
      <c r="P3547">
        <v>26504</v>
      </c>
      <c r="Q3547" t="str">
        <f>"38.319208"</f>
        <v>38.319208</v>
      </c>
      <c r="R3547" t="str">
        <f>"21.853596"</f>
        <v>21.853596</v>
      </c>
      <c r="S3547" t="s">
        <v>26</v>
      </c>
    </row>
    <row r="3548" spans="1:19" x14ac:dyDescent="0.3">
      <c r="A3548" t="s">
        <v>13791</v>
      </c>
      <c r="B3548" t="s">
        <v>15775</v>
      </c>
      <c r="C3548" t="s">
        <v>14455</v>
      </c>
      <c r="D3548" t="s">
        <v>13798</v>
      </c>
      <c r="E3548" t="s">
        <v>14200</v>
      </c>
      <c r="F3548" t="s">
        <v>2699</v>
      </c>
      <c r="G3548" t="s">
        <v>14291</v>
      </c>
      <c r="H3548" t="s">
        <v>868</v>
      </c>
      <c r="I3548" t="s">
        <v>869</v>
      </c>
      <c r="J3548" t="str">
        <f>"9060182"</f>
        <v>9060182</v>
      </c>
      <c r="K3548">
        <v>2693025462</v>
      </c>
      <c r="L3548">
        <v>2693022164</v>
      </c>
      <c r="M3548" t="s">
        <v>15829</v>
      </c>
      <c r="N3548" t="s">
        <v>14346</v>
      </c>
      <c r="O3548" t="s">
        <v>15830</v>
      </c>
      <c r="P3548">
        <v>25200</v>
      </c>
      <c r="Q3548" t="str">
        <f>"38.139538"</f>
        <v>38.139538</v>
      </c>
      <c r="R3548" t="str">
        <f>"21.554480"</f>
        <v>21.554480</v>
      </c>
      <c r="S3548" t="s">
        <v>26</v>
      </c>
    </row>
    <row r="3549" spans="1:19" x14ac:dyDescent="0.3">
      <c r="A3549" t="s">
        <v>13791</v>
      </c>
      <c r="B3549" t="s">
        <v>15775</v>
      </c>
      <c r="C3549" t="s">
        <v>15832</v>
      </c>
      <c r="D3549" t="s">
        <v>13798</v>
      </c>
      <c r="E3549" t="s">
        <v>13799</v>
      </c>
      <c r="F3549" t="s">
        <v>14212</v>
      </c>
      <c r="G3549" t="s">
        <v>15831</v>
      </c>
      <c r="H3549" t="s">
        <v>868</v>
      </c>
      <c r="I3549" t="s">
        <v>869</v>
      </c>
      <c r="J3549" t="str">
        <f>"9060198"</f>
        <v>9060198</v>
      </c>
      <c r="K3549">
        <v>2610520596</v>
      </c>
      <c r="M3549" t="s">
        <v>15833</v>
      </c>
      <c r="N3549" t="s">
        <v>15834</v>
      </c>
      <c r="O3549" t="s">
        <v>15835</v>
      </c>
      <c r="P3549">
        <v>26500</v>
      </c>
      <c r="Q3549" t="str">
        <f>"38.183654"</f>
        <v>38.183654</v>
      </c>
      <c r="R3549" t="str">
        <f>"21.696277"</f>
        <v>21.696277</v>
      </c>
      <c r="S3549" t="s">
        <v>26</v>
      </c>
    </row>
    <row r="3550" spans="1:19" x14ac:dyDescent="0.3">
      <c r="A3550" t="s">
        <v>13791</v>
      </c>
      <c r="B3550" t="s">
        <v>15775</v>
      </c>
      <c r="C3550" t="s">
        <v>14302</v>
      </c>
      <c r="D3550" t="s">
        <v>13798</v>
      </c>
      <c r="E3550" t="s">
        <v>14223</v>
      </c>
      <c r="F3550" t="s">
        <v>14297</v>
      </c>
      <c r="G3550" t="s">
        <v>3469</v>
      </c>
      <c r="H3550" t="s">
        <v>868</v>
      </c>
      <c r="I3550" t="s">
        <v>950</v>
      </c>
      <c r="J3550" t="str">
        <f>"9060068"</f>
        <v>9060068</v>
      </c>
      <c r="K3550">
        <v>2692071210</v>
      </c>
      <c r="L3550">
        <v>2692071210</v>
      </c>
      <c r="M3550" t="s">
        <v>15841</v>
      </c>
      <c r="O3550" t="s">
        <v>14301</v>
      </c>
      <c r="P3550">
        <v>25004</v>
      </c>
      <c r="Q3550" t="str">
        <f>"37.806911"</f>
        <v>37.806911</v>
      </c>
      <c r="R3550" t="str">
        <f>"22.023649"</f>
        <v>22.023649</v>
      </c>
      <c r="S3550" t="s">
        <v>57</v>
      </c>
    </row>
    <row r="3551" spans="1:19" x14ac:dyDescent="0.3">
      <c r="A3551" t="s">
        <v>13791</v>
      </c>
      <c r="B3551" t="s">
        <v>15775</v>
      </c>
      <c r="C3551" t="s">
        <v>14397</v>
      </c>
      <c r="D3551" t="s">
        <v>13798</v>
      </c>
      <c r="E3551" t="s">
        <v>14188</v>
      </c>
      <c r="F3551" t="s">
        <v>14391</v>
      </c>
      <c r="G3551" t="s">
        <v>14392</v>
      </c>
      <c r="H3551" t="s">
        <v>868</v>
      </c>
      <c r="I3551" t="s">
        <v>869</v>
      </c>
      <c r="J3551" t="str">
        <f>"9060336"</f>
        <v>9060336</v>
      </c>
      <c r="K3551">
        <v>2694031209</v>
      </c>
      <c r="L3551">
        <v>2694031209</v>
      </c>
      <c r="M3551" t="s">
        <v>15842</v>
      </c>
      <c r="N3551" t="s">
        <v>14396</v>
      </c>
      <c r="O3551" t="s">
        <v>14396</v>
      </c>
      <c r="P3551">
        <v>25015</v>
      </c>
      <c r="Q3551" t="str">
        <f>"37.980290"</f>
        <v>37.980290</v>
      </c>
      <c r="R3551" t="str">
        <f>"21.728979"</f>
        <v>21.728979</v>
      </c>
      <c r="S3551" t="s">
        <v>26</v>
      </c>
    </row>
    <row r="3552" spans="1:19" x14ac:dyDescent="0.3">
      <c r="A3552" t="s">
        <v>13791</v>
      </c>
      <c r="B3552" t="s">
        <v>15775</v>
      </c>
      <c r="C3552" t="s">
        <v>15847</v>
      </c>
      <c r="D3552" t="s">
        <v>13798</v>
      </c>
      <c r="E3552" t="s">
        <v>13799</v>
      </c>
      <c r="F3552" t="s">
        <v>13799</v>
      </c>
      <c r="G3552" t="s">
        <v>14241</v>
      </c>
      <c r="H3552" t="s">
        <v>868</v>
      </c>
      <c r="I3552" t="s">
        <v>869</v>
      </c>
      <c r="J3552" t="str">
        <f>"9060316"</f>
        <v>9060316</v>
      </c>
      <c r="K3552">
        <v>2610271267</v>
      </c>
      <c r="L3552">
        <v>2610271267</v>
      </c>
      <c r="M3552" t="s">
        <v>15848</v>
      </c>
      <c r="N3552" t="s">
        <v>13803</v>
      </c>
      <c r="O3552" t="s">
        <v>15823</v>
      </c>
      <c r="P3552">
        <v>26331</v>
      </c>
      <c r="Q3552" t="str">
        <f>"38.233675"</f>
        <v>38.233675</v>
      </c>
      <c r="R3552" t="str">
        <f>"21.762676"</f>
        <v>21.762676</v>
      </c>
      <c r="S3552" t="s">
        <v>26</v>
      </c>
    </row>
    <row r="3553" spans="1:19" x14ac:dyDescent="0.3">
      <c r="A3553" t="s">
        <v>13791</v>
      </c>
      <c r="B3553" t="s">
        <v>15775</v>
      </c>
      <c r="C3553" t="s">
        <v>15850</v>
      </c>
      <c r="D3553" t="s">
        <v>13798</v>
      </c>
      <c r="E3553" t="s">
        <v>14223</v>
      </c>
      <c r="F3553" t="s">
        <v>14223</v>
      </c>
      <c r="G3553" t="s">
        <v>15849</v>
      </c>
      <c r="H3553" t="s">
        <v>868</v>
      </c>
      <c r="I3553" t="s">
        <v>950</v>
      </c>
      <c r="J3553" t="str">
        <f>"9060128"</f>
        <v>9060128</v>
      </c>
      <c r="K3553">
        <v>2692022397</v>
      </c>
      <c r="L3553">
        <v>2692022397</v>
      </c>
      <c r="M3553" t="s">
        <v>15851</v>
      </c>
      <c r="N3553" t="s">
        <v>15852</v>
      </c>
      <c r="O3553" t="s">
        <v>15852</v>
      </c>
      <c r="P3553">
        <v>25001</v>
      </c>
      <c r="Q3553" t="str">
        <f>"38.042640"</f>
        <v>38.042640</v>
      </c>
      <c r="R3553" t="str">
        <f>"22.075838"</f>
        <v>22.075838</v>
      </c>
      <c r="S3553" t="s">
        <v>57</v>
      </c>
    </row>
    <row r="3554" spans="1:19" x14ac:dyDescent="0.3">
      <c r="A3554" t="s">
        <v>13791</v>
      </c>
      <c r="B3554" t="s">
        <v>15775</v>
      </c>
      <c r="C3554" t="s">
        <v>14430</v>
      </c>
      <c r="D3554" t="s">
        <v>13798</v>
      </c>
      <c r="E3554" t="s">
        <v>13799</v>
      </c>
      <c r="F3554" t="s">
        <v>13799</v>
      </c>
      <c r="G3554" t="s">
        <v>14236</v>
      </c>
      <c r="H3554" t="s">
        <v>868</v>
      </c>
      <c r="I3554" t="s">
        <v>869</v>
      </c>
      <c r="J3554" t="str">
        <f>"9060156"</f>
        <v>9060156</v>
      </c>
      <c r="K3554">
        <v>2610327278</v>
      </c>
      <c r="L3554">
        <v>2610339424</v>
      </c>
      <c r="M3554" t="s">
        <v>15853</v>
      </c>
      <c r="N3554" t="s">
        <v>13803</v>
      </c>
      <c r="O3554" t="s">
        <v>15854</v>
      </c>
      <c r="P3554">
        <v>26332</v>
      </c>
      <c r="Q3554" t="str">
        <f>"38.214236"</f>
        <v>38.214236</v>
      </c>
      <c r="R3554" t="str">
        <f>"21.724855"</f>
        <v>21.724855</v>
      </c>
      <c r="S3554" t="s">
        <v>26</v>
      </c>
    </row>
    <row r="3555" spans="1:19" x14ac:dyDescent="0.3">
      <c r="A3555" t="s">
        <v>13791</v>
      </c>
      <c r="B3555" t="s">
        <v>15775</v>
      </c>
      <c r="C3555" t="s">
        <v>14545</v>
      </c>
      <c r="D3555" t="s">
        <v>13798</v>
      </c>
      <c r="E3555" t="s">
        <v>13799</v>
      </c>
      <c r="F3555" t="s">
        <v>14276</v>
      </c>
      <c r="G3555" t="s">
        <v>14541</v>
      </c>
      <c r="H3555" t="s">
        <v>868</v>
      </c>
      <c r="I3555" t="s">
        <v>869</v>
      </c>
      <c r="J3555" t="str">
        <f>"9060255"</f>
        <v>9060255</v>
      </c>
      <c r="K3555">
        <v>2610991546</v>
      </c>
      <c r="L3555">
        <v>2610910231</v>
      </c>
      <c r="M3555" t="s">
        <v>15855</v>
      </c>
      <c r="O3555" t="s">
        <v>15856</v>
      </c>
      <c r="P3555">
        <v>26504</v>
      </c>
      <c r="Q3555" t="str">
        <f>"38.312636"</f>
        <v>38.312636</v>
      </c>
      <c r="R3555" t="str">
        <f>"21.816960"</f>
        <v>21.816960</v>
      </c>
      <c r="S3555" t="s">
        <v>26</v>
      </c>
    </row>
    <row r="3556" spans="1:19" x14ac:dyDescent="0.3">
      <c r="A3556" t="s">
        <v>13791</v>
      </c>
      <c r="B3556" t="s">
        <v>15775</v>
      </c>
      <c r="C3556" t="s">
        <v>15860</v>
      </c>
      <c r="D3556" t="s">
        <v>13798</v>
      </c>
      <c r="E3556" t="s">
        <v>13799</v>
      </c>
      <c r="F3556" t="s">
        <v>13799</v>
      </c>
      <c r="G3556" t="s">
        <v>14236</v>
      </c>
      <c r="H3556" t="s">
        <v>868</v>
      </c>
      <c r="I3556" t="s">
        <v>869</v>
      </c>
      <c r="J3556" t="str">
        <f>"9060518"</f>
        <v>9060518</v>
      </c>
      <c r="K3556">
        <v>2610337964</v>
      </c>
      <c r="L3556">
        <v>2610337964</v>
      </c>
      <c r="M3556" t="s">
        <v>15861</v>
      </c>
      <c r="N3556" t="s">
        <v>13803</v>
      </c>
      <c r="O3556" t="s">
        <v>15862</v>
      </c>
      <c r="P3556">
        <v>26332</v>
      </c>
      <c r="Q3556" t="str">
        <f>"38.218828"</f>
        <v>38.218828</v>
      </c>
      <c r="R3556" t="str">
        <f>"21.730914"</f>
        <v>21.730914</v>
      </c>
      <c r="S3556" t="s">
        <v>26</v>
      </c>
    </row>
    <row r="3557" spans="1:19" x14ac:dyDescent="0.3">
      <c r="A3557" t="s">
        <v>13791</v>
      </c>
      <c r="B3557" t="s">
        <v>15775</v>
      </c>
      <c r="C3557" t="s">
        <v>14602</v>
      </c>
      <c r="D3557" t="s">
        <v>13798</v>
      </c>
      <c r="E3557" t="s">
        <v>13799</v>
      </c>
      <c r="F3557" t="s">
        <v>14276</v>
      </c>
      <c r="G3557" t="s">
        <v>14276</v>
      </c>
      <c r="H3557" t="s">
        <v>868</v>
      </c>
      <c r="I3557" t="s">
        <v>869</v>
      </c>
      <c r="J3557" t="str">
        <f>"9060256"</f>
        <v>9060256</v>
      </c>
      <c r="K3557">
        <v>2610991260</v>
      </c>
      <c r="L3557">
        <v>2610995484</v>
      </c>
      <c r="M3557" t="s">
        <v>15863</v>
      </c>
      <c r="N3557" t="s">
        <v>15864</v>
      </c>
      <c r="O3557" t="s">
        <v>15865</v>
      </c>
      <c r="P3557">
        <v>26504</v>
      </c>
      <c r="Q3557" t="str">
        <f>"38.299062"</f>
        <v>38.299062</v>
      </c>
      <c r="R3557" t="str">
        <f>"21.785863"</f>
        <v>21.785863</v>
      </c>
      <c r="S3557" t="s">
        <v>26</v>
      </c>
    </row>
    <row r="3558" spans="1:19" x14ac:dyDescent="0.3">
      <c r="A3558" t="s">
        <v>13791</v>
      </c>
      <c r="B3558" t="s">
        <v>15775</v>
      </c>
      <c r="C3558" t="s">
        <v>14245</v>
      </c>
      <c r="D3558" t="s">
        <v>13798</v>
      </c>
      <c r="E3558" t="s">
        <v>13799</v>
      </c>
      <c r="F3558" t="s">
        <v>13799</v>
      </c>
      <c r="G3558" t="s">
        <v>14241</v>
      </c>
      <c r="H3558" t="s">
        <v>868</v>
      </c>
      <c r="I3558" t="s">
        <v>869</v>
      </c>
      <c r="J3558" t="str">
        <f>"9060315"</f>
        <v>9060315</v>
      </c>
      <c r="K3558">
        <v>2610643765</v>
      </c>
      <c r="M3558" t="s">
        <v>15866</v>
      </c>
      <c r="N3558" t="s">
        <v>13803</v>
      </c>
      <c r="O3558" t="s">
        <v>15867</v>
      </c>
      <c r="P3558">
        <v>26334</v>
      </c>
      <c r="Q3558" t="str">
        <f>"38.211169"</f>
        <v>38.211169</v>
      </c>
      <c r="R3558" t="str">
        <f>"21.754381"</f>
        <v>21.754381</v>
      </c>
      <c r="S3558" t="s">
        <v>26</v>
      </c>
    </row>
    <row r="3559" spans="1:19" x14ac:dyDescent="0.3">
      <c r="A3559" t="s">
        <v>13791</v>
      </c>
      <c r="B3559" t="s">
        <v>15775</v>
      </c>
      <c r="C3559" t="s">
        <v>15871</v>
      </c>
      <c r="D3559" t="s">
        <v>13798</v>
      </c>
      <c r="E3559" t="s">
        <v>13799</v>
      </c>
      <c r="F3559" t="s">
        <v>14212</v>
      </c>
      <c r="G3559" t="s">
        <v>14212</v>
      </c>
      <c r="H3559" t="s">
        <v>868</v>
      </c>
      <c r="I3559" t="s">
        <v>869</v>
      </c>
      <c r="J3559" t="str">
        <f>"9060207"</f>
        <v>9060207</v>
      </c>
      <c r="K3559">
        <v>2610522619</v>
      </c>
      <c r="L3559">
        <v>2610522619</v>
      </c>
      <c r="M3559" t="s">
        <v>15872</v>
      </c>
      <c r="N3559" t="s">
        <v>15873</v>
      </c>
      <c r="O3559" t="s">
        <v>15874</v>
      </c>
      <c r="P3559">
        <v>26333</v>
      </c>
      <c r="Q3559" t="str">
        <f>"38.197474"</f>
        <v>38.197474</v>
      </c>
      <c r="R3559" t="str">
        <f>"21.710313"</f>
        <v>21.710313</v>
      </c>
      <c r="S3559" t="s">
        <v>26</v>
      </c>
    </row>
    <row r="3560" spans="1:19" x14ac:dyDescent="0.3">
      <c r="A3560" t="s">
        <v>13791</v>
      </c>
      <c r="B3560" t="s">
        <v>15775</v>
      </c>
      <c r="C3560" t="s">
        <v>15876</v>
      </c>
      <c r="D3560" t="s">
        <v>13798</v>
      </c>
      <c r="E3560" t="s">
        <v>14181</v>
      </c>
      <c r="F3560" t="s">
        <v>15801</v>
      </c>
      <c r="G3560" t="s">
        <v>15875</v>
      </c>
      <c r="H3560" t="s">
        <v>868</v>
      </c>
      <c r="I3560" t="s">
        <v>869</v>
      </c>
      <c r="J3560" t="str">
        <f>"9060056"</f>
        <v>9060056</v>
      </c>
      <c r="K3560">
        <v>2691071333</v>
      </c>
      <c r="L3560">
        <v>2691071315</v>
      </c>
      <c r="M3560" t="s">
        <v>15877</v>
      </c>
      <c r="N3560" t="s">
        <v>15878</v>
      </c>
      <c r="O3560" t="s">
        <v>15879</v>
      </c>
      <c r="P3560">
        <v>25100</v>
      </c>
      <c r="Q3560" t="str">
        <f>"38.262603"</f>
        <v>38.262603</v>
      </c>
      <c r="R3560" t="str">
        <f>"22.048555"</f>
        <v>22.048555</v>
      </c>
      <c r="S3560" t="s">
        <v>26</v>
      </c>
    </row>
    <row r="3561" spans="1:19" x14ac:dyDescent="0.3">
      <c r="A3561" t="s">
        <v>13791</v>
      </c>
      <c r="B3561" t="s">
        <v>15775</v>
      </c>
      <c r="C3561" t="s">
        <v>15884</v>
      </c>
      <c r="D3561" t="s">
        <v>13798</v>
      </c>
      <c r="E3561" t="s">
        <v>13799</v>
      </c>
      <c r="F3561" t="s">
        <v>13799</v>
      </c>
      <c r="G3561" t="s">
        <v>14236</v>
      </c>
      <c r="H3561" t="s">
        <v>868</v>
      </c>
      <c r="I3561" t="s">
        <v>869</v>
      </c>
      <c r="J3561" t="str">
        <f>"9060310"</f>
        <v>9060310</v>
      </c>
      <c r="K3561">
        <v>2610321587</v>
      </c>
      <c r="L3561">
        <v>2610332279</v>
      </c>
      <c r="M3561" t="s">
        <v>15885</v>
      </c>
      <c r="N3561" t="s">
        <v>13803</v>
      </c>
      <c r="O3561" t="s">
        <v>15886</v>
      </c>
      <c r="P3561">
        <v>26333</v>
      </c>
      <c r="Q3561" t="str">
        <f>"38.229632"</f>
        <v>38.229632</v>
      </c>
      <c r="R3561" t="str">
        <f>"21.732420"</f>
        <v>21.732420</v>
      </c>
      <c r="S3561" t="s">
        <v>26</v>
      </c>
    </row>
    <row r="3562" spans="1:19" x14ac:dyDescent="0.3">
      <c r="A3562" t="s">
        <v>13791</v>
      </c>
      <c r="B3562" t="s">
        <v>15775</v>
      </c>
      <c r="C3562" t="s">
        <v>15888</v>
      </c>
      <c r="D3562" t="s">
        <v>13798</v>
      </c>
      <c r="E3562" t="s">
        <v>14200</v>
      </c>
      <c r="F3562" t="s">
        <v>14286</v>
      </c>
      <c r="G3562" t="s">
        <v>15887</v>
      </c>
      <c r="H3562" t="s">
        <v>868</v>
      </c>
      <c r="I3562" t="s">
        <v>950</v>
      </c>
      <c r="J3562" t="str">
        <f>"9060162"</f>
        <v>9060162</v>
      </c>
      <c r="K3562">
        <v>2693031390</v>
      </c>
      <c r="L3562">
        <v>2693031390</v>
      </c>
      <c r="M3562" t="s">
        <v>15889</v>
      </c>
      <c r="N3562" t="s">
        <v>15890</v>
      </c>
      <c r="P3562">
        <v>25200</v>
      </c>
      <c r="Q3562" t="str">
        <f>"38.073846"</f>
        <v>38.073846</v>
      </c>
      <c r="R3562" t="str">
        <f>"21.428790"</f>
        <v>21.428790</v>
      </c>
      <c r="S3562" t="s">
        <v>26</v>
      </c>
    </row>
    <row r="3563" spans="1:19" x14ac:dyDescent="0.3">
      <c r="A3563" t="s">
        <v>13791</v>
      </c>
      <c r="B3563" t="s">
        <v>15775</v>
      </c>
      <c r="C3563" t="s">
        <v>15891</v>
      </c>
      <c r="D3563" t="s">
        <v>13798</v>
      </c>
      <c r="E3563" t="s">
        <v>13799</v>
      </c>
      <c r="F3563" t="s">
        <v>13799</v>
      </c>
      <c r="G3563" t="s">
        <v>14236</v>
      </c>
      <c r="H3563" t="s">
        <v>868</v>
      </c>
      <c r="I3563" t="s">
        <v>1157</v>
      </c>
      <c r="J3563" t="str">
        <f>"9060599"</f>
        <v>9060599</v>
      </c>
      <c r="K3563">
        <v>2610341698</v>
      </c>
      <c r="L3563">
        <v>2610341698</v>
      </c>
      <c r="M3563" t="s">
        <v>15892</v>
      </c>
      <c r="N3563" t="s">
        <v>13803</v>
      </c>
      <c r="O3563" t="s">
        <v>15862</v>
      </c>
      <c r="P3563">
        <v>26332</v>
      </c>
      <c r="Q3563" t="str">
        <f>"38.219239"</f>
        <v>38.219239</v>
      </c>
      <c r="R3563" t="str">
        <f>"21.730358"</f>
        <v>21.730358</v>
      </c>
      <c r="S3563" t="s">
        <v>26</v>
      </c>
    </row>
    <row r="3564" spans="1:19" x14ac:dyDescent="0.3">
      <c r="A3564" t="s">
        <v>13791</v>
      </c>
      <c r="B3564" t="s">
        <v>15775</v>
      </c>
      <c r="C3564" t="s">
        <v>15893</v>
      </c>
      <c r="D3564" t="s">
        <v>13798</v>
      </c>
      <c r="E3564" t="s">
        <v>14200</v>
      </c>
      <c r="F3564" t="s">
        <v>14201</v>
      </c>
      <c r="G3564" t="s">
        <v>15836</v>
      </c>
      <c r="H3564" t="s">
        <v>868</v>
      </c>
      <c r="I3564" t="s">
        <v>950</v>
      </c>
      <c r="J3564" t="str">
        <f>"9060189"</f>
        <v>9060189</v>
      </c>
      <c r="K3564">
        <v>2693051133</v>
      </c>
      <c r="L3564">
        <v>2693051133</v>
      </c>
      <c r="M3564" t="s">
        <v>15894</v>
      </c>
      <c r="N3564" t="s">
        <v>15895</v>
      </c>
      <c r="O3564" t="s">
        <v>15895</v>
      </c>
      <c r="P3564">
        <v>25200</v>
      </c>
      <c r="Q3564" t="str">
        <f>"38.062358"</f>
        <v>38.062358</v>
      </c>
      <c r="R3564" t="str">
        <f>"21.499133"</f>
        <v>21.499133</v>
      </c>
      <c r="S3564" t="s">
        <v>26</v>
      </c>
    </row>
    <row r="3565" spans="1:19" x14ac:dyDescent="0.3">
      <c r="A3565" t="s">
        <v>13791</v>
      </c>
      <c r="B3565" t="s">
        <v>15775</v>
      </c>
      <c r="C3565" t="s">
        <v>15896</v>
      </c>
      <c r="D3565" t="s">
        <v>13798</v>
      </c>
      <c r="E3565" t="s">
        <v>14181</v>
      </c>
      <c r="F3565" t="s">
        <v>15801</v>
      </c>
      <c r="G3565" t="s">
        <v>13393</v>
      </c>
      <c r="H3565" t="s">
        <v>868</v>
      </c>
      <c r="I3565" t="s">
        <v>950</v>
      </c>
      <c r="J3565" t="str">
        <f>"9520875"</f>
        <v>9520875</v>
      </c>
      <c r="K3565">
        <v>2691071987</v>
      </c>
      <c r="M3565" t="s">
        <v>15897</v>
      </c>
      <c r="N3565" t="s">
        <v>15898</v>
      </c>
      <c r="O3565" t="s">
        <v>15899</v>
      </c>
      <c r="P3565">
        <v>25100</v>
      </c>
      <c r="Q3565" t="str">
        <f>"38.259938"</f>
        <v>38.259938</v>
      </c>
      <c r="R3565" t="str">
        <f>"22.055704"</f>
        <v>22.055704</v>
      </c>
      <c r="S3565" t="s">
        <v>26</v>
      </c>
    </row>
    <row r="3566" spans="1:19" x14ac:dyDescent="0.3">
      <c r="A3566" t="s">
        <v>13791</v>
      </c>
      <c r="B3566" t="s">
        <v>15775</v>
      </c>
      <c r="C3566" t="s">
        <v>14609</v>
      </c>
      <c r="D3566" t="s">
        <v>13798</v>
      </c>
      <c r="E3566" t="s">
        <v>13799</v>
      </c>
      <c r="F3566" t="s">
        <v>13799</v>
      </c>
      <c r="G3566" t="s">
        <v>14236</v>
      </c>
      <c r="H3566" t="s">
        <v>868</v>
      </c>
      <c r="I3566" t="s">
        <v>869</v>
      </c>
      <c r="J3566" t="str">
        <f>"9060474"</f>
        <v>9060474</v>
      </c>
      <c r="K3566">
        <v>2610329856</v>
      </c>
      <c r="M3566" t="s">
        <v>15903</v>
      </c>
      <c r="N3566" t="s">
        <v>13803</v>
      </c>
      <c r="O3566" t="s">
        <v>9620</v>
      </c>
      <c r="P3566">
        <v>26332</v>
      </c>
      <c r="Q3566" t="str">
        <f>"38.217851"</f>
        <v>38.217851</v>
      </c>
      <c r="R3566" t="str">
        <f>"21.736491"</f>
        <v>21.736491</v>
      </c>
      <c r="S3566" t="s">
        <v>26</v>
      </c>
    </row>
    <row r="3567" spans="1:19" x14ac:dyDescent="0.3">
      <c r="A3567" t="s">
        <v>13791</v>
      </c>
      <c r="B3567" t="s">
        <v>15775</v>
      </c>
      <c r="C3567" t="s">
        <v>15913</v>
      </c>
      <c r="D3567" t="s">
        <v>13798</v>
      </c>
      <c r="E3567" t="s">
        <v>14200</v>
      </c>
      <c r="F3567" t="s">
        <v>14201</v>
      </c>
      <c r="G3567" t="s">
        <v>15912</v>
      </c>
      <c r="H3567" t="s">
        <v>868</v>
      </c>
      <c r="I3567" t="s">
        <v>950</v>
      </c>
      <c r="J3567" t="str">
        <f>"9060227"</f>
        <v>9060227</v>
      </c>
      <c r="K3567">
        <v>2693081027</v>
      </c>
      <c r="L3567">
        <v>2693081027</v>
      </c>
      <c r="M3567" t="s">
        <v>15914</v>
      </c>
      <c r="N3567" t="s">
        <v>15915</v>
      </c>
      <c r="O3567" t="s">
        <v>15915</v>
      </c>
      <c r="P3567">
        <v>25200</v>
      </c>
      <c r="Q3567" t="str">
        <f>"38.076954"</f>
        <v>38.076954</v>
      </c>
      <c r="R3567" t="str">
        <f>"21.481817"</f>
        <v>21.481817</v>
      </c>
      <c r="S3567" t="s">
        <v>26</v>
      </c>
    </row>
    <row r="3568" spans="1:19" x14ac:dyDescent="0.3">
      <c r="A3568" t="s">
        <v>13791</v>
      </c>
      <c r="B3568" t="s">
        <v>15775</v>
      </c>
      <c r="C3568" t="s">
        <v>15918</v>
      </c>
      <c r="D3568" t="s">
        <v>13798</v>
      </c>
      <c r="E3568" t="s">
        <v>14200</v>
      </c>
      <c r="F3568" t="s">
        <v>14329</v>
      </c>
      <c r="G3568" t="s">
        <v>15917</v>
      </c>
      <c r="H3568" t="s">
        <v>868</v>
      </c>
      <c r="I3568" t="s">
        <v>950</v>
      </c>
      <c r="J3568" t="str">
        <f>"9060223"</f>
        <v>9060223</v>
      </c>
      <c r="K3568">
        <v>2693092450</v>
      </c>
      <c r="L3568">
        <v>2693092450</v>
      </c>
      <c r="M3568" t="s">
        <v>15919</v>
      </c>
      <c r="N3568" t="s">
        <v>15917</v>
      </c>
      <c r="O3568" t="s">
        <v>15920</v>
      </c>
      <c r="P3568">
        <v>25200</v>
      </c>
      <c r="Q3568" t="str">
        <f>"37.989056"</f>
        <v>37.989056</v>
      </c>
      <c r="R3568" t="str">
        <f>"21.573744"</f>
        <v>21.573744</v>
      </c>
      <c r="S3568" t="s">
        <v>26</v>
      </c>
    </row>
    <row r="3569" spans="1:19" x14ac:dyDescent="0.3">
      <c r="A3569" t="s">
        <v>13791</v>
      </c>
      <c r="B3569" t="s">
        <v>15775</v>
      </c>
      <c r="C3569" t="s">
        <v>15922</v>
      </c>
      <c r="D3569" t="s">
        <v>13798</v>
      </c>
      <c r="E3569" t="s">
        <v>14181</v>
      </c>
      <c r="F3569" t="s">
        <v>14230</v>
      </c>
      <c r="G3569" t="s">
        <v>15921</v>
      </c>
      <c r="H3569" t="s">
        <v>868</v>
      </c>
      <c r="I3569" t="s">
        <v>950</v>
      </c>
      <c r="J3569" t="str">
        <f>"9060270"</f>
        <v>9060270</v>
      </c>
      <c r="K3569">
        <v>2691031510</v>
      </c>
      <c r="L3569">
        <v>2691031510</v>
      </c>
      <c r="M3569" t="s">
        <v>15923</v>
      </c>
      <c r="N3569" t="s">
        <v>15921</v>
      </c>
      <c r="O3569" t="s">
        <v>2648</v>
      </c>
      <c r="P3569">
        <v>25009</v>
      </c>
      <c r="Q3569" t="str">
        <f>"38.297083"</f>
        <v>38.297083</v>
      </c>
      <c r="R3569" t="str">
        <f>"21.979823"</f>
        <v>21.979823</v>
      </c>
      <c r="S3569" t="s">
        <v>26</v>
      </c>
    </row>
    <row r="3570" spans="1:19" x14ac:dyDescent="0.3">
      <c r="A3570" t="s">
        <v>13791</v>
      </c>
      <c r="B3570" t="s">
        <v>15775</v>
      </c>
      <c r="C3570" t="s">
        <v>15931</v>
      </c>
      <c r="D3570" t="s">
        <v>13798</v>
      </c>
      <c r="E3570" t="s">
        <v>14200</v>
      </c>
      <c r="F3570" t="s">
        <v>2699</v>
      </c>
      <c r="G3570" t="s">
        <v>15930</v>
      </c>
      <c r="H3570" t="s">
        <v>868</v>
      </c>
      <c r="I3570" t="s">
        <v>950</v>
      </c>
      <c r="J3570" t="str">
        <f>"9060211"</f>
        <v>9060211</v>
      </c>
      <c r="K3570">
        <v>2693022555</v>
      </c>
      <c r="M3570" t="s">
        <v>15932</v>
      </c>
      <c r="N3570" t="s">
        <v>15933</v>
      </c>
      <c r="O3570" t="s">
        <v>15934</v>
      </c>
      <c r="P3570">
        <v>25200</v>
      </c>
      <c r="Q3570" t="str">
        <f>"38.103071"</f>
        <v>38.103071</v>
      </c>
      <c r="R3570" t="str">
        <f>"21.547853"</f>
        <v>21.547853</v>
      </c>
      <c r="S3570" t="s">
        <v>26</v>
      </c>
    </row>
    <row r="3571" spans="1:19" x14ac:dyDescent="0.3">
      <c r="A3571" t="s">
        <v>13791</v>
      </c>
      <c r="B3571" t="s">
        <v>15775</v>
      </c>
      <c r="C3571" t="s">
        <v>14211</v>
      </c>
      <c r="D3571" t="s">
        <v>13798</v>
      </c>
      <c r="E3571" t="s">
        <v>13799</v>
      </c>
      <c r="F3571" t="s">
        <v>13799</v>
      </c>
      <c r="G3571" t="s">
        <v>13800</v>
      </c>
      <c r="H3571" t="s">
        <v>868</v>
      </c>
      <c r="I3571" t="s">
        <v>869</v>
      </c>
      <c r="J3571" t="str">
        <f>"9060248"</f>
        <v>9060248</v>
      </c>
      <c r="K3571">
        <v>2610421256</v>
      </c>
      <c r="L3571">
        <v>2610462312</v>
      </c>
      <c r="M3571" t="s">
        <v>15935</v>
      </c>
      <c r="N3571" t="s">
        <v>13803</v>
      </c>
      <c r="O3571" t="s">
        <v>15936</v>
      </c>
      <c r="P3571">
        <v>26442</v>
      </c>
      <c r="Q3571" t="str">
        <f>"38.276334"</f>
        <v>38.276334</v>
      </c>
      <c r="R3571" t="str">
        <f>"21.760657"</f>
        <v>21.760657</v>
      </c>
      <c r="S3571" t="s">
        <v>26</v>
      </c>
    </row>
    <row r="3572" spans="1:19" x14ac:dyDescent="0.3">
      <c r="A3572" t="s">
        <v>13791</v>
      </c>
      <c r="B3572" t="s">
        <v>15775</v>
      </c>
      <c r="C3572" t="s">
        <v>14527</v>
      </c>
      <c r="D3572" t="s">
        <v>13798</v>
      </c>
      <c r="E3572" t="s">
        <v>14200</v>
      </c>
      <c r="F3572" t="s">
        <v>14286</v>
      </c>
      <c r="G3572" t="s">
        <v>14522</v>
      </c>
      <c r="H3572" t="s">
        <v>868</v>
      </c>
      <c r="I3572" t="s">
        <v>869</v>
      </c>
      <c r="J3572" t="str">
        <f>"9060216"</f>
        <v>9060216</v>
      </c>
      <c r="K3572">
        <v>2693099334</v>
      </c>
      <c r="L3572">
        <v>2693099433</v>
      </c>
      <c r="M3572" t="s">
        <v>15937</v>
      </c>
      <c r="N3572" t="s">
        <v>15938</v>
      </c>
      <c r="O3572" t="s">
        <v>15938</v>
      </c>
      <c r="P3572">
        <v>25200</v>
      </c>
      <c r="Q3572" t="str">
        <f>"38.056285"</f>
        <v>38.056285</v>
      </c>
      <c r="R3572" t="str">
        <f>"21.463824"</f>
        <v>21.463824</v>
      </c>
      <c r="S3572" t="s">
        <v>26</v>
      </c>
    </row>
    <row r="3573" spans="1:19" x14ac:dyDescent="0.3">
      <c r="A3573" t="s">
        <v>13791</v>
      </c>
      <c r="B3573" t="s">
        <v>15775</v>
      </c>
      <c r="C3573" t="s">
        <v>15940</v>
      </c>
      <c r="D3573" t="s">
        <v>13798</v>
      </c>
      <c r="E3573" t="s">
        <v>13799</v>
      </c>
      <c r="F3573" t="s">
        <v>14276</v>
      </c>
      <c r="G3573" t="s">
        <v>15939</v>
      </c>
      <c r="H3573" t="s">
        <v>868</v>
      </c>
      <c r="I3573" t="s">
        <v>869</v>
      </c>
      <c r="J3573" t="str">
        <f>"9060295"</f>
        <v>9060295</v>
      </c>
      <c r="K3573">
        <v>2610931232</v>
      </c>
      <c r="L3573">
        <v>2610931232</v>
      </c>
      <c r="M3573" t="s">
        <v>15941</v>
      </c>
      <c r="N3573" t="s">
        <v>15942</v>
      </c>
      <c r="O3573" t="s">
        <v>15943</v>
      </c>
      <c r="P3573">
        <v>26504</v>
      </c>
      <c r="Q3573" t="str">
        <f>"38.328694"</f>
        <v>38.328694</v>
      </c>
      <c r="R3573" t="str">
        <f>"21.871478"</f>
        <v>21.871478</v>
      </c>
      <c r="S3573" t="s">
        <v>26</v>
      </c>
    </row>
    <row r="3574" spans="1:19" x14ac:dyDescent="0.3">
      <c r="A3574" t="s">
        <v>13791</v>
      </c>
      <c r="B3574" t="s">
        <v>15775</v>
      </c>
      <c r="C3574" t="s">
        <v>14488</v>
      </c>
      <c r="D3574" t="s">
        <v>13798</v>
      </c>
      <c r="E3574" t="s">
        <v>14188</v>
      </c>
      <c r="F3574" t="s">
        <v>14189</v>
      </c>
      <c r="G3574" t="s">
        <v>14483</v>
      </c>
      <c r="H3574" t="s">
        <v>868</v>
      </c>
      <c r="I3574" t="s">
        <v>869</v>
      </c>
      <c r="J3574" t="str">
        <f>"9060375"</f>
        <v>9060375</v>
      </c>
      <c r="K3574">
        <v>2694061368</v>
      </c>
      <c r="L3574">
        <v>2694061368</v>
      </c>
      <c r="M3574" t="s">
        <v>15949</v>
      </c>
      <c r="N3574" t="s">
        <v>15950</v>
      </c>
      <c r="O3574" t="s">
        <v>15950</v>
      </c>
      <c r="P3574">
        <v>25008</v>
      </c>
      <c r="Q3574" t="str">
        <f>"38.091473"</f>
        <v>38.091473</v>
      </c>
      <c r="R3574" t="str">
        <f>"21.717648"</f>
        <v>21.717648</v>
      </c>
      <c r="S3574" t="s">
        <v>26</v>
      </c>
    </row>
    <row r="3575" spans="1:19" x14ac:dyDescent="0.3">
      <c r="A3575" t="s">
        <v>13791</v>
      </c>
      <c r="B3575" t="s">
        <v>15775</v>
      </c>
      <c r="C3575" t="s">
        <v>15951</v>
      </c>
      <c r="D3575" t="s">
        <v>13798</v>
      </c>
      <c r="E3575" t="s">
        <v>14188</v>
      </c>
      <c r="F3575" t="s">
        <v>14391</v>
      </c>
      <c r="G3575" t="s">
        <v>3092</v>
      </c>
      <c r="H3575" t="s">
        <v>868</v>
      </c>
      <c r="I3575" t="s">
        <v>950</v>
      </c>
      <c r="J3575" t="str">
        <f>"9060368"</f>
        <v>9060368</v>
      </c>
      <c r="K3575">
        <v>2694053247</v>
      </c>
      <c r="L3575">
        <v>2694053247</v>
      </c>
      <c r="M3575" t="s">
        <v>15952</v>
      </c>
      <c r="N3575" t="s">
        <v>3089</v>
      </c>
      <c r="O3575" t="s">
        <v>15953</v>
      </c>
      <c r="P3575">
        <v>25015</v>
      </c>
      <c r="Q3575" t="str">
        <f>"37.883846"</f>
        <v>37.883846</v>
      </c>
      <c r="R3575" t="str">
        <f>"21.681526"</f>
        <v>21.681526</v>
      </c>
      <c r="S3575" t="s">
        <v>26</v>
      </c>
    </row>
    <row r="3576" spans="1:19" x14ac:dyDescent="0.3">
      <c r="A3576" t="s">
        <v>13791</v>
      </c>
      <c r="B3576" t="s">
        <v>15775</v>
      </c>
      <c r="C3576" t="s">
        <v>15965</v>
      </c>
      <c r="D3576" t="s">
        <v>13798</v>
      </c>
      <c r="E3576" t="s">
        <v>14200</v>
      </c>
      <c r="F3576" t="s">
        <v>14286</v>
      </c>
      <c r="G3576" t="s">
        <v>15961</v>
      </c>
      <c r="H3576" t="s">
        <v>868</v>
      </c>
      <c r="I3576" t="s">
        <v>950</v>
      </c>
      <c r="J3576" t="str">
        <f>"9060166"</f>
        <v>9060166</v>
      </c>
      <c r="K3576">
        <v>2693092196</v>
      </c>
      <c r="L3576">
        <v>2693092196</v>
      </c>
      <c r="M3576" t="s">
        <v>15966</v>
      </c>
      <c r="N3576" t="s">
        <v>15964</v>
      </c>
      <c r="O3576" t="s">
        <v>15964</v>
      </c>
      <c r="P3576">
        <v>27052</v>
      </c>
      <c r="Q3576" t="str">
        <f>"37.943682"</f>
        <v>37.943682</v>
      </c>
      <c r="R3576" t="str">
        <f>"21.532741"</f>
        <v>21.532741</v>
      </c>
      <c r="S3576" t="s">
        <v>57</v>
      </c>
    </row>
    <row r="3577" spans="1:19" x14ac:dyDescent="0.3">
      <c r="A3577" t="s">
        <v>13791</v>
      </c>
      <c r="B3577" t="s">
        <v>15775</v>
      </c>
      <c r="C3577" t="s">
        <v>14229</v>
      </c>
      <c r="D3577" t="s">
        <v>13798</v>
      </c>
      <c r="E3577" t="s">
        <v>14223</v>
      </c>
      <c r="F3577" t="s">
        <v>14223</v>
      </c>
      <c r="G3577" t="s">
        <v>14223</v>
      </c>
      <c r="H3577" t="s">
        <v>868</v>
      </c>
      <c r="I3577" t="s">
        <v>869</v>
      </c>
      <c r="J3577" t="str">
        <f>"9060070"</f>
        <v>9060070</v>
      </c>
      <c r="K3577">
        <v>2692024516</v>
      </c>
      <c r="L3577">
        <v>2692022239</v>
      </c>
      <c r="M3577" t="s">
        <v>15978</v>
      </c>
      <c r="N3577" t="s">
        <v>15979</v>
      </c>
      <c r="O3577" t="s">
        <v>15980</v>
      </c>
      <c r="P3577">
        <v>25001</v>
      </c>
      <c r="Q3577" t="str">
        <f>"38.034491"</f>
        <v>38.034491</v>
      </c>
      <c r="R3577" t="str">
        <f>"22.107961"</f>
        <v>22.107961</v>
      </c>
      <c r="S3577" t="s">
        <v>26</v>
      </c>
    </row>
    <row r="3578" spans="1:19" x14ac:dyDescent="0.3">
      <c r="A3578" t="s">
        <v>13791</v>
      </c>
      <c r="B3578" t="s">
        <v>15775</v>
      </c>
      <c r="C3578" t="s">
        <v>15982</v>
      </c>
      <c r="D3578" t="s">
        <v>13798</v>
      </c>
      <c r="E3578" t="s">
        <v>14200</v>
      </c>
      <c r="F3578" t="s">
        <v>14286</v>
      </c>
      <c r="G3578" t="s">
        <v>15981</v>
      </c>
      <c r="H3578" t="s">
        <v>868</v>
      </c>
      <c r="I3578" t="s">
        <v>950</v>
      </c>
      <c r="J3578" t="str">
        <f>"9060200"</f>
        <v>9060200</v>
      </c>
      <c r="K3578">
        <v>2693092000</v>
      </c>
      <c r="L3578">
        <v>2693092000</v>
      </c>
      <c r="M3578" t="s">
        <v>15983</v>
      </c>
      <c r="N3578" t="s">
        <v>15984</v>
      </c>
      <c r="O3578" t="s">
        <v>15985</v>
      </c>
      <c r="P3578">
        <v>27052</v>
      </c>
      <c r="Q3578" t="str">
        <f>"37.971584"</f>
        <v>37.971584</v>
      </c>
      <c r="R3578" t="str">
        <f>"21.507608"</f>
        <v>21.507608</v>
      </c>
      <c r="S3578" t="s">
        <v>26</v>
      </c>
    </row>
    <row r="3579" spans="1:19" x14ac:dyDescent="0.3">
      <c r="A3579" t="s">
        <v>13791</v>
      </c>
      <c r="B3579" t="s">
        <v>15775</v>
      </c>
      <c r="C3579" t="s">
        <v>14569</v>
      </c>
      <c r="D3579" t="s">
        <v>13798</v>
      </c>
      <c r="E3579" t="s">
        <v>13799</v>
      </c>
      <c r="F3579" t="s">
        <v>13799</v>
      </c>
      <c r="G3579" t="s">
        <v>13809</v>
      </c>
      <c r="H3579" t="s">
        <v>868</v>
      </c>
      <c r="I3579" t="s">
        <v>869</v>
      </c>
      <c r="J3579" t="str">
        <f>"9060239"</f>
        <v>9060239</v>
      </c>
      <c r="K3579">
        <v>2610421286</v>
      </c>
      <c r="L3579">
        <v>2610428495</v>
      </c>
      <c r="M3579" t="s">
        <v>15998</v>
      </c>
      <c r="N3579" t="s">
        <v>14253</v>
      </c>
      <c r="O3579" t="s">
        <v>15999</v>
      </c>
      <c r="P3579">
        <v>26441</v>
      </c>
      <c r="Q3579" t="str">
        <f>"38.256899"</f>
        <v>38.256899</v>
      </c>
      <c r="R3579" t="str">
        <f>"21.742976"</f>
        <v>21.742976</v>
      </c>
      <c r="S3579" t="s">
        <v>26</v>
      </c>
    </row>
    <row r="3580" spans="1:19" x14ac:dyDescent="0.3">
      <c r="A3580" t="s">
        <v>13791</v>
      </c>
      <c r="B3580" t="s">
        <v>15775</v>
      </c>
      <c r="C3580" t="s">
        <v>16000</v>
      </c>
      <c r="D3580" t="s">
        <v>13798</v>
      </c>
      <c r="E3580" t="s">
        <v>13799</v>
      </c>
      <c r="F3580" t="s">
        <v>13799</v>
      </c>
      <c r="G3580" t="s">
        <v>13800</v>
      </c>
      <c r="H3580" t="s">
        <v>868</v>
      </c>
      <c r="I3580" t="s">
        <v>869</v>
      </c>
      <c r="J3580" t="str">
        <f>"9060247"</f>
        <v>9060247</v>
      </c>
      <c r="K3580">
        <v>2610425467</v>
      </c>
      <c r="L3580">
        <v>2610425467</v>
      </c>
      <c r="M3580" t="s">
        <v>16001</v>
      </c>
      <c r="N3580" t="s">
        <v>15790</v>
      </c>
      <c r="O3580" t="s">
        <v>16002</v>
      </c>
      <c r="P3580">
        <v>26442</v>
      </c>
      <c r="Q3580" t="str">
        <f>"38.268999"</f>
        <v>38.268999</v>
      </c>
      <c r="R3580" t="str">
        <f>"21.746505"</f>
        <v>21.746505</v>
      </c>
      <c r="S3580" t="s">
        <v>26</v>
      </c>
    </row>
    <row r="3581" spans="1:19" x14ac:dyDescent="0.3">
      <c r="A3581" t="s">
        <v>13791</v>
      </c>
      <c r="B3581" t="s">
        <v>15775</v>
      </c>
      <c r="C3581" t="s">
        <v>14465</v>
      </c>
      <c r="D3581" t="s">
        <v>13798</v>
      </c>
      <c r="E3581" t="s">
        <v>14200</v>
      </c>
      <c r="F3581" t="s">
        <v>14286</v>
      </c>
      <c r="G3581" t="s">
        <v>14460</v>
      </c>
      <c r="H3581" t="s">
        <v>868</v>
      </c>
      <c r="I3581" t="s">
        <v>869</v>
      </c>
      <c r="J3581" t="str">
        <f>"9060185"</f>
        <v>9060185</v>
      </c>
      <c r="K3581">
        <v>2693051761</v>
      </c>
      <c r="L3581">
        <v>2693051761</v>
      </c>
      <c r="M3581" t="s">
        <v>16026</v>
      </c>
      <c r="N3581" t="s">
        <v>16027</v>
      </c>
      <c r="O3581" t="s">
        <v>16027</v>
      </c>
      <c r="P3581">
        <v>25200</v>
      </c>
      <c r="Q3581" t="str">
        <f>"38.171382"</f>
        <v>38.171382</v>
      </c>
      <c r="R3581" t="str">
        <f>"21.458031"</f>
        <v>21.458031</v>
      </c>
      <c r="S3581" t="s">
        <v>26</v>
      </c>
    </row>
    <row r="3582" spans="1:19" x14ac:dyDescent="0.3">
      <c r="A3582" t="s">
        <v>13791</v>
      </c>
      <c r="B3582" t="s">
        <v>15775</v>
      </c>
      <c r="C3582" t="s">
        <v>14207</v>
      </c>
      <c r="D3582" t="s">
        <v>13798</v>
      </c>
      <c r="E3582" t="s">
        <v>14200</v>
      </c>
      <c r="F3582" t="s">
        <v>14201</v>
      </c>
      <c r="G3582" t="s">
        <v>14202</v>
      </c>
      <c r="H3582" t="s">
        <v>868</v>
      </c>
      <c r="I3582" t="s">
        <v>869</v>
      </c>
      <c r="J3582" t="str">
        <f>"9060221"</f>
        <v>9060221</v>
      </c>
      <c r="K3582">
        <v>2693041294</v>
      </c>
      <c r="L3582">
        <v>2693041294</v>
      </c>
      <c r="M3582" t="s">
        <v>16045</v>
      </c>
      <c r="N3582" t="s">
        <v>16046</v>
      </c>
      <c r="O3582" t="s">
        <v>16047</v>
      </c>
      <c r="P3582">
        <v>25002</v>
      </c>
      <c r="Q3582" t="str">
        <f>"38.106393"</f>
        <v>38.106393</v>
      </c>
      <c r="R3582" t="str">
        <f>"21.472600"</f>
        <v>21.472600</v>
      </c>
      <c r="S3582" t="s">
        <v>26</v>
      </c>
    </row>
    <row r="3583" spans="1:19" x14ac:dyDescent="0.3">
      <c r="A3583" t="s">
        <v>13791</v>
      </c>
      <c r="B3583" t="s">
        <v>15775</v>
      </c>
      <c r="C3583" t="s">
        <v>16058</v>
      </c>
      <c r="D3583" t="s">
        <v>13798</v>
      </c>
      <c r="E3583" t="s">
        <v>13799</v>
      </c>
      <c r="F3583" t="s">
        <v>13799</v>
      </c>
      <c r="G3583" t="s">
        <v>14236</v>
      </c>
      <c r="H3583" t="s">
        <v>868</v>
      </c>
      <c r="I3583" t="s">
        <v>869</v>
      </c>
      <c r="J3583" t="str">
        <f>"9060449"</f>
        <v>9060449</v>
      </c>
      <c r="K3583">
        <v>2610329427</v>
      </c>
      <c r="L3583">
        <v>2610329427</v>
      </c>
      <c r="M3583" t="s">
        <v>16059</v>
      </c>
      <c r="N3583" t="s">
        <v>13803</v>
      </c>
      <c r="O3583" t="s">
        <v>16060</v>
      </c>
      <c r="P3583">
        <v>26332</v>
      </c>
      <c r="Q3583" t="str">
        <f>"38.222400"</f>
        <v>38.222400</v>
      </c>
      <c r="R3583" t="str">
        <f>"21.740161"</f>
        <v>21.740161</v>
      </c>
      <c r="S3583" t="s">
        <v>26</v>
      </c>
    </row>
    <row r="3584" spans="1:19" x14ac:dyDescent="0.3">
      <c r="A3584" t="s">
        <v>13791</v>
      </c>
      <c r="B3584" t="s">
        <v>15775</v>
      </c>
      <c r="C3584" t="s">
        <v>16061</v>
      </c>
      <c r="D3584" t="s">
        <v>13798</v>
      </c>
      <c r="E3584" t="s">
        <v>13799</v>
      </c>
      <c r="F3584" t="s">
        <v>13799</v>
      </c>
      <c r="G3584" t="s">
        <v>14236</v>
      </c>
      <c r="H3584" t="s">
        <v>868</v>
      </c>
      <c r="I3584" t="s">
        <v>869</v>
      </c>
      <c r="J3584" t="str">
        <f>"9060146"</f>
        <v>9060146</v>
      </c>
      <c r="K3584">
        <v>2610520107</v>
      </c>
      <c r="L3584">
        <v>2610520107</v>
      </c>
      <c r="M3584" t="s">
        <v>16062</v>
      </c>
      <c r="N3584" t="s">
        <v>15790</v>
      </c>
      <c r="O3584" t="s">
        <v>16063</v>
      </c>
      <c r="P3584">
        <v>26333</v>
      </c>
      <c r="Q3584" t="str">
        <f>"38.205947"</f>
        <v>38.205947</v>
      </c>
      <c r="R3584" t="str">
        <f>"21.725438"</f>
        <v>21.725438</v>
      </c>
      <c r="S3584" t="s">
        <v>26</v>
      </c>
    </row>
    <row r="3585" spans="1:19" x14ac:dyDescent="0.3">
      <c r="A3585" t="s">
        <v>13791</v>
      </c>
      <c r="B3585" t="s">
        <v>15775</v>
      </c>
      <c r="C3585" t="s">
        <v>16069</v>
      </c>
      <c r="D3585" t="s">
        <v>13798</v>
      </c>
      <c r="E3585" t="s">
        <v>14188</v>
      </c>
      <c r="F3585" t="s">
        <v>14189</v>
      </c>
      <c r="G3585" t="s">
        <v>16068</v>
      </c>
      <c r="H3585" t="s">
        <v>868</v>
      </c>
      <c r="I3585" t="s">
        <v>869</v>
      </c>
      <c r="J3585" t="str">
        <f>"9060330"</f>
        <v>9060330</v>
      </c>
      <c r="K3585">
        <v>2694061443</v>
      </c>
      <c r="L3585">
        <v>2694061443</v>
      </c>
      <c r="M3585" t="s">
        <v>16070</v>
      </c>
      <c r="N3585" t="s">
        <v>16071</v>
      </c>
      <c r="O3585" t="s">
        <v>16072</v>
      </c>
      <c r="P3585">
        <v>25008</v>
      </c>
      <c r="Q3585" t="str">
        <f>"38.117904"</f>
        <v>38.117904</v>
      </c>
      <c r="R3585" t="str">
        <f>"21.725479"</f>
        <v>21.725479</v>
      </c>
      <c r="S3585" t="s">
        <v>26</v>
      </c>
    </row>
    <row r="3586" spans="1:19" x14ac:dyDescent="0.3">
      <c r="A3586" t="s">
        <v>13791</v>
      </c>
      <c r="B3586" t="s">
        <v>15775</v>
      </c>
      <c r="C3586" t="s">
        <v>14296</v>
      </c>
      <c r="D3586" t="s">
        <v>13798</v>
      </c>
      <c r="E3586" t="s">
        <v>13799</v>
      </c>
      <c r="F3586" t="s">
        <v>13799</v>
      </c>
      <c r="G3586" t="s">
        <v>13809</v>
      </c>
      <c r="H3586" t="s">
        <v>868</v>
      </c>
      <c r="I3586" t="s">
        <v>869</v>
      </c>
      <c r="J3586" t="str">
        <f>"9060250"</f>
        <v>9060250</v>
      </c>
      <c r="K3586">
        <v>2610328877</v>
      </c>
      <c r="L3586">
        <v>2610328877</v>
      </c>
      <c r="M3586" t="s">
        <v>16075</v>
      </c>
      <c r="N3586" t="s">
        <v>14253</v>
      </c>
      <c r="O3586" t="s">
        <v>16076</v>
      </c>
      <c r="P3586">
        <v>26334</v>
      </c>
      <c r="Q3586" t="str">
        <f>"38.230110"</f>
        <v>38.230110</v>
      </c>
      <c r="R3586" t="str">
        <f>"21.745407"</f>
        <v>21.745407</v>
      </c>
      <c r="S3586" t="s">
        <v>26</v>
      </c>
    </row>
    <row r="3587" spans="1:19" x14ac:dyDescent="0.3">
      <c r="A3587" t="s">
        <v>13791</v>
      </c>
      <c r="B3587" t="s">
        <v>15775</v>
      </c>
      <c r="C3587" t="s">
        <v>14306</v>
      </c>
      <c r="D3587" t="s">
        <v>13798</v>
      </c>
      <c r="E3587" t="s">
        <v>13799</v>
      </c>
      <c r="F3587" t="s">
        <v>13799</v>
      </c>
      <c r="G3587" t="s">
        <v>14241</v>
      </c>
      <c r="H3587" t="s">
        <v>868</v>
      </c>
      <c r="I3587" t="s">
        <v>869</v>
      </c>
      <c r="J3587" t="str">
        <f>"9060309"</f>
        <v>9060309</v>
      </c>
      <c r="K3587">
        <v>2610271857</v>
      </c>
      <c r="L3587">
        <v>2610271857</v>
      </c>
      <c r="M3587" t="s">
        <v>16077</v>
      </c>
      <c r="N3587" t="s">
        <v>13803</v>
      </c>
      <c r="O3587" t="s">
        <v>16078</v>
      </c>
      <c r="P3587">
        <v>26335</v>
      </c>
      <c r="Q3587" t="str">
        <f>"38.237685"</f>
        <v>38.237685</v>
      </c>
      <c r="R3587" t="str">
        <f>"21.747401"</f>
        <v>21.747401</v>
      </c>
      <c r="S3587" t="s">
        <v>26</v>
      </c>
    </row>
    <row r="3588" spans="1:19" x14ac:dyDescent="0.3">
      <c r="A3588" t="s">
        <v>13791</v>
      </c>
      <c r="B3588" t="s">
        <v>15775</v>
      </c>
      <c r="C3588" t="s">
        <v>16080</v>
      </c>
      <c r="D3588" t="s">
        <v>13798</v>
      </c>
      <c r="E3588" t="s">
        <v>13799</v>
      </c>
      <c r="F3588" t="s">
        <v>14276</v>
      </c>
      <c r="G3588" t="s">
        <v>16079</v>
      </c>
      <c r="H3588" t="s">
        <v>868</v>
      </c>
      <c r="I3588" t="s">
        <v>950</v>
      </c>
      <c r="J3588" t="str">
        <f>"9060291"</f>
        <v>9060291</v>
      </c>
      <c r="K3588">
        <v>2610998473</v>
      </c>
      <c r="L3588">
        <v>2610998498</v>
      </c>
      <c r="M3588" t="s">
        <v>16081</v>
      </c>
      <c r="N3588" t="s">
        <v>16082</v>
      </c>
      <c r="O3588" t="s">
        <v>13393</v>
      </c>
      <c r="P3588">
        <v>26504</v>
      </c>
      <c r="Q3588" t="str">
        <f>"38.280599"</f>
        <v>38.280599</v>
      </c>
      <c r="R3588" t="str">
        <f>"21.883046"</f>
        <v>21.883046</v>
      </c>
      <c r="S3588" t="s">
        <v>26</v>
      </c>
    </row>
    <row r="3589" spans="1:19" x14ac:dyDescent="0.3">
      <c r="A3589" t="s">
        <v>13791</v>
      </c>
      <c r="B3589" t="s">
        <v>15775</v>
      </c>
      <c r="C3589" t="s">
        <v>16093</v>
      </c>
      <c r="D3589" t="s">
        <v>13798</v>
      </c>
      <c r="E3589" t="s">
        <v>13799</v>
      </c>
      <c r="F3589" t="s">
        <v>14276</v>
      </c>
      <c r="G3589" t="s">
        <v>16092</v>
      </c>
      <c r="H3589" t="s">
        <v>868</v>
      </c>
      <c r="I3589" t="s">
        <v>869</v>
      </c>
      <c r="J3589" t="str">
        <f>"9060263"</f>
        <v>9060263</v>
      </c>
      <c r="K3589">
        <v>2610991447</v>
      </c>
      <c r="L3589">
        <v>2610991447</v>
      </c>
      <c r="M3589" t="s">
        <v>16094</v>
      </c>
      <c r="N3589" t="s">
        <v>16095</v>
      </c>
      <c r="O3589" t="s">
        <v>16096</v>
      </c>
      <c r="P3589">
        <v>26504</v>
      </c>
      <c r="Q3589" t="str">
        <f>"38.301917"</f>
        <v>38.301917</v>
      </c>
      <c r="R3589" t="str">
        <f>"21.795604"</f>
        <v>21.795604</v>
      </c>
      <c r="S3589" t="s">
        <v>26</v>
      </c>
    </row>
    <row r="3590" spans="1:19" x14ac:dyDescent="0.3">
      <c r="A3590" t="s">
        <v>13791</v>
      </c>
      <c r="B3590" t="s">
        <v>15775</v>
      </c>
      <c r="C3590" t="s">
        <v>14316</v>
      </c>
      <c r="D3590" t="s">
        <v>13798</v>
      </c>
      <c r="E3590" t="s">
        <v>14181</v>
      </c>
      <c r="F3590" t="s">
        <v>14182</v>
      </c>
      <c r="G3590" t="s">
        <v>14182</v>
      </c>
      <c r="H3590" t="s">
        <v>868</v>
      </c>
      <c r="I3590" t="s">
        <v>869</v>
      </c>
      <c r="J3590" t="str">
        <f>"9060008"</f>
        <v>9060008</v>
      </c>
      <c r="K3590">
        <v>2691028879</v>
      </c>
      <c r="L3590">
        <v>2691028879</v>
      </c>
      <c r="M3590" t="s">
        <v>16104</v>
      </c>
      <c r="N3590" t="s">
        <v>14185</v>
      </c>
      <c r="O3590" t="s">
        <v>16105</v>
      </c>
      <c r="P3590">
        <v>25100</v>
      </c>
      <c r="Q3590" t="str">
        <f>"38.246528"</f>
        <v>38.246528</v>
      </c>
      <c r="R3590" t="str">
        <f>"22.099139"</f>
        <v>22.099139</v>
      </c>
      <c r="S3590" t="s">
        <v>26</v>
      </c>
    </row>
    <row r="3591" spans="1:19" x14ac:dyDescent="0.3">
      <c r="A3591" t="s">
        <v>13791</v>
      </c>
      <c r="B3591" t="s">
        <v>15775</v>
      </c>
      <c r="C3591" t="s">
        <v>16107</v>
      </c>
      <c r="D3591" t="s">
        <v>13798</v>
      </c>
      <c r="E3591" t="s">
        <v>14181</v>
      </c>
      <c r="F3591" t="s">
        <v>14317</v>
      </c>
      <c r="G3591" t="s">
        <v>16106</v>
      </c>
      <c r="H3591" t="s">
        <v>868</v>
      </c>
      <c r="I3591" t="s">
        <v>950</v>
      </c>
      <c r="J3591" t="str">
        <f>"9060027"</f>
        <v>9060027</v>
      </c>
      <c r="K3591">
        <v>2691041204</v>
      </c>
      <c r="L3591">
        <v>2691041204</v>
      </c>
      <c r="M3591" t="s">
        <v>16108</v>
      </c>
      <c r="N3591" t="s">
        <v>16109</v>
      </c>
      <c r="O3591" t="s">
        <v>16110</v>
      </c>
      <c r="P3591">
        <v>25003</v>
      </c>
      <c r="Q3591" t="str">
        <f>"38.198457"</f>
        <v>38.198457</v>
      </c>
      <c r="R3591" t="str">
        <f>"22.172259"</f>
        <v>22.172259</v>
      </c>
      <c r="S3591" t="s">
        <v>26</v>
      </c>
    </row>
    <row r="3592" spans="1:19" x14ac:dyDescent="0.3">
      <c r="A3592" t="s">
        <v>13791</v>
      </c>
      <c r="B3592" t="s">
        <v>15775</v>
      </c>
      <c r="C3592" t="s">
        <v>16111</v>
      </c>
      <c r="D3592" t="s">
        <v>13798</v>
      </c>
      <c r="E3592" t="s">
        <v>13799</v>
      </c>
      <c r="F3592" t="s">
        <v>13799</v>
      </c>
      <c r="G3592" t="s">
        <v>13809</v>
      </c>
      <c r="H3592" t="s">
        <v>868</v>
      </c>
      <c r="I3592" t="s">
        <v>869</v>
      </c>
      <c r="J3592" t="str">
        <f>"9060157"</f>
        <v>9060157</v>
      </c>
      <c r="K3592">
        <v>2610322077</v>
      </c>
      <c r="L3592">
        <v>2610322077</v>
      </c>
      <c r="M3592" t="s">
        <v>16112</v>
      </c>
      <c r="N3592" t="s">
        <v>13803</v>
      </c>
      <c r="O3592" t="s">
        <v>16113</v>
      </c>
      <c r="P3592">
        <v>26222</v>
      </c>
      <c r="Q3592" t="str">
        <f>"38.237662"</f>
        <v>38.237662</v>
      </c>
      <c r="R3592" t="str">
        <f>"21.730500"</f>
        <v>21.730500</v>
      </c>
      <c r="S3592" t="s">
        <v>26</v>
      </c>
    </row>
    <row r="3593" spans="1:19" x14ac:dyDescent="0.3">
      <c r="A3593" t="s">
        <v>13791</v>
      </c>
      <c r="B3593" t="s">
        <v>15775</v>
      </c>
      <c r="C3593" t="s">
        <v>16114</v>
      </c>
      <c r="D3593" t="s">
        <v>13798</v>
      </c>
      <c r="E3593" t="s">
        <v>13799</v>
      </c>
      <c r="F3593" t="s">
        <v>13799</v>
      </c>
      <c r="G3593" t="s">
        <v>14236</v>
      </c>
      <c r="H3593" t="s">
        <v>868</v>
      </c>
      <c r="I3593" t="s">
        <v>869</v>
      </c>
      <c r="J3593" t="str">
        <f>"9060576"</f>
        <v>9060576</v>
      </c>
      <c r="K3593">
        <v>2610333312</v>
      </c>
      <c r="L3593">
        <v>2610333312</v>
      </c>
      <c r="M3593" t="s">
        <v>16115</v>
      </c>
      <c r="N3593" t="s">
        <v>13803</v>
      </c>
      <c r="O3593" t="s">
        <v>16016</v>
      </c>
      <c r="P3593">
        <v>26333</v>
      </c>
      <c r="Q3593" t="str">
        <f>"38.226804"</f>
        <v>38.226804</v>
      </c>
      <c r="R3593" t="str">
        <f>"21.729162"</f>
        <v>21.729162</v>
      </c>
      <c r="S3593" t="s">
        <v>26</v>
      </c>
    </row>
    <row r="3594" spans="1:19" x14ac:dyDescent="0.3">
      <c r="A3594" t="s">
        <v>13791</v>
      </c>
      <c r="B3594" t="s">
        <v>15775</v>
      </c>
      <c r="C3594" t="s">
        <v>16140</v>
      </c>
      <c r="D3594" t="s">
        <v>13798</v>
      </c>
      <c r="E3594" t="s">
        <v>13799</v>
      </c>
      <c r="F3594" t="s">
        <v>14212</v>
      </c>
      <c r="G3594" t="s">
        <v>16139</v>
      </c>
      <c r="H3594" t="s">
        <v>868</v>
      </c>
      <c r="I3594" t="s">
        <v>869</v>
      </c>
      <c r="J3594" t="str">
        <f>"9060217"</f>
        <v>9060217</v>
      </c>
      <c r="K3594">
        <v>2610671750</v>
      </c>
      <c r="L3594">
        <v>2610671750</v>
      </c>
      <c r="M3594" t="s">
        <v>16141</v>
      </c>
      <c r="N3594" t="s">
        <v>16142</v>
      </c>
      <c r="O3594" t="s">
        <v>16143</v>
      </c>
      <c r="P3594">
        <v>25002</v>
      </c>
      <c r="Q3594" t="str">
        <f>"38.181733"</f>
        <v>38.181733</v>
      </c>
      <c r="R3594" t="str">
        <f>"21.686285"</f>
        <v>21.686285</v>
      </c>
      <c r="S3594" t="s">
        <v>26</v>
      </c>
    </row>
    <row r="3595" spans="1:19" x14ac:dyDescent="0.3">
      <c r="A3595" t="s">
        <v>13791</v>
      </c>
      <c r="B3595" t="s">
        <v>15775</v>
      </c>
      <c r="C3595" t="s">
        <v>16151</v>
      </c>
      <c r="D3595" t="s">
        <v>13798</v>
      </c>
      <c r="E3595" t="s">
        <v>14181</v>
      </c>
      <c r="F3595" t="s">
        <v>14230</v>
      </c>
      <c r="G3595" t="s">
        <v>16150</v>
      </c>
      <c r="H3595" t="s">
        <v>868</v>
      </c>
      <c r="I3595" t="s">
        <v>950</v>
      </c>
      <c r="J3595" t="str">
        <f>"9060290"</f>
        <v>9060290</v>
      </c>
      <c r="K3595">
        <v>2691031813</v>
      </c>
      <c r="L3595">
        <v>2691031813</v>
      </c>
      <c r="M3595" t="s">
        <v>16152</v>
      </c>
      <c r="N3595" t="s">
        <v>16153</v>
      </c>
      <c r="O3595" t="s">
        <v>16154</v>
      </c>
      <c r="P3595">
        <v>25100</v>
      </c>
      <c r="Q3595" t="str">
        <f>"38.265149"</f>
        <v>38.265149</v>
      </c>
      <c r="R3595" t="str">
        <f>"21.939004"</f>
        <v>21.939004</v>
      </c>
      <c r="S3595" t="s">
        <v>26</v>
      </c>
    </row>
    <row r="3596" spans="1:19" x14ac:dyDescent="0.3">
      <c r="A3596" t="s">
        <v>13791</v>
      </c>
      <c r="B3596" t="s">
        <v>15775</v>
      </c>
      <c r="C3596" t="s">
        <v>14492</v>
      </c>
      <c r="D3596" t="s">
        <v>13798</v>
      </c>
      <c r="E3596" t="s">
        <v>13799</v>
      </c>
      <c r="F3596" t="s">
        <v>13799</v>
      </c>
      <c r="G3596" t="s">
        <v>13809</v>
      </c>
      <c r="H3596" t="s">
        <v>868</v>
      </c>
      <c r="I3596" t="s">
        <v>869</v>
      </c>
      <c r="J3596" t="str">
        <f>"9060142"</f>
        <v>9060142</v>
      </c>
      <c r="K3596">
        <v>2610321768</v>
      </c>
      <c r="L3596">
        <v>2610321768</v>
      </c>
      <c r="M3596" t="s">
        <v>16158</v>
      </c>
      <c r="N3596" t="s">
        <v>13803</v>
      </c>
      <c r="O3596" t="s">
        <v>16159</v>
      </c>
      <c r="P3596">
        <v>26222</v>
      </c>
      <c r="Q3596" t="str">
        <f>"38.243499"</f>
        <v>38.243499</v>
      </c>
      <c r="R3596" t="str">
        <f>"21.732303"</f>
        <v>21.732303</v>
      </c>
      <c r="S3596" t="s">
        <v>26</v>
      </c>
    </row>
    <row r="3597" spans="1:19" x14ac:dyDescent="0.3">
      <c r="A3597" t="s">
        <v>13791</v>
      </c>
      <c r="B3597" t="s">
        <v>15775</v>
      </c>
      <c r="C3597" t="s">
        <v>14534</v>
      </c>
      <c r="D3597" t="s">
        <v>13798</v>
      </c>
      <c r="E3597" t="s">
        <v>13799</v>
      </c>
      <c r="F3597" t="s">
        <v>13799</v>
      </c>
      <c r="G3597" t="s">
        <v>13800</v>
      </c>
      <c r="H3597" t="s">
        <v>868</v>
      </c>
      <c r="I3597" t="s">
        <v>869</v>
      </c>
      <c r="J3597" t="str">
        <f>"9060241"</f>
        <v>9060241</v>
      </c>
      <c r="K3597">
        <v>2610425142</v>
      </c>
      <c r="L3597">
        <v>2610425142</v>
      </c>
      <c r="M3597" t="s">
        <v>16160</v>
      </c>
      <c r="N3597" t="s">
        <v>13803</v>
      </c>
      <c r="O3597" t="s">
        <v>16161</v>
      </c>
      <c r="P3597">
        <v>26442</v>
      </c>
      <c r="Q3597" t="str">
        <f>"38.264792"</f>
        <v>38.264792</v>
      </c>
      <c r="R3597" t="str">
        <f>"21.746937"</f>
        <v>21.746937</v>
      </c>
      <c r="S3597" t="s">
        <v>26</v>
      </c>
    </row>
    <row r="3598" spans="1:19" x14ac:dyDescent="0.3">
      <c r="A3598" t="s">
        <v>13791</v>
      </c>
      <c r="B3598" t="s">
        <v>15775</v>
      </c>
      <c r="C3598" t="s">
        <v>16165</v>
      </c>
      <c r="D3598" t="s">
        <v>13798</v>
      </c>
      <c r="E3598" t="s">
        <v>14181</v>
      </c>
      <c r="F3598" t="s">
        <v>14182</v>
      </c>
      <c r="G3598" t="s">
        <v>14182</v>
      </c>
      <c r="H3598" t="s">
        <v>868</v>
      </c>
      <c r="I3598" t="s">
        <v>950</v>
      </c>
      <c r="J3598" t="str">
        <f>"9060011"</f>
        <v>9060011</v>
      </c>
      <c r="K3598">
        <v>2691022988</v>
      </c>
      <c r="L3598">
        <v>2691068476</v>
      </c>
      <c r="M3598" t="s">
        <v>16166</v>
      </c>
      <c r="N3598" t="s">
        <v>16167</v>
      </c>
      <c r="O3598" t="s">
        <v>16168</v>
      </c>
      <c r="P3598">
        <v>25100</v>
      </c>
      <c r="Q3598" t="str">
        <f>"38.258566"</f>
        <v>38.258566</v>
      </c>
      <c r="R3598" t="str">
        <f>"22.067908"</f>
        <v>22.067908</v>
      </c>
      <c r="S3598" t="s">
        <v>26</v>
      </c>
    </row>
    <row r="3599" spans="1:19" x14ac:dyDescent="0.3">
      <c r="A3599" t="s">
        <v>13791</v>
      </c>
      <c r="B3599" t="s">
        <v>15775</v>
      </c>
      <c r="C3599" t="s">
        <v>16182</v>
      </c>
      <c r="D3599" t="s">
        <v>13798</v>
      </c>
      <c r="E3599" t="s">
        <v>14200</v>
      </c>
      <c r="F3599" t="s">
        <v>14329</v>
      </c>
      <c r="G3599" t="s">
        <v>16181</v>
      </c>
      <c r="H3599" t="s">
        <v>868</v>
      </c>
      <c r="I3599" t="s">
        <v>950</v>
      </c>
      <c r="J3599" t="str">
        <f>"9060376"</f>
        <v>9060376</v>
      </c>
      <c r="K3599">
        <v>2610647092</v>
      </c>
      <c r="L3599">
        <v>2610647092</v>
      </c>
      <c r="M3599" t="s">
        <v>16183</v>
      </c>
      <c r="N3599" t="s">
        <v>16184</v>
      </c>
      <c r="O3599" t="s">
        <v>16184</v>
      </c>
      <c r="P3599">
        <v>25200</v>
      </c>
      <c r="Q3599" t="str">
        <f>"38.104063"</f>
        <v>38.104063</v>
      </c>
      <c r="R3599" t="str">
        <f>"21.660452"</f>
        <v>21.660452</v>
      </c>
      <c r="S3599" t="s">
        <v>26</v>
      </c>
    </row>
    <row r="3600" spans="1:19" x14ac:dyDescent="0.3">
      <c r="A3600" t="s">
        <v>13791</v>
      </c>
      <c r="B3600" t="s">
        <v>15775</v>
      </c>
      <c r="C3600" t="s">
        <v>16185</v>
      </c>
      <c r="D3600" t="s">
        <v>13798</v>
      </c>
      <c r="E3600" t="s">
        <v>14181</v>
      </c>
      <c r="F3600" t="s">
        <v>14182</v>
      </c>
      <c r="G3600" t="s">
        <v>14182</v>
      </c>
      <c r="H3600" t="s">
        <v>868</v>
      </c>
      <c r="I3600" t="s">
        <v>869</v>
      </c>
      <c r="J3600" t="str">
        <f>"9060009"</f>
        <v>9060009</v>
      </c>
      <c r="K3600">
        <v>2691022981</v>
      </c>
      <c r="L3600">
        <v>2691022981</v>
      </c>
      <c r="M3600" t="s">
        <v>16186</v>
      </c>
      <c r="N3600" t="s">
        <v>16187</v>
      </c>
      <c r="O3600" t="s">
        <v>16133</v>
      </c>
      <c r="P3600">
        <v>25100</v>
      </c>
      <c r="Q3600" t="str">
        <f>"38.239147"</f>
        <v>38.239147</v>
      </c>
      <c r="R3600" t="str">
        <f>"22.092459"</f>
        <v>22.092459</v>
      </c>
      <c r="S3600" t="s">
        <v>26</v>
      </c>
    </row>
    <row r="3601" spans="1:19" x14ac:dyDescent="0.3">
      <c r="A3601" t="s">
        <v>13791</v>
      </c>
      <c r="B3601" t="s">
        <v>15775</v>
      </c>
      <c r="C3601" t="s">
        <v>14390</v>
      </c>
      <c r="D3601" t="s">
        <v>13798</v>
      </c>
      <c r="E3601" t="s">
        <v>13799</v>
      </c>
      <c r="F3601" t="s">
        <v>13799</v>
      </c>
      <c r="G3601" t="s">
        <v>13809</v>
      </c>
      <c r="H3601" t="s">
        <v>868</v>
      </c>
      <c r="I3601" t="s">
        <v>869</v>
      </c>
      <c r="J3601" t="str">
        <f>"9060155"</f>
        <v>9060155</v>
      </c>
      <c r="K3601">
        <v>2610321707</v>
      </c>
      <c r="L3601">
        <v>2610321707</v>
      </c>
      <c r="M3601" t="s">
        <v>16188</v>
      </c>
      <c r="N3601" t="s">
        <v>14309</v>
      </c>
      <c r="O3601" t="s">
        <v>16189</v>
      </c>
      <c r="P3601">
        <v>26224</v>
      </c>
      <c r="Q3601" t="str">
        <f>"38.238876"</f>
        <v>38.238876</v>
      </c>
      <c r="R3601" t="str">
        <f>"21.735542"</f>
        <v>21.735542</v>
      </c>
      <c r="S3601" t="s">
        <v>26</v>
      </c>
    </row>
    <row r="3602" spans="1:19" x14ac:dyDescent="0.3">
      <c r="A3602" t="s">
        <v>13791</v>
      </c>
      <c r="B3602" t="s">
        <v>15775</v>
      </c>
      <c r="C3602" t="s">
        <v>14374</v>
      </c>
      <c r="D3602" t="s">
        <v>13798</v>
      </c>
      <c r="E3602" t="s">
        <v>13799</v>
      </c>
      <c r="F3602" t="s">
        <v>13799</v>
      </c>
      <c r="G3602" t="s">
        <v>14236</v>
      </c>
      <c r="H3602" t="s">
        <v>868</v>
      </c>
      <c r="I3602" t="s">
        <v>869</v>
      </c>
      <c r="J3602" t="str">
        <f>"9060144"</f>
        <v>9060144</v>
      </c>
      <c r="K3602">
        <v>2610321467</v>
      </c>
      <c r="L3602">
        <v>2610339247</v>
      </c>
      <c r="M3602" t="s">
        <v>16237</v>
      </c>
      <c r="N3602" t="s">
        <v>13803</v>
      </c>
      <c r="O3602" t="s">
        <v>16238</v>
      </c>
      <c r="P3602">
        <v>26333</v>
      </c>
      <c r="Q3602" t="str">
        <f>"38.228004"</f>
        <v>38.228004</v>
      </c>
      <c r="R3602" t="str">
        <f>"21.723880"</f>
        <v>21.723880</v>
      </c>
      <c r="S3602" t="s">
        <v>26</v>
      </c>
    </row>
    <row r="3603" spans="1:19" x14ac:dyDescent="0.3">
      <c r="A3603" t="s">
        <v>13791</v>
      </c>
      <c r="B3603" t="s">
        <v>15775</v>
      </c>
      <c r="C3603" t="s">
        <v>16246</v>
      </c>
      <c r="D3603" t="s">
        <v>13798</v>
      </c>
      <c r="E3603" t="s">
        <v>13799</v>
      </c>
      <c r="F3603" t="s">
        <v>13799</v>
      </c>
      <c r="G3603" t="s">
        <v>13809</v>
      </c>
      <c r="H3603" t="s">
        <v>868</v>
      </c>
      <c r="I3603" t="s">
        <v>869</v>
      </c>
      <c r="J3603" t="str">
        <f>"9060150"</f>
        <v>9060150</v>
      </c>
      <c r="K3603">
        <v>2610221075</v>
      </c>
      <c r="L3603">
        <v>2610221075</v>
      </c>
      <c r="M3603" t="s">
        <v>16247</v>
      </c>
      <c r="N3603" t="s">
        <v>13803</v>
      </c>
      <c r="O3603" t="s">
        <v>16054</v>
      </c>
      <c r="P3603">
        <v>26225</v>
      </c>
      <c r="Q3603" t="str">
        <f>"38.243836"</f>
        <v>38.243836</v>
      </c>
      <c r="R3603" t="str">
        <f>"21.738460"</f>
        <v>21.738460</v>
      </c>
      <c r="S3603" t="s">
        <v>26</v>
      </c>
    </row>
    <row r="3604" spans="1:19" x14ac:dyDescent="0.3">
      <c r="A3604" t="s">
        <v>13791</v>
      </c>
      <c r="B3604" t="s">
        <v>15775</v>
      </c>
      <c r="C3604" t="s">
        <v>14285</v>
      </c>
      <c r="D3604" t="s">
        <v>13798</v>
      </c>
      <c r="E3604" t="s">
        <v>13799</v>
      </c>
      <c r="F3604" t="s">
        <v>13799</v>
      </c>
      <c r="G3604" t="s">
        <v>13809</v>
      </c>
      <c r="H3604" t="s">
        <v>868</v>
      </c>
      <c r="I3604" t="s">
        <v>869</v>
      </c>
      <c r="J3604" t="str">
        <f>"9060235"</f>
        <v>9060235</v>
      </c>
      <c r="K3604">
        <v>2610220955</v>
      </c>
      <c r="L3604">
        <v>2610220955</v>
      </c>
      <c r="M3604" t="s">
        <v>16303</v>
      </c>
      <c r="N3604" t="s">
        <v>13803</v>
      </c>
      <c r="O3604" t="s">
        <v>16057</v>
      </c>
      <c r="P3604">
        <v>26223</v>
      </c>
      <c r="Q3604" t="str">
        <f>"38.250801"</f>
        <v>38.250801</v>
      </c>
      <c r="R3604" t="str">
        <f>"21.738971"</f>
        <v>21.738971</v>
      </c>
      <c r="S3604" t="s">
        <v>26</v>
      </c>
    </row>
    <row r="3605" spans="1:19" x14ac:dyDescent="0.3">
      <c r="A3605" t="s">
        <v>13791</v>
      </c>
      <c r="B3605" t="s">
        <v>15775</v>
      </c>
      <c r="C3605" t="s">
        <v>14355</v>
      </c>
      <c r="D3605" t="s">
        <v>13798</v>
      </c>
      <c r="E3605" t="s">
        <v>13799</v>
      </c>
      <c r="F3605" t="s">
        <v>14349</v>
      </c>
      <c r="G3605" t="s">
        <v>14350</v>
      </c>
      <c r="H3605" t="s">
        <v>868</v>
      </c>
      <c r="I3605" t="s">
        <v>869</v>
      </c>
      <c r="J3605" t="str">
        <f>"9060441"</f>
        <v>9060441</v>
      </c>
      <c r="K3605">
        <v>2610520676</v>
      </c>
      <c r="L3605">
        <v>2610520732</v>
      </c>
      <c r="M3605" t="s">
        <v>16316</v>
      </c>
      <c r="N3605" t="s">
        <v>14612</v>
      </c>
      <c r="O3605" t="s">
        <v>16317</v>
      </c>
      <c r="P3605">
        <v>26332</v>
      </c>
      <c r="Q3605" t="str">
        <f>"38.201140"</f>
        <v>38.201140</v>
      </c>
      <c r="R3605" t="str">
        <f>"21.740075"</f>
        <v>21.740075</v>
      </c>
      <c r="S3605" t="s">
        <v>26</v>
      </c>
    </row>
    <row r="3606" spans="1:19" x14ac:dyDescent="0.3">
      <c r="A3606" t="s">
        <v>13791</v>
      </c>
      <c r="B3606" t="s">
        <v>15775</v>
      </c>
      <c r="C3606" t="s">
        <v>16341</v>
      </c>
      <c r="D3606" t="s">
        <v>13798</v>
      </c>
      <c r="E3606" t="s">
        <v>14200</v>
      </c>
      <c r="F3606" t="s">
        <v>14286</v>
      </c>
      <c r="G3606" t="s">
        <v>16340</v>
      </c>
      <c r="H3606" t="s">
        <v>868</v>
      </c>
      <c r="I3606" t="s">
        <v>950</v>
      </c>
      <c r="J3606" t="str">
        <f>"9060430"</f>
        <v>9060430</v>
      </c>
      <c r="K3606">
        <v>2693099444</v>
      </c>
      <c r="L3606">
        <v>2693099444</v>
      </c>
      <c r="M3606" t="s">
        <v>16342</v>
      </c>
      <c r="N3606" t="s">
        <v>16343</v>
      </c>
      <c r="O3606" t="s">
        <v>16344</v>
      </c>
      <c r="P3606">
        <v>25200</v>
      </c>
      <c r="Q3606" t="str">
        <f>"38.004954"</f>
        <v>38.004954</v>
      </c>
      <c r="R3606" t="str">
        <f>"21.512141"</f>
        <v>21.512141</v>
      </c>
      <c r="S3606" t="s">
        <v>26</v>
      </c>
    </row>
    <row r="3607" spans="1:19" x14ac:dyDescent="0.3">
      <c r="A3607" t="s">
        <v>13791</v>
      </c>
      <c r="B3607" t="s">
        <v>15775</v>
      </c>
      <c r="C3607" t="s">
        <v>16391</v>
      </c>
      <c r="D3607" t="s">
        <v>13798</v>
      </c>
      <c r="E3607" t="s">
        <v>13799</v>
      </c>
      <c r="F3607" t="s">
        <v>14349</v>
      </c>
      <c r="G3607" t="s">
        <v>14411</v>
      </c>
      <c r="H3607" t="s">
        <v>868</v>
      </c>
      <c r="I3607" t="s">
        <v>869</v>
      </c>
      <c r="J3607" t="str">
        <f>"9060575"</f>
        <v>9060575</v>
      </c>
      <c r="K3607">
        <v>2610524609</v>
      </c>
      <c r="L3607">
        <v>2610524609</v>
      </c>
      <c r="M3607" t="s">
        <v>16392</v>
      </c>
      <c r="N3607" t="s">
        <v>16393</v>
      </c>
      <c r="O3607" t="s">
        <v>16394</v>
      </c>
      <c r="P3607">
        <v>26500</v>
      </c>
      <c r="Q3607" t="str">
        <f>"38.188741"</f>
        <v>38.188741</v>
      </c>
      <c r="R3607" t="str">
        <f>"21.732651"</f>
        <v>21.732651</v>
      </c>
      <c r="S3607" t="s">
        <v>26</v>
      </c>
    </row>
    <row r="3608" spans="1:19" x14ac:dyDescent="0.3">
      <c r="A3608" t="s">
        <v>13791</v>
      </c>
      <c r="B3608" t="s">
        <v>15775</v>
      </c>
      <c r="C3608" t="s">
        <v>16395</v>
      </c>
      <c r="D3608" t="s">
        <v>13798</v>
      </c>
      <c r="E3608" t="s">
        <v>13799</v>
      </c>
      <c r="F3608" t="s">
        <v>13799</v>
      </c>
      <c r="G3608" t="s">
        <v>14236</v>
      </c>
      <c r="H3608" t="s">
        <v>868</v>
      </c>
      <c r="I3608" t="s">
        <v>869</v>
      </c>
      <c r="J3608" t="str">
        <f>"9060143"</f>
        <v>9060143</v>
      </c>
      <c r="K3608">
        <v>2610321778</v>
      </c>
      <c r="L3608">
        <v>2610321778</v>
      </c>
      <c r="M3608" t="s">
        <v>16396</v>
      </c>
      <c r="N3608" t="s">
        <v>13803</v>
      </c>
      <c r="O3608" t="s">
        <v>16397</v>
      </c>
      <c r="P3608">
        <v>26332</v>
      </c>
      <c r="Q3608" t="str">
        <f>"38.222341"</f>
        <v>38.222341</v>
      </c>
      <c r="R3608" t="str">
        <f>"21.724765"</f>
        <v>21.724765</v>
      </c>
      <c r="S3608" t="s">
        <v>26</v>
      </c>
    </row>
    <row r="3609" spans="1:19" x14ac:dyDescent="0.3">
      <c r="A3609" t="s">
        <v>13791</v>
      </c>
      <c r="B3609" t="s">
        <v>15775</v>
      </c>
      <c r="C3609" t="s">
        <v>16398</v>
      </c>
      <c r="D3609" t="s">
        <v>13798</v>
      </c>
      <c r="E3609" t="s">
        <v>13799</v>
      </c>
      <c r="F3609" t="s">
        <v>13799</v>
      </c>
      <c r="G3609" t="s">
        <v>13809</v>
      </c>
      <c r="H3609" t="s">
        <v>868</v>
      </c>
      <c r="I3609" t="s">
        <v>869</v>
      </c>
      <c r="J3609" t="str">
        <f>"9060305"</f>
        <v>9060305</v>
      </c>
      <c r="K3609">
        <v>2610321553</v>
      </c>
      <c r="L3609">
        <v>2610310486</v>
      </c>
      <c r="M3609" t="s">
        <v>16399</v>
      </c>
      <c r="N3609" t="s">
        <v>13803</v>
      </c>
      <c r="O3609" t="s">
        <v>16400</v>
      </c>
      <c r="P3609">
        <v>26226</v>
      </c>
      <c r="Q3609" t="str">
        <f>"38.234984"</f>
        <v>38.234984</v>
      </c>
      <c r="R3609" t="str">
        <f>"21.745530"</f>
        <v>21.745530</v>
      </c>
      <c r="S3609" t="s">
        <v>26</v>
      </c>
    </row>
    <row r="3610" spans="1:19" x14ac:dyDescent="0.3">
      <c r="A3610" t="s">
        <v>13791</v>
      </c>
      <c r="B3610" t="s">
        <v>15775</v>
      </c>
      <c r="C3610" t="s">
        <v>16401</v>
      </c>
      <c r="D3610" t="s">
        <v>13798</v>
      </c>
      <c r="E3610" t="s">
        <v>13799</v>
      </c>
      <c r="F3610" t="s">
        <v>13799</v>
      </c>
      <c r="G3610" t="s">
        <v>14241</v>
      </c>
      <c r="H3610" t="s">
        <v>868</v>
      </c>
      <c r="I3610" t="s">
        <v>869</v>
      </c>
      <c r="J3610" t="str">
        <f>"9060245"</f>
        <v>9060245</v>
      </c>
      <c r="K3610">
        <v>2610223118</v>
      </c>
      <c r="L3610">
        <v>2610223118</v>
      </c>
      <c r="M3610" t="s">
        <v>16402</v>
      </c>
      <c r="N3610" t="s">
        <v>13803</v>
      </c>
      <c r="O3610" t="s">
        <v>16403</v>
      </c>
      <c r="P3610">
        <v>26335</v>
      </c>
      <c r="Q3610" t="str">
        <f>"38.230614"</f>
        <v>38.230614</v>
      </c>
      <c r="R3610" t="str">
        <f>"21.751846"</f>
        <v>21.751846</v>
      </c>
      <c r="S3610" t="s">
        <v>26</v>
      </c>
    </row>
    <row r="3611" spans="1:19" x14ac:dyDescent="0.3">
      <c r="A3611" t="s">
        <v>13791</v>
      </c>
      <c r="B3611" t="s">
        <v>15775</v>
      </c>
      <c r="C3611" t="s">
        <v>16418</v>
      </c>
      <c r="D3611" t="s">
        <v>13798</v>
      </c>
      <c r="E3611" t="s">
        <v>14181</v>
      </c>
      <c r="F3611" t="s">
        <v>15801</v>
      </c>
      <c r="G3611" t="s">
        <v>15875</v>
      </c>
      <c r="H3611" t="s">
        <v>868</v>
      </c>
      <c r="I3611" t="s">
        <v>869</v>
      </c>
      <c r="J3611" t="str">
        <f>"9060055"</f>
        <v>9060055</v>
      </c>
      <c r="K3611">
        <v>2691071484</v>
      </c>
      <c r="L3611">
        <v>2691071484</v>
      </c>
      <c r="M3611" t="s">
        <v>16419</v>
      </c>
      <c r="N3611" t="s">
        <v>16420</v>
      </c>
      <c r="O3611" t="s">
        <v>16421</v>
      </c>
      <c r="P3611">
        <v>25100</v>
      </c>
      <c r="Q3611" t="str">
        <f>"38.273274"</f>
        <v>38.273274</v>
      </c>
      <c r="R3611" t="str">
        <f>"22.048797"</f>
        <v>22.048797</v>
      </c>
      <c r="S3611" t="s">
        <v>26</v>
      </c>
    </row>
    <row r="3612" spans="1:19" x14ac:dyDescent="0.3">
      <c r="A3612" t="s">
        <v>13791</v>
      </c>
      <c r="B3612" t="s">
        <v>15775</v>
      </c>
      <c r="C3612" t="s">
        <v>14386</v>
      </c>
      <c r="D3612" t="s">
        <v>13798</v>
      </c>
      <c r="E3612" t="s">
        <v>14181</v>
      </c>
      <c r="F3612" t="s">
        <v>14381</v>
      </c>
      <c r="G3612" t="s">
        <v>14381</v>
      </c>
      <c r="H3612" t="s">
        <v>868</v>
      </c>
      <c r="I3612" t="s">
        <v>869</v>
      </c>
      <c r="J3612" t="str">
        <f>"9060013"</f>
        <v>9060013</v>
      </c>
      <c r="K3612">
        <v>2696031228</v>
      </c>
      <c r="L3612">
        <v>2696039035</v>
      </c>
      <c r="M3612" t="s">
        <v>16422</v>
      </c>
      <c r="N3612" t="s">
        <v>14384</v>
      </c>
      <c r="O3612" t="s">
        <v>16423</v>
      </c>
      <c r="P3612">
        <v>25010</v>
      </c>
      <c r="Q3612" t="str">
        <f>"38.148010"</f>
        <v>38.148010</v>
      </c>
      <c r="R3612" t="str">
        <f>"22.359749"</f>
        <v>22.359749</v>
      </c>
      <c r="S3612" t="s">
        <v>26</v>
      </c>
    </row>
    <row r="3613" spans="1:19" x14ac:dyDescent="0.3">
      <c r="A3613" t="s">
        <v>13791</v>
      </c>
      <c r="B3613" t="s">
        <v>15775</v>
      </c>
      <c r="C3613" t="s">
        <v>16430</v>
      </c>
      <c r="D3613" t="s">
        <v>13798</v>
      </c>
      <c r="E3613" t="s">
        <v>14181</v>
      </c>
      <c r="F3613" t="s">
        <v>14182</v>
      </c>
      <c r="G3613" t="s">
        <v>14182</v>
      </c>
      <c r="H3613" t="s">
        <v>868</v>
      </c>
      <c r="I3613" t="s">
        <v>869</v>
      </c>
      <c r="J3613" t="str">
        <f>"9060004"</f>
        <v>9060004</v>
      </c>
      <c r="K3613">
        <v>2691027922</v>
      </c>
      <c r="L3613">
        <v>2691027922</v>
      </c>
      <c r="M3613" t="s">
        <v>16431</v>
      </c>
      <c r="N3613" t="s">
        <v>14185</v>
      </c>
      <c r="O3613" t="s">
        <v>16432</v>
      </c>
      <c r="P3613">
        <v>25100</v>
      </c>
      <c r="Q3613" t="str">
        <f>"38.250826"</f>
        <v>38.250826</v>
      </c>
      <c r="R3613" t="str">
        <f>"22.090679"</f>
        <v>22.090679</v>
      </c>
      <c r="S3613" t="s">
        <v>26</v>
      </c>
    </row>
    <row r="3614" spans="1:19" x14ac:dyDescent="0.3">
      <c r="A3614" t="s">
        <v>13791</v>
      </c>
      <c r="B3614" t="s">
        <v>15775</v>
      </c>
      <c r="C3614" t="s">
        <v>14235</v>
      </c>
      <c r="D3614" t="s">
        <v>13798</v>
      </c>
      <c r="E3614" t="s">
        <v>14181</v>
      </c>
      <c r="F3614" t="s">
        <v>14230</v>
      </c>
      <c r="G3614" t="s">
        <v>14231</v>
      </c>
      <c r="H3614" t="s">
        <v>868</v>
      </c>
      <c r="I3614" t="s">
        <v>869</v>
      </c>
      <c r="J3614" t="str">
        <f>"9060276"</f>
        <v>9060276</v>
      </c>
      <c r="K3614">
        <v>2691031173</v>
      </c>
      <c r="L3614">
        <v>2691031173</v>
      </c>
      <c r="M3614" t="s">
        <v>16433</v>
      </c>
      <c r="N3614" t="s">
        <v>13150</v>
      </c>
      <c r="O3614" t="s">
        <v>13150</v>
      </c>
      <c r="P3614">
        <v>25009</v>
      </c>
      <c r="Q3614" t="str">
        <f>"38.298765"</f>
        <v>38.298765</v>
      </c>
      <c r="R3614" t="str">
        <f>"22.001473"</f>
        <v>22.001473</v>
      </c>
      <c r="S3614" t="s">
        <v>26</v>
      </c>
    </row>
    <row r="3615" spans="1:19" x14ac:dyDescent="0.3">
      <c r="A3615" t="s">
        <v>13791</v>
      </c>
      <c r="B3615" t="s">
        <v>15775</v>
      </c>
      <c r="C3615" t="s">
        <v>16434</v>
      </c>
      <c r="D3615" t="s">
        <v>13798</v>
      </c>
      <c r="E3615" t="s">
        <v>14181</v>
      </c>
      <c r="F3615" t="s">
        <v>14182</v>
      </c>
      <c r="G3615" t="s">
        <v>16028</v>
      </c>
      <c r="H3615" t="s">
        <v>868</v>
      </c>
      <c r="I3615" t="s">
        <v>869</v>
      </c>
      <c r="J3615" t="str">
        <f>"9060060"</f>
        <v>9060060</v>
      </c>
      <c r="K3615">
        <v>2691051348</v>
      </c>
      <c r="L3615">
        <v>2691052180</v>
      </c>
      <c r="M3615" t="s">
        <v>16435</v>
      </c>
      <c r="N3615" t="s">
        <v>16436</v>
      </c>
      <c r="O3615" t="s">
        <v>16436</v>
      </c>
      <c r="P3615">
        <v>25100</v>
      </c>
      <c r="Q3615" t="str">
        <f>"38.237570"</f>
        <v>38.237570</v>
      </c>
      <c r="R3615" t="str">
        <f>"22.122881"</f>
        <v>22.122881</v>
      </c>
      <c r="S3615" t="s">
        <v>26</v>
      </c>
    </row>
    <row r="3616" spans="1:19" x14ac:dyDescent="0.3">
      <c r="A3616" t="s">
        <v>13791</v>
      </c>
      <c r="B3616" t="s">
        <v>15775</v>
      </c>
      <c r="C3616" t="s">
        <v>14199</v>
      </c>
      <c r="D3616" t="s">
        <v>13798</v>
      </c>
      <c r="E3616" t="s">
        <v>14181</v>
      </c>
      <c r="F3616" t="s">
        <v>14182</v>
      </c>
      <c r="G3616" t="s">
        <v>15967</v>
      </c>
      <c r="H3616" t="s">
        <v>868</v>
      </c>
      <c r="I3616" t="s">
        <v>869</v>
      </c>
      <c r="J3616" t="str">
        <f>"9060034"</f>
        <v>9060034</v>
      </c>
      <c r="K3616">
        <v>2691022664</v>
      </c>
      <c r="L3616">
        <v>2691022664</v>
      </c>
      <c r="M3616" t="s">
        <v>16437</v>
      </c>
      <c r="N3616" t="s">
        <v>16438</v>
      </c>
      <c r="O3616" t="s">
        <v>16439</v>
      </c>
      <c r="P3616">
        <v>25100</v>
      </c>
      <c r="Q3616" t="str">
        <f>"38.237206"</f>
        <v>38.237206</v>
      </c>
      <c r="R3616" t="str">
        <f>"22.083820"</f>
        <v>22.083820</v>
      </c>
      <c r="S3616" t="s">
        <v>26</v>
      </c>
    </row>
    <row r="3617" spans="1:19" x14ac:dyDescent="0.3">
      <c r="A3617" t="s">
        <v>13791</v>
      </c>
      <c r="B3617" t="s">
        <v>15775</v>
      </c>
      <c r="C3617" t="s">
        <v>16441</v>
      </c>
      <c r="D3617" t="s">
        <v>13798</v>
      </c>
      <c r="E3617" t="s">
        <v>14181</v>
      </c>
      <c r="F3617" t="s">
        <v>14182</v>
      </c>
      <c r="G3617" t="s">
        <v>16440</v>
      </c>
      <c r="H3617" t="s">
        <v>868</v>
      </c>
      <c r="I3617" t="s">
        <v>950</v>
      </c>
      <c r="J3617" t="str">
        <f>"9060058"</f>
        <v>9060058</v>
      </c>
      <c r="K3617">
        <v>2691024580</v>
      </c>
      <c r="L3617">
        <v>2691024580</v>
      </c>
      <c r="M3617" t="s">
        <v>16442</v>
      </c>
      <c r="N3617" t="s">
        <v>16443</v>
      </c>
      <c r="O3617" t="s">
        <v>16444</v>
      </c>
      <c r="P3617">
        <v>25100</v>
      </c>
      <c r="Q3617" t="str">
        <f>"38.221620"</f>
        <v>38.221620</v>
      </c>
      <c r="R3617" t="str">
        <f>"22.095890"</f>
        <v>22.095890</v>
      </c>
      <c r="S3617" t="s">
        <v>26</v>
      </c>
    </row>
    <row r="3618" spans="1:19" x14ac:dyDescent="0.3">
      <c r="A3618" t="s">
        <v>13791</v>
      </c>
      <c r="B3618" t="s">
        <v>15775</v>
      </c>
      <c r="C3618" t="s">
        <v>16445</v>
      </c>
      <c r="D3618" t="s">
        <v>13798</v>
      </c>
      <c r="E3618" t="s">
        <v>14181</v>
      </c>
      <c r="F3618" t="s">
        <v>14261</v>
      </c>
      <c r="G3618" t="s">
        <v>16048</v>
      </c>
      <c r="H3618" t="s">
        <v>868</v>
      </c>
      <c r="I3618" t="s">
        <v>869</v>
      </c>
      <c r="J3618" t="str">
        <f>"9060001"</f>
        <v>9060001</v>
      </c>
      <c r="K3618">
        <v>2696033084</v>
      </c>
      <c r="L3618">
        <v>2696039046</v>
      </c>
      <c r="M3618" t="s">
        <v>16446</v>
      </c>
      <c r="N3618" t="s">
        <v>14264</v>
      </c>
      <c r="O3618" t="s">
        <v>16447</v>
      </c>
      <c r="P3618">
        <v>25006</v>
      </c>
      <c r="Q3618" t="str">
        <f>"38.158420"</f>
        <v>38.158420</v>
      </c>
      <c r="R3618" t="str">
        <f>"22.344868"</f>
        <v>22.344868</v>
      </c>
      <c r="S3618" t="s">
        <v>26</v>
      </c>
    </row>
    <row r="3619" spans="1:19" x14ac:dyDescent="0.3">
      <c r="A3619" t="s">
        <v>13791</v>
      </c>
      <c r="B3619" t="s">
        <v>15775</v>
      </c>
      <c r="C3619" t="s">
        <v>14266</v>
      </c>
      <c r="D3619" t="s">
        <v>13798</v>
      </c>
      <c r="E3619" t="s">
        <v>14181</v>
      </c>
      <c r="F3619" t="s">
        <v>14261</v>
      </c>
      <c r="G3619" t="s">
        <v>14261</v>
      </c>
      <c r="H3619" t="s">
        <v>868</v>
      </c>
      <c r="I3619" t="s">
        <v>869</v>
      </c>
      <c r="J3619" t="str">
        <f>"9060016"</f>
        <v>9060016</v>
      </c>
      <c r="K3619">
        <v>2696022586</v>
      </c>
      <c r="M3619" t="s">
        <v>16451</v>
      </c>
      <c r="N3619" t="s">
        <v>14264</v>
      </c>
      <c r="O3619" t="s">
        <v>14264</v>
      </c>
      <c r="P3619">
        <v>25006</v>
      </c>
      <c r="Q3619" t="str">
        <f>"38.155900"</f>
        <v>38.155900</v>
      </c>
      <c r="R3619" t="str">
        <f>"22.317306"</f>
        <v>22.317306</v>
      </c>
      <c r="S3619" t="s">
        <v>26</v>
      </c>
    </row>
    <row r="3620" spans="1:19" x14ac:dyDescent="0.3">
      <c r="A3620" t="s">
        <v>13791</v>
      </c>
      <c r="B3620" t="s">
        <v>15775</v>
      </c>
      <c r="C3620" t="s">
        <v>14187</v>
      </c>
      <c r="D3620" t="s">
        <v>13798</v>
      </c>
      <c r="E3620" t="s">
        <v>14181</v>
      </c>
      <c r="F3620" t="s">
        <v>14182</v>
      </c>
      <c r="G3620" t="s">
        <v>14182</v>
      </c>
      <c r="H3620" t="s">
        <v>868</v>
      </c>
      <c r="I3620" t="s">
        <v>869</v>
      </c>
      <c r="J3620" t="str">
        <f>"9060006"</f>
        <v>9060006</v>
      </c>
      <c r="K3620">
        <v>2691028826</v>
      </c>
      <c r="L3620">
        <v>2691028826</v>
      </c>
      <c r="M3620" t="s">
        <v>16452</v>
      </c>
      <c r="N3620" t="s">
        <v>16453</v>
      </c>
      <c r="O3620" t="s">
        <v>16454</v>
      </c>
      <c r="P3620">
        <v>25100</v>
      </c>
      <c r="Q3620" t="str">
        <f>"38.246542"</f>
        <v>38.246542</v>
      </c>
      <c r="R3620" t="str">
        <f>"22.073291"</f>
        <v>22.073291</v>
      </c>
      <c r="S3620" t="s">
        <v>26</v>
      </c>
    </row>
    <row r="3621" spans="1:19" x14ac:dyDescent="0.3">
      <c r="A3621" t="s">
        <v>13791</v>
      </c>
      <c r="B3621" t="s">
        <v>15775</v>
      </c>
      <c r="C3621" t="s">
        <v>14240</v>
      </c>
      <c r="D3621" t="s">
        <v>13798</v>
      </c>
      <c r="E3621" t="s">
        <v>13799</v>
      </c>
      <c r="F3621" t="s">
        <v>13799</v>
      </c>
      <c r="G3621" t="s">
        <v>13809</v>
      </c>
      <c r="H3621" t="s">
        <v>868</v>
      </c>
      <c r="I3621" t="s">
        <v>869</v>
      </c>
      <c r="J3621" t="str">
        <f>"9060304"</f>
        <v>9060304</v>
      </c>
      <c r="K3621">
        <v>2610321110</v>
      </c>
      <c r="L3621">
        <v>2610312598</v>
      </c>
      <c r="M3621" t="s">
        <v>16455</v>
      </c>
      <c r="N3621" t="s">
        <v>13803</v>
      </c>
      <c r="O3621" t="s">
        <v>16456</v>
      </c>
      <c r="P3621">
        <v>26224</v>
      </c>
      <c r="Q3621" t="str">
        <f>"38.234553"</f>
        <v>38.234553</v>
      </c>
      <c r="R3621" t="str">
        <f>"21.737047"</f>
        <v>21.737047</v>
      </c>
      <c r="S3621" t="s">
        <v>26</v>
      </c>
    </row>
    <row r="3622" spans="1:19" x14ac:dyDescent="0.3">
      <c r="A3622" t="s">
        <v>13791</v>
      </c>
      <c r="B3622" t="s">
        <v>15775</v>
      </c>
      <c r="C3622" t="s">
        <v>14380</v>
      </c>
      <c r="D3622" t="s">
        <v>13798</v>
      </c>
      <c r="E3622" t="s">
        <v>14181</v>
      </c>
      <c r="F3622" t="s">
        <v>14182</v>
      </c>
      <c r="G3622" t="s">
        <v>14182</v>
      </c>
      <c r="H3622" t="s">
        <v>868</v>
      </c>
      <c r="I3622" t="s">
        <v>869</v>
      </c>
      <c r="J3622" t="str">
        <f>"9060005"</f>
        <v>9060005</v>
      </c>
      <c r="K3622">
        <v>2691022370</v>
      </c>
      <c r="L3622">
        <v>2691022370</v>
      </c>
      <c r="M3622" t="s">
        <v>16457</v>
      </c>
      <c r="N3622" t="s">
        <v>14185</v>
      </c>
      <c r="O3622" t="s">
        <v>16458</v>
      </c>
      <c r="P3622">
        <v>25100</v>
      </c>
      <c r="Q3622" t="str">
        <f>"38.248224"</f>
        <v>38.248224</v>
      </c>
      <c r="R3622" t="str">
        <f>"22.084152"</f>
        <v>22.084152</v>
      </c>
      <c r="S3622" t="s">
        <v>26</v>
      </c>
    </row>
    <row r="3623" spans="1:19" x14ac:dyDescent="0.3">
      <c r="A3623" t="s">
        <v>13791</v>
      </c>
      <c r="B3623" t="s">
        <v>15775</v>
      </c>
      <c r="C3623" t="s">
        <v>16467</v>
      </c>
      <c r="D3623" t="s">
        <v>13798</v>
      </c>
      <c r="E3623" t="s">
        <v>13799</v>
      </c>
      <c r="F3623" t="s">
        <v>13799</v>
      </c>
      <c r="G3623" t="s">
        <v>13809</v>
      </c>
      <c r="H3623" t="s">
        <v>868</v>
      </c>
      <c r="I3623" t="s">
        <v>869</v>
      </c>
      <c r="J3623" t="str">
        <f>"9060320"</f>
        <v>9060320</v>
      </c>
      <c r="K3623">
        <v>2610275735</v>
      </c>
      <c r="L3623">
        <v>2610275002</v>
      </c>
      <c r="M3623" t="s">
        <v>16468</v>
      </c>
      <c r="N3623" t="s">
        <v>13803</v>
      </c>
      <c r="O3623" t="s">
        <v>15929</v>
      </c>
      <c r="P3623">
        <v>26331</v>
      </c>
      <c r="Q3623" t="str">
        <f>"38.239758"</f>
        <v>38.239758</v>
      </c>
      <c r="R3623" t="str">
        <f>"21.744865"</f>
        <v>21.744865</v>
      </c>
      <c r="S3623" t="s">
        <v>26</v>
      </c>
    </row>
    <row r="3624" spans="1:19" x14ac:dyDescent="0.3">
      <c r="A3624" t="s">
        <v>13791</v>
      </c>
      <c r="B3624" t="s">
        <v>15775</v>
      </c>
      <c r="C3624" t="s">
        <v>14260</v>
      </c>
      <c r="D3624" t="s">
        <v>13798</v>
      </c>
      <c r="E3624" t="s">
        <v>13799</v>
      </c>
      <c r="F3624" t="s">
        <v>13799</v>
      </c>
      <c r="G3624" t="s">
        <v>13800</v>
      </c>
      <c r="H3624" t="s">
        <v>868</v>
      </c>
      <c r="I3624" t="s">
        <v>869</v>
      </c>
      <c r="J3624" t="str">
        <f>"9060238"</f>
        <v>9060238</v>
      </c>
      <c r="K3624">
        <v>2610421053</v>
      </c>
      <c r="L3624">
        <v>2610421053</v>
      </c>
      <c r="M3624" t="s">
        <v>16472</v>
      </c>
      <c r="N3624" t="s">
        <v>13803</v>
      </c>
      <c r="O3624" t="s">
        <v>16473</v>
      </c>
      <c r="P3624">
        <v>26441</v>
      </c>
      <c r="Q3624" t="str">
        <f>"38.258634"</f>
        <v>38.258634</v>
      </c>
      <c r="R3624" t="str">
        <f>"21.750042"</f>
        <v>21.750042</v>
      </c>
      <c r="S3624" t="s">
        <v>26</v>
      </c>
    </row>
    <row r="3625" spans="1:19" x14ac:dyDescent="0.3">
      <c r="A3625" t="s">
        <v>13791</v>
      </c>
      <c r="B3625" t="s">
        <v>15775</v>
      </c>
      <c r="C3625" t="s">
        <v>16475</v>
      </c>
      <c r="D3625" t="s">
        <v>13798</v>
      </c>
      <c r="E3625" t="s">
        <v>14200</v>
      </c>
      <c r="F3625" t="s">
        <v>2699</v>
      </c>
      <c r="G3625" t="s">
        <v>16474</v>
      </c>
      <c r="H3625" t="s">
        <v>868</v>
      </c>
      <c r="I3625" t="s">
        <v>869</v>
      </c>
      <c r="J3625" t="str">
        <f>"9060159"</f>
        <v>9060159</v>
      </c>
      <c r="K3625">
        <v>2693071440</v>
      </c>
      <c r="L3625">
        <v>2693071440</v>
      </c>
      <c r="M3625" t="s">
        <v>16476</v>
      </c>
      <c r="N3625" t="s">
        <v>16477</v>
      </c>
      <c r="O3625" t="s">
        <v>16477</v>
      </c>
      <c r="P3625">
        <v>25002</v>
      </c>
      <c r="Q3625" t="str">
        <f>"38.137278"</f>
        <v>38.137278</v>
      </c>
      <c r="R3625" t="str">
        <f>"21.588893"</f>
        <v>21.588893</v>
      </c>
      <c r="S3625" t="s">
        <v>26</v>
      </c>
    </row>
    <row r="3626" spans="1:19" x14ac:dyDescent="0.3">
      <c r="A3626" t="s">
        <v>13791</v>
      </c>
      <c r="B3626" t="s">
        <v>15775</v>
      </c>
      <c r="C3626" t="s">
        <v>14631</v>
      </c>
      <c r="D3626" t="s">
        <v>13798</v>
      </c>
      <c r="E3626" t="s">
        <v>14181</v>
      </c>
      <c r="F3626" t="s">
        <v>14182</v>
      </c>
      <c r="G3626" t="s">
        <v>14182</v>
      </c>
      <c r="H3626" t="s">
        <v>868</v>
      </c>
      <c r="I3626" t="s">
        <v>869</v>
      </c>
      <c r="J3626" t="str">
        <f>"9060012"</f>
        <v>9060012</v>
      </c>
      <c r="K3626">
        <v>2691023224</v>
      </c>
      <c r="L3626">
        <v>2691023224</v>
      </c>
      <c r="M3626" t="s">
        <v>16478</v>
      </c>
      <c r="N3626" t="s">
        <v>14185</v>
      </c>
      <c r="O3626" t="s">
        <v>16088</v>
      </c>
      <c r="P3626">
        <v>25100</v>
      </c>
      <c r="Q3626" t="str">
        <f>"38.252607"</f>
        <v>38.252607</v>
      </c>
      <c r="R3626" t="str">
        <f>"22.074780"</f>
        <v>22.074780</v>
      </c>
      <c r="S3626" t="s">
        <v>26</v>
      </c>
    </row>
    <row r="3627" spans="1:19" x14ac:dyDescent="0.3">
      <c r="A3627" t="s">
        <v>13791</v>
      </c>
      <c r="B3627" t="s">
        <v>15775</v>
      </c>
      <c r="C3627" t="s">
        <v>14441</v>
      </c>
      <c r="D3627" t="s">
        <v>13798</v>
      </c>
      <c r="E3627" t="s">
        <v>14181</v>
      </c>
      <c r="F3627" t="s">
        <v>14182</v>
      </c>
      <c r="G3627" t="s">
        <v>14182</v>
      </c>
      <c r="H3627" t="s">
        <v>868</v>
      </c>
      <c r="I3627" t="s">
        <v>869</v>
      </c>
      <c r="J3627" t="str">
        <f>"9060444"</f>
        <v>9060444</v>
      </c>
      <c r="K3627">
        <v>2691068108</v>
      </c>
      <c r="L3627">
        <v>2691068108</v>
      </c>
      <c r="M3627" t="s">
        <v>16479</v>
      </c>
      <c r="N3627" t="s">
        <v>14185</v>
      </c>
      <c r="O3627" t="s">
        <v>16121</v>
      </c>
      <c r="P3627">
        <v>25100</v>
      </c>
      <c r="Q3627" t="str">
        <f>"38.246297"</f>
        <v>38.246297</v>
      </c>
      <c r="R3627" t="str">
        <f>"22.090392"</f>
        <v>22.090392</v>
      </c>
      <c r="S3627" t="s">
        <v>26</v>
      </c>
    </row>
    <row r="3628" spans="1:19" x14ac:dyDescent="0.3">
      <c r="A3628" t="s">
        <v>13791</v>
      </c>
      <c r="B3628" t="s">
        <v>15775</v>
      </c>
      <c r="C3628" t="s">
        <v>16481</v>
      </c>
      <c r="D3628" t="s">
        <v>13798</v>
      </c>
      <c r="E3628" t="s">
        <v>14188</v>
      </c>
      <c r="F3628" t="s">
        <v>16480</v>
      </c>
      <c r="G3628" t="s">
        <v>16480</v>
      </c>
      <c r="H3628" t="s">
        <v>868</v>
      </c>
      <c r="I3628" t="s">
        <v>950</v>
      </c>
      <c r="J3628" t="str">
        <f>"9060282"</f>
        <v>9060282</v>
      </c>
      <c r="K3628">
        <v>2694042566</v>
      </c>
      <c r="L3628">
        <v>2694042566</v>
      </c>
      <c r="M3628" t="s">
        <v>16482</v>
      </c>
      <c r="N3628" t="s">
        <v>16483</v>
      </c>
      <c r="O3628" t="s">
        <v>16484</v>
      </c>
      <c r="P3628">
        <v>25008</v>
      </c>
      <c r="Q3628" t="str">
        <f>"38.118591"</f>
        <v>38.118591</v>
      </c>
      <c r="R3628" t="str">
        <f>"21.931780"</f>
        <v>21.931780</v>
      </c>
      <c r="S3628" t="s">
        <v>57</v>
      </c>
    </row>
    <row r="3629" spans="1:19" x14ac:dyDescent="0.3">
      <c r="A3629" t="s">
        <v>13791</v>
      </c>
      <c r="B3629" t="s">
        <v>15775</v>
      </c>
      <c r="C3629" t="s">
        <v>16485</v>
      </c>
      <c r="D3629" t="s">
        <v>13798</v>
      </c>
      <c r="E3629" t="s">
        <v>14200</v>
      </c>
      <c r="F3629" t="s">
        <v>14286</v>
      </c>
      <c r="G3629" t="s">
        <v>14287</v>
      </c>
      <c r="H3629" t="s">
        <v>868</v>
      </c>
      <c r="I3629" t="s">
        <v>950</v>
      </c>
      <c r="J3629" t="str">
        <f>"9060197"</f>
        <v>9060197</v>
      </c>
      <c r="K3629">
        <v>2693031504</v>
      </c>
      <c r="M3629" t="s">
        <v>16486</v>
      </c>
      <c r="N3629" t="s">
        <v>16487</v>
      </c>
      <c r="O3629" t="s">
        <v>16488</v>
      </c>
      <c r="P3629">
        <v>25200</v>
      </c>
      <c r="Q3629" t="str">
        <f>"38.062358"</f>
        <v>38.062358</v>
      </c>
      <c r="R3629" t="str">
        <f>"21.499133"</f>
        <v>21.499133</v>
      </c>
      <c r="S3629" t="s">
        <v>26</v>
      </c>
    </row>
    <row r="3630" spans="1:19" x14ac:dyDescent="0.3">
      <c r="A3630" t="s">
        <v>13791</v>
      </c>
      <c r="B3630" t="s">
        <v>15775</v>
      </c>
      <c r="C3630" t="s">
        <v>16489</v>
      </c>
      <c r="D3630" t="s">
        <v>13798</v>
      </c>
      <c r="E3630" t="s">
        <v>13799</v>
      </c>
      <c r="F3630" t="s">
        <v>14349</v>
      </c>
      <c r="G3630" t="s">
        <v>15880</v>
      </c>
      <c r="H3630" t="s">
        <v>868</v>
      </c>
      <c r="I3630" t="s">
        <v>869</v>
      </c>
      <c r="J3630" t="str">
        <f>"9060349"</f>
        <v>9060349</v>
      </c>
      <c r="K3630">
        <v>2610521491</v>
      </c>
      <c r="L3630">
        <v>2610521491</v>
      </c>
      <c r="M3630" t="s">
        <v>16490</v>
      </c>
      <c r="N3630" t="s">
        <v>15883</v>
      </c>
      <c r="O3630" t="s">
        <v>15883</v>
      </c>
      <c r="P3630">
        <v>26500</v>
      </c>
      <c r="Q3630" t="str">
        <f>"38.183900"</f>
        <v>38.183900</v>
      </c>
      <c r="R3630" t="str">
        <f>"21.749093"</f>
        <v>21.749093</v>
      </c>
      <c r="S3630" t="s">
        <v>26</v>
      </c>
    </row>
    <row r="3631" spans="1:19" x14ac:dyDescent="0.3">
      <c r="A3631" t="s">
        <v>13791</v>
      </c>
      <c r="B3631" t="s">
        <v>15775</v>
      </c>
      <c r="C3631" t="s">
        <v>14509</v>
      </c>
      <c r="D3631" t="s">
        <v>13798</v>
      </c>
      <c r="E3631" t="s">
        <v>14200</v>
      </c>
      <c r="F3631" t="s">
        <v>14329</v>
      </c>
      <c r="G3631" t="s">
        <v>14505</v>
      </c>
      <c r="H3631" t="s">
        <v>868</v>
      </c>
      <c r="I3631" t="s">
        <v>869</v>
      </c>
      <c r="J3631" t="str">
        <f>"9060353"</f>
        <v>9060353</v>
      </c>
      <c r="K3631">
        <v>2694061555</v>
      </c>
      <c r="L3631">
        <v>2694061555</v>
      </c>
      <c r="M3631" t="s">
        <v>16495</v>
      </c>
      <c r="N3631" t="s">
        <v>14505</v>
      </c>
      <c r="O3631" t="s">
        <v>16496</v>
      </c>
      <c r="P3631">
        <v>25008</v>
      </c>
      <c r="Q3631" t="str">
        <f>"38.069087"</f>
        <v>38.069087</v>
      </c>
      <c r="R3631" t="str">
        <f>"21.652861"</f>
        <v>21.652861</v>
      </c>
      <c r="S3631" t="s">
        <v>26</v>
      </c>
    </row>
    <row r="3632" spans="1:19" x14ac:dyDescent="0.3">
      <c r="A3632" t="s">
        <v>13791</v>
      </c>
      <c r="B3632" t="s">
        <v>15775</v>
      </c>
      <c r="C3632" t="s">
        <v>16503</v>
      </c>
      <c r="D3632" t="s">
        <v>13798</v>
      </c>
      <c r="E3632" t="s">
        <v>13799</v>
      </c>
      <c r="F3632" t="s">
        <v>14276</v>
      </c>
      <c r="G3632" t="s">
        <v>15944</v>
      </c>
      <c r="H3632" t="s">
        <v>868</v>
      </c>
      <c r="I3632" t="s">
        <v>950</v>
      </c>
      <c r="J3632" t="str">
        <f>"9060259"</f>
        <v>9060259</v>
      </c>
      <c r="K3632">
        <v>2610931489</v>
      </c>
      <c r="L3632">
        <v>2610931489</v>
      </c>
      <c r="M3632" t="s">
        <v>16504</v>
      </c>
      <c r="N3632" t="s">
        <v>16505</v>
      </c>
      <c r="O3632" t="s">
        <v>16506</v>
      </c>
      <c r="P3632">
        <v>26500</v>
      </c>
      <c r="Q3632" t="str">
        <f>"38.323813"</f>
        <v>38.323813</v>
      </c>
      <c r="R3632" t="str">
        <f>"21.847793"</f>
        <v>21.847793</v>
      </c>
      <c r="S3632" t="s">
        <v>26</v>
      </c>
    </row>
    <row r="3633" spans="1:19" x14ac:dyDescent="0.3">
      <c r="A3633" t="s">
        <v>13791</v>
      </c>
      <c r="B3633" t="s">
        <v>15775</v>
      </c>
      <c r="C3633" t="s">
        <v>16508</v>
      </c>
      <c r="D3633" t="s">
        <v>13798</v>
      </c>
      <c r="E3633" t="s">
        <v>14181</v>
      </c>
      <c r="F3633" t="s">
        <v>14317</v>
      </c>
      <c r="G3633" t="s">
        <v>16507</v>
      </c>
      <c r="H3633" t="s">
        <v>868</v>
      </c>
      <c r="I3633" t="s">
        <v>869</v>
      </c>
      <c r="J3633" t="str">
        <f>"9060028"</f>
        <v>9060028</v>
      </c>
      <c r="K3633">
        <v>2691081204</v>
      </c>
      <c r="L3633">
        <v>2691081124</v>
      </c>
      <c r="M3633" t="s">
        <v>16509</v>
      </c>
      <c r="N3633" t="s">
        <v>16510</v>
      </c>
      <c r="O3633" t="s">
        <v>16511</v>
      </c>
      <c r="P3633">
        <v>25100</v>
      </c>
      <c r="Q3633" t="str">
        <f>"38.216024"</f>
        <v>38.216024</v>
      </c>
      <c r="R3633" t="str">
        <f>"22.130038"</f>
        <v>22.130038</v>
      </c>
      <c r="S3633" t="s">
        <v>26</v>
      </c>
    </row>
    <row r="3634" spans="1:19" x14ac:dyDescent="0.3">
      <c r="A3634" t="s">
        <v>13791</v>
      </c>
      <c r="B3634" t="s">
        <v>15775</v>
      </c>
      <c r="C3634" t="s">
        <v>16512</v>
      </c>
      <c r="D3634" t="s">
        <v>13798</v>
      </c>
      <c r="E3634" t="s">
        <v>13799</v>
      </c>
      <c r="F3634" t="s">
        <v>13799</v>
      </c>
      <c r="G3634" t="s">
        <v>14241</v>
      </c>
      <c r="H3634" t="s">
        <v>868</v>
      </c>
      <c r="I3634" t="s">
        <v>1157</v>
      </c>
      <c r="J3634" t="str">
        <f>"9060420"</f>
        <v>9060420</v>
      </c>
      <c r="K3634">
        <v>2610311466</v>
      </c>
      <c r="L3634">
        <v>2610311466</v>
      </c>
      <c r="M3634" t="s">
        <v>16513</v>
      </c>
      <c r="N3634" t="s">
        <v>13803</v>
      </c>
      <c r="O3634" t="s">
        <v>16514</v>
      </c>
      <c r="P3634">
        <v>26223</v>
      </c>
      <c r="Q3634" t="str">
        <f>"38.251323"</f>
        <v>38.251323</v>
      </c>
      <c r="R3634" t="str">
        <f>"21.749109"</f>
        <v>21.749109</v>
      </c>
      <c r="S3634" t="s">
        <v>26</v>
      </c>
    </row>
    <row r="3635" spans="1:19" x14ac:dyDescent="0.3">
      <c r="A3635" t="s">
        <v>13791</v>
      </c>
      <c r="B3635" t="s">
        <v>15775</v>
      </c>
      <c r="C3635" t="s">
        <v>14322</v>
      </c>
      <c r="D3635" t="s">
        <v>13798</v>
      </c>
      <c r="E3635" t="s">
        <v>14181</v>
      </c>
      <c r="F3635" t="s">
        <v>14317</v>
      </c>
      <c r="G3635" t="s">
        <v>14317</v>
      </c>
      <c r="H3635" t="s">
        <v>868</v>
      </c>
      <c r="I3635" t="s">
        <v>869</v>
      </c>
      <c r="J3635" t="str">
        <f>"9060024"</f>
        <v>9060024</v>
      </c>
      <c r="K3635">
        <v>2691041697</v>
      </c>
      <c r="L3635">
        <v>2691041697</v>
      </c>
      <c r="M3635" t="s">
        <v>16515</v>
      </c>
      <c r="N3635" t="s">
        <v>14321</v>
      </c>
      <c r="O3635" t="s">
        <v>14321</v>
      </c>
      <c r="P3635">
        <v>25003</v>
      </c>
      <c r="Q3635" t="str">
        <f>"38.194721"</f>
        <v>38.194721</v>
      </c>
      <c r="R3635" t="str">
        <f>"22.199545"</f>
        <v>22.199545</v>
      </c>
      <c r="S3635" t="s">
        <v>26</v>
      </c>
    </row>
    <row r="3636" spans="1:19" x14ac:dyDescent="0.3">
      <c r="A3636" t="s">
        <v>13791</v>
      </c>
      <c r="B3636" t="s">
        <v>15775</v>
      </c>
      <c r="C3636" t="s">
        <v>16517</v>
      </c>
      <c r="D3636" t="s">
        <v>13798</v>
      </c>
      <c r="E3636" t="s">
        <v>14188</v>
      </c>
      <c r="F3636" t="s">
        <v>14189</v>
      </c>
      <c r="G3636" t="s">
        <v>16516</v>
      </c>
      <c r="H3636" t="s">
        <v>868</v>
      </c>
      <c r="I3636" t="s">
        <v>950</v>
      </c>
      <c r="J3636" t="str">
        <f>"9060338"</f>
        <v>9060338</v>
      </c>
      <c r="K3636">
        <v>2694061457</v>
      </c>
      <c r="L3636">
        <v>2694061457</v>
      </c>
      <c r="M3636" t="s">
        <v>16518</v>
      </c>
      <c r="N3636" t="s">
        <v>16519</v>
      </c>
      <c r="O3636" t="s">
        <v>16520</v>
      </c>
      <c r="P3636">
        <v>25008</v>
      </c>
      <c r="Q3636" t="str">
        <f>"38.097690"</f>
        <v>38.097690</v>
      </c>
      <c r="R3636" t="str">
        <f>"21.695443"</f>
        <v>21.695443</v>
      </c>
      <c r="S3636" t="s">
        <v>26</v>
      </c>
    </row>
    <row r="3637" spans="1:19" x14ac:dyDescent="0.3">
      <c r="A3637" t="s">
        <v>13791</v>
      </c>
      <c r="B3637" t="s">
        <v>15775</v>
      </c>
      <c r="C3637" t="s">
        <v>16521</v>
      </c>
      <c r="D3637" t="s">
        <v>13798</v>
      </c>
      <c r="E3637" t="s">
        <v>14200</v>
      </c>
      <c r="F3637" t="s">
        <v>14329</v>
      </c>
      <c r="G3637" t="s">
        <v>16333</v>
      </c>
      <c r="H3637" t="s">
        <v>868</v>
      </c>
      <c r="I3637" t="s">
        <v>950</v>
      </c>
      <c r="J3637" t="str">
        <f>"9060164"</f>
        <v>9060164</v>
      </c>
      <c r="K3637">
        <v>2693091093</v>
      </c>
      <c r="M3637" t="s">
        <v>16522</v>
      </c>
      <c r="N3637" t="s">
        <v>16336</v>
      </c>
      <c r="O3637" t="s">
        <v>16523</v>
      </c>
      <c r="P3637">
        <v>25200</v>
      </c>
      <c r="Q3637" t="str">
        <f>"38.056320"</f>
        <v>38.056320</v>
      </c>
      <c r="R3637" t="str">
        <f>"21.599444"</f>
        <v>21.599444</v>
      </c>
      <c r="S3637" t="s">
        <v>26</v>
      </c>
    </row>
    <row r="3638" spans="1:19" x14ac:dyDescent="0.3">
      <c r="A3638" t="s">
        <v>13791</v>
      </c>
      <c r="B3638" t="s">
        <v>15775</v>
      </c>
      <c r="C3638" t="s">
        <v>14335</v>
      </c>
      <c r="D3638" t="s">
        <v>13798</v>
      </c>
      <c r="E3638" t="s">
        <v>14200</v>
      </c>
      <c r="F3638" t="s">
        <v>14329</v>
      </c>
      <c r="G3638" t="s">
        <v>14330</v>
      </c>
      <c r="H3638" t="s">
        <v>868</v>
      </c>
      <c r="I3638" t="s">
        <v>869</v>
      </c>
      <c r="J3638" t="str">
        <f>"9060191"</f>
        <v>9060191</v>
      </c>
      <c r="K3638">
        <v>2693061280</v>
      </c>
      <c r="L3638">
        <v>2693061280</v>
      </c>
      <c r="M3638" t="s">
        <v>16524</v>
      </c>
      <c r="N3638" t="s">
        <v>16525</v>
      </c>
      <c r="O3638" t="s">
        <v>16525</v>
      </c>
      <c r="P3638">
        <v>25200</v>
      </c>
      <c r="Q3638" t="str">
        <f>"38.109572"</f>
        <v>38.109572</v>
      </c>
      <c r="R3638" t="str">
        <f>"21.591844"</f>
        <v>21.591844</v>
      </c>
      <c r="S3638" t="s">
        <v>26</v>
      </c>
    </row>
    <row r="3639" spans="1:19" x14ac:dyDescent="0.3">
      <c r="A3639" t="s">
        <v>13791</v>
      </c>
      <c r="B3639" t="s">
        <v>15775</v>
      </c>
      <c r="C3639" t="s">
        <v>14339</v>
      </c>
      <c r="D3639" t="s">
        <v>13798</v>
      </c>
      <c r="E3639" t="s">
        <v>13799</v>
      </c>
      <c r="F3639" t="s">
        <v>13799</v>
      </c>
      <c r="G3639" t="s">
        <v>14236</v>
      </c>
      <c r="H3639" t="s">
        <v>868</v>
      </c>
      <c r="I3639" t="s">
        <v>869</v>
      </c>
      <c r="J3639" t="str">
        <f>"9060523"</f>
        <v>9060523</v>
      </c>
      <c r="K3639">
        <v>2610313453</v>
      </c>
      <c r="L3639">
        <v>2610313453</v>
      </c>
      <c r="M3639" t="s">
        <v>16526</v>
      </c>
      <c r="N3639" t="s">
        <v>13803</v>
      </c>
      <c r="O3639" t="s">
        <v>16527</v>
      </c>
      <c r="P3639">
        <v>26334</v>
      </c>
      <c r="Q3639" t="str">
        <f>"38.222268"</f>
        <v>38.222268</v>
      </c>
      <c r="R3639" t="str">
        <f>"21.744142"</f>
        <v>21.744142</v>
      </c>
      <c r="S3639" t="s">
        <v>26</v>
      </c>
    </row>
    <row r="3640" spans="1:19" x14ac:dyDescent="0.3">
      <c r="A3640" t="s">
        <v>13791</v>
      </c>
      <c r="B3640" t="s">
        <v>15775</v>
      </c>
      <c r="C3640" t="s">
        <v>16528</v>
      </c>
      <c r="D3640" t="s">
        <v>13798</v>
      </c>
      <c r="E3640" t="s">
        <v>13799</v>
      </c>
      <c r="F3640" t="s">
        <v>13799</v>
      </c>
      <c r="G3640" t="s">
        <v>14236</v>
      </c>
      <c r="H3640" t="s">
        <v>868</v>
      </c>
      <c r="I3640" t="s">
        <v>869</v>
      </c>
      <c r="J3640" t="str">
        <f>"9060311"</f>
        <v>9060311</v>
      </c>
      <c r="K3640">
        <v>2610361099</v>
      </c>
      <c r="L3640">
        <v>2610362925</v>
      </c>
      <c r="M3640" t="s">
        <v>16529</v>
      </c>
      <c r="N3640" t="s">
        <v>13803</v>
      </c>
      <c r="O3640" t="s">
        <v>16530</v>
      </c>
      <c r="P3640">
        <v>26334</v>
      </c>
      <c r="Q3640" t="str">
        <f>"38.224353"</f>
        <v>38.224353</v>
      </c>
      <c r="R3640" t="str">
        <f>"21.742658"</f>
        <v>21.742658</v>
      </c>
      <c r="S3640" t="s">
        <v>26</v>
      </c>
    </row>
    <row r="3641" spans="1:19" x14ac:dyDescent="0.3">
      <c r="A3641" t="s">
        <v>13791</v>
      </c>
      <c r="B3641" t="s">
        <v>15775</v>
      </c>
      <c r="C3641" t="s">
        <v>16531</v>
      </c>
      <c r="D3641" t="s">
        <v>13798</v>
      </c>
      <c r="E3641" t="s">
        <v>13799</v>
      </c>
      <c r="F3641" t="s">
        <v>13799</v>
      </c>
      <c r="G3641" t="s">
        <v>16264</v>
      </c>
      <c r="H3641" t="s">
        <v>868</v>
      </c>
      <c r="I3641" t="s">
        <v>869</v>
      </c>
      <c r="J3641" t="str">
        <f>"9060382"</f>
        <v>9060382</v>
      </c>
      <c r="K3641">
        <v>2610640147</v>
      </c>
      <c r="L3641">
        <v>2610640147</v>
      </c>
      <c r="M3641" t="s">
        <v>16532</v>
      </c>
      <c r="N3641" t="s">
        <v>14253</v>
      </c>
      <c r="O3641" t="s">
        <v>16533</v>
      </c>
      <c r="P3641">
        <v>26500</v>
      </c>
      <c r="Q3641" t="str">
        <f>"38.212938"</f>
        <v>38.212938</v>
      </c>
      <c r="R3641" t="str">
        <f>"21.784719"</f>
        <v>21.784719</v>
      </c>
      <c r="S3641" t="s">
        <v>26</v>
      </c>
    </row>
    <row r="3642" spans="1:19" x14ac:dyDescent="0.3">
      <c r="A3642" t="s">
        <v>13791</v>
      </c>
      <c r="B3642" t="s">
        <v>15775</v>
      </c>
      <c r="C3642" t="s">
        <v>16534</v>
      </c>
      <c r="D3642" t="s">
        <v>13798</v>
      </c>
      <c r="E3642" t="s">
        <v>13799</v>
      </c>
      <c r="F3642" t="s">
        <v>13799</v>
      </c>
      <c r="G3642" t="s">
        <v>14241</v>
      </c>
      <c r="H3642" t="s">
        <v>868</v>
      </c>
      <c r="I3642" t="s">
        <v>869</v>
      </c>
      <c r="J3642" t="str">
        <f>"9060549"</f>
        <v>9060549</v>
      </c>
      <c r="K3642">
        <v>2610328747</v>
      </c>
      <c r="L3642">
        <v>2610328747</v>
      </c>
      <c r="M3642" t="s">
        <v>16535</v>
      </c>
      <c r="N3642" t="s">
        <v>13803</v>
      </c>
      <c r="O3642" t="s">
        <v>16339</v>
      </c>
      <c r="P3642">
        <v>26332</v>
      </c>
      <c r="Q3642" t="str">
        <f>"38.212757"</f>
        <v>38.212757</v>
      </c>
      <c r="R3642" t="str">
        <f>"21.741738"</f>
        <v>21.741738</v>
      </c>
      <c r="S3642" t="s">
        <v>26</v>
      </c>
    </row>
    <row r="3643" spans="1:19" x14ac:dyDescent="0.3">
      <c r="A3643" t="s">
        <v>13791</v>
      </c>
      <c r="B3643" t="s">
        <v>15775</v>
      </c>
      <c r="C3643" t="s">
        <v>16536</v>
      </c>
      <c r="D3643" t="s">
        <v>13798</v>
      </c>
      <c r="E3643" t="s">
        <v>13799</v>
      </c>
      <c r="F3643" t="s">
        <v>13799</v>
      </c>
      <c r="G3643" t="s">
        <v>13809</v>
      </c>
      <c r="H3643" t="s">
        <v>868</v>
      </c>
      <c r="I3643" t="s">
        <v>869</v>
      </c>
      <c r="J3643" t="str">
        <f>"9060145"</f>
        <v>9060145</v>
      </c>
      <c r="K3643">
        <v>2610323994</v>
      </c>
      <c r="L3643">
        <v>2610323994</v>
      </c>
      <c r="M3643" t="s">
        <v>16537</v>
      </c>
      <c r="N3643" t="s">
        <v>13803</v>
      </c>
      <c r="O3643" t="s">
        <v>16113</v>
      </c>
      <c r="P3643">
        <v>26222</v>
      </c>
      <c r="Q3643" t="str">
        <f>"38.237662"</f>
        <v>38.237662</v>
      </c>
      <c r="R3643" t="str">
        <f>"21.730500"</f>
        <v>21.730500</v>
      </c>
      <c r="S3643" t="s">
        <v>26</v>
      </c>
    </row>
    <row r="3644" spans="1:19" x14ac:dyDescent="0.3">
      <c r="A3644" t="s">
        <v>13791</v>
      </c>
      <c r="B3644" t="s">
        <v>15775</v>
      </c>
      <c r="C3644" t="s">
        <v>16538</v>
      </c>
      <c r="D3644" t="s">
        <v>13798</v>
      </c>
      <c r="E3644" t="s">
        <v>14200</v>
      </c>
      <c r="F3644" t="s">
        <v>2699</v>
      </c>
      <c r="G3644" t="s">
        <v>14291</v>
      </c>
      <c r="H3644" t="s">
        <v>868</v>
      </c>
      <c r="I3644" t="s">
        <v>869</v>
      </c>
      <c r="J3644" t="str">
        <f>"9060617"</f>
        <v>9060617</v>
      </c>
      <c r="K3644">
        <v>2693025275</v>
      </c>
      <c r="L3644">
        <v>2693025275</v>
      </c>
      <c r="M3644" t="s">
        <v>16539</v>
      </c>
      <c r="N3644" t="s">
        <v>14346</v>
      </c>
      <c r="O3644" t="s">
        <v>16540</v>
      </c>
      <c r="P3644">
        <v>25200</v>
      </c>
      <c r="Q3644" t="str">
        <f>"38.139027"</f>
        <v>38.139027</v>
      </c>
      <c r="R3644" t="str">
        <f>"21.552523"</f>
        <v>21.552523</v>
      </c>
      <c r="S3644" t="s">
        <v>26</v>
      </c>
    </row>
    <row r="3645" spans="1:19" x14ac:dyDescent="0.3">
      <c r="A3645" t="s">
        <v>13791</v>
      </c>
      <c r="B3645" t="s">
        <v>15775</v>
      </c>
      <c r="C3645" t="s">
        <v>14343</v>
      </c>
      <c r="D3645" t="s">
        <v>13798</v>
      </c>
      <c r="E3645" t="s">
        <v>13799</v>
      </c>
      <c r="F3645" t="s">
        <v>13799</v>
      </c>
      <c r="G3645" t="s">
        <v>14241</v>
      </c>
      <c r="H3645" t="s">
        <v>868</v>
      </c>
      <c r="I3645" t="s">
        <v>869</v>
      </c>
      <c r="J3645" t="str">
        <f>"9060234"</f>
        <v>9060234</v>
      </c>
      <c r="K3645">
        <v>2610271726</v>
      </c>
      <c r="L3645">
        <v>2610271726</v>
      </c>
      <c r="M3645" t="s">
        <v>16541</v>
      </c>
      <c r="N3645" t="s">
        <v>13803</v>
      </c>
      <c r="O3645" t="s">
        <v>16542</v>
      </c>
      <c r="P3645">
        <v>26331</v>
      </c>
      <c r="Q3645" t="str">
        <f>"38.244315"</f>
        <v>38.244315</v>
      </c>
      <c r="R3645" t="str">
        <f>"21.745452"</f>
        <v>21.745452</v>
      </c>
      <c r="S3645" t="s">
        <v>26</v>
      </c>
    </row>
    <row r="3646" spans="1:19" x14ac:dyDescent="0.3">
      <c r="A3646" t="s">
        <v>13791</v>
      </c>
      <c r="B3646" t="s">
        <v>15775</v>
      </c>
      <c r="C3646" t="s">
        <v>16543</v>
      </c>
      <c r="D3646" t="s">
        <v>13798</v>
      </c>
      <c r="E3646" t="s">
        <v>13799</v>
      </c>
      <c r="F3646" t="s">
        <v>13799</v>
      </c>
      <c r="G3646" t="s">
        <v>14236</v>
      </c>
      <c r="H3646" t="s">
        <v>868</v>
      </c>
      <c r="I3646" t="s">
        <v>869</v>
      </c>
      <c r="J3646" t="str">
        <f>"9060147"</f>
        <v>9060147</v>
      </c>
      <c r="K3646">
        <v>2610325212</v>
      </c>
      <c r="L3646">
        <v>2610325212</v>
      </c>
      <c r="M3646" t="s">
        <v>16544</v>
      </c>
      <c r="N3646" t="s">
        <v>15790</v>
      </c>
      <c r="O3646" t="s">
        <v>16545</v>
      </c>
      <c r="P3646">
        <v>26332</v>
      </c>
      <c r="Q3646" t="str">
        <f>"38.221535"</f>
        <v>38.221535</v>
      </c>
      <c r="R3646" t="str">
        <f>"21.734589"</f>
        <v>21.734589</v>
      </c>
      <c r="S3646" t="s">
        <v>26</v>
      </c>
    </row>
    <row r="3647" spans="1:19" x14ac:dyDescent="0.3">
      <c r="A3647" t="s">
        <v>13791</v>
      </c>
      <c r="B3647" t="s">
        <v>15775</v>
      </c>
      <c r="C3647" t="s">
        <v>14256</v>
      </c>
      <c r="D3647" t="s">
        <v>13798</v>
      </c>
      <c r="E3647" t="s">
        <v>13799</v>
      </c>
      <c r="F3647" t="s">
        <v>13799</v>
      </c>
      <c r="G3647" t="s">
        <v>13809</v>
      </c>
      <c r="H3647" t="s">
        <v>868</v>
      </c>
      <c r="I3647" t="s">
        <v>869</v>
      </c>
      <c r="J3647" t="str">
        <f>"9060237"</f>
        <v>9060237</v>
      </c>
      <c r="K3647">
        <v>2610274185</v>
      </c>
      <c r="L3647">
        <v>2610274185</v>
      </c>
      <c r="M3647" t="s">
        <v>16546</v>
      </c>
      <c r="N3647" t="s">
        <v>13803</v>
      </c>
      <c r="O3647" t="s">
        <v>16146</v>
      </c>
      <c r="P3647">
        <v>26223</v>
      </c>
      <c r="Q3647" t="str">
        <f>"38.250083"</f>
        <v>38.250083</v>
      </c>
      <c r="R3647" t="str">
        <f>"21.739344"</f>
        <v>21.739344</v>
      </c>
      <c r="S3647" t="s">
        <v>26</v>
      </c>
    </row>
    <row r="3648" spans="1:19" x14ac:dyDescent="0.3">
      <c r="A3648" t="s">
        <v>13791</v>
      </c>
      <c r="B3648" t="s">
        <v>15775</v>
      </c>
      <c r="C3648" t="s">
        <v>16547</v>
      </c>
      <c r="D3648" t="s">
        <v>13798</v>
      </c>
      <c r="E3648" t="s">
        <v>14200</v>
      </c>
      <c r="F3648" t="s">
        <v>14201</v>
      </c>
      <c r="G3648" t="s">
        <v>16258</v>
      </c>
      <c r="H3648" t="s">
        <v>868</v>
      </c>
      <c r="I3648" t="s">
        <v>869</v>
      </c>
      <c r="J3648" t="str">
        <f>"9060177"</f>
        <v>9060177</v>
      </c>
      <c r="K3648">
        <v>2693081281</v>
      </c>
      <c r="L3648">
        <v>2693081281</v>
      </c>
      <c r="M3648" t="s">
        <v>16548</v>
      </c>
      <c r="N3648" t="s">
        <v>16549</v>
      </c>
      <c r="O3648" t="s">
        <v>16549</v>
      </c>
      <c r="P3648">
        <v>25200</v>
      </c>
      <c r="Q3648" t="str">
        <f>"38.106392"</f>
        <v>38.106392</v>
      </c>
      <c r="R3648" t="str">
        <f>"21.505636"</f>
        <v>21.505636</v>
      </c>
      <c r="S3648" t="s">
        <v>26</v>
      </c>
    </row>
    <row r="3649" spans="1:19" x14ac:dyDescent="0.3">
      <c r="A3649" t="s">
        <v>13791</v>
      </c>
      <c r="B3649" t="s">
        <v>15775</v>
      </c>
      <c r="C3649" t="s">
        <v>16550</v>
      </c>
      <c r="D3649" t="s">
        <v>13798</v>
      </c>
      <c r="E3649" t="s">
        <v>14181</v>
      </c>
      <c r="F3649" t="s">
        <v>14182</v>
      </c>
      <c r="G3649" t="s">
        <v>14182</v>
      </c>
      <c r="H3649" t="s">
        <v>868</v>
      </c>
      <c r="I3649" t="s">
        <v>869</v>
      </c>
      <c r="J3649" t="str">
        <f>"9060010"</f>
        <v>9060010</v>
      </c>
      <c r="K3649">
        <v>2691023501</v>
      </c>
      <c r="L3649">
        <v>2691068475</v>
      </c>
      <c r="M3649" t="s">
        <v>16551</v>
      </c>
      <c r="N3649" t="s">
        <v>14185</v>
      </c>
      <c r="O3649" t="s">
        <v>16552</v>
      </c>
      <c r="P3649">
        <v>25100</v>
      </c>
      <c r="Q3649" t="str">
        <f>"38.255620"</f>
        <v>38.255620</v>
      </c>
      <c r="R3649" t="str">
        <f>"22.104510"</f>
        <v>22.104510</v>
      </c>
      <c r="S3649" t="s">
        <v>26</v>
      </c>
    </row>
    <row r="3650" spans="1:19" x14ac:dyDescent="0.3">
      <c r="A3650" t="s">
        <v>13791</v>
      </c>
      <c r="B3650" t="s">
        <v>15775</v>
      </c>
      <c r="C3650" t="s">
        <v>16553</v>
      </c>
      <c r="D3650" t="s">
        <v>13798</v>
      </c>
      <c r="E3650" t="s">
        <v>14200</v>
      </c>
      <c r="F3650" t="s">
        <v>14286</v>
      </c>
      <c r="G3650" t="s">
        <v>16169</v>
      </c>
      <c r="H3650" t="s">
        <v>868</v>
      </c>
      <c r="I3650" t="s">
        <v>950</v>
      </c>
      <c r="J3650" t="str">
        <f>"9060173"</f>
        <v>9060173</v>
      </c>
      <c r="K3650">
        <v>2693099354</v>
      </c>
      <c r="L3650">
        <v>2693099354</v>
      </c>
      <c r="M3650" t="s">
        <v>16554</v>
      </c>
      <c r="N3650" t="s">
        <v>16555</v>
      </c>
      <c r="O3650" t="s">
        <v>16172</v>
      </c>
      <c r="P3650">
        <v>25200</v>
      </c>
      <c r="Q3650" t="str">
        <f>"38.040185"</f>
        <v>38.040185</v>
      </c>
      <c r="R3650" t="str">
        <f>"21.448314"</f>
        <v>21.448314</v>
      </c>
      <c r="S3650" t="s">
        <v>26</v>
      </c>
    </row>
    <row r="3651" spans="1:19" x14ac:dyDescent="0.3">
      <c r="A3651" t="s">
        <v>13791</v>
      </c>
      <c r="B3651" t="s">
        <v>15775</v>
      </c>
      <c r="C3651" t="s">
        <v>16556</v>
      </c>
      <c r="D3651" t="s">
        <v>13798</v>
      </c>
      <c r="E3651" t="s">
        <v>13799</v>
      </c>
      <c r="F3651" t="s">
        <v>14323</v>
      </c>
      <c r="G3651" t="s">
        <v>16286</v>
      </c>
      <c r="H3651" t="s">
        <v>868</v>
      </c>
      <c r="I3651" t="s">
        <v>869</v>
      </c>
      <c r="J3651" t="str">
        <f>"9060174"</f>
        <v>9060174</v>
      </c>
      <c r="K3651">
        <v>2610671592</v>
      </c>
      <c r="L3651">
        <v>2610671592</v>
      </c>
      <c r="M3651" t="s">
        <v>16557</v>
      </c>
      <c r="N3651" t="s">
        <v>16558</v>
      </c>
      <c r="O3651" t="s">
        <v>16559</v>
      </c>
      <c r="P3651">
        <v>25002</v>
      </c>
      <c r="Q3651" t="str">
        <f>"38.149433"</f>
        <v>38.149433</v>
      </c>
      <c r="R3651" t="str">
        <f>"21.623785"</f>
        <v>21.623785</v>
      </c>
      <c r="S3651" t="s">
        <v>26</v>
      </c>
    </row>
    <row r="3652" spans="1:19" x14ac:dyDescent="0.3">
      <c r="A3652" t="s">
        <v>13791</v>
      </c>
      <c r="B3652" t="s">
        <v>15775</v>
      </c>
      <c r="C3652" t="s">
        <v>16565</v>
      </c>
      <c r="D3652" t="s">
        <v>13798</v>
      </c>
      <c r="E3652" t="s">
        <v>14223</v>
      </c>
      <c r="F3652" t="s">
        <v>14223</v>
      </c>
      <c r="G3652" t="s">
        <v>16564</v>
      </c>
      <c r="H3652" t="s">
        <v>868</v>
      </c>
      <c r="I3652" t="s">
        <v>950</v>
      </c>
      <c r="J3652" t="str">
        <f>"9060090"</f>
        <v>9060090</v>
      </c>
      <c r="K3652">
        <v>2692041350</v>
      </c>
      <c r="L3652">
        <v>2692041350</v>
      </c>
      <c r="M3652" t="s">
        <v>16566</v>
      </c>
      <c r="N3652" t="s">
        <v>16567</v>
      </c>
      <c r="O3652" t="s">
        <v>16568</v>
      </c>
      <c r="P3652">
        <v>25001</v>
      </c>
      <c r="Q3652" t="str">
        <f>"38.005177"</f>
        <v>38.005177</v>
      </c>
      <c r="R3652" t="str">
        <f>"21.911035"</f>
        <v>21.911035</v>
      </c>
      <c r="S3652" t="s">
        <v>57</v>
      </c>
    </row>
    <row r="3653" spans="1:19" x14ac:dyDescent="0.3">
      <c r="A3653" t="s">
        <v>13791</v>
      </c>
      <c r="B3653" t="s">
        <v>15775</v>
      </c>
      <c r="C3653" t="s">
        <v>14222</v>
      </c>
      <c r="D3653" t="s">
        <v>13798</v>
      </c>
      <c r="E3653" t="s">
        <v>13799</v>
      </c>
      <c r="F3653" t="s">
        <v>14276</v>
      </c>
      <c r="G3653" t="s">
        <v>14277</v>
      </c>
      <c r="H3653" t="s">
        <v>868</v>
      </c>
      <c r="I3653" t="s">
        <v>869</v>
      </c>
      <c r="J3653" t="str">
        <f>"9060594"</f>
        <v>9060594</v>
      </c>
      <c r="K3653">
        <v>2610991961</v>
      </c>
      <c r="L3653">
        <v>2610991961</v>
      </c>
      <c r="M3653" t="s">
        <v>16575</v>
      </c>
      <c r="N3653" t="s">
        <v>14592</v>
      </c>
      <c r="O3653" t="s">
        <v>16576</v>
      </c>
      <c r="P3653">
        <v>26504</v>
      </c>
      <c r="Q3653" t="str">
        <f>"38.279774"</f>
        <v>38.279774</v>
      </c>
      <c r="R3653" t="str">
        <f>"21.789699"</f>
        <v>21.789699</v>
      </c>
      <c r="S3653" t="s">
        <v>26</v>
      </c>
    </row>
    <row r="3654" spans="1:19" x14ac:dyDescent="0.3">
      <c r="A3654" t="s">
        <v>13791</v>
      </c>
      <c r="B3654" t="s">
        <v>15775</v>
      </c>
      <c r="C3654" t="s">
        <v>16577</v>
      </c>
      <c r="D3654" t="s">
        <v>13798</v>
      </c>
      <c r="E3654" t="s">
        <v>13799</v>
      </c>
      <c r="F3654" t="s">
        <v>13799</v>
      </c>
      <c r="G3654" t="s">
        <v>14236</v>
      </c>
      <c r="H3654" t="s">
        <v>868</v>
      </c>
      <c r="I3654" t="s">
        <v>869</v>
      </c>
      <c r="J3654" t="str">
        <f>"9060317"</f>
        <v>9060317</v>
      </c>
      <c r="K3654">
        <v>2610521189</v>
      </c>
      <c r="L3654">
        <v>2610525724</v>
      </c>
      <c r="M3654" t="s">
        <v>16578</v>
      </c>
      <c r="N3654" t="s">
        <v>13803</v>
      </c>
      <c r="O3654" t="s">
        <v>16579</v>
      </c>
      <c r="P3654">
        <v>26332</v>
      </c>
      <c r="Q3654" t="str">
        <f>"38.204075"</f>
        <v>38.204075</v>
      </c>
      <c r="R3654" t="str">
        <f>"21.738007"</f>
        <v>21.738007</v>
      </c>
      <c r="S3654" t="s">
        <v>26</v>
      </c>
    </row>
    <row r="3655" spans="1:19" x14ac:dyDescent="0.3">
      <c r="A3655" t="s">
        <v>13791</v>
      </c>
      <c r="B3655" t="s">
        <v>15775</v>
      </c>
      <c r="C3655" t="s">
        <v>16581</v>
      </c>
      <c r="D3655" t="s">
        <v>13798</v>
      </c>
      <c r="E3655" t="s">
        <v>14223</v>
      </c>
      <c r="F3655" t="s">
        <v>14297</v>
      </c>
      <c r="G3655" t="s">
        <v>16580</v>
      </c>
      <c r="H3655" t="s">
        <v>868</v>
      </c>
      <c r="I3655" t="s">
        <v>950</v>
      </c>
      <c r="J3655" t="str">
        <f>"9060115"</f>
        <v>9060115</v>
      </c>
      <c r="K3655">
        <v>2692071404</v>
      </c>
      <c r="L3655">
        <v>2692071404</v>
      </c>
      <c r="M3655" t="s">
        <v>16582</v>
      </c>
      <c r="N3655" t="s">
        <v>16583</v>
      </c>
      <c r="O3655" t="s">
        <v>16583</v>
      </c>
      <c r="P3655">
        <v>25004</v>
      </c>
      <c r="Q3655" t="str">
        <f>"37.842648"</f>
        <v>37.842648</v>
      </c>
      <c r="R3655" t="str">
        <f>"21.972477"</f>
        <v>21.972477</v>
      </c>
      <c r="S3655" t="s">
        <v>57</v>
      </c>
    </row>
    <row r="3656" spans="1:19" x14ac:dyDescent="0.3">
      <c r="A3656" t="s">
        <v>13791</v>
      </c>
      <c r="B3656" t="s">
        <v>15775</v>
      </c>
      <c r="C3656" t="s">
        <v>14552</v>
      </c>
      <c r="D3656" t="s">
        <v>13798</v>
      </c>
      <c r="E3656" t="s">
        <v>14223</v>
      </c>
      <c r="F3656" t="s">
        <v>14546</v>
      </c>
      <c r="G3656" t="s">
        <v>14547</v>
      </c>
      <c r="H3656" t="s">
        <v>868</v>
      </c>
      <c r="I3656" t="s">
        <v>869</v>
      </c>
      <c r="J3656" t="str">
        <f>"9060138"</f>
        <v>9060138</v>
      </c>
      <c r="K3656">
        <v>2692051218</v>
      </c>
      <c r="L3656">
        <v>2692051218</v>
      </c>
      <c r="M3656" t="s">
        <v>16584</v>
      </c>
      <c r="N3656" t="s">
        <v>15779</v>
      </c>
      <c r="O3656" t="s">
        <v>15779</v>
      </c>
      <c r="P3656">
        <v>25016</v>
      </c>
      <c r="Q3656" t="str">
        <f>"37.868584"</f>
        <v>37.868584</v>
      </c>
      <c r="R3656" t="str">
        <f>"21.889860"</f>
        <v>21.889860</v>
      </c>
      <c r="S3656" t="s">
        <v>57</v>
      </c>
    </row>
    <row r="3657" spans="1:19" x14ac:dyDescent="0.3">
      <c r="A3657" t="s">
        <v>13791</v>
      </c>
      <c r="B3657" t="s">
        <v>15775</v>
      </c>
      <c r="C3657" t="s">
        <v>16585</v>
      </c>
      <c r="D3657" t="s">
        <v>13798</v>
      </c>
      <c r="E3657" t="s">
        <v>13799</v>
      </c>
      <c r="F3657" t="s">
        <v>13799</v>
      </c>
      <c r="G3657" t="s">
        <v>13809</v>
      </c>
      <c r="H3657" t="s">
        <v>868</v>
      </c>
      <c r="I3657" t="s">
        <v>869</v>
      </c>
      <c r="J3657" t="str">
        <f>"9060251"</f>
        <v>9060251</v>
      </c>
      <c r="K3657">
        <v>2610271366</v>
      </c>
      <c r="L3657">
        <v>2610271366</v>
      </c>
      <c r="M3657" t="s">
        <v>16586</v>
      </c>
      <c r="N3657" t="s">
        <v>13803</v>
      </c>
      <c r="O3657" t="s">
        <v>16157</v>
      </c>
      <c r="P3657">
        <v>26225</v>
      </c>
      <c r="Q3657" t="str">
        <f>"38.247873"</f>
        <v>38.247873</v>
      </c>
      <c r="R3657" t="str">
        <f>"21.742696"</f>
        <v>21.742696</v>
      </c>
      <c r="S3657" t="s">
        <v>26</v>
      </c>
    </row>
    <row r="3658" spans="1:19" x14ac:dyDescent="0.3">
      <c r="A3658" t="s">
        <v>13791</v>
      </c>
      <c r="B3658" t="s">
        <v>15775</v>
      </c>
      <c r="C3658" t="s">
        <v>16587</v>
      </c>
      <c r="D3658" t="s">
        <v>13798</v>
      </c>
      <c r="E3658" t="s">
        <v>13799</v>
      </c>
      <c r="F3658" t="s">
        <v>13799</v>
      </c>
      <c r="G3658" t="s">
        <v>13809</v>
      </c>
      <c r="H3658" t="s">
        <v>868</v>
      </c>
      <c r="I3658" t="s">
        <v>869</v>
      </c>
      <c r="J3658" t="str">
        <f>"9060243"</f>
        <v>9060243</v>
      </c>
      <c r="K3658">
        <v>2610275494</v>
      </c>
      <c r="L3658">
        <v>2610275494</v>
      </c>
      <c r="M3658" t="s">
        <v>16588</v>
      </c>
      <c r="N3658" t="s">
        <v>13803</v>
      </c>
      <c r="O3658" t="s">
        <v>16589</v>
      </c>
      <c r="P3658">
        <v>26225</v>
      </c>
      <c r="Q3658" t="str">
        <f>"38.241737"</f>
        <v>38.241737</v>
      </c>
      <c r="R3658" t="str">
        <f>"21.739172"</f>
        <v>21.739172</v>
      </c>
      <c r="S3658" t="s">
        <v>26</v>
      </c>
    </row>
    <row r="3659" spans="1:19" x14ac:dyDescent="0.3">
      <c r="A3659" t="s">
        <v>13791</v>
      </c>
      <c r="B3659" t="s">
        <v>15775</v>
      </c>
      <c r="C3659" t="s">
        <v>16590</v>
      </c>
      <c r="D3659" t="s">
        <v>13798</v>
      </c>
      <c r="E3659" t="s">
        <v>13799</v>
      </c>
      <c r="F3659" t="s">
        <v>13799</v>
      </c>
      <c r="G3659" t="s">
        <v>13800</v>
      </c>
      <c r="H3659" t="s">
        <v>868</v>
      </c>
      <c r="I3659" t="s">
        <v>869</v>
      </c>
      <c r="J3659" t="str">
        <f>"9060236"</f>
        <v>9060236</v>
      </c>
      <c r="K3659">
        <v>2610421034</v>
      </c>
      <c r="L3659">
        <v>2610433643</v>
      </c>
      <c r="M3659" t="s">
        <v>16591</v>
      </c>
      <c r="N3659" t="s">
        <v>14253</v>
      </c>
      <c r="O3659" t="s">
        <v>16592</v>
      </c>
      <c r="P3659">
        <v>26442</v>
      </c>
      <c r="Q3659" t="str">
        <f>"38.268736"</f>
        <v>38.268736</v>
      </c>
      <c r="R3659" t="str">
        <f>"21.749960"</f>
        <v>21.749960</v>
      </c>
      <c r="S3659" t="s">
        <v>26</v>
      </c>
    </row>
    <row r="3660" spans="1:19" x14ac:dyDescent="0.3">
      <c r="A3660" t="s">
        <v>13791</v>
      </c>
      <c r="B3660" t="s">
        <v>15775</v>
      </c>
      <c r="C3660" t="s">
        <v>14445</v>
      </c>
      <c r="D3660" t="s">
        <v>13798</v>
      </c>
      <c r="E3660" t="s">
        <v>13799</v>
      </c>
      <c r="F3660" t="s">
        <v>13799</v>
      </c>
      <c r="G3660" t="s">
        <v>14241</v>
      </c>
      <c r="H3660" t="s">
        <v>868</v>
      </c>
      <c r="I3660" t="s">
        <v>869</v>
      </c>
      <c r="J3660" t="str">
        <f>"9060307"</f>
        <v>9060307</v>
      </c>
      <c r="K3660">
        <v>2610279746</v>
      </c>
      <c r="L3660">
        <v>2610279746</v>
      </c>
      <c r="M3660" t="s">
        <v>16593</v>
      </c>
      <c r="N3660" t="s">
        <v>13803</v>
      </c>
      <c r="O3660" t="s">
        <v>16594</v>
      </c>
      <c r="P3660">
        <v>26331</v>
      </c>
      <c r="Q3660" t="str">
        <f>"38.244077"</f>
        <v>38.244077</v>
      </c>
      <c r="R3660" t="str">
        <f>"21.753907"</f>
        <v>21.753907</v>
      </c>
      <c r="S3660" t="s">
        <v>26</v>
      </c>
    </row>
    <row r="3661" spans="1:19" x14ac:dyDescent="0.3">
      <c r="A3661" t="s">
        <v>13791</v>
      </c>
      <c r="B3661" t="s">
        <v>15775</v>
      </c>
      <c r="C3661" t="s">
        <v>14328</v>
      </c>
      <c r="D3661" t="s">
        <v>13798</v>
      </c>
      <c r="E3661" t="s">
        <v>13799</v>
      </c>
      <c r="F3661" t="s">
        <v>14323</v>
      </c>
      <c r="G3661" t="s">
        <v>14323</v>
      </c>
      <c r="H3661" t="s">
        <v>868</v>
      </c>
      <c r="I3661" t="s">
        <v>869</v>
      </c>
      <c r="J3661" t="str">
        <f>"9060168"</f>
        <v>9060168</v>
      </c>
      <c r="K3661">
        <v>2610670322</v>
      </c>
      <c r="L3661">
        <v>2610670322</v>
      </c>
      <c r="M3661" t="s">
        <v>16595</v>
      </c>
      <c r="N3661" t="s">
        <v>16596</v>
      </c>
      <c r="O3661" t="s">
        <v>16597</v>
      </c>
      <c r="P3661">
        <v>25002</v>
      </c>
      <c r="Q3661" t="str">
        <f>"38.163435"</f>
        <v>38.163435</v>
      </c>
      <c r="R3661" t="str">
        <f>"21.670749"</f>
        <v>21.670749</v>
      </c>
      <c r="S3661" t="s">
        <v>26</v>
      </c>
    </row>
    <row r="3662" spans="1:19" x14ac:dyDescent="0.3">
      <c r="A3662" t="s">
        <v>13791</v>
      </c>
      <c r="B3662" t="s">
        <v>15775</v>
      </c>
      <c r="C3662" t="s">
        <v>14312</v>
      </c>
      <c r="D3662" t="s">
        <v>13798</v>
      </c>
      <c r="E3662" t="s">
        <v>13799</v>
      </c>
      <c r="F3662" t="s">
        <v>13799</v>
      </c>
      <c r="G3662" t="s">
        <v>13800</v>
      </c>
      <c r="H3662" t="s">
        <v>868</v>
      </c>
      <c r="I3662" t="s">
        <v>869</v>
      </c>
      <c r="J3662" t="str">
        <f>"9060240"</f>
        <v>9060240</v>
      </c>
      <c r="K3662">
        <v>2610420954</v>
      </c>
      <c r="L3662">
        <v>2610461596</v>
      </c>
      <c r="M3662" t="s">
        <v>16598</v>
      </c>
      <c r="N3662" t="s">
        <v>13803</v>
      </c>
      <c r="O3662" t="s">
        <v>16599</v>
      </c>
      <c r="P3662">
        <v>26441</v>
      </c>
      <c r="Q3662" t="str">
        <f>"38.261570"</f>
        <v>38.261570</v>
      </c>
      <c r="R3662" t="str">
        <f>"21.754016"</f>
        <v>21.754016</v>
      </c>
      <c r="S3662" t="s">
        <v>26</v>
      </c>
    </row>
    <row r="3663" spans="1:19" x14ac:dyDescent="0.3">
      <c r="A3663" t="s">
        <v>13791</v>
      </c>
      <c r="B3663" t="s">
        <v>15775</v>
      </c>
      <c r="C3663" t="s">
        <v>16600</v>
      </c>
      <c r="D3663" t="s">
        <v>13798</v>
      </c>
      <c r="E3663" t="s">
        <v>13799</v>
      </c>
      <c r="F3663" t="s">
        <v>13799</v>
      </c>
      <c r="G3663" t="s">
        <v>13800</v>
      </c>
      <c r="H3663" t="s">
        <v>868</v>
      </c>
      <c r="I3663" t="s">
        <v>869</v>
      </c>
      <c r="J3663" t="str">
        <f>"9060244"</f>
        <v>9060244</v>
      </c>
      <c r="K3663">
        <v>2610422800</v>
      </c>
      <c r="L3663">
        <v>2610428342</v>
      </c>
      <c r="M3663" t="s">
        <v>16601</v>
      </c>
      <c r="N3663" t="s">
        <v>13803</v>
      </c>
      <c r="O3663" t="s">
        <v>16602</v>
      </c>
      <c r="P3663">
        <v>26443</v>
      </c>
      <c r="Q3663" t="str">
        <f>"38.280282"</f>
        <v>38.280282</v>
      </c>
      <c r="R3663" t="str">
        <f>"21.773146"</f>
        <v>21.773146</v>
      </c>
      <c r="S3663" t="s">
        <v>26</v>
      </c>
    </row>
    <row r="3664" spans="1:19" x14ac:dyDescent="0.3">
      <c r="A3664" t="s">
        <v>13791</v>
      </c>
      <c r="B3664" t="s">
        <v>15775</v>
      </c>
      <c r="C3664" t="s">
        <v>16603</v>
      </c>
      <c r="D3664" t="s">
        <v>13798</v>
      </c>
      <c r="E3664" t="s">
        <v>13799</v>
      </c>
      <c r="F3664" t="s">
        <v>13799</v>
      </c>
      <c r="G3664" t="s">
        <v>13809</v>
      </c>
      <c r="H3664" t="s">
        <v>868</v>
      </c>
      <c r="I3664" t="s">
        <v>869</v>
      </c>
      <c r="J3664" t="str">
        <f>"9060383"</f>
        <v>9060383</v>
      </c>
      <c r="K3664">
        <v>2610424821</v>
      </c>
      <c r="L3664">
        <v>2610424821</v>
      </c>
      <c r="M3664" t="s">
        <v>16604</v>
      </c>
      <c r="N3664" t="s">
        <v>13803</v>
      </c>
      <c r="O3664" t="s">
        <v>16192</v>
      </c>
      <c r="P3664">
        <v>26441</v>
      </c>
      <c r="Q3664" t="str">
        <f>"38.258898"</f>
        <v>38.258898</v>
      </c>
      <c r="R3664" t="str">
        <f>"21.744981"</f>
        <v>21.744981</v>
      </c>
      <c r="S3664" t="s">
        <v>26</v>
      </c>
    </row>
    <row r="3665" spans="1:19" x14ac:dyDescent="0.3">
      <c r="A3665" t="s">
        <v>13791</v>
      </c>
      <c r="B3665" t="s">
        <v>15775</v>
      </c>
      <c r="C3665" t="s">
        <v>16605</v>
      </c>
      <c r="D3665" t="s">
        <v>13798</v>
      </c>
      <c r="E3665" t="s">
        <v>13799</v>
      </c>
      <c r="F3665" t="s">
        <v>13799</v>
      </c>
      <c r="G3665" t="s">
        <v>13800</v>
      </c>
      <c r="H3665" t="s">
        <v>868</v>
      </c>
      <c r="I3665" t="s">
        <v>869</v>
      </c>
      <c r="J3665" t="str">
        <f>"9060517"</f>
        <v>9060517</v>
      </c>
      <c r="K3665">
        <v>2610429213</v>
      </c>
      <c r="L3665">
        <v>2610429573</v>
      </c>
      <c r="M3665" t="s">
        <v>16606</v>
      </c>
      <c r="N3665" t="s">
        <v>13803</v>
      </c>
      <c r="O3665" t="s">
        <v>16233</v>
      </c>
      <c r="P3665">
        <v>26441</v>
      </c>
      <c r="Q3665" t="str">
        <f>"38.264542"</f>
        <v>38.264542</v>
      </c>
      <c r="R3665" t="str">
        <f>"21.741015"</f>
        <v>21.741015</v>
      </c>
      <c r="S3665" t="s">
        <v>26</v>
      </c>
    </row>
    <row r="3666" spans="1:19" x14ac:dyDescent="0.3">
      <c r="A3666" t="s">
        <v>13791</v>
      </c>
      <c r="B3666" t="s">
        <v>15775</v>
      </c>
      <c r="C3666" t="s">
        <v>14195</v>
      </c>
      <c r="D3666" t="s">
        <v>13798</v>
      </c>
      <c r="E3666" t="s">
        <v>14188</v>
      </c>
      <c r="F3666" t="s">
        <v>14189</v>
      </c>
      <c r="G3666" t="s">
        <v>14190</v>
      </c>
      <c r="H3666" t="s">
        <v>868</v>
      </c>
      <c r="I3666" t="s">
        <v>869</v>
      </c>
      <c r="J3666" t="str">
        <f>"9060294"</f>
        <v>9060294</v>
      </c>
      <c r="K3666">
        <v>2694022188</v>
      </c>
      <c r="L3666">
        <v>2694022519</v>
      </c>
      <c r="M3666" t="s">
        <v>16607</v>
      </c>
      <c r="N3666" t="s">
        <v>16608</v>
      </c>
      <c r="O3666" t="s">
        <v>16609</v>
      </c>
      <c r="P3666">
        <v>25008</v>
      </c>
      <c r="Q3666" t="str">
        <f>"38.106152"</f>
        <v>38.106152</v>
      </c>
      <c r="R3666" t="str">
        <f>"21.787735"</f>
        <v>21.787735</v>
      </c>
      <c r="S3666" t="s">
        <v>26</v>
      </c>
    </row>
    <row r="3667" spans="1:19" x14ac:dyDescent="0.3">
      <c r="A3667" t="s">
        <v>13791</v>
      </c>
      <c r="B3667" t="s">
        <v>15775</v>
      </c>
      <c r="C3667" t="s">
        <v>16610</v>
      </c>
      <c r="D3667" t="s">
        <v>13798</v>
      </c>
      <c r="E3667" t="s">
        <v>13799</v>
      </c>
      <c r="F3667" t="s">
        <v>13799</v>
      </c>
      <c r="G3667" t="s">
        <v>13809</v>
      </c>
      <c r="H3667" t="s">
        <v>868</v>
      </c>
      <c r="I3667" t="s">
        <v>869</v>
      </c>
      <c r="J3667" t="str">
        <f>"9060321"</f>
        <v>9060321</v>
      </c>
      <c r="K3667">
        <v>2610276222</v>
      </c>
      <c r="L3667">
        <v>2610276222</v>
      </c>
      <c r="M3667" t="s">
        <v>16611</v>
      </c>
      <c r="N3667" t="s">
        <v>13803</v>
      </c>
      <c r="O3667" t="s">
        <v>16612</v>
      </c>
      <c r="P3667">
        <v>26331</v>
      </c>
      <c r="Q3667" t="str">
        <f>"38.240221"</f>
        <v>38.240221</v>
      </c>
      <c r="R3667" t="str">
        <f>"21.744406"</f>
        <v>21.744406</v>
      </c>
      <c r="S3667" t="s">
        <v>26</v>
      </c>
    </row>
    <row r="3668" spans="1:19" x14ac:dyDescent="0.3">
      <c r="A3668" t="s">
        <v>13791</v>
      </c>
      <c r="B3668" t="s">
        <v>15775</v>
      </c>
      <c r="C3668" t="s">
        <v>16613</v>
      </c>
      <c r="D3668" t="s">
        <v>13798</v>
      </c>
      <c r="E3668" t="s">
        <v>13799</v>
      </c>
      <c r="F3668" t="s">
        <v>13799</v>
      </c>
      <c r="G3668" t="s">
        <v>13800</v>
      </c>
      <c r="H3668" t="s">
        <v>868</v>
      </c>
      <c r="I3668" t="s">
        <v>869</v>
      </c>
      <c r="J3668" t="str">
        <f>"9060246"</f>
        <v>9060246</v>
      </c>
      <c r="K3668">
        <v>2610424741</v>
      </c>
      <c r="M3668" t="s">
        <v>16614</v>
      </c>
      <c r="N3668" t="s">
        <v>13803</v>
      </c>
      <c r="O3668" t="s">
        <v>16615</v>
      </c>
      <c r="P3668">
        <v>26443</v>
      </c>
      <c r="Q3668" t="str">
        <f>"38.266528"</f>
        <v>38.266528</v>
      </c>
      <c r="R3668" t="str">
        <f>"21.766564"</f>
        <v>21.766564</v>
      </c>
      <c r="S3668" t="s">
        <v>26</v>
      </c>
    </row>
    <row r="3669" spans="1:19" x14ac:dyDescent="0.3">
      <c r="A3669" t="s">
        <v>13791</v>
      </c>
      <c r="B3669" t="s">
        <v>15775</v>
      </c>
      <c r="C3669" t="s">
        <v>16616</v>
      </c>
      <c r="D3669" t="s">
        <v>13798</v>
      </c>
      <c r="E3669" t="s">
        <v>13799</v>
      </c>
      <c r="F3669" t="s">
        <v>13799</v>
      </c>
      <c r="G3669" t="s">
        <v>13800</v>
      </c>
      <c r="H3669" t="s">
        <v>868</v>
      </c>
      <c r="I3669" t="s">
        <v>869</v>
      </c>
      <c r="J3669" t="str">
        <f>"9060249"</f>
        <v>9060249</v>
      </c>
      <c r="K3669">
        <v>2610421055</v>
      </c>
      <c r="L3669">
        <v>2610421055</v>
      </c>
      <c r="M3669" t="s">
        <v>16617</v>
      </c>
      <c r="N3669" t="s">
        <v>13803</v>
      </c>
      <c r="O3669" t="s">
        <v>16618</v>
      </c>
      <c r="P3669">
        <v>26443</v>
      </c>
      <c r="Q3669" t="str">
        <f>"38.268137"</f>
        <v>38.268137</v>
      </c>
      <c r="R3669" t="str">
        <f>"21.757199"</f>
        <v>21.757199</v>
      </c>
      <c r="S3669" t="s">
        <v>26</v>
      </c>
    </row>
    <row r="3670" spans="1:19" x14ac:dyDescent="0.3">
      <c r="A3670" t="s">
        <v>13791</v>
      </c>
      <c r="B3670" t="s">
        <v>15775</v>
      </c>
      <c r="C3670" t="s">
        <v>14292</v>
      </c>
      <c r="D3670" t="s">
        <v>13798</v>
      </c>
      <c r="E3670" t="s">
        <v>14200</v>
      </c>
      <c r="F3670" t="s">
        <v>14286</v>
      </c>
      <c r="G3670" t="s">
        <v>14287</v>
      </c>
      <c r="H3670" t="s">
        <v>868</v>
      </c>
      <c r="I3670" t="s">
        <v>869</v>
      </c>
      <c r="J3670" t="str">
        <f>"9060195"</f>
        <v>9060195</v>
      </c>
      <c r="K3670">
        <v>2693031490</v>
      </c>
      <c r="L3670">
        <v>2693031810</v>
      </c>
      <c r="M3670" t="s">
        <v>16619</v>
      </c>
      <c r="N3670" t="s">
        <v>14448</v>
      </c>
      <c r="O3670" t="s">
        <v>16620</v>
      </c>
      <c r="P3670">
        <v>27052</v>
      </c>
      <c r="Q3670" t="str">
        <f>"38.097961"</f>
        <v>38.097961</v>
      </c>
      <c r="R3670" t="str">
        <f>"21.417938"</f>
        <v>21.417938</v>
      </c>
      <c r="S3670" t="s">
        <v>26</v>
      </c>
    </row>
    <row r="3671" spans="1:19" x14ac:dyDescent="0.3">
      <c r="A3671" t="s">
        <v>13791</v>
      </c>
      <c r="B3671" t="s">
        <v>15775</v>
      </c>
      <c r="C3671" t="s">
        <v>16621</v>
      </c>
      <c r="D3671" t="s">
        <v>13798</v>
      </c>
      <c r="E3671" t="s">
        <v>13799</v>
      </c>
      <c r="F3671" t="s">
        <v>14276</v>
      </c>
      <c r="G3671" t="s">
        <v>14277</v>
      </c>
      <c r="H3671" t="s">
        <v>868</v>
      </c>
      <c r="I3671" t="s">
        <v>1602</v>
      </c>
      <c r="J3671" t="str">
        <f>"9060439"</f>
        <v>9060439</v>
      </c>
      <c r="K3671">
        <v>2610992100</v>
      </c>
      <c r="L3671">
        <v>2610992100</v>
      </c>
      <c r="M3671" t="s">
        <v>16622</v>
      </c>
      <c r="N3671" t="s">
        <v>16623</v>
      </c>
      <c r="O3671" t="s">
        <v>16624</v>
      </c>
      <c r="P3671">
        <v>26504</v>
      </c>
      <c r="Q3671" t="str">
        <f>"38.281521"</f>
        <v>38.281521</v>
      </c>
      <c r="R3671" t="str">
        <f>"21.790479"</f>
        <v>21.790479</v>
      </c>
      <c r="S3671" t="s">
        <v>26</v>
      </c>
    </row>
    <row r="3672" spans="1:19" x14ac:dyDescent="0.3">
      <c r="A3672" t="s">
        <v>13791</v>
      </c>
      <c r="B3672" t="s">
        <v>15775</v>
      </c>
      <c r="C3672" t="s">
        <v>16626</v>
      </c>
      <c r="D3672" t="s">
        <v>13798</v>
      </c>
      <c r="E3672" t="s">
        <v>13799</v>
      </c>
      <c r="F3672" t="s">
        <v>14276</v>
      </c>
      <c r="G3672" t="s">
        <v>14277</v>
      </c>
      <c r="H3672" t="s">
        <v>868</v>
      </c>
      <c r="I3672" t="s">
        <v>16625</v>
      </c>
      <c r="J3672" t="str">
        <f>"9060479"</f>
        <v>9060479</v>
      </c>
      <c r="K3672">
        <v>2610990430</v>
      </c>
      <c r="L3672">
        <v>2610990430</v>
      </c>
      <c r="M3672" t="s">
        <v>16627</v>
      </c>
      <c r="N3672" t="s">
        <v>16628</v>
      </c>
      <c r="O3672" t="s">
        <v>16629</v>
      </c>
      <c r="P3672">
        <v>26504</v>
      </c>
      <c r="Q3672" t="str">
        <f>"38.281467"</f>
        <v>38.281467</v>
      </c>
      <c r="R3672" t="str">
        <f>"21.790375"</f>
        <v>21.790375</v>
      </c>
      <c r="S3672" t="s">
        <v>26</v>
      </c>
    </row>
    <row r="3673" spans="1:19" x14ac:dyDescent="0.3">
      <c r="A3673" t="s">
        <v>13791</v>
      </c>
      <c r="B3673" t="s">
        <v>15775</v>
      </c>
      <c r="C3673" t="s">
        <v>14348</v>
      </c>
      <c r="D3673" t="s">
        <v>13798</v>
      </c>
      <c r="E3673" t="s">
        <v>14200</v>
      </c>
      <c r="F3673" t="s">
        <v>2699</v>
      </c>
      <c r="G3673" t="s">
        <v>14291</v>
      </c>
      <c r="H3673" t="s">
        <v>868</v>
      </c>
      <c r="I3673" t="s">
        <v>869</v>
      </c>
      <c r="J3673" t="str">
        <f>"9060183"</f>
        <v>9060183</v>
      </c>
      <c r="K3673">
        <v>2693023113</v>
      </c>
      <c r="L3673">
        <v>2693025835</v>
      </c>
      <c r="M3673" t="s">
        <v>16630</v>
      </c>
      <c r="N3673" t="s">
        <v>16631</v>
      </c>
      <c r="O3673" t="s">
        <v>16632</v>
      </c>
      <c r="P3673">
        <v>25200</v>
      </c>
      <c r="Q3673" t="str">
        <f>"38.145458"</f>
        <v>38.145458</v>
      </c>
      <c r="R3673" t="str">
        <f>"21.546505"</f>
        <v>21.546505</v>
      </c>
      <c r="S3673" t="s">
        <v>26</v>
      </c>
    </row>
    <row r="3674" spans="1:19" x14ac:dyDescent="0.3">
      <c r="A3674" t="s">
        <v>13791</v>
      </c>
      <c r="B3674" t="s">
        <v>15775</v>
      </c>
      <c r="C3674" t="s">
        <v>16633</v>
      </c>
      <c r="D3674" t="s">
        <v>13798</v>
      </c>
      <c r="E3674" t="s">
        <v>13799</v>
      </c>
      <c r="F3674" t="s">
        <v>13799</v>
      </c>
      <c r="G3674" t="s">
        <v>13800</v>
      </c>
      <c r="H3674" t="s">
        <v>868</v>
      </c>
      <c r="I3674" t="s">
        <v>869</v>
      </c>
      <c r="J3674" t="str">
        <f>"9060252"</f>
        <v>9060252</v>
      </c>
      <c r="K3674">
        <v>2610459171</v>
      </c>
      <c r="L3674">
        <v>2610459171</v>
      </c>
      <c r="M3674" t="s">
        <v>16634</v>
      </c>
      <c r="N3674" t="s">
        <v>16635</v>
      </c>
      <c r="O3674" t="s">
        <v>16636</v>
      </c>
      <c r="P3674">
        <v>26443</v>
      </c>
      <c r="Q3674" t="str">
        <f>"38.258772"</f>
        <v>38.258772</v>
      </c>
      <c r="R3674" t="str">
        <f>"21.787586"</f>
        <v>21.787586</v>
      </c>
      <c r="S3674" t="s">
        <v>26</v>
      </c>
    </row>
    <row r="3675" spans="1:19" x14ac:dyDescent="0.3">
      <c r="A3675" t="s">
        <v>13791</v>
      </c>
      <c r="B3675" t="s">
        <v>15775</v>
      </c>
      <c r="C3675" t="s">
        <v>14275</v>
      </c>
      <c r="D3675" t="s">
        <v>13798</v>
      </c>
      <c r="E3675" t="s">
        <v>13799</v>
      </c>
      <c r="F3675" t="s">
        <v>14212</v>
      </c>
      <c r="G3675" t="s">
        <v>14212</v>
      </c>
      <c r="H3675" t="s">
        <v>868</v>
      </c>
      <c r="I3675" t="s">
        <v>869</v>
      </c>
      <c r="J3675" t="str">
        <f>"9060208"</f>
        <v>9060208</v>
      </c>
      <c r="K3675">
        <v>2610520184</v>
      </c>
      <c r="L3675">
        <v>2610520184</v>
      </c>
      <c r="M3675" t="s">
        <v>16637</v>
      </c>
      <c r="N3675" t="s">
        <v>15873</v>
      </c>
      <c r="O3675" t="s">
        <v>16175</v>
      </c>
      <c r="P3675">
        <v>26333</v>
      </c>
      <c r="Q3675" t="str">
        <f>"38.199095"</f>
        <v>38.199095</v>
      </c>
      <c r="R3675" t="str">
        <f>"21.703700"</f>
        <v>21.703700</v>
      </c>
      <c r="S3675" t="s">
        <v>26</v>
      </c>
    </row>
    <row r="3676" spans="1:19" x14ac:dyDescent="0.3">
      <c r="A3676" t="s">
        <v>13791</v>
      </c>
      <c r="B3676" t="s">
        <v>15775</v>
      </c>
      <c r="C3676" t="s">
        <v>16638</v>
      </c>
      <c r="D3676" t="s">
        <v>13798</v>
      </c>
      <c r="E3676" t="s">
        <v>13799</v>
      </c>
      <c r="F3676" t="s">
        <v>13799</v>
      </c>
      <c r="G3676" t="s">
        <v>13800</v>
      </c>
      <c r="H3676" t="s">
        <v>868</v>
      </c>
      <c r="I3676" t="s">
        <v>869</v>
      </c>
      <c r="J3676" t="str">
        <f>"9060473"</f>
        <v>9060473</v>
      </c>
      <c r="K3676">
        <v>2610429056</v>
      </c>
      <c r="L3676">
        <v>2610429056</v>
      </c>
      <c r="M3676" t="s">
        <v>16639</v>
      </c>
      <c r="N3676" t="s">
        <v>13803</v>
      </c>
      <c r="O3676" t="s">
        <v>16640</v>
      </c>
      <c r="P3676">
        <v>26442</v>
      </c>
      <c r="Q3676" t="str">
        <f>"38.286538"</f>
        <v>38.286538</v>
      </c>
      <c r="R3676" t="str">
        <f>"21.762586"</f>
        <v>21.762586</v>
      </c>
      <c r="S3676" t="s">
        <v>26</v>
      </c>
    </row>
    <row r="3677" spans="1:19" x14ac:dyDescent="0.3">
      <c r="A3677" t="s">
        <v>13791</v>
      </c>
      <c r="B3677" t="s">
        <v>15775</v>
      </c>
      <c r="C3677" t="s">
        <v>14217</v>
      </c>
      <c r="D3677" t="s">
        <v>13798</v>
      </c>
      <c r="E3677" t="s">
        <v>13799</v>
      </c>
      <c r="F3677" t="s">
        <v>14212</v>
      </c>
      <c r="G3677" t="s">
        <v>14212</v>
      </c>
      <c r="H3677" t="s">
        <v>868</v>
      </c>
      <c r="I3677" t="s">
        <v>869</v>
      </c>
      <c r="J3677" t="str">
        <f>"9520618"</f>
        <v>9520618</v>
      </c>
      <c r="K3677">
        <v>2610526541</v>
      </c>
      <c r="L3677">
        <v>2610526272</v>
      </c>
      <c r="M3677" t="s">
        <v>16641</v>
      </c>
      <c r="N3677" t="s">
        <v>14273</v>
      </c>
      <c r="O3677" t="s">
        <v>16642</v>
      </c>
      <c r="P3677">
        <v>26333</v>
      </c>
      <c r="Q3677" t="str">
        <f>"38.192181"</f>
        <v>38.192181</v>
      </c>
      <c r="R3677" t="str">
        <f>"21.711006"</f>
        <v>21.711006</v>
      </c>
      <c r="S3677" t="s">
        <v>26</v>
      </c>
    </row>
    <row r="3678" spans="1:19" x14ac:dyDescent="0.3">
      <c r="A3678" t="s">
        <v>13791</v>
      </c>
      <c r="B3678" t="s">
        <v>15775</v>
      </c>
      <c r="C3678" t="s">
        <v>16643</v>
      </c>
      <c r="D3678" t="s">
        <v>13798</v>
      </c>
      <c r="E3678" t="s">
        <v>13799</v>
      </c>
      <c r="F3678" t="s">
        <v>14276</v>
      </c>
      <c r="G3678" t="s">
        <v>15843</v>
      </c>
      <c r="H3678" t="s">
        <v>868</v>
      </c>
      <c r="I3678" t="s">
        <v>950</v>
      </c>
      <c r="J3678" t="str">
        <f>"9060258"</f>
        <v>9060258</v>
      </c>
      <c r="K3678">
        <v>2610936262</v>
      </c>
      <c r="L3678">
        <v>2610936262</v>
      </c>
      <c r="M3678" t="s">
        <v>16644</v>
      </c>
      <c r="N3678" t="s">
        <v>16645</v>
      </c>
      <c r="O3678" t="s">
        <v>15846</v>
      </c>
      <c r="P3678">
        <v>26504</v>
      </c>
      <c r="Q3678" t="str">
        <f>"38.273428"</f>
        <v>38.273428</v>
      </c>
      <c r="R3678" t="str">
        <f>"21.837798"</f>
        <v>21.837798</v>
      </c>
      <c r="S3678" t="s">
        <v>26</v>
      </c>
    </row>
    <row r="3679" spans="1:19" x14ac:dyDescent="0.3">
      <c r="A3679" t="s">
        <v>13791</v>
      </c>
      <c r="B3679" t="s">
        <v>15775</v>
      </c>
      <c r="C3679" t="s">
        <v>16646</v>
      </c>
      <c r="D3679" t="s">
        <v>13798</v>
      </c>
      <c r="E3679" t="s">
        <v>13799</v>
      </c>
      <c r="F3679" t="s">
        <v>13799</v>
      </c>
      <c r="G3679" t="s">
        <v>14236</v>
      </c>
      <c r="H3679" t="s">
        <v>868</v>
      </c>
      <c r="I3679" t="s">
        <v>1157</v>
      </c>
      <c r="J3679" t="str">
        <f>"9060403"</f>
        <v>9060403</v>
      </c>
      <c r="K3679">
        <v>2610330388</v>
      </c>
      <c r="L3679">
        <v>2610310465</v>
      </c>
      <c r="M3679" t="s">
        <v>16647</v>
      </c>
      <c r="N3679" t="s">
        <v>16648</v>
      </c>
      <c r="O3679" t="s">
        <v>16649</v>
      </c>
      <c r="P3679">
        <v>26332</v>
      </c>
      <c r="Q3679" t="str">
        <f>"38.223983"</f>
        <v>38.223983</v>
      </c>
      <c r="R3679" t="str">
        <f>"21.740598"</f>
        <v>21.740598</v>
      </c>
      <c r="S3679" t="s">
        <v>26</v>
      </c>
    </row>
    <row r="3680" spans="1:19" x14ac:dyDescent="0.3">
      <c r="A3680" t="s">
        <v>13791</v>
      </c>
      <c r="B3680" t="s">
        <v>15775</v>
      </c>
      <c r="C3680" t="s">
        <v>16650</v>
      </c>
      <c r="D3680" t="s">
        <v>13798</v>
      </c>
      <c r="E3680" t="s">
        <v>13799</v>
      </c>
      <c r="F3680" t="s">
        <v>13799</v>
      </c>
      <c r="G3680" t="s">
        <v>13809</v>
      </c>
      <c r="H3680" t="s">
        <v>868</v>
      </c>
      <c r="I3680" t="s">
        <v>1157</v>
      </c>
      <c r="J3680" t="str">
        <f>"9060598"</f>
        <v>9060598</v>
      </c>
      <c r="K3680">
        <v>2610526232</v>
      </c>
      <c r="L3680">
        <v>2610526232</v>
      </c>
      <c r="M3680" t="s">
        <v>16651</v>
      </c>
      <c r="N3680" t="s">
        <v>13803</v>
      </c>
      <c r="O3680" t="s">
        <v>16652</v>
      </c>
      <c r="P3680">
        <v>26335</v>
      </c>
      <c r="Q3680" t="str">
        <f>"38.235038"</f>
        <v>38.235038</v>
      </c>
      <c r="R3680" t="str">
        <f>"21.745768"</f>
        <v>21.745768</v>
      </c>
      <c r="S3680" t="s">
        <v>26</v>
      </c>
    </row>
    <row r="3681" spans="1:19" x14ac:dyDescent="0.3">
      <c r="A3681" t="s">
        <v>13791</v>
      </c>
      <c r="B3681" t="s">
        <v>15775</v>
      </c>
      <c r="C3681" t="s">
        <v>14370</v>
      </c>
      <c r="D3681" t="s">
        <v>13798</v>
      </c>
      <c r="E3681" t="s">
        <v>14223</v>
      </c>
      <c r="F3681" t="s">
        <v>14365</v>
      </c>
      <c r="G3681" t="s">
        <v>14365</v>
      </c>
      <c r="H3681" t="s">
        <v>868</v>
      </c>
      <c r="I3681" t="s">
        <v>869</v>
      </c>
      <c r="J3681" t="str">
        <f>"9060093"</f>
        <v>9060093</v>
      </c>
      <c r="K3681">
        <v>2692031229</v>
      </c>
      <c r="L3681">
        <v>2692031229</v>
      </c>
      <c r="M3681" t="s">
        <v>16658</v>
      </c>
      <c r="N3681" t="s">
        <v>14369</v>
      </c>
      <c r="O3681" t="s">
        <v>14369</v>
      </c>
      <c r="P3681">
        <v>25007</v>
      </c>
      <c r="Q3681" t="str">
        <f>"37.899613"</f>
        <v>37.899613</v>
      </c>
      <c r="R3681" t="str">
        <f>"22.116399"</f>
        <v>22.116399</v>
      </c>
      <c r="S3681" t="s">
        <v>26</v>
      </c>
    </row>
    <row r="3682" spans="1:19" x14ac:dyDescent="0.3">
      <c r="A3682" t="s">
        <v>13791</v>
      </c>
      <c r="B3682" t="s">
        <v>15775</v>
      </c>
      <c r="C3682" t="s">
        <v>16662</v>
      </c>
      <c r="D3682" t="s">
        <v>13798</v>
      </c>
      <c r="E3682" t="s">
        <v>13799</v>
      </c>
      <c r="F3682" t="s">
        <v>14349</v>
      </c>
      <c r="G3682" t="s">
        <v>5563</v>
      </c>
      <c r="H3682" t="s">
        <v>868</v>
      </c>
      <c r="I3682" t="s">
        <v>869</v>
      </c>
      <c r="J3682" t="str">
        <f>"9060275"</f>
        <v>9060275</v>
      </c>
      <c r="K3682">
        <v>2610590171</v>
      </c>
      <c r="L3682">
        <v>2610590552</v>
      </c>
      <c r="M3682" t="s">
        <v>16663</v>
      </c>
      <c r="N3682" t="s">
        <v>5567</v>
      </c>
      <c r="O3682" t="s">
        <v>5567</v>
      </c>
      <c r="P3682">
        <v>26500</v>
      </c>
      <c r="Q3682" t="str">
        <f>"38.163373"</f>
        <v>38.163373</v>
      </c>
      <c r="R3682" t="str">
        <f>"21.728831"</f>
        <v>21.728831</v>
      </c>
      <c r="S3682" t="s">
        <v>26</v>
      </c>
    </row>
    <row r="3683" spans="1:19" x14ac:dyDescent="0.3">
      <c r="A3683" t="s">
        <v>13791</v>
      </c>
      <c r="B3683" t="s">
        <v>15775</v>
      </c>
      <c r="C3683" t="s">
        <v>16664</v>
      </c>
      <c r="D3683" t="s">
        <v>13798</v>
      </c>
      <c r="E3683" t="s">
        <v>14200</v>
      </c>
      <c r="F3683" t="s">
        <v>14286</v>
      </c>
      <c r="G3683" t="s">
        <v>13937</v>
      </c>
      <c r="H3683" t="s">
        <v>868</v>
      </c>
      <c r="I3683" t="s">
        <v>950</v>
      </c>
      <c r="J3683" t="str">
        <f>"9060196"</f>
        <v>9060196</v>
      </c>
      <c r="K3683">
        <v>2693099498</v>
      </c>
      <c r="L3683">
        <v>2693099498</v>
      </c>
      <c r="M3683" t="s">
        <v>16665</v>
      </c>
      <c r="N3683" t="s">
        <v>14093</v>
      </c>
      <c r="O3683" t="s">
        <v>14093</v>
      </c>
      <c r="P3683">
        <v>25200</v>
      </c>
      <c r="Q3683" t="str">
        <f>"38.020043"</f>
        <v>38.020043</v>
      </c>
      <c r="R3683" t="str">
        <f>"21.471586"</f>
        <v>21.471586</v>
      </c>
      <c r="S3683" t="s">
        <v>26</v>
      </c>
    </row>
    <row r="3684" spans="1:19" x14ac:dyDescent="0.3">
      <c r="A3684" t="s">
        <v>13791</v>
      </c>
      <c r="B3684" t="s">
        <v>15775</v>
      </c>
      <c r="C3684" t="s">
        <v>16669</v>
      </c>
      <c r="D3684" t="s">
        <v>13798</v>
      </c>
      <c r="E3684" t="s">
        <v>13799</v>
      </c>
      <c r="F3684" t="s">
        <v>13799</v>
      </c>
      <c r="G3684" t="s">
        <v>13809</v>
      </c>
      <c r="H3684" t="s">
        <v>868</v>
      </c>
      <c r="I3684" t="s">
        <v>1157</v>
      </c>
      <c r="J3684" t="str">
        <f>"9060530"</f>
        <v>9060530</v>
      </c>
      <c r="K3684">
        <v>2610346440</v>
      </c>
      <c r="L3684">
        <v>2610346440</v>
      </c>
      <c r="M3684" t="s">
        <v>16670</v>
      </c>
      <c r="N3684" t="s">
        <v>14309</v>
      </c>
      <c r="O3684" t="s">
        <v>16671</v>
      </c>
      <c r="P3684">
        <v>26222</v>
      </c>
      <c r="Q3684" t="str">
        <f>"38.243915"</f>
        <v>38.243915</v>
      </c>
      <c r="R3684" t="str">
        <f>"21.731453"</f>
        <v>21.731453</v>
      </c>
      <c r="S3684" t="s">
        <v>26</v>
      </c>
    </row>
    <row r="3685" spans="1:19" x14ac:dyDescent="0.3">
      <c r="A3685" t="s">
        <v>13791</v>
      </c>
      <c r="B3685" t="s">
        <v>15775</v>
      </c>
      <c r="C3685" t="s">
        <v>14482</v>
      </c>
      <c r="D3685" t="s">
        <v>13798</v>
      </c>
      <c r="E3685" t="s">
        <v>14188</v>
      </c>
      <c r="F3685" t="s">
        <v>14391</v>
      </c>
      <c r="G3685" t="s">
        <v>14477</v>
      </c>
      <c r="H3685" t="s">
        <v>868</v>
      </c>
      <c r="I3685" t="s">
        <v>869</v>
      </c>
      <c r="J3685" t="str">
        <f>"9060406"</f>
        <v>9060406</v>
      </c>
      <c r="K3685">
        <v>2694051250</v>
      </c>
      <c r="L3685">
        <v>2694051250</v>
      </c>
      <c r="M3685" t="s">
        <v>16672</v>
      </c>
      <c r="N3685" t="s">
        <v>16038</v>
      </c>
      <c r="O3685" t="s">
        <v>16038</v>
      </c>
      <c r="P3685">
        <v>25015</v>
      </c>
      <c r="Q3685" t="str">
        <f>"37.939138"</f>
        <v>37.939138</v>
      </c>
      <c r="R3685" t="str">
        <f>"21.679852"</f>
        <v>21.679852</v>
      </c>
      <c r="S3685" t="s">
        <v>26</v>
      </c>
    </row>
    <row r="3686" spans="1:19" x14ac:dyDescent="0.3">
      <c r="A3686" t="s">
        <v>13791</v>
      </c>
      <c r="B3686" t="s">
        <v>15775</v>
      </c>
      <c r="C3686" t="s">
        <v>16674</v>
      </c>
      <c r="D3686" t="s">
        <v>13798</v>
      </c>
      <c r="E3686" t="s">
        <v>13799</v>
      </c>
      <c r="F3686" t="s">
        <v>13799</v>
      </c>
      <c r="G3686" t="s">
        <v>13800</v>
      </c>
      <c r="H3686" t="s">
        <v>868</v>
      </c>
      <c r="I3686" t="s">
        <v>1157</v>
      </c>
      <c r="J3686" t="str">
        <f>"9521173"</f>
        <v>9521173</v>
      </c>
      <c r="K3686">
        <v>2610461272</v>
      </c>
      <c r="L3686">
        <v>2610461272</v>
      </c>
      <c r="M3686" t="s">
        <v>16675</v>
      </c>
      <c r="N3686" t="s">
        <v>13803</v>
      </c>
      <c r="O3686" t="s">
        <v>16676</v>
      </c>
      <c r="P3686">
        <v>26443</v>
      </c>
      <c r="Q3686" t="str">
        <f>"38.282725"</f>
        <v>38.282725</v>
      </c>
      <c r="R3686" t="str">
        <f>"21.781443"</f>
        <v>21.781443</v>
      </c>
      <c r="S3686" t="s">
        <v>26</v>
      </c>
    </row>
    <row r="3687" spans="1:19" x14ac:dyDescent="0.3">
      <c r="A3687" t="s">
        <v>13791</v>
      </c>
      <c r="B3687" t="s">
        <v>15775</v>
      </c>
      <c r="C3687" t="s">
        <v>16677</v>
      </c>
      <c r="D3687" t="s">
        <v>13798</v>
      </c>
      <c r="E3687" t="s">
        <v>14200</v>
      </c>
      <c r="F3687" t="s">
        <v>2699</v>
      </c>
      <c r="G3687" t="s">
        <v>14291</v>
      </c>
      <c r="H3687" t="s">
        <v>868</v>
      </c>
      <c r="I3687" t="s">
        <v>1157</v>
      </c>
      <c r="J3687" t="str">
        <f>"9521034"</f>
        <v>9521034</v>
      </c>
      <c r="K3687">
        <v>2693025654</v>
      </c>
      <c r="M3687" t="s">
        <v>16678</v>
      </c>
      <c r="N3687" t="s">
        <v>15916</v>
      </c>
      <c r="O3687" t="s">
        <v>16679</v>
      </c>
      <c r="P3687">
        <v>25200</v>
      </c>
      <c r="Q3687" t="str">
        <f>"38.145342"</f>
        <v>38.145342</v>
      </c>
      <c r="R3687" t="str">
        <f>"21.546543"</f>
        <v>21.546543</v>
      </c>
      <c r="S3687" t="s">
        <v>26</v>
      </c>
    </row>
    <row r="3688" spans="1:19" x14ac:dyDescent="0.3">
      <c r="A3688" t="s">
        <v>13791</v>
      </c>
      <c r="B3688" t="s">
        <v>15775</v>
      </c>
      <c r="C3688" t="s">
        <v>16701</v>
      </c>
      <c r="D3688" t="s">
        <v>13798</v>
      </c>
      <c r="E3688" t="s">
        <v>13799</v>
      </c>
      <c r="F3688" t="s">
        <v>13799</v>
      </c>
      <c r="G3688" t="s">
        <v>13800</v>
      </c>
      <c r="H3688" t="s">
        <v>868</v>
      </c>
      <c r="I3688" t="s">
        <v>869</v>
      </c>
      <c r="J3688" t="str">
        <f>"9999999"</f>
        <v>9999999</v>
      </c>
      <c r="O3688" t="s">
        <v>16701</v>
      </c>
      <c r="Q3688" t="str">
        <f>""</f>
        <v/>
      </c>
      <c r="R3688" t="str">
        <f>""</f>
        <v/>
      </c>
      <c r="S3688" t="s">
        <v>26</v>
      </c>
    </row>
    <row r="3689" spans="1:19" x14ac:dyDescent="0.3">
      <c r="A3689" t="s">
        <v>13791</v>
      </c>
      <c r="B3689" t="s">
        <v>15775</v>
      </c>
      <c r="C3689" t="s">
        <v>16704</v>
      </c>
      <c r="D3689" t="s">
        <v>13798</v>
      </c>
      <c r="E3689" t="s">
        <v>14223</v>
      </c>
      <c r="F3689" t="s">
        <v>14223</v>
      </c>
      <c r="G3689" t="s">
        <v>14223</v>
      </c>
      <c r="H3689" t="s">
        <v>868</v>
      </c>
      <c r="I3689" t="s">
        <v>1157</v>
      </c>
      <c r="J3689" t="str">
        <f>"9521697"</f>
        <v>9521697</v>
      </c>
      <c r="K3689">
        <v>2692022025</v>
      </c>
      <c r="L3689">
        <v>2692022025</v>
      </c>
      <c r="M3689" t="s">
        <v>16705</v>
      </c>
      <c r="N3689" t="s">
        <v>14226</v>
      </c>
      <c r="O3689" t="s">
        <v>15980</v>
      </c>
      <c r="P3689">
        <v>25001</v>
      </c>
      <c r="Q3689" t="str">
        <f>"38.033661"</f>
        <v>38.033661</v>
      </c>
      <c r="R3689" t="str">
        <f>"22.107821"</f>
        <v>22.107821</v>
      </c>
      <c r="S3689" t="s">
        <v>26</v>
      </c>
    </row>
    <row r="3690" spans="1:19" x14ac:dyDescent="0.3">
      <c r="A3690" t="s">
        <v>13791</v>
      </c>
      <c r="B3690" t="s">
        <v>16709</v>
      </c>
      <c r="C3690" t="s">
        <v>14827</v>
      </c>
      <c r="D3690" t="s">
        <v>13805</v>
      </c>
      <c r="E3690" t="s">
        <v>1210</v>
      </c>
      <c r="F3690" t="s">
        <v>1210</v>
      </c>
      <c r="G3690" t="s">
        <v>1210</v>
      </c>
      <c r="H3690" t="s">
        <v>868</v>
      </c>
      <c r="I3690" t="s">
        <v>869</v>
      </c>
      <c r="J3690" t="str">
        <f>"9150264"</f>
        <v>9150264</v>
      </c>
      <c r="K3690">
        <v>2621033036</v>
      </c>
      <c r="L3690">
        <v>2621033036</v>
      </c>
      <c r="M3690" t="s">
        <v>16791</v>
      </c>
      <c r="N3690" t="s">
        <v>1211</v>
      </c>
      <c r="O3690" t="s">
        <v>16792</v>
      </c>
      <c r="P3690">
        <v>27131</v>
      </c>
      <c r="Q3690" t="str">
        <f>"37.665116"</f>
        <v>37.665116</v>
      </c>
      <c r="R3690" t="str">
        <f>"21.443761"</f>
        <v>21.443761</v>
      </c>
      <c r="S3690" t="s">
        <v>26</v>
      </c>
    </row>
    <row r="3691" spans="1:19" x14ac:dyDescent="0.3">
      <c r="A3691" t="s">
        <v>13791</v>
      </c>
      <c r="B3691" t="s">
        <v>16709</v>
      </c>
      <c r="C3691" t="s">
        <v>14720</v>
      </c>
      <c r="D3691" t="s">
        <v>13805</v>
      </c>
      <c r="E3691" t="s">
        <v>1210</v>
      </c>
      <c r="F3691" t="s">
        <v>1210</v>
      </c>
      <c r="G3691" t="s">
        <v>1210</v>
      </c>
      <c r="H3691" t="s">
        <v>868</v>
      </c>
      <c r="I3691" t="s">
        <v>869</v>
      </c>
      <c r="J3691" t="str">
        <f>"9150057"</f>
        <v>9150057</v>
      </c>
      <c r="K3691">
        <v>2621033577</v>
      </c>
      <c r="L3691">
        <v>2621033577</v>
      </c>
      <c r="M3691" t="s">
        <v>16819</v>
      </c>
      <c r="N3691" t="s">
        <v>14738</v>
      </c>
      <c r="O3691" t="s">
        <v>16820</v>
      </c>
      <c r="P3691">
        <v>27131</v>
      </c>
      <c r="Q3691" t="str">
        <f>"37.670615"</f>
        <v>37.670615</v>
      </c>
      <c r="R3691" t="str">
        <f>"21.432067"</f>
        <v>21.432067</v>
      </c>
      <c r="S3691" t="s">
        <v>26</v>
      </c>
    </row>
    <row r="3692" spans="1:19" x14ac:dyDescent="0.3">
      <c r="A3692" t="s">
        <v>13791</v>
      </c>
      <c r="B3692" t="s">
        <v>16709</v>
      </c>
      <c r="C3692" t="s">
        <v>14898</v>
      </c>
      <c r="D3692" t="s">
        <v>13805</v>
      </c>
      <c r="E3692" t="s">
        <v>14669</v>
      </c>
      <c r="F3692" t="s">
        <v>14892</v>
      </c>
      <c r="G3692" t="s">
        <v>14893</v>
      </c>
      <c r="H3692" t="s">
        <v>868</v>
      </c>
      <c r="I3692" t="s">
        <v>869</v>
      </c>
      <c r="J3692" t="str">
        <f>"9150279"</f>
        <v>9150279</v>
      </c>
      <c r="K3692">
        <v>2624061270</v>
      </c>
      <c r="L3692">
        <v>2624061270</v>
      </c>
      <c r="M3692" t="s">
        <v>16821</v>
      </c>
      <c r="N3692" t="s">
        <v>16822</v>
      </c>
      <c r="O3692" t="s">
        <v>14897</v>
      </c>
      <c r="P3692">
        <v>27063</v>
      </c>
      <c r="Q3692" t="str">
        <f>"37.818659"</f>
        <v>37.818659</v>
      </c>
      <c r="R3692" t="str">
        <f>"21.689072"</f>
        <v>21.689072</v>
      </c>
      <c r="S3692" t="s">
        <v>26</v>
      </c>
    </row>
    <row r="3693" spans="1:19" x14ac:dyDescent="0.3">
      <c r="A3693" t="s">
        <v>13791</v>
      </c>
      <c r="B3693" t="s">
        <v>16709</v>
      </c>
      <c r="C3693" t="s">
        <v>16826</v>
      </c>
      <c r="D3693" t="s">
        <v>13805</v>
      </c>
      <c r="E3693" t="s">
        <v>14741</v>
      </c>
      <c r="F3693" t="s">
        <v>14742</v>
      </c>
      <c r="G3693" t="s">
        <v>14742</v>
      </c>
      <c r="H3693" t="s">
        <v>868</v>
      </c>
      <c r="I3693" t="s">
        <v>869</v>
      </c>
      <c r="J3693" t="str">
        <f>"9150014"</f>
        <v>9150014</v>
      </c>
      <c r="K3693">
        <v>2623032200</v>
      </c>
      <c r="M3693" t="s">
        <v>16827</v>
      </c>
      <c r="N3693" t="s">
        <v>16828</v>
      </c>
      <c r="O3693" t="s">
        <v>16829</v>
      </c>
      <c r="P3693">
        <v>27300</v>
      </c>
      <c r="Q3693" t="str">
        <f>"37.853064"</f>
        <v>37.853064</v>
      </c>
      <c r="R3693" t="str">
        <f>"21.258594"</f>
        <v>21.258594</v>
      </c>
      <c r="S3693" t="s">
        <v>26</v>
      </c>
    </row>
    <row r="3694" spans="1:19" x14ac:dyDescent="0.3">
      <c r="A3694" t="s">
        <v>13791</v>
      </c>
      <c r="B3694" t="s">
        <v>16709</v>
      </c>
      <c r="C3694" t="s">
        <v>14924</v>
      </c>
      <c r="D3694" t="s">
        <v>13805</v>
      </c>
      <c r="E3694" t="s">
        <v>1210</v>
      </c>
      <c r="F3694" t="s">
        <v>1210</v>
      </c>
      <c r="G3694" t="s">
        <v>1210</v>
      </c>
      <c r="H3694" t="s">
        <v>868</v>
      </c>
      <c r="I3694" t="s">
        <v>869</v>
      </c>
      <c r="J3694" t="str">
        <f>"9150060"</f>
        <v>9150060</v>
      </c>
      <c r="K3694">
        <v>2621022711</v>
      </c>
      <c r="L3694">
        <v>2621022711</v>
      </c>
      <c r="M3694" t="s">
        <v>16830</v>
      </c>
      <c r="N3694" t="s">
        <v>1211</v>
      </c>
      <c r="O3694" t="s">
        <v>16831</v>
      </c>
      <c r="P3694">
        <v>27131</v>
      </c>
      <c r="Q3694" t="str">
        <f>"37.676339"</f>
        <v>37.676339</v>
      </c>
      <c r="R3694" t="str">
        <f>"21.442318"</f>
        <v>21.442318</v>
      </c>
      <c r="S3694" t="s">
        <v>26</v>
      </c>
    </row>
    <row r="3695" spans="1:19" x14ac:dyDescent="0.3">
      <c r="A3695" t="s">
        <v>13791</v>
      </c>
      <c r="B3695" t="s">
        <v>16709</v>
      </c>
      <c r="C3695" t="s">
        <v>16832</v>
      </c>
      <c r="D3695" t="s">
        <v>13805</v>
      </c>
      <c r="E3695" t="s">
        <v>1210</v>
      </c>
      <c r="F3695" t="s">
        <v>1210</v>
      </c>
      <c r="G3695" t="s">
        <v>1210</v>
      </c>
      <c r="H3695" t="s">
        <v>868</v>
      </c>
      <c r="I3695" t="s">
        <v>869</v>
      </c>
      <c r="J3695" t="str">
        <f>"9150059"</f>
        <v>9150059</v>
      </c>
      <c r="K3695">
        <v>2621033480</v>
      </c>
      <c r="L3695">
        <v>2621020193</v>
      </c>
      <c r="M3695" t="s">
        <v>16833</v>
      </c>
      <c r="N3695" t="s">
        <v>16834</v>
      </c>
      <c r="O3695" t="s">
        <v>16835</v>
      </c>
      <c r="P3695">
        <v>27131</v>
      </c>
      <c r="Q3695" t="str">
        <f>"37.667844"</f>
        <v>37.667844</v>
      </c>
      <c r="R3695" t="str">
        <f>"21.438314"</f>
        <v>21.438314</v>
      </c>
      <c r="S3695" t="s">
        <v>26</v>
      </c>
    </row>
    <row r="3696" spans="1:19" x14ac:dyDescent="0.3">
      <c r="A3696" t="s">
        <v>13791</v>
      </c>
      <c r="B3696" t="s">
        <v>16709</v>
      </c>
      <c r="C3696" t="s">
        <v>14740</v>
      </c>
      <c r="D3696" t="s">
        <v>13805</v>
      </c>
      <c r="E3696" t="s">
        <v>1210</v>
      </c>
      <c r="F3696" t="s">
        <v>1210</v>
      </c>
      <c r="G3696" t="s">
        <v>1210</v>
      </c>
      <c r="H3696" t="s">
        <v>868</v>
      </c>
      <c r="I3696" t="s">
        <v>869</v>
      </c>
      <c r="J3696" t="str">
        <f>"9150261"</f>
        <v>9150261</v>
      </c>
      <c r="K3696">
        <v>2621033223</v>
      </c>
      <c r="L3696">
        <v>2621033223</v>
      </c>
      <c r="M3696" t="s">
        <v>16836</v>
      </c>
      <c r="N3696" t="s">
        <v>1211</v>
      </c>
      <c r="O3696" t="s">
        <v>16837</v>
      </c>
      <c r="P3696">
        <v>27131</v>
      </c>
      <c r="Q3696" t="str">
        <f>"37.673405"</f>
        <v>37.673405</v>
      </c>
      <c r="R3696" t="str">
        <f>"21.430683"</f>
        <v>21.430683</v>
      </c>
      <c r="S3696" t="s">
        <v>26</v>
      </c>
    </row>
    <row r="3697" spans="1:19" x14ac:dyDescent="0.3">
      <c r="A3697" t="s">
        <v>13791</v>
      </c>
      <c r="B3697" t="s">
        <v>16709</v>
      </c>
      <c r="C3697" t="s">
        <v>16841</v>
      </c>
      <c r="D3697" t="s">
        <v>13805</v>
      </c>
      <c r="E3697" t="s">
        <v>1210</v>
      </c>
      <c r="F3697" t="s">
        <v>1210</v>
      </c>
      <c r="G3697" t="s">
        <v>1210</v>
      </c>
      <c r="H3697" t="s">
        <v>868</v>
      </c>
      <c r="I3697" t="s">
        <v>869</v>
      </c>
      <c r="J3697" t="str">
        <f>"9150265"</f>
        <v>9150265</v>
      </c>
      <c r="K3697">
        <v>2621022932</v>
      </c>
      <c r="L3697">
        <v>2621025288</v>
      </c>
      <c r="M3697" t="s">
        <v>16842</v>
      </c>
      <c r="N3697" t="s">
        <v>1211</v>
      </c>
      <c r="O3697" t="s">
        <v>16769</v>
      </c>
      <c r="P3697">
        <v>27131</v>
      </c>
      <c r="Q3697" t="str">
        <f>"37.677230"</f>
        <v>37.677230</v>
      </c>
      <c r="R3697" t="str">
        <f>"21.448688"</f>
        <v>21.448688</v>
      </c>
      <c r="S3697" t="s">
        <v>26</v>
      </c>
    </row>
    <row r="3698" spans="1:19" x14ac:dyDescent="0.3">
      <c r="A3698" t="s">
        <v>13791</v>
      </c>
      <c r="B3698" t="s">
        <v>16709</v>
      </c>
      <c r="C3698" t="s">
        <v>16843</v>
      </c>
      <c r="D3698" t="s">
        <v>13805</v>
      </c>
      <c r="E3698" t="s">
        <v>14669</v>
      </c>
      <c r="F3698" t="s">
        <v>14685</v>
      </c>
      <c r="G3698" t="s">
        <v>16749</v>
      </c>
      <c r="H3698" t="s">
        <v>868</v>
      </c>
      <c r="I3698" t="s">
        <v>950</v>
      </c>
      <c r="J3698" t="str">
        <f>"9150071"</f>
        <v>9150071</v>
      </c>
      <c r="K3698">
        <v>2624061003</v>
      </c>
      <c r="L3698">
        <v>2624061003</v>
      </c>
      <c r="M3698" t="s">
        <v>16844</v>
      </c>
      <c r="N3698" t="s">
        <v>16749</v>
      </c>
      <c r="O3698" t="s">
        <v>16845</v>
      </c>
      <c r="P3698">
        <v>27066</v>
      </c>
      <c r="Q3698" t="str">
        <f>"37.789553"</f>
        <v>37.789553</v>
      </c>
      <c r="R3698" t="str">
        <f>"21.749617"</f>
        <v>21.749617</v>
      </c>
      <c r="S3698" t="s">
        <v>26</v>
      </c>
    </row>
    <row r="3699" spans="1:19" x14ac:dyDescent="0.3">
      <c r="A3699" t="s">
        <v>13791</v>
      </c>
      <c r="B3699" t="s">
        <v>16709</v>
      </c>
      <c r="C3699" t="s">
        <v>14817</v>
      </c>
      <c r="D3699" t="s">
        <v>13805</v>
      </c>
      <c r="E3699" t="s">
        <v>14669</v>
      </c>
      <c r="F3699" t="s">
        <v>14812</v>
      </c>
      <c r="G3699" t="s">
        <v>14812</v>
      </c>
      <c r="H3699" t="s">
        <v>868</v>
      </c>
      <c r="I3699" t="s">
        <v>950</v>
      </c>
      <c r="J3699" t="str">
        <f>"9150075"</f>
        <v>9150075</v>
      </c>
      <c r="K3699">
        <v>2624081223</v>
      </c>
      <c r="L3699">
        <v>2624081223</v>
      </c>
      <c r="M3699" t="s">
        <v>16846</v>
      </c>
      <c r="N3699" t="s">
        <v>14816</v>
      </c>
      <c r="O3699" t="s">
        <v>14816</v>
      </c>
      <c r="P3699">
        <v>27063</v>
      </c>
      <c r="Q3699" t="str">
        <f>"37.858355"</f>
        <v>37.858355</v>
      </c>
      <c r="R3699" t="str">
        <f>"21.806953"</f>
        <v>21.806953</v>
      </c>
      <c r="S3699" t="s">
        <v>57</v>
      </c>
    </row>
    <row r="3700" spans="1:19" x14ac:dyDescent="0.3">
      <c r="A3700" t="s">
        <v>13791</v>
      </c>
      <c r="B3700" t="s">
        <v>16709</v>
      </c>
      <c r="C3700" t="s">
        <v>14775</v>
      </c>
      <c r="D3700" t="s">
        <v>13805</v>
      </c>
      <c r="E3700" t="s">
        <v>1210</v>
      </c>
      <c r="F3700" t="s">
        <v>1210</v>
      </c>
      <c r="G3700" t="s">
        <v>1210</v>
      </c>
      <c r="H3700" t="s">
        <v>868</v>
      </c>
      <c r="I3700" t="s">
        <v>869</v>
      </c>
      <c r="J3700" t="str">
        <f>"9150266"</f>
        <v>9150266</v>
      </c>
      <c r="K3700">
        <v>2621033243</v>
      </c>
      <c r="L3700">
        <v>2621033243</v>
      </c>
      <c r="M3700" t="s">
        <v>16847</v>
      </c>
      <c r="N3700" t="s">
        <v>16848</v>
      </c>
      <c r="O3700" t="s">
        <v>16849</v>
      </c>
      <c r="P3700">
        <v>27131</v>
      </c>
      <c r="Q3700" t="str">
        <f>"37.669957"</f>
        <v>37.669957</v>
      </c>
      <c r="R3700" t="str">
        <f>"21.448154"</f>
        <v>21.448154</v>
      </c>
      <c r="S3700" t="s">
        <v>26</v>
      </c>
    </row>
    <row r="3701" spans="1:19" x14ac:dyDescent="0.3">
      <c r="A3701" t="s">
        <v>13791</v>
      </c>
      <c r="B3701" t="s">
        <v>16709</v>
      </c>
      <c r="C3701" t="s">
        <v>14735</v>
      </c>
      <c r="D3701" t="s">
        <v>13805</v>
      </c>
      <c r="E3701" t="s">
        <v>14709</v>
      </c>
      <c r="F3701" t="s">
        <v>14710</v>
      </c>
      <c r="G3701" t="s">
        <v>14710</v>
      </c>
      <c r="H3701" t="s">
        <v>868</v>
      </c>
      <c r="I3701" t="s">
        <v>869</v>
      </c>
      <c r="J3701" t="str">
        <f>"9150007"</f>
        <v>9150007</v>
      </c>
      <c r="K3701">
        <v>2622028068</v>
      </c>
      <c r="L3701">
        <v>2622038193</v>
      </c>
      <c r="M3701" t="s">
        <v>16902</v>
      </c>
      <c r="N3701" t="s">
        <v>14713</v>
      </c>
      <c r="O3701" t="s">
        <v>16714</v>
      </c>
      <c r="P3701">
        <v>27200</v>
      </c>
      <c r="Q3701" t="str">
        <f>"37.800114"</f>
        <v>37.800114</v>
      </c>
      <c r="R3701" t="str">
        <f>"21.357473"</f>
        <v>21.357473</v>
      </c>
      <c r="S3701" t="s">
        <v>26</v>
      </c>
    </row>
    <row r="3702" spans="1:19" x14ac:dyDescent="0.3">
      <c r="A3702" t="s">
        <v>13791</v>
      </c>
      <c r="B3702" t="s">
        <v>16709</v>
      </c>
      <c r="C3702" t="s">
        <v>14753</v>
      </c>
      <c r="D3702" t="s">
        <v>13805</v>
      </c>
      <c r="E3702" t="s">
        <v>14651</v>
      </c>
      <c r="F3702" t="s">
        <v>14748</v>
      </c>
      <c r="G3702" t="s">
        <v>14748</v>
      </c>
      <c r="H3702" t="s">
        <v>868</v>
      </c>
      <c r="I3702" t="s">
        <v>869</v>
      </c>
      <c r="J3702" t="str">
        <f>"9150205"</f>
        <v>9150205</v>
      </c>
      <c r="K3702">
        <v>2623022238</v>
      </c>
      <c r="L3702">
        <v>2623022238</v>
      </c>
      <c r="M3702" t="s">
        <v>16903</v>
      </c>
      <c r="N3702" t="s">
        <v>14751</v>
      </c>
      <c r="O3702" t="s">
        <v>16904</v>
      </c>
      <c r="P3702">
        <v>27053</v>
      </c>
      <c r="Q3702" t="str">
        <f>"37.934196"</f>
        <v>37.934196</v>
      </c>
      <c r="R3702" t="str">
        <f>"21.262676"</f>
        <v>21.262676</v>
      </c>
      <c r="S3702" t="s">
        <v>26</v>
      </c>
    </row>
    <row r="3703" spans="1:19" x14ac:dyDescent="0.3">
      <c r="A3703" t="s">
        <v>13791</v>
      </c>
      <c r="B3703" t="s">
        <v>16709</v>
      </c>
      <c r="C3703" t="s">
        <v>16910</v>
      </c>
      <c r="D3703" t="s">
        <v>13805</v>
      </c>
      <c r="E3703" t="s">
        <v>14741</v>
      </c>
      <c r="F3703" t="s">
        <v>14742</v>
      </c>
      <c r="G3703" t="s">
        <v>14742</v>
      </c>
      <c r="H3703" t="s">
        <v>868</v>
      </c>
      <c r="I3703" t="s">
        <v>869</v>
      </c>
      <c r="J3703" t="str">
        <f>"9150393"</f>
        <v>9150393</v>
      </c>
      <c r="K3703">
        <v>2623032244</v>
      </c>
      <c r="L3703">
        <v>2623033887</v>
      </c>
      <c r="M3703" t="s">
        <v>16911</v>
      </c>
      <c r="N3703" t="s">
        <v>16828</v>
      </c>
      <c r="O3703" t="s">
        <v>16912</v>
      </c>
      <c r="P3703">
        <v>27300</v>
      </c>
      <c r="Q3703" t="str">
        <f>"37.850450"</f>
        <v>37.850450</v>
      </c>
      <c r="R3703" t="str">
        <f>"21.251002"</f>
        <v>21.251002</v>
      </c>
      <c r="S3703" t="s">
        <v>26</v>
      </c>
    </row>
    <row r="3704" spans="1:19" x14ac:dyDescent="0.3">
      <c r="A3704" t="s">
        <v>13791</v>
      </c>
      <c r="B3704" t="s">
        <v>16709</v>
      </c>
      <c r="C3704" t="s">
        <v>16913</v>
      </c>
      <c r="D3704" t="s">
        <v>13805</v>
      </c>
      <c r="E3704" t="s">
        <v>14709</v>
      </c>
      <c r="F3704" t="s">
        <v>14710</v>
      </c>
      <c r="G3704" t="s">
        <v>16892</v>
      </c>
      <c r="H3704" t="s">
        <v>868</v>
      </c>
      <c r="I3704" t="s">
        <v>869</v>
      </c>
      <c r="J3704" t="str">
        <f>"9150232"</f>
        <v>9150232</v>
      </c>
      <c r="K3704">
        <v>2622041650</v>
      </c>
      <c r="L3704">
        <v>2622041650</v>
      </c>
      <c r="M3704" t="s">
        <v>16914</v>
      </c>
      <c r="N3704" t="s">
        <v>1632</v>
      </c>
      <c r="O3704" t="s">
        <v>1632</v>
      </c>
      <c r="P3704">
        <v>27069</v>
      </c>
      <c r="Q3704" t="str">
        <f>"37.897527"</f>
        <v>37.897527</v>
      </c>
      <c r="R3704" t="str">
        <f>"21.445949"</f>
        <v>21.445949</v>
      </c>
      <c r="S3704" t="s">
        <v>26</v>
      </c>
    </row>
    <row r="3705" spans="1:19" x14ac:dyDescent="0.3">
      <c r="A3705" t="s">
        <v>13791</v>
      </c>
      <c r="B3705" t="s">
        <v>16709</v>
      </c>
      <c r="C3705" t="s">
        <v>16915</v>
      </c>
      <c r="D3705" t="s">
        <v>13805</v>
      </c>
      <c r="E3705" t="s">
        <v>14651</v>
      </c>
      <c r="F3705" t="s">
        <v>14748</v>
      </c>
      <c r="G3705" t="s">
        <v>14748</v>
      </c>
      <c r="H3705" t="s">
        <v>868</v>
      </c>
      <c r="I3705" t="s">
        <v>1157</v>
      </c>
      <c r="J3705" t="str">
        <f>"9150474"</f>
        <v>9150474</v>
      </c>
      <c r="K3705">
        <v>2623024290</v>
      </c>
      <c r="L3705">
        <v>2623024290</v>
      </c>
      <c r="M3705" t="s">
        <v>16916</v>
      </c>
      <c r="N3705" t="s">
        <v>14751</v>
      </c>
      <c r="O3705" t="s">
        <v>16917</v>
      </c>
      <c r="P3705">
        <v>27053</v>
      </c>
      <c r="Q3705" t="str">
        <f>"37.934096"</f>
        <v>37.934096</v>
      </c>
      <c r="R3705" t="str">
        <f>"21.262140"</f>
        <v>21.262140</v>
      </c>
      <c r="S3705" t="s">
        <v>26</v>
      </c>
    </row>
    <row r="3706" spans="1:19" x14ac:dyDescent="0.3">
      <c r="A3706" t="s">
        <v>13791</v>
      </c>
      <c r="B3706" t="s">
        <v>16709</v>
      </c>
      <c r="C3706" t="s">
        <v>16918</v>
      </c>
      <c r="D3706" t="s">
        <v>13805</v>
      </c>
      <c r="E3706" t="s">
        <v>14709</v>
      </c>
      <c r="F3706" t="s">
        <v>14710</v>
      </c>
      <c r="G3706" t="s">
        <v>5087</v>
      </c>
      <c r="H3706" t="s">
        <v>868</v>
      </c>
      <c r="I3706" t="s">
        <v>950</v>
      </c>
      <c r="J3706" t="str">
        <f>"9150047"</f>
        <v>9150047</v>
      </c>
      <c r="K3706">
        <v>2622095252</v>
      </c>
      <c r="M3706" t="s">
        <v>16919</v>
      </c>
      <c r="N3706" t="s">
        <v>5102</v>
      </c>
      <c r="O3706" t="s">
        <v>5102</v>
      </c>
      <c r="P3706">
        <v>27200</v>
      </c>
      <c r="Q3706" t="str">
        <f>"37.806201"</f>
        <v>37.806201</v>
      </c>
      <c r="R3706" t="str">
        <f>"21.474436"</f>
        <v>21.474436</v>
      </c>
      <c r="S3706" t="s">
        <v>26</v>
      </c>
    </row>
    <row r="3707" spans="1:19" x14ac:dyDescent="0.3">
      <c r="A3707" t="s">
        <v>13791</v>
      </c>
      <c r="B3707" t="s">
        <v>16709</v>
      </c>
      <c r="C3707" t="s">
        <v>16925</v>
      </c>
      <c r="D3707" t="s">
        <v>13805</v>
      </c>
      <c r="E3707" t="s">
        <v>14709</v>
      </c>
      <c r="F3707" t="s">
        <v>14784</v>
      </c>
      <c r="G3707" t="s">
        <v>14882</v>
      </c>
      <c r="H3707" t="s">
        <v>868</v>
      </c>
      <c r="I3707" t="s">
        <v>950</v>
      </c>
      <c r="J3707" t="str">
        <f>"9150032"</f>
        <v>9150032</v>
      </c>
      <c r="K3707">
        <v>2622051204</v>
      </c>
      <c r="L3707">
        <v>2622051332</v>
      </c>
      <c r="M3707" t="s">
        <v>16926</v>
      </c>
      <c r="N3707" t="s">
        <v>14886</v>
      </c>
      <c r="O3707" t="s">
        <v>14886</v>
      </c>
      <c r="P3707">
        <v>27069</v>
      </c>
      <c r="Q3707" t="str">
        <f>"37.854042"</f>
        <v>37.854042</v>
      </c>
      <c r="R3707" t="str">
        <f>"21.520485"</f>
        <v>21.520485</v>
      </c>
      <c r="S3707" t="s">
        <v>26</v>
      </c>
    </row>
    <row r="3708" spans="1:19" x14ac:dyDescent="0.3">
      <c r="A3708" t="s">
        <v>13791</v>
      </c>
      <c r="B3708" t="s">
        <v>16709</v>
      </c>
      <c r="C3708" t="s">
        <v>14878</v>
      </c>
      <c r="D3708" t="s">
        <v>13805</v>
      </c>
      <c r="E3708" t="s">
        <v>14709</v>
      </c>
      <c r="F3708" t="s">
        <v>14710</v>
      </c>
      <c r="G3708" t="s">
        <v>14710</v>
      </c>
      <c r="H3708" t="s">
        <v>868</v>
      </c>
      <c r="I3708" t="s">
        <v>869</v>
      </c>
      <c r="J3708" t="str">
        <f>"9150008"</f>
        <v>9150008</v>
      </c>
      <c r="K3708">
        <v>2622028780</v>
      </c>
      <c r="L3708">
        <v>2622038194</v>
      </c>
      <c r="M3708" t="s">
        <v>16935</v>
      </c>
      <c r="N3708" t="s">
        <v>14713</v>
      </c>
      <c r="O3708" t="s">
        <v>16837</v>
      </c>
      <c r="P3708">
        <v>27200</v>
      </c>
      <c r="Q3708" t="str">
        <f>"37.792989"</f>
        <v>37.792989</v>
      </c>
      <c r="R3708" t="str">
        <f>"21.344529"</f>
        <v>21.344529</v>
      </c>
      <c r="S3708" t="s">
        <v>26</v>
      </c>
    </row>
    <row r="3709" spans="1:19" x14ac:dyDescent="0.3">
      <c r="A3709" t="s">
        <v>13791</v>
      </c>
      <c r="B3709" t="s">
        <v>16709</v>
      </c>
      <c r="C3709" t="s">
        <v>16944</v>
      </c>
      <c r="D3709" t="s">
        <v>13805</v>
      </c>
      <c r="E3709" t="s">
        <v>14709</v>
      </c>
      <c r="F3709" t="s">
        <v>14710</v>
      </c>
      <c r="G3709" t="s">
        <v>14710</v>
      </c>
      <c r="H3709" t="s">
        <v>868</v>
      </c>
      <c r="I3709" t="s">
        <v>869</v>
      </c>
      <c r="J3709" t="str">
        <f>"9150003"</f>
        <v>9150003</v>
      </c>
      <c r="K3709">
        <v>2622028310</v>
      </c>
      <c r="L3709">
        <v>2622038186</v>
      </c>
      <c r="M3709" t="s">
        <v>16945</v>
      </c>
      <c r="N3709" t="s">
        <v>14713</v>
      </c>
      <c r="O3709" t="s">
        <v>16946</v>
      </c>
      <c r="P3709">
        <v>27200</v>
      </c>
      <c r="Q3709" t="str">
        <f>"37.791727"</f>
        <v>37.791727</v>
      </c>
      <c r="R3709" t="str">
        <f>"21.357870"</f>
        <v>21.357870</v>
      </c>
      <c r="S3709" t="s">
        <v>26</v>
      </c>
    </row>
    <row r="3710" spans="1:19" x14ac:dyDescent="0.3">
      <c r="A3710" t="s">
        <v>13791</v>
      </c>
      <c r="B3710" t="s">
        <v>16709</v>
      </c>
      <c r="C3710" t="s">
        <v>16952</v>
      </c>
      <c r="D3710" t="s">
        <v>13805</v>
      </c>
      <c r="E3710" t="s">
        <v>14651</v>
      </c>
      <c r="F3710" t="s">
        <v>14748</v>
      </c>
      <c r="G3710" t="s">
        <v>16951</v>
      </c>
      <c r="H3710" t="s">
        <v>868</v>
      </c>
      <c r="I3710" t="s">
        <v>869</v>
      </c>
      <c r="J3710" t="str">
        <f>"9150245"</f>
        <v>9150245</v>
      </c>
      <c r="K3710">
        <v>2623022009</v>
      </c>
      <c r="L3710">
        <v>2623022009</v>
      </c>
      <c r="M3710" t="s">
        <v>16953</v>
      </c>
      <c r="N3710" t="s">
        <v>16954</v>
      </c>
      <c r="O3710" t="s">
        <v>16955</v>
      </c>
      <c r="P3710">
        <v>27053</v>
      </c>
      <c r="Q3710" t="str">
        <f>"37.923162"</f>
        <v>37.923162</v>
      </c>
      <c r="R3710" t="str">
        <f>"21.240303"</f>
        <v>21.240303</v>
      </c>
      <c r="S3710" t="s">
        <v>26</v>
      </c>
    </row>
    <row r="3711" spans="1:19" x14ac:dyDescent="0.3">
      <c r="A3711" t="s">
        <v>13791</v>
      </c>
      <c r="B3711" t="s">
        <v>16709</v>
      </c>
      <c r="C3711" t="s">
        <v>16956</v>
      </c>
      <c r="D3711" t="s">
        <v>13805</v>
      </c>
      <c r="E3711" t="s">
        <v>14651</v>
      </c>
      <c r="F3711" t="s">
        <v>14652</v>
      </c>
      <c r="G3711" t="s">
        <v>16920</v>
      </c>
      <c r="H3711" t="s">
        <v>868</v>
      </c>
      <c r="I3711" t="s">
        <v>869</v>
      </c>
      <c r="J3711" t="str">
        <f>"9150231"</f>
        <v>9150231</v>
      </c>
      <c r="K3711">
        <v>2623092314</v>
      </c>
      <c r="L3711">
        <v>2623092314</v>
      </c>
      <c r="M3711" t="s">
        <v>16957</v>
      </c>
      <c r="N3711" t="s">
        <v>16958</v>
      </c>
      <c r="P3711">
        <v>27068</v>
      </c>
      <c r="Q3711" t="str">
        <f>"37.930245"</f>
        <v>37.930245</v>
      </c>
      <c r="R3711" t="str">
        <f>"21.148669"</f>
        <v>21.148669</v>
      </c>
      <c r="S3711" t="s">
        <v>26</v>
      </c>
    </row>
    <row r="3712" spans="1:19" x14ac:dyDescent="0.3">
      <c r="A3712" t="s">
        <v>13791</v>
      </c>
      <c r="B3712" t="s">
        <v>16709</v>
      </c>
      <c r="C3712" t="s">
        <v>14715</v>
      </c>
      <c r="D3712" t="s">
        <v>13805</v>
      </c>
      <c r="E3712" t="s">
        <v>14709</v>
      </c>
      <c r="F3712" t="s">
        <v>14710</v>
      </c>
      <c r="G3712" t="s">
        <v>14710</v>
      </c>
      <c r="H3712" t="s">
        <v>868</v>
      </c>
      <c r="I3712" t="s">
        <v>869</v>
      </c>
      <c r="J3712" t="str">
        <f>"9150004"</f>
        <v>9150004</v>
      </c>
      <c r="K3712">
        <v>2622028075</v>
      </c>
      <c r="L3712">
        <v>2622038187</v>
      </c>
      <c r="M3712" t="s">
        <v>16959</v>
      </c>
      <c r="N3712" t="s">
        <v>16960</v>
      </c>
      <c r="O3712" t="s">
        <v>16961</v>
      </c>
      <c r="P3712">
        <v>27200</v>
      </c>
      <c r="Q3712" t="str">
        <f>"37.798372"</f>
        <v>37.798372</v>
      </c>
      <c r="R3712" t="str">
        <f>"21.344480"</f>
        <v>21.344480</v>
      </c>
      <c r="S3712" t="s">
        <v>26</v>
      </c>
    </row>
    <row r="3713" spans="1:19" x14ac:dyDescent="0.3">
      <c r="A3713" t="s">
        <v>13791</v>
      </c>
      <c r="B3713" t="s">
        <v>16709</v>
      </c>
      <c r="C3713" t="s">
        <v>14823</v>
      </c>
      <c r="D3713" t="s">
        <v>13805</v>
      </c>
      <c r="E3713" t="s">
        <v>14709</v>
      </c>
      <c r="F3713" t="s">
        <v>14710</v>
      </c>
      <c r="G3713" t="s">
        <v>14818</v>
      </c>
      <c r="H3713" t="s">
        <v>868</v>
      </c>
      <c r="I3713" t="s">
        <v>869</v>
      </c>
      <c r="J3713" t="str">
        <f>"9150053"</f>
        <v>9150053</v>
      </c>
      <c r="K3713">
        <v>2622091205</v>
      </c>
      <c r="L3713">
        <v>2622091205</v>
      </c>
      <c r="M3713" t="s">
        <v>16962</v>
      </c>
      <c r="O3713" t="s">
        <v>16815</v>
      </c>
      <c r="P3713">
        <v>27200</v>
      </c>
      <c r="Q3713" t="str">
        <f>"37.851325"</f>
        <v>37.851325</v>
      </c>
      <c r="R3713" t="str">
        <f>"21.385501"</f>
        <v>21.385501</v>
      </c>
      <c r="S3713" t="s">
        <v>26</v>
      </c>
    </row>
    <row r="3714" spans="1:19" x14ac:dyDescent="0.3">
      <c r="A3714" t="s">
        <v>13791</v>
      </c>
      <c r="B3714" t="s">
        <v>16709</v>
      </c>
      <c r="C3714" t="s">
        <v>14708</v>
      </c>
      <c r="D3714" t="s">
        <v>13805</v>
      </c>
      <c r="E3714" t="s">
        <v>14669</v>
      </c>
      <c r="F3714" t="s">
        <v>14669</v>
      </c>
      <c r="G3714" t="s">
        <v>14703</v>
      </c>
      <c r="H3714" t="s">
        <v>868</v>
      </c>
      <c r="I3714" t="s">
        <v>950</v>
      </c>
      <c r="J3714" t="str">
        <f>"9150090"</f>
        <v>9150090</v>
      </c>
      <c r="K3714">
        <v>2624071271</v>
      </c>
      <c r="L3714">
        <v>2624071271</v>
      </c>
      <c r="M3714" t="s">
        <v>16963</v>
      </c>
      <c r="N3714" t="s">
        <v>14706</v>
      </c>
      <c r="O3714" t="s">
        <v>16964</v>
      </c>
      <c r="P3714">
        <v>27065</v>
      </c>
      <c r="Q3714" t="str">
        <f>"37.648812"</f>
        <v>37.648812</v>
      </c>
      <c r="R3714" t="str">
        <f>"21.758801"</f>
        <v>21.758801</v>
      </c>
      <c r="S3714" t="s">
        <v>26</v>
      </c>
    </row>
    <row r="3715" spans="1:19" x14ac:dyDescent="0.3">
      <c r="A3715" t="s">
        <v>13791</v>
      </c>
      <c r="B3715" t="s">
        <v>16709</v>
      </c>
      <c r="C3715" t="s">
        <v>14789</v>
      </c>
      <c r="D3715" t="s">
        <v>13805</v>
      </c>
      <c r="E3715" t="s">
        <v>14709</v>
      </c>
      <c r="F3715" t="s">
        <v>14784</v>
      </c>
      <c r="G3715" t="s">
        <v>14785</v>
      </c>
      <c r="H3715" t="s">
        <v>868</v>
      </c>
      <c r="I3715" t="s">
        <v>869</v>
      </c>
      <c r="J3715" t="str">
        <f>"9150051"</f>
        <v>9150051</v>
      </c>
      <c r="K3715">
        <v>2622031279</v>
      </c>
      <c r="L3715">
        <v>2622031279</v>
      </c>
      <c r="M3715" t="s">
        <v>16965</v>
      </c>
      <c r="N3715" t="s">
        <v>16720</v>
      </c>
      <c r="O3715" t="s">
        <v>16966</v>
      </c>
      <c r="P3715">
        <v>27069</v>
      </c>
      <c r="Q3715" t="str">
        <f>"37.848004"</f>
        <v>37.848004</v>
      </c>
      <c r="R3715" t="str">
        <f>"21.564156"</f>
        <v>21.564156</v>
      </c>
      <c r="S3715" t="s">
        <v>26</v>
      </c>
    </row>
    <row r="3716" spans="1:19" x14ac:dyDescent="0.3">
      <c r="A3716" t="s">
        <v>13791</v>
      </c>
      <c r="B3716" t="s">
        <v>16709</v>
      </c>
      <c r="C3716" t="s">
        <v>16967</v>
      </c>
      <c r="D3716" t="s">
        <v>13805</v>
      </c>
      <c r="E3716" t="s">
        <v>1210</v>
      </c>
      <c r="F3716" t="s">
        <v>1210</v>
      </c>
      <c r="G3716" t="s">
        <v>1210</v>
      </c>
      <c r="H3716" t="s">
        <v>868</v>
      </c>
      <c r="I3716" t="s">
        <v>1157</v>
      </c>
      <c r="J3716" t="str">
        <f>"9150461"</f>
        <v>9150461</v>
      </c>
      <c r="K3716">
        <v>2621029381</v>
      </c>
      <c r="L3716">
        <v>2621029381</v>
      </c>
      <c r="M3716" t="s">
        <v>16968</v>
      </c>
      <c r="N3716" t="s">
        <v>1211</v>
      </c>
      <c r="O3716" t="s">
        <v>16969</v>
      </c>
      <c r="P3716">
        <v>27150</v>
      </c>
      <c r="Q3716" t="str">
        <f>"37.693468"</f>
        <v>37.693468</v>
      </c>
      <c r="R3716" t="str">
        <f>"21.404551"</f>
        <v>21.404551</v>
      </c>
      <c r="S3716" t="s">
        <v>26</v>
      </c>
    </row>
    <row r="3717" spans="1:19" x14ac:dyDescent="0.3">
      <c r="A3717" t="s">
        <v>13791</v>
      </c>
      <c r="B3717" t="s">
        <v>16709</v>
      </c>
      <c r="C3717" t="s">
        <v>14747</v>
      </c>
      <c r="D3717" t="s">
        <v>13805</v>
      </c>
      <c r="E3717" t="s">
        <v>14741</v>
      </c>
      <c r="F3717" t="s">
        <v>14742</v>
      </c>
      <c r="G3717" t="s">
        <v>14742</v>
      </c>
      <c r="H3717" t="s">
        <v>868</v>
      </c>
      <c r="I3717" t="s">
        <v>869</v>
      </c>
      <c r="J3717" t="str">
        <f>"9150013"</f>
        <v>9150013</v>
      </c>
      <c r="K3717">
        <v>2623032232</v>
      </c>
      <c r="L3717">
        <v>2623032232</v>
      </c>
      <c r="M3717" t="s">
        <v>16970</v>
      </c>
      <c r="N3717" t="s">
        <v>16828</v>
      </c>
      <c r="O3717" t="s">
        <v>16772</v>
      </c>
      <c r="P3717">
        <v>27300</v>
      </c>
      <c r="Q3717" t="str">
        <f>"37.847793"</f>
        <v>37.847793</v>
      </c>
      <c r="R3717" t="str">
        <f>"21.256200"</f>
        <v>21.256200</v>
      </c>
      <c r="S3717" t="s">
        <v>26</v>
      </c>
    </row>
    <row r="3718" spans="1:19" x14ac:dyDescent="0.3">
      <c r="A3718" t="s">
        <v>13791</v>
      </c>
      <c r="B3718" t="s">
        <v>16709</v>
      </c>
      <c r="C3718" t="s">
        <v>16971</v>
      </c>
      <c r="D3718" t="s">
        <v>13805</v>
      </c>
      <c r="E3718" t="s">
        <v>14709</v>
      </c>
      <c r="F3718" t="s">
        <v>14710</v>
      </c>
      <c r="G3718" t="s">
        <v>16872</v>
      </c>
      <c r="H3718" t="s">
        <v>868</v>
      </c>
      <c r="I3718" t="s">
        <v>950</v>
      </c>
      <c r="J3718" t="str">
        <f>"9150021"</f>
        <v>9150021</v>
      </c>
      <c r="K3718">
        <v>2622061282</v>
      </c>
      <c r="M3718" t="s">
        <v>16972</v>
      </c>
      <c r="N3718" t="s">
        <v>16875</v>
      </c>
      <c r="O3718" t="s">
        <v>16875</v>
      </c>
      <c r="P3718">
        <v>27200</v>
      </c>
      <c r="Q3718" t="str">
        <f>"37.833451"</f>
        <v>37.833451</v>
      </c>
      <c r="R3718" t="str">
        <f>"21.311783"</f>
        <v>21.311783</v>
      </c>
      <c r="S3718" t="s">
        <v>26</v>
      </c>
    </row>
    <row r="3719" spans="1:19" x14ac:dyDescent="0.3">
      <c r="A3719" t="s">
        <v>13791</v>
      </c>
      <c r="B3719" t="s">
        <v>16709</v>
      </c>
      <c r="C3719" t="s">
        <v>16973</v>
      </c>
      <c r="D3719" t="s">
        <v>13805</v>
      </c>
      <c r="E3719" t="s">
        <v>14651</v>
      </c>
      <c r="F3719" t="s">
        <v>14748</v>
      </c>
      <c r="G3719" t="s">
        <v>16947</v>
      </c>
      <c r="H3719" t="s">
        <v>868</v>
      </c>
      <c r="I3719" t="s">
        <v>950</v>
      </c>
      <c r="J3719" t="str">
        <f>"9150243"</f>
        <v>9150243</v>
      </c>
      <c r="K3719">
        <v>2623061593</v>
      </c>
      <c r="M3719" t="s">
        <v>16974</v>
      </c>
      <c r="N3719" t="s">
        <v>16950</v>
      </c>
      <c r="O3719" t="s">
        <v>16950</v>
      </c>
      <c r="P3719">
        <v>27052</v>
      </c>
      <c r="Q3719" t="str">
        <f>"37.926904"</f>
        <v>37.926904</v>
      </c>
      <c r="R3719" t="str">
        <f>"21.438653"</f>
        <v>21.438653</v>
      </c>
      <c r="S3719" t="s">
        <v>26</v>
      </c>
    </row>
    <row r="3720" spans="1:19" x14ac:dyDescent="0.3">
      <c r="A3720" t="s">
        <v>13791</v>
      </c>
      <c r="B3720" t="s">
        <v>16709</v>
      </c>
      <c r="C3720" t="s">
        <v>16975</v>
      </c>
      <c r="D3720" t="s">
        <v>13805</v>
      </c>
      <c r="E3720" t="s">
        <v>14741</v>
      </c>
      <c r="F3720" t="s">
        <v>14742</v>
      </c>
      <c r="G3720" t="s">
        <v>16895</v>
      </c>
      <c r="H3720" t="s">
        <v>868</v>
      </c>
      <c r="I3720" t="s">
        <v>950</v>
      </c>
      <c r="J3720" t="str">
        <f>"9150049"</f>
        <v>9150049</v>
      </c>
      <c r="K3720">
        <v>2623032422</v>
      </c>
      <c r="M3720" t="s">
        <v>16976</v>
      </c>
      <c r="N3720" t="s">
        <v>16895</v>
      </c>
      <c r="O3720" t="s">
        <v>16898</v>
      </c>
      <c r="P3720">
        <v>27300</v>
      </c>
      <c r="Q3720" t="str">
        <f>"37.863526"</f>
        <v>37.863526</v>
      </c>
      <c r="R3720" t="str">
        <f>"21.321725"</f>
        <v>21.321725</v>
      </c>
      <c r="S3720" t="s">
        <v>26</v>
      </c>
    </row>
    <row r="3721" spans="1:19" x14ac:dyDescent="0.3">
      <c r="A3721" t="s">
        <v>13791</v>
      </c>
      <c r="B3721" t="s">
        <v>16709</v>
      </c>
      <c r="C3721" t="s">
        <v>14891</v>
      </c>
      <c r="D3721" t="s">
        <v>13805</v>
      </c>
      <c r="E3721" t="s">
        <v>14741</v>
      </c>
      <c r="F3721" t="s">
        <v>14806</v>
      </c>
      <c r="G3721" t="s">
        <v>14806</v>
      </c>
      <c r="H3721" t="s">
        <v>868</v>
      </c>
      <c r="I3721" t="s">
        <v>869</v>
      </c>
      <c r="J3721" t="str">
        <f>"9150320"</f>
        <v>9150320</v>
      </c>
      <c r="K3721">
        <v>2623041374</v>
      </c>
      <c r="L3721">
        <v>2623043824</v>
      </c>
      <c r="M3721" t="s">
        <v>16977</v>
      </c>
      <c r="N3721" t="s">
        <v>16978</v>
      </c>
      <c r="O3721" t="s">
        <v>16979</v>
      </c>
      <c r="P3721">
        <v>27050</v>
      </c>
      <c r="Q3721" t="str">
        <f>"37.859836"</f>
        <v>37.859836</v>
      </c>
      <c r="R3721" t="str">
        <f>"21.201699"</f>
        <v>21.201699</v>
      </c>
      <c r="S3721" t="s">
        <v>26</v>
      </c>
    </row>
    <row r="3722" spans="1:19" x14ac:dyDescent="0.3">
      <c r="A3722" t="s">
        <v>13791</v>
      </c>
      <c r="B3722" t="s">
        <v>16709</v>
      </c>
      <c r="C3722" t="s">
        <v>14727</v>
      </c>
      <c r="D3722" t="s">
        <v>13805</v>
      </c>
      <c r="E3722" t="s">
        <v>14709</v>
      </c>
      <c r="F3722" t="s">
        <v>14710</v>
      </c>
      <c r="G3722" t="s">
        <v>16727</v>
      </c>
      <c r="H3722" t="s">
        <v>868</v>
      </c>
      <c r="I3722" t="s">
        <v>869</v>
      </c>
      <c r="J3722" t="str">
        <f>"9150036"</f>
        <v>9150036</v>
      </c>
      <c r="K3722">
        <v>2622027143</v>
      </c>
      <c r="M3722" t="s">
        <v>16980</v>
      </c>
      <c r="N3722" t="s">
        <v>16730</v>
      </c>
      <c r="O3722" t="s">
        <v>16730</v>
      </c>
      <c r="P3722">
        <v>27200</v>
      </c>
      <c r="Q3722" t="str">
        <f>"37.768785"</f>
        <v>37.768785</v>
      </c>
      <c r="R3722" t="str">
        <f>"21.336723"</f>
        <v>21.336723</v>
      </c>
      <c r="S3722" t="s">
        <v>26</v>
      </c>
    </row>
    <row r="3723" spans="1:19" x14ac:dyDescent="0.3">
      <c r="A3723" t="s">
        <v>13791</v>
      </c>
      <c r="B3723" t="s">
        <v>16709</v>
      </c>
      <c r="C3723" t="s">
        <v>14912</v>
      </c>
      <c r="D3723" t="s">
        <v>13805</v>
      </c>
      <c r="E3723" t="s">
        <v>1210</v>
      </c>
      <c r="F3723" t="s">
        <v>14645</v>
      </c>
      <c r="G3723" t="s">
        <v>14908</v>
      </c>
      <c r="H3723" t="s">
        <v>868</v>
      </c>
      <c r="I3723" t="s">
        <v>950</v>
      </c>
      <c r="J3723" t="str">
        <f>"9150284"</f>
        <v>9150284</v>
      </c>
      <c r="K3723">
        <v>2621093003</v>
      </c>
      <c r="L3723">
        <v>2621093003</v>
      </c>
      <c r="M3723" t="s">
        <v>16981</v>
      </c>
      <c r="N3723" t="s">
        <v>16982</v>
      </c>
      <c r="P3723">
        <v>27064</v>
      </c>
      <c r="Q3723" t="str">
        <f>"37.762342"</f>
        <v>37.762342</v>
      </c>
      <c r="R3723" t="str">
        <f>"21.615288"</f>
        <v>21.615288</v>
      </c>
      <c r="S3723" t="s">
        <v>26</v>
      </c>
    </row>
    <row r="3724" spans="1:19" x14ac:dyDescent="0.3">
      <c r="A3724" t="s">
        <v>13791</v>
      </c>
      <c r="B3724" t="s">
        <v>16709</v>
      </c>
      <c r="C3724" t="s">
        <v>16983</v>
      </c>
      <c r="D3724" t="s">
        <v>13805</v>
      </c>
      <c r="E3724" t="s">
        <v>14709</v>
      </c>
      <c r="F3724" t="s">
        <v>14710</v>
      </c>
      <c r="G3724" t="s">
        <v>14710</v>
      </c>
      <c r="H3724" t="s">
        <v>868</v>
      </c>
      <c r="I3724" t="s">
        <v>1157</v>
      </c>
      <c r="J3724" t="str">
        <f>"9520898"</f>
        <v>9520898</v>
      </c>
      <c r="K3724">
        <v>2622038367</v>
      </c>
      <c r="L3724">
        <v>2622038367</v>
      </c>
      <c r="M3724" t="s">
        <v>16984</v>
      </c>
      <c r="N3724" t="s">
        <v>14713</v>
      </c>
      <c r="O3724" t="s">
        <v>16985</v>
      </c>
      <c r="P3724">
        <v>27200</v>
      </c>
      <c r="Q3724" t="str">
        <f>"37.791281"</f>
        <v>37.791281</v>
      </c>
      <c r="R3724" t="str">
        <f>"21.352496"</f>
        <v>21.352496</v>
      </c>
      <c r="S3724" t="s">
        <v>26</v>
      </c>
    </row>
    <row r="3725" spans="1:19" x14ac:dyDescent="0.3">
      <c r="A3725" t="s">
        <v>13791</v>
      </c>
      <c r="B3725" t="s">
        <v>16709</v>
      </c>
      <c r="C3725" t="s">
        <v>14863</v>
      </c>
      <c r="D3725" t="s">
        <v>13805</v>
      </c>
      <c r="E3725" t="s">
        <v>14709</v>
      </c>
      <c r="F3725" t="s">
        <v>14710</v>
      </c>
      <c r="G3725" t="s">
        <v>14710</v>
      </c>
      <c r="H3725" t="s">
        <v>868</v>
      </c>
      <c r="I3725" t="s">
        <v>869</v>
      </c>
      <c r="J3725" t="str">
        <f>"9150005"</f>
        <v>9150005</v>
      </c>
      <c r="K3725">
        <v>2622028106</v>
      </c>
      <c r="L3725">
        <v>2622038189</v>
      </c>
      <c r="M3725" t="s">
        <v>16986</v>
      </c>
      <c r="N3725" t="s">
        <v>14713</v>
      </c>
      <c r="O3725" t="s">
        <v>16987</v>
      </c>
      <c r="P3725">
        <v>27200</v>
      </c>
      <c r="Q3725" t="str">
        <f>"37.796445"</f>
        <v>37.796445</v>
      </c>
      <c r="R3725" t="str">
        <f>"21.358047"</f>
        <v>21.358047</v>
      </c>
      <c r="S3725" t="s">
        <v>26</v>
      </c>
    </row>
    <row r="3726" spans="1:19" x14ac:dyDescent="0.3">
      <c r="A3726" t="s">
        <v>13791</v>
      </c>
      <c r="B3726" t="s">
        <v>16709</v>
      </c>
      <c r="C3726" t="s">
        <v>14833</v>
      </c>
      <c r="D3726" t="s">
        <v>13805</v>
      </c>
      <c r="E3726" t="s">
        <v>14709</v>
      </c>
      <c r="F3726" t="s">
        <v>14710</v>
      </c>
      <c r="G3726" t="s">
        <v>14828</v>
      </c>
      <c r="H3726" t="s">
        <v>868</v>
      </c>
      <c r="I3726" t="s">
        <v>869</v>
      </c>
      <c r="J3726" t="str">
        <f>"9150050"</f>
        <v>9150050</v>
      </c>
      <c r="K3726">
        <v>2622061227</v>
      </c>
      <c r="L3726">
        <v>2622061227</v>
      </c>
      <c r="M3726" t="s">
        <v>16988</v>
      </c>
      <c r="N3726" t="s">
        <v>14832</v>
      </c>
      <c r="O3726" t="s">
        <v>14832</v>
      </c>
      <c r="P3726">
        <v>27200</v>
      </c>
      <c r="Q3726" t="str">
        <f>"37.822042"</f>
        <v>37.822042</v>
      </c>
      <c r="R3726" t="str">
        <f>"21.292302"</f>
        <v>21.292302</v>
      </c>
      <c r="S3726" t="s">
        <v>26</v>
      </c>
    </row>
    <row r="3727" spans="1:19" x14ac:dyDescent="0.3">
      <c r="A3727" t="s">
        <v>13791</v>
      </c>
      <c r="B3727" t="s">
        <v>16709</v>
      </c>
      <c r="C3727" t="s">
        <v>16989</v>
      </c>
      <c r="D3727" t="s">
        <v>13805</v>
      </c>
      <c r="E3727" t="s">
        <v>1210</v>
      </c>
      <c r="F3727" t="s">
        <v>1210</v>
      </c>
      <c r="G3727" t="s">
        <v>16106</v>
      </c>
      <c r="H3727" t="s">
        <v>868</v>
      </c>
      <c r="I3727" t="s">
        <v>950</v>
      </c>
      <c r="J3727" t="str">
        <f>"9150286"</f>
        <v>9150286</v>
      </c>
      <c r="K3727">
        <v>2621095133</v>
      </c>
      <c r="L3727">
        <v>2621095606</v>
      </c>
      <c r="M3727" t="s">
        <v>16990</v>
      </c>
      <c r="N3727" t="s">
        <v>16244</v>
      </c>
      <c r="O3727" t="s">
        <v>16244</v>
      </c>
      <c r="P3727">
        <v>27131</v>
      </c>
      <c r="Q3727" t="str">
        <f>"37.745450"</f>
        <v>37.745450</v>
      </c>
      <c r="R3727" t="str">
        <f>"21.465975"</f>
        <v>21.465975</v>
      </c>
      <c r="S3727" t="s">
        <v>26</v>
      </c>
    </row>
    <row r="3728" spans="1:19" x14ac:dyDescent="0.3">
      <c r="A3728" t="s">
        <v>13791</v>
      </c>
      <c r="B3728" t="s">
        <v>16709</v>
      </c>
      <c r="C3728" t="s">
        <v>14764</v>
      </c>
      <c r="D3728" t="s">
        <v>13805</v>
      </c>
      <c r="E3728" t="s">
        <v>14660</v>
      </c>
      <c r="F3728" t="s">
        <v>14661</v>
      </c>
      <c r="G3728" t="s">
        <v>14667</v>
      </c>
      <c r="H3728" t="s">
        <v>868</v>
      </c>
      <c r="I3728" t="s">
        <v>869</v>
      </c>
      <c r="J3728" t="str">
        <f>"9150159"</f>
        <v>9150159</v>
      </c>
      <c r="K3728">
        <v>2625022302</v>
      </c>
      <c r="L3728">
        <v>2625022302</v>
      </c>
      <c r="M3728" t="s">
        <v>16991</v>
      </c>
      <c r="N3728" t="s">
        <v>14667</v>
      </c>
      <c r="O3728" t="s">
        <v>14762</v>
      </c>
      <c r="P3728">
        <v>27055</v>
      </c>
      <c r="Q3728" t="str">
        <f>"37.590261"</f>
        <v>37.590261</v>
      </c>
      <c r="R3728" t="str">
        <f>"21.619428"</f>
        <v>21.619428</v>
      </c>
      <c r="S3728" t="s">
        <v>26</v>
      </c>
    </row>
    <row r="3729" spans="1:19" x14ac:dyDescent="0.3">
      <c r="A3729" t="s">
        <v>13791</v>
      </c>
      <c r="B3729" t="s">
        <v>16709</v>
      </c>
      <c r="C3729" t="s">
        <v>16993</v>
      </c>
      <c r="D3729" t="s">
        <v>13805</v>
      </c>
      <c r="E3729" t="s">
        <v>14651</v>
      </c>
      <c r="F3729" t="s">
        <v>14696</v>
      </c>
      <c r="G3729" t="s">
        <v>16992</v>
      </c>
      <c r="H3729" t="s">
        <v>868</v>
      </c>
      <c r="I3729" t="s">
        <v>950</v>
      </c>
      <c r="J3729" t="str">
        <f>"9150234"</f>
        <v>9150234</v>
      </c>
      <c r="K3729">
        <v>2623091247</v>
      </c>
      <c r="L3729">
        <v>2623091247</v>
      </c>
      <c r="M3729" t="s">
        <v>16994</v>
      </c>
      <c r="N3729" t="s">
        <v>16995</v>
      </c>
      <c r="O3729" t="s">
        <v>16995</v>
      </c>
      <c r="P3729">
        <v>27052</v>
      </c>
      <c r="Q3729" t="str">
        <f>"37.979741"</f>
        <v>37.979741</v>
      </c>
      <c r="R3729" t="str">
        <f>"21.321203"</f>
        <v>21.321203</v>
      </c>
      <c r="S3729" t="s">
        <v>26</v>
      </c>
    </row>
    <row r="3730" spans="1:19" x14ac:dyDescent="0.3">
      <c r="A3730" t="s">
        <v>13791</v>
      </c>
      <c r="B3730" t="s">
        <v>16709</v>
      </c>
      <c r="C3730" t="s">
        <v>16997</v>
      </c>
      <c r="D3730" t="s">
        <v>13805</v>
      </c>
      <c r="E3730" t="s">
        <v>14669</v>
      </c>
      <c r="F3730" t="s">
        <v>14669</v>
      </c>
      <c r="G3730" t="s">
        <v>16996</v>
      </c>
      <c r="H3730" t="s">
        <v>868</v>
      </c>
      <c r="I3730" t="s">
        <v>950</v>
      </c>
      <c r="J3730" t="str">
        <f>"9150084"</f>
        <v>9150084</v>
      </c>
      <c r="K3730">
        <v>2624051202</v>
      </c>
      <c r="L3730">
        <v>2624051202</v>
      </c>
      <c r="M3730" t="s">
        <v>16998</v>
      </c>
      <c r="N3730" t="s">
        <v>16999</v>
      </c>
      <c r="O3730" t="s">
        <v>16999</v>
      </c>
      <c r="P3730">
        <v>27065</v>
      </c>
      <c r="Q3730" t="str">
        <f>"37.715372"</f>
        <v>37.715372</v>
      </c>
      <c r="R3730" t="str">
        <f>"21.625246"</f>
        <v>21.625246</v>
      </c>
      <c r="S3730" t="s">
        <v>26</v>
      </c>
    </row>
    <row r="3731" spans="1:19" x14ac:dyDescent="0.3">
      <c r="A3731" t="s">
        <v>13791</v>
      </c>
      <c r="B3731" t="s">
        <v>16709</v>
      </c>
      <c r="C3731" t="s">
        <v>17001</v>
      </c>
      <c r="D3731" t="s">
        <v>13805</v>
      </c>
      <c r="E3731" t="s">
        <v>1210</v>
      </c>
      <c r="F3731" t="s">
        <v>14645</v>
      </c>
      <c r="G3731" t="s">
        <v>17000</v>
      </c>
      <c r="H3731" t="s">
        <v>868</v>
      </c>
      <c r="I3731" t="s">
        <v>950</v>
      </c>
      <c r="J3731" t="str">
        <f>"9150303"</f>
        <v>9150303</v>
      </c>
      <c r="K3731">
        <v>2621061116</v>
      </c>
      <c r="L3731">
        <v>2621061116</v>
      </c>
      <c r="M3731" t="s">
        <v>17002</v>
      </c>
      <c r="N3731" t="s">
        <v>17003</v>
      </c>
      <c r="O3731" t="s">
        <v>17003</v>
      </c>
      <c r="P3731">
        <v>27064</v>
      </c>
      <c r="Q3731" t="str">
        <f>"37.780256"</f>
        <v>37.780256</v>
      </c>
      <c r="R3731" t="str">
        <f>"21.561359"</f>
        <v>21.561359</v>
      </c>
      <c r="S3731" t="s">
        <v>26</v>
      </c>
    </row>
    <row r="3732" spans="1:19" x14ac:dyDescent="0.3">
      <c r="A3732" t="s">
        <v>13791</v>
      </c>
      <c r="B3732" t="s">
        <v>16709</v>
      </c>
      <c r="C3732" t="s">
        <v>17005</v>
      </c>
      <c r="D3732" t="s">
        <v>13805</v>
      </c>
      <c r="E3732" t="s">
        <v>1210</v>
      </c>
      <c r="F3732" t="s">
        <v>14754</v>
      </c>
      <c r="G3732" t="s">
        <v>17004</v>
      </c>
      <c r="H3732" t="s">
        <v>868</v>
      </c>
      <c r="I3732" t="s">
        <v>950</v>
      </c>
      <c r="J3732" t="str">
        <f>"9150274"</f>
        <v>9150274</v>
      </c>
      <c r="K3732">
        <v>2621054670</v>
      </c>
      <c r="L3732">
        <v>0</v>
      </c>
      <c r="M3732" t="s">
        <v>17006</v>
      </c>
      <c r="N3732" t="s">
        <v>17007</v>
      </c>
      <c r="O3732" t="s">
        <v>17008</v>
      </c>
      <c r="P3732">
        <v>27131</v>
      </c>
      <c r="Q3732" t="str">
        <f>"37.732845"</f>
        <v>37.732845</v>
      </c>
      <c r="R3732" t="str">
        <f>"21.374102"</f>
        <v>21.374102</v>
      </c>
      <c r="S3732" t="s">
        <v>26</v>
      </c>
    </row>
    <row r="3733" spans="1:19" x14ac:dyDescent="0.3">
      <c r="A3733" t="s">
        <v>13791</v>
      </c>
      <c r="B3733" t="s">
        <v>16709</v>
      </c>
      <c r="C3733" t="s">
        <v>17009</v>
      </c>
      <c r="D3733" t="s">
        <v>13805</v>
      </c>
      <c r="E3733" t="s">
        <v>1210</v>
      </c>
      <c r="F3733" t="s">
        <v>14645</v>
      </c>
      <c r="G3733" t="s">
        <v>14645</v>
      </c>
      <c r="H3733" t="s">
        <v>868</v>
      </c>
      <c r="I3733" t="s">
        <v>950</v>
      </c>
      <c r="J3733" t="str">
        <f>"9150318"</f>
        <v>9150318</v>
      </c>
      <c r="K3733">
        <v>2621061317</v>
      </c>
      <c r="M3733" t="s">
        <v>17010</v>
      </c>
      <c r="N3733" t="s">
        <v>17011</v>
      </c>
      <c r="O3733" t="s">
        <v>17012</v>
      </c>
      <c r="P3733">
        <v>27064</v>
      </c>
      <c r="Q3733" t="str">
        <f>"37.742790"</f>
        <v>37.742790</v>
      </c>
      <c r="R3733" t="str">
        <f>"21.555509"</f>
        <v>21.555509</v>
      </c>
      <c r="S3733" t="s">
        <v>26</v>
      </c>
    </row>
    <row r="3734" spans="1:19" x14ac:dyDescent="0.3">
      <c r="A3734" t="s">
        <v>13791</v>
      </c>
      <c r="B3734" t="s">
        <v>16709</v>
      </c>
      <c r="C3734" t="s">
        <v>17014</v>
      </c>
      <c r="D3734" t="s">
        <v>13805</v>
      </c>
      <c r="E3734" t="s">
        <v>1210</v>
      </c>
      <c r="F3734" t="s">
        <v>14645</v>
      </c>
      <c r="G3734" t="s">
        <v>17013</v>
      </c>
      <c r="H3734" t="s">
        <v>868</v>
      </c>
      <c r="I3734" t="s">
        <v>950</v>
      </c>
      <c r="J3734" t="str">
        <f>"9150317"</f>
        <v>9150317</v>
      </c>
      <c r="K3734">
        <v>2621062538</v>
      </c>
      <c r="L3734">
        <v>2621062538</v>
      </c>
      <c r="M3734" t="s">
        <v>17015</v>
      </c>
      <c r="N3734" t="s">
        <v>17016</v>
      </c>
      <c r="O3734" t="s">
        <v>17016</v>
      </c>
      <c r="P3734">
        <v>27064</v>
      </c>
      <c r="Q3734" t="str">
        <f>"37.759760"</f>
        <v>37.759760</v>
      </c>
      <c r="R3734" t="str">
        <f>"21.506895"</f>
        <v>21.506895</v>
      </c>
      <c r="S3734" t="s">
        <v>26</v>
      </c>
    </row>
    <row r="3735" spans="1:19" x14ac:dyDescent="0.3">
      <c r="A3735" t="s">
        <v>13791</v>
      </c>
      <c r="B3735" t="s">
        <v>16709</v>
      </c>
      <c r="C3735" t="s">
        <v>17018</v>
      </c>
      <c r="D3735" t="s">
        <v>13805</v>
      </c>
      <c r="E3735" t="s">
        <v>14709</v>
      </c>
      <c r="F3735" t="s">
        <v>14710</v>
      </c>
      <c r="G3735" t="s">
        <v>17017</v>
      </c>
      <c r="H3735" t="s">
        <v>868</v>
      </c>
      <c r="I3735" t="s">
        <v>950</v>
      </c>
      <c r="J3735" t="str">
        <f>"9150023"</f>
        <v>9150023</v>
      </c>
      <c r="K3735">
        <v>2622041219</v>
      </c>
      <c r="L3735">
        <v>2622041276</v>
      </c>
      <c r="M3735" t="s">
        <v>17019</v>
      </c>
      <c r="N3735" t="s">
        <v>17020</v>
      </c>
      <c r="O3735" t="s">
        <v>2648</v>
      </c>
      <c r="P3735">
        <v>27069</v>
      </c>
      <c r="Q3735" t="str">
        <f>"37.873870"</f>
        <v>37.873870</v>
      </c>
      <c r="R3735" t="str">
        <f>"21.356034"</f>
        <v>21.356034</v>
      </c>
      <c r="S3735" t="s">
        <v>26</v>
      </c>
    </row>
    <row r="3736" spans="1:19" x14ac:dyDescent="0.3">
      <c r="A3736" t="s">
        <v>13791</v>
      </c>
      <c r="B3736" t="s">
        <v>16709</v>
      </c>
      <c r="C3736" t="s">
        <v>17022</v>
      </c>
      <c r="D3736" t="s">
        <v>13805</v>
      </c>
      <c r="E3736" t="s">
        <v>1210</v>
      </c>
      <c r="F3736" t="s">
        <v>1210</v>
      </c>
      <c r="G3736" t="s">
        <v>17021</v>
      </c>
      <c r="H3736" t="s">
        <v>868</v>
      </c>
      <c r="I3736" t="s">
        <v>950</v>
      </c>
      <c r="J3736" t="str">
        <f>"9150083"</f>
        <v>9150083</v>
      </c>
      <c r="K3736">
        <v>2621044253</v>
      </c>
      <c r="L3736">
        <v>2621044253</v>
      </c>
      <c r="M3736" t="s">
        <v>17023</v>
      </c>
      <c r="N3736" t="s">
        <v>2671</v>
      </c>
      <c r="O3736" t="s">
        <v>2671</v>
      </c>
      <c r="P3736">
        <v>27100</v>
      </c>
      <c r="Q3736" t="str">
        <f>"37.659092"</f>
        <v>37.659092</v>
      </c>
      <c r="R3736" t="str">
        <f>"21.533051"</f>
        <v>21.533051</v>
      </c>
      <c r="S3736" t="s">
        <v>26</v>
      </c>
    </row>
    <row r="3737" spans="1:19" x14ac:dyDescent="0.3">
      <c r="A3737" t="s">
        <v>13791</v>
      </c>
      <c r="B3737" t="s">
        <v>16709</v>
      </c>
      <c r="C3737" t="s">
        <v>14731</v>
      </c>
      <c r="D3737" t="s">
        <v>13805</v>
      </c>
      <c r="E3737" t="s">
        <v>1210</v>
      </c>
      <c r="F3737" t="s">
        <v>1210</v>
      </c>
      <c r="G3737" t="s">
        <v>17024</v>
      </c>
      <c r="H3737" t="s">
        <v>868</v>
      </c>
      <c r="I3737" t="s">
        <v>869</v>
      </c>
      <c r="J3737" t="str">
        <f>"9150311"</f>
        <v>9150311</v>
      </c>
      <c r="K3737">
        <v>2621096236</v>
      </c>
      <c r="L3737">
        <v>2621096236</v>
      </c>
      <c r="M3737" t="s">
        <v>17025</v>
      </c>
      <c r="N3737" t="s">
        <v>17026</v>
      </c>
      <c r="O3737" t="s">
        <v>17027</v>
      </c>
      <c r="P3737">
        <v>27100</v>
      </c>
      <c r="Q3737" t="str">
        <f>"37.686730"</f>
        <v>37.686730</v>
      </c>
      <c r="R3737" t="str">
        <f>"21.362368"</f>
        <v>21.362368</v>
      </c>
      <c r="S3737" t="s">
        <v>26</v>
      </c>
    </row>
    <row r="3738" spans="1:19" x14ac:dyDescent="0.3">
      <c r="A3738" t="s">
        <v>13791</v>
      </c>
      <c r="B3738" t="s">
        <v>16709</v>
      </c>
      <c r="C3738" t="s">
        <v>14650</v>
      </c>
      <c r="D3738" t="s">
        <v>13805</v>
      </c>
      <c r="E3738" t="s">
        <v>1210</v>
      </c>
      <c r="F3738" t="s">
        <v>14645</v>
      </c>
      <c r="G3738" t="s">
        <v>14646</v>
      </c>
      <c r="H3738" t="s">
        <v>868</v>
      </c>
      <c r="I3738" t="s">
        <v>869</v>
      </c>
      <c r="J3738" t="str">
        <f>"9150288"</f>
        <v>9150288</v>
      </c>
      <c r="K3738">
        <v>2621061207</v>
      </c>
      <c r="L3738">
        <v>2621062541</v>
      </c>
      <c r="M3738" t="s">
        <v>17028</v>
      </c>
      <c r="N3738" t="s">
        <v>17029</v>
      </c>
      <c r="O3738" t="s">
        <v>14649</v>
      </c>
      <c r="P3738">
        <v>27064</v>
      </c>
      <c r="Q3738" t="str">
        <f>"37.731291"</f>
        <v>37.731291</v>
      </c>
      <c r="R3738" t="str">
        <f>"21.535087"</f>
        <v>21.535087</v>
      </c>
      <c r="S3738" t="s">
        <v>26</v>
      </c>
    </row>
    <row r="3739" spans="1:19" x14ac:dyDescent="0.3">
      <c r="A3739" t="s">
        <v>13791</v>
      </c>
      <c r="B3739" t="s">
        <v>16709</v>
      </c>
      <c r="C3739" t="s">
        <v>17030</v>
      </c>
      <c r="D3739" t="s">
        <v>13805</v>
      </c>
      <c r="E3739" t="s">
        <v>14709</v>
      </c>
      <c r="F3739" t="s">
        <v>14710</v>
      </c>
      <c r="G3739" t="s">
        <v>16880</v>
      </c>
      <c r="H3739" t="s">
        <v>868</v>
      </c>
      <c r="I3739" t="s">
        <v>950</v>
      </c>
      <c r="J3739" t="str">
        <f>"9150031"</f>
        <v>9150031</v>
      </c>
      <c r="K3739">
        <v>2622092201</v>
      </c>
      <c r="L3739">
        <v>2622092201</v>
      </c>
      <c r="M3739" t="s">
        <v>17031</v>
      </c>
      <c r="N3739" t="s">
        <v>17032</v>
      </c>
      <c r="O3739" t="s">
        <v>17032</v>
      </c>
      <c r="P3739">
        <v>27200</v>
      </c>
      <c r="Q3739" t="str">
        <f>"37.744952"</f>
        <v>37.744952</v>
      </c>
      <c r="R3739" t="str">
        <f>"21.330802"</f>
        <v>21.330802</v>
      </c>
      <c r="S3739" t="s">
        <v>26</v>
      </c>
    </row>
    <row r="3740" spans="1:19" x14ac:dyDescent="0.3">
      <c r="A3740" t="s">
        <v>13791</v>
      </c>
      <c r="B3740" t="s">
        <v>16709</v>
      </c>
      <c r="C3740" t="s">
        <v>17033</v>
      </c>
      <c r="D3740" t="s">
        <v>13805</v>
      </c>
      <c r="E3740" t="s">
        <v>1210</v>
      </c>
      <c r="F3740" t="s">
        <v>1210</v>
      </c>
      <c r="G3740" t="s">
        <v>1210</v>
      </c>
      <c r="H3740" t="s">
        <v>868</v>
      </c>
      <c r="I3740" t="s">
        <v>869</v>
      </c>
      <c r="J3740" t="str">
        <f>"9150061"</f>
        <v>9150061</v>
      </c>
      <c r="K3740">
        <v>2621033140</v>
      </c>
      <c r="L3740">
        <v>2621033140</v>
      </c>
      <c r="M3740" t="s">
        <v>17034</v>
      </c>
      <c r="N3740" t="s">
        <v>1211</v>
      </c>
      <c r="O3740" t="s">
        <v>16778</v>
      </c>
      <c r="P3740">
        <v>27100</v>
      </c>
      <c r="Q3740" t="str">
        <f>"37.687665"</f>
        <v>37.687665</v>
      </c>
      <c r="R3740" t="str">
        <f>"21.457032"</f>
        <v>21.457032</v>
      </c>
      <c r="S3740" t="s">
        <v>26</v>
      </c>
    </row>
    <row r="3741" spans="1:19" x14ac:dyDescent="0.3">
      <c r="A3741" t="s">
        <v>13791</v>
      </c>
      <c r="B3741" t="s">
        <v>16709</v>
      </c>
      <c r="C3741" t="s">
        <v>17036</v>
      </c>
      <c r="D3741" t="s">
        <v>13805</v>
      </c>
      <c r="E3741" t="s">
        <v>14660</v>
      </c>
      <c r="F3741" t="s">
        <v>14661</v>
      </c>
      <c r="G3741" t="s">
        <v>17035</v>
      </c>
      <c r="H3741" t="s">
        <v>868</v>
      </c>
      <c r="I3741" t="s">
        <v>869</v>
      </c>
      <c r="J3741" t="str">
        <f>"9150339"</f>
        <v>9150339</v>
      </c>
      <c r="K3741">
        <v>2625022636</v>
      </c>
      <c r="L3741">
        <v>2625022636</v>
      </c>
      <c r="M3741" t="s">
        <v>17037</v>
      </c>
      <c r="N3741" t="s">
        <v>17038</v>
      </c>
      <c r="O3741" t="s">
        <v>17039</v>
      </c>
      <c r="P3741">
        <v>27055</v>
      </c>
      <c r="Q3741" t="str">
        <f>"37.586915"</f>
        <v>37.586915</v>
      </c>
      <c r="R3741" t="str">
        <f>"21.585503"</f>
        <v>21.585503</v>
      </c>
      <c r="S3741" t="s">
        <v>26</v>
      </c>
    </row>
    <row r="3742" spans="1:19" x14ac:dyDescent="0.3">
      <c r="A3742" t="s">
        <v>13791</v>
      </c>
      <c r="B3742" t="s">
        <v>16709</v>
      </c>
      <c r="C3742" t="s">
        <v>17041</v>
      </c>
      <c r="D3742" t="s">
        <v>13805</v>
      </c>
      <c r="E3742" t="s">
        <v>1210</v>
      </c>
      <c r="F3742" t="s">
        <v>914</v>
      </c>
      <c r="G3742" t="s">
        <v>17040</v>
      </c>
      <c r="H3742" t="s">
        <v>868</v>
      </c>
      <c r="I3742" t="s">
        <v>950</v>
      </c>
      <c r="J3742" t="str">
        <f>"9150127"</f>
        <v>9150127</v>
      </c>
      <c r="K3742">
        <v>2621071055</v>
      </c>
      <c r="L3742">
        <v>2621072156</v>
      </c>
      <c r="M3742" t="s">
        <v>17042</v>
      </c>
      <c r="N3742" t="s">
        <v>17043</v>
      </c>
      <c r="O3742" t="s">
        <v>17043</v>
      </c>
      <c r="P3742">
        <v>27058</v>
      </c>
      <c r="Q3742" t="str">
        <f>"37.640139"</f>
        <v>37.640139</v>
      </c>
      <c r="R3742" t="str">
        <f>"21.533995"</f>
        <v>21.533995</v>
      </c>
      <c r="S3742" t="s">
        <v>26</v>
      </c>
    </row>
    <row r="3743" spans="1:19" x14ac:dyDescent="0.3">
      <c r="A3743" t="s">
        <v>13791</v>
      </c>
      <c r="B3743" t="s">
        <v>16709</v>
      </c>
      <c r="C3743" t="s">
        <v>17044</v>
      </c>
      <c r="D3743" t="s">
        <v>13805</v>
      </c>
      <c r="E3743" t="s">
        <v>1210</v>
      </c>
      <c r="F3743" t="s">
        <v>1210</v>
      </c>
      <c r="G3743" t="s">
        <v>16754</v>
      </c>
      <c r="H3743" t="s">
        <v>868</v>
      </c>
      <c r="I3743" t="s">
        <v>869</v>
      </c>
      <c r="J3743" t="str">
        <f>"9150067"</f>
        <v>9150067</v>
      </c>
      <c r="K3743">
        <v>2621044201</v>
      </c>
      <c r="M3743" t="s">
        <v>17045</v>
      </c>
      <c r="N3743" t="s">
        <v>17046</v>
      </c>
      <c r="O3743" t="s">
        <v>17047</v>
      </c>
      <c r="P3743">
        <v>27131</v>
      </c>
      <c r="Q3743" t="str">
        <f>"37.671532"</f>
        <v>37.671532</v>
      </c>
      <c r="R3743" t="str">
        <f>"21.497161"</f>
        <v>21.497161</v>
      </c>
      <c r="S3743" t="s">
        <v>26</v>
      </c>
    </row>
    <row r="3744" spans="1:19" x14ac:dyDescent="0.3">
      <c r="A3744" t="s">
        <v>13791</v>
      </c>
      <c r="B3744" t="s">
        <v>16709</v>
      </c>
      <c r="C3744" t="s">
        <v>14676</v>
      </c>
      <c r="D3744" t="s">
        <v>13805</v>
      </c>
      <c r="E3744" t="s">
        <v>14669</v>
      </c>
      <c r="F3744" t="s">
        <v>14669</v>
      </c>
      <c r="G3744" t="s">
        <v>14670</v>
      </c>
      <c r="H3744" t="s">
        <v>868</v>
      </c>
      <c r="I3744" t="s">
        <v>869</v>
      </c>
      <c r="J3744" t="str">
        <f>"9150110"</f>
        <v>9150110</v>
      </c>
      <c r="K3744">
        <v>2624031390</v>
      </c>
      <c r="L3744">
        <v>2624031390</v>
      </c>
      <c r="M3744" t="s">
        <v>17048</v>
      </c>
      <c r="N3744" t="s">
        <v>14675</v>
      </c>
      <c r="O3744" t="s">
        <v>13805</v>
      </c>
      <c r="P3744">
        <v>27065</v>
      </c>
      <c r="Q3744" t="str">
        <f>"37.674515"</f>
        <v>37.674515</v>
      </c>
      <c r="R3744" t="str">
        <f>"21.592389"</f>
        <v>21.592389</v>
      </c>
      <c r="S3744" t="s">
        <v>26</v>
      </c>
    </row>
    <row r="3745" spans="1:19" x14ac:dyDescent="0.3">
      <c r="A3745" t="s">
        <v>13791</v>
      </c>
      <c r="B3745" t="s">
        <v>16709</v>
      </c>
      <c r="C3745" t="s">
        <v>14799</v>
      </c>
      <c r="D3745" t="s">
        <v>13805</v>
      </c>
      <c r="E3745" t="s">
        <v>14709</v>
      </c>
      <c r="F3745" t="s">
        <v>14710</v>
      </c>
      <c r="G3745" t="s">
        <v>14710</v>
      </c>
      <c r="H3745" t="s">
        <v>868</v>
      </c>
      <c r="I3745" t="s">
        <v>869</v>
      </c>
      <c r="J3745" t="str">
        <f>"9150006"</f>
        <v>9150006</v>
      </c>
      <c r="K3745">
        <v>2622028687</v>
      </c>
      <c r="L3745">
        <v>2622038192</v>
      </c>
      <c r="M3745" t="s">
        <v>17049</v>
      </c>
      <c r="N3745" t="s">
        <v>14713</v>
      </c>
      <c r="O3745" t="s">
        <v>17050</v>
      </c>
      <c r="P3745">
        <v>27200</v>
      </c>
      <c r="Q3745" t="str">
        <f>"37.800822"</f>
        <v>37.800822</v>
      </c>
      <c r="R3745" t="str">
        <f>"21.349858"</f>
        <v>21.349858</v>
      </c>
      <c r="S3745" t="s">
        <v>26</v>
      </c>
    </row>
    <row r="3746" spans="1:19" x14ac:dyDescent="0.3">
      <c r="A3746" t="s">
        <v>13791</v>
      </c>
      <c r="B3746" t="s">
        <v>16709</v>
      </c>
      <c r="C3746" t="s">
        <v>14759</v>
      </c>
      <c r="D3746" t="s">
        <v>13805</v>
      </c>
      <c r="E3746" t="s">
        <v>1210</v>
      </c>
      <c r="F3746" t="s">
        <v>14754</v>
      </c>
      <c r="G3746" t="s">
        <v>14755</v>
      </c>
      <c r="H3746" t="s">
        <v>868</v>
      </c>
      <c r="I3746" t="s">
        <v>869</v>
      </c>
      <c r="J3746" t="str">
        <f>"9150282"</f>
        <v>9150282</v>
      </c>
      <c r="K3746">
        <v>2621051246</v>
      </c>
      <c r="L3746">
        <v>2621052031</v>
      </c>
      <c r="M3746" t="s">
        <v>17051</v>
      </c>
      <c r="O3746" t="s">
        <v>14758</v>
      </c>
      <c r="P3746">
        <v>27100</v>
      </c>
      <c r="Q3746" t="str">
        <f>"37.734012"</f>
        <v>37.734012</v>
      </c>
      <c r="R3746" t="str">
        <f>"21.407103"</f>
        <v>21.407103</v>
      </c>
      <c r="S3746" t="s">
        <v>26</v>
      </c>
    </row>
    <row r="3747" spans="1:19" x14ac:dyDescent="0.3">
      <c r="A3747" t="s">
        <v>13791</v>
      </c>
      <c r="B3747" t="s">
        <v>16709</v>
      </c>
      <c r="C3747" t="s">
        <v>14695</v>
      </c>
      <c r="D3747" t="s">
        <v>13805</v>
      </c>
      <c r="E3747" t="s">
        <v>14651</v>
      </c>
      <c r="F3747" t="s">
        <v>14691</v>
      </c>
      <c r="G3747" t="s">
        <v>14691</v>
      </c>
      <c r="H3747" t="s">
        <v>868</v>
      </c>
      <c r="I3747" t="s">
        <v>869</v>
      </c>
      <c r="J3747" t="str">
        <f>"9150200"</f>
        <v>9150200</v>
      </c>
      <c r="K3747">
        <v>2623054238</v>
      </c>
      <c r="L3747">
        <v>2623055929</v>
      </c>
      <c r="M3747" t="s">
        <v>17052</v>
      </c>
      <c r="N3747" t="s">
        <v>14694</v>
      </c>
      <c r="O3747" t="s">
        <v>6993</v>
      </c>
      <c r="P3747">
        <v>27051</v>
      </c>
      <c r="Q3747" t="str">
        <f>"37.907373"</f>
        <v>37.907373</v>
      </c>
      <c r="R3747" t="str">
        <f>"21.269067"</f>
        <v>21.269067</v>
      </c>
      <c r="S3747" t="s">
        <v>26</v>
      </c>
    </row>
    <row r="3748" spans="1:19" x14ac:dyDescent="0.3">
      <c r="A3748" t="s">
        <v>13791</v>
      </c>
      <c r="B3748" t="s">
        <v>16709</v>
      </c>
      <c r="C3748" t="s">
        <v>17053</v>
      </c>
      <c r="D3748" t="s">
        <v>13805</v>
      </c>
      <c r="E3748" t="s">
        <v>1210</v>
      </c>
      <c r="F3748" t="s">
        <v>1210</v>
      </c>
      <c r="G3748" t="s">
        <v>1872</v>
      </c>
      <c r="H3748" t="s">
        <v>868</v>
      </c>
      <c r="I3748" t="s">
        <v>950</v>
      </c>
      <c r="J3748" t="str">
        <f>"9150270"</f>
        <v>9150270</v>
      </c>
      <c r="K3748">
        <v>2621025074</v>
      </c>
      <c r="M3748" t="s">
        <v>17054</v>
      </c>
      <c r="N3748" t="s">
        <v>12409</v>
      </c>
      <c r="O3748" t="s">
        <v>1872</v>
      </c>
      <c r="P3748">
        <v>27100</v>
      </c>
      <c r="Q3748" t="str">
        <f>"37.676934"</f>
        <v>37.676934</v>
      </c>
      <c r="R3748" t="str">
        <f>"21.441070"</f>
        <v>21.441070</v>
      </c>
      <c r="S3748" t="s">
        <v>26</v>
      </c>
    </row>
    <row r="3749" spans="1:19" x14ac:dyDescent="0.3">
      <c r="A3749" t="s">
        <v>13791</v>
      </c>
      <c r="B3749" t="s">
        <v>16709</v>
      </c>
      <c r="C3749" t="s">
        <v>17056</v>
      </c>
      <c r="D3749" t="s">
        <v>13805</v>
      </c>
      <c r="E3749" t="s">
        <v>1210</v>
      </c>
      <c r="F3749" t="s">
        <v>1210</v>
      </c>
      <c r="G3749" t="s">
        <v>17055</v>
      </c>
      <c r="H3749" t="s">
        <v>868</v>
      </c>
      <c r="I3749" t="s">
        <v>950</v>
      </c>
      <c r="J3749" t="str">
        <f>"9150276"</f>
        <v>9150276</v>
      </c>
      <c r="K3749">
        <v>2621095104</v>
      </c>
      <c r="M3749" t="s">
        <v>17057</v>
      </c>
      <c r="N3749" t="s">
        <v>17058</v>
      </c>
      <c r="O3749" t="s">
        <v>17058</v>
      </c>
      <c r="P3749">
        <v>27100</v>
      </c>
      <c r="Q3749" t="str">
        <f>"37.730919"</f>
        <v>37.730919</v>
      </c>
      <c r="R3749" t="str">
        <f>"21.463874"</f>
        <v>21.463874</v>
      </c>
      <c r="S3749" t="s">
        <v>26</v>
      </c>
    </row>
    <row r="3750" spans="1:19" x14ac:dyDescent="0.3">
      <c r="A3750" t="s">
        <v>13791</v>
      </c>
      <c r="B3750" t="s">
        <v>16709</v>
      </c>
      <c r="C3750" t="s">
        <v>14690</v>
      </c>
      <c r="D3750" t="s">
        <v>13805</v>
      </c>
      <c r="E3750" t="s">
        <v>14669</v>
      </c>
      <c r="F3750" t="s">
        <v>14685</v>
      </c>
      <c r="G3750" t="s">
        <v>14686</v>
      </c>
      <c r="H3750" t="s">
        <v>868</v>
      </c>
      <c r="I3750" t="s">
        <v>869</v>
      </c>
      <c r="J3750" t="str">
        <f>"9150099"</f>
        <v>9150099</v>
      </c>
      <c r="K3750">
        <v>2624041494</v>
      </c>
      <c r="L3750">
        <v>2624041494</v>
      </c>
      <c r="M3750" t="s">
        <v>17059</v>
      </c>
      <c r="N3750" t="s">
        <v>14686</v>
      </c>
      <c r="O3750" t="s">
        <v>17060</v>
      </c>
      <c r="P3750">
        <v>27066</v>
      </c>
      <c r="Q3750" t="str">
        <f>"37.708270"</f>
        <v>37.708270</v>
      </c>
      <c r="R3750" t="str">
        <f>"21.716106"</f>
        <v>21.716106</v>
      </c>
      <c r="S3750" t="s">
        <v>26</v>
      </c>
    </row>
    <row r="3751" spans="1:19" x14ac:dyDescent="0.3">
      <c r="A3751" t="s">
        <v>13791</v>
      </c>
      <c r="B3751" t="s">
        <v>16709</v>
      </c>
      <c r="C3751" t="s">
        <v>17062</v>
      </c>
      <c r="D3751" t="s">
        <v>13805</v>
      </c>
      <c r="E3751" t="s">
        <v>14660</v>
      </c>
      <c r="F3751" t="s">
        <v>14661</v>
      </c>
      <c r="G3751" t="s">
        <v>17061</v>
      </c>
      <c r="H3751" t="s">
        <v>868</v>
      </c>
      <c r="I3751" t="s">
        <v>950</v>
      </c>
      <c r="J3751" t="str">
        <f>"9150140"</f>
        <v>9150140</v>
      </c>
      <c r="K3751">
        <v>2625051439</v>
      </c>
      <c r="L3751">
        <v>2625051439</v>
      </c>
      <c r="M3751" t="s">
        <v>17063</v>
      </c>
      <c r="N3751" t="s">
        <v>17064</v>
      </c>
      <c r="O3751" t="s">
        <v>17064</v>
      </c>
      <c r="P3751">
        <v>27055</v>
      </c>
      <c r="Q3751" t="str">
        <f>"37.576651"</f>
        <v>37.576651</v>
      </c>
      <c r="R3751" t="str">
        <f>"21.733498"</f>
        <v>21.733498</v>
      </c>
      <c r="S3751" t="s">
        <v>26</v>
      </c>
    </row>
    <row r="3752" spans="1:19" x14ac:dyDescent="0.3">
      <c r="A3752" t="s">
        <v>13791</v>
      </c>
      <c r="B3752" t="s">
        <v>16709</v>
      </c>
      <c r="C3752" t="s">
        <v>14854</v>
      </c>
      <c r="D3752" t="s">
        <v>13805</v>
      </c>
      <c r="E3752" t="s">
        <v>1210</v>
      </c>
      <c r="F3752" t="s">
        <v>914</v>
      </c>
      <c r="G3752" t="s">
        <v>14849</v>
      </c>
      <c r="H3752" t="s">
        <v>868</v>
      </c>
      <c r="I3752" t="s">
        <v>869</v>
      </c>
      <c r="J3752" t="str">
        <f>"9150144"</f>
        <v>9150144</v>
      </c>
      <c r="K3752">
        <v>2621071235</v>
      </c>
      <c r="L3752">
        <v>2621071235</v>
      </c>
      <c r="M3752" t="s">
        <v>17065</v>
      </c>
      <c r="N3752" t="s">
        <v>14852</v>
      </c>
      <c r="O3752" t="s">
        <v>17066</v>
      </c>
      <c r="P3752">
        <v>27100</v>
      </c>
      <c r="Q3752" t="str">
        <f>"37.630416"</f>
        <v>37.630416</v>
      </c>
      <c r="R3752" t="str">
        <f>"21.490487"</f>
        <v>21.490487</v>
      </c>
      <c r="S3752" t="s">
        <v>26</v>
      </c>
    </row>
    <row r="3753" spans="1:19" x14ac:dyDescent="0.3">
      <c r="A3753" t="s">
        <v>13791</v>
      </c>
      <c r="B3753" t="s">
        <v>16709</v>
      </c>
      <c r="C3753" t="s">
        <v>17068</v>
      </c>
      <c r="D3753" t="s">
        <v>13805</v>
      </c>
      <c r="E3753" t="s">
        <v>14660</v>
      </c>
      <c r="F3753" t="s">
        <v>14864</v>
      </c>
      <c r="G3753" t="s">
        <v>17067</v>
      </c>
      <c r="H3753" t="s">
        <v>868</v>
      </c>
      <c r="I3753" t="s">
        <v>950</v>
      </c>
      <c r="J3753" t="str">
        <f>"9150130"</f>
        <v>9150130</v>
      </c>
      <c r="K3753">
        <v>2626041264</v>
      </c>
      <c r="L3753">
        <v>2626041003</v>
      </c>
      <c r="M3753" t="s">
        <v>17069</v>
      </c>
      <c r="N3753" t="s">
        <v>17070</v>
      </c>
      <c r="O3753" t="s">
        <v>17071</v>
      </c>
      <c r="P3753">
        <v>27061</v>
      </c>
      <c r="Q3753" t="str">
        <f>"37.452717"</f>
        <v>37.452717</v>
      </c>
      <c r="R3753" t="str">
        <f>"21.928402"</f>
        <v>21.928402</v>
      </c>
      <c r="S3753" t="s">
        <v>26</v>
      </c>
    </row>
    <row r="3754" spans="1:19" x14ac:dyDescent="0.3">
      <c r="A3754" t="s">
        <v>13791</v>
      </c>
      <c r="B3754" t="s">
        <v>16709</v>
      </c>
      <c r="C3754" t="s">
        <v>17073</v>
      </c>
      <c r="D3754" t="s">
        <v>13805</v>
      </c>
      <c r="E3754" t="s">
        <v>14677</v>
      </c>
      <c r="F3754" t="s">
        <v>14677</v>
      </c>
      <c r="G3754" t="s">
        <v>17072</v>
      </c>
      <c r="H3754" t="s">
        <v>868</v>
      </c>
      <c r="I3754" t="s">
        <v>950</v>
      </c>
      <c r="J3754" t="str">
        <f>"9150137"</f>
        <v>9150137</v>
      </c>
      <c r="K3754">
        <v>2625061425</v>
      </c>
      <c r="L3754">
        <v>2625061425</v>
      </c>
      <c r="M3754" t="s">
        <v>17074</v>
      </c>
      <c r="N3754" t="s">
        <v>17075</v>
      </c>
      <c r="O3754" t="s">
        <v>17075</v>
      </c>
      <c r="P3754">
        <v>27054</v>
      </c>
      <c r="Q3754" t="str">
        <f>"37.393379"</f>
        <v>37.393379</v>
      </c>
      <c r="R3754" t="str">
        <f>"21.689341"</f>
        <v>21.689341</v>
      </c>
      <c r="S3754" t="s">
        <v>26</v>
      </c>
    </row>
    <row r="3755" spans="1:19" x14ac:dyDescent="0.3">
      <c r="A3755" t="s">
        <v>13791</v>
      </c>
      <c r="B3755" t="s">
        <v>16709</v>
      </c>
      <c r="C3755" t="s">
        <v>17076</v>
      </c>
      <c r="D3755" t="s">
        <v>13805</v>
      </c>
      <c r="E3755" t="s">
        <v>14651</v>
      </c>
      <c r="F3755" t="s">
        <v>14652</v>
      </c>
      <c r="G3755" t="s">
        <v>16867</v>
      </c>
      <c r="H3755" t="s">
        <v>868</v>
      </c>
      <c r="I3755" t="s">
        <v>950</v>
      </c>
      <c r="J3755" t="str">
        <f>"9150230"</f>
        <v>9150230</v>
      </c>
      <c r="K3755">
        <v>2623095203</v>
      </c>
      <c r="L3755">
        <v>262309520</v>
      </c>
      <c r="M3755" t="s">
        <v>17077</v>
      </c>
      <c r="N3755" t="s">
        <v>17078</v>
      </c>
      <c r="O3755" t="s">
        <v>17078</v>
      </c>
      <c r="P3755">
        <v>27050</v>
      </c>
      <c r="Q3755" t="str">
        <f>"37.890304"</f>
        <v>37.890304</v>
      </c>
      <c r="R3755" t="str">
        <f>"21.133741"</f>
        <v>21.133741</v>
      </c>
      <c r="S3755" t="s">
        <v>26</v>
      </c>
    </row>
    <row r="3756" spans="1:19" x14ac:dyDescent="0.3">
      <c r="A3756" t="s">
        <v>13791</v>
      </c>
      <c r="B3756" t="s">
        <v>16709</v>
      </c>
      <c r="C3756" t="s">
        <v>17079</v>
      </c>
      <c r="D3756" t="s">
        <v>13805</v>
      </c>
      <c r="E3756" t="s">
        <v>14741</v>
      </c>
      <c r="F3756" t="s">
        <v>14742</v>
      </c>
      <c r="G3756" t="s">
        <v>16829</v>
      </c>
      <c r="H3756" t="s">
        <v>868</v>
      </c>
      <c r="I3756" t="s">
        <v>869</v>
      </c>
      <c r="J3756" t="str">
        <f>"9150225"</f>
        <v>9150225</v>
      </c>
      <c r="K3756">
        <v>2623033214</v>
      </c>
      <c r="L3756">
        <v>2623033214</v>
      </c>
      <c r="M3756" t="s">
        <v>17080</v>
      </c>
      <c r="N3756" t="s">
        <v>16829</v>
      </c>
      <c r="O3756" t="s">
        <v>16866</v>
      </c>
      <c r="P3756">
        <v>27300</v>
      </c>
      <c r="Q3756" t="str">
        <f>"37.874843"</f>
        <v>37.874843</v>
      </c>
      <c r="R3756" t="str">
        <f>"21.261991"</f>
        <v>21.261991</v>
      </c>
      <c r="S3756" t="s">
        <v>26</v>
      </c>
    </row>
    <row r="3757" spans="1:19" x14ac:dyDescent="0.3">
      <c r="A3757" t="s">
        <v>13791</v>
      </c>
      <c r="B3757" t="s">
        <v>16709</v>
      </c>
      <c r="C3757" t="s">
        <v>14684</v>
      </c>
      <c r="D3757" t="s">
        <v>13805</v>
      </c>
      <c r="E3757" t="s">
        <v>14677</v>
      </c>
      <c r="F3757" t="s">
        <v>14678</v>
      </c>
      <c r="G3757" t="s">
        <v>14679</v>
      </c>
      <c r="H3757" t="s">
        <v>868</v>
      </c>
      <c r="I3757" t="s">
        <v>869</v>
      </c>
      <c r="J3757" t="str">
        <f>"9150154"</f>
        <v>9150154</v>
      </c>
      <c r="K3757">
        <v>2625041226</v>
      </c>
      <c r="L3757">
        <v>2625041226</v>
      </c>
      <c r="M3757" t="s">
        <v>17081</v>
      </c>
      <c r="N3757" t="s">
        <v>14683</v>
      </c>
      <c r="O3757" t="s">
        <v>14683</v>
      </c>
      <c r="P3757">
        <v>27056</v>
      </c>
      <c r="Q3757" t="str">
        <f>"37.441663"</f>
        <v>37.441663</v>
      </c>
      <c r="R3757" t="str">
        <f>"21.773931"</f>
        <v>21.773931</v>
      </c>
      <c r="S3757" t="s">
        <v>26</v>
      </c>
    </row>
    <row r="3758" spans="1:19" x14ac:dyDescent="0.3">
      <c r="A3758" t="s">
        <v>13791</v>
      </c>
      <c r="B3758" t="s">
        <v>16709</v>
      </c>
      <c r="C3758" t="s">
        <v>14838</v>
      </c>
      <c r="D3758" t="s">
        <v>13805</v>
      </c>
      <c r="E3758" t="s">
        <v>14669</v>
      </c>
      <c r="F3758" t="s">
        <v>14669</v>
      </c>
      <c r="G3758" t="s">
        <v>14669</v>
      </c>
      <c r="H3758" t="s">
        <v>868</v>
      </c>
      <c r="I3758" t="s">
        <v>869</v>
      </c>
      <c r="J3758" t="str">
        <f>"9150087"</f>
        <v>9150087</v>
      </c>
      <c r="K3758">
        <v>2624022652</v>
      </c>
      <c r="L3758">
        <v>2624029027</v>
      </c>
      <c r="M3758" t="s">
        <v>17082</v>
      </c>
      <c r="N3758" t="s">
        <v>17083</v>
      </c>
      <c r="O3758" t="s">
        <v>17084</v>
      </c>
      <c r="P3758">
        <v>27065</v>
      </c>
      <c r="Q3758" t="str">
        <f>"37.654153"</f>
        <v>37.654153</v>
      </c>
      <c r="R3758" t="str">
        <f>"21.626791"</f>
        <v>21.626791</v>
      </c>
      <c r="S3758" t="s">
        <v>26</v>
      </c>
    </row>
    <row r="3759" spans="1:19" x14ac:dyDescent="0.3">
      <c r="A3759" t="s">
        <v>13791</v>
      </c>
      <c r="B3759" t="s">
        <v>16709</v>
      </c>
      <c r="C3759" t="s">
        <v>17086</v>
      </c>
      <c r="D3759" t="s">
        <v>13805</v>
      </c>
      <c r="E3759" t="s">
        <v>14660</v>
      </c>
      <c r="F3759" t="s">
        <v>14661</v>
      </c>
      <c r="G3759" t="s">
        <v>17085</v>
      </c>
      <c r="H3759" t="s">
        <v>868</v>
      </c>
      <c r="I3759" t="s">
        <v>950</v>
      </c>
      <c r="J3759" t="str">
        <f>"9150181"</f>
        <v>9150181</v>
      </c>
      <c r="K3759">
        <v>2626031053</v>
      </c>
      <c r="M3759" t="s">
        <v>17087</v>
      </c>
      <c r="N3759" t="s">
        <v>17088</v>
      </c>
      <c r="O3759" t="s">
        <v>17088</v>
      </c>
      <c r="P3759">
        <v>27062</v>
      </c>
      <c r="Q3759" t="str">
        <f>"37.545190"</f>
        <v>37.545190</v>
      </c>
      <c r="R3759" t="str">
        <f>"21.753630"</f>
        <v>21.753630</v>
      </c>
      <c r="S3759" t="s">
        <v>26</v>
      </c>
    </row>
    <row r="3760" spans="1:19" x14ac:dyDescent="0.3">
      <c r="A3760" t="s">
        <v>13791</v>
      </c>
      <c r="B3760" t="s">
        <v>16709</v>
      </c>
      <c r="C3760" t="s">
        <v>14845</v>
      </c>
      <c r="D3760" t="s">
        <v>13805</v>
      </c>
      <c r="E3760" t="s">
        <v>14660</v>
      </c>
      <c r="F3760" t="s">
        <v>14839</v>
      </c>
      <c r="G3760" t="s">
        <v>14839</v>
      </c>
      <c r="H3760" t="s">
        <v>868</v>
      </c>
      <c r="I3760" t="s">
        <v>950</v>
      </c>
      <c r="J3760" t="str">
        <f>"9150119"</f>
        <v>9150119</v>
      </c>
      <c r="K3760">
        <v>2626022255</v>
      </c>
      <c r="L3760">
        <v>2626022255</v>
      </c>
      <c r="M3760" t="s">
        <v>17089</v>
      </c>
      <c r="N3760" t="s">
        <v>14844</v>
      </c>
      <c r="O3760" t="s">
        <v>14843</v>
      </c>
      <c r="P3760">
        <v>27061</v>
      </c>
      <c r="Q3760" t="str">
        <f>"37.484101"</f>
        <v>37.484101</v>
      </c>
      <c r="R3760" t="str">
        <f>"21.905632"</f>
        <v>21.905632</v>
      </c>
      <c r="S3760" t="s">
        <v>26</v>
      </c>
    </row>
    <row r="3761" spans="1:19" x14ac:dyDescent="0.3">
      <c r="A3761" t="s">
        <v>13791</v>
      </c>
      <c r="B3761" t="s">
        <v>16709</v>
      </c>
      <c r="C3761" t="s">
        <v>17090</v>
      </c>
      <c r="D3761" t="s">
        <v>13805</v>
      </c>
      <c r="E3761" t="s">
        <v>1210</v>
      </c>
      <c r="F3761" t="s">
        <v>1210</v>
      </c>
      <c r="G3761" t="s">
        <v>1210</v>
      </c>
      <c r="H3761" t="s">
        <v>868</v>
      </c>
      <c r="I3761" t="s">
        <v>869</v>
      </c>
      <c r="J3761" t="str">
        <f>"9150056"</f>
        <v>9150056</v>
      </c>
      <c r="K3761">
        <v>2621027774</v>
      </c>
      <c r="L3761">
        <v>2621027774</v>
      </c>
      <c r="M3761" t="s">
        <v>17091</v>
      </c>
      <c r="N3761" t="s">
        <v>1211</v>
      </c>
      <c r="O3761" t="s">
        <v>17092</v>
      </c>
      <c r="P3761">
        <v>27131</v>
      </c>
      <c r="Q3761" t="str">
        <f>"37.677863"</f>
        <v>37.677863</v>
      </c>
      <c r="R3761" t="str">
        <f>"21.432740"</f>
        <v>21.432740</v>
      </c>
      <c r="S3761" t="s">
        <v>26</v>
      </c>
    </row>
    <row r="3762" spans="1:19" x14ac:dyDescent="0.3">
      <c r="A3762" t="s">
        <v>13791</v>
      </c>
      <c r="B3762" t="s">
        <v>16709</v>
      </c>
      <c r="C3762" t="s">
        <v>17094</v>
      </c>
      <c r="D3762" t="s">
        <v>13805</v>
      </c>
      <c r="E3762" t="s">
        <v>14660</v>
      </c>
      <c r="F3762" t="s">
        <v>14661</v>
      </c>
      <c r="G3762" t="s">
        <v>17093</v>
      </c>
      <c r="H3762" t="s">
        <v>868</v>
      </c>
      <c r="I3762" t="s">
        <v>950</v>
      </c>
      <c r="J3762" t="str">
        <f>"9150198"</f>
        <v>9150198</v>
      </c>
      <c r="K3762">
        <v>2625051302</v>
      </c>
      <c r="L3762">
        <v>2625051302</v>
      </c>
      <c r="M3762" t="s">
        <v>17095</v>
      </c>
      <c r="N3762" t="s">
        <v>17096</v>
      </c>
      <c r="O3762" t="s">
        <v>17096</v>
      </c>
      <c r="P3762">
        <v>27055</v>
      </c>
      <c r="Q3762" t="str">
        <f>"37.620443"</f>
        <v>37.620443</v>
      </c>
      <c r="R3762" t="str">
        <f>"21.701924"</f>
        <v>21.701924</v>
      </c>
      <c r="S3762" t="s">
        <v>26</v>
      </c>
    </row>
    <row r="3763" spans="1:19" x14ac:dyDescent="0.3">
      <c r="A3763" t="s">
        <v>13791</v>
      </c>
      <c r="B3763" t="s">
        <v>16709</v>
      </c>
      <c r="C3763" t="s">
        <v>14668</v>
      </c>
      <c r="D3763" t="s">
        <v>13805</v>
      </c>
      <c r="E3763" t="s">
        <v>14660</v>
      </c>
      <c r="F3763" t="s">
        <v>14661</v>
      </c>
      <c r="G3763" t="s">
        <v>14662</v>
      </c>
      <c r="H3763" t="s">
        <v>868</v>
      </c>
      <c r="I3763" t="s">
        <v>869</v>
      </c>
      <c r="J3763" t="str">
        <f>"9150167"</f>
        <v>9150167</v>
      </c>
      <c r="K3763">
        <v>2625022510</v>
      </c>
      <c r="L3763">
        <v>2625022510</v>
      </c>
      <c r="M3763" t="s">
        <v>17097</v>
      </c>
      <c r="N3763" t="s">
        <v>14666</v>
      </c>
      <c r="O3763" t="s">
        <v>14666</v>
      </c>
      <c r="P3763">
        <v>27055</v>
      </c>
      <c r="Q3763" t="str">
        <f>"37.613023"</f>
        <v>37.613023</v>
      </c>
      <c r="R3763" t="str">
        <f>"21.605868"</f>
        <v>21.605868</v>
      </c>
      <c r="S3763" t="s">
        <v>26</v>
      </c>
    </row>
    <row r="3764" spans="1:19" x14ac:dyDescent="0.3">
      <c r="A3764" t="s">
        <v>13791</v>
      </c>
      <c r="B3764" t="s">
        <v>16709</v>
      </c>
      <c r="C3764" t="s">
        <v>17098</v>
      </c>
      <c r="D3764" t="s">
        <v>13805</v>
      </c>
      <c r="E3764" t="s">
        <v>1210</v>
      </c>
      <c r="F3764" t="s">
        <v>1210</v>
      </c>
      <c r="G3764" t="s">
        <v>16737</v>
      </c>
      <c r="H3764" t="s">
        <v>868</v>
      </c>
      <c r="I3764" t="s">
        <v>869</v>
      </c>
      <c r="J3764" t="str">
        <f>"9150304"</f>
        <v>9150304</v>
      </c>
      <c r="K3764">
        <v>2621054382</v>
      </c>
      <c r="M3764" t="s">
        <v>17099</v>
      </c>
      <c r="N3764" t="s">
        <v>16740</v>
      </c>
      <c r="O3764" t="s">
        <v>17100</v>
      </c>
      <c r="P3764">
        <v>27100</v>
      </c>
      <c r="Q3764" t="str">
        <f>"37.717074"</f>
        <v>37.717074</v>
      </c>
      <c r="R3764" t="str">
        <f>"21.348399"</f>
        <v>21.348399</v>
      </c>
      <c r="S3764" t="s">
        <v>26</v>
      </c>
    </row>
    <row r="3765" spans="1:19" x14ac:dyDescent="0.3">
      <c r="A3765" t="s">
        <v>13791</v>
      </c>
      <c r="B3765" t="s">
        <v>16709</v>
      </c>
      <c r="C3765" t="s">
        <v>17102</v>
      </c>
      <c r="D3765" t="s">
        <v>13805</v>
      </c>
      <c r="E3765" t="s">
        <v>14651</v>
      </c>
      <c r="F3765" t="s">
        <v>14696</v>
      </c>
      <c r="G3765" t="s">
        <v>16930</v>
      </c>
      <c r="H3765" t="s">
        <v>868</v>
      </c>
      <c r="I3765" t="s">
        <v>869</v>
      </c>
      <c r="J3765" t="str">
        <f>"9150240"</f>
        <v>9150240</v>
      </c>
      <c r="K3765">
        <v>2623071474</v>
      </c>
      <c r="L3765">
        <v>2623071474</v>
      </c>
      <c r="M3765" t="s">
        <v>17103</v>
      </c>
      <c r="N3765" t="s">
        <v>16933</v>
      </c>
      <c r="O3765" t="s">
        <v>16934</v>
      </c>
      <c r="P3765">
        <v>27052</v>
      </c>
      <c r="Q3765" t="str">
        <f>"38.045056"</f>
        <v>38.045056</v>
      </c>
      <c r="R3765" t="str">
        <f>"21.349860"</f>
        <v>21.349860</v>
      </c>
      <c r="S3765" t="s">
        <v>26</v>
      </c>
    </row>
    <row r="3766" spans="1:19" x14ac:dyDescent="0.3">
      <c r="A3766" t="s">
        <v>13791</v>
      </c>
      <c r="B3766" t="s">
        <v>16709</v>
      </c>
      <c r="C3766" t="s">
        <v>17104</v>
      </c>
      <c r="D3766" t="s">
        <v>13805</v>
      </c>
      <c r="E3766" t="s">
        <v>14651</v>
      </c>
      <c r="F3766" t="s">
        <v>14696</v>
      </c>
      <c r="G3766" t="s">
        <v>16905</v>
      </c>
      <c r="H3766" t="s">
        <v>868</v>
      </c>
      <c r="I3766" t="s">
        <v>869</v>
      </c>
      <c r="J3766" t="str">
        <f>"9150247"</f>
        <v>9150247</v>
      </c>
      <c r="K3766">
        <v>2623071486</v>
      </c>
      <c r="L3766">
        <v>2623071402</v>
      </c>
      <c r="M3766" t="s">
        <v>17105</v>
      </c>
      <c r="N3766" t="s">
        <v>17106</v>
      </c>
      <c r="O3766" t="s">
        <v>17107</v>
      </c>
      <c r="P3766">
        <v>27052</v>
      </c>
      <c r="Q3766" t="str">
        <f>"38.053458"</f>
        <v>38.053458</v>
      </c>
      <c r="R3766" t="str">
        <f>"21.380163"</f>
        <v>21.380163</v>
      </c>
      <c r="S3766" t="s">
        <v>26</v>
      </c>
    </row>
    <row r="3767" spans="1:19" x14ac:dyDescent="0.3">
      <c r="A3767" t="s">
        <v>13791</v>
      </c>
      <c r="B3767" t="s">
        <v>16709</v>
      </c>
      <c r="C3767" t="s">
        <v>14780</v>
      </c>
      <c r="D3767" t="s">
        <v>13805</v>
      </c>
      <c r="E3767" t="s">
        <v>14677</v>
      </c>
      <c r="F3767" t="s">
        <v>14677</v>
      </c>
      <c r="G3767" t="s">
        <v>14677</v>
      </c>
      <c r="H3767" t="s">
        <v>868</v>
      </c>
      <c r="I3767" t="s">
        <v>869</v>
      </c>
      <c r="J3767" t="str">
        <f>"9150120"</f>
        <v>9150120</v>
      </c>
      <c r="K3767">
        <v>2625031383</v>
      </c>
      <c r="L3767">
        <v>2625036383</v>
      </c>
      <c r="M3767" t="s">
        <v>17133</v>
      </c>
      <c r="N3767" t="s">
        <v>17134</v>
      </c>
      <c r="O3767" t="s">
        <v>17134</v>
      </c>
      <c r="P3767">
        <v>27054</v>
      </c>
      <c r="Q3767" t="str">
        <f>"37.484002"</f>
        <v>37.484002</v>
      </c>
      <c r="R3767" t="str">
        <f>"21.649506"</f>
        <v>21.649506</v>
      </c>
      <c r="S3767" t="s">
        <v>26</v>
      </c>
    </row>
    <row r="3768" spans="1:19" x14ac:dyDescent="0.3">
      <c r="A3768" t="s">
        <v>13791</v>
      </c>
      <c r="B3768" t="s">
        <v>16709</v>
      </c>
      <c r="C3768" t="s">
        <v>17155</v>
      </c>
      <c r="D3768" t="s">
        <v>13805</v>
      </c>
      <c r="E3768" t="s">
        <v>14677</v>
      </c>
      <c r="F3768" t="s">
        <v>14677</v>
      </c>
      <c r="G3768" t="s">
        <v>17154</v>
      </c>
      <c r="H3768" t="s">
        <v>868</v>
      </c>
      <c r="I3768" t="s">
        <v>950</v>
      </c>
      <c r="J3768" t="str">
        <f>"9150146"</f>
        <v>9150146</v>
      </c>
      <c r="K3768">
        <v>2625031113</v>
      </c>
      <c r="L3768">
        <v>2625031113</v>
      </c>
      <c r="M3768" t="s">
        <v>17156</v>
      </c>
      <c r="N3768" t="s">
        <v>17157</v>
      </c>
      <c r="O3768" t="s">
        <v>17157</v>
      </c>
      <c r="P3768">
        <v>27054</v>
      </c>
      <c r="Q3768" t="str">
        <f>"37.459554"</f>
        <v>37.459554</v>
      </c>
      <c r="R3768" t="str">
        <f>"21.642676"</f>
        <v>21.642676</v>
      </c>
      <c r="S3768" t="s">
        <v>26</v>
      </c>
    </row>
    <row r="3769" spans="1:19" x14ac:dyDescent="0.3">
      <c r="A3769" t="s">
        <v>13791</v>
      </c>
      <c r="B3769" t="s">
        <v>16709</v>
      </c>
      <c r="C3769" t="s">
        <v>17176</v>
      </c>
      <c r="D3769" t="s">
        <v>13805</v>
      </c>
      <c r="E3769" t="s">
        <v>1210</v>
      </c>
      <c r="F3769" t="s">
        <v>14645</v>
      </c>
      <c r="G3769" t="s">
        <v>17175</v>
      </c>
      <c r="H3769" t="s">
        <v>868</v>
      </c>
      <c r="I3769" t="s">
        <v>950</v>
      </c>
      <c r="J3769" t="str">
        <f>"9150076"</f>
        <v>9150076</v>
      </c>
      <c r="K3769">
        <v>2621061136</v>
      </c>
      <c r="L3769">
        <v>2621061136</v>
      </c>
      <c r="M3769" t="s">
        <v>17177</v>
      </c>
      <c r="N3769" t="s">
        <v>17178</v>
      </c>
      <c r="O3769" t="s">
        <v>17178</v>
      </c>
      <c r="P3769">
        <v>27064</v>
      </c>
      <c r="Q3769" t="str">
        <f>"37.706495"</f>
        <v>37.706495</v>
      </c>
      <c r="R3769" t="str">
        <f>"21.518318"</f>
        <v>21.518318</v>
      </c>
      <c r="S3769" t="s">
        <v>26</v>
      </c>
    </row>
    <row r="3770" spans="1:19" x14ac:dyDescent="0.3">
      <c r="A3770" t="s">
        <v>13791</v>
      </c>
      <c r="B3770" t="s">
        <v>16709</v>
      </c>
      <c r="C3770" t="s">
        <v>17180</v>
      </c>
      <c r="D3770" t="s">
        <v>13805</v>
      </c>
      <c r="E3770" t="s">
        <v>1210</v>
      </c>
      <c r="F3770" t="s">
        <v>14645</v>
      </c>
      <c r="G3770" t="s">
        <v>17179</v>
      </c>
      <c r="H3770" t="s">
        <v>868</v>
      </c>
      <c r="I3770" t="s">
        <v>950</v>
      </c>
      <c r="J3770" t="str">
        <f>"9150296"</f>
        <v>9150296</v>
      </c>
      <c r="K3770">
        <v>2622031295</v>
      </c>
      <c r="L3770">
        <v>2622031295</v>
      </c>
      <c r="M3770" t="s">
        <v>17181</v>
      </c>
      <c r="N3770" t="s">
        <v>17182</v>
      </c>
      <c r="O3770" t="s">
        <v>17182</v>
      </c>
      <c r="P3770">
        <v>27064</v>
      </c>
      <c r="Q3770" t="str">
        <f>"37.790796"</f>
        <v>37.790796</v>
      </c>
      <c r="R3770" t="str">
        <f>"21.526933"</f>
        <v>21.526933</v>
      </c>
      <c r="S3770" t="s">
        <v>26</v>
      </c>
    </row>
    <row r="3771" spans="1:19" x14ac:dyDescent="0.3">
      <c r="A3771" t="s">
        <v>13791</v>
      </c>
      <c r="B3771" t="s">
        <v>16709</v>
      </c>
      <c r="C3771" t="s">
        <v>17183</v>
      </c>
      <c r="D3771" t="s">
        <v>13805</v>
      </c>
      <c r="E3771" t="s">
        <v>1210</v>
      </c>
      <c r="F3771" t="s">
        <v>1210</v>
      </c>
      <c r="G3771" t="s">
        <v>17163</v>
      </c>
      <c r="H3771" t="s">
        <v>868</v>
      </c>
      <c r="I3771" t="s">
        <v>950</v>
      </c>
      <c r="J3771" t="str">
        <f>"9150291"</f>
        <v>9150291</v>
      </c>
      <c r="K3771">
        <v>2621041225</v>
      </c>
      <c r="M3771" t="s">
        <v>17184</v>
      </c>
      <c r="N3771" t="s">
        <v>17166</v>
      </c>
      <c r="O3771" t="s">
        <v>17166</v>
      </c>
      <c r="P3771">
        <v>27067</v>
      </c>
      <c r="Q3771" t="str">
        <f>"37.652334"</f>
        <v>37.652334</v>
      </c>
      <c r="R3771" t="str">
        <f>"21.316497"</f>
        <v>21.316497</v>
      </c>
      <c r="S3771" t="s">
        <v>26</v>
      </c>
    </row>
    <row r="3772" spans="1:19" x14ac:dyDescent="0.3">
      <c r="A3772" t="s">
        <v>13791</v>
      </c>
      <c r="B3772" t="s">
        <v>16709</v>
      </c>
      <c r="C3772" t="s">
        <v>14659</v>
      </c>
      <c r="D3772" t="s">
        <v>13805</v>
      </c>
      <c r="E3772" t="s">
        <v>14651</v>
      </c>
      <c r="F3772" t="s">
        <v>14748</v>
      </c>
      <c r="G3772" t="s">
        <v>14748</v>
      </c>
      <c r="H3772" t="s">
        <v>868</v>
      </c>
      <c r="I3772" t="s">
        <v>869</v>
      </c>
      <c r="J3772" t="str">
        <f>"9150206"</f>
        <v>9150206</v>
      </c>
      <c r="K3772">
        <v>2623022239</v>
      </c>
      <c r="L3772">
        <v>2623023776</v>
      </c>
      <c r="M3772" t="s">
        <v>17185</v>
      </c>
      <c r="N3772" t="s">
        <v>14751</v>
      </c>
      <c r="O3772" t="s">
        <v>16941</v>
      </c>
      <c r="P3772">
        <v>27053</v>
      </c>
      <c r="Q3772" t="str">
        <f>"37.937539"</f>
        <v>37.937539</v>
      </c>
      <c r="R3772" t="str">
        <f>"21.257380"</f>
        <v>21.257380</v>
      </c>
      <c r="S3772" t="s">
        <v>26</v>
      </c>
    </row>
    <row r="3773" spans="1:19" x14ac:dyDescent="0.3">
      <c r="A3773" t="s">
        <v>13791</v>
      </c>
      <c r="B3773" t="s">
        <v>16709</v>
      </c>
      <c r="C3773" t="s">
        <v>17186</v>
      </c>
      <c r="D3773" t="s">
        <v>13805</v>
      </c>
      <c r="E3773" t="s">
        <v>14660</v>
      </c>
      <c r="F3773" t="s">
        <v>14661</v>
      </c>
      <c r="G3773" t="s">
        <v>14667</v>
      </c>
      <c r="H3773" t="s">
        <v>868</v>
      </c>
      <c r="I3773" t="s">
        <v>1157</v>
      </c>
      <c r="J3773" t="str">
        <f>"9520809"</f>
        <v>9520809</v>
      </c>
      <c r="K3773">
        <v>2625022262</v>
      </c>
      <c r="M3773" t="s">
        <v>17187</v>
      </c>
      <c r="N3773" t="s">
        <v>14762</v>
      </c>
      <c r="O3773" t="s">
        <v>14762</v>
      </c>
      <c r="P3773">
        <v>27055</v>
      </c>
      <c r="Q3773" t="str">
        <f>"37.590009"</f>
        <v>37.590009</v>
      </c>
      <c r="R3773" t="str">
        <f>"21.618999"</f>
        <v>21.618999</v>
      </c>
      <c r="S3773" t="s">
        <v>26</v>
      </c>
    </row>
    <row r="3774" spans="1:19" x14ac:dyDescent="0.3">
      <c r="A3774" t="s">
        <v>13791</v>
      </c>
      <c r="B3774" t="s">
        <v>16709</v>
      </c>
      <c r="C3774" t="s">
        <v>14874</v>
      </c>
      <c r="D3774" t="s">
        <v>13805</v>
      </c>
      <c r="E3774" t="s">
        <v>14741</v>
      </c>
      <c r="F3774" t="s">
        <v>14869</v>
      </c>
      <c r="G3774" t="s">
        <v>14869</v>
      </c>
      <c r="H3774" t="s">
        <v>868</v>
      </c>
      <c r="I3774" t="s">
        <v>869</v>
      </c>
      <c r="J3774" t="str">
        <f>"9150259"</f>
        <v>9150259</v>
      </c>
      <c r="K3774">
        <v>2623061219</v>
      </c>
      <c r="L3774">
        <v>2623062494</v>
      </c>
      <c r="M3774" t="s">
        <v>17188</v>
      </c>
      <c r="N3774" t="s">
        <v>16938</v>
      </c>
      <c r="O3774" t="s">
        <v>17189</v>
      </c>
      <c r="P3774">
        <v>27057</v>
      </c>
      <c r="Q3774" t="str">
        <f>"37.896170"</f>
        <v>37.896170</v>
      </c>
      <c r="R3774" t="str">
        <f>"21.310571"</f>
        <v>21.310571</v>
      </c>
      <c r="S3774" t="s">
        <v>26</v>
      </c>
    </row>
    <row r="3775" spans="1:19" x14ac:dyDescent="0.3">
      <c r="A3775" t="s">
        <v>13791</v>
      </c>
      <c r="B3775" t="s">
        <v>16709</v>
      </c>
      <c r="C3775" t="s">
        <v>14702</v>
      </c>
      <c r="D3775" t="s">
        <v>13805</v>
      </c>
      <c r="E3775" t="s">
        <v>14651</v>
      </c>
      <c r="F3775" t="s">
        <v>14696</v>
      </c>
      <c r="G3775" t="s">
        <v>14697</v>
      </c>
      <c r="H3775" t="s">
        <v>868</v>
      </c>
      <c r="I3775" t="s">
        <v>869</v>
      </c>
      <c r="J3775" t="str">
        <f>"9150220"</f>
        <v>9150220</v>
      </c>
      <c r="K3775">
        <v>2623071327</v>
      </c>
      <c r="L3775">
        <v>2623071325</v>
      </c>
      <c r="M3775" t="s">
        <v>17190</v>
      </c>
      <c r="N3775" t="s">
        <v>16861</v>
      </c>
      <c r="O3775" t="s">
        <v>16861</v>
      </c>
      <c r="P3775">
        <v>27052</v>
      </c>
      <c r="Q3775" t="str">
        <f>"38.031271"</f>
        <v>38.031271</v>
      </c>
      <c r="R3775" t="str">
        <f>"21.370899"</f>
        <v>21.370899</v>
      </c>
      <c r="S3775" t="s">
        <v>26</v>
      </c>
    </row>
    <row r="3776" spans="1:19" x14ac:dyDescent="0.3">
      <c r="A3776" t="s">
        <v>13791</v>
      </c>
      <c r="B3776" t="s">
        <v>16709</v>
      </c>
      <c r="C3776" t="s">
        <v>14811</v>
      </c>
      <c r="D3776" t="s">
        <v>13805</v>
      </c>
      <c r="E3776" t="s">
        <v>14741</v>
      </c>
      <c r="F3776" t="s">
        <v>14806</v>
      </c>
      <c r="G3776" t="s">
        <v>14806</v>
      </c>
      <c r="H3776" t="s">
        <v>868</v>
      </c>
      <c r="I3776" t="s">
        <v>869</v>
      </c>
      <c r="J3776" t="str">
        <f>"9150214"</f>
        <v>9150214</v>
      </c>
      <c r="K3776">
        <v>2623041225</v>
      </c>
      <c r="L3776">
        <v>2623041225</v>
      </c>
      <c r="M3776" t="s">
        <v>17191</v>
      </c>
      <c r="N3776" t="s">
        <v>16978</v>
      </c>
      <c r="O3776" t="s">
        <v>17192</v>
      </c>
      <c r="P3776">
        <v>27050</v>
      </c>
      <c r="Q3776" t="str">
        <f>"37.863700"</f>
        <v>37.863700</v>
      </c>
      <c r="R3776" t="str">
        <f>"21.207824"</f>
        <v>21.207824</v>
      </c>
      <c r="S3776" t="s">
        <v>26</v>
      </c>
    </row>
    <row r="3777" spans="1:19" x14ac:dyDescent="0.3">
      <c r="A3777" t="s">
        <v>13791</v>
      </c>
      <c r="B3777" t="s">
        <v>16709</v>
      </c>
      <c r="C3777" t="s">
        <v>17211</v>
      </c>
      <c r="D3777" t="s">
        <v>13805</v>
      </c>
      <c r="E3777" t="s">
        <v>14709</v>
      </c>
      <c r="F3777" t="s">
        <v>14710</v>
      </c>
      <c r="G3777" t="s">
        <v>16876</v>
      </c>
      <c r="H3777" t="s">
        <v>868</v>
      </c>
      <c r="I3777" t="s">
        <v>950</v>
      </c>
      <c r="J3777" t="str">
        <f>"9150028"</f>
        <v>9150028</v>
      </c>
      <c r="K3777">
        <v>2622023160</v>
      </c>
      <c r="L3777">
        <v>2622023160</v>
      </c>
      <c r="M3777" t="s">
        <v>17212</v>
      </c>
      <c r="N3777" t="s">
        <v>14658</v>
      </c>
      <c r="O3777" t="s">
        <v>16879</v>
      </c>
      <c r="P3777">
        <v>27200</v>
      </c>
      <c r="Q3777" t="str">
        <f>"37.795096"</f>
        <v>37.795096</v>
      </c>
      <c r="R3777" t="str">
        <f>"21.395718"</f>
        <v>21.395718</v>
      </c>
      <c r="S3777" t="s">
        <v>26</v>
      </c>
    </row>
    <row r="3778" spans="1:19" x14ac:dyDescent="0.3">
      <c r="A3778" t="s">
        <v>13791</v>
      </c>
      <c r="B3778" t="s">
        <v>16709</v>
      </c>
      <c r="C3778" t="s">
        <v>14868</v>
      </c>
      <c r="D3778" t="s">
        <v>13805</v>
      </c>
      <c r="E3778" t="s">
        <v>14660</v>
      </c>
      <c r="F3778" t="s">
        <v>14864</v>
      </c>
      <c r="G3778" t="s">
        <v>5563</v>
      </c>
      <c r="H3778" t="s">
        <v>868</v>
      </c>
      <c r="I3778" t="s">
        <v>950</v>
      </c>
      <c r="J3778" t="str">
        <f>"9150148"</f>
        <v>9150148</v>
      </c>
      <c r="K3778">
        <v>2626031107</v>
      </c>
      <c r="M3778" t="s">
        <v>17220</v>
      </c>
      <c r="N3778" t="s">
        <v>5567</v>
      </c>
      <c r="O3778" t="s">
        <v>5567</v>
      </c>
      <c r="P3778">
        <v>27055</v>
      </c>
      <c r="Q3778" t="str">
        <f>"37.550939"</f>
        <v>37.550939</v>
      </c>
      <c r="R3778" t="str">
        <f>"21.821038"</f>
        <v>21.821038</v>
      </c>
      <c r="S3778" t="s">
        <v>26</v>
      </c>
    </row>
    <row r="3779" spans="1:19" x14ac:dyDescent="0.3">
      <c r="A3779" t="s">
        <v>13791</v>
      </c>
      <c r="B3779" t="s">
        <v>16709</v>
      </c>
      <c r="C3779" t="s">
        <v>17230</v>
      </c>
      <c r="D3779" t="s">
        <v>13805</v>
      </c>
      <c r="E3779" t="s">
        <v>14669</v>
      </c>
      <c r="F3779" t="s">
        <v>14669</v>
      </c>
      <c r="G3779" t="s">
        <v>13386</v>
      </c>
      <c r="H3779" t="s">
        <v>868</v>
      </c>
      <c r="I3779" t="s">
        <v>950</v>
      </c>
      <c r="J3779" t="str">
        <f>"9150113"</f>
        <v>9150113</v>
      </c>
      <c r="K3779">
        <v>2624022679</v>
      </c>
      <c r="M3779" t="s">
        <v>17231</v>
      </c>
      <c r="O3779" t="s">
        <v>17232</v>
      </c>
      <c r="P3779">
        <v>27065</v>
      </c>
      <c r="Q3779" t="str">
        <f>"37.667381"</f>
        <v>37.667381</v>
      </c>
      <c r="R3779" t="str">
        <f>"21.611622"</f>
        <v>21.611622</v>
      </c>
      <c r="S3779" t="s">
        <v>26</v>
      </c>
    </row>
    <row r="3780" spans="1:19" x14ac:dyDescent="0.3">
      <c r="A3780" t="s">
        <v>13791</v>
      </c>
      <c r="B3780" t="s">
        <v>16709</v>
      </c>
      <c r="C3780" t="s">
        <v>17235</v>
      </c>
      <c r="D3780" t="s">
        <v>13805</v>
      </c>
      <c r="E3780" t="s">
        <v>14651</v>
      </c>
      <c r="F3780" t="s">
        <v>14652</v>
      </c>
      <c r="G3780" t="s">
        <v>14653</v>
      </c>
      <c r="H3780" t="s">
        <v>868</v>
      </c>
      <c r="I3780" t="s">
        <v>869</v>
      </c>
      <c r="J3780" t="str">
        <f>"9150250"</f>
        <v>9150250</v>
      </c>
      <c r="K3780">
        <v>2623094215</v>
      </c>
      <c r="L3780">
        <v>2623094215</v>
      </c>
      <c r="M3780" t="s">
        <v>17236</v>
      </c>
      <c r="N3780" t="s">
        <v>17237</v>
      </c>
      <c r="O3780" t="s">
        <v>13748</v>
      </c>
      <c r="P3780">
        <v>27053</v>
      </c>
      <c r="Q3780" t="str">
        <f>"37.908167"</f>
        <v>37.908167</v>
      </c>
      <c r="R3780" t="str">
        <f>"21.206284"</f>
        <v>21.206284</v>
      </c>
      <c r="S3780" t="s">
        <v>26</v>
      </c>
    </row>
    <row r="3781" spans="1:19" x14ac:dyDescent="0.3">
      <c r="A3781" t="s">
        <v>17244</v>
      </c>
      <c r="B3781" t="s">
        <v>17789</v>
      </c>
      <c r="C3781" t="s">
        <v>17800</v>
      </c>
      <c r="D3781" t="s">
        <v>17245</v>
      </c>
      <c r="E3781" t="s">
        <v>17245</v>
      </c>
      <c r="F3781" t="s">
        <v>17245</v>
      </c>
      <c r="G3781" t="s">
        <v>17245</v>
      </c>
      <c r="H3781" t="s">
        <v>868</v>
      </c>
      <c r="I3781" t="s">
        <v>869</v>
      </c>
      <c r="J3781" t="str">
        <f>"9080010"</f>
        <v>9080010</v>
      </c>
      <c r="K3781">
        <v>2462022578</v>
      </c>
      <c r="L3781">
        <v>2462087794</v>
      </c>
      <c r="M3781" t="s">
        <v>17801</v>
      </c>
      <c r="N3781" t="s">
        <v>17802</v>
      </c>
      <c r="O3781" t="s">
        <v>17803</v>
      </c>
      <c r="P3781">
        <v>51100</v>
      </c>
      <c r="Q3781" t="str">
        <f>"40.086053"</f>
        <v>40.086053</v>
      </c>
      <c r="R3781" t="str">
        <f>"21.435496"</f>
        <v>21.435496</v>
      </c>
      <c r="S3781" t="s">
        <v>26</v>
      </c>
    </row>
    <row r="3782" spans="1:19" x14ac:dyDescent="0.3">
      <c r="A3782" t="s">
        <v>17244</v>
      </c>
      <c r="B3782" t="s">
        <v>17789</v>
      </c>
      <c r="C3782" t="s">
        <v>17804</v>
      </c>
      <c r="D3782" t="s">
        <v>17245</v>
      </c>
      <c r="E3782" t="s">
        <v>17245</v>
      </c>
      <c r="F3782" t="s">
        <v>17245</v>
      </c>
      <c r="G3782" t="s">
        <v>17245</v>
      </c>
      <c r="H3782" t="s">
        <v>868</v>
      </c>
      <c r="I3782" t="s">
        <v>869</v>
      </c>
      <c r="J3782" t="str">
        <f>"9080008"</f>
        <v>9080008</v>
      </c>
      <c r="K3782">
        <v>2462022511</v>
      </c>
      <c r="L3782">
        <v>2462022511</v>
      </c>
      <c r="M3782" t="s">
        <v>17805</v>
      </c>
      <c r="N3782" t="s">
        <v>17248</v>
      </c>
      <c r="O3782" t="s">
        <v>17806</v>
      </c>
      <c r="P3782">
        <v>51100</v>
      </c>
      <c r="Q3782" t="str">
        <f>"40.085584"</f>
        <v>40.085584</v>
      </c>
      <c r="R3782" t="str">
        <f>"21.424195"</f>
        <v>21.424195</v>
      </c>
      <c r="S3782" t="s">
        <v>26</v>
      </c>
    </row>
    <row r="3783" spans="1:19" x14ac:dyDescent="0.3">
      <c r="A3783" t="s">
        <v>17244</v>
      </c>
      <c r="B3783" t="s">
        <v>17789</v>
      </c>
      <c r="C3783" t="s">
        <v>17807</v>
      </c>
      <c r="D3783" t="s">
        <v>17245</v>
      </c>
      <c r="E3783" t="s">
        <v>17245</v>
      </c>
      <c r="F3783" t="s">
        <v>17245</v>
      </c>
      <c r="G3783" t="s">
        <v>17245</v>
      </c>
      <c r="H3783" t="s">
        <v>868</v>
      </c>
      <c r="I3783" t="s">
        <v>869</v>
      </c>
      <c r="J3783" t="str">
        <f>"9080007"</f>
        <v>9080007</v>
      </c>
      <c r="K3783">
        <v>2462022513</v>
      </c>
      <c r="L3783">
        <v>2462022513</v>
      </c>
      <c r="M3783" t="s">
        <v>17808</v>
      </c>
      <c r="N3783" t="s">
        <v>17248</v>
      </c>
      <c r="O3783" t="s">
        <v>17809</v>
      </c>
      <c r="P3783">
        <v>51100</v>
      </c>
      <c r="Q3783" t="str">
        <f>"40.083788"</f>
        <v>40.083788</v>
      </c>
      <c r="R3783" t="str">
        <f>"21.427032"</f>
        <v>21.427032</v>
      </c>
      <c r="S3783" t="s">
        <v>26</v>
      </c>
    </row>
    <row r="3784" spans="1:19" x14ac:dyDescent="0.3">
      <c r="A3784" t="s">
        <v>17244</v>
      </c>
      <c r="B3784" t="s">
        <v>17789</v>
      </c>
      <c r="C3784" t="s">
        <v>17811</v>
      </c>
      <c r="D3784" t="s">
        <v>17245</v>
      </c>
      <c r="E3784" t="s">
        <v>17245</v>
      </c>
      <c r="F3784" t="s">
        <v>17245</v>
      </c>
      <c r="G3784" t="s">
        <v>17810</v>
      </c>
      <c r="H3784" t="s">
        <v>868</v>
      </c>
      <c r="I3784" t="s">
        <v>950</v>
      </c>
      <c r="J3784" t="str">
        <f>"9080118"</f>
        <v>9080118</v>
      </c>
      <c r="K3784">
        <v>2462087973</v>
      </c>
      <c r="L3784">
        <v>2462087973</v>
      </c>
      <c r="M3784" t="s">
        <v>17812</v>
      </c>
      <c r="N3784" t="s">
        <v>17813</v>
      </c>
      <c r="O3784" t="s">
        <v>17813</v>
      </c>
      <c r="P3784">
        <v>51100</v>
      </c>
      <c r="Q3784" t="str">
        <f>"40.023628"</f>
        <v>40.023628</v>
      </c>
      <c r="R3784" t="str">
        <f>"21.533169"</f>
        <v>21.533169</v>
      </c>
      <c r="S3784" t="s">
        <v>26</v>
      </c>
    </row>
    <row r="3785" spans="1:19" x14ac:dyDescent="0.3">
      <c r="A3785" t="s">
        <v>17244</v>
      </c>
      <c r="B3785" t="s">
        <v>17789</v>
      </c>
      <c r="C3785" t="s">
        <v>17814</v>
      </c>
      <c r="D3785" t="s">
        <v>17245</v>
      </c>
      <c r="E3785" t="s">
        <v>17267</v>
      </c>
      <c r="F3785" t="s">
        <v>17267</v>
      </c>
      <c r="G3785" t="s">
        <v>17267</v>
      </c>
      <c r="H3785" t="s">
        <v>868</v>
      </c>
      <c r="I3785" t="s">
        <v>869</v>
      </c>
      <c r="J3785" t="str">
        <f>"9080020"</f>
        <v>9080020</v>
      </c>
      <c r="K3785">
        <v>2462031222</v>
      </c>
      <c r="L3785">
        <v>2462031222</v>
      </c>
      <c r="M3785" t="s">
        <v>17815</v>
      </c>
      <c r="N3785" t="s">
        <v>17271</v>
      </c>
      <c r="O3785" t="s">
        <v>17271</v>
      </c>
      <c r="P3785">
        <v>51200</v>
      </c>
      <c r="Q3785" t="str">
        <f>"39.925703"</f>
        <v>39.925703</v>
      </c>
      <c r="R3785" t="str">
        <f>"21.810143"</f>
        <v>21.810143</v>
      </c>
      <c r="S3785" t="s">
        <v>26</v>
      </c>
    </row>
    <row r="3786" spans="1:19" x14ac:dyDescent="0.3">
      <c r="A3786" t="s">
        <v>17244</v>
      </c>
      <c r="B3786" t="s">
        <v>17789</v>
      </c>
      <c r="C3786" t="s">
        <v>17829</v>
      </c>
      <c r="D3786" t="s">
        <v>17245</v>
      </c>
      <c r="E3786" t="s">
        <v>17245</v>
      </c>
      <c r="F3786" t="s">
        <v>17827</v>
      </c>
      <c r="G3786" t="s">
        <v>17828</v>
      </c>
      <c r="H3786" t="s">
        <v>868</v>
      </c>
      <c r="I3786" t="s">
        <v>950</v>
      </c>
      <c r="J3786" t="str">
        <f>"9080065"</f>
        <v>9080065</v>
      </c>
      <c r="K3786">
        <v>2462086205</v>
      </c>
      <c r="L3786">
        <v>2462086205</v>
      </c>
      <c r="M3786" t="s">
        <v>17830</v>
      </c>
      <c r="N3786" t="s">
        <v>17831</v>
      </c>
      <c r="O3786" t="s">
        <v>17831</v>
      </c>
      <c r="P3786">
        <v>51100</v>
      </c>
      <c r="Q3786" t="str">
        <f>"39.898098"</f>
        <v>39.898098</v>
      </c>
      <c r="R3786" t="str">
        <f>"21.282872"</f>
        <v>21.282872</v>
      </c>
      <c r="S3786" t="s">
        <v>57</v>
      </c>
    </row>
    <row r="3787" spans="1:19" x14ac:dyDescent="0.3">
      <c r="A3787" t="s">
        <v>17244</v>
      </c>
      <c r="B3787" t="s">
        <v>17789</v>
      </c>
      <c r="C3787" t="s">
        <v>17832</v>
      </c>
      <c r="D3787" t="s">
        <v>17245</v>
      </c>
      <c r="E3787" t="s">
        <v>17245</v>
      </c>
      <c r="F3787" t="s">
        <v>17245</v>
      </c>
      <c r="G3787" t="s">
        <v>17245</v>
      </c>
      <c r="H3787" t="s">
        <v>868</v>
      </c>
      <c r="I3787" t="s">
        <v>869</v>
      </c>
      <c r="J3787" t="str">
        <f>"9080156"</f>
        <v>9080156</v>
      </c>
      <c r="K3787">
        <v>2462080327</v>
      </c>
      <c r="L3787">
        <v>2462080327</v>
      </c>
      <c r="M3787" t="s">
        <v>17833</v>
      </c>
      <c r="N3787" t="s">
        <v>17248</v>
      </c>
      <c r="O3787" t="s">
        <v>11247</v>
      </c>
      <c r="P3787">
        <v>51100</v>
      </c>
      <c r="Q3787" t="str">
        <f>"40.088260"</f>
        <v>40.088260</v>
      </c>
      <c r="R3787" t="str">
        <f>"21.415515"</f>
        <v>21.415515</v>
      </c>
      <c r="S3787" t="s">
        <v>26</v>
      </c>
    </row>
    <row r="3788" spans="1:19" x14ac:dyDescent="0.3">
      <c r="A3788" t="s">
        <v>17244</v>
      </c>
      <c r="B3788" t="s">
        <v>17789</v>
      </c>
      <c r="C3788" t="s">
        <v>17272</v>
      </c>
      <c r="D3788" t="s">
        <v>17245</v>
      </c>
      <c r="E3788" t="s">
        <v>17267</v>
      </c>
      <c r="F3788" t="s">
        <v>17267</v>
      </c>
      <c r="G3788" t="s">
        <v>17267</v>
      </c>
      <c r="H3788" t="s">
        <v>868</v>
      </c>
      <c r="I3788" t="s">
        <v>869</v>
      </c>
      <c r="J3788" t="str">
        <f>"9080017"</f>
        <v>9080017</v>
      </c>
      <c r="K3788">
        <v>2462031227</v>
      </c>
      <c r="L3788">
        <v>2462031227</v>
      </c>
      <c r="M3788" t="s">
        <v>17840</v>
      </c>
      <c r="N3788" t="s">
        <v>17271</v>
      </c>
      <c r="O3788" t="s">
        <v>17841</v>
      </c>
      <c r="P3788">
        <v>51200</v>
      </c>
      <c r="Q3788" t="str">
        <f>"39.921951"</f>
        <v>39.921951</v>
      </c>
      <c r="R3788" t="str">
        <f>"21.811002"</f>
        <v>21.811002</v>
      </c>
      <c r="S3788" t="s">
        <v>26</v>
      </c>
    </row>
    <row r="3789" spans="1:19" x14ac:dyDescent="0.3">
      <c r="A3789" t="s">
        <v>17244</v>
      </c>
      <c r="B3789" t="s">
        <v>17789</v>
      </c>
      <c r="C3789" t="s">
        <v>17844</v>
      </c>
      <c r="D3789" t="s">
        <v>17245</v>
      </c>
      <c r="E3789" t="s">
        <v>17245</v>
      </c>
      <c r="F3789" t="s">
        <v>17842</v>
      </c>
      <c r="G3789" t="s">
        <v>17843</v>
      </c>
      <c r="H3789" t="s">
        <v>868</v>
      </c>
      <c r="I3789" t="s">
        <v>950</v>
      </c>
      <c r="J3789" t="str">
        <f>"9080077"</f>
        <v>9080077</v>
      </c>
      <c r="K3789">
        <v>2462073295</v>
      </c>
      <c r="L3789">
        <v>2462073295</v>
      </c>
      <c r="M3789" t="s">
        <v>17845</v>
      </c>
      <c r="N3789" t="s">
        <v>17846</v>
      </c>
      <c r="O3789" t="s">
        <v>17846</v>
      </c>
      <c r="P3789">
        <v>51100</v>
      </c>
      <c r="Q3789" t="str">
        <f>"40.111399"</f>
        <v>40.111399</v>
      </c>
      <c r="R3789" t="str">
        <f>"21.265355"</f>
        <v>21.265355</v>
      </c>
      <c r="S3789" t="s">
        <v>26</v>
      </c>
    </row>
    <row r="3790" spans="1:19" x14ac:dyDescent="0.3">
      <c r="A3790" t="s">
        <v>17244</v>
      </c>
      <c r="B3790" t="s">
        <v>17789</v>
      </c>
      <c r="C3790" t="s">
        <v>17849</v>
      </c>
      <c r="D3790" t="s">
        <v>17245</v>
      </c>
      <c r="E3790" t="s">
        <v>17245</v>
      </c>
      <c r="F3790" t="s">
        <v>17847</v>
      </c>
      <c r="G3790" t="s">
        <v>17848</v>
      </c>
      <c r="H3790" t="s">
        <v>868</v>
      </c>
      <c r="I3790" t="s">
        <v>950</v>
      </c>
      <c r="J3790" t="str">
        <f>"9080105"</f>
        <v>9080105</v>
      </c>
      <c r="K3790">
        <v>2462051030</v>
      </c>
      <c r="M3790" t="s">
        <v>17850</v>
      </c>
      <c r="N3790" t="s">
        <v>17851</v>
      </c>
      <c r="O3790" t="s">
        <v>17851</v>
      </c>
      <c r="P3790">
        <v>51100</v>
      </c>
      <c r="Q3790" t="str">
        <f>"40.097005"</f>
        <v>40.097005</v>
      </c>
      <c r="R3790" t="str">
        <f>"21.590482"</f>
        <v>21.590482</v>
      </c>
      <c r="S3790" t="s">
        <v>26</v>
      </c>
    </row>
    <row r="3791" spans="1:19" x14ac:dyDescent="0.3">
      <c r="A3791" t="s">
        <v>17244</v>
      </c>
      <c r="B3791" t="s">
        <v>17789</v>
      </c>
      <c r="C3791" t="s">
        <v>17852</v>
      </c>
      <c r="D3791" t="s">
        <v>17245</v>
      </c>
      <c r="E3791" t="s">
        <v>17245</v>
      </c>
      <c r="F3791" t="s">
        <v>17790</v>
      </c>
      <c r="G3791" t="s">
        <v>17791</v>
      </c>
      <c r="H3791" t="s">
        <v>868</v>
      </c>
      <c r="I3791" t="s">
        <v>869</v>
      </c>
      <c r="J3791" t="str">
        <f>"9080055"</f>
        <v>9080055</v>
      </c>
      <c r="K3791">
        <v>2462041233</v>
      </c>
      <c r="L3791">
        <v>2462041114</v>
      </c>
      <c r="M3791" t="s">
        <v>17853</v>
      </c>
      <c r="N3791" t="s">
        <v>17315</v>
      </c>
      <c r="O3791" t="s">
        <v>17794</v>
      </c>
      <c r="P3791">
        <v>51100</v>
      </c>
      <c r="Q3791" t="str">
        <f>"40.200657"</f>
        <v>40.200657</v>
      </c>
      <c r="R3791" t="str">
        <f>"21.444363"</f>
        <v>21.444363</v>
      </c>
      <c r="S3791" t="s">
        <v>26</v>
      </c>
    </row>
    <row r="3792" spans="1:19" x14ac:dyDescent="0.3">
      <c r="A3792" t="s">
        <v>17244</v>
      </c>
      <c r="B3792" t="s">
        <v>17789</v>
      </c>
      <c r="C3792" t="s">
        <v>17284</v>
      </c>
      <c r="D3792" t="s">
        <v>17245</v>
      </c>
      <c r="E3792" t="s">
        <v>17267</v>
      </c>
      <c r="F3792" t="s">
        <v>17277</v>
      </c>
      <c r="G3792" t="s">
        <v>17278</v>
      </c>
      <c r="H3792" t="s">
        <v>868</v>
      </c>
      <c r="I3792" t="s">
        <v>869</v>
      </c>
      <c r="J3792" t="str">
        <f>"9080049"</f>
        <v>9080049</v>
      </c>
      <c r="K3792">
        <v>2462034250</v>
      </c>
      <c r="L3792">
        <v>2462034250</v>
      </c>
      <c r="M3792" t="s">
        <v>17854</v>
      </c>
      <c r="N3792" t="s">
        <v>17282</v>
      </c>
      <c r="O3792" t="s">
        <v>17282</v>
      </c>
      <c r="P3792">
        <v>51100</v>
      </c>
      <c r="Q3792" t="str">
        <f>"39.946961"</f>
        <v>39.946961</v>
      </c>
      <c r="R3792" t="str">
        <f>"21.621729"</f>
        <v>21.621729</v>
      </c>
      <c r="S3792" t="s">
        <v>26</v>
      </c>
    </row>
    <row r="3793" spans="1:19" x14ac:dyDescent="0.3">
      <c r="A3793" t="s">
        <v>17244</v>
      </c>
      <c r="B3793" t="s">
        <v>17789</v>
      </c>
      <c r="C3793" t="s">
        <v>17290</v>
      </c>
      <c r="D3793" t="s">
        <v>17245</v>
      </c>
      <c r="E3793" t="s">
        <v>17245</v>
      </c>
      <c r="F3793" t="s">
        <v>17245</v>
      </c>
      <c r="G3793" t="s">
        <v>17245</v>
      </c>
      <c r="H3793" t="s">
        <v>868</v>
      </c>
      <c r="I3793" t="s">
        <v>869</v>
      </c>
      <c r="J3793" t="str">
        <f>"9080009"</f>
        <v>9080009</v>
      </c>
      <c r="K3793">
        <v>2462022223</v>
      </c>
      <c r="L3793">
        <v>2462022223</v>
      </c>
      <c r="M3793" t="s">
        <v>17855</v>
      </c>
      <c r="N3793" t="s">
        <v>17248</v>
      </c>
      <c r="O3793" t="s">
        <v>17856</v>
      </c>
      <c r="P3793">
        <v>51100</v>
      </c>
      <c r="Q3793" t="str">
        <f>"40.078804"</f>
        <v>40.078804</v>
      </c>
      <c r="R3793" t="str">
        <f>"21.422585"</f>
        <v>21.422585</v>
      </c>
      <c r="S3793" t="s">
        <v>26</v>
      </c>
    </row>
    <row r="3794" spans="1:19" x14ac:dyDescent="0.3">
      <c r="A3794" t="s">
        <v>17244</v>
      </c>
      <c r="B3794" t="s">
        <v>17789</v>
      </c>
      <c r="C3794" t="s">
        <v>17857</v>
      </c>
      <c r="D3794" t="s">
        <v>17245</v>
      </c>
      <c r="E3794" t="s">
        <v>17245</v>
      </c>
      <c r="F3794" t="s">
        <v>17245</v>
      </c>
      <c r="G3794" t="s">
        <v>17245</v>
      </c>
      <c r="H3794" t="s">
        <v>868</v>
      </c>
      <c r="I3794" t="s">
        <v>1157</v>
      </c>
      <c r="J3794" t="str">
        <f>"9080157"</f>
        <v>9080157</v>
      </c>
      <c r="K3794">
        <v>2462022744</v>
      </c>
      <c r="L3794">
        <v>2462022744</v>
      </c>
      <c r="M3794" t="s">
        <v>17858</v>
      </c>
      <c r="N3794" t="s">
        <v>17248</v>
      </c>
      <c r="O3794" t="s">
        <v>17859</v>
      </c>
      <c r="P3794">
        <v>51100</v>
      </c>
      <c r="Q3794" t="str">
        <f>"40.086635"</f>
        <v>40.086635</v>
      </c>
      <c r="R3794" t="str">
        <f>"21.438284"</f>
        <v>21.438284</v>
      </c>
      <c r="S3794" t="s">
        <v>26</v>
      </c>
    </row>
    <row r="3795" spans="1:19" x14ac:dyDescent="0.3">
      <c r="A3795" t="s">
        <v>17244</v>
      </c>
      <c r="B3795" t="s">
        <v>17789</v>
      </c>
      <c r="C3795" t="s">
        <v>17276</v>
      </c>
      <c r="D3795" t="s">
        <v>17245</v>
      </c>
      <c r="E3795" t="s">
        <v>17245</v>
      </c>
      <c r="F3795" t="s">
        <v>17245</v>
      </c>
      <c r="G3795" t="s">
        <v>17245</v>
      </c>
      <c r="H3795" t="s">
        <v>868</v>
      </c>
      <c r="I3795" t="s">
        <v>869</v>
      </c>
      <c r="J3795" t="str">
        <f>"9521083"</f>
        <v>9521083</v>
      </c>
      <c r="K3795">
        <v>2462087796</v>
      </c>
      <c r="L3795">
        <v>2462087797</v>
      </c>
      <c r="M3795" t="s">
        <v>17860</v>
      </c>
      <c r="N3795" t="s">
        <v>17248</v>
      </c>
      <c r="O3795" t="s">
        <v>17861</v>
      </c>
      <c r="P3795">
        <v>51100</v>
      </c>
      <c r="Q3795" t="str">
        <f>"40.086760"</f>
        <v>40.086760</v>
      </c>
      <c r="R3795" t="str">
        <f>"21.436454"</f>
        <v>21.436454</v>
      </c>
      <c r="S3795" t="s">
        <v>26</v>
      </c>
    </row>
    <row r="3796" spans="1:19" x14ac:dyDescent="0.3">
      <c r="A3796" t="s">
        <v>17244</v>
      </c>
      <c r="B3796" t="s">
        <v>17789</v>
      </c>
      <c r="C3796" t="s">
        <v>17294</v>
      </c>
      <c r="D3796" t="s">
        <v>17245</v>
      </c>
      <c r="E3796" t="s">
        <v>17245</v>
      </c>
      <c r="F3796" t="s">
        <v>17245</v>
      </c>
      <c r="G3796" t="s">
        <v>17245</v>
      </c>
      <c r="H3796" t="s">
        <v>868</v>
      </c>
      <c r="I3796" t="s">
        <v>869</v>
      </c>
      <c r="J3796" t="str">
        <f>"9080011"</f>
        <v>9080011</v>
      </c>
      <c r="K3796">
        <v>2462087060</v>
      </c>
      <c r="L3796">
        <v>2462087060</v>
      </c>
      <c r="M3796" t="s">
        <v>17868</v>
      </c>
      <c r="N3796" t="s">
        <v>17802</v>
      </c>
      <c r="O3796" t="s">
        <v>17803</v>
      </c>
      <c r="P3796">
        <v>51100</v>
      </c>
      <c r="Q3796" t="str">
        <f>"40.085945"</f>
        <v>40.085945</v>
      </c>
      <c r="R3796" t="str">
        <f>"21.436029"</f>
        <v>21.436029</v>
      </c>
      <c r="S3796" t="s">
        <v>26</v>
      </c>
    </row>
    <row r="3797" spans="1:19" x14ac:dyDescent="0.3">
      <c r="A3797" t="s">
        <v>17244</v>
      </c>
      <c r="B3797" t="s">
        <v>17882</v>
      </c>
      <c r="C3797" t="s">
        <v>17345</v>
      </c>
      <c r="D3797" t="s">
        <v>17250</v>
      </c>
      <c r="E3797" t="s">
        <v>17250</v>
      </c>
      <c r="F3797" t="s">
        <v>17250</v>
      </c>
      <c r="G3797" t="s">
        <v>17250</v>
      </c>
      <c r="H3797" t="s">
        <v>868</v>
      </c>
      <c r="I3797" t="s">
        <v>869</v>
      </c>
      <c r="J3797" t="str">
        <f>"9230183"</f>
        <v>9230183</v>
      </c>
      <c r="K3797">
        <v>2467024657</v>
      </c>
      <c r="L3797">
        <v>2467024768</v>
      </c>
      <c r="M3797" t="s">
        <v>17883</v>
      </c>
      <c r="N3797" t="s">
        <v>17250</v>
      </c>
      <c r="O3797" t="s">
        <v>17884</v>
      </c>
      <c r="P3797">
        <v>52100</v>
      </c>
      <c r="Q3797" t="str">
        <f>"40.540925"</f>
        <v>40.540925</v>
      </c>
      <c r="R3797" t="str">
        <f>"21.260184"</f>
        <v>21.260184</v>
      </c>
      <c r="S3797" t="s">
        <v>26</v>
      </c>
    </row>
    <row r="3798" spans="1:19" x14ac:dyDescent="0.3">
      <c r="A3798" t="s">
        <v>17244</v>
      </c>
      <c r="B3798" t="s">
        <v>17882</v>
      </c>
      <c r="C3798" t="s">
        <v>17393</v>
      </c>
      <c r="D3798" t="s">
        <v>17250</v>
      </c>
      <c r="E3798" t="s">
        <v>17328</v>
      </c>
      <c r="F3798" t="s">
        <v>17387</v>
      </c>
      <c r="G3798" t="s">
        <v>17900</v>
      </c>
      <c r="H3798" t="s">
        <v>868</v>
      </c>
      <c r="I3798" t="s">
        <v>869</v>
      </c>
      <c r="J3798" t="str">
        <f>"9230044"</f>
        <v>9230044</v>
      </c>
      <c r="K3798">
        <v>2467073341</v>
      </c>
      <c r="L3798">
        <v>2467073368</v>
      </c>
      <c r="M3798" t="s">
        <v>17952</v>
      </c>
      <c r="N3798" t="s">
        <v>17903</v>
      </c>
      <c r="O3798" t="s">
        <v>17903</v>
      </c>
      <c r="P3798">
        <v>52200</v>
      </c>
      <c r="Q3798" t="str">
        <f>"40.434037"</f>
        <v>40.434037</v>
      </c>
      <c r="R3798" t="str">
        <f>"21.328899"</f>
        <v>21.328899</v>
      </c>
      <c r="S3798" t="s">
        <v>26</v>
      </c>
    </row>
    <row r="3799" spans="1:19" x14ac:dyDescent="0.3">
      <c r="A3799" t="s">
        <v>17244</v>
      </c>
      <c r="B3799" t="s">
        <v>17882</v>
      </c>
      <c r="C3799" t="s">
        <v>17953</v>
      </c>
      <c r="D3799" t="s">
        <v>17250</v>
      </c>
      <c r="E3799" t="s">
        <v>17250</v>
      </c>
      <c r="F3799" t="s">
        <v>17250</v>
      </c>
      <c r="G3799" t="s">
        <v>17250</v>
      </c>
      <c r="H3799" t="s">
        <v>868</v>
      </c>
      <c r="I3799" t="s">
        <v>869</v>
      </c>
      <c r="J3799" t="str">
        <f>"9230144"</f>
        <v>9230144</v>
      </c>
      <c r="K3799">
        <v>2467028359</v>
      </c>
      <c r="L3799">
        <v>2467028359</v>
      </c>
      <c r="M3799" t="s">
        <v>17954</v>
      </c>
      <c r="N3799" t="s">
        <v>17253</v>
      </c>
      <c r="O3799" t="s">
        <v>17955</v>
      </c>
      <c r="P3799">
        <v>52100</v>
      </c>
      <c r="Q3799" t="str">
        <f>"40.516695"</f>
        <v>40.516695</v>
      </c>
      <c r="R3799" t="str">
        <f>"21.271291"</f>
        <v>21.271291</v>
      </c>
      <c r="S3799" t="s">
        <v>26</v>
      </c>
    </row>
    <row r="3800" spans="1:19" x14ac:dyDescent="0.3">
      <c r="A3800" t="s">
        <v>17244</v>
      </c>
      <c r="B3800" t="s">
        <v>17882</v>
      </c>
      <c r="C3800" t="s">
        <v>17972</v>
      </c>
      <c r="D3800" t="s">
        <v>17250</v>
      </c>
      <c r="E3800" t="s">
        <v>17322</v>
      </c>
      <c r="F3800" t="s">
        <v>17970</v>
      </c>
      <c r="G3800" t="s">
        <v>17971</v>
      </c>
      <c r="H3800" t="s">
        <v>868</v>
      </c>
      <c r="I3800" t="s">
        <v>950</v>
      </c>
      <c r="J3800" t="str">
        <f>"9230090"</f>
        <v>9230090</v>
      </c>
      <c r="K3800">
        <v>2467084083</v>
      </c>
      <c r="L3800">
        <v>2467084083</v>
      </c>
      <c r="N3800" t="s">
        <v>17971</v>
      </c>
      <c r="O3800" t="s">
        <v>17973</v>
      </c>
      <c r="P3800">
        <v>50007</v>
      </c>
      <c r="Q3800" t="str">
        <f>""</f>
        <v/>
      </c>
      <c r="R3800" t="str">
        <f>""</f>
        <v/>
      </c>
      <c r="S3800" t="s">
        <v>57</v>
      </c>
    </row>
    <row r="3801" spans="1:19" x14ac:dyDescent="0.3">
      <c r="A3801" t="s">
        <v>17244</v>
      </c>
      <c r="B3801" t="s">
        <v>17882</v>
      </c>
      <c r="C3801" t="s">
        <v>17340</v>
      </c>
      <c r="D3801" t="s">
        <v>17250</v>
      </c>
      <c r="E3801" t="s">
        <v>17250</v>
      </c>
      <c r="F3801" t="s">
        <v>17334</v>
      </c>
      <c r="G3801" t="s">
        <v>17335</v>
      </c>
      <c r="H3801" t="s">
        <v>868</v>
      </c>
      <c r="I3801" t="s">
        <v>869</v>
      </c>
      <c r="J3801" t="str">
        <f>"9230161"</f>
        <v>9230161</v>
      </c>
      <c r="K3801">
        <v>2467080588</v>
      </c>
      <c r="L3801">
        <v>2467080588</v>
      </c>
      <c r="M3801" t="s">
        <v>18000</v>
      </c>
      <c r="N3801" t="s">
        <v>18001</v>
      </c>
      <c r="O3801" t="s">
        <v>17958</v>
      </c>
      <c r="P3801">
        <v>52100</v>
      </c>
      <c r="Q3801" t="str">
        <f>"40.497673"</f>
        <v>40.497673</v>
      </c>
      <c r="R3801" t="str">
        <f>"21.240874"</f>
        <v>21.240874</v>
      </c>
      <c r="S3801" t="s">
        <v>26</v>
      </c>
    </row>
    <row r="3802" spans="1:19" x14ac:dyDescent="0.3">
      <c r="A3802" t="s">
        <v>17244</v>
      </c>
      <c r="B3802" t="s">
        <v>17882</v>
      </c>
      <c r="C3802" t="s">
        <v>18002</v>
      </c>
      <c r="D3802" t="s">
        <v>17250</v>
      </c>
      <c r="E3802" t="s">
        <v>17322</v>
      </c>
      <c r="F3802" t="s">
        <v>17965</v>
      </c>
      <c r="G3802" t="s">
        <v>17966</v>
      </c>
      <c r="H3802" t="s">
        <v>868</v>
      </c>
      <c r="I3802" t="s">
        <v>950</v>
      </c>
      <c r="J3802" t="str">
        <f>"9230088"</f>
        <v>9230088</v>
      </c>
      <c r="K3802">
        <v>2467091301</v>
      </c>
      <c r="L3802">
        <v>2467091301</v>
      </c>
      <c r="M3802" t="s">
        <v>18003</v>
      </c>
      <c r="N3802" t="s">
        <v>17969</v>
      </c>
      <c r="O3802" t="s">
        <v>17969</v>
      </c>
      <c r="P3802">
        <v>52058</v>
      </c>
      <c r="Q3802" t="str">
        <f>"40.487802"</f>
        <v>40.487802</v>
      </c>
      <c r="R3802" t="str">
        <f>"20.986569"</f>
        <v>20.986569</v>
      </c>
      <c r="S3802" t="s">
        <v>57</v>
      </c>
    </row>
    <row r="3803" spans="1:19" x14ac:dyDescent="0.3">
      <c r="A3803" t="s">
        <v>17244</v>
      </c>
      <c r="B3803" t="s">
        <v>17882</v>
      </c>
      <c r="C3803" t="s">
        <v>17327</v>
      </c>
      <c r="D3803" t="s">
        <v>17250</v>
      </c>
      <c r="E3803" t="s">
        <v>17322</v>
      </c>
      <c r="F3803" t="s">
        <v>17322</v>
      </c>
      <c r="G3803" t="s">
        <v>17322</v>
      </c>
      <c r="H3803" t="s">
        <v>868</v>
      </c>
      <c r="I3803" t="s">
        <v>869</v>
      </c>
      <c r="J3803" t="str">
        <f>"9230118"</f>
        <v>9230118</v>
      </c>
      <c r="K3803">
        <v>2467031421</v>
      </c>
      <c r="L3803">
        <v>2467031421</v>
      </c>
      <c r="M3803" t="s">
        <v>18004</v>
      </c>
      <c r="N3803" t="s">
        <v>17326</v>
      </c>
      <c r="O3803" t="s">
        <v>17326</v>
      </c>
      <c r="P3803">
        <v>52051</v>
      </c>
      <c r="Q3803" t="str">
        <f>"40.414146"</f>
        <v>40.414146</v>
      </c>
      <c r="R3803" t="str">
        <f>"21.061371"</f>
        <v>21.061371</v>
      </c>
      <c r="S3803" t="s">
        <v>26</v>
      </c>
    </row>
    <row r="3804" spans="1:19" x14ac:dyDescent="0.3">
      <c r="A3804" t="s">
        <v>17244</v>
      </c>
      <c r="B3804" t="s">
        <v>17882</v>
      </c>
      <c r="C3804" t="s">
        <v>18010</v>
      </c>
      <c r="D3804" t="s">
        <v>17250</v>
      </c>
      <c r="E3804" t="s">
        <v>17250</v>
      </c>
      <c r="F3804" t="s">
        <v>17334</v>
      </c>
      <c r="G3804" t="s">
        <v>17335</v>
      </c>
      <c r="H3804" t="s">
        <v>868</v>
      </c>
      <c r="I3804" t="s">
        <v>869</v>
      </c>
      <c r="J3804" t="str">
        <f>"9230091"</f>
        <v>9230091</v>
      </c>
      <c r="K3804">
        <v>2467080283</v>
      </c>
      <c r="L3804">
        <v>2467080283</v>
      </c>
      <c r="M3804" t="s">
        <v>18011</v>
      </c>
      <c r="N3804" t="s">
        <v>18001</v>
      </c>
      <c r="O3804" t="s">
        <v>18012</v>
      </c>
      <c r="P3804">
        <v>52100</v>
      </c>
      <c r="Q3804" t="str">
        <f>"40.502682"</f>
        <v>40.502682</v>
      </c>
      <c r="R3804" t="str">
        <f>"21.245073"</f>
        <v>21.245073</v>
      </c>
      <c r="S3804" t="s">
        <v>26</v>
      </c>
    </row>
    <row r="3805" spans="1:19" x14ac:dyDescent="0.3">
      <c r="A3805" t="s">
        <v>17244</v>
      </c>
      <c r="B3805" t="s">
        <v>17882</v>
      </c>
      <c r="C3805" t="s">
        <v>17379</v>
      </c>
      <c r="D3805" t="s">
        <v>17250</v>
      </c>
      <c r="E3805" t="s">
        <v>17250</v>
      </c>
      <c r="F3805" t="s">
        <v>17346</v>
      </c>
      <c r="G3805" t="s">
        <v>17375</v>
      </c>
      <c r="H3805" t="s">
        <v>868</v>
      </c>
      <c r="I3805" t="s">
        <v>869</v>
      </c>
      <c r="J3805" t="str">
        <f>"9230120"</f>
        <v>9230120</v>
      </c>
      <c r="K3805">
        <v>2467092226</v>
      </c>
      <c r="L3805">
        <v>2467092226</v>
      </c>
      <c r="M3805" t="s">
        <v>18013</v>
      </c>
      <c r="N3805" t="s">
        <v>17961</v>
      </c>
      <c r="O3805" t="s">
        <v>17961</v>
      </c>
      <c r="P3805">
        <v>52050</v>
      </c>
      <c r="Q3805" t="str">
        <f>"40.518004"</f>
        <v>40.518004</v>
      </c>
      <c r="R3805" t="str">
        <f>"21.084257"</f>
        <v>21.084257</v>
      </c>
      <c r="S3805" t="s">
        <v>26</v>
      </c>
    </row>
    <row r="3806" spans="1:19" x14ac:dyDescent="0.3">
      <c r="A3806" t="s">
        <v>17244</v>
      </c>
      <c r="B3806" t="s">
        <v>17882</v>
      </c>
      <c r="C3806" t="s">
        <v>17350</v>
      </c>
      <c r="D3806" t="s">
        <v>17250</v>
      </c>
      <c r="E3806" t="s">
        <v>17250</v>
      </c>
      <c r="F3806" t="s">
        <v>17346</v>
      </c>
      <c r="G3806" t="s">
        <v>17346</v>
      </c>
      <c r="H3806" t="s">
        <v>868</v>
      </c>
      <c r="I3806" t="s">
        <v>869</v>
      </c>
      <c r="J3806" t="str">
        <f>"9230113"</f>
        <v>9230113</v>
      </c>
      <c r="K3806">
        <v>2467061240</v>
      </c>
      <c r="L3806">
        <v>2467061240</v>
      </c>
      <c r="M3806" t="s">
        <v>18014</v>
      </c>
      <c r="N3806" t="s">
        <v>17991</v>
      </c>
      <c r="O3806" t="s">
        <v>17991</v>
      </c>
      <c r="P3806">
        <v>52050</v>
      </c>
      <c r="Q3806" t="str">
        <f>"40.502656"</f>
        <v>40.502656</v>
      </c>
      <c r="R3806" t="str">
        <f>"21.158266"</f>
        <v>21.158266</v>
      </c>
      <c r="S3806" t="s">
        <v>26</v>
      </c>
    </row>
    <row r="3807" spans="1:19" x14ac:dyDescent="0.3">
      <c r="A3807" t="s">
        <v>17244</v>
      </c>
      <c r="B3807" t="s">
        <v>17882</v>
      </c>
      <c r="C3807" t="s">
        <v>18015</v>
      </c>
      <c r="D3807" t="s">
        <v>17250</v>
      </c>
      <c r="E3807" t="s">
        <v>17328</v>
      </c>
      <c r="F3807" t="s">
        <v>17328</v>
      </c>
      <c r="G3807" t="s">
        <v>17996</v>
      </c>
      <c r="H3807" t="s">
        <v>868</v>
      </c>
      <c r="I3807" t="s">
        <v>950</v>
      </c>
      <c r="J3807" t="str">
        <f>"9230027"</f>
        <v>9230027</v>
      </c>
      <c r="K3807">
        <v>2467084400</v>
      </c>
      <c r="L3807">
        <v>2467084400</v>
      </c>
      <c r="M3807" t="s">
        <v>18016</v>
      </c>
      <c r="N3807" t="s">
        <v>17999</v>
      </c>
      <c r="O3807" t="s">
        <v>17999</v>
      </c>
      <c r="P3807">
        <v>52200</v>
      </c>
      <c r="Q3807" t="str">
        <f>"40.407915"</f>
        <v>40.407915</v>
      </c>
      <c r="R3807" t="str">
        <f>"21.256918"</f>
        <v>21.256918</v>
      </c>
      <c r="S3807" t="s">
        <v>26</v>
      </c>
    </row>
    <row r="3808" spans="1:19" x14ac:dyDescent="0.3">
      <c r="A3808" t="s">
        <v>17244</v>
      </c>
      <c r="B3808" t="s">
        <v>17882</v>
      </c>
      <c r="C3808" t="s">
        <v>18017</v>
      </c>
      <c r="D3808" t="s">
        <v>17250</v>
      </c>
      <c r="E3808" t="s">
        <v>17250</v>
      </c>
      <c r="F3808" t="s">
        <v>17346</v>
      </c>
      <c r="G3808" t="s">
        <v>17346</v>
      </c>
      <c r="H3808" t="s">
        <v>868</v>
      </c>
      <c r="I3808" t="s">
        <v>869</v>
      </c>
      <c r="J3808" t="str">
        <f>"9230111"</f>
        <v>9230111</v>
      </c>
      <c r="K3808">
        <v>2467071288</v>
      </c>
      <c r="L3808">
        <v>2467071288</v>
      </c>
      <c r="M3808" t="s">
        <v>18018</v>
      </c>
      <c r="N3808" t="s">
        <v>17976</v>
      </c>
      <c r="O3808" t="s">
        <v>17976</v>
      </c>
      <c r="P3808">
        <v>52050</v>
      </c>
      <c r="Q3808" t="str">
        <f>"40.505260"</f>
        <v>40.505260</v>
      </c>
      <c r="R3808" t="str">
        <f>"21.208128"</f>
        <v>21.208128</v>
      </c>
      <c r="S3808" t="s">
        <v>26</v>
      </c>
    </row>
    <row r="3809" spans="1:19" x14ac:dyDescent="0.3">
      <c r="A3809" t="s">
        <v>17244</v>
      </c>
      <c r="B3809" t="s">
        <v>17882</v>
      </c>
      <c r="C3809" t="s">
        <v>18019</v>
      </c>
      <c r="D3809" t="s">
        <v>17250</v>
      </c>
      <c r="E3809" t="s">
        <v>17250</v>
      </c>
      <c r="F3809" t="s">
        <v>17366</v>
      </c>
      <c r="G3809" t="s">
        <v>17923</v>
      </c>
      <c r="H3809" t="s">
        <v>868</v>
      </c>
      <c r="I3809" t="s">
        <v>869</v>
      </c>
      <c r="J3809" t="str">
        <f>"9230037"</f>
        <v>9230037</v>
      </c>
      <c r="K3809">
        <v>2467085382</v>
      </c>
      <c r="L3809">
        <v>2467085382</v>
      </c>
      <c r="M3809" t="s">
        <v>18020</v>
      </c>
      <c r="N3809" t="s">
        <v>18021</v>
      </c>
      <c r="O3809" t="s">
        <v>18022</v>
      </c>
      <c r="P3809">
        <v>52057</v>
      </c>
      <c r="Q3809" t="str">
        <f>"40.480014"</f>
        <v>40.480014</v>
      </c>
      <c r="R3809" t="str">
        <f>"21.288636"</f>
        <v>21.288636</v>
      </c>
      <c r="S3809" t="s">
        <v>26</v>
      </c>
    </row>
    <row r="3810" spans="1:19" x14ac:dyDescent="0.3">
      <c r="A3810" t="s">
        <v>17244</v>
      </c>
      <c r="B3810" t="s">
        <v>17882</v>
      </c>
      <c r="C3810" t="s">
        <v>17416</v>
      </c>
      <c r="D3810" t="s">
        <v>17250</v>
      </c>
      <c r="E3810" t="s">
        <v>17250</v>
      </c>
      <c r="F3810" t="s">
        <v>17334</v>
      </c>
      <c r="G3810" t="s">
        <v>17979</v>
      </c>
      <c r="H3810" t="s">
        <v>868</v>
      </c>
      <c r="I3810" t="s">
        <v>869</v>
      </c>
      <c r="J3810" t="str">
        <f>"9230138"</f>
        <v>9230138</v>
      </c>
      <c r="K3810">
        <v>2467071557</v>
      </c>
      <c r="L3810">
        <v>2467021968</v>
      </c>
      <c r="M3810" t="s">
        <v>18023</v>
      </c>
      <c r="N3810" t="s">
        <v>18024</v>
      </c>
      <c r="O3810" t="s">
        <v>18024</v>
      </c>
      <c r="P3810">
        <v>52200</v>
      </c>
      <c r="Q3810" t="str">
        <f>"40.484890"</f>
        <v>40.484890</v>
      </c>
      <c r="R3810" t="str">
        <f>"21.192106"</f>
        <v>21.192106</v>
      </c>
      <c r="S3810" t="s">
        <v>26</v>
      </c>
    </row>
    <row r="3811" spans="1:19" x14ac:dyDescent="0.3">
      <c r="A3811" t="s">
        <v>17244</v>
      </c>
      <c r="B3811" t="s">
        <v>17882</v>
      </c>
      <c r="C3811" t="s">
        <v>18025</v>
      </c>
      <c r="D3811" t="s">
        <v>17250</v>
      </c>
      <c r="E3811" t="s">
        <v>17250</v>
      </c>
      <c r="F3811" t="s">
        <v>17250</v>
      </c>
      <c r="G3811" t="s">
        <v>17250</v>
      </c>
      <c r="H3811" t="s">
        <v>868</v>
      </c>
      <c r="I3811" t="s">
        <v>869</v>
      </c>
      <c r="J3811" t="str">
        <f>"9230012"</f>
        <v>9230012</v>
      </c>
      <c r="K3811">
        <v>2467022638</v>
      </c>
      <c r="M3811" t="s">
        <v>18026</v>
      </c>
      <c r="N3811" t="s">
        <v>17253</v>
      </c>
      <c r="O3811" t="s">
        <v>18027</v>
      </c>
      <c r="P3811">
        <v>52100</v>
      </c>
      <c r="Q3811" t="str">
        <f>"40.515413"</f>
        <v>40.515413</v>
      </c>
      <c r="R3811" t="str">
        <f>"21.267223"</f>
        <v>21.267223</v>
      </c>
      <c r="S3811" t="s">
        <v>26</v>
      </c>
    </row>
    <row r="3812" spans="1:19" x14ac:dyDescent="0.3">
      <c r="A3812" t="s">
        <v>17244</v>
      </c>
      <c r="B3812" t="s">
        <v>17882</v>
      </c>
      <c r="C3812" t="s">
        <v>17321</v>
      </c>
      <c r="D3812" t="s">
        <v>17250</v>
      </c>
      <c r="E3812" t="s">
        <v>17250</v>
      </c>
      <c r="F3812" t="s">
        <v>17250</v>
      </c>
      <c r="G3812" t="s">
        <v>17250</v>
      </c>
      <c r="H3812" t="s">
        <v>868</v>
      </c>
      <c r="I3812" t="s">
        <v>869</v>
      </c>
      <c r="J3812" t="str">
        <f>"9230013"</f>
        <v>9230013</v>
      </c>
      <c r="K3812">
        <v>2467022343</v>
      </c>
      <c r="L3812">
        <v>2467022343</v>
      </c>
      <c r="M3812" t="s">
        <v>18028</v>
      </c>
      <c r="N3812" t="s">
        <v>17253</v>
      </c>
      <c r="O3812" t="s">
        <v>18029</v>
      </c>
      <c r="P3812">
        <v>52100</v>
      </c>
      <c r="Q3812" t="str">
        <f>"40.519179"</f>
        <v>40.519179</v>
      </c>
      <c r="R3812" t="str">
        <f>"21.270940"</f>
        <v>21.270940</v>
      </c>
      <c r="S3812" t="s">
        <v>26</v>
      </c>
    </row>
    <row r="3813" spans="1:19" x14ac:dyDescent="0.3">
      <c r="A3813" t="s">
        <v>17244</v>
      </c>
      <c r="B3813" t="s">
        <v>17882</v>
      </c>
      <c r="C3813" t="s">
        <v>18030</v>
      </c>
      <c r="D3813" t="s">
        <v>17250</v>
      </c>
      <c r="E3813" t="s">
        <v>17250</v>
      </c>
      <c r="F3813" t="s">
        <v>17250</v>
      </c>
      <c r="G3813" t="s">
        <v>17250</v>
      </c>
      <c r="H3813" t="s">
        <v>868</v>
      </c>
      <c r="I3813" t="s">
        <v>869</v>
      </c>
      <c r="J3813" t="str">
        <f>"9230014"</f>
        <v>9230014</v>
      </c>
      <c r="K3813">
        <v>2467022384</v>
      </c>
      <c r="L3813">
        <v>2467024884</v>
      </c>
      <c r="M3813" t="s">
        <v>18031</v>
      </c>
      <c r="N3813" t="s">
        <v>17253</v>
      </c>
      <c r="O3813" t="s">
        <v>17891</v>
      </c>
      <c r="P3813">
        <v>52100</v>
      </c>
      <c r="Q3813" t="str">
        <f>"40.521770"</f>
        <v>40.521770</v>
      </c>
      <c r="R3813" t="str">
        <f>"21.267327"</f>
        <v>21.267327</v>
      </c>
      <c r="S3813" t="s">
        <v>26</v>
      </c>
    </row>
    <row r="3814" spans="1:19" x14ac:dyDescent="0.3">
      <c r="A3814" t="s">
        <v>17244</v>
      </c>
      <c r="B3814" t="s">
        <v>17882</v>
      </c>
      <c r="C3814" t="s">
        <v>18032</v>
      </c>
      <c r="D3814" t="s">
        <v>17250</v>
      </c>
      <c r="E3814" t="s">
        <v>17250</v>
      </c>
      <c r="F3814" t="s">
        <v>17250</v>
      </c>
      <c r="G3814" t="s">
        <v>17250</v>
      </c>
      <c r="H3814" t="s">
        <v>868</v>
      </c>
      <c r="I3814" t="s">
        <v>869</v>
      </c>
      <c r="J3814" t="str">
        <f>"9230015"</f>
        <v>9230015</v>
      </c>
      <c r="K3814">
        <v>2467027364</v>
      </c>
      <c r="L3814">
        <v>2467027964</v>
      </c>
      <c r="M3814" t="s">
        <v>18033</v>
      </c>
      <c r="N3814" t="s">
        <v>17253</v>
      </c>
      <c r="O3814" t="s">
        <v>17899</v>
      </c>
      <c r="P3814">
        <v>52100</v>
      </c>
      <c r="Q3814" t="str">
        <f>"40.521398"</f>
        <v>40.521398</v>
      </c>
      <c r="R3814" t="str">
        <f>"21.262633"</f>
        <v>21.262633</v>
      </c>
      <c r="S3814" t="s">
        <v>26</v>
      </c>
    </row>
    <row r="3815" spans="1:19" x14ac:dyDescent="0.3">
      <c r="A3815" t="s">
        <v>17244</v>
      </c>
      <c r="B3815" t="s">
        <v>17882</v>
      </c>
      <c r="C3815" t="s">
        <v>17410</v>
      </c>
      <c r="D3815" t="s">
        <v>17250</v>
      </c>
      <c r="E3815" t="s">
        <v>17250</v>
      </c>
      <c r="F3815" t="s">
        <v>17250</v>
      </c>
      <c r="G3815" t="s">
        <v>17250</v>
      </c>
      <c r="H3815" t="s">
        <v>868</v>
      </c>
      <c r="I3815" t="s">
        <v>869</v>
      </c>
      <c r="J3815" t="str">
        <f>"9230016"</f>
        <v>9230016</v>
      </c>
      <c r="K3815">
        <v>2467082424</v>
      </c>
      <c r="L3815">
        <v>2467082424</v>
      </c>
      <c r="M3815" t="s">
        <v>18034</v>
      </c>
      <c r="N3815" t="s">
        <v>17253</v>
      </c>
      <c r="O3815" t="s">
        <v>18035</v>
      </c>
      <c r="P3815">
        <v>52100</v>
      </c>
      <c r="Q3815" t="str">
        <f>"40.511793"</f>
        <v>40.511793</v>
      </c>
      <c r="R3815" t="str">
        <f>"21.252269"</f>
        <v>21.252269</v>
      </c>
      <c r="S3815" t="s">
        <v>26</v>
      </c>
    </row>
    <row r="3816" spans="1:19" x14ac:dyDescent="0.3">
      <c r="A3816" t="s">
        <v>17244</v>
      </c>
      <c r="B3816" t="s">
        <v>17882</v>
      </c>
      <c r="C3816" t="s">
        <v>17422</v>
      </c>
      <c r="D3816" t="s">
        <v>17250</v>
      </c>
      <c r="E3816" t="s">
        <v>17250</v>
      </c>
      <c r="F3816" t="s">
        <v>17250</v>
      </c>
      <c r="G3816" t="s">
        <v>17250</v>
      </c>
      <c r="H3816" t="s">
        <v>868</v>
      </c>
      <c r="I3816" t="s">
        <v>869</v>
      </c>
      <c r="J3816" t="str">
        <f>"9230017"</f>
        <v>9230017</v>
      </c>
      <c r="K3816">
        <v>2467081717</v>
      </c>
      <c r="L3816">
        <v>2467081927</v>
      </c>
      <c r="M3816" t="s">
        <v>18036</v>
      </c>
      <c r="N3816" t="s">
        <v>17253</v>
      </c>
      <c r="O3816" t="s">
        <v>18037</v>
      </c>
      <c r="P3816">
        <v>52100</v>
      </c>
      <c r="Q3816" t="str">
        <f>"40.525108"</f>
        <v>40.525108</v>
      </c>
      <c r="R3816" t="str">
        <f>"21.261848"</f>
        <v>21.261848</v>
      </c>
      <c r="S3816" t="s">
        <v>26</v>
      </c>
    </row>
    <row r="3817" spans="1:19" x14ac:dyDescent="0.3">
      <c r="A3817" t="s">
        <v>17244</v>
      </c>
      <c r="B3817" t="s">
        <v>17882</v>
      </c>
      <c r="C3817" t="s">
        <v>17402</v>
      </c>
      <c r="D3817" t="s">
        <v>17250</v>
      </c>
      <c r="E3817" t="s">
        <v>17250</v>
      </c>
      <c r="F3817" t="s">
        <v>5085</v>
      </c>
      <c r="G3817" t="s">
        <v>17397</v>
      </c>
      <c r="H3817" t="s">
        <v>868</v>
      </c>
      <c r="I3817" t="s">
        <v>869</v>
      </c>
      <c r="J3817" t="str">
        <f>"9230041"</f>
        <v>9230041</v>
      </c>
      <c r="K3817">
        <v>2467051443</v>
      </c>
      <c r="L3817">
        <v>2467051443</v>
      </c>
      <c r="M3817" t="s">
        <v>18038</v>
      </c>
      <c r="N3817" t="s">
        <v>17401</v>
      </c>
      <c r="O3817" t="s">
        <v>17401</v>
      </c>
      <c r="P3817">
        <v>52052</v>
      </c>
      <c r="Q3817" t="str">
        <f>"40.505102"</f>
        <v>40.505102</v>
      </c>
      <c r="R3817" t="str">
        <f>"21.375304"</f>
        <v>21.375304</v>
      </c>
      <c r="S3817" t="s">
        <v>26</v>
      </c>
    </row>
    <row r="3818" spans="1:19" x14ac:dyDescent="0.3">
      <c r="A3818" t="s">
        <v>17244</v>
      </c>
      <c r="B3818" t="s">
        <v>17882</v>
      </c>
      <c r="C3818" t="s">
        <v>18039</v>
      </c>
      <c r="D3818" t="s">
        <v>17250</v>
      </c>
      <c r="E3818" t="s">
        <v>17250</v>
      </c>
      <c r="F3818" t="s">
        <v>17366</v>
      </c>
      <c r="G3818" t="s">
        <v>17367</v>
      </c>
      <c r="H3818" t="s">
        <v>868</v>
      </c>
      <c r="I3818" t="s">
        <v>869</v>
      </c>
      <c r="J3818" t="str">
        <f>"9230052"</f>
        <v>9230052</v>
      </c>
      <c r="K3818">
        <v>2467074362</v>
      </c>
      <c r="L3818">
        <v>2467074362</v>
      </c>
      <c r="M3818" t="s">
        <v>18040</v>
      </c>
      <c r="N3818" t="s">
        <v>17367</v>
      </c>
      <c r="O3818" t="s">
        <v>18041</v>
      </c>
      <c r="P3818">
        <v>52056</v>
      </c>
      <c r="Q3818" t="str">
        <f>"40.512533"</f>
        <v>40.512533</v>
      </c>
      <c r="R3818" t="str">
        <f>"21.324780"</f>
        <v>21.324780</v>
      </c>
      <c r="S3818" t="s">
        <v>26</v>
      </c>
    </row>
    <row r="3819" spans="1:19" x14ac:dyDescent="0.3">
      <c r="A3819" t="s">
        <v>17244</v>
      </c>
      <c r="B3819" t="s">
        <v>17882</v>
      </c>
      <c r="C3819" t="s">
        <v>18042</v>
      </c>
      <c r="D3819" t="s">
        <v>17250</v>
      </c>
      <c r="E3819" t="s">
        <v>17328</v>
      </c>
      <c r="F3819" t="s">
        <v>17328</v>
      </c>
      <c r="G3819" t="s">
        <v>17328</v>
      </c>
      <c r="H3819" t="s">
        <v>868</v>
      </c>
      <c r="I3819" t="s">
        <v>869</v>
      </c>
      <c r="J3819" t="str">
        <f>"9230003"</f>
        <v>9230003</v>
      </c>
      <c r="K3819">
        <v>2467042263</v>
      </c>
      <c r="L3819">
        <v>2467042263</v>
      </c>
      <c r="M3819" t="s">
        <v>18043</v>
      </c>
      <c r="N3819" t="s">
        <v>17911</v>
      </c>
      <c r="O3819" t="s">
        <v>18044</v>
      </c>
      <c r="P3819">
        <v>52200</v>
      </c>
      <c r="Q3819" t="str">
        <f>"40.453389"</f>
        <v>40.453389</v>
      </c>
      <c r="R3819" t="str">
        <f>"21.253644"</f>
        <v>21.253644</v>
      </c>
      <c r="S3819" t="s">
        <v>26</v>
      </c>
    </row>
    <row r="3820" spans="1:19" x14ac:dyDescent="0.3">
      <c r="A3820" t="s">
        <v>17244</v>
      </c>
      <c r="B3820" t="s">
        <v>17882</v>
      </c>
      <c r="C3820" t="s">
        <v>18045</v>
      </c>
      <c r="D3820" t="s">
        <v>17250</v>
      </c>
      <c r="E3820" t="s">
        <v>17328</v>
      </c>
      <c r="F3820" t="s">
        <v>17328</v>
      </c>
      <c r="G3820" t="s">
        <v>17328</v>
      </c>
      <c r="H3820" t="s">
        <v>868</v>
      </c>
      <c r="I3820" t="s">
        <v>869</v>
      </c>
      <c r="J3820" t="str">
        <f>"9230004"</f>
        <v>9230004</v>
      </c>
      <c r="K3820">
        <v>2467042268</v>
      </c>
      <c r="L3820">
        <v>2467042268</v>
      </c>
      <c r="M3820" t="s">
        <v>18046</v>
      </c>
      <c r="N3820" t="s">
        <v>17331</v>
      </c>
      <c r="O3820" t="s">
        <v>18047</v>
      </c>
      <c r="P3820">
        <v>52200</v>
      </c>
      <c r="Q3820" t="str">
        <f>"40.453414"</f>
        <v>40.453414</v>
      </c>
      <c r="R3820" t="str">
        <f>"21.259007"</f>
        <v>21.259007</v>
      </c>
      <c r="S3820" t="s">
        <v>26</v>
      </c>
    </row>
    <row r="3821" spans="1:19" x14ac:dyDescent="0.3">
      <c r="A3821" t="s">
        <v>17244</v>
      </c>
      <c r="B3821" t="s">
        <v>17882</v>
      </c>
      <c r="C3821" t="s">
        <v>17333</v>
      </c>
      <c r="D3821" t="s">
        <v>17250</v>
      </c>
      <c r="E3821" t="s">
        <v>17328</v>
      </c>
      <c r="F3821" t="s">
        <v>17328</v>
      </c>
      <c r="G3821" t="s">
        <v>17328</v>
      </c>
      <c r="H3821" t="s">
        <v>868</v>
      </c>
      <c r="I3821" t="s">
        <v>869</v>
      </c>
      <c r="J3821" t="str">
        <f>"9230166"</f>
        <v>9230166</v>
      </c>
      <c r="K3821">
        <v>2467043226</v>
      </c>
      <c r="L3821">
        <v>2467043226</v>
      </c>
      <c r="M3821" t="s">
        <v>18048</v>
      </c>
      <c r="N3821" t="s">
        <v>17331</v>
      </c>
      <c r="O3821" t="s">
        <v>18049</v>
      </c>
      <c r="P3821">
        <v>52200</v>
      </c>
      <c r="Q3821" t="str">
        <f>"40.445865"</f>
        <v>40.445865</v>
      </c>
      <c r="R3821" t="str">
        <f>"21.264064"</f>
        <v>21.264064</v>
      </c>
      <c r="S3821" t="s">
        <v>26</v>
      </c>
    </row>
    <row r="3822" spans="1:19" x14ac:dyDescent="0.3">
      <c r="A3822" t="s">
        <v>17244</v>
      </c>
      <c r="B3822" t="s">
        <v>17882</v>
      </c>
      <c r="C3822" t="s">
        <v>17386</v>
      </c>
      <c r="D3822" t="s">
        <v>17250</v>
      </c>
      <c r="E3822" t="s">
        <v>17328</v>
      </c>
      <c r="F3822" t="s">
        <v>17328</v>
      </c>
      <c r="G3822" t="s">
        <v>17328</v>
      </c>
      <c r="H3822" t="s">
        <v>868</v>
      </c>
      <c r="I3822" t="s">
        <v>869</v>
      </c>
      <c r="J3822" t="str">
        <f>"9230146"</f>
        <v>9230146</v>
      </c>
      <c r="K3822">
        <v>2467042056</v>
      </c>
      <c r="L3822">
        <v>2467044016</v>
      </c>
      <c r="M3822" t="s">
        <v>18050</v>
      </c>
      <c r="N3822" t="s">
        <v>17936</v>
      </c>
      <c r="O3822" t="s">
        <v>18051</v>
      </c>
      <c r="P3822">
        <v>52200</v>
      </c>
      <c r="Q3822" t="str">
        <f>"40.459916"</f>
        <v>40.459916</v>
      </c>
      <c r="R3822" t="str">
        <f>"21.259319"</f>
        <v>21.259319</v>
      </c>
      <c r="S3822" t="s">
        <v>26</v>
      </c>
    </row>
    <row r="3823" spans="1:19" x14ac:dyDescent="0.3">
      <c r="A3823" t="s">
        <v>17244</v>
      </c>
      <c r="B3823" t="s">
        <v>17882</v>
      </c>
      <c r="C3823" t="s">
        <v>18052</v>
      </c>
      <c r="D3823" t="s">
        <v>17250</v>
      </c>
      <c r="E3823" t="s">
        <v>17250</v>
      </c>
      <c r="F3823" t="s">
        <v>17892</v>
      </c>
      <c r="G3823" t="s">
        <v>17893</v>
      </c>
      <c r="H3823" t="s">
        <v>868</v>
      </c>
      <c r="I3823" t="s">
        <v>869</v>
      </c>
      <c r="J3823" t="str">
        <f>"9230072"</f>
        <v>9230072</v>
      </c>
      <c r="K3823">
        <v>2467072250</v>
      </c>
      <c r="L3823">
        <v>2467072250</v>
      </c>
      <c r="M3823" t="s">
        <v>18053</v>
      </c>
      <c r="N3823" t="s">
        <v>17896</v>
      </c>
      <c r="O3823" t="s">
        <v>17896</v>
      </c>
      <c r="P3823">
        <v>52059</v>
      </c>
      <c r="Q3823" t="str">
        <f>"40.583251"</f>
        <v>40.583251</v>
      </c>
      <c r="R3823" t="str">
        <f>"21.304205"</f>
        <v>21.304205</v>
      </c>
      <c r="S3823" t="s">
        <v>26</v>
      </c>
    </row>
    <row r="3824" spans="1:19" x14ac:dyDescent="0.3">
      <c r="A3824" t="s">
        <v>17244</v>
      </c>
      <c r="B3824" t="s">
        <v>17882</v>
      </c>
      <c r="C3824" t="s">
        <v>18054</v>
      </c>
      <c r="D3824" t="s">
        <v>17250</v>
      </c>
      <c r="E3824" t="s">
        <v>17250</v>
      </c>
      <c r="F3824" t="s">
        <v>18005</v>
      </c>
      <c r="G3824" t="s">
        <v>18006</v>
      </c>
      <c r="H3824" t="s">
        <v>868</v>
      </c>
      <c r="I3824" t="s">
        <v>950</v>
      </c>
      <c r="J3824" t="str">
        <f>"9230175"</f>
        <v>9230175</v>
      </c>
      <c r="K3824">
        <v>2467033434</v>
      </c>
      <c r="L3824">
        <v>2467087029</v>
      </c>
      <c r="M3824" t="s">
        <v>18055</v>
      </c>
      <c r="N3824" t="s">
        <v>18056</v>
      </c>
      <c r="O3824" t="s">
        <v>18057</v>
      </c>
      <c r="P3824">
        <v>52055</v>
      </c>
      <c r="Q3824" t="str">
        <f>"40.624885"</f>
        <v>40.624885</v>
      </c>
      <c r="R3824" t="str">
        <f>"21.201201"</f>
        <v>21.201201</v>
      </c>
      <c r="S3824" t="s">
        <v>26</v>
      </c>
    </row>
    <row r="3825" spans="1:19" x14ac:dyDescent="0.3">
      <c r="A3825" t="s">
        <v>17244</v>
      </c>
      <c r="B3825" t="s">
        <v>17882</v>
      </c>
      <c r="C3825" t="s">
        <v>18058</v>
      </c>
      <c r="D3825" t="s">
        <v>17250</v>
      </c>
      <c r="E3825" t="s">
        <v>17250</v>
      </c>
      <c r="F3825" t="s">
        <v>17250</v>
      </c>
      <c r="G3825" t="s">
        <v>17250</v>
      </c>
      <c r="H3825" t="s">
        <v>868</v>
      </c>
      <c r="I3825" t="s">
        <v>1157</v>
      </c>
      <c r="J3825" t="str">
        <f>"9230171"</f>
        <v>9230171</v>
      </c>
      <c r="K3825">
        <v>2467022971</v>
      </c>
      <c r="L3825">
        <v>2467022867</v>
      </c>
      <c r="M3825" t="s">
        <v>18059</v>
      </c>
      <c r="N3825" t="s">
        <v>17253</v>
      </c>
      <c r="O3825" t="s">
        <v>18060</v>
      </c>
      <c r="P3825">
        <v>52100</v>
      </c>
      <c r="Q3825" t="str">
        <f>"40.541021"</f>
        <v>40.541021</v>
      </c>
      <c r="R3825" t="str">
        <f>"21.260153"</f>
        <v>21.260153</v>
      </c>
      <c r="S3825" t="s">
        <v>26</v>
      </c>
    </row>
    <row r="3826" spans="1:19" x14ac:dyDescent="0.3">
      <c r="A3826" t="s">
        <v>17244</v>
      </c>
      <c r="B3826" t="s">
        <v>17882</v>
      </c>
      <c r="C3826" t="s">
        <v>17371</v>
      </c>
      <c r="D3826" t="s">
        <v>17250</v>
      </c>
      <c r="E3826" t="s">
        <v>17250</v>
      </c>
      <c r="F3826" t="s">
        <v>17366</v>
      </c>
      <c r="G3826" t="s">
        <v>17913</v>
      </c>
      <c r="H3826" t="s">
        <v>868</v>
      </c>
      <c r="I3826" t="s">
        <v>869</v>
      </c>
      <c r="J3826" t="str">
        <f>"9230067"</f>
        <v>9230067</v>
      </c>
      <c r="K3826">
        <v>2467074492</v>
      </c>
      <c r="L3826">
        <v>2467074492</v>
      </c>
      <c r="M3826" t="s">
        <v>18063</v>
      </c>
      <c r="N3826" t="s">
        <v>17916</v>
      </c>
      <c r="O3826" t="s">
        <v>17916</v>
      </c>
      <c r="P3826">
        <v>52056</v>
      </c>
      <c r="Q3826" t="str">
        <f>"40.522922"</f>
        <v>40.522922</v>
      </c>
      <c r="R3826" t="str">
        <f>"21.319865"</f>
        <v>21.319865</v>
      </c>
      <c r="S3826" t="s">
        <v>26</v>
      </c>
    </row>
    <row r="3827" spans="1:19" x14ac:dyDescent="0.3">
      <c r="A3827" t="s">
        <v>17244</v>
      </c>
      <c r="B3827" t="s">
        <v>17882</v>
      </c>
      <c r="C3827" t="s">
        <v>18064</v>
      </c>
      <c r="D3827" t="s">
        <v>17250</v>
      </c>
      <c r="E3827" t="s">
        <v>17250</v>
      </c>
      <c r="F3827" t="s">
        <v>17250</v>
      </c>
      <c r="G3827" t="s">
        <v>17250</v>
      </c>
      <c r="H3827" t="s">
        <v>868</v>
      </c>
      <c r="I3827" t="s">
        <v>869</v>
      </c>
      <c r="J3827" t="str">
        <f>"9521704"</f>
        <v>9521704</v>
      </c>
      <c r="K3827">
        <v>2467022398</v>
      </c>
      <c r="L3827">
        <v>2467022398</v>
      </c>
      <c r="M3827" t="s">
        <v>18065</v>
      </c>
      <c r="N3827" t="s">
        <v>17253</v>
      </c>
      <c r="O3827" t="s">
        <v>18066</v>
      </c>
      <c r="P3827">
        <v>52100</v>
      </c>
      <c r="Q3827" t="str">
        <f>"40.532058"</f>
        <v>40.532058</v>
      </c>
      <c r="R3827" t="str">
        <f>"21.256580"</f>
        <v>21.256580</v>
      </c>
      <c r="S3827" t="s">
        <v>26</v>
      </c>
    </row>
    <row r="3828" spans="1:19" x14ac:dyDescent="0.3">
      <c r="A3828" t="s">
        <v>17244</v>
      </c>
      <c r="B3828" t="s">
        <v>18072</v>
      </c>
      <c r="C3828" t="s">
        <v>17445</v>
      </c>
      <c r="D3828" t="s">
        <v>17255</v>
      </c>
      <c r="E3828" t="s">
        <v>17255</v>
      </c>
      <c r="F3828" t="s">
        <v>17255</v>
      </c>
      <c r="G3828" t="s">
        <v>17255</v>
      </c>
      <c r="H3828" t="s">
        <v>868</v>
      </c>
      <c r="I3828" t="s">
        <v>869</v>
      </c>
      <c r="J3828" t="str">
        <f>"9270167"</f>
        <v>9270167</v>
      </c>
      <c r="K3828">
        <v>2461022771</v>
      </c>
      <c r="L3828">
        <v>2461022771</v>
      </c>
      <c r="M3828" t="s">
        <v>18077</v>
      </c>
      <c r="N3828" t="s">
        <v>18078</v>
      </c>
      <c r="O3828" t="s">
        <v>18079</v>
      </c>
      <c r="P3828">
        <v>50131</v>
      </c>
      <c r="Q3828" t="str">
        <f>"40.302987"</f>
        <v>40.302987</v>
      </c>
      <c r="R3828" t="str">
        <f>"21.792546"</f>
        <v>21.792546</v>
      </c>
      <c r="S3828" t="s">
        <v>26</v>
      </c>
    </row>
    <row r="3829" spans="1:19" x14ac:dyDescent="0.3">
      <c r="A3829" t="s">
        <v>17244</v>
      </c>
      <c r="B3829" t="s">
        <v>18072</v>
      </c>
      <c r="C3829" t="s">
        <v>17508</v>
      </c>
      <c r="D3829" t="s">
        <v>17255</v>
      </c>
      <c r="E3829" t="s">
        <v>17503</v>
      </c>
      <c r="F3829" t="s">
        <v>17503</v>
      </c>
      <c r="G3829" t="s">
        <v>17503</v>
      </c>
      <c r="H3829" t="s">
        <v>868</v>
      </c>
      <c r="I3829" t="s">
        <v>869</v>
      </c>
      <c r="J3829" t="str">
        <f>"9270229"</f>
        <v>9270229</v>
      </c>
      <c r="K3829">
        <v>2464031445</v>
      </c>
      <c r="L3829">
        <v>2464031445</v>
      </c>
      <c r="M3829" t="s">
        <v>18131</v>
      </c>
      <c r="N3829" t="s">
        <v>18132</v>
      </c>
      <c r="O3829" t="s">
        <v>937</v>
      </c>
      <c r="P3829">
        <v>50400</v>
      </c>
      <c r="Q3829" t="str">
        <f>"40.257417"</f>
        <v>40.257417</v>
      </c>
      <c r="R3829" t="str">
        <f>"22.067687"</f>
        <v>22.067687</v>
      </c>
      <c r="S3829" t="s">
        <v>26</v>
      </c>
    </row>
    <row r="3830" spans="1:19" x14ac:dyDescent="0.3">
      <c r="A3830" t="s">
        <v>17244</v>
      </c>
      <c r="B3830" t="s">
        <v>18072</v>
      </c>
      <c r="C3830" t="s">
        <v>18134</v>
      </c>
      <c r="D3830" t="s">
        <v>17255</v>
      </c>
      <c r="E3830" t="s">
        <v>17255</v>
      </c>
      <c r="F3830" t="s">
        <v>17551</v>
      </c>
      <c r="G3830" t="s">
        <v>18133</v>
      </c>
      <c r="H3830" t="s">
        <v>868</v>
      </c>
      <c r="I3830" t="s">
        <v>950</v>
      </c>
      <c r="J3830" t="str">
        <f>"9270156"</f>
        <v>9270156</v>
      </c>
      <c r="K3830">
        <v>2461099033</v>
      </c>
      <c r="M3830" t="s">
        <v>18135</v>
      </c>
      <c r="N3830" t="s">
        <v>18136</v>
      </c>
      <c r="O3830" t="s">
        <v>18136</v>
      </c>
      <c r="P3830">
        <v>50100</v>
      </c>
      <c r="Q3830" t="str">
        <f>"40.256541"</f>
        <v>40.256541</v>
      </c>
      <c r="R3830" t="str">
        <f>"21.738341"</f>
        <v>21.738341</v>
      </c>
      <c r="S3830" t="s">
        <v>26</v>
      </c>
    </row>
    <row r="3831" spans="1:19" x14ac:dyDescent="0.3">
      <c r="A3831" t="s">
        <v>17244</v>
      </c>
      <c r="B3831" t="s">
        <v>18072</v>
      </c>
      <c r="C3831" t="s">
        <v>17472</v>
      </c>
      <c r="D3831" t="s">
        <v>17255</v>
      </c>
      <c r="E3831" t="s">
        <v>17434</v>
      </c>
      <c r="F3831" t="s">
        <v>17466</v>
      </c>
      <c r="G3831" t="s">
        <v>17467</v>
      </c>
      <c r="H3831" t="s">
        <v>868</v>
      </c>
      <c r="I3831" t="s">
        <v>869</v>
      </c>
      <c r="J3831" t="str">
        <f>"9270003"</f>
        <v>9270003</v>
      </c>
      <c r="K3831">
        <v>2465021255</v>
      </c>
      <c r="L3831">
        <v>2465021255</v>
      </c>
      <c r="M3831" t="s">
        <v>18137</v>
      </c>
      <c r="N3831" t="s">
        <v>18138</v>
      </c>
      <c r="O3831" t="s">
        <v>13047</v>
      </c>
      <c r="P3831">
        <v>50300</v>
      </c>
      <c r="Q3831" t="str">
        <f>"40.260927"</f>
        <v>40.260927</v>
      </c>
      <c r="R3831" t="str">
        <f>"21.550506"</f>
        <v>21.550506</v>
      </c>
      <c r="S3831" t="s">
        <v>26</v>
      </c>
    </row>
    <row r="3832" spans="1:19" x14ac:dyDescent="0.3">
      <c r="A3832" t="s">
        <v>17244</v>
      </c>
      <c r="B3832" t="s">
        <v>18072</v>
      </c>
      <c r="C3832" t="s">
        <v>18139</v>
      </c>
      <c r="D3832" t="s">
        <v>17255</v>
      </c>
      <c r="E3832" t="s">
        <v>17255</v>
      </c>
      <c r="F3832" t="s">
        <v>17255</v>
      </c>
      <c r="G3832" t="s">
        <v>17255</v>
      </c>
      <c r="H3832" t="s">
        <v>868</v>
      </c>
      <c r="I3832" t="s">
        <v>869</v>
      </c>
      <c r="J3832" t="str">
        <f>"9270218"</f>
        <v>9270218</v>
      </c>
      <c r="K3832">
        <v>2461034828</v>
      </c>
      <c r="L3832">
        <v>2461034828</v>
      </c>
      <c r="M3832" t="s">
        <v>18140</v>
      </c>
      <c r="N3832" t="s">
        <v>17258</v>
      </c>
      <c r="O3832" t="s">
        <v>18141</v>
      </c>
      <c r="P3832">
        <v>50132</v>
      </c>
      <c r="Q3832" t="str">
        <f>"40.296485"</f>
        <v>40.296485</v>
      </c>
      <c r="R3832" t="str">
        <f>"21.788705"</f>
        <v>21.788705</v>
      </c>
      <c r="S3832" t="s">
        <v>26</v>
      </c>
    </row>
    <row r="3833" spans="1:19" x14ac:dyDescent="0.3">
      <c r="A3833" t="s">
        <v>17244</v>
      </c>
      <c r="B3833" t="s">
        <v>18072</v>
      </c>
      <c r="C3833" t="s">
        <v>17484</v>
      </c>
      <c r="D3833" t="s">
        <v>17255</v>
      </c>
      <c r="E3833" t="s">
        <v>17255</v>
      </c>
      <c r="F3833" t="s">
        <v>17255</v>
      </c>
      <c r="G3833" t="s">
        <v>17255</v>
      </c>
      <c r="H3833" t="s">
        <v>868</v>
      </c>
      <c r="I3833" t="s">
        <v>869</v>
      </c>
      <c r="J3833" t="str">
        <f>"9270375"</f>
        <v>9270375</v>
      </c>
      <c r="K3833">
        <v>2461032397</v>
      </c>
      <c r="L3833">
        <v>2461042085</v>
      </c>
      <c r="M3833" t="s">
        <v>18142</v>
      </c>
      <c r="N3833" t="s">
        <v>17258</v>
      </c>
      <c r="O3833" t="s">
        <v>18143</v>
      </c>
      <c r="P3833">
        <v>50132</v>
      </c>
      <c r="Q3833" t="str">
        <f>"40.297580"</f>
        <v>40.297580</v>
      </c>
      <c r="R3833" t="str">
        <f>"21.799876"</f>
        <v>21.799876</v>
      </c>
      <c r="S3833" t="s">
        <v>26</v>
      </c>
    </row>
    <row r="3834" spans="1:19" x14ac:dyDescent="0.3">
      <c r="A3834" t="s">
        <v>17244</v>
      </c>
      <c r="B3834" t="s">
        <v>18072</v>
      </c>
      <c r="C3834" t="s">
        <v>18145</v>
      </c>
      <c r="D3834" t="s">
        <v>17255</v>
      </c>
      <c r="E3834" t="s">
        <v>17255</v>
      </c>
      <c r="F3834" t="s">
        <v>17255</v>
      </c>
      <c r="G3834" t="s">
        <v>18144</v>
      </c>
      <c r="H3834" t="s">
        <v>868</v>
      </c>
      <c r="I3834" t="s">
        <v>869</v>
      </c>
      <c r="J3834" t="str">
        <f>"9270385"</f>
        <v>9270385</v>
      </c>
      <c r="K3834">
        <v>2461092323</v>
      </c>
      <c r="L3834">
        <v>2461092323</v>
      </c>
      <c r="M3834" t="s">
        <v>18146</v>
      </c>
      <c r="N3834" t="s">
        <v>18147</v>
      </c>
      <c r="O3834" t="s">
        <v>18148</v>
      </c>
      <c r="P3834">
        <v>50100</v>
      </c>
      <c r="Q3834" t="str">
        <f>"40.325368"</f>
        <v>40.325368</v>
      </c>
      <c r="R3834" t="str">
        <f>"21.821861"</f>
        <v>21.821861</v>
      </c>
      <c r="S3834" t="s">
        <v>26</v>
      </c>
    </row>
    <row r="3835" spans="1:19" x14ac:dyDescent="0.3">
      <c r="A3835" t="s">
        <v>17244</v>
      </c>
      <c r="B3835" t="s">
        <v>18072</v>
      </c>
      <c r="C3835" t="s">
        <v>18150</v>
      </c>
      <c r="D3835" t="s">
        <v>17255</v>
      </c>
      <c r="E3835" t="s">
        <v>17255</v>
      </c>
      <c r="F3835" t="s">
        <v>17255</v>
      </c>
      <c r="G3835" t="s">
        <v>18149</v>
      </c>
      <c r="H3835" t="s">
        <v>868</v>
      </c>
      <c r="I3835" t="s">
        <v>869</v>
      </c>
      <c r="J3835" t="str">
        <f>"9270187"</f>
        <v>9270187</v>
      </c>
      <c r="K3835">
        <v>2461063246</v>
      </c>
      <c r="L3835">
        <v>2461063246</v>
      </c>
      <c r="M3835" t="s">
        <v>18151</v>
      </c>
      <c r="N3835" t="s">
        <v>18152</v>
      </c>
      <c r="O3835" t="s">
        <v>18153</v>
      </c>
      <c r="P3835">
        <v>50100</v>
      </c>
      <c r="Q3835" t="str">
        <f>"40.253453"</f>
        <v>40.253453</v>
      </c>
      <c r="R3835" t="str">
        <f>"21.798929"</f>
        <v>21.798929</v>
      </c>
      <c r="S3835" t="s">
        <v>26</v>
      </c>
    </row>
    <row r="3836" spans="1:19" x14ac:dyDescent="0.3">
      <c r="A3836" t="s">
        <v>17244</v>
      </c>
      <c r="B3836" t="s">
        <v>18072</v>
      </c>
      <c r="C3836" t="s">
        <v>17451</v>
      </c>
      <c r="D3836" t="s">
        <v>17255</v>
      </c>
      <c r="E3836" t="s">
        <v>17255</v>
      </c>
      <c r="F3836" t="s">
        <v>17255</v>
      </c>
      <c r="G3836" t="s">
        <v>17446</v>
      </c>
      <c r="H3836" t="s">
        <v>868</v>
      </c>
      <c r="I3836" t="s">
        <v>869</v>
      </c>
      <c r="J3836" t="str">
        <f>"9270080"</f>
        <v>9270080</v>
      </c>
      <c r="K3836">
        <v>2461091216</v>
      </c>
      <c r="L3836">
        <v>2461091216</v>
      </c>
      <c r="M3836" t="s">
        <v>18154</v>
      </c>
      <c r="N3836" t="s">
        <v>18155</v>
      </c>
      <c r="O3836" t="s">
        <v>18155</v>
      </c>
      <c r="P3836">
        <v>50100</v>
      </c>
      <c r="Q3836" t="str">
        <f>"40.298922"</f>
        <v>40.298922</v>
      </c>
      <c r="R3836" t="str">
        <f>"21.656197"</f>
        <v>21.656197</v>
      </c>
      <c r="S3836" t="s">
        <v>26</v>
      </c>
    </row>
    <row r="3837" spans="1:19" x14ac:dyDescent="0.3">
      <c r="A3837" t="s">
        <v>17244</v>
      </c>
      <c r="B3837" t="s">
        <v>18072</v>
      </c>
      <c r="C3837" t="s">
        <v>17567</v>
      </c>
      <c r="D3837" t="s">
        <v>17255</v>
      </c>
      <c r="E3837" t="s">
        <v>17255</v>
      </c>
      <c r="F3837" t="s">
        <v>17255</v>
      </c>
      <c r="G3837" t="s">
        <v>17563</v>
      </c>
      <c r="H3837" t="s">
        <v>868</v>
      </c>
      <c r="I3837" t="s">
        <v>869</v>
      </c>
      <c r="J3837" t="str">
        <f>"9270198"</f>
        <v>9270198</v>
      </c>
      <c r="K3837">
        <v>2461099551</v>
      </c>
      <c r="L3837">
        <v>2461099551</v>
      </c>
      <c r="M3837" t="s">
        <v>18156</v>
      </c>
      <c r="N3837" t="s">
        <v>17566</v>
      </c>
      <c r="O3837" t="s">
        <v>17258</v>
      </c>
      <c r="P3837">
        <v>50100</v>
      </c>
      <c r="Q3837" t="str">
        <f>"40.231333"</f>
        <v>40.231333</v>
      </c>
      <c r="R3837" t="str">
        <f>"21.748748"</f>
        <v>21.748748</v>
      </c>
      <c r="S3837" t="s">
        <v>26</v>
      </c>
    </row>
    <row r="3838" spans="1:19" x14ac:dyDescent="0.3">
      <c r="A3838" t="s">
        <v>17244</v>
      </c>
      <c r="B3838" t="s">
        <v>18072</v>
      </c>
      <c r="C3838" t="s">
        <v>18157</v>
      </c>
      <c r="D3838" t="s">
        <v>17255</v>
      </c>
      <c r="E3838" t="s">
        <v>17255</v>
      </c>
      <c r="F3838" t="s">
        <v>17551</v>
      </c>
      <c r="G3838" t="s">
        <v>15824</v>
      </c>
      <c r="H3838" t="s">
        <v>868</v>
      </c>
      <c r="I3838" t="s">
        <v>869</v>
      </c>
      <c r="J3838" t="str">
        <f>"9270182"</f>
        <v>9270182</v>
      </c>
      <c r="K3838">
        <v>2461092221</v>
      </c>
      <c r="L3838">
        <v>2461092221</v>
      </c>
      <c r="M3838" t="s">
        <v>18158</v>
      </c>
      <c r="N3838" t="s">
        <v>15827</v>
      </c>
      <c r="O3838" t="s">
        <v>15827</v>
      </c>
      <c r="P3838">
        <v>50100</v>
      </c>
      <c r="Q3838" t="str">
        <f>"40.344317"</f>
        <v>40.344317</v>
      </c>
      <c r="R3838" t="str">
        <f>"21.822763"</f>
        <v>21.822763</v>
      </c>
      <c r="S3838" t="s">
        <v>26</v>
      </c>
    </row>
    <row r="3839" spans="1:19" x14ac:dyDescent="0.3">
      <c r="A3839" t="s">
        <v>17244</v>
      </c>
      <c r="B3839" t="s">
        <v>18072</v>
      </c>
      <c r="C3839" t="s">
        <v>18160</v>
      </c>
      <c r="D3839" t="s">
        <v>17255</v>
      </c>
      <c r="E3839" t="s">
        <v>17255</v>
      </c>
      <c r="F3839" t="s">
        <v>17255</v>
      </c>
      <c r="G3839" t="s">
        <v>17255</v>
      </c>
      <c r="H3839" t="s">
        <v>868</v>
      </c>
      <c r="I3839" t="s">
        <v>869</v>
      </c>
      <c r="J3839" t="str">
        <f>"9270221"</f>
        <v>9270221</v>
      </c>
      <c r="K3839">
        <v>2461022640</v>
      </c>
      <c r="L3839">
        <v>2461022640</v>
      </c>
      <c r="M3839" t="s">
        <v>18161</v>
      </c>
      <c r="N3839" t="s">
        <v>17258</v>
      </c>
      <c r="O3839" t="s">
        <v>18162</v>
      </c>
      <c r="P3839">
        <v>50100</v>
      </c>
      <c r="Q3839" t="str">
        <f>"40.294591"</f>
        <v>40.294591</v>
      </c>
      <c r="R3839" t="str">
        <f>"21.783317"</f>
        <v>21.783317</v>
      </c>
      <c r="S3839" t="s">
        <v>26</v>
      </c>
    </row>
    <row r="3840" spans="1:19" x14ac:dyDescent="0.3">
      <c r="A3840" t="s">
        <v>17244</v>
      </c>
      <c r="B3840" t="s">
        <v>18072</v>
      </c>
      <c r="C3840" t="s">
        <v>18163</v>
      </c>
      <c r="D3840" t="s">
        <v>17255</v>
      </c>
      <c r="E3840" t="s">
        <v>17255</v>
      </c>
      <c r="F3840" t="s">
        <v>17255</v>
      </c>
      <c r="G3840" t="s">
        <v>17255</v>
      </c>
      <c r="H3840" t="s">
        <v>868</v>
      </c>
      <c r="I3840" t="s">
        <v>869</v>
      </c>
      <c r="J3840" t="str">
        <f>"9270215"</f>
        <v>9270215</v>
      </c>
      <c r="K3840">
        <v>2461034892</v>
      </c>
      <c r="L3840">
        <v>2461034892</v>
      </c>
      <c r="M3840" t="s">
        <v>18164</v>
      </c>
      <c r="N3840" t="s">
        <v>17258</v>
      </c>
      <c r="O3840" t="s">
        <v>18165</v>
      </c>
      <c r="P3840">
        <v>50100</v>
      </c>
      <c r="Q3840" t="str">
        <f>"40.299471"</f>
        <v>40.299471</v>
      </c>
      <c r="R3840" t="str">
        <f>"21.786519"</f>
        <v>21.786519</v>
      </c>
      <c r="S3840" t="s">
        <v>26</v>
      </c>
    </row>
    <row r="3841" spans="1:19" x14ac:dyDescent="0.3">
      <c r="A3841" t="s">
        <v>17244</v>
      </c>
      <c r="B3841" t="s">
        <v>18072</v>
      </c>
      <c r="C3841" t="s">
        <v>18167</v>
      </c>
      <c r="D3841" t="s">
        <v>17255</v>
      </c>
      <c r="E3841" t="s">
        <v>17460</v>
      </c>
      <c r="F3841" t="s">
        <v>17460</v>
      </c>
      <c r="G3841" t="s">
        <v>18166</v>
      </c>
      <c r="H3841" t="s">
        <v>868</v>
      </c>
      <c r="I3841" t="s">
        <v>869</v>
      </c>
      <c r="J3841" t="str">
        <f>"9270255"</f>
        <v>9270255</v>
      </c>
      <c r="K3841">
        <v>2464021943</v>
      </c>
      <c r="L3841">
        <v>2464021943</v>
      </c>
      <c r="M3841" t="s">
        <v>18168</v>
      </c>
      <c r="N3841" t="s">
        <v>18169</v>
      </c>
      <c r="O3841" t="s">
        <v>18169</v>
      </c>
      <c r="P3841">
        <v>50500</v>
      </c>
      <c r="Q3841" t="str">
        <f>"40.200479"</f>
        <v>40.200479</v>
      </c>
      <c r="R3841" t="str">
        <f>"22.024411"</f>
        <v>22.024411</v>
      </c>
      <c r="S3841" t="s">
        <v>26</v>
      </c>
    </row>
    <row r="3842" spans="1:19" x14ac:dyDescent="0.3">
      <c r="A3842" t="s">
        <v>17244</v>
      </c>
      <c r="B3842" t="s">
        <v>18072</v>
      </c>
      <c r="C3842" t="s">
        <v>18170</v>
      </c>
      <c r="D3842" t="s">
        <v>17255</v>
      </c>
      <c r="E3842" t="s">
        <v>17460</v>
      </c>
      <c r="F3842" t="s">
        <v>17460</v>
      </c>
      <c r="G3842" t="s">
        <v>17460</v>
      </c>
      <c r="H3842" t="s">
        <v>868</v>
      </c>
      <c r="I3842" t="s">
        <v>869</v>
      </c>
      <c r="J3842" t="str">
        <f>"9270263"</f>
        <v>9270263</v>
      </c>
      <c r="K3842">
        <v>2464021597</v>
      </c>
      <c r="L3842">
        <v>2464021597</v>
      </c>
      <c r="M3842" t="s">
        <v>18171</v>
      </c>
      <c r="N3842" t="s">
        <v>18172</v>
      </c>
      <c r="O3842" t="s">
        <v>18173</v>
      </c>
      <c r="P3842">
        <v>50500</v>
      </c>
      <c r="Q3842" t="str">
        <f>"40.185309"</f>
        <v>40.185309</v>
      </c>
      <c r="R3842" t="str">
        <f>"21.999911"</f>
        <v>21.999911</v>
      </c>
      <c r="S3842" t="s">
        <v>26</v>
      </c>
    </row>
    <row r="3843" spans="1:19" x14ac:dyDescent="0.3">
      <c r="A3843" t="s">
        <v>17244</v>
      </c>
      <c r="B3843" t="s">
        <v>18072</v>
      </c>
      <c r="C3843" t="s">
        <v>18175</v>
      </c>
      <c r="D3843" t="s">
        <v>17255</v>
      </c>
      <c r="E3843" t="s">
        <v>17434</v>
      </c>
      <c r="F3843" t="s">
        <v>17435</v>
      </c>
      <c r="G3843" t="s">
        <v>18174</v>
      </c>
      <c r="H3843" t="s">
        <v>868</v>
      </c>
      <c r="I3843" t="s">
        <v>869</v>
      </c>
      <c r="J3843" t="str">
        <f>"9270031"</f>
        <v>9270031</v>
      </c>
      <c r="K3843">
        <v>2465031218</v>
      </c>
      <c r="L3843">
        <v>2465031218</v>
      </c>
      <c r="M3843" t="s">
        <v>18176</v>
      </c>
      <c r="N3843" t="s">
        <v>17434</v>
      </c>
      <c r="O3843" t="s">
        <v>18177</v>
      </c>
      <c r="P3843">
        <v>50003</v>
      </c>
      <c r="Q3843" t="str">
        <f>"40.344363"</f>
        <v>40.344363</v>
      </c>
      <c r="R3843" t="str">
        <f>"21.509823"</f>
        <v>21.509823</v>
      </c>
      <c r="S3843" t="s">
        <v>26</v>
      </c>
    </row>
    <row r="3844" spans="1:19" x14ac:dyDescent="0.3">
      <c r="A3844" t="s">
        <v>17244</v>
      </c>
      <c r="B3844" t="s">
        <v>18072</v>
      </c>
      <c r="C3844" t="s">
        <v>17441</v>
      </c>
      <c r="D3844" t="s">
        <v>17255</v>
      </c>
      <c r="E3844" t="s">
        <v>17434</v>
      </c>
      <c r="F3844" t="s">
        <v>17435</v>
      </c>
      <c r="G3844" t="s">
        <v>17436</v>
      </c>
      <c r="H3844" t="s">
        <v>868</v>
      </c>
      <c r="I3844" t="s">
        <v>869</v>
      </c>
      <c r="J3844" t="str">
        <f>"9270022"</f>
        <v>9270022</v>
      </c>
      <c r="K3844">
        <v>2465041204</v>
      </c>
      <c r="L3844">
        <v>2465041204</v>
      </c>
      <c r="M3844" t="s">
        <v>18178</v>
      </c>
      <c r="N3844" t="s">
        <v>17440</v>
      </c>
      <c r="O3844" t="s">
        <v>18179</v>
      </c>
      <c r="P3844">
        <v>50300</v>
      </c>
      <c r="Q3844" t="str">
        <f>"40.319243"</f>
        <v>40.319243</v>
      </c>
      <c r="R3844" t="str">
        <f>"21.554368"</f>
        <v>21.554368</v>
      </c>
      <c r="S3844" t="s">
        <v>26</v>
      </c>
    </row>
    <row r="3845" spans="1:19" x14ac:dyDescent="0.3">
      <c r="A3845" t="s">
        <v>17244</v>
      </c>
      <c r="B3845" t="s">
        <v>18072</v>
      </c>
      <c r="C3845" t="s">
        <v>18180</v>
      </c>
      <c r="D3845" t="s">
        <v>17255</v>
      </c>
      <c r="E3845" t="s">
        <v>17488</v>
      </c>
      <c r="F3845" t="s">
        <v>17576</v>
      </c>
      <c r="G3845" t="s">
        <v>18095</v>
      </c>
      <c r="H3845" t="s">
        <v>868</v>
      </c>
      <c r="I3845" t="s">
        <v>869</v>
      </c>
      <c r="J3845" t="str">
        <f>"9270145"</f>
        <v>9270145</v>
      </c>
      <c r="K3845">
        <v>2463061423</v>
      </c>
      <c r="L3845">
        <v>2463061423</v>
      </c>
      <c r="M3845" t="s">
        <v>18181</v>
      </c>
      <c r="N3845" t="s">
        <v>18182</v>
      </c>
      <c r="O3845" t="s">
        <v>18183</v>
      </c>
      <c r="P3845">
        <v>50005</v>
      </c>
      <c r="Q3845" t="str">
        <f>"40.515196"</f>
        <v>40.515196</v>
      </c>
      <c r="R3845" t="str">
        <f>"21.544348"</f>
        <v>21.544348</v>
      </c>
      <c r="S3845" t="s">
        <v>26</v>
      </c>
    </row>
    <row r="3846" spans="1:19" x14ac:dyDescent="0.3">
      <c r="A3846" t="s">
        <v>17244</v>
      </c>
      <c r="B3846" t="s">
        <v>18072</v>
      </c>
      <c r="C3846" t="s">
        <v>18184</v>
      </c>
      <c r="D3846" t="s">
        <v>17255</v>
      </c>
      <c r="E3846" t="s">
        <v>17255</v>
      </c>
      <c r="F3846" t="s">
        <v>17255</v>
      </c>
      <c r="G3846" t="s">
        <v>17255</v>
      </c>
      <c r="H3846" t="s">
        <v>868</v>
      </c>
      <c r="I3846" t="s">
        <v>869</v>
      </c>
      <c r="J3846" t="str">
        <f>"9270162"</f>
        <v>9270162</v>
      </c>
      <c r="K3846">
        <v>2461034696</v>
      </c>
      <c r="L3846">
        <v>2461034696</v>
      </c>
      <c r="M3846" t="s">
        <v>18185</v>
      </c>
      <c r="N3846" t="s">
        <v>17258</v>
      </c>
      <c r="O3846" t="s">
        <v>18080</v>
      </c>
      <c r="P3846">
        <v>50100</v>
      </c>
      <c r="Q3846" t="str">
        <f>"40.303097"</f>
        <v>40.303097</v>
      </c>
      <c r="R3846" t="str">
        <f>"21.791838"</f>
        <v>21.791838</v>
      </c>
      <c r="S3846" t="s">
        <v>26</v>
      </c>
    </row>
    <row r="3847" spans="1:19" x14ac:dyDescent="0.3">
      <c r="A3847" t="s">
        <v>17244</v>
      </c>
      <c r="B3847" t="s">
        <v>18072</v>
      </c>
      <c r="C3847" t="s">
        <v>18186</v>
      </c>
      <c r="D3847" t="s">
        <v>17255</v>
      </c>
      <c r="E3847" t="s">
        <v>17460</v>
      </c>
      <c r="F3847" t="s">
        <v>17636</v>
      </c>
      <c r="G3847" t="s">
        <v>17637</v>
      </c>
      <c r="H3847" t="s">
        <v>868</v>
      </c>
      <c r="I3847" t="s">
        <v>869</v>
      </c>
      <c r="J3847" t="str">
        <f>"9270267"</f>
        <v>9270267</v>
      </c>
      <c r="K3847">
        <v>2464051267</v>
      </c>
      <c r="L3847">
        <v>2464051267</v>
      </c>
      <c r="M3847" t="s">
        <v>18187</v>
      </c>
      <c r="N3847" t="s">
        <v>18188</v>
      </c>
      <c r="O3847" t="s">
        <v>17641</v>
      </c>
      <c r="P3847">
        <v>50500</v>
      </c>
      <c r="Q3847" t="str">
        <f>"40.060250"</f>
        <v>40.060250</v>
      </c>
      <c r="R3847" t="str">
        <f>"21.867011"</f>
        <v>21.867011</v>
      </c>
      <c r="S3847" t="s">
        <v>26</v>
      </c>
    </row>
    <row r="3848" spans="1:19" x14ac:dyDescent="0.3">
      <c r="A3848" t="s">
        <v>17244</v>
      </c>
      <c r="B3848" t="s">
        <v>18072</v>
      </c>
      <c r="C3848" t="s">
        <v>18189</v>
      </c>
      <c r="D3848" t="s">
        <v>17255</v>
      </c>
      <c r="E3848" t="s">
        <v>17255</v>
      </c>
      <c r="F3848" t="s">
        <v>17614</v>
      </c>
      <c r="G3848" t="s">
        <v>17615</v>
      </c>
      <c r="H3848" t="s">
        <v>868</v>
      </c>
      <c r="I3848" t="s">
        <v>869</v>
      </c>
      <c r="J3848" t="str">
        <f>"9270196"</f>
        <v>9270196</v>
      </c>
      <c r="K3848">
        <v>2461063235</v>
      </c>
      <c r="M3848" t="s">
        <v>18190</v>
      </c>
      <c r="N3848" t="s">
        <v>18191</v>
      </c>
      <c r="P3848">
        <v>50010</v>
      </c>
      <c r="Q3848" t="str">
        <f>"40.261214"</f>
        <v>40.261214</v>
      </c>
      <c r="R3848" t="str">
        <f>"21.816287"</f>
        <v>21.816287</v>
      </c>
      <c r="S3848" t="s">
        <v>26</v>
      </c>
    </row>
    <row r="3849" spans="1:19" x14ac:dyDescent="0.3">
      <c r="A3849" t="s">
        <v>17244</v>
      </c>
      <c r="B3849" t="s">
        <v>18072</v>
      </c>
      <c r="C3849" t="s">
        <v>18194</v>
      </c>
      <c r="D3849" t="s">
        <v>17255</v>
      </c>
      <c r="E3849" t="s">
        <v>17255</v>
      </c>
      <c r="F3849" t="s">
        <v>18192</v>
      </c>
      <c r="G3849" t="s">
        <v>18193</v>
      </c>
      <c r="H3849" t="s">
        <v>868</v>
      </c>
      <c r="I3849" t="s">
        <v>869</v>
      </c>
      <c r="J3849" t="str">
        <f>"9270158"</f>
        <v>9270158</v>
      </c>
      <c r="K3849">
        <v>2461096244</v>
      </c>
      <c r="L3849">
        <v>2461096244</v>
      </c>
      <c r="M3849" t="s">
        <v>18195</v>
      </c>
      <c r="N3849" t="s">
        <v>18196</v>
      </c>
      <c r="O3849" t="s">
        <v>18196</v>
      </c>
      <c r="P3849">
        <v>50200</v>
      </c>
      <c r="Q3849" t="str">
        <f>"40.410005"</f>
        <v>40.410005</v>
      </c>
      <c r="R3849" t="str">
        <f>"21.760318"</f>
        <v>21.760318</v>
      </c>
      <c r="S3849" t="s">
        <v>26</v>
      </c>
    </row>
    <row r="3850" spans="1:19" x14ac:dyDescent="0.3">
      <c r="A3850" t="s">
        <v>17244</v>
      </c>
      <c r="B3850" t="s">
        <v>18072</v>
      </c>
      <c r="C3850" t="s">
        <v>17592</v>
      </c>
      <c r="D3850" t="s">
        <v>17255</v>
      </c>
      <c r="E3850" t="s">
        <v>17434</v>
      </c>
      <c r="F3850" t="s">
        <v>17586</v>
      </c>
      <c r="G3850" t="s">
        <v>17587</v>
      </c>
      <c r="H3850" t="s">
        <v>868</v>
      </c>
      <c r="I3850" t="s">
        <v>869</v>
      </c>
      <c r="J3850" t="str">
        <f>"9270071"</f>
        <v>9270071</v>
      </c>
      <c r="K3850">
        <v>2468032167</v>
      </c>
      <c r="L3850">
        <v>2468049004</v>
      </c>
      <c r="M3850" t="s">
        <v>18200</v>
      </c>
      <c r="N3850" t="s">
        <v>17590</v>
      </c>
      <c r="O3850" t="s">
        <v>11846</v>
      </c>
      <c r="P3850">
        <v>50002</v>
      </c>
      <c r="Q3850" t="str">
        <f>"40.262523"</f>
        <v>40.262523</v>
      </c>
      <c r="R3850" t="str">
        <f>"21.323188"</f>
        <v>21.323188</v>
      </c>
      <c r="S3850" t="s">
        <v>26</v>
      </c>
    </row>
    <row r="3851" spans="1:19" x14ac:dyDescent="0.3">
      <c r="A3851" t="s">
        <v>17244</v>
      </c>
      <c r="B3851" t="s">
        <v>18072</v>
      </c>
      <c r="C3851" t="s">
        <v>17667</v>
      </c>
      <c r="D3851" t="s">
        <v>17255</v>
      </c>
      <c r="E3851" t="s">
        <v>17255</v>
      </c>
      <c r="F3851" t="s">
        <v>17255</v>
      </c>
      <c r="G3851" t="s">
        <v>18201</v>
      </c>
      <c r="H3851" t="s">
        <v>868</v>
      </c>
      <c r="I3851" t="s">
        <v>869</v>
      </c>
      <c r="J3851" t="str">
        <f>"9270178"</f>
        <v>9270178</v>
      </c>
      <c r="K3851">
        <v>2461095210</v>
      </c>
      <c r="L3851">
        <v>2461095210</v>
      </c>
      <c r="M3851" t="s">
        <v>18202</v>
      </c>
      <c r="N3851" t="s">
        <v>18203</v>
      </c>
      <c r="O3851" t="s">
        <v>18203</v>
      </c>
      <c r="P3851">
        <v>50100</v>
      </c>
      <c r="Q3851" t="str">
        <f>"40.290098"</f>
        <v>40.290098</v>
      </c>
      <c r="R3851" t="str">
        <f>"21.733283"</f>
        <v>21.733283</v>
      </c>
      <c r="S3851" t="s">
        <v>26</v>
      </c>
    </row>
    <row r="3852" spans="1:19" x14ac:dyDescent="0.3">
      <c r="A3852" t="s">
        <v>17244</v>
      </c>
      <c r="B3852" t="s">
        <v>18072</v>
      </c>
      <c r="C3852" t="s">
        <v>17517</v>
      </c>
      <c r="D3852" t="s">
        <v>17255</v>
      </c>
      <c r="E3852" t="s">
        <v>17460</v>
      </c>
      <c r="F3852" t="s">
        <v>17460</v>
      </c>
      <c r="G3852" t="s">
        <v>17460</v>
      </c>
      <c r="H3852" t="s">
        <v>868</v>
      </c>
      <c r="I3852" t="s">
        <v>869</v>
      </c>
      <c r="J3852" t="str">
        <f>"9270264"</f>
        <v>9270264</v>
      </c>
      <c r="K3852">
        <v>2464021497</v>
      </c>
      <c r="L3852">
        <v>2464021497</v>
      </c>
      <c r="M3852" t="s">
        <v>18207</v>
      </c>
      <c r="N3852" t="s">
        <v>17476</v>
      </c>
      <c r="O3852" t="s">
        <v>18208</v>
      </c>
      <c r="P3852">
        <v>50500</v>
      </c>
      <c r="Q3852" t="str">
        <f>"40.184385"</f>
        <v>40.184385</v>
      </c>
      <c r="R3852" t="str">
        <f>"21.998068"</f>
        <v>21.998068</v>
      </c>
      <c r="S3852" t="s">
        <v>26</v>
      </c>
    </row>
    <row r="3853" spans="1:19" x14ac:dyDescent="0.3">
      <c r="A3853" t="s">
        <v>17244</v>
      </c>
      <c r="B3853" t="s">
        <v>18072</v>
      </c>
      <c r="C3853" t="s">
        <v>18222</v>
      </c>
      <c r="D3853" t="s">
        <v>17255</v>
      </c>
      <c r="E3853" t="s">
        <v>17255</v>
      </c>
      <c r="F3853" t="s">
        <v>17255</v>
      </c>
      <c r="G3853" t="s">
        <v>17255</v>
      </c>
      <c r="H3853" t="s">
        <v>868</v>
      </c>
      <c r="I3853" t="s">
        <v>869</v>
      </c>
      <c r="J3853" t="str">
        <f>"9270220"</f>
        <v>9270220</v>
      </c>
      <c r="K3853">
        <v>2461022868</v>
      </c>
      <c r="L3853">
        <v>2461022868</v>
      </c>
      <c r="M3853" t="s">
        <v>18223</v>
      </c>
      <c r="N3853" t="s">
        <v>17258</v>
      </c>
      <c r="O3853" t="s">
        <v>18224</v>
      </c>
      <c r="P3853">
        <v>50100</v>
      </c>
      <c r="Q3853" t="str">
        <f>"40.305971"</f>
        <v>40.305971</v>
      </c>
      <c r="R3853" t="str">
        <f>"21.791178"</f>
        <v>21.791178</v>
      </c>
      <c r="S3853" t="s">
        <v>26</v>
      </c>
    </row>
    <row r="3854" spans="1:19" x14ac:dyDescent="0.3">
      <c r="A3854" t="s">
        <v>17244</v>
      </c>
      <c r="B3854" t="s">
        <v>18072</v>
      </c>
      <c r="C3854" t="s">
        <v>17609</v>
      </c>
      <c r="D3854" t="s">
        <v>17255</v>
      </c>
      <c r="E3854" t="s">
        <v>17460</v>
      </c>
      <c r="F3854" t="s">
        <v>17604</v>
      </c>
      <c r="G3854" t="s">
        <v>17604</v>
      </c>
      <c r="H3854" t="s">
        <v>868</v>
      </c>
      <c r="I3854" t="s">
        <v>869</v>
      </c>
      <c r="J3854" t="str">
        <f>"9270246"</f>
        <v>9270246</v>
      </c>
      <c r="K3854">
        <v>2464041271</v>
      </c>
      <c r="L3854">
        <v>2464041271</v>
      </c>
      <c r="M3854" t="s">
        <v>18229</v>
      </c>
      <c r="N3854" t="s">
        <v>17608</v>
      </c>
      <c r="O3854" t="s">
        <v>18230</v>
      </c>
      <c r="P3854">
        <v>50500</v>
      </c>
      <c r="Q3854" t="str">
        <f>"40.033177"</f>
        <v>40.033177</v>
      </c>
      <c r="R3854" t="str">
        <f>"21.940460"</f>
        <v>21.940460</v>
      </c>
      <c r="S3854" t="s">
        <v>26</v>
      </c>
    </row>
    <row r="3855" spans="1:19" x14ac:dyDescent="0.3">
      <c r="A3855" t="s">
        <v>17244</v>
      </c>
      <c r="B3855" t="s">
        <v>18072</v>
      </c>
      <c r="C3855" t="s">
        <v>17459</v>
      </c>
      <c r="D3855" t="s">
        <v>17255</v>
      </c>
      <c r="E3855" t="s">
        <v>17255</v>
      </c>
      <c r="F3855" t="s">
        <v>17255</v>
      </c>
      <c r="G3855" t="s">
        <v>17255</v>
      </c>
      <c r="H3855" t="s">
        <v>868</v>
      </c>
      <c r="I3855" t="s">
        <v>869</v>
      </c>
      <c r="J3855" t="str">
        <f>"9270329"</f>
        <v>9270329</v>
      </c>
      <c r="K3855">
        <v>2461030271</v>
      </c>
      <c r="L3855">
        <v>2461030271</v>
      </c>
      <c r="M3855" t="s">
        <v>18234</v>
      </c>
      <c r="N3855" t="s">
        <v>17258</v>
      </c>
      <c r="O3855" t="s">
        <v>18235</v>
      </c>
      <c r="P3855">
        <v>50100</v>
      </c>
      <c r="Q3855" t="str">
        <f>"40.290588"</f>
        <v>40.290588</v>
      </c>
      <c r="R3855" t="str">
        <f>"21.787783"</f>
        <v>21.787783</v>
      </c>
      <c r="S3855" t="s">
        <v>26</v>
      </c>
    </row>
    <row r="3856" spans="1:19" x14ac:dyDescent="0.3">
      <c r="A3856" t="s">
        <v>17244</v>
      </c>
      <c r="B3856" t="s">
        <v>18072</v>
      </c>
      <c r="C3856" t="s">
        <v>18239</v>
      </c>
      <c r="D3856" t="s">
        <v>17255</v>
      </c>
      <c r="E3856" t="s">
        <v>17255</v>
      </c>
      <c r="F3856" t="s">
        <v>17255</v>
      </c>
      <c r="G3856" t="s">
        <v>17255</v>
      </c>
      <c r="H3856" t="s">
        <v>868</v>
      </c>
      <c r="I3856" t="s">
        <v>869</v>
      </c>
      <c r="J3856" t="str">
        <f>"9270222"</f>
        <v>9270222</v>
      </c>
      <c r="K3856">
        <v>2461030661</v>
      </c>
      <c r="L3856">
        <v>2461030661</v>
      </c>
      <c r="M3856" t="s">
        <v>18240</v>
      </c>
      <c r="N3856" t="s">
        <v>17258</v>
      </c>
      <c r="O3856" t="s">
        <v>18241</v>
      </c>
      <c r="P3856">
        <v>50100</v>
      </c>
      <c r="Q3856" t="str">
        <f>"40.296739"</f>
        <v>40.296739</v>
      </c>
      <c r="R3856" t="str">
        <f>"21.781375"</f>
        <v>21.781375</v>
      </c>
      <c r="S3856" t="s">
        <v>26</v>
      </c>
    </row>
    <row r="3857" spans="1:19" x14ac:dyDescent="0.3">
      <c r="A3857" t="s">
        <v>17244</v>
      </c>
      <c r="B3857" t="s">
        <v>18072</v>
      </c>
      <c r="C3857" t="s">
        <v>18242</v>
      </c>
      <c r="D3857" t="s">
        <v>17255</v>
      </c>
      <c r="E3857" t="s">
        <v>17255</v>
      </c>
      <c r="F3857" t="s">
        <v>17255</v>
      </c>
      <c r="G3857" t="s">
        <v>17255</v>
      </c>
      <c r="H3857" t="s">
        <v>868</v>
      </c>
      <c r="I3857" t="s">
        <v>869</v>
      </c>
      <c r="J3857" t="str">
        <f>"9270312"</f>
        <v>9270312</v>
      </c>
      <c r="K3857">
        <v>2461035482</v>
      </c>
      <c r="L3857">
        <v>2461035482</v>
      </c>
      <c r="M3857" t="s">
        <v>18243</v>
      </c>
      <c r="N3857" t="s">
        <v>17258</v>
      </c>
      <c r="O3857" t="s">
        <v>18241</v>
      </c>
      <c r="P3857">
        <v>50100</v>
      </c>
      <c r="Q3857" t="str">
        <f>"40.297074"</f>
        <v>40.297074</v>
      </c>
      <c r="R3857" t="str">
        <f>"21.781579"</f>
        <v>21.781579</v>
      </c>
      <c r="S3857" t="s">
        <v>26</v>
      </c>
    </row>
    <row r="3858" spans="1:19" x14ac:dyDescent="0.3">
      <c r="A3858" t="s">
        <v>17244</v>
      </c>
      <c r="B3858" t="s">
        <v>18072</v>
      </c>
      <c r="C3858" t="s">
        <v>17572</v>
      </c>
      <c r="D3858" t="s">
        <v>17255</v>
      </c>
      <c r="E3858" t="s">
        <v>17434</v>
      </c>
      <c r="F3858" t="s">
        <v>15257</v>
      </c>
      <c r="G3858" t="s">
        <v>15257</v>
      </c>
      <c r="H3858" t="s">
        <v>868</v>
      </c>
      <c r="I3858" t="s">
        <v>950</v>
      </c>
      <c r="J3858" t="str">
        <f>"9270054"</f>
        <v>9270054</v>
      </c>
      <c r="K3858">
        <v>2468041211</v>
      </c>
      <c r="L3858">
        <v>2468041211</v>
      </c>
      <c r="M3858" t="s">
        <v>18252</v>
      </c>
      <c r="N3858" t="s">
        <v>15374</v>
      </c>
      <c r="O3858" t="s">
        <v>15257</v>
      </c>
      <c r="P3858">
        <v>50007</v>
      </c>
      <c r="Q3858" t="str">
        <f>"40.192918"</f>
        <v>40.192918</v>
      </c>
      <c r="R3858" t="str">
        <f>"21.142967"</f>
        <v>21.142967</v>
      </c>
      <c r="S3858" t="s">
        <v>57</v>
      </c>
    </row>
    <row r="3859" spans="1:19" x14ac:dyDescent="0.3">
      <c r="A3859" t="s">
        <v>17244</v>
      </c>
      <c r="B3859" t="s">
        <v>18072</v>
      </c>
      <c r="C3859" t="s">
        <v>17654</v>
      </c>
      <c r="D3859" t="s">
        <v>17255</v>
      </c>
      <c r="E3859" t="s">
        <v>17255</v>
      </c>
      <c r="F3859" t="s">
        <v>17255</v>
      </c>
      <c r="G3859" t="s">
        <v>17255</v>
      </c>
      <c r="H3859" t="s">
        <v>868</v>
      </c>
      <c r="I3859" t="s">
        <v>869</v>
      </c>
      <c r="J3859" t="str">
        <f>"9270296"</f>
        <v>9270296</v>
      </c>
      <c r="K3859">
        <v>2461035393</v>
      </c>
      <c r="L3859">
        <v>2461035393</v>
      </c>
      <c r="M3859" t="s">
        <v>18253</v>
      </c>
      <c r="N3859" t="s">
        <v>17258</v>
      </c>
      <c r="O3859" t="s">
        <v>18254</v>
      </c>
      <c r="P3859">
        <v>50131</v>
      </c>
      <c r="Q3859" t="str">
        <f>"40.308274"</f>
        <v>40.308274</v>
      </c>
      <c r="R3859" t="str">
        <f>"21.784918"</f>
        <v>21.784918</v>
      </c>
      <c r="S3859" t="s">
        <v>26</v>
      </c>
    </row>
    <row r="3860" spans="1:19" x14ac:dyDescent="0.3">
      <c r="A3860" t="s">
        <v>17244</v>
      </c>
      <c r="B3860" t="s">
        <v>18072</v>
      </c>
      <c r="C3860" t="s">
        <v>17480</v>
      </c>
      <c r="D3860" t="s">
        <v>17255</v>
      </c>
      <c r="E3860" t="s">
        <v>17255</v>
      </c>
      <c r="F3860" t="s">
        <v>17255</v>
      </c>
      <c r="G3860" t="s">
        <v>17255</v>
      </c>
      <c r="H3860" t="s">
        <v>868</v>
      </c>
      <c r="I3860" t="s">
        <v>869</v>
      </c>
      <c r="J3860" t="str">
        <f>"9270270"</f>
        <v>9270270</v>
      </c>
      <c r="K3860">
        <v>2461022163</v>
      </c>
      <c r="L3860">
        <v>2461022163</v>
      </c>
      <c r="M3860" t="s">
        <v>18255</v>
      </c>
      <c r="N3860" t="s">
        <v>17258</v>
      </c>
      <c r="O3860" t="s">
        <v>18256</v>
      </c>
      <c r="P3860">
        <v>50100</v>
      </c>
      <c r="Q3860" t="str">
        <f>"40.295879"</f>
        <v>40.295879</v>
      </c>
      <c r="R3860" t="str">
        <f>"21.797049"</f>
        <v>21.797049</v>
      </c>
      <c r="S3860" t="s">
        <v>26</v>
      </c>
    </row>
    <row r="3861" spans="1:19" x14ac:dyDescent="0.3">
      <c r="A3861" t="s">
        <v>17244</v>
      </c>
      <c r="B3861" t="s">
        <v>18072</v>
      </c>
      <c r="C3861" t="s">
        <v>17647</v>
      </c>
      <c r="D3861" t="s">
        <v>17255</v>
      </c>
      <c r="E3861" t="s">
        <v>17255</v>
      </c>
      <c r="F3861" t="s">
        <v>17642</v>
      </c>
      <c r="G3861" t="s">
        <v>17642</v>
      </c>
      <c r="H3861" t="s">
        <v>868</v>
      </c>
      <c r="I3861" t="s">
        <v>869</v>
      </c>
      <c r="J3861" t="str">
        <f>"9270172"</f>
        <v>9270172</v>
      </c>
      <c r="K3861">
        <v>2461098203</v>
      </c>
      <c r="L3861">
        <v>2461098203</v>
      </c>
      <c r="M3861" t="s">
        <v>18257</v>
      </c>
      <c r="N3861" t="s">
        <v>18258</v>
      </c>
      <c r="O3861" t="s">
        <v>17647</v>
      </c>
      <c r="P3861">
        <v>50004</v>
      </c>
      <c r="Q3861" t="str">
        <f>"40.163664"</f>
        <v>40.163664</v>
      </c>
      <c r="R3861" t="str">
        <f>"21.819665"</f>
        <v>21.819665</v>
      </c>
      <c r="S3861" t="s">
        <v>26</v>
      </c>
    </row>
    <row r="3862" spans="1:19" x14ac:dyDescent="0.3">
      <c r="A3862" t="s">
        <v>17244</v>
      </c>
      <c r="B3862" t="s">
        <v>18072</v>
      </c>
      <c r="C3862" t="s">
        <v>18260</v>
      </c>
      <c r="D3862" t="s">
        <v>17255</v>
      </c>
      <c r="E3862" t="s">
        <v>17460</v>
      </c>
      <c r="F3862" t="s">
        <v>17460</v>
      </c>
      <c r="G3862" t="s">
        <v>18259</v>
      </c>
      <c r="H3862" t="s">
        <v>868</v>
      </c>
      <c r="I3862" t="s">
        <v>869</v>
      </c>
      <c r="J3862" t="str">
        <f>"9270226"</f>
        <v>9270226</v>
      </c>
      <c r="K3862">
        <v>2461071261</v>
      </c>
      <c r="L3862">
        <v>2461071261</v>
      </c>
      <c r="M3862" t="s">
        <v>18261</v>
      </c>
      <c r="N3862" t="s">
        <v>18262</v>
      </c>
      <c r="O3862" t="s">
        <v>18262</v>
      </c>
      <c r="P3862">
        <v>50100</v>
      </c>
      <c r="Q3862" t="str">
        <f>"40.264837"</f>
        <v>40.264837</v>
      </c>
      <c r="R3862" t="str">
        <f>"21.928170"</f>
        <v>21.928170</v>
      </c>
      <c r="S3862" t="s">
        <v>26</v>
      </c>
    </row>
    <row r="3863" spans="1:19" x14ac:dyDescent="0.3">
      <c r="A3863" t="s">
        <v>17244</v>
      </c>
      <c r="B3863" t="s">
        <v>18072</v>
      </c>
      <c r="C3863" t="s">
        <v>18266</v>
      </c>
      <c r="D3863" t="s">
        <v>17255</v>
      </c>
      <c r="E3863" t="s">
        <v>17488</v>
      </c>
      <c r="F3863" t="s">
        <v>17489</v>
      </c>
      <c r="G3863" t="s">
        <v>17490</v>
      </c>
      <c r="H3863" t="s">
        <v>868</v>
      </c>
      <c r="I3863" t="s">
        <v>1157</v>
      </c>
      <c r="J3863" t="str">
        <f>"9270386"</f>
        <v>9270386</v>
      </c>
      <c r="K3863">
        <v>2463081144</v>
      </c>
      <c r="L3863">
        <v>2463055536</v>
      </c>
      <c r="M3863" t="s">
        <v>18267</v>
      </c>
      <c r="N3863" t="s">
        <v>17489</v>
      </c>
      <c r="O3863" t="s">
        <v>18268</v>
      </c>
      <c r="P3863">
        <v>50200</v>
      </c>
      <c r="Q3863" t="str">
        <f>"40.515158"</f>
        <v>40.515158</v>
      </c>
      <c r="R3863" t="str">
        <f>"21.661102"</f>
        <v>21.661102</v>
      </c>
      <c r="S3863" t="s">
        <v>26</v>
      </c>
    </row>
    <row r="3864" spans="1:19" x14ac:dyDescent="0.3">
      <c r="A3864" t="s">
        <v>17244</v>
      </c>
      <c r="B3864" t="s">
        <v>18072</v>
      </c>
      <c r="C3864" t="s">
        <v>18269</v>
      </c>
      <c r="D3864" t="s">
        <v>17255</v>
      </c>
      <c r="E3864" t="s">
        <v>17255</v>
      </c>
      <c r="F3864" t="s">
        <v>17255</v>
      </c>
      <c r="G3864" t="s">
        <v>17255</v>
      </c>
      <c r="H3864" t="s">
        <v>868</v>
      </c>
      <c r="I3864" t="s">
        <v>1157</v>
      </c>
      <c r="J3864" t="str">
        <f>"9270357"</f>
        <v>9270357</v>
      </c>
      <c r="K3864">
        <v>2461025183</v>
      </c>
      <c r="L3864">
        <v>2461025183</v>
      </c>
      <c r="M3864" t="s">
        <v>18270</v>
      </c>
      <c r="N3864" t="s">
        <v>17258</v>
      </c>
      <c r="O3864" t="s">
        <v>18271</v>
      </c>
      <c r="P3864">
        <v>50100</v>
      </c>
      <c r="Q3864" t="str">
        <f>"40.383300"</f>
        <v>40.383300</v>
      </c>
      <c r="R3864" t="str">
        <f>"21.966700"</f>
        <v>21.966700</v>
      </c>
      <c r="S3864" t="s">
        <v>26</v>
      </c>
    </row>
    <row r="3865" spans="1:19" x14ac:dyDescent="0.3">
      <c r="A3865" t="s">
        <v>17244</v>
      </c>
      <c r="B3865" t="s">
        <v>18072</v>
      </c>
      <c r="C3865" t="s">
        <v>17557</v>
      </c>
      <c r="D3865" t="s">
        <v>17255</v>
      </c>
      <c r="E3865" t="s">
        <v>17255</v>
      </c>
      <c r="F3865" t="s">
        <v>17551</v>
      </c>
      <c r="G3865" t="s">
        <v>3295</v>
      </c>
      <c r="H3865" t="s">
        <v>868</v>
      </c>
      <c r="I3865" t="s">
        <v>869</v>
      </c>
      <c r="J3865" t="str">
        <f>"9270170"</f>
        <v>9270170</v>
      </c>
      <c r="K3865">
        <v>2461094207</v>
      </c>
      <c r="L3865">
        <v>2461094207</v>
      </c>
      <c r="M3865" t="s">
        <v>18276</v>
      </c>
      <c r="N3865" t="s">
        <v>18277</v>
      </c>
      <c r="O3865" t="s">
        <v>3472</v>
      </c>
      <c r="P3865">
        <v>50100</v>
      </c>
      <c r="Q3865" t="str">
        <f>"40.411251"</f>
        <v>40.411251</v>
      </c>
      <c r="R3865" t="str">
        <f>"21.929430"</f>
        <v>21.929430</v>
      </c>
      <c r="S3865" t="s">
        <v>26</v>
      </c>
    </row>
    <row r="3866" spans="1:19" x14ac:dyDescent="0.3">
      <c r="A3866" t="s">
        <v>17244</v>
      </c>
      <c r="B3866" t="s">
        <v>18072</v>
      </c>
      <c r="C3866" t="s">
        <v>18284</v>
      </c>
      <c r="D3866" t="s">
        <v>17255</v>
      </c>
      <c r="E3866" t="s">
        <v>17434</v>
      </c>
      <c r="F3866" t="s">
        <v>17466</v>
      </c>
      <c r="G3866" t="s">
        <v>17467</v>
      </c>
      <c r="H3866" t="s">
        <v>868</v>
      </c>
      <c r="I3866" t="s">
        <v>869</v>
      </c>
      <c r="J3866" t="str">
        <f>"9270297"</f>
        <v>9270297</v>
      </c>
      <c r="K3866">
        <v>2465021865</v>
      </c>
      <c r="L3866">
        <v>2465021865</v>
      </c>
      <c r="M3866" t="s">
        <v>18285</v>
      </c>
      <c r="N3866" t="s">
        <v>18138</v>
      </c>
      <c r="O3866" t="s">
        <v>8806</v>
      </c>
      <c r="P3866">
        <v>50300</v>
      </c>
      <c r="Q3866" t="str">
        <f>"40.258513"</f>
        <v>40.258513</v>
      </c>
      <c r="R3866" t="str">
        <f>"21.555300"</f>
        <v>21.555300</v>
      </c>
      <c r="S3866" t="s">
        <v>26</v>
      </c>
    </row>
    <row r="3867" spans="1:19" x14ac:dyDescent="0.3">
      <c r="A3867" t="s">
        <v>17244</v>
      </c>
      <c r="B3867" t="s">
        <v>18072</v>
      </c>
      <c r="C3867" t="s">
        <v>18286</v>
      </c>
      <c r="D3867" t="s">
        <v>17255</v>
      </c>
      <c r="E3867" t="s">
        <v>17255</v>
      </c>
      <c r="F3867" t="s">
        <v>17255</v>
      </c>
      <c r="G3867" t="s">
        <v>18280</v>
      </c>
      <c r="H3867" t="s">
        <v>868</v>
      </c>
      <c r="I3867" t="s">
        <v>869</v>
      </c>
      <c r="J3867" t="str">
        <f>"9270195"</f>
        <v>9270195</v>
      </c>
      <c r="K3867">
        <v>2461045396</v>
      </c>
      <c r="L3867">
        <v>2461045396</v>
      </c>
      <c r="M3867" t="s">
        <v>18287</v>
      </c>
      <c r="N3867" t="s">
        <v>18288</v>
      </c>
      <c r="O3867" t="s">
        <v>18283</v>
      </c>
      <c r="P3867">
        <v>50100</v>
      </c>
      <c r="Q3867" t="str">
        <f>"40.331483"</f>
        <v>40.331483</v>
      </c>
      <c r="R3867" t="str">
        <f>"21.790999"</f>
        <v>21.790999</v>
      </c>
      <c r="S3867" t="s">
        <v>26</v>
      </c>
    </row>
    <row r="3868" spans="1:19" x14ac:dyDescent="0.3">
      <c r="A3868" t="s">
        <v>17244</v>
      </c>
      <c r="B3868" t="s">
        <v>18072</v>
      </c>
      <c r="C3868" t="s">
        <v>17596</v>
      </c>
      <c r="D3868" t="s">
        <v>17255</v>
      </c>
      <c r="E3868" t="s">
        <v>17434</v>
      </c>
      <c r="F3868" t="s">
        <v>17466</v>
      </c>
      <c r="G3868" t="s">
        <v>17467</v>
      </c>
      <c r="H3868" t="s">
        <v>868</v>
      </c>
      <c r="I3868" t="s">
        <v>869</v>
      </c>
      <c r="J3868" t="str">
        <f>"9270004"</f>
        <v>9270004</v>
      </c>
      <c r="K3868">
        <v>2465021416</v>
      </c>
      <c r="L3868">
        <v>2465021416</v>
      </c>
      <c r="M3868" t="s">
        <v>18289</v>
      </c>
      <c r="N3868" t="s">
        <v>18138</v>
      </c>
      <c r="O3868" t="s">
        <v>18290</v>
      </c>
      <c r="P3868">
        <v>50300</v>
      </c>
      <c r="Q3868" t="str">
        <f>"40.253184"</f>
        <v>40.253184</v>
      </c>
      <c r="R3868" t="str">
        <f>"21.554789"</f>
        <v>21.554789</v>
      </c>
      <c r="S3868" t="s">
        <v>26</v>
      </c>
    </row>
    <row r="3869" spans="1:19" x14ac:dyDescent="0.3">
      <c r="A3869" t="s">
        <v>17244</v>
      </c>
      <c r="B3869" t="s">
        <v>18072</v>
      </c>
      <c r="C3869" t="s">
        <v>18291</v>
      </c>
      <c r="D3869" t="s">
        <v>17255</v>
      </c>
      <c r="E3869" t="s">
        <v>17488</v>
      </c>
      <c r="F3869" t="s">
        <v>17576</v>
      </c>
      <c r="G3869" t="s">
        <v>18087</v>
      </c>
      <c r="H3869" t="s">
        <v>868</v>
      </c>
      <c r="I3869" t="s">
        <v>869</v>
      </c>
      <c r="J3869" t="str">
        <f>"9270107"</f>
        <v>9270107</v>
      </c>
      <c r="K3869">
        <v>2463074292</v>
      </c>
      <c r="L3869">
        <v>2463074292</v>
      </c>
      <c r="M3869" t="s">
        <v>18292</v>
      </c>
      <c r="N3869" t="s">
        <v>18091</v>
      </c>
      <c r="O3869" t="s">
        <v>18091</v>
      </c>
      <c r="P3869">
        <v>50200</v>
      </c>
      <c r="Q3869" t="str">
        <f>"40.478386"</f>
        <v>40.478386</v>
      </c>
      <c r="R3869" t="str">
        <f>"21.634328"</f>
        <v>21.634328</v>
      </c>
      <c r="S3869" t="s">
        <v>26</v>
      </c>
    </row>
    <row r="3870" spans="1:19" x14ac:dyDescent="0.3">
      <c r="A3870" t="s">
        <v>17244</v>
      </c>
      <c r="B3870" t="s">
        <v>18072</v>
      </c>
      <c r="C3870" t="s">
        <v>17674</v>
      </c>
      <c r="D3870" t="s">
        <v>17255</v>
      </c>
      <c r="E3870" t="s">
        <v>17255</v>
      </c>
      <c r="F3870" t="s">
        <v>17614</v>
      </c>
      <c r="G3870" t="s">
        <v>18293</v>
      </c>
      <c r="H3870" t="s">
        <v>868</v>
      </c>
      <c r="I3870" t="s">
        <v>869</v>
      </c>
      <c r="J3870" t="str">
        <f>"9270175"</f>
        <v>9270175</v>
      </c>
      <c r="K3870">
        <v>2461087201</v>
      </c>
      <c r="L3870">
        <v>2461087201</v>
      </c>
      <c r="M3870" t="s">
        <v>18294</v>
      </c>
      <c r="N3870" t="s">
        <v>17673</v>
      </c>
      <c r="O3870" t="s">
        <v>17673</v>
      </c>
      <c r="P3870">
        <v>50010</v>
      </c>
      <c r="Q3870" t="str">
        <f>"40.227576"</f>
        <v>40.227576</v>
      </c>
      <c r="R3870" t="str">
        <f>"21.826209"</f>
        <v>21.826209</v>
      </c>
      <c r="S3870" t="s">
        <v>26</v>
      </c>
    </row>
    <row r="3871" spans="1:19" x14ac:dyDescent="0.3">
      <c r="A3871" t="s">
        <v>17244</v>
      </c>
      <c r="B3871" t="s">
        <v>18072</v>
      </c>
      <c r="C3871" t="s">
        <v>17585</v>
      </c>
      <c r="D3871" t="s">
        <v>17255</v>
      </c>
      <c r="E3871" t="s">
        <v>17488</v>
      </c>
      <c r="F3871" t="s">
        <v>17489</v>
      </c>
      <c r="G3871" t="s">
        <v>17490</v>
      </c>
      <c r="H3871" t="s">
        <v>868</v>
      </c>
      <c r="I3871" t="s">
        <v>869</v>
      </c>
      <c r="J3871" t="str">
        <f>"9270093"</f>
        <v>9270093</v>
      </c>
      <c r="K3871">
        <v>2463024598</v>
      </c>
      <c r="L3871">
        <v>2463024598</v>
      </c>
      <c r="M3871" t="s">
        <v>18303</v>
      </c>
      <c r="N3871" t="s">
        <v>17493</v>
      </c>
      <c r="O3871" t="s">
        <v>18108</v>
      </c>
      <c r="P3871">
        <v>50200</v>
      </c>
      <c r="Q3871" t="str">
        <f>"40.507465"</f>
        <v>40.507465</v>
      </c>
      <c r="R3871" t="str">
        <f>"21.674772"</f>
        <v>21.674772</v>
      </c>
      <c r="S3871" t="s">
        <v>26</v>
      </c>
    </row>
    <row r="3872" spans="1:19" x14ac:dyDescent="0.3">
      <c r="A3872" t="s">
        <v>17244</v>
      </c>
      <c r="B3872" t="s">
        <v>18072</v>
      </c>
      <c r="C3872" t="s">
        <v>18331</v>
      </c>
      <c r="D3872" t="s">
        <v>17255</v>
      </c>
      <c r="E3872" t="s">
        <v>17434</v>
      </c>
      <c r="F3872" t="s">
        <v>17435</v>
      </c>
      <c r="G3872" t="s">
        <v>18330</v>
      </c>
      <c r="H3872" t="s">
        <v>868</v>
      </c>
      <c r="I3872" t="s">
        <v>869</v>
      </c>
      <c r="J3872" t="str">
        <f>"9270033"</f>
        <v>9270033</v>
      </c>
      <c r="K3872">
        <v>2465071110</v>
      </c>
      <c r="L3872">
        <v>2465071110</v>
      </c>
      <c r="M3872" t="s">
        <v>18332</v>
      </c>
      <c r="N3872" t="s">
        <v>18333</v>
      </c>
      <c r="P3872">
        <v>50300</v>
      </c>
      <c r="Q3872" t="str">
        <f>"40.287209"</f>
        <v>40.287209</v>
      </c>
      <c r="R3872" t="str">
        <f>"21.491299"</f>
        <v>21.491299</v>
      </c>
      <c r="S3872" t="s">
        <v>26</v>
      </c>
    </row>
    <row r="3873" spans="1:19" x14ac:dyDescent="0.3">
      <c r="A3873" t="s">
        <v>17244</v>
      </c>
      <c r="B3873" t="s">
        <v>18072</v>
      </c>
      <c r="C3873" t="s">
        <v>18384</v>
      </c>
      <c r="D3873" t="s">
        <v>17255</v>
      </c>
      <c r="E3873" t="s">
        <v>17255</v>
      </c>
      <c r="F3873" t="s">
        <v>17255</v>
      </c>
      <c r="G3873" t="s">
        <v>18341</v>
      </c>
      <c r="H3873" t="s">
        <v>868</v>
      </c>
      <c r="I3873" t="s">
        <v>869</v>
      </c>
      <c r="J3873" t="str">
        <f>"9270254"</f>
        <v>9270254</v>
      </c>
      <c r="K3873">
        <v>2461020138</v>
      </c>
      <c r="L3873">
        <v>2461020138</v>
      </c>
      <c r="M3873" t="s">
        <v>18385</v>
      </c>
      <c r="N3873" t="s">
        <v>18341</v>
      </c>
      <c r="O3873" t="s">
        <v>18344</v>
      </c>
      <c r="P3873">
        <v>50100</v>
      </c>
      <c r="Q3873" t="str">
        <f>"40.290240"</f>
        <v>40.290240</v>
      </c>
      <c r="R3873" t="str">
        <f>"21.864459"</f>
        <v>21.864459</v>
      </c>
      <c r="S3873" t="s">
        <v>26</v>
      </c>
    </row>
    <row r="3874" spans="1:19" x14ac:dyDescent="0.3">
      <c r="A3874" t="s">
        <v>17244</v>
      </c>
      <c r="B3874" t="s">
        <v>18072</v>
      </c>
      <c r="C3874" t="s">
        <v>18391</v>
      </c>
      <c r="D3874" t="s">
        <v>17255</v>
      </c>
      <c r="E3874" t="s">
        <v>17255</v>
      </c>
      <c r="F3874" t="s">
        <v>17255</v>
      </c>
      <c r="G3874" t="s">
        <v>18311</v>
      </c>
      <c r="H3874" t="s">
        <v>868</v>
      </c>
      <c r="I3874" t="s">
        <v>869</v>
      </c>
      <c r="J3874" t="str">
        <f>"9270197"</f>
        <v>9270197</v>
      </c>
      <c r="K3874">
        <v>2461033597</v>
      </c>
      <c r="L3874">
        <v>2461033597</v>
      </c>
      <c r="M3874" t="s">
        <v>18392</v>
      </c>
      <c r="N3874" t="s">
        <v>18393</v>
      </c>
      <c r="O3874" t="s">
        <v>18314</v>
      </c>
      <c r="P3874">
        <v>50131</v>
      </c>
      <c r="Q3874" t="str">
        <f>"40.271473"</f>
        <v>40.271473</v>
      </c>
      <c r="R3874" t="str">
        <f>"21.777052"</f>
        <v>21.777052</v>
      </c>
      <c r="S3874" t="s">
        <v>26</v>
      </c>
    </row>
    <row r="3875" spans="1:19" x14ac:dyDescent="0.3">
      <c r="A3875" t="s">
        <v>17244</v>
      </c>
      <c r="B3875" t="s">
        <v>18072</v>
      </c>
      <c r="C3875" t="s">
        <v>17620</v>
      </c>
      <c r="D3875" t="s">
        <v>17255</v>
      </c>
      <c r="E3875" t="s">
        <v>17255</v>
      </c>
      <c r="F3875" t="s">
        <v>17614</v>
      </c>
      <c r="G3875" t="s">
        <v>17615</v>
      </c>
      <c r="H3875" t="s">
        <v>868</v>
      </c>
      <c r="I3875" t="s">
        <v>869</v>
      </c>
      <c r="J3875" t="str">
        <f>"9270350"</f>
        <v>9270350</v>
      </c>
      <c r="K3875">
        <v>2461063419</v>
      </c>
      <c r="L3875">
        <v>2461063419</v>
      </c>
      <c r="M3875" t="s">
        <v>18394</v>
      </c>
      <c r="N3875" t="s">
        <v>17618</v>
      </c>
      <c r="O3875" t="s">
        <v>18395</v>
      </c>
      <c r="P3875">
        <v>50010</v>
      </c>
      <c r="Q3875" t="str">
        <f>"40.266002"</f>
        <v>40.266002</v>
      </c>
      <c r="R3875" t="str">
        <f>"21.814687"</f>
        <v>21.814687</v>
      </c>
      <c r="S3875" t="s">
        <v>26</v>
      </c>
    </row>
    <row r="3876" spans="1:19" x14ac:dyDescent="0.3">
      <c r="A3876" t="s">
        <v>17244</v>
      </c>
      <c r="B3876" t="s">
        <v>18072</v>
      </c>
      <c r="C3876" t="s">
        <v>18416</v>
      </c>
      <c r="D3876" t="s">
        <v>17255</v>
      </c>
      <c r="E3876" t="s">
        <v>17255</v>
      </c>
      <c r="F3876" t="s">
        <v>18192</v>
      </c>
      <c r="G3876" t="s">
        <v>18415</v>
      </c>
      <c r="H3876" t="s">
        <v>868</v>
      </c>
      <c r="I3876" t="s">
        <v>950</v>
      </c>
      <c r="J3876" t="str">
        <f>"9270203"</f>
        <v>9270203</v>
      </c>
      <c r="K3876">
        <v>2461096214</v>
      </c>
      <c r="L3876">
        <v>2461096214</v>
      </c>
      <c r="M3876" t="s">
        <v>18417</v>
      </c>
      <c r="N3876" t="s">
        <v>18418</v>
      </c>
      <c r="O3876" t="s">
        <v>18418</v>
      </c>
      <c r="P3876">
        <v>50100</v>
      </c>
      <c r="Q3876" t="str">
        <f>"40.382409"</f>
        <v>40.382409</v>
      </c>
      <c r="R3876" t="str">
        <f>"21.771765"</f>
        <v>21.771765</v>
      </c>
      <c r="S3876" t="s">
        <v>26</v>
      </c>
    </row>
    <row r="3877" spans="1:19" x14ac:dyDescent="0.3">
      <c r="A3877" t="s">
        <v>17244</v>
      </c>
      <c r="B3877" t="s">
        <v>18072</v>
      </c>
      <c r="C3877" t="s">
        <v>17465</v>
      </c>
      <c r="D3877" t="s">
        <v>17255</v>
      </c>
      <c r="E3877" t="s">
        <v>17460</v>
      </c>
      <c r="F3877" t="s">
        <v>17460</v>
      </c>
      <c r="G3877" t="s">
        <v>17460</v>
      </c>
      <c r="H3877" t="s">
        <v>868</v>
      </c>
      <c r="I3877" t="s">
        <v>869</v>
      </c>
      <c r="J3877" t="str">
        <f>"9270397"</f>
        <v>9270397</v>
      </c>
      <c r="K3877">
        <v>2464021537</v>
      </c>
      <c r="L3877">
        <v>2464021537</v>
      </c>
      <c r="M3877" t="s">
        <v>18454</v>
      </c>
      <c r="N3877" t="s">
        <v>17463</v>
      </c>
      <c r="O3877" t="s">
        <v>18455</v>
      </c>
      <c r="P3877">
        <v>50500</v>
      </c>
      <c r="Q3877" t="str">
        <f>"40.188045"</f>
        <v>40.188045</v>
      </c>
      <c r="R3877" t="str">
        <f>"22.003052"</f>
        <v>22.003052</v>
      </c>
      <c r="S3877" t="s">
        <v>26</v>
      </c>
    </row>
    <row r="3878" spans="1:19" x14ac:dyDescent="0.3">
      <c r="A3878" t="s">
        <v>17244</v>
      </c>
      <c r="B3878" t="s">
        <v>18072</v>
      </c>
      <c r="C3878" t="s">
        <v>18461</v>
      </c>
      <c r="D3878" t="s">
        <v>17255</v>
      </c>
      <c r="E3878" t="s">
        <v>17255</v>
      </c>
      <c r="F3878" t="s">
        <v>17614</v>
      </c>
      <c r="G3878" t="s">
        <v>18380</v>
      </c>
      <c r="H3878" t="s">
        <v>868</v>
      </c>
      <c r="I3878" t="s">
        <v>950</v>
      </c>
      <c r="J3878" t="str">
        <f>"9270183"</f>
        <v>9270183</v>
      </c>
      <c r="K3878">
        <v>2461087349</v>
      </c>
      <c r="L3878">
        <v>2461087349</v>
      </c>
      <c r="M3878" t="s">
        <v>18462</v>
      </c>
      <c r="N3878" t="s">
        <v>17258</v>
      </c>
      <c r="O3878" t="s">
        <v>18380</v>
      </c>
      <c r="P3878">
        <v>50100</v>
      </c>
      <c r="Q3878" t="str">
        <f>"40.173788"</f>
        <v>40.173788</v>
      </c>
      <c r="R3878" t="str">
        <f>"21.864827"</f>
        <v>21.864827</v>
      </c>
      <c r="S3878" t="s">
        <v>26</v>
      </c>
    </row>
    <row r="3879" spans="1:19" x14ac:dyDescent="0.3">
      <c r="A3879" t="s">
        <v>17244</v>
      </c>
      <c r="B3879" t="s">
        <v>18072</v>
      </c>
      <c r="C3879" t="s">
        <v>17601</v>
      </c>
      <c r="D3879" t="s">
        <v>17255</v>
      </c>
      <c r="E3879" t="s">
        <v>17488</v>
      </c>
      <c r="F3879" t="s">
        <v>17489</v>
      </c>
      <c r="G3879" t="s">
        <v>17597</v>
      </c>
      <c r="H3879" t="s">
        <v>868</v>
      </c>
      <c r="I3879" t="s">
        <v>869</v>
      </c>
      <c r="J3879" t="str">
        <f>"9270136"</f>
        <v>9270136</v>
      </c>
      <c r="K3879">
        <v>2463077241</v>
      </c>
      <c r="L3879">
        <v>2463077071</v>
      </c>
      <c r="M3879" t="s">
        <v>18487</v>
      </c>
      <c r="N3879" t="s">
        <v>18488</v>
      </c>
      <c r="O3879" t="s">
        <v>18488</v>
      </c>
      <c r="P3879">
        <v>50200</v>
      </c>
      <c r="Q3879" t="str">
        <f>"40.560158"</f>
        <v>40.560158</v>
      </c>
      <c r="R3879" t="str">
        <f>"21.701605"</f>
        <v>21.701605</v>
      </c>
      <c r="S3879" t="s">
        <v>26</v>
      </c>
    </row>
    <row r="3880" spans="1:19" x14ac:dyDescent="0.3">
      <c r="A3880" t="s">
        <v>17244</v>
      </c>
      <c r="B3880" t="s">
        <v>18072</v>
      </c>
      <c r="C3880" t="s">
        <v>17581</v>
      </c>
      <c r="D3880" t="s">
        <v>17255</v>
      </c>
      <c r="E3880" t="s">
        <v>17488</v>
      </c>
      <c r="F3880" t="s">
        <v>17576</v>
      </c>
      <c r="G3880" t="s">
        <v>17577</v>
      </c>
      <c r="H3880" t="s">
        <v>868</v>
      </c>
      <c r="I3880" t="s">
        <v>869</v>
      </c>
      <c r="J3880" t="str">
        <f>"9270103"</f>
        <v>9270103</v>
      </c>
      <c r="K3880">
        <v>2463061202</v>
      </c>
      <c r="L3880">
        <v>2463061202</v>
      </c>
      <c r="M3880" t="s">
        <v>18496</v>
      </c>
      <c r="N3880" t="s">
        <v>18497</v>
      </c>
      <c r="O3880" t="s">
        <v>18498</v>
      </c>
      <c r="P3880">
        <v>50005</v>
      </c>
      <c r="Q3880" t="str">
        <f>"40.491399"</f>
        <v>40.491399</v>
      </c>
      <c r="R3880" t="str">
        <f>"21.562532"</f>
        <v>21.562532</v>
      </c>
      <c r="S3880" t="s">
        <v>26</v>
      </c>
    </row>
    <row r="3881" spans="1:19" x14ac:dyDescent="0.3">
      <c r="A3881" t="s">
        <v>17244</v>
      </c>
      <c r="B3881" t="s">
        <v>18072</v>
      </c>
      <c r="C3881" t="s">
        <v>17629</v>
      </c>
      <c r="D3881" t="s">
        <v>17255</v>
      </c>
      <c r="E3881" t="s">
        <v>17488</v>
      </c>
      <c r="F3881" t="s">
        <v>17624</v>
      </c>
      <c r="G3881" t="s">
        <v>17625</v>
      </c>
      <c r="H3881" t="s">
        <v>868</v>
      </c>
      <c r="I3881" t="s">
        <v>869</v>
      </c>
      <c r="J3881" t="str">
        <f>"9270105"</f>
        <v>9270105</v>
      </c>
      <c r="K3881">
        <v>2463031225</v>
      </c>
      <c r="L3881">
        <v>2463031225</v>
      </c>
      <c r="M3881" t="s">
        <v>18499</v>
      </c>
      <c r="N3881" t="s">
        <v>18130</v>
      </c>
      <c r="O3881" t="s">
        <v>18500</v>
      </c>
      <c r="P3881">
        <v>50200</v>
      </c>
      <c r="Q3881" t="str">
        <f>"40.543278"</f>
        <v>40.543278</v>
      </c>
      <c r="R3881" t="str">
        <f>"21.748519"</f>
        <v>21.748519</v>
      </c>
      <c r="S3881" t="s">
        <v>26</v>
      </c>
    </row>
    <row r="3882" spans="1:19" x14ac:dyDescent="0.3">
      <c r="A3882" t="s">
        <v>17244</v>
      </c>
      <c r="B3882" t="s">
        <v>18072</v>
      </c>
      <c r="C3882" t="s">
        <v>18501</v>
      </c>
      <c r="D3882" t="s">
        <v>17255</v>
      </c>
      <c r="E3882" t="s">
        <v>17488</v>
      </c>
      <c r="F3882" t="s">
        <v>17489</v>
      </c>
      <c r="G3882" t="s">
        <v>18357</v>
      </c>
      <c r="H3882" t="s">
        <v>868</v>
      </c>
      <c r="I3882" t="s">
        <v>869</v>
      </c>
      <c r="J3882" t="str">
        <f>"9270131"</f>
        <v>9270131</v>
      </c>
      <c r="K3882">
        <v>2463075283</v>
      </c>
      <c r="L3882">
        <v>2463075283</v>
      </c>
      <c r="M3882" t="s">
        <v>18502</v>
      </c>
      <c r="N3882" t="s">
        <v>18503</v>
      </c>
      <c r="O3882" t="s">
        <v>18361</v>
      </c>
      <c r="P3882">
        <v>50200</v>
      </c>
      <c r="Q3882" t="str">
        <f>"40.562546"</f>
        <v>40.562546</v>
      </c>
      <c r="R3882" t="str">
        <f>"21.598161"</f>
        <v>21.598161</v>
      </c>
      <c r="S3882" t="s">
        <v>26</v>
      </c>
    </row>
    <row r="3883" spans="1:19" x14ac:dyDescent="0.3">
      <c r="A3883" t="s">
        <v>17244</v>
      </c>
      <c r="B3883" t="s">
        <v>18072</v>
      </c>
      <c r="C3883" t="s">
        <v>18504</v>
      </c>
      <c r="D3883" t="s">
        <v>17255</v>
      </c>
      <c r="E3883" t="s">
        <v>17488</v>
      </c>
      <c r="F3883" t="s">
        <v>17624</v>
      </c>
      <c r="G3883" t="s">
        <v>2393</v>
      </c>
      <c r="H3883" t="s">
        <v>868</v>
      </c>
      <c r="I3883" t="s">
        <v>869</v>
      </c>
      <c r="J3883" t="str">
        <f>"9270123"</f>
        <v>9270123</v>
      </c>
      <c r="K3883">
        <v>2463031243</v>
      </c>
      <c r="L3883">
        <v>2463031243</v>
      </c>
      <c r="M3883" t="s">
        <v>18505</v>
      </c>
      <c r="N3883" t="s">
        <v>18506</v>
      </c>
      <c r="O3883" t="s">
        <v>18206</v>
      </c>
      <c r="P3883">
        <v>53070</v>
      </c>
      <c r="Q3883" t="str">
        <f>"40.591143"</f>
        <v>40.591143</v>
      </c>
      <c r="R3883" t="str">
        <f>"21.776659"</f>
        <v>21.776659</v>
      </c>
      <c r="S3883" t="s">
        <v>26</v>
      </c>
    </row>
    <row r="3884" spans="1:19" x14ac:dyDescent="0.3">
      <c r="A3884" t="s">
        <v>17244</v>
      </c>
      <c r="B3884" t="s">
        <v>18072</v>
      </c>
      <c r="C3884" t="s">
        <v>18507</v>
      </c>
      <c r="D3884" t="s">
        <v>17255</v>
      </c>
      <c r="E3884" t="s">
        <v>17488</v>
      </c>
      <c r="F3884" t="s">
        <v>17489</v>
      </c>
      <c r="G3884" t="s">
        <v>18489</v>
      </c>
      <c r="H3884" t="s">
        <v>868</v>
      </c>
      <c r="I3884" t="s">
        <v>869</v>
      </c>
      <c r="J3884" t="str">
        <f>"9270110"</f>
        <v>9270110</v>
      </c>
      <c r="K3884">
        <v>2463021778</v>
      </c>
      <c r="L3884">
        <v>2463021778</v>
      </c>
      <c r="M3884" t="s">
        <v>18508</v>
      </c>
      <c r="N3884" t="s">
        <v>18509</v>
      </c>
      <c r="O3884" t="s">
        <v>18509</v>
      </c>
      <c r="P3884">
        <v>50200</v>
      </c>
      <c r="Q3884" t="str">
        <f>"40.457199"</f>
        <v>40.457199</v>
      </c>
      <c r="R3884" t="str">
        <f>"21.674676"</f>
        <v>21.674676</v>
      </c>
      <c r="S3884" t="s">
        <v>26</v>
      </c>
    </row>
    <row r="3885" spans="1:19" x14ac:dyDescent="0.3">
      <c r="A3885" t="s">
        <v>17244</v>
      </c>
      <c r="B3885" t="s">
        <v>18072</v>
      </c>
      <c r="C3885" t="s">
        <v>18510</v>
      </c>
      <c r="D3885" t="s">
        <v>17255</v>
      </c>
      <c r="E3885" t="s">
        <v>17255</v>
      </c>
      <c r="F3885" t="s">
        <v>17551</v>
      </c>
      <c r="G3885" t="s">
        <v>18468</v>
      </c>
      <c r="H3885" t="s">
        <v>868</v>
      </c>
      <c r="I3885" t="s">
        <v>869</v>
      </c>
      <c r="J3885" t="str">
        <f>"9270174"</f>
        <v>9270174</v>
      </c>
      <c r="K3885">
        <v>2461094208</v>
      </c>
      <c r="L3885">
        <v>2461094208</v>
      </c>
      <c r="M3885" t="s">
        <v>18511</v>
      </c>
      <c r="N3885" t="s">
        <v>18471</v>
      </c>
      <c r="O3885" t="s">
        <v>18512</v>
      </c>
      <c r="P3885">
        <v>50100</v>
      </c>
      <c r="Q3885" t="str">
        <f>"40.438717"</f>
        <v>40.438717</v>
      </c>
      <c r="R3885" t="str">
        <f>"21.906924"</f>
        <v>21.906924</v>
      </c>
      <c r="S3885" t="s">
        <v>26</v>
      </c>
    </row>
    <row r="3886" spans="1:19" x14ac:dyDescent="0.3">
      <c r="A3886" t="s">
        <v>17244</v>
      </c>
      <c r="B3886" t="s">
        <v>18072</v>
      </c>
      <c r="C3886" t="s">
        <v>18513</v>
      </c>
      <c r="D3886" t="s">
        <v>17255</v>
      </c>
      <c r="E3886" t="s">
        <v>17488</v>
      </c>
      <c r="F3886" t="s">
        <v>17624</v>
      </c>
      <c r="G3886" t="s">
        <v>18215</v>
      </c>
      <c r="H3886" t="s">
        <v>868</v>
      </c>
      <c r="I3886" t="s">
        <v>869</v>
      </c>
      <c r="J3886" t="str">
        <f>"9270141"</f>
        <v>9270141</v>
      </c>
      <c r="K3886">
        <v>2463091203</v>
      </c>
      <c r="L3886">
        <v>2463091203</v>
      </c>
      <c r="M3886" t="s">
        <v>18514</v>
      </c>
      <c r="N3886" t="s">
        <v>18515</v>
      </c>
      <c r="O3886" t="s">
        <v>18515</v>
      </c>
      <c r="P3886">
        <v>50006</v>
      </c>
      <c r="Q3886" t="str">
        <f>"40.669431"</f>
        <v>40.669431</v>
      </c>
      <c r="R3886" t="str">
        <f>"21.837083"</f>
        <v>21.837083</v>
      </c>
      <c r="S3886" t="s">
        <v>26</v>
      </c>
    </row>
    <row r="3887" spans="1:19" x14ac:dyDescent="0.3">
      <c r="A3887" t="s">
        <v>17244</v>
      </c>
      <c r="B3887" t="s">
        <v>18072</v>
      </c>
      <c r="C3887" t="s">
        <v>18516</v>
      </c>
      <c r="D3887" t="s">
        <v>17255</v>
      </c>
      <c r="E3887" t="s">
        <v>17488</v>
      </c>
      <c r="F3887" t="s">
        <v>17489</v>
      </c>
      <c r="G3887" t="s">
        <v>17490</v>
      </c>
      <c r="H3887" t="s">
        <v>868</v>
      </c>
      <c r="I3887" t="s">
        <v>869</v>
      </c>
      <c r="J3887" t="str">
        <f>"9270094"</f>
        <v>9270094</v>
      </c>
      <c r="K3887">
        <v>2463024676</v>
      </c>
      <c r="L3887">
        <v>2463024699</v>
      </c>
      <c r="M3887" t="s">
        <v>18517</v>
      </c>
      <c r="N3887" t="s">
        <v>17489</v>
      </c>
      <c r="O3887" t="s">
        <v>18518</v>
      </c>
      <c r="P3887">
        <v>50200</v>
      </c>
      <c r="Q3887" t="str">
        <f>"40.517479"</f>
        <v>40.517479</v>
      </c>
      <c r="R3887" t="str">
        <f>"21.686441"</f>
        <v>21.686441</v>
      </c>
      <c r="S3887" t="s">
        <v>26</v>
      </c>
    </row>
    <row r="3888" spans="1:19" x14ac:dyDescent="0.3">
      <c r="A3888" t="s">
        <v>17244</v>
      </c>
      <c r="B3888" t="s">
        <v>18072</v>
      </c>
      <c r="C3888" t="s">
        <v>18519</v>
      </c>
      <c r="D3888" t="s">
        <v>17255</v>
      </c>
      <c r="E3888" t="s">
        <v>17488</v>
      </c>
      <c r="F3888" t="s">
        <v>17489</v>
      </c>
      <c r="G3888" t="s">
        <v>17490</v>
      </c>
      <c r="H3888" t="s">
        <v>868</v>
      </c>
      <c r="I3888" t="s">
        <v>869</v>
      </c>
      <c r="J3888" t="str">
        <f>"9270095"</f>
        <v>9270095</v>
      </c>
      <c r="K3888">
        <v>2463022035</v>
      </c>
      <c r="L3888">
        <v>2463022035</v>
      </c>
      <c r="M3888" t="s">
        <v>18520</v>
      </c>
      <c r="N3888" t="s">
        <v>17493</v>
      </c>
      <c r="O3888" t="s">
        <v>18521</v>
      </c>
      <c r="P3888">
        <v>50200</v>
      </c>
      <c r="Q3888" t="str">
        <f>"40.516379"</f>
        <v>40.516379</v>
      </c>
      <c r="R3888" t="str">
        <f>"21.675627"</f>
        <v>21.675627</v>
      </c>
      <c r="S3888" t="s">
        <v>26</v>
      </c>
    </row>
    <row r="3889" spans="1:19" x14ac:dyDescent="0.3">
      <c r="A3889" t="s">
        <v>17244</v>
      </c>
      <c r="B3889" t="s">
        <v>18072</v>
      </c>
      <c r="C3889" t="s">
        <v>18522</v>
      </c>
      <c r="D3889" t="s">
        <v>17255</v>
      </c>
      <c r="E3889" t="s">
        <v>17488</v>
      </c>
      <c r="F3889" t="s">
        <v>17489</v>
      </c>
      <c r="G3889" t="s">
        <v>17490</v>
      </c>
      <c r="H3889" t="s">
        <v>868</v>
      </c>
      <c r="I3889" t="s">
        <v>869</v>
      </c>
      <c r="J3889" t="str">
        <f>"9270096"</f>
        <v>9270096</v>
      </c>
      <c r="K3889">
        <v>2463024659</v>
      </c>
      <c r="L3889">
        <v>2463024659</v>
      </c>
      <c r="M3889" t="s">
        <v>18523</v>
      </c>
      <c r="N3889" t="s">
        <v>17493</v>
      </c>
      <c r="O3889" t="s">
        <v>18524</v>
      </c>
      <c r="P3889">
        <v>50200</v>
      </c>
      <c r="Q3889" t="str">
        <f>"40.500000"</f>
        <v>40.500000</v>
      </c>
      <c r="R3889" t="str">
        <f>"21.680000"</f>
        <v>21.680000</v>
      </c>
      <c r="S3889" t="s">
        <v>26</v>
      </c>
    </row>
    <row r="3890" spans="1:19" x14ac:dyDescent="0.3">
      <c r="A3890" t="s">
        <v>17244</v>
      </c>
      <c r="B3890" t="s">
        <v>18072</v>
      </c>
      <c r="C3890" t="s">
        <v>18528</v>
      </c>
      <c r="D3890" t="s">
        <v>17255</v>
      </c>
      <c r="E3890" t="s">
        <v>17488</v>
      </c>
      <c r="F3890" t="s">
        <v>17489</v>
      </c>
      <c r="G3890" t="s">
        <v>17490</v>
      </c>
      <c r="H3890" t="s">
        <v>868</v>
      </c>
      <c r="I3890" t="s">
        <v>869</v>
      </c>
      <c r="J3890" t="str">
        <f>"9270098"</f>
        <v>9270098</v>
      </c>
      <c r="K3890">
        <v>2463022941</v>
      </c>
      <c r="L3890">
        <v>2463022941</v>
      </c>
      <c r="M3890" t="s">
        <v>18529</v>
      </c>
      <c r="N3890" t="s">
        <v>17493</v>
      </c>
      <c r="O3890" t="s">
        <v>18530</v>
      </c>
      <c r="P3890">
        <v>50200</v>
      </c>
      <c r="Q3890" t="str">
        <f>"40.511201"</f>
        <v>40.511201</v>
      </c>
      <c r="R3890" t="str">
        <f>"21.691662"</f>
        <v>21.691662</v>
      </c>
      <c r="S3890" t="s">
        <v>26</v>
      </c>
    </row>
    <row r="3891" spans="1:19" x14ac:dyDescent="0.3">
      <c r="A3891" t="s">
        <v>17244</v>
      </c>
      <c r="B3891" t="s">
        <v>18072</v>
      </c>
      <c r="C3891" t="s">
        <v>17528</v>
      </c>
      <c r="D3891" t="s">
        <v>17255</v>
      </c>
      <c r="E3891" t="s">
        <v>17488</v>
      </c>
      <c r="F3891" t="s">
        <v>17489</v>
      </c>
      <c r="G3891" t="s">
        <v>17490</v>
      </c>
      <c r="H3891" t="s">
        <v>868</v>
      </c>
      <c r="I3891" t="s">
        <v>869</v>
      </c>
      <c r="J3891" t="str">
        <f>"9270099"</f>
        <v>9270099</v>
      </c>
      <c r="K3891">
        <v>2463022923</v>
      </c>
      <c r="L3891">
        <v>2463022923</v>
      </c>
      <c r="M3891" t="s">
        <v>18531</v>
      </c>
      <c r="N3891" t="s">
        <v>17493</v>
      </c>
      <c r="O3891" t="s">
        <v>17650</v>
      </c>
      <c r="P3891">
        <v>50200</v>
      </c>
      <c r="Q3891" t="str">
        <f>"40.509897"</f>
        <v>40.509897</v>
      </c>
      <c r="R3891" t="str">
        <f>"21.666225"</f>
        <v>21.666225</v>
      </c>
      <c r="S3891" t="s">
        <v>26</v>
      </c>
    </row>
    <row r="3892" spans="1:19" x14ac:dyDescent="0.3">
      <c r="A3892" t="s">
        <v>17244</v>
      </c>
      <c r="B3892" t="s">
        <v>18072</v>
      </c>
      <c r="C3892" t="s">
        <v>17513</v>
      </c>
      <c r="D3892" t="s">
        <v>17255</v>
      </c>
      <c r="E3892" t="s">
        <v>17488</v>
      </c>
      <c r="F3892" t="s">
        <v>17489</v>
      </c>
      <c r="G3892" t="s">
        <v>17490</v>
      </c>
      <c r="H3892" t="s">
        <v>868</v>
      </c>
      <c r="I3892" t="s">
        <v>869</v>
      </c>
      <c r="J3892" t="str">
        <f>"9270271"</f>
        <v>9270271</v>
      </c>
      <c r="K3892">
        <v>2463023203</v>
      </c>
      <c r="L3892">
        <v>2463023203</v>
      </c>
      <c r="M3892" t="s">
        <v>18532</v>
      </c>
      <c r="N3892" t="s">
        <v>17493</v>
      </c>
      <c r="O3892" t="s">
        <v>18533</v>
      </c>
      <c r="P3892">
        <v>50200</v>
      </c>
      <c r="Q3892" t="str">
        <f>"40.520509"</f>
        <v>40.520509</v>
      </c>
      <c r="R3892" t="str">
        <f>"21.683491"</f>
        <v>21.683491</v>
      </c>
      <c r="S3892" t="s">
        <v>26</v>
      </c>
    </row>
    <row r="3893" spans="1:19" x14ac:dyDescent="0.3">
      <c r="A3893" t="s">
        <v>17244</v>
      </c>
      <c r="B3893" t="s">
        <v>18072</v>
      </c>
      <c r="C3893" t="s">
        <v>18534</v>
      </c>
      <c r="D3893" t="s">
        <v>17255</v>
      </c>
      <c r="E3893" t="s">
        <v>17488</v>
      </c>
      <c r="F3893" t="s">
        <v>17489</v>
      </c>
      <c r="G3893" t="s">
        <v>17490</v>
      </c>
      <c r="H3893" t="s">
        <v>868</v>
      </c>
      <c r="I3893" t="s">
        <v>869</v>
      </c>
      <c r="J3893" t="str">
        <f>"9270358"</f>
        <v>9270358</v>
      </c>
      <c r="K3893">
        <v>2463024583</v>
      </c>
      <c r="L3893">
        <v>2463024583</v>
      </c>
      <c r="M3893" t="s">
        <v>18535</v>
      </c>
      <c r="N3893" t="s">
        <v>17493</v>
      </c>
      <c r="O3893" t="s">
        <v>18521</v>
      </c>
      <c r="P3893">
        <v>50200</v>
      </c>
      <c r="Q3893" t="str">
        <f>"40.516346"</f>
        <v>40.516346</v>
      </c>
      <c r="R3893" t="str">
        <f>"21.675272"</f>
        <v>21.675272</v>
      </c>
      <c r="S3893" t="s">
        <v>26</v>
      </c>
    </row>
    <row r="3894" spans="1:19" x14ac:dyDescent="0.3">
      <c r="A3894" t="s">
        <v>17244</v>
      </c>
      <c r="B3894" t="s">
        <v>18072</v>
      </c>
      <c r="C3894" t="s">
        <v>17496</v>
      </c>
      <c r="D3894" t="s">
        <v>17255</v>
      </c>
      <c r="E3894" t="s">
        <v>17488</v>
      </c>
      <c r="F3894" t="s">
        <v>17489</v>
      </c>
      <c r="G3894" t="s">
        <v>17490</v>
      </c>
      <c r="H3894" t="s">
        <v>868</v>
      </c>
      <c r="I3894" t="s">
        <v>869</v>
      </c>
      <c r="J3894" t="str">
        <f>"9270097"</f>
        <v>9270097</v>
      </c>
      <c r="K3894">
        <v>2463022963</v>
      </c>
      <c r="L3894">
        <v>2463025281</v>
      </c>
      <c r="M3894" t="s">
        <v>18536</v>
      </c>
      <c r="N3894" t="s">
        <v>17493</v>
      </c>
      <c r="O3894" t="s">
        <v>18537</v>
      </c>
      <c r="P3894">
        <v>50200</v>
      </c>
      <c r="Q3894" t="str">
        <f>"40.507198"</f>
        <v>40.507198</v>
      </c>
      <c r="R3894" t="str">
        <f>"21.682283"</f>
        <v>21.682283</v>
      </c>
      <c r="S3894" t="s">
        <v>26</v>
      </c>
    </row>
    <row r="3895" spans="1:19" x14ac:dyDescent="0.3">
      <c r="A3895" t="s">
        <v>17244</v>
      </c>
      <c r="B3895" t="s">
        <v>18072</v>
      </c>
      <c r="C3895" t="s">
        <v>18538</v>
      </c>
      <c r="D3895" t="s">
        <v>17255</v>
      </c>
      <c r="E3895" t="s">
        <v>17488</v>
      </c>
      <c r="F3895" t="s">
        <v>17489</v>
      </c>
      <c r="G3895" t="s">
        <v>17490</v>
      </c>
      <c r="H3895" t="s">
        <v>868</v>
      </c>
      <c r="I3895" t="s">
        <v>869</v>
      </c>
      <c r="J3895" t="str">
        <f>"9270330"</f>
        <v>9270330</v>
      </c>
      <c r="K3895">
        <v>2463025080</v>
      </c>
      <c r="L3895">
        <v>2463025080</v>
      </c>
      <c r="M3895" t="s">
        <v>18539</v>
      </c>
      <c r="N3895" t="s">
        <v>17493</v>
      </c>
      <c r="O3895" t="s">
        <v>18540</v>
      </c>
      <c r="P3895">
        <v>50200</v>
      </c>
      <c r="Q3895" t="str">
        <f>"40.518044"</f>
        <v>40.518044</v>
      </c>
      <c r="R3895" t="str">
        <f>"21.671484"</f>
        <v>21.671484</v>
      </c>
      <c r="S3895" t="s">
        <v>26</v>
      </c>
    </row>
    <row r="3896" spans="1:19" x14ac:dyDescent="0.3">
      <c r="A3896" t="s">
        <v>17244</v>
      </c>
      <c r="B3896" t="s">
        <v>18072</v>
      </c>
      <c r="C3896" t="s">
        <v>18541</v>
      </c>
      <c r="D3896" t="s">
        <v>17255</v>
      </c>
      <c r="E3896" t="s">
        <v>17488</v>
      </c>
      <c r="F3896" t="s">
        <v>17489</v>
      </c>
      <c r="G3896" t="s">
        <v>17490</v>
      </c>
      <c r="H3896" t="s">
        <v>868</v>
      </c>
      <c r="I3896" t="s">
        <v>869</v>
      </c>
      <c r="J3896" t="str">
        <f>"9270342"</f>
        <v>9270342</v>
      </c>
      <c r="K3896">
        <v>2463028266</v>
      </c>
      <c r="M3896" t="s">
        <v>18542</v>
      </c>
      <c r="N3896" t="s">
        <v>17493</v>
      </c>
      <c r="O3896" t="s">
        <v>18527</v>
      </c>
      <c r="P3896">
        <v>50200</v>
      </c>
      <c r="Q3896" t="str">
        <f>"40.525842"</f>
        <v>40.525842</v>
      </c>
      <c r="R3896" t="str">
        <f>"21.686674"</f>
        <v>21.686674</v>
      </c>
      <c r="S3896" t="s">
        <v>26</v>
      </c>
    </row>
    <row r="3897" spans="1:19" x14ac:dyDescent="0.3">
      <c r="A3897" t="s">
        <v>17244</v>
      </c>
      <c r="B3897" t="s">
        <v>18072</v>
      </c>
      <c r="C3897" t="s">
        <v>18543</v>
      </c>
      <c r="D3897" t="s">
        <v>17255</v>
      </c>
      <c r="E3897" t="s">
        <v>17488</v>
      </c>
      <c r="F3897" t="s">
        <v>17489</v>
      </c>
      <c r="G3897" t="s">
        <v>17490</v>
      </c>
      <c r="H3897" t="s">
        <v>868</v>
      </c>
      <c r="I3897" t="s">
        <v>869</v>
      </c>
      <c r="J3897" t="str">
        <f>"9270092"</f>
        <v>9270092</v>
      </c>
      <c r="K3897">
        <v>2463024597</v>
      </c>
      <c r="L3897">
        <v>2463024597</v>
      </c>
      <c r="M3897" t="s">
        <v>18544</v>
      </c>
      <c r="N3897" t="s">
        <v>17493</v>
      </c>
      <c r="O3897" t="s">
        <v>18545</v>
      </c>
      <c r="P3897">
        <v>50200</v>
      </c>
      <c r="Q3897" t="str">
        <f>"40.514625"</f>
        <v>40.514625</v>
      </c>
      <c r="R3897" t="str">
        <f>"21.681223"</f>
        <v>21.681223</v>
      </c>
      <c r="S3897" t="s">
        <v>26</v>
      </c>
    </row>
    <row r="3898" spans="1:19" x14ac:dyDescent="0.3">
      <c r="A3898" t="s">
        <v>17244</v>
      </c>
      <c r="B3898" t="s">
        <v>18072</v>
      </c>
      <c r="C3898" t="s">
        <v>18546</v>
      </c>
      <c r="D3898" t="s">
        <v>17255</v>
      </c>
      <c r="E3898" t="s">
        <v>17255</v>
      </c>
      <c r="F3898" t="s">
        <v>17255</v>
      </c>
      <c r="G3898" t="s">
        <v>17255</v>
      </c>
      <c r="H3898" t="s">
        <v>868</v>
      </c>
      <c r="I3898" t="s">
        <v>869</v>
      </c>
      <c r="J3898" t="str">
        <f>"9520627"</f>
        <v>9520627</v>
      </c>
      <c r="K3898">
        <v>2461031008</v>
      </c>
      <c r="L3898">
        <v>2461025231</v>
      </c>
      <c r="M3898" t="s">
        <v>18547</v>
      </c>
      <c r="N3898" t="s">
        <v>17258</v>
      </c>
      <c r="O3898" t="s">
        <v>18254</v>
      </c>
      <c r="P3898">
        <v>50131</v>
      </c>
      <c r="Q3898" t="str">
        <f>"40.308505"</f>
        <v>40.308505</v>
      </c>
      <c r="R3898" t="str">
        <f>"21.784682"</f>
        <v>21.784682</v>
      </c>
      <c r="S3898" t="s">
        <v>26</v>
      </c>
    </row>
    <row r="3899" spans="1:19" x14ac:dyDescent="0.3">
      <c r="A3899" t="s">
        <v>17244</v>
      </c>
      <c r="B3899" t="s">
        <v>18072</v>
      </c>
      <c r="C3899" t="s">
        <v>17455</v>
      </c>
      <c r="D3899" t="s">
        <v>17255</v>
      </c>
      <c r="E3899" t="s">
        <v>17434</v>
      </c>
      <c r="F3899" t="s">
        <v>11666</v>
      </c>
      <c r="G3899" t="s">
        <v>11666</v>
      </c>
      <c r="H3899" t="s">
        <v>868</v>
      </c>
      <c r="I3899" t="s">
        <v>869</v>
      </c>
      <c r="J3899" t="str">
        <f>"9270047"</f>
        <v>9270047</v>
      </c>
      <c r="K3899">
        <v>2468022240</v>
      </c>
      <c r="L3899">
        <v>2468022240</v>
      </c>
      <c r="M3899" t="s">
        <v>18548</v>
      </c>
      <c r="N3899" t="s">
        <v>613</v>
      </c>
      <c r="O3899" t="s">
        <v>18549</v>
      </c>
      <c r="P3899">
        <v>50001</v>
      </c>
      <c r="Q3899" t="str">
        <f>"40.311589"</f>
        <v>40.311589</v>
      </c>
      <c r="R3899" t="str">
        <f>"21.387505"</f>
        <v>21.387505</v>
      </c>
      <c r="S3899" t="s">
        <v>26</v>
      </c>
    </row>
    <row r="3900" spans="1:19" x14ac:dyDescent="0.3">
      <c r="A3900" t="s">
        <v>17244</v>
      </c>
      <c r="B3900" t="s">
        <v>18072</v>
      </c>
      <c r="C3900" t="s">
        <v>17613</v>
      </c>
      <c r="D3900" t="s">
        <v>17255</v>
      </c>
      <c r="E3900" t="s">
        <v>17255</v>
      </c>
      <c r="F3900" t="s">
        <v>17255</v>
      </c>
      <c r="G3900" t="s">
        <v>17255</v>
      </c>
      <c r="H3900" t="s">
        <v>868</v>
      </c>
      <c r="I3900" t="s">
        <v>869</v>
      </c>
      <c r="J3900" t="str">
        <f>"9270163"</f>
        <v>9270163</v>
      </c>
      <c r="K3900">
        <v>2461034484</v>
      </c>
      <c r="L3900">
        <v>2461034606</v>
      </c>
      <c r="M3900" t="s">
        <v>18550</v>
      </c>
      <c r="N3900" t="s">
        <v>18551</v>
      </c>
      <c r="O3900" t="s">
        <v>18552</v>
      </c>
      <c r="P3900">
        <v>50131</v>
      </c>
      <c r="Q3900" t="str">
        <f>"40.302342"</f>
        <v>40.302342</v>
      </c>
      <c r="R3900" t="str">
        <f>"21.786603"</f>
        <v>21.786603</v>
      </c>
      <c r="S3900" t="s">
        <v>26</v>
      </c>
    </row>
    <row r="3901" spans="1:19" x14ac:dyDescent="0.3">
      <c r="A3901" t="s">
        <v>17244</v>
      </c>
      <c r="B3901" t="s">
        <v>18072</v>
      </c>
      <c r="C3901" t="s">
        <v>18558</v>
      </c>
      <c r="D3901" t="s">
        <v>17255</v>
      </c>
      <c r="E3901" t="s">
        <v>17255</v>
      </c>
      <c r="F3901" t="s">
        <v>17255</v>
      </c>
      <c r="G3901" t="s">
        <v>17255</v>
      </c>
      <c r="H3901" t="s">
        <v>868</v>
      </c>
      <c r="I3901" t="s">
        <v>869</v>
      </c>
      <c r="J3901" t="str">
        <f>"9521418"</f>
        <v>9521418</v>
      </c>
      <c r="K3901">
        <v>2461024702</v>
      </c>
      <c r="L3901">
        <v>2461024702</v>
      </c>
      <c r="M3901" t="s">
        <v>18559</v>
      </c>
      <c r="N3901" t="s">
        <v>17258</v>
      </c>
      <c r="O3901" t="s">
        <v>18560</v>
      </c>
      <c r="P3901">
        <v>50132</v>
      </c>
      <c r="Q3901" t="str">
        <f>"40.291819"</f>
        <v>40.291819</v>
      </c>
      <c r="R3901" t="str">
        <f>"21.798599"</f>
        <v>21.798599</v>
      </c>
      <c r="S3901" t="s">
        <v>26</v>
      </c>
    </row>
    <row r="3902" spans="1:19" x14ac:dyDescent="0.3">
      <c r="A3902" t="s">
        <v>17244</v>
      </c>
      <c r="B3902" t="s">
        <v>18072</v>
      </c>
      <c r="C3902" t="s">
        <v>18563</v>
      </c>
      <c r="D3902" t="s">
        <v>17255</v>
      </c>
      <c r="E3902" t="s">
        <v>17255</v>
      </c>
      <c r="F3902" t="s">
        <v>17642</v>
      </c>
      <c r="G3902" t="s">
        <v>152</v>
      </c>
      <c r="H3902" t="s">
        <v>868</v>
      </c>
      <c r="I3902" t="s">
        <v>869</v>
      </c>
      <c r="J3902" t="str">
        <f>"9270168"</f>
        <v>9270168</v>
      </c>
      <c r="K3902">
        <v>2461099103</v>
      </c>
      <c r="L3902">
        <v>2461099103</v>
      </c>
      <c r="M3902" t="s">
        <v>18564</v>
      </c>
      <c r="O3902" t="s">
        <v>4693</v>
      </c>
      <c r="P3902">
        <v>50100</v>
      </c>
      <c r="Q3902" t="str">
        <f>"40.218587"</f>
        <v>40.218587</v>
      </c>
      <c r="R3902" t="str">
        <f>"21.775020"</f>
        <v>21.775020</v>
      </c>
      <c r="S3902" t="s">
        <v>26</v>
      </c>
    </row>
    <row r="3903" spans="1:19" x14ac:dyDescent="0.3">
      <c r="A3903" t="s">
        <v>17244</v>
      </c>
      <c r="B3903" t="s">
        <v>18072</v>
      </c>
      <c r="C3903" t="s">
        <v>18568</v>
      </c>
      <c r="D3903" t="s">
        <v>17255</v>
      </c>
      <c r="E3903" t="s">
        <v>17255</v>
      </c>
      <c r="F3903" t="s">
        <v>17255</v>
      </c>
      <c r="G3903" t="s">
        <v>17255</v>
      </c>
      <c r="H3903" t="s">
        <v>868</v>
      </c>
      <c r="I3903" t="s">
        <v>869</v>
      </c>
      <c r="J3903" t="str">
        <f>"9521612"</f>
        <v>9521612</v>
      </c>
      <c r="K3903">
        <v>2461095732</v>
      </c>
      <c r="M3903" t="s">
        <v>18569</v>
      </c>
      <c r="N3903" t="s">
        <v>17258</v>
      </c>
      <c r="O3903" t="s">
        <v>18570</v>
      </c>
      <c r="P3903">
        <v>50100</v>
      </c>
      <c r="Q3903" t="str">
        <f>"40.274557"</f>
        <v>40.274557</v>
      </c>
      <c r="R3903" t="str">
        <f>"21.757227"</f>
        <v>21.757227</v>
      </c>
      <c r="S3903" t="s">
        <v>26</v>
      </c>
    </row>
    <row r="3904" spans="1:19" x14ac:dyDescent="0.3">
      <c r="A3904" t="s">
        <v>17244</v>
      </c>
      <c r="B3904" t="s">
        <v>18072</v>
      </c>
      <c r="C3904" t="s">
        <v>18574</v>
      </c>
      <c r="D3904" t="s">
        <v>17255</v>
      </c>
      <c r="E3904" t="s">
        <v>17488</v>
      </c>
      <c r="F3904" t="s">
        <v>152</v>
      </c>
      <c r="G3904" t="s">
        <v>18092</v>
      </c>
      <c r="H3904" t="s">
        <v>868</v>
      </c>
      <c r="I3904" t="s">
        <v>869</v>
      </c>
      <c r="J3904" t="str">
        <f>"9521649"</f>
        <v>9521649</v>
      </c>
      <c r="K3904">
        <v>2463051212</v>
      </c>
      <c r="L3904">
        <v>2463051212</v>
      </c>
      <c r="M3904" t="s">
        <v>18575</v>
      </c>
      <c r="N3904" t="s">
        <v>478</v>
      </c>
      <c r="O3904" t="s">
        <v>478</v>
      </c>
      <c r="P3904">
        <v>50200</v>
      </c>
      <c r="Q3904" t="str">
        <f>"40.516075"</f>
        <v>40.516075</v>
      </c>
      <c r="R3904" t="str">
        <f>"21.754585"</f>
        <v>21.754585</v>
      </c>
      <c r="S3904" t="s">
        <v>26</v>
      </c>
    </row>
    <row r="3905" spans="1:19" x14ac:dyDescent="0.3">
      <c r="A3905" t="s">
        <v>17244</v>
      </c>
      <c r="B3905" t="s">
        <v>18576</v>
      </c>
      <c r="C3905" t="s">
        <v>17696</v>
      </c>
      <c r="D3905" t="s">
        <v>17260</v>
      </c>
      <c r="E3905" t="s">
        <v>17260</v>
      </c>
      <c r="F3905" t="s">
        <v>17260</v>
      </c>
      <c r="G3905" t="s">
        <v>17261</v>
      </c>
      <c r="H3905" t="s">
        <v>868</v>
      </c>
      <c r="I3905" t="s">
        <v>869</v>
      </c>
      <c r="J3905" t="str">
        <f>"9470073"</f>
        <v>9470073</v>
      </c>
      <c r="K3905">
        <v>2385028112</v>
      </c>
      <c r="L3905">
        <v>2385028112</v>
      </c>
      <c r="M3905" t="s">
        <v>18580</v>
      </c>
      <c r="N3905" t="s">
        <v>17264</v>
      </c>
      <c r="O3905" t="s">
        <v>18581</v>
      </c>
      <c r="P3905">
        <v>53100</v>
      </c>
      <c r="Q3905" t="str">
        <f>"40.783001"</f>
        <v>40.783001</v>
      </c>
      <c r="R3905" t="str">
        <f>"21.412966"</f>
        <v>21.412966</v>
      </c>
      <c r="S3905" t="s">
        <v>26</v>
      </c>
    </row>
    <row r="3906" spans="1:19" x14ac:dyDescent="0.3">
      <c r="A3906" t="s">
        <v>17244</v>
      </c>
      <c r="B3906" t="s">
        <v>18576</v>
      </c>
      <c r="C3906" t="s">
        <v>18589</v>
      </c>
      <c r="D3906" t="s">
        <v>17260</v>
      </c>
      <c r="E3906" t="s">
        <v>17701</v>
      </c>
      <c r="F3906" t="s">
        <v>17701</v>
      </c>
      <c r="G3906" t="s">
        <v>17701</v>
      </c>
      <c r="H3906" t="s">
        <v>868</v>
      </c>
      <c r="I3906" t="s">
        <v>869</v>
      </c>
      <c r="J3906" t="str">
        <f>"9470004"</f>
        <v>9470004</v>
      </c>
      <c r="K3906">
        <v>2386022353</v>
      </c>
      <c r="L3906">
        <v>2386022353</v>
      </c>
      <c r="M3906" t="s">
        <v>18590</v>
      </c>
      <c r="N3906" t="s">
        <v>17704</v>
      </c>
      <c r="O3906" t="s">
        <v>18591</v>
      </c>
      <c r="P3906">
        <v>53200</v>
      </c>
      <c r="Q3906" t="str">
        <f>"40.692140"</f>
        <v>40.692140</v>
      </c>
      <c r="R3906" t="str">
        <f>"21.686745"</f>
        <v>21.686745</v>
      </c>
      <c r="S3906" t="s">
        <v>26</v>
      </c>
    </row>
    <row r="3907" spans="1:19" x14ac:dyDescent="0.3">
      <c r="A3907" t="s">
        <v>17244</v>
      </c>
      <c r="B3907" t="s">
        <v>18576</v>
      </c>
      <c r="C3907" t="s">
        <v>18623</v>
      </c>
      <c r="D3907" t="s">
        <v>17260</v>
      </c>
      <c r="E3907" t="s">
        <v>17260</v>
      </c>
      <c r="F3907" t="s">
        <v>17260</v>
      </c>
      <c r="G3907" t="s">
        <v>17261</v>
      </c>
      <c r="H3907" t="s">
        <v>868</v>
      </c>
      <c r="I3907" t="s">
        <v>869</v>
      </c>
      <c r="J3907" t="str">
        <f>"9470077"</f>
        <v>9470077</v>
      </c>
      <c r="K3907">
        <v>2385022261</v>
      </c>
      <c r="L3907">
        <v>2385022261</v>
      </c>
      <c r="M3907" t="s">
        <v>18624</v>
      </c>
      <c r="N3907" t="s">
        <v>17264</v>
      </c>
      <c r="O3907" t="s">
        <v>18625</v>
      </c>
      <c r="P3907">
        <v>53100</v>
      </c>
      <c r="Q3907" t="str">
        <f>"40.778606"</f>
        <v>40.778606</v>
      </c>
      <c r="R3907" t="str">
        <f>"21.392849"</f>
        <v>21.392849</v>
      </c>
      <c r="S3907" t="s">
        <v>26</v>
      </c>
    </row>
    <row r="3908" spans="1:19" x14ac:dyDescent="0.3">
      <c r="A3908" t="s">
        <v>17244</v>
      </c>
      <c r="B3908" t="s">
        <v>18576</v>
      </c>
      <c r="C3908" t="s">
        <v>17745</v>
      </c>
      <c r="D3908" t="s">
        <v>17260</v>
      </c>
      <c r="E3908" t="s">
        <v>17701</v>
      </c>
      <c r="F3908" t="s">
        <v>15619</v>
      </c>
      <c r="G3908" t="s">
        <v>15619</v>
      </c>
      <c r="H3908" t="s">
        <v>868</v>
      </c>
      <c r="I3908" t="s">
        <v>869</v>
      </c>
      <c r="J3908" t="str">
        <f>"9470011"</f>
        <v>9470011</v>
      </c>
      <c r="K3908">
        <v>2386041260</v>
      </c>
      <c r="L3908">
        <v>2386041260</v>
      </c>
      <c r="M3908" t="s">
        <v>18629</v>
      </c>
      <c r="N3908" t="s">
        <v>15619</v>
      </c>
      <c r="O3908" t="s">
        <v>15622</v>
      </c>
      <c r="P3908">
        <v>53075</v>
      </c>
      <c r="Q3908" t="str">
        <f>"40.658923"</f>
        <v>40.658923</v>
      </c>
      <c r="R3908" t="str">
        <f>"21.552303"</f>
        <v>21.552303</v>
      </c>
      <c r="S3908" t="s">
        <v>26</v>
      </c>
    </row>
    <row r="3909" spans="1:19" x14ac:dyDescent="0.3">
      <c r="A3909" t="s">
        <v>17244</v>
      </c>
      <c r="B3909" t="s">
        <v>18576</v>
      </c>
      <c r="C3909" t="s">
        <v>18630</v>
      </c>
      <c r="D3909" t="s">
        <v>17260</v>
      </c>
      <c r="E3909" t="s">
        <v>17260</v>
      </c>
      <c r="F3909" t="s">
        <v>17729</v>
      </c>
      <c r="G3909" t="s">
        <v>18603</v>
      </c>
      <c r="H3909" t="s">
        <v>868</v>
      </c>
      <c r="I3909" t="s">
        <v>950</v>
      </c>
      <c r="J3909" t="str">
        <f>"9470177"</f>
        <v>9470177</v>
      </c>
      <c r="K3909">
        <v>2385067363</v>
      </c>
      <c r="L3909">
        <v>2385067441</v>
      </c>
      <c r="M3909" t="s">
        <v>18631</v>
      </c>
      <c r="N3909" t="s">
        <v>18606</v>
      </c>
      <c r="O3909" t="s">
        <v>18606</v>
      </c>
      <c r="P3909">
        <v>53100</v>
      </c>
      <c r="Q3909" t="str">
        <f>"40.705435"</f>
        <v>40.705435</v>
      </c>
      <c r="R3909" t="str">
        <f>"21.522259"</f>
        <v>21.522259</v>
      </c>
      <c r="S3909" t="s">
        <v>26</v>
      </c>
    </row>
    <row r="3910" spans="1:19" x14ac:dyDescent="0.3">
      <c r="A3910" t="s">
        <v>17244</v>
      </c>
      <c r="B3910" t="s">
        <v>18576</v>
      </c>
      <c r="C3910" t="s">
        <v>17685</v>
      </c>
      <c r="D3910" t="s">
        <v>17260</v>
      </c>
      <c r="E3910" t="s">
        <v>17260</v>
      </c>
      <c r="F3910" t="s">
        <v>17260</v>
      </c>
      <c r="G3910" t="s">
        <v>17261</v>
      </c>
      <c r="H3910" t="s">
        <v>868</v>
      </c>
      <c r="I3910" t="s">
        <v>869</v>
      </c>
      <c r="J3910" t="str">
        <f>"9470071"</f>
        <v>9470071</v>
      </c>
      <c r="K3910">
        <v>2385044481</v>
      </c>
      <c r="L3910">
        <v>2385044481</v>
      </c>
      <c r="M3910" t="s">
        <v>18638</v>
      </c>
      <c r="N3910" t="s">
        <v>17260</v>
      </c>
      <c r="O3910" t="s">
        <v>18639</v>
      </c>
      <c r="P3910">
        <v>53100</v>
      </c>
      <c r="Q3910" t="str">
        <f>"40.777927"</f>
        <v>40.777927</v>
      </c>
      <c r="R3910" t="str">
        <f>"21.408855"</f>
        <v>21.408855</v>
      </c>
      <c r="S3910" t="s">
        <v>26</v>
      </c>
    </row>
    <row r="3911" spans="1:19" x14ac:dyDescent="0.3">
      <c r="A3911" t="s">
        <v>17244</v>
      </c>
      <c r="B3911" t="s">
        <v>18576</v>
      </c>
      <c r="C3911" t="s">
        <v>18644</v>
      </c>
      <c r="D3911" t="s">
        <v>17260</v>
      </c>
      <c r="E3911" t="s">
        <v>17701</v>
      </c>
      <c r="F3911" t="s">
        <v>17701</v>
      </c>
      <c r="G3911" t="s">
        <v>17701</v>
      </c>
      <c r="H3911" t="s">
        <v>868</v>
      </c>
      <c r="I3911" t="s">
        <v>869</v>
      </c>
      <c r="J3911" t="str">
        <f>"9470002"</f>
        <v>9470002</v>
      </c>
      <c r="K3911">
        <v>2386022298</v>
      </c>
      <c r="L3911">
        <v>2386022298</v>
      </c>
      <c r="M3911" t="s">
        <v>18645</v>
      </c>
      <c r="N3911" t="s">
        <v>17704</v>
      </c>
      <c r="O3911" t="s">
        <v>18646</v>
      </c>
      <c r="P3911">
        <v>53200</v>
      </c>
      <c r="Q3911" t="str">
        <f>"40.688462"</f>
        <v>40.688462</v>
      </c>
      <c r="R3911" t="str">
        <f>"21.677984"</f>
        <v>21.677984</v>
      </c>
      <c r="S3911" t="s">
        <v>26</v>
      </c>
    </row>
    <row r="3912" spans="1:19" x14ac:dyDescent="0.3">
      <c r="A3912" t="s">
        <v>17244</v>
      </c>
      <c r="B3912" t="s">
        <v>18576</v>
      </c>
      <c r="C3912" t="s">
        <v>18655</v>
      </c>
      <c r="D3912" t="s">
        <v>17260</v>
      </c>
      <c r="E3912" t="s">
        <v>17701</v>
      </c>
      <c r="F3912" t="s">
        <v>17717</v>
      </c>
      <c r="G3912" t="s">
        <v>18654</v>
      </c>
      <c r="H3912" t="s">
        <v>868</v>
      </c>
      <c r="I3912" t="s">
        <v>950</v>
      </c>
      <c r="J3912" t="str">
        <f>"9470025"</f>
        <v>9470025</v>
      </c>
      <c r="K3912">
        <v>2386022758</v>
      </c>
      <c r="L3912">
        <v>2386022758</v>
      </c>
      <c r="M3912" t="s">
        <v>18656</v>
      </c>
      <c r="N3912" t="s">
        <v>18657</v>
      </c>
      <c r="O3912" t="s">
        <v>18657</v>
      </c>
      <c r="P3912">
        <v>53200</v>
      </c>
      <c r="Q3912" t="str">
        <f>"40.679232"</f>
        <v>40.679232</v>
      </c>
      <c r="R3912" t="str">
        <f>"21.712075"</f>
        <v>21.712075</v>
      </c>
      <c r="S3912" t="s">
        <v>26</v>
      </c>
    </row>
    <row r="3913" spans="1:19" x14ac:dyDescent="0.3">
      <c r="A3913" t="s">
        <v>17244</v>
      </c>
      <c r="B3913" t="s">
        <v>18576</v>
      </c>
      <c r="C3913" t="s">
        <v>17735</v>
      </c>
      <c r="D3913" t="s">
        <v>17260</v>
      </c>
      <c r="E3913" t="s">
        <v>17260</v>
      </c>
      <c r="F3913" t="s">
        <v>17729</v>
      </c>
      <c r="G3913" t="s">
        <v>17730</v>
      </c>
      <c r="H3913" t="s">
        <v>868</v>
      </c>
      <c r="I3913" t="s">
        <v>869</v>
      </c>
      <c r="J3913" t="str">
        <f>"9470092"</f>
        <v>9470092</v>
      </c>
      <c r="K3913">
        <v>2385035006</v>
      </c>
      <c r="M3913" t="s">
        <v>18672</v>
      </c>
      <c r="N3913" t="s">
        <v>18673</v>
      </c>
      <c r="O3913" t="s">
        <v>18673</v>
      </c>
      <c r="P3913">
        <v>53100</v>
      </c>
      <c r="Q3913" t="str">
        <f>"40.784354"</f>
        <v>40.784354</v>
      </c>
      <c r="R3913" t="str">
        <f>"21.484203"</f>
        <v>21.484203</v>
      </c>
      <c r="S3913" t="s">
        <v>26</v>
      </c>
    </row>
    <row r="3914" spans="1:19" x14ac:dyDescent="0.3">
      <c r="A3914" t="s">
        <v>17244</v>
      </c>
      <c r="B3914" t="s">
        <v>18576</v>
      </c>
      <c r="C3914" t="s">
        <v>17754</v>
      </c>
      <c r="D3914" t="s">
        <v>17260</v>
      </c>
      <c r="E3914" t="s">
        <v>17260</v>
      </c>
      <c r="F3914" t="s">
        <v>17686</v>
      </c>
      <c r="G3914" t="s">
        <v>17749</v>
      </c>
      <c r="H3914" t="s">
        <v>868</v>
      </c>
      <c r="I3914" t="s">
        <v>869</v>
      </c>
      <c r="J3914" t="str">
        <f>"9470026"</f>
        <v>9470026</v>
      </c>
      <c r="K3914">
        <v>2385081225</v>
      </c>
      <c r="L3914">
        <v>2385081225</v>
      </c>
      <c r="M3914" t="s">
        <v>18686</v>
      </c>
      <c r="N3914" t="s">
        <v>17752</v>
      </c>
      <c r="O3914" t="s">
        <v>17752</v>
      </c>
      <c r="P3914">
        <v>53074</v>
      </c>
      <c r="Q3914" t="str">
        <f>"40.770031"</f>
        <v>40.770031</v>
      </c>
      <c r="R3914" t="str">
        <f>"21.617538"</f>
        <v>21.617538</v>
      </c>
      <c r="S3914" t="s">
        <v>26</v>
      </c>
    </row>
    <row r="3915" spans="1:19" x14ac:dyDescent="0.3">
      <c r="A3915" t="s">
        <v>17244</v>
      </c>
      <c r="B3915" t="s">
        <v>18576</v>
      </c>
      <c r="C3915" t="s">
        <v>18714</v>
      </c>
      <c r="D3915" t="s">
        <v>17260</v>
      </c>
      <c r="E3915" t="s">
        <v>17260</v>
      </c>
      <c r="F3915" t="s">
        <v>17729</v>
      </c>
      <c r="G3915" t="s">
        <v>18713</v>
      </c>
      <c r="H3915" t="s">
        <v>868</v>
      </c>
      <c r="I3915" t="s">
        <v>950</v>
      </c>
      <c r="J3915" t="str">
        <f>"9470163"</f>
        <v>9470163</v>
      </c>
      <c r="K3915">
        <v>2385030589</v>
      </c>
      <c r="M3915" t="s">
        <v>18715</v>
      </c>
      <c r="N3915" t="s">
        <v>18713</v>
      </c>
      <c r="O3915" t="s">
        <v>18716</v>
      </c>
      <c r="P3915">
        <v>53100</v>
      </c>
      <c r="Q3915" t="str">
        <f>"40.718309"</f>
        <v>40.718309</v>
      </c>
      <c r="R3915" t="str">
        <f>"21.368787"</f>
        <v>21.368787</v>
      </c>
      <c r="S3915" t="s">
        <v>26</v>
      </c>
    </row>
    <row r="3916" spans="1:19" x14ac:dyDescent="0.3">
      <c r="A3916" t="s">
        <v>17244</v>
      </c>
      <c r="B3916" t="s">
        <v>18576</v>
      </c>
      <c r="C3916" t="s">
        <v>18718</v>
      </c>
      <c r="D3916" t="s">
        <v>17260</v>
      </c>
      <c r="E3916" t="s">
        <v>17701</v>
      </c>
      <c r="F3916" t="s">
        <v>18717</v>
      </c>
      <c r="G3916" t="s">
        <v>18717</v>
      </c>
      <c r="H3916" t="s">
        <v>868</v>
      </c>
      <c r="I3916" t="s">
        <v>950</v>
      </c>
      <c r="J3916" t="str">
        <f>"9470023"</f>
        <v>9470023</v>
      </c>
      <c r="K3916">
        <v>2463094333</v>
      </c>
      <c r="L3916">
        <v>2463094333</v>
      </c>
      <c r="M3916" t="s">
        <v>18719</v>
      </c>
      <c r="N3916" t="s">
        <v>18720</v>
      </c>
      <c r="O3916" t="s">
        <v>18720</v>
      </c>
      <c r="P3916">
        <v>50005</v>
      </c>
      <c r="Q3916" t="str">
        <f>"40.539223"</f>
        <v>40.539223</v>
      </c>
      <c r="R3916" t="str">
        <f>"21.503934"</f>
        <v>21.503934</v>
      </c>
      <c r="S3916" t="s">
        <v>57</v>
      </c>
    </row>
    <row r="3917" spans="1:19" x14ac:dyDescent="0.3">
      <c r="A3917" t="s">
        <v>17244</v>
      </c>
      <c r="B3917" t="s">
        <v>18576</v>
      </c>
      <c r="C3917" t="s">
        <v>17778</v>
      </c>
      <c r="D3917" t="s">
        <v>17260</v>
      </c>
      <c r="E3917" t="s">
        <v>17701</v>
      </c>
      <c r="F3917" t="s">
        <v>17773</v>
      </c>
      <c r="G3917" t="s">
        <v>17773</v>
      </c>
      <c r="H3917" t="s">
        <v>868</v>
      </c>
      <c r="I3917" t="s">
        <v>869</v>
      </c>
      <c r="J3917" t="str">
        <f>"9470039"</f>
        <v>9470039</v>
      </c>
      <c r="K3917">
        <v>2386071358</v>
      </c>
      <c r="L3917">
        <v>2386071458</v>
      </c>
      <c r="M3917" t="s">
        <v>18723</v>
      </c>
      <c r="N3917" t="s">
        <v>17776</v>
      </c>
      <c r="O3917" t="s">
        <v>17776</v>
      </c>
      <c r="P3917">
        <v>53073</v>
      </c>
      <c r="Q3917" t="str">
        <f>"40.584186"</f>
        <v>40.584186</v>
      </c>
      <c r="R3917" t="str">
        <f>"21.493311"</f>
        <v>21.493311</v>
      </c>
      <c r="S3917" t="s">
        <v>57</v>
      </c>
    </row>
    <row r="3918" spans="1:19" x14ac:dyDescent="0.3">
      <c r="A3918" t="s">
        <v>17244</v>
      </c>
      <c r="B3918" t="s">
        <v>18576</v>
      </c>
      <c r="C3918" t="s">
        <v>18729</v>
      </c>
      <c r="D3918" t="s">
        <v>17260</v>
      </c>
      <c r="E3918" t="s">
        <v>17260</v>
      </c>
      <c r="F3918" t="s">
        <v>17686</v>
      </c>
      <c r="G3918" t="s">
        <v>18607</v>
      </c>
      <c r="H3918" t="s">
        <v>868</v>
      </c>
      <c r="I3918" t="s">
        <v>950</v>
      </c>
      <c r="J3918" t="str">
        <f>"9470019"</f>
        <v>9470019</v>
      </c>
      <c r="K3918">
        <v>2385037371</v>
      </c>
      <c r="L3918">
        <v>2385037371</v>
      </c>
      <c r="M3918" t="s">
        <v>18730</v>
      </c>
      <c r="N3918" t="s">
        <v>18607</v>
      </c>
      <c r="O3918" t="s">
        <v>18610</v>
      </c>
      <c r="P3918">
        <v>53071</v>
      </c>
      <c r="Q3918" t="str">
        <f>"40.861233"</f>
        <v>40.861233</v>
      </c>
      <c r="R3918" t="str">
        <f>"21.611351"</f>
        <v>21.611351</v>
      </c>
      <c r="S3918" t="s">
        <v>26</v>
      </c>
    </row>
    <row r="3919" spans="1:19" x14ac:dyDescent="0.3">
      <c r="A3919" t="s">
        <v>17244</v>
      </c>
      <c r="B3919" t="s">
        <v>18576</v>
      </c>
      <c r="C3919" t="s">
        <v>18731</v>
      </c>
      <c r="D3919" t="s">
        <v>17260</v>
      </c>
      <c r="E3919" t="s">
        <v>17260</v>
      </c>
      <c r="F3919" t="s">
        <v>17729</v>
      </c>
      <c r="G3919" t="s">
        <v>17729</v>
      </c>
      <c r="H3919" t="s">
        <v>868</v>
      </c>
      <c r="I3919" t="s">
        <v>950</v>
      </c>
      <c r="J3919" t="str">
        <f>"9470157"</f>
        <v>9470157</v>
      </c>
      <c r="K3919">
        <v>2385030001</v>
      </c>
      <c r="L3919">
        <v>2385030001</v>
      </c>
      <c r="M3919" t="s">
        <v>18732</v>
      </c>
      <c r="N3919" t="s">
        <v>17729</v>
      </c>
      <c r="O3919" t="s">
        <v>18733</v>
      </c>
      <c r="P3919">
        <v>53100</v>
      </c>
      <c r="Q3919" t="str">
        <f>"40.753353"</f>
        <v>40.753353</v>
      </c>
      <c r="R3919" t="str">
        <f>"21.468050"</f>
        <v>21.468050</v>
      </c>
      <c r="S3919" t="s">
        <v>26</v>
      </c>
    </row>
    <row r="3920" spans="1:19" x14ac:dyDescent="0.3">
      <c r="A3920" t="s">
        <v>17244</v>
      </c>
      <c r="B3920" t="s">
        <v>18576</v>
      </c>
      <c r="C3920" t="s">
        <v>17692</v>
      </c>
      <c r="D3920" t="s">
        <v>17260</v>
      </c>
      <c r="E3920" t="s">
        <v>17260</v>
      </c>
      <c r="F3920" t="s">
        <v>17686</v>
      </c>
      <c r="G3920" t="s">
        <v>18740</v>
      </c>
      <c r="H3920" t="s">
        <v>868</v>
      </c>
      <c r="I3920" t="s">
        <v>869</v>
      </c>
      <c r="J3920" t="str">
        <f>"9470029"</f>
        <v>9470029</v>
      </c>
      <c r="K3920">
        <v>2385041564</v>
      </c>
      <c r="L3920">
        <v>2385041564</v>
      </c>
      <c r="M3920" t="s">
        <v>18741</v>
      </c>
      <c r="N3920" t="s">
        <v>18742</v>
      </c>
      <c r="O3920" t="s">
        <v>18742</v>
      </c>
      <c r="P3920">
        <v>53100</v>
      </c>
      <c r="Q3920" t="str">
        <f>"40.834249"</f>
        <v>40.834249</v>
      </c>
      <c r="R3920" t="str">
        <f>"21.516505"</f>
        <v>21.516505</v>
      </c>
      <c r="S3920" t="s">
        <v>26</v>
      </c>
    </row>
    <row r="3921" spans="1:19" x14ac:dyDescent="0.3">
      <c r="A3921" t="s">
        <v>17244</v>
      </c>
      <c r="B3921" t="s">
        <v>18576</v>
      </c>
      <c r="C3921" t="s">
        <v>18743</v>
      </c>
      <c r="D3921" t="s">
        <v>17260</v>
      </c>
      <c r="E3921" t="s">
        <v>17701</v>
      </c>
      <c r="F3921" t="s">
        <v>17701</v>
      </c>
      <c r="G3921" t="s">
        <v>18634</v>
      </c>
      <c r="H3921" t="s">
        <v>868</v>
      </c>
      <c r="I3921" t="s">
        <v>869</v>
      </c>
      <c r="J3921" t="str">
        <f>"9470054"</f>
        <v>9470054</v>
      </c>
      <c r="K3921">
        <v>2386081041</v>
      </c>
      <c r="L3921">
        <v>2386081041</v>
      </c>
      <c r="M3921" t="s">
        <v>18744</v>
      </c>
      <c r="N3921" t="s">
        <v>18637</v>
      </c>
      <c r="O3921" t="s">
        <v>18745</v>
      </c>
      <c r="P3921">
        <v>53072</v>
      </c>
      <c r="Q3921" t="str">
        <f>"40.690147"</f>
        <v>40.690147</v>
      </c>
      <c r="R3921" t="str">
        <f>"21.623414"</f>
        <v>21.623414</v>
      </c>
      <c r="S3921" t="s">
        <v>26</v>
      </c>
    </row>
    <row r="3922" spans="1:19" x14ac:dyDescent="0.3">
      <c r="A3922" t="s">
        <v>17244</v>
      </c>
      <c r="B3922" t="s">
        <v>18576</v>
      </c>
      <c r="C3922" t="s">
        <v>18746</v>
      </c>
      <c r="D3922" t="s">
        <v>17260</v>
      </c>
      <c r="E3922" t="s">
        <v>17260</v>
      </c>
      <c r="F3922" t="s">
        <v>17260</v>
      </c>
      <c r="G3922" t="s">
        <v>18617</v>
      </c>
      <c r="H3922" t="s">
        <v>868</v>
      </c>
      <c r="I3922" t="s">
        <v>950</v>
      </c>
      <c r="J3922" t="str">
        <f>"9470167"</f>
        <v>9470167</v>
      </c>
      <c r="K3922">
        <v>2385028636</v>
      </c>
      <c r="M3922" t="s">
        <v>18747</v>
      </c>
      <c r="N3922" t="s">
        <v>18617</v>
      </c>
      <c r="O3922" t="s">
        <v>18620</v>
      </c>
      <c r="P3922">
        <v>53100</v>
      </c>
      <c r="Q3922" t="str">
        <f>"40.764826"</f>
        <v>40.764826</v>
      </c>
      <c r="R3922" t="str">
        <f>"21.407298"</f>
        <v>21.407298</v>
      </c>
      <c r="S3922" t="s">
        <v>26</v>
      </c>
    </row>
    <row r="3923" spans="1:19" x14ac:dyDescent="0.3">
      <c r="A3923" t="s">
        <v>17244</v>
      </c>
      <c r="B3923" t="s">
        <v>18576</v>
      </c>
      <c r="C3923" t="s">
        <v>18748</v>
      </c>
      <c r="D3923" t="s">
        <v>17260</v>
      </c>
      <c r="E3923" t="s">
        <v>17701</v>
      </c>
      <c r="F3923" t="s">
        <v>15619</v>
      </c>
      <c r="G3923" t="s">
        <v>18677</v>
      </c>
      <c r="H3923" t="s">
        <v>868</v>
      </c>
      <c r="I3923" t="s">
        <v>869</v>
      </c>
      <c r="J3923" t="str">
        <f>"9470066"</f>
        <v>9470066</v>
      </c>
      <c r="K3923">
        <v>2386031204</v>
      </c>
      <c r="L3923">
        <v>2386031204</v>
      </c>
      <c r="M3923" t="s">
        <v>18749</v>
      </c>
      <c r="N3923" t="s">
        <v>18680</v>
      </c>
      <c r="O3923" t="s">
        <v>18680</v>
      </c>
      <c r="P3923">
        <v>53075</v>
      </c>
      <c r="Q3923" t="str">
        <f>"40.620756"</f>
        <v>40.620756</v>
      </c>
      <c r="R3923" t="str">
        <f>"21.503390"</f>
        <v>21.503390</v>
      </c>
      <c r="S3923" t="s">
        <v>57</v>
      </c>
    </row>
    <row r="3924" spans="1:19" x14ac:dyDescent="0.3">
      <c r="A3924" t="s">
        <v>17244</v>
      </c>
      <c r="B3924" t="s">
        <v>18576</v>
      </c>
      <c r="C3924" t="s">
        <v>18750</v>
      </c>
      <c r="D3924" t="s">
        <v>17260</v>
      </c>
      <c r="E3924" t="s">
        <v>17260</v>
      </c>
      <c r="F3924" t="s">
        <v>17260</v>
      </c>
      <c r="G3924" t="s">
        <v>17261</v>
      </c>
      <c r="H3924" t="s">
        <v>868</v>
      </c>
      <c r="I3924" t="s">
        <v>1602</v>
      </c>
      <c r="J3924" t="str">
        <f>"9470186"</f>
        <v>9470186</v>
      </c>
      <c r="K3924">
        <v>2385022992</v>
      </c>
      <c r="L3924">
        <v>2385022992</v>
      </c>
      <c r="M3924" t="s">
        <v>18751</v>
      </c>
      <c r="N3924" t="s">
        <v>17264</v>
      </c>
      <c r="O3924" t="s">
        <v>18752</v>
      </c>
      <c r="P3924">
        <v>53100</v>
      </c>
      <c r="Q3924" t="str">
        <f>"40.785300"</f>
        <v>40.785300</v>
      </c>
      <c r="R3924" t="str">
        <f>"21.406804"</f>
        <v>21.406804</v>
      </c>
      <c r="S3924" t="s">
        <v>26</v>
      </c>
    </row>
    <row r="3925" spans="1:19" x14ac:dyDescent="0.3">
      <c r="A3925" t="s">
        <v>17244</v>
      </c>
      <c r="B3925" t="s">
        <v>18576</v>
      </c>
      <c r="C3925" t="s">
        <v>17722</v>
      </c>
      <c r="D3925" t="s">
        <v>17260</v>
      </c>
      <c r="E3925" t="s">
        <v>17701</v>
      </c>
      <c r="F3925" t="s">
        <v>17717</v>
      </c>
      <c r="G3925" t="s">
        <v>17717</v>
      </c>
      <c r="H3925" t="s">
        <v>868</v>
      </c>
      <c r="I3925" t="s">
        <v>869</v>
      </c>
      <c r="J3925" t="str">
        <f>"9470191"</f>
        <v>9470191</v>
      </c>
      <c r="K3925">
        <v>2463042257</v>
      </c>
      <c r="L3925">
        <v>2463042257</v>
      </c>
      <c r="M3925" t="s">
        <v>18753</v>
      </c>
      <c r="N3925" t="s">
        <v>17720</v>
      </c>
      <c r="O3925" t="s">
        <v>18754</v>
      </c>
      <c r="P3925">
        <v>53070</v>
      </c>
      <c r="Q3925" t="str">
        <f>"40.626691"</f>
        <v>40.626691</v>
      </c>
      <c r="R3925" t="str">
        <f>"21.707332"</f>
        <v>21.707332</v>
      </c>
      <c r="S3925" t="s">
        <v>26</v>
      </c>
    </row>
    <row r="3926" spans="1:19" x14ac:dyDescent="0.3">
      <c r="A3926" t="s">
        <v>17244</v>
      </c>
      <c r="B3926" t="s">
        <v>18576</v>
      </c>
      <c r="C3926" t="s">
        <v>18755</v>
      </c>
      <c r="D3926" t="s">
        <v>17260</v>
      </c>
      <c r="E3926" t="s">
        <v>17260</v>
      </c>
      <c r="F3926" t="s">
        <v>17260</v>
      </c>
      <c r="G3926" t="s">
        <v>17261</v>
      </c>
      <c r="H3926" t="s">
        <v>868</v>
      </c>
      <c r="I3926" t="s">
        <v>1157</v>
      </c>
      <c r="J3926" t="str">
        <f>"9470182"</f>
        <v>9470182</v>
      </c>
      <c r="K3926">
        <v>2385045723</v>
      </c>
      <c r="L3926">
        <v>2385045723</v>
      </c>
      <c r="M3926" t="s">
        <v>18756</v>
      </c>
      <c r="N3926" t="s">
        <v>17264</v>
      </c>
      <c r="O3926" t="s">
        <v>18579</v>
      </c>
      <c r="P3926">
        <v>53100</v>
      </c>
      <c r="Q3926" t="str">
        <f>"40.778060"</f>
        <v>40.778060</v>
      </c>
      <c r="R3926" t="str">
        <f>"21.392896"</f>
        <v>21.392896</v>
      </c>
      <c r="S3926" t="s">
        <v>26</v>
      </c>
    </row>
    <row r="3927" spans="1:19" x14ac:dyDescent="0.3">
      <c r="A3927" t="s">
        <v>17244</v>
      </c>
      <c r="B3927" t="s">
        <v>18576</v>
      </c>
      <c r="C3927" t="s">
        <v>18757</v>
      </c>
      <c r="D3927" t="s">
        <v>17260</v>
      </c>
      <c r="E3927" t="s">
        <v>17701</v>
      </c>
      <c r="F3927" t="s">
        <v>17717</v>
      </c>
      <c r="G3927" t="s">
        <v>18736</v>
      </c>
      <c r="H3927" t="s">
        <v>868</v>
      </c>
      <c r="I3927" t="s">
        <v>869</v>
      </c>
      <c r="J3927" t="str">
        <f>"9470045"</f>
        <v>9470045</v>
      </c>
      <c r="K3927">
        <v>2463091402</v>
      </c>
      <c r="L3927">
        <v>2463091402</v>
      </c>
      <c r="M3927" t="s">
        <v>18758</v>
      </c>
      <c r="N3927" t="s">
        <v>18739</v>
      </c>
      <c r="O3927" t="s">
        <v>18739</v>
      </c>
      <c r="P3927">
        <v>53070</v>
      </c>
      <c r="Q3927" t="str">
        <f>"40.689787"</f>
        <v>40.689787</v>
      </c>
      <c r="R3927" t="str">
        <f>"21.774114"</f>
        <v>21.774114</v>
      </c>
      <c r="S3927" t="s">
        <v>57</v>
      </c>
    </row>
    <row r="3928" spans="1:19" x14ac:dyDescent="0.3">
      <c r="A3928" t="s">
        <v>17244</v>
      </c>
      <c r="B3928" t="s">
        <v>18576</v>
      </c>
      <c r="C3928" t="s">
        <v>18759</v>
      </c>
      <c r="D3928" t="s">
        <v>17260</v>
      </c>
      <c r="E3928" t="s">
        <v>17260</v>
      </c>
      <c r="F3928" t="s">
        <v>17729</v>
      </c>
      <c r="G3928" t="s">
        <v>13419</v>
      </c>
      <c r="H3928" t="s">
        <v>868</v>
      </c>
      <c r="I3928" t="s">
        <v>869</v>
      </c>
      <c r="J3928" t="str">
        <f>"9470175"</f>
        <v>9470175</v>
      </c>
      <c r="K3928">
        <v>2385030326</v>
      </c>
      <c r="M3928" t="s">
        <v>18760</v>
      </c>
      <c r="N3928" t="s">
        <v>18761</v>
      </c>
      <c r="O3928" t="s">
        <v>17264</v>
      </c>
      <c r="P3928">
        <v>53100</v>
      </c>
      <c r="Q3928" t="str">
        <f>"40.724940"</f>
        <v>40.724940</v>
      </c>
      <c r="R3928" t="str">
        <f>"21.457573"</f>
        <v>21.457573</v>
      </c>
      <c r="S3928" t="s">
        <v>26</v>
      </c>
    </row>
    <row r="3929" spans="1:19" x14ac:dyDescent="0.3">
      <c r="A3929" t="s">
        <v>17244</v>
      </c>
      <c r="B3929" t="s">
        <v>18576</v>
      </c>
      <c r="C3929" t="s">
        <v>17765</v>
      </c>
      <c r="D3929" t="s">
        <v>17260</v>
      </c>
      <c r="E3929" t="s">
        <v>17260</v>
      </c>
      <c r="F3929" t="s">
        <v>17686</v>
      </c>
      <c r="G3929" t="s">
        <v>17686</v>
      </c>
      <c r="H3929" t="s">
        <v>868</v>
      </c>
      <c r="I3929" t="s">
        <v>869</v>
      </c>
      <c r="J3929" t="str">
        <f>"9470046"</f>
        <v>9470046</v>
      </c>
      <c r="K3929">
        <v>2385037250</v>
      </c>
      <c r="L3929">
        <v>2385037250</v>
      </c>
      <c r="M3929" t="s">
        <v>18762</v>
      </c>
      <c r="N3929" t="s">
        <v>18763</v>
      </c>
      <c r="O3929" t="s">
        <v>17763</v>
      </c>
      <c r="P3929">
        <v>53071</v>
      </c>
      <c r="Q3929" t="str">
        <f>"40.834725"</f>
        <v>40.834725</v>
      </c>
      <c r="R3929" t="str">
        <f>"21.584401"</f>
        <v>21.584401</v>
      </c>
      <c r="S3929" t="s">
        <v>26</v>
      </c>
    </row>
    <row r="3930" spans="1:19" x14ac:dyDescent="0.3">
      <c r="A3930" t="s">
        <v>17244</v>
      </c>
      <c r="B3930" t="s">
        <v>18576</v>
      </c>
      <c r="C3930" t="s">
        <v>18764</v>
      </c>
      <c r="D3930" t="s">
        <v>17260</v>
      </c>
      <c r="E3930" t="s">
        <v>17701</v>
      </c>
      <c r="F3930" t="s">
        <v>17701</v>
      </c>
      <c r="G3930" t="s">
        <v>18681</v>
      </c>
      <c r="H3930" t="s">
        <v>868</v>
      </c>
      <c r="I3930" t="s">
        <v>869</v>
      </c>
      <c r="J3930" t="str">
        <f>"9470007"</f>
        <v>9470007</v>
      </c>
      <c r="K3930">
        <v>2386061265</v>
      </c>
      <c r="L3930">
        <v>2386061295</v>
      </c>
      <c r="M3930" t="s">
        <v>18765</v>
      </c>
      <c r="N3930" t="s">
        <v>18766</v>
      </c>
      <c r="O3930" t="s">
        <v>18766</v>
      </c>
      <c r="P3930">
        <v>53200</v>
      </c>
      <c r="Q3930" t="str">
        <f>"40.726659"</f>
        <v>40.726659</v>
      </c>
      <c r="R3930" t="str">
        <f>"21.748493"</f>
        <v>21.748493</v>
      </c>
      <c r="S3930" t="s">
        <v>26</v>
      </c>
    </row>
    <row r="3931" spans="1:19" x14ac:dyDescent="0.3">
      <c r="A3931" t="s">
        <v>17244</v>
      </c>
      <c r="B3931" t="s">
        <v>18576</v>
      </c>
      <c r="C3931" t="s">
        <v>18767</v>
      </c>
      <c r="D3931" t="s">
        <v>17260</v>
      </c>
      <c r="E3931" t="s">
        <v>17701</v>
      </c>
      <c r="F3931" t="s">
        <v>17717</v>
      </c>
      <c r="G3931" t="s">
        <v>18663</v>
      </c>
      <c r="H3931" t="s">
        <v>868</v>
      </c>
      <c r="I3931" t="s">
        <v>869</v>
      </c>
      <c r="J3931" t="str">
        <f>"9470037"</f>
        <v>9470037</v>
      </c>
      <c r="K3931">
        <v>2463041481</v>
      </c>
      <c r="L3931">
        <v>2463041481</v>
      </c>
      <c r="M3931" t="s">
        <v>18768</v>
      </c>
      <c r="N3931" t="s">
        <v>18667</v>
      </c>
      <c r="O3931" t="s">
        <v>18667</v>
      </c>
      <c r="P3931">
        <v>53200</v>
      </c>
      <c r="Q3931" t="str">
        <f>"40.646618"</f>
        <v>40.646618</v>
      </c>
      <c r="R3931" t="str">
        <f>"21.702266"</f>
        <v>21.702266</v>
      </c>
      <c r="S3931" t="s">
        <v>26</v>
      </c>
    </row>
    <row r="3932" spans="1:19" x14ac:dyDescent="0.3">
      <c r="A3932" t="s">
        <v>17244</v>
      </c>
      <c r="B3932" t="s">
        <v>18576</v>
      </c>
      <c r="C3932" t="s">
        <v>18769</v>
      </c>
      <c r="D3932" t="s">
        <v>17260</v>
      </c>
      <c r="E3932" t="s">
        <v>17260</v>
      </c>
      <c r="F3932" t="s">
        <v>17260</v>
      </c>
      <c r="G3932" t="s">
        <v>18703</v>
      </c>
      <c r="H3932" t="s">
        <v>868</v>
      </c>
      <c r="I3932" t="s">
        <v>869</v>
      </c>
      <c r="J3932" t="str">
        <f>"9470103"</f>
        <v>9470103</v>
      </c>
      <c r="K3932">
        <v>2385036267</v>
      </c>
      <c r="L3932">
        <v>2385036267</v>
      </c>
      <c r="M3932" t="s">
        <v>18770</v>
      </c>
      <c r="N3932" t="s">
        <v>18706</v>
      </c>
      <c r="O3932" t="s">
        <v>18706</v>
      </c>
      <c r="P3932">
        <v>53100</v>
      </c>
      <c r="Q3932" t="str">
        <f>"40.804042"</f>
        <v>40.804042</v>
      </c>
      <c r="R3932" t="str">
        <f>"21.459411"</f>
        <v>21.459411</v>
      </c>
      <c r="S3932" t="s">
        <v>26</v>
      </c>
    </row>
    <row r="3933" spans="1:19" x14ac:dyDescent="0.3">
      <c r="A3933" t="s">
        <v>17244</v>
      </c>
      <c r="B3933" t="s">
        <v>18576</v>
      </c>
      <c r="C3933" t="s">
        <v>17705</v>
      </c>
      <c r="D3933" t="s">
        <v>17260</v>
      </c>
      <c r="E3933" t="s">
        <v>17701</v>
      </c>
      <c r="F3933" t="s">
        <v>17701</v>
      </c>
      <c r="G3933" t="s">
        <v>17701</v>
      </c>
      <c r="H3933" t="s">
        <v>868</v>
      </c>
      <c r="I3933" t="s">
        <v>869</v>
      </c>
      <c r="J3933" t="str">
        <f>"9470218"</f>
        <v>9470218</v>
      </c>
      <c r="K3933">
        <v>2386022959</v>
      </c>
      <c r="L3933">
        <v>2386022959</v>
      </c>
      <c r="M3933" t="s">
        <v>18771</v>
      </c>
      <c r="N3933" t="s">
        <v>17704</v>
      </c>
      <c r="O3933" t="s">
        <v>18772</v>
      </c>
      <c r="P3933">
        <v>53200</v>
      </c>
      <c r="Q3933" t="str">
        <f>"40.687443"</f>
        <v>40.687443</v>
      </c>
      <c r="R3933" t="str">
        <f>"21.685397"</f>
        <v>21.685397</v>
      </c>
      <c r="S3933" t="s">
        <v>26</v>
      </c>
    </row>
    <row r="3934" spans="1:19" x14ac:dyDescent="0.3">
      <c r="A3934" t="s">
        <v>17244</v>
      </c>
      <c r="B3934" t="s">
        <v>18576</v>
      </c>
      <c r="C3934" t="s">
        <v>17760</v>
      </c>
      <c r="D3934" t="s">
        <v>17260</v>
      </c>
      <c r="E3934" t="s">
        <v>17260</v>
      </c>
      <c r="F3934" t="s">
        <v>17755</v>
      </c>
      <c r="G3934" t="s">
        <v>17755</v>
      </c>
      <c r="H3934" t="s">
        <v>868</v>
      </c>
      <c r="I3934" t="s">
        <v>869</v>
      </c>
      <c r="J3934" t="str">
        <f>"9470120"</f>
        <v>9470120</v>
      </c>
      <c r="K3934">
        <v>2385092291</v>
      </c>
      <c r="L3934">
        <v>2385092291</v>
      </c>
      <c r="M3934" t="s">
        <v>18773</v>
      </c>
      <c r="N3934" t="s">
        <v>17758</v>
      </c>
      <c r="O3934" t="s">
        <v>17758</v>
      </c>
      <c r="P3934">
        <v>53100</v>
      </c>
      <c r="Q3934" t="str">
        <f>"40.850256"</f>
        <v>40.850256</v>
      </c>
      <c r="R3934" t="str">
        <f>"21.398511"</f>
        <v>21.398511</v>
      </c>
      <c r="S3934" t="s">
        <v>26</v>
      </c>
    </row>
    <row r="3935" spans="1:19" x14ac:dyDescent="0.3">
      <c r="A3935" t="s">
        <v>17244</v>
      </c>
      <c r="B3935" t="s">
        <v>18576</v>
      </c>
      <c r="C3935" t="s">
        <v>18774</v>
      </c>
      <c r="D3935" t="s">
        <v>17260</v>
      </c>
      <c r="E3935" t="s">
        <v>17260</v>
      </c>
      <c r="F3935" t="s">
        <v>17686</v>
      </c>
      <c r="G3935" t="s">
        <v>18595</v>
      </c>
      <c r="H3935" t="s">
        <v>868</v>
      </c>
      <c r="I3935" t="s">
        <v>950</v>
      </c>
      <c r="J3935" t="str">
        <f>"9470050"</f>
        <v>9470050</v>
      </c>
      <c r="K3935">
        <v>2385037332</v>
      </c>
      <c r="M3935" t="s">
        <v>18775</v>
      </c>
      <c r="O3935" t="s">
        <v>18776</v>
      </c>
      <c r="P3935">
        <v>53100</v>
      </c>
      <c r="Q3935" t="str">
        <f>"40.828573"</f>
        <v>40.828573</v>
      </c>
      <c r="R3935" t="str">
        <f>"21.542669"</f>
        <v>21.542669</v>
      </c>
      <c r="S3935" t="s">
        <v>26</v>
      </c>
    </row>
    <row r="3936" spans="1:19" x14ac:dyDescent="0.3">
      <c r="A3936" t="s">
        <v>17244</v>
      </c>
      <c r="B3936" t="s">
        <v>18576</v>
      </c>
      <c r="C3936" t="s">
        <v>17742</v>
      </c>
      <c r="D3936" t="s">
        <v>17260</v>
      </c>
      <c r="E3936" t="s">
        <v>17736</v>
      </c>
      <c r="F3936" t="s">
        <v>17736</v>
      </c>
      <c r="G3936" t="s">
        <v>18699</v>
      </c>
      <c r="H3936" t="s">
        <v>868</v>
      </c>
      <c r="I3936" t="s">
        <v>869</v>
      </c>
      <c r="J3936" t="str">
        <f>"9470087"</f>
        <v>9470087</v>
      </c>
      <c r="K3936">
        <v>2385051844</v>
      </c>
      <c r="L3936">
        <v>2385051844</v>
      </c>
      <c r="M3936" t="s">
        <v>18777</v>
      </c>
      <c r="N3936" t="s">
        <v>18699</v>
      </c>
      <c r="O3936" t="s">
        <v>18702</v>
      </c>
      <c r="P3936">
        <v>53077</v>
      </c>
      <c r="Q3936" t="str">
        <f>"40.839703"</f>
        <v>40.839703</v>
      </c>
      <c r="R3936" t="str">
        <f>"21.156053"</f>
        <v>21.156053</v>
      </c>
      <c r="S3936" t="s">
        <v>57</v>
      </c>
    </row>
    <row r="3937" spans="1:19" x14ac:dyDescent="0.3">
      <c r="A3937" t="s">
        <v>17244</v>
      </c>
      <c r="B3937" t="s">
        <v>18576</v>
      </c>
      <c r="C3937" t="s">
        <v>18782</v>
      </c>
      <c r="D3937" t="s">
        <v>17260</v>
      </c>
      <c r="E3937" t="s">
        <v>17260</v>
      </c>
      <c r="F3937" t="s">
        <v>17686</v>
      </c>
      <c r="G3937" t="s">
        <v>18585</v>
      </c>
      <c r="H3937" t="s">
        <v>868</v>
      </c>
      <c r="I3937" t="s">
        <v>869</v>
      </c>
      <c r="J3937" t="str">
        <f>"9470063"</f>
        <v>9470063</v>
      </c>
      <c r="K3937">
        <v>2385081012</v>
      </c>
      <c r="M3937" t="s">
        <v>18783</v>
      </c>
      <c r="N3937" t="s">
        <v>18585</v>
      </c>
      <c r="O3937" t="s">
        <v>18588</v>
      </c>
      <c r="P3937">
        <v>53074</v>
      </c>
      <c r="Q3937" t="str">
        <f>"40.788573"</f>
        <v>40.788573</v>
      </c>
      <c r="R3937" t="str">
        <f>"21.538823"</f>
        <v>21.538823</v>
      </c>
      <c r="S3937" t="s">
        <v>26</v>
      </c>
    </row>
    <row r="3938" spans="1:19" x14ac:dyDescent="0.3">
      <c r="A3938" t="s">
        <v>17244</v>
      </c>
      <c r="B3938" t="s">
        <v>18576</v>
      </c>
      <c r="C3938" t="s">
        <v>18788</v>
      </c>
      <c r="D3938" t="s">
        <v>17260</v>
      </c>
      <c r="E3938" t="s">
        <v>17701</v>
      </c>
      <c r="F3938" t="s">
        <v>17701</v>
      </c>
      <c r="G3938" t="s">
        <v>18599</v>
      </c>
      <c r="H3938" t="s">
        <v>868</v>
      </c>
      <c r="I3938" t="s">
        <v>869</v>
      </c>
      <c r="J3938" t="str">
        <f>"9470031"</f>
        <v>9470031</v>
      </c>
      <c r="K3938">
        <v>2385024654</v>
      </c>
      <c r="L3938">
        <v>2385024654</v>
      </c>
      <c r="M3938" t="s">
        <v>18789</v>
      </c>
      <c r="N3938" t="s">
        <v>18602</v>
      </c>
      <c r="O3938" t="s">
        <v>18602</v>
      </c>
      <c r="P3938">
        <v>53074</v>
      </c>
      <c r="Q3938" t="str">
        <f>"40.784243"</f>
        <v>40.784243</v>
      </c>
      <c r="R3938" t="str">
        <f>"21.691151"</f>
        <v>21.691151</v>
      </c>
      <c r="S3938" t="s">
        <v>26</v>
      </c>
    </row>
    <row r="3939" spans="1:19" x14ac:dyDescent="0.3">
      <c r="A3939" t="s">
        <v>17244</v>
      </c>
      <c r="B3939" t="s">
        <v>18576</v>
      </c>
      <c r="C3939" t="s">
        <v>18790</v>
      </c>
      <c r="D3939" t="s">
        <v>17260</v>
      </c>
      <c r="E3939" t="s">
        <v>17260</v>
      </c>
      <c r="F3939" t="s">
        <v>17755</v>
      </c>
      <c r="G3939" t="s">
        <v>18613</v>
      </c>
      <c r="H3939" t="s">
        <v>868</v>
      </c>
      <c r="I3939" t="s">
        <v>869</v>
      </c>
      <c r="J3939" t="str">
        <f>"9470097"</f>
        <v>9470097</v>
      </c>
      <c r="K3939">
        <v>2385092044</v>
      </c>
      <c r="M3939" t="s">
        <v>18791</v>
      </c>
      <c r="N3939" t="s">
        <v>18792</v>
      </c>
      <c r="O3939" t="s">
        <v>18792</v>
      </c>
      <c r="P3939">
        <v>53100</v>
      </c>
      <c r="Q3939" t="str">
        <f>"40.857649"</f>
        <v>40.857649</v>
      </c>
      <c r="R3939" t="str">
        <f>"21.452260"</f>
        <v>21.452260</v>
      </c>
      <c r="S3939" t="s">
        <v>26</v>
      </c>
    </row>
    <row r="3940" spans="1:19" x14ac:dyDescent="0.3">
      <c r="A3940" t="s">
        <v>17244</v>
      </c>
      <c r="B3940" t="s">
        <v>18576</v>
      </c>
      <c r="C3940" t="s">
        <v>17700</v>
      </c>
      <c r="D3940" t="s">
        <v>17260</v>
      </c>
      <c r="E3940" t="s">
        <v>17260</v>
      </c>
      <c r="F3940" t="s">
        <v>17260</v>
      </c>
      <c r="G3940" t="s">
        <v>17261</v>
      </c>
      <c r="H3940" t="s">
        <v>868</v>
      </c>
      <c r="I3940" t="s">
        <v>869</v>
      </c>
      <c r="J3940" t="str">
        <f>"9470180"</f>
        <v>9470180</v>
      </c>
      <c r="K3940">
        <v>2385022480</v>
      </c>
      <c r="L3940">
        <v>2385022480</v>
      </c>
      <c r="M3940" t="s">
        <v>18793</v>
      </c>
      <c r="N3940" t="s">
        <v>17260</v>
      </c>
      <c r="O3940" t="s">
        <v>18794</v>
      </c>
      <c r="P3940">
        <v>53100</v>
      </c>
      <c r="Q3940" t="str">
        <f>"40.779280"</f>
        <v>40.779280</v>
      </c>
      <c r="R3940" t="str">
        <f>"21.399150"</f>
        <v>21.399150</v>
      </c>
      <c r="S3940" t="s">
        <v>26</v>
      </c>
    </row>
    <row r="3941" spans="1:19" x14ac:dyDescent="0.3">
      <c r="A3941" t="s">
        <v>17244</v>
      </c>
      <c r="B3941" t="s">
        <v>18576</v>
      </c>
      <c r="C3941" t="s">
        <v>18795</v>
      </c>
      <c r="D3941" t="s">
        <v>17260</v>
      </c>
      <c r="E3941" t="s">
        <v>17701</v>
      </c>
      <c r="F3941" t="s">
        <v>17701</v>
      </c>
      <c r="G3941" t="s">
        <v>17701</v>
      </c>
      <c r="H3941" t="s">
        <v>868</v>
      </c>
      <c r="I3941" t="s">
        <v>1157</v>
      </c>
      <c r="J3941" t="str">
        <f>"9470217"</f>
        <v>9470217</v>
      </c>
      <c r="K3941">
        <v>2386023896</v>
      </c>
      <c r="L3941">
        <v>2386023896</v>
      </c>
      <c r="M3941" t="s">
        <v>18796</v>
      </c>
      <c r="N3941" t="s">
        <v>17704</v>
      </c>
      <c r="O3941" t="s">
        <v>18797</v>
      </c>
      <c r="P3941">
        <v>53200</v>
      </c>
      <c r="Q3941" t="str">
        <f>"40.687426"</f>
        <v>40.687426</v>
      </c>
      <c r="R3941" t="str">
        <f>"21.685515"</f>
        <v>21.685515</v>
      </c>
      <c r="S3941" t="s">
        <v>26</v>
      </c>
    </row>
    <row r="3942" spans="1:19" x14ac:dyDescent="0.3">
      <c r="A3942" t="s">
        <v>17244</v>
      </c>
      <c r="B3942" t="s">
        <v>18576</v>
      </c>
      <c r="C3942" t="s">
        <v>18801</v>
      </c>
      <c r="D3942" t="s">
        <v>17260</v>
      </c>
      <c r="E3942" t="s">
        <v>17260</v>
      </c>
      <c r="F3942" t="s">
        <v>17260</v>
      </c>
      <c r="G3942" t="s">
        <v>17261</v>
      </c>
      <c r="H3942" t="s">
        <v>868</v>
      </c>
      <c r="I3942" t="s">
        <v>869</v>
      </c>
      <c r="J3942" t="str">
        <f>"9470072"</f>
        <v>9470072</v>
      </c>
      <c r="K3942">
        <v>2385022553</v>
      </c>
      <c r="L3942">
        <v>2385022553</v>
      </c>
      <c r="M3942" t="s">
        <v>18802</v>
      </c>
      <c r="N3942" t="s">
        <v>17264</v>
      </c>
      <c r="O3942" t="s">
        <v>18803</v>
      </c>
      <c r="P3942">
        <v>53100</v>
      </c>
      <c r="Q3942" t="str">
        <f>"40.778208"</f>
        <v>40.778208</v>
      </c>
      <c r="R3942" t="str">
        <f>"21.410678"</f>
        <v>21.410678</v>
      </c>
      <c r="S3942" t="s">
        <v>26</v>
      </c>
    </row>
    <row r="3943" spans="1:19" x14ac:dyDescent="0.3">
      <c r="A3943" t="s">
        <v>18804</v>
      </c>
      <c r="B3943" t="s">
        <v>19430</v>
      </c>
      <c r="C3943" t="s">
        <v>18841</v>
      </c>
      <c r="D3943" t="s">
        <v>18805</v>
      </c>
      <c r="E3943" t="s">
        <v>18806</v>
      </c>
      <c r="F3943" t="s">
        <v>18806</v>
      </c>
      <c r="G3943" t="s">
        <v>19438</v>
      </c>
      <c r="H3943" t="s">
        <v>868</v>
      </c>
      <c r="I3943" t="s">
        <v>950</v>
      </c>
      <c r="J3943" t="str">
        <f>"9040050"</f>
        <v>9040050</v>
      </c>
      <c r="K3943">
        <v>2681028812</v>
      </c>
      <c r="L3943">
        <v>2681028812</v>
      </c>
      <c r="M3943" t="s">
        <v>19485</v>
      </c>
      <c r="O3943" t="s">
        <v>19441</v>
      </c>
      <c r="P3943">
        <v>47150</v>
      </c>
      <c r="Q3943" t="str">
        <f>"39.130379"</f>
        <v>39.130379</v>
      </c>
      <c r="R3943" t="str">
        <f>"20.979117"</f>
        <v>20.979117</v>
      </c>
      <c r="S3943" t="s">
        <v>26</v>
      </c>
    </row>
    <row r="3944" spans="1:19" x14ac:dyDescent="0.3">
      <c r="A3944" t="s">
        <v>18804</v>
      </c>
      <c r="B3944" t="s">
        <v>19430</v>
      </c>
      <c r="C3944" t="s">
        <v>19508</v>
      </c>
      <c r="D3944" t="s">
        <v>18805</v>
      </c>
      <c r="E3944" t="s">
        <v>18806</v>
      </c>
      <c r="F3944" t="s">
        <v>19470</v>
      </c>
      <c r="G3944" t="s">
        <v>19471</v>
      </c>
      <c r="H3944" t="s">
        <v>868</v>
      </c>
      <c r="I3944" t="s">
        <v>950</v>
      </c>
      <c r="J3944" t="str">
        <f>"9040120"</f>
        <v>9040120</v>
      </c>
      <c r="K3944">
        <v>2683081521</v>
      </c>
      <c r="L3944">
        <v>2683081521</v>
      </c>
      <c r="M3944" t="s">
        <v>19509</v>
      </c>
      <c r="N3944" t="s">
        <v>19474</v>
      </c>
      <c r="O3944" t="s">
        <v>19474</v>
      </c>
      <c r="P3944">
        <v>48200</v>
      </c>
      <c r="Q3944" t="str">
        <f>"39.266454"</f>
        <v>39.266454</v>
      </c>
      <c r="R3944" t="str">
        <f>"20.940304"</f>
        <v>20.940304</v>
      </c>
      <c r="S3944" t="s">
        <v>26</v>
      </c>
    </row>
    <row r="3945" spans="1:19" x14ac:dyDescent="0.3">
      <c r="A3945" t="s">
        <v>18804</v>
      </c>
      <c r="B3945" t="s">
        <v>19430</v>
      </c>
      <c r="C3945" t="s">
        <v>19510</v>
      </c>
      <c r="D3945" t="s">
        <v>18805</v>
      </c>
      <c r="E3945" t="s">
        <v>18806</v>
      </c>
      <c r="F3945" t="s">
        <v>18806</v>
      </c>
      <c r="G3945" t="s">
        <v>18806</v>
      </c>
      <c r="H3945" t="s">
        <v>868</v>
      </c>
      <c r="I3945" t="s">
        <v>869</v>
      </c>
      <c r="J3945" t="str">
        <f>"9040108"</f>
        <v>9040108</v>
      </c>
      <c r="K3945">
        <v>2681028175</v>
      </c>
      <c r="L3945">
        <v>2681028175</v>
      </c>
      <c r="M3945" t="s">
        <v>19511</v>
      </c>
      <c r="N3945" t="s">
        <v>18809</v>
      </c>
      <c r="O3945" t="s">
        <v>19512</v>
      </c>
      <c r="P3945">
        <v>47131</v>
      </c>
      <c r="Q3945" t="str">
        <f>"39.151636"</f>
        <v>39.151636</v>
      </c>
      <c r="R3945" t="str">
        <f>"20.989422"</f>
        <v>20.989422</v>
      </c>
      <c r="S3945" t="s">
        <v>26</v>
      </c>
    </row>
    <row r="3946" spans="1:19" x14ac:dyDescent="0.3">
      <c r="A3946" t="s">
        <v>18804</v>
      </c>
      <c r="B3946" t="s">
        <v>19430</v>
      </c>
      <c r="C3946" t="s">
        <v>18961</v>
      </c>
      <c r="D3946" t="s">
        <v>18805</v>
      </c>
      <c r="E3946" t="s">
        <v>18878</v>
      </c>
      <c r="F3946" t="s">
        <v>18956</v>
      </c>
      <c r="G3946" t="s">
        <v>19513</v>
      </c>
      <c r="H3946" t="s">
        <v>868</v>
      </c>
      <c r="I3946" t="s">
        <v>950</v>
      </c>
      <c r="J3946" t="str">
        <f>"9040186"</f>
        <v>9040186</v>
      </c>
      <c r="K3946">
        <v>2685071543</v>
      </c>
      <c r="L3946">
        <v>2685070008</v>
      </c>
      <c r="M3946" t="s">
        <v>19514</v>
      </c>
      <c r="N3946" t="s">
        <v>19515</v>
      </c>
      <c r="O3946" t="s">
        <v>19516</v>
      </c>
      <c r="P3946">
        <v>47043</v>
      </c>
      <c r="Q3946" t="str">
        <f>"39.396803"</f>
        <v>39.396803</v>
      </c>
      <c r="R3946" t="str">
        <f>"21.080343"</f>
        <v>21.080343</v>
      </c>
      <c r="S3946" t="s">
        <v>26</v>
      </c>
    </row>
    <row r="3947" spans="1:19" x14ac:dyDescent="0.3">
      <c r="A3947" t="s">
        <v>18804</v>
      </c>
      <c r="B3947" t="s">
        <v>19430</v>
      </c>
      <c r="C3947" t="s">
        <v>19517</v>
      </c>
      <c r="D3947" t="s">
        <v>18805</v>
      </c>
      <c r="E3947" t="s">
        <v>18806</v>
      </c>
      <c r="F3947" t="s">
        <v>4671</v>
      </c>
      <c r="G3947" t="s">
        <v>19462</v>
      </c>
      <c r="H3947" t="s">
        <v>868</v>
      </c>
      <c r="I3947" t="s">
        <v>869</v>
      </c>
      <c r="J3947" t="str">
        <f>"9040111"</f>
        <v>9040111</v>
      </c>
      <c r="K3947">
        <v>2683041129</v>
      </c>
      <c r="L3947">
        <v>2683041291</v>
      </c>
      <c r="M3947" t="s">
        <v>19518</v>
      </c>
      <c r="N3947" t="s">
        <v>18809</v>
      </c>
      <c r="O3947" t="s">
        <v>19465</v>
      </c>
      <c r="P3947">
        <v>47150</v>
      </c>
      <c r="Q3947" t="str">
        <f>"39.143290"</f>
        <v>39.143290</v>
      </c>
      <c r="R3947" t="str">
        <f>"20.863191"</f>
        <v>20.863191</v>
      </c>
      <c r="S3947" t="s">
        <v>26</v>
      </c>
    </row>
    <row r="3948" spans="1:19" x14ac:dyDescent="0.3">
      <c r="A3948" t="s">
        <v>18804</v>
      </c>
      <c r="B3948" t="s">
        <v>19430</v>
      </c>
      <c r="C3948" t="s">
        <v>19519</v>
      </c>
      <c r="D3948" t="s">
        <v>18805</v>
      </c>
      <c r="E3948" t="s">
        <v>18806</v>
      </c>
      <c r="F3948" t="s">
        <v>19470</v>
      </c>
      <c r="G3948" t="s">
        <v>19471</v>
      </c>
      <c r="H3948" t="s">
        <v>868</v>
      </c>
      <c r="I3948" t="s">
        <v>950</v>
      </c>
      <c r="J3948" t="str">
        <f>"9040122"</f>
        <v>9040122</v>
      </c>
      <c r="K3948">
        <v>2683023461</v>
      </c>
      <c r="L3948">
        <v>2683023461</v>
      </c>
      <c r="M3948" t="s">
        <v>19520</v>
      </c>
      <c r="N3948" t="s">
        <v>19521</v>
      </c>
      <c r="O3948" t="s">
        <v>19521</v>
      </c>
      <c r="P3948">
        <v>48200</v>
      </c>
      <c r="Q3948" t="str">
        <f>"39.227508"</f>
        <v>39.227508</v>
      </c>
      <c r="R3948" t="str">
        <f>"20.929204"</f>
        <v>20.929204</v>
      </c>
      <c r="S3948" t="s">
        <v>26</v>
      </c>
    </row>
    <row r="3949" spans="1:19" x14ac:dyDescent="0.3">
      <c r="A3949" t="s">
        <v>18804</v>
      </c>
      <c r="B3949" t="s">
        <v>19430</v>
      </c>
      <c r="C3949" t="s">
        <v>18873</v>
      </c>
      <c r="D3949" t="s">
        <v>18805</v>
      </c>
      <c r="E3949" t="s">
        <v>18806</v>
      </c>
      <c r="F3949" t="s">
        <v>18806</v>
      </c>
      <c r="G3949" t="s">
        <v>18806</v>
      </c>
      <c r="H3949" t="s">
        <v>868</v>
      </c>
      <c r="I3949" t="s">
        <v>869</v>
      </c>
      <c r="J3949" t="str">
        <f>"9040252"</f>
        <v>9040252</v>
      </c>
      <c r="K3949">
        <v>2681070051</v>
      </c>
      <c r="L3949">
        <v>2681070051</v>
      </c>
      <c r="M3949" t="s">
        <v>19522</v>
      </c>
      <c r="N3949" t="s">
        <v>18809</v>
      </c>
      <c r="O3949" t="s">
        <v>19523</v>
      </c>
      <c r="P3949">
        <v>47100</v>
      </c>
      <c r="Q3949" t="str">
        <f>"39.158151"</f>
        <v>39.158151</v>
      </c>
      <c r="R3949" t="str">
        <f>"20.987732"</f>
        <v>20.987732</v>
      </c>
      <c r="S3949" t="s">
        <v>26</v>
      </c>
    </row>
    <row r="3950" spans="1:19" x14ac:dyDescent="0.3">
      <c r="A3950" t="s">
        <v>18804</v>
      </c>
      <c r="B3950" t="s">
        <v>19430</v>
      </c>
      <c r="C3950" t="s">
        <v>19524</v>
      </c>
      <c r="D3950" t="s">
        <v>18805</v>
      </c>
      <c r="E3950" t="s">
        <v>18806</v>
      </c>
      <c r="F3950" t="s">
        <v>18897</v>
      </c>
      <c r="G3950" t="s">
        <v>19496</v>
      </c>
      <c r="H3950" t="s">
        <v>868</v>
      </c>
      <c r="I3950" t="s">
        <v>950</v>
      </c>
      <c r="J3950" t="str">
        <f>"9040187"</f>
        <v>9040187</v>
      </c>
      <c r="K3950">
        <v>2681041391</v>
      </c>
      <c r="L3950">
        <v>2681041391</v>
      </c>
      <c r="M3950" t="s">
        <v>19525</v>
      </c>
      <c r="N3950" t="s">
        <v>19499</v>
      </c>
      <c r="O3950" t="s">
        <v>19499</v>
      </c>
      <c r="P3950">
        <v>47100</v>
      </c>
      <c r="Q3950" t="str">
        <f>"39.114337"</f>
        <v>39.114337</v>
      </c>
      <c r="R3950" t="str">
        <f>"20.899236"</f>
        <v>20.899236</v>
      </c>
      <c r="S3950" t="s">
        <v>26</v>
      </c>
    </row>
    <row r="3951" spans="1:19" x14ac:dyDescent="0.3">
      <c r="A3951" t="s">
        <v>18804</v>
      </c>
      <c r="B3951" t="s">
        <v>19430</v>
      </c>
      <c r="C3951" t="s">
        <v>19528</v>
      </c>
      <c r="D3951" t="s">
        <v>18805</v>
      </c>
      <c r="E3951" t="s">
        <v>18831</v>
      </c>
      <c r="F3951" t="s">
        <v>19526</v>
      </c>
      <c r="G3951" t="s">
        <v>19527</v>
      </c>
      <c r="H3951" t="s">
        <v>868</v>
      </c>
      <c r="I3951" t="s">
        <v>950</v>
      </c>
      <c r="J3951" t="str">
        <f>"9040029"</f>
        <v>9040029</v>
      </c>
      <c r="K3951">
        <v>2685061457</v>
      </c>
      <c r="L3951">
        <v>2685061457</v>
      </c>
      <c r="M3951" t="s">
        <v>19529</v>
      </c>
      <c r="N3951" t="s">
        <v>19530</v>
      </c>
      <c r="O3951" t="s">
        <v>19530</v>
      </c>
      <c r="P3951">
        <v>47047</v>
      </c>
      <c r="Q3951" t="str">
        <f>"39.272126"</f>
        <v>39.272126</v>
      </c>
      <c r="R3951" t="str">
        <f>"21.290639"</f>
        <v>21.290639</v>
      </c>
      <c r="S3951" t="s">
        <v>57</v>
      </c>
    </row>
    <row r="3952" spans="1:19" x14ac:dyDescent="0.3">
      <c r="A3952" t="s">
        <v>18804</v>
      </c>
      <c r="B3952" t="s">
        <v>19430</v>
      </c>
      <c r="C3952" t="s">
        <v>19532</v>
      </c>
      <c r="D3952" t="s">
        <v>18805</v>
      </c>
      <c r="E3952" t="s">
        <v>18806</v>
      </c>
      <c r="F3952" t="s">
        <v>18897</v>
      </c>
      <c r="G3952" t="s">
        <v>19531</v>
      </c>
      <c r="H3952" t="s">
        <v>868</v>
      </c>
      <c r="I3952" t="s">
        <v>950</v>
      </c>
      <c r="J3952" t="str">
        <f>"9040129"</f>
        <v>9040129</v>
      </c>
      <c r="K3952">
        <v>2681024382</v>
      </c>
      <c r="L3952">
        <v>2681024382</v>
      </c>
      <c r="M3952" t="s">
        <v>19533</v>
      </c>
      <c r="N3952" t="s">
        <v>18809</v>
      </c>
      <c r="O3952" t="s">
        <v>15344</v>
      </c>
      <c r="P3952">
        <v>47100</v>
      </c>
      <c r="Q3952" t="str">
        <f>"39.085594"</f>
        <v>39.085594</v>
      </c>
      <c r="R3952" t="str">
        <f>"20.862670"</f>
        <v>20.862670</v>
      </c>
      <c r="S3952" t="s">
        <v>26</v>
      </c>
    </row>
    <row r="3953" spans="1:19" x14ac:dyDescent="0.3">
      <c r="A3953" t="s">
        <v>18804</v>
      </c>
      <c r="B3953" t="s">
        <v>19430</v>
      </c>
      <c r="C3953" t="s">
        <v>19535</v>
      </c>
      <c r="D3953" t="s">
        <v>18805</v>
      </c>
      <c r="E3953" t="s">
        <v>18885</v>
      </c>
      <c r="F3953" t="s">
        <v>18886</v>
      </c>
      <c r="G3953" t="s">
        <v>19534</v>
      </c>
      <c r="H3953" t="s">
        <v>868</v>
      </c>
      <c r="I3953" t="s">
        <v>950</v>
      </c>
      <c r="J3953" t="str">
        <f>"9040063"</f>
        <v>9040063</v>
      </c>
      <c r="K3953">
        <v>2681069319</v>
      </c>
      <c r="L3953">
        <v>2681069319</v>
      </c>
      <c r="M3953" t="s">
        <v>19536</v>
      </c>
      <c r="N3953" t="s">
        <v>19537</v>
      </c>
      <c r="O3953" t="s">
        <v>19537</v>
      </c>
      <c r="P3953">
        <v>47150</v>
      </c>
      <c r="Q3953" t="str">
        <f>"39.060964"</f>
        <v>39.060964</v>
      </c>
      <c r="R3953" t="str">
        <f>"21.038298"</f>
        <v>21.038298</v>
      </c>
      <c r="S3953" t="s">
        <v>26</v>
      </c>
    </row>
    <row r="3954" spans="1:19" x14ac:dyDescent="0.3">
      <c r="A3954" t="s">
        <v>18804</v>
      </c>
      <c r="B3954" t="s">
        <v>19430</v>
      </c>
      <c r="C3954" t="s">
        <v>19545</v>
      </c>
      <c r="D3954" t="s">
        <v>18805</v>
      </c>
      <c r="E3954" t="s">
        <v>18878</v>
      </c>
      <c r="F3954" t="s">
        <v>18879</v>
      </c>
      <c r="G3954" t="s">
        <v>19544</v>
      </c>
      <c r="H3954" t="s">
        <v>868</v>
      </c>
      <c r="I3954" t="s">
        <v>950</v>
      </c>
      <c r="J3954" t="str">
        <f>"9040118"</f>
        <v>9040118</v>
      </c>
      <c r="K3954">
        <v>2685022982</v>
      </c>
      <c r="L3954">
        <v>2685022982</v>
      </c>
      <c r="M3954" t="s">
        <v>19546</v>
      </c>
      <c r="N3954" t="s">
        <v>19547</v>
      </c>
      <c r="O3954" t="s">
        <v>19547</v>
      </c>
      <c r="P3954">
        <v>47045</v>
      </c>
      <c r="Q3954" t="str">
        <f>"39.374978"</f>
        <v>39.374978</v>
      </c>
      <c r="R3954" t="str">
        <f>"21.216387"</f>
        <v>21.216387</v>
      </c>
      <c r="S3954" t="s">
        <v>57</v>
      </c>
    </row>
    <row r="3955" spans="1:19" x14ac:dyDescent="0.3">
      <c r="A3955" t="s">
        <v>18804</v>
      </c>
      <c r="B3955" t="s">
        <v>19430</v>
      </c>
      <c r="C3955" t="s">
        <v>19561</v>
      </c>
      <c r="D3955" t="s">
        <v>18805</v>
      </c>
      <c r="E3955" t="s">
        <v>18806</v>
      </c>
      <c r="F3955" t="s">
        <v>19470</v>
      </c>
      <c r="G3955" t="s">
        <v>19478</v>
      </c>
      <c r="H3955" t="s">
        <v>868</v>
      </c>
      <c r="I3955" t="s">
        <v>869</v>
      </c>
      <c r="J3955" t="str">
        <f>"9040150"</f>
        <v>9040150</v>
      </c>
      <c r="K3955">
        <v>2683029018</v>
      </c>
      <c r="M3955" t="s">
        <v>19562</v>
      </c>
      <c r="N3955" t="s">
        <v>19481</v>
      </c>
      <c r="O3955" t="e">
        <f>-ΚΑΜΠΗ ΑΡΤΑΣ</f>
        <v>#NAME?</v>
      </c>
      <c r="P3955">
        <v>48200</v>
      </c>
      <c r="Q3955" t="str">
        <f>"39.214633"</f>
        <v>39.214633</v>
      </c>
      <c r="R3955" t="str">
        <f>"20.893275"</f>
        <v>20.893275</v>
      </c>
      <c r="S3955" t="s">
        <v>26</v>
      </c>
    </row>
    <row r="3956" spans="1:19" x14ac:dyDescent="0.3">
      <c r="A3956" t="s">
        <v>18804</v>
      </c>
      <c r="B3956" t="s">
        <v>19430</v>
      </c>
      <c r="C3956" t="s">
        <v>19567</v>
      </c>
      <c r="D3956" t="s">
        <v>18805</v>
      </c>
      <c r="E3956" t="s">
        <v>18878</v>
      </c>
      <c r="F3956" t="s">
        <v>18879</v>
      </c>
      <c r="G3956" t="s">
        <v>19566</v>
      </c>
      <c r="H3956" t="s">
        <v>868</v>
      </c>
      <c r="I3956" t="s">
        <v>950</v>
      </c>
      <c r="J3956" t="str">
        <f>"9040078"</f>
        <v>9040078</v>
      </c>
      <c r="K3956">
        <v>2685022571</v>
      </c>
      <c r="L3956">
        <v>2685022571</v>
      </c>
      <c r="M3956" t="s">
        <v>19568</v>
      </c>
      <c r="N3956" t="s">
        <v>19569</v>
      </c>
      <c r="O3956" t="s">
        <v>19569</v>
      </c>
      <c r="P3956">
        <v>47045</v>
      </c>
      <c r="Q3956" t="str">
        <f>"39.336390"</f>
        <v>39.336390</v>
      </c>
      <c r="R3956" t="str">
        <f>"21.173866"</f>
        <v>21.173866</v>
      </c>
      <c r="S3956" t="s">
        <v>26</v>
      </c>
    </row>
    <row r="3957" spans="1:19" x14ac:dyDescent="0.3">
      <c r="A3957" t="s">
        <v>18804</v>
      </c>
      <c r="B3957" t="s">
        <v>19430</v>
      </c>
      <c r="C3957" t="s">
        <v>19578</v>
      </c>
      <c r="D3957" t="s">
        <v>18805</v>
      </c>
      <c r="E3957" t="s">
        <v>18806</v>
      </c>
      <c r="F3957" t="s">
        <v>4671</v>
      </c>
      <c r="G3957" t="s">
        <v>19577</v>
      </c>
      <c r="H3957" t="s">
        <v>868</v>
      </c>
      <c r="I3957" t="s">
        <v>950</v>
      </c>
      <c r="J3957" t="str">
        <f>"9040163"</f>
        <v>9040163</v>
      </c>
      <c r="K3957">
        <v>2681051912</v>
      </c>
      <c r="L3957">
        <v>2681052638</v>
      </c>
      <c r="M3957" t="s">
        <v>19579</v>
      </c>
      <c r="N3957" t="s">
        <v>19580</v>
      </c>
      <c r="O3957" t="s">
        <v>19580</v>
      </c>
      <c r="P3957">
        <v>47100</v>
      </c>
      <c r="Q3957" t="str">
        <f>"39.144250"</f>
        <v>39.144250</v>
      </c>
      <c r="R3957" t="str">
        <f>"20.939570"</f>
        <v>20.939570</v>
      </c>
      <c r="S3957" t="s">
        <v>26</v>
      </c>
    </row>
    <row r="3958" spans="1:19" x14ac:dyDescent="0.3">
      <c r="A3958" t="s">
        <v>18804</v>
      </c>
      <c r="B3958" t="s">
        <v>19430</v>
      </c>
      <c r="C3958" t="s">
        <v>18845</v>
      </c>
      <c r="D3958" t="s">
        <v>18805</v>
      </c>
      <c r="E3958" t="s">
        <v>18806</v>
      </c>
      <c r="F3958" t="s">
        <v>18806</v>
      </c>
      <c r="G3958" t="s">
        <v>18806</v>
      </c>
      <c r="H3958" t="s">
        <v>868</v>
      </c>
      <c r="I3958" t="s">
        <v>869</v>
      </c>
      <c r="J3958" t="str">
        <f>"9040008"</f>
        <v>9040008</v>
      </c>
      <c r="K3958">
        <v>2681028167</v>
      </c>
      <c r="L3958">
        <v>2681028167</v>
      </c>
      <c r="M3958" t="s">
        <v>19581</v>
      </c>
      <c r="N3958" t="s">
        <v>18809</v>
      </c>
      <c r="O3958" t="s">
        <v>19558</v>
      </c>
      <c r="P3958">
        <v>47131</v>
      </c>
      <c r="Q3958" t="str">
        <f>"39.155170"</f>
        <v>39.155170</v>
      </c>
      <c r="R3958" t="str">
        <f>"20.997686"</f>
        <v>20.997686</v>
      </c>
      <c r="S3958" t="s">
        <v>26</v>
      </c>
    </row>
    <row r="3959" spans="1:19" x14ac:dyDescent="0.3">
      <c r="A3959" t="s">
        <v>18804</v>
      </c>
      <c r="B3959" t="s">
        <v>19430</v>
      </c>
      <c r="C3959" t="s">
        <v>18865</v>
      </c>
      <c r="D3959" t="s">
        <v>18805</v>
      </c>
      <c r="E3959" t="s">
        <v>18831</v>
      </c>
      <c r="F3959" t="s">
        <v>15629</v>
      </c>
      <c r="G3959" t="s">
        <v>12466</v>
      </c>
      <c r="H3959" t="s">
        <v>868</v>
      </c>
      <c r="I3959" t="s">
        <v>950</v>
      </c>
      <c r="J3959" t="str">
        <f>"9040085"</f>
        <v>9040085</v>
      </c>
      <c r="K3959">
        <v>2681067491</v>
      </c>
      <c r="L3959">
        <v>2681067491</v>
      </c>
      <c r="M3959" t="s">
        <v>19582</v>
      </c>
      <c r="N3959" t="s">
        <v>12469</v>
      </c>
      <c r="O3959" t="s">
        <v>12469</v>
      </c>
      <c r="P3959">
        <v>47048</v>
      </c>
      <c r="Q3959" t="str">
        <f>"39.165509"</f>
        <v>39.165509</v>
      </c>
      <c r="R3959" t="str">
        <f>"21.112971"</f>
        <v>21.112971</v>
      </c>
      <c r="S3959" t="s">
        <v>26</v>
      </c>
    </row>
    <row r="3960" spans="1:19" x14ac:dyDescent="0.3">
      <c r="A3960" t="s">
        <v>18804</v>
      </c>
      <c r="B3960" t="s">
        <v>19430</v>
      </c>
      <c r="C3960" t="s">
        <v>19591</v>
      </c>
      <c r="D3960" t="s">
        <v>18805</v>
      </c>
      <c r="E3960" t="s">
        <v>18831</v>
      </c>
      <c r="F3960" t="s">
        <v>15629</v>
      </c>
      <c r="G3960" t="s">
        <v>19570</v>
      </c>
      <c r="H3960" t="s">
        <v>868</v>
      </c>
      <c r="I3960" t="s">
        <v>950</v>
      </c>
      <c r="J3960" t="str">
        <f>"9040055"</f>
        <v>9040055</v>
      </c>
      <c r="K3960">
        <v>2681077736</v>
      </c>
      <c r="L3960">
        <v>2681077736</v>
      </c>
      <c r="M3960" t="s">
        <v>19592</v>
      </c>
      <c r="N3960" t="s">
        <v>19574</v>
      </c>
      <c r="O3960" t="s">
        <v>19574</v>
      </c>
      <c r="P3960">
        <v>47044</v>
      </c>
      <c r="Q3960" t="str">
        <f>"39.145629"</f>
        <v>39.145629</v>
      </c>
      <c r="R3960" t="str">
        <f>"21.220288"</f>
        <v>21.220288</v>
      </c>
      <c r="S3960" t="s">
        <v>26</v>
      </c>
    </row>
    <row r="3961" spans="1:19" x14ac:dyDescent="0.3">
      <c r="A3961" t="s">
        <v>18804</v>
      </c>
      <c r="B3961" t="s">
        <v>19430</v>
      </c>
      <c r="C3961" t="s">
        <v>18896</v>
      </c>
      <c r="D3961" t="s">
        <v>18805</v>
      </c>
      <c r="E3961" t="s">
        <v>18806</v>
      </c>
      <c r="F3961" t="s">
        <v>14994</v>
      </c>
      <c r="G3961" t="s">
        <v>18891</v>
      </c>
      <c r="H3961" t="s">
        <v>868</v>
      </c>
      <c r="I3961" t="s">
        <v>869</v>
      </c>
      <c r="J3961" t="str">
        <f>"9040138"</f>
        <v>9040138</v>
      </c>
      <c r="K3961">
        <v>2681085286</v>
      </c>
      <c r="M3961" t="s">
        <v>19593</v>
      </c>
      <c r="N3961" t="s">
        <v>18894</v>
      </c>
      <c r="O3961" t="s">
        <v>19594</v>
      </c>
      <c r="P3961">
        <v>47100</v>
      </c>
      <c r="Q3961" t="str">
        <f>"39.189359"</f>
        <v>39.189359</v>
      </c>
      <c r="R3961" t="str">
        <f>"20.971645"</f>
        <v>20.971645</v>
      </c>
      <c r="S3961" t="s">
        <v>26</v>
      </c>
    </row>
    <row r="3962" spans="1:19" x14ac:dyDescent="0.3">
      <c r="A3962" t="s">
        <v>18804</v>
      </c>
      <c r="B3962" t="s">
        <v>19430</v>
      </c>
      <c r="C3962" t="s">
        <v>19595</v>
      </c>
      <c r="D3962" t="s">
        <v>18805</v>
      </c>
      <c r="E3962" t="s">
        <v>18831</v>
      </c>
      <c r="F3962" t="s">
        <v>19526</v>
      </c>
      <c r="G3962" t="s">
        <v>1981</v>
      </c>
      <c r="H3962" t="s">
        <v>868</v>
      </c>
      <c r="I3962" t="s">
        <v>950</v>
      </c>
      <c r="J3962" t="str">
        <f>"9040089"</f>
        <v>9040089</v>
      </c>
      <c r="K3962">
        <v>2685061871</v>
      </c>
      <c r="L3962">
        <v>2685061871</v>
      </c>
      <c r="M3962" t="s">
        <v>19596</v>
      </c>
      <c r="N3962" t="s">
        <v>19597</v>
      </c>
      <c r="O3962" t="s">
        <v>19597</v>
      </c>
      <c r="P3962">
        <v>47047</v>
      </c>
      <c r="Q3962" t="str">
        <f>"39.266554"</f>
        <v>39.266554</v>
      </c>
      <c r="R3962" t="str">
        <f>"21.380555"</f>
        <v>21.380555</v>
      </c>
      <c r="S3962" t="s">
        <v>57</v>
      </c>
    </row>
    <row r="3963" spans="1:19" x14ac:dyDescent="0.3">
      <c r="A3963" t="s">
        <v>18804</v>
      </c>
      <c r="B3963" t="s">
        <v>19430</v>
      </c>
      <c r="C3963" t="s">
        <v>19598</v>
      </c>
      <c r="D3963" t="s">
        <v>18805</v>
      </c>
      <c r="E3963" t="s">
        <v>18831</v>
      </c>
      <c r="F3963" t="s">
        <v>19526</v>
      </c>
      <c r="G3963" t="s">
        <v>19587</v>
      </c>
      <c r="H3963" t="s">
        <v>868</v>
      </c>
      <c r="I3963" t="s">
        <v>950</v>
      </c>
      <c r="J3963" t="str">
        <f>"9040074"</f>
        <v>9040074</v>
      </c>
      <c r="K3963">
        <v>2685061392</v>
      </c>
      <c r="L3963">
        <v>2685061392</v>
      </c>
      <c r="M3963" t="s">
        <v>19599</v>
      </c>
      <c r="N3963" t="s">
        <v>19590</v>
      </c>
      <c r="O3963" t="s">
        <v>19590</v>
      </c>
      <c r="P3963">
        <v>47047</v>
      </c>
      <c r="Q3963" t="str">
        <f>"39.207115"</f>
        <v>39.207115</v>
      </c>
      <c r="R3963" t="str">
        <f>"21.344206"</f>
        <v>21.344206</v>
      </c>
      <c r="S3963" t="s">
        <v>57</v>
      </c>
    </row>
    <row r="3964" spans="1:19" x14ac:dyDescent="0.3">
      <c r="A3964" t="s">
        <v>18804</v>
      </c>
      <c r="B3964" t="s">
        <v>19430</v>
      </c>
      <c r="C3964" t="s">
        <v>19603</v>
      </c>
      <c r="D3964" t="s">
        <v>18805</v>
      </c>
      <c r="E3964" t="s">
        <v>18806</v>
      </c>
      <c r="F3964" t="s">
        <v>14994</v>
      </c>
      <c r="G3964" t="s">
        <v>19486</v>
      </c>
      <c r="H3964" t="s">
        <v>868</v>
      </c>
      <c r="I3964" t="s">
        <v>950</v>
      </c>
      <c r="J3964" t="str">
        <f>"9040167"</f>
        <v>9040167</v>
      </c>
      <c r="K3964">
        <v>2681023288</v>
      </c>
      <c r="L3964">
        <v>2681023288</v>
      </c>
      <c r="M3964" t="s">
        <v>19604</v>
      </c>
      <c r="N3964" t="s">
        <v>19489</v>
      </c>
      <c r="O3964" t="s">
        <v>19489</v>
      </c>
      <c r="P3964">
        <v>47150</v>
      </c>
      <c r="Q3964" t="str">
        <f>"39.246385"</f>
        <v>39.246385</v>
      </c>
      <c r="R3964" t="str">
        <f>"20.979027"</f>
        <v>20.979027</v>
      </c>
      <c r="S3964" t="s">
        <v>26</v>
      </c>
    </row>
    <row r="3965" spans="1:19" x14ac:dyDescent="0.3">
      <c r="A3965" t="s">
        <v>18804</v>
      </c>
      <c r="B3965" t="s">
        <v>19430</v>
      </c>
      <c r="C3965" t="s">
        <v>19606</v>
      </c>
      <c r="D3965" t="s">
        <v>18805</v>
      </c>
      <c r="E3965" t="s">
        <v>18878</v>
      </c>
      <c r="F3965" t="s">
        <v>18879</v>
      </c>
      <c r="G3965" t="s">
        <v>19605</v>
      </c>
      <c r="H3965" t="s">
        <v>868</v>
      </c>
      <c r="I3965" t="s">
        <v>950</v>
      </c>
      <c r="J3965" t="str">
        <f>"9040175"</f>
        <v>9040175</v>
      </c>
      <c r="K3965">
        <v>2685024018</v>
      </c>
      <c r="M3965" t="s">
        <v>19607</v>
      </c>
      <c r="N3965" t="s">
        <v>19608</v>
      </c>
      <c r="O3965" t="s">
        <v>19608</v>
      </c>
      <c r="P3965">
        <v>47045</v>
      </c>
      <c r="Q3965" t="str">
        <f>"39.342788"</f>
        <v>39.342788</v>
      </c>
      <c r="R3965" t="str">
        <f>"21.332723"</f>
        <v>21.332723</v>
      </c>
      <c r="S3965" t="s">
        <v>57</v>
      </c>
    </row>
    <row r="3966" spans="1:19" x14ac:dyDescent="0.3">
      <c r="A3966" t="s">
        <v>18804</v>
      </c>
      <c r="B3966" t="s">
        <v>19430</v>
      </c>
      <c r="C3966" t="s">
        <v>19610</v>
      </c>
      <c r="D3966" t="s">
        <v>18805</v>
      </c>
      <c r="E3966" t="s">
        <v>18878</v>
      </c>
      <c r="F3966" t="s">
        <v>18879</v>
      </c>
      <c r="G3966" t="s">
        <v>19609</v>
      </c>
      <c r="H3966" t="s">
        <v>868</v>
      </c>
      <c r="I3966" t="s">
        <v>950</v>
      </c>
      <c r="J3966" t="str">
        <f>"9040267"</f>
        <v>9040267</v>
      </c>
      <c r="K3966">
        <v>2685024202</v>
      </c>
      <c r="M3966" t="s">
        <v>19611</v>
      </c>
      <c r="N3966" t="s">
        <v>19612</v>
      </c>
      <c r="O3966" t="s">
        <v>19612</v>
      </c>
      <c r="P3966">
        <v>47045</v>
      </c>
      <c r="Q3966" t="str">
        <f>"39.344430"</f>
        <v>39.344430</v>
      </c>
      <c r="R3966" t="str">
        <f>"21.272705"</f>
        <v>21.272705</v>
      </c>
      <c r="S3966" t="s">
        <v>57</v>
      </c>
    </row>
    <row r="3967" spans="1:19" x14ac:dyDescent="0.3">
      <c r="A3967" t="s">
        <v>18804</v>
      </c>
      <c r="B3967" t="s">
        <v>19430</v>
      </c>
      <c r="C3967" t="s">
        <v>18902</v>
      </c>
      <c r="D3967" t="s">
        <v>18805</v>
      </c>
      <c r="E3967" t="s">
        <v>18806</v>
      </c>
      <c r="F3967" t="s">
        <v>18897</v>
      </c>
      <c r="G3967" t="s">
        <v>18898</v>
      </c>
      <c r="H3967" t="s">
        <v>868</v>
      </c>
      <c r="I3967" t="s">
        <v>869</v>
      </c>
      <c r="J3967" t="str">
        <f>"9040124"</f>
        <v>9040124</v>
      </c>
      <c r="K3967">
        <v>2681041267</v>
      </c>
      <c r="L3967">
        <v>2681041267</v>
      </c>
      <c r="M3967" t="s">
        <v>19613</v>
      </c>
      <c r="N3967" t="s">
        <v>18901</v>
      </c>
      <c r="O3967" t="s">
        <v>18929</v>
      </c>
      <c r="P3967">
        <v>47100</v>
      </c>
      <c r="Q3967" t="str">
        <f>"39.086196"</f>
        <v>39.086196</v>
      </c>
      <c r="R3967" t="str">
        <f>"20.926059"</f>
        <v>20.926059</v>
      </c>
      <c r="S3967" t="s">
        <v>26</v>
      </c>
    </row>
    <row r="3968" spans="1:19" x14ac:dyDescent="0.3">
      <c r="A3968" t="s">
        <v>18804</v>
      </c>
      <c r="B3968" t="s">
        <v>19430</v>
      </c>
      <c r="C3968" t="s">
        <v>19614</v>
      </c>
      <c r="D3968" t="s">
        <v>18805</v>
      </c>
      <c r="E3968" t="s">
        <v>18806</v>
      </c>
      <c r="F3968" t="s">
        <v>18806</v>
      </c>
      <c r="G3968" t="s">
        <v>18806</v>
      </c>
      <c r="H3968" t="s">
        <v>868</v>
      </c>
      <c r="I3968" t="s">
        <v>869</v>
      </c>
      <c r="J3968" t="str">
        <f>"9040224"</f>
        <v>9040224</v>
      </c>
      <c r="K3968">
        <v>2681035159</v>
      </c>
      <c r="L3968">
        <v>2681035159</v>
      </c>
      <c r="M3968" t="s">
        <v>19615</v>
      </c>
      <c r="N3968" t="s">
        <v>19433</v>
      </c>
      <c r="O3968" t="s">
        <v>19434</v>
      </c>
      <c r="P3968">
        <v>47150</v>
      </c>
      <c r="Q3968" t="str">
        <f>"39.152073"</f>
        <v>39.152073</v>
      </c>
      <c r="R3968" t="str">
        <f>"20.961335"</f>
        <v>20.961335</v>
      </c>
      <c r="S3968" t="s">
        <v>26</v>
      </c>
    </row>
    <row r="3969" spans="1:19" x14ac:dyDescent="0.3">
      <c r="A3969" t="s">
        <v>18804</v>
      </c>
      <c r="B3969" t="s">
        <v>19430</v>
      </c>
      <c r="C3969" t="s">
        <v>18915</v>
      </c>
      <c r="D3969" t="s">
        <v>18805</v>
      </c>
      <c r="E3969" t="s">
        <v>18806</v>
      </c>
      <c r="F3969" t="s">
        <v>18806</v>
      </c>
      <c r="G3969" t="s">
        <v>18806</v>
      </c>
      <c r="H3969" t="s">
        <v>868</v>
      </c>
      <c r="I3969" t="s">
        <v>869</v>
      </c>
      <c r="J3969" t="str">
        <f>"9040105"</f>
        <v>9040105</v>
      </c>
      <c r="K3969">
        <v>2681028331</v>
      </c>
      <c r="L3969">
        <v>2681028331</v>
      </c>
      <c r="M3969" t="s">
        <v>19619</v>
      </c>
      <c r="N3969" t="s">
        <v>18809</v>
      </c>
      <c r="O3969" t="s">
        <v>19523</v>
      </c>
      <c r="P3969">
        <v>47131</v>
      </c>
      <c r="Q3969" t="str">
        <f>"39.157951"</f>
        <v>39.157951</v>
      </c>
      <c r="R3969" t="str">
        <f>"20.987984"</f>
        <v>20.987984</v>
      </c>
      <c r="S3969" t="s">
        <v>26</v>
      </c>
    </row>
    <row r="3970" spans="1:19" x14ac:dyDescent="0.3">
      <c r="A3970" t="s">
        <v>18804</v>
      </c>
      <c r="B3970" t="s">
        <v>19430</v>
      </c>
      <c r="C3970" t="s">
        <v>18852</v>
      </c>
      <c r="D3970" t="s">
        <v>18805</v>
      </c>
      <c r="E3970" t="s">
        <v>18806</v>
      </c>
      <c r="F3970" t="s">
        <v>18806</v>
      </c>
      <c r="G3970" t="s">
        <v>18806</v>
      </c>
      <c r="H3970" t="s">
        <v>868</v>
      </c>
      <c r="I3970" t="s">
        <v>869</v>
      </c>
      <c r="J3970" t="str">
        <f>"9040101"</f>
        <v>9040101</v>
      </c>
      <c r="K3970">
        <v>2681027667</v>
      </c>
      <c r="M3970" t="s">
        <v>19623</v>
      </c>
      <c r="N3970" t="s">
        <v>18809</v>
      </c>
      <c r="O3970" t="s">
        <v>19624</v>
      </c>
      <c r="P3970">
        <v>47132</v>
      </c>
      <c r="Q3970" t="str">
        <f>"39.158868"</f>
        <v>39.158868</v>
      </c>
      <c r="R3970" t="str">
        <f>"20.981497"</f>
        <v>20.981497</v>
      </c>
      <c r="S3970" t="s">
        <v>26</v>
      </c>
    </row>
    <row r="3971" spans="1:19" x14ac:dyDescent="0.3">
      <c r="A3971" t="s">
        <v>18804</v>
      </c>
      <c r="B3971" t="s">
        <v>19430</v>
      </c>
      <c r="C3971" t="s">
        <v>19626</v>
      </c>
      <c r="D3971" t="s">
        <v>18805</v>
      </c>
      <c r="E3971" t="s">
        <v>18831</v>
      </c>
      <c r="F3971" t="s">
        <v>15629</v>
      </c>
      <c r="G3971" t="s">
        <v>19625</v>
      </c>
      <c r="H3971" t="s">
        <v>868</v>
      </c>
      <c r="I3971" t="s">
        <v>950</v>
      </c>
      <c r="J3971" t="str">
        <f>"9040095"</f>
        <v>9040095</v>
      </c>
      <c r="K3971">
        <v>2681076236</v>
      </c>
      <c r="L3971">
        <v>2681027557</v>
      </c>
      <c r="M3971" t="s">
        <v>19627</v>
      </c>
      <c r="N3971" t="s">
        <v>19628</v>
      </c>
      <c r="O3971" t="s">
        <v>19629</v>
      </c>
      <c r="P3971">
        <v>47044</v>
      </c>
      <c r="Q3971" t="str">
        <f>"39.171914"</f>
        <v>39.171914</v>
      </c>
      <c r="R3971" t="str">
        <f>"21.262679"</f>
        <v>21.262679</v>
      </c>
      <c r="S3971" t="s">
        <v>57</v>
      </c>
    </row>
    <row r="3972" spans="1:19" x14ac:dyDescent="0.3">
      <c r="A3972" t="s">
        <v>18804</v>
      </c>
      <c r="B3972" t="s">
        <v>19430</v>
      </c>
      <c r="C3972" t="s">
        <v>19630</v>
      </c>
      <c r="D3972" t="s">
        <v>18805</v>
      </c>
      <c r="E3972" t="s">
        <v>18806</v>
      </c>
      <c r="F3972" t="s">
        <v>18897</v>
      </c>
      <c r="G3972" t="s">
        <v>19492</v>
      </c>
      <c r="H3972" t="s">
        <v>868</v>
      </c>
      <c r="I3972" t="s">
        <v>950</v>
      </c>
      <c r="J3972" t="str">
        <f>"9040184"</f>
        <v>9040184</v>
      </c>
      <c r="K3972">
        <v>2681041025</v>
      </c>
      <c r="M3972" t="s">
        <v>19631</v>
      </c>
      <c r="N3972" t="s">
        <v>19495</v>
      </c>
      <c r="O3972" t="s">
        <v>19495</v>
      </c>
      <c r="P3972">
        <v>47100</v>
      </c>
      <c r="Q3972" t="str">
        <f>"39.090871"</f>
        <v>39.090871</v>
      </c>
      <c r="R3972" t="str">
        <f>"20.889792"</f>
        <v>20.889792</v>
      </c>
      <c r="S3972" t="s">
        <v>26</v>
      </c>
    </row>
    <row r="3973" spans="1:19" x14ac:dyDescent="0.3">
      <c r="A3973" t="s">
        <v>18804</v>
      </c>
      <c r="B3973" t="s">
        <v>19430</v>
      </c>
      <c r="C3973" t="s">
        <v>19635</v>
      </c>
      <c r="D3973" t="s">
        <v>18805</v>
      </c>
      <c r="E3973" t="s">
        <v>18806</v>
      </c>
      <c r="F3973" t="s">
        <v>18806</v>
      </c>
      <c r="G3973" t="s">
        <v>18806</v>
      </c>
      <c r="H3973" t="s">
        <v>868</v>
      </c>
      <c r="I3973" t="s">
        <v>869</v>
      </c>
      <c r="J3973" t="str">
        <f>"9040203"</f>
        <v>9040203</v>
      </c>
      <c r="K3973">
        <v>2681028329</v>
      </c>
      <c r="L3973">
        <v>2681028329</v>
      </c>
      <c r="M3973" t="s">
        <v>19636</v>
      </c>
      <c r="N3973" t="s">
        <v>19637</v>
      </c>
      <c r="O3973" t="s">
        <v>19638</v>
      </c>
      <c r="P3973">
        <v>47150</v>
      </c>
      <c r="Q3973" t="str">
        <f>"39.137126"</f>
        <v>39.137126</v>
      </c>
      <c r="R3973" t="str">
        <f>"21.024514"</f>
        <v>21.024514</v>
      </c>
      <c r="S3973" t="s">
        <v>26</v>
      </c>
    </row>
    <row r="3974" spans="1:19" x14ac:dyDescent="0.3">
      <c r="A3974" t="s">
        <v>18804</v>
      </c>
      <c r="B3974" t="s">
        <v>19430</v>
      </c>
      <c r="C3974" t="s">
        <v>18884</v>
      </c>
      <c r="D3974" t="s">
        <v>18805</v>
      </c>
      <c r="E3974" t="s">
        <v>18878</v>
      </c>
      <c r="F3974" t="s">
        <v>18879</v>
      </c>
      <c r="G3974" t="s">
        <v>18880</v>
      </c>
      <c r="H3974" t="s">
        <v>868</v>
      </c>
      <c r="I3974" t="s">
        <v>950</v>
      </c>
      <c r="J3974" t="str">
        <f>"9040044"</f>
        <v>9040044</v>
      </c>
      <c r="K3974">
        <v>2685022245</v>
      </c>
      <c r="L3974">
        <v>2685022245</v>
      </c>
      <c r="M3974" t="s">
        <v>19639</v>
      </c>
      <c r="N3974" t="s">
        <v>18920</v>
      </c>
      <c r="O3974" t="s">
        <v>18920</v>
      </c>
      <c r="P3974">
        <v>47045</v>
      </c>
      <c r="Q3974" t="str">
        <f>"39.369943"</f>
        <v>39.369943</v>
      </c>
      <c r="R3974" t="str">
        <f>"21.185807"</f>
        <v>21.185807</v>
      </c>
      <c r="S3974" t="s">
        <v>57</v>
      </c>
    </row>
    <row r="3975" spans="1:19" x14ac:dyDescent="0.3">
      <c r="A3975" t="s">
        <v>18804</v>
      </c>
      <c r="B3975" t="s">
        <v>19430</v>
      </c>
      <c r="C3975" t="s">
        <v>19640</v>
      </c>
      <c r="D3975" t="s">
        <v>18805</v>
      </c>
      <c r="E3975" t="s">
        <v>18885</v>
      </c>
      <c r="F3975" t="s">
        <v>18903</v>
      </c>
      <c r="G3975" t="s">
        <v>18903</v>
      </c>
      <c r="H3975" t="s">
        <v>868</v>
      </c>
      <c r="I3975" t="s">
        <v>950</v>
      </c>
      <c r="J3975" t="str">
        <f>"9040214"</f>
        <v>9040214</v>
      </c>
      <c r="K3975">
        <v>2681061454</v>
      </c>
      <c r="L3975">
        <v>2681061380</v>
      </c>
      <c r="M3975" t="s">
        <v>19641</v>
      </c>
      <c r="N3975" t="s">
        <v>19642</v>
      </c>
      <c r="O3975" t="s">
        <v>19643</v>
      </c>
      <c r="P3975">
        <v>47150</v>
      </c>
      <c r="Q3975" t="str">
        <f>"39.129268"</f>
        <v>39.129268</v>
      </c>
      <c r="R3975" t="str">
        <f>"21.042394"</f>
        <v>21.042394</v>
      </c>
      <c r="S3975" t="s">
        <v>26</v>
      </c>
    </row>
    <row r="3976" spans="1:19" x14ac:dyDescent="0.3">
      <c r="A3976" t="s">
        <v>18804</v>
      </c>
      <c r="B3976" t="s">
        <v>19430</v>
      </c>
      <c r="C3976" t="s">
        <v>19644</v>
      </c>
      <c r="D3976" t="s">
        <v>18805</v>
      </c>
      <c r="E3976" t="s">
        <v>18806</v>
      </c>
      <c r="F3976" t="s">
        <v>18806</v>
      </c>
      <c r="G3976" t="s">
        <v>18806</v>
      </c>
      <c r="H3976" t="s">
        <v>868</v>
      </c>
      <c r="I3976" t="s">
        <v>869</v>
      </c>
      <c r="J3976" t="str">
        <f>"9040264"</f>
        <v>9040264</v>
      </c>
      <c r="K3976">
        <v>2681079968</v>
      </c>
      <c r="L3976">
        <v>2681079968</v>
      </c>
      <c r="M3976" t="s">
        <v>19645</v>
      </c>
      <c r="N3976" t="s">
        <v>18809</v>
      </c>
      <c r="O3976" t="s">
        <v>19646</v>
      </c>
      <c r="P3976">
        <v>47100</v>
      </c>
      <c r="Q3976" t="str">
        <f>"39.156369"</f>
        <v>39.156369</v>
      </c>
      <c r="R3976" t="str">
        <f>"20.979474"</f>
        <v>20.979474</v>
      </c>
      <c r="S3976" t="s">
        <v>26</v>
      </c>
    </row>
    <row r="3977" spans="1:19" x14ac:dyDescent="0.3">
      <c r="A3977" t="s">
        <v>18804</v>
      </c>
      <c r="B3977" t="s">
        <v>19430</v>
      </c>
      <c r="C3977" t="s">
        <v>18926</v>
      </c>
      <c r="D3977" t="s">
        <v>18805</v>
      </c>
      <c r="E3977" t="s">
        <v>18885</v>
      </c>
      <c r="F3977" t="s">
        <v>18921</v>
      </c>
      <c r="G3977" t="s">
        <v>18921</v>
      </c>
      <c r="H3977" t="s">
        <v>868</v>
      </c>
      <c r="I3977" t="s">
        <v>869</v>
      </c>
      <c r="J3977" t="str">
        <f>"9040059"</f>
        <v>9040059</v>
      </c>
      <c r="K3977">
        <v>2681065262</v>
      </c>
      <c r="L3977">
        <v>2681065262</v>
      </c>
      <c r="M3977" t="s">
        <v>19647</v>
      </c>
      <c r="N3977" t="s">
        <v>18924</v>
      </c>
      <c r="O3977" t="s">
        <v>18924</v>
      </c>
      <c r="P3977">
        <v>47040</v>
      </c>
      <c r="Q3977" t="str">
        <f>"39.102029"</f>
        <v>39.102029</v>
      </c>
      <c r="R3977" t="str">
        <f>"21.085331"</f>
        <v>21.085331</v>
      </c>
      <c r="S3977" t="s">
        <v>26</v>
      </c>
    </row>
    <row r="3978" spans="1:19" x14ac:dyDescent="0.3">
      <c r="A3978" t="s">
        <v>18804</v>
      </c>
      <c r="B3978" t="s">
        <v>19430</v>
      </c>
      <c r="C3978" t="s">
        <v>18869</v>
      </c>
      <c r="D3978" t="s">
        <v>18805</v>
      </c>
      <c r="E3978" t="s">
        <v>18806</v>
      </c>
      <c r="F3978" t="s">
        <v>18806</v>
      </c>
      <c r="G3978" t="s">
        <v>18806</v>
      </c>
      <c r="H3978" t="s">
        <v>868</v>
      </c>
      <c r="I3978" t="s">
        <v>869</v>
      </c>
      <c r="J3978" t="str">
        <f>"9040106"</f>
        <v>9040106</v>
      </c>
      <c r="K3978">
        <v>2681028398</v>
      </c>
      <c r="L3978">
        <v>2681028398</v>
      </c>
      <c r="M3978" t="s">
        <v>19650</v>
      </c>
      <c r="N3978" t="s">
        <v>18809</v>
      </c>
      <c r="O3978" t="s">
        <v>19651</v>
      </c>
      <c r="P3978">
        <v>47132</v>
      </c>
      <c r="Q3978" t="str">
        <f>"39.153516"</f>
        <v>39.153516</v>
      </c>
      <c r="R3978" t="str">
        <f>"20.982774"</f>
        <v>20.982774</v>
      </c>
      <c r="S3978" t="s">
        <v>26</v>
      </c>
    </row>
    <row r="3979" spans="1:19" x14ac:dyDescent="0.3">
      <c r="A3979" t="s">
        <v>18804</v>
      </c>
      <c r="B3979" t="s">
        <v>19430</v>
      </c>
      <c r="C3979" t="s">
        <v>19652</v>
      </c>
      <c r="D3979" t="s">
        <v>18805</v>
      </c>
      <c r="E3979" t="s">
        <v>18806</v>
      </c>
      <c r="F3979" t="s">
        <v>4671</v>
      </c>
      <c r="G3979" t="s">
        <v>18939</v>
      </c>
      <c r="H3979" t="s">
        <v>868</v>
      </c>
      <c r="I3979" t="s">
        <v>869</v>
      </c>
      <c r="J3979" t="str">
        <f>"9040195"</f>
        <v>9040195</v>
      </c>
      <c r="K3979">
        <v>2681051373</v>
      </c>
      <c r="L3979">
        <v>2681051373</v>
      </c>
      <c r="M3979" t="s">
        <v>19653</v>
      </c>
      <c r="N3979" t="s">
        <v>19654</v>
      </c>
      <c r="O3979" t="s">
        <v>4674</v>
      </c>
      <c r="P3979">
        <v>47150</v>
      </c>
      <c r="Q3979" t="str">
        <f>"39.159985"</f>
        <v>39.159985</v>
      </c>
      <c r="R3979" t="str">
        <f>"20.933234"</f>
        <v>20.933234</v>
      </c>
      <c r="S3979" t="s">
        <v>26</v>
      </c>
    </row>
    <row r="3980" spans="1:19" x14ac:dyDescent="0.3">
      <c r="A3980" t="s">
        <v>18804</v>
      </c>
      <c r="B3980" t="s">
        <v>19430</v>
      </c>
      <c r="C3980" t="s">
        <v>19659</v>
      </c>
      <c r="D3980" t="s">
        <v>18805</v>
      </c>
      <c r="E3980" t="s">
        <v>18885</v>
      </c>
      <c r="F3980" t="s">
        <v>18903</v>
      </c>
      <c r="G3980" t="s">
        <v>19658</v>
      </c>
      <c r="H3980" t="s">
        <v>868</v>
      </c>
      <c r="I3980" t="s">
        <v>950</v>
      </c>
      <c r="J3980" t="str">
        <f>"9040070"</f>
        <v>9040070</v>
      </c>
      <c r="K3980">
        <v>2681061243</v>
      </c>
      <c r="L3980">
        <v>2681061243</v>
      </c>
      <c r="M3980" t="s">
        <v>19660</v>
      </c>
      <c r="N3980" t="s">
        <v>18809</v>
      </c>
      <c r="O3980" t="s">
        <v>19661</v>
      </c>
      <c r="P3980">
        <v>47150</v>
      </c>
      <c r="Q3980" t="str">
        <f>"39.136406"</f>
        <v>39.136406</v>
      </c>
      <c r="R3980" t="str">
        <f>"21.069133"</f>
        <v>21.069133</v>
      </c>
      <c r="S3980" t="s">
        <v>26</v>
      </c>
    </row>
    <row r="3981" spans="1:19" x14ac:dyDescent="0.3">
      <c r="A3981" t="s">
        <v>18804</v>
      </c>
      <c r="B3981" t="s">
        <v>19430</v>
      </c>
      <c r="C3981" t="s">
        <v>19662</v>
      </c>
      <c r="D3981" t="s">
        <v>18805</v>
      </c>
      <c r="E3981" t="s">
        <v>18831</v>
      </c>
      <c r="F3981" t="s">
        <v>15629</v>
      </c>
      <c r="G3981" t="s">
        <v>18860</v>
      </c>
      <c r="H3981" t="s">
        <v>868</v>
      </c>
      <c r="I3981" t="s">
        <v>950</v>
      </c>
      <c r="J3981" t="str">
        <f>"9040066"</f>
        <v>9040066</v>
      </c>
      <c r="K3981">
        <v>2681067095</v>
      </c>
      <c r="L3981">
        <v>2681067095</v>
      </c>
      <c r="M3981" t="s">
        <v>19663</v>
      </c>
      <c r="N3981" t="s">
        <v>19602</v>
      </c>
      <c r="O3981" t="s">
        <v>19664</v>
      </c>
      <c r="P3981">
        <v>47044</v>
      </c>
      <c r="Q3981" t="str">
        <f>"39.180432"</f>
        <v>39.180432</v>
      </c>
      <c r="R3981" t="str">
        <f>"21.189088"</f>
        <v>21.189088</v>
      </c>
      <c r="S3981" t="s">
        <v>26</v>
      </c>
    </row>
    <row r="3982" spans="1:19" x14ac:dyDescent="0.3">
      <c r="A3982" t="s">
        <v>18804</v>
      </c>
      <c r="B3982" t="s">
        <v>19430</v>
      </c>
      <c r="C3982" t="s">
        <v>18938</v>
      </c>
      <c r="D3982" t="s">
        <v>18805</v>
      </c>
      <c r="E3982" t="s">
        <v>18806</v>
      </c>
      <c r="F3982" t="s">
        <v>18806</v>
      </c>
      <c r="G3982" t="s">
        <v>18934</v>
      </c>
      <c r="H3982" t="s">
        <v>868</v>
      </c>
      <c r="I3982" t="s">
        <v>869</v>
      </c>
      <c r="J3982" t="str">
        <f>"9040060"</f>
        <v>9040060</v>
      </c>
      <c r="K3982">
        <v>2681026803</v>
      </c>
      <c r="L3982">
        <v>2681026803</v>
      </c>
      <c r="M3982" t="s">
        <v>19665</v>
      </c>
      <c r="N3982" t="s">
        <v>19666</v>
      </c>
      <c r="O3982" t="s">
        <v>19667</v>
      </c>
      <c r="P3982">
        <v>47150</v>
      </c>
      <c r="Q3982" t="str">
        <f>"39.133664"</f>
        <v>39.133664</v>
      </c>
      <c r="R3982" t="str">
        <f>"20.957856"</f>
        <v>20.957856</v>
      </c>
      <c r="S3982" t="s">
        <v>26</v>
      </c>
    </row>
    <row r="3983" spans="1:19" x14ac:dyDescent="0.3">
      <c r="A3983" t="s">
        <v>18804</v>
      </c>
      <c r="B3983" t="s">
        <v>19430</v>
      </c>
      <c r="C3983" t="s">
        <v>18943</v>
      </c>
      <c r="D3983" t="s">
        <v>18805</v>
      </c>
      <c r="E3983" t="s">
        <v>18806</v>
      </c>
      <c r="F3983" t="s">
        <v>4671</v>
      </c>
      <c r="G3983" t="s">
        <v>19458</v>
      </c>
      <c r="H3983" t="s">
        <v>868</v>
      </c>
      <c r="I3983" t="s">
        <v>869</v>
      </c>
      <c r="J3983" t="str">
        <f>"9040146"</f>
        <v>9040146</v>
      </c>
      <c r="K3983">
        <v>2681051389</v>
      </c>
      <c r="M3983" t="s">
        <v>19668</v>
      </c>
      <c r="N3983" t="s">
        <v>19461</v>
      </c>
      <c r="O3983" t="s">
        <v>19461</v>
      </c>
      <c r="P3983">
        <v>47042</v>
      </c>
      <c r="Q3983" t="str">
        <f>"39.168756"</f>
        <v>39.168756</v>
      </c>
      <c r="R3983" t="str">
        <f>"20.929584"</f>
        <v>20.929584</v>
      </c>
      <c r="S3983" t="s">
        <v>26</v>
      </c>
    </row>
    <row r="3984" spans="1:19" x14ac:dyDescent="0.3">
      <c r="A3984" t="s">
        <v>18804</v>
      </c>
      <c r="B3984" t="s">
        <v>19430</v>
      </c>
      <c r="C3984" t="s">
        <v>18906</v>
      </c>
      <c r="D3984" t="s">
        <v>18805</v>
      </c>
      <c r="E3984" t="s">
        <v>18885</v>
      </c>
      <c r="F3984" t="s">
        <v>18903</v>
      </c>
      <c r="G3984" t="s">
        <v>18903</v>
      </c>
      <c r="H3984" t="s">
        <v>868</v>
      </c>
      <c r="I3984" t="s">
        <v>869</v>
      </c>
      <c r="J3984" t="str">
        <f>"9040083"</f>
        <v>9040083</v>
      </c>
      <c r="K3984">
        <v>2681083209</v>
      </c>
      <c r="L3984">
        <v>2681083209</v>
      </c>
      <c r="M3984" t="s">
        <v>19669</v>
      </c>
      <c r="N3984" t="s">
        <v>18903</v>
      </c>
      <c r="O3984" t="s">
        <v>18903</v>
      </c>
      <c r="P3984">
        <v>47200</v>
      </c>
      <c r="Q3984" t="str">
        <f>"39.165355"</f>
        <v>39.165355</v>
      </c>
      <c r="R3984" t="str">
        <f>"21.031693"</f>
        <v>21.031693</v>
      </c>
      <c r="S3984" t="s">
        <v>26</v>
      </c>
    </row>
    <row r="3985" spans="1:19" x14ac:dyDescent="0.3">
      <c r="A3985" t="s">
        <v>18804</v>
      </c>
      <c r="B3985" t="s">
        <v>19430</v>
      </c>
      <c r="C3985" t="s">
        <v>19671</v>
      </c>
      <c r="D3985" t="s">
        <v>18805</v>
      </c>
      <c r="E3985" t="s">
        <v>18806</v>
      </c>
      <c r="F3985" t="s">
        <v>19470</v>
      </c>
      <c r="G3985" t="s">
        <v>19670</v>
      </c>
      <c r="H3985" t="s">
        <v>868</v>
      </c>
      <c r="I3985" t="s">
        <v>950</v>
      </c>
      <c r="J3985" t="str">
        <f>"9040176"</f>
        <v>9040176</v>
      </c>
      <c r="K3985">
        <v>2683071295</v>
      </c>
      <c r="M3985" t="s">
        <v>19672</v>
      </c>
      <c r="N3985" t="s">
        <v>19673</v>
      </c>
      <c r="O3985" t="s">
        <v>19673</v>
      </c>
      <c r="P3985">
        <v>47150</v>
      </c>
      <c r="Q3985" t="str">
        <f>"39.324931"</f>
        <v>39.324931</v>
      </c>
      <c r="R3985" t="str">
        <f>"20.998627"</f>
        <v>20.998627</v>
      </c>
      <c r="S3985" t="s">
        <v>26</v>
      </c>
    </row>
    <row r="3986" spans="1:19" x14ac:dyDescent="0.3">
      <c r="A3986" t="s">
        <v>18804</v>
      </c>
      <c r="B3986" t="s">
        <v>19430</v>
      </c>
      <c r="C3986" t="s">
        <v>19674</v>
      </c>
      <c r="D3986" t="s">
        <v>18805</v>
      </c>
      <c r="E3986" t="s">
        <v>18878</v>
      </c>
      <c r="F3986" t="s">
        <v>18879</v>
      </c>
      <c r="G3986" t="s">
        <v>12047</v>
      </c>
      <c r="H3986" t="s">
        <v>868</v>
      </c>
      <c r="I3986" t="s">
        <v>950</v>
      </c>
      <c r="J3986" t="str">
        <f>"9040197"</f>
        <v>9040197</v>
      </c>
      <c r="K3986">
        <v>2685071379</v>
      </c>
      <c r="M3986" t="s">
        <v>19675</v>
      </c>
      <c r="N3986" t="s">
        <v>7912</v>
      </c>
      <c r="O3986" t="s">
        <v>7912</v>
      </c>
      <c r="P3986">
        <v>47045</v>
      </c>
      <c r="Q3986" t="str">
        <f>"39.376180"</f>
        <v>39.376180</v>
      </c>
      <c r="R3986" t="str">
        <f>"21.115750"</f>
        <v>21.115750</v>
      </c>
      <c r="S3986" t="s">
        <v>57</v>
      </c>
    </row>
    <row r="3987" spans="1:19" x14ac:dyDescent="0.3">
      <c r="A3987" t="s">
        <v>18804</v>
      </c>
      <c r="B3987" t="s">
        <v>19430</v>
      </c>
      <c r="C3987" t="s">
        <v>19679</v>
      </c>
      <c r="D3987" t="s">
        <v>18805</v>
      </c>
      <c r="E3987" t="s">
        <v>18885</v>
      </c>
      <c r="F3987" t="s">
        <v>19678</v>
      </c>
      <c r="G3987" t="s">
        <v>19678</v>
      </c>
      <c r="H3987" t="s">
        <v>868</v>
      </c>
      <c r="I3987" t="s">
        <v>950</v>
      </c>
      <c r="J3987" t="str">
        <f>"9040057"</f>
        <v>9040057</v>
      </c>
      <c r="K3987">
        <v>2681069322</v>
      </c>
      <c r="L3987">
        <v>2681069322</v>
      </c>
      <c r="M3987" t="s">
        <v>19680</v>
      </c>
      <c r="N3987" t="s">
        <v>19681</v>
      </c>
      <c r="O3987" t="s">
        <v>19678</v>
      </c>
      <c r="P3987">
        <v>47150</v>
      </c>
      <c r="Q3987" t="str">
        <f>"39.046913"</f>
        <v>39.046913</v>
      </c>
      <c r="R3987" t="str">
        <f>"21.031864"</f>
        <v>21.031864</v>
      </c>
      <c r="S3987" t="s">
        <v>26</v>
      </c>
    </row>
    <row r="3988" spans="1:19" x14ac:dyDescent="0.3">
      <c r="A3988" t="s">
        <v>18804</v>
      </c>
      <c r="B3988" t="s">
        <v>19430</v>
      </c>
      <c r="C3988" t="s">
        <v>18877</v>
      </c>
      <c r="D3988" t="s">
        <v>18805</v>
      </c>
      <c r="E3988" t="s">
        <v>18885</v>
      </c>
      <c r="F3988" t="s">
        <v>18886</v>
      </c>
      <c r="G3988" t="s">
        <v>152</v>
      </c>
      <c r="H3988" t="s">
        <v>868</v>
      </c>
      <c r="I3988" t="s">
        <v>950</v>
      </c>
      <c r="J3988" t="str">
        <f>"9040013"</f>
        <v>9040013</v>
      </c>
      <c r="K3988">
        <v>2681098309</v>
      </c>
      <c r="L3988">
        <v>2681098309</v>
      </c>
      <c r="M3988" t="s">
        <v>19682</v>
      </c>
      <c r="N3988" t="s">
        <v>19683</v>
      </c>
      <c r="O3988" t="s">
        <v>19684</v>
      </c>
      <c r="P3988">
        <v>47100</v>
      </c>
      <c r="Q3988" t="str">
        <f>"39.102260"</f>
        <v>39.102260</v>
      </c>
      <c r="R3988" t="str">
        <f>"20.990856"</f>
        <v>20.990856</v>
      </c>
      <c r="S3988" t="s">
        <v>26</v>
      </c>
    </row>
    <row r="3989" spans="1:19" x14ac:dyDescent="0.3">
      <c r="A3989" t="s">
        <v>18804</v>
      </c>
      <c r="B3989" t="s">
        <v>19430</v>
      </c>
      <c r="C3989" t="s">
        <v>18837</v>
      </c>
      <c r="D3989" t="s">
        <v>18805</v>
      </c>
      <c r="E3989" t="s">
        <v>18831</v>
      </c>
      <c r="F3989" t="s">
        <v>18832</v>
      </c>
      <c r="G3989" t="s">
        <v>18833</v>
      </c>
      <c r="H3989" t="s">
        <v>868</v>
      </c>
      <c r="I3989" t="s">
        <v>950</v>
      </c>
      <c r="J3989" t="str">
        <f>"9040024"</f>
        <v>9040024</v>
      </c>
      <c r="K3989">
        <v>2681068055</v>
      </c>
      <c r="L3989">
        <v>2681068055</v>
      </c>
      <c r="M3989" t="s">
        <v>19685</v>
      </c>
      <c r="N3989" t="s">
        <v>18836</v>
      </c>
      <c r="O3989" t="s">
        <v>18836</v>
      </c>
      <c r="P3989">
        <v>47044</v>
      </c>
      <c r="Q3989" t="str">
        <f>"39.250895"</f>
        <v>39.250895</v>
      </c>
      <c r="R3989" t="str">
        <f>"21.158970"</f>
        <v>21.158970</v>
      </c>
      <c r="S3989" t="s">
        <v>26</v>
      </c>
    </row>
    <row r="3990" spans="1:19" x14ac:dyDescent="0.3">
      <c r="A3990" t="s">
        <v>18804</v>
      </c>
      <c r="B3990" t="s">
        <v>19430</v>
      </c>
      <c r="C3990" t="s">
        <v>19687</v>
      </c>
      <c r="D3990" t="s">
        <v>18805</v>
      </c>
      <c r="E3990" t="s">
        <v>18806</v>
      </c>
      <c r="F3990" t="s">
        <v>18897</v>
      </c>
      <c r="G3990" t="s">
        <v>19686</v>
      </c>
      <c r="H3990" t="s">
        <v>868</v>
      </c>
      <c r="I3990" t="s">
        <v>950</v>
      </c>
      <c r="J3990" t="str">
        <f>"9040131"</f>
        <v>9040131</v>
      </c>
      <c r="K3990">
        <v>2681041040</v>
      </c>
      <c r="L3990">
        <v>2681041040</v>
      </c>
      <c r="M3990" t="s">
        <v>19688</v>
      </c>
      <c r="N3990" t="s">
        <v>19689</v>
      </c>
      <c r="O3990" t="s">
        <v>19689</v>
      </c>
      <c r="P3990">
        <v>47100</v>
      </c>
      <c r="Q3990" t="str">
        <f>"39.103501"</f>
        <v>39.103501</v>
      </c>
      <c r="R3990" t="str">
        <f>"20.949119"</f>
        <v>20.949119</v>
      </c>
      <c r="S3990" t="s">
        <v>26</v>
      </c>
    </row>
    <row r="3991" spans="1:19" x14ac:dyDescent="0.3">
      <c r="A3991" t="s">
        <v>18804</v>
      </c>
      <c r="B3991" t="s">
        <v>19430</v>
      </c>
      <c r="C3991" t="s">
        <v>18859</v>
      </c>
      <c r="D3991" t="s">
        <v>18805</v>
      </c>
      <c r="E3991" t="s">
        <v>18806</v>
      </c>
      <c r="F3991" t="s">
        <v>18806</v>
      </c>
      <c r="G3991" t="s">
        <v>18806</v>
      </c>
      <c r="H3991" t="s">
        <v>868</v>
      </c>
      <c r="I3991" t="s">
        <v>869</v>
      </c>
      <c r="J3991" t="str">
        <f>"9040004"</f>
        <v>9040004</v>
      </c>
      <c r="K3991">
        <v>2681027677</v>
      </c>
      <c r="M3991" t="s">
        <v>19692</v>
      </c>
      <c r="N3991" t="s">
        <v>18809</v>
      </c>
      <c r="O3991" t="s">
        <v>19693</v>
      </c>
      <c r="P3991">
        <v>47132</v>
      </c>
      <c r="Q3991" t="str">
        <f>"39.164564"</f>
        <v>39.164564</v>
      </c>
      <c r="R3991" t="str">
        <f>"20.986078"</f>
        <v>20.986078</v>
      </c>
      <c r="S3991" t="s">
        <v>26</v>
      </c>
    </row>
    <row r="3992" spans="1:19" x14ac:dyDescent="0.3">
      <c r="A3992" t="s">
        <v>18804</v>
      </c>
      <c r="B3992" t="s">
        <v>19430</v>
      </c>
      <c r="C3992" t="s">
        <v>19698</v>
      </c>
      <c r="D3992" t="s">
        <v>18805</v>
      </c>
      <c r="E3992" t="s">
        <v>18806</v>
      </c>
      <c r="F3992" t="s">
        <v>18806</v>
      </c>
      <c r="G3992" t="s">
        <v>18806</v>
      </c>
      <c r="H3992" t="s">
        <v>868</v>
      </c>
      <c r="I3992" t="s">
        <v>869</v>
      </c>
      <c r="J3992" t="str">
        <f>"9040239"</f>
        <v>9040239</v>
      </c>
      <c r="K3992">
        <v>2681074200</v>
      </c>
      <c r="L3992">
        <v>2681021432</v>
      </c>
      <c r="M3992" t="s">
        <v>19699</v>
      </c>
      <c r="N3992" t="s">
        <v>18809</v>
      </c>
      <c r="O3992" t="s">
        <v>19700</v>
      </c>
      <c r="P3992">
        <v>47132</v>
      </c>
      <c r="Q3992" t="str">
        <f>"39.164554"</f>
        <v>39.164554</v>
      </c>
      <c r="R3992" t="str">
        <f>"20.989638"</f>
        <v>20.989638</v>
      </c>
      <c r="S3992" t="s">
        <v>26</v>
      </c>
    </row>
    <row r="3993" spans="1:19" x14ac:dyDescent="0.3">
      <c r="A3993" t="s">
        <v>18804</v>
      </c>
      <c r="B3993" t="s">
        <v>19430</v>
      </c>
      <c r="C3993" t="s">
        <v>19701</v>
      </c>
      <c r="D3993" t="s">
        <v>18805</v>
      </c>
      <c r="E3993" t="s">
        <v>18806</v>
      </c>
      <c r="F3993" t="s">
        <v>4671</v>
      </c>
      <c r="G3993" t="s">
        <v>19694</v>
      </c>
      <c r="H3993" t="s">
        <v>868</v>
      </c>
      <c r="I3993" t="s">
        <v>950</v>
      </c>
      <c r="J3993" t="str">
        <f>"9040149"</f>
        <v>9040149</v>
      </c>
      <c r="K3993">
        <v>2681041497</v>
      </c>
      <c r="L3993">
        <v>2681042569</v>
      </c>
      <c r="M3993" t="s">
        <v>19702</v>
      </c>
      <c r="N3993" t="s">
        <v>19697</v>
      </c>
      <c r="O3993" t="s">
        <v>19703</v>
      </c>
      <c r="P3993">
        <v>47150</v>
      </c>
      <c r="Q3993" t="str">
        <f>"39.129580"</f>
        <v>39.129580</v>
      </c>
      <c r="R3993" t="str">
        <f>"20.920597"</f>
        <v>20.920597</v>
      </c>
      <c r="S3993" t="s">
        <v>26</v>
      </c>
    </row>
    <row r="3994" spans="1:19" x14ac:dyDescent="0.3">
      <c r="A3994" t="s">
        <v>18804</v>
      </c>
      <c r="B3994" t="s">
        <v>19430</v>
      </c>
      <c r="C3994" t="s">
        <v>19712</v>
      </c>
      <c r="D3994" t="s">
        <v>18805</v>
      </c>
      <c r="E3994" t="s">
        <v>18806</v>
      </c>
      <c r="F3994" t="s">
        <v>18806</v>
      </c>
      <c r="G3994" t="s">
        <v>18806</v>
      </c>
      <c r="H3994" t="s">
        <v>868</v>
      </c>
      <c r="I3994" t="s">
        <v>1157</v>
      </c>
      <c r="J3994" t="str">
        <f>"9040257"</f>
        <v>9040257</v>
      </c>
      <c r="K3994">
        <v>2681070245</v>
      </c>
      <c r="L3994">
        <v>2681070245</v>
      </c>
      <c r="M3994" t="s">
        <v>19713</v>
      </c>
      <c r="N3994" t="s">
        <v>19714</v>
      </c>
      <c r="O3994" t="s">
        <v>19715</v>
      </c>
      <c r="P3994">
        <v>47150</v>
      </c>
      <c r="Q3994" t="str">
        <f>"39.152152"</f>
        <v>39.152152</v>
      </c>
      <c r="R3994" t="str">
        <f>"20.961316"</f>
        <v>20.961316</v>
      </c>
      <c r="S3994" t="s">
        <v>26</v>
      </c>
    </row>
    <row r="3995" spans="1:19" x14ac:dyDescent="0.3">
      <c r="A3995" t="s">
        <v>18804</v>
      </c>
      <c r="B3995" t="s">
        <v>19430</v>
      </c>
      <c r="C3995" t="s">
        <v>19720</v>
      </c>
      <c r="D3995" t="s">
        <v>18805</v>
      </c>
      <c r="E3995" t="s">
        <v>18885</v>
      </c>
      <c r="F3995" t="s">
        <v>18903</v>
      </c>
      <c r="G3995" t="s">
        <v>18903</v>
      </c>
      <c r="H3995" t="s">
        <v>868</v>
      </c>
      <c r="I3995" t="s">
        <v>869</v>
      </c>
      <c r="J3995" t="str">
        <f>"9040081"</f>
        <v>9040081</v>
      </c>
      <c r="K3995">
        <v>2681083969</v>
      </c>
      <c r="L3995">
        <v>2681306882</v>
      </c>
      <c r="M3995" t="s">
        <v>19721</v>
      </c>
      <c r="N3995" t="s">
        <v>3472</v>
      </c>
      <c r="O3995" t="s">
        <v>19722</v>
      </c>
      <c r="P3995">
        <v>47150</v>
      </c>
      <c r="Q3995" t="str">
        <f>"39.160025"</f>
        <v>39.160025</v>
      </c>
      <c r="R3995" t="str">
        <f>"21.016600"</f>
        <v>21.016600</v>
      </c>
      <c r="S3995" t="s">
        <v>26</v>
      </c>
    </row>
    <row r="3996" spans="1:19" x14ac:dyDescent="0.3">
      <c r="A3996" t="s">
        <v>18804</v>
      </c>
      <c r="B3996" t="s">
        <v>19430</v>
      </c>
      <c r="C3996" t="s">
        <v>18890</v>
      </c>
      <c r="D3996" t="s">
        <v>18805</v>
      </c>
      <c r="E3996" t="s">
        <v>18885</v>
      </c>
      <c r="F3996" t="s">
        <v>18886</v>
      </c>
      <c r="G3996" t="s">
        <v>13744</v>
      </c>
      <c r="H3996" t="s">
        <v>868</v>
      </c>
      <c r="I3996" t="s">
        <v>869</v>
      </c>
      <c r="J3996" t="str">
        <f>"9040076"</f>
        <v>9040076</v>
      </c>
      <c r="K3996">
        <v>2681087253</v>
      </c>
      <c r="L3996">
        <v>2681087253</v>
      </c>
      <c r="M3996" t="s">
        <v>19723</v>
      </c>
      <c r="N3996" t="s">
        <v>19724</v>
      </c>
      <c r="O3996" t="s">
        <v>19725</v>
      </c>
      <c r="P3996">
        <v>47041</v>
      </c>
      <c r="Q3996" t="str">
        <f>"39.070708"</f>
        <v>39.070708</v>
      </c>
      <c r="R3996" t="str">
        <f>"21.017644"</f>
        <v>21.017644</v>
      </c>
      <c r="S3996" t="s">
        <v>26</v>
      </c>
    </row>
    <row r="3997" spans="1:19" x14ac:dyDescent="0.3">
      <c r="A3997" t="s">
        <v>18804</v>
      </c>
      <c r="B3997" t="s">
        <v>19430</v>
      </c>
      <c r="C3997" t="s">
        <v>19727</v>
      </c>
      <c r="D3997" t="s">
        <v>18805</v>
      </c>
      <c r="E3997" t="s">
        <v>18878</v>
      </c>
      <c r="F3997" t="s">
        <v>18879</v>
      </c>
      <c r="G3997" t="s">
        <v>19726</v>
      </c>
      <c r="H3997" t="s">
        <v>868</v>
      </c>
      <c r="I3997" t="s">
        <v>950</v>
      </c>
      <c r="J3997" t="str">
        <f>"9041000"</f>
        <v>9041000</v>
      </c>
      <c r="K3997">
        <v>2681070772</v>
      </c>
      <c r="L3997">
        <v>2681070772</v>
      </c>
      <c r="M3997" t="s">
        <v>19728</v>
      </c>
      <c r="O3997" t="s">
        <v>19729</v>
      </c>
      <c r="P3997">
        <v>47045</v>
      </c>
      <c r="Q3997" t="str">
        <f>"39.290175"</f>
        <v>39.290175</v>
      </c>
      <c r="R3997" t="str">
        <f>"21.126597"</f>
        <v>21.126597</v>
      </c>
      <c r="S3997" t="s">
        <v>26</v>
      </c>
    </row>
    <row r="3998" spans="1:19" x14ac:dyDescent="0.3">
      <c r="A3998" t="s">
        <v>18804</v>
      </c>
      <c r="B3998" t="s">
        <v>19730</v>
      </c>
      <c r="C3998" t="s">
        <v>18986</v>
      </c>
      <c r="D3998" t="s">
        <v>18811</v>
      </c>
      <c r="E3998" t="s">
        <v>18981</v>
      </c>
      <c r="F3998" t="s">
        <v>18981</v>
      </c>
      <c r="G3998" t="s">
        <v>18981</v>
      </c>
      <c r="H3998" t="s">
        <v>868</v>
      </c>
      <c r="I3998" t="s">
        <v>869</v>
      </c>
      <c r="J3998" t="str">
        <f>"9180136"</f>
        <v>9180136</v>
      </c>
      <c r="K3998">
        <v>2664022293</v>
      </c>
      <c r="L3998">
        <v>2664029079</v>
      </c>
      <c r="M3998" t="s">
        <v>19783</v>
      </c>
      <c r="N3998" t="s">
        <v>18985</v>
      </c>
      <c r="O3998" t="s">
        <v>19784</v>
      </c>
      <c r="P3998">
        <v>46300</v>
      </c>
      <c r="Q3998" t="str">
        <f>"39.601413"</f>
        <v>39.601413</v>
      </c>
      <c r="R3998" t="str">
        <f>"20.306089"</f>
        <v>20.306089</v>
      </c>
      <c r="S3998" t="s">
        <v>26</v>
      </c>
    </row>
    <row r="3999" spans="1:19" x14ac:dyDescent="0.3">
      <c r="A3999" t="s">
        <v>18804</v>
      </c>
      <c r="B3999" t="s">
        <v>19730</v>
      </c>
      <c r="C3999" t="s">
        <v>19785</v>
      </c>
      <c r="D3999" t="s">
        <v>18811</v>
      </c>
      <c r="E3999" t="s">
        <v>18812</v>
      </c>
      <c r="F3999" t="s">
        <v>18813</v>
      </c>
      <c r="G3999" t="s">
        <v>18812</v>
      </c>
      <c r="H3999" t="s">
        <v>868</v>
      </c>
      <c r="I3999" t="s">
        <v>869</v>
      </c>
      <c r="J3999" t="str">
        <f>"9180003"</f>
        <v>9180003</v>
      </c>
      <c r="K3999">
        <v>2665022489</v>
      </c>
      <c r="L3999">
        <v>2665022489</v>
      </c>
      <c r="M3999" t="s">
        <v>19786</v>
      </c>
      <c r="N3999" t="s">
        <v>18816</v>
      </c>
      <c r="O3999" t="s">
        <v>19787</v>
      </c>
      <c r="P3999">
        <v>46100</v>
      </c>
      <c r="Q3999" t="str">
        <f>"39.504957"</f>
        <v>39.504957</v>
      </c>
      <c r="R3999" t="str">
        <f>"20.263456"</f>
        <v>20.263456</v>
      </c>
      <c r="S3999" t="s">
        <v>26</v>
      </c>
    </row>
    <row r="4000" spans="1:19" x14ac:dyDescent="0.3">
      <c r="A4000" t="s">
        <v>18804</v>
      </c>
      <c r="B4000" t="s">
        <v>19730</v>
      </c>
      <c r="C4000" t="s">
        <v>18994</v>
      </c>
      <c r="D4000" t="s">
        <v>18811</v>
      </c>
      <c r="E4000" t="s">
        <v>18812</v>
      </c>
      <c r="F4000" t="s">
        <v>18813</v>
      </c>
      <c r="G4000" t="s">
        <v>18812</v>
      </c>
      <c r="H4000" t="s">
        <v>868</v>
      </c>
      <c r="I4000" t="s">
        <v>869</v>
      </c>
      <c r="J4000" t="str">
        <f>"9180205"</f>
        <v>9180205</v>
      </c>
      <c r="K4000">
        <v>2665022720</v>
      </c>
      <c r="L4000">
        <v>2665022720</v>
      </c>
      <c r="M4000" t="s">
        <v>19788</v>
      </c>
      <c r="N4000" t="s">
        <v>18812</v>
      </c>
      <c r="O4000" t="s">
        <v>19789</v>
      </c>
      <c r="P4000">
        <v>46100</v>
      </c>
      <c r="Q4000" t="str">
        <f>"39.512871"</f>
        <v>39.512871</v>
      </c>
      <c r="R4000" t="str">
        <f>"20.260858"</f>
        <v>20.260858</v>
      </c>
      <c r="S4000" t="s">
        <v>26</v>
      </c>
    </row>
    <row r="4001" spans="1:19" x14ac:dyDescent="0.3">
      <c r="A4001" t="s">
        <v>18804</v>
      </c>
      <c r="B4001" t="s">
        <v>19730</v>
      </c>
      <c r="C4001" t="s">
        <v>19021</v>
      </c>
      <c r="D4001" t="s">
        <v>18811</v>
      </c>
      <c r="E4001" t="s">
        <v>18812</v>
      </c>
      <c r="F4001" t="s">
        <v>19014</v>
      </c>
      <c r="G4001" t="s">
        <v>19015</v>
      </c>
      <c r="H4001" t="s">
        <v>868</v>
      </c>
      <c r="I4001" t="s">
        <v>869</v>
      </c>
      <c r="J4001" t="str">
        <f>"9180029"</f>
        <v>9180029</v>
      </c>
      <c r="K4001">
        <v>2665071286</v>
      </c>
      <c r="L4001">
        <v>2665071286</v>
      </c>
      <c r="M4001" t="s">
        <v>19803</v>
      </c>
      <c r="N4001" t="s">
        <v>19018</v>
      </c>
      <c r="O4001" t="s">
        <v>19804</v>
      </c>
      <c r="P4001">
        <v>46100</v>
      </c>
      <c r="Q4001" t="str">
        <f>"39.448497"</f>
        <v>39.448497</v>
      </c>
      <c r="R4001" t="str">
        <f>"20.276042"</f>
        <v>20.276042</v>
      </c>
      <c r="S4001" t="s">
        <v>26</v>
      </c>
    </row>
    <row r="4002" spans="1:19" x14ac:dyDescent="0.3">
      <c r="A4002" t="s">
        <v>18804</v>
      </c>
      <c r="B4002" t="s">
        <v>19730</v>
      </c>
      <c r="C4002" t="s">
        <v>19808</v>
      </c>
      <c r="D4002" t="s">
        <v>18811</v>
      </c>
      <c r="E4002" t="s">
        <v>18812</v>
      </c>
      <c r="F4002" t="s">
        <v>18813</v>
      </c>
      <c r="G4002" t="s">
        <v>19754</v>
      </c>
      <c r="H4002" t="s">
        <v>868</v>
      </c>
      <c r="I4002" t="s">
        <v>869</v>
      </c>
      <c r="J4002" t="str">
        <f>"9180016"</f>
        <v>9180016</v>
      </c>
      <c r="K4002">
        <v>2665022600</v>
      </c>
      <c r="L4002">
        <v>2665023452</v>
      </c>
      <c r="M4002" t="s">
        <v>19809</v>
      </c>
      <c r="N4002" t="s">
        <v>19810</v>
      </c>
      <c r="O4002" t="s">
        <v>19811</v>
      </c>
      <c r="P4002">
        <v>46100</v>
      </c>
      <c r="Q4002" t="str">
        <f>"39.524163"</f>
        <v>39.524163</v>
      </c>
      <c r="R4002" t="str">
        <f>"20.261608"</f>
        <v>20.261608</v>
      </c>
      <c r="S4002" t="s">
        <v>26</v>
      </c>
    </row>
    <row r="4003" spans="1:19" x14ac:dyDescent="0.3">
      <c r="A4003" t="s">
        <v>18804</v>
      </c>
      <c r="B4003" t="s">
        <v>19730</v>
      </c>
      <c r="C4003" t="s">
        <v>18969</v>
      </c>
      <c r="D4003" t="s">
        <v>18811</v>
      </c>
      <c r="E4003" t="s">
        <v>18812</v>
      </c>
      <c r="F4003" t="s">
        <v>18813</v>
      </c>
      <c r="G4003" t="s">
        <v>18965</v>
      </c>
      <c r="H4003" t="s">
        <v>868</v>
      </c>
      <c r="I4003" t="s">
        <v>869</v>
      </c>
      <c r="J4003" t="str">
        <f>"9180025"</f>
        <v>9180025</v>
      </c>
      <c r="K4003">
        <v>2665022514</v>
      </c>
      <c r="L4003">
        <v>2665022514</v>
      </c>
      <c r="M4003" t="s">
        <v>19843</v>
      </c>
      <c r="N4003" t="s">
        <v>18968</v>
      </c>
      <c r="O4003" t="s">
        <v>19844</v>
      </c>
      <c r="P4003">
        <v>46100</v>
      </c>
      <c r="Q4003" t="str">
        <f>"39.527395"</f>
        <v>39.527395</v>
      </c>
      <c r="R4003" t="str">
        <f>"20.256053"</f>
        <v>20.256053</v>
      </c>
      <c r="S4003" t="s">
        <v>26</v>
      </c>
    </row>
    <row r="4004" spans="1:19" x14ac:dyDescent="0.3">
      <c r="A4004" t="s">
        <v>18804</v>
      </c>
      <c r="B4004" t="s">
        <v>19730</v>
      </c>
      <c r="C4004" t="s">
        <v>19852</v>
      </c>
      <c r="D4004" t="s">
        <v>18811</v>
      </c>
      <c r="E4004" t="s">
        <v>18812</v>
      </c>
      <c r="F4004" t="s">
        <v>18813</v>
      </c>
      <c r="G4004" t="s">
        <v>18812</v>
      </c>
      <c r="H4004" t="s">
        <v>868</v>
      </c>
      <c r="I4004" t="s">
        <v>1157</v>
      </c>
      <c r="J4004" t="str">
        <f>"9180250"</f>
        <v>9180250</v>
      </c>
      <c r="K4004">
        <v>2665023834</v>
      </c>
      <c r="L4004">
        <v>2665023834</v>
      </c>
      <c r="M4004" t="s">
        <v>19853</v>
      </c>
      <c r="N4004" t="s">
        <v>18816</v>
      </c>
      <c r="O4004" t="s">
        <v>19854</v>
      </c>
      <c r="P4004">
        <v>46100</v>
      </c>
      <c r="Q4004" t="str">
        <f>"39.497097"</f>
        <v>39.497097</v>
      </c>
      <c r="R4004" t="str">
        <f>"20.263824"</f>
        <v>20.263824</v>
      </c>
      <c r="S4004" t="s">
        <v>26</v>
      </c>
    </row>
    <row r="4005" spans="1:19" x14ac:dyDescent="0.3">
      <c r="A4005" t="s">
        <v>18804</v>
      </c>
      <c r="B4005" t="s">
        <v>19730</v>
      </c>
      <c r="C4005" t="s">
        <v>19860</v>
      </c>
      <c r="D4005" t="s">
        <v>18811</v>
      </c>
      <c r="E4005" t="s">
        <v>18812</v>
      </c>
      <c r="F4005" t="s">
        <v>18813</v>
      </c>
      <c r="G4005" t="s">
        <v>18812</v>
      </c>
      <c r="H4005" t="s">
        <v>868</v>
      </c>
      <c r="I4005" t="s">
        <v>869</v>
      </c>
      <c r="J4005" t="str">
        <f>"9180229"</f>
        <v>9180229</v>
      </c>
      <c r="K4005">
        <v>2665024824</v>
      </c>
      <c r="L4005">
        <v>2665024824</v>
      </c>
      <c r="M4005" t="s">
        <v>19861</v>
      </c>
      <c r="N4005" t="s">
        <v>18812</v>
      </c>
      <c r="O4005" t="s">
        <v>19796</v>
      </c>
      <c r="P4005">
        <v>46100</v>
      </c>
      <c r="Q4005" t="str">
        <f>"39.502250"</f>
        <v>39.502250</v>
      </c>
      <c r="R4005" t="str">
        <f>"20.269110"</f>
        <v>20.269110</v>
      </c>
      <c r="S4005" t="s">
        <v>26</v>
      </c>
    </row>
    <row r="4006" spans="1:19" x14ac:dyDescent="0.3">
      <c r="A4006" t="s">
        <v>18804</v>
      </c>
      <c r="B4006" t="s">
        <v>19730</v>
      </c>
      <c r="C4006" t="s">
        <v>19865</v>
      </c>
      <c r="D4006" t="s">
        <v>18811</v>
      </c>
      <c r="E4006" t="s">
        <v>18812</v>
      </c>
      <c r="F4006" t="s">
        <v>19014</v>
      </c>
      <c r="G4006" t="s">
        <v>19014</v>
      </c>
      <c r="H4006" t="s">
        <v>868</v>
      </c>
      <c r="I4006" t="s">
        <v>869</v>
      </c>
      <c r="J4006" t="str">
        <f>"9180030"</f>
        <v>9180030</v>
      </c>
      <c r="K4006">
        <v>2665093244</v>
      </c>
      <c r="L4006">
        <v>2665093244</v>
      </c>
      <c r="M4006" t="s">
        <v>19866</v>
      </c>
      <c r="N4006" t="s">
        <v>19867</v>
      </c>
      <c r="O4006" t="s">
        <v>19814</v>
      </c>
      <c r="P4006">
        <v>46100</v>
      </c>
      <c r="Q4006" t="str">
        <f>"39.407855"</f>
        <v>39.407855</v>
      </c>
      <c r="R4006" t="str">
        <f>"20.243717"</f>
        <v>20.243717</v>
      </c>
      <c r="S4006" t="s">
        <v>26</v>
      </c>
    </row>
    <row r="4007" spans="1:19" x14ac:dyDescent="0.3">
      <c r="A4007" t="s">
        <v>18804</v>
      </c>
      <c r="B4007" t="s">
        <v>19730</v>
      </c>
      <c r="C4007" t="s">
        <v>19868</v>
      </c>
      <c r="D4007" t="s">
        <v>18811</v>
      </c>
      <c r="E4007" t="s">
        <v>18981</v>
      </c>
      <c r="F4007" t="s">
        <v>19746</v>
      </c>
      <c r="G4007" t="s">
        <v>19746</v>
      </c>
      <c r="H4007" t="s">
        <v>868</v>
      </c>
      <c r="I4007" t="s">
        <v>869</v>
      </c>
      <c r="J4007" t="str">
        <f>"9180189"</f>
        <v>9180189</v>
      </c>
      <c r="K4007">
        <v>2664051228</v>
      </c>
      <c r="L4007">
        <v>2664051228</v>
      </c>
      <c r="M4007" t="s">
        <v>19869</v>
      </c>
      <c r="N4007" t="s">
        <v>19870</v>
      </c>
      <c r="O4007" t="s">
        <v>19833</v>
      </c>
      <c r="P4007">
        <v>46300</v>
      </c>
      <c r="Q4007" t="str">
        <f>"39.622984"</f>
        <v>39.622984</v>
      </c>
      <c r="R4007" t="str">
        <f>"20.193185"</f>
        <v>20.193185</v>
      </c>
      <c r="S4007" t="s">
        <v>26</v>
      </c>
    </row>
    <row r="4008" spans="1:19" x14ac:dyDescent="0.3">
      <c r="A4008" t="s">
        <v>18804</v>
      </c>
      <c r="B4008" t="s">
        <v>19730</v>
      </c>
      <c r="C4008" t="s">
        <v>19871</v>
      </c>
      <c r="D4008" t="s">
        <v>18811</v>
      </c>
      <c r="E4008" t="s">
        <v>18981</v>
      </c>
      <c r="F4008" t="s">
        <v>19746</v>
      </c>
      <c r="G4008" t="s">
        <v>19839</v>
      </c>
      <c r="H4008" t="s">
        <v>868</v>
      </c>
      <c r="I4008" t="s">
        <v>950</v>
      </c>
      <c r="J4008" t="str">
        <f>"9180159"</f>
        <v>9180159</v>
      </c>
      <c r="K4008">
        <v>2665028413</v>
      </c>
      <c r="L4008">
        <v>2665028413</v>
      </c>
      <c r="M4008" t="s">
        <v>19872</v>
      </c>
      <c r="N4008" t="s">
        <v>19839</v>
      </c>
      <c r="O4008" t="s">
        <v>19842</v>
      </c>
      <c r="P4008">
        <v>46100</v>
      </c>
      <c r="Q4008" t="str">
        <f>"39.560067"</f>
        <v>39.560067</v>
      </c>
      <c r="R4008" t="str">
        <f>"20.196657"</f>
        <v>20.196657</v>
      </c>
      <c r="S4008" t="s">
        <v>26</v>
      </c>
    </row>
    <row r="4009" spans="1:19" x14ac:dyDescent="0.3">
      <c r="A4009" t="s">
        <v>18804</v>
      </c>
      <c r="B4009" t="s">
        <v>19730</v>
      </c>
      <c r="C4009" t="s">
        <v>19873</v>
      </c>
      <c r="D4009" t="s">
        <v>18811</v>
      </c>
      <c r="E4009" t="s">
        <v>16264</v>
      </c>
      <c r="F4009" t="s">
        <v>18976</v>
      </c>
      <c r="G4009" t="s">
        <v>19779</v>
      </c>
      <c r="H4009" t="s">
        <v>868</v>
      </c>
      <c r="I4009" t="s">
        <v>950</v>
      </c>
      <c r="J4009" t="str">
        <f>"9180071"</f>
        <v>9180071</v>
      </c>
      <c r="K4009">
        <v>2666051515</v>
      </c>
      <c r="M4009" t="s">
        <v>19874</v>
      </c>
      <c r="N4009" t="s">
        <v>19875</v>
      </c>
      <c r="O4009" t="s">
        <v>19782</v>
      </c>
      <c r="P4009">
        <v>46200</v>
      </c>
      <c r="Q4009" t="str">
        <f>"39.467050"</f>
        <v>39.467050</v>
      </c>
      <c r="R4009" t="str">
        <f>"20.426518"</f>
        <v>20.426518</v>
      </c>
      <c r="S4009" t="s">
        <v>26</v>
      </c>
    </row>
    <row r="4010" spans="1:19" x14ac:dyDescent="0.3">
      <c r="A4010" t="s">
        <v>18804</v>
      </c>
      <c r="B4010" t="s">
        <v>19730</v>
      </c>
      <c r="C4010" t="s">
        <v>19877</v>
      </c>
      <c r="D4010" t="s">
        <v>18811</v>
      </c>
      <c r="E4010" t="s">
        <v>18812</v>
      </c>
      <c r="F4010" t="s">
        <v>18813</v>
      </c>
      <c r="G4010" t="s">
        <v>19876</v>
      </c>
      <c r="H4010" t="s">
        <v>868</v>
      </c>
      <c r="I4010" t="s">
        <v>869</v>
      </c>
      <c r="J4010" t="str">
        <f>"9180019"</f>
        <v>9180019</v>
      </c>
      <c r="K4010">
        <v>2665041271</v>
      </c>
      <c r="L4010">
        <v>2665041271</v>
      </c>
      <c r="M4010" t="s">
        <v>19878</v>
      </c>
      <c r="N4010" t="s">
        <v>19879</v>
      </c>
      <c r="O4010" t="s">
        <v>19880</v>
      </c>
      <c r="P4010">
        <v>46100</v>
      </c>
      <c r="Q4010" t="str">
        <f>"39.552327"</f>
        <v>39.552327</v>
      </c>
      <c r="R4010" t="str">
        <f>"20.274563"</f>
        <v>20.274563</v>
      </c>
      <c r="S4010" t="s">
        <v>26</v>
      </c>
    </row>
    <row r="4011" spans="1:19" x14ac:dyDescent="0.3">
      <c r="A4011" t="s">
        <v>18804</v>
      </c>
      <c r="B4011" t="s">
        <v>19730</v>
      </c>
      <c r="C4011" t="s">
        <v>18990</v>
      </c>
      <c r="D4011" t="s">
        <v>18811</v>
      </c>
      <c r="E4011" t="s">
        <v>18812</v>
      </c>
      <c r="F4011" t="s">
        <v>18813</v>
      </c>
      <c r="G4011" t="s">
        <v>18812</v>
      </c>
      <c r="H4011" t="s">
        <v>868</v>
      </c>
      <c r="I4011" t="s">
        <v>869</v>
      </c>
      <c r="J4011" t="str">
        <f>"9180005"</f>
        <v>9180005</v>
      </c>
      <c r="K4011">
        <v>2665022293</v>
      </c>
      <c r="M4011" t="s">
        <v>19881</v>
      </c>
      <c r="N4011" t="s">
        <v>18816</v>
      </c>
      <c r="O4011" t="s">
        <v>19854</v>
      </c>
      <c r="P4011">
        <v>46100</v>
      </c>
      <c r="Q4011" t="str">
        <f>"39.497093"</f>
        <v>39.497093</v>
      </c>
      <c r="R4011" t="str">
        <f>"20.263980"</f>
        <v>20.263980</v>
      </c>
      <c r="S4011" t="s">
        <v>26</v>
      </c>
    </row>
    <row r="4012" spans="1:19" x14ac:dyDescent="0.3">
      <c r="A4012" t="s">
        <v>18804</v>
      </c>
      <c r="B4012" t="s">
        <v>19730</v>
      </c>
      <c r="C4012" t="s">
        <v>19053</v>
      </c>
      <c r="D4012" t="s">
        <v>18811</v>
      </c>
      <c r="E4012" t="s">
        <v>18812</v>
      </c>
      <c r="F4012" t="s">
        <v>12024</v>
      </c>
      <c r="G4012" t="s">
        <v>12024</v>
      </c>
      <c r="H4012" t="s">
        <v>868</v>
      </c>
      <c r="I4012" t="s">
        <v>869</v>
      </c>
      <c r="J4012" t="str">
        <f>"9180049"</f>
        <v>9180049</v>
      </c>
      <c r="K4012">
        <v>2665091281</v>
      </c>
      <c r="L4012">
        <v>2665091281</v>
      </c>
      <c r="M4012" t="s">
        <v>19882</v>
      </c>
      <c r="N4012" t="s">
        <v>12028</v>
      </c>
      <c r="O4012" t="s">
        <v>19052</v>
      </c>
      <c r="P4012">
        <v>46100</v>
      </c>
      <c r="Q4012" t="str">
        <f>"39.369320"</f>
        <v>39.369320</v>
      </c>
      <c r="R4012" t="str">
        <f>"20.301473"</f>
        <v>20.301473</v>
      </c>
      <c r="S4012" t="s">
        <v>26</v>
      </c>
    </row>
    <row r="4013" spans="1:19" x14ac:dyDescent="0.3">
      <c r="A4013" t="s">
        <v>18804</v>
      </c>
      <c r="B4013" t="s">
        <v>19730</v>
      </c>
      <c r="C4013" t="s">
        <v>19031</v>
      </c>
      <c r="D4013" t="s">
        <v>18811</v>
      </c>
      <c r="E4013" t="s">
        <v>16264</v>
      </c>
      <c r="F4013" t="s">
        <v>19025</v>
      </c>
      <c r="G4013" t="s">
        <v>19026</v>
      </c>
      <c r="H4013" t="s">
        <v>868</v>
      </c>
      <c r="I4013" t="s">
        <v>869</v>
      </c>
      <c r="J4013" t="str">
        <f>"9180069"</f>
        <v>9180069</v>
      </c>
      <c r="K4013">
        <v>2666049001</v>
      </c>
      <c r="L4013">
        <v>2666041234</v>
      </c>
      <c r="M4013" t="s">
        <v>19883</v>
      </c>
      <c r="N4013" t="s">
        <v>19884</v>
      </c>
      <c r="O4013" t="s">
        <v>19884</v>
      </c>
      <c r="P4013">
        <v>46200</v>
      </c>
      <c r="Q4013" t="str">
        <f>"39.359574"</f>
        <v>39.359574</v>
      </c>
      <c r="R4013" t="str">
        <f>"20.561450"</f>
        <v>20.561450</v>
      </c>
      <c r="S4013" t="s">
        <v>26</v>
      </c>
    </row>
    <row r="4014" spans="1:19" x14ac:dyDescent="0.3">
      <c r="A4014" t="s">
        <v>18804</v>
      </c>
      <c r="B4014" t="s">
        <v>19730</v>
      </c>
      <c r="C4014" t="s">
        <v>19004</v>
      </c>
      <c r="D4014" t="s">
        <v>18811</v>
      </c>
      <c r="E4014" t="s">
        <v>18812</v>
      </c>
      <c r="F4014" t="s">
        <v>18999</v>
      </c>
      <c r="G4014" t="s">
        <v>18999</v>
      </c>
      <c r="H4014" t="s">
        <v>868</v>
      </c>
      <c r="I4014" t="s">
        <v>869</v>
      </c>
      <c r="J4014" t="str">
        <f>"9180046"</f>
        <v>9180046</v>
      </c>
      <c r="K4014">
        <v>2665094280</v>
      </c>
      <c r="L4014">
        <v>2665094280</v>
      </c>
      <c r="M4014" t="s">
        <v>19887</v>
      </c>
      <c r="N4014" t="s">
        <v>19041</v>
      </c>
      <c r="O4014" t="s">
        <v>19003</v>
      </c>
      <c r="P4014">
        <v>46030</v>
      </c>
      <c r="Q4014" t="str">
        <f>"39.356373"</f>
        <v>39.356373</v>
      </c>
      <c r="R4014" t="str">
        <f>"20.440658"</f>
        <v>20.440658</v>
      </c>
      <c r="S4014" t="s">
        <v>26</v>
      </c>
    </row>
    <row r="4015" spans="1:19" x14ac:dyDescent="0.3">
      <c r="A4015" t="s">
        <v>18804</v>
      </c>
      <c r="B4015" t="s">
        <v>19730</v>
      </c>
      <c r="C4015" t="s">
        <v>19889</v>
      </c>
      <c r="D4015" t="s">
        <v>18811</v>
      </c>
      <c r="E4015" t="s">
        <v>16264</v>
      </c>
      <c r="F4015" t="s">
        <v>16264</v>
      </c>
      <c r="G4015" t="s">
        <v>19888</v>
      </c>
      <c r="H4015" t="s">
        <v>868</v>
      </c>
      <c r="I4015" t="s">
        <v>950</v>
      </c>
      <c r="J4015" t="str">
        <f>"9180067"</f>
        <v>9180067</v>
      </c>
      <c r="K4015">
        <v>2666024594</v>
      </c>
      <c r="M4015" t="s">
        <v>19890</v>
      </c>
      <c r="N4015" t="s">
        <v>19891</v>
      </c>
      <c r="O4015" t="s">
        <v>19892</v>
      </c>
      <c r="P4015">
        <v>46200</v>
      </c>
      <c r="Q4015" t="str">
        <f>"39.417737"</f>
        <v>39.417737</v>
      </c>
      <c r="R4015" t="str">
        <f>"20.610690"</f>
        <v>20.610690</v>
      </c>
      <c r="S4015" t="s">
        <v>57</v>
      </c>
    </row>
    <row r="4016" spans="1:19" x14ac:dyDescent="0.3">
      <c r="A4016" t="s">
        <v>18804</v>
      </c>
      <c r="B4016" t="s">
        <v>19730</v>
      </c>
      <c r="C4016" t="s">
        <v>19893</v>
      </c>
      <c r="D4016" t="s">
        <v>18811</v>
      </c>
      <c r="E4016" t="s">
        <v>18812</v>
      </c>
      <c r="F4016" t="s">
        <v>18999</v>
      </c>
      <c r="G4016" t="s">
        <v>19821</v>
      </c>
      <c r="H4016" t="s">
        <v>868</v>
      </c>
      <c r="I4016" t="s">
        <v>950</v>
      </c>
      <c r="J4016" t="str">
        <f>"9180044"</f>
        <v>9180044</v>
      </c>
      <c r="K4016">
        <v>2665095285</v>
      </c>
      <c r="L4016">
        <v>2665095285</v>
      </c>
      <c r="M4016" t="s">
        <v>19894</v>
      </c>
      <c r="N4016" t="s">
        <v>19824</v>
      </c>
      <c r="O4016" t="s">
        <v>19895</v>
      </c>
      <c r="P4016">
        <v>46030</v>
      </c>
      <c r="Q4016" t="str">
        <f>"39.416845"</f>
        <v>39.416845</v>
      </c>
      <c r="R4016" t="str">
        <f>"20.373236"</f>
        <v>20.373236</v>
      </c>
      <c r="S4016" t="s">
        <v>26</v>
      </c>
    </row>
    <row r="4017" spans="1:19" x14ac:dyDescent="0.3">
      <c r="A4017" t="s">
        <v>18804</v>
      </c>
      <c r="B4017" t="s">
        <v>19730</v>
      </c>
      <c r="C4017" t="s">
        <v>19896</v>
      </c>
      <c r="D4017" t="s">
        <v>18811</v>
      </c>
      <c r="E4017" t="s">
        <v>16264</v>
      </c>
      <c r="F4017" t="s">
        <v>19025</v>
      </c>
      <c r="G4017" t="s">
        <v>19790</v>
      </c>
      <c r="H4017" t="s">
        <v>868</v>
      </c>
      <c r="I4017" t="s">
        <v>869</v>
      </c>
      <c r="J4017" t="str">
        <f>"9180035"</f>
        <v>9180035</v>
      </c>
      <c r="K4017">
        <v>2666041540</v>
      </c>
      <c r="L4017">
        <v>2666041540</v>
      </c>
      <c r="M4017" t="s">
        <v>19897</v>
      </c>
      <c r="N4017" t="s">
        <v>19898</v>
      </c>
      <c r="O4017" t="s">
        <v>19899</v>
      </c>
      <c r="P4017">
        <v>46200</v>
      </c>
      <c r="Q4017" t="str">
        <f>"39.326382"</f>
        <v>39.326382</v>
      </c>
      <c r="R4017" t="str">
        <f>"20.605969"</f>
        <v>20.605969</v>
      </c>
      <c r="S4017" t="s">
        <v>26</v>
      </c>
    </row>
    <row r="4018" spans="1:19" x14ac:dyDescent="0.3">
      <c r="A4018" t="s">
        <v>18804</v>
      </c>
      <c r="B4018" t="s">
        <v>19730</v>
      </c>
      <c r="C4018" t="s">
        <v>19035</v>
      </c>
      <c r="D4018" t="s">
        <v>18811</v>
      </c>
      <c r="E4018" t="s">
        <v>16264</v>
      </c>
      <c r="F4018" t="s">
        <v>18976</v>
      </c>
      <c r="G4018" t="s">
        <v>13744</v>
      </c>
      <c r="H4018" t="s">
        <v>868</v>
      </c>
      <c r="I4018" t="s">
        <v>950</v>
      </c>
      <c r="J4018" t="str">
        <f>"9180132"</f>
        <v>9180132</v>
      </c>
      <c r="K4018">
        <v>2666031001</v>
      </c>
      <c r="L4018">
        <v>2666031001</v>
      </c>
      <c r="M4018" t="s">
        <v>19900</v>
      </c>
      <c r="N4018" t="s">
        <v>19901</v>
      </c>
      <c r="O4018" t="s">
        <v>19902</v>
      </c>
      <c r="P4018">
        <v>46200</v>
      </c>
      <c r="Q4018" t="str">
        <f>"39.523049"</f>
        <v>39.523049</v>
      </c>
      <c r="R4018" t="str">
        <f>"20.433625"</f>
        <v>20.433625</v>
      </c>
      <c r="S4018" t="s">
        <v>26</v>
      </c>
    </row>
    <row r="4019" spans="1:19" x14ac:dyDescent="0.3">
      <c r="A4019" t="s">
        <v>18804</v>
      </c>
      <c r="B4019" t="s">
        <v>19730</v>
      </c>
      <c r="C4019" t="s">
        <v>19903</v>
      </c>
      <c r="D4019" t="s">
        <v>18811</v>
      </c>
      <c r="E4019" t="s">
        <v>18981</v>
      </c>
      <c r="F4019" t="s">
        <v>18981</v>
      </c>
      <c r="G4019" t="s">
        <v>18981</v>
      </c>
      <c r="H4019" t="s">
        <v>868</v>
      </c>
      <c r="I4019" t="s">
        <v>869</v>
      </c>
      <c r="J4019" t="str">
        <f>"9180138"</f>
        <v>9180138</v>
      </c>
      <c r="K4019">
        <v>2664022348</v>
      </c>
      <c r="M4019" t="s">
        <v>19904</v>
      </c>
      <c r="N4019" t="s">
        <v>18985</v>
      </c>
      <c r="O4019" t="s">
        <v>18985</v>
      </c>
      <c r="P4019">
        <v>46300</v>
      </c>
      <c r="Q4019" t="str">
        <f>"39.600877"</f>
        <v>39.600877</v>
      </c>
      <c r="R4019" t="str">
        <f>"20.313563"</f>
        <v>20.313563</v>
      </c>
      <c r="S4019" t="s">
        <v>26</v>
      </c>
    </row>
    <row r="4020" spans="1:19" x14ac:dyDescent="0.3">
      <c r="A4020" t="s">
        <v>18804</v>
      </c>
      <c r="B4020" t="s">
        <v>19730</v>
      </c>
      <c r="C4020" t="s">
        <v>19906</v>
      </c>
      <c r="D4020" t="s">
        <v>18811</v>
      </c>
      <c r="E4020" t="s">
        <v>16264</v>
      </c>
      <c r="F4020" t="s">
        <v>18976</v>
      </c>
      <c r="G4020" t="s">
        <v>19905</v>
      </c>
      <c r="H4020" t="s">
        <v>868</v>
      </c>
      <c r="I4020" t="s">
        <v>869</v>
      </c>
      <c r="J4020" t="str">
        <f>"9180093"</f>
        <v>9180093</v>
      </c>
      <c r="K4020">
        <v>2666051505</v>
      </c>
      <c r="L4020">
        <v>2666059051</v>
      </c>
      <c r="M4020" t="s">
        <v>19907</v>
      </c>
      <c r="N4020" t="s">
        <v>19908</v>
      </c>
      <c r="O4020" t="s">
        <v>19909</v>
      </c>
      <c r="P4020">
        <v>46200</v>
      </c>
      <c r="Q4020" t="str">
        <f>"39.414780"</f>
        <v>39.414780</v>
      </c>
      <c r="R4020" t="str">
        <f>"20.509088"</f>
        <v>20.509088</v>
      </c>
      <c r="S4020" t="s">
        <v>26</v>
      </c>
    </row>
    <row r="4021" spans="1:19" x14ac:dyDescent="0.3">
      <c r="A4021" t="s">
        <v>18804</v>
      </c>
      <c r="B4021" t="s">
        <v>19730</v>
      </c>
      <c r="C4021" t="s">
        <v>19910</v>
      </c>
      <c r="D4021" t="s">
        <v>18811</v>
      </c>
      <c r="E4021" t="s">
        <v>18812</v>
      </c>
      <c r="F4021" t="s">
        <v>19834</v>
      </c>
      <c r="G4021" t="s">
        <v>19834</v>
      </c>
      <c r="H4021" t="s">
        <v>868</v>
      </c>
      <c r="I4021" t="s">
        <v>869</v>
      </c>
      <c r="J4021" t="str">
        <f>"9180123"</f>
        <v>9180123</v>
      </c>
      <c r="K4021">
        <v>2665092075</v>
      </c>
      <c r="L4021">
        <v>2666092075</v>
      </c>
      <c r="M4021" t="s">
        <v>19911</v>
      </c>
      <c r="N4021" t="s">
        <v>19838</v>
      </c>
      <c r="O4021" t="s">
        <v>19837</v>
      </c>
      <c r="P4021">
        <v>46100</v>
      </c>
      <c r="Q4021" t="str">
        <f>"39.547742"</f>
        <v>39.547742</v>
      </c>
      <c r="R4021" t="str">
        <f>"20.325261"</f>
        <v>20.325261</v>
      </c>
      <c r="S4021" t="s">
        <v>26</v>
      </c>
    </row>
    <row r="4022" spans="1:19" x14ac:dyDescent="0.3">
      <c r="A4022" t="s">
        <v>18804</v>
      </c>
      <c r="B4022" t="s">
        <v>19730</v>
      </c>
      <c r="C4022" t="s">
        <v>18980</v>
      </c>
      <c r="D4022" t="s">
        <v>18811</v>
      </c>
      <c r="E4022" t="s">
        <v>16264</v>
      </c>
      <c r="F4022" t="s">
        <v>18976</v>
      </c>
      <c r="G4022" t="s">
        <v>18976</v>
      </c>
      <c r="H4022" t="s">
        <v>868</v>
      </c>
      <c r="I4022" t="s">
        <v>869</v>
      </c>
      <c r="J4022" t="str">
        <f>"9180058"</f>
        <v>9180058</v>
      </c>
      <c r="K4022">
        <v>2666022240</v>
      </c>
      <c r="L4022">
        <v>2666024104</v>
      </c>
      <c r="M4022" t="s">
        <v>19912</v>
      </c>
      <c r="N4022" t="s">
        <v>18979</v>
      </c>
      <c r="O4022" t="s">
        <v>19913</v>
      </c>
      <c r="P4022">
        <v>46200</v>
      </c>
      <c r="Q4022" t="str">
        <f>"39.458869"</f>
        <v>39.458869</v>
      </c>
      <c r="R4022" t="str">
        <f>"20.517204"</f>
        <v>20.517204</v>
      </c>
      <c r="S4022" t="s">
        <v>26</v>
      </c>
    </row>
    <row r="4023" spans="1:19" x14ac:dyDescent="0.3">
      <c r="A4023" t="s">
        <v>18804</v>
      </c>
      <c r="B4023" t="s">
        <v>19730</v>
      </c>
      <c r="C4023" t="s">
        <v>19921</v>
      </c>
      <c r="D4023" t="s">
        <v>18811</v>
      </c>
      <c r="E4023" t="s">
        <v>18981</v>
      </c>
      <c r="F4023" t="s">
        <v>18981</v>
      </c>
      <c r="G4023" t="s">
        <v>19920</v>
      </c>
      <c r="H4023" t="s">
        <v>868</v>
      </c>
      <c r="I4023" t="s">
        <v>950</v>
      </c>
      <c r="J4023" t="str">
        <f>"9180167"</f>
        <v>9180167</v>
      </c>
      <c r="K4023">
        <v>2664041459</v>
      </c>
      <c r="M4023" t="s">
        <v>19922</v>
      </c>
      <c r="N4023" t="s">
        <v>19923</v>
      </c>
      <c r="O4023" t="s">
        <v>19924</v>
      </c>
      <c r="P4023">
        <v>44017</v>
      </c>
      <c r="Q4023" t="str">
        <f>"39.664812"</f>
        <v>39.664812</v>
      </c>
      <c r="R4023" t="str">
        <f>"20.514024"</f>
        <v>20.514024</v>
      </c>
      <c r="S4023" t="s">
        <v>26</v>
      </c>
    </row>
    <row r="4024" spans="1:19" x14ac:dyDescent="0.3">
      <c r="A4024" t="s">
        <v>18804</v>
      </c>
      <c r="B4024" t="s">
        <v>19730</v>
      </c>
      <c r="C4024" t="s">
        <v>18973</v>
      </c>
      <c r="D4024" t="s">
        <v>18811</v>
      </c>
      <c r="E4024" t="s">
        <v>18812</v>
      </c>
      <c r="F4024" t="s">
        <v>18813</v>
      </c>
      <c r="G4024" t="s">
        <v>18812</v>
      </c>
      <c r="H4024" t="s">
        <v>868</v>
      </c>
      <c r="I4024" t="s">
        <v>869</v>
      </c>
      <c r="J4024" t="str">
        <f>"9521679"</f>
        <v>9521679</v>
      </c>
      <c r="K4024">
        <v>2665028971</v>
      </c>
      <c r="L4024">
        <v>2665028971</v>
      </c>
      <c r="M4024" t="s">
        <v>19927</v>
      </c>
      <c r="N4024" t="s">
        <v>18816</v>
      </c>
      <c r="O4024" t="s">
        <v>19928</v>
      </c>
      <c r="P4024">
        <v>46100</v>
      </c>
      <c r="Q4024" t="str">
        <f>"39.506150"</f>
        <v>39.506150</v>
      </c>
      <c r="R4024" t="str">
        <f>"20.265534"</f>
        <v>20.265534</v>
      </c>
      <c r="S4024" t="s">
        <v>26</v>
      </c>
    </row>
    <row r="4025" spans="1:19" x14ac:dyDescent="0.3">
      <c r="A4025" t="s">
        <v>18804</v>
      </c>
      <c r="B4025" t="s">
        <v>19929</v>
      </c>
      <c r="C4025" t="s">
        <v>19939</v>
      </c>
      <c r="D4025" t="s">
        <v>18818</v>
      </c>
      <c r="E4025" t="s">
        <v>19936</v>
      </c>
      <c r="F4025" t="s">
        <v>19937</v>
      </c>
      <c r="G4025" t="s">
        <v>19938</v>
      </c>
      <c r="H4025" t="s">
        <v>868</v>
      </c>
      <c r="I4025" t="s">
        <v>950</v>
      </c>
      <c r="J4025" t="str">
        <f>"9200028"</f>
        <v>9200028</v>
      </c>
      <c r="K4025">
        <v>2656031119</v>
      </c>
      <c r="L4025">
        <v>2656031119</v>
      </c>
      <c r="M4025" t="s">
        <v>19940</v>
      </c>
      <c r="N4025" t="s">
        <v>19941</v>
      </c>
      <c r="O4025" t="s">
        <v>19941</v>
      </c>
      <c r="P4025">
        <v>45500</v>
      </c>
      <c r="Q4025" t="str">
        <f>"39.732063"</f>
        <v>39.732063</v>
      </c>
      <c r="R4025" t="str">
        <f>"20.961657"</f>
        <v>20.961657</v>
      </c>
      <c r="S4025" t="s">
        <v>26</v>
      </c>
    </row>
    <row r="4026" spans="1:19" x14ac:dyDescent="0.3">
      <c r="A4026" t="s">
        <v>18804</v>
      </c>
      <c r="B4026" t="s">
        <v>19929</v>
      </c>
      <c r="C4026" t="s">
        <v>19946</v>
      </c>
      <c r="D4026" t="s">
        <v>18818</v>
      </c>
      <c r="E4026" t="s">
        <v>19936</v>
      </c>
      <c r="F4026" t="s">
        <v>19945</v>
      </c>
      <c r="G4026" t="s">
        <v>19945</v>
      </c>
      <c r="H4026" t="s">
        <v>868</v>
      </c>
      <c r="I4026" t="s">
        <v>950</v>
      </c>
      <c r="J4026" t="str">
        <f>"9200020"</f>
        <v>9200020</v>
      </c>
      <c r="K4026">
        <v>2656022896</v>
      </c>
      <c r="M4026" t="s">
        <v>19947</v>
      </c>
      <c r="N4026" t="s">
        <v>19948</v>
      </c>
      <c r="O4026" t="s">
        <v>19948</v>
      </c>
      <c r="P4026">
        <v>44014</v>
      </c>
      <c r="Q4026" t="str">
        <f>"39.937902"</f>
        <v>39.937902</v>
      </c>
      <c r="R4026" t="str">
        <f>"21.049385"</f>
        <v>21.049385</v>
      </c>
      <c r="S4026" t="s">
        <v>57</v>
      </c>
    </row>
    <row r="4027" spans="1:19" x14ac:dyDescent="0.3">
      <c r="A4027" t="s">
        <v>18804</v>
      </c>
      <c r="B4027" t="s">
        <v>19929</v>
      </c>
      <c r="C4027" t="s">
        <v>19956</v>
      </c>
      <c r="D4027" t="s">
        <v>18818</v>
      </c>
      <c r="E4027" t="s">
        <v>19073</v>
      </c>
      <c r="F4027" t="s">
        <v>19955</v>
      </c>
      <c r="G4027" t="s">
        <v>19955</v>
      </c>
      <c r="H4027" t="s">
        <v>868</v>
      </c>
      <c r="I4027" t="s">
        <v>950</v>
      </c>
      <c r="J4027" t="str">
        <f>"9200092"</f>
        <v>9200092</v>
      </c>
      <c r="K4027">
        <v>2656061396</v>
      </c>
      <c r="L4027">
        <v>2656061396</v>
      </c>
      <c r="M4027" t="s">
        <v>19957</v>
      </c>
      <c r="N4027" t="s">
        <v>19958</v>
      </c>
      <c r="O4027" t="s">
        <v>19958</v>
      </c>
      <c r="P4027">
        <v>44200</v>
      </c>
      <c r="Q4027" t="str">
        <f>"39.852207"</f>
        <v>39.852207</v>
      </c>
      <c r="R4027" t="str">
        <f>"21.229494"</f>
        <v>21.229494</v>
      </c>
      <c r="S4027" t="s">
        <v>57</v>
      </c>
    </row>
    <row r="4028" spans="1:19" x14ac:dyDescent="0.3">
      <c r="A4028" t="s">
        <v>18804</v>
      </c>
      <c r="B4028" t="s">
        <v>19929</v>
      </c>
      <c r="C4028" t="s">
        <v>19239</v>
      </c>
      <c r="D4028" t="s">
        <v>18818</v>
      </c>
      <c r="E4028" t="s">
        <v>18819</v>
      </c>
      <c r="F4028" t="s">
        <v>18819</v>
      </c>
      <c r="G4028" t="s">
        <v>18819</v>
      </c>
      <c r="H4028" t="s">
        <v>868</v>
      </c>
      <c r="I4028" t="s">
        <v>869</v>
      </c>
      <c r="J4028" t="str">
        <f>"9200506"</f>
        <v>9200506</v>
      </c>
      <c r="K4028">
        <v>2651049625</v>
      </c>
      <c r="L4028">
        <v>2651049625</v>
      </c>
      <c r="M4028" t="s">
        <v>19962</v>
      </c>
      <c r="N4028" t="s">
        <v>18822</v>
      </c>
      <c r="O4028" t="s">
        <v>19963</v>
      </c>
      <c r="P4028">
        <v>45332</v>
      </c>
      <c r="Q4028" t="str">
        <f>"39.660258"</f>
        <v>39.660258</v>
      </c>
      <c r="R4028" t="str">
        <f>"20.844873"</f>
        <v>20.844873</v>
      </c>
      <c r="S4028" t="s">
        <v>26</v>
      </c>
    </row>
    <row r="4029" spans="1:19" x14ac:dyDescent="0.3">
      <c r="A4029" t="s">
        <v>18804</v>
      </c>
      <c r="B4029" t="s">
        <v>19929</v>
      </c>
      <c r="C4029" t="s">
        <v>19975</v>
      </c>
      <c r="D4029" t="s">
        <v>18818</v>
      </c>
      <c r="E4029" t="s">
        <v>18819</v>
      </c>
      <c r="F4029" t="s">
        <v>6203</v>
      </c>
      <c r="G4029" t="s">
        <v>19974</v>
      </c>
      <c r="H4029" t="s">
        <v>868</v>
      </c>
      <c r="I4029" t="s">
        <v>950</v>
      </c>
      <c r="J4029" t="str">
        <f>"9200042"</f>
        <v>9200042</v>
      </c>
      <c r="K4029">
        <v>2651061275</v>
      </c>
      <c r="L4029">
        <v>2651061275</v>
      </c>
      <c r="M4029" t="s">
        <v>19976</v>
      </c>
      <c r="N4029" t="s">
        <v>19977</v>
      </c>
      <c r="O4029" t="s">
        <v>19977</v>
      </c>
      <c r="P4029">
        <v>45500</v>
      </c>
      <c r="Q4029" t="str">
        <f>"39.726271"</f>
        <v>39.726271</v>
      </c>
      <c r="R4029" t="str">
        <f>"20.817321"</f>
        <v>20.817321</v>
      </c>
      <c r="S4029" t="s">
        <v>26</v>
      </c>
    </row>
    <row r="4030" spans="1:19" x14ac:dyDescent="0.3">
      <c r="A4030" t="s">
        <v>18804</v>
      </c>
      <c r="B4030" t="s">
        <v>19929</v>
      </c>
      <c r="C4030" t="s">
        <v>20001</v>
      </c>
      <c r="D4030" t="s">
        <v>18818</v>
      </c>
      <c r="E4030" t="s">
        <v>18819</v>
      </c>
      <c r="F4030" t="s">
        <v>18819</v>
      </c>
      <c r="G4030" t="s">
        <v>18819</v>
      </c>
      <c r="H4030" t="s">
        <v>868</v>
      </c>
      <c r="I4030" t="s">
        <v>869</v>
      </c>
      <c r="J4030" t="str">
        <f>"9200472"</f>
        <v>9200472</v>
      </c>
      <c r="K4030">
        <v>2651026587</v>
      </c>
      <c r="L4030">
        <v>2651026587</v>
      </c>
      <c r="M4030" t="s">
        <v>20002</v>
      </c>
      <c r="N4030" t="s">
        <v>19163</v>
      </c>
      <c r="O4030" t="s">
        <v>20003</v>
      </c>
      <c r="P4030">
        <v>45221</v>
      </c>
      <c r="Q4030" t="str">
        <f>"39.651558"</f>
        <v>39.651558</v>
      </c>
      <c r="R4030" t="str">
        <f>"20.861958"</f>
        <v>20.861958</v>
      </c>
      <c r="S4030" t="s">
        <v>26</v>
      </c>
    </row>
    <row r="4031" spans="1:19" x14ac:dyDescent="0.3">
      <c r="A4031" t="s">
        <v>18804</v>
      </c>
      <c r="B4031" t="s">
        <v>19929</v>
      </c>
      <c r="C4031" t="s">
        <v>20009</v>
      </c>
      <c r="D4031" t="s">
        <v>18818</v>
      </c>
      <c r="E4031" t="s">
        <v>18819</v>
      </c>
      <c r="F4031" t="s">
        <v>18819</v>
      </c>
      <c r="G4031" t="s">
        <v>18819</v>
      </c>
      <c r="H4031" t="s">
        <v>868</v>
      </c>
      <c r="I4031" t="s">
        <v>1157</v>
      </c>
      <c r="J4031" t="str">
        <f>"9200436"</f>
        <v>9200436</v>
      </c>
      <c r="K4031">
        <v>2651066579</v>
      </c>
      <c r="L4031">
        <v>2651066579</v>
      </c>
      <c r="M4031" t="s">
        <v>20010</v>
      </c>
      <c r="N4031" t="s">
        <v>18822</v>
      </c>
      <c r="O4031" t="s">
        <v>19963</v>
      </c>
      <c r="P4031">
        <v>45332</v>
      </c>
      <c r="Q4031" t="str">
        <f>"39.660313"</f>
        <v>39.660313</v>
      </c>
      <c r="R4031" t="str">
        <f>"20.845334"</f>
        <v>20.845334</v>
      </c>
      <c r="S4031" t="s">
        <v>26</v>
      </c>
    </row>
    <row r="4032" spans="1:19" x14ac:dyDescent="0.3">
      <c r="A4032" t="s">
        <v>18804</v>
      </c>
      <c r="B4032" t="s">
        <v>19929</v>
      </c>
      <c r="C4032" t="s">
        <v>20022</v>
      </c>
      <c r="D4032" t="s">
        <v>18818</v>
      </c>
      <c r="E4032" t="s">
        <v>18819</v>
      </c>
      <c r="F4032" t="s">
        <v>18819</v>
      </c>
      <c r="G4032" t="s">
        <v>18819</v>
      </c>
      <c r="H4032" t="s">
        <v>868</v>
      </c>
      <c r="I4032" t="s">
        <v>869</v>
      </c>
      <c r="J4032" t="str">
        <f>"9200503"</f>
        <v>9200503</v>
      </c>
      <c r="K4032">
        <v>2651025620</v>
      </c>
      <c r="L4032">
        <v>651025620</v>
      </c>
      <c r="M4032" t="s">
        <v>20023</v>
      </c>
      <c r="N4032" t="s">
        <v>18822</v>
      </c>
      <c r="O4032" t="s">
        <v>19935</v>
      </c>
      <c r="P4032">
        <v>45333</v>
      </c>
      <c r="Q4032" t="str">
        <f>"39.672299"</f>
        <v>39.672299</v>
      </c>
      <c r="R4032" t="str">
        <f>"20.842124"</f>
        <v>20.842124</v>
      </c>
      <c r="S4032" t="s">
        <v>26</v>
      </c>
    </row>
    <row r="4033" spans="1:19" x14ac:dyDescent="0.3">
      <c r="A4033" t="s">
        <v>18804</v>
      </c>
      <c r="B4033" t="s">
        <v>19929</v>
      </c>
      <c r="C4033" t="s">
        <v>19302</v>
      </c>
      <c r="D4033" t="s">
        <v>18818</v>
      </c>
      <c r="E4033" t="s">
        <v>19964</v>
      </c>
      <c r="F4033" t="s">
        <v>3295</v>
      </c>
      <c r="G4033" t="s">
        <v>20065</v>
      </c>
      <c r="H4033" t="s">
        <v>868</v>
      </c>
      <c r="I4033" t="s">
        <v>950</v>
      </c>
      <c r="J4033" t="str">
        <f>"9200123"</f>
        <v>9200123</v>
      </c>
      <c r="K4033">
        <v>2651096255</v>
      </c>
      <c r="L4033">
        <v>2651096255</v>
      </c>
      <c r="M4033" t="s">
        <v>20066</v>
      </c>
      <c r="N4033" t="s">
        <v>20067</v>
      </c>
      <c r="O4033" t="s">
        <v>20067</v>
      </c>
      <c r="P4033">
        <v>45500</v>
      </c>
      <c r="Q4033" t="str">
        <f>"39.539425"</f>
        <v>39.539425</v>
      </c>
      <c r="R4033" t="str">
        <f>"20.855149"</f>
        <v>20.855149</v>
      </c>
      <c r="S4033" t="s">
        <v>26</v>
      </c>
    </row>
    <row r="4034" spans="1:19" x14ac:dyDescent="0.3">
      <c r="A4034" t="s">
        <v>18804</v>
      </c>
      <c r="B4034" t="s">
        <v>19929</v>
      </c>
      <c r="C4034" t="s">
        <v>20068</v>
      </c>
      <c r="D4034" t="s">
        <v>18818</v>
      </c>
      <c r="E4034" t="s">
        <v>18819</v>
      </c>
      <c r="F4034" t="s">
        <v>18819</v>
      </c>
      <c r="G4034" t="s">
        <v>18819</v>
      </c>
      <c r="H4034" t="s">
        <v>868</v>
      </c>
      <c r="I4034" t="s">
        <v>869</v>
      </c>
      <c r="J4034" t="str">
        <f>"9200578"</f>
        <v>9200578</v>
      </c>
      <c r="K4034">
        <v>2651070170</v>
      </c>
      <c r="L4034">
        <v>2651070170</v>
      </c>
      <c r="M4034" t="s">
        <v>20069</v>
      </c>
      <c r="N4034" t="s">
        <v>18822</v>
      </c>
      <c r="O4034" t="s">
        <v>20070</v>
      </c>
      <c r="P4034">
        <v>45333</v>
      </c>
      <c r="Q4034" t="str">
        <f>"39.675447"</f>
        <v>39.675447</v>
      </c>
      <c r="R4034" t="str">
        <f>"20.841057"</f>
        <v>20.841057</v>
      </c>
      <c r="S4034" t="s">
        <v>26</v>
      </c>
    </row>
    <row r="4035" spans="1:19" x14ac:dyDescent="0.3">
      <c r="A4035" t="s">
        <v>18804</v>
      </c>
      <c r="B4035" t="s">
        <v>19929</v>
      </c>
      <c r="C4035" t="s">
        <v>19243</v>
      </c>
      <c r="D4035" t="s">
        <v>18818</v>
      </c>
      <c r="E4035" t="s">
        <v>18819</v>
      </c>
      <c r="F4035" t="s">
        <v>18819</v>
      </c>
      <c r="G4035" t="s">
        <v>18819</v>
      </c>
      <c r="H4035" t="s">
        <v>868</v>
      </c>
      <c r="I4035" t="s">
        <v>869</v>
      </c>
      <c r="J4035" t="str">
        <f>"9200501"</f>
        <v>9200501</v>
      </c>
      <c r="K4035">
        <v>2651027691</v>
      </c>
      <c r="L4035">
        <v>2651027691</v>
      </c>
      <c r="M4035" t="s">
        <v>20071</v>
      </c>
      <c r="N4035" t="s">
        <v>19156</v>
      </c>
      <c r="O4035" t="s">
        <v>20072</v>
      </c>
      <c r="P4035">
        <v>45444</v>
      </c>
      <c r="Q4035" t="str">
        <f>"39.668236"</f>
        <v>39.668236</v>
      </c>
      <c r="R4035" t="str">
        <f>"20.854189"</f>
        <v>20.854189</v>
      </c>
      <c r="S4035" t="s">
        <v>26</v>
      </c>
    </row>
    <row r="4036" spans="1:19" x14ac:dyDescent="0.3">
      <c r="A4036" t="s">
        <v>18804</v>
      </c>
      <c r="B4036" t="s">
        <v>19929</v>
      </c>
      <c r="C4036" t="s">
        <v>19100</v>
      </c>
      <c r="D4036" t="s">
        <v>18818</v>
      </c>
      <c r="E4036" t="s">
        <v>18819</v>
      </c>
      <c r="F4036" t="s">
        <v>6203</v>
      </c>
      <c r="G4036" t="s">
        <v>1291</v>
      </c>
      <c r="H4036" t="s">
        <v>868</v>
      </c>
      <c r="I4036" t="s">
        <v>869</v>
      </c>
      <c r="J4036" t="str">
        <f>"9200065"</f>
        <v>9200065</v>
      </c>
      <c r="K4036">
        <v>2651081304</v>
      </c>
      <c r="L4036">
        <v>2651081304</v>
      </c>
      <c r="M4036" t="s">
        <v>20073</v>
      </c>
      <c r="N4036" t="s">
        <v>12290</v>
      </c>
      <c r="O4036" t="s">
        <v>20074</v>
      </c>
      <c r="P4036">
        <v>45445</v>
      </c>
      <c r="Q4036" t="str">
        <f>"39.693759"</f>
        <v>39.693759</v>
      </c>
      <c r="R4036" t="str">
        <f>"20.845295"</f>
        <v>20.845295</v>
      </c>
      <c r="S4036" t="s">
        <v>26</v>
      </c>
    </row>
    <row r="4037" spans="1:19" x14ac:dyDescent="0.3">
      <c r="A4037" t="s">
        <v>18804</v>
      </c>
      <c r="B4037" t="s">
        <v>19929</v>
      </c>
      <c r="C4037" t="s">
        <v>20076</v>
      </c>
      <c r="D4037" t="s">
        <v>18818</v>
      </c>
      <c r="E4037" t="s">
        <v>19964</v>
      </c>
      <c r="F4037" t="s">
        <v>3295</v>
      </c>
      <c r="G4037" t="s">
        <v>20075</v>
      </c>
      <c r="H4037" t="s">
        <v>868</v>
      </c>
      <c r="I4037" t="s">
        <v>950</v>
      </c>
      <c r="J4037" t="str">
        <f>"9200106"</f>
        <v>9200106</v>
      </c>
      <c r="K4037">
        <v>2651096187</v>
      </c>
      <c r="L4037">
        <v>2651096187</v>
      </c>
      <c r="M4037" t="s">
        <v>20077</v>
      </c>
      <c r="N4037" t="s">
        <v>20078</v>
      </c>
      <c r="O4037" t="s">
        <v>20078</v>
      </c>
      <c r="P4037">
        <v>45500</v>
      </c>
      <c r="Q4037" t="str">
        <f>"39.528935"</f>
        <v>39.528935</v>
      </c>
      <c r="R4037" t="str">
        <f>"20.902497"</f>
        <v>20.902497</v>
      </c>
      <c r="S4037" t="s">
        <v>26</v>
      </c>
    </row>
    <row r="4038" spans="1:19" x14ac:dyDescent="0.3">
      <c r="A4038" t="s">
        <v>18804</v>
      </c>
      <c r="B4038" t="s">
        <v>19929</v>
      </c>
      <c r="C4038" t="s">
        <v>20079</v>
      </c>
      <c r="D4038" t="s">
        <v>18818</v>
      </c>
      <c r="E4038" t="s">
        <v>19964</v>
      </c>
      <c r="F4038" t="s">
        <v>19965</v>
      </c>
      <c r="G4038" t="s">
        <v>19966</v>
      </c>
      <c r="H4038" t="s">
        <v>868</v>
      </c>
      <c r="I4038" t="s">
        <v>950</v>
      </c>
      <c r="J4038" t="str">
        <f>"9200271"</f>
        <v>9200271</v>
      </c>
      <c r="K4038">
        <v>2654041577</v>
      </c>
      <c r="L4038">
        <v>2654041577</v>
      </c>
      <c r="M4038" t="s">
        <v>20080</v>
      </c>
      <c r="N4038" t="s">
        <v>19969</v>
      </c>
      <c r="O4038" t="s">
        <v>15977</v>
      </c>
      <c r="P4038">
        <v>44009</v>
      </c>
      <c r="Q4038" t="str">
        <f>"39.390153"</f>
        <v>39.390153</v>
      </c>
      <c r="R4038" t="str">
        <f>"20.700012"</f>
        <v>20.700012</v>
      </c>
      <c r="S4038" t="s">
        <v>26</v>
      </c>
    </row>
    <row r="4039" spans="1:19" x14ac:dyDescent="0.3">
      <c r="A4039" t="s">
        <v>18804</v>
      </c>
      <c r="B4039" t="s">
        <v>19929</v>
      </c>
      <c r="C4039" t="s">
        <v>20081</v>
      </c>
      <c r="D4039" t="s">
        <v>18818</v>
      </c>
      <c r="E4039" t="s">
        <v>18819</v>
      </c>
      <c r="F4039" t="s">
        <v>18819</v>
      </c>
      <c r="G4039" t="s">
        <v>18819</v>
      </c>
      <c r="H4039" t="s">
        <v>868</v>
      </c>
      <c r="I4039" t="s">
        <v>950</v>
      </c>
      <c r="J4039" t="str">
        <f>"9200544"</f>
        <v>9200544</v>
      </c>
      <c r="K4039">
        <v>2651029094</v>
      </c>
      <c r="L4039">
        <v>2651029094</v>
      </c>
      <c r="M4039" t="s">
        <v>20082</v>
      </c>
      <c r="N4039" t="s">
        <v>18822</v>
      </c>
      <c r="O4039" t="s">
        <v>20083</v>
      </c>
      <c r="P4039">
        <v>45500</v>
      </c>
      <c r="Q4039" t="str">
        <f>"39.688678"</f>
        <v>39.688678</v>
      </c>
      <c r="R4039" t="str">
        <f>"20.826280"</f>
        <v>20.826280</v>
      </c>
      <c r="S4039" t="s">
        <v>26</v>
      </c>
    </row>
    <row r="4040" spans="1:19" x14ac:dyDescent="0.3">
      <c r="A4040" t="s">
        <v>18804</v>
      </c>
      <c r="B4040" t="s">
        <v>19929</v>
      </c>
      <c r="C4040" t="s">
        <v>20084</v>
      </c>
      <c r="D4040" t="s">
        <v>18818</v>
      </c>
      <c r="E4040" t="s">
        <v>19111</v>
      </c>
      <c r="F4040" t="s">
        <v>19138</v>
      </c>
      <c r="G4040" t="s">
        <v>19148</v>
      </c>
      <c r="H4040" t="s">
        <v>868</v>
      </c>
      <c r="I4040" t="s">
        <v>950</v>
      </c>
      <c r="J4040" t="str">
        <f>"9200351"</f>
        <v>9200351</v>
      </c>
      <c r="K4040">
        <v>2651062018</v>
      </c>
      <c r="L4040">
        <v>2651062018</v>
      </c>
      <c r="M4040" t="s">
        <v>20085</v>
      </c>
      <c r="N4040" t="s">
        <v>20086</v>
      </c>
      <c r="O4040" t="s">
        <v>19151</v>
      </c>
      <c r="P4040">
        <v>45500</v>
      </c>
      <c r="Q4040" t="str">
        <f>"39.739440"</f>
        <v>39.739440</v>
      </c>
      <c r="R4040" t="str">
        <f>"20.762301"</f>
        <v>20.762301</v>
      </c>
      <c r="S4040" t="s">
        <v>26</v>
      </c>
    </row>
    <row r="4041" spans="1:19" x14ac:dyDescent="0.3">
      <c r="A4041" t="s">
        <v>18804</v>
      </c>
      <c r="B4041" t="s">
        <v>19929</v>
      </c>
      <c r="C4041" t="s">
        <v>20092</v>
      </c>
      <c r="D4041" t="s">
        <v>18818</v>
      </c>
      <c r="E4041" t="s">
        <v>19936</v>
      </c>
      <c r="F4041" t="s">
        <v>20091</v>
      </c>
      <c r="G4041" t="s">
        <v>20091</v>
      </c>
      <c r="H4041" t="s">
        <v>868</v>
      </c>
      <c r="I4041" t="s">
        <v>950</v>
      </c>
      <c r="J4041" t="str">
        <f>"9200293"</f>
        <v>9200293</v>
      </c>
      <c r="K4041">
        <v>2653025010</v>
      </c>
      <c r="L4041">
        <v>2653042218</v>
      </c>
      <c r="M4041" t="s">
        <v>20093</v>
      </c>
      <c r="N4041" t="s">
        <v>20094</v>
      </c>
      <c r="O4041" t="s">
        <v>20095</v>
      </c>
      <c r="P4041">
        <v>44006</v>
      </c>
      <c r="Q4041" t="str">
        <f>"39.968084"</f>
        <v>39.968084</v>
      </c>
      <c r="R4041" t="str">
        <f>"20.718721"</f>
        <v>20.718721</v>
      </c>
      <c r="S4041" t="s">
        <v>57</v>
      </c>
    </row>
    <row r="4042" spans="1:19" x14ac:dyDescent="0.3">
      <c r="A4042" t="s">
        <v>18804</v>
      </c>
      <c r="B4042" t="s">
        <v>19929</v>
      </c>
      <c r="C4042" t="s">
        <v>20098</v>
      </c>
      <c r="D4042" t="s">
        <v>18818</v>
      </c>
      <c r="E4042" t="s">
        <v>19936</v>
      </c>
      <c r="F4042" t="s">
        <v>20096</v>
      </c>
      <c r="G4042" t="s">
        <v>20097</v>
      </c>
      <c r="H4042" t="s">
        <v>868</v>
      </c>
      <c r="I4042" t="s">
        <v>950</v>
      </c>
      <c r="J4042" t="str">
        <f>"9200078"</f>
        <v>9200078</v>
      </c>
      <c r="K4042">
        <v>2653081273</v>
      </c>
      <c r="L4042">
        <v>2653081273</v>
      </c>
      <c r="M4042" t="s">
        <v>20099</v>
      </c>
      <c r="N4042" t="s">
        <v>20097</v>
      </c>
      <c r="O4042" t="s">
        <v>20100</v>
      </c>
      <c r="P4042">
        <v>44010</v>
      </c>
      <c r="Q4042" t="str">
        <f>"39.905926"</f>
        <v>39.905926</v>
      </c>
      <c r="R4042" t="str">
        <f>"20.820231"</f>
        <v>20.820231</v>
      </c>
      <c r="S4042" t="s">
        <v>57</v>
      </c>
    </row>
    <row r="4043" spans="1:19" x14ac:dyDescent="0.3">
      <c r="A4043" t="s">
        <v>18804</v>
      </c>
      <c r="B4043" t="s">
        <v>19929</v>
      </c>
      <c r="C4043" t="s">
        <v>20114</v>
      </c>
      <c r="D4043" t="s">
        <v>18818</v>
      </c>
      <c r="E4043" t="s">
        <v>19111</v>
      </c>
      <c r="F4043" t="s">
        <v>19138</v>
      </c>
      <c r="G4043" t="s">
        <v>19985</v>
      </c>
      <c r="H4043" t="s">
        <v>868</v>
      </c>
      <c r="I4043" t="s">
        <v>950</v>
      </c>
      <c r="J4043" t="str">
        <f>"9200231"</f>
        <v>9200231</v>
      </c>
      <c r="K4043">
        <v>2651061489</v>
      </c>
      <c r="L4043">
        <v>2651061489</v>
      </c>
      <c r="M4043" t="s">
        <v>20115</v>
      </c>
      <c r="N4043" t="s">
        <v>19988</v>
      </c>
      <c r="O4043" t="s">
        <v>19988</v>
      </c>
      <c r="P4043">
        <v>45500</v>
      </c>
      <c r="Q4043" t="str">
        <f>"39.691868"</f>
        <v>39.691868</v>
      </c>
      <c r="R4043" t="str">
        <f>"20.764602"</f>
        <v>20.764602</v>
      </c>
      <c r="S4043" t="s">
        <v>26</v>
      </c>
    </row>
    <row r="4044" spans="1:19" x14ac:dyDescent="0.3">
      <c r="A4044" t="s">
        <v>18804</v>
      </c>
      <c r="B4044" t="s">
        <v>19929</v>
      </c>
      <c r="C4044" t="s">
        <v>20131</v>
      </c>
      <c r="D4044" t="s">
        <v>18818</v>
      </c>
      <c r="E4044" t="s">
        <v>19111</v>
      </c>
      <c r="F4044" t="s">
        <v>20041</v>
      </c>
      <c r="G4044" t="s">
        <v>20042</v>
      </c>
      <c r="H4044" t="s">
        <v>868</v>
      </c>
      <c r="I4044" t="s">
        <v>950</v>
      </c>
      <c r="J4044" t="str">
        <f>"9200367"</f>
        <v>9200367</v>
      </c>
      <c r="K4044">
        <v>2658061246</v>
      </c>
      <c r="L4044">
        <v>2658061246</v>
      </c>
      <c r="M4044" t="s">
        <v>20132</v>
      </c>
      <c r="N4044" t="s">
        <v>20042</v>
      </c>
      <c r="O4044" t="s">
        <v>20045</v>
      </c>
      <c r="P4044">
        <v>44003</v>
      </c>
      <c r="Q4044" t="str">
        <f>"39.704528"</f>
        <v>39.704528</v>
      </c>
      <c r="R4044" t="str">
        <f>"20.671601"</f>
        <v>20.671601</v>
      </c>
      <c r="S4044" t="s">
        <v>26</v>
      </c>
    </row>
    <row r="4045" spans="1:19" x14ac:dyDescent="0.3">
      <c r="A4045" t="s">
        <v>18804</v>
      </c>
      <c r="B4045" t="s">
        <v>19929</v>
      </c>
      <c r="C4045" t="s">
        <v>20154</v>
      </c>
      <c r="D4045" t="s">
        <v>18818</v>
      </c>
      <c r="E4045" t="s">
        <v>19111</v>
      </c>
      <c r="F4045" t="s">
        <v>19138</v>
      </c>
      <c r="G4045" t="s">
        <v>14943</v>
      </c>
      <c r="H4045" t="s">
        <v>868</v>
      </c>
      <c r="I4045" t="s">
        <v>869</v>
      </c>
      <c r="J4045" t="str">
        <f>"9200199"</f>
        <v>9200199</v>
      </c>
      <c r="K4045">
        <v>2651061208</v>
      </c>
      <c r="L4045">
        <v>2651061208</v>
      </c>
      <c r="M4045" t="s">
        <v>20155</v>
      </c>
      <c r="N4045" t="s">
        <v>19973</v>
      </c>
      <c r="O4045" t="s">
        <v>19973</v>
      </c>
      <c r="P4045">
        <v>45500</v>
      </c>
      <c r="Q4045" t="str">
        <f>"39.701366"</f>
        <v>39.701366</v>
      </c>
      <c r="R4045" t="str">
        <f>"20.811156"</f>
        <v>20.811156</v>
      </c>
      <c r="S4045" t="s">
        <v>26</v>
      </c>
    </row>
    <row r="4046" spans="1:19" x14ac:dyDescent="0.3">
      <c r="A4046" t="s">
        <v>18804</v>
      </c>
      <c r="B4046" t="s">
        <v>19929</v>
      </c>
      <c r="C4046" t="s">
        <v>20171</v>
      </c>
      <c r="D4046" t="s">
        <v>18818</v>
      </c>
      <c r="E4046" t="s">
        <v>18819</v>
      </c>
      <c r="F4046" t="s">
        <v>18819</v>
      </c>
      <c r="G4046" t="s">
        <v>18819</v>
      </c>
      <c r="H4046" t="s">
        <v>868</v>
      </c>
      <c r="I4046" t="s">
        <v>1157</v>
      </c>
      <c r="J4046" t="str">
        <f>"9200542"</f>
        <v>9200542</v>
      </c>
      <c r="K4046">
        <v>2651073085</v>
      </c>
      <c r="L4046">
        <v>2651073085</v>
      </c>
      <c r="M4046" t="s">
        <v>20172</v>
      </c>
      <c r="N4046" t="s">
        <v>18818</v>
      </c>
      <c r="O4046" t="s">
        <v>20173</v>
      </c>
      <c r="P4046">
        <v>45221</v>
      </c>
      <c r="Q4046" t="str">
        <f>"39.673329"</f>
        <v>39.673329</v>
      </c>
      <c r="R4046" t="str">
        <f>"20.859176"</f>
        <v>20.859176</v>
      </c>
      <c r="S4046" t="s">
        <v>26</v>
      </c>
    </row>
    <row r="4047" spans="1:19" x14ac:dyDescent="0.3">
      <c r="A4047" t="s">
        <v>18804</v>
      </c>
      <c r="B4047" t="s">
        <v>19929</v>
      </c>
      <c r="C4047" t="s">
        <v>20181</v>
      </c>
      <c r="D4047" t="s">
        <v>18818</v>
      </c>
      <c r="E4047" t="s">
        <v>18819</v>
      </c>
      <c r="F4047" t="s">
        <v>18819</v>
      </c>
      <c r="G4047" t="s">
        <v>18819</v>
      </c>
      <c r="H4047" t="s">
        <v>868</v>
      </c>
      <c r="I4047" t="s">
        <v>1157</v>
      </c>
      <c r="J4047" t="str">
        <f>"9200428"</f>
        <v>9200428</v>
      </c>
      <c r="K4047">
        <v>2651042727</v>
      </c>
      <c r="L4047">
        <v>2651042727</v>
      </c>
      <c r="M4047" t="s">
        <v>20182</v>
      </c>
      <c r="N4047" t="s">
        <v>18818</v>
      </c>
      <c r="O4047" t="s">
        <v>19164</v>
      </c>
      <c r="P4047">
        <v>45221</v>
      </c>
      <c r="Q4047" t="str">
        <f>"39.661469"</f>
        <v>39.661469</v>
      </c>
      <c r="R4047" t="str">
        <f>"20.850573"</f>
        <v>20.850573</v>
      </c>
      <c r="S4047" t="s">
        <v>26</v>
      </c>
    </row>
    <row r="4048" spans="1:19" x14ac:dyDescent="0.3">
      <c r="A4048" t="s">
        <v>18804</v>
      </c>
      <c r="B4048" t="s">
        <v>19929</v>
      </c>
      <c r="C4048" t="s">
        <v>20184</v>
      </c>
      <c r="D4048" t="s">
        <v>18818</v>
      </c>
      <c r="E4048" t="s">
        <v>19268</v>
      </c>
      <c r="F4048" t="s">
        <v>20183</v>
      </c>
      <c r="G4048" t="s">
        <v>20183</v>
      </c>
      <c r="H4048" t="s">
        <v>868</v>
      </c>
      <c r="I4048" t="s">
        <v>950</v>
      </c>
      <c r="J4048" t="str">
        <f>"9200138"</f>
        <v>9200138</v>
      </c>
      <c r="K4048">
        <v>2659061443</v>
      </c>
      <c r="L4048">
        <v>2659061443</v>
      </c>
      <c r="M4048" t="s">
        <v>20185</v>
      </c>
      <c r="N4048" t="s">
        <v>20186</v>
      </c>
      <c r="O4048" t="s">
        <v>20186</v>
      </c>
      <c r="P4048">
        <v>44001</v>
      </c>
      <c r="Q4048" t="str">
        <f>"39.566555"</f>
        <v>39.566555</v>
      </c>
      <c r="R4048" t="str">
        <f>"21.161882"</f>
        <v>21.161882</v>
      </c>
      <c r="S4048" t="s">
        <v>57</v>
      </c>
    </row>
    <row r="4049" spans="1:19" x14ac:dyDescent="0.3">
      <c r="A4049" t="s">
        <v>18804</v>
      </c>
      <c r="B4049" t="s">
        <v>19929</v>
      </c>
      <c r="C4049" t="s">
        <v>20187</v>
      </c>
      <c r="D4049" t="s">
        <v>18818</v>
      </c>
      <c r="E4049" t="s">
        <v>19111</v>
      </c>
      <c r="F4049" t="s">
        <v>19138</v>
      </c>
      <c r="G4049" t="s">
        <v>19139</v>
      </c>
      <c r="H4049" t="s">
        <v>868</v>
      </c>
      <c r="I4049" t="s">
        <v>869</v>
      </c>
      <c r="J4049" t="str">
        <f>"9200016"</f>
        <v>9200016</v>
      </c>
      <c r="K4049">
        <v>2651062032</v>
      </c>
      <c r="L4049">
        <v>2651062032</v>
      </c>
      <c r="M4049" t="s">
        <v>20188</v>
      </c>
      <c r="N4049" t="s">
        <v>20189</v>
      </c>
      <c r="O4049" t="s">
        <v>20190</v>
      </c>
      <c r="P4049">
        <v>45500</v>
      </c>
      <c r="Q4049" t="str">
        <f>"39.704499"</f>
        <v>39.704499</v>
      </c>
      <c r="R4049" t="str">
        <f>"20.801019"</f>
        <v>20.801019</v>
      </c>
      <c r="S4049" t="s">
        <v>26</v>
      </c>
    </row>
    <row r="4050" spans="1:19" x14ac:dyDescent="0.3">
      <c r="A4050" t="s">
        <v>18804</v>
      </c>
      <c r="B4050" t="s">
        <v>19929</v>
      </c>
      <c r="C4050" t="s">
        <v>20195</v>
      </c>
      <c r="D4050" t="s">
        <v>18818</v>
      </c>
      <c r="E4050" t="s">
        <v>18819</v>
      </c>
      <c r="F4050" t="s">
        <v>18819</v>
      </c>
      <c r="G4050" t="s">
        <v>18819</v>
      </c>
      <c r="H4050" t="s">
        <v>868</v>
      </c>
      <c r="I4050" t="s">
        <v>869</v>
      </c>
      <c r="J4050" t="str">
        <f>"9200429"</f>
        <v>9200429</v>
      </c>
      <c r="K4050">
        <v>2651021467</v>
      </c>
      <c r="L4050">
        <v>2651021467</v>
      </c>
      <c r="M4050" t="s">
        <v>20196</v>
      </c>
      <c r="N4050" t="s">
        <v>18822</v>
      </c>
      <c r="O4050" t="s">
        <v>20197</v>
      </c>
      <c r="P4050">
        <v>45221</v>
      </c>
      <c r="Q4050" t="str">
        <f>"39.643359"</f>
        <v>39.643359</v>
      </c>
      <c r="R4050" t="str">
        <f>"20.858322"</f>
        <v>20.858322</v>
      </c>
      <c r="S4050" t="s">
        <v>26</v>
      </c>
    </row>
    <row r="4051" spans="1:19" x14ac:dyDescent="0.3">
      <c r="A4051" t="s">
        <v>18804</v>
      </c>
      <c r="B4051" t="s">
        <v>19929</v>
      </c>
      <c r="C4051" t="s">
        <v>19117</v>
      </c>
      <c r="D4051" t="s">
        <v>18818</v>
      </c>
      <c r="E4051" t="s">
        <v>19111</v>
      </c>
      <c r="F4051" t="s">
        <v>19111</v>
      </c>
      <c r="G4051" t="s">
        <v>19112</v>
      </c>
      <c r="H4051" t="s">
        <v>868</v>
      </c>
      <c r="I4051" t="s">
        <v>950</v>
      </c>
      <c r="J4051" t="str">
        <f>"9200360"</f>
        <v>9200360</v>
      </c>
      <c r="K4051">
        <v>2658022270</v>
      </c>
      <c r="L4051">
        <v>2658022270</v>
      </c>
      <c r="M4051" t="s">
        <v>20209</v>
      </c>
      <c r="N4051" t="s">
        <v>20210</v>
      </c>
      <c r="O4051" t="s">
        <v>20210</v>
      </c>
      <c r="P4051">
        <v>44003</v>
      </c>
      <c r="Q4051" t="str">
        <f>"39.752537"</f>
        <v>39.752537</v>
      </c>
      <c r="R4051" t="str">
        <f>"20.650014"</f>
        <v>20.650014</v>
      </c>
      <c r="S4051" t="s">
        <v>26</v>
      </c>
    </row>
    <row r="4052" spans="1:19" x14ac:dyDescent="0.3">
      <c r="A4052" t="s">
        <v>18804</v>
      </c>
      <c r="B4052" t="s">
        <v>19929</v>
      </c>
      <c r="C4052" t="s">
        <v>20216</v>
      </c>
      <c r="D4052" t="s">
        <v>18818</v>
      </c>
      <c r="E4052" t="s">
        <v>18819</v>
      </c>
      <c r="F4052" t="s">
        <v>18819</v>
      </c>
      <c r="G4052" t="s">
        <v>18819</v>
      </c>
      <c r="H4052" t="s">
        <v>868</v>
      </c>
      <c r="I4052" t="s">
        <v>869</v>
      </c>
      <c r="J4052" t="str">
        <f>"9200584"</f>
        <v>9200584</v>
      </c>
      <c r="K4052">
        <v>2651073940</v>
      </c>
      <c r="L4052">
        <v>2651073940</v>
      </c>
      <c r="M4052" t="s">
        <v>20217</v>
      </c>
      <c r="N4052" t="s">
        <v>19156</v>
      </c>
      <c r="O4052" t="s">
        <v>20135</v>
      </c>
      <c r="P4052">
        <v>45333</v>
      </c>
      <c r="Q4052" t="str">
        <f>"39.669815"</f>
        <v>39.669815</v>
      </c>
      <c r="R4052" t="str">
        <f>"20.842517"</f>
        <v>20.842517</v>
      </c>
      <c r="S4052" t="s">
        <v>26</v>
      </c>
    </row>
    <row r="4053" spans="1:19" x14ac:dyDescent="0.3">
      <c r="A4053" t="s">
        <v>18804</v>
      </c>
      <c r="B4053" t="s">
        <v>19929</v>
      </c>
      <c r="C4053" t="s">
        <v>19280</v>
      </c>
      <c r="D4053" t="s">
        <v>18818</v>
      </c>
      <c r="E4053" t="s">
        <v>18819</v>
      </c>
      <c r="F4053" t="s">
        <v>19275</v>
      </c>
      <c r="G4053" t="s">
        <v>19276</v>
      </c>
      <c r="H4053" t="s">
        <v>868</v>
      </c>
      <c r="I4053" t="s">
        <v>869</v>
      </c>
      <c r="J4053" t="str">
        <f>"9200263"</f>
        <v>9200263</v>
      </c>
      <c r="K4053">
        <v>2651091400</v>
      </c>
      <c r="L4053">
        <v>2651091400</v>
      </c>
      <c r="M4053" t="s">
        <v>20222</v>
      </c>
      <c r="N4053" t="s">
        <v>19319</v>
      </c>
      <c r="O4053" t="s">
        <v>20223</v>
      </c>
      <c r="P4053">
        <v>45500</v>
      </c>
      <c r="Q4053" t="str">
        <f>"39.597797"</f>
        <v>39.597797</v>
      </c>
      <c r="R4053" t="str">
        <f>"20.847544"</f>
        <v>20.847544</v>
      </c>
      <c r="S4053" t="s">
        <v>26</v>
      </c>
    </row>
    <row r="4054" spans="1:19" x14ac:dyDescent="0.3">
      <c r="A4054" t="s">
        <v>18804</v>
      </c>
      <c r="B4054" t="s">
        <v>19929</v>
      </c>
      <c r="C4054" t="s">
        <v>20224</v>
      </c>
      <c r="D4054" t="s">
        <v>18818</v>
      </c>
      <c r="E4054" t="s">
        <v>19111</v>
      </c>
      <c r="F4054" t="s">
        <v>19138</v>
      </c>
      <c r="G4054" t="s">
        <v>19997</v>
      </c>
      <c r="H4054" t="s">
        <v>868</v>
      </c>
      <c r="I4054" t="s">
        <v>869</v>
      </c>
      <c r="J4054" t="str">
        <f>"9200073"</f>
        <v>9200073</v>
      </c>
      <c r="K4054">
        <v>2651057110</v>
      </c>
      <c r="L4054">
        <v>2651057110</v>
      </c>
      <c r="M4054" t="s">
        <v>20225</v>
      </c>
      <c r="N4054" t="s">
        <v>20226</v>
      </c>
      <c r="O4054" t="s">
        <v>20227</v>
      </c>
      <c r="P4054">
        <v>45500</v>
      </c>
      <c r="Q4054" t="str">
        <f>"39.707413"</f>
        <v>39.707413</v>
      </c>
      <c r="R4054" t="str">
        <f>"20.727967"</f>
        <v>20.727967</v>
      </c>
      <c r="S4054" t="s">
        <v>26</v>
      </c>
    </row>
    <row r="4055" spans="1:19" x14ac:dyDescent="0.3">
      <c r="A4055" t="s">
        <v>18804</v>
      </c>
      <c r="B4055" t="s">
        <v>19929</v>
      </c>
      <c r="C4055" t="s">
        <v>19072</v>
      </c>
      <c r="D4055" t="s">
        <v>18818</v>
      </c>
      <c r="E4055" t="s">
        <v>18819</v>
      </c>
      <c r="F4055" t="s">
        <v>18819</v>
      </c>
      <c r="G4055" t="s">
        <v>20037</v>
      </c>
      <c r="H4055" t="s">
        <v>868</v>
      </c>
      <c r="I4055" t="s">
        <v>869</v>
      </c>
      <c r="J4055" t="str">
        <f>"9200279"</f>
        <v>9200279</v>
      </c>
      <c r="K4055">
        <v>2651042464</v>
      </c>
      <c r="L4055">
        <v>2651042464</v>
      </c>
      <c r="M4055" t="s">
        <v>20228</v>
      </c>
      <c r="N4055" t="s">
        <v>20040</v>
      </c>
      <c r="O4055" t="s">
        <v>20229</v>
      </c>
      <c r="P4055">
        <v>45500</v>
      </c>
      <c r="Q4055" t="str">
        <f>"39.654343"</f>
        <v>39.654343</v>
      </c>
      <c r="R4055" t="str">
        <f>"20.818772"</f>
        <v>20.818772</v>
      </c>
      <c r="S4055" t="s">
        <v>26</v>
      </c>
    </row>
    <row r="4056" spans="1:19" x14ac:dyDescent="0.3">
      <c r="A4056" t="s">
        <v>18804</v>
      </c>
      <c r="B4056" t="s">
        <v>19929</v>
      </c>
      <c r="C4056" t="s">
        <v>20247</v>
      </c>
      <c r="D4056" t="s">
        <v>18818</v>
      </c>
      <c r="E4056" t="s">
        <v>18819</v>
      </c>
      <c r="F4056" t="s">
        <v>6203</v>
      </c>
      <c r="G4056" t="s">
        <v>20156</v>
      </c>
      <c r="H4056" t="s">
        <v>868</v>
      </c>
      <c r="I4056" t="s">
        <v>950</v>
      </c>
      <c r="J4056" t="str">
        <f>"9200039"</f>
        <v>9200039</v>
      </c>
      <c r="K4056">
        <v>2651061770</v>
      </c>
      <c r="L4056">
        <v>2651061770</v>
      </c>
      <c r="M4056" t="s">
        <v>20248</v>
      </c>
      <c r="N4056" t="s">
        <v>20159</v>
      </c>
      <c r="O4056" t="s">
        <v>20159</v>
      </c>
      <c r="P4056">
        <v>45500</v>
      </c>
      <c r="Q4056" t="str">
        <f>"39.747681"</f>
        <v>39.747681</v>
      </c>
      <c r="R4056" t="str">
        <f>"20.795070"</f>
        <v>20.795070</v>
      </c>
      <c r="S4056" t="s">
        <v>26</v>
      </c>
    </row>
    <row r="4057" spans="1:19" x14ac:dyDescent="0.3">
      <c r="A4057" t="s">
        <v>18804</v>
      </c>
      <c r="B4057" t="s">
        <v>19929</v>
      </c>
      <c r="C4057" t="s">
        <v>19229</v>
      </c>
      <c r="D4057" t="s">
        <v>18818</v>
      </c>
      <c r="E4057" t="s">
        <v>18819</v>
      </c>
      <c r="F4057" t="s">
        <v>18819</v>
      </c>
      <c r="G4057" t="s">
        <v>18819</v>
      </c>
      <c r="H4057" t="s">
        <v>868</v>
      </c>
      <c r="I4057" t="s">
        <v>869</v>
      </c>
      <c r="J4057" t="str">
        <f>"9200195"</f>
        <v>9200195</v>
      </c>
      <c r="K4057">
        <v>2651022566</v>
      </c>
      <c r="L4057">
        <v>2651035298</v>
      </c>
      <c r="M4057" t="s">
        <v>20252</v>
      </c>
      <c r="N4057" t="s">
        <v>18822</v>
      </c>
      <c r="O4057" t="s">
        <v>20253</v>
      </c>
      <c r="P4057">
        <v>45445</v>
      </c>
      <c r="Q4057" t="str">
        <f>"39.683229"</f>
        <v>39.683229</v>
      </c>
      <c r="R4057" t="str">
        <f>"20.831926"</f>
        <v>20.831926</v>
      </c>
      <c r="S4057" t="s">
        <v>26</v>
      </c>
    </row>
    <row r="4058" spans="1:19" x14ac:dyDescent="0.3">
      <c r="A4058" t="s">
        <v>18804</v>
      </c>
      <c r="B4058" t="s">
        <v>19929</v>
      </c>
      <c r="C4058" t="s">
        <v>19188</v>
      </c>
      <c r="D4058" t="s">
        <v>18818</v>
      </c>
      <c r="E4058" t="s">
        <v>18819</v>
      </c>
      <c r="F4058" t="s">
        <v>18819</v>
      </c>
      <c r="G4058" t="s">
        <v>18819</v>
      </c>
      <c r="H4058" t="s">
        <v>868</v>
      </c>
      <c r="I4058" t="s">
        <v>869</v>
      </c>
      <c r="J4058" t="str">
        <f>"9200507"</f>
        <v>9200507</v>
      </c>
      <c r="K4058">
        <v>2651022325</v>
      </c>
      <c r="L4058">
        <v>2651023158</v>
      </c>
      <c r="M4058" t="s">
        <v>20256</v>
      </c>
      <c r="N4058" t="s">
        <v>18822</v>
      </c>
      <c r="O4058" t="s">
        <v>20257</v>
      </c>
      <c r="P4058">
        <v>45444</v>
      </c>
      <c r="Q4058" t="str">
        <f>"39.671098"</f>
        <v>39.671098</v>
      </c>
      <c r="R4058" t="str">
        <f>"20.847390"</f>
        <v>20.847390</v>
      </c>
      <c r="S4058" t="s">
        <v>26</v>
      </c>
    </row>
    <row r="4059" spans="1:19" x14ac:dyDescent="0.3">
      <c r="A4059" t="s">
        <v>18804</v>
      </c>
      <c r="B4059" t="s">
        <v>19929</v>
      </c>
      <c r="C4059" t="s">
        <v>19158</v>
      </c>
      <c r="D4059" t="s">
        <v>18818</v>
      </c>
      <c r="E4059" t="s">
        <v>18819</v>
      </c>
      <c r="F4059" t="s">
        <v>18819</v>
      </c>
      <c r="G4059" t="s">
        <v>18819</v>
      </c>
      <c r="H4059" t="s">
        <v>868</v>
      </c>
      <c r="I4059" t="s">
        <v>869</v>
      </c>
      <c r="J4059" t="str">
        <f>"9200004"</f>
        <v>9200004</v>
      </c>
      <c r="K4059">
        <v>2651097430</v>
      </c>
      <c r="L4059">
        <v>2651097430</v>
      </c>
      <c r="M4059" t="s">
        <v>20258</v>
      </c>
      <c r="N4059" t="s">
        <v>20259</v>
      </c>
      <c r="O4059" t="s">
        <v>20260</v>
      </c>
      <c r="P4059">
        <v>45221</v>
      </c>
      <c r="Q4059" t="str">
        <f>"39.658525"</f>
        <v>39.658525</v>
      </c>
      <c r="R4059" t="str">
        <f>"20.852663"</f>
        <v>20.852663</v>
      </c>
      <c r="S4059" t="s">
        <v>26</v>
      </c>
    </row>
    <row r="4060" spans="1:19" x14ac:dyDescent="0.3">
      <c r="A4060" t="s">
        <v>18804</v>
      </c>
      <c r="B4060" t="s">
        <v>19929</v>
      </c>
      <c r="C4060" t="s">
        <v>20261</v>
      </c>
      <c r="D4060" t="s">
        <v>18818</v>
      </c>
      <c r="E4060" t="s">
        <v>18819</v>
      </c>
      <c r="F4060" t="s">
        <v>19131</v>
      </c>
      <c r="G4060" t="s">
        <v>20200</v>
      </c>
      <c r="H4060" t="s">
        <v>868</v>
      </c>
      <c r="I4060" t="s">
        <v>869</v>
      </c>
      <c r="J4060" t="str">
        <f>"9200119"</f>
        <v>9200119</v>
      </c>
      <c r="K4060">
        <v>2651058233</v>
      </c>
      <c r="L4060">
        <v>2651058233</v>
      </c>
      <c r="M4060" t="s">
        <v>20262</v>
      </c>
      <c r="N4060" t="s">
        <v>20203</v>
      </c>
      <c r="O4060" t="s">
        <v>20203</v>
      </c>
      <c r="P4060">
        <v>45500</v>
      </c>
      <c r="Q4060" t="str">
        <f>"39.626837"</f>
        <v>39.626837</v>
      </c>
      <c r="R4060" t="str">
        <f>"20.971726"</f>
        <v>20.971726</v>
      </c>
      <c r="S4060" t="s">
        <v>26</v>
      </c>
    </row>
    <row r="4061" spans="1:19" x14ac:dyDescent="0.3">
      <c r="A4061" t="s">
        <v>18804</v>
      </c>
      <c r="B4061" t="s">
        <v>19929</v>
      </c>
      <c r="C4061" t="s">
        <v>19104</v>
      </c>
      <c r="D4061" t="s">
        <v>18818</v>
      </c>
      <c r="E4061" t="s">
        <v>18819</v>
      </c>
      <c r="F4061" t="s">
        <v>18819</v>
      </c>
      <c r="G4061" t="s">
        <v>18819</v>
      </c>
      <c r="H4061" t="s">
        <v>868</v>
      </c>
      <c r="I4061" t="s">
        <v>869</v>
      </c>
      <c r="J4061" t="str">
        <f>"9200543"</f>
        <v>9200543</v>
      </c>
      <c r="K4061">
        <v>2651038844</v>
      </c>
      <c r="L4061">
        <v>2651025088</v>
      </c>
      <c r="M4061" t="s">
        <v>20263</v>
      </c>
      <c r="N4061" t="s">
        <v>18822</v>
      </c>
      <c r="O4061" t="s">
        <v>20264</v>
      </c>
      <c r="P4061">
        <v>45333</v>
      </c>
      <c r="Q4061" t="str">
        <f>"39.675135"</f>
        <v>39.675135</v>
      </c>
      <c r="R4061" t="str">
        <f>"20.838544"</f>
        <v>20.838544</v>
      </c>
      <c r="S4061" t="s">
        <v>26</v>
      </c>
    </row>
    <row r="4062" spans="1:19" x14ac:dyDescent="0.3">
      <c r="A4062" t="s">
        <v>18804</v>
      </c>
      <c r="B4062" t="s">
        <v>19929</v>
      </c>
      <c r="C4062" t="s">
        <v>19068</v>
      </c>
      <c r="D4062" t="s">
        <v>18818</v>
      </c>
      <c r="E4062" t="s">
        <v>19061</v>
      </c>
      <c r="F4062" t="s">
        <v>19062</v>
      </c>
      <c r="G4062" t="s">
        <v>19062</v>
      </c>
      <c r="H4062" t="s">
        <v>868</v>
      </c>
      <c r="I4062" t="s">
        <v>869</v>
      </c>
      <c r="J4062" t="str">
        <f>"9200290"</f>
        <v>9200290</v>
      </c>
      <c r="K4062">
        <v>2653041297</v>
      </c>
      <c r="L4062">
        <v>2653041297</v>
      </c>
      <c r="M4062" t="s">
        <v>20268</v>
      </c>
      <c r="N4062" t="s">
        <v>20142</v>
      </c>
      <c r="O4062" t="s">
        <v>20142</v>
      </c>
      <c r="P4062">
        <v>44004</v>
      </c>
      <c r="Q4062" t="str">
        <f>"39.885424"</f>
        <v>39.885424</v>
      </c>
      <c r="R4062" t="str">
        <f>"20.624486"</f>
        <v>20.624486</v>
      </c>
      <c r="S4062" t="s">
        <v>26</v>
      </c>
    </row>
    <row r="4063" spans="1:19" x14ac:dyDescent="0.3">
      <c r="A4063" t="s">
        <v>18804</v>
      </c>
      <c r="B4063" t="s">
        <v>19929</v>
      </c>
      <c r="C4063" t="s">
        <v>20270</v>
      </c>
      <c r="D4063" t="s">
        <v>18818</v>
      </c>
      <c r="E4063" t="s">
        <v>19964</v>
      </c>
      <c r="F4063" t="s">
        <v>3295</v>
      </c>
      <c r="G4063" t="s">
        <v>20269</v>
      </c>
      <c r="H4063" t="s">
        <v>868</v>
      </c>
      <c r="I4063" t="s">
        <v>950</v>
      </c>
      <c r="J4063" t="str">
        <f>"9200132"</f>
        <v>9200132</v>
      </c>
      <c r="K4063">
        <v>2683051318</v>
      </c>
      <c r="M4063" t="s">
        <v>20271</v>
      </c>
      <c r="N4063" t="s">
        <v>20272</v>
      </c>
      <c r="O4063" t="s">
        <v>20273</v>
      </c>
      <c r="P4063">
        <v>48200</v>
      </c>
      <c r="Q4063" t="str">
        <f>"39.367366"</f>
        <v>39.367366</v>
      </c>
      <c r="R4063" t="str">
        <f>"20.884274"</f>
        <v>20.884274</v>
      </c>
      <c r="S4063" t="s">
        <v>26</v>
      </c>
    </row>
    <row r="4064" spans="1:19" x14ac:dyDescent="0.3">
      <c r="A4064" t="s">
        <v>18804</v>
      </c>
      <c r="B4064" t="s">
        <v>19929</v>
      </c>
      <c r="C4064" t="s">
        <v>20274</v>
      </c>
      <c r="D4064" t="s">
        <v>18818</v>
      </c>
      <c r="E4064" t="s">
        <v>18819</v>
      </c>
      <c r="F4064" t="s">
        <v>19179</v>
      </c>
      <c r="G4064" t="s">
        <v>19179</v>
      </c>
      <c r="H4064" t="s">
        <v>868</v>
      </c>
      <c r="I4064" t="s">
        <v>869</v>
      </c>
      <c r="J4064" t="str">
        <f>"9200546"</f>
        <v>9200546</v>
      </c>
      <c r="K4064">
        <v>2651048008</v>
      </c>
      <c r="L4064">
        <v>2651048008</v>
      </c>
      <c r="M4064" t="s">
        <v>20275</v>
      </c>
      <c r="N4064" t="s">
        <v>20276</v>
      </c>
      <c r="O4064" t="s">
        <v>20277</v>
      </c>
      <c r="P4064">
        <v>45221</v>
      </c>
      <c r="Q4064" t="str">
        <f>"39.638706"</f>
        <v>39.638706</v>
      </c>
      <c r="R4064" t="str">
        <f>"20.863904"</f>
        <v>20.863904</v>
      </c>
      <c r="S4064" t="s">
        <v>26</v>
      </c>
    </row>
    <row r="4065" spans="1:19" x14ac:dyDescent="0.3">
      <c r="A4065" t="s">
        <v>18804</v>
      </c>
      <c r="B4065" t="s">
        <v>19929</v>
      </c>
      <c r="C4065" t="s">
        <v>20278</v>
      </c>
      <c r="D4065" t="s">
        <v>18818</v>
      </c>
      <c r="E4065" t="s">
        <v>18819</v>
      </c>
      <c r="F4065" t="s">
        <v>6203</v>
      </c>
      <c r="G4065" t="s">
        <v>20104</v>
      </c>
      <c r="H4065" t="s">
        <v>868</v>
      </c>
      <c r="I4065" t="s">
        <v>869</v>
      </c>
      <c r="J4065" t="str">
        <f>"9200075"</f>
        <v>9200075</v>
      </c>
      <c r="K4065">
        <v>2651081233</v>
      </c>
      <c r="L4065">
        <v>2651081233</v>
      </c>
      <c r="M4065" t="s">
        <v>20279</v>
      </c>
      <c r="N4065" t="s">
        <v>20107</v>
      </c>
      <c r="O4065" t="s">
        <v>20107</v>
      </c>
      <c r="P4065">
        <v>45500</v>
      </c>
      <c r="Q4065" t="str">
        <f>"39.689334"</f>
        <v>39.689334</v>
      </c>
      <c r="R4065" t="str">
        <f>"20.868552"</f>
        <v>20.868552</v>
      </c>
      <c r="S4065" t="s">
        <v>26</v>
      </c>
    </row>
    <row r="4066" spans="1:19" x14ac:dyDescent="0.3">
      <c r="A4066" t="s">
        <v>18804</v>
      </c>
      <c r="B4066" t="s">
        <v>19929</v>
      </c>
      <c r="C4066" t="s">
        <v>20280</v>
      </c>
      <c r="D4066" t="s">
        <v>18818</v>
      </c>
      <c r="E4066" t="s">
        <v>19105</v>
      </c>
      <c r="F4066" t="s">
        <v>20218</v>
      </c>
      <c r="G4066" t="s">
        <v>20218</v>
      </c>
      <c r="H4066" t="s">
        <v>868</v>
      </c>
      <c r="I4066" t="s">
        <v>950</v>
      </c>
      <c r="J4066" t="str">
        <f>"9200316"</f>
        <v>9200316</v>
      </c>
      <c r="K4066">
        <v>2655024801</v>
      </c>
      <c r="L4066">
        <v>2655024801</v>
      </c>
      <c r="M4066" t="s">
        <v>20281</v>
      </c>
      <c r="N4066" t="s">
        <v>20218</v>
      </c>
      <c r="O4066" t="s">
        <v>20221</v>
      </c>
      <c r="P4066">
        <v>44100</v>
      </c>
      <c r="Q4066" t="str">
        <f>"40.026102"</f>
        <v>40.026102</v>
      </c>
      <c r="R4066" t="str">
        <f>"21.016519"</f>
        <v>21.016519</v>
      </c>
      <c r="S4066" t="s">
        <v>57</v>
      </c>
    </row>
    <row r="4067" spans="1:19" x14ac:dyDescent="0.3">
      <c r="A4067" t="s">
        <v>18804</v>
      </c>
      <c r="B4067" t="s">
        <v>19929</v>
      </c>
      <c r="C4067" t="s">
        <v>20282</v>
      </c>
      <c r="D4067" t="s">
        <v>18818</v>
      </c>
      <c r="E4067" t="s">
        <v>19105</v>
      </c>
      <c r="F4067" t="s">
        <v>20146</v>
      </c>
      <c r="G4067" t="s">
        <v>20147</v>
      </c>
      <c r="H4067" t="s">
        <v>868</v>
      </c>
      <c r="I4067" t="s">
        <v>950</v>
      </c>
      <c r="J4067" t="str">
        <f>"9200511"</f>
        <v>9200511</v>
      </c>
      <c r="K4067">
        <v>2655081219</v>
      </c>
      <c r="L4067">
        <v>2655081219</v>
      </c>
      <c r="M4067" t="s">
        <v>20283</v>
      </c>
      <c r="N4067" t="s">
        <v>20147</v>
      </c>
      <c r="O4067" t="s">
        <v>20150</v>
      </c>
      <c r="P4067">
        <v>44100</v>
      </c>
      <c r="Q4067" t="str">
        <f>"40.240382"</f>
        <v>40.240382</v>
      </c>
      <c r="R4067" t="str">
        <f>"20.885559"</f>
        <v>20.885559</v>
      </c>
      <c r="S4067" t="s">
        <v>57</v>
      </c>
    </row>
    <row r="4068" spans="1:19" x14ac:dyDescent="0.3">
      <c r="A4068" t="s">
        <v>18804</v>
      </c>
      <c r="B4068" t="s">
        <v>19929</v>
      </c>
      <c r="C4068" t="s">
        <v>20285</v>
      </c>
      <c r="D4068" t="s">
        <v>18818</v>
      </c>
      <c r="E4068" t="s">
        <v>18819</v>
      </c>
      <c r="F4068" t="s">
        <v>19131</v>
      </c>
      <c r="G4068" t="s">
        <v>20284</v>
      </c>
      <c r="H4068" t="s">
        <v>868</v>
      </c>
      <c r="I4068" t="s">
        <v>950</v>
      </c>
      <c r="J4068" t="str">
        <f>"9200118"</f>
        <v>9200118</v>
      </c>
      <c r="K4068">
        <v>2651055507</v>
      </c>
      <c r="L4068">
        <v>2651055507</v>
      </c>
      <c r="M4068" t="s">
        <v>20286</v>
      </c>
      <c r="N4068" t="s">
        <v>20287</v>
      </c>
      <c r="O4068" t="s">
        <v>20288</v>
      </c>
      <c r="P4068">
        <v>45500</v>
      </c>
      <c r="Q4068" t="str">
        <f>"39.597855"</f>
        <v>39.597855</v>
      </c>
      <c r="R4068" t="str">
        <f>"20.947706"</f>
        <v>20.947706</v>
      </c>
      <c r="S4068" t="s">
        <v>26</v>
      </c>
    </row>
    <row r="4069" spans="1:19" x14ac:dyDescent="0.3">
      <c r="A4069" t="s">
        <v>18804</v>
      </c>
      <c r="B4069" t="s">
        <v>19929</v>
      </c>
      <c r="C4069" t="s">
        <v>20289</v>
      </c>
      <c r="D4069" t="s">
        <v>18818</v>
      </c>
      <c r="E4069" t="s">
        <v>18819</v>
      </c>
      <c r="F4069" t="s">
        <v>19179</v>
      </c>
      <c r="G4069" t="s">
        <v>20211</v>
      </c>
      <c r="H4069" t="s">
        <v>868</v>
      </c>
      <c r="I4069" t="s">
        <v>1157</v>
      </c>
      <c r="J4069" t="str">
        <f>"9200567"</f>
        <v>9200567</v>
      </c>
      <c r="K4069">
        <v>2651034493</v>
      </c>
      <c r="L4069">
        <v>2651034493</v>
      </c>
      <c r="M4069" t="s">
        <v>20290</v>
      </c>
      <c r="N4069" t="s">
        <v>20215</v>
      </c>
      <c r="O4069" t="s">
        <v>20215</v>
      </c>
      <c r="P4069">
        <v>45500</v>
      </c>
      <c r="Q4069" t="str">
        <f>"39.586538"</f>
        <v>39.586538</v>
      </c>
      <c r="R4069" t="str">
        <f>"20.868195"</f>
        <v>20.868195</v>
      </c>
      <c r="S4069" t="s">
        <v>26</v>
      </c>
    </row>
    <row r="4070" spans="1:19" x14ac:dyDescent="0.3">
      <c r="A4070" t="s">
        <v>18804</v>
      </c>
      <c r="B4070" t="s">
        <v>19929</v>
      </c>
      <c r="C4070" t="s">
        <v>20291</v>
      </c>
      <c r="D4070" t="s">
        <v>18818</v>
      </c>
      <c r="E4070" t="s">
        <v>19964</v>
      </c>
      <c r="F4070" t="s">
        <v>3295</v>
      </c>
      <c r="G4070" t="s">
        <v>20053</v>
      </c>
      <c r="H4070" t="s">
        <v>868</v>
      </c>
      <c r="I4070" t="s">
        <v>950</v>
      </c>
      <c r="J4070" t="str">
        <f>"9200147"</f>
        <v>9200147</v>
      </c>
      <c r="K4070">
        <v>2654071294</v>
      </c>
      <c r="L4070">
        <v>2654071294</v>
      </c>
      <c r="M4070" t="s">
        <v>20292</v>
      </c>
      <c r="N4070" t="s">
        <v>20056</v>
      </c>
      <c r="O4070" t="s">
        <v>20057</v>
      </c>
      <c r="P4070">
        <v>45500</v>
      </c>
      <c r="Q4070" t="str">
        <f>"39.412561"</f>
        <v>39.412561</v>
      </c>
      <c r="R4070" t="str">
        <f>"20.838771"</f>
        <v>20.838771</v>
      </c>
      <c r="S4070" t="s">
        <v>26</v>
      </c>
    </row>
    <row r="4071" spans="1:19" x14ac:dyDescent="0.3">
      <c r="A4071" t="s">
        <v>18804</v>
      </c>
      <c r="B4071" t="s">
        <v>19929</v>
      </c>
      <c r="C4071" t="s">
        <v>20293</v>
      </c>
      <c r="D4071" t="s">
        <v>18818</v>
      </c>
      <c r="E4071" t="s">
        <v>18819</v>
      </c>
      <c r="F4071" t="s">
        <v>19179</v>
      </c>
      <c r="G4071" t="s">
        <v>20110</v>
      </c>
      <c r="H4071" t="s">
        <v>868</v>
      </c>
      <c r="I4071" t="s">
        <v>869</v>
      </c>
      <c r="J4071" t="str">
        <f>"9200152"</f>
        <v>9200152</v>
      </c>
      <c r="K4071">
        <v>2651091245</v>
      </c>
      <c r="L4071">
        <v>2651091245</v>
      </c>
      <c r="M4071" t="s">
        <v>20294</v>
      </c>
      <c r="O4071" t="s">
        <v>20113</v>
      </c>
      <c r="P4071">
        <v>45500</v>
      </c>
      <c r="Q4071" t="str">
        <f>"39.594342"</f>
        <v>39.594342</v>
      </c>
      <c r="R4071" t="str">
        <f>"20.874868"</f>
        <v>20.874868</v>
      </c>
      <c r="S4071" t="s">
        <v>26</v>
      </c>
    </row>
    <row r="4072" spans="1:19" x14ac:dyDescent="0.3">
      <c r="A4072" t="s">
        <v>18804</v>
      </c>
      <c r="B4072" t="s">
        <v>19929</v>
      </c>
      <c r="C4072" t="s">
        <v>20298</v>
      </c>
      <c r="D4072" t="s">
        <v>18818</v>
      </c>
      <c r="E4072" t="s">
        <v>18819</v>
      </c>
      <c r="F4072" t="s">
        <v>19275</v>
      </c>
      <c r="G4072" t="s">
        <v>19978</v>
      </c>
      <c r="H4072" t="s">
        <v>868</v>
      </c>
      <c r="I4072" t="s">
        <v>950</v>
      </c>
      <c r="J4072" t="str">
        <f>"9200207"</f>
        <v>9200207</v>
      </c>
      <c r="K4072">
        <v>2651051876</v>
      </c>
      <c r="L4072">
        <v>2651051876</v>
      </c>
      <c r="M4072" t="s">
        <v>20299</v>
      </c>
      <c r="N4072" t="s">
        <v>20300</v>
      </c>
      <c r="O4072" t="s">
        <v>20301</v>
      </c>
      <c r="P4072">
        <v>45500</v>
      </c>
      <c r="Q4072" t="str">
        <f>"39.626708"</f>
        <v>39.626708</v>
      </c>
      <c r="R4072" t="str">
        <f>"20.776044"</f>
        <v>20.776044</v>
      </c>
      <c r="S4072" t="s">
        <v>26</v>
      </c>
    </row>
    <row r="4073" spans="1:19" x14ac:dyDescent="0.3">
      <c r="A4073" t="s">
        <v>18804</v>
      </c>
      <c r="B4073" t="s">
        <v>19929</v>
      </c>
      <c r="C4073" t="s">
        <v>19214</v>
      </c>
      <c r="D4073" t="s">
        <v>18818</v>
      </c>
      <c r="E4073" t="s">
        <v>19061</v>
      </c>
      <c r="F4073" t="s">
        <v>19215</v>
      </c>
      <c r="G4073" t="s">
        <v>19215</v>
      </c>
      <c r="H4073" t="s">
        <v>868</v>
      </c>
      <c r="I4073" t="s">
        <v>950</v>
      </c>
      <c r="J4073" t="str">
        <f>"9200386"</f>
        <v>9200386</v>
      </c>
      <c r="K4073">
        <v>2657022252</v>
      </c>
      <c r="L4073">
        <v>2657022252</v>
      </c>
      <c r="M4073" t="s">
        <v>20302</v>
      </c>
      <c r="N4073" t="s">
        <v>19218</v>
      </c>
      <c r="O4073" t="s">
        <v>20303</v>
      </c>
      <c r="P4073">
        <v>44002</v>
      </c>
      <c r="Q4073" t="str">
        <f>"39.933965"</f>
        <v>39.933965</v>
      </c>
      <c r="R4073" t="str">
        <f>"20.465450"</f>
        <v>20.465450</v>
      </c>
      <c r="S4073" t="s">
        <v>26</v>
      </c>
    </row>
    <row r="4074" spans="1:19" x14ac:dyDescent="0.3">
      <c r="A4074" t="s">
        <v>18804</v>
      </c>
      <c r="B4074" t="s">
        <v>19929</v>
      </c>
      <c r="C4074" t="s">
        <v>20304</v>
      </c>
      <c r="D4074" t="s">
        <v>18818</v>
      </c>
      <c r="E4074" t="s">
        <v>19105</v>
      </c>
      <c r="F4074" t="s">
        <v>19105</v>
      </c>
      <c r="G4074" t="s">
        <v>19106</v>
      </c>
      <c r="H4074" t="s">
        <v>868</v>
      </c>
      <c r="I4074" t="s">
        <v>869</v>
      </c>
      <c r="J4074" t="str">
        <f>"9200295"</f>
        <v>9200295</v>
      </c>
      <c r="K4074">
        <v>2655022312</v>
      </c>
      <c r="L4074">
        <v>2655022312</v>
      </c>
      <c r="M4074" t="s">
        <v>20305</v>
      </c>
      <c r="N4074" t="s">
        <v>20306</v>
      </c>
      <c r="O4074" t="s">
        <v>20307</v>
      </c>
      <c r="P4074">
        <v>44100</v>
      </c>
      <c r="Q4074" t="str">
        <f>"40.047084"</f>
        <v>40.047084</v>
      </c>
      <c r="R4074" t="str">
        <f>"20.755094"</f>
        <v>20.755094</v>
      </c>
      <c r="S4074" t="s">
        <v>26</v>
      </c>
    </row>
    <row r="4075" spans="1:19" x14ac:dyDescent="0.3">
      <c r="A4075" t="s">
        <v>18804</v>
      </c>
      <c r="B4075" t="s">
        <v>19929</v>
      </c>
      <c r="C4075" t="s">
        <v>19153</v>
      </c>
      <c r="D4075" t="s">
        <v>18818</v>
      </c>
      <c r="E4075" t="s">
        <v>19111</v>
      </c>
      <c r="F4075" t="s">
        <v>19293</v>
      </c>
      <c r="G4075" t="s">
        <v>19951</v>
      </c>
      <c r="H4075" t="s">
        <v>868</v>
      </c>
      <c r="I4075" t="s">
        <v>950</v>
      </c>
      <c r="J4075" t="str">
        <f>"9200257"</f>
        <v>9200257</v>
      </c>
      <c r="K4075">
        <v>2658031001</v>
      </c>
      <c r="L4075">
        <v>2651031001</v>
      </c>
      <c r="M4075" t="s">
        <v>20308</v>
      </c>
      <c r="N4075" t="s">
        <v>19954</v>
      </c>
      <c r="O4075" t="s">
        <v>19954</v>
      </c>
      <c r="P4075">
        <v>44003</v>
      </c>
      <c r="Q4075" t="str">
        <f>"39.668560"</f>
        <v>39.668560</v>
      </c>
      <c r="R4075" t="str">
        <f>"20.590904"</f>
        <v>20.590904</v>
      </c>
      <c r="S4075" t="s">
        <v>26</v>
      </c>
    </row>
    <row r="4076" spans="1:19" x14ac:dyDescent="0.3">
      <c r="A4076" t="s">
        <v>18804</v>
      </c>
      <c r="B4076" t="s">
        <v>19929</v>
      </c>
      <c r="C4076" t="s">
        <v>20311</v>
      </c>
      <c r="D4076" t="s">
        <v>18818</v>
      </c>
      <c r="E4076" t="s">
        <v>19268</v>
      </c>
      <c r="F4076" t="s">
        <v>20309</v>
      </c>
      <c r="G4076" t="s">
        <v>20310</v>
      </c>
      <c r="H4076" t="s">
        <v>868</v>
      </c>
      <c r="I4076" t="s">
        <v>950</v>
      </c>
      <c r="J4076" t="str">
        <f>"9200164"</f>
        <v>9200164</v>
      </c>
      <c r="K4076">
        <v>2659071298</v>
      </c>
      <c r="L4076">
        <v>2659071298</v>
      </c>
      <c r="M4076" t="s">
        <v>20312</v>
      </c>
      <c r="N4076" t="s">
        <v>20313</v>
      </c>
      <c r="O4076" t="s">
        <v>20314</v>
      </c>
      <c r="P4076">
        <v>44013</v>
      </c>
      <c r="Q4076" t="str">
        <f>"39.435138"</f>
        <v>39.435138</v>
      </c>
      <c r="R4076" t="str">
        <f>"21.015755"</f>
        <v>21.015755</v>
      </c>
      <c r="S4076" t="s">
        <v>26</v>
      </c>
    </row>
    <row r="4077" spans="1:19" x14ac:dyDescent="0.3">
      <c r="A4077" t="s">
        <v>18804</v>
      </c>
      <c r="B4077" t="s">
        <v>19929</v>
      </c>
      <c r="C4077" t="s">
        <v>19285</v>
      </c>
      <c r="D4077" t="s">
        <v>18818</v>
      </c>
      <c r="E4077" t="s">
        <v>18819</v>
      </c>
      <c r="F4077" t="s">
        <v>19131</v>
      </c>
      <c r="G4077" t="s">
        <v>19281</v>
      </c>
      <c r="H4077" t="s">
        <v>868</v>
      </c>
      <c r="I4077" t="s">
        <v>869</v>
      </c>
      <c r="J4077" t="str">
        <f>"9200135"</f>
        <v>9200135</v>
      </c>
      <c r="K4077">
        <v>2651055060</v>
      </c>
      <c r="L4077">
        <v>2651055060</v>
      </c>
      <c r="M4077" t="s">
        <v>20318</v>
      </c>
      <c r="N4077" t="s">
        <v>20319</v>
      </c>
      <c r="O4077" t="s">
        <v>20319</v>
      </c>
      <c r="P4077">
        <v>45500</v>
      </c>
      <c r="Q4077" t="str">
        <f>"39.592623"</f>
        <v>39.592623</v>
      </c>
      <c r="R4077" t="str">
        <f>"20.915251"</f>
        <v>20.915251</v>
      </c>
      <c r="S4077" t="s">
        <v>26</v>
      </c>
    </row>
    <row r="4078" spans="1:19" x14ac:dyDescent="0.3">
      <c r="A4078" t="s">
        <v>18804</v>
      </c>
      <c r="B4078" t="s">
        <v>19929</v>
      </c>
      <c r="C4078" t="s">
        <v>20320</v>
      </c>
      <c r="D4078" t="s">
        <v>18818</v>
      </c>
      <c r="E4078" t="s">
        <v>19111</v>
      </c>
      <c r="F4078" t="s">
        <v>19138</v>
      </c>
      <c r="G4078" t="s">
        <v>20058</v>
      </c>
      <c r="H4078" t="s">
        <v>868</v>
      </c>
      <c r="I4078" t="s">
        <v>869</v>
      </c>
      <c r="J4078" t="str">
        <f>"9200215"</f>
        <v>9200215</v>
      </c>
      <c r="K4078">
        <v>2651061038</v>
      </c>
      <c r="L4078">
        <v>2651061038</v>
      </c>
      <c r="M4078" t="s">
        <v>20321</v>
      </c>
      <c r="N4078" t="s">
        <v>20322</v>
      </c>
      <c r="O4078" t="s">
        <v>20322</v>
      </c>
      <c r="P4078">
        <v>45500</v>
      </c>
      <c r="Q4078" t="str">
        <f>"39.692023"</f>
        <v>39.692023</v>
      </c>
      <c r="R4078" t="str">
        <f>"20.784622"</f>
        <v>20.784622</v>
      </c>
      <c r="S4078" t="s">
        <v>26</v>
      </c>
    </row>
    <row r="4079" spans="1:19" x14ac:dyDescent="0.3">
      <c r="A4079" t="s">
        <v>18804</v>
      </c>
      <c r="B4079" t="s">
        <v>19929</v>
      </c>
      <c r="C4079" t="s">
        <v>19208</v>
      </c>
      <c r="D4079" t="s">
        <v>18818</v>
      </c>
      <c r="E4079" t="s">
        <v>18819</v>
      </c>
      <c r="F4079" t="s">
        <v>19179</v>
      </c>
      <c r="G4079" t="s">
        <v>19179</v>
      </c>
      <c r="H4079" t="s">
        <v>868</v>
      </c>
      <c r="I4079" t="s">
        <v>869</v>
      </c>
      <c r="J4079" t="str">
        <f>"9200112"</f>
        <v>9200112</v>
      </c>
      <c r="K4079">
        <v>2651048321</v>
      </c>
      <c r="L4079">
        <v>2651048321</v>
      </c>
      <c r="M4079" t="s">
        <v>20323</v>
      </c>
      <c r="N4079" t="s">
        <v>19182</v>
      </c>
      <c r="O4079" t="s">
        <v>20324</v>
      </c>
      <c r="P4079">
        <v>45221</v>
      </c>
      <c r="Q4079" t="str">
        <f>"39.635231"</f>
        <v>39.635231</v>
      </c>
      <c r="R4079" t="str">
        <f>"20.863766"</f>
        <v>20.863766</v>
      </c>
      <c r="S4079" t="s">
        <v>26</v>
      </c>
    </row>
    <row r="4080" spans="1:19" x14ac:dyDescent="0.3">
      <c r="A4080" t="s">
        <v>18804</v>
      </c>
      <c r="B4080" t="s">
        <v>19929</v>
      </c>
      <c r="C4080" t="s">
        <v>19077</v>
      </c>
      <c r="D4080" t="s">
        <v>18818</v>
      </c>
      <c r="E4080" t="s">
        <v>19073</v>
      </c>
      <c r="F4080" t="s">
        <v>19073</v>
      </c>
      <c r="G4080" t="s">
        <v>19073</v>
      </c>
      <c r="H4080" t="s">
        <v>868</v>
      </c>
      <c r="I4080" t="s">
        <v>869</v>
      </c>
      <c r="J4080" t="str">
        <f>"9200081"</f>
        <v>9200081</v>
      </c>
      <c r="K4080">
        <v>2656041339</v>
      </c>
      <c r="L4080">
        <v>2656041339</v>
      </c>
      <c r="M4080" t="s">
        <v>20325</v>
      </c>
      <c r="N4080" t="s">
        <v>19076</v>
      </c>
      <c r="O4080" t="s">
        <v>19076</v>
      </c>
      <c r="P4080">
        <v>44200</v>
      </c>
      <c r="Q4080" t="str">
        <f>"39.770566"</f>
        <v>39.770566</v>
      </c>
      <c r="R4080" t="str">
        <f>"21.183998"</f>
        <v>21.183998</v>
      </c>
      <c r="S4080" t="s">
        <v>26</v>
      </c>
    </row>
    <row r="4081" spans="1:19" x14ac:dyDescent="0.3">
      <c r="A4081" t="s">
        <v>18804</v>
      </c>
      <c r="B4081" t="s">
        <v>19929</v>
      </c>
      <c r="C4081" t="s">
        <v>20326</v>
      </c>
      <c r="D4081" t="s">
        <v>18818</v>
      </c>
      <c r="E4081" t="s">
        <v>18819</v>
      </c>
      <c r="F4081" t="s">
        <v>18819</v>
      </c>
      <c r="G4081" t="s">
        <v>18819</v>
      </c>
      <c r="H4081" t="s">
        <v>868</v>
      </c>
      <c r="I4081" t="s">
        <v>869</v>
      </c>
      <c r="J4081" t="str">
        <f>"9200003"</f>
        <v>9200003</v>
      </c>
      <c r="K4081">
        <v>2651022032</v>
      </c>
      <c r="L4081">
        <v>2651033149</v>
      </c>
      <c r="M4081" t="s">
        <v>20327</v>
      </c>
      <c r="N4081" t="s">
        <v>18822</v>
      </c>
      <c r="O4081" t="s">
        <v>20328</v>
      </c>
      <c r="P4081">
        <v>45221</v>
      </c>
      <c r="Q4081" t="str">
        <f>"39.664486"</f>
        <v>39.664486</v>
      </c>
      <c r="R4081" t="str">
        <f>"20.857483"</f>
        <v>20.857483</v>
      </c>
      <c r="S4081" t="s">
        <v>26</v>
      </c>
    </row>
    <row r="4082" spans="1:19" x14ac:dyDescent="0.3">
      <c r="A4082" t="s">
        <v>18804</v>
      </c>
      <c r="B4082" t="s">
        <v>19929</v>
      </c>
      <c r="C4082" t="s">
        <v>20329</v>
      </c>
      <c r="D4082" t="s">
        <v>18818</v>
      </c>
      <c r="E4082" t="s">
        <v>18819</v>
      </c>
      <c r="F4082" t="s">
        <v>18819</v>
      </c>
      <c r="G4082" t="s">
        <v>18819</v>
      </c>
      <c r="H4082" t="s">
        <v>868</v>
      </c>
      <c r="I4082" t="s">
        <v>2930</v>
      </c>
      <c r="J4082" t="str">
        <f>"9200005"</f>
        <v>9200005</v>
      </c>
      <c r="K4082">
        <v>2651022203</v>
      </c>
      <c r="L4082">
        <v>2651022203</v>
      </c>
      <c r="M4082" t="s">
        <v>20330</v>
      </c>
      <c r="N4082" t="s">
        <v>20331</v>
      </c>
      <c r="O4082" t="s">
        <v>20332</v>
      </c>
      <c r="P4082">
        <v>45221</v>
      </c>
      <c r="Q4082" t="str">
        <f>"39.673325"</f>
        <v>39.673325</v>
      </c>
      <c r="R4082" t="str">
        <f>"20.859311"</f>
        <v>20.859311</v>
      </c>
      <c r="S4082" t="s">
        <v>26</v>
      </c>
    </row>
    <row r="4083" spans="1:19" x14ac:dyDescent="0.3">
      <c r="A4083" t="s">
        <v>18804</v>
      </c>
      <c r="B4083" t="s">
        <v>19929</v>
      </c>
      <c r="C4083" t="s">
        <v>19316</v>
      </c>
      <c r="D4083" t="s">
        <v>18818</v>
      </c>
      <c r="E4083" t="s">
        <v>18819</v>
      </c>
      <c r="F4083" t="s">
        <v>19179</v>
      </c>
      <c r="G4083" t="s">
        <v>19179</v>
      </c>
      <c r="H4083" t="s">
        <v>868</v>
      </c>
      <c r="I4083" t="s">
        <v>869</v>
      </c>
      <c r="J4083" t="str">
        <f>"9200551"</f>
        <v>9200551</v>
      </c>
      <c r="K4083">
        <v>2651048466</v>
      </c>
      <c r="L4083">
        <v>2651048466</v>
      </c>
      <c r="M4083" t="s">
        <v>20333</v>
      </c>
      <c r="N4083" t="s">
        <v>20276</v>
      </c>
      <c r="O4083" t="s">
        <v>20334</v>
      </c>
      <c r="P4083">
        <v>45222</v>
      </c>
      <c r="Q4083" t="str">
        <f>"39.641508"</f>
        <v>39.641508</v>
      </c>
      <c r="R4083" t="str">
        <f>"20.867603"</f>
        <v>20.867603</v>
      </c>
      <c r="S4083" t="s">
        <v>26</v>
      </c>
    </row>
    <row r="4084" spans="1:19" x14ac:dyDescent="0.3">
      <c r="A4084" t="s">
        <v>18804</v>
      </c>
      <c r="B4084" t="s">
        <v>19929</v>
      </c>
      <c r="C4084" t="s">
        <v>20338</v>
      </c>
      <c r="D4084" t="s">
        <v>18818</v>
      </c>
      <c r="E4084" t="s">
        <v>18819</v>
      </c>
      <c r="F4084" t="s">
        <v>18819</v>
      </c>
      <c r="G4084" t="s">
        <v>20024</v>
      </c>
      <c r="H4084" t="s">
        <v>868</v>
      </c>
      <c r="I4084" t="s">
        <v>950</v>
      </c>
      <c r="J4084" t="str">
        <f>"9200250"</f>
        <v>9200250</v>
      </c>
      <c r="K4084">
        <v>2651044314</v>
      </c>
      <c r="L4084">
        <v>2651044314</v>
      </c>
      <c r="M4084" t="s">
        <v>20339</v>
      </c>
      <c r="N4084" t="s">
        <v>18822</v>
      </c>
      <c r="O4084" t="s">
        <v>20340</v>
      </c>
      <c r="P4084">
        <v>45500</v>
      </c>
      <c r="Q4084" t="str">
        <f>"39.654824"</f>
        <v>39.654824</v>
      </c>
      <c r="R4084" t="str">
        <f>"20.794675"</f>
        <v>20.794675</v>
      </c>
      <c r="S4084" t="s">
        <v>26</v>
      </c>
    </row>
    <row r="4085" spans="1:19" x14ac:dyDescent="0.3">
      <c r="A4085" t="s">
        <v>18804</v>
      </c>
      <c r="B4085" t="s">
        <v>19929</v>
      </c>
      <c r="C4085" t="s">
        <v>20342</v>
      </c>
      <c r="D4085" t="s">
        <v>18818</v>
      </c>
      <c r="E4085" t="s">
        <v>19061</v>
      </c>
      <c r="F4085" t="s">
        <v>20341</v>
      </c>
      <c r="G4085" t="s">
        <v>15729</v>
      </c>
      <c r="H4085" t="s">
        <v>868</v>
      </c>
      <c r="I4085" t="s">
        <v>950</v>
      </c>
      <c r="J4085" t="str">
        <f>"9200395"</f>
        <v>9200395</v>
      </c>
      <c r="K4085">
        <v>2657041245</v>
      </c>
      <c r="L4085">
        <v>2657041245</v>
      </c>
      <c r="M4085" t="s">
        <v>20343</v>
      </c>
      <c r="N4085" t="s">
        <v>20344</v>
      </c>
      <c r="O4085" t="s">
        <v>20344</v>
      </c>
      <c r="P4085">
        <v>44006</v>
      </c>
      <c r="Q4085" t="str">
        <f>"40.016096"</f>
        <v>40.016096</v>
      </c>
      <c r="R4085" t="str">
        <f>"20.558820"</f>
        <v>20.558820</v>
      </c>
      <c r="S4085" t="s">
        <v>26</v>
      </c>
    </row>
    <row r="4086" spans="1:19" x14ac:dyDescent="0.3">
      <c r="A4086" t="s">
        <v>18804</v>
      </c>
      <c r="B4086" t="s">
        <v>19929</v>
      </c>
      <c r="C4086" t="s">
        <v>19261</v>
      </c>
      <c r="D4086" t="s">
        <v>18818</v>
      </c>
      <c r="E4086" t="s">
        <v>18819</v>
      </c>
      <c r="F4086" t="s">
        <v>18819</v>
      </c>
      <c r="G4086" t="s">
        <v>20024</v>
      </c>
      <c r="H4086" t="s">
        <v>868</v>
      </c>
      <c r="I4086" t="s">
        <v>869</v>
      </c>
      <c r="J4086" t="str">
        <f>"9200439"</f>
        <v>9200439</v>
      </c>
      <c r="K4086">
        <v>2651022919</v>
      </c>
      <c r="L4086">
        <v>2651022919</v>
      </c>
      <c r="M4086" t="s">
        <v>20345</v>
      </c>
      <c r="N4086" t="s">
        <v>18822</v>
      </c>
      <c r="O4086" t="s">
        <v>20346</v>
      </c>
      <c r="P4086">
        <v>45500</v>
      </c>
      <c r="Q4086" t="str">
        <f>"39.680846"</f>
        <v>39.680846</v>
      </c>
      <c r="R4086" t="str">
        <f>"20.815431"</f>
        <v>20.815431</v>
      </c>
      <c r="S4086" t="s">
        <v>26</v>
      </c>
    </row>
    <row r="4087" spans="1:19" x14ac:dyDescent="0.3">
      <c r="A4087" t="s">
        <v>18804</v>
      </c>
      <c r="B4087" t="s">
        <v>19929</v>
      </c>
      <c r="C4087" t="s">
        <v>19088</v>
      </c>
      <c r="D4087" t="s">
        <v>18818</v>
      </c>
      <c r="E4087" t="s">
        <v>19061</v>
      </c>
      <c r="F4087" t="s">
        <v>19082</v>
      </c>
      <c r="G4087" t="s">
        <v>19083</v>
      </c>
      <c r="H4087" t="s">
        <v>868</v>
      </c>
      <c r="I4087" t="s">
        <v>869</v>
      </c>
      <c r="J4087" t="str">
        <f>"9200378"</f>
        <v>9200378</v>
      </c>
      <c r="K4087">
        <v>2653031244</v>
      </c>
      <c r="L4087">
        <v>2653031244</v>
      </c>
      <c r="M4087" t="s">
        <v>20350</v>
      </c>
      <c r="N4087" t="s">
        <v>20246</v>
      </c>
      <c r="O4087" t="s">
        <v>20246</v>
      </c>
      <c r="P4087">
        <v>44004</v>
      </c>
      <c r="Q4087" t="str">
        <f>"39.861497"</f>
        <v>39.861497</v>
      </c>
      <c r="R4087" t="str">
        <f>"20.572019"</f>
        <v>20.572019</v>
      </c>
      <c r="S4087" t="s">
        <v>26</v>
      </c>
    </row>
    <row r="4088" spans="1:19" x14ac:dyDescent="0.3">
      <c r="A4088" t="s">
        <v>18804</v>
      </c>
      <c r="B4088" t="s">
        <v>19929</v>
      </c>
      <c r="C4088" t="s">
        <v>20351</v>
      </c>
      <c r="D4088" t="s">
        <v>18818</v>
      </c>
      <c r="E4088" t="s">
        <v>19268</v>
      </c>
      <c r="F4088" t="s">
        <v>20309</v>
      </c>
      <c r="G4088" t="s">
        <v>5726</v>
      </c>
      <c r="H4088" t="s">
        <v>868</v>
      </c>
      <c r="I4088" t="s">
        <v>950</v>
      </c>
      <c r="J4088" t="str">
        <f>"9200121"</f>
        <v>9200121</v>
      </c>
      <c r="K4088">
        <v>2651089253</v>
      </c>
      <c r="L4088">
        <v>2651089253</v>
      </c>
      <c r="M4088" t="s">
        <v>20352</v>
      </c>
      <c r="N4088" t="s">
        <v>5817</v>
      </c>
      <c r="O4088" t="s">
        <v>20353</v>
      </c>
      <c r="P4088">
        <v>44013</v>
      </c>
      <c r="Q4088" t="str">
        <f>"39.548902"</f>
        <v>39.548902</v>
      </c>
      <c r="R4088" t="str">
        <f>"20.952083"</f>
        <v>20.952083</v>
      </c>
      <c r="S4088" t="s">
        <v>26</v>
      </c>
    </row>
    <row r="4089" spans="1:19" x14ac:dyDescent="0.3">
      <c r="A4089" t="s">
        <v>18804</v>
      </c>
      <c r="B4089" t="s">
        <v>19929</v>
      </c>
      <c r="C4089" t="s">
        <v>19093</v>
      </c>
      <c r="D4089" t="s">
        <v>18818</v>
      </c>
      <c r="E4089" t="s">
        <v>18819</v>
      </c>
      <c r="F4089" t="s">
        <v>18819</v>
      </c>
      <c r="G4089" t="s">
        <v>18819</v>
      </c>
      <c r="H4089" t="s">
        <v>868</v>
      </c>
      <c r="I4089" t="s">
        <v>869</v>
      </c>
      <c r="J4089" t="str">
        <f>"9200430"</f>
        <v>9200430</v>
      </c>
      <c r="K4089">
        <v>2651040257</v>
      </c>
      <c r="L4089">
        <v>2651040257</v>
      </c>
      <c r="M4089" t="s">
        <v>20357</v>
      </c>
      <c r="N4089" t="s">
        <v>18822</v>
      </c>
      <c r="O4089" t="s">
        <v>20358</v>
      </c>
      <c r="P4089">
        <v>45332</v>
      </c>
      <c r="Q4089" t="str">
        <f>"39.645594"</f>
        <v>39.645594</v>
      </c>
      <c r="R4089" t="str">
        <f>"20.845563"</f>
        <v>20.845563</v>
      </c>
      <c r="S4089" t="s">
        <v>26</v>
      </c>
    </row>
    <row r="4090" spans="1:19" x14ac:dyDescent="0.3">
      <c r="A4090" t="s">
        <v>18804</v>
      </c>
      <c r="B4090" t="s">
        <v>19929</v>
      </c>
      <c r="C4090" t="s">
        <v>20363</v>
      </c>
      <c r="D4090" t="s">
        <v>18818</v>
      </c>
      <c r="E4090" t="s">
        <v>18819</v>
      </c>
      <c r="F4090" t="s">
        <v>18819</v>
      </c>
      <c r="G4090" t="s">
        <v>18819</v>
      </c>
      <c r="H4090" t="s">
        <v>868</v>
      </c>
      <c r="I4090" t="s">
        <v>869</v>
      </c>
      <c r="J4090" t="str">
        <f>"9200574"</f>
        <v>9200574</v>
      </c>
      <c r="K4090">
        <v>2651040819</v>
      </c>
      <c r="L4090">
        <v>2651040219</v>
      </c>
      <c r="M4090" t="s">
        <v>20364</v>
      </c>
      <c r="N4090" t="s">
        <v>18822</v>
      </c>
      <c r="O4090" t="s">
        <v>20365</v>
      </c>
      <c r="P4090">
        <v>45500</v>
      </c>
      <c r="Q4090" t="str">
        <f>"39.645143"</f>
        <v>39.645143</v>
      </c>
      <c r="R4090" t="str">
        <f>"20.836824"</f>
        <v>20.836824</v>
      </c>
      <c r="S4090" t="s">
        <v>26</v>
      </c>
    </row>
    <row r="4091" spans="1:19" x14ac:dyDescent="0.3">
      <c r="A4091" t="s">
        <v>18804</v>
      </c>
      <c r="B4091" t="s">
        <v>19929</v>
      </c>
      <c r="C4091" t="s">
        <v>19110</v>
      </c>
      <c r="D4091" t="s">
        <v>18818</v>
      </c>
      <c r="E4091" t="s">
        <v>19105</v>
      </c>
      <c r="F4091" t="s">
        <v>19105</v>
      </c>
      <c r="G4091" t="s">
        <v>19106</v>
      </c>
      <c r="H4091" t="s">
        <v>868</v>
      </c>
      <c r="I4091" t="s">
        <v>869</v>
      </c>
      <c r="J4091" t="str">
        <f>"9200298"</f>
        <v>9200298</v>
      </c>
      <c r="K4091">
        <v>2655022459</v>
      </c>
      <c r="L4091">
        <v>2655022824</v>
      </c>
      <c r="M4091" t="s">
        <v>20366</v>
      </c>
      <c r="N4091" t="s">
        <v>19109</v>
      </c>
      <c r="O4091" t="s">
        <v>19109</v>
      </c>
      <c r="P4091">
        <v>44100</v>
      </c>
      <c r="Q4091" t="str">
        <f>"40.042099"</f>
        <v>40.042099</v>
      </c>
      <c r="R4091" t="str">
        <f>"20.743818"</f>
        <v>20.743818</v>
      </c>
      <c r="S4091" t="s">
        <v>26</v>
      </c>
    </row>
    <row r="4092" spans="1:19" x14ac:dyDescent="0.3">
      <c r="A4092" t="s">
        <v>18804</v>
      </c>
      <c r="B4092" t="s">
        <v>19929</v>
      </c>
      <c r="C4092" t="s">
        <v>19178</v>
      </c>
      <c r="D4092" t="s">
        <v>18818</v>
      </c>
      <c r="E4092" t="s">
        <v>19105</v>
      </c>
      <c r="F4092" t="s">
        <v>19105</v>
      </c>
      <c r="G4092" t="s">
        <v>19106</v>
      </c>
      <c r="H4092" t="s">
        <v>868</v>
      </c>
      <c r="I4092" t="s">
        <v>869</v>
      </c>
      <c r="J4092" t="str">
        <f>"9200296"</f>
        <v>9200296</v>
      </c>
      <c r="K4092">
        <v>2655022473</v>
      </c>
      <c r="L4092">
        <v>2655022473</v>
      </c>
      <c r="M4092" t="s">
        <v>20367</v>
      </c>
      <c r="N4092" t="s">
        <v>19109</v>
      </c>
      <c r="P4092">
        <v>44100</v>
      </c>
      <c r="Q4092" t="str">
        <f>"40.044113"</f>
        <v>40.044113</v>
      </c>
      <c r="R4092" t="str">
        <f>"20.751272"</f>
        <v>20.751272</v>
      </c>
      <c r="S4092" t="s">
        <v>26</v>
      </c>
    </row>
    <row r="4093" spans="1:19" x14ac:dyDescent="0.3">
      <c r="A4093" t="s">
        <v>18804</v>
      </c>
      <c r="B4093" t="s">
        <v>19929</v>
      </c>
      <c r="C4093" t="s">
        <v>19121</v>
      </c>
      <c r="D4093" t="s">
        <v>18818</v>
      </c>
      <c r="E4093" t="s">
        <v>18819</v>
      </c>
      <c r="F4093" t="s">
        <v>18819</v>
      </c>
      <c r="G4093" t="s">
        <v>18819</v>
      </c>
      <c r="H4093" t="s">
        <v>868</v>
      </c>
      <c r="I4093" t="s">
        <v>869</v>
      </c>
      <c r="J4093" t="str">
        <f>"9200530"</f>
        <v>9200530</v>
      </c>
      <c r="K4093">
        <v>2651041085</v>
      </c>
      <c r="L4093">
        <v>2651041085</v>
      </c>
      <c r="M4093" t="s">
        <v>20368</v>
      </c>
      <c r="N4093" t="s">
        <v>18822</v>
      </c>
      <c r="O4093" t="s">
        <v>20021</v>
      </c>
      <c r="P4093">
        <v>45332</v>
      </c>
      <c r="Q4093" t="str">
        <f>"39.655739"</f>
        <v>39.655739</v>
      </c>
      <c r="R4093" t="str">
        <f>"20.838290"</f>
        <v>20.838290</v>
      </c>
      <c r="S4093" t="s">
        <v>26</v>
      </c>
    </row>
    <row r="4094" spans="1:19" x14ac:dyDescent="0.3">
      <c r="A4094" t="s">
        <v>18804</v>
      </c>
      <c r="B4094" t="s">
        <v>19929</v>
      </c>
      <c r="C4094" t="s">
        <v>20372</v>
      </c>
      <c r="D4094" t="s">
        <v>18818</v>
      </c>
      <c r="E4094" t="s">
        <v>18819</v>
      </c>
      <c r="F4094" t="s">
        <v>18819</v>
      </c>
      <c r="G4094" t="s">
        <v>18819</v>
      </c>
      <c r="H4094" t="s">
        <v>868</v>
      </c>
      <c r="I4094" t="s">
        <v>869</v>
      </c>
      <c r="J4094" t="str">
        <f>"9200194"</f>
        <v>9200194</v>
      </c>
      <c r="K4094">
        <v>2651046385</v>
      </c>
      <c r="L4094">
        <v>2651046385</v>
      </c>
      <c r="M4094" t="s">
        <v>20373</v>
      </c>
      <c r="N4094" t="s">
        <v>18822</v>
      </c>
      <c r="O4094" t="s">
        <v>20374</v>
      </c>
      <c r="P4094">
        <v>45332</v>
      </c>
      <c r="Q4094" t="str">
        <f>"39.662124"</f>
        <v>39.662124</v>
      </c>
      <c r="R4094" t="str">
        <f>"20.835010"</f>
        <v>20.835010</v>
      </c>
      <c r="S4094" t="s">
        <v>26</v>
      </c>
    </row>
    <row r="4095" spans="1:19" x14ac:dyDescent="0.3">
      <c r="A4095" t="s">
        <v>18804</v>
      </c>
      <c r="B4095" t="s">
        <v>19929</v>
      </c>
      <c r="C4095" t="s">
        <v>20375</v>
      </c>
      <c r="D4095" t="s">
        <v>18818</v>
      </c>
      <c r="E4095" t="s">
        <v>18819</v>
      </c>
      <c r="F4095" t="s">
        <v>18819</v>
      </c>
      <c r="G4095" t="s">
        <v>18819</v>
      </c>
      <c r="H4095" t="s">
        <v>868</v>
      </c>
      <c r="I4095" t="s">
        <v>869</v>
      </c>
      <c r="J4095" t="str">
        <f>"9200465"</f>
        <v>9200465</v>
      </c>
      <c r="K4095">
        <v>2651067423</v>
      </c>
      <c r="L4095">
        <v>2651067423</v>
      </c>
      <c r="M4095" t="s">
        <v>20376</v>
      </c>
      <c r="N4095" t="s">
        <v>18822</v>
      </c>
      <c r="O4095" t="s">
        <v>19164</v>
      </c>
      <c r="P4095">
        <v>45221</v>
      </c>
      <c r="Q4095" t="str">
        <f>"39.636232"</f>
        <v>39.636232</v>
      </c>
      <c r="R4095" t="str">
        <f>"20.862743"</f>
        <v>20.862743</v>
      </c>
      <c r="S4095" t="s">
        <v>26</v>
      </c>
    </row>
    <row r="4096" spans="1:19" x14ac:dyDescent="0.3">
      <c r="A4096" t="s">
        <v>18804</v>
      </c>
      <c r="B4096" t="s">
        <v>19929</v>
      </c>
      <c r="C4096" t="s">
        <v>19274</v>
      </c>
      <c r="D4096" t="s">
        <v>18818</v>
      </c>
      <c r="E4096" t="s">
        <v>19268</v>
      </c>
      <c r="F4096" t="s">
        <v>19269</v>
      </c>
      <c r="G4096" t="s">
        <v>19269</v>
      </c>
      <c r="H4096" t="s">
        <v>868</v>
      </c>
      <c r="I4096" t="s">
        <v>950</v>
      </c>
      <c r="J4096" t="str">
        <f>"9200167"</f>
        <v>9200167</v>
      </c>
      <c r="K4096">
        <v>2659061239</v>
      </c>
      <c r="L4096">
        <v>2659061239</v>
      </c>
      <c r="M4096" t="s">
        <v>20377</v>
      </c>
      <c r="N4096" t="s">
        <v>20378</v>
      </c>
      <c r="O4096" t="s">
        <v>20379</v>
      </c>
      <c r="P4096">
        <v>44001</v>
      </c>
      <c r="Q4096" t="str">
        <f>"39.522749"</f>
        <v>39.522749</v>
      </c>
      <c r="R4096" t="str">
        <f>"21.104339"</f>
        <v>21.104339</v>
      </c>
      <c r="S4096" t="s">
        <v>57</v>
      </c>
    </row>
    <row r="4097" spans="1:19" x14ac:dyDescent="0.3">
      <c r="A4097" t="s">
        <v>18804</v>
      </c>
      <c r="B4097" t="s">
        <v>19929</v>
      </c>
      <c r="C4097" t="s">
        <v>19308</v>
      </c>
      <c r="D4097" t="s">
        <v>18818</v>
      </c>
      <c r="E4097" t="s">
        <v>18819</v>
      </c>
      <c r="F4097" t="s">
        <v>19131</v>
      </c>
      <c r="G4097" t="s">
        <v>19303</v>
      </c>
      <c r="H4097" t="s">
        <v>868</v>
      </c>
      <c r="I4097" t="s">
        <v>869</v>
      </c>
      <c r="J4097" t="str">
        <f>"9200047"</f>
        <v>9200047</v>
      </c>
      <c r="K4097">
        <v>2651052159</v>
      </c>
      <c r="L4097">
        <v>2651052159</v>
      </c>
      <c r="M4097" t="s">
        <v>20380</v>
      </c>
      <c r="N4097" t="s">
        <v>20381</v>
      </c>
      <c r="O4097" t="s">
        <v>20381</v>
      </c>
      <c r="P4097">
        <v>45500</v>
      </c>
      <c r="Q4097" t="str">
        <f>"39.659616"</f>
        <v>39.659616</v>
      </c>
      <c r="R4097" t="str">
        <f>"20.935690"</f>
        <v>20.935690</v>
      </c>
      <c r="S4097" t="s">
        <v>26</v>
      </c>
    </row>
    <row r="4098" spans="1:19" x14ac:dyDescent="0.3">
      <c r="A4098" t="s">
        <v>18804</v>
      </c>
      <c r="B4098" t="s">
        <v>19929</v>
      </c>
      <c r="C4098" t="s">
        <v>19137</v>
      </c>
      <c r="D4098" t="s">
        <v>18818</v>
      </c>
      <c r="E4098" t="s">
        <v>18819</v>
      </c>
      <c r="F4098" t="s">
        <v>19131</v>
      </c>
      <c r="G4098" t="s">
        <v>19132</v>
      </c>
      <c r="H4098" t="s">
        <v>868</v>
      </c>
      <c r="I4098" t="s">
        <v>869</v>
      </c>
      <c r="J4098" t="str">
        <f>"9200128"</f>
        <v>9200128</v>
      </c>
      <c r="K4098">
        <v>2651091303</v>
      </c>
      <c r="L4098">
        <v>2651091303</v>
      </c>
      <c r="M4098" t="s">
        <v>20382</v>
      </c>
      <c r="N4098" t="s">
        <v>19135</v>
      </c>
      <c r="O4098" t="s">
        <v>20383</v>
      </c>
      <c r="P4098">
        <v>45500</v>
      </c>
      <c r="Q4098" t="str">
        <f>"39.623735"</f>
        <v>39.623735</v>
      </c>
      <c r="R4098" t="str">
        <f>"20.886348"</f>
        <v>20.886348</v>
      </c>
      <c r="S4098" t="s">
        <v>26</v>
      </c>
    </row>
    <row r="4099" spans="1:19" x14ac:dyDescent="0.3">
      <c r="A4099" t="s">
        <v>18804</v>
      </c>
      <c r="B4099" t="s">
        <v>19929</v>
      </c>
      <c r="C4099" t="s">
        <v>19184</v>
      </c>
      <c r="D4099" t="s">
        <v>18818</v>
      </c>
      <c r="E4099" t="s">
        <v>18819</v>
      </c>
      <c r="F4099" t="s">
        <v>18819</v>
      </c>
      <c r="G4099" t="s">
        <v>18819</v>
      </c>
      <c r="H4099" t="s">
        <v>868</v>
      </c>
      <c r="I4099" t="s">
        <v>869</v>
      </c>
      <c r="J4099" t="str">
        <f>"9200464"</f>
        <v>9200464</v>
      </c>
      <c r="K4099">
        <v>2651067736</v>
      </c>
      <c r="L4099">
        <v>2651067736</v>
      </c>
      <c r="M4099" t="s">
        <v>20384</v>
      </c>
      <c r="N4099" t="s">
        <v>18822</v>
      </c>
      <c r="O4099" t="s">
        <v>19164</v>
      </c>
      <c r="P4099">
        <v>45221</v>
      </c>
      <c r="Q4099" t="str">
        <f>"39.636228"</f>
        <v>39.636228</v>
      </c>
      <c r="R4099" t="str">
        <f>"20.862105"</f>
        <v>20.862105</v>
      </c>
      <c r="S4099" t="s">
        <v>26</v>
      </c>
    </row>
    <row r="4100" spans="1:19" x14ac:dyDescent="0.3">
      <c r="A4100" t="s">
        <v>18804</v>
      </c>
      <c r="B4100" t="s">
        <v>19929</v>
      </c>
      <c r="C4100" t="s">
        <v>20387</v>
      </c>
      <c r="D4100" t="s">
        <v>18818</v>
      </c>
      <c r="E4100" t="s">
        <v>18819</v>
      </c>
      <c r="F4100" t="s">
        <v>18819</v>
      </c>
      <c r="G4100" t="s">
        <v>18819</v>
      </c>
      <c r="H4100" t="s">
        <v>868</v>
      </c>
      <c r="I4100" t="s">
        <v>1602</v>
      </c>
      <c r="J4100" t="str">
        <f>"9200406"</f>
        <v>9200406</v>
      </c>
      <c r="K4100">
        <v>2651066326</v>
      </c>
      <c r="L4100">
        <v>2651066326</v>
      </c>
      <c r="M4100" t="s">
        <v>20388</v>
      </c>
      <c r="N4100" t="s">
        <v>18822</v>
      </c>
      <c r="O4100" t="s">
        <v>19164</v>
      </c>
      <c r="P4100">
        <v>45221</v>
      </c>
      <c r="Q4100" t="str">
        <f>"39.661291"</f>
        <v>39.661291</v>
      </c>
      <c r="R4100" t="str">
        <f>"20.850664"</f>
        <v>20.850664</v>
      </c>
      <c r="S4100" t="s">
        <v>26</v>
      </c>
    </row>
    <row r="4101" spans="1:19" x14ac:dyDescent="0.3">
      <c r="A4101" t="s">
        <v>18804</v>
      </c>
      <c r="B4101" t="s">
        <v>19929</v>
      </c>
      <c r="C4101" t="s">
        <v>20389</v>
      </c>
      <c r="D4101" t="s">
        <v>18818</v>
      </c>
      <c r="E4101" t="s">
        <v>19073</v>
      </c>
      <c r="F4101" t="s">
        <v>19073</v>
      </c>
      <c r="G4101" t="s">
        <v>20359</v>
      </c>
      <c r="H4101" t="s">
        <v>868</v>
      </c>
      <c r="I4101" t="s">
        <v>950</v>
      </c>
      <c r="J4101" t="str">
        <f>"9200091"</f>
        <v>9200091</v>
      </c>
      <c r="K4101">
        <v>2656022324</v>
      </c>
      <c r="L4101">
        <v>2656022324</v>
      </c>
      <c r="M4101" t="s">
        <v>20390</v>
      </c>
      <c r="N4101" t="s">
        <v>20362</v>
      </c>
      <c r="O4101" t="s">
        <v>20362</v>
      </c>
      <c r="P4101">
        <v>44200</v>
      </c>
      <c r="Q4101" t="str">
        <f>"39.767598"</f>
        <v>39.767598</v>
      </c>
      <c r="R4101" t="str">
        <f>"21.118380"</f>
        <v>21.118380</v>
      </c>
      <c r="S4101" t="s">
        <v>26</v>
      </c>
    </row>
    <row r="4102" spans="1:19" x14ac:dyDescent="0.3">
      <c r="A4102" t="s">
        <v>18804</v>
      </c>
      <c r="B4102" t="s">
        <v>19929</v>
      </c>
      <c r="C4102" t="s">
        <v>20391</v>
      </c>
      <c r="D4102" t="s">
        <v>18818</v>
      </c>
      <c r="E4102" t="s">
        <v>19073</v>
      </c>
      <c r="F4102" t="s">
        <v>19230</v>
      </c>
      <c r="G4102" t="s">
        <v>19231</v>
      </c>
      <c r="H4102" t="s">
        <v>868</v>
      </c>
      <c r="I4102" t="s">
        <v>950</v>
      </c>
      <c r="J4102" t="str">
        <f>"9200096"</f>
        <v>9200096</v>
      </c>
      <c r="K4102">
        <v>2656022353</v>
      </c>
      <c r="L4102">
        <v>2656022353</v>
      </c>
      <c r="M4102" t="s">
        <v>20392</v>
      </c>
      <c r="N4102" t="s">
        <v>20393</v>
      </c>
      <c r="O4102" t="s">
        <v>20393</v>
      </c>
      <c r="P4102">
        <v>44200</v>
      </c>
      <c r="Q4102" t="str">
        <f>"39.778953"</f>
        <v>39.778953</v>
      </c>
      <c r="R4102" t="str">
        <f>"21.074568"</f>
        <v>21.074568</v>
      </c>
      <c r="S4102" t="s">
        <v>26</v>
      </c>
    </row>
    <row r="4103" spans="1:19" x14ac:dyDescent="0.3">
      <c r="A4103" t="s">
        <v>18804</v>
      </c>
      <c r="B4103" t="s">
        <v>19929</v>
      </c>
      <c r="C4103" t="s">
        <v>20394</v>
      </c>
      <c r="D4103" t="s">
        <v>18818</v>
      </c>
      <c r="E4103" t="s">
        <v>19073</v>
      </c>
      <c r="F4103" t="s">
        <v>19073</v>
      </c>
      <c r="G4103" t="s">
        <v>20163</v>
      </c>
      <c r="H4103" t="s">
        <v>868</v>
      </c>
      <c r="I4103" t="s">
        <v>950</v>
      </c>
      <c r="J4103" t="str">
        <f>"9200088"</f>
        <v>9200088</v>
      </c>
      <c r="K4103">
        <v>2656041246</v>
      </c>
      <c r="L4103">
        <v>2656041246</v>
      </c>
      <c r="M4103" t="s">
        <v>20395</v>
      </c>
      <c r="N4103" t="s">
        <v>20166</v>
      </c>
      <c r="O4103" t="s">
        <v>20396</v>
      </c>
      <c r="P4103">
        <v>44200</v>
      </c>
      <c r="Q4103" t="str">
        <f>"39.761607"</f>
        <v>39.761607</v>
      </c>
      <c r="R4103" t="str">
        <f>"21.187745"</f>
        <v>21.187745</v>
      </c>
      <c r="S4103" t="s">
        <v>26</v>
      </c>
    </row>
    <row r="4104" spans="1:19" x14ac:dyDescent="0.3">
      <c r="A4104" t="s">
        <v>18804</v>
      </c>
      <c r="B4104" t="s">
        <v>19929</v>
      </c>
      <c r="C4104" t="s">
        <v>19235</v>
      </c>
      <c r="D4104" t="s">
        <v>18818</v>
      </c>
      <c r="E4104" t="s">
        <v>19073</v>
      </c>
      <c r="F4104" t="s">
        <v>19230</v>
      </c>
      <c r="G4104" t="s">
        <v>20087</v>
      </c>
      <c r="H4104" t="s">
        <v>868</v>
      </c>
      <c r="I4104" t="s">
        <v>950</v>
      </c>
      <c r="J4104" t="str">
        <f>"9200062"</f>
        <v>9200062</v>
      </c>
      <c r="K4104">
        <v>2656022277</v>
      </c>
      <c r="L4104">
        <v>2656022277</v>
      </c>
      <c r="M4104" t="s">
        <v>20397</v>
      </c>
      <c r="N4104" t="s">
        <v>20090</v>
      </c>
      <c r="O4104" t="s">
        <v>20398</v>
      </c>
      <c r="P4104">
        <v>44200</v>
      </c>
      <c r="Q4104" t="str">
        <f>"39.752973"</f>
        <v>39.752973</v>
      </c>
      <c r="R4104" t="str">
        <f>"21.076524"</f>
        <v>21.076524</v>
      </c>
      <c r="S4104" t="s">
        <v>26</v>
      </c>
    </row>
    <row r="4105" spans="1:19" x14ac:dyDescent="0.3">
      <c r="A4105" t="s">
        <v>18804</v>
      </c>
      <c r="B4105" t="s">
        <v>19929</v>
      </c>
      <c r="C4105" t="s">
        <v>20399</v>
      </c>
      <c r="D4105" t="s">
        <v>18818</v>
      </c>
      <c r="E4105" t="s">
        <v>19964</v>
      </c>
      <c r="F4105" t="s">
        <v>3295</v>
      </c>
      <c r="G4105" t="s">
        <v>20014</v>
      </c>
      <c r="H4105" t="s">
        <v>868</v>
      </c>
      <c r="I4105" t="s">
        <v>950</v>
      </c>
      <c r="J4105" t="str">
        <f>"9200136"</f>
        <v>9200136</v>
      </c>
      <c r="K4105">
        <v>2654022508</v>
      </c>
      <c r="L4105">
        <v>2654022508</v>
      </c>
      <c r="M4105" t="s">
        <v>20400</v>
      </c>
      <c r="N4105" t="s">
        <v>20401</v>
      </c>
      <c r="O4105" t="s">
        <v>20402</v>
      </c>
      <c r="P4105">
        <v>45500</v>
      </c>
      <c r="Q4105" t="str">
        <f>"39.514682"</f>
        <v>39.514682</v>
      </c>
      <c r="R4105" t="str">
        <f>"20.897275"</f>
        <v>20.897275</v>
      </c>
      <c r="S4105" t="s">
        <v>26</v>
      </c>
    </row>
    <row r="4106" spans="1:19" x14ac:dyDescent="0.3">
      <c r="A4106" t="s">
        <v>18804</v>
      </c>
      <c r="B4106" t="s">
        <v>19929</v>
      </c>
      <c r="C4106" t="s">
        <v>20405</v>
      </c>
      <c r="D4106" t="s">
        <v>18818</v>
      </c>
      <c r="E4106" t="s">
        <v>18819</v>
      </c>
      <c r="F4106" t="s">
        <v>18819</v>
      </c>
      <c r="G4106" t="s">
        <v>18819</v>
      </c>
      <c r="H4106" t="s">
        <v>868</v>
      </c>
      <c r="I4106" t="s">
        <v>1602</v>
      </c>
      <c r="J4106" t="str">
        <f>"9200405"</f>
        <v>9200405</v>
      </c>
      <c r="K4106">
        <v>2651045553</v>
      </c>
      <c r="L4106">
        <v>2651045553</v>
      </c>
      <c r="M4106" t="s">
        <v>20406</v>
      </c>
      <c r="N4106" t="s">
        <v>18822</v>
      </c>
      <c r="O4106" t="s">
        <v>19164</v>
      </c>
      <c r="P4106">
        <v>45221</v>
      </c>
      <c r="Q4106" t="str">
        <f>"39.661683"</f>
        <v>39.661683</v>
      </c>
      <c r="R4106" t="str">
        <f>"20.850315"</f>
        <v>20.850315</v>
      </c>
      <c r="S4106" t="s">
        <v>26</v>
      </c>
    </row>
    <row r="4107" spans="1:19" x14ac:dyDescent="0.3">
      <c r="A4107" t="s">
        <v>18804</v>
      </c>
      <c r="B4107" t="s">
        <v>19929</v>
      </c>
      <c r="C4107" t="s">
        <v>19128</v>
      </c>
      <c r="D4107" t="s">
        <v>18818</v>
      </c>
      <c r="E4107" t="s">
        <v>18819</v>
      </c>
      <c r="F4107" t="s">
        <v>18819</v>
      </c>
      <c r="G4107" t="s">
        <v>18819</v>
      </c>
      <c r="H4107" t="s">
        <v>868</v>
      </c>
      <c r="I4107" t="s">
        <v>869</v>
      </c>
      <c r="J4107" t="str">
        <f>"9521115"</f>
        <v>9521115</v>
      </c>
      <c r="K4107">
        <v>2651068679</v>
      </c>
      <c r="L4107">
        <v>2651068679</v>
      </c>
      <c r="M4107" t="s">
        <v>20407</v>
      </c>
      <c r="N4107" t="s">
        <v>18822</v>
      </c>
      <c r="O4107" t="s">
        <v>20408</v>
      </c>
      <c r="P4107">
        <v>45221</v>
      </c>
      <c r="Q4107" t="str">
        <f>"39.652773"</f>
        <v>39.652773</v>
      </c>
      <c r="R4107" t="str">
        <f>"20.854430"</f>
        <v>20.854430</v>
      </c>
      <c r="S4107" t="s">
        <v>26</v>
      </c>
    </row>
    <row r="4108" spans="1:19" x14ac:dyDescent="0.3">
      <c r="A4108" t="s">
        <v>18804</v>
      </c>
      <c r="B4108" t="s">
        <v>19929</v>
      </c>
      <c r="C4108" t="s">
        <v>19203</v>
      </c>
      <c r="D4108" t="s">
        <v>18818</v>
      </c>
      <c r="E4108" t="s">
        <v>19111</v>
      </c>
      <c r="F4108" t="s">
        <v>8986</v>
      </c>
      <c r="G4108" t="s">
        <v>4928</v>
      </c>
      <c r="H4108" t="s">
        <v>868</v>
      </c>
      <c r="I4108" t="s">
        <v>869</v>
      </c>
      <c r="J4108" t="str">
        <f>"9200029"</f>
        <v>9200029</v>
      </c>
      <c r="K4108">
        <v>2653022277</v>
      </c>
      <c r="L4108">
        <v>2653022277</v>
      </c>
      <c r="M4108" t="s">
        <v>20414</v>
      </c>
      <c r="N4108" t="s">
        <v>4835</v>
      </c>
      <c r="O4108" t="s">
        <v>4835</v>
      </c>
      <c r="P4108">
        <v>45500</v>
      </c>
      <c r="Q4108" t="str">
        <f>"39.788609"</f>
        <v>39.788609</v>
      </c>
      <c r="R4108" t="str">
        <f>"20.741315"</f>
        <v>20.741315</v>
      </c>
      <c r="S4108" t="s">
        <v>26</v>
      </c>
    </row>
    <row r="4109" spans="1:19" x14ac:dyDescent="0.3">
      <c r="A4109" t="s">
        <v>18804</v>
      </c>
      <c r="B4109" t="s">
        <v>19929</v>
      </c>
      <c r="C4109" t="s">
        <v>19144</v>
      </c>
      <c r="D4109" t="s">
        <v>18818</v>
      </c>
      <c r="E4109" t="s">
        <v>19111</v>
      </c>
      <c r="F4109" t="s">
        <v>19138</v>
      </c>
      <c r="G4109" t="s">
        <v>19139</v>
      </c>
      <c r="H4109" t="s">
        <v>868</v>
      </c>
      <c r="I4109" t="s">
        <v>869</v>
      </c>
      <c r="J4109" t="str">
        <f>"9521632"</f>
        <v>9521632</v>
      </c>
      <c r="K4109">
        <v>2651061237</v>
      </c>
      <c r="L4109">
        <v>2651061237</v>
      </c>
      <c r="M4109" t="s">
        <v>20433</v>
      </c>
      <c r="N4109" t="s">
        <v>20434</v>
      </c>
      <c r="O4109" t="s">
        <v>20435</v>
      </c>
      <c r="P4109">
        <v>45445</v>
      </c>
      <c r="Q4109" t="str">
        <f>"39.707889"</f>
        <v>39.707889</v>
      </c>
      <c r="R4109" t="str">
        <f>"20.790793"</f>
        <v>20.790793</v>
      </c>
      <c r="S4109" t="s">
        <v>26</v>
      </c>
    </row>
    <row r="4110" spans="1:19" x14ac:dyDescent="0.3">
      <c r="A4110" t="s">
        <v>18804</v>
      </c>
      <c r="B4110" t="s">
        <v>19929</v>
      </c>
      <c r="C4110" t="s">
        <v>20439</v>
      </c>
      <c r="D4110" t="s">
        <v>18818</v>
      </c>
      <c r="E4110" t="s">
        <v>18819</v>
      </c>
      <c r="F4110" t="s">
        <v>18819</v>
      </c>
      <c r="G4110" t="s">
        <v>20046</v>
      </c>
      <c r="H4110" t="s">
        <v>868</v>
      </c>
      <c r="I4110" t="s">
        <v>869</v>
      </c>
      <c r="J4110" t="str">
        <f>"9521680"</f>
        <v>9521680</v>
      </c>
      <c r="N4110" t="s">
        <v>20046</v>
      </c>
      <c r="O4110" t="s">
        <v>20049</v>
      </c>
      <c r="P4110">
        <v>45500</v>
      </c>
      <c r="Q4110" t="str">
        <f>""</f>
        <v/>
      </c>
      <c r="R4110" t="str">
        <f>""</f>
        <v/>
      </c>
      <c r="S4110" t="s">
        <v>26</v>
      </c>
    </row>
    <row r="4111" spans="1:19" x14ac:dyDescent="0.3">
      <c r="A4111" t="s">
        <v>18804</v>
      </c>
      <c r="B4111" t="s">
        <v>19929</v>
      </c>
      <c r="C4111" t="s">
        <v>20440</v>
      </c>
      <c r="D4111" t="s">
        <v>18818</v>
      </c>
      <c r="E4111" t="s">
        <v>18819</v>
      </c>
      <c r="F4111" t="s">
        <v>19179</v>
      </c>
      <c r="G4111" t="s">
        <v>19179</v>
      </c>
      <c r="H4111" t="s">
        <v>868</v>
      </c>
      <c r="I4111" t="s">
        <v>869</v>
      </c>
      <c r="J4111" t="str">
        <f>"9521730"</f>
        <v>9521730</v>
      </c>
      <c r="K4111">
        <v>2651003426</v>
      </c>
      <c r="M4111" t="s">
        <v>20441</v>
      </c>
      <c r="N4111" t="s">
        <v>19206</v>
      </c>
      <c r="O4111" t="s">
        <v>20442</v>
      </c>
      <c r="P4111">
        <v>45221</v>
      </c>
      <c r="Q4111" t="str">
        <f>"39.636962"</f>
        <v>39.636962</v>
      </c>
      <c r="R4111" t="str">
        <f>"20.858921"</f>
        <v>20.858921</v>
      </c>
      <c r="S4111" t="s">
        <v>26</v>
      </c>
    </row>
    <row r="4112" spans="1:19" x14ac:dyDescent="0.3">
      <c r="A4112" t="s">
        <v>18804</v>
      </c>
      <c r="B4112" t="s">
        <v>20443</v>
      </c>
      <c r="C4112" t="s">
        <v>20459</v>
      </c>
      <c r="D4112" t="s">
        <v>18824</v>
      </c>
      <c r="E4112" t="s">
        <v>18825</v>
      </c>
      <c r="F4112" t="s">
        <v>18825</v>
      </c>
      <c r="G4112" t="s">
        <v>18825</v>
      </c>
      <c r="H4112" t="s">
        <v>868</v>
      </c>
      <c r="I4112" t="s">
        <v>869</v>
      </c>
      <c r="J4112" t="str">
        <f>"9400009"</f>
        <v>9400009</v>
      </c>
      <c r="K4112">
        <v>2682022455</v>
      </c>
      <c r="L4112">
        <v>2682021563</v>
      </c>
      <c r="M4112" t="s">
        <v>20460</v>
      </c>
      <c r="N4112" t="s">
        <v>18828</v>
      </c>
      <c r="O4112" t="s">
        <v>20449</v>
      </c>
      <c r="P4112">
        <v>48100</v>
      </c>
      <c r="Q4112" t="str">
        <f>"38.956308"</f>
        <v>38.956308</v>
      </c>
      <c r="R4112" t="str">
        <f>"20.751926"</f>
        <v>20.751926</v>
      </c>
      <c r="S4112" t="s">
        <v>26</v>
      </c>
    </row>
    <row r="4113" spans="1:19" x14ac:dyDescent="0.3">
      <c r="A4113" t="s">
        <v>18804</v>
      </c>
      <c r="B4113" t="s">
        <v>20443</v>
      </c>
      <c r="C4113" t="s">
        <v>19362</v>
      </c>
      <c r="D4113" t="s">
        <v>18824</v>
      </c>
      <c r="E4113" t="s">
        <v>19357</v>
      </c>
      <c r="F4113" t="s">
        <v>19358</v>
      </c>
      <c r="G4113" t="s">
        <v>19358</v>
      </c>
      <c r="H4113" t="s">
        <v>868</v>
      </c>
      <c r="I4113" t="s">
        <v>869</v>
      </c>
      <c r="J4113" t="str">
        <f>"9400002"</f>
        <v>9400002</v>
      </c>
      <c r="K4113">
        <v>2683031202</v>
      </c>
      <c r="L4113">
        <v>2683031202</v>
      </c>
      <c r="M4113" t="s">
        <v>20461</v>
      </c>
      <c r="N4113" t="s">
        <v>19361</v>
      </c>
      <c r="O4113" t="s">
        <v>19361</v>
      </c>
      <c r="P4113">
        <v>48300</v>
      </c>
      <c r="Q4113" t="str">
        <f>"39.254076"</f>
        <v>39.254076</v>
      </c>
      <c r="R4113" t="str">
        <f>"20.789397"</f>
        <v>20.789397</v>
      </c>
      <c r="S4113" t="s">
        <v>26</v>
      </c>
    </row>
    <row r="4114" spans="1:19" x14ac:dyDescent="0.3">
      <c r="A4114" t="s">
        <v>18804</v>
      </c>
      <c r="B4114" t="s">
        <v>20443</v>
      </c>
      <c r="C4114" t="s">
        <v>20462</v>
      </c>
      <c r="D4114" t="s">
        <v>18824</v>
      </c>
      <c r="E4114" t="s">
        <v>18825</v>
      </c>
      <c r="F4114" t="s">
        <v>18825</v>
      </c>
      <c r="G4114" t="s">
        <v>18825</v>
      </c>
      <c r="H4114" t="s">
        <v>868</v>
      </c>
      <c r="I4114" t="s">
        <v>869</v>
      </c>
      <c r="J4114" t="str">
        <f>"9400007"</f>
        <v>9400007</v>
      </c>
      <c r="K4114">
        <v>2682022705</v>
      </c>
      <c r="L4114">
        <v>2682022705</v>
      </c>
      <c r="M4114" t="s">
        <v>20463</v>
      </c>
      <c r="N4114" t="s">
        <v>18828</v>
      </c>
      <c r="O4114" t="s">
        <v>20464</v>
      </c>
      <c r="P4114">
        <v>48100</v>
      </c>
      <c r="Q4114" t="str">
        <f>"38.958718"</f>
        <v>38.958718</v>
      </c>
      <c r="R4114" t="str">
        <f>"20.753197"</f>
        <v>20.753197</v>
      </c>
      <c r="S4114" t="s">
        <v>26</v>
      </c>
    </row>
    <row r="4115" spans="1:19" x14ac:dyDescent="0.3">
      <c r="A4115" t="s">
        <v>18804</v>
      </c>
      <c r="B4115" t="s">
        <v>20443</v>
      </c>
      <c r="C4115" t="s">
        <v>20469</v>
      </c>
      <c r="D4115" t="s">
        <v>18824</v>
      </c>
      <c r="E4115" t="s">
        <v>18825</v>
      </c>
      <c r="F4115" t="s">
        <v>19415</v>
      </c>
      <c r="G4115" t="s">
        <v>20468</v>
      </c>
      <c r="H4115" t="s">
        <v>868</v>
      </c>
      <c r="I4115" t="s">
        <v>869</v>
      </c>
      <c r="J4115" t="str">
        <f>"9400139"</f>
        <v>9400139</v>
      </c>
      <c r="K4115">
        <v>2682051256</v>
      </c>
      <c r="L4115">
        <v>2682051256</v>
      </c>
      <c r="M4115" t="s">
        <v>20470</v>
      </c>
      <c r="N4115" t="s">
        <v>18828</v>
      </c>
      <c r="O4115" t="s">
        <v>20471</v>
      </c>
      <c r="P4115">
        <v>48100</v>
      </c>
      <c r="Q4115" t="str">
        <f>"39.071075"</f>
        <v>39.071075</v>
      </c>
      <c r="R4115" t="str">
        <f>"20.699408"</f>
        <v>20.699408</v>
      </c>
      <c r="S4115" t="s">
        <v>26</v>
      </c>
    </row>
    <row r="4116" spans="1:19" x14ac:dyDescent="0.3">
      <c r="A4116" t="s">
        <v>18804</v>
      </c>
      <c r="B4116" t="s">
        <v>20443</v>
      </c>
      <c r="C4116" t="s">
        <v>19371</v>
      </c>
      <c r="D4116" t="s">
        <v>18824</v>
      </c>
      <c r="E4116" t="s">
        <v>19357</v>
      </c>
      <c r="F4116" t="s">
        <v>19366</v>
      </c>
      <c r="G4116" t="s">
        <v>19366</v>
      </c>
      <c r="H4116" t="s">
        <v>868</v>
      </c>
      <c r="I4116" t="s">
        <v>869</v>
      </c>
      <c r="J4116" t="str">
        <f>"9400015"</f>
        <v>9400015</v>
      </c>
      <c r="K4116">
        <v>2683022764</v>
      </c>
      <c r="M4116" t="s">
        <v>20472</v>
      </c>
      <c r="N4116" t="s">
        <v>19378</v>
      </c>
      <c r="O4116" t="s">
        <v>20473</v>
      </c>
      <c r="P4116">
        <v>48200</v>
      </c>
      <c r="Q4116" t="str">
        <f>"39.195188"</f>
        <v>39.195188</v>
      </c>
      <c r="R4116" t="str">
        <f>"20.882035"</f>
        <v>20.882035</v>
      </c>
      <c r="S4116" t="s">
        <v>26</v>
      </c>
    </row>
    <row r="4117" spans="1:19" x14ac:dyDescent="0.3">
      <c r="A4117" t="s">
        <v>18804</v>
      </c>
      <c r="B4117" t="s">
        <v>20443</v>
      </c>
      <c r="C4117" t="s">
        <v>20479</v>
      </c>
      <c r="D4117" t="s">
        <v>18824</v>
      </c>
      <c r="E4117" t="s">
        <v>19357</v>
      </c>
      <c r="F4117" t="s">
        <v>20477</v>
      </c>
      <c r="G4117" t="s">
        <v>20478</v>
      </c>
      <c r="H4117" t="s">
        <v>868</v>
      </c>
      <c r="I4117" t="s">
        <v>950</v>
      </c>
      <c r="J4117" t="str">
        <f>"9400030"</f>
        <v>9400030</v>
      </c>
      <c r="K4117">
        <v>2683081402</v>
      </c>
      <c r="L4117">
        <v>2683081402</v>
      </c>
      <c r="M4117" t="s">
        <v>20480</v>
      </c>
      <c r="N4117" t="s">
        <v>20481</v>
      </c>
      <c r="O4117" t="s">
        <v>20481</v>
      </c>
      <c r="P4117">
        <v>48200</v>
      </c>
      <c r="Q4117" t="str">
        <f>"39.334508"</f>
        <v>39.334508</v>
      </c>
      <c r="R4117" t="str">
        <f>"20.922802"</f>
        <v>20.922802</v>
      </c>
      <c r="S4117" t="s">
        <v>26</v>
      </c>
    </row>
    <row r="4118" spans="1:19" x14ac:dyDescent="0.3">
      <c r="A4118" t="s">
        <v>18804</v>
      </c>
      <c r="B4118" t="s">
        <v>20443</v>
      </c>
      <c r="C4118" t="s">
        <v>19420</v>
      </c>
      <c r="D4118" t="s">
        <v>18824</v>
      </c>
      <c r="E4118" t="s">
        <v>18825</v>
      </c>
      <c r="F4118" t="s">
        <v>19415</v>
      </c>
      <c r="G4118" t="s">
        <v>19421</v>
      </c>
      <c r="H4118" t="s">
        <v>868</v>
      </c>
      <c r="I4118" t="s">
        <v>869</v>
      </c>
      <c r="J4118" t="str">
        <f>"9400061"</f>
        <v>9400061</v>
      </c>
      <c r="K4118">
        <v>2682051417</v>
      </c>
      <c r="M4118" t="s">
        <v>20490</v>
      </c>
      <c r="N4118" t="s">
        <v>18828</v>
      </c>
      <c r="O4118" t="s">
        <v>18824</v>
      </c>
      <c r="P4118">
        <v>48100</v>
      </c>
      <c r="Q4118" t="str">
        <f>"39.082717"</f>
        <v>39.082717</v>
      </c>
      <c r="R4118" t="str">
        <f>"20.723091"</f>
        <v>20.723091</v>
      </c>
      <c r="S4118" t="s">
        <v>26</v>
      </c>
    </row>
    <row r="4119" spans="1:19" x14ac:dyDescent="0.3">
      <c r="A4119" t="s">
        <v>18804</v>
      </c>
      <c r="B4119" t="s">
        <v>20443</v>
      </c>
      <c r="C4119" t="s">
        <v>20506</v>
      </c>
      <c r="D4119" t="s">
        <v>18824</v>
      </c>
      <c r="E4119" t="s">
        <v>18825</v>
      </c>
      <c r="F4119" t="s">
        <v>19343</v>
      </c>
      <c r="G4119" t="s">
        <v>4067</v>
      </c>
      <c r="H4119" t="s">
        <v>868</v>
      </c>
      <c r="I4119" t="s">
        <v>869</v>
      </c>
      <c r="J4119" t="str">
        <f>"9400203"</f>
        <v>9400203</v>
      </c>
      <c r="K4119">
        <v>2682031495</v>
      </c>
      <c r="L4119">
        <v>2682031495</v>
      </c>
      <c r="M4119" t="s">
        <v>20507</v>
      </c>
      <c r="N4119" t="s">
        <v>20508</v>
      </c>
      <c r="O4119" t="s">
        <v>20509</v>
      </c>
      <c r="P4119">
        <v>48061</v>
      </c>
      <c r="Q4119" t="str">
        <f>"39.150333"</f>
        <v>39.150333</v>
      </c>
      <c r="R4119" t="str">
        <f>"20.736478"</f>
        <v>20.736478</v>
      </c>
      <c r="S4119" t="s">
        <v>26</v>
      </c>
    </row>
    <row r="4120" spans="1:19" x14ac:dyDescent="0.3">
      <c r="A4120" t="s">
        <v>18804</v>
      </c>
      <c r="B4120" t="s">
        <v>20443</v>
      </c>
      <c r="C4120" t="s">
        <v>20573</v>
      </c>
      <c r="D4120" t="s">
        <v>18824</v>
      </c>
      <c r="E4120" t="s">
        <v>18825</v>
      </c>
      <c r="F4120" t="s">
        <v>18825</v>
      </c>
      <c r="G4120" t="s">
        <v>13918</v>
      </c>
      <c r="H4120" t="s">
        <v>868</v>
      </c>
      <c r="I4120" t="s">
        <v>869</v>
      </c>
      <c r="J4120" t="str">
        <f>"9400100"</f>
        <v>9400100</v>
      </c>
      <c r="K4120">
        <v>2682042079</v>
      </c>
      <c r="M4120" t="s">
        <v>20574</v>
      </c>
      <c r="N4120" t="s">
        <v>20496</v>
      </c>
      <c r="O4120" t="s">
        <v>20496</v>
      </c>
      <c r="P4120">
        <v>48100</v>
      </c>
      <c r="Q4120" t="str">
        <f>"39.000107"</f>
        <v>39.000107</v>
      </c>
      <c r="R4120" t="str">
        <f>"20.709267"</f>
        <v>20.709267</v>
      </c>
      <c r="S4120" t="s">
        <v>26</v>
      </c>
    </row>
    <row r="4121" spans="1:19" x14ac:dyDescent="0.3">
      <c r="A4121" t="s">
        <v>18804</v>
      </c>
      <c r="B4121" t="s">
        <v>20443</v>
      </c>
      <c r="C4121" t="s">
        <v>20576</v>
      </c>
      <c r="D4121" t="s">
        <v>18824</v>
      </c>
      <c r="E4121" t="s">
        <v>19357</v>
      </c>
      <c r="F4121" t="s">
        <v>19366</v>
      </c>
      <c r="G4121" t="s">
        <v>20575</v>
      </c>
      <c r="H4121" t="s">
        <v>868</v>
      </c>
      <c r="I4121" t="s">
        <v>869</v>
      </c>
      <c r="J4121" t="str">
        <f>"9400055"</f>
        <v>9400055</v>
      </c>
      <c r="K4121">
        <v>2683041059</v>
      </c>
      <c r="L4121">
        <v>2683041059</v>
      </c>
      <c r="M4121" t="s">
        <v>20577</v>
      </c>
      <c r="N4121" t="s">
        <v>20578</v>
      </c>
      <c r="O4121" t="s">
        <v>20578</v>
      </c>
      <c r="P4121">
        <v>48200</v>
      </c>
      <c r="Q4121" t="str">
        <f>"39.154797"</f>
        <v>39.154797</v>
      </c>
      <c r="R4121" t="str">
        <f>"20.858915"</f>
        <v>20.858915</v>
      </c>
      <c r="S4121" t="s">
        <v>26</v>
      </c>
    </row>
    <row r="4122" spans="1:19" x14ac:dyDescent="0.3">
      <c r="A4122" t="s">
        <v>18804</v>
      </c>
      <c r="B4122" t="s">
        <v>20443</v>
      </c>
      <c r="C4122" t="s">
        <v>19380</v>
      </c>
      <c r="D4122" t="s">
        <v>18824</v>
      </c>
      <c r="E4122" t="s">
        <v>19357</v>
      </c>
      <c r="F4122" t="s">
        <v>19366</v>
      </c>
      <c r="G4122" t="s">
        <v>19366</v>
      </c>
      <c r="H4122" t="s">
        <v>868</v>
      </c>
      <c r="I4122" t="s">
        <v>869</v>
      </c>
      <c r="J4122" t="str">
        <f>"9400012"</f>
        <v>9400012</v>
      </c>
      <c r="K4122">
        <v>2683022354</v>
      </c>
      <c r="L4122">
        <v>2683024668</v>
      </c>
      <c r="M4122" t="s">
        <v>20579</v>
      </c>
      <c r="N4122" t="s">
        <v>19378</v>
      </c>
      <c r="O4122" t="s">
        <v>20580</v>
      </c>
      <c r="P4122">
        <v>48200</v>
      </c>
      <c r="Q4122" t="str">
        <f>"39.203365"</f>
        <v>39.203365</v>
      </c>
      <c r="R4122" t="str">
        <f>"20.882557"</f>
        <v>20.882557</v>
      </c>
      <c r="S4122" t="s">
        <v>26</v>
      </c>
    </row>
    <row r="4123" spans="1:19" x14ac:dyDescent="0.3">
      <c r="A4123" t="s">
        <v>18804</v>
      </c>
      <c r="B4123" t="s">
        <v>20443</v>
      </c>
      <c r="C4123" t="s">
        <v>20581</v>
      </c>
      <c r="D4123" t="s">
        <v>18824</v>
      </c>
      <c r="E4123" t="s">
        <v>19331</v>
      </c>
      <c r="F4123" t="s">
        <v>2777</v>
      </c>
      <c r="G4123" t="s">
        <v>20545</v>
      </c>
      <c r="H4123" t="s">
        <v>868</v>
      </c>
      <c r="I4123" t="s">
        <v>869</v>
      </c>
      <c r="J4123" t="str">
        <f>"9400164"</f>
        <v>9400164</v>
      </c>
      <c r="K4123">
        <v>2684041208</v>
      </c>
      <c r="L4123">
        <v>2684041088</v>
      </c>
      <c r="M4123" t="s">
        <v>20582</v>
      </c>
      <c r="N4123" t="s">
        <v>20548</v>
      </c>
      <c r="O4123" t="s">
        <v>20583</v>
      </c>
      <c r="P4123">
        <v>48062</v>
      </c>
      <c r="Q4123" t="str">
        <f>"39.242926"</f>
        <v>39.242926</v>
      </c>
      <c r="R4123" t="str">
        <f>"20.526045"</f>
        <v>20.526045</v>
      </c>
      <c r="S4123" t="s">
        <v>26</v>
      </c>
    </row>
    <row r="4124" spans="1:19" x14ac:dyDescent="0.3">
      <c r="A4124" t="s">
        <v>18804</v>
      </c>
      <c r="B4124" t="s">
        <v>20443</v>
      </c>
      <c r="C4124" t="s">
        <v>19330</v>
      </c>
      <c r="D4124" t="s">
        <v>18824</v>
      </c>
      <c r="E4124" t="s">
        <v>18825</v>
      </c>
      <c r="F4124" t="s">
        <v>18825</v>
      </c>
      <c r="G4124" t="s">
        <v>18825</v>
      </c>
      <c r="H4124" t="s">
        <v>868</v>
      </c>
      <c r="I4124" t="s">
        <v>869</v>
      </c>
      <c r="J4124" t="str">
        <f>"9400097"</f>
        <v>9400097</v>
      </c>
      <c r="K4124">
        <v>2682028362</v>
      </c>
      <c r="L4124">
        <v>2682089391</v>
      </c>
      <c r="M4124" t="s">
        <v>20584</v>
      </c>
      <c r="N4124" t="s">
        <v>18828</v>
      </c>
      <c r="O4124" t="s">
        <v>20585</v>
      </c>
      <c r="P4124">
        <v>48100</v>
      </c>
      <c r="Q4124" t="str">
        <f>"38.953671"</f>
        <v>38.953671</v>
      </c>
      <c r="R4124" t="str">
        <f>"20.745158"</f>
        <v>20.745158</v>
      </c>
      <c r="S4124" t="s">
        <v>26</v>
      </c>
    </row>
    <row r="4125" spans="1:19" x14ac:dyDescent="0.3">
      <c r="A4125" t="s">
        <v>18804</v>
      </c>
      <c r="B4125" t="s">
        <v>20443</v>
      </c>
      <c r="C4125" t="s">
        <v>20586</v>
      </c>
      <c r="D4125" t="s">
        <v>18824</v>
      </c>
      <c r="E4125" t="s">
        <v>19331</v>
      </c>
      <c r="F4125" t="s">
        <v>2777</v>
      </c>
      <c r="G4125" t="s">
        <v>20522</v>
      </c>
      <c r="H4125" t="s">
        <v>868</v>
      </c>
      <c r="I4125" t="s">
        <v>950</v>
      </c>
      <c r="J4125" t="str">
        <f>"9400128"</f>
        <v>9400128</v>
      </c>
      <c r="K4125">
        <v>2684022841</v>
      </c>
      <c r="M4125" t="s">
        <v>20587</v>
      </c>
      <c r="N4125" t="s">
        <v>20588</v>
      </c>
      <c r="O4125" t="s">
        <v>20525</v>
      </c>
      <c r="P4125">
        <v>48062</v>
      </c>
      <c r="Q4125" t="str">
        <f>"39.313439"</f>
        <v>39.313439</v>
      </c>
      <c r="R4125" t="str">
        <f>"20.609493"</f>
        <v>20.609493</v>
      </c>
      <c r="S4125" t="s">
        <v>26</v>
      </c>
    </row>
    <row r="4126" spans="1:19" x14ac:dyDescent="0.3">
      <c r="A4126" t="s">
        <v>18804</v>
      </c>
      <c r="B4126" t="s">
        <v>20443</v>
      </c>
      <c r="C4126" t="s">
        <v>20589</v>
      </c>
      <c r="D4126" t="s">
        <v>18824</v>
      </c>
      <c r="E4126" t="s">
        <v>19357</v>
      </c>
      <c r="F4126" t="s">
        <v>19366</v>
      </c>
      <c r="G4126" t="s">
        <v>19366</v>
      </c>
      <c r="H4126" t="s">
        <v>868</v>
      </c>
      <c r="I4126" t="s">
        <v>869</v>
      </c>
      <c r="J4126" t="str">
        <f>"9400014"</f>
        <v>9400014</v>
      </c>
      <c r="K4126">
        <v>2683022353</v>
      </c>
      <c r="L4126">
        <v>2683022453</v>
      </c>
      <c r="M4126" t="s">
        <v>20590</v>
      </c>
      <c r="N4126" t="s">
        <v>19378</v>
      </c>
      <c r="O4126" t="s">
        <v>20591</v>
      </c>
      <c r="P4126">
        <v>48200</v>
      </c>
      <c r="Q4126" t="str">
        <f>"39.215162"</f>
        <v>39.215162</v>
      </c>
      <c r="R4126" t="str">
        <f>"20.876734"</f>
        <v>20.876734</v>
      </c>
      <c r="S4126" t="s">
        <v>26</v>
      </c>
    </row>
    <row r="4127" spans="1:19" x14ac:dyDescent="0.3">
      <c r="A4127" t="s">
        <v>18804</v>
      </c>
      <c r="B4127" t="s">
        <v>20443</v>
      </c>
      <c r="C4127" t="s">
        <v>19414</v>
      </c>
      <c r="D4127" t="s">
        <v>18824</v>
      </c>
      <c r="E4127" t="s">
        <v>18825</v>
      </c>
      <c r="F4127" t="s">
        <v>18825</v>
      </c>
      <c r="G4127" t="s">
        <v>18825</v>
      </c>
      <c r="H4127" t="s">
        <v>868</v>
      </c>
      <c r="I4127" t="s">
        <v>869</v>
      </c>
      <c r="J4127" t="str">
        <f>"9400105"</f>
        <v>9400105</v>
      </c>
      <c r="K4127">
        <v>2682028300</v>
      </c>
      <c r="L4127">
        <v>2682028300</v>
      </c>
      <c r="M4127" t="s">
        <v>20592</v>
      </c>
      <c r="N4127" t="s">
        <v>18828</v>
      </c>
      <c r="O4127" t="s">
        <v>20593</v>
      </c>
      <c r="P4127">
        <v>48100</v>
      </c>
      <c r="Q4127" t="str">
        <f>"38.953354"</f>
        <v>38.953354</v>
      </c>
      <c r="R4127" t="str">
        <f>"20.750678"</f>
        <v>20.750678</v>
      </c>
      <c r="S4127" t="s">
        <v>26</v>
      </c>
    </row>
    <row r="4128" spans="1:19" x14ac:dyDescent="0.3">
      <c r="A4128" t="s">
        <v>18804</v>
      </c>
      <c r="B4128" t="s">
        <v>20443</v>
      </c>
      <c r="C4128" t="s">
        <v>19342</v>
      </c>
      <c r="D4128" t="s">
        <v>18824</v>
      </c>
      <c r="E4128" t="s">
        <v>19331</v>
      </c>
      <c r="F4128" t="s">
        <v>2777</v>
      </c>
      <c r="G4128" t="s">
        <v>19337</v>
      </c>
      <c r="H4128" t="s">
        <v>868</v>
      </c>
      <c r="I4128" t="s">
        <v>869</v>
      </c>
      <c r="J4128" t="str">
        <f>"9400214"</f>
        <v>9400214</v>
      </c>
      <c r="K4128">
        <v>2684022147</v>
      </c>
      <c r="L4128">
        <v>2684029247</v>
      </c>
      <c r="M4128" t="s">
        <v>20594</v>
      </c>
      <c r="N4128" t="s">
        <v>20564</v>
      </c>
      <c r="O4128" t="s">
        <v>20572</v>
      </c>
      <c r="P4128">
        <v>48062</v>
      </c>
      <c r="Q4128" t="str">
        <f>"39.236687"</f>
        <v>39.236687</v>
      </c>
      <c r="R4128" t="str">
        <f>"20.602912"</f>
        <v>20.602912</v>
      </c>
      <c r="S4128" t="s">
        <v>26</v>
      </c>
    </row>
    <row r="4129" spans="1:19" x14ac:dyDescent="0.3">
      <c r="A4129" t="s">
        <v>18804</v>
      </c>
      <c r="B4129" t="s">
        <v>20443</v>
      </c>
      <c r="C4129" t="s">
        <v>19375</v>
      </c>
      <c r="D4129" t="s">
        <v>18824</v>
      </c>
      <c r="E4129" t="s">
        <v>18825</v>
      </c>
      <c r="F4129" t="s">
        <v>18825</v>
      </c>
      <c r="G4129" t="s">
        <v>18825</v>
      </c>
      <c r="H4129" t="s">
        <v>868</v>
      </c>
      <c r="I4129" t="s">
        <v>869</v>
      </c>
      <c r="J4129" t="str">
        <f>"9400106"</f>
        <v>9400106</v>
      </c>
      <c r="K4129">
        <v>2682028351</v>
      </c>
      <c r="L4129">
        <v>2682028351</v>
      </c>
      <c r="M4129" t="s">
        <v>20595</v>
      </c>
      <c r="N4129" t="s">
        <v>18828</v>
      </c>
      <c r="O4129" t="s">
        <v>20596</v>
      </c>
      <c r="P4129">
        <v>48100</v>
      </c>
      <c r="Q4129" t="str">
        <f>"38.966841"</f>
        <v>38.966841</v>
      </c>
      <c r="R4129" t="str">
        <f>"20.745558"</f>
        <v>20.745558</v>
      </c>
      <c r="S4129" t="s">
        <v>26</v>
      </c>
    </row>
    <row r="4130" spans="1:19" x14ac:dyDescent="0.3">
      <c r="A4130" t="s">
        <v>18804</v>
      </c>
      <c r="B4130" t="s">
        <v>20443</v>
      </c>
      <c r="C4130" t="s">
        <v>19356</v>
      </c>
      <c r="D4130" t="s">
        <v>18824</v>
      </c>
      <c r="E4130" t="s">
        <v>19331</v>
      </c>
      <c r="F4130" t="s">
        <v>2777</v>
      </c>
      <c r="G4130" t="s">
        <v>19337</v>
      </c>
      <c r="H4130" t="s">
        <v>868</v>
      </c>
      <c r="I4130" t="s">
        <v>869</v>
      </c>
      <c r="J4130" t="str">
        <f>"9400143"</f>
        <v>9400143</v>
      </c>
      <c r="K4130">
        <v>2684022286</v>
      </c>
      <c r="L4130">
        <v>2684029286</v>
      </c>
      <c r="M4130" t="s">
        <v>20597</v>
      </c>
      <c r="N4130" t="s">
        <v>20564</v>
      </c>
      <c r="O4130" t="s">
        <v>17803</v>
      </c>
      <c r="P4130">
        <v>48062</v>
      </c>
      <c r="Q4130" t="str">
        <f>"39.232379"</f>
        <v>39.232379</v>
      </c>
      <c r="R4130" t="str">
        <f>"20.605157"</f>
        <v>20.605157</v>
      </c>
      <c r="S4130" t="s">
        <v>26</v>
      </c>
    </row>
    <row r="4131" spans="1:19" x14ac:dyDescent="0.3">
      <c r="A4131" t="s">
        <v>18804</v>
      </c>
      <c r="B4131" t="s">
        <v>20443</v>
      </c>
      <c r="C4131" t="s">
        <v>20598</v>
      </c>
      <c r="D4131" t="s">
        <v>18824</v>
      </c>
      <c r="E4131" t="s">
        <v>18825</v>
      </c>
      <c r="F4131" t="s">
        <v>18825</v>
      </c>
      <c r="G4131" t="s">
        <v>18825</v>
      </c>
      <c r="H4131" t="s">
        <v>868</v>
      </c>
      <c r="I4131" t="s">
        <v>869</v>
      </c>
      <c r="J4131" t="str">
        <f>"9400230"</f>
        <v>9400230</v>
      </c>
      <c r="K4131">
        <v>2682023620</v>
      </c>
      <c r="L4131">
        <v>2682023659</v>
      </c>
      <c r="M4131" t="s">
        <v>20599</v>
      </c>
      <c r="N4131" t="s">
        <v>18828</v>
      </c>
      <c r="O4131" t="s">
        <v>20600</v>
      </c>
      <c r="P4131">
        <v>48100</v>
      </c>
      <c r="Q4131" t="str">
        <f>"38.979056"</f>
        <v>38.979056</v>
      </c>
      <c r="R4131" t="str">
        <f>"20.772748"</f>
        <v>20.772748</v>
      </c>
      <c r="S4131" t="s">
        <v>26</v>
      </c>
    </row>
    <row r="4132" spans="1:19" x14ac:dyDescent="0.3">
      <c r="A4132" t="s">
        <v>18804</v>
      </c>
      <c r="B4132" t="s">
        <v>20443</v>
      </c>
      <c r="C4132" t="s">
        <v>20601</v>
      </c>
      <c r="D4132" t="s">
        <v>18824</v>
      </c>
      <c r="E4132" t="s">
        <v>18825</v>
      </c>
      <c r="F4132" t="s">
        <v>18825</v>
      </c>
      <c r="G4132" t="s">
        <v>18825</v>
      </c>
      <c r="H4132" t="s">
        <v>868</v>
      </c>
      <c r="I4132" t="s">
        <v>1157</v>
      </c>
      <c r="J4132" t="str">
        <f>"9400232"</f>
        <v>9400232</v>
      </c>
      <c r="K4132">
        <v>2682028949</v>
      </c>
      <c r="L4132">
        <v>2682028949</v>
      </c>
      <c r="M4132" t="s">
        <v>20602</v>
      </c>
      <c r="N4132" t="s">
        <v>18828</v>
      </c>
      <c r="O4132" t="s">
        <v>20593</v>
      </c>
      <c r="P4132">
        <v>48100</v>
      </c>
      <c r="Q4132" t="str">
        <f>"38.953502"</f>
        <v>38.953502</v>
      </c>
      <c r="R4132" t="str">
        <f>"20.751059"</f>
        <v>20.751059</v>
      </c>
      <c r="S4132" t="s">
        <v>26</v>
      </c>
    </row>
    <row r="4133" spans="1:19" x14ac:dyDescent="0.3">
      <c r="A4133" t="s">
        <v>18804</v>
      </c>
      <c r="B4133" t="s">
        <v>20443</v>
      </c>
      <c r="C4133" t="s">
        <v>20603</v>
      </c>
      <c r="D4133" t="s">
        <v>18824</v>
      </c>
      <c r="E4133" t="s">
        <v>19331</v>
      </c>
      <c r="F4133" t="s">
        <v>19331</v>
      </c>
      <c r="G4133" t="s">
        <v>4424</v>
      </c>
      <c r="H4133" t="s">
        <v>868</v>
      </c>
      <c r="I4133" t="s">
        <v>950</v>
      </c>
      <c r="J4133" t="str">
        <f>"9400107"</f>
        <v>9400107</v>
      </c>
      <c r="K4133">
        <v>2684035308</v>
      </c>
      <c r="L4133">
        <v>2684035308</v>
      </c>
      <c r="M4133" t="s">
        <v>20604</v>
      </c>
      <c r="N4133" t="s">
        <v>20605</v>
      </c>
      <c r="O4133" t="s">
        <v>20606</v>
      </c>
      <c r="P4133">
        <v>48060</v>
      </c>
      <c r="Q4133" t="str">
        <f>"39.314443"</f>
        <v>39.314443</v>
      </c>
      <c r="R4133" t="str">
        <f>"20.359690"</f>
        <v>20.359690</v>
      </c>
      <c r="S4133" t="s">
        <v>26</v>
      </c>
    </row>
    <row r="4134" spans="1:19" x14ac:dyDescent="0.3">
      <c r="A4134" t="s">
        <v>18804</v>
      </c>
      <c r="B4134" t="s">
        <v>20443</v>
      </c>
      <c r="C4134" t="s">
        <v>19393</v>
      </c>
      <c r="D4134" t="s">
        <v>18824</v>
      </c>
      <c r="E4134" t="s">
        <v>18825</v>
      </c>
      <c r="F4134" t="s">
        <v>18825</v>
      </c>
      <c r="G4134" t="s">
        <v>18825</v>
      </c>
      <c r="H4134" t="s">
        <v>868</v>
      </c>
      <c r="I4134" t="s">
        <v>869</v>
      </c>
      <c r="J4134" t="str">
        <f>"9400215"</f>
        <v>9400215</v>
      </c>
      <c r="K4134">
        <v>2682027570</v>
      </c>
      <c r="L4134">
        <v>2682028148</v>
      </c>
      <c r="M4134" t="s">
        <v>20607</v>
      </c>
      <c r="N4134" t="s">
        <v>18828</v>
      </c>
      <c r="O4134" t="s">
        <v>20608</v>
      </c>
      <c r="P4134">
        <v>48100</v>
      </c>
      <c r="Q4134" t="str">
        <f>"38.960157"</f>
        <v>38.960157</v>
      </c>
      <c r="R4134" t="str">
        <f>"20.745410"</f>
        <v>20.745410</v>
      </c>
      <c r="S4134" t="s">
        <v>26</v>
      </c>
    </row>
    <row r="4135" spans="1:19" x14ac:dyDescent="0.3">
      <c r="A4135" t="s">
        <v>18804</v>
      </c>
      <c r="B4135" t="s">
        <v>20443</v>
      </c>
      <c r="C4135" t="s">
        <v>20609</v>
      </c>
      <c r="D4135" t="s">
        <v>18824</v>
      </c>
      <c r="E4135" t="s">
        <v>19331</v>
      </c>
      <c r="F4135" t="s">
        <v>19331</v>
      </c>
      <c r="G4135" t="s">
        <v>19331</v>
      </c>
      <c r="H4135" t="s">
        <v>868</v>
      </c>
      <c r="I4135" t="s">
        <v>869</v>
      </c>
      <c r="J4135" t="str">
        <f>"9520632"</f>
        <v>9520632</v>
      </c>
      <c r="K4135">
        <v>2684032727</v>
      </c>
      <c r="L4135">
        <v>2684031274</v>
      </c>
      <c r="M4135" t="s">
        <v>20610</v>
      </c>
      <c r="N4135" t="s">
        <v>19334</v>
      </c>
      <c r="O4135" t="s">
        <v>20611</v>
      </c>
      <c r="P4135">
        <v>48060</v>
      </c>
      <c r="Q4135" t="str">
        <f>"39.285792"</f>
        <v>39.285792</v>
      </c>
      <c r="R4135" t="str">
        <f>"20.400420"</f>
        <v>20.400420</v>
      </c>
      <c r="S4135" t="s">
        <v>26</v>
      </c>
    </row>
    <row r="4136" spans="1:19" x14ac:dyDescent="0.3">
      <c r="A4136" t="s">
        <v>18804</v>
      </c>
      <c r="B4136" t="s">
        <v>20443</v>
      </c>
      <c r="C4136" t="s">
        <v>20614</v>
      </c>
      <c r="D4136" t="s">
        <v>18824</v>
      </c>
      <c r="E4136" t="s">
        <v>18825</v>
      </c>
      <c r="F4136" t="s">
        <v>19415</v>
      </c>
      <c r="G4136" t="s">
        <v>17013</v>
      </c>
      <c r="H4136" t="s">
        <v>868</v>
      </c>
      <c r="I4136" t="s">
        <v>950</v>
      </c>
      <c r="J4136" t="str">
        <f>"9400188"</f>
        <v>9400188</v>
      </c>
      <c r="K4136">
        <v>2682056475</v>
      </c>
      <c r="L4136">
        <v>2682056475</v>
      </c>
      <c r="M4136" t="s">
        <v>20615</v>
      </c>
      <c r="N4136" t="s">
        <v>20616</v>
      </c>
      <c r="O4136" t="s">
        <v>17016</v>
      </c>
      <c r="P4136">
        <v>48062</v>
      </c>
      <c r="Q4136" t="str">
        <f>"39.164030"</f>
        <v>39.164030</v>
      </c>
      <c r="R4136" t="str">
        <f>"20.596868"</f>
        <v>20.596868</v>
      </c>
      <c r="S4136" t="s">
        <v>26</v>
      </c>
    </row>
    <row r="4137" spans="1:19" x14ac:dyDescent="0.3">
      <c r="A4137" t="s">
        <v>18804</v>
      </c>
      <c r="B4137" t="s">
        <v>20443</v>
      </c>
      <c r="C4137" t="s">
        <v>19347</v>
      </c>
      <c r="D4137" t="s">
        <v>18824</v>
      </c>
      <c r="E4137" t="s">
        <v>18825</v>
      </c>
      <c r="F4137" t="s">
        <v>19343</v>
      </c>
      <c r="G4137" t="s">
        <v>19343</v>
      </c>
      <c r="H4137" t="s">
        <v>868</v>
      </c>
      <c r="I4137" t="s">
        <v>869</v>
      </c>
      <c r="J4137" t="str">
        <f>"9400048"</f>
        <v>9400048</v>
      </c>
      <c r="K4137">
        <v>2682031213</v>
      </c>
      <c r="L4137">
        <v>2682031213</v>
      </c>
      <c r="M4137" t="s">
        <v>20617</v>
      </c>
      <c r="N4137" t="s">
        <v>20618</v>
      </c>
      <c r="O4137" t="s">
        <v>20619</v>
      </c>
      <c r="P4137">
        <v>48061</v>
      </c>
      <c r="Q4137" t="str">
        <f>"39.162920"</f>
        <v>39.162920</v>
      </c>
      <c r="R4137" t="str">
        <f>"20.752542"</f>
        <v>20.752542</v>
      </c>
      <c r="S4137" t="s">
        <v>26</v>
      </c>
    </row>
    <row r="4138" spans="1:19" x14ac:dyDescent="0.3">
      <c r="A4138" t="s">
        <v>18804</v>
      </c>
      <c r="B4138" t="s">
        <v>20443</v>
      </c>
      <c r="C4138" t="s">
        <v>19336</v>
      </c>
      <c r="D4138" t="s">
        <v>18824</v>
      </c>
      <c r="E4138" t="s">
        <v>19331</v>
      </c>
      <c r="F4138" t="s">
        <v>19331</v>
      </c>
      <c r="G4138" t="s">
        <v>19331</v>
      </c>
      <c r="H4138" t="s">
        <v>868</v>
      </c>
      <c r="I4138" t="s">
        <v>869</v>
      </c>
      <c r="J4138" t="str">
        <f>"9520633"</f>
        <v>9520633</v>
      </c>
      <c r="K4138">
        <v>2684032585</v>
      </c>
      <c r="L4138">
        <v>2684032549</v>
      </c>
      <c r="M4138" t="s">
        <v>20620</v>
      </c>
      <c r="N4138" t="s">
        <v>19334</v>
      </c>
      <c r="O4138" t="s">
        <v>20621</v>
      </c>
      <c r="P4138">
        <v>48060</v>
      </c>
      <c r="Q4138" t="str">
        <f>"39.284630"</f>
        <v>39.284630</v>
      </c>
      <c r="R4138" t="str">
        <f>"20.411910"</f>
        <v>20.411910</v>
      </c>
      <c r="S4138" t="s">
        <v>26</v>
      </c>
    </row>
    <row r="4139" spans="1:19" x14ac:dyDescent="0.3">
      <c r="A4139" t="s">
        <v>18804</v>
      </c>
      <c r="B4139" t="s">
        <v>20443</v>
      </c>
      <c r="C4139" t="s">
        <v>19351</v>
      </c>
      <c r="D4139" t="s">
        <v>18824</v>
      </c>
      <c r="E4139" t="s">
        <v>18825</v>
      </c>
      <c r="F4139" t="s">
        <v>18825</v>
      </c>
      <c r="G4139" t="s">
        <v>18825</v>
      </c>
      <c r="H4139" t="s">
        <v>868</v>
      </c>
      <c r="I4139" t="s">
        <v>869</v>
      </c>
      <c r="J4139" t="str">
        <f>"9400099"</f>
        <v>9400099</v>
      </c>
      <c r="K4139">
        <v>2682022082</v>
      </c>
      <c r="L4139">
        <v>2682022624</v>
      </c>
      <c r="M4139" t="s">
        <v>20622</v>
      </c>
      <c r="N4139" t="s">
        <v>18828</v>
      </c>
      <c r="O4139" t="s">
        <v>20623</v>
      </c>
      <c r="P4139">
        <v>48100</v>
      </c>
      <c r="Q4139" t="str">
        <f>"38.978924"</f>
        <v>38.978924</v>
      </c>
      <c r="R4139" t="str">
        <f>"20.744364"</f>
        <v>20.744364</v>
      </c>
      <c r="S4139" t="s">
        <v>26</v>
      </c>
    </row>
    <row r="4140" spans="1:19" x14ac:dyDescent="0.3">
      <c r="A4140" t="s">
        <v>18804</v>
      </c>
      <c r="B4140" t="s">
        <v>20443</v>
      </c>
      <c r="C4140" t="s">
        <v>20638</v>
      </c>
      <c r="D4140" t="s">
        <v>18824</v>
      </c>
      <c r="E4140" t="s">
        <v>18825</v>
      </c>
      <c r="F4140" t="s">
        <v>18825</v>
      </c>
      <c r="G4140" t="s">
        <v>18825</v>
      </c>
      <c r="H4140" t="s">
        <v>868</v>
      </c>
      <c r="I4140" t="s">
        <v>869</v>
      </c>
      <c r="J4140" t="str">
        <f>"9521346"</f>
        <v>9521346</v>
      </c>
      <c r="K4140">
        <v>2682028944</v>
      </c>
      <c r="L4140">
        <v>2682028811</v>
      </c>
      <c r="M4140" t="s">
        <v>20639</v>
      </c>
      <c r="N4140" t="s">
        <v>20640</v>
      </c>
      <c r="P4140">
        <v>48100</v>
      </c>
      <c r="Q4140" t="str">
        <f>"38.948319"</f>
        <v>38.948319</v>
      </c>
      <c r="R4140" t="str">
        <f>"20.733404"</f>
        <v>20.733404</v>
      </c>
      <c r="S4140" t="s">
        <v>26</v>
      </c>
    </row>
    <row r="4141" spans="1:19" x14ac:dyDescent="0.3">
      <c r="A4141" t="s">
        <v>18804</v>
      </c>
      <c r="B4141" t="s">
        <v>20443</v>
      </c>
      <c r="C4141" t="s">
        <v>20641</v>
      </c>
      <c r="D4141" t="s">
        <v>18824</v>
      </c>
      <c r="E4141" t="s">
        <v>19357</v>
      </c>
      <c r="F4141" t="s">
        <v>19366</v>
      </c>
      <c r="G4141" t="s">
        <v>1872</v>
      </c>
      <c r="H4141" t="s">
        <v>868</v>
      </c>
      <c r="I4141" t="s">
        <v>950</v>
      </c>
      <c r="J4141" t="str">
        <f>"9400016"</f>
        <v>9400016</v>
      </c>
      <c r="K4141">
        <v>2683091237</v>
      </c>
      <c r="L4141">
        <v>2683091237</v>
      </c>
      <c r="M4141" t="s">
        <v>20642</v>
      </c>
      <c r="N4141" t="s">
        <v>12409</v>
      </c>
      <c r="O4141" t="s">
        <v>12409</v>
      </c>
      <c r="P4141">
        <v>48200</v>
      </c>
      <c r="Q4141" t="str">
        <f>"39.266477"</f>
        <v>39.266477</v>
      </c>
      <c r="R4141" t="str">
        <f>"20.853037"</f>
        <v>20.853037</v>
      </c>
      <c r="S4141" t="s">
        <v>26</v>
      </c>
    </row>
    <row r="4142" spans="1:19" x14ac:dyDescent="0.3">
      <c r="A4142" t="s">
        <v>18804</v>
      </c>
      <c r="B4142" t="s">
        <v>20443</v>
      </c>
      <c r="C4142" t="s">
        <v>20643</v>
      </c>
      <c r="D4142" t="s">
        <v>18824</v>
      </c>
      <c r="E4142" t="s">
        <v>19331</v>
      </c>
      <c r="F4142" t="s">
        <v>19331</v>
      </c>
      <c r="G4142" t="s">
        <v>4526</v>
      </c>
      <c r="H4142" t="s">
        <v>868</v>
      </c>
      <c r="I4142" t="s">
        <v>950</v>
      </c>
      <c r="J4142" t="str">
        <f>"9400114"</f>
        <v>9400114</v>
      </c>
      <c r="K4142">
        <v>2684031091</v>
      </c>
      <c r="L4142">
        <v>2684031181</v>
      </c>
      <c r="M4142" t="s">
        <v>20644</v>
      </c>
      <c r="N4142" t="s">
        <v>4530</v>
      </c>
      <c r="O4142" t="s">
        <v>20645</v>
      </c>
      <c r="P4142">
        <v>48060</v>
      </c>
      <c r="Q4142" t="str">
        <f>"39.298941"</f>
        <v>39.298941</v>
      </c>
      <c r="R4142" t="str">
        <f>"20.373349"</f>
        <v>20.373349</v>
      </c>
      <c r="S4142" t="s">
        <v>26</v>
      </c>
    </row>
    <row r="4143" spans="1:19" x14ac:dyDescent="0.3">
      <c r="A4143" t="s">
        <v>20660</v>
      </c>
      <c r="B4143" t="s">
        <v>21672</v>
      </c>
      <c r="C4143" t="s">
        <v>20705</v>
      </c>
      <c r="D4143" t="s">
        <v>20661</v>
      </c>
      <c r="E4143" t="s">
        <v>20700</v>
      </c>
      <c r="F4143" t="s">
        <v>20700</v>
      </c>
      <c r="G4143" t="s">
        <v>20700</v>
      </c>
      <c r="H4143" t="s">
        <v>868</v>
      </c>
      <c r="I4143" t="s">
        <v>869</v>
      </c>
      <c r="J4143" t="str">
        <f>"9220097"</f>
        <v>9220097</v>
      </c>
      <c r="K4143">
        <v>2444022282</v>
      </c>
      <c r="L4143">
        <v>2444022001</v>
      </c>
      <c r="M4143" t="s">
        <v>21703</v>
      </c>
      <c r="N4143" t="s">
        <v>21704</v>
      </c>
      <c r="O4143" t="s">
        <v>21705</v>
      </c>
      <c r="P4143">
        <v>43200</v>
      </c>
      <c r="Q4143" t="str">
        <f>"39.468485"</f>
        <v>39.468485</v>
      </c>
      <c r="R4143" t="str">
        <f>"22.082751"</f>
        <v>22.082751</v>
      </c>
      <c r="S4143" t="s">
        <v>26</v>
      </c>
    </row>
    <row r="4144" spans="1:19" x14ac:dyDescent="0.3">
      <c r="A4144" t="s">
        <v>20660</v>
      </c>
      <c r="B4144" t="s">
        <v>21672</v>
      </c>
      <c r="C4144" t="s">
        <v>21714</v>
      </c>
      <c r="D4144" t="s">
        <v>20661</v>
      </c>
      <c r="E4144" t="s">
        <v>20687</v>
      </c>
      <c r="F4144" t="s">
        <v>20718</v>
      </c>
      <c r="G4144" t="s">
        <v>21696</v>
      </c>
      <c r="H4144" t="s">
        <v>868</v>
      </c>
      <c r="I4144" t="s">
        <v>950</v>
      </c>
      <c r="J4144" t="str">
        <f>"9220218"</f>
        <v>9220218</v>
      </c>
      <c r="K4144">
        <v>2443081364</v>
      </c>
      <c r="L4144">
        <v>2443081364</v>
      </c>
      <c r="M4144" t="s">
        <v>21715</v>
      </c>
      <c r="N4144" t="s">
        <v>21716</v>
      </c>
      <c r="O4144" t="s">
        <v>21717</v>
      </c>
      <c r="P4144">
        <v>43063</v>
      </c>
      <c r="Q4144" t="str">
        <f>"39.190111"</f>
        <v>39.190111</v>
      </c>
      <c r="R4144" t="str">
        <f>"22.092456"</f>
        <v>22.092456</v>
      </c>
      <c r="S4144" t="s">
        <v>26</v>
      </c>
    </row>
    <row r="4145" spans="1:19" x14ac:dyDescent="0.3">
      <c r="A4145" t="s">
        <v>20660</v>
      </c>
      <c r="B4145" t="s">
        <v>21672</v>
      </c>
      <c r="C4145" t="s">
        <v>20767</v>
      </c>
      <c r="D4145" t="s">
        <v>20661</v>
      </c>
      <c r="E4145" t="s">
        <v>20700</v>
      </c>
      <c r="F4145" t="s">
        <v>20763</v>
      </c>
      <c r="G4145" t="s">
        <v>18740</v>
      </c>
      <c r="H4145" t="s">
        <v>868</v>
      </c>
      <c r="I4145" t="s">
        <v>869</v>
      </c>
      <c r="J4145" t="str">
        <f>"9220234"</f>
        <v>9220234</v>
      </c>
      <c r="K4145">
        <v>2444031233</v>
      </c>
      <c r="M4145" t="s">
        <v>21718</v>
      </c>
      <c r="N4145" t="s">
        <v>21719</v>
      </c>
      <c r="O4145" t="s">
        <v>21720</v>
      </c>
      <c r="P4145">
        <v>43062</v>
      </c>
      <c r="Q4145" t="str">
        <f>"39.453626"</f>
        <v>39.453626</v>
      </c>
      <c r="R4145" t="str">
        <f>"22.163983"</f>
        <v>22.163983</v>
      </c>
      <c r="S4145" t="s">
        <v>26</v>
      </c>
    </row>
    <row r="4146" spans="1:19" x14ac:dyDescent="0.3">
      <c r="A4146" t="s">
        <v>20660</v>
      </c>
      <c r="B4146" t="s">
        <v>21672</v>
      </c>
      <c r="C4146" t="s">
        <v>20790</v>
      </c>
      <c r="D4146" t="s">
        <v>20661</v>
      </c>
      <c r="E4146" t="s">
        <v>20687</v>
      </c>
      <c r="F4146" t="s">
        <v>20787</v>
      </c>
      <c r="G4146" t="s">
        <v>13937</v>
      </c>
      <c r="H4146" t="s">
        <v>868</v>
      </c>
      <c r="I4146" t="s">
        <v>869</v>
      </c>
      <c r="J4146" t="str">
        <f>"9220248"</f>
        <v>9220248</v>
      </c>
      <c r="K4146">
        <v>2443041235</v>
      </c>
      <c r="L4146">
        <v>2443041149</v>
      </c>
      <c r="M4146" t="s">
        <v>21721</v>
      </c>
      <c r="N4146" t="s">
        <v>21722</v>
      </c>
      <c r="O4146" t="s">
        <v>21723</v>
      </c>
      <c r="P4146">
        <v>43300</v>
      </c>
      <c r="Q4146" t="str">
        <f>"39.393831"</f>
        <v>39.393831</v>
      </c>
      <c r="R4146" t="str">
        <f>"22.074847"</f>
        <v>22.074847</v>
      </c>
      <c r="S4146" t="s">
        <v>26</v>
      </c>
    </row>
    <row r="4147" spans="1:19" x14ac:dyDescent="0.3">
      <c r="A4147" t="s">
        <v>20660</v>
      </c>
      <c r="B4147" t="s">
        <v>21672</v>
      </c>
      <c r="C4147" t="s">
        <v>21725</v>
      </c>
      <c r="D4147" t="s">
        <v>20661</v>
      </c>
      <c r="E4147" t="s">
        <v>20687</v>
      </c>
      <c r="F4147" t="s">
        <v>20693</v>
      </c>
      <c r="G4147" t="s">
        <v>21724</v>
      </c>
      <c r="H4147" t="s">
        <v>868</v>
      </c>
      <c r="I4147" t="s">
        <v>950</v>
      </c>
      <c r="J4147" t="str">
        <f>"9220243"</f>
        <v>9220243</v>
      </c>
      <c r="K4147">
        <v>2443061278</v>
      </c>
      <c r="L4147">
        <v>2443061278</v>
      </c>
      <c r="M4147" t="s">
        <v>21726</v>
      </c>
      <c r="N4147" t="s">
        <v>21727</v>
      </c>
      <c r="O4147" t="s">
        <v>21727</v>
      </c>
      <c r="P4147">
        <v>43068</v>
      </c>
      <c r="Q4147" t="str">
        <f>"39.114565"</f>
        <v>39.114565</v>
      </c>
      <c r="R4147" t="str">
        <f>"22.045763"</f>
        <v>22.045763</v>
      </c>
      <c r="S4147" t="s">
        <v>26</v>
      </c>
    </row>
    <row r="4148" spans="1:19" x14ac:dyDescent="0.3">
      <c r="A4148" t="s">
        <v>20660</v>
      </c>
      <c r="B4148" t="s">
        <v>21672</v>
      </c>
      <c r="C4148" t="s">
        <v>21733</v>
      </c>
      <c r="D4148" t="s">
        <v>20661</v>
      </c>
      <c r="E4148" t="s">
        <v>20700</v>
      </c>
      <c r="F4148" t="s">
        <v>20700</v>
      </c>
      <c r="G4148" t="s">
        <v>21732</v>
      </c>
      <c r="H4148" t="s">
        <v>868</v>
      </c>
      <c r="I4148" t="s">
        <v>950</v>
      </c>
      <c r="J4148" t="str">
        <f>"9220074"</f>
        <v>9220074</v>
      </c>
      <c r="K4148">
        <v>2444041284</v>
      </c>
      <c r="L4148">
        <v>2444041284</v>
      </c>
      <c r="M4148" t="s">
        <v>21734</v>
      </c>
      <c r="N4148" t="s">
        <v>21735</v>
      </c>
      <c r="O4148" t="s">
        <v>21735</v>
      </c>
      <c r="P4148">
        <v>43200</v>
      </c>
      <c r="Q4148" t="str">
        <f>"39.520137"</f>
        <v>39.520137</v>
      </c>
      <c r="R4148" t="str">
        <f>"22.088687"</f>
        <v>22.088687</v>
      </c>
      <c r="S4148" t="s">
        <v>26</v>
      </c>
    </row>
    <row r="4149" spans="1:19" x14ac:dyDescent="0.3">
      <c r="A4149" t="s">
        <v>20660</v>
      </c>
      <c r="B4149" t="s">
        <v>21672</v>
      </c>
      <c r="C4149" t="s">
        <v>21752</v>
      </c>
      <c r="D4149" t="s">
        <v>20661</v>
      </c>
      <c r="E4149" t="s">
        <v>21750</v>
      </c>
      <c r="F4149" t="s">
        <v>21751</v>
      </c>
      <c r="G4149" t="s">
        <v>4044</v>
      </c>
      <c r="H4149" t="s">
        <v>868</v>
      </c>
      <c r="I4149" t="s">
        <v>950</v>
      </c>
      <c r="J4149" t="str">
        <f>"9220033"</f>
        <v>9220033</v>
      </c>
      <c r="K4149">
        <v>2441092300</v>
      </c>
      <c r="L4149">
        <v>2441092300</v>
      </c>
      <c r="M4149" t="s">
        <v>21753</v>
      </c>
      <c r="N4149" t="s">
        <v>4044</v>
      </c>
      <c r="O4149" t="s">
        <v>21754</v>
      </c>
      <c r="P4149">
        <v>43067</v>
      </c>
      <c r="Q4149" t="str">
        <f>"39.331588"</f>
        <v>39.331588</v>
      </c>
      <c r="R4149" t="str">
        <f>"21.687021"</f>
        <v>21.687021</v>
      </c>
      <c r="S4149" t="s">
        <v>26</v>
      </c>
    </row>
    <row r="4150" spans="1:19" x14ac:dyDescent="0.3">
      <c r="A4150" t="s">
        <v>20660</v>
      </c>
      <c r="B4150" t="s">
        <v>21672</v>
      </c>
      <c r="C4150" t="s">
        <v>21764</v>
      </c>
      <c r="D4150" t="s">
        <v>20661</v>
      </c>
      <c r="E4150" t="s">
        <v>20661</v>
      </c>
      <c r="F4150" t="s">
        <v>21709</v>
      </c>
      <c r="G4150" t="s">
        <v>21710</v>
      </c>
      <c r="H4150" t="s">
        <v>868</v>
      </c>
      <c r="I4150" t="s">
        <v>869</v>
      </c>
      <c r="J4150" t="str">
        <f>"9220020"</f>
        <v>9220020</v>
      </c>
      <c r="K4150">
        <v>2441081025</v>
      </c>
      <c r="L4150">
        <v>2441081180</v>
      </c>
      <c r="M4150" t="s">
        <v>21765</v>
      </c>
      <c r="N4150" t="s">
        <v>21766</v>
      </c>
      <c r="O4150" t="s">
        <v>21766</v>
      </c>
      <c r="P4150">
        <v>43100</v>
      </c>
      <c r="Q4150" t="str">
        <f>"39.280610"</f>
        <v>39.280610</v>
      </c>
      <c r="R4150" t="str">
        <f>"21.903687"</f>
        <v>21.903687</v>
      </c>
      <c r="S4150" t="s">
        <v>26</v>
      </c>
    </row>
    <row r="4151" spans="1:19" x14ac:dyDescent="0.3">
      <c r="A4151" t="s">
        <v>20660</v>
      </c>
      <c r="B4151" t="s">
        <v>21672</v>
      </c>
      <c r="C4151" t="s">
        <v>20758</v>
      </c>
      <c r="D4151" t="s">
        <v>20661</v>
      </c>
      <c r="E4151" t="s">
        <v>20661</v>
      </c>
      <c r="F4151" t="s">
        <v>20753</v>
      </c>
      <c r="G4151" t="s">
        <v>20753</v>
      </c>
      <c r="H4151" t="s">
        <v>868</v>
      </c>
      <c r="I4151" t="s">
        <v>869</v>
      </c>
      <c r="J4151" t="str">
        <f>"9220040"</f>
        <v>9220040</v>
      </c>
      <c r="K4151">
        <v>2441055281</v>
      </c>
      <c r="L4151">
        <v>2441055281</v>
      </c>
      <c r="M4151" t="s">
        <v>21767</v>
      </c>
      <c r="N4151" t="s">
        <v>20757</v>
      </c>
      <c r="O4151" t="s">
        <v>20757</v>
      </c>
      <c r="P4151">
        <v>43100</v>
      </c>
      <c r="Q4151" t="str">
        <f>"39.339361"</f>
        <v>39.339361</v>
      </c>
      <c r="R4151" t="str">
        <f>"21.840524"</f>
        <v>21.840524</v>
      </c>
      <c r="S4151" t="s">
        <v>26</v>
      </c>
    </row>
    <row r="4152" spans="1:19" x14ac:dyDescent="0.3">
      <c r="A4152" t="s">
        <v>20660</v>
      </c>
      <c r="B4152" t="s">
        <v>21672</v>
      </c>
      <c r="C4152" t="s">
        <v>21772</v>
      </c>
      <c r="D4152" t="s">
        <v>20661</v>
      </c>
      <c r="E4152" t="s">
        <v>20700</v>
      </c>
      <c r="F4152" t="s">
        <v>20700</v>
      </c>
      <c r="G4152" t="s">
        <v>21771</v>
      </c>
      <c r="H4152" t="s">
        <v>868</v>
      </c>
      <c r="I4152" t="s">
        <v>950</v>
      </c>
      <c r="J4152" t="str">
        <f>"9220083"</f>
        <v>9220083</v>
      </c>
      <c r="K4152">
        <v>2444041390</v>
      </c>
      <c r="L4152">
        <v>2444041390</v>
      </c>
      <c r="M4152" t="s">
        <v>21773</v>
      </c>
      <c r="N4152" t="s">
        <v>21774</v>
      </c>
      <c r="O4152" t="s">
        <v>21774</v>
      </c>
      <c r="P4152">
        <v>43200</v>
      </c>
      <c r="Q4152" t="str">
        <f>"39.494086"</f>
        <v>39.494086</v>
      </c>
      <c r="R4152" t="str">
        <f>"22.011429"</f>
        <v>22.011429</v>
      </c>
      <c r="S4152" t="s">
        <v>26</v>
      </c>
    </row>
    <row r="4153" spans="1:19" x14ac:dyDescent="0.3">
      <c r="A4153" t="s">
        <v>20660</v>
      </c>
      <c r="B4153" t="s">
        <v>21672</v>
      </c>
      <c r="C4153" t="s">
        <v>20699</v>
      </c>
      <c r="D4153" t="s">
        <v>20661</v>
      </c>
      <c r="E4153" t="s">
        <v>20687</v>
      </c>
      <c r="F4153" t="s">
        <v>20693</v>
      </c>
      <c r="G4153" t="s">
        <v>20694</v>
      </c>
      <c r="H4153" t="s">
        <v>868</v>
      </c>
      <c r="I4153" t="s">
        <v>950</v>
      </c>
      <c r="J4153" t="str">
        <f>"9220030"</f>
        <v>9220030</v>
      </c>
      <c r="K4153">
        <v>2443051358</v>
      </c>
      <c r="L4153">
        <v>2443051358</v>
      </c>
      <c r="M4153" t="s">
        <v>21775</v>
      </c>
      <c r="N4153" t="s">
        <v>20697</v>
      </c>
      <c r="O4153" t="s">
        <v>20697</v>
      </c>
      <c r="P4153">
        <v>43300</v>
      </c>
      <c r="Q4153" t="str">
        <f>"39.207398"</f>
        <v>39.207398</v>
      </c>
      <c r="R4153" t="str">
        <f>"22.042552"</f>
        <v>22.042552</v>
      </c>
      <c r="S4153" t="s">
        <v>26</v>
      </c>
    </row>
    <row r="4154" spans="1:19" x14ac:dyDescent="0.3">
      <c r="A4154" t="s">
        <v>20660</v>
      </c>
      <c r="B4154" t="s">
        <v>21672</v>
      </c>
      <c r="C4154" t="s">
        <v>21777</v>
      </c>
      <c r="D4154" t="s">
        <v>20661</v>
      </c>
      <c r="E4154" t="s">
        <v>20700</v>
      </c>
      <c r="F4154" t="s">
        <v>20724</v>
      </c>
      <c r="G4154" t="s">
        <v>21776</v>
      </c>
      <c r="H4154" t="s">
        <v>868</v>
      </c>
      <c r="I4154" t="s">
        <v>950</v>
      </c>
      <c r="J4154" t="str">
        <f>"9220091"</f>
        <v>9220091</v>
      </c>
      <c r="K4154">
        <v>2444071253</v>
      </c>
      <c r="L4154">
        <v>2444071314</v>
      </c>
      <c r="M4154" t="s">
        <v>21778</v>
      </c>
      <c r="N4154" t="s">
        <v>21779</v>
      </c>
      <c r="O4154" t="s">
        <v>21780</v>
      </c>
      <c r="P4154">
        <v>43061</v>
      </c>
      <c r="Q4154" t="str">
        <f>"39.529558"</f>
        <v>39.529558</v>
      </c>
      <c r="R4154" t="str">
        <f>"21.996383"</f>
        <v>21.996383</v>
      </c>
      <c r="S4154" t="s">
        <v>26</v>
      </c>
    </row>
    <row r="4155" spans="1:19" x14ac:dyDescent="0.3">
      <c r="A4155" t="s">
        <v>20660</v>
      </c>
      <c r="B4155" t="s">
        <v>21672</v>
      </c>
      <c r="C4155" t="s">
        <v>20692</v>
      </c>
      <c r="D4155" t="s">
        <v>20661</v>
      </c>
      <c r="E4155" t="s">
        <v>20687</v>
      </c>
      <c r="F4155" t="s">
        <v>20687</v>
      </c>
      <c r="G4155" t="s">
        <v>20687</v>
      </c>
      <c r="H4155" t="s">
        <v>868</v>
      </c>
      <c r="I4155" t="s">
        <v>869</v>
      </c>
      <c r="J4155" t="str">
        <f>"9220209"</f>
        <v>9220209</v>
      </c>
      <c r="K4155">
        <v>2443022373</v>
      </c>
      <c r="L4155">
        <v>2443022373</v>
      </c>
      <c r="M4155" t="s">
        <v>21781</v>
      </c>
      <c r="N4155" t="s">
        <v>20822</v>
      </c>
      <c r="O4155" t="s">
        <v>21679</v>
      </c>
      <c r="P4155">
        <v>43300</v>
      </c>
      <c r="Q4155" t="str">
        <f>"39.333199"</f>
        <v>39.333199</v>
      </c>
      <c r="R4155" t="str">
        <f>"22.102480"</f>
        <v>22.102480</v>
      </c>
      <c r="S4155" t="s">
        <v>26</v>
      </c>
    </row>
    <row r="4156" spans="1:19" x14ac:dyDescent="0.3">
      <c r="A4156" t="s">
        <v>20660</v>
      </c>
      <c r="B4156" t="s">
        <v>21672</v>
      </c>
      <c r="C4156" t="s">
        <v>21782</v>
      </c>
      <c r="D4156" t="s">
        <v>20661</v>
      </c>
      <c r="E4156" t="s">
        <v>20687</v>
      </c>
      <c r="F4156" t="s">
        <v>20687</v>
      </c>
      <c r="G4156" t="s">
        <v>21673</v>
      </c>
      <c r="H4156" t="s">
        <v>868</v>
      </c>
      <c r="I4156" t="s">
        <v>869</v>
      </c>
      <c r="J4156" t="str">
        <f>"9220024"</f>
        <v>9220024</v>
      </c>
      <c r="K4156">
        <v>2443092245</v>
      </c>
      <c r="L4156">
        <v>2443092245</v>
      </c>
      <c r="M4156" t="s">
        <v>21783</v>
      </c>
      <c r="N4156" t="s">
        <v>21784</v>
      </c>
      <c r="O4156" t="s">
        <v>21676</v>
      </c>
      <c r="P4156">
        <v>43300</v>
      </c>
      <c r="Q4156" t="str">
        <f>"39.335673"</f>
        <v>39.335673</v>
      </c>
      <c r="R4156" t="str">
        <f>"22.012872"</f>
        <v>22.012872</v>
      </c>
      <c r="S4156" t="s">
        <v>26</v>
      </c>
    </row>
    <row r="4157" spans="1:19" x14ac:dyDescent="0.3">
      <c r="A4157" t="s">
        <v>20660</v>
      </c>
      <c r="B4157" t="s">
        <v>21672</v>
      </c>
      <c r="C4157" t="s">
        <v>21789</v>
      </c>
      <c r="D4157" t="s">
        <v>20661</v>
      </c>
      <c r="E4157" t="s">
        <v>20661</v>
      </c>
      <c r="F4157" t="s">
        <v>20661</v>
      </c>
      <c r="G4157" t="s">
        <v>20662</v>
      </c>
      <c r="H4157" t="s">
        <v>868</v>
      </c>
      <c r="I4157" t="s">
        <v>869</v>
      </c>
      <c r="J4157" t="str">
        <f>"9220205"</f>
        <v>9220205</v>
      </c>
      <c r="K4157">
        <v>2441022302</v>
      </c>
      <c r="L4157">
        <v>2441022683</v>
      </c>
      <c r="M4157" t="s">
        <v>21790</v>
      </c>
      <c r="N4157" t="s">
        <v>20665</v>
      </c>
      <c r="O4157" t="s">
        <v>21791</v>
      </c>
      <c r="P4157">
        <v>43100</v>
      </c>
      <c r="Q4157" t="str">
        <f>"39.367275"</f>
        <v>39.367275</v>
      </c>
      <c r="R4157" t="str">
        <f>"21.905865"</f>
        <v>21.905865</v>
      </c>
      <c r="S4157" t="s">
        <v>26</v>
      </c>
    </row>
    <row r="4158" spans="1:19" x14ac:dyDescent="0.3">
      <c r="A4158" t="s">
        <v>20660</v>
      </c>
      <c r="B4158" t="s">
        <v>21672</v>
      </c>
      <c r="C4158" t="s">
        <v>21794</v>
      </c>
      <c r="D4158" t="s">
        <v>20661</v>
      </c>
      <c r="E4158" t="s">
        <v>20661</v>
      </c>
      <c r="F4158" t="s">
        <v>21792</v>
      </c>
      <c r="G4158" t="s">
        <v>21793</v>
      </c>
      <c r="H4158" t="s">
        <v>868</v>
      </c>
      <c r="I4158" t="s">
        <v>869</v>
      </c>
      <c r="J4158" t="str">
        <f>"9220215"</f>
        <v>9220215</v>
      </c>
      <c r="K4158">
        <v>2441061476</v>
      </c>
      <c r="L4158">
        <v>2441061476</v>
      </c>
      <c r="M4158" t="s">
        <v>21795</v>
      </c>
      <c r="N4158" t="s">
        <v>20665</v>
      </c>
      <c r="O4158" t="s">
        <v>21796</v>
      </c>
      <c r="P4158">
        <v>43100</v>
      </c>
      <c r="Q4158" t="str">
        <f>"39.369638"</f>
        <v>39.369638</v>
      </c>
      <c r="R4158" t="str">
        <f>"22.005847"</f>
        <v>22.005847</v>
      </c>
      <c r="S4158" t="s">
        <v>26</v>
      </c>
    </row>
    <row r="4159" spans="1:19" x14ac:dyDescent="0.3">
      <c r="A4159" t="s">
        <v>20660</v>
      </c>
      <c r="B4159" t="s">
        <v>21672</v>
      </c>
      <c r="C4159" t="s">
        <v>21797</v>
      </c>
      <c r="D4159" t="s">
        <v>20661</v>
      </c>
      <c r="E4159" t="s">
        <v>20661</v>
      </c>
      <c r="F4159" t="s">
        <v>21792</v>
      </c>
      <c r="G4159" t="s">
        <v>20846</v>
      </c>
      <c r="H4159" t="s">
        <v>868</v>
      </c>
      <c r="I4159" t="s">
        <v>950</v>
      </c>
      <c r="J4159" t="str">
        <f>"9220089"</f>
        <v>9220089</v>
      </c>
      <c r="K4159">
        <v>2441067147</v>
      </c>
      <c r="L4159">
        <v>2441067173</v>
      </c>
      <c r="M4159" t="s">
        <v>21798</v>
      </c>
      <c r="N4159" t="s">
        <v>20849</v>
      </c>
      <c r="O4159" t="s">
        <v>20849</v>
      </c>
      <c r="P4159">
        <v>43100</v>
      </c>
      <c r="Q4159" t="str">
        <f>"39.439084"</f>
        <v>39.439084</v>
      </c>
      <c r="R4159" t="str">
        <f>"21.966633"</f>
        <v>21.966633</v>
      </c>
      <c r="S4159" t="s">
        <v>26</v>
      </c>
    </row>
    <row r="4160" spans="1:19" x14ac:dyDescent="0.3">
      <c r="A4160" t="s">
        <v>20660</v>
      </c>
      <c r="B4160" t="s">
        <v>21672</v>
      </c>
      <c r="C4160" t="s">
        <v>20733</v>
      </c>
      <c r="D4160" t="s">
        <v>20661</v>
      </c>
      <c r="E4160" t="s">
        <v>20700</v>
      </c>
      <c r="F4160" t="s">
        <v>20700</v>
      </c>
      <c r="G4160" t="s">
        <v>20700</v>
      </c>
      <c r="H4160" t="s">
        <v>868</v>
      </c>
      <c r="I4160" t="s">
        <v>869</v>
      </c>
      <c r="J4160" t="str">
        <f>"9220098"</f>
        <v>9220098</v>
      </c>
      <c r="K4160">
        <v>2444022150</v>
      </c>
      <c r="L4160">
        <v>2444022615</v>
      </c>
      <c r="M4160" t="s">
        <v>21799</v>
      </c>
      <c r="N4160" t="s">
        <v>21704</v>
      </c>
      <c r="O4160" t="s">
        <v>21800</v>
      </c>
      <c r="P4160">
        <v>43200</v>
      </c>
      <c r="Q4160" t="str">
        <f>"39.463671"</f>
        <v>39.463671</v>
      </c>
      <c r="R4160" t="str">
        <f>"22.075917"</f>
        <v>22.075917</v>
      </c>
      <c r="S4160" t="s">
        <v>26</v>
      </c>
    </row>
    <row r="4161" spans="1:19" x14ac:dyDescent="0.3">
      <c r="A4161" t="s">
        <v>20660</v>
      </c>
      <c r="B4161" t="s">
        <v>21672</v>
      </c>
      <c r="C4161" t="s">
        <v>20709</v>
      </c>
      <c r="D4161" t="s">
        <v>20661</v>
      </c>
      <c r="E4161" t="s">
        <v>20687</v>
      </c>
      <c r="F4161" t="s">
        <v>20687</v>
      </c>
      <c r="G4161" t="s">
        <v>20687</v>
      </c>
      <c r="H4161" t="s">
        <v>868</v>
      </c>
      <c r="I4161" t="s">
        <v>869</v>
      </c>
      <c r="J4161" t="str">
        <f>"9220211"</f>
        <v>9220211</v>
      </c>
      <c r="K4161">
        <v>2443022450</v>
      </c>
      <c r="L4161">
        <v>2443022450</v>
      </c>
      <c r="M4161" t="s">
        <v>21808</v>
      </c>
      <c r="N4161" t="s">
        <v>20822</v>
      </c>
      <c r="O4161" t="s">
        <v>21809</v>
      </c>
      <c r="P4161">
        <v>43300</v>
      </c>
      <c r="Q4161" t="str">
        <f>"39.337029"</f>
        <v>39.337029</v>
      </c>
      <c r="R4161" t="str">
        <f>"22.092405"</f>
        <v>22.092405</v>
      </c>
      <c r="S4161" t="s">
        <v>26</v>
      </c>
    </row>
    <row r="4162" spans="1:19" x14ac:dyDescent="0.3">
      <c r="A4162" t="s">
        <v>20660</v>
      </c>
      <c r="B4162" t="s">
        <v>21672</v>
      </c>
      <c r="C4162" t="s">
        <v>21816</v>
      </c>
      <c r="D4162" t="s">
        <v>20661</v>
      </c>
      <c r="E4162" t="s">
        <v>17000</v>
      </c>
      <c r="F4162" t="s">
        <v>20802</v>
      </c>
      <c r="G4162" t="s">
        <v>21815</v>
      </c>
      <c r="H4162" t="s">
        <v>868</v>
      </c>
      <c r="I4162" t="s">
        <v>869</v>
      </c>
      <c r="J4162" t="str">
        <f>"9220118"</f>
        <v>9220118</v>
      </c>
      <c r="K4162">
        <v>2441084214</v>
      </c>
      <c r="L4162">
        <v>2441084214</v>
      </c>
      <c r="M4162" t="s">
        <v>21817</v>
      </c>
      <c r="N4162" t="s">
        <v>21818</v>
      </c>
      <c r="O4162" t="s">
        <v>21819</v>
      </c>
      <c r="P4162">
        <v>43061</v>
      </c>
      <c r="Q4162" t="str">
        <f>"39.484367"</f>
        <v>39.484367</v>
      </c>
      <c r="R4162" t="str">
        <f>"21.847179"</f>
        <v>21.847179</v>
      </c>
      <c r="S4162" t="s">
        <v>26</v>
      </c>
    </row>
    <row r="4163" spans="1:19" x14ac:dyDescent="0.3">
      <c r="A4163" t="s">
        <v>20660</v>
      </c>
      <c r="B4163" t="s">
        <v>21672</v>
      </c>
      <c r="C4163" t="s">
        <v>20717</v>
      </c>
      <c r="D4163" t="s">
        <v>20661</v>
      </c>
      <c r="E4163" t="s">
        <v>20661</v>
      </c>
      <c r="F4163" t="s">
        <v>20661</v>
      </c>
      <c r="G4163" t="s">
        <v>20662</v>
      </c>
      <c r="H4163" t="s">
        <v>868</v>
      </c>
      <c r="I4163" t="s">
        <v>869</v>
      </c>
      <c r="J4163" t="str">
        <f>"9220064"</f>
        <v>9220064</v>
      </c>
      <c r="K4163">
        <v>2441021371</v>
      </c>
      <c r="L4163">
        <v>2441021371</v>
      </c>
      <c r="M4163" t="s">
        <v>21824</v>
      </c>
      <c r="N4163" t="s">
        <v>20665</v>
      </c>
      <c r="O4163" t="s">
        <v>21825</v>
      </c>
      <c r="P4163">
        <v>43100</v>
      </c>
      <c r="Q4163" t="str">
        <f>"39.374087"</f>
        <v>39.374087</v>
      </c>
      <c r="R4163" t="str">
        <f>"21.916299"</f>
        <v>21.916299</v>
      </c>
      <c r="S4163" t="s">
        <v>26</v>
      </c>
    </row>
    <row r="4164" spans="1:19" x14ac:dyDescent="0.3">
      <c r="A4164" t="s">
        <v>20660</v>
      </c>
      <c r="B4164" t="s">
        <v>21672</v>
      </c>
      <c r="C4164" t="s">
        <v>20824</v>
      </c>
      <c r="D4164" t="s">
        <v>20661</v>
      </c>
      <c r="E4164" t="s">
        <v>20687</v>
      </c>
      <c r="F4164" t="s">
        <v>20687</v>
      </c>
      <c r="G4164" t="s">
        <v>20687</v>
      </c>
      <c r="H4164" t="s">
        <v>868</v>
      </c>
      <c r="I4164" t="s">
        <v>869</v>
      </c>
      <c r="J4164" t="str">
        <f>"9220359"</f>
        <v>9220359</v>
      </c>
      <c r="K4164">
        <v>2443024154</v>
      </c>
      <c r="L4164">
        <v>2443024154</v>
      </c>
      <c r="M4164" t="s">
        <v>21837</v>
      </c>
      <c r="N4164" t="s">
        <v>20687</v>
      </c>
      <c r="O4164" t="s">
        <v>21838</v>
      </c>
      <c r="P4164">
        <v>43300</v>
      </c>
      <c r="Q4164" t="str">
        <f>"39.327769"</f>
        <v>39.327769</v>
      </c>
      <c r="R4164" t="str">
        <f>"22.099848"</f>
        <v>22.099848</v>
      </c>
      <c r="S4164" t="s">
        <v>26</v>
      </c>
    </row>
    <row r="4165" spans="1:19" x14ac:dyDescent="0.3">
      <c r="A4165" t="s">
        <v>20660</v>
      </c>
      <c r="B4165" t="s">
        <v>21672</v>
      </c>
      <c r="C4165" t="s">
        <v>20816</v>
      </c>
      <c r="D4165" t="s">
        <v>20661</v>
      </c>
      <c r="E4165" t="s">
        <v>20661</v>
      </c>
      <c r="F4165" t="s">
        <v>20661</v>
      </c>
      <c r="G4165" t="s">
        <v>20662</v>
      </c>
      <c r="H4165" t="s">
        <v>868</v>
      </c>
      <c r="I4165" t="s">
        <v>869</v>
      </c>
      <c r="J4165" t="str">
        <f>"9520687"</f>
        <v>9520687</v>
      </c>
      <c r="K4165">
        <v>2441075134</v>
      </c>
      <c r="L4165">
        <v>2441075134</v>
      </c>
      <c r="M4165" t="s">
        <v>21842</v>
      </c>
      <c r="N4165" t="s">
        <v>20665</v>
      </c>
      <c r="O4165" t="s">
        <v>2622</v>
      </c>
      <c r="P4165">
        <v>43100</v>
      </c>
      <c r="Q4165" t="str">
        <f>"39.375191"</f>
        <v>39.375191</v>
      </c>
      <c r="R4165" t="str">
        <f>"21.930649"</f>
        <v>21.930649</v>
      </c>
      <c r="S4165" t="s">
        <v>26</v>
      </c>
    </row>
    <row r="4166" spans="1:19" x14ac:dyDescent="0.3">
      <c r="A4166" t="s">
        <v>20660</v>
      </c>
      <c r="B4166" t="s">
        <v>21672</v>
      </c>
      <c r="C4166" t="s">
        <v>21849</v>
      </c>
      <c r="D4166" t="s">
        <v>20661</v>
      </c>
      <c r="E4166" t="s">
        <v>20687</v>
      </c>
      <c r="F4166" t="s">
        <v>21847</v>
      </c>
      <c r="G4166" t="s">
        <v>21848</v>
      </c>
      <c r="H4166" t="s">
        <v>868</v>
      </c>
      <c r="I4166" t="s">
        <v>950</v>
      </c>
      <c r="J4166" t="str">
        <f>"9220259"</f>
        <v>9220259</v>
      </c>
      <c r="K4166">
        <v>2443071236</v>
      </c>
      <c r="L4166">
        <v>2443071236</v>
      </c>
      <c r="M4166" t="s">
        <v>21850</v>
      </c>
      <c r="N4166" t="s">
        <v>21851</v>
      </c>
      <c r="O4166" t="s">
        <v>21851</v>
      </c>
      <c r="P4166">
        <v>43068</v>
      </c>
      <c r="Q4166" t="str">
        <f>"39.062343"</f>
        <v>39.062343</v>
      </c>
      <c r="R4166" t="str">
        <f>"21.978838"</f>
        <v>21.978838</v>
      </c>
      <c r="S4166" t="s">
        <v>57</v>
      </c>
    </row>
    <row r="4167" spans="1:19" x14ac:dyDescent="0.3">
      <c r="A4167" t="s">
        <v>20660</v>
      </c>
      <c r="B4167" t="s">
        <v>21672</v>
      </c>
      <c r="C4167" t="s">
        <v>21852</v>
      </c>
      <c r="D4167" t="s">
        <v>20661</v>
      </c>
      <c r="E4167" t="s">
        <v>20700</v>
      </c>
      <c r="F4167" t="s">
        <v>20700</v>
      </c>
      <c r="G4167" t="s">
        <v>20700</v>
      </c>
      <c r="H4167" t="s">
        <v>868</v>
      </c>
      <c r="I4167" t="s">
        <v>869</v>
      </c>
      <c r="J4167" t="str">
        <f>"9220099"</f>
        <v>9220099</v>
      </c>
      <c r="K4167">
        <v>2444022792</v>
      </c>
      <c r="L4167">
        <v>2444029093</v>
      </c>
      <c r="M4167" t="s">
        <v>21853</v>
      </c>
      <c r="N4167" t="s">
        <v>21704</v>
      </c>
      <c r="O4167" t="s">
        <v>21854</v>
      </c>
      <c r="P4167">
        <v>43200</v>
      </c>
      <c r="Q4167" t="str">
        <f>"39.472609"</f>
        <v>39.472609</v>
      </c>
      <c r="R4167" t="str">
        <f>"22.091027"</f>
        <v>22.091027</v>
      </c>
      <c r="S4167" t="s">
        <v>26</v>
      </c>
    </row>
    <row r="4168" spans="1:19" x14ac:dyDescent="0.3">
      <c r="A4168" t="s">
        <v>20660</v>
      </c>
      <c r="B4168" t="s">
        <v>21672</v>
      </c>
      <c r="C4168" t="s">
        <v>21879</v>
      </c>
      <c r="D4168" t="s">
        <v>20661</v>
      </c>
      <c r="E4168" t="s">
        <v>20661</v>
      </c>
      <c r="F4168" t="s">
        <v>21792</v>
      </c>
      <c r="G4168" t="s">
        <v>21878</v>
      </c>
      <c r="H4168" t="s">
        <v>868</v>
      </c>
      <c r="I4168" t="s">
        <v>869</v>
      </c>
      <c r="J4168" t="str">
        <f>"9220260"</f>
        <v>9220260</v>
      </c>
      <c r="K4168">
        <v>2441061332</v>
      </c>
      <c r="L4168">
        <v>2441061332</v>
      </c>
      <c r="M4168" t="s">
        <v>21880</v>
      </c>
      <c r="N4168" t="s">
        <v>21881</v>
      </c>
      <c r="O4168" t="s">
        <v>21881</v>
      </c>
      <c r="P4168">
        <v>43132</v>
      </c>
      <c r="Q4168" t="str">
        <f>"39.363037"</f>
        <v>39.363037</v>
      </c>
      <c r="R4168" t="str">
        <f>"21.973255"</f>
        <v>21.973255</v>
      </c>
      <c r="S4168" t="s">
        <v>26</v>
      </c>
    </row>
    <row r="4169" spans="1:19" x14ac:dyDescent="0.3">
      <c r="A4169" t="s">
        <v>20660</v>
      </c>
      <c r="B4169" t="s">
        <v>21672</v>
      </c>
      <c r="C4169" t="s">
        <v>21898</v>
      </c>
      <c r="D4169" t="s">
        <v>20661</v>
      </c>
      <c r="E4169" t="s">
        <v>20700</v>
      </c>
      <c r="F4169" t="s">
        <v>20763</v>
      </c>
      <c r="G4169" t="s">
        <v>20763</v>
      </c>
      <c r="H4169" t="s">
        <v>868</v>
      </c>
      <c r="I4169" t="s">
        <v>869</v>
      </c>
      <c r="J4169" t="str">
        <f>"9220267"</f>
        <v>9220267</v>
      </c>
      <c r="K4169">
        <v>2444031100</v>
      </c>
      <c r="L4169">
        <v>2444031100</v>
      </c>
      <c r="M4169" t="s">
        <v>21899</v>
      </c>
      <c r="N4169" t="s">
        <v>21900</v>
      </c>
      <c r="O4169" t="s">
        <v>21900</v>
      </c>
      <c r="P4169">
        <v>43062</v>
      </c>
      <c r="Q4169" t="str">
        <f>"39.427589"</f>
        <v>39.427589</v>
      </c>
      <c r="R4169" t="str">
        <f>"22.190981"</f>
        <v>22.190981</v>
      </c>
      <c r="S4169" t="s">
        <v>26</v>
      </c>
    </row>
    <row r="4170" spans="1:19" x14ac:dyDescent="0.3">
      <c r="A4170" t="s">
        <v>20660</v>
      </c>
      <c r="B4170" t="s">
        <v>21672</v>
      </c>
      <c r="C4170" t="s">
        <v>21908</v>
      </c>
      <c r="D4170" t="s">
        <v>20661</v>
      </c>
      <c r="E4170" t="s">
        <v>17000</v>
      </c>
      <c r="F4170" t="s">
        <v>17000</v>
      </c>
      <c r="G4170" t="s">
        <v>21888</v>
      </c>
      <c r="H4170" t="s">
        <v>868</v>
      </c>
      <c r="I4170" t="s">
        <v>869</v>
      </c>
      <c r="J4170" t="str">
        <f>"9220169"</f>
        <v>9220169</v>
      </c>
      <c r="K4170">
        <v>2445097478</v>
      </c>
      <c r="L4170">
        <v>2445097479</v>
      </c>
      <c r="M4170" t="s">
        <v>21909</v>
      </c>
      <c r="N4170" t="s">
        <v>21891</v>
      </c>
      <c r="O4170" t="s">
        <v>21910</v>
      </c>
      <c r="P4170">
        <v>43060</v>
      </c>
      <c r="Q4170" t="str">
        <f>"39.424620"</f>
        <v>39.424620</v>
      </c>
      <c r="R4170" t="str">
        <f>"21.692966"</f>
        <v>21.692966</v>
      </c>
      <c r="S4170" t="s">
        <v>26</v>
      </c>
    </row>
    <row r="4171" spans="1:19" x14ac:dyDescent="0.3">
      <c r="A4171" t="s">
        <v>20660</v>
      </c>
      <c r="B4171" t="s">
        <v>21672</v>
      </c>
      <c r="C4171" t="s">
        <v>21922</v>
      </c>
      <c r="D4171" t="s">
        <v>20661</v>
      </c>
      <c r="E4171" t="s">
        <v>21750</v>
      </c>
      <c r="F4171" t="s">
        <v>21801</v>
      </c>
      <c r="G4171" t="s">
        <v>21802</v>
      </c>
      <c r="H4171" t="s">
        <v>868</v>
      </c>
      <c r="I4171" t="s">
        <v>950</v>
      </c>
      <c r="J4171" t="str">
        <f>"9220038"</f>
        <v>9220038</v>
      </c>
      <c r="K4171">
        <v>2441095232</v>
      </c>
      <c r="L4171">
        <v>2114095232</v>
      </c>
      <c r="M4171" t="s">
        <v>21923</v>
      </c>
      <c r="N4171" t="s">
        <v>21802</v>
      </c>
      <c r="O4171" t="s">
        <v>21805</v>
      </c>
      <c r="P4171">
        <v>43150</v>
      </c>
      <c r="Q4171" t="str">
        <f>"39.341276"</f>
        <v>39.341276</v>
      </c>
      <c r="R4171" t="str">
        <f>"21.760460"</f>
        <v>21.760460</v>
      </c>
      <c r="S4171" t="s">
        <v>26</v>
      </c>
    </row>
    <row r="4172" spans="1:19" x14ac:dyDescent="0.3">
      <c r="A4172" t="s">
        <v>20660</v>
      </c>
      <c r="B4172" t="s">
        <v>21672</v>
      </c>
      <c r="C4172" t="s">
        <v>21938</v>
      </c>
      <c r="D4172" t="s">
        <v>20661</v>
      </c>
      <c r="E4172" t="s">
        <v>20661</v>
      </c>
      <c r="F4172" t="s">
        <v>20661</v>
      </c>
      <c r="G4172" t="s">
        <v>21785</v>
      </c>
      <c r="H4172" t="s">
        <v>868</v>
      </c>
      <c r="I4172" t="s">
        <v>869</v>
      </c>
      <c r="J4172" t="str">
        <f>"9220072"</f>
        <v>9220072</v>
      </c>
      <c r="K4172">
        <v>2441021393</v>
      </c>
      <c r="L4172">
        <v>2441021393</v>
      </c>
      <c r="M4172" t="s">
        <v>21939</v>
      </c>
      <c r="N4172" t="s">
        <v>21940</v>
      </c>
      <c r="O4172" t="s">
        <v>21788</v>
      </c>
      <c r="P4172">
        <v>43100</v>
      </c>
      <c r="Q4172" t="str">
        <f>"39.402617"</f>
        <v>39.402617</v>
      </c>
      <c r="R4172" t="str">
        <f>"21.894853"</f>
        <v>21.894853</v>
      </c>
      <c r="S4172" t="s">
        <v>26</v>
      </c>
    </row>
    <row r="4173" spans="1:19" x14ac:dyDescent="0.3">
      <c r="A4173" t="s">
        <v>20660</v>
      </c>
      <c r="B4173" t="s">
        <v>21672</v>
      </c>
      <c r="C4173" t="s">
        <v>21941</v>
      </c>
      <c r="D4173" t="s">
        <v>20661</v>
      </c>
      <c r="E4173" t="s">
        <v>20661</v>
      </c>
      <c r="F4173" t="s">
        <v>20661</v>
      </c>
      <c r="G4173" t="s">
        <v>20662</v>
      </c>
      <c r="H4173" t="s">
        <v>868</v>
      </c>
      <c r="I4173" t="s">
        <v>869</v>
      </c>
      <c r="J4173" t="str">
        <f>"9220332"</f>
        <v>9220332</v>
      </c>
      <c r="K4173">
        <v>2441073912</v>
      </c>
      <c r="L4173">
        <v>2441021773</v>
      </c>
      <c r="M4173" t="s">
        <v>21942</v>
      </c>
      <c r="N4173" t="s">
        <v>20739</v>
      </c>
      <c r="O4173" t="s">
        <v>21943</v>
      </c>
      <c r="P4173">
        <v>43100</v>
      </c>
      <c r="Q4173" t="str">
        <f>"39.365468"</f>
        <v>39.365468</v>
      </c>
      <c r="R4173" t="str">
        <f>"21.926746"</f>
        <v>21.926746</v>
      </c>
      <c r="S4173" t="s">
        <v>26</v>
      </c>
    </row>
    <row r="4174" spans="1:19" x14ac:dyDescent="0.3">
      <c r="A4174" t="s">
        <v>20660</v>
      </c>
      <c r="B4174" t="s">
        <v>21672</v>
      </c>
      <c r="C4174" t="s">
        <v>21944</v>
      </c>
      <c r="D4174" t="s">
        <v>20661</v>
      </c>
      <c r="E4174" t="s">
        <v>20661</v>
      </c>
      <c r="F4174" t="s">
        <v>20661</v>
      </c>
      <c r="G4174" t="s">
        <v>21843</v>
      </c>
      <c r="H4174" t="s">
        <v>868</v>
      </c>
      <c r="I4174" t="s">
        <v>869</v>
      </c>
      <c r="J4174" t="str">
        <f>"9220081"</f>
        <v>9220081</v>
      </c>
      <c r="K4174">
        <v>2441028506</v>
      </c>
      <c r="L4174">
        <v>2441028503</v>
      </c>
      <c r="M4174" t="s">
        <v>21945</v>
      </c>
      <c r="N4174" t="s">
        <v>21846</v>
      </c>
      <c r="O4174" t="s">
        <v>21946</v>
      </c>
      <c r="P4174">
        <v>43100</v>
      </c>
      <c r="Q4174" t="str">
        <f>"39.392226"</f>
        <v>39.392226</v>
      </c>
      <c r="R4174" t="str">
        <f>"21.921493"</f>
        <v>21.921493</v>
      </c>
      <c r="S4174" t="s">
        <v>26</v>
      </c>
    </row>
    <row r="4175" spans="1:19" x14ac:dyDescent="0.3">
      <c r="A4175" t="s">
        <v>20660</v>
      </c>
      <c r="B4175" t="s">
        <v>21672</v>
      </c>
      <c r="C4175" t="s">
        <v>21947</v>
      </c>
      <c r="D4175" t="s">
        <v>20661</v>
      </c>
      <c r="E4175" t="s">
        <v>20661</v>
      </c>
      <c r="F4175" t="s">
        <v>20661</v>
      </c>
      <c r="G4175" t="s">
        <v>20662</v>
      </c>
      <c r="H4175" t="s">
        <v>868</v>
      </c>
      <c r="I4175" t="s">
        <v>1157</v>
      </c>
      <c r="J4175" t="str">
        <f>"9220360"</f>
        <v>9220360</v>
      </c>
      <c r="K4175">
        <v>2441041534</v>
      </c>
      <c r="L4175">
        <v>2441041534</v>
      </c>
      <c r="M4175" t="s">
        <v>21948</v>
      </c>
      <c r="N4175" t="s">
        <v>20665</v>
      </c>
      <c r="O4175" t="s">
        <v>21763</v>
      </c>
      <c r="P4175">
        <v>43100</v>
      </c>
      <c r="Q4175" t="str">
        <f>"39.356654"</f>
        <v>39.356654</v>
      </c>
      <c r="R4175" t="str">
        <f>"21.912514"</f>
        <v>21.912514</v>
      </c>
      <c r="S4175" t="s">
        <v>26</v>
      </c>
    </row>
    <row r="4176" spans="1:19" x14ac:dyDescent="0.3">
      <c r="A4176" t="s">
        <v>20660</v>
      </c>
      <c r="B4176" t="s">
        <v>21672</v>
      </c>
      <c r="C4176" t="s">
        <v>21951</v>
      </c>
      <c r="D4176" t="s">
        <v>20661</v>
      </c>
      <c r="E4176" t="s">
        <v>20661</v>
      </c>
      <c r="F4176" t="s">
        <v>20661</v>
      </c>
      <c r="G4176" t="s">
        <v>20662</v>
      </c>
      <c r="H4176" t="s">
        <v>868</v>
      </c>
      <c r="I4176" t="s">
        <v>869</v>
      </c>
      <c r="J4176" t="str">
        <f>"9220001"</f>
        <v>9220001</v>
      </c>
      <c r="K4176">
        <v>2441023978</v>
      </c>
      <c r="L4176">
        <v>2441073860</v>
      </c>
      <c r="M4176" t="s">
        <v>21952</v>
      </c>
      <c r="N4176" t="s">
        <v>20739</v>
      </c>
      <c r="O4176" t="s">
        <v>21953</v>
      </c>
      <c r="P4176">
        <v>43132</v>
      </c>
      <c r="Q4176" t="str">
        <f>"39.363810"</f>
        <v>39.363810</v>
      </c>
      <c r="R4176" t="str">
        <f>"21.915383"</f>
        <v>21.915383</v>
      </c>
      <c r="S4176" t="s">
        <v>26</v>
      </c>
    </row>
    <row r="4177" spans="1:19" x14ac:dyDescent="0.3">
      <c r="A4177" t="s">
        <v>20660</v>
      </c>
      <c r="B4177" t="s">
        <v>21672</v>
      </c>
      <c r="C4177" t="s">
        <v>21956</v>
      </c>
      <c r="D4177" t="s">
        <v>20661</v>
      </c>
      <c r="E4177" t="s">
        <v>20661</v>
      </c>
      <c r="F4177" t="s">
        <v>20661</v>
      </c>
      <c r="G4177" t="s">
        <v>20662</v>
      </c>
      <c r="H4177" t="s">
        <v>868</v>
      </c>
      <c r="I4177" t="s">
        <v>869</v>
      </c>
      <c r="J4177" t="str">
        <f>"9220403"</f>
        <v>9220403</v>
      </c>
      <c r="K4177">
        <v>2441070665</v>
      </c>
      <c r="L4177">
        <v>2441079743</v>
      </c>
      <c r="M4177" t="s">
        <v>21957</v>
      </c>
      <c r="N4177" t="s">
        <v>20739</v>
      </c>
      <c r="O4177" t="s">
        <v>21958</v>
      </c>
      <c r="P4177">
        <v>43132</v>
      </c>
      <c r="Q4177" t="str">
        <f>"39.357225"</f>
        <v>39.357225</v>
      </c>
      <c r="R4177" t="str">
        <f>"21.931071"</f>
        <v>21.931071</v>
      </c>
      <c r="S4177" t="s">
        <v>26</v>
      </c>
    </row>
    <row r="4178" spans="1:19" x14ac:dyDescent="0.3">
      <c r="A4178" t="s">
        <v>20660</v>
      </c>
      <c r="B4178" t="s">
        <v>21672</v>
      </c>
      <c r="C4178" t="s">
        <v>21959</v>
      </c>
      <c r="D4178" t="s">
        <v>20661</v>
      </c>
      <c r="E4178" t="s">
        <v>20661</v>
      </c>
      <c r="F4178" t="s">
        <v>20661</v>
      </c>
      <c r="G4178" t="s">
        <v>20662</v>
      </c>
      <c r="H4178" t="s">
        <v>868</v>
      </c>
      <c r="I4178" t="s">
        <v>869</v>
      </c>
      <c r="J4178" t="str">
        <f>"9220357"</f>
        <v>9220357</v>
      </c>
      <c r="K4178">
        <v>2441023977</v>
      </c>
      <c r="L4178">
        <v>2441073860</v>
      </c>
      <c r="M4178" t="s">
        <v>21960</v>
      </c>
      <c r="N4178" t="s">
        <v>21961</v>
      </c>
      <c r="O4178" t="s">
        <v>21913</v>
      </c>
      <c r="P4178">
        <v>43132</v>
      </c>
      <c r="Q4178" t="str">
        <f>"39.363588"</f>
        <v>39.363588</v>
      </c>
      <c r="R4178" t="str">
        <f>"21.915399"</f>
        <v>21.915399</v>
      </c>
      <c r="S4178" t="s">
        <v>26</v>
      </c>
    </row>
    <row r="4179" spans="1:19" x14ac:dyDescent="0.3">
      <c r="A4179" t="s">
        <v>20660</v>
      </c>
      <c r="B4179" t="s">
        <v>21672</v>
      </c>
      <c r="C4179" t="s">
        <v>20806</v>
      </c>
      <c r="D4179" t="s">
        <v>20661</v>
      </c>
      <c r="E4179" t="s">
        <v>17000</v>
      </c>
      <c r="F4179" t="s">
        <v>20802</v>
      </c>
      <c r="G4179" t="s">
        <v>6089</v>
      </c>
      <c r="H4179" t="s">
        <v>868</v>
      </c>
      <c r="I4179" t="s">
        <v>869</v>
      </c>
      <c r="J4179" t="str">
        <f>"9220196"</f>
        <v>9220196</v>
      </c>
      <c r="K4179">
        <v>2441085013</v>
      </c>
      <c r="L4179">
        <v>2441085013</v>
      </c>
      <c r="M4179" t="s">
        <v>21962</v>
      </c>
      <c r="N4179" t="s">
        <v>6092</v>
      </c>
      <c r="O4179" t="s">
        <v>6092</v>
      </c>
      <c r="P4179">
        <v>43061</v>
      </c>
      <c r="Q4179" t="str">
        <f>"39.454687"</f>
        <v>39.454687</v>
      </c>
      <c r="R4179" t="str">
        <f>"21.805869"</f>
        <v>21.805869</v>
      </c>
      <c r="S4179" t="s">
        <v>26</v>
      </c>
    </row>
    <row r="4180" spans="1:19" x14ac:dyDescent="0.3">
      <c r="A4180" t="s">
        <v>20660</v>
      </c>
      <c r="B4180" t="s">
        <v>21672</v>
      </c>
      <c r="C4180" t="s">
        <v>20713</v>
      </c>
      <c r="D4180" t="s">
        <v>20661</v>
      </c>
      <c r="E4180" t="s">
        <v>20661</v>
      </c>
      <c r="F4180" t="s">
        <v>20661</v>
      </c>
      <c r="G4180" t="s">
        <v>20662</v>
      </c>
      <c r="H4180" t="s">
        <v>868</v>
      </c>
      <c r="I4180" t="s">
        <v>869</v>
      </c>
      <c r="J4180" t="str">
        <f>"9220003"</f>
        <v>9220003</v>
      </c>
      <c r="K4180">
        <v>2441021418</v>
      </c>
      <c r="L4180">
        <v>2441021418</v>
      </c>
      <c r="M4180" t="s">
        <v>21963</v>
      </c>
      <c r="N4180" t="s">
        <v>20665</v>
      </c>
      <c r="O4180" t="s">
        <v>21964</v>
      </c>
      <c r="P4180">
        <v>43100</v>
      </c>
      <c r="Q4180" t="str">
        <f>"39.359652"</f>
        <v>39.359652</v>
      </c>
      <c r="R4180" t="str">
        <f>"21.935004"</f>
        <v>21.935004</v>
      </c>
      <c r="S4180" t="s">
        <v>26</v>
      </c>
    </row>
    <row r="4181" spans="1:19" x14ac:dyDescent="0.3">
      <c r="A4181" t="s">
        <v>20660</v>
      </c>
      <c r="B4181" t="s">
        <v>21672</v>
      </c>
      <c r="C4181" t="s">
        <v>21965</v>
      </c>
      <c r="D4181" t="s">
        <v>20661</v>
      </c>
      <c r="E4181" t="s">
        <v>20661</v>
      </c>
      <c r="F4181" t="s">
        <v>20661</v>
      </c>
      <c r="G4181" t="s">
        <v>20662</v>
      </c>
      <c r="H4181" t="s">
        <v>868</v>
      </c>
      <c r="I4181" t="s">
        <v>869</v>
      </c>
      <c r="J4181" t="str">
        <f>"9220307"</f>
        <v>9220307</v>
      </c>
      <c r="K4181">
        <v>2441041787</v>
      </c>
      <c r="L4181">
        <v>2441041787</v>
      </c>
      <c r="M4181" t="s">
        <v>21966</v>
      </c>
      <c r="N4181" t="s">
        <v>20739</v>
      </c>
      <c r="O4181" t="s">
        <v>21745</v>
      </c>
      <c r="P4181">
        <v>43100</v>
      </c>
      <c r="Q4181" t="str">
        <f>"39.358797"</f>
        <v>39.358797</v>
      </c>
      <c r="R4181" t="str">
        <f>"21.941517"</f>
        <v>21.941517</v>
      </c>
      <c r="S4181" t="s">
        <v>26</v>
      </c>
    </row>
    <row r="4182" spans="1:19" x14ac:dyDescent="0.3">
      <c r="A4182" t="s">
        <v>20660</v>
      </c>
      <c r="B4182" t="s">
        <v>21672</v>
      </c>
      <c r="C4182" t="s">
        <v>21967</v>
      </c>
      <c r="D4182" t="s">
        <v>20661</v>
      </c>
      <c r="E4182" t="s">
        <v>21832</v>
      </c>
      <c r="F4182" t="s">
        <v>21832</v>
      </c>
      <c r="G4182" t="s">
        <v>21833</v>
      </c>
      <c r="H4182" t="s">
        <v>868</v>
      </c>
      <c r="I4182" t="s">
        <v>950</v>
      </c>
      <c r="J4182" t="str">
        <f>"9220121"</f>
        <v>9220121</v>
      </c>
      <c r="K4182">
        <v>2445031200</v>
      </c>
      <c r="M4182" t="s">
        <v>21968</v>
      </c>
      <c r="N4182" t="s">
        <v>21836</v>
      </c>
      <c r="O4182" t="s">
        <v>21836</v>
      </c>
      <c r="P4182">
        <v>43065</v>
      </c>
      <c r="Q4182" t="str">
        <f>"39.347380"</f>
        <v>39.347380</v>
      </c>
      <c r="R4182" t="str">
        <f>"21.459061"</f>
        <v>21.459061</v>
      </c>
      <c r="S4182" t="s">
        <v>57</v>
      </c>
    </row>
    <row r="4183" spans="1:19" x14ac:dyDescent="0.3">
      <c r="A4183" t="s">
        <v>20660</v>
      </c>
      <c r="B4183" t="s">
        <v>21672</v>
      </c>
      <c r="C4183" t="s">
        <v>21970</v>
      </c>
      <c r="D4183" t="s">
        <v>20661</v>
      </c>
      <c r="E4183" t="s">
        <v>17000</v>
      </c>
      <c r="F4183" t="s">
        <v>17000</v>
      </c>
      <c r="G4183" t="s">
        <v>21969</v>
      </c>
      <c r="H4183" t="s">
        <v>868</v>
      </c>
      <c r="I4183" t="s">
        <v>950</v>
      </c>
      <c r="J4183" t="str">
        <f>"9220125"</f>
        <v>9220125</v>
      </c>
      <c r="K4183">
        <v>2445043257</v>
      </c>
      <c r="L4183">
        <v>2445043257</v>
      </c>
      <c r="M4183" t="s">
        <v>21971</v>
      </c>
      <c r="N4183" t="s">
        <v>21969</v>
      </c>
      <c r="O4183" t="s">
        <v>21972</v>
      </c>
      <c r="P4183">
        <v>43060</v>
      </c>
      <c r="Q4183" t="str">
        <f>"39.357485"</f>
        <v>39.357485</v>
      </c>
      <c r="R4183" t="str">
        <f>"21.663184"</f>
        <v>21.663184</v>
      </c>
      <c r="S4183" t="s">
        <v>26</v>
      </c>
    </row>
    <row r="4184" spans="1:19" x14ac:dyDescent="0.3">
      <c r="A4184" t="s">
        <v>20660</v>
      </c>
      <c r="B4184" t="s">
        <v>21672</v>
      </c>
      <c r="C4184" t="s">
        <v>21979</v>
      </c>
      <c r="D4184" t="s">
        <v>20661</v>
      </c>
      <c r="E4184" t="s">
        <v>21832</v>
      </c>
      <c r="F4184" t="s">
        <v>21861</v>
      </c>
      <c r="G4184" t="s">
        <v>21862</v>
      </c>
      <c r="H4184" t="s">
        <v>868</v>
      </c>
      <c r="I4184" t="s">
        <v>950</v>
      </c>
      <c r="J4184" t="str">
        <f>"9220128"</f>
        <v>9220128</v>
      </c>
      <c r="K4184">
        <v>2445031715</v>
      </c>
      <c r="L4184">
        <v>2445031715</v>
      </c>
      <c r="M4184" t="s">
        <v>21980</v>
      </c>
      <c r="N4184" t="s">
        <v>21865</v>
      </c>
      <c r="O4184" t="s">
        <v>21865</v>
      </c>
      <c r="P4184">
        <v>43066</v>
      </c>
      <c r="Q4184" t="str">
        <f>"39.192411"</f>
        <v>39.192411</v>
      </c>
      <c r="R4184" t="str">
        <f>"21.416481"</f>
        <v>21.416481</v>
      </c>
      <c r="S4184" t="s">
        <v>57</v>
      </c>
    </row>
    <row r="4185" spans="1:19" x14ac:dyDescent="0.3">
      <c r="A4185" t="s">
        <v>20660</v>
      </c>
      <c r="B4185" t="s">
        <v>21672</v>
      </c>
      <c r="C4185" t="s">
        <v>21983</v>
      </c>
      <c r="D4185" t="s">
        <v>20661</v>
      </c>
      <c r="E4185" t="s">
        <v>17000</v>
      </c>
      <c r="F4185" t="s">
        <v>17000</v>
      </c>
      <c r="G4185" t="s">
        <v>21914</v>
      </c>
      <c r="H4185" t="s">
        <v>868</v>
      </c>
      <c r="I4185" t="s">
        <v>950</v>
      </c>
      <c r="J4185" t="str">
        <f>"9220139"</f>
        <v>9220139</v>
      </c>
      <c r="K4185">
        <v>2445061231</v>
      </c>
      <c r="L4185">
        <v>2445061231</v>
      </c>
      <c r="M4185" t="s">
        <v>21984</v>
      </c>
      <c r="N4185" t="s">
        <v>21917</v>
      </c>
      <c r="O4185" t="s">
        <v>21917</v>
      </c>
      <c r="P4185">
        <v>43060</v>
      </c>
      <c r="Q4185" t="str">
        <f>"39.397599"</f>
        <v>39.397599</v>
      </c>
      <c r="R4185" t="str">
        <f>"21.599961"</f>
        <v>21.599961</v>
      </c>
      <c r="S4185" t="s">
        <v>26</v>
      </c>
    </row>
    <row r="4186" spans="1:19" x14ac:dyDescent="0.3">
      <c r="A4186" t="s">
        <v>20660</v>
      </c>
      <c r="B4186" t="s">
        <v>21672</v>
      </c>
      <c r="C4186" t="s">
        <v>21987</v>
      </c>
      <c r="D4186" t="s">
        <v>20661</v>
      </c>
      <c r="E4186" t="s">
        <v>17000</v>
      </c>
      <c r="F4186" t="s">
        <v>17000</v>
      </c>
      <c r="G4186" t="s">
        <v>21973</v>
      </c>
      <c r="H4186" t="s">
        <v>868</v>
      </c>
      <c r="I4186" t="s">
        <v>950</v>
      </c>
      <c r="J4186" t="str">
        <f>"9220130"</f>
        <v>9220130</v>
      </c>
      <c r="K4186">
        <v>2445061412</v>
      </c>
      <c r="M4186" t="s">
        <v>21988</v>
      </c>
      <c r="N4186" t="s">
        <v>21976</v>
      </c>
      <c r="O4186" t="s">
        <v>21976</v>
      </c>
      <c r="P4186">
        <v>43060</v>
      </c>
      <c r="Q4186" t="str">
        <f>"39.409481"</f>
        <v>39.409481</v>
      </c>
      <c r="R4186" t="str">
        <f>"21.586030"</f>
        <v>21.586030</v>
      </c>
      <c r="S4186" t="s">
        <v>26</v>
      </c>
    </row>
    <row r="4187" spans="1:19" x14ac:dyDescent="0.3">
      <c r="A4187" t="s">
        <v>20660</v>
      </c>
      <c r="B4187" t="s">
        <v>21672</v>
      </c>
      <c r="C4187" t="s">
        <v>21989</v>
      </c>
      <c r="D4187" t="s">
        <v>20661</v>
      </c>
      <c r="E4187" t="s">
        <v>20661</v>
      </c>
      <c r="F4187" t="s">
        <v>20753</v>
      </c>
      <c r="G4187" t="s">
        <v>21739</v>
      </c>
      <c r="H4187" t="s">
        <v>868</v>
      </c>
      <c r="I4187" t="s">
        <v>950</v>
      </c>
      <c r="J4187" t="str">
        <f>"9220032"</f>
        <v>9220032</v>
      </c>
      <c r="K4187">
        <v>2441036309</v>
      </c>
      <c r="L4187">
        <v>2441036309</v>
      </c>
      <c r="M4187" t="s">
        <v>21990</v>
      </c>
      <c r="N4187" t="s">
        <v>21991</v>
      </c>
      <c r="O4187" t="s">
        <v>21992</v>
      </c>
      <c r="P4187">
        <v>43100</v>
      </c>
      <c r="Q4187" t="str">
        <f>"39.323095"</f>
        <v>39.323095</v>
      </c>
      <c r="R4187" t="str">
        <f>"21.875534"</f>
        <v>21.875534</v>
      </c>
      <c r="S4187" t="s">
        <v>26</v>
      </c>
    </row>
    <row r="4188" spans="1:19" x14ac:dyDescent="0.3">
      <c r="A4188" t="s">
        <v>20660</v>
      </c>
      <c r="B4188" t="s">
        <v>21672</v>
      </c>
      <c r="C4188" t="s">
        <v>20736</v>
      </c>
      <c r="D4188" t="s">
        <v>20661</v>
      </c>
      <c r="E4188" t="s">
        <v>17000</v>
      </c>
      <c r="F4188" t="s">
        <v>17000</v>
      </c>
      <c r="G4188" t="s">
        <v>17000</v>
      </c>
      <c r="H4188" t="s">
        <v>868</v>
      </c>
      <c r="I4188" t="s">
        <v>869</v>
      </c>
      <c r="J4188" t="str">
        <f>"9220114"</f>
        <v>9220114</v>
      </c>
      <c r="K4188">
        <v>2445041682</v>
      </c>
      <c r="L4188">
        <v>2445041682</v>
      </c>
      <c r="M4188" t="s">
        <v>21993</v>
      </c>
      <c r="N4188" t="s">
        <v>17128</v>
      </c>
      <c r="O4188" t="s">
        <v>21994</v>
      </c>
      <c r="P4188">
        <v>43060</v>
      </c>
      <c r="Q4188" t="str">
        <f>"39.431866"</f>
        <v>39.431866</v>
      </c>
      <c r="R4188" t="str">
        <f>"21.661770"</f>
        <v>21.661770</v>
      </c>
      <c r="S4188" t="s">
        <v>26</v>
      </c>
    </row>
    <row r="4189" spans="1:19" x14ac:dyDescent="0.3">
      <c r="A4189" t="s">
        <v>20660</v>
      </c>
      <c r="B4189" t="s">
        <v>21672</v>
      </c>
      <c r="C4189" t="s">
        <v>20762</v>
      </c>
      <c r="D4189" t="s">
        <v>20661</v>
      </c>
      <c r="E4189" t="s">
        <v>20661</v>
      </c>
      <c r="F4189" t="s">
        <v>20661</v>
      </c>
      <c r="G4189" t="s">
        <v>20662</v>
      </c>
      <c r="H4189" t="s">
        <v>868</v>
      </c>
      <c r="I4189" t="s">
        <v>869</v>
      </c>
      <c r="J4189" t="str">
        <f>"9220062"</f>
        <v>9220062</v>
      </c>
      <c r="K4189">
        <v>2441021439</v>
      </c>
      <c r="L4189">
        <v>2441021439</v>
      </c>
      <c r="M4189" t="s">
        <v>21995</v>
      </c>
      <c r="N4189" t="s">
        <v>20665</v>
      </c>
      <c r="O4189" t="s">
        <v>21996</v>
      </c>
      <c r="P4189">
        <v>43100</v>
      </c>
      <c r="Q4189" t="str">
        <f>"39.369265"</f>
        <v>39.369265</v>
      </c>
      <c r="R4189" t="str">
        <f>"21.921733"</f>
        <v>21.921733</v>
      </c>
      <c r="S4189" t="s">
        <v>26</v>
      </c>
    </row>
    <row r="4190" spans="1:19" x14ac:dyDescent="0.3">
      <c r="A4190" t="s">
        <v>20660</v>
      </c>
      <c r="B4190" t="s">
        <v>21672</v>
      </c>
      <c r="C4190" t="s">
        <v>21997</v>
      </c>
      <c r="D4190" t="s">
        <v>20661</v>
      </c>
      <c r="E4190" t="s">
        <v>17000</v>
      </c>
      <c r="F4190" t="s">
        <v>17000</v>
      </c>
      <c r="G4190" t="s">
        <v>17000</v>
      </c>
      <c r="H4190" t="s">
        <v>868</v>
      </c>
      <c r="I4190" t="s">
        <v>869</v>
      </c>
      <c r="J4190" t="str">
        <f>"9220115"</f>
        <v>9220115</v>
      </c>
      <c r="K4190">
        <v>2445042011</v>
      </c>
      <c r="L4190">
        <v>2445042011</v>
      </c>
      <c r="M4190" t="s">
        <v>21998</v>
      </c>
      <c r="N4190" t="s">
        <v>17128</v>
      </c>
      <c r="O4190" t="s">
        <v>21999</v>
      </c>
      <c r="P4190">
        <v>43060</v>
      </c>
      <c r="Q4190" t="str">
        <f>"39.423123"</f>
        <v>39.423123</v>
      </c>
      <c r="R4190" t="str">
        <f>"21.661341"</f>
        <v>21.661341</v>
      </c>
      <c r="S4190" t="s">
        <v>26</v>
      </c>
    </row>
    <row r="4191" spans="1:19" x14ac:dyDescent="0.3">
      <c r="A4191" t="s">
        <v>20660</v>
      </c>
      <c r="B4191" t="s">
        <v>21672</v>
      </c>
      <c r="C4191" t="s">
        <v>22000</v>
      </c>
      <c r="D4191" t="s">
        <v>20661</v>
      </c>
      <c r="E4191" t="s">
        <v>20661</v>
      </c>
      <c r="F4191" t="s">
        <v>20661</v>
      </c>
      <c r="G4191" t="s">
        <v>20662</v>
      </c>
      <c r="H4191" t="s">
        <v>868</v>
      </c>
      <c r="I4191" t="s">
        <v>869</v>
      </c>
      <c r="J4191" t="str">
        <f>"9220063"</f>
        <v>9220063</v>
      </c>
      <c r="K4191">
        <v>2441021773</v>
      </c>
      <c r="L4191">
        <v>2441021773</v>
      </c>
      <c r="M4191" t="s">
        <v>22001</v>
      </c>
      <c r="N4191" t="s">
        <v>20739</v>
      </c>
      <c r="O4191" t="s">
        <v>22002</v>
      </c>
      <c r="P4191">
        <v>43100</v>
      </c>
      <c r="Q4191" t="str">
        <f>"39.365773"</f>
        <v>39.365773</v>
      </c>
      <c r="R4191" t="str">
        <f>"21.926883"</f>
        <v>21.926883</v>
      </c>
      <c r="S4191" t="s">
        <v>26</v>
      </c>
    </row>
    <row r="4192" spans="1:19" x14ac:dyDescent="0.3">
      <c r="A4192" t="s">
        <v>20660</v>
      </c>
      <c r="B4192" t="s">
        <v>21672</v>
      </c>
      <c r="C4192" t="s">
        <v>22003</v>
      </c>
      <c r="D4192" t="s">
        <v>20661</v>
      </c>
      <c r="E4192" t="s">
        <v>20661</v>
      </c>
      <c r="F4192" t="s">
        <v>20661</v>
      </c>
      <c r="G4192" t="s">
        <v>20662</v>
      </c>
      <c r="H4192" t="s">
        <v>868</v>
      </c>
      <c r="I4192" t="s">
        <v>869</v>
      </c>
      <c r="J4192" t="str">
        <f>"9220341"</f>
        <v>9220341</v>
      </c>
      <c r="K4192">
        <v>2441026192</v>
      </c>
      <c r="L4192">
        <v>2441026178</v>
      </c>
      <c r="M4192" t="s">
        <v>22004</v>
      </c>
      <c r="N4192" t="s">
        <v>20739</v>
      </c>
      <c r="O4192" t="s">
        <v>22005</v>
      </c>
      <c r="P4192">
        <v>43100</v>
      </c>
      <c r="Q4192" t="str">
        <f>"39.369962"</f>
        <v>39.369962</v>
      </c>
      <c r="R4192" t="str">
        <f>"21.913858"</f>
        <v>21.913858</v>
      </c>
      <c r="S4192" t="s">
        <v>26</v>
      </c>
    </row>
    <row r="4193" spans="1:19" x14ac:dyDescent="0.3">
      <c r="A4193" t="s">
        <v>20660</v>
      </c>
      <c r="B4193" t="s">
        <v>21672</v>
      </c>
      <c r="C4193" t="s">
        <v>22006</v>
      </c>
      <c r="D4193" t="s">
        <v>20661</v>
      </c>
      <c r="E4193" t="s">
        <v>20661</v>
      </c>
      <c r="F4193" t="s">
        <v>21746</v>
      </c>
      <c r="G4193" t="s">
        <v>21746</v>
      </c>
      <c r="H4193" t="s">
        <v>868</v>
      </c>
      <c r="I4193" t="s">
        <v>950</v>
      </c>
      <c r="J4193" t="str">
        <f>"9220022"</f>
        <v>9220022</v>
      </c>
      <c r="K4193">
        <v>2441088307</v>
      </c>
      <c r="L4193">
        <v>2441088307</v>
      </c>
      <c r="M4193" t="s">
        <v>22007</v>
      </c>
      <c r="N4193" t="s">
        <v>21749</v>
      </c>
      <c r="O4193" t="s">
        <v>21749</v>
      </c>
      <c r="P4193">
        <v>43132</v>
      </c>
      <c r="Q4193" t="str">
        <f>"39.277185"</f>
        <v>39.277185</v>
      </c>
      <c r="R4193" t="str">
        <f>"21.960763"</f>
        <v>21.960763</v>
      </c>
      <c r="S4193" t="s">
        <v>26</v>
      </c>
    </row>
    <row r="4194" spans="1:19" x14ac:dyDescent="0.3">
      <c r="A4194" t="s">
        <v>20660</v>
      </c>
      <c r="B4194" t="s">
        <v>21672</v>
      </c>
      <c r="C4194" t="s">
        <v>22008</v>
      </c>
      <c r="D4194" t="s">
        <v>20661</v>
      </c>
      <c r="E4194" t="s">
        <v>20661</v>
      </c>
      <c r="F4194" t="s">
        <v>20661</v>
      </c>
      <c r="G4194" t="s">
        <v>20662</v>
      </c>
      <c r="H4194" t="s">
        <v>868</v>
      </c>
      <c r="I4194" t="s">
        <v>869</v>
      </c>
      <c r="J4194" t="str">
        <f>"9220002"</f>
        <v>9220002</v>
      </c>
      <c r="K4194">
        <v>2441022806</v>
      </c>
      <c r="L4194">
        <v>2441020322</v>
      </c>
      <c r="M4194" t="s">
        <v>22009</v>
      </c>
      <c r="N4194" t="s">
        <v>20665</v>
      </c>
      <c r="O4194" t="s">
        <v>21828</v>
      </c>
      <c r="P4194">
        <v>43132</v>
      </c>
      <c r="Q4194" t="str">
        <f>"39.358792"</f>
        <v>39.358792</v>
      </c>
      <c r="R4194" t="str">
        <f>"21.921266"</f>
        <v>21.921266</v>
      </c>
      <c r="S4194" t="s">
        <v>26</v>
      </c>
    </row>
    <row r="4195" spans="1:19" x14ac:dyDescent="0.3">
      <c r="A4195" t="s">
        <v>20660</v>
      </c>
      <c r="B4195" t="s">
        <v>21672</v>
      </c>
      <c r="C4195" t="s">
        <v>20786</v>
      </c>
      <c r="D4195" t="s">
        <v>20661</v>
      </c>
      <c r="E4195" t="s">
        <v>20661</v>
      </c>
      <c r="F4195" t="s">
        <v>20661</v>
      </c>
      <c r="G4195" t="s">
        <v>20662</v>
      </c>
      <c r="H4195" t="s">
        <v>868</v>
      </c>
      <c r="I4195" t="s">
        <v>869</v>
      </c>
      <c r="J4195" t="str">
        <f>"9220204"</f>
        <v>9220204</v>
      </c>
      <c r="K4195">
        <v>2441022664</v>
      </c>
      <c r="L4195">
        <v>2441022542</v>
      </c>
      <c r="M4195" t="s">
        <v>22010</v>
      </c>
      <c r="N4195" t="s">
        <v>20665</v>
      </c>
      <c r="O4195" t="s">
        <v>21763</v>
      </c>
      <c r="P4195">
        <v>43100</v>
      </c>
      <c r="Q4195" t="str">
        <f>"39.359537"</f>
        <v>39.359537</v>
      </c>
      <c r="R4195" t="str">
        <f>"21.912605"</f>
        <v>21.912605</v>
      </c>
      <c r="S4195" t="s">
        <v>26</v>
      </c>
    </row>
    <row r="4196" spans="1:19" x14ac:dyDescent="0.3">
      <c r="A4196" t="s">
        <v>20660</v>
      </c>
      <c r="B4196" t="s">
        <v>21672</v>
      </c>
      <c r="C4196" t="s">
        <v>20744</v>
      </c>
      <c r="D4196" t="s">
        <v>20661</v>
      </c>
      <c r="E4196" t="s">
        <v>20661</v>
      </c>
      <c r="F4196" t="s">
        <v>20661</v>
      </c>
      <c r="G4196" t="s">
        <v>20662</v>
      </c>
      <c r="H4196" t="s">
        <v>868</v>
      </c>
      <c r="I4196" t="s">
        <v>869</v>
      </c>
      <c r="J4196" t="str">
        <f>"9220206"</f>
        <v>9220206</v>
      </c>
      <c r="K4196">
        <v>2441023602</v>
      </c>
      <c r="L4196">
        <v>2441041846</v>
      </c>
      <c r="M4196" t="s">
        <v>22018</v>
      </c>
      <c r="N4196" t="s">
        <v>20665</v>
      </c>
      <c r="O4196" t="s">
        <v>22019</v>
      </c>
      <c r="P4196">
        <v>43131</v>
      </c>
      <c r="Q4196" t="str">
        <f>"39.369189"</f>
        <v>39.369189</v>
      </c>
      <c r="R4196" t="str">
        <f>"21.930672"</f>
        <v>21.930672</v>
      </c>
      <c r="S4196" t="s">
        <v>26</v>
      </c>
    </row>
    <row r="4197" spans="1:19" x14ac:dyDescent="0.3">
      <c r="A4197" t="s">
        <v>20660</v>
      </c>
      <c r="B4197" t="s">
        <v>21672</v>
      </c>
      <c r="C4197" t="s">
        <v>22022</v>
      </c>
      <c r="D4197" t="s">
        <v>20661</v>
      </c>
      <c r="E4197" t="s">
        <v>21832</v>
      </c>
      <c r="F4197" t="s">
        <v>21832</v>
      </c>
      <c r="G4197" t="s">
        <v>14398</v>
      </c>
      <c r="H4197" t="s">
        <v>868</v>
      </c>
      <c r="I4197" t="s">
        <v>950</v>
      </c>
      <c r="J4197" t="str">
        <f>"9220182"</f>
        <v>9220182</v>
      </c>
      <c r="K4197">
        <v>2445032080</v>
      </c>
      <c r="M4197" t="s">
        <v>22023</v>
      </c>
      <c r="N4197" t="s">
        <v>22024</v>
      </c>
      <c r="O4197" t="s">
        <v>22024</v>
      </c>
      <c r="P4197">
        <v>43065</v>
      </c>
      <c r="Q4197" t="str">
        <f>"39.326323"</f>
        <v>39.326323</v>
      </c>
      <c r="R4197" t="str">
        <f>"21.420354"</f>
        <v>21.420354</v>
      </c>
      <c r="S4197" t="s">
        <v>57</v>
      </c>
    </row>
    <row r="4198" spans="1:19" x14ac:dyDescent="0.3">
      <c r="A4198" t="s">
        <v>20660</v>
      </c>
      <c r="B4198" t="s">
        <v>21672</v>
      </c>
      <c r="C4198" t="s">
        <v>22033</v>
      </c>
      <c r="D4198" t="s">
        <v>20661</v>
      </c>
      <c r="E4198" t="s">
        <v>20700</v>
      </c>
      <c r="F4198" t="s">
        <v>20700</v>
      </c>
      <c r="G4198" t="s">
        <v>20700</v>
      </c>
      <c r="H4198" t="s">
        <v>868</v>
      </c>
      <c r="I4198" t="s">
        <v>1157</v>
      </c>
      <c r="J4198" t="str">
        <f>"9521158"</f>
        <v>9521158</v>
      </c>
      <c r="K4198">
        <v>2444022486</v>
      </c>
      <c r="L4198">
        <v>2444022486</v>
      </c>
      <c r="N4198" t="s">
        <v>21704</v>
      </c>
      <c r="O4198" t="s">
        <v>22034</v>
      </c>
      <c r="P4198">
        <v>43200</v>
      </c>
      <c r="Q4198" t="str">
        <f>""</f>
        <v/>
      </c>
      <c r="R4198" t="str">
        <f>""</f>
        <v/>
      </c>
      <c r="S4198" t="s">
        <v>26</v>
      </c>
    </row>
    <row r="4199" spans="1:19" x14ac:dyDescent="0.3">
      <c r="A4199" t="s">
        <v>20660</v>
      </c>
      <c r="B4199" t="s">
        <v>21672</v>
      </c>
      <c r="C4199" t="s">
        <v>22038</v>
      </c>
      <c r="D4199" t="s">
        <v>20661</v>
      </c>
      <c r="E4199" t="s">
        <v>20687</v>
      </c>
      <c r="F4199" t="s">
        <v>20787</v>
      </c>
      <c r="G4199" t="s">
        <v>12047</v>
      </c>
      <c r="H4199" t="s">
        <v>868</v>
      </c>
      <c r="I4199" t="s">
        <v>869</v>
      </c>
      <c r="J4199" t="str">
        <f>"9220240"</f>
        <v>9220240</v>
      </c>
      <c r="K4199">
        <v>2443096318</v>
      </c>
      <c r="L4199">
        <v>2443096318</v>
      </c>
      <c r="M4199" t="s">
        <v>22039</v>
      </c>
      <c r="N4199" t="s">
        <v>7912</v>
      </c>
      <c r="O4199" t="s">
        <v>7912</v>
      </c>
      <c r="P4199">
        <v>43300</v>
      </c>
      <c r="Q4199" t="str">
        <f>"39.371113"</f>
        <v>39.371113</v>
      </c>
      <c r="R4199" t="str">
        <f>"22.141135"</f>
        <v>22.141135</v>
      </c>
      <c r="S4199" t="s">
        <v>26</v>
      </c>
    </row>
    <row r="4200" spans="1:19" x14ac:dyDescent="0.3">
      <c r="A4200" t="s">
        <v>20660</v>
      </c>
      <c r="B4200" t="s">
        <v>21672</v>
      </c>
      <c r="C4200" t="s">
        <v>20723</v>
      </c>
      <c r="D4200" t="s">
        <v>20661</v>
      </c>
      <c r="E4200" t="s">
        <v>20687</v>
      </c>
      <c r="F4200" t="s">
        <v>20718</v>
      </c>
      <c r="G4200" t="s">
        <v>20719</v>
      </c>
      <c r="H4200" t="s">
        <v>868</v>
      </c>
      <c r="I4200" t="s">
        <v>869</v>
      </c>
      <c r="J4200" t="str">
        <f>"9220242"</f>
        <v>9220242</v>
      </c>
      <c r="K4200">
        <v>2443031234</v>
      </c>
      <c r="L4200">
        <v>2443031234</v>
      </c>
      <c r="M4200" t="s">
        <v>22040</v>
      </c>
      <c r="N4200" t="s">
        <v>22041</v>
      </c>
      <c r="O4200" t="s">
        <v>22041</v>
      </c>
      <c r="P4200">
        <v>43063</v>
      </c>
      <c r="Q4200" t="str">
        <f>"39.184282"</f>
        <v>39.184282</v>
      </c>
      <c r="R4200" t="str">
        <f>"22.129590"</f>
        <v>22.129590</v>
      </c>
      <c r="S4200" t="s">
        <v>26</v>
      </c>
    </row>
    <row r="4201" spans="1:19" x14ac:dyDescent="0.3">
      <c r="A4201" t="s">
        <v>20660</v>
      </c>
      <c r="B4201" t="s">
        <v>21672</v>
      </c>
      <c r="C4201" t="s">
        <v>22045</v>
      </c>
      <c r="D4201" t="s">
        <v>20661</v>
      </c>
      <c r="E4201" t="s">
        <v>17000</v>
      </c>
      <c r="F4201" t="s">
        <v>22015</v>
      </c>
      <c r="G4201" t="s">
        <v>2777</v>
      </c>
      <c r="H4201" t="s">
        <v>868</v>
      </c>
      <c r="I4201" t="s">
        <v>950</v>
      </c>
      <c r="J4201" t="str">
        <f>"9220112"</f>
        <v>9220112</v>
      </c>
      <c r="K4201">
        <v>2441039876</v>
      </c>
      <c r="L4201">
        <v>2441039876</v>
      </c>
      <c r="M4201" t="s">
        <v>22046</v>
      </c>
      <c r="N4201" t="s">
        <v>2777</v>
      </c>
      <c r="O4201" t="s">
        <v>2780</v>
      </c>
      <c r="P4201">
        <v>43064</v>
      </c>
      <c r="Q4201" t="str">
        <f>"39.415318"</f>
        <v>39.415318</v>
      </c>
      <c r="R4201" t="str">
        <f>"21.798231"</f>
        <v>21.798231</v>
      </c>
      <c r="S4201" t="s">
        <v>26</v>
      </c>
    </row>
    <row r="4202" spans="1:19" x14ac:dyDescent="0.3">
      <c r="A4202" t="s">
        <v>20660</v>
      </c>
      <c r="B4202" t="s">
        <v>21672</v>
      </c>
      <c r="C4202" t="s">
        <v>22049</v>
      </c>
      <c r="D4202" t="s">
        <v>20661</v>
      </c>
      <c r="E4202" t="s">
        <v>20700</v>
      </c>
      <c r="F4202" t="s">
        <v>20724</v>
      </c>
      <c r="G4202" t="s">
        <v>17334</v>
      </c>
      <c r="H4202" t="s">
        <v>868</v>
      </c>
      <c r="I4202" t="s">
        <v>950</v>
      </c>
      <c r="J4202" t="str">
        <f>"9220069"</f>
        <v>9220069</v>
      </c>
      <c r="K4202">
        <v>2441051526</v>
      </c>
      <c r="L4202">
        <v>2441051597</v>
      </c>
      <c r="M4202" t="s">
        <v>22050</v>
      </c>
      <c r="N4202" t="s">
        <v>22051</v>
      </c>
      <c r="O4202" t="s">
        <v>8902</v>
      </c>
      <c r="P4202">
        <v>43061</v>
      </c>
      <c r="Q4202" t="str">
        <f>"39.463466"</f>
        <v>39.463466</v>
      </c>
      <c r="R4202" t="str">
        <f>"21.896810"</f>
        <v>21.896810</v>
      </c>
      <c r="S4202" t="s">
        <v>26</v>
      </c>
    </row>
    <row r="4203" spans="1:19" x14ac:dyDescent="0.3">
      <c r="A4203" t="s">
        <v>20660</v>
      </c>
      <c r="B4203" t="s">
        <v>21672</v>
      </c>
      <c r="C4203" t="s">
        <v>20728</v>
      </c>
      <c r="D4203" t="s">
        <v>20661</v>
      </c>
      <c r="E4203" t="s">
        <v>20700</v>
      </c>
      <c r="F4203" t="s">
        <v>20724</v>
      </c>
      <c r="G4203" t="s">
        <v>18553</v>
      </c>
      <c r="H4203" t="s">
        <v>868</v>
      </c>
      <c r="I4203" t="s">
        <v>869</v>
      </c>
      <c r="J4203" t="str">
        <f>"9220102"</f>
        <v>9220102</v>
      </c>
      <c r="K4203">
        <v>2441051448</v>
      </c>
      <c r="M4203" t="s">
        <v>22054</v>
      </c>
      <c r="N4203" t="s">
        <v>22055</v>
      </c>
      <c r="O4203" t="s">
        <v>18556</v>
      </c>
      <c r="P4203">
        <v>43070</v>
      </c>
      <c r="Q4203" t="str">
        <f>"39.490893"</f>
        <v>39.490893</v>
      </c>
      <c r="R4203" t="str">
        <f>"21.900911"</f>
        <v>21.900911</v>
      </c>
      <c r="S4203" t="s">
        <v>26</v>
      </c>
    </row>
    <row r="4204" spans="1:19" x14ac:dyDescent="0.3">
      <c r="A4204" t="s">
        <v>20660</v>
      </c>
      <c r="B4204" t="s">
        <v>22062</v>
      </c>
      <c r="C4204" t="s">
        <v>22070</v>
      </c>
      <c r="D4204" t="s">
        <v>20667</v>
      </c>
      <c r="E4204" t="s">
        <v>20668</v>
      </c>
      <c r="F4204" t="s">
        <v>20668</v>
      </c>
      <c r="G4204" t="s">
        <v>21173</v>
      </c>
      <c r="H4204" t="s">
        <v>868</v>
      </c>
      <c r="I4204" t="s">
        <v>869</v>
      </c>
      <c r="J4204" t="str">
        <f>"9310186"</f>
        <v>9310186</v>
      </c>
      <c r="K4204">
        <v>2410851259</v>
      </c>
      <c r="L4204">
        <v>2410851259</v>
      </c>
      <c r="M4204" t="s">
        <v>22071</v>
      </c>
      <c r="N4204" t="s">
        <v>21174</v>
      </c>
      <c r="O4204" t="s">
        <v>22072</v>
      </c>
      <c r="P4204">
        <v>41500</v>
      </c>
      <c r="Q4204" t="str">
        <f>"39.621279"</f>
        <v>39.621279</v>
      </c>
      <c r="R4204" t="str">
        <f>"22.343941"</f>
        <v>22.343941</v>
      </c>
      <c r="S4204" t="s">
        <v>26</v>
      </c>
    </row>
    <row r="4205" spans="1:19" x14ac:dyDescent="0.3">
      <c r="A4205" t="s">
        <v>20660</v>
      </c>
      <c r="B4205" t="s">
        <v>22062</v>
      </c>
      <c r="C4205" t="s">
        <v>20888</v>
      </c>
      <c r="D4205" t="s">
        <v>20667</v>
      </c>
      <c r="E4205" t="s">
        <v>20668</v>
      </c>
      <c r="F4205" t="s">
        <v>20668</v>
      </c>
      <c r="G4205" t="s">
        <v>20669</v>
      </c>
      <c r="H4205" t="s">
        <v>868</v>
      </c>
      <c r="I4205" t="s">
        <v>869</v>
      </c>
      <c r="J4205" t="str">
        <f>"9310398"</f>
        <v>9310398</v>
      </c>
      <c r="K4205">
        <v>2410614622</v>
      </c>
      <c r="L4205">
        <v>2410670452</v>
      </c>
      <c r="M4205" t="s">
        <v>22099</v>
      </c>
      <c r="N4205" t="s">
        <v>20672</v>
      </c>
      <c r="O4205" t="s">
        <v>22100</v>
      </c>
      <c r="P4205">
        <v>41334</v>
      </c>
      <c r="Q4205" t="str">
        <f>"39.627763"</f>
        <v>39.627763</v>
      </c>
      <c r="R4205" t="str">
        <f>"22.396549"</f>
        <v>22.396549</v>
      </c>
      <c r="S4205" t="s">
        <v>26</v>
      </c>
    </row>
    <row r="4206" spans="1:19" x14ac:dyDescent="0.3">
      <c r="A4206" t="s">
        <v>20660</v>
      </c>
      <c r="B4206" t="s">
        <v>22062</v>
      </c>
      <c r="C4206" t="s">
        <v>20992</v>
      </c>
      <c r="D4206" t="s">
        <v>20667</v>
      </c>
      <c r="E4206" t="s">
        <v>20668</v>
      </c>
      <c r="F4206" t="s">
        <v>20955</v>
      </c>
      <c r="G4206" t="s">
        <v>20987</v>
      </c>
      <c r="H4206" t="s">
        <v>868</v>
      </c>
      <c r="I4206" t="s">
        <v>869</v>
      </c>
      <c r="J4206" t="str">
        <f>"9310257"</f>
        <v>9310257</v>
      </c>
      <c r="K4206">
        <v>2410941229</v>
      </c>
      <c r="L4206">
        <v>2410941229</v>
      </c>
      <c r="M4206" t="s">
        <v>22108</v>
      </c>
      <c r="N4206" t="s">
        <v>21171</v>
      </c>
      <c r="O4206" t="s">
        <v>22109</v>
      </c>
      <c r="P4206">
        <v>40011</v>
      </c>
      <c r="Q4206" t="str">
        <f>"39.719452"</f>
        <v>39.719452</v>
      </c>
      <c r="R4206" t="str">
        <f>"22.394768"</f>
        <v>22.394768</v>
      </c>
      <c r="S4206" t="s">
        <v>26</v>
      </c>
    </row>
    <row r="4207" spans="1:19" x14ac:dyDescent="0.3">
      <c r="A4207" t="s">
        <v>20660</v>
      </c>
      <c r="B4207" t="s">
        <v>22062</v>
      </c>
      <c r="C4207" t="s">
        <v>20837</v>
      </c>
      <c r="D4207" t="s">
        <v>20667</v>
      </c>
      <c r="E4207" t="s">
        <v>20831</v>
      </c>
      <c r="F4207" t="s">
        <v>20832</v>
      </c>
      <c r="G4207" t="s">
        <v>20833</v>
      </c>
      <c r="H4207" t="s">
        <v>868</v>
      </c>
      <c r="I4207" t="s">
        <v>869</v>
      </c>
      <c r="J4207" t="str">
        <f>"9310249"</f>
        <v>9310249</v>
      </c>
      <c r="K4207">
        <v>2495041377</v>
      </c>
      <c r="L4207">
        <v>2495041377</v>
      </c>
      <c r="M4207" t="s">
        <v>22110</v>
      </c>
      <c r="N4207" t="s">
        <v>20836</v>
      </c>
      <c r="O4207" t="s">
        <v>20836</v>
      </c>
      <c r="P4207">
        <v>40007</v>
      </c>
      <c r="Q4207" t="str">
        <f>"39.919048"</f>
        <v>39.919048</v>
      </c>
      <c r="R4207" t="str">
        <f>"22.589465"</f>
        <v>22.589465</v>
      </c>
      <c r="S4207" t="s">
        <v>26</v>
      </c>
    </row>
    <row r="4208" spans="1:19" x14ac:dyDescent="0.3">
      <c r="A4208" t="s">
        <v>20660</v>
      </c>
      <c r="B4208" t="s">
        <v>22062</v>
      </c>
      <c r="C4208" t="s">
        <v>21112</v>
      </c>
      <c r="D4208" t="s">
        <v>20667</v>
      </c>
      <c r="E4208" t="s">
        <v>20668</v>
      </c>
      <c r="F4208" t="s">
        <v>20668</v>
      </c>
      <c r="G4208" t="s">
        <v>20942</v>
      </c>
      <c r="H4208" t="s">
        <v>868</v>
      </c>
      <c r="I4208" t="s">
        <v>869</v>
      </c>
      <c r="J4208" t="str">
        <f>"9310396"</f>
        <v>9310396</v>
      </c>
      <c r="K4208">
        <v>2410571760</v>
      </c>
      <c r="L4208">
        <v>2410571760</v>
      </c>
      <c r="M4208" t="s">
        <v>22111</v>
      </c>
      <c r="N4208" t="s">
        <v>20672</v>
      </c>
      <c r="O4208" t="s">
        <v>22112</v>
      </c>
      <c r="P4208">
        <v>41336</v>
      </c>
      <c r="Q4208" t="str">
        <f>"39.627783"</f>
        <v>39.627783</v>
      </c>
      <c r="R4208" t="str">
        <f>"22.452434"</f>
        <v>22.452434</v>
      </c>
      <c r="S4208" t="s">
        <v>26</v>
      </c>
    </row>
    <row r="4209" spans="1:19" x14ac:dyDescent="0.3">
      <c r="A4209" t="s">
        <v>20660</v>
      </c>
      <c r="B4209" t="s">
        <v>22062</v>
      </c>
      <c r="C4209" t="s">
        <v>22113</v>
      </c>
      <c r="D4209" t="s">
        <v>20667</v>
      </c>
      <c r="E4209" t="s">
        <v>20859</v>
      </c>
      <c r="F4209" t="s">
        <v>16102</v>
      </c>
      <c r="G4209" t="s">
        <v>16102</v>
      </c>
      <c r="H4209" t="s">
        <v>868</v>
      </c>
      <c r="I4209" t="s">
        <v>950</v>
      </c>
      <c r="J4209" t="str">
        <f>"9310027"</f>
        <v>9310027</v>
      </c>
      <c r="K4209">
        <v>2493091211</v>
      </c>
      <c r="L4209">
        <v>2493091211</v>
      </c>
      <c r="M4209" t="s">
        <v>22114</v>
      </c>
      <c r="N4209" t="s">
        <v>22115</v>
      </c>
      <c r="O4209" t="s">
        <v>22115</v>
      </c>
      <c r="P4209">
        <v>40200</v>
      </c>
      <c r="Q4209" t="str">
        <f>"39.910341"</f>
        <v>39.910341</v>
      </c>
      <c r="R4209" t="str">
        <f>"22.220778"</f>
        <v>22.220778</v>
      </c>
      <c r="S4209" t="s">
        <v>26</v>
      </c>
    </row>
    <row r="4210" spans="1:19" x14ac:dyDescent="0.3">
      <c r="A4210" t="s">
        <v>20660</v>
      </c>
      <c r="B4210" t="s">
        <v>22062</v>
      </c>
      <c r="C4210" t="s">
        <v>22116</v>
      </c>
      <c r="D4210" t="s">
        <v>20667</v>
      </c>
      <c r="E4210" t="s">
        <v>20668</v>
      </c>
      <c r="F4210" t="s">
        <v>20668</v>
      </c>
      <c r="G4210" t="s">
        <v>20942</v>
      </c>
      <c r="H4210" t="s">
        <v>868</v>
      </c>
      <c r="I4210" t="s">
        <v>869</v>
      </c>
      <c r="J4210" t="str">
        <f>"9310160"</f>
        <v>9310160</v>
      </c>
      <c r="K4210">
        <v>2410230170</v>
      </c>
      <c r="L4210">
        <v>2410230170</v>
      </c>
      <c r="M4210" t="s">
        <v>22117</v>
      </c>
      <c r="N4210" t="s">
        <v>20672</v>
      </c>
      <c r="O4210" t="s">
        <v>22118</v>
      </c>
      <c r="P4210">
        <v>41336</v>
      </c>
      <c r="Q4210" t="str">
        <f>"39.634052"</f>
        <v>39.634052</v>
      </c>
      <c r="R4210" t="str">
        <f>"22.437792"</f>
        <v>22.437792</v>
      </c>
      <c r="S4210" t="s">
        <v>26</v>
      </c>
    </row>
    <row r="4211" spans="1:19" x14ac:dyDescent="0.3">
      <c r="A4211" t="s">
        <v>20660</v>
      </c>
      <c r="B4211" t="s">
        <v>22062</v>
      </c>
      <c r="C4211" t="s">
        <v>20970</v>
      </c>
      <c r="D4211" t="s">
        <v>20667</v>
      </c>
      <c r="E4211" t="s">
        <v>20668</v>
      </c>
      <c r="F4211" t="s">
        <v>20668</v>
      </c>
      <c r="G4211" t="s">
        <v>20942</v>
      </c>
      <c r="H4211" t="s">
        <v>868</v>
      </c>
      <c r="I4211" t="s">
        <v>869</v>
      </c>
      <c r="J4211" t="str">
        <f>"9310217"</f>
        <v>9310217</v>
      </c>
      <c r="K4211">
        <v>2410236239</v>
      </c>
      <c r="L4211">
        <v>2410236239</v>
      </c>
      <c r="M4211" t="s">
        <v>22119</v>
      </c>
      <c r="N4211" t="s">
        <v>20672</v>
      </c>
      <c r="O4211" t="s">
        <v>22120</v>
      </c>
      <c r="P4211">
        <v>41221</v>
      </c>
      <c r="Q4211" t="str">
        <f>"39.643634"</f>
        <v>39.643634</v>
      </c>
      <c r="R4211" t="str">
        <f>"22.432373"</f>
        <v>22.432373</v>
      </c>
      <c r="S4211" t="s">
        <v>26</v>
      </c>
    </row>
    <row r="4212" spans="1:19" x14ac:dyDescent="0.3">
      <c r="A4212" t="s">
        <v>20660</v>
      </c>
      <c r="B4212" t="s">
        <v>22062</v>
      </c>
      <c r="C4212" t="s">
        <v>20954</v>
      </c>
      <c r="D4212" t="s">
        <v>20667</v>
      </c>
      <c r="E4212" t="s">
        <v>20668</v>
      </c>
      <c r="F4212" t="s">
        <v>20668</v>
      </c>
      <c r="G4212" t="s">
        <v>20942</v>
      </c>
      <c r="H4212" t="s">
        <v>868</v>
      </c>
      <c r="I4212" t="s">
        <v>869</v>
      </c>
      <c r="J4212" t="str">
        <f>"9310215"</f>
        <v>9310215</v>
      </c>
      <c r="K4212">
        <v>2410231430</v>
      </c>
      <c r="L4212">
        <v>2410231430</v>
      </c>
      <c r="M4212" t="s">
        <v>22121</v>
      </c>
      <c r="N4212" t="s">
        <v>20672</v>
      </c>
      <c r="O4212" t="s">
        <v>22122</v>
      </c>
      <c r="P4212">
        <v>41336</v>
      </c>
      <c r="Q4212" t="str">
        <f>"39.648840"</f>
        <v>39.648840</v>
      </c>
      <c r="R4212" t="str">
        <f>"22.433716"</f>
        <v>22.433716</v>
      </c>
      <c r="S4212" t="s">
        <v>26</v>
      </c>
    </row>
    <row r="4213" spans="1:19" x14ac:dyDescent="0.3">
      <c r="A4213" t="s">
        <v>20660</v>
      </c>
      <c r="B4213" t="s">
        <v>22062</v>
      </c>
      <c r="C4213" t="s">
        <v>20898</v>
      </c>
      <c r="D4213" t="s">
        <v>20667</v>
      </c>
      <c r="E4213" t="s">
        <v>20668</v>
      </c>
      <c r="F4213" t="s">
        <v>20668</v>
      </c>
      <c r="G4213" t="s">
        <v>20881</v>
      </c>
      <c r="H4213" t="s">
        <v>868</v>
      </c>
      <c r="I4213" t="s">
        <v>869</v>
      </c>
      <c r="J4213" t="str">
        <f>"9310161"</f>
        <v>9310161</v>
      </c>
      <c r="K4213">
        <v>2410234862</v>
      </c>
      <c r="L4213">
        <v>2410234862</v>
      </c>
      <c r="M4213" t="s">
        <v>22123</v>
      </c>
      <c r="N4213" t="s">
        <v>20672</v>
      </c>
      <c r="O4213" t="s">
        <v>22124</v>
      </c>
      <c r="P4213">
        <v>41448</v>
      </c>
      <c r="Q4213" t="str">
        <f>"39.625547"</f>
        <v>39.625547</v>
      </c>
      <c r="R4213" t="str">
        <f>"22.428508"</f>
        <v>22.428508</v>
      </c>
      <c r="S4213" t="s">
        <v>26</v>
      </c>
    </row>
    <row r="4214" spans="1:19" x14ac:dyDescent="0.3">
      <c r="A4214" t="s">
        <v>20660</v>
      </c>
      <c r="B4214" t="s">
        <v>22062</v>
      </c>
      <c r="C4214" t="s">
        <v>22137</v>
      </c>
      <c r="D4214" t="s">
        <v>20667</v>
      </c>
      <c r="E4214" t="s">
        <v>20909</v>
      </c>
      <c r="F4214" t="s">
        <v>20909</v>
      </c>
      <c r="G4214" t="s">
        <v>22136</v>
      </c>
      <c r="H4214" t="s">
        <v>868</v>
      </c>
      <c r="I4214" t="s">
        <v>869</v>
      </c>
      <c r="J4214" t="str">
        <f>"9310204"</f>
        <v>9310204</v>
      </c>
      <c r="K4214">
        <v>2410831513</v>
      </c>
      <c r="L4214">
        <v>2410831443</v>
      </c>
      <c r="M4214" t="s">
        <v>22138</v>
      </c>
      <c r="N4214" t="s">
        <v>20909</v>
      </c>
      <c r="O4214" t="s">
        <v>22139</v>
      </c>
      <c r="P4214">
        <v>40100</v>
      </c>
      <c r="Q4214" t="str">
        <f>"39.687879"</f>
        <v>39.687879</v>
      </c>
      <c r="R4214" t="str">
        <f>"22.337226"</f>
        <v>22.337226</v>
      </c>
      <c r="S4214" t="s">
        <v>26</v>
      </c>
    </row>
    <row r="4215" spans="1:19" x14ac:dyDescent="0.3">
      <c r="A4215" t="s">
        <v>20660</v>
      </c>
      <c r="B4215" t="s">
        <v>22062</v>
      </c>
      <c r="C4215" t="s">
        <v>22141</v>
      </c>
      <c r="D4215" t="s">
        <v>20667</v>
      </c>
      <c r="E4215" t="s">
        <v>20899</v>
      </c>
      <c r="F4215" t="s">
        <v>20899</v>
      </c>
      <c r="G4215" t="s">
        <v>22140</v>
      </c>
      <c r="H4215" t="s">
        <v>868</v>
      </c>
      <c r="I4215" t="s">
        <v>950</v>
      </c>
      <c r="J4215" t="str">
        <f>"9310085"</f>
        <v>9310085</v>
      </c>
      <c r="K4215">
        <v>2494061208</v>
      </c>
      <c r="L4215">
        <v>2494061208</v>
      </c>
      <c r="M4215" t="s">
        <v>22142</v>
      </c>
      <c r="N4215" t="s">
        <v>22143</v>
      </c>
      <c r="O4215" t="s">
        <v>22143</v>
      </c>
      <c r="P4215">
        <v>40003</v>
      </c>
      <c r="Q4215" t="str">
        <f>"39.570462"</f>
        <v>39.570462</v>
      </c>
      <c r="R4215" t="str">
        <f>"22.749153"</f>
        <v>22.749153</v>
      </c>
      <c r="S4215" t="s">
        <v>26</v>
      </c>
    </row>
    <row r="4216" spans="1:19" x14ac:dyDescent="0.3">
      <c r="A4216" t="s">
        <v>20660</v>
      </c>
      <c r="B4216" t="s">
        <v>22062</v>
      </c>
      <c r="C4216" t="s">
        <v>22159</v>
      </c>
      <c r="D4216" t="s">
        <v>20667</v>
      </c>
      <c r="E4216" t="s">
        <v>4424</v>
      </c>
      <c r="F4216" t="s">
        <v>22158</v>
      </c>
      <c r="G4216" t="s">
        <v>17821</v>
      </c>
      <c r="H4216" t="s">
        <v>868</v>
      </c>
      <c r="I4216" t="s">
        <v>869</v>
      </c>
      <c r="J4216" t="str">
        <f>"9310083"</f>
        <v>9310083</v>
      </c>
      <c r="K4216">
        <v>2494071349</v>
      </c>
      <c r="L4216">
        <v>2494071349</v>
      </c>
      <c r="M4216" t="s">
        <v>22160</v>
      </c>
      <c r="O4216" t="s">
        <v>17822</v>
      </c>
      <c r="P4216">
        <v>40003</v>
      </c>
      <c r="Q4216" t="str">
        <f>"39.688919"</f>
        <v>39.688919</v>
      </c>
      <c r="R4216" t="str">
        <f>"22.630456"</f>
        <v>22.630456</v>
      </c>
      <c r="S4216" t="s">
        <v>26</v>
      </c>
    </row>
    <row r="4217" spans="1:19" x14ac:dyDescent="0.3">
      <c r="A4217" t="s">
        <v>20660</v>
      </c>
      <c r="B4217" t="s">
        <v>22062</v>
      </c>
      <c r="C4217" t="s">
        <v>22161</v>
      </c>
      <c r="D4217" t="s">
        <v>20667</v>
      </c>
      <c r="E4217" t="s">
        <v>20831</v>
      </c>
      <c r="F4217" t="s">
        <v>20852</v>
      </c>
      <c r="G4217" t="s">
        <v>17983</v>
      </c>
      <c r="H4217" t="s">
        <v>868</v>
      </c>
      <c r="I4217" t="s">
        <v>869</v>
      </c>
      <c r="J4217" t="str">
        <f>"9310121"</f>
        <v>9310121</v>
      </c>
      <c r="K4217">
        <v>2495071023</v>
      </c>
      <c r="L4217">
        <v>2495071023</v>
      </c>
      <c r="M4217" t="s">
        <v>22162</v>
      </c>
      <c r="N4217" t="s">
        <v>17985</v>
      </c>
      <c r="O4217" t="s">
        <v>22163</v>
      </c>
      <c r="P4217">
        <v>40006</v>
      </c>
      <c r="Q4217" t="str">
        <f>"39.717577"</f>
        <v>39.717577</v>
      </c>
      <c r="R4217" t="str">
        <f>"22.546096"</f>
        <v>22.546096</v>
      </c>
      <c r="S4217" t="s">
        <v>26</v>
      </c>
    </row>
    <row r="4218" spans="1:19" x14ac:dyDescent="0.3">
      <c r="A4218" t="s">
        <v>20660</v>
      </c>
      <c r="B4218" t="s">
        <v>22062</v>
      </c>
      <c r="C4218" t="s">
        <v>20950</v>
      </c>
      <c r="D4218" t="s">
        <v>20667</v>
      </c>
      <c r="E4218" t="s">
        <v>4424</v>
      </c>
      <c r="F4218" t="s">
        <v>4424</v>
      </c>
      <c r="G4218" t="s">
        <v>4424</v>
      </c>
      <c r="H4218" t="s">
        <v>868</v>
      </c>
      <c r="I4218" t="s">
        <v>869</v>
      </c>
      <c r="J4218" t="str">
        <f>"9310076"</f>
        <v>9310076</v>
      </c>
      <c r="K4218">
        <v>2494022308</v>
      </c>
      <c r="L4218">
        <v>2494022308</v>
      </c>
      <c r="M4218" t="s">
        <v>22166</v>
      </c>
      <c r="N4218" t="s">
        <v>20606</v>
      </c>
      <c r="O4218" t="s">
        <v>22167</v>
      </c>
      <c r="P4218">
        <v>40003</v>
      </c>
      <c r="Q4218" t="str">
        <f>"39.720624"</f>
        <v>39.720624</v>
      </c>
      <c r="R4218" t="str">
        <f>"22.758806"</f>
        <v>22.758806</v>
      </c>
      <c r="S4218" t="s">
        <v>26</v>
      </c>
    </row>
    <row r="4219" spans="1:19" x14ac:dyDescent="0.3">
      <c r="A4219" t="s">
        <v>20660</v>
      </c>
      <c r="B4219" t="s">
        <v>22062</v>
      </c>
      <c r="C4219" t="s">
        <v>22169</v>
      </c>
      <c r="D4219" t="s">
        <v>20667</v>
      </c>
      <c r="E4219" t="s">
        <v>20859</v>
      </c>
      <c r="F4219" t="s">
        <v>22168</v>
      </c>
      <c r="G4219" t="s">
        <v>22168</v>
      </c>
      <c r="H4219" t="s">
        <v>868</v>
      </c>
      <c r="I4219" t="s">
        <v>950</v>
      </c>
      <c r="J4219" t="str">
        <f>"9310059"</f>
        <v>9310059</v>
      </c>
      <c r="K4219">
        <v>2493093263</v>
      </c>
      <c r="L4219">
        <v>2493093263</v>
      </c>
      <c r="M4219" t="s">
        <v>22170</v>
      </c>
      <c r="N4219" t="s">
        <v>22171</v>
      </c>
      <c r="O4219" t="s">
        <v>22172</v>
      </c>
      <c r="P4219">
        <v>40200</v>
      </c>
      <c r="Q4219" t="str">
        <f>"40.068799"</f>
        <v>40.068799</v>
      </c>
      <c r="R4219" t="str">
        <f>"22.053335"</f>
        <v>22.053335</v>
      </c>
      <c r="S4219" t="s">
        <v>26</v>
      </c>
    </row>
    <row r="4220" spans="1:19" x14ac:dyDescent="0.3">
      <c r="A4220" t="s">
        <v>20660</v>
      </c>
      <c r="B4220" t="s">
        <v>22062</v>
      </c>
      <c r="C4220" t="s">
        <v>22173</v>
      </c>
      <c r="D4220" t="s">
        <v>20667</v>
      </c>
      <c r="E4220" t="s">
        <v>20668</v>
      </c>
      <c r="F4220" t="s">
        <v>20668</v>
      </c>
      <c r="G4220" t="s">
        <v>20881</v>
      </c>
      <c r="H4220" t="s">
        <v>868</v>
      </c>
      <c r="I4220" t="s">
        <v>869</v>
      </c>
      <c r="J4220" t="str">
        <f>"9310436"</f>
        <v>9310436</v>
      </c>
      <c r="K4220">
        <v>2410620727</v>
      </c>
      <c r="L4220">
        <v>2410620727</v>
      </c>
      <c r="M4220" t="s">
        <v>22174</v>
      </c>
      <c r="N4220" t="s">
        <v>20672</v>
      </c>
      <c r="O4220" t="s">
        <v>22093</v>
      </c>
      <c r="P4220">
        <v>41335</v>
      </c>
      <c r="Q4220" t="str">
        <f>"39.627075"</f>
        <v>39.627075</v>
      </c>
      <c r="R4220" t="str">
        <f>"22.414864"</f>
        <v>22.414864</v>
      </c>
      <c r="S4220" t="s">
        <v>26</v>
      </c>
    </row>
    <row r="4221" spans="1:19" x14ac:dyDescent="0.3">
      <c r="A4221" t="s">
        <v>20660</v>
      </c>
      <c r="B4221" t="s">
        <v>22062</v>
      </c>
      <c r="C4221" t="s">
        <v>21116</v>
      </c>
      <c r="D4221" t="s">
        <v>20667</v>
      </c>
      <c r="E4221" t="s">
        <v>4424</v>
      </c>
      <c r="F4221" t="s">
        <v>4424</v>
      </c>
      <c r="G4221" t="s">
        <v>4424</v>
      </c>
      <c r="H4221" t="s">
        <v>868</v>
      </c>
      <c r="I4221" t="s">
        <v>869</v>
      </c>
      <c r="J4221" t="str">
        <f>"9310077"</f>
        <v>9310077</v>
      </c>
      <c r="K4221">
        <v>2494022402</v>
      </c>
      <c r="L4221">
        <v>2494022402</v>
      </c>
      <c r="M4221" t="s">
        <v>22182</v>
      </c>
      <c r="N4221" t="s">
        <v>20606</v>
      </c>
      <c r="O4221" t="s">
        <v>22183</v>
      </c>
      <c r="P4221">
        <v>40003</v>
      </c>
      <c r="Q4221" t="str">
        <f>"39.719125"</f>
        <v>39.719125</v>
      </c>
      <c r="R4221" t="str">
        <f>"22.752675"</f>
        <v>22.752675</v>
      </c>
      <c r="S4221" t="s">
        <v>26</v>
      </c>
    </row>
    <row r="4222" spans="1:19" x14ac:dyDescent="0.3">
      <c r="A4222" t="s">
        <v>20660</v>
      </c>
      <c r="B4222" t="s">
        <v>22062</v>
      </c>
      <c r="C4222" t="s">
        <v>22189</v>
      </c>
      <c r="D4222" t="s">
        <v>20667</v>
      </c>
      <c r="E4222" t="s">
        <v>20875</v>
      </c>
      <c r="F4222" t="s">
        <v>20875</v>
      </c>
      <c r="G4222" t="s">
        <v>20875</v>
      </c>
      <c r="H4222" t="s">
        <v>868</v>
      </c>
      <c r="I4222" t="s">
        <v>1157</v>
      </c>
      <c r="J4222" t="str">
        <f>"9520725"</f>
        <v>9520725</v>
      </c>
      <c r="K4222">
        <v>2491028159</v>
      </c>
      <c r="L4222">
        <v>2491022057</v>
      </c>
      <c r="M4222" t="s">
        <v>22190</v>
      </c>
      <c r="N4222" t="s">
        <v>20878</v>
      </c>
      <c r="O4222" t="s">
        <v>12202</v>
      </c>
      <c r="P4222">
        <v>40300</v>
      </c>
      <c r="Q4222" t="str">
        <f>"39.295557"</f>
        <v>39.295557</v>
      </c>
      <c r="R4222" t="str">
        <f>"22.393070"</f>
        <v>22.393070</v>
      </c>
      <c r="S4222" t="s">
        <v>26</v>
      </c>
    </row>
    <row r="4223" spans="1:19" x14ac:dyDescent="0.3">
      <c r="A4223" t="s">
        <v>20660</v>
      </c>
      <c r="B4223" t="s">
        <v>22062</v>
      </c>
      <c r="C4223" t="s">
        <v>20946</v>
      </c>
      <c r="D4223" t="s">
        <v>20667</v>
      </c>
      <c r="E4223" t="s">
        <v>20668</v>
      </c>
      <c r="F4223" t="s">
        <v>20668</v>
      </c>
      <c r="G4223" t="s">
        <v>20841</v>
      </c>
      <c r="H4223" t="s">
        <v>868</v>
      </c>
      <c r="I4223" t="s">
        <v>869</v>
      </c>
      <c r="J4223" t="str">
        <f>"9310158"</f>
        <v>9310158</v>
      </c>
      <c r="K4223">
        <v>2410238094</v>
      </c>
      <c r="L4223">
        <v>2410238094</v>
      </c>
      <c r="M4223" t="s">
        <v>22194</v>
      </c>
      <c r="N4223" t="s">
        <v>20672</v>
      </c>
      <c r="O4223" t="s">
        <v>22195</v>
      </c>
      <c r="P4223">
        <v>41223</v>
      </c>
      <c r="Q4223" t="str">
        <f>"39.631922"</f>
        <v>39.631922</v>
      </c>
      <c r="R4223" t="str">
        <f>"22.421356"</f>
        <v>22.421356</v>
      </c>
      <c r="S4223" t="s">
        <v>26</v>
      </c>
    </row>
    <row r="4224" spans="1:19" x14ac:dyDescent="0.3">
      <c r="A4224" t="s">
        <v>20660</v>
      </c>
      <c r="B4224" t="s">
        <v>22062</v>
      </c>
      <c r="C4224" t="s">
        <v>20913</v>
      </c>
      <c r="D4224" t="s">
        <v>20667</v>
      </c>
      <c r="E4224" t="s">
        <v>20909</v>
      </c>
      <c r="F4224" t="s">
        <v>20909</v>
      </c>
      <c r="G4224" t="s">
        <v>20909</v>
      </c>
      <c r="H4224" t="s">
        <v>868</v>
      </c>
      <c r="I4224" t="s">
        <v>869</v>
      </c>
      <c r="J4224" t="str">
        <f>"9310193"</f>
        <v>9310193</v>
      </c>
      <c r="K4224">
        <v>2492022624</v>
      </c>
      <c r="L4224">
        <v>2492022624</v>
      </c>
      <c r="M4224" t="s">
        <v>22196</v>
      </c>
      <c r="N4224" t="s">
        <v>20977</v>
      </c>
      <c r="O4224" t="s">
        <v>22197</v>
      </c>
      <c r="P4224">
        <v>40100</v>
      </c>
      <c r="Q4224" t="str">
        <f>"39.745326"</f>
        <v>39.745326</v>
      </c>
      <c r="R4224" t="str">
        <f>"22.288237"</f>
        <v>22.288237</v>
      </c>
      <c r="S4224" t="s">
        <v>26</v>
      </c>
    </row>
    <row r="4225" spans="1:19" x14ac:dyDescent="0.3">
      <c r="A4225" t="s">
        <v>20660</v>
      </c>
      <c r="B4225" t="s">
        <v>22062</v>
      </c>
      <c r="C4225" t="s">
        <v>22201</v>
      </c>
      <c r="D4225" t="s">
        <v>20667</v>
      </c>
      <c r="E4225" t="s">
        <v>20909</v>
      </c>
      <c r="F4225" t="s">
        <v>20909</v>
      </c>
      <c r="G4225" t="s">
        <v>20909</v>
      </c>
      <c r="H4225" t="s">
        <v>868</v>
      </c>
      <c r="I4225" t="s">
        <v>869</v>
      </c>
      <c r="J4225" t="str">
        <f>"9310190"</f>
        <v>9310190</v>
      </c>
      <c r="K4225">
        <v>2492022225</v>
      </c>
      <c r="L4225">
        <v>2492022225</v>
      </c>
      <c r="M4225" t="s">
        <v>22202</v>
      </c>
      <c r="N4225" t="s">
        <v>20977</v>
      </c>
      <c r="O4225" t="s">
        <v>22203</v>
      </c>
      <c r="P4225">
        <v>40100</v>
      </c>
      <c r="Q4225" t="str">
        <f>"39.738871"</f>
        <v>39.738871</v>
      </c>
      <c r="R4225" t="str">
        <f>"22.284792"</f>
        <v>22.284792</v>
      </c>
      <c r="S4225" t="s">
        <v>26</v>
      </c>
    </row>
    <row r="4226" spans="1:19" x14ac:dyDescent="0.3">
      <c r="A4226" t="s">
        <v>20660</v>
      </c>
      <c r="B4226" t="s">
        <v>22062</v>
      </c>
      <c r="C4226" t="s">
        <v>20933</v>
      </c>
      <c r="D4226" t="s">
        <v>20667</v>
      </c>
      <c r="E4226" t="s">
        <v>20668</v>
      </c>
      <c r="F4226" t="s">
        <v>20668</v>
      </c>
      <c r="G4226" t="s">
        <v>20881</v>
      </c>
      <c r="H4226" t="s">
        <v>868</v>
      </c>
      <c r="I4226" t="s">
        <v>869</v>
      </c>
      <c r="J4226" t="str">
        <f>"9310508"</f>
        <v>9310508</v>
      </c>
      <c r="K4226">
        <v>2410628018</v>
      </c>
      <c r="L4226">
        <v>2410628017</v>
      </c>
      <c r="M4226" t="s">
        <v>22204</v>
      </c>
      <c r="N4226" t="s">
        <v>20672</v>
      </c>
      <c r="O4226" t="s">
        <v>22205</v>
      </c>
      <c r="P4226">
        <v>41335</v>
      </c>
      <c r="Q4226" t="str">
        <f>"39.617968"</f>
        <v>39.617968</v>
      </c>
      <c r="R4226" t="str">
        <f>"22.418481"</f>
        <v>22.418481</v>
      </c>
      <c r="S4226" t="s">
        <v>26</v>
      </c>
    </row>
    <row r="4227" spans="1:19" x14ac:dyDescent="0.3">
      <c r="A4227" t="s">
        <v>20660</v>
      </c>
      <c r="B4227" t="s">
        <v>22062</v>
      </c>
      <c r="C4227" t="s">
        <v>21089</v>
      </c>
      <c r="D4227" t="s">
        <v>20667</v>
      </c>
      <c r="E4227" t="s">
        <v>20668</v>
      </c>
      <c r="F4227" t="s">
        <v>21083</v>
      </c>
      <c r="G4227" t="s">
        <v>21084</v>
      </c>
      <c r="H4227" t="s">
        <v>868</v>
      </c>
      <c r="I4227" t="s">
        <v>869</v>
      </c>
      <c r="J4227" t="str">
        <f>"9310171"</f>
        <v>9310171</v>
      </c>
      <c r="K4227">
        <v>2410811283</v>
      </c>
      <c r="L4227">
        <v>2410811283</v>
      </c>
      <c r="M4227" t="s">
        <v>22209</v>
      </c>
      <c r="N4227" t="s">
        <v>21087</v>
      </c>
      <c r="O4227" t="s">
        <v>21088</v>
      </c>
      <c r="P4227">
        <v>41500</v>
      </c>
      <c r="Q4227" t="str">
        <f>"39.574482"</f>
        <v>39.574482</v>
      </c>
      <c r="R4227" t="str">
        <f>"22.302818"</f>
        <v>22.302818</v>
      </c>
      <c r="S4227" t="s">
        <v>26</v>
      </c>
    </row>
    <row r="4228" spans="1:19" x14ac:dyDescent="0.3">
      <c r="A4228" t="s">
        <v>20660</v>
      </c>
      <c r="B4228" t="s">
        <v>22062</v>
      </c>
      <c r="C4228" t="s">
        <v>20986</v>
      </c>
      <c r="D4228" t="s">
        <v>20667</v>
      </c>
      <c r="E4228" t="s">
        <v>20668</v>
      </c>
      <c r="F4228" t="s">
        <v>20668</v>
      </c>
      <c r="G4228" t="s">
        <v>20942</v>
      </c>
      <c r="H4228" t="s">
        <v>868</v>
      </c>
      <c r="I4228" t="s">
        <v>869</v>
      </c>
      <c r="J4228" t="str">
        <f>"9310159"</f>
        <v>9310159</v>
      </c>
      <c r="K4228">
        <v>2410235161</v>
      </c>
      <c r="L4228">
        <v>2410235161</v>
      </c>
      <c r="M4228" t="s">
        <v>22211</v>
      </c>
      <c r="N4228" t="s">
        <v>20672</v>
      </c>
      <c r="O4228" t="s">
        <v>22212</v>
      </c>
      <c r="P4228">
        <v>41221</v>
      </c>
      <c r="Q4228" t="str">
        <f>"39.636792"</f>
        <v>39.636792</v>
      </c>
      <c r="R4228" t="str">
        <f>"22.429330"</f>
        <v>22.429330</v>
      </c>
      <c r="S4228" t="s">
        <v>26</v>
      </c>
    </row>
    <row r="4229" spans="1:19" x14ac:dyDescent="0.3">
      <c r="A4229" t="s">
        <v>20660</v>
      </c>
      <c r="B4229" t="s">
        <v>22062</v>
      </c>
      <c r="C4229" t="s">
        <v>22216</v>
      </c>
      <c r="D4229" t="s">
        <v>20667</v>
      </c>
      <c r="E4229" t="s">
        <v>20875</v>
      </c>
      <c r="F4229" t="s">
        <v>20875</v>
      </c>
      <c r="G4229" t="s">
        <v>20875</v>
      </c>
      <c r="H4229" t="s">
        <v>868</v>
      </c>
      <c r="I4229" t="s">
        <v>869</v>
      </c>
      <c r="J4229" t="str">
        <f>"9310312"</f>
        <v>9310312</v>
      </c>
      <c r="K4229">
        <v>2491022037</v>
      </c>
      <c r="L4229">
        <v>2491025588</v>
      </c>
      <c r="M4229" t="s">
        <v>22217</v>
      </c>
      <c r="N4229" t="s">
        <v>22218</v>
      </c>
      <c r="O4229" t="s">
        <v>22219</v>
      </c>
      <c r="P4229">
        <v>40300</v>
      </c>
      <c r="Q4229" t="str">
        <f>"39.292795"</f>
        <v>39.292795</v>
      </c>
      <c r="R4229" t="str">
        <f>"22.377012"</f>
        <v>22.377012</v>
      </c>
      <c r="S4229" t="s">
        <v>26</v>
      </c>
    </row>
    <row r="4230" spans="1:19" x14ac:dyDescent="0.3">
      <c r="A4230" t="s">
        <v>20660</v>
      </c>
      <c r="B4230" t="s">
        <v>22062</v>
      </c>
      <c r="C4230" t="s">
        <v>22240</v>
      </c>
      <c r="D4230" t="s">
        <v>20667</v>
      </c>
      <c r="E4230" t="s">
        <v>4424</v>
      </c>
      <c r="F4230" t="s">
        <v>22127</v>
      </c>
      <c r="G4230" t="s">
        <v>22127</v>
      </c>
      <c r="H4230" t="s">
        <v>868</v>
      </c>
      <c r="I4230" t="s">
        <v>869</v>
      </c>
      <c r="J4230" t="str">
        <f>"9310088"</f>
        <v>9310088</v>
      </c>
      <c r="K4230">
        <v>2494031289</v>
      </c>
      <c r="L4230">
        <v>2494031289</v>
      </c>
      <c r="M4230" t="s">
        <v>22241</v>
      </c>
      <c r="N4230" t="s">
        <v>2291</v>
      </c>
      <c r="O4230" t="s">
        <v>2291</v>
      </c>
      <c r="P4230">
        <v>40003</v>
      </c>
      <c r="Q4230" t="str">
        <f>"39.751902"</f>
        <v>39.751902</v>
      </c>
      <c r="R4230" t="str">
        <f>"22.797658"</f>
        <v>22.797658</v>
      </c>
      <c r="S4230" t="s">
        <v>26</v>
      </c>
    </row>
    <row r="4231" spans="1:19" x14ac:dyDescent="0.3">
      <c r="A4231" t="s">
        <v>20660</v>
      </c>
      <c r="B4231" t="s">
        <v>22062</v>
      </c>
      <c r="C4231" t="s">
        <v>22246</v>
      </c>
      <c r="D4231" t="s">
        <v>20667</v>
      </c>
      <c r="E4231" t="s">
        <v>20668</v>
      </c>
      <c r="F4231" t="s">
        <v>20668</v>
      </c>
      <c r="G4231" t="s">
        <v>20942</v>
      </c>
      <c r="H4231" t="s">
        <v>868</v>
      </c>
      <c r="I4231" t="s">
        <v>869</v>
      </c>
      <c r="J4231" t="str">
        <f>"9310471"</f>
        <v>9310471</v>
      </c>
      <c r="K4231">
        <v>2410237287</v>
      </c>
      <c r="L4231">
        <v>2411103192</v>
      </c>
      <c r="M4231" t="s">
        <v>22247</v>
      </c>
      <c r="N4231" t="s">
        <v>20672</v>
      </c>
      <c r="O4231" t="s">
        <v>22248</v>
      </c>
      <c r="P4231">
        <v>41221</v>
      </c>
      <c r="Q4231" t="str">
        <f>"39.637695"</f>
        <v>39.637695</v>
      </c>
      <c r="R4231" t="str">
        <f>"22.430096"</f>
        <v>22.430096</v>
      </c>
      <c r="S4231" t="s">
        <v>26</v>
      </c>
    </row>
    <row r="4232" spans="1:19" x14ac:dyDescent="0.3">
      <c r="A4232" t="s">
        <v>20660</v>
      </c>
      <c r="B4232" t="s">
        <v>22062</v>
      </c>
      <c r="C4232" t="s">
        <v>22249</v>
      </c>
      <c r="D4232" t="s">
        <v>20667</v>
      </c>
      <c r="E4232" t="s">
        <v>20668</v>
      </c>
      <c r="F4232" t="s">
        <v>20668</v>
      </c>
      <c r="G4232" t="s">
        <v>20881</v>
      </c>
      <c r="H4232" t="s">
        <v>868</v>
      </c>
      <c r="I4232" t="s">
        <v>869</v>
      </c>
      <c r="J4232" t="str">
        <f>"9310397"</f>
        <v>9310397</v>
      </c>
      <c r="K4232">
        <v>2410237877</v>
      </c>
      <c r="L4232">
        <v>2410237877</v>
      </c>
      <c r="M4232" t="s">
        <v>22250</v>
      </c>
      <c r="N4232" t="s">
        <v>20672</v>
      </c>
      <c r="O4232" t="s">
        <v>22124</v>
      </c>
      <c r="P4232">
        <v>41448</v>
      </c>
      <c r="Q4232" t="str">
        <f>"39.625547"</f>
        <v>39.625547</v>
      </c>
      <c r="R4232" t="str">
        <f>"22.428508"</f>
        <v>22.428508</v>
      </c>
      <c r="S4232" t="s">
        <v>26</v>
      </c>
    </row>
    <row r="4233" spans="1:19" x14ac:dyDescent="0.3">
      <c r="A4233" t="s">
        <v>20660</v>
      </c>
      <c r="B4233" t="s">
        <v>22062</v>
      </c>
      <c r="C4233" t="s">
        <v>22251</v>
      </c>
      <c r="D4233" t="s">
        <v>20667</v>
      </c>
      <c r="E4233" t="s">
        <v>20668</v>
      </c>
      <c r="F4233" t="s">
        <v>20668</v>
      </c>
      <c r="G4233" t="s">
        <v>20841</v>
      </c>
      <c r="H4233" t="s">
        <v>868</v>
      </c>
      <c r="I4233" t="s">
        <v>869</v>
      </c>
      <c r="J4233" t="str">
        <f>"9310426"</f>
        <v>9310426</v>
      </c>
      <c r="K4233">
        <v>2410288327</v>
      </c>
      <c r="L4233">
        <v>2410288327</v>
      </c>
      <c r="M4233" t="s">
        <v>22252</v>
      </c>
      <c r="N4233" t="s">
        <v>20672</v>
      </c>
      <c r="O4233" t="s">
        <v>22253</v>
      </c>
      <c r="P4233">
        <v>41221</v>
      </c>
      <c r="Q4233" t="str">
        <f>"39.641081"</f>
        <v>39.641081</v>
      </c>
      <c r="R4233" t="str">
        <f>"22.422342"</f>
        <v>22.422342</v>
      </c>
      <c r="S4233" t="s">
        <v>26</v>
      </c>
    </row>
    <row r="4234" spans="1:19" x14ac:dyDescent="0.3">
      <c r="A4234" t="s">
        <v>20660</v>
      </c>
      <c r="B4234" t="s">
        <v>22062</v>
      </c>
      <c r="C4234" t="s">
        <v>22271</v>
      </c>
      <c r="D4234" t="s">
        <v>20667</v>
      </c>
      <c r="E4234" t="s">
        <v>20668</v>
      </c>
      <c r="F4234" t="s">
        <v>20668</v>
      </c>
      <c r="G4234" t="s">
        <v>20942</v>
      </c>
      <c r="H4234" t="s">
        <v>868</v>
      </c>
      <c r="I4234" t="s">
        <v>869</v>
      </c>
      <c r="J4234" t="str">
        <f>"9310437"</f>
        <v>9310437</v>
      </c>
      <c r="K4234">
        <v>2410236704</v>
      </c>
      <c r="L4234">
        <v>2410236704</v>
      </c>
      <c r="M4234" t="s">
        <v>22272</v>
      </c>
      <c r="N4234" t="s">
        <v>20672</v>
      </c>
      <c r="O4234" t="s">
        <v>22273</v>
      </c>
      <c r="P4234">
        <v>41336</v>
      </c>
      <c r="Q4234" t="str">
        <f>"39.648440"</f>
        <v>39.648440</v>
      </c>
      <c r="R4234" t="str">
        <f>"22.430376"</f>
        <v>22.430376</v>
      </c>
      <c r="S4234" t="s">
        <v>26</v>
      </c>
    </row>
    <row r="4235" spans="1:19" x14ac:dyDescent="0.3">
      <c r="A4235" t="s">
        <v>20660</v>
      </c>
      <c r="B4235" t="s">
        <v>22062</v>
      </c>
      <c r="C4235" t="s">
        <v>22277</v>
      </c>
      <c r="D4235" t="s">
        <v>20667</v>
      </c>
      <c r="E4235" t="s">
        <v>20899</v>
      </c>
      <c r="F4235" t="s">
        <v>20900</v>
      </c>
      <c r="G4235" t="s">
        <v>2691</v>
      </c>
      <c r="H4235" t="s">
        <v>868</v>
      </c>
      <c r="I4235" t="s">
        <v>869</v>
      </c>
      <c r="J4235" t="str">
        <f>"9310115"</f>
        <v>9310115</v>
      </c>
      <c r="K4235">
        <v>2410971271</v>
      </c>
      <c r="L4235">
        <v>2410971271</v>
      </c>
      <c r="M4235" t="s">
        <v>22278</v>
      </c>
      <c r="N4235" t="s">
        <v>22279</v>
      </c>
      <c r="O4235" t="s">
        <v>22279</v>
      </c>
      <c r="P4235">
        <v>40009</v>
      </c>
      <c r="Q4235" t="str">
        <f>"39.622198"</f>
        <v>39.622198</v>
      </c>
      <c r="R4235" t="str">
        <f>"22.519327"</f>
        <v>22.519327</v>
      </c>
      <c r="S4235" t="s">
        <v>26</v>
      </c>
    </row>
    <row r="4236" spans="1:19" x14ac:dyDescent="0.3">
      <c r="A4236" t="s">
        <v>20660</v>
      </c>
      <c r="B4236" t="s">
        <v>22062</v>
      </c>
      <c r="C4236" t="s">
        <v>22280</v>
      </c>
      <c r="D4236" t="s">
        <v>20667</v>
      </c>
      <c r="E4236" t="s">
        <v>20668</v>
      </c>
      <c r="F4236" t="s">
        <v>20955</v>
      </c>
      <c r="G4236" t="s">
        <v>20955</v>
      </c>
      <c r="H4236" t="s">
        <v>868</v>
      </c>
      <c r="I4236" t="s">
        <v>869</v>
      </c>
      <c r="J4236" t="str">
        <f>"9310201"</f>
        <v>9310201</v>
      </c>
      <c r="K4236">
        <v>2410591250</v>
      </c>
      <c r="L4236">
        <v>2410591250</v>
      </c>
      <c r="M4236" t="s">
        <v>22281</v>
      </c>
      <c r="N4236" t="s">
        <v>20958</v>
      </c>
      <c r="O4236" t="s">
        <v>22282</v>
      </c>
      <c r="P4236">
        <v>41500</v>
      </c>
      <c r="Q4236" t="str">
        <f>"39.664890"</f>
        <v>39.664890</v>
      </c>
      <c r="R4236" t="str">
        <f>"22.392279"</f>
        <v>22.392279</v>
      </c>
      <c r="S4236" t="s">
        <v>26</v>
      </c>
    </row>
    <row r="4237" spans="1:19" x14ac:dyDescent="0.3">
      <c r="A4237" t="s">
        <v>20660</v>
      </c>
      <c r="B4237" t="s">
        <v>22062</v>
      </c>
      <c r="C4237" t="s">
        <v>22291</v>
      </c>
      <c r="D4237" t="s">
        <v>20667</v>
      </c>
      <c r="E4237" t="s">
        <v>20831</v>
      </c>
      <c r="F4237" t="s">
        <v>20832</v>
      </c>
      <c r="G4237" t="s">
        <v>22290</v>
      </c>
      <c r="H4237" t="s">
        <v>868</v>
      </c>
      <c r="I4237" t="s">
        <v>950</v>
      </c>
      <c r="J4237" t="str">
        <f>"9310235"</f>
        <v>9310235</v>
      </c>
      <c r="K4237">
        <v>2495095216</v>
      </c>
      <c r="L4237">
        <v>2495095216</v>
      </c>
      <c r="M4237" t="s">
        <v>22292</v>
      </c>
      <c r="N4237" t="s">
        <v>22293</v>
      </c>
      <c r="O4237" t="s">
        <v>22294</v>
      </c>
      <c r="P4237">
        <v>40007</v>
      </c>
      <c r="Q4237" t="str">
        <f>"39.953967"</f>
        <v>39.953967</v>
      </c>
      <c r="R4237" t="str">
        <f>"22.610640"</f>
        <v>22.610640</v>
      </c>
      <c r="S4237" t="s">
        <v>26</v>
      </c>
    </row>
    <row r="4238" spans="1:19" x14ac:dyDescent="0.3">
      <c r="A4238" t="s">
        <v>20660</v>
      </c>
      <c r="B4238" t="s">
        <v>22062</v>
      </c>
      <c r="C4238" t="s">
        <v>22296</v>
      </c>
      <c r="D4238" t="s">
        <v>20667</v>
      </c>
      <c r="E4238" t="s">
        <v>20909</v>
      </c>
      <c r="F4238" t="s">
        <v>20909</v>
      </c>
      <c r="G4238" t="s">
        <v>22295</v>
      </c>
      <c r="H4238" t="s">
        <v>868</v>
      </c>
      <c r="I4238" t="s">
        <v>869</v>
      </c>
      <c r="J4238" t="str">
        <f>"9310149"</f>
        <v>9310149</v>
      </c>
      <c r="K4238">
        <v>2492066212</v>
      </c>
      <c r="L4238">
        <v>2492066212</v>
      </c>
      <c r="M4238" t="s">
        <v>22297</v>
      </c>
      <c r="N4238" t="s">
        <v>22298</v>
      </c>
      <c r="O4238" t="s">
        <v>22299</v>
      </c>
      <c r="P4238">
        <v>40100</v>
      </c>
      <c r="Q4238" t="str">
        <f>"39.712912"</f>
        <v>39.712912</v>
      </c>
      <c r="R4238" t="str">
        <f>"22.188810"</f>
        <v>22.188810</v>
      </c>
      <c r="S4238" t="s">
        <v>26</v>
      </c>
    </row>
    <row r="4239" spans="1:19" x14ac:dyDescent="0.3">
      <c r="A4239" t="s">
        <v>20660</v>
      </c>
      <c r="B4239" t="s">
        <v>22062</v>
      </c>
      <c r="C4239" t="s">
        <v>22300</v>
      </c>
      <c r="D4239" t="s">
        <v>20667</v>
      </c>
      <c r="E4239" t="s">
        <v>20899</v>
      </c>
      <c r="F4239" t="s">
        <v>21077</v>
      </c>
      <c r="G4239" t="s">
        <v>22175</v>
      </c>
      <c r="H4239" t="s">
        <v>868</v>
      </c>
      <c r="I4239" t="s">
        <v>950</v>
      </c>
      <c r="J4239" t="str">
        <f>"9310126"</f>
        <v>9310126</v>
      </c>
      <c r="K4239">
        <v>2410711241</v>
      </c>
      <c r="M4239" t="s">
        <v>22301</v>
      </c>
      <c r="N4239" t="s">
        <v>22178</v>
      </c>
      <c r="O4239" t="s">
        <v>22178</v>
      </c>
      <c r="P4239">
        <v>41500</v>
      </c>
      <c r="Q4239" t="str">
        <f>"39.440150"</f>
        <v>39.440150</v>
      </c>
      <c r="R4239" t="str">
        <f>"22.676888"</f>
        <v>22.676888</v>
      </c>
      <c r="S4239" t="s">
        <v>26</v>
      </c>
    </row>
    <row r="4240" spans="1:19" x14ac:dyDescent="0.3">
      <c r="A4240" t="s">
        <v>20660</v>
      </c>
      <c r="B4240" t="s">
        <v>22062</v>
      </c>
      <c r="C4240" t="s">
        <v>21038</v>
      </c>
      <c r="D4240" t="s">
        <v>20667</v>
      </c>
      <c r="E4240" t="s">
        <v>20859</v>
      </c>
      <c r="F4240" t="s">
        <v>21033</v>
      </c>
      <c r="G4240" t="s">
        <v>21034</v>
      </c>
      <c r="H4240" t="s">
        <v>868</v>
      </c>
      <c r="I4240" t="s">
        <v>869</v>
      </c>
      <c r="J4240" t="str">
        <f>"9310145"</f>
        <v>9310145</v>
      </c>
      <c r="K4240">
        <v>2492081207</v>
      </c>
      <c r="L4240">
        <v>2492081207</v>
      </c>
      <c r="M4240" t="s">
        <v>22308</v>
      </c>
      <c r="N4240" t="s">
        <v>22135</v>
      </c>
      <c r="O4240" t="s">
        <v>22309</v>
      </c>
      <c r="P4240">
        <v>40005</v>
      </c>
      <c r="Q4240" t="str">
        <f>"39.782684"</f>
        <v>39.782684</v>
      </c>
      <c r="R4240" t="str">
        <f>"21.976708"</f>
        <v>21.976708</v>
      </c>
      <c r="S4240" t="s">
        <v>26</v>
      </c>
    </row>
    <row r="4241" spans="1:19" x14ac:dyDescent="0.3">
      <c r="A4241" t="s">
        <v>20660</v>
      </c>
      <c r="B4241" t="s">
        <v>22062</v>
      </c>
      <c r="C4241" t="s">
        <v>22310</v>
      </c>
      <c r="D4241" t="s">
        <v>20667</v>
      </c>
      <c r="E4241" t="s">
        <v>20668</v>
      </c>
      <c r="F4241" t="s">
        <v>20668</v>
      </c>
      <c r="G4241" t="s">
        <v>20669</v>
      </c>
      <c r="H4241" t="s">
        <v>868</v>
      </c>
      <c r="I4241" t="s">
        <v>1157</v>
      </c>
      <c r="J4241" t="str">
        <f>"9310340"</f>
        <v>9310340</v>
      </c>
      <c r="K4241">
        <v>2410612715</v>
      </c>
      <c r="L4241">
        <v>2410612715</v>
      </c>
      <c r="M4241" t="s">
        <v>22311</v>
      </c>
      <c r="N4241" t="s">
        <v>20672</v>
      </c>
      <c r="O4241" t="s">
        <v>22312</v>
      </c>
      <c r="P4241">
        <v>41334</v>
      </c>
      <c r="Q4241" t="str">
        <f>"39.621025"</f>
        <v>39.621025</v>
      </c>
      <c r="R4241" t="str">
        <f>"22.400836"</f>
        <v>22.400836</v>
      </c>
      <c r="S4241" t="s">
        <v>26</v>
      </c>
    </row>
    <row r="4242" spans="1:19" x14ac:dyDescent="0.3">
      <c r="A4242" t="s">
        <v>20660</v>
      </c>
      <c r="B4242" t="s">
        <v>22062</v>
      </c>
      <c r="C4242" t="s">
        <v>22318</v>
      </c>
      <c r="D4242" t="s">
        <v>20667</v>
      </c>
      <c r="E4242" t="s">
        <v>20899</v>
      </c>
      <c r="F4242" t="s">
        <v>20899</v>
      </c>
      <c r="G4242" t="s">
        <v>22283</v>
      </c>
      <c r="H4242" t="s">
        <v>868</v>
      </c>
      <c r="I4242" t="s">
        <v>869</v>
      </c>
      <c r="J4242" t="str">
        <f>"9310123"</f>
        <v>9310123</v>
      </c>
      <c r="K4242">
        <v>2410731207</v>
      </c>
      <c r="L4242">
        <v>2410731207</v>
      </c>
      <c r="M4242" t="s">
        <v>22319</v>
      </c>
      <c r="N4242" t="s">
        <v>20672</v>
      </c>
      <c r="O4242" t="s">
        <v>22320</v>
      </c>
      <c r="P4242">
        <v>41500</v>
      </c>
      <c r="Q4242" t="str">
        <f>"39.504761"</f>
        <v>39.504761</v>
      </c>
      <c r="R4242" t="str">
        <f>"22.639481"</f>
        <v>22.639481</v>
      </c>
      <c r="S4242" t="s">
        <v>26</v>
      </c>
    </row>
    <row r="4243" spans="1:19" x14ac:dyDescent="0.3">
      <c r="A4243" t="s">
        <v>20660</v>
      </c>
      <c r="B4243" t="s">
        <v>22062</v>
      </c>
      <c r="C4243" t="s">
        <v>21152</v>
      </c>
      <c r="D4243" t="s">
        <v>20667</v>
      </c>
      <c r="E4243" t="s">
        <v>20668</v>
      </c>
      <c r="F4243" t="s">
        <v>20668</v>
      </c>
      <c r="G4243" t="s">
        <v>20841</v>
      </c>
      <c r="H4243" t="s">
        <v>868</v>
      </c>
      <c r="I4243" t="s">
        <v>869</v>
      </c>
      <c r="J4243" t="str">
        <f>"9310466"</f>
        <v>9310466</v>
      </c>
      <c r="K4243">
        <v>2410627161</v>
      </c>
      <c r="L4243">
        <v>2410627161</v>
      </c>
      <c r="M4243" t="s">
        <v>22324</v>
      </c>
      <c r="N4243" t="s">
        <v>20672</v>
      </c>
      <c r="O4243" t="s">
        <v>5822</v>
      </c>
      <c r="P4243">
        <v>41222</v>
      </c>
      <c r="Q4243" t="str">
        <f>"39.635651"</f>
        <v>39.635651</v>
      </c>
      <c r="R4243" t="str">
        <f>"22.412649"</f>
        <v>22.412649</v>
      </c>
      <c r="S4243" t="s">
        <v>26</v>
      </c>
    </row>
    <row r="4244" spans="1:19" x14ac:dyDescent="0.3">
      <c r="A4244" t="s">
        <v>20660</v>
      </c>
      <c r="B4244" t="s">
        <v>22062</v>
      </c>
      <c r="C4244" t="s">
        <v>22328</v>
      </c>
      <c r="D4244" t="s">
        <v>20667</v>
      </c>
      <c r="E4244" t="s">
        <v>20668</v>
      </c>
      <c r="F4244" t="s">
        <v>20668</v>
      </c>
      <c r="G4244" t="s">
        <v>20669</v>
      </c>
      <c r="H4244" t="s">
        <v>868</v>
      </c>
      <c r="I4244" t="s">
        <v>869</v>
      </c>
      <c r="J4244" t="str">
        <f>"9310109"</f>
        <v>9310109</v>
      </c>
      <c r="K4244">
        <v>2410614978</v>
      </c>
      <c r="L4244">
        <v>2410614978</v>
      </c>
      <c r="M4244" t="s">
        <v>22329</v>
      </c>
      <c r="N4244" t="s">
        <v>20672</v>
      </c>
      <c r="O4244" t="s">
        <v>22330</v>
      </c>
      <c r="P4244">
        <v>41334</v>
      </c>
      <c r="Q4244" t="str">
        <f>"39.624361"</f>
        <v>39.624361</v>
      </c>
      <c r="R4244" t="str">
        <f>"22.402625"</f>
        <v>22.402625</v>
      </c>
      <c r="S4244" t="s">
        <v>26</v>
      </c>
    </row>
    <row r="4245" spans="1:19" x14ac:dyDescent="0.3">
      <c r="A4245" t="s">
        <v>20660</v>
      </c>
      <c r="B4245" t="s">
        <v>22062</v>
      </c>
      <c r="C4245" t="s">
        <v>22331</v>
      </c>
      <c r="D4245" t="s">
        <v>20667</v>
      </c>
      <c r="E4245" t="s">
        <v>20668</v>
      </c>
      <c r="F4245" t="s">
        <v>20668</v>
      </c>
      <c r="G4245" t="s">
        <v>20841</v>
      </c>
      <c r="H4245" t="s">
        <v>868</v>
      </c>
      <c r="I4245" t="s">
        <v>869</v>
      </c>
      <c r="J4245" t="str">
        <f>"9310100"</f>
        <v>9310100</v>
      </c>
      <c r="K4245">
        <v>2410627040</v>
      </c>
      <c r="L4245">
        <v>2410627040</v>
      </c>
      <c r="M4245" t="s">
        <v>22332</v>
      </c>
      <c r="N4245" t="s">
        <v>20672</v>
      </c>
      <c r="O4245" t="s">
        <v>22103</v>
      </c>
      <c r="P4245">
        <v>41222</v>
      </c>
      <c r="Q4245" t="str">
        <f>"39.635688"</f>
        <v>39.635688</v>
      </c>
      <c r="R4245" t="str">
        <f>"22.412746"</f>
        <v>22.412746</v>
      </c>
      <c r="S4245" t="s">
        <v>26</v>
      </c>
    </row>
    <row r="4246" spans="1:19" x14ac:dyDescent="0.3">
      <c r="A4246" t="s">
        <v>20660</v>
      </c>
      <c r="B4246" t="s">
        <v>22062</v>
      </c>
      <c r="C4246" t="s">
        <v>20880</v>
      </c>
      <c r="D4246" t="s">
        <v>20667</v>
      </c>
      <c r="E4246" t="s">
        <v>20875</v>
      </c>
      <c r="F4246" t="s">
        <v>20875</v>
      </c>
      <c r="G4246" t="s">
        <v>20875</v>
      </c>
      <c r="H4246" t="s">
        <v>868</v>
      </c>
      <c r="I4246" t="s">
        <v>869</v>
      </c>
      <c r="J4246" t="str">
        <f>"9310452"</f>
        <v>9310452</v>
      </c>
      <c r="K4246">
        <v>2491025120</v>
      </c>
      <c r="L4246">
        <v>2491025120</v>
      </c>
      <c r="M4246" t="s">
        <v>22333</v>
      </c>
      <c r="N4246" t="s">
        <v>20878</v>
      </c>
      <c r="O4246" t="s">
        <v>22334</v>
      </c>
      <c r="P4246">
        <v>40300</v>
      </c>
      <c r="Q4246" t="str">
        <f>"39.297030"</f>
        <v>39.297030</v>
      </c>
      <c r="R4246" t="str">
        <f>"22.378551"</f>
        <v>22.378551</v>
      </c>
      <c r="S4246" t="s">
        <v>26</v>
      </c>
    </row>
    <row r="4247" spans="1:19" x14ac:dyDescent="0.3">
      <c r="A4247" t="s">
        <v>20660</v>
      </c>
      <c r="B4247" t="s">
        <v>22062</v>
      </c>
      <c r="C4247" t="s">
        <v>21069</v>
      </c>
      <c r="D4247" t="s">
        <v>20667</v>
      </c>
      <c r="E4247" t="s">
        <v>20668</v>
      </c>
      <c r="F4247" t="s">
        <v>20668</v>
      </c>
      <c r="G4247" t="s">
        <v>20841</v>
      </c>
      <c r="H4247" t="s">
        <v>868</v>
      </c>
      <c r="I4247" t="s">
        <v>869</v>
      </c>
      <c r="J4247" t="str">
        <f>"9310162"</f>
        <v>9310162</v>
      </c>
      <c r="K4247">
        <v>2410238178</v>
      </c>
      <c r="L4247">
        <v>2410238178</v>
      </c>
      <c r="M4247" t="s">
        <v>22335</v>
      </c>
      <c r="N4247" t="s">
        <v>20672</v>
      </c>
      <c r="O4247" t="s">
        <v>22146</v>
      </c>
      <c r="P4247">
        <v>41223</v>
      </c>
      <c r="Q4247" t="str">
        <f>"39.631861"</f>
        <v>39.631861</v>
      </c>
      <c r="R4247" t="str">
        <f>"22.420480"</f>
        <v>22.420480</v>
      </c>
      <c r="S4247" t="s">
        <v>26</v>
      </c>
    </row>
    <row r="4248" spans="1:19" x14ac:dyDescent="0.3">
      <c r="A4248" t="s">
        <v>20660</v>
      </c>
      <c r="B4248" t="s">
        <v>22062</v>
      </c>
      <c r="C4248" t="s">
        <v>20917</v>
      </c>
      <c r="D4248" t="s">
        <v>20667</v>
      </c>
      <c r="E4248" t="s">
        <v>20668</v>
      </c>
      <c r="F4248" t="s">
        <v>20668</v>
      </c>
      <c r="G4248" t="s">
        <v>20669</v>
      </c>
      <c r="H4248" t="s">
        <v>868</v>
      </c>
      <c r="I4248" t="s">
        <v>869</v>
      </c>
      <c r="J4248" t="str">
        <f>"9310401"</f>
        <v>9310401</v>
      </c>
      <c r="K4248">
        <v>2410530287</v>
      </c>
      <c r="L4248">
        <v>2410530288</v>
      </c>
      <c r="M4248" t="s">
        <v>22336</v>
      </c>
      <c r="N4248" t="s">
        <v>20672</v>
      </c>
      <c r="O4248" t="s">
        <v>22337</v>
      </c>
      <c r="P4248">
        <v>41447</v>
      </c>
      <c r="Q4248" t="str">
        <f>"39.640133"</f>
        <v>39.640133</v>
      </c>
      <c r="R4248" t="str">
        <f>"22.403411"</f>
        <v>22.403411</v>
      </c>
      <c r="S4248" t="s">
        <v>26</v>
      </c>
    </row>
    <row r="4249" spans="1:19" x14ac:dyDescent="0.3">
      <c r="A4249" t="s">
        <v>20660</v>
      </c>
      <c r="B4249" t="s">
        <v>22062</v>
      </c>
      <c r="C4249" t="s">
        <v>22338</v>
      </c>
      <c r="D4249" t="s">
        <v>20667</v>
      </c>
      <c r="E4249" t="s">
        <v>20668</v>
      </c>
      <c r="F4249" t="s">
        <v>20668</v>
      </c>
      <c r="G4249" t="s">
        <v>20881</v>
      </c>
      <c r="H4249" t="s">
        <v>868</v>
      </c>
      <c r="I4249" t="s">
        <v>869</v>
      </c>
      <c r="J4249" t="str">
        <f>"9310112"</f>
        <v>9310112</v>
      </c>
      <c r="K4249">
        <v>2410615598</v>
      </c>
      <c r="L4249">
        <v>2410619127</v>
      </c>
      <c r="M4249" t="s">
        <v>22339</v>
      </c>
      <c r="N4249" t="s">
        <v>20672</v>
      </c>
      <c r="O4249" t="s">
        <v>22081</v>
      </c>
      <c r="P4249">
        <v>41335</v>
      </c>
      <c r="Q4249" t="str">
        <f>"39.624876"</f>
        <v>39.624876</v>
      </c>
      <c r="R4249" t="str">
        <f>"22.417585"</f>
        <v>22.417585</v>
      </c>
      <c r="S4249" t="s">
        <v>26</v>
      </c>
    </row>
    <row r="4250" spans="1:19" x14ac:dyDescent="0.3">
      <c r="A4250" t="s">
        <v>20660</v>
      </c>
      <c r="B4250" t="s">
        <v>22062</v>
      </c>
      <c r="C4250" t="s">
        <v>21054</v>
      </c>
      <c r="D4250" t="s">
        <v>20667</v>
      </c>
      <c r="E4250" t="s">
        <v>20909</v>
      </c>
      <c r="F4250" t="s">
        <v>20909</v>
      </c>
      <c r="G4250" t="s">
        <v>20909</v>
      </c>
      <c r="H4250" t="s">
        <v>868</v>
      </c>
      <c r="I4250" t="s">
        <v>869</v>
      </c>
      <c r="J4250" t="str">
        <f>"9310189"</f>
        <v>9310189</v>
      </c>
      <c r="K4250">
        <v>2492023900</v>
      </c>
      <c r="L4250">
        <v>2492023900</v>
      </c>
      <c r="M4250" t="s">
        <v>22340</v>
      </c>
      <c r="N4250" t="s">
        <v>20977</v>
      </c>
      <c r="O4250" t="s">
        <v>22341</v>
      </c>
      <c r="P4250">
        <v>40100</v>
      </c>
      <c r="Q4250" t="str">
        <f>"39.737403"</f>
        <v>39.737403</v>
      </c>
      <c r="R4250" t="str">
        <f>"22.296122"</f>
        <v>22.296122</v>
      </c>
      <c r="S4250" t="s">
        <v>26</v>
      </c>
    </row>
    <row r="4251" spans="1:19" x14ac:dyDescent="0.3">
      <c r="A4251" t="s">
        <v>20660</v>
      </c>
      <c r="B4251" t="s">
        <v>22062</v>
      </c>
      <c r="C4251" t="s">
        <v>22345</v>
      </c>
      <c r="D4251" t="s">
        <v>20667</v>
      </c>
      <c r="E4251" t="s">
        <v>20668</v>
      </c>
      <c r="F4251" t="s">
        <v>20668</v>
      </c>
      <c r="G4251" t="s">
        <v>20669</v>
      </c>
      <c r="H4251" t="s">
        <v>868</v>
      </c>
      <c r="I4251" t="s">
        <v>869</v>
      </c>
      <c r="J4251" t="str">
        <f>"9310216"</f>
        <v>9310216</v>
      </c>
      <c r="K4251">
        <v>2410254707</v>
      </c>
      <c r="L4251">
        <v>2410254707</v>
      </c>
      <c r="M4251" t="s">
        <v>22346</v>
      </c>
      <c r="N4251" t="s">
        <v>20672</v>
      </c>
      <c r="O4251" t="s">
        <v>22347</v>
      </c>
      <c r="P4251">
        <v>41447</v>
      </c>
      <c r="Q4251" t="str">
        <f>"39.644953"</f>
        <v>39.644953</v>
      </c>
      <c r="R4251" t="str">
        <f>"22.409239"</f>
        <v>22.409239</v>
      </c>
      <c r="S4251" t="s">
        <v>26</v>
      </c>
    </row>
    <row r="4252" spans="1:19" x14ac:dyDescent="0.3">
      <c r="A4252" t="s">
        <v>20660</v>
      </c>
      <c r="B4252" t="s">
        <v>22062</v>
      </c>
      <c r="C4252" t="s">
        <v>22348</v>
      </c>
      <c r="D4252" t="s">
        <v>20667</v>
      </c>
      <c r="E4252" t="s">
        <v>20668</v>
      </c>
      <c r="F4252" t="s">
        <v>20668</v>
      </c>
      <c r="G4252" t="s">
        <v>20942</v>
      </c>
      <c r="H4252" t="s">
        <v>868</v>
      </c>
      <c r="I4252" t="s">
        <v>869</v>
      </c>
      <c r="J4252" t="str">
        <f>"9310163"</f>
        <v>9310163</v>
      </c>
      <c r="K4252">
        <v>2410236589</v>
      </c>
      <c r="L4252">
        <v>2410236589</v>
      </c>
      <c r="M4252" t="s">
        <v>22349</v>
      </c>
      <c r="N4252" t="s">
        <v>20672</v>
      </c>
      <c r="O4252" t="s">
        <v>22350</v>
      </c>
      <c r="P4252">
        <v>41221</v>
      </c>
      <c r="Q4252" t="str">
        <f>"39.637445"</f>
        <v>39.637445</v>
      </c>
      <c r="R4252" t="str">
        <f>"22.423906"</f>
        <v>22.423906</v>
      </c>
      <c r="S4252" t="s">
        <v>26</v>
      </c>
    </row>
    <row r="4253" spans="1:19" x14ac:dyDescent="0.3">
      <c r="A4253" t="s">
        <v>20660</v>
      </c>
      <c r="B4253" t="s">
        <v>22062</v>
      </c>
      <c r="C4253" t="s">
        <v>22354</v>
      </c>
      <c r="D4253" t="s">
        <v>20667</v>
      </c>
      <c r="E4253" t="s">
        <v>20899</v>
      </c>
      <c r="F4253" t="s">
        <v>20900</v>
      </c>
      <c r="G4253" t="s">
        <v>2536</v>
      </c>
      <c r="H4253" t="s">
        <v>868</v>
      </c>
      <c r="I4253" t="s">
        <v>869</v>
      </c>
      <c r="J4253" t="str">
        <f>"9310118"</f>
        <v>9310118</v>
      </c>
      <c r="K4253">
        <v>2410971557</v>
      </c>
      <c r="L4253">
        <v>2410971557</v>
      </c>
      <c r="M4253" t="s">
        <v>22355</v>
      </c>
      <c r="N4253" t="s">
        <v>641</v>
      </c>
      <c r="O4253" t="s">
        <v>22356</v>
      </c>
      <c r="P4253">
        <v>41500</v>
      </c>
      <c r="Q4253" t="str">
        <f>"39.613445"</f>
        <v>39.613445</v>
      </c>
      <c r="R4253" t="str">
        <f>"22.574511"</f>
        <v>22.574511</v>
      </c>
      <c r="S4253" t="s">
        <v>26</v>
      </c>
    </row>
    <row r="4254" spans="1:19" x14ac:dyDescent="0.3">
      <c r="A4254" t="s">
        <v>20660</v>
      </c>
      <c r="B4254" t="s">
        <v>22062</v>
      </c>
      <c r="C4254" t="s">
        <v>21127</v>
      </c>
      <c r="D4254" t="s">
        <v>20667</v>
      </c>
      <c r="E4254" t="s">
        <v>20899</v>
      </c>
      <c r="F4254" t="s">
        <v>22357</v>
      </c>
      <c r="G4254" t="s">
        <v>5085</v>
      </c>
      <c r="H4254" t="s">
        <v>868</v>
      </c>
      <c r="I4254" t="s">
        <v>950</v>
      </c>
      <c r="J4254" t="str">
        <f>"9310166"</f>
        <v>9310166</v>
      </c>
      <c r="K4254">
        <v>2410751293</v>
      </c>
      <c r="L4254">
        <v>2410751293</v>
      </c>
      <c r="M4254" t="s">
        <v>22358</v>
      </c>
      <c r="N4254" t="s">
        <v>5159</v>
      </c>
      <c r="O4254" t="s">
        <v>5159</v>
      </c>
      <c r="P4254">
        <v>41500</v>
      </c>
      <c r="Q4254" t="str">
        <f>"39.523094"</f>
        <v>39.523094</v>
      </c>
      <c r="R4254" t="str">
        <f>"22.366616"</f>
        <v>22.366616</v>
      </c>
      <c r="S4254" t="s">
        <v>26</v>
      </c>
    </row>
    <row r="4255" spans="1:19" x14ac:dyDescent="0.3">
      <c r="A4255" t="s">
        <v>20660</v>
      </c>
      <c r="B4255" t="s">
        <v>22062</v>
      </c>
      <c r="C4255" t="s">
        <v>20921</v>
      </c>
      <c r="D4255" t="s">
        <v>20667</v>
      </c>
      <c r="E4255" t="s">
        <v>20875</v>
      </c>
      <c r="F4255" t="s">
        <v>20875</v>
      </c>
      <c r="G4255" t="s">
        <v>20875</v>
      </c>
      <c r="H4255" t="s">
        <v>868</v>
      </c>
      <c r="I4255" t="s">
        <v>869</v>
      </c>
      <c r="J4255" t="str">
        <f>"9310313"</f>
        <v>9310313</v>
      </c>
      <c r="K4255">
        <v>2491022059</v>
      </c>
      <c r="L4255">
        <v>2491022057</v>
      </c>
      <c r="M4255" t="s">
        <v>22369</v>
      </c>
      <c r="N4255" t="s">
        <v>20878</v>
      </c>
      <c r="O4255" t="s">
        <v>22370</v>
      </c>
      <c r="P4255">
        <v>40300</v>
      </c>
      <c r="Q4255" t="str">
        <f>"39.295557"</f>
        <v>39.295557</v>
      </c>
      <c r="R4255" t="str">
        <f>"22.393070"</f>
        <v>22.393070</v>
      </c>
      <c r="S4255" t="s">
        <v>26</v>
      </c>
    </row>
    <row r="4256" spans="1:19" x14ac:dyDescent="0.3">
      <c r="A4256" t="s">
        <v>20660</v>
      </c>
      <c r="B4256" t="s">
        <v>22062</v>
      </c>
      <c r="C4256" t="s">
        <v>22372</v>
      </c>
      <c r="D4256" t="s">
        <v>20667</v>
      </c>
      <c r="E4256" t="s">
        <v>4424</v>
      </c>
      <c r="F4256" t="s">
        <v>20041</v>
      </c>
      <c r="G4256" t="s">
        <v>22371</v>
      </c>
      <c r="H4256" t="s">
        <v>868</v>
      </c>
      <c r="I4256" t="s">
        <v>869</v>
      </c>
      <c r="J4256" t="str">
        <f>"9310209"</f>
        <v>9310209</v>
      </c>
      <c r="K4256">
        <v>2495091225</v>
      </c>
      <c r="L4256">
        <v>2495091225</v>
      </c>
      <c r="M4256" t="s">
        <v>22373</v>
      </c>
      <c r="N4256" t="s">
        <v>22374</v>
      </c>
      <c r="O4256" t="s">
        <v>22374</v>
      </c>
      <c r="P4256">
        <v>40007</v>
      </c>
      <c r="Q4256" t="str">
        <f>"39.869292"</f>
        <v>39.869292</v>
      </c>
      <c r="R4256" t="str">
        <f>"22.729030"</f>
        <v>22.729030</v>
      </c>
      <c r="S4256" t="s">
        <v>26</v>
      </c>
    </row>
    <row r="4257" spans="1:19" x14ac:dyDescent="0.3">
      <c r="A4257" t="s">
        <v>20660</v>
      </c>
      <c r="B4257" t="s">
        <v>22062</v>
      </c>
      <c r="C4257" t="s">
        <v>20925</v>
      </c>
      <c r="D4257" t="s">
        <v>20667</v>
      </c>
      <c r="E4257" t="s">
        <v>20909</v>
      </c>
      <c r="F4257" t="s">
        <v>17055</v>
      </c>
      <c r="G4257" t="s">
        <v>17055</v>
      </c>
      <c r="H4257" t="s">
        <v>868</v>
      </c>
      <c r="I4257" t="s">
        <v>869</v>
      </c>
      <c r="J4257" t="str">
        <f>"9310237"</f>
        <v>9310237</v>
      </c>
      <c r="K4257">
        <v>2492031201</v>
      </c>
      <c r="L4257">
        <v>2492032945</v>
      </c>
      <c r="M4257" t="s">
        <v>22377</v>
      </c>
      <c r="N4257" t="s">
        <v>17058</v>
      </c>
      <c r="O4257" t="s">
        <v>22378</v>
      </c>
      <c r="P4257">
        <v>40400</v>
      </c>
      <c r="Q4257" t="str">
        <f>"39.746332"</f>
        <v>39.746332</v>
      </c>
      <c r="R4257" t="str">
        <f>"22.363893"</f>
        <v>22.363893</v>
      </c>
      <c r="S4257" t="s">
        <v>26</v>
      </c>
    </row>
    <row r="4258" spans="1:19" x14ac:dyDescent="0.3">
      <c r="A4258" t="s">
        <v>20660</v>
      </c>
      <c r="B4258" t="s">
        <v>22062</v>
      </c>
      <c r="C4258" t="s">
        <v>22380</v>
      </c>
      <c r="D4258" t="s">
        <v>20667</v>
      </c>
      <c r="E4258" t="s">
        <v>20899</v>
      </c>
      <c r="F4258" t="s">
        <v>20900</v>
      </c>
      <c r="G4258" t="s">
        <v>22379</v>
      </c>
      <c r="H4258" t="s">
        <v>868</v>
      </c>
      <c r="I4258" t="s">
        <v>869</v>
      </c>
      <c r="J4258" t="str">
        <f>"9310139"</f>
        <v>9310139</v>
      </c>
      <c r="K4258">
        <v>2410575329</v>
      </c>
      <c r="L4258">
        <v>2410575329</v>
      </c>
      <c r="M4258" t="s">
        <v>22381</v>
      </c>
      <c r="N4258" t="s">
        <v>22382</v>
      </c>
      <c r="O4258" t="s">
        <v>22382</v>
      </c>
      <c r="P4258">
        <v>41500</v>
      </c>
      <c r="Q4258" t="str">
        <f>"39.675967"</f>
        <v>39.675967</v>
      </c>
      <c r="R4258" t="str">
        <f>"22.478928"</f>
        <v>22.478928</v>
      </c>
      <c r="S4258" t="s">
        <v>26</v>
      </c>
    </row>
    <row r="4259" spans="1:19" x14ac:dyDescent="0.3">
      <c r="A4259" t="s">
        <v>20660</v>
      </c>
      <c r="B4259" t="s">
        <v>22062</v>
      </c>
      <c r="C4259" t="s">
        <v>22388</v>
      </c>
      <c r="D4259" t="s">
        <v>20667</v>
      </c>
      <c r="E4259" t="s">
        <v>20668</v>
      </c>
      <c r="F4259" t="s">
        <v>20668</v>
      </c>
      <c r="G4259" t="s">
        <v>20669</v>
      </c>
      <c r="H4259" t="s">
        <v>868</v>
      </c>
      <c r="I4259" t="s">
        <v>869</v>
      </c>
      <c r="J4259" t="str">
        <f>"9310106"</f>
        <v>9310106</v>
      </c>
      <c r="K4259">
        <v>2410613061</v>
      </c>
      <c r="L4259">
        <v>2410672880</v>
      </c>
      <c r="M4259" t="s">
        <v>22389</v>
      </c>
      <c r="N4259" t="s">
        <v>20672</v>
      </c>
      <c r="O4259" t="s">
        <v>22390</v>
      </c>
      <c r="P4259">
        <v>41334</v>
      </c>
      <c r="Q4259" t="str">
        <f>"39.628811"</f>
        <v>39.628811</v>
      </c>
      <c r="R4259" t="str">
        <f>"22.399608"</f>
        <v>22.399608</v>
      </c>
      <c r="S4259" t="s">
        <v>26</v>
      </c>
    </row>
    <row r="4260" spans="1:19" x14ac:dyDescent="0.3">
      <c r="A4260" t="s">
        <v>20660</v>
      </c>
      <c r="B4260" t="s">
        <v>22062</v>
      </c>
      <c r="C4260" t="s">
        <v>21026</v>
      </c>
      <c r="D4260" t="s">
        <v>20667</v>
      </c>
      <c r="E4260" t="s">
        <v>20909</v>
      </c>
      <c r="F4260" t="s">
        <v>20909</v>
      </c>
      <c r="G4260" t="s">
        <v>21021</v>
      </c>
      <c r="H4260" t="s">
        <v>868</v>
      </c>
      <c r="I4260" t="s">
        <v>869</v>
      </c>
      <c r="J4260" t="str">
        <f>"9310198"</f>
        <v>9310198</v>
      </c>
      <c r="K4260">
        <v>2492041288</v>
      </c>
      <c r="L4260">
        <v>2492041288</v>
      </c>
      <c r="M4260" t="s">
        <v>22394</v>
      </c>
      <c r="N4260" t="s">
        <v>22395</v>
      </c>
      <c r="O4260" t="s">
        <v>22395</v>
      </c>
      <c r="P4260">
        <v>40100</v>
      </c>
      <c r="Q4260" t="str">
        <f>"39.826053"</f>
        <v>39.826053</v>
      </c>
      <c r="R4260" t="str">
        <f>"22.306615"</f>
        <v>22.306615</v>
      </c>
      <c r="S4260" t="s">
        <v>26</v>
      </c>
    </row>
    <row r="4261" spans="1:19" x14ac:dyDescent="0.3">
      <c r="A4261" t="s">
        <v>20660</v>
      </c>
      <c r="B4261" t="s">
        <v>22062</v>
      </c>
      <c r="C4261" t="s">
        <v>20858</v>
      </c>
      <c r="D4261" t="s">
        <v>20667</v>
      </c>
      <c r="E4261" t="s">
        <v>20831</v>
      </c>
      <c r="F4261" t="s">
        <v>20852</v>
      </c>
      <c r="G4261" t="s">
        <v>20853</v>
      </c>
      <c r="H4261" t="s">
        <v>868</v>
      </c>
      <c r="I4261" t="s">
        <v>869</v>
      </c>
      <c r="J4261" t="str">
        <f>"9310233"</f>
        <v>9310233</v>
      </c>
      <c r="K4261">
        <v>2495051301</v>
      </c>
      <c r="L4261">
        <v>2495051301</v>
      </c>
      <c r="M4261" t="s">
        <v>22411</v>
      </c>
      <c r="N4261" t="s">
        <v>21020</v>
      </c>
      <c r="O4261" t="s">
        <v>22412</v>
      </c>
      <c r="P4261">
        <v>40006</v>
      </c>
      <c r="Q4261" t="str">
        <f>"39.760932"</f>
        <v>39.760932</v>
      </c>
      <c r="R4261" t="str">
        <f>"22.580872"</f>
        <v>22.580872</v>
      </c>
      <c r="S4261" t="s">
        <v>26</v>
      </c>
    </row>
    <row r="4262" spans="1:19" x14ac:dyDescent="0.3">
      <c r="A4262" t="s">
        <v>20660</v>
      </c>
      <c r="B4262" t="s">
        <v>22062</v>
      </c>
      <c r="C4262" t="s">
        <v>22416</v>
      </c>
      <c r="D4262" t="s">
        <v>20667</v>
      </c>
      <c r="E4262" t="s">
        <v>20831</v>
      </c>
      <c r="F4262" t="s">
        <v>20870</v>
      </c>
      <c r="G4262" t="s">
        <v>22415</v>
      </c>
      <c r="H4262" t="s">
        <v>868</v>
      </c>
      <c r="I4262" t="s">
        <v>950</v>
      </c>
      <c r="J4262" t="str">
        <f>"9310245"</f>
        <v>9310245</v>
      </c>
      <c r="K4262">
        <v>2495096296</v>
      </c>
      <c r="L4262">
        <v>2495096296</v>
      </c>
      <c r="M4262" t="s">
        <v>22417</v>
      </c>
      <c r="N4262" t="s">
        <v>22418</v>
      </c>
      <c r="O4262" t="s">
        <v>22418</v>
      </c>
      <c r="P4262">
        <v>40004</v>
      </c>
      <c r="Q4262" t="str">
        <f>"39.965855"</f>
        <v>39.965855</v>
      </c>
      <c r="R4262" t="str">
        <f>"22.461328"</f>
        <v>22.461328</v>
      </c>
      <c r="S4262" t="s">
        <v>57</v>
      </c>
    </row>
    <row r="4263" spans="1:19" x14ac:dyDescent="0.3">
      <c r="A4263" t="s">
        <v>20660</v>
      </c>
      <c r="B4263" t="s">
        <v>22062</v>
      </c>
      <c r="C4263" t="s">
        <v>22419</v>
      </c>
      <c r="D4263" t="s">
        <v>20667</v>
      </c>
      <c r="E4263" t="s">
        <v>20899</v>
      </c>
      <c r="F4263" t="s">
        <v>5431</v>
      </c>
      <c r="G4263" t="s">
        <v>22242</v>
      </c>
      <c r="H4263" t="s">
        <v>868</v>
      </c>
      <c r="I4263" t="s">
        <v>869</v>
      </c>
      <c r="J4263" t="str">
        <f>"9310261"</f>
        <v>9310261</v>
      </c>
      <c r="K4263">
        <v>2410781224</v>
      </c>
      <c r="L4263">
        <v>2410781224</v>
      </c>
      <c r="M4263" t="s">
        <v>22420</v>
      </c>
      <c r="N4263" t="s">
        <v>22421</v>
      </c>
      <c r="O4263" t="s">
        <v>22245</v>
      </c>
      <c r="P4263">
        <v>41500</v>
      </c>
      <c r="Q4263" t="str">
        <f>"39.463304"</f>
        <v>39.463304</v>
      </c>
      <c r="R4263" t="str">
        <f>"22.447610"</f>
        <v>22.447610</v>
      </c>
      <c r="S4263" t="s">
        <v>26</v>
      </c>
    </row>
    <row r="4264" spans="1:19" x14ac:dyDescent="0.3">
      <c r="A4264" t="s">
        <v>20660</v>
      </c>
      <c r="B4264" t="s">
        <v>22062</v>
      </c>
      <c r="C4264" t="s">
        <v>22422</v>
      </c>
      <c r="D4264" t="s">
        <v>20667</v>
      </c>
      <c r="E4264" t="s">
        <v>20859</v>
      </c>
      <c r="F4264" t="s">
        <v>20859</v>
      </c>
      <c r="G4264" t="s">
        <v>22304</v>
      </c>
      <c r="H4264" t="s">
        <v>868</v>
      </c>
      <c r="I4264" t="s">
        <v>869</v>
      </c>
      <c r="J4264" t="str">
        <f>"9310023"</f>
        <v>9310023</v>
      </c>
      <c r="K4264">
        <v>2493083187</v>
      </c>
      <c r="L4264">
        <v>2493083187</v>
      </c>
      <c r="M4264" t="s">
        <v>22423</v>
      </c>
      <c r="N4264" t="s">
        <v>22307</v>
      </c>
      <c r="O4264" t="s">
        <v>22424</v>
      </c>
      <c r="P4264">
        <v>40200</v>
      </c>
      <c r="Q4264" t="str">
        <f>"39.839765"</f>
        <v>39.839765</v>
      </c>
      <c r="R4264" t="str">
        <f>"22.106457"</f>
        <v>22.106457</v>
      </c>
      <c r="S4264" t="s">
        <v>26</v>
      </c>
    </row>
    <row r="4265" spans="1:19" x14ac:dyDescent="0.3">
      <c r="A4265" t="s">
        <v>20660</v>
      </c>
      <c r="B4265" t="s">
        <v>22062</v>
      </c>
      <c r="C4265" t="s">
        <v>22428</v>
      </c>
      <c r="D4265" t="s">
        <v>20667</v>
      </c>
      <c r="E4265" t="s">
        <v>20668</v>
      </c>
      <c r="F4265" t="s">
        <v>20668</v>
      </c>
      <c r="G4265" t="s">
        <v>20841</v>
      </c>
      <c r="H4265" t="s">
        <v>868</v>
      </c>
      <c r="I4265" t="s">
        <v>869</v>
      </c>
      <c r="J4265" t="str">
        <f>"9310103"</f>
        <v>9310103</v>
      </c>
      <c r="K4265">
        <v>2410288316</v>
      </c>
      <c r="L4265">
        <v>2410288316</v>
      </c>
      <c r="M4265" t="s">
        <v>22429</v>
      </c>
      <c r="N4265" t="s">
        <v>20672</v>
      </c>
      <c r="O4265" t="s">
        <v>22430</v>
      </c>
      <c r="P4265">
        <v>41221</v>
      </c>
      <c r="Q4265" t="str">
        <f>"39.641462"</f>
        <v>39.641462</v>
      </c>
      <c r="R4265" t="str">
        <f>"22.422672"</f>
        <v>22.422672</v>
      </c>
      <c r="S4265" t="s">
        <v>26</v>
      </c>
    </row>
    <row r="4266" spans="1:19" x14ac:dyDescent="0.3">
      <c r="A4266" t="s">
        <v>20660</v>
      </c>
      <c r="B4266" t="s">
        <v>22062</v>
      </c>
      <c r="C4266" t="s">
        <v>22445</v>
      </c>
      <c r="D4266" t="s">
        <v>20667</v>
      </c>
      <c r="E4266" t="s">
        <v>20831</v>
      </c>
      <c r="F4266" t="s">
        <v>6224</v>
      </c>
      <c r="G4266" t="s">
        <v>6224</v>
      </c>
      <c r="H4266" t="s">
        <v>868</v>
      </c>
      <c r="I4266" t="s">
        <v>950</v>
      </c>
      <c r="J4266" t="str">
        <f>"9310221"</f>
        <v>9310221</v>
      </c>
      <c r="K4266">
        <v>2495093359</v>
      </c>
      <c r="M4266" t="s">
        <v>22446</v>
      </c>
      <c r="N4266" t="s">
        <v>22433</v>
      </c>
      <c r="O4266" t="s">
        <v>22433</v>
      </c>
      <c r="P4266">
        <v>40006</v>
      </c>
      <c r="Q4266" t="str">
        <f>"39.854563"</f>
        <v>39.854563</v>
      </c>
      <c r="R4266" t="str">
        <f>"22.559067"</f>
        <v>22.559067</v>
      </c>
      <c r="S4266" t="s">
        <v>26</v>
      </c>
    </row>
    <row r="4267" spans="1:19" x14ac:dyDescent="0.3">
      <c r="A4267" t="s">
        <v>20660</v>
      </c>
      <c r="B4267" t="s">
        <v>22062</v>
      </c>
      <c r="C4267" t="s">
        <v>20905</v>
      </c>
      <c r="D4267" t="s">
        <v>20667</v>
      </c>
      <c r="E4267" t="s">
        <v>20899</v>
      </c>
      <c r="F4267" t="s">
        <v>20900</v>
      </c>
      <c r="G4267" t="s">
        <v>20900</v>
      </c>
      <c r="H4267" t="s">
        <v>868</v>
      </c>
      <c r="I4267" t="s">
        <v>869</v>
      </c>
      <c r="J4267" t="str">
        <f>"9310141"</f>
        <v>9310141</v>
      </c>
      <c r="K4267">
        <v>2410971237</v>
      </c>
      <c r="L4267">
        <v>2410971237</v>
      </c>
      <c r="M4267" t="s">
        <v>22447</v>
      </c>
      <c r="N4267" t="s">
        <v>20903</v>
      </c>
      <c r="O4267" t="s">
        <v>20904</v>
      </c>
      <c r="P4267">
        <v>40009</v>
      </c>
      <c r="Q4267" t="str">
        <f>"39.622134"</f>
        <v>39.622134</v>
      </c>
      <c r="R4267" t="str">
        <f>"22.532398"</f>
        <v>22.532398</v>
      </c>
      <c r="S4267" t="s">
        <v>26</v>
      </c>
    </row>
    <row r="4268" spans="1:19" x14ac:dyDescent="0.3">
      <c r="A4268" t="s">
        <v>20660</v>
      </c>
      <c r="B4268" t="s">
        <v>22062</v>
      </c>
      <c r="C4268" t="s">
        <v>22453</v>
      </c>
      <c r="D4268" t="s">
        <v>20667</v>
      </c>
      <c r="E4268" t="s">
        <v>20668</v>
      </c>
      <c r="F4268" t="s">
        <v>20668</v>
      </c>
      <c r="G4268" t="s">
        <v>20942</v>
      </c>
      <c r="H4268" t="s">
        <v>868</v>
      </c>
      <c r="I4268" t="s">
        <v>869</v>
      </c>
      <c r="J4268" t="str">
        <f>"9310318"</f>
        <v>9310318</v>
      </c>
      <c r="K4268">
        <v>2410281933</v>
      </c>
      <c r="L4268">
        <v>2410281933</v>
      </c>
      <c r="M4268" t="s">
        <v>22454</v>
      </c>
      <c r="N4268" t="s">
        <v>20672</v>
      </c>
      <c r="O4268" t="s">
        <v>22120</v>
      </c>
      <c r="P4268">
        <v>41221</v>
      </c>
      <c r="Q4268" t="str">
        <f>"39.643887"</f>
        <v>39.643887</v>
      </c>
      <c r="R4268" t="str">
        <f>"22.432529"</f>
        <v>22.432529</v>
      </c>
      <c r="S4268" t="s">
        <v>26</v>
      </c>
    </row>
    <row r="4269" spans="1:19" x14ac:dyDescent="0.3">
      <c r="A4269" t="s">
        <v>20660</v>
      </c>
      <c r="B4269" t="s">
        <v>22062</v>
      </c>
      <c r="C4269" t="s">
        <v>22455</v>
      </c>
      <c r="D4269" t="s">
        <v>20667</v>
      </c>
      <c r="E4269" t="s">
        <v>20899</v>
      </c>
      <c r="F4269" t="s">
        <v>20900</v>
      </c>
      <c r="G4269" t="s">
        <v>22434</v>
      </c>
      <c r="H4269" t="s">
        <v>868</v>
      </c>
      <c r="I4269" t="s">
        <v>869</v>
      </c>
      <c r="J4269" t="str">
        <f>"9310132"</f>
        <v>9310132</v>
      </c>
      <c r="K4269">
        <v>2410971615</v>
      </c>
      <c r="L4269">
        <v>2410971615</v>
      </c>
      <c r="M4269" t="s">
        <v>22456</v>
      </c>
      <c r="N4269" t="s">
        <v>22437</v>
      </c>
      <c r="O4269" t="s">
        <v>22437</v>
      </c>
      <c r="P4269">
        <v>41500</v>
      </c>
      <c r="Q4269" t="str">
        <f>"39.631592"</f>
        <v>39.631592</v>
      </c>
      <c r="R4269" t="str">
        <f>"22.498658"</f>
        <v>22.498658</v>
      </c>
      <c r="S4269" t="s">
        <v>26</v>
      </c>
    </row>
    <row r="4270" spans="1:19" x14ac:dyDescent="0.3">
      <c r="A4270" t="s">
        <v>20660</v>
      </c>
      <c r="B4270" t="s">
        <v>22062</v>
      </c>
      <c r="C4270" t="s">
        <v>22467</v>
      </c>
      <c r="D4270" t="s">
        <v>20667</v>
      </c>
      <c r="E4270" t="s">
        <v>20668</v>
      </c>
      <c r="F4270" t="s">
        <v>20955</v>
      </c>
      <c r="G4270" t="s">
        <v>20955</v>
      </c>
      <c r="H4270" t="s">
        <v>868</v>
      </c>
      <c r="I4270" t="s">
        <v>1157</v>
      </c>
      <c r="J4270" t="str">
        <f>"9310368"</f>
        <v>9310368</v>
      </c>
      <c r="K4270">
        <v>2410591258</v>
      </c>
      <c r="L4270">
        <v>2410591258</v>
      </c>
      <c r="M4270" t="s">
        <v>22468</v>
      </c>
      <c r="N4270" t="s">
        <v>22469</v>
      </c>
      <c r="O4270" t="s">
        <v>22470</v>
      </c>
      <c r="P4270">
        <v>41500</v>
      </c>
      <c r="Q4270" t="str">
        <f>"39.671603"</f>
        <v>39.671603</v>
      </c>
      <c r="R4270" t="str">
        <f>"22.392866"</f>
        <v>22.392866</v>
      </c>
      <c r="S4270" t="s">
        <v>26</v>
      </c>
    </row>
    <row r="4271" spans="1:19" x14ac:dyDescent="0.3">
      <c r="A4271" t="s">
        <v>20660</v>
      </c>
      <c r="B4271" t="s">
        <v>22062</v>
      </c>
      <c r="C4271" t="s">
        <v>22479</v>
      </c>
      <c r="D4271" t="s">
        <v>20667</v>
      </c>
      <c r="E4271" t="s">
        <v>20668</v>
      </c>
      <c r="F4271" t="s">
        <v>20955</v>
      </c>
      <c r="G4271" t="s">
        <v>20955</v>
      </c>
      <c r="H4271" t="s">
        <v>868</v>
      </c>
      <c r="I4271" t="s">
        <v>869</v>
      </c>
      <c r="J4271" t="str">
        <f>"9521020"</f>
        <v>9521020</v>
      </c>
      <c r="K4271">
        <v>2410592003</v>
      </c>
      <c r="L4271">
        <v>2410592003</v>
      </c>
      <c r="M4271" t="s">
        <v>22480</v>
      </c>
      <c r="N4271" t="s">
        <v>20958</v>
      </c>
      <c r="O4271" t="s">
        <v>11247</v>
      </c>
      <c r="P4271">
        <v>41500</v>
      </c>
      <c r="Q4271" t="str">
        <f>"39.655576"</f>
        <v>39.655576</v>
      </c>
      <c r="R4271" t="str">
        <f>"22.402368"</f>
        <v>22.402368</v>
      </c>
      <c r="S4271" t="s">
        <v>26</v>
      </c>
    </row>
    <row r="4272" spans="1:19" x14ac:dyDescent="0.3">
      <c r="A4272" t="s">
        <v>20660</v>
      </c>
      <c r="B4272" t="s">
        <v>22062</v>
      </c>
      <c r="C4272" t="s">
        <v>22487</v>
      </c>
      <c r="D4272" t="s">
        <v>20667</v>
      </c>
      <c r="E4272" t="s">
        <v>20668</v>
      </c>
      <c r="F4272" t="s">
        <v>20668</v>
      </c>
      <c r="G4272" t="s">
        <v>20669</v>
      </c>
      <c r="H4272" t="s">
        <v>868</v>
      </c>
      <c r="I4272" t="s">
        <v>869</v>
      </c>
      <c r="J4272" t="str">
        <f>"9310214"</f>
        <v>9310214</v>
      </c>
      <c r="K4272">
        <v>2410250061</v>
      </c>
      <c r="L4272">
        <v>2410250061</v>
      </c>
      <c r="M4272" t="s">
        <v>22488</v>
      </c>
      <c r="N4272" t="s">
        <v>20672</v>
      </c>
      <c r="O4272" t="s">
        <v>22090</v>
      </c>
      <c r="P4272">
        <v>41222</v>
      </c>
      <c r="Q4272" t="str">
        <f>"39.635733"</f>
        <v>39.635733</v>
      </c>
      <c r="R4272" t="str">
        <f>"22.407885"</f>
        <v>22.407885</v>
      </c>
      <c r="S4272" t="s">
        <v>26</v>
      </c>
    </row>
    <row r="4273" spans="1:19" x14ac:dyDescent="0.3">
      <c r="A4273" t="s">
        <v>20660</v>
      </c>
      <c r="B4273" t="s">
        <v>22062</v>
      </c>
      <c r="C4273" t="s">
        <v>22489</v>
      </c>
      <c r="D4273" t="s">
        <v>20667</v>
      </c>
      <c r="E4273" t="s">
        <v>20668</v>
      </c>
      <c r="F4273" t="s">
        <v>20668</v>
      </c>
      <c r="G4273" t="s">
        <v>20669</v>
      </c>
      <c r="H4273" t="s">
        <v>868</v>
      </c>
      <c r="I4273" t="s">
        <v>869</v>
      </c>
      <c r="J4273" t="str">
        <f>"9310429"</f>
        <v>9310429</v>
      </c>
      <c r="K4273">
        <v>2410253907</v>
      </c>
      <c r="L4273">
        <v>2410253907</v>
      </c>
      <c r="M4273" t="s">
        <v>22490</v>
      </c>
      <c r="N4273" t="s">
        <v>20672</v>
      </c>
      <c r="O4273" t="s">
        <v>22090</v>
      </c>
      <c r="P4273">
        <v>41222</v>
      </c>
      <c r="Q4273" t="str">
        <f>"39.635733"</f>
        <v>39.635733</v>
      </c>
      <c r="R4273" t="str">
        <f>"22.407885"</f>
        <v>22.407885</v>
      </c>
      <c r="S4273" t="s">
        <v>26</v>
      </c>
    </row>
    <row r="4274" spans="1:19" x14ac:dyDescent="0.3">
      <c r="A4274" t="s">
        <v>20660</v>
      </c>
      <c r="B4274" t="s">
        <v>22062</v>
      </c>
      <c r="C4274" t="s">
        <v>22491</v>
      </c>
      <c r="D4274" t="s">
        <v>20667</v>
      </c>
      <c r="E4274" t="s">
        <v>20668</v>
      </c>
      <c r="F4274" t="s">
        <v>20668</v>
      </c>
      <c r="G4274" t="s">
        <v>20669</v>
      </c>
      <c r="H4274" t="s">
        <v>868</v>
      </c>
      <c r="I4274" t="s">
        <v>869</v>
      </c>
      <c r="J4274" t="str">
        <f>"9310399"</f>
        <v>9310399</v>
      </c>
      <c r="K4274">
        <v>2410613352</v>
      </c>
      <c r="L4274">
        <v>2410613352</v>
      </c>
      <c r="M4274" t="s">
        <v>22492</v>
      </c>
      <c r="N4274" t="s">
        <v>20672</v>
      </c>
      <c r="O4274" t="s">
        <v>22493</v>
      </c>
      <c r="P4274">
        <v>41334</v>
      </c>
      <c r="Q4274" t="str">
        <f>"39.631662"</f>
        <v>39.631662</v>
      </c>
      <c r="R4274" t="str">
        <f>"22.387380"</f>
        <v>22.387380</v>
      </c>
      <c r="S4274" t="s">
        <v>26</v>
      </c>
    </row>
    <row r="4275" spans="1:19" x14ac:dyDescent="0.3">
      <c r="A4275" t="s">
        <v>20660</v>
      </c>
      <c r="B4275" t="s">
        <v>22062</v>
      </c>
      <c r="C4275" t="s">
        <v>20892</v>
      </c>
      <c r="D4275" t="s">
        <v>20667</v>
      </c>
      <c r="E4275" t="s">
        <v>20668</v>
      </c>
      <c r="F4275" t="s">
        <v>20668</v>
      </c>
      <c r="G4275" t="s">
        <v>20841</v>
      </c>
      <c r="H4275" t="s">
        <v>868</v>
      </c>
      <c r="I4275" t="s">
        <v>869</v>
      </c>
      <c r="J4275" t="str">
        <f>"9310352"</f>
        <v>9310352</v>
      </c>
      <c r="K4275">
        <v>2410612279</v>
      </c>
      <c r="L4275">
        <v>2410612279</v>
      </c>
      <c r="M4275" t="s">
        <v>22494</v>
      </c>
      <c r="N4275" t="s">
        <v>22495</v>
      </c>
      <c r="O4275" t="s">
        <v>22096</v>
      </c>
      <c r="P4275">
        <v>41222</v>
      </c>
      <c r="Q4275" t="str">
        <f>"39.633864"</f>
        <v>39.633864</v>
      </c>
      <c r="R4275" t="str">
        <f>"22.411407"</f>
        <v>22.411407</v>
      </c>
      <c r="S4275" t="s">
        <v>26</v>
      </c>
    </row>
    <row r="4276" spans="1:19" x14ac:dyDescent="0.3">
      <c r="A4276" t="s">
        <v>20660</v>
      </c>
      <c r="B4276" t="s">
        <v>22062</v>
      </c>
      <c r="C4276" t="s">
        <v>22515</v>
      </c>
      <c r="D4276" t="s">
        <v>20667</v>
      </c>
      <c r="E4276" t="s">
        <v>20875</v>
      </c>
      <c r="F4276" t="s">
        <v>22513</v>
      </c>
      <c r="G4276" t="s">
        <v>22514</v>
      </c>
      <c r="H4276" t="s">
        <v>868</v>
      </c>
      <c r="I4276" t="s">
        <v>950</v>
      </c>
      <c r="J4276" t="str">
        <f>"9310276"</f>
        <v>9310276</v>
      </c>
      <c r="K4276">
        <v>2491093400</v>
      </c>
      <c r="L4276">
        <v>2491093400</v>
      </c>
      <c r="M4276" t="s">
        <v>22516</v>
      </c>
      <c r="N4276" t="s">
        <v>22517</v>
      </c>
      <c r="O4276" t="s">
        <v>22518</v>
      </c>
      <c r="P4276">
        <v>40300</v>
      </c>
      <c r="Q4276" t="str">
        <f>"39.242118"</f>
        <v>39.242118</v>
      </c>
      <c r="R4276" t="str">
        <f>"22.454641"</f>
        <v>22.454641</v>
      </c>
      <c r="S4276" t="s">
        <v>26</v>
      </c>
    </row>
    <row r="4277" spans="1:19" x14ac:dyDescent="0.3">
      <c r="A4277" t="s">
        <v>20660</v>
      </c>
      <c r="B4277" t="s">
        <v>22062</v>
      </c>
      <c r="C4277" t="s">
        <v>21082</v>
      </c>
      <c r="D4277" t="s">
        <v>20667</v>
      </c>
      <c r="E4277" t="s">
        <v>20899</v>
      </c>
      <c r="F4277" t="s">
        <v>21077</v>
      </c>
      <c r="G4277" t="s">
        <v>21077</v>
      </c>
      <c r="H4277" t="s">
        <v>868</v>
      </c>
      <c r="I4277" t="s">
        <v>869</v>
      </c>
      <c r="J4277" t="str">
        <f>"9310116"</f>
        <v>9310116</v>
      </c>
      <c r="K4277">
        <v>2410721224</v>
      </c>
      <c r="L4277">
        <v>2410721224</v>
      </c>
      <c r="M4277" t="s">
        <v>22521</v>
      </c>
      <c r="N4277" t="s">
        <v>21080</v>
      </c>
      <c r="O4277" t="s">
        <v>21080</v>
      </c>
      <c r="P4277">
        <v>41500</v>
      </c>
      <c r="Q4277" t="str">
        <f>"39.489040"</f>
        <v>39.489040</v>
      </c>
      <c r="R4277" t="str">
        <f>"22.698042"</f>
        <v>22.698042</v>
      </c>
      <c r="S4277" t="s">
        <v>26</v>
      </c>
    </row>
    <row r="4278" spans="1:19" x14ac:dyDescent="0.3">
      <c r="A4278" t="s">
        <v>20660</v>
      </c>
      <c r="B4278" t="s">
        <v>22062</v>
      </c>
      <c r="C4278" t="s">
        <v>21095</v>
      </c>
      <c r="D4278" t="s">
        <v>20667</v>
      </c>
      <c r="E4278" t="s">
        <v>20668</v>
      </c>
      <c r="F4278" t="s">
        <v>20668</v>
      </c>
      <c r="G4278" t="s">
        <v>20881</v>
      </c>
      <c r="H4278" t="s">
        <v>868</v>
      </c>
      <c r="I4278" t="s">
        <v>869</v>
      </c>
      <c r="J4278" t="str">
        <f>"9310111"</f>
        <v>9310111</v>
      </c>
      <c r="K4278">
        <v>2410660098</v>
      </c>
      <c r="L4278">
        <v>2410660098</v>
      </c>
      <c r="M4278" t="s">
        <v>22550</v>
      </c>
      <c r="N4278" t="s">
        <v>20672</v>
      </c>
      <c r="O4278" t="s">
        <v>22551</v>
      </c>
      <c r="P4278">
        <v>41335</v>
      </c>
      <c r="Q4278" t="str">
        <f>"39.610366"</f>
        <v>39.610366</v>
      </c>
      <c r="R4278" t="str">
        <f>"22.428980"</f>
        <v>22.428980</v>
      </c>
      <c r="S4278" t="s">
        <v>26</v>
      </c>
    </row>
    <row r="4279" spans="1:19" x14ac:dyDescent="0.3">
      <c r="A4279" t="s">
        <v>20660</v>
      </c>
      <c r="B4279" t="s">
        <v>22062</v>
      </c>
      <c r="C4279" t="s">
        <v>22552</v>
      </c>
      <c r="D4279" t="s">
        <v>20667</v>
      </c>
      <c r="E4279" t="s">
        <v>20668</v>
      </c>
      <c r="F4279" t="s">
        <v>20668</v>
      </c>
      <c r="G4279" t="s">
        <v>20881</v>
      </c>
      <c r="H4279" t="s">
        <v>868</v>
      </c>
      <c r="I4279" t="s">
        <v>869</v>
      </c>
      <c r="J4279" t="str">
        <f>"9310107"</f>
        <v>9310107</v>
      </c>
      <c r="K4279">
        <v>2410620725</v>
      </c>
      <c r="L4279">
        <v>2410620725</v>
      </c>
      <c r="M4279" t="s">
        <v>22553</v>
      </c>
      <c r="N4279" t="s">
        <v>20672</v>
      </c>
      <c r="O4279" t="s">
        <v>22093</v>
      </c>
      <c r="P4279">
        <v>41335</v>
      </c>
      <c r="Q4279" t="str">
        <f>"39.627062"</f>
        <v>39.627062</v>
      </c>
      <c r="R4279" t="str">
        <f>"22.414970"</f>
        <v>22.414970</v>
      </c>
      <c r="S4279" t="s">
        <v>26</v>
      </c>
    </row>
    <row r="4280" spans="1:19" x14ac:dyDescent="0.3">
      <c r="A4280" t="s">
        <v>20660</v>
      </c>
      <c r="B4280" t="s">
        <v>22062</v>
      </c>
      <c r="C4280" t="s">
        <v>20869</v>
      </c>
      <c r="D4280" t="s">
        <v>20667</v>
      </c>
      <c r="E4280" t="s">
        <v>20668</v>
      </c>
      <c r="F4280" t="s">
        <v>20668</v>
      </c>
      <c r="G4280" t="s">
        <v>20881</v>
      </c>
      <c r="H4280" t="s">
        <v>868</v>
      </c>
      <c r="I4280" t="s">
        <v>869</v>
      </c>
      <c r="J4280" t="str">
        <f>"9310108"</f>
        <v>9310108</v>
      </c>
      <c r="K4280">
        <v>2410620277</v>
      </c>
      <c r="L4280">
        <v>2410620277</v>
      </c>
      <c r="M4280" t="s">
        <v>22554</v>
      </c>
      <c r="N4280" t="s">
        <v>20672</v>
      </c>
      <c r="O4280" t="s">
        <v>22404</v>
      </c>
      <c r="P4280">
        <v>41335</v>
      </c>
      <c r="Q4280" t="str">
        <f>"39.620340"</f>
        <v>39.620340</v>
      </c>
      <c r="R4280" t="str">
        <f>"22.408436"</f>
        <v>22.408436</v>
      </c>
      <c r="S4280" t="s">
        <v>26</v>
      </c>
    </row>
    <row r="4281" spans="1:19" x14ac:dyDescent="0.3">
      <c r="A4281" t="s">
        <v>20660</v>
      </c>
      <c r="B4281" t="s">
        <v>22062</v>
      </c>
      <c r="C4281" t="s">
        <v>20941</v>
      </c>
      <c r="D4281" t="s">
        <v>20667</v>
      </c>
      <c r="E4281" t="s">
        <v>20668</v>
      </c>
      <c r="F4281" t="s">
        <v>20668</v>
      </c>
      <c r="G4281" t="s">
        <v>20881</v>
      </c>
      <c r="H4281" t="s">
        <v>868</v>
      </c>
      <c r="I4281" t="s">
        <v>869</v>
      </c>
      <c r="J4281" t="str">
        <f>"9310113"</f>
        <v>9310113</v>
      </c>
      <c r="K4281">
        <v>2410615853</v>
      </c>
      <c r="L4281">
        <v>2410615853</v>
      </c>
      <c r="M4281" t="s">
        <v>22555</v>
      </c>
      <c r="N4281" t="s">
        <v>20672</v>
      </c>
      <c r="O4281" t="s">
        <v>22556</v>
      </c>
      <c r="P4281">
        <v>41335</v>
      </c>
      <c r="Q4281" t="str">
        <f>"39.615334"</f>
        <v>39.615334</v>
      </c>
      <c r="R4281" t="str">
        <f>"22.425855"</f>
        <v>22.425855</v>
      </c>
      <c r="S4281" t="s">
        <v>26</v>
      </c>
    </row>
    <row r="4282" spans="1:19" x14ac:dyDescent="0.3">
      <c r="A4282" t="s">
        <v>20660</v>
      </c>
      <c r="B4282" t="s">
        <v>22062</v>
      </c>
      <c r="C4282" t="s">
        <v>20937</v>
      </c>
      <c r="D4282" t="s">
        <v>20667</v>
      </c>
      <c r="E4282" t="s">
        <v>20899</v>
      </c>
      <c r="F4282" t="s">
        <v>5431</v>
      </c>
      <c r="G4282" t="s">
        <v>5431</v>
      </c>
      <c r="H4282" t="s">
        <v>868</v>
      </c>
      <c r="I4282" t="s">
        <v>869</v>
      </c>
      <c r="J4282" t="str">
        <f>"9310181"</f>
        <v>9310181</v>
      </c>
      <c r="K4282">
        <v>2410921226</v>
      </c>
      <c r="L4282">
        <v>2410921239</v>
      </c>
      <c r="M4282" t="s">
        <v>22557</v>
      </c>
      <c r="N4282" t="s">
        <v>6352</v>
      </c>
      <c r="O4282" t="s">
        <v>22558</v>
      </c>
      <c r="P4282">
        <v>41005</v>
      </c>
      <c r="Q4282" t="str">
        <f>"39.562317"</f>
        <v>39.562317</v>
      </c>
      <c r="R4282" t="str">
        <f>"22.465384"</f>
        <v>22.465384</v>
      </c>
      <c r="S4282" t="s">
        <v>26</v>
      </c>
    </row>
    <row r="4283" spans="1:19" x14ac:dyDescent="0.3">
      <c r="A4283" t="s">
        <v>20660</v>
      </c>
      <c r="B4283" t="s">
        <v>22062</v>
      </c>
      <c r="C4283" t="s">
        <v>22568</v>
      </c>
      <c r="D4283" t="s">
        <v>20667</v>
      </c>
      <c r="E4283" t="s">
        <v>20875</v>
      </c>
      <c r="F4283" t="s">
        <v>21039</v>
      </c>
      <c r="G4283" t="s">
        <v>21878</v>
      </c>
      <c r="H4283" t="s">
        <v>868</v>
      </c>
      <c r="I4283" t="s">
        <v>950</v>
      </c>
      <c r="J4283" t="str">
        <f>"9310305"</f>
        <v>9310305</v>
      </c>
      <c r="K4283">
        <v>2491031348</v>
      </c>
      <c r="L4283">
        <v>2491031348</v>
      </c>
      <c r="M4283" t="s">
        <v>22569</v>
      </c>
      <c r="N4283" t="s">
        <v>22570</v>
      </c>
      <c r="O4283" t="s">
        <v>22570</v>
      </c>
      <c r="P4283">
        <v>40300</v>
      </c>
      <c r="Q4283" t="str">
        <f>"39.321826"</f>
        <v>39.321826</v>
      </c>
      <c r="R4283" t="str">
        <f>"22.244916"</f>
        <v>22.244916</v>
      </c>
      <c r="S4283" t="s">
        <v>26</v>
      </c>
    </row>
    <row r="4284" spans="1:19" x14ac:dyDescent="0.3">
      <c r="A4284" t="s">
        <v>20660</v>
      </c>
      <c r="B4284" t="s">
        <v>22062</v>
      </c>
      <c r="C4284" t="s">
        <v>21045</v>
      </c>
      <c r="D4284" t="s">
        <v>20667</v>
      </c>
      <c r="E4284" t="s">
        <v>20875</v>
      </c>
      <c r="F4284" t="s">
        <v>21039</v>
      </c>
      <c r="G4284" t="s">
        <v>21040</v>
      </c>
      <c r="H4284" t="s">
        <v>868</v>
      </c>
      <c r="I4284" t="s">
        <v>869</v>
      </c>
      <c r="J4284" t="str">
        <f>"9310291"</f>
        <v>9310291</v>
      </c>
      <c r="K4284">
        <v>2491071244</v>
      </c>
      <c r="L4284">
        <v>2491071244</v>
      </c>
      <c r="M4284" t="s">
        <v>22582</v>
      </c>
      <c r="N4284" t="s">
        <v>22583</v>
      </c>
      <c r="O4284" t="s">
        <v>21044</v>
      </c>
      <c r="P4284">
        <v>40300</v>
      </c>
      <c r="Q4284" t="str">
        <f>"39.349651"</f>
        <v>39.349651</v>
      </c>
      <c r="R4284" t="str">
        <f>"22.340077"</f>
        <v>22.340077</v>
      </c>
      <c r="S4284" t="s">
        <v>26</v>
      </c>
    </row>
    <row r="4285" spans="1:19" x14ac:dyDescent="0.3">
      <c r="A4285" t="s">
        <v>20660</v>
      </c>
      <c r="B4285" t="s">
        <v>22062</v>
      </c>
      <c r="C4285" t="s">
        <v>20851</v>
      </c>
      <c r="D4285" t="s">
        <v>20667</v>
      </c>
      <c r="E4285" t="s">
        <v>20831</v>
      </c>
      <c r="F4285" t="s">
        <v>20846</v>
      </c>
      <c r="G4285" t="s">
        <v>20846</v>
      </c>
      <c r="H4285" t="s">
        <v>868</v>
      </c>
      <c r="I4285" t="s">
        <v>869</v>
      </c>
      <c r="J4285" t="str">
        <f>"9310226"</f>
        <v>9310226</v>
      </c>
      <c r="K4285">
        <v>2495022471</v>
      </c>
      <c r="L4285">
        <v>2495022471</v>
      </c>
      <c r="M4285" t="s">
        <v>22611</v>
      </c>
      <c r="N4285" t="s">
        <v>20849</v>
      </c>
      <c r="O4285" t="s">
        <v>20850</v>
      </c>
      <c r="P4285">
        <v>40006</v>
      </c>
      <c r="Q4285" t="str">
        <f>"39.803890"</f>
        <v>39.803890</v>
      </c>
      <c r="R4285" t="str">
        <f>"22.492316"</f>
        <v>22.492316</v>
      </c>
      <c r="S4285" t="s">
        <v>26</v>
      </c>
    </row>
    <row r="4286" spans="1:19" x14ac:dyDescent="0.3">
      <c r="A4286" t="s">
        <v>20660</v>
      </c>
      <c r="B4286" t="s">
        <v>22062</v>
      </c>
      <c r="C4286" t="s">
        <v>22612</v>
      </c>
      <c r="D4286" t="s">
        <v>20667</v>
      </c>
      <c r="E4286" t="s">
        <v>20909</v>
      </c>
      <c r="F4286" t="s">
        <v>17055</v>
      </c>
      <c r="G4286" t="s">
        <v>22398</v>
      </c>
      <c r="H4286" t="s">
        <v>868</v>
      </c>
      <c r="I4286" t="s">
        <v>950</v>
      </c>
      <c r="J4286" t="str">
        <f>"9310254"</f>
        <v>9310254</v>
      </c>
      <c r="K4286">
        <v>2492051511</v>
      </c>
      <c r="L4286">
        <v>2492051511</v>
      </c>
      <c r="M4286" t="s">
        <v>22613</v>
      </c>
      <c r="N4286" t="s">
        <v>22401</v>
      </c>
      <c r="O4286" t="s">
        <v>22614</v>
      </c>
      <c r="P4286">
        <v>40100</v>
      </c>
      <c r="Q4286" t="str">
        <f>"39.799121"</f>
        <v>39.799121</v>
      </c>
      <c r="R4286" t="str">
        <f>"22.370271"</f>
        <v>22.370271</v>
      </c>
      <c r="S4286" t="s">
        <v>26</v>
      </c>
    </row>
    <row r="4287" spans="1:19" x14ac:dyDescent="0.3">
      <c r="A4287" t="s">
        <v>20660</v>
      </c>
      <c r="B4287" t="s">
        <v>22062</v>
      </c>
      <c r="C4287" t="s">
        <v>22615</v>
      </c>
      <c r="D4287" t="s">
        <v>20667</v>
      </c>
      <c r="E4287" t="s">
        <v>20859</v>
      </c>
      <c r="F4287" t="s">
        <v>20860</v>
      </c>
      <c r="G4287" t="s">
        <v>1460</v>
      </c>
      <c r="H4287" t="s">
        <v>868</v>
      </c>
      <c r="I4287" t="s">
        <v>950</v>
      </c>
      <c r="J4287" t="str">
        <f>"9310045"</f>
        <v>9310045</v>
      </c>
      <c r="K4287">
        <v>2493051423</v>
      </c>
      <c r="L4287">
        <v>2493052264</v>
      </c>
      <c r="M4287" t="s">
        <v>22616</v>
      </c>
      <c r="N4287" t="s">
        <v>22236</v>
      </c>
      <c r="O4287" t="s">
        <v>22236</v>
      </c>
      <c r="P4287">
        <v>40001</v>
      </c>
      <c r="Q4287" t="str">
        <f>"39.966891"</f>
        <v>39.966891</v>
      </c>
      <c r="R4287" t="str">
        <f>"21.929999"</f>
        <v>21.929999</v>
      </c>
      <c r="S4287" t="s">
        <v>26</v>
      </c>
    </row>
    <row r="4288" spans="1:19" x14ac:dyDescent="0.3">
      <c r="A4288" t="s">
        <v>20660</v>
      </c>
      <c r="B4288" t="s">
        <v>22062</v>
      </c>
      <c r="C4288" t="s">
        <v>21003</v>
      </c>
      <c r="D4288" t="s">
        <v>20667</v>
      </c>
      <c r="E4288" t="s">
        <v>20859</v>
      </c>
      <c r="F4288" t="s">
        <v>1782</v>
      </c>
      <c r="G4288" t="s">
        <v>22104</v>
      </c>
      <c r="H4288" t="s">
        <v>868</v>
      </c>
      <c r="I4288" t="s">
        <v>869</v>
      </c>
      <c r="J4288" t="str">
        <f>"9310146"</f>
        <v>9310146</v>
      </c>
      <c r="K4288">
        <v>2492091244</v>
      </c>
      <c r="L4288">
        <v>2492091244</v>
      </c>
      <c r="M4288" t="s">
        <v>22617</v>
      </c>
      <c r="N4288" t="s">
        <v>22107</v>
      </c>
      <c r="O4288" t="s">
        <v>22107</v>
      </c>
      <c r="P4288">
        <v>40100</v>
      </c>
      <c r="Q4288" t="str">
        <f>"39.742725"</f>
        <v>39.742725</v>
      </c>
      <c r="R4288" t="str">
        <f>"22.086224"</f>
        <v>22.086224</v>
      </c>
      <c r="S4288" t="s">
        <v>26</v>
      </c>
    </row>
    <row r="4289" spans="1:19" x14ac:dyDescent="0.3">
      <c r="A4289" t="s">
        <v>20660</v>
      </c>
      <c r="B4289" t="s">
        <v>22062</v>
      </c>
      <c r="C4289" t="s">
        <v>22618</v>
      </c>
      <c r="D4289" t="s">
        <v>20667</v>
      </c>
      <c r="E4289" t="s">
        <v>20875</v>
      </c>
      <c r="F4289" t="s">
        <v>20875</v>
      </c>
      <c r="G4289" t="s">
        <v>20875</v>
      </c>
      <c r="H4289" t="s">
        <v>868</v>
      </c>
      <c r="I4289" t="s">
        <v>869</v>
      </c>
      <c r="J4289" t="str">
        <f>"9310207"</f>
        <v>9310207</v>
      </c>
      <c r="K4289">
        <v>2491022347</v>
      </c>
      <c r="L4289">
        <v>2491026098</v>
      </c>
      <c r="M4289" t="s">
        <v>22619</v>
      </c>
      <c r="N4289" t="s">
        <v>20878</v>
      </c>
      <c r="O4289" t="s">
        <v>22620</v>
      </c>
      <c r="P4289">
        <v>40300</v>
      </c>
      <c r="Q4289" t="str">
        <f>"39.297478"</f>
        <v>39.297478</v>
      </c>
      <c r="R4289" t="str">
        <f>"22.387311"</f>
        <v>22.387311</v>
      </c>
      <c r="S4289" t="s">
        <v>26</v>
      </c>
    </row>
    <row r="4290" spans="1:19" x14ac:dyDescent="0.3">
      <c r="A4290" t="s">
        <v>20660</v>
      </c>
      <c r="B4290" t="s">
        <v>22062</v>
      </c>
      <c r="C4290" t="s">
        <v>20960</v>
      </c>
      <c r="D4290" t="s">
        <v>20667</v>
      </c>
      <c r="E4290" t="s">
        <v>20668</v>
      </c>
      <c r="F4290" t="s">
        <v>20955</v>
      </c>
      <c r="G4290" t="s">
        <v>20955</v>
      </c>
      <c r="H4290" t="s">
        <v>868</v>
      </c>
      <c r="I4290" t="s">
        <v>869</v>
      </c>
      <c r="J4290" t="str">
        <f>"9310430"</f>
        <v>9310430</v>
      </c>
      <c r="K4290">
        <v>2410591251</v>
      </c>
      <c r="L4290">
        <v>2410591251</v>
      </c>
      <c r="M4290" t="s">
        <v>22621</v>
      </c>
      <c r="N4290" t="s">
        <v>20958</v>
      </c>
      <c r="O4290" t="s">
        <v>22600</v>
      </c>
      <c r="P4290">
        <v>41500</v>
      </c>
      <c r="Q4290" t="str">
        <f>"39.670824"</f>
        <v>39.670824</v>
      </c>
      <c r="R4290" t="str">
        <f>"22.389727"</f>
        <v>22.389727</v>
      </c>
      <c r="S4290" t="s">
        <v>26</v>
      </c>
    </row>
    <row r="4291" spans="1:19" x14ac:dyDescent="0.3">
      <c r="A4291" t="s">
        <v>20660</v>
      </c>
      <c r="B4291" t="s">
        <v>22062</v>
      </c>
      <c r="C4291" t="s">
        <v>21030</v>
      </c>
      <c r="D4291" t="s">
        <v>20667</v>
      </c>
      <c r="E4291" t="s">
        <v>20909</v>
      </c>
      <c r="F4291" t="s">
        <v>17055</v>
      </c>
      <c r="G4291" t="s">
        <v>17055</v>
      </c>
      <c r="H4291" t="s">
        <v>868</v>
      </c>
      <c r="I4291" t="s">
        <v>869</v>
      </c>
      <c r="J4291" t="str">
        <f>"9310239"</f>
        <v>9310239</v>
      </c>
      <c r="K4291">
        <v>2492031255</v>
      </c>
      <c r="L4291">
        <v>2492032378</v>
      </c>
      <c r="M4291" t="s">
        <v>22622</v>
      </c>
      <c r="N4291" t="s">
        <v>17058</v>
      </c>
      <c r="O4291" t="s">
        <v>22509</v>
      </c>
      <c r="P4291">
        <v>40400</v>
      </c>
      <c r="Q4291" t="str">
        <f>"39.748673"</f>
        <v>39.748673</v>
      </c>
      <c r="R4291" t="str">
        <f>"22.356077"</f>
        <v>22.356077</v>
      </c>
      <c r="S4291" t="s">
        <v>26</v>
      </c>
    </row>
    <row r="4292" spans="1:19" x14ac:dyDescent="0.3">
      <c r="A4292" t="s">
        <v>20660</v>
      </c>
      <c r="B4292" t="s">
        <v>22062</v>
      </c>
      <c r="C4292" t="s">
        <v>21159</v>
      </c>
      <c r="D4292" t="s">
        <v>20667</v>
      </c>
      <c r="E4292" t="s">
        <v>20909</v>
      </c>
      <c r="F4292" t="s">
        <v>20909</v>
      </c>
      <c r="G4292" t="s">
        <v>20909</v>
      </c>
      <c r="H4292" t="s">
        <v>868</v>
      </c>
      <c r="I4292" t="s">
        <v>869</v>
      </c>
      <c r="J4292" t="str">
        <f>"9310192"</f>
        <v>9310192</v>
      </c>
      <c r="K4292">
        <v>2492022458</v>
      </c>
      <c r="L4292">
        <v>2492022458</v>
      </c>
      <c r="M4292" t="s">
        <v>22623</v>
      </c>
      <c r="N4292" t="s">
        <v>20977</v>
      </c>
      <c r="O4292" t="s">
        <v>22581</v>
      </c>
      <c r="P4292">
        <v>40100</v>
      </c>
      <c r="Q4292" t="str">
        <f>"39.732988"</f>
        <v>39.732988</v>
      </c>
      <c r="R4292" t="str">
        <f>"22.282411"</f>
        <v>22.282411</v>
      </c>
      <c r="S4292" t="s">
        <v>26</v>
      </c>
    </row>
    <row r="4293" spans="1:19" x14ac:dyDescent="0.3">
      <c r="A4293" t="s">
        <v>20660</v>
      </c>
      <c r="B4293" t="s">
        <v>22062</v>
      </c>
      <c r="C4293" t="s">
        <v>20979</v>
      </c>
      <c r="D4293" t="s">
        <v>20667</v>
      </c>
      <c r="E4293" t="s">
        <v>20909</v>
      </c>
      <c r="F4293" t="s">
        <v>20909</v>
      </c>
      <c r="G4293" t="s">
        <v>20909</v>
      </c>
      <c r="H4293" t="s">
        <v>868</v>
      </c>
      <c r="I4293" t="s">
        <v>869</v>
      </c>
      <c r="J4293" t="str">
        <f>"9310191"</f>
        <v>9310191</v>
      </c>
      <c r="K4293">
        <v>2492022655</v>
      </c>
      <c r="L4293">
        <v>2492022655</v>
      </c>
      <c r="M4293" t="s">
        <v>22624</v>
      </c>
      <c r="N4293" t="s">
        <v>20977</v>
      </c>
      <c r="O4293" t="s">
        <v>22591</v>
      </c>
      <c r="P4293">
        <v>40100</v>
      </c>
      <c r="Q4293" t="str">
        <f>"39.741632"</f>
        <v>39.741632</v>
      </c>
      <c r="R4293" t="str">
        <f>"22.277369"</f>
        <v>22.277369</v>
      </c>
      <c r="S4293" t="s">
        <v>26</v>
      </c>
    </row>
    <row r="4294" spans="1:19" x14ac:dyDescent="0.3">
      <c r="A4294" t="s">
        <v>20660</v>
      </c>
      <c r="B4294" t="s">
        <v>22062</v>
      </c>
      <c r="C4294" t="s">
        <v>20966</v>
      </c>
      <c r="D4294" t="s">
        <v>20667</v>
      </c>
      <c r="E4294" t="s">
        <v>20859</v>
      </c>
      <c r="F4294" t="s">
        <v>20859</v>
      </c>
      <c r="G4294" t="s">
        <v>20961</v>
      </c>
      <c r="H4294" t="s">
        <v>868</v>
      </c>
      <c r="I4294" t="s">
        <v>869</v>
      </c>
      <c r="J4294" t="str">
        <f>"9310018"</f>
        <v>9310018</v>
      </c>
      <c r="K4294">
        <v>2493022376</v>
      </c>
      <c r="L4294">
        <v>2493029767</v>
      </c>
      <c r="M4294" t="s">
        <v>22625</v>
      </c>
      <c r="N4294" t="s">
        <v>20964</v>
      </c>
      <c r="O4294" t="s">
        <v>22626</v>
      </c>
      <c r="P4294">
        <v>40200</v>
      </c>
      <c r="Q4294" t="str">
        <f>"39.889218"</f>
        <v>39.889218</v>
      </c>
      <c r="R4294" t="str">
        <f>"22.192864"</f>
        <v>22.192864</v>
      </c>
      <c r="S4294" t="s">
        <v>26</v>
      </c>
    </row>
    <row r="4295" spans="1:19" x14ac:dyDescent="0.3">
      <c r="A4295" t="s">
        <v>20660</v>
      </c>
      <c r="B4295" t="s">
        <v>22062</v>
      </c>
      <c r="C4295" t="s">
        <v>21063</v>
      </c>
      <c r="D4295" t="s">
        <v>20667</v>
      </c>
      <c r="E4295" t="s">
        <v>20668</v>
      </c>
      <c r="F4295" t="s">
        <v>20668</v>
      </c>
      <c r="G4295" t="s">
        <v>20841</v>
      </c>
      <c r="H4295" t="s">
        <v>868</v>
      </c>
      <c r="I4295" t="s">
        <v>869</v>
      </c>
      <c r="J4295" t="str">
        <f>"9310218"</f>
        <v>9310218</v>
      </c>
      <c r="K4295">
        <v>2410250043</v>
      </c>
      <c r="L4295">
        <v>2410250043</v>
      </c>
      <c r="M4295" t="s">
        <v>22627</v>
      </c>
      <c r="N4295" t="s">
        <v>20672</v>
      </c>
      <c r="O4295" t="s">
        <v>22576</v>
      </c>
      <c r="P4295">
        <v>41447</v>
      </c>
      <c r="Q4295" t="str">
        <f>"39.645783"</f>
        <v>39.645783</v>
      </c>
      <c r="R4295" t="str">
        <f>"22.419317"</f>
        <v>22.419317</v>
      </c>
      <c r="S4295" t="s">
        <v>26</v>
      </c>
    </row>
    <row r="4296" spans="1:19" x14ac:dyDescent="0.3">
      <c r="A4296" t="s">
        <v>20660</v>
      </c>
      <c r="B4296" t="s">
        <v>22062</v>
      </c>
      <c r="C4296" t="s">
        <v>20865</v>
      </c>
      <c r="D4296" t="s">
        <v>20667</v>
      </c>
      <c r="E4296" t="s">
        <v>20859</v>
      </c>
      <c r="F4296" t="s">
        <v>20860</v>
      </c>
      <c r="G4296" t="s">
        <v>20861</v>
      </c>
      <c r="H4296" t="s">
        <v>868</v>
      </c>
      <c r="I4296" t="s">
        <v>869</v>
      </c>
      <c r="J4296" t="str">
        <f>"9310035"</f>
        <v>9310035</v>
      </c>
      <c r="K4296">
        <v>2493051352</v>
      </c>
      <c r="L4296">
        <v>2493051352</v>
      </c>
      <c r="M4296" t="s">
        <v>22628</v>
      </c>
      <c r="N4296" t="s">
        <v>20864</v>
      </c>
      <c r="O4296" t="s">
        <v>20864</v>
      </c>
      <c r="P4296">
        <v>40200</v>
      </c>
      <c r="Q4296" t="str">
        <f>"39.953192"</f>
        <v>39.953192</v>
      </c>
      <c r="R4296" t="str">
        <f>"21.969272"</f>
        <v>21.969272</v>
      </c>
      <c r="S4296" t="s">
        <v>26</v>
      </c>
    </row>
    <row r="4297" spans="1:19" x14ac:dyDescent="0.3">
      <c r="A4297" t="s">
        <v>20660</v>
      </c>
      <c r="B4297" t="s">
        <v>22062</v>
      </c>
      <c r="C4297" t="s">
        <v>22630</v>
      </c>
      <c r="D4297" t="s">
        <v>20667</v>
      </c>
      <c r="E4297" t="s">
        <v>20875</v>
      </c>
      <c r="F4297" t="s">
        <v>21070</v>
      </c>
      <c r="G4297" t="s">
        <v>22629</v>
      </c>
      <c r="H4297" t="s">
        <v>868</v>
      </c>
      <c r="I4297" t="s">
        <v>950</v>
      </c>
      <c r="J4297" t="str">
        <f>"9310278"</f>
        <v>9310278</v>
      </c>
      <c r="K4297">
        <v>2491051244</v>
      </c>
      <c r="L4297">
        <v>2491051244</v>
      </c>
      <c r="M4297" t="s">
        <v>22631</v>
      </c>
      <c r="N4297" t="s">
        <v>22632</v>
      </c>
      <c r="O4297" t="s">
        <v>22632</v>
      </c>
      <c r="P4297">
        <v>40300</v>
      </c>
      <c r="Q4297" t="str">
        <f>"39.296906"</f>
        <v>39.296906</v>
      </c>
      <c r="R4297" t="str">
        <f>"22.613945"</f>
        <v>22.613945</v>
      </c>
      <c r="S4297" t="s">
        <v>26</v>
      </c>
    </row>
    <row r="4298" spans="1:19" x14ac:dyDescent="0.3">
      <c r="A4298" t="s">
        <v>20660</v>
      </c>
      <c r="B4298" t="s">
        <v>22062</v>
      </c>
      <c r="C4298" t="s">
        <v>22633</v>
      </c>
      <c r="D4298" t="s">
        <v>20667</v>
      </c>
      <c r="E4298" t="s">
        <v>20859</v>
      </c>
      <c r="F4298" t="s">
        <v>20859</v>
      </c>
      <c r="G4298" t="s">
        <v>20961</v>
      </c>
      <c r="H4298" t="s">
        <v>868</v>
      </c>
      <c r="I4298" t="s">
        <v>869</v>
      </c>
      <c r="J4298" t="str">
        <f>"9310020"</f>
        <v>9310020</v>
      </c>
      <c r="K4298">
        <v>2493022076</v>
      </c>
      <c r="L4298">
        <v>2493022076</v>
      </c>
      <c r="M4298" t="s">
        <v>22634</v>
      </c>
      <c r="N4298" t="s">
        <v>20964</v>
      </c>
      <c r="O4298" t="s">
        <v>22635</v>
      </c>
      <c r="P4298">
        <v>40200</v>
      </c>
      <c r="Q4298" t="str">
        <f>"39.894083"</f>
        <v>39.894083</v>
      </c>
      <c r="R4298" t="str">
        <f>"22.194601"</f>
        <v>22.194601</v>
      </c>
      <c r="S4298" t="s">
        <v>26</v>
      </c>
    </row>
    <row r="4299" spans="1:19" x14ac:dyDescent="0.3">
      <c r="A4299" t="s">
        <v>20660</v>
      </c>
      <c r="B4299" t="s">
        <v>22062</v>
      </c>
      <c r="C4299" t="s">
        <v>21133</v>
      </c>
      <c r="D4299" t="s">
        <v>20667</v>
      </c>
      <c r="E4299" t="s">
        <v>20859</v>
      </c>
      <c r="F4299" t="s">
        <v>21128</v>
      </c>
      <c r="G4299" t="s">
        <v>21129</v>
      </c>
      <c r="H4299" t="s">
        <v>868</v>
      </c>
      <c r="I4299" t="s">
        <v>869</v>
      </c>
      <c r="J4299" t="str">
        <f>"9310025"</f>
        <v>9310025</v>
      </c>
      <c r="K4299">
        <v>2493061208</v>
      </c>
      <c r="L4299">
        <v>2493061208</v>
      </c>
      <c r="M4299" t="s">
        <v>22636</v>
      </c>
      <c r="N4299" t="s">
        <v>22637</v>
      </c>
      <c r="O4299" t="s">
        <v>22638</v>
      </c>
      <c r="P4299">
        <v>40200</v>
      </c>
      <c r="Q4299" t="str">
        <f>"39.979387"</f>
        <v>39.979387</v>
      </c>
      <c r="R4299" t="str">
        <f>"22.188441"</f>
        <v>22.188441</v>
      </c>
      <c r="S4299" t="s">
        <v>26</v>
      </c>
    </row>
    <row r="4300" spans="1:19" x14ac:dyDescent="0.3">
      <c r="A4300" t="s">
        <v>20660</v>
      </c>
      <c r="B4300" t="s">
        <v>22062</v>
      </c>
      <c r="C4300" t="s">
        <v>21180</v>
      </c>
      <c r="D4300" t="s">
        <v>20667</v>
      </c>
      <c r="E4300" t="s">
        <v>20859</v>
      </c>
      <c r="F4300" t="s">
        <v>12358</v>
      </c>
      <c r="G4300" t="s">
        <v>12358</v>
      </c>
      <c r="H4300" t="s">
        <v>868</v>
      </c>
      <c r="I4300" t="s">
        <v>869</v>
      </c>
      <c r="J4300" t="str">
        <f>"9310040"</f>
        <v>9310040</v>
      </c>
      <c r="K4300">
        <v>2493041172</v>
      </c>
      <c r="L4300">
        <v>2493041172</v>
      </c>
      <c r="M4300" t="s">
        <v>22639</v>
      </c>
      <c r="N4300" t="s">
        <v>22230</v>
      </c>
      <c r="O4300" t="s">
        <v>22230</v>
      </c>
      <c r="P4300">
        <v>40002</v>
      </c>
      <c r="Q4300" t="str">
        <f>"40.124741"</f>
        <v>40.124741</v>
      </c>
      <c r="R4300" t="str">
        <f>"22.157147"</f>
        <v>22.157147</v>
      </c>
      <c r="S4300" t="s">
        <v>26</v>
      </c>
    </row>
    <row r="4301" spans="1:19" x14ac:dyDescent="0.3">
      <c r="A4301" t="s">
        <v>20660</v>
      </c>
      <c r="B4301" t="s">
        <v>22062</v>
      </c>
      <c r="C4301" t="s">
        <v>22640</v>
      </c>
      <c r="D4301" t="s">
        <v>20667</v>
      </c>
      <c r="E4301" t="s">
        <v>20668</v>
      </c>
      <c r="F4301" t="s">
        <v>20668</v>
      </c>
      <c r="G4301" t="s">
        <v>20942</v>
      </c>
      <c r="H4301" t="s">
        <v>868</v>
      </c>
      <c r="I4301" t="s">
        <v>869</v>
      </c>
      <c r="J4301" t="str">
        <f>"9310451"</f>
        <v>9310451</v>
      </c>
      <c r="K4301">
        <v>2410280989</v>
      </c>
      <c r="L4301">
        <v>2410280989</v>
      </c>
      <c r="M4301" t="s">
        <v>22641</v>
      </c>
      <c r="N4301" t="s">
        <v>22495</v>
      </c>
      <c r="O4301" t="s">
        <v>22350</v>
      </c>
      <c r="P4301">
        <v>41221</v>
      </c>
      <c r="Q4301" t="str">
        <f>"39.637516"</f>
        <v>39.637516</v>
      </c>
      <c r="R4301" t="str">
        <f>"22.423986"</f>
        <v>22.423986</v>
      </c>
      <c r="S4301" t="s">
        <v>26</v>
      </c>
    </row>
    <row r="4302" spans="1:19" x14ac:dyDescent="0.3">
      <c r="A4302" t="s">
        <v>20660</v>
      </c>
      <c r="B4302" t="s">
        <v>22062</v>
      </c>
      <c r="C4302" t="s">
        <v>21076</v>
      </c>
      <c r="D4302" t="s">
        <v>20667</v>
      </c>
      <c r="E4302" t="s">
        <v>20875</v>
      </c>
      <c r="F4302" t="s">
        <v>21070</v>
      </c>
      <c r="G4302" t="s">
        <v>21071</v>
      </c>
      <c r="H4302" t="s">
        <v>868</v>
      </c>
      <c r="I4302" t="s">
        <v>869</v>
      </c>
      <c r="J4302" t="str">
        <f>"9310271"</f>
        <v>9310271</v>
      </c>
      <c r="K4302">
        <v>2491041203</v>
      </c>
      <c r="L4302">
        <v>2491041760</v>
      </c>
      <c r="M4302" t="s">
        <v>22642</v>
      </c>
      <c r="N4302" t="s">
        <v>22643</v>
      </c>
      <c r="O4302" t="s">
        <v>22644</v>
      </c>
      <c r="P4302">
        <v>40300</v>
      </c>
      <c r="Q4302" t="str">
        <f>"39.335513"</f>
        <v>39.335513</v>
      </c>
      <c r="R4302" t="str">
        <f>"22.414785"</f>
        <v>22.414785</v>
      </c>
      <c r="S4302" t="s">
        <v>26</v>
      </c>
    </row>
    <row r="4303" spans="1:19" x14ac:dyDescent="0.3">
      <c r="A4303" t="s">
        <v>20660</v>
      </c>
      <c r="B4303" t="s">
        <v>22062</v>
      </c>
      <c r="C4303" t="s">
        <v>21099</v>
      </c>
      <c r="D4303" t="s">
        <v>20667</v>
      </c>
      <c r="E4303" t="s">
        <v>20859</v>
      </c>
      <c r="F4303" t="s">
        <v>20859</v>
      </c>
      <c r="G4303" t="s">
        <v>20961</v>
      </c>
      <c r="H4303" t="s">
        <v>868</v>
      </c>
      <c r="I4303" t="s">
        <v>869</v>
      </c>
      <c r="J4303" t="str">
        <f>"9310016"</f>
        <v>9310016</v>
      </c>
      <c r="K4303">
        <v>2493022403</v>
      </c>
      <c r="L4303">
        <v>2493029503</v>
      </c>
      <c r="M4303" t="s">
        <v>22659</v>
      </c>
      <c r="N4303" t="s">
        <v>20964</v>
      </c>
      <c r="O4303" t="s">
        <v>22660</v>
      </c>
      <c r="P4303">
        <v>40200</v>
      </c>
      <c r="Q4303" t="str">
        <f>"39.910341"</f>
        <v>39.910341</v>
      </c>
      <c r="R4303" t="str">
        <f>"22.220778"</f>
        <v>22.220778</v>
      </c>
      <c r="S4303" t="s">
        <v>26</v>
      </c>
    </row>
    <row r="4304" spans="1:19" x14ac:dyDescent="0.3">
      <c r="A4304" t="s">
        <v>20660</v>
      </c>
      <c r="B4304" t="s">
        <v>22062</v>
      </c>
      <c r="C4304" t="s">
        <v>21050</v>
      </c>
      <c r="D4304" t="s">
        <v>20667</v>
      </c>
      <c r="E4304" t="s">
        <v>20859</v>
      </c>
      <c r="F4304" t="s">
        <v>21046</v>
      </c>
      <c r="G4304" t="s">
        <v>21046</v>
      </c>
      <c r="H4304" t="s">
        <v>868</v>
      </c>
      <c r="I4304" t="s">
        <v>869</v>
      </c>
      <c r="J4304" t="str">
        <f>"9310069"</f>
        <v>9310069</v>
      </c>
      <c r="K4304">
        <v>2493081204</v>
      </c>
      <c r="L4304">
        <v>2493081204</v>
      </c>
      <c r="M4304" t="s">
        <v>22661</v>
      </c>
      <c r="N4304" t="s">
        <v>22662</v>
      </c>
      <c r="O4304" t="s">
        <v>22663</v>
      </c>
      <c r="P4304">
        <v>40200</v>
      </c>
      <c r="Q4304" t="str">
        <f>"39.881943"</f>
        <v>39.881943</v>
      </c>
      <c r="R4304" t="str">
        <f>"22.224152"</f>
        <v>22.224152</v>
      </c>
      <c r="S4304" t="s">
        <v>26</v>
      </c>
    </row>
    <row r="4305" spans="1:19" x14ac:dyDescent="0.3">
      <c r="A4305" t="s">
        <v>20660</v>
      </c>
      <c r="B4305" t="s">
        <v>22062</v>
      </c>
      <c r="C4305" t="s">
        <v>22664</v>
      </c>
      <c r="D4305" t="s">
        <v>20667</v>
      </c>
      <c r="E4305" t="s">
        <v>20668</v>
      </c>
      <c r="F4305" t="s">
        <v>20668</v>
      </c>
      <c r="G4305" t="s">
        <v>20669</v>
      </c>
      <c r="H4305" t="s">
        <v>868</v>
      </c>
      <c r="I4305" t="s">
        <v>869</v>
      </c>
      <c r="J4305" t="str">
        <f>"9310431"</f>
        <v>9310431</v>
      </c>
      <c r="K4305">
        <v>2410257845</v>
      </c>
      <c r="L4305">
        <v>2410253123</v>
      </c>
      <c r="M4305" t="s">
        <v>22665</v>
      </c>
      <c r="N4305" t="s">
        <v>20672</v>
      </c>
      <c r="O4305" t="s">
        <v>22549</v>
      </c>
      <c r="P4305">
        <v>41447</v>
      </c>
      <c r="Q4305" t="str">
        <f>"39.651934"</f>
        <v>39.651934</v>
      </c>
      <c r="R4305" t="str">
        <f>"22.414747"</f>
        <v>22.414747</v>
      </c>
      <c r="S4305" t="s">
        <v>26</v>
      </c>
    </row>
    <row r="4306" spans="1:19" x14ac:dyDescent="0.3">
      <c r="A4306" t="s">
        <v>20660</v>
      </c>
      <c r="B4306" t="s">
        <v>22062</v>
      </c>
      <c r="C4306" t="s">
        <v>20874</v>
      </c>
      <c r="D4306" t="s">
        <v>20667</v>
      </c>
      <c r="E4306" t="s">
        <v>20831</v>
      </c>
      <c r="F4306" t="s">
        <v>20870</v>
      </c>
      <c r="G4306" t="s">
        <v>20870</v>
      </c>
      <c r="H4306" t="s">
        <v>868</v>
      </c>
      <c r="I4306" t="s">
        <v>869</v>
      </c>
      <c r="J4306" t="str">
        <f>"9310241"</f>
        <v>9310241</v>
      </c>
      <c r="K4306">
        <v>2495031240</v>
      </c>
      <c r="L4306">
        <v>2495031240</v>
      </c>
      <c r="M4306" t="s">
        <v>22675</v>
      </c>
      <c r="N4306" t="s">
        <v>20873</v>
      </c>
      <c r="O4306" t="s">
        <v>22676</v>
      </c>
      <c r="P4306">
        <v>40004</v>
      </c>
      <c r="Q4306" t="str">
        <f>"39.861680"</f>
        <v>39.861680</v>
      </c>
      <c r="R4306" t="str">
        <f>"22.473263"</f>
        <v>22.473263</v>
      </c>
      <c r="S4306" t="s">
        <v>26</v>
      </c>
    </row>
    <row r="4307" spans="1:19" x14ac:dyDescent="0.3">
      <c r="A4307" t="s">
        <v>20660</v>
      </c>
      <c r="B4307" t="s">
        <v>22062</v>
      </c>
      <c r="C4307" t="s">
        <v>20845</v>
      </c>
      <c r="D4307" t="s">
        <v>20667</v>
      </c>
      <c r="E4307" t="s">
        <v>20668</v>
      </c>
      <c r="F4307" t="s">
        <v>20668</v>
      </c>
      <c r="G4307" t="s">
        <v>20841</v>
      </c>
      <c r="H4307" t="s">
        <v>868</v>
      </c>
      <c r="I4307" t="s">
        <v>869</v>
      </c>
      <c r="J4307" t="str">
        <f>"9310465"</f>
        <v>9310465</v>
      </c>
      <c r="K4307">
        <v>2410533552</v>
      </c>
      <c r="L4307">
        <v>2410533552</v>
      </c>
      <c r="M4307" t="s">
        <v>22677</v>
      </c>
      <c r="N4307" t="s">
        <v>20672</v>
      </c>
      <c r="O4307" t="s">
        <v>22576</v>
      </c>
      <c r="P4307">
        <v>41447</v>
      </c>
      <c r="Q4307" t="str">
        <f>"39.645518"</f>
        <v>39.645518</v>
      </c>
      <c r="R4307" t="str">
        <f>"22.418963"</f>
        <v>22.418963</v>
      </c>
      <c r="S4307" t="s">
        <v>26</v>
      </c>
    </row>
    <row r="4308" spans="1:19" x14ac:dyDescent="0.3">
      <c r="A4308" t="s">
        <v>20660</v>
      </c>
      <c r="B4308" t="s">
        <v>22062</v>
      </c>
      <c r="C4308" t="s">
        <v>22678</v>
      </c>
      <c r="D4308" t="s">
        <v>20667</v>
      </c>
      <c r="E4308" t="s">
        <v>20909</v>
      </c>
      <c r="F4308" t="s">
        <v>17055</v>
      </c>
      <c r="G4308" t="s">
        <v>17055</v>
      </c>
      <c r="H4308" t="s">
        <v>868</v>
      </c>
      <c r="I4308" t="s">
        <v>869</v>
      </c>
      <c r="J4308" t="str">
        <f>"9310238"</f>
        <v>9310238</v>
      </c>
      <c r="K4308">
        <v>2492031283</v>
      </c>
      <c r="L4308">
        <v>2492032931</v>
      </c>
      <c r="M4308" t="s">
        <v>22679</v>
      </c>
      <c r="N4308" t="s">
        <v>17058</v>
      </c>
      <c r="O4308" t="s">
        <v>22680</v>
      </c>
      <c r="P4308">
        <v>40400</v>
      </c>
      <c r="Q4308" t="str">
        <f>"39.741545"</f>
        <v>39.741545</v>
      </c>
      <c r="R4308" t="str">
        <f>"22.379640"</f>
        <v>22.379640</v>
      </c>
      <c r="S4308" t="s">
        <v>26</v>
      </c>
    </row>
    <row r="4309" spans="1:19" x14ac:dyDescent="0.3">
      <c r="A4309" t="s">
        <v>20660</v>
      </c>
      <c r="B4309" t="s">
        <v>22062</v>
      </c>
      <c r="C4309" t="s">
        <v>22681</v>
      </c>
      <c r="D4309" t="s">
        <v>20667</v>
      </c>
      <c r="E4309" t="s">
        <v>20668</v>
      </c>
      <c r="F4309" t="s">
        <v>20668</v>
      </c>
      <c r="G4309" t="s">
        <v>20669</v>
      </c>
      <c r="H4309" t="s">
        <v>868</v>
      </c>
      <c r="I4309" t="s">
        <v>1157</v>
      </c>
      <c r="J4309" t="str">
        <f>"9521387"</f>
        <v>9521387</v>
      </c>
      <c r="K4309">
        <v>2410537944</v>
      </c>
      <c r="L4309">
        <v>2410537944</v>
      </c>
      <c r="M4309" t="s">
        <v>22682</v>
      </c>
      <c r="N4309" t="s">
        <v>20672</v>
      </c>
      <c r="O4309" t="s">
        <v>22683</v>
      </c>
      <c r="P4309">
        <v>41335</v>
      </c>
      <c r="Q4309" t="str">
        <f>"39.651872"</f>
        <v>39.651872</v>
      </c>
      <c r="R4309" t="str">
        <f>"22.414800"</f>
        <v>22.414800</v>
      </c>
      <c r="S4309" t="s">
        <v>26</v>
      </c>
    </row>
    <row r="4310" spans="1:19" x14ac:dyDescent="0.3">
      <c r="A4310" t="s">
        <v>20660</v>
      </c>
      <c r="B4310" t="s">
        <v>22062</v>
      </c>
      <c r="C4310" t="s">
        <v>22687</v>
      </c>
      <c r="D4310" t="s">
        <v>20667</v>
      </c>
      <c r="E4310" t="s">
        <v>20899</v>
      </c>
      <c r="F4310" t="s">
        <v>20900</v>
      </c>
      <c r="G4310" t="s">
        <v>22147</v>
      </c>
      <c r="H4310" t="s">
        <v>868</v>
      </c>
      <c r="I4310" t="s">
        <v>869</v>
      </c>
      <c r="J4310" t="str">
        <f>"9310143"</f>
        <v>9310143</v>
      </c>
      <c r="K4310">
        <v>2410961202</v>
      </c>
      <c r="L4310">
        <v>2410961202</v>
      </c>
      <c r="M4310" t="s">
        <v>22688</v>
      </c>
      <c r="N4310" t="s">
        <v>22689</v>
      </c>
      <c r="O4310" t="s">
        <v>22689</v>
      </c>
      <c r="P4310">
        <v>41500</v>
      </c>
      <c r="Q4310" t="str">
        <f>"39.567798"</f>
        <v>39.567798</v>
      </c>
      <c r="R4310" t="str">
        <f>"22.539226"</f>
        <v>22.539226</v>
      </c>
      <c r="S4310" t="s">
        <v>26</v>
      </c>
    </row>
    <row r="4311" spans="1:19" x14ac:dyDescent="0.3">
      <c r="A4311" t="s">
        <v>20660</v>
      </c>
      <c r="B4311" t="s">
        <v>22062</v>
      </c>
      <c r="C4311" t="s">
        <v>22691</v>
      </c>
      <c r="D4311" t="s">
        <v>20667</v>
      </c>
      <c r="E4311" t="s">
        <v>20859</v>
      </c>
      <c r="F4311" t="s">
        <v>20859</v>
      </c>
      <c r="G4311" t="s">
        <v>22690</v>
      </c>
      <c r="H4311" t="s">
        <v>868</v>
      </c>
      <c r="I4311" t="s">
        <v>1157</v>
      </c>
      <c r="J4311" t="str">
        <f>"9521156"</f>
        <v>9521156</v>
      </c>
      <c r="K4311">
        <v>2493087439</v>
      </c>
      <c r="L4311">
        <v>2493087439</v>
      </c>
      <c r="M4311" t="s">
        <v>22692</v>
      </c>
      <c r="N4311" t="s">
        <v>22693</v>
      </c>
      <c r="O4311" t="s">
        <v>22693</v>
      </c>
      <c r="P4311">
        <v>40200</v>
      </c>
      <c r="Q4311" t="str">
        <f>"39.847300"</f>
        <v>39.847300</v>
      </c>
      <c r="R4311" t="str">
        <f>"22.173724"</f>
        <v>22.173724</v>
      </c>
      <c r="S4311" t="s">
        <v>26</v>
      </c>
    </row>
    <row r="4312" spans="1:19" x14ac:dyDescent="0.3">
      <c r="A4312" t="s">
        <v>20660</v>
      </c>
      <c r="B4312" t="s">
        <v>22062</v>
      </c>
      <c r="C4312" t="s">
        <v>22694</v>
      </c>
      <c r="D4312" t="s">
        <v>20667</v>
      </c>
      <c r="E4312" t="s">
        <v>4424</v>
      </c>
      <c r="F4312" t="s">
        <v>4424</v>
      </c>
      <c r="G4312" t="s">
        <v>21696</v>
      </c>
      <c r="H4312" t="s">
        <v>868</v>
      </c>
      <c r="I4312" t="s">
        <v>869</v>
      </c>
      <c r="J4312" t="str">
        <f>"9310080"</f>
        <v>9310080</v>
      </c>
      <c r="K4312">
        <v>2494041362</v>
      </c>
      <c r="L4312">
        <v>2494041362</v>
      </c>
      <c r="M4312" t="s">
        <v>22695</v>
      </c>
      <c r="N4312" t="s">
        <v>21699</v>
      </c>
      <c r="O4312" t="s">
        <v>21699</v>
      </c>
      <c r="P4312">
        <v>40003</v>
      </c>
      <c r="Q4312" t="str">
        <f>"39.677905"</f>
        <v>39.677905</v>
      </c>
      <c r="R4312" t="str">
        <f>"22.699384"</f>
        <v>22.699384</v>
      </c>
      <c r="S4312" t="s">
        <v>26</v>
      </c>
    </row>
    <row r="4313" spans="1:19" x14ac:dyDescent="0.3">
      <c r="A4313" t="s">
        <v>20660</v>
      </c>
      <c r="B4313" t="s">
        <v>22062</v>
      </c>
      <c r="C4313" t="s">
        <v>22718</v>
      </c>
      <c r="D4313" t="s">
        <v>20667</v>
      </c>
      <c r="E4313" t="s">
        <v>20859</v>
      </c>
      <c r="F4313" t="s">
        <v>22168</v>
      </c>
      <c r="G4313" t="s">
        <v>22717</v>
      </c>
      <c r="H4313" t="s">
        <v>868</v>
      </c>
      <c r="I4313" t="s">
        <v>950</v>
      </c>
      <c r="J4313" t="str">
        <f>"9310050"</f>
        <v>9310050</v>
      </c>
      <c r="K4313">
        <v>2493082195</v>
      </c>
      <c r="L4313">
        <v>2493082202</v>
      </c>
      <c r="M4313" t="s">
        <v>22719</v>
      </c>
      <c r="N4313" t="s">
        <v>22720</v>
      </c>
      <c r="O4313" t="s">
        <v>22720</v>
      </c>
      <c r="P4313">
        <v>40200</v>
      </c>
      <c r="Q4313" t="str">
        <f>"39.965398"</f>
        <v>39.965398</v>
      </c>
      <c r="R4313" t="str">
        <f>"22.115311"</f>
        <v>22.115311</v>
      </c>
      <c r="S4313" t="s">
        <v>26</v>
      </c>
    </row>
    <row r="4314" spans="1:19" x14ac:dyDescent="0.3">
      <c r="A4314" t="s">
        <v>20660</v>
      </c>
      <c r="B4314" t="s">
        <v>22062</v>
      </c>
      <c r="C4314" t="s">
        <v>22721</v>
      </c>
      <c r="D4314" t="s">
        <v>20667</v>
      </c>
      <c r="E4314" t="s">
        <v>20668</v>
      </c>
      <c r="F4314" t="s">
        <v>20668</v>
      </c>
      <c r="G4314" t="s">
        <v>20881</v>
      </c>
      <c r="H4314" t="s">
        <v>868</v>
      </c>
      <c r="I4314" t="s">
        <v>869</v>
      </c>
      <c r="J4314" t="str">
        <f>"9521669"</f>
        <v>9521669</v>
      </c>
      <c r="K4314">
        <v>2410611122</v>
      </c>
      <c r="L4314">
        <v>2410611122</v>
      </c>
      <c r="M4314" t="s">
        <v>22722</v>
      </c>
      <c r="N4314" t="s">
        <v>20672</v>
      </c>
      <c r="O4314" t="s">
        <v>22723</v>
      </c>
      <c r="P4314">
        <v>41335</v>
      </c>
      <c r="Q4314" t="str">
        <f>"39.609604"</f>
        <v>39.609604</v>
      </c>
      <c r="R4314" t="str">
        <f>"22.418311"</f>
        <v>22.418311</v>
      </c>
      <c r="S4314" t="s">
        <v>26</v>
      </c>
    </row>
    <row r="4315" spans="1:19" x14ac:dyDescent="0.3">
      <c r="A4315" t="s">
        <v>20660</v>
      </c>
      <c r="B4315" t="s">
        <v>22727</v>
      </c>
      <c r="C4315" t="s">
        <v>22728</v>
      </c>
      <c r="D4315" t="s">
        <v>20674</v>
      </c>
      <c r="E4315" t="s">
        <v>20675</v>
      </c>
      <c r="F4315" t="s">
        <v>3246</v>
      </c>
      <c r="G4315" t="s">
        <v>3246</v>
      </c>
      <c r="H4315" t="s">
        <v>868</v>
      </c>
      <c r="I4315" t="s">
        <v>950</v>
      </c>
      <c r="J4315" t="str">
        <f>"9350097"</f>
        <v>9350097</v>
      </c>
      <c r="K4315">
        <v>2421085736</v>
      </c>
      <c r="M4315" t="s">
        <v>22729</v>
      </c>
      <c r="N4315" t="s">
        <v>22730</v>
      </c>
      <c r="O4315" t="s">
        <v>22731</v>
      </c>
      <c r="P4315">
        <v>38500</v>
      </c>
      <c r="Q4315" t="str">
        <f>"39.389382"</f>
        <v>39.389382</v>
      </c>
      <c r="R4315" t="str">
        <f>"22.909659"</f>
        <v>22.909659</v>
      </c>
      <c r="S4315" t="s">
        <v>26</v>
      </c>
    </row>
    <row r="4316" spans="1:19" x14ac:dyDescent="0.3">
      <c r="A4316" t="s">
        <v>20660</v>
      </c>
      <c r="B4316" t="s">
        <v>22727</v>
      </c>
      <c r="C4316" t="s">
        <v>22732</v>
      </c>
      <c r="D4316" t="s">
        <v>20674</v>
      </c>
      <c r="E4316" t="s">
        <v>20675</v>
      </c>
      <c r="F4316" t="s">
        <v>3246</v>
      </c>
      <c r="G4316" t="s">
        <v>3246</v>
      </c>
      <c r="H4316" t="s">
        <v>868</v>
      </c>
      <c r="I4316" t="s">
        <v>869</v>
      </c>
      <c r="J4316" t="str">
        <f>"9350141"</f>
        <v>9350141</v>
      </c>
      <c r="K4316">
        <v>2421085732</v>
      </c>
      <c r="L4316">
        <v>2421085732</v>
      </c>
      <c r="M4316" t="s">
        <v>22733</v>
      </c>
      <c r="N4316" t="s">
        <v>22734</v>
      </c>
      <c r="O4316" t="s">
        <v>22735</v>
      </c>
      <c r="P4316">
        <v>38445</v>
      </c>
      <c r="Q4316" t="str">
        <f>"39.377008"</f>
        <v>39.377008</v>
      </c>
      <c r="R4316" t="str">
        <f>"22.925268"</f>
        <v>22.925268</v>
      </c>
      <c r="S4316" t="s">
        <v>26</v>
      </c>
    </row>
    <row r="4317" spans="1:19" x14ac:dyDescent="0.3">
      <c r="A4317" t="s">
        <v>20660</v>
      </c>
      <c r="B4317" t="s">
        <v>22727</v>
      </c>
      <c r="C4317" t="s">
        <v>21418</v>
      </c>
      <c r="D4317" t="s">
        <v>20674</v>
      </c>
      <c r="E4317" t="s">
        <v>20675</v>
      </c>
      <c r="F4317" t="s">
        <v>3246</v>
      </c>
      <c r="G4317" t="s">
        <v>3246</v>
      </c>
      <c r="H4317" t="s">
        <v>868</v>
      </c>
      <c r="I4317" t="s">
        <v>869</v>
      </c>
      <c r="J4317" t="str">
        <f>"9350168"</f>
        <v>9350168</v>
      </c>
      <c r="K4317">
        <v>2421085738</v>
      </c>
      <c r="L4317">
        <v>2421085738</v>
      </c>
      <c r="M4317" t="s">
        <v>22736</v>
      </c>
      <c r="N4317" t="s">
        <v>21416</v>
      </c>
      <c r="O4317" t="s">
        <v>22737</v>
      </c>
      <c r="P4317">
        <v>38445</v>
      </c>
      <c r="Q4317" t="str">
        <f>"39.373576"</f>
        <v>39.373576</v>
      </c>
      <c r="R4317" t="str">
        <f>"22.918508"</f>
        <v>22.918508</v>
      </c>
      <c r="S4317" t="s">
        <v>26</v>
      </c>
    </row>
    <row r="4318" spans="1:19" x14ac:dyDescent="0.3">
      <c r="A4318" t="s">
        <v>20660</v>
      </c>
      <c r="B4318" t="s">
        <v>22727</v>
      </c>
      <c r="C4318" t="s">
        <v>22738</v>
      </c>
      <c r="D4318" t="s">
        <v>20674</v>
      </c>
      <c r="E4318" t="s">
        <v>20675</v>
      </c>
      <c r="F4318" t="s">
        <v>3246</v>
      </c>
      <c r="G4318" t="s">
        <v>3246</v>
      </c>
      <c r="H4318" t="s">
        <v>868</v>
      </c>
      <c r="I4318" t="s">
        <v>1157</v>
      </c>
      <c r="J4318" t="str">
        <f>"9350182"</f>
        <v>9350182</v>
      </c>
      <c r="K4318">
        <v>2421084899</v>
      </c>
      <c r="L4318">
        <v>2421084899</v>
      </c>
      <c r="M4318" t="s">
        <v>22739</v>
      </c>
      <c r="N4318" t="s">
        <v>22740</v>
      </c>
      <c r="O4318" t="s">
        <v>22741</v>
      </c>
      <c r="P4318">
        <v>38446</v>
      </c>
      <c r="Q4318" t="str">
        <f>"39.375864"</f>
        <v>39.375864</v>
      </c>
      <c r="R4318" t="str">
        <f>"22.938869"</f>
        <v>22.938869</v>
      </c>
      <c r="S4318" t="s">
        <v>26</v>
      </c>
    </row>
    <row r="4319" spans="1:19" x14ac:dyDescent="0.3">
      <c r="A4319" t="s">
        <v>20660</v>
      </c>
      <c r="B4319" t="s">
        <v>22727</v>
      </c>
      <c r="C4319" t="s">
        <v>22753</v>
      </c>
      <c r="D4319" t="s">
        <v>20674</v>
      </c>
      <c r="E4319" t="s">
        <v>21193</v>
      </c>
      <c r="F4319" t="s">
        <v>21194</v>
      </c>
      <c r="G4319" t="s">
        <v>22748</v>
      </c>
      <c r="H4319" t="s">
        <v>868</v>
      </c>
      <c r="I4319" t="s">
        <v>950</v>
      </c>
      <c r="J4319" t="str">
        <f>"9350120"</f>
        <v>9350120</v>
      </c>
      <c r="K4319">
        <v>2422092255</v>
      </c>
      <c r="L4319">
        <v>2422092225</v>
      </c>
      <c r="M4319" t="s">
        <v>22754</v>
      </c>
      <c r="N4319" t="s">
        <v>22755</v>
      </c>
      <c r="O4319" t="s">
        <v>22756</v>
      </c>
      <c r="P4319">
        <v>37008</v>
      </c>
      <c r="Q4319" t="str">
        <f>"38.996750"</f>
        <v>38.996750</v>
      </c>
      <c r="R4319" t="str">
        <f>"22.919760"</f>
        <v>22.919760</v>
      </c>
      <c r="S4319" t="s">
        <v>26</v>
      </c>
    </row>
    <row r="4320" spans="1:19" x14ac:dyDescent="0.3">
      <c r="A4320" t="s">
        <v>20660</v>
      </c>
      <c r="B4320" t="s">
        <v>22727</v>
      </c>
      <c r="C4320" t="s">
        <v>21408</v>
      </c>
      <c r="D4320" t="s">
        <v>20674</v>
      </c>
      <c r="E4320" t="s">
        <v>20675</v>
      </c>
      <c r="F4320" t="s">
        <v>20675</v>
      </c>
      <c r="G4320" t="s">
        <v>20675</v>
      </c>
      <c r="H4320" t="s">
        <v>868</v>
      </c>
      <c r="I4320" t="s">
        <v>869</v>
      </c>
      <c r="J4320" t="str">
        <f>"9350071"</f>
        <v>9350071</v>
      </c>
      <c r="K4320">
        <v>2421072371</v>
      </c>
      <c r="L4320">
        <v>2421072371</v>
      </c>
      <c r="M4320" t="s">
        <v>22763</v>
      </c>
      <c r="N4320" t="s">
        <v>20678</v>
      </c>
      <c r="O4320" t="s">
        <v>22764</v>
      </c>
      <c r="P4320">
        <v>38500</v>
      </c>
      <c r="Q4320" t="str">
        <f>"39.379222"</f>
        <v>39.379222</v>
      </c>
      <c r="R4320" t="str">
        <f>"22.959639"</f>
        <v>22.959639</v>
      </c>
      <c r="S4320" t="s">
        <v>26</v>
      </c>
    </row>
    <row r="4321" spans="1:19" x14ac:dyDescent="0.3">
      <c r="A4321" t="s">
        <v>20660</v>
      </c>
      <c r="B4321" t="s">
        <v>22727</v>
      </c>
      <c r="C4321" t="s">
        <v>22768</v>
      </c>
      <c r="D4321" t="s">
        <v>20674</v>
      </c>
      <c r="E4321" t="s">
        <v>20675</v>
      </c>
      <c r="F4321" t="s">
        <v>20675</v>
      </c>
      <c r="G4321" t="s">
        <v>20675</v>
      </c>
      <c r="H4321" t="s">
        <v>868</v>
      </c>
      <c r="I4321" t="s">
        <v>869</v>
      </c>
      <c r="J4321" t="str">
        <f>"9350060"</f>
        <v>9350060</v>
      </c>
      <c r="K4321">
        <v>2421085731</v>
      </c>
      <c r="L4321">
        <v>2421085731</v>
      </c>
      <c r="M4321" t="s">
        <v>22769</v>
      </c>
      <c r="N4321" t="s">
        <v>20678</v>
      </c>
      <c r="O4321" t="s">
        <v>22770</v>
      </c>
      <c r="P4321">
        <v>38334</v>
      </c>
      <c r="Q4321" t="str">
        <f>"39.365086"</f>
        <v>39.365086</v>
      </c>
      <c r="R4321" t="str">
        <f>"22.927191"</f>
        <v>22.927191</v>
      </c>
      <c r="S4321" t="s">
        <v>26</v>
      </c>
    </row>
    <row r="4322" spans="1:19" x14ac:dyDescent="0.3">
      <c r="A4322" t="s">
        <v>20660</v>
      </c>
      <c r="B4322" t="s">
        <v>22727</v>
      </c>
      <c r="C4322" t="s">
        <v>22780</v>
      </c>
      <c r="D4322" t="s">
        <v>20674</v>
      </c>
      <c r="E4322" t="s">
        <v>21193</v>
      </c>
      <c r="F4322" t="s">
        <v>21193</v>
      </c>
      <c r="G4322" t="s">
        <v>21193</v>
      </c>
      <c r="H4322" t="s">
        <v>868</v>
      </c>
      <c r="I4322" t="s">
        <v>1157</v>
      </c>
      <c r="J4322" t="str">
        <f>"9350287"</f>
        <v>9350287</v>
      </c>
      <c r="K4322">
        <v>2422025037</v>
      </c>
      <c r="L4322">
        <v>2422029020</v>
      </c>
      <c r="M4322" t="s">
        <v>22781</v>
      </c>
      <c r="N4322" t="s">
        <v>21493</v>
      </c>
      <c r="O4322" t="s">
        <v>22782</v>
      </c>
      <c r="P4322">
        <v>37100</v>
      </c>
      <c r="Q4322" t="str">
        <f>"39.177020"</f>
        <v>39.177020</v>
      </c>
      <c r="R4322" t="str">
        <f>"22.761272"</f>
        <v>22.761272</v>
      </c>
      <c r="S4322" t="s">
        <v>26</v>
      </c>
    </row>
    <row r="4323" spans="1:19" x14ac:dyDescent="0.3">
      <c r="A4323" t="s">
        <v>20660</v>
      </c>
      <c r="B4323" t="s">
        <v>22727</v>
      </c>
      <c r="C4323" t="s">
        <v>22783</v>
      </c>
      <c r="D4323" t="s">
        <v>20674</v>
      </c>
      <c r="E4323" t="s">
        <v>21229</v>
      </c>
      <c r="F4323" t="s">
        <v>21230</v>
      </c>
      <c r="G4323" t="s">
        <v>20163</v>
      </c>
      <c r="H4323" t="s">
        <v>868</v>
      </c>
      <c r="I4323" t="s">
        <v>869</v>
      </c>
      <c r="J4323" t="str">
        <f>"9350093"</f>
        <v>9350093</v>
      </c>
      <c r="K4323">
        <v>2426031208</v>
      </c>
      <c r="L4323">
        <v>2426031208</v>
      </c>
      <c r="M4323" t="s">
        <v>22784</v>
      </c>
      <c r="N4323" t="s">
        <v>20166</v>
      </c>
      <c r="O4323" t="s">
        <v>20166</v>
      </c>
      <c r="P4323">
        <v>37001</v>
      </c>
      <c r="Q4323" t="str">
        <f>"39.419055"</f>
        <v>39.419055</v>
      </c>
      <c r="R4323" t="str">
        <f>"23.140505"</f>
        <v>23.140505</v>
      </c>
      <c r="S4323" t="s">
        <v>26</v>
      </c>
    </row>
    <row r="4324" spans="1:19" x14ac:dyDescent="0.3">
      <c r="A4324" t="s">
        <v>20660</v>
      </c>
      <c r="B4324" t="s">
        <v>22727</v>
      </c>
      <c r="C4324" t="s">
        <v>22786</v>
      </c>
      <c r="D4324" t="s">
        <v>20674</v>
      </c>
      <c r="E4324" t="s">
        <v>21229</v>
      </c>
      <c r="F4324" t="s">
        <v>21237</v>
      </c>
      <c r="G4324" t="s">
        <v>22785</v>
      </c>
      <c r="H4324" t="s">
        <v>868</v>
      </c>
      <c r="I4324" t="s">
        <v>950</v>
      </c>
      <c r="J4324" t="str">
        <f>"9350096"</f>
        <v>9350096</v>
      </c>
      <c r="K4324">
        <v>2426031394</v>
      </c>
      <c r="L4324">
        <v>2426031394</v>
      </c>
      <c r="M4324" t="s">
        <v>22787</v>
      </c>
      <c r="N4324" t="s">
        <v>22788</v>
      </c>
      <c r="P4324">
        <v>37001</v>
      </c>
      <c r="Q4324" t="str">
        <f>"39.424813"</f>
        <v>39.424813</v>
      </c>
      <c r="R4324" t="str">
        <f>"23.123941"</f>
        <v>23.123941</v>
      </c>
      <c r="S4324" t="s">
        <v>26</v>
      </c>
    </row>
    <row r="4325" spans="1:19" x14ac:dyDescent="0.3">
      <c r="A4325" t="s">
        <v>20660</v>
      </c>
      <c r="B4325" t="s">
        <v>22727</v>
      </c>
      <c r="C4325" t="s">
        <v>21371</v>
      </c>
      <c r="D4325" t="s">
        <v>20674</v>
      </c>
      <c r="E4325" t="s">
        <v>21199</v>
      </c>
      <c r="F4325" t="s">
        <v>21366</v>
      </c>
      <c r="G4325" t="s">
        <v>21366</v>
      </c>
      <c r="H4325" t="s">
        <v>868</v>
      </c>
      <c r="I4325" t="s">
        <v>950</v>
      </c>
      <c r="J4325" t="str">
        <f>"9350031"</f>
        <v>9350031</v>
      </c>
      <c r="K4325">
        <v>2423086395</v>
      </c>
      <c r="L4325">
        <v>2423086395</v>
      </c>
      <c r="M4325" t="s">
        <v>22789</v>
      </c>
      <c r="N4325" t="s">
        <v>22790</v>
      </c>
      <c r="O4325" t="s">
        <v>21369</v>
      </c>
      <c r="P4325">
        <v>37010</v>
      </c>
      <c r="Q4325" t="str">
        <f>"39.328936"</f>
        <v>39.328936</v>
      </c>
      <c r="R4325" t="str">
        <f>"23.152305"</f>
        <v>23.152305</v>
      </c>
      <c r="S4325" t="s">
        <v>26</v>
      </c>
    </row>
    <row r="4326" spans="1:19" x14ac:dyDescent="0.3">
      <c r="A4326" t="s">
        <v>20660</v>
      </c>
      <c r="B4326" t="s">
        <v>22727</v>
      </c>
      <c r="C4326" t="s">
        <v>22793</v>
      </c>
      <c r="D4326" t="s">
        <v>20674</v>
      </c>
      <c r="E4326" t="s">
        <v>20675</v>
      </c>
      <c r="F4326" t="s">
        <v>22791</v>
      </c>
      <c r="G4326" t="s">
        <v>22792</v>
      </c>
      <c r="H4326" t="s">
        <v>868</v>
      </c>
      <c r="I4326" t="s">
        <v>869</v>
      </c>
      <c r="J4326" t="str">
        <f>"9350154"</f>
        <v>9350154</v>
      </c>
      <c r="K4326">
        <v>2421095021</v>
      </c>
      <c r="L4326">
        <v>2421095043</v>
      </c>
      <c r="M4326" t="s">
        <v>22794</v>
      </c>
      <c r="N4326" t="s">
        <v>22795</v>
      </c>
      <c r="O4326" t="s">
        <v>22796</v>
      </c>
      <c r="P4326">
        <v>38500</v>
      </c>
      <c r="Q4326" t="str">
        <f>"39.355437"</f>
        <v>39.355437</v>
      </c>
      <c r="R4326" t="str">
        <f>"22.833826"</f>
        <v>22.833826</v>
      </c>
      <c r="S4326" t="s">
        <v>26</v>
      </c>
    </row>
    <row r="4327" spans="1:19" x14ac:dyDescent="0.3">
      <c r="A4327" t="s">
        <v>20660</v>
      </c>
      <c r="B4327" t="s">
        <v>22727</v>
      </c>
      <c r="C4327" t="s">
        <v>21198</v>
      </c>
      <c r="D4327" t="s">
        <v>20674</v>
      </c>
      <c r="E4327" t="s">
        <v>21193</v>
      </c>
      <c r="F4327" t="s">
        <v>21194</v>
      </c>
      <c r="G4327" t="s">
        <v>21194</v>
      </c>
      <c r="H4327" t="s">
        <v>868</v>
      </c>
      <c r="I4327" t="s">
        <v>869</v>
      </c>
      <c r="J4327" t="str">
        <f>"9350135"</f>
        <v>9350135</v>
      </c>
      <c r="K4327">
        <v>2422041256</v>
      </c>
      <c r="L4327">
        <v>2422041256</v>
      </c>
      <c r="M4327" t="s">
        <v>22797</v>
      </c>
      <c r="N4327" t="s">
        <v>22798</v>
      </c>
      <c r="O4327" t="s">
        <v>21197</v>
      </c>
      <c r="P4327">
        <v>37008</v>
      </c>
      <c r="Q4327" t="str">
        <f>"39.052116"</f>
        <v>39.052116</v>
      </c>
      <c r="R4327" t="str">
        <f>"22.955119"</f>
        <v>22.955119</v>
      </c>
      <c r="S4327" t="s">
        <v>26</v>
      </c>
    </row>
    <row r="4328" spans="1:19" x14ac:dyDescent="0.3">
      <c r="A4328" t="s">
        <v>20660</v>
      </c>
      <c r="B4328" t="s">
        <v>22727</v>
      </c>
      <c r="C4328" t="s">
        <v>22799</v>
      </c>
      <c r="D4328" t="s">
        <v>20674</v>
      </c>
      <c r="E4328" t="s">
        <v>20675</v>
      </c>
      <c r="F4328" t="s">
        <v>20675</v>
      </c>
      <c r="G4328" t="s">
        <v>20675</v>
      </c>
      <c r="H4328" t="s">
        <v>868</v>
      </c>
      <c r="I4328" t="s">
        <v>869</v>
      </c>
      <c r="J4328" t="str">
        <f>"9350058"</f>
        <v>9350058</v>
      </c>
      <c r="K4328">
        <v>2421072369</v>
      </c>
      <c r="L4328">
        <v>2421072369</v>
      </c>
      <c r="M4328" t="s">
        <v>22800</v>
      </c>
      <c r="N4328" t="s">
        <v>20678</v>
      </c>
      <c r="O4328" t="s">
        <v>22801</v>
      </c>
      <c r="P4328">
        <v>38333</v>
      </c>
      <c r="Q4328" t="str">
        <f>"39.371540"</f>
        <v>39.371540</v>
      </c>
      <c r="R4328" t="str">
        <f>"22.951670"</f>
        <v>22.951670</v>
      </c>
      <c r="S4328" t="s">
        <v>26</v>
      </c>
    </row>
    <row r="4329" spans="1:19" x14ac:dyDescent="0.3">
      <c r="A4329" t="s">
        <v>20660</v>
      </c>
      <c r="B4329" t="s">
        <v>22727</v>
      </c>
      <c r="C4329" t="s">
        <v>22803</v>
      </c>
      <c r="D4329" t="s">
        <v>20674</v>
      </c>
      <c r="E4329" t="s">
        <v>20675</v>
      </c>
      <c r="F4329" t="s">
        <v>22791</v>
      </c>
      <c r="G4329" t="s">
        <v>22802</v>
      </c>
      <c r="H4329" t="s">
        <v>868</v>
      </c>
      <c r="I4329" t="s">
        <v>869</v>
      </c>
      <c r="J4329" t="str">
        <f>"9350148"</f>
        <v>9350148</v>
      </c>
      <c r="K4329">
        <v>2421085742</v>
      </c>
      <c r="L4329">
        <v>2421085742</v>
      </c>
      <c r="M4329" t="s">
        <v>22804</v>
      </c>
      <c r="N4329" t="s">
        <v>22805</v>
      </c>
      <c r="O4329" t="s">
        <v>22806</v>
      </c>
      <c r="P4329">
        <v>38500</v>
      </c>
      <c r="Q4329" t="str">
        <f>"39.356557"</f>
        <v>39.356557</v>
      </c>
      <c r="R4329" t="str">
        <f>"22.891152"</f>
        <v>22.891152</v>
      </c>
      <c r="S4329" t="s">
        <v>26</v>
      </c>
    </row>
    <row r="4330" spans="1:19" x14ac:dyDescent="0.3">
      <c r="A4330" t="s">
        <v>20660</v>
      </c>
      <c r="B4330" t="s">
        <v>22727</v>
      </c>
      <c r="C4330" t="s">
        <v>21228</v>
      </c>
      <c r="D4330" t="s">
        <v>20674</v>
      </c>
      <c r="E4330" t="s">
        <v>20675</v>
      </c>
      <c r="F4330" t="s">
        <v>21223</v>
      </c>
      <c r="G4330" t="s">
        <v>21223</v>
      </c>
      <c r="H4330" t="s">
        <v>868</v>
      </c>
      <c r="I4330" t="s">
        <v>869</v>
      </c>
      <c r="J4330" t="str">
        <f>"9350248"</f>
        <v>9350248</v>
      </c>
      <c r="K4330">
        <v>2428078456</v>
      </c>
      <c r="L4330">
        <v>2428078456</v>
      </c>
      <c r="M4330" t="s">
        <v>22807</v>
      </c>
      <c r="N4330" t="s">
        <v>22808</v>
      </c>
      <c r="O4330" t="s">
        <v>22809</v>
      </c>
      <c r="P4330">
        <v>37400</v>
      </c>
      <c r="Q4330" t="str">
        <f>"39.280351"</f>
        <v>39.280351</v>
      </c>
      <c r="R4330" t="str">
        <f>"22.814678"</f>
        <v>22.814678</v>
      </c>
      <c r="S4330" t="s">
        <v>26</v>
      </c>
    </row>
    <row r="4331" spans="1:19" x14ac:dyDescent="0.3">
      <c r="A4331" t="s">
        <v>20660</v>
      </c>
      <c r="B4331" t="s">
        <v>22727</v>
      </c>
      <c r="C4331" t="s">
        <v>22813</v>
      </c>
      <c r="D4331" t="s">
        <v>20674</v>
      </c>
      <c r="E4331" t="s">
        <v>20675</v>
      </c>
      <c r="F4331" t="s">
        <v>20675</v>
      </c>
      <c r="G4331" t="s">
        <v>20675</v>
      </c>
      <c r="H4331" t="s">
        <v>868</v>
      </c>
      <c r="I4331" t="s">
        <v>869</v>
      </c>
      <c r="J4331" t="str">
        <f>"9350065"</f>
        <v>9350065</v>
      </c>
      <c r="K4331">
        <v>2421039562</v>
      </c>
      <c r="L4331">
        <v>2421039571</v>
      </c>
      <c r="M4331" t="s">
        <v>22814</v>
      </c>
      <c r="N4331" t="s">
        <v>20678</v>
      </c>
      <c r="O4331" t="s">
        <v>22815</v>
      </c>
      <c r="P4331">
        <v>38334</v>
      </c>
      <c r="Q4331" t="str">
        <f>"39.361093"</f>
        <v>39.361093</v>
      </c>
      <c r="R4331" t="str">
        <f>"22.936702"</f>
        <v>22.936702</v>
      </c>
      <c r="S4331" t="s">
        <v>26</v>
      </c>
    </row>
    <row r="4332" spans="1:19" x14ac:dyDescent="0.3">
      <c r="A4332" t="s">
        <v>20660</v>
      </c>
      <c r="B4332" t="s">
        <v>22727</v>
      </c>
      <c r="C4332" t="s">
        <v>22816</v>
      </c>
      <c r="D4332" t="s">
        <v>20674</v>
      </c>
      <c r="E4332" t="s">
        <v>21193</v>
      </c>
      <c r="F4332" t="s">
        <v>21193</v>
      </c>
      <c r="G4332" t="s">
        <v>21193</v>
      </c>
      <c r="H4332" t="s">
        <v>868</v>
      </c>
      <c r="I4332" t="s">
        <v>869</v>
      </c>
      <c r="J4332" t="str">
        <f>"9350114"</f>
        <v>9350114</v>
      </c>
      <c r="K4332">
        <v>2422021855</v>
      </c>
      <c r="L4332">
        <v>2422021855</v>
      </c>
      <c r="M4332" t="s">
        <v>22817</v>
      </c>
      <c r="N4332" t="s">
        <v>21493</v>
      </c>
      <c r="O4332" t="s">
        <v>22818</v>
      </c>
      <c r="P4332">
        <v>37100</v>
      </c>
      <c r="Q4332" t="str">
        <f>"39.180956"</f>
        <v>39.180956</v>
      </c>
      <c r="R4332" t="str">
        <f>"22.754124"</f>
        <v>22.754124</v>
      </c>
      <c r="S4332" t="s">
        <v>26</v>
      </c>
    </row>
    <row r="4333" spans="1:19" x14ac:dyDescent="0.3">
      <c r="A4333" t="s">
        <v>20660</v>
      </c>
      <c r="B4333" t="s">
        <v>22727</v>
      </c>
      <c r="C4333" t="s">
        <v>22822</v>
      </c>
      <c r="D4333" t="s">
        <v>20674</v>
      </c>
      <c r="E4333" t="s">
        <v>20675</v>
      </c>
      <c r="F4333" t="s">
        <v>20675</v>
      </c>
      <c r="G4333" t="s">
        <v>20675</v>
      </c>
      <c r="H4333" t="s">
        <v>868</v>
      </c>
      <c r="I4333" t="s">
        <v>869</v>
      </c>
      <c r="J4333" t="str">
        <f>"9350007"</f>
        <v>9350007</v>
      </c>
      <c r="K4333">
        <v>2421039558</v>
      </c>
      <c r="M4333" t="s">
        <v>22823</v>
      </c>
      <c r="N4333" t="s">
        <v>20678</v>
      </c>
      <c r="O4333" t="s">
        <v>22824</v>
      </c>
      <c r="P4333">
        <v>38222</v>
      </c>
      <c r="Q4333" t="str">
        <f>"39.356369"</f>
        <v>39.356369</v>
      </c>
      <c r="R4333" t="str">
        <f>"22.959071"</f>
        <v>22.959071</v>
      </c>
      <c r="S4333" t="s">
        <v>26</v>
      </c>
    </row>
    <row r="4334" spans="1:19" x14ac:dyDescent="0.3">
      <c r="A4334" t="s">
        <v>20660</v>
      </c>
      <c r="B4334" t="s">
        <v>22727</v>
      </c>
      <c r="C4334" t="s">
        <v>22825</v>
      </c>
      <c r="D4334" t="s">
        <v>20674</v>
      </c>
      <c r="E4334" t="s">
        <v>20675</v>
      </c>
      <c r="F4334" t="s">
        <v>20675</v>
      </c>
      <c r="G4334" t="s">
        <v>20675</v>
      </c>
      <c r="H4334" t="s">
        <v>868</v>
      </c>
      <c r="I4334" t="s">
        <v>869</v>
      </c>
      <c r="J4334" t="str">
        <f>"9350003"</f>
        <v>9350003</v>
      </c>
      <c r="K4334">
        <v>2421054150</v>
      </c>
      <c r="L4334">
        <v>2421054150</v>
      </c>
      <c r="M4334" t="s">
        <v>22826</v>
      </c>
      <c r="N4334" t="s">
        <v>20678</v>
      </c>
      <c r="O4334" t="s">
        <v>22827</v>
      </c>
      <c r="P4334">
        <v>38222</v>
      </c>
      <c r="Q4334" t="str">
        <f>"39.361290"</f>
        <v>39.361290</v>
      </c>
      <c r="R4334" t="str">
        <f>"22.966086"</f>
        <v>22.966086</v>
      </c>
      <c r="S4334" t="s">
        <v>26</v>
      </c>
    </row>
    <row r="4335" spans="1:19" x14ac:dyDescent="0.3">
      <c r="A4335" t="s">
        <v>20660</v>
      </c>
      <c r="B4335" t="s">
        <v>22727</v>
      </c>
      <c r="C4335" t="s">
        <v>22828</v>
      </c>
      <c r="D4335" t="s">
        <v>20674</v>
      </c>
      <c r="E4335" t="s">
        <v>20675</v>
      </c>
      <c r="F4335" t="s">
        <v>20675</v>
      </c>
      <c r="G4335" t="s">
        <v>20675</v>
      </c>
      <c r="H4335" t="s">
        <v>868</v>
      </c>
      <c r="I4335" t="s">
        <v>869</v>
      </c>
      <c r="J4335" t="str">
        <f>"9350291"</f>
        <v>9350291</v>
      </c>
      <c r="K4335">
        <v>2421038210</v>
      </c>
      <c r="L4335">
        <v>2421038210</v>
      </c>
      <c r="M4335" t="s">
        <v>22829</v>
      </c>
      <c r="N4335" t="s">
        <v>20678</v>
      </c>
      <c r="O4335" t="s">
        <v>22830</v>
      </c>
      <c r="P4335">
        <v>38333</v>
      </c>
      <c r="Q4335" t="str">
        <f>"39.368442"</f>
        <v>39.368442</v>
      </c>
      <c r="R4335" t="str">
        <f>"22.936345"</f>
        <v>22.936345</v>
      </c>
      <c r="S4335" t="s">
        <v>26</v>
      </c>
    </row>
    <row r="4336" spans="1:19" x14ac:dyDescent="0.3">
      <c r="A4336" t="s">
        <v>20660</v>
      </c>
      <c r="B4336" t="s">
        <v>22727</v>
      </c>
      <c r="C4336" t="s">
        <v>22831</v>
      </c>
      <c r="D4336" t="s">
        <v>20674</v>
      </c>
      <c r="E4336" t="s">
        <v>21193</v>
      </c>
      <c r="F4336" t="s">
        <v>21193</v>
      </c>
      <c r="G4336" t="s">
        <v>13386</v>
      </c>
      <c r="H4336" t="s">
        <v>868</v>
      </c>
      <c r="I4336" t="s">
        <v>950</v>
      </c>
      <c r="J4336" t="str">
        <f>"9350134"</f>
        <v>9350134</v>
      </c>
      <c r="K4336">
        <v>2422021015</v>
      </c>
      <c r="L4336">
        <v>2422021015</v>
      </c>
      <c r="M4336" t="s">
        <v>22832</v>
      </c>
      <c r="N4336" t="s">
        <v>13389</v>
      </c>
      <c r="O4336" t="s">
        <v>13389</v>
      </c>
      <c r="P4336">
        <v>37100</v>
      </c>
      <c r="Q4336" t="str">
        <f>"39.161518"</f>
        <v>39.161518</v>
      </c>
      <c r="R4336" t="str">
        <f>"22.796846"</f>
        <v>22.796846</v>
      </c>
      <c r="S4336" t="s">
        <v>26</v>
      </c>
    </row>
    <row r="4337" spans="1:19" x14ac:dyDescent="0.3">
      <c r="A4337" t="s">
        <v>20660</v>
      </c>
      <c r="B4337" t="s">
        <v>22727</v>
      </c>
      <c r="C4337" t="s">
        <v>22837</v>
      </c>
      <c r="D4337" t="s">
        <v>20674</v>
      </c>
      <c r="E4337" t="s">
        <v>20675</v>
      </c>
      <c r="F4337" t="s">
        <v>20675</v>
      </c>
      <c r="G4337" t="s">
        <v>20675</v>
      </c>
      <c r="H4337" t="s">
        <v>868</v>
      </c>
      <c r="I4337" t="s">
        <v>869</v>
      </c>
      <c r="J4337" t="str">
        <f>"9350009"</f>
        <v>9350009</v>
      </c>
      <c r="K4337">
        <v>2421039517</v>
      </c>
      <c r="L4337">
        <v>2421039517</v>
      </c>
      <c r="M4337" t="s">
        <v>22838</v>
      </c>
      <c r="N4337" t="s">
        <v>22839</v>
      </c>
      <c r="O4337" t="s">
        <v>22840</v>
      </c>
      <c r="P4337">
        <v>38221</v>
      </c>
      <c r="Q4337" t="str">
        <f>"39.360493"</f>
        <v>39.360493</v>
      </c>
      <c r="R4337" t="str">
        <f>"22.952002"</f>
        <v>22.952002</v>
      </c>
      <c r="S4337" t="s">
        <v>26</v>
      </c>
    </row>
    <row r="4338" spans="1:19" x14ac:dyDescent="0.3">
      <c r="A4338" t="s">
        <v>20660</v>
      </c>
      <c r="B4338" t="s">
        <v>22727</v>
      </c>
      <c r="C4338" t="s">
        <v>22841</v>
      </c>
      <c r="D4338" t="s">
        <v>20674</v>
      </c>
      <c r="E4338" t="s">
        <v>20675</v>
      </c>
      <c r="F4338" t="s">
        <v>20675</v>
      </c>
      <c r="G4338" t="s">
        <v>20675</v>
      </c>
      <c r="H4338" t="s">
        <v>868</v>
      </c>
      <c r="I4338" t="s">
        <v>869</v>
      </c>
      <c r="J4338" t="str">
        <f>"9350223"</f>
        <v>9350223</v>
      </c>
      <c r="K4338">
        <v>2421070156</v>
      </c>
      <c r="L4338">
        <v>2421070156</v>
      </c>
      <c r="M4338" t="s">
        <v>22842</v>
      </c>
      <c r="N4338" t="s">
        <v>20678</v>
      </c>
      <c r="O4338" t="s">
        <v>22843</v>
      </c>
      <c r="P4338">
        <v>38221</v>
      </c>
      <c r="Q4338" t="str">
        <f>"39.371778"</f>
        <v>39.371778</v>
      </c>
      <c r="R4338" t="str">
        <f>"22.963687"</f>
        <v>22.963687</v>
      </c>
      <c r="S4338" t="s">
        <v>26</v>
      </c>
    </row>
    <row r="4339" spans="1:19" x14ac:dyDescent="0.3">
      <c r="A4339" t="s">
        <v>20660</v>
      </c>
      <c r="B4339" t="s">
        <v>22727</v>
      </c>
      <c r="C4339" t="s">
        <v>22859</v>
      </c>
      <c r="D4339" t="s">
        <v>20674</v>
      </c>
      <c r="E4339" t="s">
        <v>21193</v>
      </c>
      <c r="F4339" t="s">
        <v>21193</v>
      </c>
      <c r="G4339" t="s">
        <v>21193</v>
      </c>
      <c r="H4339" t="s">
        <v>868</v>
      </c>
      <c r="I4339" t="s">
        <v>869</v>
      </c>
      <c r="J4339" t="str">
        <f>"9350237"</f>
        <v>9350237</v>
      </c>
      <c r="K4339">
        <v>2422021222</v>
      </c>
      <c r="L4339">
        <v>2422021222</v>
      </c>
      <c r="M4339" t="s">
        <v>22860</v>
      </c>
      <c r="N4339" t="s">
        <v>21493</v>
      </c>
      <c r="O4339" t="s">
        <v>22861</v>
      </c>
      <c r="P4339">
        <v>37100</v>
      </c>
      <c r="Q4339" t="str">
        <f>"39.183411"</f>
        <v>39.183411</v>
      </c>
      <c r="R4339" t="str">
        <f>"22.759217"</f>
        <v>22.759217</v>
      </c>
      <c r="S4339" t="s">
        <v>26</v>
      </c>
    </row>
    <row r="4340" spans="1:19" x14ac:dyDescent="0.3">
      <c r="A4340" t="s">
        <v>20660</v>
      </c>
      <c r="B4340" t="s">
        <v>22727</v>
      </c>
      <c r="C4340" t="s">
        <v>22865</v>
      </c>
      <c r="D4340" t="s">
        <v>20674</v>
      </c>
      <c r="E4340" t="s">
        <v>20675</v>
      </c>
      <c r="F4340" t="s">
        <v>20675</v>
      </c>
      <c r="G4340" t="s">
        <v>20675</v>
      </c>
      <c r="H4340" t="s">
        <v>868</v>
      </c>
      <c r="I4340" t="s">
        <v>869</v>
      </c>
      <c r="J4340" t="str">
        <f>"9350054"</f>
        <v>9350054</v>
      </c>
      <c r="K4340">
        <v>2421039578</v>
      </c>
      <c r="L4340">
        <v>2421039578</v>
      </c>
      <c r="M4340" t="s">
        <v>22866</v>
      </c>
      <c r="N4340" t="s">
        <v>20678</v>
      </c>
      <c r="O4340" t="s">
        <v>22867</v>
      </c>
      <c r="P4340">
        <v>38333</v>
      </c>
      <c r="Q4340" t="str">
        <f>"39.365426"</f>
        <v>39.365426</v>
      </c>
      <c r="R4340" t="str">
        <f>"22.946245"</f>
        <v>22.946245</v>
      </c>
      <c r="S4340" t="s">
        <v>26</v>
      </c>
    </row>
    <row r="4341" spans="1:19" x14ac:dyDescent="0.3">
      <c r="A4341" t="s">
        <v>20660</v>
      </c>
      <c r="B4341" t="s">
        <v>22727</v>
      </c>
      <c r="C4341" t="s">
        <v>22872</v>
      </c>
      <c r="D4341" t="s">
        <v>20674</v>
      </c>
      <c r="E4341" t="s">
        <v>21193</v>
      </c>
      <c r="F4341" t="s">
        <v>21194</v>
      </c>
      <c r="G4341" t="s">
        <v>22871</v>
      </c>
      <c r="H4341" t="s">
        <v>868</v>
      </c>
      <c r="I4341" t="s">
        <v>950</v>
      </c>
      <c r="J4341" t="str">
        <f>"9350125"</f>
        <v>9350125</v>
      </c>
      <c r="K4341">
        <v>2422092120</v>
      </c>
      <c r="L4341">
        <v>2422092120</v>
      </c>
      <c r="M4341" t="s">
        <v>22873</v>
      </c>
      <c r="N4341" t="s">
        <v>22874</v>
      </c>
      <c r="O4341" t="s">
        <v>22874</v>
      </c>
      <c r="P4341">
        <v>37008</v>
      </c>
      <c r="Q4341" t="str">
        <f>"39.005239"</f>
        <v>39.005239</v>
      </c>
      <c r="R4341" t="str">
        <f>"22.964305"</f>
        <v>22.964305</v>
      </c>
      <c r="S4341" t="s">
        <v>26</v>
      </c>
    </row>
    <row r="4342" spans="1:19" x14ac:dyDescent="0.3">
      <c r="A4342" t="s">
        <v>20660</v>
      </c>
      <c r="B4342" t="s">
        <v>22727</v>
      </c>
      <c r="C4342" t="s">
        <v>22881</v>
      </c>
      <c r="D4342" t="s">
        <v>20674</v>
      </c>
      <c r="E4342" t="s">
        <v>20675</v>
      </c>
      <c r="F4342" t="s">
        <v>3246</v>
      </c>
      <c r="G4342" t="s">
        <v>3246</v>
      </c>
      <c r="H4342" t="s">
        <v>868</v>
      </c>
      <c r="I4342" t="s">
        <v>1157</v>
      </c>
      <c r="J4342" t="str">
        <f>"9350165"</f>
        <v>9350165</v>
      </c>
      <c r="K4342">
        <v>2421082413</v>
      </c>
      <c r="L4342">
        <v>2421091565</v>
      </c>
      <c r="M4342" t="s">
        <v>22882</v>
      </c>
      <c r="N4342" t="s">
        <v>20678</v>
      </c>
      <c r="O4342" t="s">
        <v>22883</v>
      </c>
      <c r="P4342">
        <v>38445</v>
      </c>
      <c r="Q4342" t="str">
        <f>"39.379249"</f>
        <v>39.379249</v>
      </c>
      <c r="R4342" t="str">
        <f>"22.926759"</f>
        <v>22.926759</v>
      </c>
      <c r="S4342" t="s">
        <v>26</v>
      </c>
    </row>
    <row r="4343" spans="1:19" x14ac:dyDescent="0.3">
      <c r="A4343" t="s">
        <v>20660</v>
      </c>
      <c r="B4343" t="s">
        <v>22727</v>
      </c>
      <c r="C4343" t="s">
        <v>22885</v>
      </c>
      <c r="D4343" t="s">
        <v>20674</v>
      </c>
      <c r="E4343" t="s">
        <v>20675</v>
      </c>
      <c r="F4343" t="s">
        <v>3246</v>
      </c>
      <c r="G4343" t="s">
        <v>3246</v>
      </c>
      <c r="H4343" t="s">
        <v>868</v>
      </c>
      <c r="I4343" t="s">
        <v>869</v>
      </c>
      <c r="J4343" t="str">
        <f>"9350144"</f>
        <v>9350144</v>
      </c>
      <c r="K4343">
        <v>2421085728</v>
      </c>
      <c r="L4343">
        <v>2421081219</v>
      </c>
      <c r="M4343" t="s">
        <v>22886</v>
      </c>
      <c r="N4343" t="s">
        <v>22734</v>
      </c>
      <c r="O4343" t="s">
        <v>22887</v>
      </c>
      <c r="P4343">
        <v>38446</v>
      </c>
      <c r="Q4343" t="str">
        <f>"39.374498"</f>
        <v>39.374498</v>
      </c>
      <c r="R4343" t="str">
        <f>"22.932597"</f>
        <v>22.932597</v>
      </c>
      <c r="S4343" t="s">
        <v>26</v>
      </c>
    </row>
    <row r="4344" spans="1:19" x14ac:dyDescent="0.3">
      <c r="A4344" t="s">
        <v>20660</v>
      </c>
      <c r="B4344" t="s">
        <v>22727</v>
      </c>
      <c r="C4344" t="s">
        <v>21427</v>
      </c>
      <c r="D4344" t="s">
        <v>20674</v>
      </c>
      <c r="E4344" t="s">
        <v>21193</v>
      </c>
      <c r="F4344" t="s">
        <v>21193</v>
      </c>
      <c r="G4344" t="s">
        <v>21422</v>
      </c>
      <c r="H4344" t="s">
        <v>868</v>
      </c>
      <c r="I4344" t="s">
        <v>869</v>
      </c>
      <c r="J4344" t="str">
        <f>"9350130"</f>
        <v>9350130</v>
      </c>
      <c r="K4344">
        <v>2422021641</v>
      </c>
      <c r="L4344">
        <v>2422021641</v>
      </c>
      <c r="M4344" t="s">
        <v>22891</v>
      </c>
      <c r="N4344" t="s">
        <v>22892</v>
      </c>
      <c r="O4344" t="s">
        <v>22893</v>
      </c>
      <c r="P4344">
        <v>37100</v>
      </c>
      <c r="Q4344" t="str">
        <f>"39.184170"</f>
        <v>39.184170</v>
      </c>
      <c r="R4344" t="str">
        <f>"22.737856"</f>
        <v>22.737856</v>
      </c>
      <c r="S4344" t="s">
        <v>26</v>
      </c>
    </row>
    <row r="4345" spans="1:19" x14ac:dyDescent="0.3">
      <c r="A4345" t="s">
        <v>20660</v>
      </c>
      <c r="B4345" t="s">
        <v>22727</v>
      </c>
      <c r="C4345" t="s">
        <v>22905</v>
      </c>
      <c r="D4345" t="s">
        <v>20674</v>
      </c>
      <c r="E4345" t="s">
        <v>21193</v>
      </c>
      <c r="F4345" t="s">
        <v>21205</v>
      </c>
      <c r="G4345" t="s">
        <v>22904</v>
      </c>
      <c r="H4345" t="s">
        <v>868</v>
      </c>
      <c r="I4345" t="s">
        <v>950</v>
      </c>
      <c r="J4345" t="str">
        <f>"9350122"</f>
        <v>9350122</v>
      </c>
      <c r="K4345">
        <v>2422091300</v>
      </c>
      <c r="L4345">
        <v>2422091300</v>
      </c>
      <c r="M4345" t="s">
        <v>22906</v>
      </c>
      <c r="N4345" t="s">
        <v>22907</v>
      </c>
      <c r="O4345" t="s">
        <v>22908</v>
      </c>
      <c r="P4345">
        <v>37008</v>
      </c>
      <c r="Q4345" t="str">
        <f>"39.166229"</f>
        <v>39.166229</v>
      </c>
      <c r="R4345" t="str">
        <f>"22.892158"</f>
        <v>22.892158</v>
      </c>
      <c r="S4345" t="s">
        <v>26</v>
      </c>
    </row>
    <row r="4346" spans="1:19" x14ac:dyDescent="0.3">
      <c r="A4346" t="s">
        <v>20660</v>
      </c>
      <c r="B4346" t="s">
        <v>22727</v>
      </c>
      <c r="C4346" t="s">
        <v>21376</v>
      </c>
      <c r="D4346" t="s">
        <v>20674</v>
      </c>
      <c r="E4346" t="s">
        <v>20675</v>
      </c>
      <c r="F4346" t="s">
        <v>3246</v>
      </c>
      <c r="G4346" t="s">
        <v>3246</v>
      </c>
      <c r="H4346" t="s">
        <v>868</v>
      </c>
      <c r="I4346" t="s">
        <v>869</v>
      </c>
      <c r="J4346" t="str">
        <f>"9350195"</f>
        <v>9350195</v>
      </c>
      <c r="K4346">
        <v>2421085739</v>
      </c>
      <c r="L4346">
        <v>2421085739</v>
      </c>
      <c r="M4346" t="s">
        <v>22911</v>
      </c>
      <c r="N4346" t="s">
        <v>4830</v>
      </c>
      <c r="O4346" t="s">
        <v>22912</v>
      </c>
      <c r="P4346">
        <v>38446</v>
      </c>
      <c r="Q4346" t="str">
        <f>"39.375883"</f>
        <v>39.375883</v>
      </c>
      <c r="R4346" t="str">
        <f>"22.939787"</f>
        <v>22.939787</v>
      </c>
      <c r="S4346" t="s">
        <v>26</v>
      </c>
    </row>
    <row r="4347" spans="1:19" x14ac:dyDescent="0.3">
      <c r="A4347" t="s">
        <v>20660</v>
      </c>
      <c r="B4347" t="s">
        <v>22727</v>
      </c>
      <c r="C4347" t="s">
        <v>22915</v>
      </c>
      <c r="D4347" t="s">
        <v>20674</v>
      </c>
      <c r="E4347" t="s">
        <v>20675</v>
      </c>
      <c r="F4347" t="s">
        <v>3246</v>
      </c>
      <c r="G4347" t="s">
        <v>3246</v>
      </c>
      <c r="H4347" t="s">
        <v>868</v>
      </c>
      <c r="I4347" t="s">
        <v>869</v>
      </c>
      <c r="J4347" t="str">
        <f>"9350145"</f>
        <v>9350145</v>
      </c>
      <c r="K4347">
        <v>2421085729</v>
      </c>
      <c r="L4347">
        <v>2421085729</v>
      </c>
      <c r="M4347" t="s">
        <v>22916</v>
      </c>
      <c r="N4347" t="s">
        <v>3249</v>
      </c>
      <c r="O4347" t="s">
        <v>22887</v>
      </c>
      <c r="P4347">
        <v>38446</v>
      </c>
      <c r="Q4347" t="str">
        <f>"39.375211"</f>
        <v>39.375211</v>
      </c>
      <c r="R4347" t="str">
        <f>"22.933765"</f>
        <v>22.933765</v>
      </c>
      <c r="S4347" t="s">
        <v>26</v>
      </c>
    </row>
    <row r="4348" spans="1:19" x14ac:dyDescent="0.3">
      <c r="A4348" t="s">
        <v>20660</v>
      </c>
      <c r="B4348" t="s">
        <v>22727</v>
      </c>
      <c r="C4348" t="s">
        <v>22933</v>
      </c>
      <c r="D4348" t="s">
        <v>20674</v>
      </c>
      <c r="E4348" t="s">
        <v>21199</v>
      </c>
      <c r="F4348" t="s">
        <v>22931</v>
      </c>
      <c r="G4348" t="s">
        <v>22932</v>
      </c>
      <c r="H4348" t="s">
        <v>868</v>
      </c>
      <c r="I4348" t="s">
        <v>950</v>
      </c>
      <c r="J4348" t="str">
        <f>"9350037"</f>
        <v>9350037</v>
      </c>
      <c r="K4348">
        <v>2423071195</v>
      </c>
      <c r="L4348">
        <v>2423071195</v>
      </c>
      <c r="M4348" t="s">
        <v>22934</v>
      </c>
      <c r="N4348" t="s">
        <v>22935</v>
      </c>
      <c r="O4348" t="s">
        <v>22935</v>
      </c>
      <c r="P4348">
        <v>37006</v>
      </c>
      <c r="Q4348" t="str">
        <f>"39.191459"</f>
        <v>39.191459</v>
      </c>
      <c r="R4348" t="str">
        <f>"23.286903"</f>
        <v>23.286903</v>
      </c>
      <c r="S4348" t="s">
        <v>26</v>
      </c>
    </row>
    <row r="4349" spans="1:19" x14ac:dyDescent="0.3">
      <c r="A4349" t="s">
        <v>20660</v>
      </c>
      <c r="B4349" t="s">
        <v>22727</v>
      </c>
      <c r="C4349" t="s">
        <v>21204</v>
      </c>
      <c r="D4349" t="s">
        <v>20674</v>
      </c>
      <c r="E4349" t="s">
        <v>21199</v>
      </c>
      <c r="F4349" t="s">
        <v>21200</v>
      </c>
      <c r="G4349" t="s">
        <v>21200</v>
      </c>
      <c r="H4349" t="s">
        <v>868</v>
      </c>
      <c r="I4349" t="s">
        <v>950</v>
      </c>
      <c r="J4349" t="str">
        <f>"9350040"</f>
        <v>9350040</v>
      </c>
      <c r="K4349">
        <v>2423091267</v>
      </c>
      <c r="L4349">
        <v>2423091267</v>
      </c>
      <c r="M4349" t="s">
        <v>22955</v>
      </c>
      <c r="N4349" t="s">
        <v>21203</v>
      </c>
      <c r="O4349" t="s">
        <v>21203</v>
      </c>
      <c r="P4349">
        <v>37009</v>
      </c>
      <c r="Q4349" t="str">
        <f>"39.100884"</f>
        <v>39.100884</v>
      </c>
      <c r="R4349" t="str">
        <f>"23.076923"</f>
        <v>23.076923</v>
      </c>
      <c r="S4349" t="s">
        <v>26</v>
      </c>
    </row>
    <row r="4350" spans="1:19" x14ac:dyDescent="0.3">
      <c r="A4350" t="s">
        <v>20660</v>
      </c>
      <c r="B4350" t="s">
        <v>22727</v>
      </c>
      <c r="C4350" t="s">
        <v>21398</v>
      </c>
      <c r="D4350" t="s">
        <v>20674</v>
      </c>
      <c r="E4350" t="s">
        <v>21193</v>
      </c>
      <c r="F4350" t="s">
        <v>21193</v>
      </c>
      <c r="G4350" t="s">
        <v>21193</v>
      </c>
      <c r="H4350" t="s">
        <v>868</v>
      </c>
      <c r="I4350" t="s">
        <v>869</v>
      </c>
      <c r="J4350" t="str">
        <f>"9350115"</f>
        <v>9350115</v>
      </c>
      <c r="K4350">
        <v>2422021482</v>
      </c>
      <c r="L4350">
        <v>2422021482</v>
      </c>
      <c r="M4350" t="s">
        <v>22956</v>
      </c>
      <c r="N4350" t="s">
        <v>21493</v>
      </c>
      <c r="O4350" t="s">
        <v>22957</v>
      </c>
      <c r="P4350">
        <v>37100</v>
      </c>
      <c r="Q4350" t="str">
        <f>"39.184113"</f>
        <v>39.184113</v>
      </c>
      <c r="R4350" t="str">
        <f>"22.765927"</f>
        <v>22.765927</v>
      </c>
      <c r="S4350" t="s">
        <v>26</v>
      </c>
    </row>
    <row r="4351" spans="1:19" x14ac:dyDescent="0.3">
      <c r="A4351" t="s">
        <v>20660</v>
      </c>
      <c r="B4351" t="s">
        <v>22727</v>
      </c>
      <c r="C4351" t="s">
        <v>22968</v>
      </c>
      <c r="D4351" t="s">
        <v>20674</v>
      </c>
      <c r="E4351" t="s">
        <v>20675</v>
      </c>
      <c r="F4351" t="s">
        <v>20675</v>
      </c>
      <c r="G4351" t="s">
        <v>20675</v>
      </c>
      <c r="H4351" t="s">
        <v>868</v>
      </c>
      <c r="I4351" t="s">
        <v>1157</v>
      </c>
      <c r="J4351" t="str">
        <f>"9350181"</f>
        <v>9350181</v>
      </c>
      <c r="K4351">
        <v>2421047256</v>
      </c>
      <c r="L4351">
        <v>2421047276</v>
      </c>
      <c r="M4351" t="s">
        <v>22969</v>
      </c>
      <c r="N4351" t="s">
        <v>20678</v>
      </c>
      <c r="O4351" t="s">
        <v>22970</v>
      </c>
      <c r="P4351">
        <v>38333</v>
      </c>
      <c r="Q4351" t="str">
        <f>"39.372954"</f>
        <v>39.372954</v>
      </c>
      <c r="R4351" t="str">
        <f>"22.953348"</f>
        <v>22.953348</v>
      </c>
      <c r="S4351" t="s">
        <v>26</v>
      </c>
    </row>
    <row r="4352" spans="1:19" x14ac:dyDescent="0.3">
      <c r="A4352" t="s">
        <v>20660</v>
      </c>
      <c r="B4352" t="s">
        <v>22727</v>
      </c>
      <c r="C4352" t="s">
        <v>21437</v>
      </c>
      <c r="D4352" t="s">
        <v>20674</v>
      </c>
      <c r="E4352" t="s">
        <v>20675</v>
      </c>
      <c r="F4352" t="s">
        <v>3246</v>
      </c>
      <c r="G4352" t="s">
        <v>3246</v>
      </c>
      <c r="H4352" t="s">
        <v>868</v>
      </c>
      <c r="I4352" t="s">
        <v>869</v>
      </c>
      <c r="J4352" t="str">
        <f>"9350202"</f>
        <v>9350202</v>
      </c>
      <c r="K4352">
        <v>2421085740</v>
      </c>
      <c r="L4352">
        <v>2421085740</v>
      </c>
      <c r="M4352" t="s">
        <v>22983</v>
      </c>
      <c r="N4352" t="s">
        <v>3249</v>
      </c>
      <c r="O4352" t="s">
        <v>22884</v>
      </c>
      <c r="P4352">
        <v>38445</v>
      </c>
      <c r="Q4352" t="str">
        <f>"39.381533"</f>
        <v>39.381533</v>
      </c>
      <c r="R4352" t="str">
        <f>"22.923094"</f>
        <v>22.923094</v>
      </c>
      <c r="S4352" t="s">
        <v>26</v>
      </c>
    </row>
    <row r="4353" spans="1:19" x14ac:dyDescent="0.3">
      <c r="A4353" t="s">
        <v>20660</v>
      </c>
      <c r="B4353" t="s">
        <v>22727</v>
      </c>
      <c r="C4353" t="s">
        <v>22984</v>
      </c>
      <c r="D4353" t="s">
        <v>20674</v>
      </c>
      <c r="E4353" t="s">
        <v>20675</v>
      </c>
      <c r="F4353" t="s">
        <v>3246</v>
      </c>
      <c r="G4353" t="s">
        <v>3246</v>
      </c>
      <c r="H4353" t="s">
        <v>868</v>
      </c>
      <c r="I4353" t="s">
        <v>869</v>
      </c>
      <c r="J4353" t="str">
        <f>"9350142"</f>
        <v>9350142</v>
      </c>
      <c r="K4353">
        <v>2421085733</v>
      </c>
      <c r="L4353">
        <v>2421085733</v>
      </c>
      <c r="M4353" t="s">
        <v>22985</v>
      </c>
      <c r="N4353" t="s">
        <v>3249</v>
      </c>
      <c r="O4353" t="s">
        <v>22986</v>
      </c>
      <c r="P4353">
        <v>38445</v>
      </c>
      <c r="Q4353" t="str">
        <f>"39.372062"</f>
        <v>39.372062</v>
      </c>
      <c r="R4353" t="str">
        <f>"22.928501"</f>
        <v>22.928501</v>
      </c>
      <c r="S4353" t="s">
        <v>26</v>
      </c>
    </row>
    <row r="4354" spans="1:19" x14ac:dyDescent="0.3">
      <c r="A4354" t="s">
        <v>20660</v>
      </c>
      <c r="B4354" t="s">
        <v>22727</v>
      </c>
      <c r="C4354" t="s">
        <v>22989</v>
      </c>
      <c r="D4354" t="s">
        <v>20674</v>
      </c>
      <c r="E4354" t="s">
        <v>20675</v>
      </c>
      <c r="F4354" t="s">
        <v>22987</v>
      </c>
      <c r="G4354" t="s">
        <v>22988</v>
      </c>
      <c r="H4354" t="s">
        <v>868</v>
      </c>
      <c r="I4354" t="s">
        <v>869</v>
      </c>
      <c r="J4354" t="str">
        <f>"9350018"</f>
        <v>9350018</v>
      </c>
      <c r="K4354">
        <v>2421072346</v>
      </c>
      <c r="L4354">
        <v>2421072346</v>
      </c>
      <c r="M4354" t="s">
        <v>22990</v>
      </c>
      <c r="N4354" t="s">
        <v>22991</v>
      </c>
      <c r="O4354" t="s">
        <v>22992</v>
      </c>
      <c r="P4354">
        <v>38500</v>
      </c>
      <c r="Q4354" t="str">
        <f>"39.371741"</f>
        <v>39.371741</v>
      </c>
      <c r="R4354" t="str">
        <f>"22.983653"</f>
        <v>22.983653</v>
      </c>
      <c r="S4354" t="s">
        <v>26</v>
      </c>
    </row>
    <row r="4355" spans="1:19" x14ac:dyDescent="0.3">
      <c r="A4355" t="s">
        <v>20660</v>
      </c>
      <c r="B4355" t="s">
        <v>22727</v>
      </c>
      <c r="C4355" t="s">
        <v>23009</v>
      </c>
      <c r="D4355" t="s">
        <v>20674</v>
      </c>
      <c r="E4355" t="s">
        <v>20675</v>
      </c>
      <c r="F4355" t="s">
        <v>3246</v>
      </c>
      <c r="G4355" t="s">
        <v>3246</v>
      </c>
      <c r="H4355" t="s">
        <v>868</v>
      </c>
      <c r="I4355" t="s">
        <v>869</v>
      </c>
      <c r="J4355" t="str">
        <f>"9350213"</f>
        <v>9350213</v>
      </c>
      <c r="K4355">
        <v>2421085741</v>
      </c>
      <c r="L4355">
        <v>2421085769</v>
      </c>
      <c r="M4355" t="s">
        <v>23010</v>
      </c>
      <c r="N4355" t="s">
        <v>4830</v>
      </c>
      <c r="O4355" t="s">
        <v>22986</v>
      </c>
      <c r="P4355">
        <v>38445</v>
      </c>
      <c r="Q4355" t="str">
        <f>"39.373163"</f>
        <v>39.373163</v>
      </c>
      <c r="R4355" t="str">
        <f>"22.930514"</f>
        <v>22.930514</v>
      </c>
      <c r="S4355" t="s">
        <v>26</v>
      </c>
    </row>
    <row r="4356" spans="1:19" x14ac:dyDescent="0.3">
      <c r="A4356" t="s">
        <v>20660</v>
      </c>
      <c r="B4356" t="s">
        <v>22727</v>
      </c>
      <c r="C4356" t="s">
        <v>23016</v>
      </c>
      <c r="D4356" t="s">
        <v>20674</v>
      </c>
      <c r="E4356" t="s">
        <v>20675</v>
      </c>
      <c r="F4356" t="s">
        <v>20675</v>
      </c>
      <c r="G4356" t="s">
        <v>20675</v>
      </c>
      <c r="H4356" t="s">
        <v>868</v>
      </c>
      <c r="I4356" t="s">
        <v>869</v>
      </c>
      <c r="J4356" t="str">
        <f>"9350005"</f>
        <v>9350005</v>
      </c>
      <c r="K4356">
        <v>2421039516</v>
      </c>
      <c r="L4356">
        <v>2421039516</v>
      </c>
      <c r="M4356" t="s">
        <v>23017</v>
      </c>
      <c r="N4356" t="s">
        <v>20678</v>
      </c>
      <c r="O4356" t="s">
        <v>23018</v>
      </c>
      <c r="P4356">
        <v>38221</v>
      </c>
      <c r="Q4356" t="str">
        <f>"39.360979"</f>
        <v>39.360979</v>
      </c>
      <c r="R4356" t="str">
        <f>"22.951237"</f>
        <v>22.951237</v>
      </c>
      <c r="S4356" t="s">
        <v>26</v>
      </c>
    </row>
    <row r="4357" spans="1:19" x14ac:dyDescent="0.3">
      <c r="A4357" t="s">
        <v>20660</v>
      </c>
      <c r="B4357" t="s">
        <v>22727</v>
      </c>
      <c r="C4357" t="s">
        <v>21249</v>
      </c>
      <c r="D4357" t="s">
        <v>20674</v>
      </c>
      <c r="E4357" t="s">
        <v>21193</v>
      </c>
      <c r="F4357" t="s">
        <v>21193</v>
      </c>
      <c r="G4357" t="s">
        <v>21193</v>
      </c>
      <c r="H4357" t="s">
        <v>868</v>
      </c>
      <c r="I4357" t="s">
        <v>869</v>
      </c>
      <c r="J4357" t="str">
        <f>"9350289"</f>
        <v>9350289</v>
      </c>
      <c r="K4357">
        <v>2422025383</v>
      </c>
      <c r="L4357">
        <v>2422025383</v>
      </c>
      <c r="M4357" t="s">
        <v>23024</v>
      </c>
      <c r="N4357" t="s">
        <v>21493</v>
      </c>
      <c r="O4357" t="s">
        <v>23025</v>
      </c>
      <c r="P4357">
        <v>37100</v>
      </c>
      <c r="Q4357" t="str">
        <f>"39.176619"</f>
        <v>39.176619</v>
      </c>
      <c r="R4357" t="str">
        <f>"22.756739"</f>
        <v>22.756739</v>
      </c>
      <c r="S4357" t="s">
        <v>26</v>
      </c>
    </row>
    <row r="4358" spans="1:19" x14ac:dyDescent="0.3">
      <c r="A4358" t="s">
        <v>20660</v>
      </c>
      <c r="B4358" t="s">
        <v>22727</v>
      </c>
      <c r="C4358" t="s">
        <v>23030</v>
      </c>
      <c r="D4358" t="s">
        <v>20674</v>
      </c>
      <c r="E4358" t="s">
        <v>21250</v>
      </c>
      <c r="F4358" t="s">
        <v>21344</v>
      </c>
      <c r="G4358" t="s">
        <v>23029</v>
      </c>
      <c r="H4358" t="s">
        <v>868</v>
      </c>
      <c r="I4358" t="s">
        <v>869</v>
      </c>
      <c r="J4358" t="str">
        <f>"9350110"</f>
        <v>9350110</v>
      </c>
      <c r="K4358">
        <v>2425031250</v>
      </c>
      <c r="L4358">
        <v>2425031250</v>
      </c>
      <c r="M4358" t="s">
        <v>23031</v>
      </c>
      <c r="N4358" t="s">
        <v>23032</v>
      </c>
      <c r="P4358">
        <v>37500</v>
      </c>
      <c r="Q4358" t="str">
        <f>"39.426980"</f>
        <v>39.426980</v>
      </c>
      <c r="R4358" t="str">
        <f>"22.748003"</f>
        <v>22.748003</v>
      </c>
      <c r="S4358" t="s">
        <v>26</v>
      </c>
    </row>
    <row r="4359" spans="1:19" x14ac:dyDescent="0.3">
      <c r="A4359" t="s">
        <v>20660</v>
      </c>
      <c r="B4359" t="s">
        <v>22727</v>
      </c>
      <c r="C4359" t="s">
        <v>23039</v>
      </c>
      <c r="D4359" t="s">
        <v>20674</v>
      </c>
      <c r="E4359" t="s">
        <v>21229</v>
      </c>
      <c r="F4359" t="s">
        <v>21237</v>
      </c>
      <c r="G4359" t="s">
        <v>23038</v>
      </c>
      <c r="H4359" t="s">
        <v>868</v>
      </c>
      <c r="I4359" t="s">
        <v>950</v>
      </c>
      <c r="J4359" t="str">
        <f>"9350108"</f>
        <v>9350108</v>
      </c>
      <c r="K4359">
        <v>2426022190</v>
      </c>
      <c r="L4359">
        <v>2426022190</v>
      </c>
      <c r="M4359" t="s">
        <v>23040</v>
      </c>
      <c r="N4359" t="s">
        <v>23041</v>
      </c>
      <c r="O4359" t="s">
        <v>23041</v>
      </c>
      <c r="P4359">
        <v>37100</v>
      </c>
      <c r="Q4359" t="str">
        <f>"39.477791"</f>
        <v>39.477791</v>
      </c>
      <c r="R4359" t="str">
        <f>"23.095012"</f>
        <v>23.095012</v>
      </c>
      <c r="S4359" t="s">
        <v>26</v>
      </c>
    </row>
    <row r="4360" spans="1:19" x14ac:dyDescent="0.3">
      <c r="A4360" t="s">
        <v>20660</v>
      </c>
      <c r="B4360" t="s">
        <v>22727</v>
      </c>
      <c r="C4360" t="s">
        <v>23060</v>
      </c>
      <c r="D4360" t="s">
        <v>20674</v>
      </c>
      <c r="E4360" t="s">
        <v>20675</v>
      </c>
      <c r="F4360" t="s">
        <v>20675</v>
      </c>
      <c r="G4360" t="s">
        <v>20675</v>
      </c>
      <c r="H4360" t="s">
        <v>868</v>
      </c>
      <c r="I4360" t="s">
        <v>869</v>
      </c>
      <c r="J4360" t="str">
        <f>"9350238"</f>
        <v>9350238</v>
      </c>
      <c r="K4360">
        <v>2421039583</v>
      </c>
      <c r="L4360">
        <v>2421039583</v>
      </c>
      <c r="M4360" t="s">
        <v>23061</v>
      </c>
      <c r="N4360" t="s">
        <v>20678</v>
      </c>
      <c r="O4360" t="s">
        <v>23062</v>
      </c>
      <c r="P4360">
        <v>38333</v>
      </c>
      <c r="Q4360" t="str">
        <f>"39.366475"</f>
        <v>39.366475</v>
      </c>
      <c r="R4360" t="str">
        <f>"22.942425"</f>
        <v>22.942425</v>
      </c>
      <c r="S4360" t="s">
        <v>26</v>
      </c>
    </row>
    <row r="4361" spans="1:19" x14ac:dyDescent="0.3">
      <c r="A4361" t="s">
        <v>20660</v>
      </c>
      <c r="B4361" t="s">
        <v>22727</v>
      </c>
      <c r="C4361" t="s">
        <v>23068</v>
      </c>
      <c r="D4361" t="s">
        <v>20674</v>
      </c>
      <c r="E4361" t="s">
        <v>20675</v>
      </c>
      <c r="F4361" t="s">
        <v>20675</v>
      </c>
      <c r="G4361" t="s">
        <v>20675</v>
      </c>
      <c r="H4361" t="s">
        <v>868</v>
      </c>
      <c r="I4361" t="s">
        <v>869</v>
      </c>
      <c r="J4361" t="str">
        <f>"9350167"</f>
        <v>9350167</v>
      </c>
      <c r="K4361">
        <v>2421053222</v>
      </c>
      <c r="M4361" t="s">
        <v>23069</v>
      </c>
      <c r="N4361" t="s">
        <v>23070</v>
      </c>
      <c r="O4361" t="s">
        <v>23071</v>
      </c>
      <c r="P4361">
        <v>38222</v>
      </c>
      <c r="Q4361" t="str">
        <f>"39.364867"</f>
        <v>39.364867</v>
      </c>
      <c r="R4361" t="str">
        <f>"22.962804"</f>
        <v>22.962804</v>
      </c>
      <c r="S4361" t="s">
        <v>26</v>
      </c>
    </row>
    <row r="4362" spans="1:19" x14ac:dyDescent="0.3">
      <c r="A4362" t="s">
        <v>20660</v>
      </c>
      <c r="B4362" t="s">
        <v>22727</v>
      </c>
      <c r="C4362" t="s">
        <v>21485</v>
      </c>
      <c r="D4362" t="s">
        <v>21210</v>
      </c>
      <c r="E4362" t="s">
        <v>13139</v>
      </c>
      <c r="F4362" t="s">
        <v>13139</v>
      </c>
      <c r="G4362" t="s">
        <v>21480</v>
      </c>
      <c r="H4362" t="s">
        <v>868</v>
      </c>
      <c r="I4362" t="s">
        <v>869</v>
      </c>
      <c r="J4362" t="str">
        <f>"9350047"</f>
        <v>9350047</v>
      </c>
      <c r="K4362">
        <v>2424033455</v>
      </c>
      <c r="L4362">
        <v>2424033455</v>
      </c>
      <c r="M4362" t="s">
        <v>23072</v>
      </c>
      <c r="N4362" t="s">
        <v>23073</v>
      </c>
      <c r="O4362" t="s">
        <v>21484</v>
      </c>
      <c r="P4362">
        <v>37004</v>
      </c>
      <c r="Q4362" t="str">
        <f>"39.174848"</f>
        <v>39.174848</v>
      </c>
      <c r="R4362" t="str">
        <f>"23.618276"</f>
        <v>23.618276</v>
      </c>
      <c r="S4362" t="s">
        <v>57</v>
      </c>
    </row>
    <row r="4363" spans="1:19" x14ac:dyDescent="0.3">
      <c r="A4363" t="s">
        <v>20660</v>
      </c>
      <c r="B4363" t="s">
        <v>22727</v>
      </c>
      <c r="C4363" t="s">
        <v>23075</v>
      </c>
      <c r="D4363" t="s">
        <v>20674</v>
      </c>
      <c r="E4363" t="s">
        <v>21193</v>
      </c>
      <c r="F4363" t="s">
        <v>21205</v>
      </c>
      <c r="G4363" t="s">
        <v>23074</v>
      </c>
      <c r="H4363" t="s">
        <v>868</v>
      </c>
      <c r="I4363" t="s">
        <v>950</v>
      </c>
      <c r="J4363" t="str">
        <f>"9350126"</f>
        <v>9350126</v>
      </c>
      <c r="K4363">
        <v>2422094254</v>
      </c>
      <c r="L4363">
        <v>2422094254</v>
      </c>
      <c r="M4363" t="s">
        <v>23076</v>
      </c>
      <c r="N4363" t="s">
        <v>20674</v>
      </c>
      <c r="O4363" t="s">
        <v>23077</v>
      </c>
      <c r="P4363">
        <v>37100</v>
      </c>
      <c r="Q4363" t="str">
        <f>"39.066698"</f>
        <v>39.066698</v>
      </c>
      <c r="R4363" t="str">
        <f>"22.809916"</f>
        <v>22.809916</v>
      </c>
      <c r="S4363" t="s">
        <v>26</v>
      </c>
    </row>
    <row r="4364" spans="1:19" x14ac:dyDescent="0.3">
      <c r="A4364" t="s">
        <v>20660</v>
      </c>
      <c r="B4364" t="s">
        <v>22727</v>
      </c>
      <c r="C4364" t="s">
        <v>23080</v>
      </c>
      <c r="D4364" t="s">
        <v>20674</v>
      </c>
      <c r="E4364" t="s">
        <v>20675</v>
      </c>
      <c r="F4364" t="s">
        <v>20675</v>
      </c>
      <c r="G4364" t="s">
        <v>20675</v>
      </c>
      <c r="H4364" t="s">
        <v>868</v>
      </c>
      <c r="I4364" t="s">
        <v>869</v>
      </c>
      <c r="J4364" t="str">
        <f>"9350073"</f>
        <v>9350073</v>
      </c>
      <c r="K4364">
        <v>2421072374</v>
      </c>
      <c r="L4364">
        <v>2421072374</v>
      </c>
      <c r="M4364" t="s">
        <v>23081</v>
      </c>
      <c r="N4364" t="s">
        <v>20678</v>
      </c>
      <c r="O4364" t="s">
        <v>22843</v>
      </c>
      <c r="P4364">
        <v>38223</v>
      </c>
      <c r="Q4364" t="str">
        <f>"39.371908"</f>
        <v>39.371908</v>
      </c>
      <c r="R4364" t="str">
        <f>"22.963567"</f>
        <v>22.963567</v>
      </c>
      <c r="S4364" t="s">
        <v>26</v>
      </c>
    </row>
    <row r="4365" spans="1:19" x14ac:dyDescent="0.3">
      <c r="A4365" t="s">
        <v>20660</v>
      </c>
      <c r="B4365" t="s">
        <v>22727</v>
      </c>
      <c r="C4365" t="s">
        <v>23088</v>
      </c>
      <c r="D4365" t="s">
        <v>20674</v>
      </c>
      <c r="E4365" t="s">
        <v>20675</v>
      </c>
      <c r="F4365" t="s">
        <v>21217</v>
      </c>
      <c r="G4365" t="s">
        <v>23045</v>
      </c>
      <c r="H4365" t="s">
        <v>868</v>
      </c>
      <c r="I4365" t="s">
        <v>950</v>
      </c>
      <c r="J4365" t="str">
        <f>"9350024"</f>
        <v>9350024</v>
      </c>
      <c r="K4365">
        <v>2428096014</v>
      </c>
      <c r="L4365">
        <v>2428096014</v>
      </c>
      <c r="M4365" t="s">
        <v>23089</v>
      </c>
      <c r="N4365" t="s">
        <v>23049</v>
      </c>
      <c r="O4365" t="s">
        <v>23049</v>
      </c>
      <c r="P4365">
        <v>37300</v>
      </c>
      <c r="Q4365" t="str">
        <f>"39.375694"</f>
        <v>39.375694</v>
      </c>
      <c r="R4365" t="str">
        <f>"23.050682"</f>
        <v>23.050682</v>
      </c>
      <c r="S4365" t="s">
        <v>26</v>
      </c>
    </row>
    <row r="4366" spans="1:19" x14ac:dyDescent="0.3">
      <c r="A4366" t="s">
        <v>20660</v>
      </c>
      <c r="B4366" t="s">
        <v>22727</v>
      </c>
      <c r="C4366" t="s">
        <v>23095</v>
      </c>
      <c r="D4366" t="s">
        <v>20674</v>
      </c>
      <c r="E4366" t="s">
        <v>21199</v>
      </c>
      <c r="F4366" t="s">
        <v>21366</v>
      </c>
      <c r="G4366" t="s">
        <v>23063</v>
      </c>
      <c r="H4366" t="s">
        <v>868</v>
      </c>
      <c r="I4366" t="s">
        <v>950</v>
      </c>
      <c r="J4366" t="str">
        <f>"9350012"</f>
        <v>9350012</v>
      </c>
      <c r="K4366">
        <v>2423022443</v>
      </c>
      <c r="L4366">
        <v>2423022443</v>
      </c>
      <c r="M4366" t="s">
        <v>23096</v>
      </c>
      <c r="N4366" t="s">
        <v>23097</v>
      </c>
      <c r="O4366" t="s">
        <v>23067</v>
      </c>
      <c r="P4366">
        <v>37010</v>
      </c>
      <c r="Q4366" t="str">
        <f>"39.295591"</f>
        <v>39.295591</v>
      </c>
      <c r="R4366" t="str">
        <f>"23.145084"</f>
        <v>23.145084</v>
      </c>
      <c r="S4366" t="s">
        <v>26</v>
      </c>
    </row>
    <row r="4367" spans="1:19" x14ac:dyDescent="0.3">
      <c r="A4367" t="s">
        <v>20660</v>
      </c>
      <c r="B4367" t="s">
        <v>22727</v>
      </c>
      <c r="C4367" t="s">
        <v>21313</v>
      </c>
      <c r="D4367" t="s">
        <v>20674</v>
      </c>
      <c r="E4367" t="s">
        <v>20675</v>
      </c>
      <c r="F4367" t="s">
        <v>20675</v>
      </c>
      <c r="G4367" t="s">
        <v>20675</v>
      </c>
      <c r="H4367" t="s">
        <v>868</v>
      </c>
      <c r="I4367" t="s">
        <v>869</v>
      </c>
      <c r="J4367" t="str">
        <f>"9350004"</f>
        <v>9350004</v>
      </c>
      <c r="K4367">
        <v>2421043421</v>
      </c>
      <c r="L4367">
        <v>2421043421</v>
      </c>
      <c r="M4367" t="s">
        <v>23098</v>
      </c>
      <c r="N4367" t="s">
        <v>20678</v>
      </c>
      <c r="O4367" t="s">
        <v>23099</v>
      </c>
      <c r="P4367">
        <v>38222</v>
      </c>
      <c r="Q4367" t="str">
        <f>"39.353891"</f>
        <v>39.353891</v>
      </c>
      <c r="R4367" t="str">
        <f>"22.964364"</f>
        <v>22.964364</v>
      </c>
      <c r="S4367" t="s">
        <v>26</v>
      </c>
    </row>
    <row r="4368" spans="1:19" x14ac:dyDescent="0.3">
      <c r="A4368" t="s">
        <v>20660</v>
      </c>
      <c r="B4368" t="s">
        <v>22727</v>
      </c>
      <c r="C4368" t="s">
        <v>23100</v>
      </c>
      <c r="D4368" t="s">
        <v>20674</v>
      </c>
      <c r="E4368" t="s">
        <v>20675</v>
      </c>
      <c r="F4368" t="s">
        <v>3246</v>
      </c>
      <c r="G4368" t="s">
        <v>3246</v>
      </c>
      <c r="H4368" t="s">
        <v>868</v>
      </c>
      <c r="I4368" t="s">
        <v>869</v>
      </c>
      <c r="J4368" t="str">
        <f>"9350140"</f>
        <v>9350140</v>
      </c>
      <c r="K4368">
        <v>2421085730</v>
      </c>
      <c r="L4368">
        <v>2421085730</v>
      </c>
      <c r="M4368" t="s">
        <v>23101</v>
      </c>
      <c r="N4368" t="s">
        <v>22734</v>
      </c>
      <c r="O4368" t="s">
        <v>22912</v>
      </c>
      <c r="P4368">
        <v>38446</v>
      </c>
      <c r="Q4368" t="str">
        <f>"39.375449"</f>
        <v>39.375449</v>
      </c>
      <c r="R4368" t="str">
        <f>"22.939738"</f>
        <v>22.939738</v>
      </c>
      <c r="S4368" t="s">
        <v>26</v>
      </c>
    </row>
    <row r="4369" spans="1:19" x14ac:dyDescent="0.3">
      <c r="A4369" t="s">
        <v>20660</v>
      </c>
      <c r="B4369" t="s">
        <v>22727</v>
      </c>
      <c r="C4369" t="s">
        <v>21236</v>
      </c>
      <c r="D4369" t="s">
        <v>20674</v>
      </c>
      <c r="E4369" t="s">
        <v>21229</v>
      </c>
      <c r="F4369" t="s">
        <v>21230</v>
      </c>
      <c r="G4369" t="s">
        <v>21231</v>
      </c>
      <c r="H4369" t="s">
        <v>868</v>
      </c>
      <c r="I4369" t="s">
        <v>869</v>
      </c>
      <c r="J4369" t="str">
        <f>"9350041"</f>
        <v>9350041</v>
      </c>
      <c r="K4369">
        <v>2426049286</v>
      </c>
      <c r="L4369">
        <v>2426049286</v>
      </c>
      <c r="M4369" t="s">
        <v>23102</v>
      </c>
      <c r="N4369" t="s">
        <v>23103</v>
      </c>
      <c r="O4369" t="s">
        <v>23104</v>
      </c>
      <c r="P4369">
        <v>37012</v>
      </c>
      <c r="Q4369" t="str">
        <f>"39.387641"</f>
        <v>39.387641</v>
      </c>
      <c r="R4369" t="str">
        <f>"23.174311"</f>
        <v>23.174311</v>
      </c>
      <c r="S4369" t="s">
        <v>26</v>
      </c>
    </row>
    <row r="4370" spans="1:19" x14ac:dyDescent="0.3">
      <c r="A4370" t="s">
        <v>20660</v>
      </c>
      <c r="B4370" t="s">
        <v>22727</v>
      </c>
      <c r="C4370" t="s">
        <v>21413</v>
      </c>
      <c r="D4370" t="s">
        <v>20674</v>
      </c>
      <c r="E4370" t="s">
        <v>20675</v>
      </c>
      <c r="F4370" t="s">
        <v>4249</v>
      </c>
      <c r="G4370" t="s">
        <v>21409</v>
      </c>
      <c r="H4370" t="s">
        <v>868</v>
      </c>
      <c r="I4370" t="s">
        <v>869</v>
      </c>
      <c r="J4370" t="str">
        <f>"9350028"</f>
        <v>9350028</v>
      </c>
      <c r="K4370">
        <v>2428093592</v>
      </c>
      <c r="L4370">
        <v>428093592</v>
      </c>
      <c r="M4370" t="s">
        <v>23105</v>
      </c>
      <c r="N4370" t="s">
        <v>21412</v>
      </c>
      <c r="O4370" t="s">
        <v>21412</v>
      </c>
      <c r="P4370">
        <v>37300</v>
      </c>
      <c r="Q4370" t="str">
        <f>"39.329892"</f>
        <v>39.329892</v>
      </c>
      <c r="R4370" t="str">
        <f>"23.044245"</f>
        <v>23.044245</v>
      </c>
      <c r="S4370" t="s">
        <v>26</v>
      </c>
    </row>
    <row r="4371" spans="1:19" x14ac:dyDescent="0.3">
      <c r="A4371" t="s">
        <v>20660</v>
      </c>
      <c r="B4371" t="s">
        <v>22727</v>
      </c>
      <c r="C4371" t="s">
        <v>21341</v>
      </c>
      <c r="D4371" t="s">
        <v>20674</v>
      </c>
      <c r="E4371" t="s">
        <v>20675</v>
      </c>
      <c r="F4371" t="s">
        <v>20675</v>
      </c>
      <c r="G4371" t="s">
        <v>20675</v>
      </c>
      <c r="H4371" t="s">
        <v>868</v>
      </c>
      <c r="I4371" t="s">
        <v>869</v>
      </c>
      <c r="J4371" t="str">
        <f>"9350001"</f>
        <v>9350001</v>
      </c>
      <c r="K4371">
        <v>2421072366</v>
      </c>
      <c r="L4371">
        <v>2421072366</v>
      </c>
      <c r="M4371" t="s">
        <v>23106</v>
      </c>
      <c r="N4371" t="s">
        <v>20678</v>
      </c>
      <c r="O4371" t="s">
        <v>23107</v>
      </c>
      <c r="P4371">
        <v>38221</v>
      </c>
      <c r="Q4371" t="str">
        <f>"39.366743"</f>
        <v>39.366743</v>
      </c>
      <c r="R4371" t="str">
        <f>"22.956373"</f>
        <v>22.956373</v>
      </c>
      <c r="S4371" t="s">
        <v>26</v>
      </c>
    </row>
    <row r="4372" spans="1:19" x14ac:dyDescent="0.3">
      <c r="A4372" t="s">
        <v>20660</v>
      </c>
      <c r="B4372" t="s">
        <v>22727</v>
      </c>
      <c r="C4372" t="s">
        <v>23111</v>
      </c>
      <c r="D4372" t="s">
        <v>20674</v>
      </c>
      <c r="E4372" t="s">
        <v>20675</v>
      </c>
      <c r="F4372" t="s">
        <v>20675</v>
      </c>
      <c r="G4372" t="s">
        <v>20675</v>
      </c>
      <c r="H4372" t="s">
        <v>868</v>
      </c>
      <c r="I4372" t="s">
        <v>869</v>
      </c>
      <c r="J4372" t="str">
        <f>"9350212"</f>
        <v>9350212</v>
      </c>
      <c r="K4372">
        <v>2421039528</v>
      </c>
      <c r="L4372">
        <v>2421039528</v>
      </c>
      <c r="M4372" t="s">
        <v>23112</v>
      </c>
      <c r="N4372" t="s">
        <v>20678</v>
      </c>
      <c r="O4372" t="s">
        <v>23113</v>
      </c>
      <c r="P4372">
        <v>38221</v>
      </c>
      <c r="Q4372" t="str">
        <f>"39.361074"</f>
        <v>39.361074</v>
      </c>
      <c r="R4372" t="str">
        <f>"22.951264"</f>
        <v>22.951264</v>
      </c>
      <c r="S4372" t="s">
        <v>26</v>
      </c>
    </row>
    <row r="4373" spans="1:19" x14ac:dyDescent="0.3">
      <c r="A4373" t="s">
        <v>20660</v>
      </c>
      <c r="B4373" t="s">
        <v>22727</v>
      </c>
      <c r="C4373" t="s">
        <v>21317</v>
      </c>
      <c r="D4373" t="s">
        <v>20674</v>
      </c>
      <c r="E4373" t="s">
        <v>20675</v>
      </c>
      <c r="F4373" t="s">
        <v>20675</v>
      </c>
      <c r="G4373" t="s">
        <v>20675</v>
      </c>
      <c r="H4373" t="s">
        <v>868</v>
      </c>
      <c r="I4373" t="s">
        <v>869</v>
      </c>
      <c r="J4373" t="str">
        <f>"9350193"</f>
        <v>9350193</v>
      </c>
      <c r="K4373">
        <v>2421054527</v>
      </c>
      <c r="L4373">
        <v>2421054527</v>
      </c>
      <c r="M4373" t="s">
        <v>23114</v>
      </c>
      <c r="N4373" t="s">
        <v>20678</v>
      </c>
      <c r="O4373" t="s">
        <v>23115</v>
      </c>
      <c r="P4373">
        <v>38222</v>
      </c>
      <c r="Q4373" t="str">
        <f>"39.353096"</f>
        <v>39.353096</v>
      </c>
      <c r="R4373" t="str">
        <f>"22.964952"</f>
        <v>22.964952</v>
      </c>
      <c r="S4373" t="s">
        <v>26</v>
      </c>
    </row>
    <row r="4374" spans="1:19" x14ac:dyDescent="0.3">
      <c r="A4374" t="s">
        <v>20660</v>
      </c>
      <c r="B4374" t="s">
        <v>22727</v>
      </c>
      <c r="C4374" t="s">
        <v>21302</v>
      </c>
      <c r="D4374" t="s">
        <v>20674</v>
      </c>
      <c r="E4374" t="s">
        <v>20675</v>
      </c>
      <c r="F4374" t="s">
        <v>21217</v>
      </c>
      <c r="G4374" t="s">
        <v>21217</v>
      </c>
      <c r="H4374" t="s">
        <v>868</v>
      </c>
      <c r="I4374" t="s">
        <v>869</v>
      </c>
      <c r="J4374" t="str">
        <f>"9350259"</f>
        <v>9350259</v>
      </c>
      <c r="K4374">
        <v>2428092092</v>
      </c>
      <c r="L4374">
        <v>2428092092</v>
      </c>
      <c r="M4374" t="s">
        <v>23122</v>
      </c>
      <c r="N4374" t="s">
        <v>23123</v>
      </c>
      <c r="O4374" t="s">
        <v>23124</v>
      </c>
      <c r="P4374">
        <v>37300</v>
      </c>
      <c r="Q4374" t="str">
        <f>"39.341551"</f>
        <v>39.341551</v>
      </c>
      <c r="R4374" t="str">
        <f>"23.010289"</f>
        <v>23.010289</v>
      </c>
      <c r="S4374" t="s">
        <v>26</v>
      </c>
    </row>
    <row r="4375" spans="1:19" x14ac:dyDescent="0.3">
      <c r="A4375" t="s">
        <v>20660</v>
      </c>
      <c r="B4375" t="s">
        <v>22727</v>
      </c>
      <c r="C4375" t="s">
        <v>23125</v>
      </c>
      <c r="D4375" t="s">
        <v>20674</v>
      </c>
      <c r="E4375" t="s">
        <v>20675</v>
      </c>
      <c r="F4375" t="s">
        <v>21223</v>
      </c>
      <c r="G4375" t="s">
        <v>21223</v>
      </c>
      <c r="H4375" t="s">
        <v>868</v>
      </c>
      <c r="I4375" t="s">
        <v>869</v>
      </c>
      <c r="J4375" t="str">
        <f>"9350150"</f>
        <v>9350150</v>
      </c>
      <c r="K4375">
        <v>2428076225</v>
      </c>
      <c r="L4375">
        <v>2428076225</v>
      </c>
      <c r="M4375" t="s">
        <v>23126</v>
      </c>
      <c r="N4375" t="s">
        <v>22808</v>
      </c>
      <c r="O4375" t="s">
        <v>23127</v>
      </c>
      <c r="P4375">
        <v>37400</v>
      </c>
      <c r="Q4375" t="str">
        <f>"39.279932"</f>
        <v>39.279932</v>
      </c>
      <c r="R4375" t="str">
        <f>"22.815626"</f>
        <v>22.815626</v>
      </c>
      <c r="S4375" t="s">
        <v>26</v>
      </c>
    </row>
    <row r="4376" spans="1:19" x14ac:dyDescent="0.3">
      <c r="A4376" t="s">
        <v>20660</v>
      </c>
      <c r="B4376" t="s">
        <v>22727</v>
      </c>
      <c r="C4376" t="s">
        <v>23128</v>
      </c>
      <c r="D4376" t="s">
        <v>20674</v>
      </c>
      <c r="E4376" t="s">
        <v>20675</v>
      </c>
      <c r="F4376" t="s">
        <v>20675</v>
      </c>
      <c r="G4376" t="s">
        <v>20675</v>
      </c>
      <c r="H4376" t="s">
        <v>868</v>
      </c>
      <c r="I4376" t="s">
        <v>869</v>
      </c>
      <c r="J4376" t="str">
        <f>"9350062"</f>
        <v>9350062</v>
      </c>
      <c r="K4376">
        <v>2421039596</v>
      </c>
      <c r="L4376">
        <v>2421039596</v>
      </c>
      <c r="M4376" t="s">
        <v>23129</v>
      </c>
      <c r="N4376" t="s">
        <v>20675</v>
      </c>
      <c r="O4376" t="s">
        <v>23130</v>
      </c>
      <c r="P4376">
        <v>38333</v>
      </c>
      <c r="Q4376" t="str">
        <f>"39.365467"</f>
        <v>39.365467</v>
      </c>
      <c r="R4376" t="str">
        <f>"22.942551"</f>
        <v>22.942551</v>
      </c>
      <c r="S4376" t="s">
        <v>26</v>
      </c>
    </row>
    <row r="4377" spans="1:19" x14ac:dyDescent="0.3">
      <c r="A4377" t="s">
        <v>20660</v>
      </c>
      <c r="B4377" t="s">
        <v>22727</v>
      </c>
      <c r="C4377" t="s">
        <v>21337</v>
      </c>
      <c r="D4377" t="s">
        <v>20674</v>
      </c>
      <c r="E4377" t="s">
        <v>21199</v>
      </c>
      <c r="F4377" t="s">
        <v>21332</v>
      </c>
      <c r="G4377" t="s">
        <v>21332</v>
      </c>
      <c r="H4377" t="s">
        <v>868</v>
      </c>
      <c r="I4377" t="s">
        <v>869</v>
      </c>
      <c r="J4377" t="str">
        <f>"9350020"</f>
        <v>9350020</v>
      </c>
      <c r="K4377">
        <v>2423054227</v>
      </c>
      <c r="L4377">
        <v>2423054227</v>
      </c>
      <c r="M4377" t="s">
        <v>23131</v>
      </c>
      <c r="N4377" t="s">
        <v>21336</v>
      </c>
      <c r="O4377" t="s">
        <v>21336</v>
      </c>
      <c r="P4377">
        <v>37006</v>
      </c>
      <c r="Q4377" t="str">
        <f>"39.226003"</f>
        <v>39.226003</v>
      </c>
      <c r="R4377" t="str">
        <f>"23.221715"</f>
        <v>23.221715</v>
      </c>
      <c r="S4377" t="s">
        <v>26</v>
      </c>
    </row>
    <row r="4378" spans="1:19" x14ac:dyDescent="0.3">
      <c r="A4378" t="s">
        <v>20660</v>
      </c>
      <c r="B4378" t="s">
        <v>22727</v>
      </c>
      <c r="C4378" t="s">
        <v>21358</v>
      </c>
      <c r="D4378" t="s">
        <v>20674</v>
      </c>
      <c r="E4378" t="s">
        <v>20675</v>
      </c>
      <c r="F4378" t="s">
        <v>20675</v>
      </c>
      <c r="G4378" t="s">
        <v>20675</v>
      </c>
      <c r="H4378" t="s">
        <v>868</v>
      </c>
      <c r="I4378" t="s">
        <v>869</v>
      </c>
      <c r="J4378" t="str">
        <f>"9350056"</f>
        <v>9350056</v>
      </c>
      <c r="K4378">
        <v>2421072339</v>
      </c>
      <c r="L4378">
        <v>2421072339</v>
      </c>
      <c r="M4378" t="s">
        <v>23138</v>
      </c>
      <c r="N4378" t="s">
        <v>20678</v>
      </c>
      <c r="O4378" t="s">
        <v>23139</v>
      </c>
      <c r="P4378">
        <v>38333</v>
      </c>
      <c r="Q4378" t="str">
        <f>"39.370605"</f>
        <v>39.370605</v>
      </c>
      <c r="R4378" t="str">
        <f>"22.943208"</f>
        <v>22.943208</v>
      </c>
      <c r="S4378" t="s">
        <v>26</v>
      </c>
    </row>
    <row r="4379" spans="1:19" x14ac:dyDescent="0.3">
      <c r="A4379" t="s">
        <v>20660</v>
      </c>
      <c r="B4379" t="s">
        <v>22727</v>
      </c>
      <c r="C4379" t="s">
        <v>23160</v>
      </c>
      <c r="D4379" t="s">
        <v>20674</v>
      </c>
      <c r="E4379" t="s">
        <v>20675</v>
      </c>
      <c r="F4379" t="s">
        <v>21217</v>
      </c>
      <c r="G4379" t="s">
        <v>21217</v>
      </c>
      <c r="H4379" t="s">
        <v>868</v>
      </c>
      <c r="I4379" t="s">
        <v>1157</v>
      </c>
      <c r="J4379" t="str">
        <f>"9520728"</f>
        <v>9520728</v>
      </c>
      <c r="K4379">
        <v>2428097055</v>
      </c>
      <c r="L4379">
        <v>2428097055</v>
      </c>
      <c r="M4379" t="s">
        <v>23161</v>
      </c>
      <c r="N4379" t="s">
        <v>23123</v>
      </c>
      <c r="O4379" t="s">
        <v>23162</v>
      </c>
      <c r="P4379">
        <v>37300</v>
      </c>
      <c r="Q4379" t="str">
        <f>"39.349733"</f>
        <v>39.349733</v>
      </c>
      <c r="R4379" t="str">
        <f>"22.996994"</f>
        <v>22.996994</v>
      </c>
      <c r="S4379" t="s">
        <v>26</v>
      </c>
    </row>
    <row r="4380" spans="1:19" x14ac:dyDescent="0.3">
      <c r="A4380" t="s">
        <v>20660</v>
      </c>
      <c r="B4380" t="s">
        <v>22727</v>
      </c>
      <c r="C4380" t="s">
        <v>23166</v>
      </c>
      <c r="D4380" t="s">
        <v>20674</v>
      </c>
      <c r="E4380" t="s">
        <v>20675</v>
      </c>
      <c r="F4380" t="s">
        <v>20675</v>
      </c>
      <c r="G4380" t="s">
        <v>20675</v>
      </c>
      <c r="H4380" t="s">
        <v>868</v>
      </c>
      <c r="I4380" t="s">
        <v>869</v>
      </c>
      <c r="J4380" t="str">
        <f>"9350203"</f>
        <v>9350203</v>
      </c>
      <c r="K4380">
        <v>2421072377</v>
      </c>
      <c r="L4380">
        <v>2421072377</v>
      </c>
      <c r="M4380" t="s">
        <v>23167</v>
      </c>
      <c r="N4380" t="s">
        <v>20678</v>
      </c>
      <c r="O4380" t="s">
        <v>23168</v>
      </c>
      <c r="P4380">
        <v>38333</v>
      </c>
      <c r="Q4380" t="str">
        <f>"39.371504"</f>
        <v>39.371504</v>
      </c>
      <c r="R4380" t="str">
        <f>"22.951424"</f>
        <v>22.951424</v>
      </c>
      <c r="S4380" t="s">
        <v>26</v>
      </c>
    </row>
    <row r="4381" spans="1:19" x14ac:dyDescent="0.3">
      <c r="A4381" t="s">
        <v>20660</v>
      </c>
      <c r="B4381" t="s">
        <v>22727</v>
      </c>
      <c r="C4381" t="s">
        <v>21324</v>
      </c>
      <c r="D4381" t="s">
        <v>20674</v>
      </c>
      <c r="E4381" t="s">
        <v>20675</v>
      </c>
      <c r="F4381" t="s">
        <v>20675</v>
      </c>
      <c r="G4381" t="s">
        <v>20675</v>
      </c>
      <c r="H4381" t="s">
        <v>868</v>
      </c>
      <c r="I4381" t="s">
        <v>869</v>
      </c>
      <c r="J4381" t="str">
        <f>"9350063"</f>
        <v>9350063</v>
      </c>
      <c r="K4381">
        <v>2421085734</v>
      </c>
      <c r="L4381">
        <v>2421085734</v>
      </c>
      <c r="M4381" t="s">
        <v>23176</v>
      </c>
      <c r="N4381" t="s">
        <v>20678</v>
      </c>
      <c r="O4381" t="s">
        <v>23177</v>
      </c>
      <c r="P4381">
        <v>38334</v>
      </c>
      <c r="Q4381" t="str">
        <f>"39.359208"</f>
        <v>39.359208</v>
      </c>
      <c r="R4381" t="str">
        <f>"22.924557"</f>
        <v>22.924557</v>
      </c>
      <c r="S4381" t="s">
        <v>26</v>
      </c>
    </row>
    <row r="4382" spans="1:19" x14ac:dyDescent="0.3">
      <c r="A4382" t="s">
        <v>20660</v>
      </c>
      <c r="B4382" t="s">
        <v>22727</v>
      </c>
      <c r="C4382" t="s">
        <v>23182</v>
      </c>
      <c r="D4382" t="s">
        <v>20674</v>
      </c>
      <c r="E4382" t="s">
        <v>21199</v>
      </c>
      <c r="F4382" t="s">
        <v>22931</v>
      </c>
      <c r="G4382" t="s">
        <v>23181</v>
      </c>
      <c r="H4382" t="s">
        <v>868</v>
      </c>
      <c r="I4382" t="s">
        <v>950</v>
      </c>
      <c r="J4382" t="str">
        <f>"9350029"</f>
        <v>9350029</v>
      </c>
      <c r="K4382">
        <v>2423065294</v>
      </c>
      <c r="L4382">
        <v>2423065294</v>
      </c>
      <c r="M4382" t="s">
        <v>23183</v>
      </c>
      <c r="N4382" t="s">
        <v>23184</v>
      </c>
      <c r="O4382" t="s">
        <v>23184</v>
      </c>
      <c r="P4382">
        <v>37006</v>
      </c>
      <c r="Q4382" t="str">
        <f>"39.173229"</f>
        <v>39.173229</v>
      </c>
      <c r="R4382" t="str">
        <f>"23.247311"</f>
        <v>23.247311</v>
      </c>
      <c r="S4382" t="s">
        <v>26</v>
      </c>
    </row>
    <row r="4383" spans="1:19" x14ac:dyDescent="0.3">
      <c r="A4383" t="s">
        <v>20660</v>
      </c>
      <c r="B4383" t="s">
        <v>22727</v>
      </c>
      <c r="C4383" t="s">
        <v>23185</v>
      </c>
      <c r="D4383" t="s">
        <v>21210</v>
      </c>
      <c r="E4383" t="s">
        <v>13139</v>
      </c>
      <c r="F4383" t="s">
        <v>13139</v>
      </c>
      <c r="G4383" t="s">
        <v>22922</v>
      </c>
      <c r="H4383" t="s">
        <v>868</v>
      </c>
      <c r="I4383" t="s">
        <v>950</v>
      </c>
      <c r="J4383" t="str">
        <f>"9350049"</f>
        <v>9350049</v>
      </c>
      <c r="K4383">
        <v>2424033595</v>
      </c>
      <c r="M4383" t="s">
        <v>23186</v>
      </c>
      <c r="N4383" t="s">
        <v>23187</v>
      </c>
      <c r="O4383" t="s">
        <v>23188</v>
      </c>
      <c r="P4383">
        <v>37004</v>
      </c>
      <c r="Q4383" t="str">
        <f>"39.139318"</f>
        <v>39.139318</v>
      </c>
      <c r="R4383" t="str">
        <f>"23.645694"</f>
        <v>23.645694</v>
      </c>
      <c r="S4383" t="s">
        <v>57</v>
      </c>
    </row>
    <row r="4384" spans="1:19" x14ac:dyDescent="0.3">
      <c r="A4384" t="s">
        <v>20660</v>
      </c>
      <c r="B4384" t="s">
        <v>22727</v>
      </c>
      <c r="C4384" t="s">
        <v>23192</v>
      </c>
      <c r="D4384" t="s">
        <v>20674</v>
      </c>
      <c r="E4384" t="s">
        <v>20675</v>
      </c>
      <c r="F4384" t="s">
        <v>4249</v>
      </c>
      <c r="G4384" t="s">
        <v>23050</v>
      </c>
      <c r="H4384" t="s">
        <v>868</v>
      </c>
      <c r="I4384" t="s">
        <v>869</v>
      </c>
      <c r="J4384" t="str">
        <f>"9350019"</f>
        <v>9350019</v>
      </c>
      <c r="K4384">
        <v>2428093213</v>
      </c>
      <c r="L4384">
        <v>2428093213</v>
      </c>
      <c r="M4384" t="s">
        <v>23193</v>
      </c>
      <c r="N4384" t="s">
        <v>23054</v>
      </c>
      <c r="O4384" t="s">
        <v>23054</v>
      </c>
      <c r="P4384">
        <v>37300</v>
      </c>
      <c r="Q4384" t="str">
        <f>"39.328668"</f>
        <v>39.328668</v>
      </c>
      <c r="R4384" t="str">
        <f>"23.054202"</f>
        <v>23.054202</v>
      </c>
      <c r="S4384" t="s">
        <v>26</v>
      </c>
    </row>
    <row r="4385" spans="1:19" x14ac:dyDescent="0.3">
      <c r="A4385" t="s">
        <v>20660</v>
      </c>
      <c r="B4385" t="s">
        <v>22727</v>
      </c>
      <c r="C4385" t="s">
        <v>23202</v>
      </c>
      <c r="D4385" t="s">
        <v>20674</v>
      </c>
      <c r="E4385" t="s">
        <v>21193</v>
      </c>
      <c r="F4385" t="s">
        <v>21696</v>
      </c>
      <c r="G4385" t="s">
        <v>21696</v>
      </c>
      <c r="H4385" t="s">
        <v>868</v>
      </c>
      <c r="I4385" t="s">
        <v>950</v>
      </c>
      <c r="J4385" t="str">
        <f>"9350155"</f>
        <v>9350155</v>
      </c>
      <c r="K4385">
        <v>2232091233</v>
      </c>
      <c r="M4385" t="s">
        <v>23203</v>
      </c>
      <c r="N4385" t="s">
        <v>21699</v>
      </c>
      <c r="O4385" t="s">
        <v>21699</v>
      </c>
      <c r="P4385">
        <v>35010</v>
      </c>
      <c r="Q4385" t="str">
        <f>"39.072126"</f>
        <v>39.072126</v>
      </c>
      <c r="R4385" t="str">
        <f>"22.551950"</f>
        <v>22.551950</v>
      </c>
      <c r="S4385" t="s">
        <v>26</v>
      </c>
    </row>
    <row r="4386" spans="1:19" x14ac:dyDescent="0.3">
      <c r="A4386" t="s">
        <v>20660</v>
      </c>
      <c r="B4386" t="s">
        <v>22727</v>
      </c>
      <c r="C4386" t="s">
        <v>21446</v>
      </c>
      <c r="D4386" t="s">
        <v>21210</v>
      </c>
      <c r="E4386" t="s">
        <v>21441</v>
      </c>
      <c r="F4386" t="s">
        <v>21441</v>
      </c>
      <c r="G4386" t="s">
        <v>21441</v>
      </c>
      <c r="H4386" t="s">
        <v>868</v>
      </c>
      <c r="I4386" t="s">
        <v>869</v>
      </c>
      <c r="J4386" t="str">
        <f>"9350045"</f>
        <v>9350045</v>
      </c>
      <c r="K4386">
        <v>2424065215</v>
      </c>
      <c r="L4386">
        <v>2424065169</v>
      </c>
      <c r="M4386" t="s">
        <v>23204</v>
      </c>
      <c r="N4386" t="s">
        <v>23137</v>
      </c>
      <c r="O4386" t="s">
        <v>23137</v>
      </c>
      <c r="P4386">
        <v>37005</v>
      </c>
      <c r="Q4386" t="str">
        <f>"39.148506"</f>
        <v>39.148506</v>
      </c>
      <c r="R4386" t="str">
        <f>"23.866782"</f>
        <v>23.866782</v>
      </c>
      <c r="S4386" t="s">
        <v>57</v>
      </c>
    </row>
    <row r="4387" spans="1:19" x14ac:dyDescent="0.3">
      <c r="A4387" t="s">
        <v>20660</v>
      </c>
      <c r="B4387" t="s">
        <v>22727</v>
      </c>
      <c r="C4387" t="s">
        <v>23205</v>
      </c>
      <c r="D4387" t="s">
        <v>20674</v>
      </c>
      <c r="E4387" t="s">
        <v>20675</v>
      </c>
      <c r="F4387" t="s">
        <v>21223</v>
      </c>
      <c r="G4387" t="s">
        <v>23090</v>
      </c>
      <c r="H4387" t="s">
        <v>868</v>
      </c>
      <c r="I4387" t="s">
        <v>950</v>
      </c>
      <c r="J4387" t="str">
        <f>"9350273"</f>
        <v>9350273</v>
      </c>
      <c r="K4387">
        <v>2422051297</v>
      </c>
      <c r="M4387" t="s">
        <v>23206</v>
      </c>
      <c r="N4387" t="s">
        <v>23207</v>
      </c>
      <c r="O4387" t="s">
        <v>23208</v>
      </c>
      <c r="P4387">
        <v>37100</v>
      </c>
      <c r="Q4387" t="str">
        <f>"39.247966"</f>
        <v>39.247966</v>
      </c>
      <c r="R4387" t="str">
        <f>"22.740335"</f>
        <v>22.740335</v>
      </c>
      <c r="S4387" t="s">
        <v>26</v>
      </c>
    </row>
    <row r="4388" spans="1:19" x14ac:dyDescent="0.3">
      <c r="A4388" t="s">
        <v>20660</v>
      </c>
      <c r="B4388" t="s">
        <v>22727</v>
      </c>
      <c r="C4388" t="s">
        <v>21293</v>
      </c>
      <c r="D4388" t="s">
        <v>21210</v>
      </c>
      <c r="E4388" t="s">
        <v>13139</v>
      </c>
      <c r="F4388" t="s">
        <v>13139</v>
      </c>
      <c r="G4388" t="s">
        <v>13139</v>
      </c>
      <c r="H4388" t="s">
        <v>868</v>
      </c>
      <c r="I4388" t="s">
        <v>869</v>
      </c>
      <c r="J4388" t="str">
        <f>"9350042"</f>
        <v>9350042</v>
      </c>
      <c r="K4388">
        <v>2424022287</v>
      </c>
      <c r="L4388">
        <v>2424022871</v>
      </c>
      <c r="M4388" t="s">
        <v>23213</v>
      </c>
      <c r="N4388" t="s">
        <v>21292</v>
      </c>
      <c r="O4388" t="s">
        <v>23214</v>
      </c>
      <c r="P4388">
        <v>37003</v>
      </c>
      <c r="Q4388" t="str">
        <f>"39.120065"</f>
        <v>39.120065</v>
      </c>
      <c r="R4388" t="str">
        <f>"23.726142"</f>
        <v>23.726142</v>
      </c>
      <c r="S4388" t="s">
        <v>57</v>
      </c>
    </row>
    <row r="4389" spans="1:19" x14ac:dyDescent="0.3">
      <c r="A4389" t="s">
        <v>20660</v>
      </c>
      <c r="B4389" t="s">
        <v>22727</v>
      </c>
      <c r="C4389" t="s">
        <v>21440</v>
      </c>
      <c r="D4389" t="s">
        <v>20674</v>
      </c>
      <c r="E4389" t="s">
        <v>20675</v>
      </c>
      <c r="F4389" t="s">
        <v>20675</v>
      </c>
      <c r="G4389" t="s">
        <v>20675</v>
      </c>
      <c r="H4389" t="s">
        <v>868</v>
      </c>
      <c r="I4389" t="s">
        <v>869</v>
      </c>
      <c r="J4389" t="str">
        <f>"9350194"</f>
        <v>9350194</v>
      </c>
      <c r="K4389">
        <v>2421039527</v>
      </c>
      <c r="L4389">
        <v>2421039527</v>
      </c>
      <c r="M4389" t="s">
        <v>23228</v>
      </c>
      <c r="N4389" t="s">
        <v>22839</v>
      </c>
      <c r="O4389" t="s">
        <v>23229</v>
      </c>
      <c r="P4389">
        <v>38221</v>
      </c>
      <c r="Q4389" t="str">
        <f>"39.360505"</f>
        <v>39.360505</v>
      </c>
      <c r="R4389" t="str">
        <f>"22.952124"</f>
        <v>22.952124</v>
      </c>
      <c r="S4389" t="s">
        <v>26</v>
      </c>
    </row>
    <row r="4390" spans="1:19" x14ac:dyDescent="0.3">
      <c r="A4390" t="s">
        <v>20660</v>
      </c>
      <c r="B4390" t="s">
        <v>22727</v>
      </c>
      <c r="C4390" t="s">
        <v>23230</v>
      </c>
      <c r="D4390" t="s">
        <v>20674</v>
      </c>
      <c r="E4390" t="s">
        <v>20675</v>
      </c>
      <c r="F4390" t="s">
        <v>20675</v>
      </c>
      <c r="G4390" t="s">
        <v>20675</v>
      </c>
      <c r="H4390" t="s">
        <v>868</v>
      </c>
      <c r="I4390" t="s">
        <v>869</v>
      </c>
      <c r="J4390" t="str">
        <f>"9350257"</f>
        <v>9350257</v>
      </c>
      <c r="K4390">
        <v>2421084814</v>
      </c>
      <c r="L4390">
        <v>2421084814</v>
      </c>
      <c r="M4390" t="s">
        <v>23231</v>
      </c>
      <c r="N4390" t="s">
        <v>23232</v>
      </c>
      <c r="O4390" t="s">
        <v>22770</v>
      </c>
      <c r="P4390">
        <v>38334</v>
      </c>
      <c r="Q4390" t="str">
        <f>"39.365074"</f>
        <v>39.365074</v>
      </c>
      <c r="R4390" t="str">
        <f>"22.927090"</f>
        <v>22.927090</v>
      </c>
      <c r="S4390" t="s">
        <v>26</v>
      </c>
    </row>
    <row r="4391" spans="1:19" x14ac:dyDescent="0.3">
      <c r="A4391" t="s">
        <v>20660</v>
      </c>
      <c r="B4391" t="s">
        <v>22727</v>
      </c>
      <c r="C4391" t="s">
        <v>23236</v>
      </c>
      <c r="D4391" t="s">
        <v>20674</v>
      </c>
      <c r="E4391" t="s">
        <v>20675</v>
      </c>
      <c r="F4391" t="s">
        <v>20675</v>
      </c>
      <c r="G4391" t="s">
        <v>20675</v>
      </c>
      <c r="H4391" t="s">
        <v>868</v>
      </c>
      <c r="I4391" t="s">
        <v>869</v>
      </c>
      <c r="J4391" t="str">
        <f>"9350152"</f>
        <v>9350152</v>
      </c>
      <c r="K4391">
        <v>2421088543</v>
      </c>
      <c r="L4391">
        <v>2421088543</v>
      </c>
      <c r="M4391" t="s">
        <v>23237</v>
      </c>
      <c r="N4391" t="s">
        <v>20678</v>
      </c>
      <c r="O4391" t="s">
        <v>23238</v>
      </c>
      <c r="P4391">
        <v>38334</v>
      </c>
      <c r="Q4391" t="str">
        <f>"39.347158"</f>
        <v>39.347158</v>
      </c>
      <c r="R4391" t="str">
        <f>"22.927815"</f>
        <v>22.927815</v>
      </c>
      <c r="S4391" t="s">
        <v>26</v>
      </c>
    </row>
    <row r="4392" spans="1:19" x14ac:dyDescent="0.3">
      <c r="A4392" t="s">
        <v>20660</v>
      </c>
      <c r="B4392" t="s">
        <v>22727</v>
      </c>
      <c r="C4392" t="s">
        <v>21264</v>
      </c>
      <c r="D4392" t="s">
        <v>20674</v>
      </c>
      <c r="E4392" t="s">
        <v>20675</v>
      </c>
      <c r="F4392" t="s">
        <v>3246</v>
      </c>
      <c r="G4392" t="s">
        <v>3246</v>
      </c>
      <c r="H4392" t="s">
        <v>868</v>
      </c>
      <c r="I4392" t="s">
        <v>869</v>
      </c>
      <c r="J4392" t="str">
        <f>"9350143"</f>
        <v>9350143</v>
      </c>
      <c r="K4392">
        <v>2421085735</v>
      </c>
      <c r="L4392">
        <v>2421085735</v>
      </c>
      <c r="M4392" t="s">
        <v>23239</v>
      </c>
      <c r="N4392" t="s">
        <v>23240</v>
      </c>
      <c r="O4392" t="s">
        <v>23241</v>
      </c>
      <c r="P4392">
        <v>38446</v>
      </c>
      <c r="Q4392" t="str">
        <f>"39.382848"</f>
        <v>39.382848</v>
      </c>
      <c r="R4392" t="str">
        <f>"22.935720"</f>
        <v>22.935720</v>
      </c>
      <c r="S4392" t="s">
        <v>26</v>
      </c>
    </row>
    <row r="4393" spans="1:19" x14ac:dyDescent="0.3">
      <c r="A4393" t="s">
        <v>20660</v>
      </c>
      <c r="B4393" t="s">
        <v>22727</v>
      </c>
      <c r="C4393" t="s">
        <v>21260</v>
      </c>
      <c r="D4393" t="s">
        <v>20674</v>
      </c>
      <c r="E4393" t="s">
        <v>20675</v>
      </c>
      <c r="F4393" t="s">
        <v>20675</v>
      </c>
      <c r="G4393" t="s">
        <v>20675</v>
      </c>
      <c r="H4393" t="s">
        <v>868</v>
      </c>
      <c r="I4393" t="s">
        <v>869</v>
      </c>
      <c r="J4393" t="str">
        <f>"9350292"</f>
        <v>9350292</v>
      </c>
      <c r="K4393">
        <v>2421085125</v>
      </c>
      <c r="L4393">
        <v>2421085125</v>
      </c>
      <c r="M4393" t="s">
        <v>23242</v>
      </c>
      <c r="N4393" t="s">
        <v>20678</v>
      </c>
      <c r="O4393" t="s">
        <v>23243</v>
      </c>
      <c r="P4393">
        <v>38500</v>
      </c>
      <c r="Q4393" t="str">
        <f>"39.383544"</f>
        <v>39.383544</v>
      </c>
      <c r="R4393" t="str">
        <f>"22.952532"</f>
        <v>22.952532</v>
      </c>
      <c r="S4393" t="s">
        <v>26</v>
      </c>
    </row>
    <row r="4394" spans="1:19" x14ac:dyDescent="0.3">
      <c r="A4394" t="s">
        <v>20660</v>
      </c>
      <c r="B4394" t="s">
        <v>22727</v>
      </c>
      <c r="C4394" t="s">
        <v>23244</v>
      </c>
      <c r="D4394" t="s">
        <v>20674</v>
      </c>
      <c r="E4394" t="s">
        <v>20675</v>
      </c>
      <c r="F4394" t="s">
        <v>20675</v>
      </c>
      <c r="G4394" t="s">
        <v>20675</v>
      </c>
      <c r="H4394" t="s">
        <v>868</v>
      </c>
      <c r="I4394" t="s">
        <v>869</v>
      </c>
      <c r="J4394" t="str">
        <f>"9350059"</f>
        <v>9350059</v>
      </c>
      <c r="K4394">
        <v>2421039598</v>
      </c>
      <c r="L4394">
        <v>2421039598</v>
      </c>
      <c r="M4394" t="s">
        <v>23245</v>
      </c>
      <c r="N4394" t="s">
        <v>20678</v>
      </c>
      <c r="O4394" t="s">
        <v>23246</v>
      </c>
      <c r="P4394">
        <v>38333</v>
      </c>
      <c r="Q4394" t="str">
        <f>"39.368492"</f>
        <v>39.368492</v>
      </c>
      <c r="R4394" t="str">
        <f>"22.935738"</f>
        <v>22.935738</v>
      </c>
      <c r="S4394" t="s">
        <v>26</v>
      </c>
    </row>
    <row r="4395" spans="1:19" x14ac:dyDescent="0.3">
      <c r="A4395" t="s">
        <v>20660</v>
      </c>
      <c r="B4395" t="s">
        <v>22727</v>
      </c>
      <c r="C4395" t="s">
        <v>23247</v>
      </c>
      <c r="D4395" t="s">
        <v>20674</v>
      </c>
      <c r="E4395" t="s">
        <v>21199</v>
      </c>
      <c r="F4395" t="s">
        <v>21366</v>
      </c>
      <c r="G4395" t="s">
        <v>23171</v>
      </c>
      <c r="H4395" t="s">
        <v>868</v>
      </c>
      <c r="I4395" t="s">
        <v>869</v>
      </c>
      <c r="J4395" t="str">
        <f>"9350027"</f>
        <v>9350027</v>
      </c>
      <c r="K4395">
        <v>2423022023</v>
      </c>
      <c r="L4395">
        <v>2423022023</v>
      </c>
      <c r="M4395" t="s">
        <v>23248</v>
      </c>
      <c r="O4395" t="s">
        <v>23175</v>
      </c>
      <c r="P4395">
        <v>37010</v>
      </c>
      <c r="Q4395" t="str">
        <f>"39.306474"</f>
        <v>39.306474</v>
      </c>
      <c r="R4395" t="str">
        <f>"23.124870"</f>
        <v>23.124870</v>
      </c>
      <c r="S4395" t="s">
        <v>26</v>
      </c>
    </row>
    <row r="4396" spans="1:19" x14ac:dyDescent="0.3">
      <c r="A4396" t="s">
        <v>20660</v>
      </c>
      <c r="B4396" t="s">
        <v>22727</v>
      </c>
      <c r="C4396" t="s">
        <v>23249</v>
      </c>
      <c r="D4396" t="s">
        <v>20674</v>
      </c>
      <c r="E4396" t="s">
        <v>20675</v>
      </c>
      <c r="F4396" t="s">
        <v>20675</v>
      </c>
      <c r="G4396" t="s">
        <v>20675</v>
      </c>
      <c r="H4396" t="s">
        <v>868</v>
      </c>
      <c r="I4396" t="s">
        <v>869</v>
      </c>
      <c r="J4396" t="str">
        <f>"9350151"</f>
        <v>9350151</v>
      </c>
      <c r="K4396">
        <v>2421088130</v>
      </c>
      <c r="L4396">
        <v>2421088130</v>
      </c>
      <c r="M4396" t="s">
        <v>23250</v>
      </c>
      <c r="N4396" t="s">
        <v>20678</v>
      </c>
      <c r="O4396" t="s">
        <v>23251</v>
      </c>
      <c r="P4396">
        <v>38334</v>
      </c>
      <c r="Q4396" t="str">
        <f>"39.335653"</f>
        <v>39.335653</v>
      </c>
      <c r="R4396" t="str">
        <f>"22.933324"</f>
        <v>22.933324</v>
      </c>
      <c r="S4396" t="s">
        <v>26</v>
      </c>
    </row>
    <row r="4397" spans="1:19" x14ac:dyDescent="0.3">
      <c r="A4397" t="s">
        <v>20660</v>
      </c>
      <c r="B4397" t="s">
        <v>22727</v>
      </c>
      <c r="C4397" t="s">
        <v>23252</v>
      </c>
      <c r="D4397" t="s">
        <v>20674</v>
      </c>
      <c r="E4397" t="s">
        <v>21199</v>
      </c>
      <c r="F4397" t="s">
        <v>22931</v>
      </c>
      <c r="G4397" t="s">
        <v>23011</v>
      </c>
      <c r="H4397" t="s">
        <v>868</v>
      </c>
      <c r="I4397" t="s">
        <v>869</v>
      </c>
      <c r="J4397" t="str">
        <f>"9350032"</f>
        <v>9350032</v>
      </c>
      <c r="K4397">
        <v>2423065201</v>
      </c>
      <c r="L4397">
        <v>2423065201</v>
      </c>
      <c r="M4397" t="s">
        <v>23253</v>
      </c>
      <c r="N4397" t="s">
        <v>23015</v>
      </c>
      <c r="O4397" t="s">
        <v>23015</v>
      </c>
      <c r="P4397">
        <v>37013</v>
      </c>
      <c r="Q4397" t="str">
        <f>"39.175420"</f>
        <v>39.175420</v>
      </c>
      <c r="R4397" t="str">
        <f>"23.222805"</f>
        <v>23.222805</v>
      </c>
      <c r="S4397" t="s">
        <v>26</v>
      </c>
    </row>
    <row r="4398" spans="1:19" x14ac:dyDescent="0.3">
      <c r="A4398" t="s">
        <v>20660</v>
      </c>
      <c r="B4398" t="s">
        <v>22727</v>
      </c>
      <c r="C4398" t="s">
        <v>23254</v>
      </c>
      <c r="D4398" t="s">
        <v>20674</v>
      </c>
      <c r="E4398" t="s">
        <v>21199</v>
      </c>
      <c r="F4398" t="s">
        <v>22993</v>
      </c>
      <c r="G4398" t="s">
        <v>13744</v>
      </c>
      <c r="H4398" t="s">
        <v>868</v>
      </c>
      <c r="I4398" t="s">
        <v>869</v>
      </c>
      <c r="J4398" t="str">
        <f>"9350022"</f>
        <v>9350022</v>
      </c>
      <c r="K4398">
        <v>2423055066</v>
      </c>
      <c r="L4398">
        <v>2423055066</v>
      </c>
      <c r="M4398" t="s">
        <v>23255</v>
      </c>
      <c r="N4398" t="s">
        <v>13748</v>
      </c>
      <c r="O4398" t="s">
        <v>13748</v>
      </c>
      <c r="P4398">
        <v>37010</v>
      </c>
      <c r="Q4398" t="str">
        <f>"39.309238"</f>
        <v>39.309238</v>
      </c>
      <c r="R4398" t="str">
        <f>"23.217739"</f>
        <v>23.217739</v>
      </c>
      <c r="S4398" t="s">
        <v>26</v>
      </c>
    </row>
    <row r="4399" spans="1:19" x14ac:dyDescent="0.3">
      <c r="A4399" t="s">
        <v>20660</v>
      </c>
      <c r="B4399" t="s">
        <v>22727</v>
      </c>
      <c r="C4399" t="s">
        <v>21222</v>
      </c>
      <c r="D4399" t="s">
        <v>20674</v>
      </c>
      <c r="E4399" t="s">
        <v>20675</v>
      </c>
      <c r="F4399" t="s">
        <v>21217</v>
      </c>
      <c r="G4399" t="s">
        <v>21217</v>
      </c>
      <c r="H4399" t="s">
        <v>868</v>
      </c>
      <c r="I4399" t="s">
        <v>869</v>
      </c>
      <c r="J4399" t="str">
        <f>"9350258"</f>
        <v>9350258</v>
      </c>
      <c r="K4399">
        <v>2428091393</v>
      </c>
      <c r="L4399">
        <v>2428091393</v>
      </c>
      <c r="M4399" t="s">
        <v>23256</v>
      </c>
      <c r="N4399" t="s">
        <v>23123</v>
      </c>
      <c r="O4399" t="s">
        <v>23257</v>
      </c>
      <c r="P4399">
        <v>37300</v>
      </c>
      <c r="Q4399" t="str">
        <f>"39.344730"</f>
        <v>39.344730</v>
      </c>
      <c r="R4399" t="str">
        <f>"23.005984"</f>
        <v>23.005984</v>
      </c>
      <c r="S4399" t="s">
        <v>26</v>
      </c>
    </row>
    <row r="4400" spans="1:19" x14ac:dyDescent="0.3">
      <c r="A4400" t="s">
        <v>20660</v>
      </c>
      <c r="B4400" t="s">
        <v>22727</v>
      </c>
      <c r="C4400" t="s">
        <v>23258</v>
      </c>
      <c r="D4400" t="s">
        <v>20674</v>
      </c>
      <c r="E4400" t="s">
        <v>20675</v>
      </c>
      <c r="F4400" t="s">
        <v>20675</v>
      </c>
      <c r="G4400" t="s">
        <v>20675</v>
      </c>
      <c r="H4400" t="s">
        <v>868</v>
      </c>
      <c r="I4400" t="s">
        <v>869</v>
      </c>
      <c r="J4400" t="str">
        <f>"9350053"</f>
        <v>9350053</v>
      </c>
      <c r="K4400">
        <v>2421039582</v>
      </c>
      <c r="L4400">
        <v>2421039582</v>
      </c>
      <c r="M4400" t="s">
        <v>23259</v>
      </c>
      <c r="N4400" t="s">
        <v>20678</v>
      </c>
      <c r="O4400" t="s">
        <v>23062</v>
      </c>
      <c r="P4400">
        <v>38333</v>
      </c>
      <c r="Q4400" t="str">
        <f>"39.366721"</f>
        <v>39.366721</v>
      </c>
      <c r="R4400" t="str">
        <f>"22.942807"</f>
        <v>22.942807</v>
      </c>
      <c r="S4400" t="s">
        <v>26</v>
      </c>
    </row>
    <row r="4401" spans="1:19" x14ac:dyDescent="0.3">
      <c r="A4401" t="s">
        <v>20660</v>
      </c>
      <c r="B4401" t="s">
        <v>22727</v>
      </c>
      <c r="C4401" t="s">
        <v>23261</v>
      </c>
      <c r="D4401" t="s">
        <v>20674</v>
      </c>
      <c r="E4401" t="s">
        <v>21250</v>
      </c>
      <c r="F4401" t="s">
        <v>23260</v>
      </c>
      <c r="G4401" t="s">
        <v>23260</v>
      </c>
      <c r="H4401" t="s">
        <v>868</v>
      </c>
      <c r="I4401" t="s">
        <v>950</v>
      </c>
      <c r="J4401" t="str">
        <f>"9350091"</f>
        <v>9350091</v>
      </c>
      <c r="K4401">
        <v>2428073722</v>
      </c>
      <c r="L4401">
        <v>2428073722</v>
      </c>
      <c r="M4401" t="s">
        <v>23262</v>
      </c>
      <c r="N4401" t="s">
        <v>23263</v>
      </c>
      <c r="O4401" t="s">
        <v>23264</v>
      </c>
      <c r="P4401">
        <v>38500</v>
      </c>
      <c r="Q4401" t="str">
        <f>"39.573153"</f>
        <v>39.573153</v>
      </c>
      <c r="R4401" t="str">
        <f>"22.910989"</f>
        <v>22.910989</v>
      </c>
      <c r="S4401" t="s">
        <v>26</v>
      </c>
    </row>
    <row r="4402" spans="1:19" x14ac:dyDescent="0.3">
      <c r="A4402" t="s">
        <v>20660</v>
      </c>
      <c r="B4402" t="s">
        <v>22727</v>
      </c>
      <c r="C4402" t="s">
        <v>21467</v>
      </c>
      <c r="D4402" t="s">
        <v>20674</v>
      </c>
      <c r="E4402" t="s">
        <v>20675</v>
      </c>
      <c r="F4402" t="s">
        <v>21461</v>
      </c>
      <c r="G4402" t="s">
        <v>23265</v>
      </c>
      <c r="H4402" t="s">
        <v>868</v>
      </c>
      <c r="I4402" t="s">
        <v>869</v>
      </c>
      <c r="J4402" t="str">
        <f>"9350281"</f>
        <v>9350281</v>
      </c>
      <c r="K4402">
        <v>2421072383</v>
      </c>
      <c r="L4402">
        <v>2421072383</v>
      </c>
      <c r="M4402" t="s">
        <v>23266</v>
      </c>
      <c r="N4402" t="s">
        <v>23267</v>
      </c>
      <c r="O4402" t="s">
        <v>23268</v>
      </c>
      <c r="P4402">
        <v>38500</v>
      </c>
      <c r="Q4402" t="str">
        <f>"39.382185"</f>
        <v>39.382185</v>
      </c>
      <c r="R4402" t="str">
        <f>"22.973248"</f>
        <v>22.973248</v>
      </c>
      <c r="S4402" t="s">
        <v>26</v>
      </c>
    </row>
    <row r="4403" spans="1:19" x14ac:dyDescent="0.3">
      <c r="A4403" t="s">
        <v>20660</v>
      </c>
      <c r="B4403" t="s">
        <v>22727</v>
      </c>
      <c r="C4403" t="s">
        <v>23269</v>
      </c>
      <c r="D4403" t="s">
        <v>21210</v>
      </c>
      <c r="E4403" t="s">
        <v>21211</v>
      </c>
      <c r="F4403" t="s">
        <v>21211</v>
      </c>
      <c r="G4403" t="s">
        <v>21211</v>
      </c>
      <c r="H4403" t="s">
        <v>868</v>
      </c>
      <c r="I4403" t="s">
        <v>869</v>
      </c>
      <c r="J4403" t="str">
        <f>"9350267"</f>
        <v>9350267</v>
      </c>
      <c r="K4403">
        <v>2427022227</v>
      </c>
      <c r="L4403">
        <v>2427022227</v>
      </c>
      <c r="M4403" t="s">
        <v>23270</v>
      </c>
      <c r="N4403" t="s">
        <v>23271</v>
      </c>
      <c r="O4403" t="s">
        <v>23271</v>
      </c>
      <c r="P4403">
        <v>37002</v>
      </c>
      <c r="Q4403" t="str">
        <f>"39.165874"</f>
        <v>39.165874</v>
      </c>
      <c r="R4403" t="str">
        <f>"23.492446"</f>
        <v>23.492446</v>
      </c>
      <c r="S4403" t="s">
        <v>57</v>
      </c>
    </row>
    <row r="4404" spans="1:19" x14ac:dyDescent="0.3">
      <c r="A4404" t="s">
        <v>20660</v>
      </c>
      <c r="B4404" t="s">
        <v>22727</v>
      </c>
      <c r="C4404" t="s">
        <v>21350</v>
      </c>
      <c r="D4404" t="s">
        <v>20674</v>
      </c>
      <c r="E4404" t="s">
        <v>21250</v>
      </c>
      <c r="F4404" t="s">
        <v>21344</v>
      </c>
      <c r="G4404" t="s">
        <v>21345</v>
      </c>
      <c r="H4404" t="s">
        <v>868</v>
      </c>
      <c r="I4404" t="s">
        <v>869</v>
      </c>
      <c r="J4404" t="str">
        <f>"9350109"</f>
        <v>9350109</v>
      </c>
      <c r="K4404">
        <v>2425041289</v>
      </c>
      <c r="L4404">
        <v>2425041630</v>
      </c>
      <c r="M4404" t="s">
        <v>23272</v>
      </c>
      <c r="N4404" t="s">
        <v>23273</v>
      </c>
      <c r="O4404" t="s">
        <v>23274</v>
      </c>
      <c r="P4404">
        <v>37500</v>
      </c>
      <c r="Q4404" t="str">
        <f>"39.464257"</f>
        <v>39.464257</v>
      </c>
      <c r="R4404" t="str">
        <f>"22.742906"</f>
        <v>22.742906</v>
      </c>
      <c r="S4404" t="s">
        <v>26</v>
      </c>
    </row>
    <row r="4405" spans="1:19" x14ac:dyDescent="0.3">
      <c r="A4405" t="s">
        <v>20660</v>
      </c>
      <c r="B4405" t="s">
        <v>22727</v>
      </c>
      <c r="C4405" t="s">
        <v>21242</v>
      </c>
      <c r="D4405" t="s">
        <v>20674</v>
      </c>
      <c r="E4405" t="s">
        <v>21229</v>
      </c>
      <c r="F4405" t="s">
        <v>21237</v>
      </c>
      <c r="G4405" t="s">
        <v>21237</v>
      </c>
      <c r="H4405" t="s">
        <v>868</v>
      </c>
      <c r="I4405" t="s">
        <v>869</v>
      </c>
      <c r="J4405" t="str">
        <f>"9350280"</f>
        <v>9350280</v>
      </c>
      <c r="K4405">
        <v>2426022628</v>
      </c>
      <c r="L4405">
        <v>2426022650</v>
      </c>
      <c r="M4405" t="s">
        <v>23275</v>
      </c>
      <c r="N4405" t="s">
        <v>23276</v>
      </c>
      <c r="O4405" t="s">
        <v>23276</v>
      </c>
      <c r="P4405">
        <v>37001</v>
      </c>
      <c r="Q4405" t="str">
        <f>"39.443670"</f>
        <v>39.443670</v>
      </c>
      <c r="R4405" t="str">
        <f>"23.104870"</f>
        <v>23.104870</v>
      </c>
      <c r="S4405" t="s">
        <v>26</v>
      </c>
    </row>
    <row r="4406" spans="1:19" x14ac:dyDescent="0.3">
      <c r="A4406" t="s">
        <v>20660</v>
      </c>
      <c r="B4406" t="s">
        <v>22727</v>
      </c>
      <c r="C4406" t="s">
        <v>21256</v>
      </c>
      <c r="D4406" t="s">
        <v>20674</v>
      </c>
      <c r="E4406" t="s">
        <v>21250</v>
      </c>
      <c r="F4406" t="s">
        <v>203</v>
      </c>
      <c r="G4406" t="s">
        <v>21251</v>
      </c>
      <c r="H4406" t="s">
        <v>868</v>
      </c>
      <c r="I4406" t="s">
        <v>869</v>
      </c>
      <c r="J4406" t="str">
        <f>"9350260"</f>
        <v>9350260</v>
      </c>
      <c r="K4406">
        <v>2425022523</v>
      </c>
      <c r="L4406">
        <v>2425022523</v>
      </c>
      <c r="M4406" t="s">
        <v>23277</v>
      </c>
      <c r="N4406" t="s">
        <v>21254</v>
      </c>
      <c r="O4406" t="s">
        <v>23278</v>
      </c>
      <c r="P4406">
        <v>37500</v>
      </c>
      <c r="Q4406" t="str">
        <f>"39.380575"</f>
        <v>39.380575</v>
      </c>
      <c r="R4406" t="str">
        <f>"22.745536"</f>
        <v>22.745536</v>
      </c>
      <c r="S4406" t="s">
        <v>26</v>
      </c>
    </row>
    <row r="4407" spans="1:19" x14ac:dyDescent="0.3">
      <c r="A4407" t="s">
        <v>20660</v>
      </c>
      <c r="B4407" t="s">
        <v>22727</v>
      </c>
      <c r="C4407" t="s">
        <v>23279</v>
      </c>
      <c r="D4407" t="s">
        <v>20674</v>
      </c>
      <c r="E4407" t="s">
        <v>20675</v>
      </c>
      <c r="F4407" t="s">
        <v>22987</v>
      </c>
      <c r="G4407" t="s">
        <v>22987</v>
      </c>
      <c r="H4407" t="s">
        <v>868</v>
      </c>
      <c r="I4407" t="s">
        <v>869</v>
      </c>
      <c r="J4407" t="str">
        <f>"9350107"</f>
        <v>9350107</v>
      </c>
      <c r="K4407">
        <v>2428090240</v>
      </c>
      <c r="L4407">
        <v>2428090240</v>
      </c>
      <c r="M4407" t="s">
        <v>23280</v>
      </c>
      <c r="N4407" t="s">
        <v>23281</v>
      </c>
      <c r="O4407" t="s">
        <v>23281</v>
      </c>
      <c r="P4407">
        <v>37011</v>
      </c>
      <c r="Q4407" t="str">
        <f>"39.388846"</f>
        <v>39.388846</v>
      </c>
      <c r="R4407" t="str">
        <f>"22.999931"</f>
        <v>22.999931</v>
      </c>
      <c r="S4407" t="s">
        <v>26</v>
      </c>
    </row>
    <row r="4408" spans="1:19" x14ac:dyDescent="0.3">
      <c r="A4408" t="s">
        <v>20660</v>
      </c>
      <c r="B4408" t="s">
        <v>22727</v>
      </c>
      <c r="C4408" t="s">
        <v>23282</v>
      </c>
      <c r="D4408" t="s">
        <v>20674</v>
      </c>
      <c r="E4408" t="s">
        <v>20675</v>
      </c>
      <c r="F4408" t="s">
        <v>22791</v>
      </c>
      <c r="G4408" t="s">
        <v>22802</v>
      </c>
      <c r="H4408" t="s">
        <v>868</v>
      </c>
      <c r="I4408" t="s">
        <v>869</v>
      </c>
      <c r="J4408" t="str">
        <f>"9350204"</f>
        <v>9350204</v>
      </c>
      <c r="K4408">
        <v>2421085743</v>
      </c>
      <c r="L4408">
        <v>2421085743</v>
      </c>
      <c r="M4408" t="s">
        <v>23283</v>
      </c>
      <c r="N4408" t="s">
        <v>23284</v>
      </c>
      <c r="O4408" t="s">
        <v>22805</v>
      </c>
      <c r="P4408">
        <v>38500</v>
      </c>
      <c r="Q4408" t="str">
        <f>"39.364195"</f>
        <v>39.364195</v>
      </c>
      <c r="R4408" t="str">
        <f>"22.908200"</f>
        <v>22.908200</v>
      </c>
      <c r="S4408" t="s">
        <v>26</v>
      </c>
    </row>
    <row r="4409" spans="1:19" x14ac:dyDescent="0.3">
      <c r="A4409" t="s">
        <v>20660</v>
      </c>
      <c r="B4409" t="s">
        <v>22727</v>
      </c>
      <c r="C4409" t="s">
        <v>21216</v>
      </c>
      <c r="D4409" t="s">
        <v>21210</v>
      </c>
      <c r="E4409" t="s">
        <v>21211</v>
      </c>
      <c r="F4409" t="s">
        <v>21211</v>
      </c>
      <c r="G4409" t="s">
        <v>21211</v>
      </c>
      <c r="H4409" t="s">
        <v>868</v>
      </c>
      <c r="I4409" t="s">
        <v>869</v>
      </c>
      <c r="J4409" t="str">
        <f>"9350268"</f>
        <v>9350268</v>
      </c>
      <c r="K4409">
        <v>2427022504</v>
      </c>
      <c r="L4409">
        <v>2427022504</v>
      </c>
      <c r="M4409" t="s">
        <v>23285</v>
      </c>
      <c r="N4409" t="s">
        <v>23271</v>
      </c>
      <c r="O4409" t="s">
        <v>21216</v>
      </c>
      <c r="P4409">
        <v>37002</v>
      </c>
      <c r="Q4409" t="str">
        <f>"39.167433"</f>
        <v>39.167433</v>
      </c>
      <c r="R4409" t="str">
        <f>"23.486260"</f>
        <v>23.486260</v>
      </c>
      <c r="S4409" t="s">
        <v>57</v>
      </c>
    </row>
    <row r="4410" spans="1:19" x14ac:dyDescent="0.3">
      <c r="A4410" t="s">
        <v>20660</v>
      </c>
      <c r="B4410" t="s">
        <v>22727</v>
      </c>
      <c r="C4410" t="s">
        <v>23286</v>
      </c>
      <c r="D4410" t="s">
        <v>20674</v>
      </c>
      <c r="E4410" t="s">
        <v>21250</v>
      </c>
      <c r="F4410" t="s">
        <v>203</v>
      </c>
      <c r="G4410" t="s">
        <v>21251</v>
      </c>
      <c r="H4410" t="s">
        <v>868</v>
      </c>
      <c r="I4410" t="s">
        <v>869</v>
      </c>
      <c r="J4410" t="str">
        <f>"9350261"</f>
        <v>9350261</v>
      </c>
      <c r="K4410">
        <v>2425022939</v>
      </c>
      <c r="L4410">
        <v>2425024238</v>
      </c>
      <c r="M4410" t="s">
        <v>23287</v>
      </c>
      <c r="N4410" t="s">
        <v>21254</v>
      </c>
      <c r="O4410" t="s">
        <v>21254</v>
      </c>
      <c r="P4410">
        <v>37500</v>
      </c>
      <c r="Q4410" t="str">
        <f>"39.382079"</f>
        <v>39.382079</v>
      </c>
      <c r="R4410" t="str">
        <f>"22.740511"</f>
        <v>22.740511</v>
      </c>
      <c r="S4410" t="s">
        <v>26</v>
      </c>
    </row>
    <row r="4411" spans="1:19" x14ac:dyDescent="0.3">
      <c r="A4411" t="s">
        <v>20660</v>
      </c>
      <c r="B4411" t="s">
        <v>22727</v>
      </c>
      <c r="C4411" t="s">
        <v>21385</v>
      </c>
      <c r="D4411" t="s">
        <v>20674</v>
      </c>
      <c r="E4411" t="s">
        <v>21250</v>
      </c>
      <c r="F4411" t="s">
        <v>21344</v>
      </c>
      <c r="G4411" t="s">
        <v>21380</v>
      </c>
      <c r="H4411" t="s">
        <v>868</v>
      </c>
      <c r="I4411" t="s">
        <v>869</v>
      </c>
      <c r="J4411" t="str">
        <f>"9350089"</f>
        <v>9350089</v>
      </c>
      <c r="K4411">
        <v>2428073213</v>
      </c>
      <c r="L4411">
        <v>2428073213</v>
      </c>
      <c r="M4411" t="s">
        <v>23288</v>
      </c>
      <c r="N4411" t="s">
        <v>21383</v>
      </c>
      <c r="O4411" t="s">
        <v>21383</v>
      </c>
      <c r="P4411">
        <v>38500</v>
      </c>
      <c r="Q4411" t="str">
        <f>"39.498172"</f>
        <v>39.498172</v>
      </c>
      <c r="R4411" t="str">
        <f>"22.887265"</f>
        <v>22.887265</v>
      </c>
      <c r="S4411" t="s">
        <v>26</v>
      </c>
    </row>
    <row r="4412" spans="1:19" x14ac:dyDescent="0.3">
      <c r="A4412" t="s">
        <v>20660</v>
      </c>
      <c r="B4412" t="s">
        <v>22727</v>
      </c>
      <c r="C4412" t="s">
        <v>23290</v>
      </c>
      <c r="D4412" t="s">
        <v>20674</v>
      </c>
      <c r="E4412" t="s">
        <v>21250</v>
      </c>
      <c r="F4412" t="s">
        <v>203</v>
      </c>
      <c r="G4412" t="s">
        <v>23289</v>
      </c>
      <c r="H4412" t="s">
        <v>868</v>
      </c>
      <c r="I4412" t="s">
        <v>950</v>
      </c>
      <c r="J4412" t="str">
        <f>"9350075"</f>
        <v>9350075</v>
      </c>
      <c r="K4412">
        <v>2425022473</v>
      </c>
      <c r="L4412">
        <v>2425022473</v>
      </c>
      <c r="M4412" t="s">
        <v>23291</v>
      </c>
      <c r="N4412" t="s">
        <v>23292</v>
      </c>
      <c r="O4412" t="s">
        <v>23293</v>
      </c>
      <c r="P4412">
        <v>37500</v>
      </c>
      <c r="Q4412" t="str">
        <f>"39.367264"</f>
        <v>39.367264</v>
      </c>
      <c r="R4412" t="str">
        <f>"22.775713"</f>
        <v>22.775713</v>
      </c>
      <c r="S4412" t="s">
        <v>26</v>
      </c>
    </row>
    <row r="4413" spans="1:19" x14ac:dyDescent="0.3">
      <c r="A4413" t="s">
        <v>20660</v>
      </c>
      <c r="B4413" t="s">
        <v>22727</v>
      </c>
      <c r="C4413" t="s">
        <v>23295</v>
      </c>
      <c r="D4413" t="s">
        <v>20674</v>
      </c>
      <c r="E4413" t="s">
        <v>21250</v>
      </c>
      <c r="F4413" t="s">
        <v>203</v>
      </c>
      <c r="G4413" t="s">
        <v>23294</v>
      </c>
      <c r="H4413" t="s">
        <v>868</v>
      </c>
      <c r="I4413" t="s">
        <v>950</v>
      </c>
      <c r="J4413" t="str">
        <f>"9350078"</f>
        <v>9350078</v>
      </c>
      <c r="K4413">
        <v>2425022738</v>
      </c>
      <c r="L4413">
        <v>2425022738</v>
      </c>
      <c r="M4413" t="s">
        <v>23296</v>
      </c>
      <c r="N4413" t="s">
        <v>23297</v>
      </c>
      <c r="P4413">
        <v>37500</v>
      </c>
      <c r="Q4413" t="str">
        <f>"39.333704"</f>
        <v>39.333704</v>
      </c>
      <c r="R4413" t="str">
        <f>"22.759122"</f>
        <v>22.759122</v>
      </c>
      <c r="S4413" t="s">
        <v>26</v>
      </c>
    </row>
    <row r="4414" spans="1:19" x14ac:dyDescent="0.3">
      <c r="A4414" t="s">
        <v>20660</v>
      </c>
      <c r="B4414" t="s">
        <v>22727</v>
      </c>
      <c r="C4414" t="s">
        <v>21276</v>
      </c>
      <c r="D4414" t="s">
        <v>20674</v>
      </c>
      <c r="E4414" t="s">
        <v>20675</v>
      </c>
      <c r="F4414" t="s">
        <v>20675</v>
      </c>
      <c r="G4414" t="s">
        <v>20675</v>
      </c>
      <c r="H4414" t="s">
        <v>868</v>
      </c>
      <c r="I4414" t="s">
        <v>869</v>
      </c>
      <c r="J4414" t="str">
        <f>"9350008"</f>
        <v>9350008</v>
      </c>
      <c r="K4414">
        <v>2421039561</v>
      </c>
      <c r="L4414">
        <v>2421039561</v>
      </c>
      <c r="M4414" t="s">
        <v>23342</v>
      </c>
      <c r="N4414" t="s">
        <v>20678</v>
      </c>
      <c r="O4414" t="s">
        <v>9294</v>
      </c>
      <c r="P4414">
        <v>38222</v>
      </c>
      <c r="Q4414" t="str">
        <f>"39.356262"</f>
        <v>39.356262</v>
      </c>
      <c r="R4414" t="str">
        <f>"22.958214"</f>
        <v>22.958214</v>
      </c>
      <c r="S4414" t="s">
        <v>26</v>
      </c>
    </row>
    <row r="4415" spans="1:19" x14ac:dyDescent="0.3">
      <c r="A4415" t="s">
        <v>20660</v>
      </c>
      <c r="B4415" t="s">
        <v>22727</v>
      </c>
      <c r="C4415" t="s">
        <v>23343</v>
      </c>
      <c r="D4415" t="s">
        <v>20674</v>
      </c>
      <c r="E4415" t="s">
        <v>21250</v>
      </c>
      <c r="F4415" t="s">
        <v>203</v>
      </c>
      <c r="G4415" t="s">
        <v>21251</v>
      </c>
      <c r="H4415" t="s">
        <v>868</v>
      </c>
      <c r="I4415" t="s">
        <v>1157</v>
      </c>
      <c r="J4415" t="str">
        <f>"9521030"</f>
        <v>9521030</v>
      </c>
      <c r="K4415">
        <v>2425023124</v>
      </c>
      <c r="M4415" t="s">
        <v>23344</v>
      </c>
      <c r="N4415" t="s">
        <v>21254</v>
      </c>
      <c r="O4415" t="s">
        <v>21250</v>
      </c>
      <c r="P4415">
        <v>37500</v>
      </c>
      <c r="Q4415" t="str">
        <f>""</f>
        <v/>
      </c>
      <c r="R4415" t="str">
        <f>""</f>
        <v/>
      </c>
      <c r="S4415" t="s">
        <v>26</v>
      </c>
    </row>
    <row r="4416" spans="1:19" x14ac:dyDescent="0.3">
      <c r="A4416" t="s">
        <v>20660</v>
      </c>
      <c r="B4416" t="s">
        <v>22727</v>
      </c>
      <c r="C4416" t="s">
        <v>21209</v>
      </c>
      <c r="D4416" t="s">
        <v>20674</v>
      </c>
      <c r="E4416" t="s">
        <v>21193</v>
      </c>
      <c r="F4416" t="s">
        <v>21205</v>
      </c>
      <c r="G4416" t="s">
        <v>21205</v>
      </c>
      <c r="H4416" t="s">
        <v>868</v>
      </c>
      <c r="I4416" t="s">
        <v>869</v>
      </c>
      <c r="J4416" t="str">
        <f>"9350136"</f>
        <v>9350136</v>
      </c>
      <c r="K4416">
        <v>2422031420</v>
      </c>
      <c r="L4416">
        <v>2422031420</v>
      </c>
      <c r="M4416" t="s">
        <v>23345</v>
      </c>
      <c r="N4416" t="s">
        <v>23021</v>
      </c>
      <c r="O4416" t="s">
        <v>23021</v>
      </c>
      <c r="P4416">
        <v>37008</v>
      </c>
      <c r="Q4416" t="str">
        <f>"39.103777"</f>
        <v>39.103777</v>
      </c>
      <c r="R4416" t="str">
        <f>"22.893308"</f>
        <v>22.893308</v>
      </c>
      <c r="S4416" t="s">
        <v>26</v>
      </c>
    </row>
    <row r="4417" spans="1:19" x14ac:dyDescent="0.3">
      <c r="A4417" t="s">
        <v>20660</v>
      </c>
      <c r="B4417" t="s">
        <v>22727</v>
      </c>
      <c r="C4417" t="s">
        <v>23347</v>
      </c>
      <c r="D4417" t="s">
        <v>20674</v>
      </c>
      <c r="E4417" t="s">
        <v>21193</v>
      </c>
      <c r="F4417" t="s">
        <v>21205</v>
      </c>
      <c r="G4417" t="s">
        <v>23346</v>
      </c>
      <c r="H4417" t="s">
        <v>868</v>
      </c>
      <c r="I4417" t="s">
        <v>950</v>
      </c>
      <c r="J4417" t="str">
        <f>"9350128"</f>
        <v>9350128</v>
      </c>
      <c r="K4417">
        <v>2422031440</v>
      </c>
      <c r="L4417">
        <v>2422031440</v>
      </c>
      <c r="M4417" t="s">
        <v>23348</v>
      </c>
      <c r="N4417" t="s">
        <v>23349</v>
      </c>
      <c r="O4417" t="s">
        <v>23350</v>
      </c>
      <c r="P4417">
        <v>37008</v>
      </c>
      <c r="Q4417" t="str">
        <f>"39.075146"</f>
        <v>39.075146</v>
      </c>
      <c r="R4417" t="str">
        <f>"22.864755"</f>
        <v>22.864755</v>
      </c>
      <c r="S4417" t="s">
        <v>26</v>
      </c>
    </row>
    <row r="4418" spans="1:19" x14ac:dyDescent="0.3">
      <c r="A4418" t="s">
        <v>20660</v>
      </c>
      <c r="B4418" t="s">
        <v>22727</v>
      </c>
      <c r="C4418" t="s">
        <v>23354</v>
      </c>
      <c r="D4418" t="s">
        <v>20674</v>
      </c>
      <c r="E4418" t="s">
        <v>20675</v>
      </c>
      <c r="F4418" t="s">
        <v>20675</v>
      </c>
      <c r="G4418" t="s">
        <v>20675</v>
      </c>
      <c r="H4418" t="s">
        <v>868</v>
      </c>
      <c r="I4418" t="s">
        <v>869</v>
      </c>
      <c r="J4418" t="str">
        <f>"9350072"</f>
        <v>9350072</v>
      </c>
      <c r="K4418">
        <v>2421072375</v>
      </c>
      <c r="L4418">
        <v>2421072375</v>
      </c>
      <c r="M4418" t="s">
        <v>23355</v>
      </c>
      <c r="N4418" t="s">
        <v>20678</v>
      </c>
      <c r="O4418" t="s">
        <v>23356</v>
      </c>
      <c r="P4418">
        <v>38500</v>
      </c>
      <c r="Q4418" t="str">
        <f>"39.379953"</f>
        <v>39.379953</v>
      </c>
      <c r="R4418" t="str">
        <f>"22.964934"</f>
        <v>22.964934</v>
      </c>
      <c r="S4418" t="s">
        <v>26</v>
      </c>
    </row>
    <row r="4419" spans="1:19" x14ac:dyDescent="0.3">
      <c r="A4419" t="s">
        <v>20660</v>
      </c>
      <c r="B4419" t="s">
        <v>22727</v>
      </c>
      <c r="C4419" t="s">
        <v>23360</v>
      </c>
      <c r="D4419" t="s">
        <v>20674</v>
      </c>
      <c r="E4419" t="s">
        <v>21193</v>
      </c>
      <c r="F4419" t="s">
        <v>21193</v>
      </c>
      <c r="G4419" t="s">
        <v>21193</v>
      </c>
      <c r="H4419" t="s">
        <v>868</v>
      </c>
      <c r="I4419" t="s">
        <v>869</v>
      </c>
      <c r="J4419" t="str">
        <f>"9350113"</f>
        <v>9350113</v>
      </c>
      <c r="K4419">
        <v>2422021701</v>
      </c>
      <c r="L4419">
        <v>2422021701</v>
      </c>
      <c r="M4419" t="s">
        <v>23361</v>
      </c>
      <c r="N4419" t="s">
        <v>21493</v>
      </c>
      <c r="O4419" t="s">
        <v>22861</v>
      </c>
      <c r="P4419">
        <v>37100</v>
      </c>
      <c r="Q4419" t="str">
        <f>"39.183182"</f>
        <v>39.183182</v>
      </c>
      <c r="R4419" t="str">
        <f>"22.758858"</f>
        <v>22.758858</v>
      </c>
      <c r="S4419" t="s">
        <v>26</v>
      </c>
    </row>
    <row r="4420" spans="1:19" x14ac:dyDescent="0.3">
      <c r="A4420" t="s">
        <v>20660</v>
      </c>
      <c r="B4420" t="s">
        <v>22727</v>
      </c>
      <c r="C4420" t="s">
        <v>21460</v>
      </c>
      <c r="D4420" t="s">
        <v>20674</v>
      </c>
      <c r="E4420" t="s">
        <v>20675</v>
      </c>
      <c r="F4420" t="s">
        <v>20675</v>
      </c>
      <c r="G4420" t="s">
        <v>20675</v>
      </c>
      <c r="H4420" t="s">
        <v>868</v>
      </c>
      <c r="I4420" t="s">
        <v>869</v>
      </c>
      <c r="J4420" t="str">
        <f>"9350002"</f>
        <v>9350002</v>
      </c>
      <c r="K4420">
        <v>2421072368</v>
      </c>
      <c r="L4420">
        <v>2421072368</v>
      </c>
      <c r="M4420" t="s">
        <v>23366</v>
      </c>
      <c r="N4420" t="s">
        <v>20678</v>
      </c>
      <c r="O4420" t="s">
        <v>23367</v>
      </c>
      <c r="P4420">
        <v>38221</v>
      </c>
      <c r="Q4420" t="str">
        <f>"39.368041"</f>
        <v>39.368041</v>
      </c>
      <c r="R4420" t="str">
        <f>"22.957903"</f>
        <v>22.957903</v>
      </c>
      <c r="S4420" t="s">
        <v>26</v>
      </c>
    </row>
    <row r="4421" spans="1:19" x14ac:dyDescent="0.3">
      <c r="A4421" t="s">
        <v>20660</v>
      </c>
      <c r="B4421" t="s">
        <v>22727</v>
      </c>
      <c r="C4421" t="s">
        <v>23379</v>
      </c>
      <c r="D4421" t="s">
        <v>20674</v>
      </c>
      <c r="E4421" t="s">
        <v>20675</v>
      </c>
      <c r="F4421" t="s">
        <v>3246</v>
      </c>
      <c r="G4421" t="s">
        <v>3246</v>
      </c>
      <c r="H4421" t="s">
        <v>868</v>
      </c>
      <c r="I4421" t="s">
        <v>1157</v>
      </c>
      <c r="J4421" t="str">
        <f>"9521289"</f>
        <v>9521289</v>
      </c>
      <c r="K4421">
        <v>2421091285</v>
      </c>
      <c r="L4421">
        <v>2421091285</v>
      </c>
      <c r="M4421" t="s">
        <v>23380</v>
      </c>
      <c r="N4421" t="s">
        <v>23381</v>
      </c>
      <c r="O4421" t="s">
        <v>23382</v>
      </c>
      <c r="P4421">
        <v>38445</v>
      </c>
      <c r="Q4421" t="str">
        <f>"39.382445"</f>
        <v>39.382445</v>
      </c>
      <c r="R4421" t="str">
        <f>"22.920992"</f>
        <v>22.920992</v>
      </c>
      <c r="S4421" t="s">
        <v>26</v>
      </c>
    </row>
    <row r="4422" spans="1:19" x14ac:dyDescent="0.3">
      <c r="A4422" t="s">
        <v>20660</v>
      </c>
      <c r="B4422" t="s">
        <v>22727</v>
      </c>
      <c r="C4422" t="s">
        <v>23383</v>
      </c>
      <c r="D4422" t="s">
        <v>21210</v>
      </c>
      <c r="E4422" t="s">
        <v>21211</v>
      </c>
      <c r="F4422" t="s">
        <v>21211</v>
      </c>
      <c r="G4422" t="s">
        <v>21211</v>
      </c>
      <c r="H4422" t="s">
        <v>868</v>
      </c>
      <c r="I4422" t="s">
        <v>1157</v>
      </c>
      <c r="J4422" t="str">
        <f>"9521390"</f>
        <v>9521390</v>
      </c>
      <c r="K4422">
        <v>2427021227</v>
      </c>
      <c r="L4422">
        <v>2427021227</v>
      </c>
      <c r="M4422" t="s">
        <v>23384</v>
      </c>
      <c r="N4422" t="s">
        <v>23271</v>
      </c>
      <c r="O4422" t="s">
        <v>23271</v>
      </c>
      <c r="P4422">
        <v>37002</v>
      </c>
      <c r="Q4422" t="str">
        <f>"39.165832"</f>
        <v>39.165832</v>
      </c>
      <c r="R4422" t="str">
        <f>"23.492446"</f>
        <v>23.492446</v>
      </c>
      <c r="S4422" t="s">
        <v>57</v>
      </c>
    </row>
    <row r="4423" spans="1:19" x14ac:dyDescent="0.3">
      <c r="A4423" t="s">
        <v>20660</v>
      </c>
      <c r="B4423" t="s">
        <v>22727</v>
      </c>
      <c r="C4423" t="s">
        <v>21297</v>
      </c>
      <c r="D4423" t="s">
        <v>20674</v>
      </c>
      <c r="E4423" t="s">
        <v>20675</v>
      </c>
      <c r="F4423" t="s">
        <v>20675</v>
      </c>
      <c r="G4423" t="s">
        <v>20675</v>
      </c>
      <c r="H4423" t="s">
        <v>868</v>
      </c>
      <c r="I4423" t="s">
        <v>950</v>
      </c>
      <c r="J4423" t="str">
        <f>"9521611"</f>
        <v>9521611</v>
      </c>
      <c r="K4423">
        <v>2421078196</v>
      </c>
      <c r="L4423">
        <v>2421042602</v>
      </c>
      <c r="M4423" t="s">
        <v>23407</v>
      </c>
      <c r="N4423" t="s">
        <v>20678</v>
      </c>
      <c r="O4423" t="s">
        <v>23408</v>
      </c>
      <c r="P4423">
        <v>38110</v>
      </c>
      <c r="Q4423" t="str">
        <f>"39.373619"</f>
        <v>39.373619</v>
      </c>
      <c r="R4423" t="str">
        <f>"22.953952"</f>
        <v>22.953952</v>
      </c>
      <c r="S4423" t="s">
        <v>26</v>
      </c>
    </row>
    <row r="4424" spans="1:19" x14ac:dyDescent="0.3">
      <c r="A4424" t="s">
        <v>20660</v>
      </c>
      <c r="B4424" t="s">
        <v>23413</v>
      </c>
      <c r="C4424" t="s">
        <v>23469</v>
      </c>
      <c r="D4424" t="s">
        <v>20680</v>
      </c>
      <c r="E4424" t="s">
        <v>21508</v>
      </c>
      <c r="F4424" t="s">
        <v>17277</v>
      </c>
      <c r="G4424" t="s">
        <v>18006</v>
      </c>
      <c r="H4424" t="s">
        <v>868</v>
      </c>
      <c r="I4424" t="s">
        <v>950</v>
      </c>
      <c r="J4424" t="str">
        <f>"9450154"</f>
        <v>9450154</v>
      </c>
      <c r="K4424">
        <v>2432095327</v>
      </c>
      <c r="M4424" t="s">
        <v>23470</v>
      </c>
      <c r="N4424" t="s">
        <v>18006</v>
      </c>
      <c r="O4424" t="s">
        <v>23471</v>
      </c>
      <c r="P4424">
        <v>42200</v>
      </c>
      <c r="Q4424" t="str">
        <f>"39.799127"</f>
        <v>39.799127</v>
      </c>
      <c r="R4424" t="str">
        <f>"21.596840"</f>
        <v>21.596840</v>
      </c>
      <c r="S4424" t="s">
        <v>26</v>
      </c>
    </row>
    <row r="4425" spans="1:19" x14ac:dyDescent="0.3">
      <c r="A4425" t="s">
        <v>20660</v>
      </c>
      <c r="B4425" t="s">
        <v>23413</v>
      </c>
      <c r="C4425" t="s">
        <v>23496</v>
      </c>
      <c r="D4425" t="s">
        <v>20680</v>
      </c>
      <c r="E4425" t="s">
        <v>20681</v>
      </c>
      <c r="F4425" t="s">
        <v>20681</v>
      </c>
      <c r="G4425" t="s">
        <v>20681</v>
      </c>
      <c r="H4425" t="s">
        <v>868</v>
      </c>
      <c r="I4425" t="s">
        <v>869</v>
      </c>
      <c r="J4425" t="str">
        <f>"9450381"</f>
        <v>9450381</v>
      </c>
      <c r="K4425">
        <v>2431039188</v>
      </c>
      <c r="L4425">
        <v>2431039188</v>
      </c>
      <c r="M4425" t="s">
        <v>23497</v>
      </c>
      <c r="N4425" t="s">
        <v>21562</v>
      </c>
      <c r="O4425" t="s">
        <v>23498</v>
      </c>
      <c r="P4425">
        <v>42100</v>
      </c>
      <c r="Q4425" t="str">
        <f>"39.561989"</f>
        <v>39.561989</v>
      </c>
      <c r="R4425" t="str">
        <f>"21.766359"</f>
        <v>21.766359</v>
      </c>
      <c r="S4425" t="s">
        <v>26</v>
      </c>
    </row>
    <row r="4426" spans="1:19" x14ac:dyDescent="0.3">
      <c r="A4426" t="s">
        <v>20660</v>
      </c>
      <c r="B4426" t="s">
        <v>23413</v>
      </c>
      <c r="C4426" t="s">
        <v>23499</v>
      </c>
      <c r="D4426" t="s">
        <v>20680</v>
      </c>
      <c r="E4426" t="s">
        <v>20681</v>
      </c>
      <c r="F4426" t="s">
        <v>20681</v>
      </c>
      <c r="G4426" t="s">
        <v>20681</v>
      </c>
      <c r="H4426" t="s">
        <v>868</v>
      </c>
      <c r="I4426" t="s">
        <v>869</v>
      </c>
      <c r="J4426" t="str">
        <f>"9450273"</f>
        <v>9450273</v>
      </c>
      <c r="K4426">
        <v>2431022154</v>
      </c>
      <c r="L4426">
        <v>2431022154</v>
      </c>
      <c r="M4426" t="s">
        <v>23500</v>
      </c>
      <c r="N4426" t="s">
        <v>20684</v>
      </c>
      <c r="O4426" t="s">
        <v>23501</v>
      </c>
      <c r="P4426">
        <v>42100</v>
      </c>
      <c r="Q4426" t="str">
        <f>"39.565576"</f>
        <v>39.565576</v>
      </c>
      <c r="R4426" t="str">
        <f>"21.779261"</f>
        <v>21.779261</v>
      </c>
      <c r="S4426" t="s">
        <v>26</v>
      </c>
    </row>
    <row r="4427" spans="1:19" x14ac:dyDescent="0.3">
      <c r="A4427" t="s">
        <v>20660</v>
      </c>
      <c r="B4427" t="s">
        <v>23413</v>
      </c>
      <c r="C4427" t="s">
        <v>21593</v>
      </c>
      <c r="D4427" t="s">
        <v>20680</v>
      </c>
      <c r="E4427" t="s">
        <v>20681</v>
      </c>
      <c r="F4427" t="s">
        <v>20681</v>
      </c>
      <c r="G4427" t="s">
        <v>20681</v>
      </c>
      <c r="H4427" t="s">
        <v>868</v>
      </c>
      <c r="I4427" t="s">
        <v>869</v>
      </c>
      <c r="J4427" t="str">
        <f>"9450344"</f>
        <v>9450344</v>
      </c>
      <c r="K4427">
        <v>2431035384</v>
      </c>
      <c r="L4427">
        <v>2431035384</v>
      </c>
      <c r="M4427" t="s">
        <v>23502</v>
      </c>
      <c r="N4427" t="s">
        <v>20684</v>
      </c>
      <c r="O4427" t="s">
        <v>16264</v>
      </c>
      <c r="P4427">
        <v>42131</v>
      </c>
      <c r="Q4427" t="str">
        <f>"39.553167"</f>
        <v>39.553167</v>
      </c>
      <c r="R4427" t="str">
        <f>"21.758580"</f>
        <v>21.758580</v>
      </c>
      <c r="S4427" t="s">
        <v>26</v>
      </c>
    </row>
    <row r="4428" spans="1:19" x14ac:dyDescent="0.3">
      <c r="A4428" t="s">
        <v>20660</v>
      </c>
      <c r="B4428" t="s">
        <v>23413</v>
      </c>
      <c r="C4428" t="s">
        <v>23506</v>
      </c>
      <c r="D4428" t="s">
        <v>20680</v>
      </c>
      <c r="E4428" t="s">
        <v>21502</v>
      </c>
      <c r="F4428" t="s">
        <v>21503</v>
      </c>
      <c r="G4428" t="s">
        <v>21503</v>
      </c>
      <c r="H4428" t="s">
        <v>868</v>
      </c>
      <c r="I4428" t="s">
        <v>869</v>
      </c>
      <c r="J4428" t="str">
        <f>"9450117"</f>
        <v>9450117</v>
      </c>
      <c r="K4428">
        <v>2433031275</v>
      </c>
      <c r="L4428">
        <v>2433031275</v>
      </c>
      <c r="M4428" t="s">
        <v>23507</v>
      </c>
      <c r="N4428" t="s">
        <v>21506</v>
      </c>
      <c r="O4428" t="s">
        <v>23508</v>
      </c>
      <c r="P4428">
        <v>42300</v>
      </c>
      <c r="Q4428" t="str">
        <f>"39.609671"</f>
        <v>39.609671</v>
      </c>
      <c r="R4428" t="str">
        <f>"21.979054"</f>
        <v>21.979054</v>
      </c>
      <c r="S4428" t="s">
        <v>26</v>
      </c>
    </row>
    <row r="4429" spans="1:19" x14ac:dyDescent="0.3">
      <c r="A4429" t="s">
        <v>20660</v>
      </c>
      <c r="B4429" t="s">
        <v>23413</v>
      </c>
      <c r="C4429" t="s">
        <v>23509</v>
      </c>
      <c r="D4429" t="s">
        <v>20680</v>
      </c>
      <c r="E4429" t="s">
        <v>20681</v>
      </c>
      <c r="F4429" t="s">
        <v>20681</v>
      </c>
      <c r="G4429" t="s">
        <v>20681</v>
      </c>
      <c r="H4429" t="s">
        <v>868</v>
      </c>
      <c r="I4429" t="s">
        <v>869</v>
      </c>
      <c r="J4429" t="str">
        <f>"9450272"</f>
        <v>9450272</v>
      </c>
      <c r="K4429">
        <v>2431023993</v>
      </c>
      <c r="L4429">
        <v>2431023993</v>
      </c>
      <c r="M4429" t="s">
        <v>23510</v>
      </c>
      <c r="N4429" t="s">
        <v>20684</v>
      </c>
      <c r="O4429" t="s">
        <v>23511</v>
      </c>
      <c r="P4429">
        <v>42132</v>
      </c>
      <c r="Q4429" t="str">
        <f>"39.568577"</f>
        <v>39.568577</v>
      </c>
      <c r="R4429" t="str">
        <f>"21.759001"</f>
        <v>21.759001</v>
      </c>
      <c r="S4429" t="s">
        <v>26</v>
      </c>
    </row>
    <row r="4430" spans="1:19" x14ac:dyDescent="0.3">
      <c r="A4430" t="s">
        <v>20660</v>
      </c>
      <c r="B4430" t="s">
        <v>23413</v>
      </c>
      <c r="C4430" t="s">
        <v>23513</v>
      </c>
      <c r="D4430" t="s">
        <v>20680</v>
      </c>
      <c r="E4430" t="s">
        <v>21508</v>
      </c>
      <c r="F4430" t="s">
        <v>23512</v>
      </c>
      <c r="G4430" t="s">
        <v>23512</v>
      </c>
      <c r="H4430" t="s">
        <v>868</v>
      </c>
      <c r="I4430" t="s">
        <v>869</v>
      </c>
      <c r="J4430" t="str">
        <f>"9450151"</f>
        <v>9450151</v>
      </c>
      <c r="K4430">
        <v>2432091236</v>
      </c>
      <c r="L4430">
        <v>2432091236</v>
      </c>
      <c r="M4430" t="s">
        <v>23514</v>
      </c>
      <c r="N4430" t="s">
        <v>23515</v>
      </c>
      <c r="O4430" t="s">
        <v>23515</v>
      </c>
      <c r="P4430">
        <v>42200</v>
      </c>
      <c r="Q4430" t="str">
        <f>"39.639950"</f>
        <v>39.639950</v>
      </c>
      <c r="R4430" t="str">
        <f>"21.704709"</f>
        <v>21.704709</v>
      </c>
      <c r="S4430" t="s">
        <v>26</v>
      </c>
    </row>
    <row r="4431" spans="1:19" x14ac:dyDescent="0.3">
      <c r="A4431" t="s">
        <v>20660</v>
      </c>
      <c r="B4431" t="s">
        <v>23413</v>
      </c>
      <c r="C4431" t="s">
        <v>23516</v>
      </c>
      <c r="D4431" t="s">
        <v>20680</v>
      </c>
      <c r="E4431" t="s">
        <v>20681</v>
      </c>
      <c r="F4431" t="s">
        <v>20681</v>
      </c>
      <c r="G4431" t="s">
        <v>20681</v>
      </c>
      <c r="H4431" t="s">
        <v>868</v>
      </c>
      <c r="I4431" t="s">
        <v>869</v>
      </c>
      <c r="J4431" t="str">
        <f>"9450212"</f>
        <v>9450212</v>
      </c>
      <c r="K4431">
        <v>2431020023</v>
      </c>
      <c r="L4431">
        <v>2431020023</v>
      </c>
      <c r="M4431" t="s">
        <v>23517</v>
      </c>
      <c r="N4431" t="s">
        <v>21562</v>
      </c>
      <c r="O4431" t="s">
        <v>23518</v>
      </c>
      <c r="P4431">
        <v>42100</v>
      </c>
      <c r="Q4431" t="str">
        <f>"39.545770"</f>
        <v>39.545770</v>
      </c>
      <c r="R4431" t="str">
        <f>"21.771659"</f>
        <v>21.771659</v>
      </c>
      <c r="S4431" t="s">
        <v>26</v>
      </c>
    </row>
    <row r="4432" spans="1:19" x14ac:dyDescent="0.3">
      <c r="A4432" t="s">
        <v>20660</v>
      </c>
      <c r="B4432" t="s">
        <v>23413</v>
      </c>
      <c r="C4432" t="s">
        <v>23519</v>
      </c>
      <c r="D4432" t="s">
        <v>20680</v>
      </c>
      <c r="E4432" t="s">
        <v>20681</v>
      </c>
      <c r="F4432" t="s">
        <v>20681</v>
      </c>
      <c r="G4432" t="s">
        <v>20681</v>
      </c>
      <c r="H4432" t="s">
        <v>868</v>
      </c>
      <c r="I4432" t="s">
        <v>869</v>
      </c>
      <c r="J4432" t="str">
        <f>"9450088"</f>
        <v>9450088</v>
      </c>
      <c r="K4432">
        <v>2431033710</v>
      </c>
      <c r="L4432">
        <v>2431033710</v>
      </c>
      <c r="M4432" t="s">
        <v>23520</v>
      </c>
      <c r="N4432" t="s">
        <v>20684</v>
      </c>
      <c r="O4432" t="s">
        <v>23521</v>
      </c>
      <c r="P4432">
        <v>42100</v>
      </c>
      <c r="Q4432" t="str">
        <f>"39.581379"</f>
        <v>39.581379</v>
      </c>
      <c r="R4432" t="str">
        <f>"21.757843"</f>
        <v>21.757843</v>
      </c>
      <c r="S4432" t="s">
        <v>26</v>
      </c>
    </row>
    <row r="4433" spans="1:19" x14ac:dyDescent="0.3">
      <c r="A4433" t="s">
        <v>20660</v>
      </c>
      <c r="B4433" t="s">
        <v>23413</v>
      </c>
      <c r="C4433" t="s">
        <v>21507</v>
      </c>
      <c r="D4433" t="s">
        <v>20680</v>
      </c>
      <c r="E4433" t="s">
        <v>21502</v>
      </c>
      <c r="F4433" t="s">
        <v>21503</v>
      </c>
      <c r="G4433" t="s">
        <v>21503</v>
      </c>
      <c r="H4433" t="s">
        <v>868</v>
      </c>
      <c r="I4433" t="s">
        <v>869</v>
      </c>
      <c r="J4433" t="str">
        <f>"9450116"</f>
        <v>9450116</v>
      </c>
      <c r="K4433">
        <v>2433031045</v>
      </c>
      <c r="L4433">
        <v>2433031045</v>
      </c>
      <c r="M4433" t="s">
        <v>23522</v>
      </c>
      <c r="N4433" t="s">
        <v>21506</v>
      </c>
      <c r="O4433" t="s">
        <v>23523</v>
      </c>
      <c r="P4433">
        <v>42300</v>
      </c>
      <c r="Q4433" t="str">
        <f>"39.603947"</f>
        <v>39.603947</v>
      </c>
      <c r="R4433" t="str">
        <f>"21.975556"</f>
        <v>21.975556</v>
      </c>
      <c r="S4433" t="s">
        <v>26</v>
      </c>
    </row>
    <row r="4434" spans="1:19" x14ac:dyDescent="0.3">
      <c r="A4434" t="s">
        <v>20660</v>
      </c>
      <c r="B4434" t="s">
        <v>23413</v>
      </c>
      <c r="C4434" t="s">
        <v>23524</v>
      </c>
      <c r="D4434" t="s">
        <v>20680</v>
      </c>
      <c r="E4434" t="s">
        <v>20681</v>
      </c>
      <c r="F4434" t="s">
        <v>20681</v>
      </c>
      <c r="G4434" t="s">
        <v>20681</v>
      </c>
      <c r="H4434" t="s">
        <v>868</v>
      </c>
      <c r="I4434" t="s">
        <v>869</v>
      </c>
      <c r="J4434" t="str">
        <f>"9450336"</f>
        <v>9450336</v>
      </c>
      <c r="K4434">
        <v>2431032886</v>
      </c>
      <c r="L4434">
        <v>2431032886</v>
      </c>
      <c r="M4434" t="s">
        <v>23525</v>
      </c>
      <c r="N4434" t="s">
        <v>20684</v>
      </c>
      <c r="O4434" t="s">
        <v>23526</v>
      </c>
      <c r="P4434">
        <v>42100</v>
      </c>
      <c r="Q4434" t="str">
        <f>"39.565562"</f>
        <v>39.565562</v>
      </c>
      <c r="R4434" t="str">
        <f>"21.756693"</f>
        <v>21.756693</v>
      </c>
      <c r="S4434" t="s">
        <v>26</v>
      </c>
    </row>
    <row r="4435" spans="1:19" x14ac:dyDescent="0.3">
      <c r="A4435" t="s">
        <v>20660</v>
      </c>
      <c r="B4435" t="s">
        <v>23413</v>
      </c>
      <c r="C4435" t="s">
        <v>23527</v>
      </c>
      <c r="D4435" t="s">
        <v>20680</v>
      </c>
      <c r="E4435" t="s">
        <v>20681</v>
      </c>
      <c r="F4435" t="s">
        <v>21641</v>
      </c>
      <c r="G4435" t="s">
        <v>549</v>
      </c>
      <c r="H4435" t="s">
        <v>868</v>
      </c>
      <c r="I4435" t="s">
        <v>950</v>
      </c>
      <c r="J4435" t="str">
        <f>"9450051"</f>
        <v>9450051</v>
      </c>
      <c r="K4435">
        <v>2431093007</v>
      </c>
      <c r="L4435">
        <v>2431093007</v>
      </c>
      <c r="M4435" t="s">
        <v>23528</v>
      </c>
      <c r="N4435" t="s">
        <v>552</v>
      </c>
      <c r="O4435" t="s">
        <v>2648</v>
      </c>
      <c r="P4435">
        <v>42100</v>
      </c>
      <c r="Q4435" t="str">
        <f>"39.570305"</f>
        <v>39.570305</v>
      </c>
      <c r="R4435" t="str">
        <f>"21.611076"</f>
        <v>21.611076</v>
      </c>
      <c r="S4435" t="s">
        <v>26</v>
      </c>
    </row>
    <row r="4436" spans="1:19" x14ac:dyDescent="0.3">
      <c r="A4436" t="s">
        <v>20660</v>
      </c>
      <c r="B4436" t="s">
        <v>23413</v>
      </c>
      <c r="C4436" t="s">
        <v>23530</v>
      </c>
      <c r="D4436" t="s">
        <v>20680</v>
      </c>
      <c r="E4436" t="s">
        <v>21531</v>
      </c>
      <c r="F4436" t="s">
        <v>23529</v>
      </c>
      <c r="G4436" t="s">
        <v>13157</v>
      </c>
      <c r="H4436" t="s">
        <v>868</v>
      </c>
      <c r="I4436" t="s">
        <v>869</v>
      </c>
      <c r="J4436" t="str">
        <f>"9450048"</f>
        <v>9450048</v>
      </c>
      <c r="K4436">
        <v>2431061351</v>
      </c>
      <c r="L4436">
        <v>2431061351</v>
      </c>
      <c r="M4436" t="s">
        <v>23531</v>
      </c>
      <c r="N4436" t="s">
        <v>23532</v>
      </c>
      <c r="O4436" t="s">
        <v>23532</v>
      </c>
      <c r="P4436">
        <v>42100</v>
      </c>
      <c r="Q4436" t="str">
        <f>"39.512510"</f>
        <v>39.512510</v>
      </c>
      <c r="R4436" t="str">
        <f>"21.695951"</f>
        <v>21.695951</v>
      </c>
      <c r="S4436" t="s">
        <v>26</v>
      </c>
    </row>
    <row r="4437" spans="1:19" x14ac:dyDescent="0.3">
      <c r="A4437" t="s">
        <v>20660</v>
      </c>
      <c r="B4437" t="s">
        <v>23413</v>
      </c>
      <c r="C4437" t="s">
        <v>23533</v>
      </c>
      <c r="D4437" t="s">
        <v>20680</v>
      </c>
      <c r="E4437" t="s">
        <v>20681</v>
      </c>
      <c r="F4437" t="s">
        <v>20681</v>
      </c>
      <c r="G4437" t="s">
        <v>20681</v>
      </c>
      <c r="H4437" t="s">
        <v>868</v>
      </c>
      <c r="I4437" t="s">
        <v>869</v>
      </c>
      <c r="J4437" t="str">
        <f>"9450015"</f>
        <v>9450015</v>
      </c>
      <c r="K4437">
        <v>2431028807</v>
      </c>
      <c r="L4437">
        <v>2431028807</v>
      </c>
      <c r="M4437" t="s">
        <v>23534</v>
      </c>
      <c r="N4437" t="s">
        <v>20684</v>
      </c>
      <c r="O4437" t="s">
        <v>23535</v>
      </c>
      <c r="P4437">
        <v>42131</v>
      </c>
      <c r="Q4437" t="str">
        <f>"39.553660"</f>
        <v>39.553660</v>
      </c>
      <c r="R4437" t="str">
        <f>"21.758685"</f>
        <v>21.758685</v>
      </c>
      <c r="S4437" t="s">
        <v>26</v>
      </c>
    </row>
    <row r="4438" spans="1:19" x14ac:dyDescent="0.3">
      <c r="A4438" t="s">
        <v>20660</v>
      </c>
      <c r="B4438" t="s">
        <v>23413</v>
      </c>
      <c r="C4438" t="s">
        <v>23537</v>
      </c>
      <c r="D4438" t="s">
        <v>20680</v>
      </c>
      <c r="E4438" t="s">
        <v>21508</v>
      </c>
      <c r="F4438" t="s">
        <v>17277</v>
      </c>
      <c r="G4438" t="s">
        <v>23536</v>
      </c>
      <c r="H4438" t="s">
        <v>868</v>
      </c>
      <c r="I4438" t="s">
        <v>950</v>
      </c>
      <c r="J4438" t="str">
        <f>"9450198"</f>
        <v>9450198</v>
      </c>
      <c r="K4438">
        <v>2432095277</v>
      </c>
      <c r="M4438" t="s">
        <v>23538</v>
      </c>
      <c r="N4438" t="s">
        <v>23539</v>
      </c>
      <c r="O4438" t="s">
        <v>23539</v>
      </c>
      <c r="P4438">
        <v>42200</v>
      </c>
      <c r="Q4438" t="str">
        <f>"39.795143"</f>
        <v>39.795143</v>
      </c>
      <c r="R4438" t="str">
        <f>"21.631272"</f>
        <v>21.631272</v>
      </c>
      <c r="S4438" t="s">
        <v>26</v>
      </c>
    </row>
    <row r="4439" spans="1:19" x14ac:dyDescent="0.3">
      <c r="A4439" t="s">
        <v>20660</v>
      </c>
      <c r="B4439" t="s">
        <v>23413</v>
      </c>
      <c r="C4439" t="s">
        <v>21585</v>
      </c>
      <c r="D4439" t="s">
        <v>20680</v>
      </c>
      <c r="E4439" t="s">
        <v>21508</v>
      </c>
      <c r="F4439" t="s">
        <v>21508</v>
      </c>
      <c r="G4439" t="s">
        <v>21580</v>
      </c>
      <c r="H4439" t="s">
        <v>868</v>
      </c>
      <c r="I4439" t="s">
        <v>869</v>
      </c>
      <c r="J4439" t="str">
        <f>"9450130"</f>
        <v>9450130</v>
      </c>
      <c r="K4439">
        <v>2432022381</v>
      </c>
      <c r="L4439">
        <v>2432022381</v>
      </c>
      <c r="M4439" t="s">
        <v>23540</v>
      </c>
      <c r="N4439" t="s">
        <v>21583</v>
      </c>
      <c r="O4439" t="s">
        <v>23541</v>
      </c>
      <c r="P4439">
        <v>42200</v>
      </c>
      <c r="Q4439" t="str">
        <f>"39.708448"</f>
        <v>39.708448</v>
      </c>
      <c r="R4439" t="str">
        <f>"21.627167"</f>
        <v>21.627167</v>
      </c>
      <c r="S4439" t="s">
        <v>26</v>
      </c>
    </row>
    <row r="4440" spans="1:19" x14ac:dyDescent="0.3">
      <c r="A4440" t="s">
        <v>20660</v>
      </c>
      <c r="B4440" t="s">
        <v>23413</v>
      </c>
      <c r="C4440" t="s">
        <v>21513</v>
      </c>
      <c r="D4440" t="s">
        <v>20680</v>
      </c>
      <c r="E4440" t="s">
        <v>21508</v>
      </c>
      <c r="F4440" t="s">
        <v>17277</v>
      </c>
      <c r="G4440" t="s">
        <v>21509</v>
      </c>
      <c r="H4440" t="s">
        <v>868</v>
      </c>
      <c r="I4440" t="s">
        <v>950</v>
      </c>
      <c r="J4440" t="str">
        <f>"9450187"</f>
        <v>9450187</v>
      </c>
      <c r="K4440">
        <v>2432082218</v>
      </c>
      <c r="L4440">
        <v>2432082218</v>
      </c>
      <c r="M4440" t="s">
        <v>23542</v>
      </c>
      <c r="N4440" t="s">
        <v>23543</v>
      </c>
      <c r="O4440" t="s">
        <v>21509</v>
      </c>
      <c r="P4440">
        <v>42200</v>
      </c>
      <c r="Q4440" t="str">
        <f>"39.827212"</f>
        <v>39.827212</v>
      </c>
      <c r="R4440" t="str">
        <f>"21.492286"</f>
        <v>21.492286</v>
      </c>
      <c r="S4440" t="s">
        <v>26</v>
      </c>
    </row>
    <row r="4441" spans="1:19" x14ac:dyDescent="0.3">
      <c r="A4441" t="s">
        <v>20660</v>
      </c>
      <c r="B4441" t="s">
        <v>23413</v>
      </c>
      <c r="C4441" t="s">
        <v>21523</v>
      </c>
      <c r="D4441" t="s">
        <v>20680</v>
      </c>
      <c r="E4441" t="s">
        <v>20681</v>
      </c>
      <c r="F4441" t="s">
        <v>20681</v>
      </c>
      <c r="G4441" t="s">
        <v>20681</v>
      </c>
      <c r="H4441" t="s">
        <v>868</v>
      </c>
      <c r="I4441" t="s">
        <v>869</v>
      </c>
      <c r="J4441" t="str">
        <f>"9450216"</f>
        <v>9450216</v>
      </c>
      <c r="K4441">
        <v>2431027198</v>
      </c>
      <c r="L4441">
        <v>2431027198</v>
      </c>
      <c r="M4441" t="s">
        <v>23544</v>
      </c>
      <c r="N4441" t="s">
        <v>20684</v>
      </c>
      <c r="O4441" t="s">
        <v>23545</v>
      </c>
      <c r="P4441">
        <v>42100</v>
      </c>
      <c r="Q4441" t="str">
        <f>"39.555968"</f>
        <v>39.555968</v>
      </c>
      <c r="R4441" t="str">
        <f>"21.772681"</f>
        <v>21.772681</v>
      </c>
      <c r="S4441" t="s">
        <v>26</v>
      </c>
    </row>
    <row r="4442" spans="1:19" x14ac:dyDescent="0.3">
      <c r="A4442" t="s">
        <v>20660</v>
      </c>
      <c r="B4442" t="s">
        <v>23413</v>
      </c>
      <c r="C4442" t="s">
        <v>23548</v>
      </c>
      <c r="D4442" t="s">
        <v>20680</v>
      </c>
      <c r="E4442" t="s">
        <v>20681</v>
      </c>
      <c r="F4442" t="s">
        <v>20681</v>
      </c>
      <c r="G4442" t="s">
        <v>20681</v>
      </c>
      <c r="H4442" t="s">
        <v>868</v>
      </c>
      <c r="I4442" t="s">
        <v>869</v>
      </c>
      <c r="J4442" t="str">
        <f>"9450085"</f>
        <v>9450085</v>
      </c>
      <c r="K4442">
        <v>2431028221</v>
      </c>
      <c r="L4442">
        <v>2431028221</v>
      </c>
      <c r="M4442" t="s">
        <v>23549</v>
      </c>
      <c r="N4442" t="s">
        <v>20684</v>
      </c>
      <c r="O4442" t="s">
        <v>23550</v>
      </c>
      <c r="P4442">
        <v>42131</v>
      </c>
      <c r="Q4442" t="str">
        <f>"39.556513"</f>
        <v>39.556513</v>
      </c>
      <c r="R4442" t="str">
        <f>"21.758421"</f>
        <v>21.758421</v>
      </c>
      <c r="S4442" t="s">
        <v>26</v>
      </c>
    </row>
    <row r="4443" spans="1:19" x14ac:dyDescent="0.3">
      <c r="A4443" t="s">
        <v>20660</v>
      </c>
      <c r="B4443" t="s">
        <v>23413</v>
      </c>
      <c r="C4443" t="s">
        <v>23552</v>
      </c>
      <c r="D4443" t="s">
        <v>20680</v>
      </c>
      <c r="E4443" t="s">
        <v>21508</v>
      </c>
      <c r="F4443" t="s">
        <v>17277</v>
      </c>
      <c r="G4443" t="s">
        <v>23551</v>
      </c>
      <c r="H4443" t="s">
        <v>868</v>
      </c>
      <c r="I4443" t="s">
        <v>950</v>
      </c>
      <c r="J4443" t="str">
        <f>"9450132"</f>
        <v>9450132</v>
      </c>
      <c r="K4443">
        <v>2432083277</v>
      </c>
      <c r="M4443" t="s">
        <v>23553</v>
      </c>
      <c r="N4443" t="s">
        <v>23554</v>
      </c>
      <c r="O4443" t="s">
        <v>23554</v>
      </c>
      <c r="P4443">
        <v>42200</v>
      </c>
      <c r="Q4443" t="str">
        <f>"39.864151"</f>
        <v>39.864151</v>
      </c>
      <c r="R4443" t="str">
        <f>"21.561111"</f>
        <v>21.561111</v>
      </c>
      <c r="S4443" t="s">
        <v>26</v>
      </c>
    </row>
    <row r="4444" spans="1:19" x14ac:dyDescent="0.3">
      <c r="A4444" t="s">
        <v>20660</v>
      </c>
      <c r="B4444" t="s">
        <v>23413</v>
      </c>
      <c r="C4444" t="s">
        <v>23556</v>
      </c>
      <c r="D4444" t="s">
        <v>20680</v>
      </c>
      <c r="E4444" t="s">
        <v>21531</v>
      </c>
      <c r="F4444" t="s">
        <v>21531</v>
      </c>
      <c r="G4444" t="s">
        <v>23555</v>
      </c>
      <c r="H4444" t="s">
        <v>868</v>
      </c>
      <c r="I4444" t="s">
        <v>950</v>
      </c>
      <c r="J4444" t="str">
        <f>"9450035"</f>
        <v>9450035</v>
      </c>
      <c r="K4444">
        <v>2434071384</v>
      </c>
      <c r="L4444">
        <v>2434071384</v>
      </c>
      <c r="M4444" t="s">
        <v>23557</v>
      </c>
      <c r="N4444" t="s">
        <v>23558</v>
      </c>
      <c r="O4444" t="s">
        <v>23559</v>
      </c>
      <c r="P4444">
        <v>42032</v>
      </c>
      <c r="Q4444" t="str">
        <f>"39.461695"</f>
        <v>39.461695</v>
      </c>
      <c r="R4444" t="str">
        <f>"21.561704"</f>
        <v>21.561704</v>
      </c>
      <c r="S4444" t="s">
        <v>26</v>
      </c>
    </row>
    <row r="4445" spans="1:19" x14ac:dyDescent="0.3">
      <c r="A4445" t="s">
        <v>20660</v>
      </c>
      <c r="B4445" t="s">
        <v>23413</v>
      </c>
      <c r="C4445" t="s">
        <v>23561</v>
      </c>
      <c r="D4445" t="s">
        <v>20680</v>
      </c>
      <c r="E4445" t="s">
        <v>21502</v>
      </c>
      <c r="F4445" t="s">
        <v>21502</v>
      </c>
      <c r="G4445" t="s">
        <v>23560</v>
      </c>
      <c r="H4445" t="s">
        <v>868</v>
      </c>
      <c r="I4445" t="s">
        <v>869</v>
      </c>
      <c r="J4445" t="str">
        <f>"9450104"</f>
        <v>9450104</v>
      </c>
      <c r="K4445">
        <v>2433041061</v>
      </c>
      <c r="L4445">
        <v>2433041061</v>
      </c>
      <c r="M4445" t="s">
        <v>23562</v>
      </c>
      <c r="N4445" t="s">
        <v>23563</v>
      </c>
      <c r="O4445" t="s">
        <v>23564</v>
      </c>
      <c r="P4445">
        <v>42031</v>
      </c>
      <c r="Q4445" t="str">
        <f>"39.609625"</f>
        <v>39.609625</v>
      </c>
      <c r="R4445" t="str">
        <f>"22.124329"</f>
        <v>22.124329</v>
      </c>
      <c r="S4445" t="s">
        <v>26</v>
      </c>
    </row>
    <row r="4446" spans="1:19" x14ac:dyDescent="0.3">
      <c r="A4446" t="s">
        <v>20660</v>
      </c>
      <c r="B4446" t="s">
        <v>23413</v>
      </c>
      <c r="C4446" t="s">
        <v>21549</v>
      </c>
      <c r="D4446" t="s">
        <v>20680</v>
      </c>
      <c r="E4446" t="s">
        <v>20681</v>
      </c>
      <c r="F4446" t="s">
        <v>20681</v>
      </c>
      <c r="G4446" t="s">
        <v>20681</v>
      </c>
      <c r="H4446" t="s">
        <v>868</v>
      </c>
      <c r="I4446" t="s">
        <v>869</v>
      </c>
      <c r="J4446" t="str">
        <f>"9450006"</f>
        <v>9450006</v>
      </c>
      <c r="K4446">
        <v>2431025284</v>
      </c>
      <c r="L4446">
        <v>2431025284</v>
      </c>
      <c r="M4446" t="s">
        <v>23569</v>
      </c>
      <c r="N4446" t="s">
        <v>20684</v>
      </c>
      <c r="O4446" t="s">
        <v>23570</v>
      </c>
      <c r="P4446">
        <v>42131</v>
      </c>
      <c r="Q4446" t="str">
        <f>"39.559395"</f>
        <v>39.559395</v>
      </c>
      <c r="R4446" t="str">
        <f>"21.754647"</f>
        <v>21.754647</v>
      </c>
      <c r="S4446" t="s">
        <v>26</v>
      </c>
    </row>
    <row r="4447" spans="1:19" x14ac:dyDescent="0.3">
      <c r="A4447" t="s">
        <v>20660</v>
      </c>
      <c r="B4447" t="s">
        <v>23413</v>
      </c>
      <c r="C4447" t="s">
        <v>23575</v>
      </c>
      <c r="D4447" t="s">
        <v>20680</v>
      </c>
      <c r="E4447" t="s">
        <v>20681</v>
      </c>
      <c r="F4447" t="s">
        <v>21641</v>
      </c>
      <c r="G4447" t="s">
        <v>22056</v>
      </c>
      <c r="H4447" t="s">
        <v>868</v>
      </c>
      <c r="I4447" t="s">
        <v>950</v>
      </c>
      <c r="J4447" t="str">
        <f>"9450052"</f>
        <v>9450052</v>
      </c>
      <c r="K4447">
        <v>2431053222</v>
      </c>
      <c r="L4447">
        <v>2431053222</v>
      </c>
      <c r="M4447" t="s">
        <v>23576</v>
      </c>
      <c r="N4447" t="s">
        <v>22059</v>
      </c>
      <c r="O4447" t="s">
        <v>22059</v>
      </c>
      <c r="P4447">
        <v>42100</v>
      </c>
      <c r="Q4447" t="str">
        <f>"39.568816"</f>
        <v>39.568816</v>
      </c>
      <c r="R4447" t="str">
        <f>"21.759077"</f>
        <v>21.759077</v>
      </c>
      <c r="S4447" t="s">
        <v>26</v>
      </c>
    </row>
    <row r="4448" spans="1:19" x14ac:dyDescent="0.3">
      <c r="A4448" t="s">
        <v>20660</v>
      </c>
      <c r="B4448" t="s">
        <v>23413</v>
      </c>
      <c r="C4448" t="s">
        <v>23585</v>
      </c>
      <c r="D4448" t="s">
        <v>20680</v>
      </c>
      <c r="E4448" t="s">
        <v>21531</v>
      </c>
      <c r="F4448" t="s">
        <v>23571</v>
      </c>
      <c r="G4448" t="s">
        <v>2851</v>
      </c>
      <c r="H4448" t="s">
        <v>868</v>
      </c>
      <c r="I4448" t="s">
        <v>950</v>
      </c>
      <c r="J4448" t="str">
        <f>"9450037"</f>
        <v>9450037</v>
      </c>
      <c r="K4448">
        <v>2434022365</v>
      </c>
      <c r="L4448">
        <v>2434022365</v>
      </c>
      <c r="M4448" t="s">
        <v>23586</v>
      </c>
      <c r="N4448" t="s">
        <v>23574</v>
      </c>
      <c r="O4448" t="s">
        <v>23574</v>
      </c>
      <c r="P4448">
        <v>42032</v>
      </c>
      <c r="Q4448" t="str">
        <f>"39.492005"</f>
        <v>39.492005</v>
      </c>
      <c r="R4448" t="str">
        <f>"21.611572"</f>
        <v>21.611572</v>
      </c>
      <c r="S4448" t="s">
        <v>26</v>
      </c>
    </row>
    <row r="4449" spans="1:19" x14ac:dyDescent="0.3">
      <c r="A4449" t="s">
        <v>20660</v>
      </c>
      <c r="B4449" t="s">
        <v>23413</v>
      </c>
      <c r="C4449" t="s">
        <v>23591</v>
      </c>
      <c r="D4449" t="s">
        <v>20680</v>
      </c>
      <c r="E4449" t="s">
        <v>20681</v>
      </c>
      <c r="F4449" t="s">
        <v>23440</v>
      </c>
      <c r="G4449" t="s">
        <v>2745</v>
      </c>
      <c r="H4449" t="s">
        <v>868</v>
      </c>
      <c r="I4449" t="s">
        <v>869</v>
      </c>
      <c r="J4449" t="str">
        <f>"9450055"</f>
        <v>9450055</v>
      </c>
      <c r="K4449">
        <v>2431096015</v>
      </c>
      <c r="L4449">
        <v>2431096015</v>
      </c>
      <c r="M4449" t="s">
        <v>23592</v>
      </c>
      <c r="N4449" t="s">
        <v>2746</v>
      </c>
      <c r="O4449" t="s">
        <v>23593</v>
      </c>
      <c r="P4449">
        <v>42100</v>
      </c>
      <c r="Q4449" t="str">
        <f>"39.656353"</f>
        <v>39.656353</v>
      </c>
      <c r="R4449" t="str">
        <f>"21.741554"</f>
        <v>21.741554</v>
      </c>
      <c r="S4449" t="s">
        <v>26</v>
      </c>
    </row>
    <row r="4450" spans="1:19" x14ac:dyDescent="0.3">
      <c r="A4450" t="s">
        <v>20660</v>
      </c>
      <c r="B4450" t="s">
        <v>23413</v>
      </c>
      <c r="C4450" t="s">
        <v>23594</v>
      </c>
      <c r="D4450" t="s">
        <v>20680</v>
      </c>
      <c r="E4450" t="s">
        <v>21502</v>
      </c>
      <c r="F4450" t="s">
        <v>21502</v>
      </c>
      <c r="G4450" t="s">
        <v>21514</v>
      </c>
      <c r="H4450" t="s">
        <v>868</v>
      </c>
      <c r="I4450" t="s">
        <v>869</v>
      </c>
      <c r="J4450" t="str">
        <f>"9450091"</f>
        <v>9450091</v>
      </c>
      <c r="K4450">
        <v>2433022206</v>
      </c>
      <c r="L4450">
        <v>2433022206</v>
      </c>
      <c r="M4450" t="s">
        <v>23595</v>
      </c>
      <c r="N4450" t="s">
        <v>21538</v>
      </c>
      <c r="O4450" t="s">
        <v>23596</v>
      </c>
      <c r="P4450">
        <v>42031</v>
      </c>
      <c r="Q4450" t="str">
        <f>"39.593130"</f>
        <v>39.593130</v>
      </c>
      <c r="R4450" t="str">
        <f>"22.066187"</f>
        <v>22.066187</v>
      </c>
      <c r="S4450" t="s">
        <v>26</v>
      </c>
    </row>
    <row r="4451" spans="1:19" x14ac:dyDescent="0.3">
      <c r="A4451" t="s">
        <v>20660</v>
      </c>
      <c r="B4451" t="s">
        <v>23413</v>
      </c>
      <c r="C4451" t="s">
        <v>23601</v>
      </c>
      <c r="D4451" t="s">
        <v>20680</v>
      </c>
      <c r="E4451" t="s">
        <v>21508</v>
      </c>
      <c r="F4451" t="s">
        <v>17277</v>
      </c>
      <c r="G4451" t="s">
        <v>23600</v>
      </c>
      <c r="H4451" t="s">
        <v>868</v>
      </c>
      <c r="I4451" t="s">
        <v>950</v>
      </c>
      <c r="J4451" t="str">
        <f>"9450134"</f>
        <v>9450134</v>
      </c>
      <c r="K4451">
        <v>2432076526</v>
      </c>
      <c r="M4451" t="s">
        <v>23602</v>
      </c>
      <c r="N4451" t="s">
        <v>23600</v>
      </c>
      <c r="O4451" t="s">
        <v>23600</v>
      </c>
      <c r="P4451">
        <v>42200</v>
      </c>
      <c r="Q4451" t="str">
        <f>"39.867674"</f>
        <v>39.867674</v>
      </c>
      <c r="R4451" t="str">
        <f>"21.466521"</f>
        <v>21.466521</v>
      </c>
      <c r="S4451" t="s">
        <v>26</v>
      </c>
    </row>
    <row r="4452" spans="1:19" x14ac:dyDescent="0.3">
      <c r="A4452" t="s">
        <v>20660</v>
      </c>
      <c r="B4452" t="s">
        <v>23413</v>
      </c>
      <c r="C4452" t="s">
        <v>23604</v>
      </c>
      <c r="D4452" t="s">
        <v>20680</v>
      </c>
      <c r="E4452" t="s">
        <v>21531</v>
      </c>
      <c r="F4452" t="s">
        <v>21531</v>
      </c>
      <c r="G4452" t="s">
        <v>23603</v>
      </c>
      <c r="H4452" t="s">
        <v>868</v>
      </c>
      <c r="I4452" t="s">
        <v>950</v>
      </c>
      <c r="J4452" t="str">
        <f>"9450290"</f>
        <v>9450290</v>
      </c>
      <c r="K4452">
        <v>2434081411</v>
      </c>
      <c r="M4452" t="s">
        <v>23605</v>
      </c>
      <c r="N4452" t="s">
        <v>23606</v>
      </c>
      <c r="O4452" t="s">
        <v>23607</v>
      </c>
      <c r="P4452">
        <v>42032</v>
      </c>
      <c r="Q4452" t="str">
        <f>"39.419007"</f>
        <v>39.419007</v>
      </c>
      <c r="R4452" t="str">
        <f>"21.541834"</f>
        <v>21.541834</v>
      </c>
      <c r="S4452" t="s">
        <v>26</v>
      </c>
    </row>
    <row r="4453" spans="1:19" x14ac:dyDescent="0.3">
      <c r="A4453" t="s">
        <v>20660</v>
      </c>
      <c r="B4453" t="s">
        <v>23413</v>
      </c>
      <c r="C4453" t="s">
        <v>23625</v>
      </c>
      <c r="D4453" t="s">
        <v>20680</v>
      </c>
      <c r="E4453" t="s">
        <v>21531</v>
      </c>
      <c r="F4453" t="s">
        <v>21531</v>
      </c>
      <c r="G4453" t="s">
        <v>23603</v>
      </c>
      <c r="H4453" t="s">
        <v>868</v>
      </c>
      <c r="I4453" t="s">
        <v>950</v>
      </c>
      <c r="J4453" t="str">
        <f>"9450292"</f>
        <v>9450292</v>
      </c>
      <c r="K4453">
        <v>2434081412</v>
      </c>
      <c r="L4453">
        <v>2434081169</v>
      </c>
      <c r="M4453" t="s">
        <v>23626</v>
      </c>
      <c r="N4453" t="s">
        <v>23627</v>
      </c>
      <c r="O4453" t="s">
        <v>23628</v>
      </c>
      <c r="P4453">
        <v>42032</v>
      </c>
      <c r="Q4453" t="str">
        <f>"39.420565"</f>
        <v>39.420565</v>
      </c>
      <c r="R4453" t="str">
        <f>"21.542048"</f>
        <v>21.542048</v>
      </c>
      <c r="S4453" t="s">
        <v>26</v>
      </c>
    </row>
    <row r="4454" spans="1:19" x14ac:dyDescent="0.3">
      <c r="A4454" t="s">
        <v>20660</v>
      </c>
      <c r="B4454" t="s">
        <v>23413</v>
      </c>
      <c r="C4454" t="s">
        <v>23629</v>
      </c>
      <c r="D4454" t="s">
        <v>20680</v>
      </c>
      <c r="E4454" t="s">
        <v>21502</v>
      </c>
      <c r="F4454" t="s">
        <v>21502</v>
      </c>
      <c r="G4454" t="s">
        <v>18860</v>
      </c>
      <c r="H4454" t="s">
        <v>868</v>
      </c>
      <c r="I4454" t="s">
        <v>950</v>
      </c>
      <c r="J4454" t="str">
        <f>"9450102"</f>
        <v>9450102</v>
      </c>
      <c r="K4454">
        <v>2433023365</v>
      </c>
      <c r="L4454">
        <v>2433023365</v>
      </c>
      <c r="M4454" t="s">
        <v>23630</v>
      </c>
      <c r="N4454" t="s">
        <v>19602</v>
      </c>
      <c r="O4454" t="s">
        <v>23631</v>
      </c>
      <c r="P4454">
        <v>42031</v>
      </c>
      <c r="Q4454" t="str">
        <f>"39.701299"</f>
        <v>39.701299</v>
      </c>
      <c r="R4454" t="str">
        <f>"22.018123"</f>
        <v>22.018123</v>
      </c>
      <c r="S4454" t="s">
        <v>26</v>
      </c>
    </row>
    <row r="4455" spans="1:19" x14ac:dyDescent="0.3">
      <c r="A4455" t="s">
        <v>20660</v>
      </c>
      <c r="B4455" t="s">
        <v>23413</v>
      </c>
      <c r="C4455" t="s">
        <v>23632</v>
      </c>
      <c r="D4455" t="s">
        <v>20680</v>
      </c>
      <c r="E4455" t="s">
        <v>20681</v>
      </c>
      <c r="F4455" t="s">
        <v>20681</v>
      </c>
      <c r="G4455" t="s">
        <v>20681</v>
      </c>
      <c r="H4455" t="s">
        <v>868</v>
      </c>
      <c r="I4455" t="s">
        <v>869</v>
      </c>
      <c r="J4455" t="str">
        <f>"9450013"</f>
        <v>9450013</v>
      </c>
      <c r="K4455">
        <v>2431028473</v>
      </c>
      <c r="L4455">
        <v>2431028473</v>
      </c>
      <c r="M4455" t="s">
        <v>23633</v>
      </c>
      <c r="N4455" t="s">
        <v>20684</v>
      </c>
      <c r="O4455" t="s">
        <v>23634</v>
      </c>
      <c r="P4455">
        <v>42132</v>
      </c>
      <c r="Q4455" t="str">
        <f>"39.558536"</f>
        <v>39.558536</v>
      </c>
      <c r="R4455" t="str">
        <f>"21.764489"</f>
        <v>21.764489</v>
      </c>
      <c r="S4455" t="s">
        <v>26</v>
      </c>
    </row>
    <row r="4456" spans="1:19" x14ac:dyDescent="0.3">
      <c r="A4456" t="s">
        <v>20660</v>
      </c>
      <c r="B4456" t="s">
        <v>23413</v>
      </c>
      <c r="C4456" t="s">
        <v>23636</v>
      </c>
      <c r="D4456" t="s">
        <v>20680</v>
      </c>
      <c r="E4456" t="s">
        <v>21508</v>
      </c>
      <c r="F4456" t="s">
        <v>21645</v>
      </c>
      <c r="G4456" t="s">
        <v>23635</v>
      </c>
      <c r="H4456" t="s">
        <v>868</v>
      </c>
      <c r="I4456" t="s">
        <v>950</v>
      </c>
      <c r="J4456" t="str">
        <f>"9450157"</f>
        <v>9450157</v>
      </c>
      <c r="K4456">
        <v>2432041102</v>
      </c>
      <c r="M4456" t="s">
        <v>23637</v>
      </c>
      <c r="N4456" t="s">
        <v>23638</v>
      </c>
      <c r="O4456" t="s">
        <v>23638</v>
      </c>
      <c r="P4456">
        <v>42200</v>
      </c>
      <c r="Q4456" t="str">
        <f>"39.622257"</f>
        <v>39.622257</v>
      </c>
      <c r="R4456" t="str">
        <f>"21.529556"</f>
        <v>21.529556</v>
      </c>
      <c r="S4456" t="s">
        <v>26</v>
      </c>
    </row>
    <row r="4457" spans="1:19" x14ac:dyDescent="0.3">
      <c r="A4457" t="s">
        <v>20660</v>
      </c>
      <c r="B4457" t="s">
        <v>23413</v>
      </c>
      <c r="C4457" t="s">
        <v>23639</v>
      </c>
      <c r="D4457" t="s">
        <v>20680</v>
      </c>
      <c r="E4457" t="s">
        <v>20681</v>
      </c>
      <c r="F4457" t="s">
        <v>23414</v>
      </c>
      <c r="G4457" t="s">
        <v>15729</v>
      </c>
      <c r="H4457" t="s">
        <v>868</v>
      </c>
      <c r="I4457" t="s">
        <v>869</v>
      </c>
      <c r="J4457" t="str">
        <f>"9450034"</f>
        <v>9450034</v>
      </c>
      <c r="K4457">
        <v>2431085309</v>
      </c>
      <c r="L4457">
        <v>2431085309</v>
      </c>
      <c r="M4457" t="s">
        <v>23640</v>
      </c>
      <c r="N4457" t="s">
        <v>23641</v>
      </c>
      <c r="O4457" t="s">
        <v>20344</v>
      </c>
      <c r="P4457">
        <v>42100</v>
      </c>
      <c r="Q4457" t="str">
        <f>"39.580275"</f>
        <v>39.580275</v>
      </c>
      <c r="R4457" t="str">
        <f>"21.691462"</f>
        <v>21.691462</v>
      </c>
      <c r="S4457" t="s">
        <v>26</v>
      </c>
    </row>
    <row r="4458" spans="1:19" x14ac:dyDescent="0.3">
      <c r="A4458" t="s">
        <v>20660</v>
      </c>
      <c r="B4458" t="s">
        <v>23413</v>
      </c>
      <c r="C4458" t="s">
        <v>21572</v>
      </c>
      <c r="D4458" t="s">
        <v>20680</v>
      </c>
      <c r="E4458" t="s">
        <v>20681</v>
      </c>
      <c r="F4458" t="s">
        <v>20681</v>
      </c>
      <c r="G4458" t="s">
        <v>20681</v>
      </c>
      <c r="H4458" t="s">
        <v>868</v>
      </c>
      <c r="I4458" t="s">
        <v>869</v>
      </c>
      <c r="J4458" t="str">
        <f>"9450019"</f>
        <v>9450019</v>
      </c>
      <c r="K4458">
        <v>2431026297</v>
      </c>
      <c r="L4458">
        <v>2431026297</v>
      </c>
      <c r="M4458" t="s">
        <v>23649</v>
      </c>
      <c r="N4458" t="s">
        <v>20684</v>
      </c>
      <c r="O4458" t="s">
        <v>23650</v>
      </c>
      <c r="P4458">
        <v>42132</v>
      </c>
      <c r="Q4458" t="str">
        <f>"39.550594"</f>
        <v>39.550594</v>
      </c>
      <c r="R4458" t="str">
        <f>"21.778451"</f>
        <v>21.778451</v>
      </c>
      <c r="S4458" t="s">
        <v>26</v>
      </c>
    </row>
    <row r="4459" spans="1:19" x14ac:dyDescent="0.3">
      <c r="A4459" t="s">
        <v>20660</v>
      </c>
      <c r="B4459" t="s">
        <v>23413</v>
      </c>
      <c r="C4459" t="s">
        <v>23651</v>
      </c>
      <c r="D4459" t="s">
        <v>20680</v>
      </c>
      <c r="E4459" t="s">
        <v>21502</v>
      </c>
      <c r="F4459" t="s">
        <v>23450</v>
      </c>
      <c r="G4459" t="s">
        <v>12932</v>
      </c>
      <c r="H4459" t="s">
        <v>868</v>
      </c>
      <c r="I4459" t="s">
        <v>869</v>
      </c>
      <c r="J4459" t="str">
        <f>"9450066"</f>
        <v>9450066</v>
      </c>
      <c r="K4459">
        <v>2431083204</v>
      </c>
      <c r="L4459">
        <v>2431083204</v>
      </c>
      <c r="M4459" t="s">
        <v>23652</v>
      </c>
      <c r="N4459" t="s">
        <v>13376</v>
      </c>
      <c r="O4459" t="s">
        <v>13376</v>
      </c>
      <c r="P4459">
        <v>42100</v>
      </c>
      <c r="Q4459" t="str">
        <f>"39.572455"</f>
        <v>39.572455</v>
      </c>
      <c r="R4459" t="str">
        <f>"21.896644"</f>
        <v>21.896644</v>
      </c>
      <c r="S4459" t="s">
        <v>26</v>
      </c>
    </row>
    <row r="4460" spans="1:19" x14ac:dyDescent="0.3">
      <c r="A4460" t="s">
        <v>20660</v>
      </c>
      <c r="B4460" t="s">
        <v>23413</v>
      </c>
      <c r="C4460" t="s">
        <v>23653</v>
      </c>
      <c r="D4460" t="s">
        <v>20680</v>
      </c>
      <c r="E4460" t="s">
        <v>20681</v>
      </c>
      <c r="F4460" t="s">
        <v>20681</v>
      </c>
      <c r="G4460" t="s">
        <v>20681</v>
      </c>
      <c r="H4460" t="s">
        <v>868</v>
      </c>
      <c r="I4460" t="s">
        <v>869</v>
      </c>
      <c r="J4460" t="str">
        <f>"9450090"</f>
        <v>9450090</v>
      </c>
      <c r="K4460">
        <v>2431028641</v>
      </c>
      <c r="L4460">
        <v>2431028641</v>
      </c>
      <c r="M4460" t="s">
        <v>23654</v>
      </c>
      <c r="N4460" t="s">
        <v>20684</v>
      </c>
      <c r="O4460" t="s">
        <v>23655</v>
      </c>
      <c r="P4460">
        <v>42100</v>
      </c>
      <c r="Q4460" t="str">
        <f>"39.589312"</f>
        <v>39.589312</v>
      </c>
      <c r="R4460" t="str">
        <f>"21.752725"</f>
        <v>21.752725</v>
      </c>
      <c r="S4460" t="s">
        <v>26</v>
      </c>
    </row>
    <row r="4461" spans="1:19" x14ac:dyDescent="0.3">
      <c r="A4461" t="s">
        <v>20660</v>
      </c>
      <c r="B4461" t="s">
        <v>23413</v>
      </c>
      <c r="C4461" t="s">
        <v>23659</v>
      </c>
      <c r="D4461" t="s">
        <v>20680</v>
      </c>
      <c r="E4461" t="s">
        <v>21508</v>
      </c>
      <c r="F4461" t="s">
        <v>23618</v>
      </c>
      <c r="G4461" t="s">
        <v>1800</v>
      </c>
      <c r="H4461" t="s">
        <v>868</v>
      </c>
      <c r="I4461" t="s">
        <v>950</v>
      </c>
      <c r="J4461" t="str">
        <f>"9450191"</f>
        <v>9450191</v>
      </c>
      <c r="K4461">
        <v>2432070202</v>
      </c>
      <c r="L4461">
        <v>2432070202</v>
      </c>
      <c r="M4461" t="s">
        <v>23660</v>
      </c>
      <c r="N4461" t="s">
        <v>1803</v>
      </c>
      <c r="O4461" t="s">
        <v>1800</v>
      </c>
      <c r="P4461">
        <v>42200</v>
      </c>
      <c r="Q4461" t="str">
        <f>"39.796908"</f>
        <v>39.796908</v>
      </c>
      <c r="R4461" t="str">
        <f>"21.331191"</f>
        <v>21.331191</v>
      </c>
      <c r="S4461" t="s">
        <v>26</v>
      </c>
    </row>
    <row r="4462" spans="1:19" x14ac:dyDescent="0.3">
      <c r="A4462" t="s">
        <v>20660</v>
      </c>
      <c r="B4462" t="s">
        <v>23413</v>
      </c>
      <c r="C4462" t="s">
        <v>23665</v>
      </c>
      <c r="D4462" t="s">
        <v>20680</v>
      </c>
      <c r="E4462" t="s">
        <v>20681</v>
      </c>
      <c r="F4462" t="s">
        <v>23440</v>
      </c>
      <c r="G4462" t="s">
        <v>23441</v>
      </c>
      <c r="H4462" t="s">
        <v>868</v>
      </c>
      <c r="I4462" t="s">
        <v>950</v>
      </c>
      <c r="J4462" t="str">
        <f>"9450054"</f>
        <v>9450054</v>
      </c>
      <c r="K4462">
        <v>2431088088</v>
      </c>
      <c r="L4462">
        <v>2431088088</v>
      </c>
      <c r="M4462" t="s">
        <v>23666</v>
      </c>
      <c r="N4462" t="s">
        <v>23444</v>
      </c>
      <c r="O4462" t="s">
        <v>23444</v>
      </c>
      <c r="P4462">
        <v>42100</v>
      </c>
      <c r="Q4462" t="str">
        <f>"39.608730"</f>
        <v>39.608730</v>
      </c>
      <c r="R4462" t="str">
        <f>"21.747026"</f>
        <v>21.747026</v>
      </c>
      <c r="S4462" t="s">
        <v>26</v>
      </c>
    </row>
    <row r="4463" spans="1:19" x14ac:dyDescent="0.3">
      <c r="A4463" t="s">
        <v>20660</v>
      </c>
      <c r="B4463" t="s">
        <v>23413</v>
      </c>
      <c r="C4463" t="s">
        <v>23675</v>
      </c>
      <c r="D4463" t="s">
        <v>20680</v>
      </c>
      <c r="E4463" t="s">
        <v>20681</v>
      </c>
      <c r="F4463" t="s">
        <v>20681</v>
      </c>
      <c r="G4463" t="s">
        <v>20681</v>
      </c>
      <c r="H4463" t="s">
        <v>868</v>
      </c>
      <c r="I4463" t="s">
        <v>869</v>
      </c>
      <c r="J4463" t="str">
        <f>"9450008"</f>
        <v>9450008</v>
      </c>
      <c r="K4463">
        <v>2431034593</v>
      </c>
      <c r="L4463">
        <v>2431034593</v>
      </c>
      <c r="M4463" t="s">
        <v>23676</v>
      </c>
      <c r="N4463" t="s">
        <v>20684</v>
      </c>
      <c r="O4463" t="s">
        <v>23677</v>
      </c>
      <c r="P4463">
        <v>42100</v>
      </c>
      <c r="Q4463" t="str">
        <f>"39.563647"</f>
        <v>39.563647</v>
      </c>
      <c r="R4463" t="str">
        <f>"21.743514"</f>
        <v>21.743514</v>
      </c>
      <c r="S4463" t="s">
        <v>26</v>
      </c>
    </row>
    <row r="4464" spans="1:19" x14ac:dyDescent="0.3">
      <c r="A4464" t="s">
        <v>20660</v>
      </c>
      <c r="B4464" t="s">
        <v>23413</v>
      </c>
      <c r="C4464" t="s">
        <v>23699</v>
      </c>
      <c r="D4464" t="s">
        <v>20680</v>
      </c>
      <c r="E4464" t="s">
        <v>21508</v>
      </c>
      <c r="F4464" t="s">
        <v>17277</v>
      </c>
      <c r="G4464" t="s">
        <v>17996</v>
      </c>
      <c r="H4464" t="s">
        <v>868</v>
      </c>
      <c r="I4464" t="s">
        <v>950</v>
      </c>
      <c r="J4464" t="str">
        <f>"9450144"</f>
        <v>9450144</v>
      </c>
      <c r="K4464">
        <v>2432094244</v>
      </c>
      <c r="M4464" t="s">
        <v>23700</v>
      </c>
      <c r="N4464" t="s">
        <v>17999</v>
      </c>
      <c r="O4464" t="s">
        <v>17999</v>
      </c>
      <c r="P4464">
        <v>42200</v>
      </c>
      <c r="Q4464" t="str">
        <f>"39.853262"</f>
        <v>39.853262</v>
      </c>
      <c r="R4464" t="str">
        <f>"21.663218"</f>
        <v>21.663218</v>
      </c>
      <c r="S4464" t="s">
        <v>26</v>
      </c>
    </row>
    <row r="4465" spans="1:19" x14ac:dyDescent="0.3">
      <c r="A4465" t="s">
        <v>20660</v>
      </c>
      <c r="B4465" t="s">
        <v>23413</v>
      </c>
      <c r="C4465" t="s">
        <v>21564</v>
      </c>
      <c r="D4465" t="s">
        <v>20680</v>
      </c>
      <c r="E4465" t="s">
        <v>20681</v>
      </c>
      <c r="F4465" t="s">
        <v>20681</v>
      </c>
      <c r="G4465" t="s">
        <v>20681</v>
      </c>
      <c r="H4465" t="s">
        <v>868</v>
      </c>
      <c r="I4465" t="s">
        <v>869</v>
      </c>
      <c r="J4465" t="str">
        <f>"9450325"</f>
        <v>9450325</v>
      </c>
      <c r="K4465">
        <v>2431021262</v>
      </c>
      <c r="L4465">
        <v>2431021262</v>
      </c>
      <c r="M4465" t="s">
        <v>23701</v>
      </c>
      <c r="N4465" t="s">
        <v>20684</v>
      </c>
      <c r="O4465" t="s">
        <v>23702</v>
      </c>
      <c r="P4465">
        <v>42132</v>
      </c>
      <c r="Q4465" t="str">
        <f>"39.556191"</f>
        <v>39.556191</v>
      </c>
      <c r="R4465" t="str">
        <f>"21.779925"</f>
        <v>21.779925</v>
      </c>
      <c r="S4465" t="s">
        <v>26</v>
      </c>
    </row>
    <row r="4466" spans="1:19" x14ac:dyDescent="0.3">
      <c r="A4466" t="s">
        <v>20660</v>
      </c>
      <c r="B4466" t="s">
        <v>23413</v>
      </c>
      <c r="C4466" t="s">
        <v>23709</v>
      </c>
      <c r="D4466" t="s">
        <v>20680</v>
      </c>
      <c r="E4466" t="s">
        <v>20681</v>
      </c>
      <c r="F4466" t="s">
        <v>21540</v>
      </c>
      <c r="G4466" t="s">
        <v>23484</v>
      </c>
      <c r="H4466" t="s">
        <v>868</v>
      </c>
      <c r="I4466" t="s">
        <v>950</v>
      </c>
      <c r="J4466" t="str">
        <f>"9450256"</f>
        <v>9450256</v>
      </c>
      <c r="K4466">
        <v>2431055935</v>
      </c>
      <c r="L4466">
        <v>2431055935</v>
      </c>
      <c r="M4466" t="s">
        <v>23710</v>
      </c>
      <c r="N4466" t="s">
        <v>23487</v>
      </c>
      <c r="O4466" t="s">
        <v>23487</v>
      </c>
      <c r="P4466">
        <v>42100</v>
      </c>
      <c r="Q4466" t="str">
        <f>"39.535559"</f>
        <v>39.535559</v>
      </c>
      <c r="R4466" t="str">
        <f>"21.865094"</f>
        <v>21.865094</v>
      </c>
      <c r="S4466" t="s">
        <v>26</v>
      </c>
    </row>
    <row r="4467" spans="1:19" x14ac:dyDescent="0.3">
      <c r="A4467" t="s">
        <v>20660</v>
      </c>
      <c r="B4467" t="s">
        <v>23413</v>
      </c>
      <c r="C4467" t="s">
        <v>23716</v>
      </c>
      <c r="D4467" t="s">
        <v>20680</v>
      </c>
      <c r="E4467" t="s">
        <v>20681</v>
      </c>
      <c r="F4467" t="s">
        <v>20681</v>
      </c>
      <c r="G4467" t="s">
        <v>20681</v>
      </c>
      <c r="H4467" t="s">
        <v>868</v>
      </c>
      <c r="I4467" t="s">
        <v>1157</v>
      </c>
      <c r="J4467" t="str">
        <f>"9450343"</f>
        <v>9450343</v>
      </c>
      <c r="K4467">
        <v>2431072950</v>
      </c>
      <c r="L4467">
        <v>2431072950</v>
      </c>
      <c r="M4467" t="s">
        <v>23717</v>
      </c>
      <c r="N4467" t="s">
        <v>20684</v>
      </c>
      <c r="O4467" t="s">
        <v>13681</v>
      </c>
      <c r="P4467">
        <v>42100</v>
      </c>
      <c r="Q4467" t="str">
        <f>"39.527823"</f>
        <v>39.527823</v>
      </c>
      <c r="R4467" t="str">
        <f>"21.771376"</f>
        <v>21.771376</v>
      </c>
      <c r="S4467" t="s">
        <v>26</v>
      </c>
    </row>
    <row r="4468" spans="1:19" x14ac:dyDescent="0.3">
      <c r="A4468" t="s">
        <v>20660</v>
      </c>
      <c r="B4468" t="s">
        <v>23413</v>
      </c>
      <c r="C4468" t="s">
        <v>21556</v>
      </c>
      <c r="D4468" t="s">
        <v>20680</v>
      </c>
      <c r="E4468" t="s">
        <v>20681</v>
      </c>
      <c r="F4468" t="s">
        <v>20681</v>
      </c>
      <c r="G4468" t="s">
        <v>20681</v>
      </c>
      <c r="H4468" t="s">
        <v>868</v>
      </c>
      <c r="I4468" t="s">
        <v>869</v>
      </c>
      <c r="J4468" t="str">
        <f>"9450087"</f>
        <v>9450087</v>
      </c>
      <c r="K4468">
        <v>2431027086</v>
      </c>
      <c r="L4468">
        <v>2431027086</v>
      </c>
      <c r="M4468" t="s">
        <v>23722</v>
      </c>
      <c r="N4468" t="s">
        <v>20684</v>
      </c>
      <c r="O4468" t="s">
        <v>23723</v>
      </c>
      <c r="P4468">
        <v>42131</v>
      </c>
      <c r="Q4468" t="str">
        <f>"39.550243"</f>
        <v>39.550243</v>
      </c>
      <c r="R4468" t="str">
        <f>"21.771756"</f>
        <v>21.771756</v>
      </c>
      <c r="S4468" t="s">
        <v>26</v>
      </c>
    </row>
    <row r="4469" spans="1:19" x14ac:dyDescent="0.3">
      <c r="A4469" t="s">
        <v>20660</v>
      </c>
      <c r="B4469" t="s">
        <v>23413</v>
      </c>
      <c r="C4469" t="s">
        <v>23741</v>
      </c>
      <c r="D4469" t="s">
        <v>20680</v>
      </c>
      <c r="E4469" t="s">
        <v>21508</v>
      </c>
      <c r="F4469" t="s">
        <v>21508</v>
      </c>
      <c r="G4469" t="s">
        <v>21580</v>
      </c>
      <c r="H4469" t="s">
        <v>868</v>
      </c>
      <c r="I4469" t="s">
        <v>1157</v>
      </c>
      <c r="J4469" t="str">
        <f>"9450385"</f>
        <v>9450385</v>
      </c>
      <c r="K4469">
        <v>2432075315</v>
      </c>
      <c r="M4469" t="s">
        <v>23742</v>
      </c>
      <c r="N4469" t="s">
        <v>21583</v>
      </c>
      <c r="O4469" t="s">
        <v>23743</v>
      </c>
      <c r="P4469">
        <v>42200</v>
      </c>
      <c r="Q4469" t="str">
        <f>"39.706171"</f>
        <v>39.706171</v>
      </c>
      <c r="R4469" t="str">
        <f>"21.621025"</f>
        <v>21.621025</v>
      </c>
      <c r="S4469" t="s">
        <v>26</v>
      </c>
    </row>
    <row r="4470" spans="1:19" x14ac:dyDescent="0.3">
      <c r="A4470" t="s">
        <v>20660</v>
      </c>
      <c r="B4470" t="s">
        <v>23413</v>
      </c>
      <c r="C4470" t="s">
        <v>21530</v>
      </c>
      <c r="D4470" t="s">
        <v>20680</v>
      </c>
      <c r="E4470" t="s">
        <v>20681</v>
      </c>
      <c r="F4470" t="s">
        <v>20681</v>
      </c>
      <c r="G4470" t="s">
        <v>20681</v>
      </c>
      <c r="H4470" t="s">
        <v>868</v>
      </c>
      <c r="I4470" t="s">
        <v>869</v>
      </c>
      <c r="J4470" t="str">
        <f>"9450086"</f>
        <v>9450086</v>
      </c>
      <c r="K4470">
        <v>2431027157</v>
      </c>
      <c r="L4470">
        <v>2431027132</v>
      </c>
      <c r="M4470" t="s">
        <v>23753</v>
      </c>
      <c r="N4470" t="s">
        <v>21562</v>
      </c>
      <c r="O4470" t="s">
        <v>23754</v>
      </c>
      <c r="P4470">
        <v>42132</v>
      </c>
      <c r="Q4470" t="str">
        <f>"39.565058"</f>
        <v>39.565058</v>
      </c>
      <c r="R4470" t="str">
        <f>"21.775495"</f>
        <v>21.775495</v>
      </c>
      <c r="S4470" t="s">
        <v>26</v>
      </c>
    </row>
    <row r="4471" spans="1:19" x14ac:dyDescent="0.3">
      <c r="A4471" t="s">
        <v>20660</v>
      </c>
      <c r="B4471" t="s">
        <v>23413</v>
      </c>
      <c r="C4471" t="s">
        <v>23770</v>
      </c>
      <c r="D4471" t="s">
        <v>20680</v>
      </c>
      <c r="E4471" t="s">
        <v>21531</v>
      </c>
      <c r="F4471" t="s">
        <v>21531</v>
      </c>
      <c r="G4471" t="s">
        <v>23769</v>
      </c>
      <c r="H4471" t="s">
        <v>868</v>
      </c>
      <c r="I4471" t="s">
        <v>950</v>
      </c>
      <c r="J4471" t="str">
        <f>"9450251"</f>
        <v>9450251</v>
      </c>
      <c r="K4471">
        <v>2434081335</v>
      </c>
      <c r="M4471" t="s">
        <v>23771</v>
      </c>
      <c r="N4471" t="s">
        <v>23772</v>
      </c>
      <c r="O4471" t="s">
        <v>23773</v>
      </c>
      <c r="P4471">
        <v>42032</v>
      </c>
      <c r="Q4471" t="str">
        <f>""</f>
        <v/>
      </c>
      <c r="R4471" t="str">
        <f>""</f>
        <v/>
      </c>
      <c r="S4471" t="s">
        <v>26</v>
      </c>
    </row>
    <row r="4472" spans="1:19" x14ac:dyDescent="0.3">
      <c r="A4472" t="s">
        <v>20660</v>
      </c>
      <c r="B4472" t="s">
        <v>23413</v>
      </c>
      <c r="C4472" t="s">
        <v>23790</v>
      </c>
      <c r="D4472" t="s">
        <v>20680</v>
      </c>
      <c r="E4472" t="s">
        <v>20681</v>
      </c>
      <c r="F4472" t="s">
        <v>21641</v>
      </c>
      <c r="G4472" t="s">
        <v>23728</v>
      </c>
      <c r="H4472" t="s">
        <v>868</v>
      </c>
      <c r="I4472" t="s">
        <v>950</v>
      </c>
      <c r="J4472" t="str">
        <f>"9450023"</f>
        <v>9450023</v>
      </c>
      <c r="K4472">
        <v>2431053348</v>
      </c>
      <c r="L4472">
        <v>2431053348</v>
      </c>
      <c r="M4472" t="s">
        <v>23791</v>
      </c>
      <c r="N4472" t="s">
        <v>23728</v>
      </c>
      <c r="O4472" t="s">
        <v>23731</v>
      </c>
      <c r="P4472">
        <v>42100</v>
      </c>
      <c r="Q4472" t="str">
        <f>"39.547893"</f>
        <v>39.547893</v>
      </c>
      <c r="R4472" t="str">
        <f>"21.587703"</f>
        <v>21.587703</v>
      </c>
      <c r="S4472" t="s">
        <v>26</v>
      </c>
    </row>
    <row r="4473" spans="1:19" x14ac:dyDescent="0.3">
      <c r="A4473" t="s">
        <v>20660</v>
      </c>
      <c r="B4473" t="s">
        <v>23413</v>
      </c>
      <c r="C4473" t="s">
        <v>23796</v>
      </c>
      <c r="D4473" t="s">
        <v>20680</v>
      </c>
      <c r="E4473" t="s">
        <v>21531</v>
      </c>
      <c r="F4473" t="s">
        <v>23711</v>
      </c>
      <c r="G4473" t="s">
        <v>23712</v>
      </c>
      <c r="H4473" t="s">
        <v>868</v>
      </c>
      <c r="I4473" t="s">
        <v>950</v>
      </c>
      <c r="J4473" t="str">
        <f>"9450264"</f>
        <v>9450264</v>
      </c>
      <c r="K4473">
        <v>2434093213</v>
      </c>
      <c r="L4473">
        <v>2434093213</v>
      </c>
      <c r="M4473" t="s">
        <v>23797</v>
      </c>
      <c r="N4473" t="s">
        <v>23798</v>
      </c>
      <c r="O4473" t="s">
        <v>23798</v>
      </c>
      <c r="P4473">
        <v>42032</v>
      </c>
      <c r="Q4473" t="str">
        <f>"39.452628"</f>
        <v>39.452628</v>
      </c>
      <c r="R4473" t="str">
        <f>"21.490078"</f>
        <v>21.490078</v>
      </c>
      <c r="S4473" t="s">
        <v>26</v>
      </c>
    </row>
    <row r="4474" spans="1:19" x14ac:dyDescent="0.3">
      <c r="A4474" t="s">
        <v>20660</v>
      </c>
      <c r="B4474" t="s">
        <v>23413</v>
      </c>
      <c r="C4474" t="s">
        <v>23799</v>
      </c>
      <c r="D4474" t="s">
        <v>20680</v>
      </c>
      <c r="E4474" t="s">
        <v>20681</v>
      </c>
      <c r="F4474" t="s">
        <v>21628</v>
      </c>
      <c r="G4474" t="s">
        <v>23480</v>
      </c>
      <c r="H4474" t="s">
        <v>868</v>
      </c>
      <c r="I4474" t="s">
        <v>950</v>
      </c>
      <c r="J4474" t="str">
        <f>"9450225"</f>
        <v>9450225</v>
      </c>
      <c r="K4474">
        <v>2431055602</v>
      </c>
      <c r="L4474">
        <v>2431055602</v>
      </c>
      <c r="M4474" t="s">
        <v>23800</v>
      </c>
      <c r="N4474" t="s">
        <v>23483</v>
      </c>
      <c r="O4474" t="s">
        <v>23483</v>
      </c>
      <c r="P4474">
        <v>42100</v>
      </c>
      <c r="Q4474" t="str">
        <f>"39.512578"</f>
        <v>39.512578</v>
      </c>
      <c r="R4474" t="str">
        <f>"21.863138"</f>
        <v>21.863138</v>
      </c>
      <c r="S4474" t="s">
        <v>26</v>
      </c>
    </row>
    <row r="4475" spans="1:19" x14ac:dyDescent="0.3">
      <c r="A4475" t="s">
        <v>20660</v>
      </c>
      <c r="B4475" t="s">
        <v>23413</v>
      </c>
      <c r="C4475" t="s">
        <v>23801</v>
      </c>
      <c r="D4475" t="s">
        <v>20680</v>
      </c>
      <c r="E4475" t="s">
        <v>20681</v>
      </c>
      <c r="F4475" t="s">
        <v>23414</v>
      </c>
      <c r="G4475" t="s">
        <v>23415</v>
      </c>
      <c r="H4475" t="s">
        <v>868</v>
      </c>
      <c r="I4475" t="s">
        <v>950</v>
      </c>
      <c r="J4475" t="str">
        <f>"9450027"</f>
        <v>9450027</v>
      </c>
      <c r="K4475">
        <v>2431086245</v>
      </c>
      <c r="L4475">
        <v>2431086245</v>
      </c>
      <c r="M4475" t="s">
        <v>23802</v>
      </c>
      <c r="N4475" t="s">
        <v>23418</v>
      </c>
      <c r="O4475" t="s">
        <v>23418</v>
      </c>
      <c r="P4475">
        <v>42100</v>
      </c>
      <c r="Q4475" t="str">
        <f>"39.593741"</f>
        <v>39.593741</v>
      </c>
      <c r="R4475" t="str">
        <f>"21.650402"</f>
        <v>21.650402</v>
      </c>
      <c r="S4475" t="s">
        <v>26</v>
      </c>
    </row>
    <row r="4476" spans="1:19" x14ac:dyDescent="0.3">
      <c r="A4476" t="s">
        <v>20660</v>
      </c>
      <c r="B4476" t="s">
        <v>23413</v>
      </c>
      <c r="C4476" t="s">
        <v>21633</v>
      </c>
      <c r="D4476" t="s">
        <v>20680</v>
      </c>
      <c r="E4476" t="s">
        <v>20681</v>
      </c>
      <c r="F4476" t="s">
        <v>21628</v>
      </c>
      <c r="G4476" t="s">
        <v>21628</v>
      </c>
      <c r="H4476" t="s">
        <v>868</v>
      </c>
      <c r="I4476" t="s">
        <v>869</v>
      </c>
      <c r="J4476" t="str">
        <f>"9450236"</f>
        <v>9450236</v>
      </c>
      <c r="K4476">
        <v>2431043246</v>
      </c>
      <c r="L4476">
        <v>2431043246</v>
      </c>
      <c r="M4476" t="s">
        <v>23803</v>
      </c>
      <c r="N4476" t="s">
        <v>21631</v>
      </c>
      <c r="O4476" t="s">
        <v>23804</v>
      </c>
      <c r="P4476">
        <v>42030</v>
      </c>
      <c r="Q4476" t="str">
        <f>"39.498881"</f>
        <v>39.498881</v>
      </c>
      <c r="R4476" t="str">
        <f>"21.789749"</f>
        <v>21.789749</v>
      </c>
      <c r="S4476" t="s">
        <v>26</v>
      </c>
    </row>
    <row r="4477" spans="1:19" x14ac:dyDescent="0.3">
      <c r="A4477" t="s">
        <v>20660</v>
      </c>
      <c r="B4477" t="s">
        <v>23413</v>
      </c>
      <c r="C4477" t="s">
        <v>21527</v>
      </c>
      <c r="D4477" t="s">
        <v>20680</v>
      </c>
      <c r="E4477" t="s">
        <v>20681</v>
      </c>
      <c r="F4477" t="s">
        <v>20681</v>
      </c>
      <c r="G4477" t="s">
        <v>20681</v>
      </c>
      <c r="H4477" t="s">
        <v>868</v>
      </c>
      <c r="I4477" t="s">
        <v>869</v>
      </c>
      <c r="J4477" t="str">
        <f>"9450399"</f>
        <v>9450399</v>
      </c>
      <c r="K4477">
        <v>2431076250</v>
      </c>
      <c r="M4477" t="s">
        <v>23805</v>
      </c>
      <c r="N4477" t="s">
        <v>20684</v>
      </c>
      <c r="O4477" t="s">
        <v>23439</v>
      </c>
      <c r="P4477">
        <v>42131</v>
      </c>
      <c r="Q4477" t="str">
        <f>"39.541912"</f>
        <v>39.541912</v>
      </c>
      <c r="R4477" t="str">
        <f>"21.769524"</f>
        <v>21.769524</v>
      </c>
      <c r="S4477" t="s">
        <v>26</v>
      </c>
    </row>
    <row r="4478" spans="1:19" x14ac:dyDescent="0.3">
      <c r="A4478" t="s">
        <v>20660</v>
      </c>
      <c r="B4478" t="s">
        <v>23413</v>
      </c>
      <c r="C4478" t="s">
        <v>23810</v>
      </c>
      <c r="D4478" t="s">
        <v>20680</v>
      </c>
      <c r="E4478" t="s">
        <v>20681</v>
      </c>
      <c r="F4478" t="s">
        <v>23414</v>
      </c>
      <c r="G4478" t="s">
        <v>23488</v>
      </c>
      <c r="H4478" t="s">
        <v>868</v>
      </c>
      <c r="I4478" t="s">
        <v>869</v>
      </c>
      <c r="J4478" t="str">
        <f>"9450039"</f>
        <v>9450039</v>
      </c>
      <c r="K4478">
        <v>2431085111</v>
      </c>
      <c r="L4478">
        <v>2431085111</v>
      </c>
      <c r="M4478" t="s">
        <v>23811</v>
      </c>
      <c r="N4478" t="s">
        <v>23492</v>
      </c>
      <c r="O4478" t="s">
        <v>23492</v>
      </c>
      <c r="P4478">
        <v>42100</v>
      </c>
      <c r="Q4478" t="str">
        <f>"39.588551"</f>
        <v>39.588551</v>
      </c>
      <c r="R4478" t="str">
        <f>"21.729077"</f>
        <v>21.729077</v>
      </c>
      <c r="S4478" t="s">
        <v>26</v>
      </c>
    </row>
    <row r="4479" spans="1:19" x14ac:dyDescent="0.3">
      <c r="A4479" t="s">
        <v>20660</v>
      </c>
      <c r="B4479" t="s">
        <v>23413</v>
      </c>
      <c r="C4479" t="s">
        <v>21579</v>
      </c>
      <c r="D4479" t="s">
        <v>20680</v>
      </c>
      <c r="E4479" t="s">
        <v>20681</v>
      </c>
      <c r="F4479" t="s">
        <v>21573</v>
      </c>
      <c r="G4479" t="s">
        <v>21574</v>
      </c>
      <c r="H4479" t="s">
        <v>868</v>
      </c>
      <c r="I4479" t="s">
        <v>869</v>
      </c>
      <c r="J4479" t="str">
        <f>"9450021"</f>
        <v>9450021</v>
      </c>
      <c r="K4479">
        <v>2431094350</v>
      </c>
      <c r="L4479">
        <v>2431094350</v>
      </c>
      <c r="M4479" t="s">
        <v>23812</v>
      </c>
      <c r="N4479" t="s">
        <v>21577</v>
      </c>
      <c r="O4479" t="s">
        <v>20684</v>
      </c>
      <c r="P4479">
        <v>42100</v>
      </c>
      <c r="Q4479" t="str">
        <f>"39.548839"</f>
        <v>39.548839</v>
      </c>
      <c r="R4479" t="str">
        <f>"21.659572"</f>
        <v>21.659572</v>
      </c>
      <c r="S4479" t="s">
        <v>26</v>
      </c>
    </row>
    <row r="4480" spans="1:19" x14ac:dyDescent="0.3">
      <c r="A4480" t="s">
        <v>20660</v>
      </c>
      <c r="B4480" t="s">
        <v>23413</v>
      </c>
      <c r="C4480" t="s">
        <v>23813</v>
      </c>
      <c r="D4480" t="s">
        <v>20680</v>
      </c>
      <c r="E4480" t="s">
        <v>21531</v>
      </c>
      <c r="F4480" t="s">
        <v>23571</v>
      </c>
      <c r="G4480" t="s">
        <v>23718</v>
      </c>
      <c r="H4480" t="s">
        <v>868</v>
      </c>
      <c r="I4480" t="s">
        <v>869</v>
      </c>
      <c r="J4480" t="str">
        <f>"9450049"</f>
        <v>9450049</v>
      </c>
      <c r="K4480">
        <v>2431051622</v>
      </c>
      <c r="L4480">
        <v>2431051622</v>
      </c>
      <c r="M4480" t="s">
        <v>23814</v>
      </c>
      <c r="N4480" t="s">
        <v>23721</v>
      </c>
      <c r="O4480" t="s">
        <v>23815</v>
      </c>
      <c r="P4480">
        <v>42032</v>
      </c>
      <c r="Q4480" t="str">
        <f>"39.507897"</f>
        <v>39.507897</v>
      </c>
      <c r="R4480" t="str">
        <f>"21.596834"</f>
        <v>21.596834</v>
      </c>
      <c r="S4480" t="s">
        <v>26</v>
      </c>
    </row>
    <row r="4481" spans="1:19" x14ac:dyDescent="0.3">
      <c r="A4481" t="s">
        <v>20660</v>
      </c>
      <c r="B4481" t="s">
        <v>23413</v>
      </c>
      <c r="C4481" t="s">
        <v>21600</v>
      </c>
      <c r="D4481" t="s">
        <v>20680</v>
      </c>
      <c r="E4481" t="s">
        <v>20681</v>
      </c>
      <c r="F4481" t="s">
        <v>20681</v>
      </c>
      <c r="G4481" t="s">
        <v>20681</v>
      </c>
      <c r="H4481" t="s">
        <v>868</v>
      </c>
      <c r="I4481" t="s">
        <v>869</v>
      </c>
      <c r="J4481" t="str">
        <f>"9450011"</f>
        <v>9450011</v>
      </c>
      <c r="K4481">
        <v>2431025488</v>
      </c>
      <c r="L4481">
        <v>2431025488</v>
      </c>
      <c r="M4481" t="s">
        <v>23816</v>
      </c>
      <c r="N4481" t="s">
        <v>20684</v>
      </c>
      <c r="O4481" t="s">
        <v>23817</v>
      </c>
      <c r="P4481">
        <v>42100</v>
      </c>
      <c r="Q4481" t="str">
        <f>"39.537232"</f>
        <v>39.537232</v>
      </c>
      <c r="R4481" t="str">
        <f>"21.801931"</f>
        <v>21.801931</v>
      </c>
      <c r="S4481" t="s">
        <v>26</v>
      </c>
    </row>
    <row r="4482" spans="1:19" x14ac:dyDescent="0.3">
      <c r="A4482" t="s">
        <v>20660</v>
      </c>
      <c r="B4482" t="s">
        <v>23413</v>
      </c>
      <c r="C4482" t="s">
        <v>23818</v>
      </c>
      <c r="D4482" t="s">
        <v>20680</v>
      </c>
      <c r="E4482" t="s">
        <v>21531</v>
      </c>
      <c r="F4482" t="s">
        <v>23571</v>
      </c>
      <c r="G4482" t="s">
        <v>23705</v>
      </c>
      <c r="H4482" t="s">
        <v>868</v>
      </c>
      <c r="I4482" t="s">
        <v>869</v>
      </c>
      <c r="J4482" t="str">
        <f>"9450058"</f>
        <v>9450058</v>
      </c>
      <c r="K4482">
        <v>2431051188</v>
      </c>
      <c r="L4482">
        <v>2431051198</v>
      </c>
      <c r="M4482" t="s">
        <v>23819</v>
      </c>
      <c r="N4482" t="s">
        <v>23708</v>
      </c>
      <c r="O4482" t="s">
        <v>23708</v>
      </c>
      <c r="P4482">
        <v>42100</v>
      </c>
      <c r="Q4482" t="str">
        <f>"39.519133"</f>
        <v>39.519133</v>
      </c>
      <c r="R4482" t="str">
        <f>"21.661086"</f>
        <v>21.661086</v>
      </c>
      <c r="S4482" t="s">
        <v>26</v>
      </c>
    </row>
    <row r="4483" spans="1:19" x14ac:dyDescent="0.3">
      <c r="A4483" t="s">
        <v>20660</v>
      </c>
      <c r="B4483" t="s">
        <v>23413</v>
      </c>
      <c r="C4483" t="s">
        <v>23821</v>
      </c>
      <c r="D4483" t="s">
        <v>20680</v>
      </c>
      <c r="E4483" t="s">
        <v>20681</v>
      </c>
      <c r="F4483" t="s">
        <v>21641</v>
      </c>
      <c r="G4483" t="s">
        <v>23820</v>
      </c>
      <c r="H4483" t="s">
        <v>868</v>
      </c>
      <c r="I4483" t="s">
        <v>950</v>
      </c>
      <c r="J4483" t="str">
        <f>"9450043"</f>
        <v>9450043</v>
      </c>
      <c r="K4483">
        <v>2431053373</v>
      </c>
      <c r="L4483">
        <v>2431053373</v>
      </c>
      <c r="M4483" t="s">
        <v>23822</v>
      </c>
      <c r="N4483" t="s">
        <v>23823</v>
      </c>
      <c r="O4483" t="s">
        <v>23823</v>
      </c>
      <c r="P4483">
        <v>42100</v>
      </c>
      <c r="Q4483" t="str">
        <f>"39.534162"</f>
        <v>39.534162</v>
      </c>
      <c r="R4483" t="str">
        <f>"21.582602"</f>
        <v>21.582602</v>
      </c>
      <c r="S4483" t="s">
        <v>26</v>
      </c>
    </row>
    <row r="4484" spans="1:19" x14ac:dyDescent="0.3">
      <c r="A4484" t="s">
        <v>20660</v>
      </c>
      <c r="B4484" t="s">
        <v>23413</v>
      </c>
      <c r="C4484" t="s">
        <v>23825</v>
      </c>
      <c r="D4484" t="s">
        <v>20680</v>
      </c>
      <c r="E4484" t="s">
        <v>21531</v>
      </c>
      <c r="F4484" t="s">
        <v>23678</v>
      </c>
      <c r="G4484" t="s">
        <v>23824</v>
      </c>
      <c r="H4484" t="s">
        <v>868</v>
      </c>
      <c r="I4484" t="s">
        <v>950</v>
      </c>
      <c r="J4484" t="str">
        <f>"9450229"</f>
        <v>9450229</v>
      </c>
      <c r="K4484">
        <v>2434071175</v>
      </c>
      <c r="M4484" t="s">
        <v>23826</v>
      </c>
      <c r="N4484" t="s">
        <v>23824</v>
      </c>
      <c r="O4484" t="s">
        <v>23827</v>
      </c>
      <c r="P4484">
        <v>42032</v>
      </c>
      <c r="Q4484" t="str">
        <f>"39.483327"</f>
        <v>39.483327</v>
      </c>
      <c r="R4484" t="str">
        <f>"21.525569"</f>
        <v>21.525569</v>
      </c>
      <c r="S4484" t="s">
        <v>26</v>
      </c>
    </row>
    <row r="4485" spans="1:19" x14ac:dyDescent="0.3">
      <c r="A4485" t="s">
        <v>20660</v>
      </c>
      <c r="B4485" t="s">
        <v>23413</v>
      </c>
      <c r="C4485" t="s">
        <v>23839</v>
      </c>
      <c r="D4485" t="s">
        <v>20680</v>
      </c>
      <c r="E4485" t="s">
        <v>21508</v>
      </c>
      <c r="F4485" t="s">
        <v>23837</v>
      </c>
      <c r="G4485" t="s">
        <v>23838</v>
      </c>
      <c r="H4485" t="s">
        <v>868</v>
      </c>
      <c r="I4485" t="s">
        <v>950</v>
      </c>
      <c r="J4485" t="str">
        <f>"9450140"</f>
        <v>9450140</v>
      </c>
      <c r="K4485">
        <v>2432088472</v>
      </c>
      <c r="M4485" t="s">
        <v>23840</v>
      </c>
      <c r="N4485" t="s">
        <v>23841</v>
      </c>
      <c r="O4485" t="s">
        <v>23841</v>
      </c>
      <c r="P4485">
        <v>42036</v>
      </c>
      <c r="Q4485" t="str">
        <f>"39.714923"</f>
        <v>39.714923</v>
      </c>
      <c r="R4485" t="str">
        <f>"21.468378"</f>
        <v>21.468378</v>
      </c>
      <c r="S4485" t="s">
        <v>26</v>
      </c>
    </row>
    <row r="4486" spans="1:19" x14ac:dyDescent="0.3">
      <c r="A4486" t="s">
        <v>20660</v>
      </c>
      <c r="B4486" t="s">
        <v>23413</v>
      </c>
      <c r="C4486" t="s">
        <v>21545</v>
      </c>
      <c r="D4486" t="s">
        <v>20680</v>
      </c>
      <c r="E4486" t="s">
        <v>20681</v>
      </c>
      <c r="F4486" t="s">
        <v>21540</v>
      </c>
      <c r="G4486" t="s">
        <v>13031</v>
      </c>
      <c r="H4486" t="s">
        <v>868</v>
      </c>
      <c r="I4486" t="s">
        <v>869</v>
      </c>
      <c r="J4486" t="str">
        <f>"9450234"</f>
        <v>9450234</v>
      </c>
      <c r="K4486">
        <v>2431055224</v>
      </c>
      <c r="L4486">
        <v>2431055224</v>
      </c>
      <c r="M4486" t="s">
        <v>23848</v>
      </c>
      <c r="N4486" t="s">
        <v>13147</v>
      </c>
      <c r="O4486" t="s">
        <v>23849</v>
      </c>
      <c r="P4486">
        <v>42100</v>
      </c>
      <c r="Q4486" t="str">
        <f>"39.560381"</f>
        <v>39.560381</v>
      </c>
      <c r="R4486" t="str">
        <f>"21.844717"</f>
        <v>21.844717</v>
      </c>
      <c r="S4486" t="s">
        <v>26</v>
      </c>
    </row>
    <row r="4487" spans="1:19" x14ac:dyDescent="0.3">
      <c r="A4487" t="s">
        <v>20660</v>
      </c>
      <c r="B4487" t="s">
        <v>23413</v>
      </c>
      <c r="C4487" t="s">
        <v>23873</v>
      </c>
      <c r="D4487" t="s">
        <v>20680</v>
      </c>
      <c r="E4487" t="s">
        <v>21531</v>
      </c>
      <c r="F4487" t="s">
        <v>23529</v>
      </c>
      <c r="G4487" t="s">
        <v>23732</v>
      </c>
      <c r="H4487" t="s">
        <v>868</v>
      </c>
      <c r="I4487" t="s">
        <v>869</v>
      </c>
      <c r="J4487" t="str">
        <f>"9450255"</f>
        <v>9450255</v>
      </c>
      <c r="K4487">
        <v>2434051378</v>
      </c>
      <c r="L4487">
        <v>2434051378</v>
      </c>
      <c r="M4487" t="s">
        <v>23874</v>
      </c>
      <c r="N4487" t="s">
        <v>23736</v>
      </c>
      <c r="O4487" t="s">
        <v>23875</v>
      </c>
      <c r="P4487">
        <v>42032</v>
      </c>
      <c r="Q4487" t="str">
        <f>"39.461585"</f>
        <v>39.461585</v>
      </c>
      <c r="R4487" t="str">
        <f>"21.654151"</f>
        <v>21.654151</v>
      </c>
      <c r="S4487" t="s">
        <v>26</v>
      </c>
    </row>
    <row r="4488" spans="1:19" x14ac:dyDescent="0.3">
      <c r="A4488" t="s">
        <v>20660</v>
      </c>
      <c r="B4488" t="s">
        <v>23413</v>
      </c>
      <c r="C4488" t="s">
        <v>21666</v>
      </c>
      <c r="D4488" t="s">
        <v>20680</v>
      </c>
      <c r="E4488" t="s">
        <v>20681</v>
      </c>
      <c r="F4488" t="s">
        <v>20681</v>
      </c>
      <c r="G4488" t="s">
        <v>20681</v>
      </c>
      <c r="H4488" t="s">
        <v>868</v>
      </c>
      <c r="I4488" t="s">
        <v>869</v>
      </c>
      <c r="J4488" t="str">
        <f>"9450213"</f>
        <v>9450213</v>
      </c>
      <c r="K4488">
        <v>2431036847</v>
      </c>
      <c r="L4488">
        <v>2431036847</v>
      </c>
      <c r="M4488" t="s">
        <v>23876</v>
      </c>
      <c r="N4488" t="s">
        <v>20684</v>
      </c>
      <c r="O4488" t="s">
        <v>23431</v>
      </c>
      <c r="P4488">
        <v>42100</v>
      </c>
      <c r="Q4488" t="str">
        <f>"39.528091"</f>
        <v>39.528091</v>
      </c>
      <c r="R4488" t="str">
        <f>"21.767938"</f>
        <v>21.767938</v>
      </c>
      <c r="S4488" t="s">
        <v>26</v>
      </c>
    </row>
    <row r="4489" spans="1:19" x14ac:dyDescent="0.3">
      <c r="A4489" t="s">
        <v>20660</v>
      </c>
      <c r="B4489" t="s">
        <v>23413</v>
      </c>
      <c r="C4489" t="s">
        <v>23877</v>
      </c>
      <c r="D4489" t="s">
        <v>20680</v>
      </c>
      <c r="E4489" t="s">
        <v>20681</v>
      </c>
      <c r="F4489" t="s">
        <v>20681</v>
      </c>
      <c r="G4489" t="s">
        <v>20681</v>
      </c>
      <c r="H4489" t="s">
        <v>868</v>
      </c>
      <c r="I4489" t="s">
        <v>869</v>
      </c>
      <c r="J4489" t="str">
        <f>"9450299"</f>
        <v>9450299</v>
      </c>
      <c r="K4489">
        <v>2431035578</v>
      </c>
      <c r="L4489">
        <v>2431035578</v>
      </c>
      <c r="M4489" t="s">
        <v>23878</v>
      </c>
      <c r="N4489" t="s">
        <v>20684</v>
      </c>
      <c r="O4489" t="s">
        <v>23879</v>
      </c>
      <c r="P4489">
        <v>42100</v>
      </c>
      <c r="Q4489" t="str">
        <f>"39.537940"</f>
        <v>39.537940</v>
      </c>
      <c r="R4489" t="str">
        <f>"21.756939"</f>
        <v>21.756939</v>
      </c>
      <c r="S4489" t="s">
        <v>26</v>
      </c>
    </row>
    <row r="4490" spans="1:19" x14ac:dyDescent="0.3">
      <c r="A4490" t="s">
        <v>20660</v>
      </c>
      <c r="B4490" t="s">
        <v>23413</v>
      </c>
      <c r="C4490" t="s">
        <v>21651</v>
      </c>
      <c r="D4490" t="s">
        <v>20680</v>
      </c>
      <c r="E4490" t="s">
        <v>21508</v>
      </c>
      <c r="F4490" t="s">
        <v>21645</v>
      </c>
      <c r="G4490" t="s">
        <v>21646</v>
      </c>
      <c r="H4490" t="s">
        <v>868</v>
      </c>
      <c r="I4490" t="s">
        <v>950</v>
      </c>
      <c r="J4490" t="str">
        <f>"9450175"</f>
        <v>9450175</v>
      </c>
      <c r="K4490">
        <v>2432031229</v>
      </c>
      <c r="M4490" t="s">
        <v>23882</v>
      </c>
      <c r="N4490" t="s">
        <v>21649</v>
      </c>
      <c r="O4490" t="s">
        <v>21649</v>
      </c>
      <c r="P4490">
        <v>42200</v>
      </c>
      <c r="Q4490" t="str">
        <f>"39.694274"</f>
        <v>39.694274</v>
      </c>
      <c r="R4490" t="str">
        <f>"21.516552"</f>
        <v>21.516552</v>
      </c>
      <c r="S4490" t="s">
        <v>26</v>
      </c>
    </row>
    <row r="4491" spans="1:19" x14ac:dyDescent="0.3">
      <c r="A4491" t="s">
        <v>20660</v>
      </c>
      <c r="B4491" t="s">
        <v>23413</v>
      </c>
      <c r="C4491" t="s">
        <v>23896</v>
      </c>
      <c r="D4491" t="s">
        <v>20680</v>
      </c>
      <c r="E4491" t="s">
        <v>20681</v>
      </c>
      <c r="F4491" t="s">
        <v>23744</v>
      </c>
      <c r="G4491" t="s">
        <v>23792</v>
      </c>
      <c r="H4491" t="s">
        <v>868</v>
      </c>
      <c r="I4491" t="s">
        <v>869</v>
      </c>
      <c r="J4491" t="str">
        <f>"9450118"</f>
        <v>9450118</v>
      </c>
      <c r="K4491">
        <v>2431087400</v>
      </c>
      <c r="L4491">
        <v>2431087400</v>
      </c>
      <c r="M4491" t="s">
        <v>23897</v>
      </c>
      <c r="N4491" t="s">
        <v>23795</v>
      </c>
      <c r="O4491" t="s">
        <v>23795</v>
      </c>
      <c r="P4491">
        <v>42100</v>
      </c>
      <c r="Q4491" t="str">
        <f>"39.604096"</f>
        <v>39.604096</v>
      </c>
      <c r="R4491" t="str">
        <f>"21.812625"</f>
        <v>21.812625</v>
      </c>
      <c r="S4491" t="s">
        <v>26</v>
      </c>
    </row>
    <row r="4492" spans="1:19" x14ac:dyDescent="0.3">
      <c r="A4492" t="s">
        <v>20660</v>
      </c>
      <c r="B4492" t="s">
        <v>23413</v>
      </c>
      <c r="C4492" t="s">
        <v>23898</v>
      </c>
      <c r="D4492" t="s">
        <v>20680</v>
      </c>
      <c r="E4492" t="s">
        <v>21508</v>
      </c>
      <c r="F4492" t="s">
        <v>21508</v>
      </c>
      <c r="G4492" t="s">
        <v>23688</v>
      </c>
      <c r="H4492" t="s">
        <v>868</v>
      </c>
      <c r="I4492" t="s">
        <v>950</v>
      </c>
      <c r="J4492" t="str">
        <f>"9450159"</f>
        <v>9450159</v>
      </c>
      <c r="K4492">
        <v>2432025280</v>
      </c>
      <c r="L4492">
        <v>2432025280</v>
      </c>
      <c r="M4492" t="s">
        <v>23899</v>
      </c>
      <c r="N4492" t="s">
        <v>23691</v>
      </c>
      <c r="O4492" t="s">
        <v>23691</v>
      </c>
      <c r="P4492">
        <v>42200</v>
      </c>
      <c r="Q4492" t="str">
        <f>"39.691510"</f>
        <v>39.691510</v>
      </c>
      <c r="R4492" t="str">
        <f>"21.580121"</f>
        <v>21.580121</v>
      </c>
      <c r="S4492" t="s">
        <v>26</v>
      </c>
    </row>
    <row r="4493" spans="1:19" x14ac:dyDescent="0.3">
      <c r="A4493" t="s">
        <v>20660</v>
      </c>
      <c r="B4493" t="s">
        <v>23413</v>
      </c>
      <c r="C4493" t="s">
        <v>23900</v>
      </c>
      <c r="D4493" t="s">
        <v>20680</v>
      </c>
      <c r="E4493" t="s">
        <v>20681</v>
      </c>
      <c r="F4493" t="s">
        <v>20681</v>
      </c>
      <c r="G4493" t="s">
        <v>20681</v>
      </c>
      <c r="H4493" t="s">
        <v>868</v>
      </c>
      <c r="I4493" t="s">
        <v>869</v>
      </c>
      <c r="J4493" t="str">
        <f>"9450322"</f>
        <v>9450322</v>
      </c>
      <c r="K4493">
        <v>2431021269</v>
      </c>
      <c r="L4493">
        <v>2431021269</v>
      </c>
      <c r="M4493" t="s">
        <v>23901</v>
      </c>
      <c r="N4493" t="s">
        <v>20684</v>
      </c>
      <c r="O4493" t="s">
        <v>23902</v>
      </c>
      <c r="P4493">
        <v>42131</v>
      </c>
      <c r="Q4493" t="str">
        <f>"39.549366"</f>
        <v>39.549366</v>
      </c>
      <c r="R4493" t="str">
        <f>"21.755287"</f>
        <v>21.755287</v>
      </c>
      <c r="S4493" t="s">
        <v>26</v>
      </c>
    </row>
    <row r="4494" spans="1:19" x14ac:dyDescent="0.3">
      <c r="A4494" t="s">
        <v>20660</v>
      </c>
      <c r="B4494" t="s">
        <v>23413</v>
      </c>
      <c r="C4494" t="s">
        <v>23907</v>
      </c>
      <c r="D4494" t="s">
        <v>20680</v>
      </c>
      <c r="E4494" t="s">
        <v>21502</v>
      </c>
      <c r="F4494" t="s">
        <v>21502</v>
      </c>
      <c r="G4494" t="s">
        <v>23774</v>
      </c>
      <c r="H4494" t="s">
        <v>868</v>
      </c>
      <c r="I4494" t="s">
        <v>869</v>
      </c>
      <c r="J4494" t="str">
        <f>"9450101"</f>
        <v>9450101</v>
      </c>
      <c r="K4494">
        <v>2433051397</v>
      </c>
      <c r="L4494">
        <v>2433051397</v>
      </c>
      <c r="M4494" t="s">
        <v>23908</v>
      </c>
      <c r="N4494" t="s">
        <v>23777</v>
      </c>
      <c r="O4494" t="s">
        <v>23777</v>
      </c>
      <c r="P4494">
        <v>42031</v>
      </c>
      <c r="Q4494" t="str">
        <f>"39.629776"</f>
        <v>39.629776</v>
      </c>
      <c r="R4494" t="str">
        <f>"22.056577"</f>
        <v>22.056577</v>
      </c>
      <c r="S4494" t="s">
        <v>26</v>
      </c>
    </row>
    <row r="4495" spans="1:19" x14ac:dyDescent="0.3">
      <c r="A4495" t="s">
        <v>20660</v>
      </c>
      <c r="B4495" t="s">
        <v>23413</v>
      </c>
      <c r="C4495" t="s">
        <v>23909</v>
      </c>
      <c r="D4495" t="s">
        <v>20680</v>
      </c>
      <c r="E4495" t="s">
        <v>21502</v>
      </c>
      <c r="F4495" t="s">
        <v>23450</v>
      </c>
      <c r="G4495" t="s">
        <v>23451</v>
      </c>
      <c r="H4495" t="s">
        <v>868</v>
      </c>
      <c r="I4495" t="s">
        <v>950</v>
      </c>
      <c r="J4495" t="str">
        <f>"9450260"</f>
        <v>9450260</v>
      </c>
      <c r="K4495">
        <v>2441051304</v>
      </c>
      <c r="L4495">
        <v>2441051304</v>
      </c>
      <c r="M4495" t="s">
        <v>23910</v>
      </c>
      <c r="N4495" t="s">
        <v>23911</v>
      </c>
      <c r="O4495" t="s">
        <v>23454</v>
      </c>
      <c r="P4495">
        <v>42100</v>
      </c>
      <c r="Q4495" t="str">
        <f>"39.508089"</f>
        <v>39.508089</v>
      </c>
      <c r="R4495" t="str">
        <f>"21.906199"</f>
        <v>21.906199</v>
      </c>
      <c r="S4495" t="s">
        <v>26</v>
      </c>
    </row>
    <row r="4496" spans="1:19" x14ac:dyDescent="0.3">
      <c r="A4496" t="s">
        <v>20660</v>
      </c>
      <c r="B4496" t="s">
        <v>23413</v>
      </c>
      <c r="C4496" t="s">
        <v>23912</v>
      </c>
      <c r="D4496" t="s">
        <v>20680</v>
      </c>
      <c r="E4496" t="s">
        <v>20681</v>
      </c>
      <c r="F4496" t="s">
        <v>20681</v>
      </c>
      <c r="G4496" t="s">
        <v>20681</v>
      </c>
      <c r="H4496" t="s">
        <v>868</v>
      </c>
      <c r="I4496" t="s">
        <v>869</v>
      </c>
      <c r="J4496" t="str">
        <f>"9450217"</f>
        <v>9450217</v>
      </c>
      <c r="K4496">
        <v>2431024783</v>
      </c>
      <c r="L4496">
        <v>2431024783</v>
      </c>
      <c r="M4496" t="s">
        <v>23913</v>
      </c>
      <c r="N4496" t="s">
        <v>20684</v>
      </c>
      <c r="O4496" t="s">
        <v>23914</v>
      </c>
      <c r="P4496">
        <v>42100</v>
      </c>
      <c r="Q4496" t="str">
        <f>"39.547453"</f>
        <v>39.547453</v>
      </c>
      <c r="R4496" t="str">
        <f>"21.778692"</f>
        <v>21.778692</v>
      </c>
      <c r="S4496" t="s">
        <v>26</v>
      </c>
    </row>
    <row r="4497" spans="1:19" x14ac:dyDescent="0.3">
      <c r="A4497" t="s">
        <v>20660</v>
      </c>
      <c r="B4497" t="s">
        <v>23413</v>
      </c>
      <c r="C4497" t="s">
        <v>23915</v>
      </c>
      <c r="D4497" t="s">
        <v>20680</v>
      </c>
      <c r="E4497" t="s">
        <v>21508</v>
      </c>
      <c r="F4497" t="s">
        <v>21508</v>
      </c>
      <c r="G4497" t="s">
        <v>21580</v>
      </c>
      <c r="H4497" t="s">
        <v>868</v>
      </c>
      <c r="I4497" t="s">
        <v>869</v>
      </c>
      <c r="J4497" t="str">
        <f>"9450363"</f>
        <v>9450363</v>
      </c>
      <c r="K4497">
        <v>2432024405</v>
      </c>
      <c r="L4497">
        <v>2432024405</v>
      </c>
      <c r="M4497" t="s">
        <v>23916</v>
      </c>
      <c r="N4497" t="s">
        <v>23917</v>
      </c>
      <c r="O4497" t="s">
        <v>9024</v>
      </c>
      <c r="P4497">
        <v>42200</v>
      </c>
      <c r="Q4497" t="str">
        <f>"39.705721"</f>
        <v>39.705721</v>
      </c>
      <c r="R4497" t="str">
        <f>"21.619632"</f>
        <v>21.619632</v>
      </c>
      <c r="S4497" t="s">
        <v>26</v>
      </c>
    </row>
    <row r="4498" spans="1:19" x14ac:dyDescent="0.3">
      <c r="A4498" t="s">
        <v>20660</v>
      </c>
      <c r="B4498" t="s">
        <v>23413</v>
      </c>
      <c r="C4498" t="s">
        <v>23918</v>
      </c>
      <c r="D4498" t="s">
        <v>20680</v>
      </c>
      <c r="E4498" t="s">
        <v>21508</v>
      </c>
      <c r="F4498" t="s">
        <v>21645</v>
      </c>
      <c r="G4498" t="s">
        <v>23621</v>
      </c>
      <c r="H4498" t="s">
        <v>868</v>
      </c>
      <c r="I4498" t="s">
        <v>950</v>
      </c>
      <c r="J4498" t="str">
        <f>"9450204"</f>
        <v>9450204</v>
      </c>
      <c r="K4498">
        <v>2432041562</v>
      </c>
      <c r="L4498">
        <v>2432041562</v>
      </c>
      <c r="M4498" t="s">
        <v>23919</v>
      </c>
      <c r="N4498" t="s">
        <v>13509</v>
      </c>
      <c r="O4498" t="s">
        <v>13509</v>
      </c>
      <c r="P4498">
        <v>42200</v>
      </c>
      <c r="Q4498" t="str">
        <f>"39.605920"</f>
        <v>39.605920</v>
      </c>
      <c r="R4498" t="str">
        <f>"21.501245"</f>
        <v>21.501245</v>
      </c>
      <c r="S4498" t="s">
        <v>26</v>
      </c>
    </row>
    <row r="4499" spans="1:19" x14ac:dyDescent="0.3">
      <c r="A4499" t="s">
        <v>20660</v>
      </c>
      <c r="B4499" t="s">
        <v>23413</v>
      </c>
      <c r="C4499" t="s">
        <v>23920</v>
      </c>
      <c r="D4499" t="s">
        <v>20680</v>
      </c>
      <c r="E4499" t="s">
        <v>21508</v>
      </c>
      <c r="F4499" t="s">
        <v>21508</v>
      </c>
      <c r="G4499" t="s">
        <v>21580</v>
      </c>
      <c r="H4499" t="s">
        <v>868</v>
      </c>
      <c r="I4499" t="s">
        <v>869</v>
      </c>
      <c r="J4499" t="str">
        <f>"9450128"</f>
        <v>9450128</v>
      </c>
      <c r="K4499">
        <v>2432022479</v>
      </c>
      <c r="L4499">
        <v>2432022479</v>
      </c>
      <c r="M4499" t="s">
        <v>23921</v>
      </c>
      <c r="N4499" t="s">
        <v>21583</v>
      </c>
      <c r="O4499" t="s">
        <v>23922</v>
      </c>
      <c r="P4499">
        <v>42200</v>
      </c>
      <c r="Q4499" t="str">
        <f>"39.706832"</f>
        <v>39.706832</v>
      </c>
      <c r="R4499" t="str">
        <f>"21.624883"</f>
        <v>21.624883</v>
      </c>
      <c r="S4499" t="s">
        <v>26</v>
      </c>
    </row>
    <row r="4500" spans="1:19" x14ac:dyDescent="0.3">
      <c r="A4500" t="s">
        <v>20660</v>
      </c>
      <c r="B4500" t="s">
        <v>23413</v>
      </c>
      <c r="C4500" t="s">
        <v>21606</v>
      </c>
      <c r="D4500" t="s">
        <v>20680</v>
      </c>
      <c r="E4500" t="s">
        <v>21508</v>
      </c>
      <c r="F4500" t="s">
        <v>21508</v>
      </c>
      <c r="G4500" t="s">
        <v>21580</v>
      </c>
      <c r="H4500" t="s">
        <v>868</v>
      </c>
      <c r="I4500" t="s">
        <v>869</v>
      </c>
      <c r="J4500" t="str">
        <f>"9450274"</f>
        <v>9450274</v>
      </c>
      <c r="K4500">
        <v>2432022936</v>
      </c>
      <c r="L4500">
        <v>2432022936</v>
      </c>
      <c r="M4500" t="s">
        <v>23923</v>
      </c>
      <c r="N4500" t="s">
        <v>23917</v>
      </c>
      <c r="O4500" t="s">
        <v>23924</v>
      </c>
      <c r="P4500">
        <v>42200</v>
      </c>
      <c r="Q4500" t="str">
        <f>"39.704266"</f>
        <v>39.704266</v>
      </c>
      <c r="R4500" t="str">
        <f>"21.631321"</f>
        <v>21.631321</v>
      </c>
      <c r="S4500" t="s">
        <v>26</v>
      </c>
    </row>
    <row r="4501" spans="1:19" x14ac:dyDescent="0.3">
      <c r="A4501" t="s">
        <v>20660</v>
      </c>
      <c r="B4501" t="s">
        <v>23413</v>
      </c>
      <c r="C4501" t="s">
        <v>23925</v>
      </c>
      <c r="D4501" t="s">
        <v>20680</v>
      </c>
      <c r="E4501" t="s">
        <v>20681</v>
      </c>
      <c r="F4501" t="s">
        <v>23414</v>
      </c>
      <c r="G4501" t="s">
        <v>19658</v>
      </c>
      <c r="H4501" t="s">
        <v>868</v>
      </c>
      <c r="I4501" t="s">
        <v>950</v>
      </c>
      <c r="J4501" t="str">
        <f>"9450042"</f>
        <v>9450042</v>
      </c>
      <c r="K4501">
        <v>2431086231</v>
      </c>
      <c r="L4501">
        <v>2431086231</v>
      </c>
      <c r="M4501" t="s">
        <v>23926</v>
      </c>
      <c r="N4501" t="s">
        <v>23648</v>
      </c>
      <c r="O4501" t="s">
        <v>23648</v>
      </c>
      <c r="P4501">
        <v>42100</v>
      </c>
      <c r="Q4501" t="str">
        <f>"39.616704"</f>
        <v>39.616704</v>
      </c>
      <c r="R4501" t="str">
        <f>"21.612256"</f>
        <v>21.612256</v>
      </c>
      <c r="S4501" t="s">
        <v>26</v>
      </c>
    </row>
    <row r="4502" spans="1:19" x14ac:dyDescent="0.3">
      <c r="A4502" t="s">
        <v>20660</v>
      </c>
      <c r="B4502" t="s">
        <v>23413</v>
      </c>
      <c r="C4502" t="s">
        <v>23927</v>
      </c>
      <c r="D4502" t="s">
        <v>20680</v>
      </c>
      <c r="E4502" t="s">
        <v>20681</v>
      </c>
      <c r="F4502" t="s">
        <v>20681</v>
      </c>
      <c r="G4502" t="s">
        <v>20681</v>
      </c>
      <c r="H4502" t="s">
        <v>868</v>
      </c>
      <c r="I4502" t="s">
        <v>869</v>
      </c>
      <c r="J4502" t="str">
        <f>"9450007"</f>
        <v>9450007</v>
      </c>
      <c r="K4502">
        <v>2431024264</v>
      </c>
      <c r="L4502">
        <v>2431024264</v>
      </c>
      <c r="M4502" t="s">
        <v>23928</v>
      </c>
      <c r="N4502" t="s">
        <v>20684</v>
      </c>
      <c r="O4502" t="s">
        <v>20836</v>
      </c>
      <c r="P4502">
        <v>42100</v>
      </c>
      <c r="Q4502" t="str">
        <f>"39.553363"</f>
        <v>39.553363</v>
      </c>
      <c r="R4502" t="str">
        <f>"21.745966"</f>
        <v>21.745966</v>
      </c>
      <c r="S4502" t="s">
        <v>26</v>
      </c>
    </row>
    <row r="4503" spans="1:19" x14ac:dyDescent="0.3">
      <c r="A4503" t="s">
        <v>20660</v>
      </c>
      <c r="B4503" t="s">
        <v>23413</v>
      </c>
      <c r="C4503" t="s">
        <v>23929</v>
      </c>
      <c r="D4503" t="s">
        <v>20680</v>
      </c>
      <c r="E4503" t="s">
        <v>21531</v>
      </c>
      <c r="F4503" t="s">
        <v>23678</v>
      </c>
      <c r="G4503" t="s">
        <v>23679</v>
      </c>
      <c r="H4503" t="s">
        <v>868</v>
      </c>
      <c r="I4503" t="s">
        <v>950</v>
      </c>
      <c r="J4503" t="str">
        <f>"9450031"</f>
        <v>9450031</v>
      </c>
      <c r="K4503">
        <v>2434071243</v>
      </c>
      <c r="M4503" t="s">
        <v>23930</v>
      </c>
      <c r="N4503" t="s">
        <v>23682</v>
      </c>
      <c r="O4503" t="s">
        <v>21250</v>
      </c>
      <c r="P4503">
        <v>42032</v>
      </c>
      <c r="Q4503" t="str">
        <f>"39.501421"</f>
        <v>39.501421</v>
      </c>
      <c r="R4503" t="str">
        <f>"21.539389"</f>
        <v>21.539389</v>
      </c>
      <c r="S4503" t="s">
        <v>26</v>
      </c>
    </row>
    <row r="4504" spans="1:19" x14ac:dyDescent="0.3">
      <c r="A4504" t="s">
        <v>20660</v>
      </c>
      <c r="B4504" t="s">
        <v>23413</v>
      </c>
      <c r="C4504" t="s">
        <v>23931</v>
      </c>
      <c r="D4504" t="s">
        <v>20680</v>
      </c>
      <c r="E4504" t="s">
        <v>20681</v>
      </c>
      <c r="F4504" t="s">
        <v>20681</v>
      </c>
      <c r="G4504" t="s">
        <v>20681</v>
      </c>
      <c r="H4504" t="s">
        <v>868</v>
      </c>
      <c r="I4504" t="s">
        <v>869</v>
      </c>
      <c r="J4504" t="str">
        <f>"9450009"</f>
        <v>9450009</v>
      </c>
      <c r="K4504">
        <v>2431030680</v>
      </c>
      <c r="L4504">
        <v>2431030680</v>
      </c>
      <c r="M4504" t="s">
        <v>23932</v>
      </c>
      <c r="N4504" t="s">
        <v>20684</v>
      </c>
      <c r="O4504" t="s">
        <v>23933</v>
      </c>
      <c r="P4504">
        <v>42100</v>
      </c>
      <c r="Q4504" t="str">
        <f>"39.571153"</f>
        <v>39.571153</v>
      </c>
      <c r="R4504" t="str">
        <f>"21.745371"</f>
        <v>21.745371</v>
      </c>
      <c r="S4504" t="s">
        <v>26</v>
      </c>
    </row>
    <row r="4505" spans="1:19" x14ac:dyDescent="0.3">
      <c r="A4505" t="s">
        <v>20660</v>
      </c>
      <c r="B4505" t="s">
        <v>23413</v>
      </c>
      <c r="C4505" t="s">
        <v>21661</v>
      </c>
      <c r="D4505" t="s">
        <v>20680</v>
      </c>
      <c r="E4505" t="s">
        <v>20681</v>
      </c>
      <c r="F4505" t="s">
        <v>20681</v>
      </c>
      <c r="G4505" t="s">
        <v>20681</v>
      </c>
      <c r="H4505" t="s">
        <v>868</v>
      </c>
      <c r="I4505" t="s">
        <v>869</v>
      </c>
      <c r="J4505" t="str">
        <f>"9450219"</f>
        <v>9450219</v>
      </c>
      <c r="K4505">
        <v>2431024465</v>
      </c>
      <c r="L4505">
        <v>2431024465</v>
      </c>
      <c r="M4505" t="s">
        <v>23934</v>
      </c>
      <c r="N4505" t="s">
        <v>20684</v>
      </c>
      <c r="O4505" t="s">
        <v>23935</v>
      </c>
      <c r="P4505">
        <v>42100</v>
      </c>
      <c r="Q4505" t="str">
        <f>"39.541830"</f>
        <v>39.541830</v>
      </c>
      <c r="R4505" t="str">
        <f>"21.757450"</f>
        <v>21.757450</v>
      </c>
      <c r="S4505" t="s">
        <v>26</v>
      </c>
    </row>
    <row r="4506" spans="1:19" x14ac:dyDescent="0.3">
      <c r="A4506" t="s">
        <v>20660</v>
      </c>
      <c r="B4506" t="s">
        <v>23413</v>
      </c>
      <c r="C4506" t="s">
        <v>23936</v>
      </c>
      <c r="D4506" t="s">
        <v>20680</v>
      </c>
      <c r="E4506" t="s">
        <v>21531</v>
      </c>
      <c r="F4506" t="s">
        <v>23529</v>
      </c>
      <c r="G4506" t="s">
        <v>23529</v>
      </c>
      <c r="H4506" t="s">
        <v>868</v>
      </c>
      <c r="I4506" t="s">
        <v>869</v>
      </c>
      <c r="J4506" t="str">
        <f>"9450226"</f>
        <v>9450226</v>
      </c>
      <c r="K4506">
        <v>2434051384</v>
      </c>
      <c r="L4506">
        <v>2434051384</v>
      </c>
      <c r="M4506" t="s">
        <v>23937</v>
      </c>
      <c r="N4506" t="s">
        <v>23938</v>
      </c>
      <c r="O4506" t="s">
        <v>23938</v>
      </c>
      <c r="P4506">
        <v>42032</v>
      </c>
      <c r="Q4506" t="str">
        <f>"39.491184"</f>
        <v>39.491184</v>
      </c>
      <c r="R4506" t="str">
        <f>"21.701845"</f>
        <v>21.701845</v>
      </c>
      <c r="S4506" t="s">
        <v>26</v>
      </c>
    </row>
    <row r="4507" spans="1:19" x14ac:dyDescent="0.3">
      <c r="A4507" t="s">
        <v>20660</v>
      </c>
      <c r="B4507" t="s">
        <v>23413</v>
      </c>
      <c r="C4507" t="s">
        <v>23939</v>
      </c>
      <c r="D4507" t="s">
        <v>20680</v>
      </c>
      <c r="E4507" t="s">
        <v>21531</v>
      </c>
      <c r="F4507" t="s">
        <v>23529</v>
      </c>
      <c r="G4507" t="s">
        <v>23661</v>
      </c>
      <c r="H4507" t="s">
        <v>868</v>
      </c>
      <c r="I4507" t="s">
        <v>950</v>
      </c>
      <c r="J4507" t="str">
        <f>"9450038"</f>
        <v>9450038</v>
      </c>
      <c r="K4507">
        <v>2431061248</v>
      </c>
      <c r="L4507">
        <v>2431061248</v>
      </c>
      <c r="M4507" t="s">
        <v>23940</v>
      </c>
      <c r="N4507" t="s">
        <v>23664</v>
      </c>
      <c r="O4507" t="s">
        <v>23941</v>
      </c>
      <c r="P4507">
        <v>42132</v>
      </c>
      <c r="Q4507" t="str">
        <f>"39.493609"</f>
        <v>39.493609</v>
      </c>
      <c r="R4507" t="str">
        <f>"21.682310"</f>
        <v>21.682310</v>
      </c>
      <c r="S4507" t="s">
        <v>26</v>
      </c>
    </row>
    <row r="4508" spans="1:19" x14ac:dyDescent="0.3">
      <c r="A4508" t="s">
        <v>20660</v>
      </c>
      <c r="B4508" t="s">
        <v>23413</v>
      </c>
      <c r="C4508" t="s">
        <v>23947</v>
      </c>
      <c r="D4508" t="s">
        <v>20680</v>
      </c>
      <c r="E4508" t="s">
        <v>20681</v>
      </c>
      <c r="F4508" t="s">
        <v>21641</v>
      </c>
      <c r="G4508" t="s">
        <v>23587</v>
      </c>
      <c r="H4508" t="s">
        <v>868</v>
      </c>
      <c r="I4508" t="s">
        <v>950</v>
      </c>
      <c r="J4508" t="str">
        <f>"9450062"</f>
        <v>9450062</v>
      </c>
      <c r="K4508">
        <v>2431053266</v>
      </c>
      <c r="L4508">
        <v>2431053266</v>
      </c>
      <c r="M4508" t="s">
        <v>23948</v>
      </c>
      <c r="N4508" t="s">
        <v>23590</v>
      </c>
      <c r="O4508" t="s">
        <v>23590</v>
      </c>
      <c r="P4508">
        <v>42100</v>
      </c>
      <c r="Q4508" t="str">
        <f>"39.579135"</f>
        <v>39.579135</v>
      </c>
      <c r="R4508" t="str">
        <f>"21.586410"</f>
        <v>21.586410</v>
      </c>
      <c r="S4508" t="s">
        <v>26</v>
      </c>
    </row>
    <row r="4509" spans="1:19" x14ac:dyDescent="0.3">
      <c r="A4509" t="s">
        <v>20660</v>
      </c>
      <c r="B4509" t="s">
        <v>23413</v>
      </c>
      <c r="C4509" t="s">
        <v>21519</v>
      </c>
      <c r="D4509" t="s">
        <v>20680</v>
      </c>
      <c r="E4509" t="s">
        <v>21502</v>
      </c>
      <c r="F4509" t="s">
        <v>21502</v>
      </c>
      <c r="G4509" t="s">
        <v>21514</v>
      </c>
      <c r="H4509" t="s">
        <v>868</v>
      </c>
      <c r="I4509" t="s">
        <v>869</v>
      </c>
      <c r="J4509" t="str">
        <f>"9450368"</f>
        <v>9450368</v>
      </c>
      <c r="K4509">
        <v>2433022454</v>
      </c>
      <c r="L4509">
        <v>2433022454</v>
      </c>
      <c r="M4509" t="s">
        <v>23953</v>
      </c>
      <c r="N4509" t="s">
        <v>21538</v>
      </c>
      <c r="O4509" t="s">
        <v>23954</v>
      </c>
      <c r="P4509">
        <v>42031</v>
      </c>
      <c r="Q4509" t="str">
        <f>"39.591177"</f>
        <v>39.591177</v>
      </c>
      <c r="R4509" t="str">
        <f>"22.065814"</f>
        <v>22.065814</v>
      </c>
      <c r="S4509" t="s">
        <v>26</v>
      </c>
    </row>
    <row r="4510" spans="1:19" x14ac:dyDescent="0.3">
      <c r="A4510" t="s">
        <v>20660</v>
      </c>
      <c r="B4510" t="s">
        <v>23413</v>
      </c>
      <c r="C4510" t="s">
        <v>21535</v>
      </c>
      <c r="D4510" t="s">
        <v>20680</v>
      </c>
      <c r="E4510" t="s">
        <v>21531</v>
      </c>
      <c r="F4510" t="s">
        <v>21531</v>
      </c>
      <c r="G4510" t="s">
        <v>21531</v>
      </c>
      <c r="H4510" t="s">
        <v>868</v>
      </c>
      <c r="I4510" t="s">
        <v>869</v>
      </c>
      <c r="J4510" t="str">
        <f>"9450209"</f>
        <v>9450209</v>
      </c>
      <c r="K4510">
        <v>2434022143</v>
      </c>
      <c r="L4510">
        <v>2434022135</v>
      </c>
      <c r="M4510" t="s">
        <v>23958</v>
      </c>
      <c r="N4510" t="s">
        <v>21534</v>
      </c>
      <c r="O4510" t="s">
        <v>23959</v>
      </c>
      <c r="P4510">
        <v>42032</v>
      </c>
      <c r="Q4510" t="str">
        <f>"39.460269"</f>
        <v>39.460269</v>
      </c>
      <c r="R4510" t="str">
        <f>"21.623344"</f>
        <v>21.623344</v>
      </c>
      <c r="S4510" t="s">
        <v>26</v>
      </c>
    </row>
    <row r="4511" spans="1:19" x14ac:dyDescent="0.3">
      <c r="A4511" t="s">
        <v>20660</v>
      </c>
      <c r="B4511" t="s">
        <v>23413</v>
      </c>
      <c r="C4511" t="s">
        <v>23960</v>
      </c>
      <c r="D4511" t="s">
        <v>20680</v>
      </c>
      <c r="E4511" t="s">
        <v>20681</v>
      </c>
      <c r="F4511" t="s">
        <v>21573</v>
      </c>
      <c r="G4511" t="s">
        <v>23737</v>
      </c>
      <c r="H4511" t="s">
        <v>868</v>
      </c>
      <c r="I4511" t="s">
        <v>950</v>
      </c>
      <c r="J4511" t="str">
        <f>"9450024"</f>
        <v>9450024</v>
      </c>
      <c r="K4511">
        <v>2431094366</v>
      </c>
      <c r="L4511">
        <v>2431094366</v>
      </c>
      <c r="M4511" t="s">
        <v>23961</v>
      </c>
      <c r="N4511" t="s">
        <v>23962</v>
      </c>
      <c r="O4511" t="s">
        <v>23963</v>
      </c>
      <c r="P4511">
        <v>42100</v>
      </c>
      <c r="Q4511" t="str">
        <f>"39.554462"</f>
        <v>39.554462</v>
      </c>
      <c r="R4511" t="str">
        <f>"21.637206"</f>
        <v>21.637206</v>
      </c>
      <c r="S4511" t="s">
        <v>26</v>
      </c>
    </row>
    <row r="4512" spans="1:19" x14ac:dyDescent="0.3">
      <c r="A4512" t="s">
        <v>20660</v>
      </c>
      <c r="B4512" t="s">
        <v>23413</v>
      </c>
      <c r="C4512" t="s">
        <v>23964</v>
      </c>
      <c r="D4512" t="s">
        <v>20680</v>
      </c>
      <c r="E4512" t="s">
        <v>21508</v>
      </c>
      <c r="F4512" t="s">
        <v>21508</v>
      </c>
      <c r="G4512" t="s">
        <v>15002</v>
      </c>
      <c r="H4512" t="s">
        <v>868</v>
      </c>
      <c r="I4512" t="s">
        <v>950</v>
      </c>
      <c r="J4512" t="str">
        <f>"9450172"</f>
        <v>9450172</v>
      </c>
      <c r="K4512">
        <v>2432023082</v>
      </c>
      <c r="L4512">
        <v>2432023082</v>
      </c>
      <c r="M4512" t="s">
        <v>23965</v>
      </c>
      <c r="N4512" t="s">
        <v>23966</v>
      </c>
      <c r="O4512" t="s">
        <v>15005</v>
      </c>
      <c r="P4512">
        <v>42200</v>
      </c>
      <c r="Q4512" t="str">
        <f>"39.718759"</f>
        <v>39.718759</v>
      </c>
      <c r="R4512" t="str">
        <f>"21.620511"</f>
        <v>21.620511</v>
      </c>
      <c r="S4512" t="s">
        <v>26</v>
      </c>
    </row>
    <row r="4513" spans="1:19" x14ac:dyDescent="0.3">
      <c r="A4513" t="s">
        <v>20660</v>
      </c>
      <c r="B4513" t="s">
        <v>23413</v>
      </c>
      <c r="C4513" t="s">
        <v>23967</v>
      </c>
      <c r="D4513" t="s">
        <v>20680</v>
      </c>
      <c r="E4513" t="s">
        <v>21502</v>
      </c>
      <c r="F4513" t="s">
        <v>21503</v>
      </c>
      <c r="G4513" t="s">
        <v>14398</v>
      </c>
      <c r="H4513" t="s">
        <v>868</v>
      </c>
      <c r="I4513" t="s">
        <v>869</v>
      </c>
      <c r="J4513" t="str">
        <f>"9450270"</f>
        <v>9450270</v>
      </c>
      <c r="K4513">
        <v>2433031170</v>
      </c>
      <c r="L4513">
        <v>2433031170</v>
      </c>
      <c r="M4513" t="s">
        <v>23968</v>
      </c>
      <c r="N4513" t="s">
        <v>22024</v>
      </c>
      <c r="O4513" t="s">
        <v>23969</v>
      </c>
      <c r="P4513">
        <v>42300</v>
      </c>
      <c r="Q4513" t="str">
        <f>"39.582550"</f>
        <v>39.582550</v>
      </c>
      <c r="R4513" t="str">
        <f>"21.965092"</f>
        <v>21.965092</v>
      </c>
      <c r="S4513" t="s">
        <v>26</v>
      </c>
    </row>
    <row r="4514" spans="1:19" x14ac:dyDescent="0.3">
      <c r="A4514" t="s">
        <v>20660</v>
      </c>
      <c r="B4514" t="s">
        <v>23413</v>
      </c>
      <c r="C4514" t="s">
        <v>21640</v>
      </c>
      <c r="D4514" t="s">
        <v>20680</v>
      </c>
      <c r="E4514" t="s">
        <v>21508</v>
      </c>
      <c r="F4514" t="s">
        <v>21508</v>
      </c>
      <c r="G4514" t="s">
        <v>21580</v>
      </c>
      <c r="H4514" t="s">
        <v>868</v>
      </c>
      <c r="I4514" t="s">
        <v>869</v>
      </c>
      <c r="J4514" t="str">
        <f>"9521491"</f>
        <v>9521491</v>
      </c>
      <c r="K4514">
        <v>2432077812</v>
      </c>
      <c r="L4514">
        <v>2432077812</v>
      </c>
      <c r="M4514" t="s">
        <v>23982</v>
      </c>
      <c r="N4514" t="s">
        <v>23983</v>
      </c>
      <c r="O4514" t="s">
        <v>23984</v>
      </c>
      <c r="P4514">
        <v>42200</v>
      </c>
      <c r="Q4514" t="str">
        <f>"39.701960"</f>
        <v>39.701960</v>
      </c>
      <c r="R4514" t="str">
        <f>"21.622017"</f>
        <v>21.622017</v>
      </c>
      <c r="S4514" t="s">
        <v>26</v>
      </c>
    </row>
    <row r="4515" spans="1:19" x14ac:dyDescent="0.3">
      <c r="A4515" t="s">
        <v>23985</v>
      </c>
      <c r="B4515" t="s">
        <v>24396</v>
      </c>
      <c r="C4515" t="s">
        <v>24402</v>
      </c>
      <c r="D4515" t="s">
        <v>8088</v>
      </c>
      <c r="E4515" t="s">
        <v>8088</v>
      </c>
      <c r="F4515" t="s">
        <v>24013</v>
      </c>
      <c r="G4515" t="s">
        <v>24401</v>
      </c>
      <c r="H4515" t="s">
        <v>868</v>
      </c>
      <c r="I4515" t="s">
        <v>869</v>
      </c>
      <c r="J4515" t="str">
        <f>"9140063"</f>
        <v>9140063</v>
      </c>
      <c r="K4515">
        <v>2695028701</v>
      </c>
      <c r="L4515">
        <v>2695061771</v>
      </c>
      <c r="M4515" t="s">
        <v>24403</v>
      </c>
      <c r="O4515" t="s">
        <v>24404</v>
      </c>
      <c r="P4515">
        <v>29100</v>
      </c>
      <c r="Q4515" t="str">
        <f>"37.812726"</f>
        <v>37.812726</v>
      </c>
      <c r="R4515" t="str">
        <f>"20.836695"</f>
        <v>20.836695</v>
      </c>
      <c r="S4515" t="s">
        <v>26</v>
      </c>
    </row>
    <row r="4516" spans="1:19" x14ac:dyDescent="0.3">
      <c r="A4516" t="s">
        <v>23985</v>
      </c>
      <c r="B4516" t="s">
        <v>24396</v>
      </c>
      <c r="C4516" t="s">
        <v>24406</v>
      </c>
      <c r="D4516" t="s">
        <v>8088</v>
      </c>
      <c r="E4516" t="s">
        <v>8088</v>
      </c>
      <c r="F4516" t="s">
        <v>24021</v>
      </c>
      <c r="G4516" t="s">
        <v>24405</v>
      </c>
      <c r="H4516" t="s">
        <v>868</v>
      </c>
      <c r="I4516" t="s">
        <v>869</v>
      </c>
      <c r="J4516" t="str">
        <f>"9140040"</f>
        <v>9140040</v>
      </c>
      <c r="K4516">
        <v>2695061442</v>
      </c>
      <c r="L4516">
        <v>2695061442</v>
      </c>
      <c r="M4516" t="s">
        <v>24407</v>
      </c>
      <c r="N4516" t="s">
        <v>24408</v>
      </c>
      <c r="O4516" t="s">
        <v>24409</v>
      </c>
      <c r="P4516">
        <v>29090</v>
      </c>
      <c r="Q4516" t="str">
        <f>"37.825428"</f>
        <v>37.825428</v>
      </c>
      <c r="R4516" t="str">
        <f>"20.797036"</f>
        <v>20.797036</v>
      </c>
      <c r="S4516" t="s">
        <v>26</v>
      </c>
    </row>
    <row r="4517" spans="1:19" x14ac:dyDescent="0.3">
      <c r="A4517" t="s">
        <v>23985</v>
      </c>
      <c r="B4517" t="s">
        <v>24396</v>
      </c>
      <c r="C4517" t="s">
        <v>24026</v>
      </c>
      <c r="D4517" t="s">
        <v>8088</v>
      </c>
      <c r="E4517" t="s">
        <v>8088</v>
      </c>
      <c r="F4517" t="s">
        <v>24021</v>
      </c>
      <c r="G4517" t="s">
        <v>24022</v>
      </c>
      <c r="H4517" t="s">
        <v>868</v>
      </c>
      <c r="I4517" t="s">
        <v>869</v>
      </c>
      <c r="J4517" t="str">
        <f>"9140038"</f>
        <v>9140038</v>
      </c>
      <c r="K4517">
        <v>2695083265</v>
      </c>
      <c r="M4517" t="s">
        <v>24410</v>
      </c>
      <c r="N4517" t="s">
        <v>24025</v>
      </c>
      <c r="O4517" t="s">
        <v>24025</v>
      </c>
      <c r="P4517">
        <v>29090</v>
      </c>
      <c r="Q4517" t="str">
        <f>"37.830106"</f>
        <v>37.830106</v>
      </c>
      <c r="R4517" t="str">
        <f>"20.758054"</f>
        <v>20.758054</v>
      </c>
      <c r="S4517" t="s">
        <v>26</v>
      </c>
    </row>
    <row r="4518" spans="1:19" x14ac:dyDescent="0.3">
      <c r="A4518" t="s">
        <v>23985</v>
      </c>
      <c r="B4518" t="s">
        <v>24396</v>
      </c>
      <c r="C4518" t="s">
        <v>24012</v>
      </c>
      <c r="D4518" t="s">
        <v>8088</v>
      </c>
      <c r="E4518" t="s">
        <v>8088</v>
      </c>
      <c r="F4518" t="s">
        <v>23986</v>
      </c>
      <c r="G4518" t="s">
        <v>23986</v>
      </c>
      <c r="H4518" t="s">
        <v>868</v>
      </c>
      <c r="I4518" t="s">
        <v>869</v>
      </c>
      <c r="J4518" t="str">
        <f>"9140006"</f>
        <v>9140006</v>
      </c>
      <c r="K4518">
        <v>2695042401</v>
      </c>
      <c r="L4518">
        <v>2695029908</v>
      </c>
      <c r="M4518" t="s">
        <v>24411</v>
      </c>
      <c r="N4518" t="s">
        <v>23989</v>
      </c>
      <c r="O4518" t="s">
        <v>24412</v>
      </c>
      <c r="P4518">
        <v>29100</v>
      </c>
      <c r="Q4518" t="str">
        <f>"37.777431"</f>
        <v>37.777431</v>
      </c>
      <c r="R4518" t="str">
        <f>"20.895580"</f>
        <v>20.895580</v>
      </c>
      <c r="S4518" t="s">
        <v>26</v>
      </c>
    </row>
    <row r="4519" spans="1:19" x14ac:dyDescent="0.3">
      <c r="A4519" t="s">
        <v>23985</v>
      </c>
      <c r="B4519" t="s">
        <v>24396</v>
      </c>
      <c r="C4519" t="s">
        <v>24423</v>
      </c>
      <c r="D4519" t="s">
        <v>8088</v>
      </c>
      <c r="E4519" t="s">
        <v>8088</v>
      </c>
      <c r="F4519" t="s">
        <v>23986</v>
      </c>
      <c r="G4519" t="s">
        <v>23986</v>
      </c>
      <c r="H4519" t="s">
        <v>868</v>
      </c>
      <c r="I4519" t="s">
        <v>869</v>
      </c>
      <c r="J4519" t="str">
        <f>"9140004"</f>
        <v>9140004</v>
      </c>
      <c r="K4519">
        <v>2695022312</v>
      </c>
      <c r="L4519">
        <v>2695024293</v>
      </c>
      <c r="M4519" t="s">
        <v>24424</v>
      </c>
      <c r="N4519" t="s">
        <v>23989</v>
      </c>
      <c r="O4519" t="s">
        <v>24425</v>
      </c>
      <c r="P4519">
        <v>29100</v>
      </c>
      <c r="Q4519" t="str">
        <f>"37.785077"</f>
        <v>37.785077</v>
      </c>
      <c r="R4519" t="str">
        <f>"20.895759"</f>
        <v>20.895759</v>
      </c>
      <c r="S4519" t="s">
        <v>26</v>
      </c>
    </row>
    <row r="4520" spans="1:19" x14ac:dyDescent="0.3">
      <c r="A4520" t="s">
        <v>23985</v>
      </c>
      <c r="B4520" t="s">
        <v>24396</v>
      </c>
      <c r="C4520" t="s">
        <v>24054</v>
      </c>
      <c r="D4520" t="s">
        <v>8088</v>
      </c>
      <c r="E4520" t="s">
        <v>8088</v>
      </c>
      <c r="F4520" t="s">
        <v>24049</v>
      </c>
      <c r="G4520" t="s">
        <v>24430</v>
      </c>
      <c r="H4520" t="s">
        <v>868</v>
      </c>
      <c r="I4520" t="s">
        <v>869</v>
      </c>
      <c r="J4520" t="str">
        <f>"9140055"</f>
        <v>9140055</v>
      </c>
      <c r="K4520">
        <v>2695051252</v>
      </c>
      <c r="L4520">
        <v>2695052000</v>
      </c>
      <c r="M4520" t="s">
        <v>24431</v>
      </c>
      <c r="N4520" t="s">
        <v>24432</v>
      </c>
      <c r="O4520" t="s">
        <v>24432</v>
      </c>
      <c r="P4520">
        <v>29092</v>
      </c>
      <c r="Q4520" t="str">
        <f>"37.732635"</f>
        <v>37.732635</v>
      </c>
      <c r="R4520" t="str">
        <f>"20.828850"</f>
        <v>20.828850</v>
      </c>
      <c r="S4520" t="s">
        <v>26</v>
      </c>
    </row>
    <row r="4521" spans="1:19" x14ac:dyDescent="0.3">
      <c r="A4521" t="s">
        <v>23985</v>
      </c>
      <c r="B4521" t="s">
        <v>24396</v>
      </c>
      <c r="C4521" t="s">
        <v>24440</v>
      </c>
      <c r="D4521" t="s">
        <v>8088</v>
      </c>
      <c r="E4521" t="s">
        <v>8088</v>
      </c>
      <c r="F4521" t="s">
        <v>24049</v>
      </c>
      <c r="G4521" t="s">
        <v>24426</v>
      </c>
      <c r="H4521" t="s">
        <v>868</v>
      </c>
      <c r="I4521" t="s">
        <v>950</v>
      </c>
      <c r="J4521" t="str">
        <f>"9140041"</f>
        <v>9140041</v>
      </c>
      <c r="K4521">
        <v>2695043289</v>
      </c>
      <c r="M4521" t="s">
        <v>24441</v>
      </c>
      <c r="N4521" t="s">
        <v>24429</v>
      </c>
      <c r="O4521" t="s">
        <v>24429</v>
      </c>
      <c r="P4521">
        <v>29092</v>
      </c>
      <c r="Q4521" t="str">
        <f>"37.663351"</f>
        <v>37.663351</v>
      </c>
      <c r="R4521" t="str">
        <f>"20.814386"</f>
        <v>20.814386</v>
      </c>
      <c r="S4521" t="s">
        <v>26</v>
      </c>
    </row>
    <row r="4522" spans="1:19" x14ac:dyDescent="0.3">
      <c r="A4522" t="s">
        <v>23985</v>
      </c>
      <c r="B4522" t="s">
        <v>24396</v>
      </c>
      <c r="C4522" t="s">
        <v>24449</v>
      </c>
      <c r="D4522" t="s">
        <v>8088</v>
      </c>
      <c r="E4522" t="s">
        <v>8088</v>
      </c>
      <c r="F4522" t="s">
        <v>23986</v>
      </c>
      <c r="G4522" t="s">
        <v>17906</v>
      </c>
      <c r="H4522" t="s">
        <v>868</v>
      </c>
      <c r="I4522" t="s">
        <v>950</v>
      </c>
      <c r="J4522" t="str">
        <f>"9140014"</f>
        <v>9140014</v>
      </c>
      <c r="K4522">
        <v>2695029252</v>
      </c>
      <c r="M4522" t="s">
        <v>24450</v>
      </c>
      <c r="N4522" t="s">
        <v>3379</v>
      </c>
      <c r="O4522" t="s">
        <v>3379</v>
      </c>
      <c r="P4522">
        <v>29100</v>
      </c>
      <c r="Q4522" t="str">
        <f>"37.758381"</f>
        <v>37.758381</v>
      </c>
      <c r="R4522" t="str">
        <f>"20.871157"</f>
        <v>20.871157</v>
      </c>
      <c r="S4522" t="s">
        <v>26</v>
      </c>
    </row>
    <row r="4523" spans="1:19" x14ac:dyDescent="0.3">
      <c r="A4523" t="s">
        <v>23985</v>
      </c>
      <c r="B4523" t="s">
        <v>24396</v>
      </c>
      <c r="C4523" t="s">
        <v>24016</v>
      </c>
      <c r="D4523" t="s">
        <v>8088</v>
      </c>
      <c r="E4523" t="s">
        <v>8088</v>
      </c>
      <c r="F4523" t="s">
        <v>24013</v>
      </c>
      <c r="G4523" t="s">
        <v>24043</v>
      </c>
      <c r="H4523" t="s">
        <v>868</v>
      </c>
      <c r="I4523" t="s">
        <v>869</v>
      </c>
      <c r="J4523" t="str">
        <f>"9140089"</f>
        <v>9140089</v>
      </c>
      <c r="K4523">
        <v>2695061300</v>
      </c>
      <c r="L4523">
        <v>2695061300</v>
      </c>
      <c r="M4523" t="s">
        <v>24451</v>
      </c>
      <c r="N4523" t="s">
        <v>24452</v>
      </c>
      <c r="O4523" t="s">
        <v>24452</v>
      </c>
      <c r="P4523">
        <v>29100</v>
      </c>
      <c r="Q4523" t="str">
        <f>"37.793532"</f>
        <v>37.793532</v>
      </c>
      <c r="R4523" t="str">
        <f>"20.846210"</f>
        <v>20.846210</v>
      </c>
      <c r="S4523" t="s">
        <v>26</v>
      </c>
    </row>
    <row r="4524" spans="1:19" x14ac:dyDescent="0.3">
      <c r="A4524" t="s">
        <v>23985</v>
      </c>
      <c r="B4524" t="s">
        <v>24396</v>
      </c>
      <c r="C4524" t="s">
        <v>24461</v>
      </c>
      <c r="D4524" t="s">
        <v>8088</v>
      </c>
      <c r="E4524" t="s">
        <v>8088</v>
      </c>
      <c r="F4524" t="s">
        <v>24033</v>
      </c>
      <c r="G4524" t="s">
        <v>24460</v>
      </c>
      <c r="H4524" t="s">
        <v>868</v>
      </c>
      <c r="I4524" t="s">
        <v>869</v>
      </c>
      <c r="J4524" t="str">
        <f>"9140011"</f>
        <v>9140011</v>
      </c>
      <c r="K4524">
        <v>2695049390</v>
      </c>
      <c r="L4524">
        <v>2695049390</v>
      </c>
      <c r="M4524" t="s">
        <v>24462</v>
      </c>
      <c r="N4524" t="s">
        <v>24463</v>
      </c>
      <c r="O4524" t="s">
        <v>24463</v>
      </c>
      <c r="P4524">
        <v>29092</v>
      </c>
      <c r="Q4524" t="str">
        <f>"37.771613"</f>
        <v>37.771613</v>
      </c>
      <c r="R4524" t="str">
        <f>"20.720961"</f>
        <v>20.720961</v>
      </c>
      <c r="S4524" t="s">
        <v>26</v>
      </c>
    </row>
    <row r="4525" spans="1:19" x14ac:dyDescent="0.3">
      <c r="A4525" t="s">
        <v>23985</v>
      </c>
      <c r="B4525" t="s">
        <v>24396</v>
      </c>
      <c r="C4525" t="s">
        <v>24465</v>
      </c>
      <c r="D4525" t="s">
        <v>8088</v>
      </c>
      <c r="E4525" t="s">
        <v>8088</v>
      </c>
      <c r="F4525" t="s">
        <v>23986</v>
      </c>
      <c r="G4525" t="s">
        <v>24464</v>
      </c>
      <c r="H4525" t="s">
        <v>868</v>
      </c>
      <c r="I4525" t="s">
        <v>1157</v>
      </c>
      <c r="J4525" t="str">
        <f>"9140105"</f>
        <v>9140105</v>
      </c>
      <c r="K4525">
        <v>2695026299</v>
      </c>
      <c r="M4525" t="s">
        <v>24466</v>
      </c>
      <c r="N4525" t="s">
        <v>24467</v>
      </c>
      <c r="O4525" t="s">
        <v>24067</v>
      </c>
      <c r="P4525">
        <v>29100</v>
      </c>
      <c r="Q4525" t="str">
        <f>"37.796477"</f>
        <v>37.796477</v>
      </c>
      <c r="R4525" t="str">
        <f>"20.892348"</f>
        <v>20.892348</v>
      </c>
      <c r="S4525" t="s">
        <v>26</v>
      </c>
    </row>
    <row r="4526" spans="1:19" x14ac:dyDescent="0.3">
      <c r="A4526" t="s">
        <v>23985</v>
      </c>
      <c r="B4526" t="s">
        <v>24396</v>
      </c>
      <c r="C4526" t="s">
        <v>24020</v>
      </c>
      <c r="D4526" t="s">
        <v>8088</v>
      </c>
      <c r="E4526" t="s">
        <v>8088</v>
      </c>
      <c r="F4526" t="s">
        <v>23986</v>
      </c>
      <c r="G4526" t="s">
        <v>23986</v>
      </c>
      <c r="H4526" t="s">
        <v>868</v>
      </c>
      <c r="I4526" t="s">
        <v>869</v>
      </c>
      <c r="J4526" t="str">
        <f>"9140082"</f>
        <v>9140082</v>
      </c>
      <c r="K4526">
        <v>2695042609</v>
      </c>
      <c r="L4526">
        <v>269502408</v>
      </c>
      <c r="M4526" t="s">
        <v>24468</v>
      </c>
      <c r="N4526" t="s">
        <v>23989</v>
      </c>
      <c r="O4526" t="s">
        <v>2072</v>
      </c>
      <c r="P4526">
        <v>29100</v>
      </c>
      <c r="Q4526" t="str">
        <f>"37.766694"</f>
        <v>37.766694</v>
      </c>
      <c r="R4526" t="str">
        <f>"20.900031"</f>
        <v>20.900031</v>
      </c>
      <c r="S4526" t="s">
        <v>26</v>
      </c>
    </row>
    <row r="4527" spans="1:19" x14ac:dyDescent="0.3">
      <c r="A4527" t="s">
        <v>23985</v>
      </c>
      <c r="B4527" t="s">
        <v>24396</v>
      </c>
      <c r="C4527" t="s">
        <v>24469</v>
      </c>
      <c r="D4527" t="s">
        <v>8088</v>
      </c>
      <c r="E4527" t="s">
        <v>8088</v>
      </c>
      <c r="F4527" t="s">
        <v>23986</v>
      </c>
      <c r="G4527" t="s">
        <v>23986</v>
      </c>
      <c r="H4527" t="s">
        <v>868</v>
      </c>
      <c r="I4527" t="s">
        <v>869</v>
      </c>
      <c r="J4527" t="str">
        <f>"9140086"</f>
        <v>9140086</v>
      </c>
      <c r="K4527">
        <v>2695029786</v>
      </c>
      <c r="L4527">
        <v>2695045193</v>
      </c>
      <c r="M4527" t="s">
        <v>24470</v>
      </c>
      <c r="N4527" t="s">
        <v>23989</v>
      </c>
      <c r="O4527" t="s">
        <v>24471</v>
      </c>
      <c r="P4527">
        <v>29100</v>
      </c>
      <c r="Q4527" t="str">
        <f>"37.774061"</f>
        <v>37.774061</v>
      </c>
      <c r="R4527" t="str">
        <f>"20.890765"</f>
        <v>20.890765</v>
      </c>
      <c r="S4527" t="s">
        <v>26</v>
      </c>
    </row>
    <row r="4528" spans="1:19" x14ac:dyDescent="0.3">
      <c r="A4528" t="s">
        <v>23985</v>
      </c>
      <c r="B4528" t="s">
        <v>24396</v>
      </c>
      <c r="C4528" t="s">
        <v>24472</v>
      </c>
      <c r="D4528" t="s">
        <v>8088</v>
      </c>
      <c r="E4528" t="s">
        <v>8088</v>
      </c>
      <c r="F4528" t="s">
        <v>24049</v>
      </c>
      <c r="G4528" t="s">
        <v>17000</v>
      </c>
      <c r="H4528" t="s">
        <v>868</v>
      </c>
      <c r="I4528" t="s">
        <v>869</v>
      </c>
      <c r="J4528" t="str">
        <f>"9140052"</f>
        <v>9140052</v>
      </c>
      <c r="K4528">
        <v>2695051372</v>
      </c>
      <c r="L4528">
        <v>2695051372</v>
      </c>
      <c r="M4528" t="s">
        <v>24473</v>
      </c>
      <c r="N4528" t="s">
        <v>17128</v>
      </c>
      <c r="O4528" t="s">
        <v>17128</v>
      </c>
      <c r="P4528">
        <v>29092</v>
      </c>
      <c r="Q4528" t="str">
        <f>"37.744808"</f>
        <v>37.744808</v>
      </c>
      <c r="R4528" t="str">
        <f>"20.847095"</f>
        <v>20.847095</v>
      </c>
      <c r="S4528" t="s">
        <v>26</v>
      </c>
    </row>
    <row r="4529" spans="1:19" x14ac:dyDescent="0.3">
      <c r="A4529" t="s">
        <v>23985</v>
      </c>
      <c r="B4529" t="s">
        <v>24396</v>
      </c>
      <c r="C4529" t="s">
        <v>24475</v>
      </c>
      <c r="D4529" t="s">
        <v>8088</v>
      </c>
      <c r="E4529" t="s">
        <v>8088</v>
      </c>
      <c r="F4529" t="s">
        <v>24033</v>
      </c>
      <c r="G4529" t="s">
        <v>24474</v>
      </c>
      <c r="H4529" t="s">
        <v>868</v>
      </c>
      <c r="I4529" t="s">
        <v>869</v>
      </c>
      <c r="J4529" t="str">
        <f>"9140091"</f>
        <v>9140091</v>
      </c>
      <c r="K4529">
        <v>2695092193</v>
      </c>
      <c r="L4529">
        <v>2695094026</v>
      </c>
      <c r="M4529" t="s">
        <v>24476</v>
      </c>
      <c r="N4529" t="s">
        <v>23989</v>
      </c>
      <c r="O4529" t="s">
        <v>24477</v>
      </c>
      <c r="P4529">
        <v>29092</v>
      </c>
      <c r="Q4529" t="str">
        <f>"37.776259"</f>
        <v>37.776259</v>
      </c>
      <c r="R4529" t="str">
        <f>"20.802242"</f>
        <v>20.802242</v>
      </c>
      <c r="S4529" t="s">
        <v>26</v>
      </c>
    </row>
    <row r="4530" spans="1:19" x14ac:dyDescent="0.3">
      <c r="A4530" t="s">
        <v>23985</v>
      </c>
      <c r="B4530" t="s">
        <v>24396</v>
      </c>
      <c r="C4530" t="s">
        <v>24478</v>
      </c>
      <c r="D4530" t="s">
        <v>8088</v>
      </c>
      <c r="E4530" t="s">
        <v>8088</v>
      </c>
      <c r="F4530" t="s">
        <v>23986</v>
      </c>
      <c r="G4530" t="s">
        <v>23986</v>
      </c>
      <c r="H4530" t="s">
        <v>868</v>
      </c>
      <c r="I4530" t="s">
        <v>869</v>
      </c>
      <c r="J4530" t="str">
        <f>"9140005"</f>
        <v>9140005</v>
      </c>
      <c r="K4530">
        <v>2695041710</v>
      </c>
      <c r="L4530">
        <v>2695041637</v>
      </c>
      <c r="M4530" t="s">
        <v>24479</v>
      </c>
      <c r="N4530" t="s">
        <v>8088</v>
      </c>
      <c r="O4530" t="s">
        <v>24480</v>
      </c>
      <c r="P4530">
        <v>29100</v>
      </c>
      <c r="Q4530" t="str">
        <f>"37.779940"</f>
        <v>37.779940</v>
      </c>
      <c r="R4530" t="str">
        <f>"20.897142"</f>
        <v>20.897142</v>
      </c>
      <c r="S4530" t="s">
        <v>26</v>
      </c>
    </row>
    <row r="4531" spans="1:19" x14ac:dyDescent="0.3">
      <c r="A4531" t="s">
        <v>23985</v>
      </c>
      <c r="B4531" t="s">
        <v>24396</v>
      </c>
      <c r="C4531" t="s">
        <v>24038</v>
      </c>
      <c r="D4531" t="s">
        <v>8088</v>
      </c>
      <c r="E4531" t="s">
        <v>8088</v>
      </c>
      <c r="F4531" t="s">
        <v>24033</v>
      </c>
      <c r="G4531" t="s">
        <v>24527</v>
      </c>
      <c r="H4531" t="s">
        <v>868</v>
      </c>
      <c r="I4531" t="s">
        <v>869</v>
      </c>
      <c r="J4531" t="str">
        <f>"9140090"</f>
        <v>9140090</v>
      </c>
      <c r="K4531">
        <v>2695092251</v>
      </c>
      <c r="L4531">
        <v>2695092251</v>
      </c>
      <c r="M4531" t="s">
        <v>24528</v>
      </c>
      <c r="N4531" t="s">
        <v>24529</v>
      </c>
      <c r="O4531" t="s">
        <v>24530</v>
      </c>
      <c r="P4531">
        <v>29092</v>
      </c>
      <c r="Q4531" t="str">
        <f>"37.754387"</f>
        <v>37.754387</v>
      </c>
      <c r="R4531" t="str">
        <f>"20.817821"</f>
        <v>20.817821</v>
      </c>
      <c r="S4531" t="s">
        <v>26</v>
      </c>
    </row>
    <row r="4532" spans="1:19" x14ac:dyDescent="0.3">
      <c r="A4532" t="s">
        <v>23985</v>
      </c>
      <c r="B4532" t="s">
        <v>24396</v>
      </c>
      <c r="C4532" t="s">
        <v>24531</v>
      </c>
      <c r="D4532" t="s">
        <v>8088</v>
      </c>
      <c r="E4532" t="s">
        <v>8088</v>
      </c>
      <c r="F4532" t="s">
        <v>24021</v>
      </c>
      <c r="G4532" t="s">
        <v>24494</v>
      </c>
      <c r="H4532" t="s">
        <v>868</v>
      </c>
      <c r="I4532" t="s">
        <v>869</v>
      </c>
      <c r="J4532" t="str">
        <f>"9140102"</f>
        <v>9140102</v>
      </c>
      <c r="K4532">
        <v>2695061920</v>
      </c>
      <c r="M4532" t="s">
        <v>24532</v>
      </c>
      <c r="O4532" t="s">
        <v>24497</v>
      </c>
      <c r="P4532">
        <v>29090</v>
      </c>
      <c r="Q4532" t="str">
        <f>"37.814092"</f>
        <v>37.814092</v>
      </c>
      <c r="R4532" t="str">
        <f>"20.788315"</f>
        <v>20.788315</v>
      </c>
      <c r="S4532" t="s">
        <v>26</v>
      </c>
    </row>
    <row r="4533" spans="1:19" x14ac:dyDescent="0.3">
      <c r="A4533" t="s">
        <v>23985</v>
      </c>
      <c r="B4533" t="s">
        <v>24396</v>
      </c>
      <c r="C4533" t="s">
        <v>24533</v>
      </c>
      <c r="D4533" t="s">
        <v>8088</v>
      </c>
      <c r="E4533" t="s">
        <v>8088</v>
      </c>
      <c r="F4533" t="s">
        <v>24049</v>
      </c>
      <c r="G4533" t="s">
        <v>24050</v>
      </c>
      <c r="H4533" t="s">
        <v>868</v>
      </c>
      <c r="I4533" t="s">
        <v>869</v>
      </c>
      <c r="J4533" t="str">
        <f>"9140045"</f>
        <v>9140045</v>
      </c>
      <c r="K4533">
        <v>2695051283</v>
      </c>
      <c r="L4533">
        <v>2695051283</v>
      </c>
      <c r="M4533" t="s">
        <v>24534</v>
      </c>
      <c r="N4533" t="s">
        <v>24053</v>
      </c>
      <c r="O4533" t="s">
        <v>24535</v>
      </c>
      <c r="P4533">
        <v>29092</v>
      </c>
      <c r="Q4533" t="str">
        <f>"37.709278"</f>
        <v>37.709278</v>
      </c>
      <c r="R4533" t="str">
        <f>"20.836751"</f>
        <v>20.836751</v>
      </c>
      <c r="S4533" t="s">
        <v>26</v>
      </c>
    </row>
    <row r="4534" spans="1:19" x14ac:dyDescent="0.3">
      <c r="A4534" t="s">
        <v>23985</v>
      </c>
      <c r="B4534" t="s">
        <v>24396</v>
      </c>
      <c r="C4534" t="s">
        <v>24030</v>
      </c>
      <c r="D4534" t="s">
        <v>8088</v>
      </c>
      <c r="E4534" t="s">
        <v>8088</v>
      </c>
      <c r="F4534" t="s">
        <v>23986</v>
      </c>
      <c r="G4534" t="s">
        <v>23986</v>
      </c>
      <c r="H4534" t="s">
        <v>868</v>
      </c>
      <c r="I4534" t="s">
        <v>869</v>
      </c>
      <c r="J4534" t="str">
        <f>"9140003"</f>
        <v>9140003</v>
      </c>
      <c r="K4534">
        <v>2695022235</v>
      </c>
      <c r="L4534">
        <v>2695022235</v>
      </c>
      <c r="M4534" t="s">
        <v>24536</v>
      </c>
      <c r="N4534" t="s">
        <v>24537</v>
      </c>
      <c r="O4534" t="s">
        <v>24538</v>
      </c>
      <c r="P4534">
        <v>29100</v>
      </c>
      <c r="Q4534" t="str">
        <f>"37.791306"</f>
        <v>37.791306</v>
      </c>
      <c r="R4534" t="str">
        <f>"20.899160"</f>
        <v>20.899160</v>
      </c>
      <c r="S4534" t="s">
        <v>26</v>
      </c>
    </row>
    <row r="4535" spans="1:19" x14ac:dyDescent="0.3">
      <c r="A4535" t="s">
        <v>23985</v>
      </c>
      <c r="B4535" t="s">
        <v>24396</v>
      </c>
      <c r="C4535" t="s">
        <v>24572</v>
      </c>
      <c r="D4535" t="s">
        <v>8088</v>
      </c>
      <c r="E4535" t="s">
        <v>8088</v>
      </c>
      <c r="F4535" t="s">
        <v>23986</v>
      </c>
      <c r="G4535" t="s">
        <v>16068</v>
      </c>
      <c r="H4535" t="s">
        <v>868</v>
      </c>
      <c r="I4535" t="s">
        <v>950</v>
      </c>
      <c r="J4535" t="str">
        <f>"9140023"</f>
        <v>9140023</v>
      </c>
      <c r="K4535">
        <v>2695035229</v>
      </c>
      <c r="L4535">
        <v>2695035229</v>
      </c>
      <c r="M4535" t="s">
        <v>24573</v>
      </c>
      <c r="N4535" t="s">
        <v>23989</v>
      </c>
      <c r="O4535" t="s">
        <v>24574</v>
      </c>
      <c r="P4535">
        <v>29100</v>
      </c>
      <c r="Q4535" t="str">
        <f>"37.723325"</f>
        <v>37.723325</v>
      </c>
      <c r="R4535" t="str">
        <f>"20.980585"</f>
        <v>20.980585</v>
      </c>
      <c r="S4535" t="s">
        <v>26</v>
      </c>
    </row>
    <row r="4536" spans="1:19" x14ac:dyDescent="0.3">
      <c r="A4536" t="s">
        <v>23985</v>
      </c>
      <c r="B4536" t="s">
        <v>24396</v>
      </c>
      <c r="C4536" t="s">
        <v>24064</v>
      </c>
      <c r="D4536" t="s">
        <v>8088</v>
      </c>
      <c r="E4536" t="s">
        <v>8088</v>
      </c>
      <c r="F4536" t="s">
        <v>24059</v>
      </c>
      <c r="G4536" t="s">
        <v>24060</v>
      </c>
      <c r="H4536" t="s">
        <v>868</v>
      </c>
      <c r="I4536" t="s">
        <v>869</v>
      </c>
      <c r="J4536" t="str">
        <f>"9521724"</f>
        <v>9521724</v>
      </c>
      <c r="K4536">
        <v>2695100385</v>
      </c>
      <c r="M4536" t="s">
        <v>24579</v>
      </c>
      <c r="N4536" t="s">
        <v>24063</v>
      </c>
      <c r="O4536" t="s">
        <v>24063</v>
      </c>
      <c r="P4536">
        <v>29091</v>
      </c>
      <c r="Q4536" t="str">
        <f>"37.862840"</f>
        <v>37.862840</v>
      </c>
      <c r="R4536" t="str">
        <f>"20.663213"</f>
        <v>20.663213</v>
      </c>
      <c r="S4536" t="s">
        <v>57</v>
      </c>
    </row>
    <row r="4537" spans="1:19" x14ac:dyDescent="0.3">
      <c r="A4537" t="s">
        <v>23985</v>
      </c>
      <c r="B4537" t="s">
        <v>24580</v>
      </c>
      <c r="C4537" t="s">
        <v>24596</v>
      </c>
      <c r="D4537" t="s">
        <v>20006</v>
      </c>
      <c r="E4537" t="s">
        <v>23991</v>
      </c>
      <c r="F4537" t="s">
        <v>24595</v>
      </c>
      <c r="G4537" t="s">
        <v>24595</v>
      </c>
      <c r="H4537" t="s">
        <v>868</v>
      </c>
      <c r="I4537" t="s">
        <v>950</v>
      </c>
      <c r="J4537" t="str">
        <f>"9240135"</f>
        <v>9240135</v>
      </c>
      <c r="K4537">
        <v>2663071686</v>
      </c>
      <c r="M4537" t="s">
        <v>24597</v>
      </c>
      <c r="N4537" t="s">
        <v>24598</v>
      </c>
      <c r="O4537" t="s">
        <v>24598</v>
      </c>
      <c r="P4537">
        <v>49100</v>
      </c>
      <c r="Q4537" t="str">
        <f>"39.764866"</f>
        <v>39.764866</v>
      </c>
      <c r="R4537" t="str">
        <f>"19.526874"</f>
        <v>19.526874</v>
      </c>
      <c r="S4537" t="s">
        <v>57</v>
      </c>
    </row>
    <row r="4538" spans="1:19" x14ac:dyDescent="0.3">
      <c r="A4538" t="s">
        <v>23985</v>
      </c>
      <c r="B4538" t="s">
        <v>24580</v>
      </c>
      <c r="C4538" t="s">
        <v>24107</v>
      </c>
      <c r="D4538" t="s">
        <v>20006</v>
      </c>
      <c r="E4538" t="s">
        <v>23991</v>
      </c>
      <c r="F4538" t="s">
        <v>24090</v>
      </c>
      <c r="G4538" t="s">
        <v>24601</v>
      </c>
      <c r="H4538" t="s">
        <v>868</v>
      </c>
      <c r="I4538" t="s">
        <v>869</v>
      </c>
      <c r="J4538" t="str">
        <f>"9240111"</f>
        <v>9240111</v>
      </c>
      <c r="K4538">
        <v>2663041249</v>
      </c>
      <c r="L4538">
        <v>2663042144</v>
      </c>
      <c r="M4538" t="s">
        <v>24602</v>
      </c>
      <c r="N4538" t="s">
        <v>24603</v>
      </c>
      <c r="O4538" t="s">
        <v>24604</v>
      </c>
      <c r="P4538">
        <v>49083</v>
      </c>
      <c r="Q4538" t="str">
        <f>"39.687700"</f>
        <v>39.687700</v>
      </c>
      <c r="R4538" t="str">
        <f>"19.741728"</f>
        <v>19.741728</v>
      </c>
      <c r="S4538" t="s">
        <v>26</v>
      </c>
    </row>
    <row r="4539" spans="1:19" x14ac:dyDescent="0.3">
      <c r="A4539" t="s">
        <v>23985</v>
      </c>
      <c r="B4539" t="s">
        <v>24580</v>
      </c>
      <c r="C4539" t="s">
        <v>24612</v>
      </c>
      <c r="D4539" t="s">
        <v>20006</v>
      </c>
      <c r="E4539" t="s">
        <v>23991</v>
      </c>
      <c r="F4539" t="s">
        <v>23992</v>
      </c>
      <c r="G4539" t="s">
        <v>23992</v>
      </c>
      <c r="H4539" t="s">
        <v>868</v>
      </c>
      <c r="I4539" t="s">
        <v>869</v>
      </c>
      <c r="J4539" t="str">
        <f>"9240181"</f>
        <v>9240181</v>
      </c>
      <c r="K4539">
        <v>2661025387</v>
      </c>
      <c r="L4539">
        <v>2661020070</v>
      </c>
      <c r="M4539" t="s">
        <v>24613</v>
      </c>
      <c r="N4539" t="s">
        <v>24106</v>
      </c>
      <c r="O4539" t="s">
        <v>24614</v>
      </c>
      <c r="P4539">
        <v>49100</v>
      </c>
      <c r="Q4539" t="str">
        <f>"39.615517"</f>
        <v>39.615517</v>
      </c>
      <c r="R4539" t="str">
        <f>"19.906460"</f>
        <v>19.906460</v>
      </c>
      <c r="S4539" t="s">
        <v>26</v>
      </c>
    </row>
    <row r="4540" spans="1:19" x14ac:dyDescent="0.3">
      <c r="A4540" t="s">
        <v>23985</v>
      </c>
      <c r="B4540" t="s">
        <v>24580</v>
      </c>
      <c r="C4540" t="s">
        <v>24616</v>
      </c>
      <c r="D4540" t="s">
        <v>20006</v>
      </c>
      <c r="E4540" t="s">
        <v>23991</v>
      </c>
      <c r="F4540" t="s">
        <v>24158</v>
      </c>
      <c r="G4540" t="s">
        <v>24615</v>
      </c>
      <c r="H4540" t="s">
        <v>868</v>
      </c>
      <c r="I4540" t="s">
        <v>869</v>
      </c>
      <c r="J4540" t="str">
        <f>"9240031"</f>
        <v>9240031</v>
      </c>
      <c r="K4540">
        <v>2661051464</v>
      </c>
      <c r="L4540">
        <v>2661051464</v>
      </c>
      <c r="M4540" t="s">
        <v>24617</v>
      </c>
      <c r="N4540" t="s">
        <v>24618</v>
      </c>
      <c r="O4540" t="s">
        <v>24618</v>
      </c>
      <c r="P4540">
        <v>49100</v>
      </c>
      <c r="Q4540" t="str">
        <f>"39.632787"</f>
        <v>39.632787</v>
      </c>
      <c r="R4540" t="str">
        <f>"19.762244"</f>
        <v>19.762244</v>
      </c>
      <c r="S4540" t="s">
        <v>26</v>
      </c>
    </row>
    <row r="4541" spans="1:19" x14ac:dyDescent="0.3">
      <c r="A4541" t="s">
        <v>23985</v>
      </c>
      <c r="B4541" t="s">
        <v>24580</v>
      </c>
      <c r="C4541" t="s">
        <v>24147</v>
      </c>
      <c r="D4541" t="s">
        <v>20006</v>
      </c>
      <c r="E4541" t="s">
        <v>23991</v>
      </c>
      <c r="F4541" t="s">
        <v>23992</v>
      </c>
      <c r="G4541" t="s">
        <v>23992</v>
      </c>
      <c r="H4541" t="s">
        <v>868</v>
      </c>
      <c r="I4541" t="s">
        <v>869</v>
      </c>
      <c r="J4541" t="str">
        <f>"9240081"</f>
        <v>9240081</v>
      </c>
      <c r="K4541">
        <v>2661038292</v>
      </c>
      <c r="L4541">
        <v>2661038292</v>
      </c>
      <c r="M4541" t="s">
        <v>24619</v>
      </c>
      <c r="N4541" t="s">
        <v>23995</v>
      </c>
      <c r="O4541" t="s">
        <v>24620</v>
      </c>
      <c r="P4541">
        <v>49100</v>
      </c>
      <c r="Q4541" t="str">
        <f>"39.624778"</f>
        <v>39.624778</v>
      </c>
      <c r="R4541" t="str">
        <f>"19.921480"</f>
        <v>19.921480</v>
      </c>
      <c r="S4541" t="s">
        <v>26</v>
      </c>
    </row>
    <row r="4542" spans="1:19" x14ac:dyDescent="0.3">
      <c r="A4542" t="s">
        <v>23985</v>
      </c>
      <c r="B4542" t="s">
        <v>24580</v>
      </c>
      <c r="C4542" t="s">
        <v>24128</v>
      </c>
      <c r="D4542" t="s">
        <v>20006</v>
      </c>
      <c r="E4542" t="s">
        <v>23991</v>
      </c>
      <c r="F4542" t="s">
        <v>23992</v>
      </c>
      <c r="G4542" t="s">
        <v>23992</v>
      </c>
      <c r="H4542" t="s">
        <v>868</v>
      </c>
      <c r="I4542" t="s">
        <v>869</v>
      </c>
      <c r="J4542" t="str">
        <f>"9240084"</f>
        <v>9240084</v>
      </c>
      <c r="K4542">
        <v>2661039804</v>
      </c>
      <c r="L4542">
        <v>2661039804</v>
      </c>
      <c r="M4542" t="s">
        <v>24621</v>
      </c>
      <c r="N4542" t="s">
        <v>24622</v>
      </c>
      <c r="O4542" t="s">
        <v>24623</v>
      </c>
      <c r="P4542">
        <v>49100</v>
      </c>
      <c r="Q4542" t="str">
        <f>"39.624985"</f>
        <v>39.624985</v>
      </c>
      <c r="R4542" t="str">
        <f>"19.908944"</f>
        <v>19.908944</v>
      </c>
      <c r="S4542" t="s">
        <v>26</v>
      </c>
    </row>
    <row r="4543" spans="1:19" x14ac:dyDescent="0.3">
      <c r="A4543" t="s">
        <v>23985</v>
      </c>
      <c r="B4543" t="s">
        <v>24580</v>
      </c>
      <c r="C4543" t="s">
        <v>24629</v>
      </c>
      <c r="D4543" t="s">
        <v>20006</v>
      </c>
      <c r="E4543" t="s">
        <v>23991</v>
      </c>
      <c r="F4543" t="s">
        <v>24083</v>
      </c>
      <c r="G4543" t="s">
        <v>24628</v>
      </c>
      <c r="H4543" t="s">
        <v>868</v>
      </c>
      <c r="I4543" t="s">
        <v>869</v>
      </c>
      <c r="J4543" t="str">
        <f>"9240023"</f>
        <v>9240023</v>
      </c>
      <c r="K4543">
        <v>2661040118</v>
      </c>
      <c r="L4543">
        <v>2661040118</v>
      </c>
      <c r="M4543" t="s">
        <v>24630</v>
      </c>
      <c r="N4543" t="s">
        <v>24631</v>
      </c>
      <c r="O4543" t="s">
        <v>24632</v>
      </c>
      <c r="P4543">
        <v>49084</v>
      </c>
      <c r="Q4543" t="str">
        <f>"39.586137"</f>
        <v>39.586137</v>
      </c>
      <c r="R4543" t="str">
        <f>"19.882145"</f>
        <v>19.882145</v>
      </c>
      <c r="S4543" t="s">
        <v>26</v>
      </c>
    </row>
    <row r="4544" spans="1:19" x14ac:dyDescent="0.3">
      <c r="A4544" t="s">
        <v>23985</v>
      </c>
      <c r="B4544" t="s">
        <v>24580</v>
      </c>
      <c r="C4544" t="s">
        <v>24089</v>
      </c>
      <c r="D4544" t="s">
        <v>20006</v>
      </c>
      <c r="E4544" t="s">
        <v>23991</v>
      </c>
      <c r="F4544" t="s">
        <v>24083</v>
      </c>
      <c r="G4544" t="s">
        <v>24084</v>
      </c>
      <c r="H4544" t="s">
        <v>868</v>
      </c>
      <c r="I4544" t="s">
        <v>869</v>
      </c>
      <c r="J4544" t="str">
        <f>"9240036"</f>
        <v>9240036</v>
      </c>
      <c r="K4544">
        <v>2661054305</v>
      </c>
      <c r="L4544">
        <v>2661054305</v>
      </c>
      <c r="M4544" t="s">
        <v>24633</v>
      </c>
      <c r="N4544" t="s">
        <v>24088</v>
      </c>
      <c r="O4544" t="s">
        <v>24088</v>
      </c>
      <c r="P4544">
        <v>49084</v>
      </c>
      <c r="Q4544" t="str">
        <f>"39.568017"</f>
        <v>39.568017</v>
      </c>
      <c r="R4544" t="str">
        <f>"19.865635"</f>
        <v>19.865635</v>
      </c>
      <c r="S4544" t="s">
        <v>26</v>
      </c>
    </row>
    <row r="4545" spans="1:19" x14ac:dyDescent="0.3">
      <c r="A4545" t="s">
        <v>23985</v>
      </c>
      <c r="B4545" t="s">
        <v>24580</v>
      </c>
      <c r="C4545" t="s">
        <v>24634</v>
      </c>
      <c r="D4545" t="s">
        <v>20006</v>
      </c>
      <c r="E4545" t="s">
        <v>23991</v>
      </c>
      <c r="F4545" t="s">
        <v>23992</v>
      </c>
      <c r="G4545" t="s">
        <v>23992</v>
      </c>
      <c r="H4545" t="s">
        <v>868</v>
      </c>
      <c r="I4545" t="s">
        <v>869</v>
      </c>
      <c r="J4545" t="str">
        <f>"9240088"</f>
        <v>9240088</v>
      </c>
      <c r="K4545">
        <v>2661034077</v>
      </c>
      <c r="L4545">
        <v>2661034077</v>
      </c>
      <c r="M4545" t="s">
        <v>24635</v>
      </c>
      <c r="N4545" t="s">
        <v>12350</v>
      </c>
      <c r="O4545" t="s">
        <v>24636</v>
      </c>
      <c r="P4545">
        <v>49100</v>
      </c>
      <c r="Q4545" t="str">
        <f>"39.623794"</f>
        <v>39.623794</v>
      </c>
      <c r="R4545" t="str">
        <f>"19.882722"</f>
        <v>19.882722</v>
      </c>
      <c r="S4545" t="s">
        <v>26</v>
      </c>
    </row>
    <row r="4546" spans="1:19" x14ac:dyDescent="0.3">
      <c r="A4546" t="s">
        <v>23985</v>
      </c>
      <c r="B4546" t="s">
        <v>24580</v>
      </c>
      <c r="C4546" t="s">
        <v>24648</v>
      </c>
      <c r="D4546" t="s">
        <v>20006</v>
      </c>
      <c r="E4546" t="s">
        <v>23991</v>
      </c>
      <c r="F4546" t="s">
        <v>23992</v>
      </c>
      <c r="G4546" t="s">
        <v>23992</v>
      </c>
      <c r="H4546" t="s">
        <v>868</v>
      </c>
      <c r="I4546" t="s">
        <v>869</v>
      </c>
      <c r="J4546" t="str">
        <f>"9240001"</f>
        <v>9240001</v>
      </c>
      <c r="K4546">
        <v>2661030605</v>
      </c>
      <c r="L4546">
        <v>2661030605</v>
      </c>
      <c r="M4546" t="s">
        <v>24649</v>
      </c>
      <c r="N4546" t="s">
        <v>23995</v>
      </c>
      <c r="O4546" t="s">
        <v>24650</v>
      </c>
      <c r="P4546">
        <v>49100</v>
      </c>
      <c r="Q4546" t="str">
        <f>"39.623149"</f>
        <v>39.623149</v>
      </c>
      <c r="R4546" t="str">
        <f>"19.919538"</f>
        <v>19.919538</v>
      </c>
      <c r="S4546" t="s">
        <v>26</v>
      </c>
    </row>
    <row r="4547" spans="1:19" x14ac:dyDescent="0.3">
      <c r="A4547" t="s">
        <v>23985</v>
      </c>
      <c r="B4547" t="s">
        <v>24580</v>
      </c>
      <c r="C4547" t="s">
        <v>24655</v>
      </c>
      <c r="D4547" t="s">
        <v>20006</v>
      </c>
      <c r="E4547" t="s">
        <v>23991</v>
      </c>
      <c r="F4547" t="s">
        <v>24158</v>
      </c>
      <c r="G4547" t="s">
        <v>24654</v>
      </c>
      <c r="H4547" t="s">
        <v>868</v>
      </c>
      <c r="I4547" t="s">
        <v>869</v>
      </c>
      <c r="J4547" t="str">
        <f>"9240059"</f>
        <v>9240059</v>
      </c>
      <c r="K4547">
        <v>2661054295</v>
      </c>
      <c r="L4547">
        <v>2661054295</v>
      </c>
      <c r="M4547" t="s">
        <v>24656</v>
      </c>
      <c r="N4547" t="s">
        <v>23995</v>
      </c>
      <c r="O4547" t="s">
        <v>24657</v>
      </c>
      <c r="P4547">
        <v>49084</v>
      </c>
      <c r="Q4547" t="str">
        <f>"39.567462"</f>
        <v>39.567462</v>
      </c>
      <c r="R4547" t="str">
        <f>"19.849891"</f>
        <v>19.849891</v>
      </c>
      <c r="S4547" t="s">
        <v>26</v>
      </c>
    </row>
    <row r="4548" spans="1:19" x14ac:dyDescent="0.3">
      <c r="A4548" t="s">
        <v>23985</v>
      </c>
      <c r="B4548" t="s">
        <v>24580</v>
      </c>
      <c r="C4548" t="s">
        <v>24658</v>
      </c>
      <c r="D4548" t="s">
        <v>20006</v>
      </c>
      <c r="E4548" t="s">
        <v>24075</v>
      </c>
      <c r="F4548" t="s">
        <v>24076</v>
      </c>
      <c r="G4548" t="s">
        <v>13744</v>
      </c>
      <c r="H4548" t="s">
        <v>868</v>
      </c>
      <c r="I4548" t="s">
        <v>869</v>
      </c>
      <c r="J4548" t="str">
        <f>"9240051"</f>
        <v>9240051</v>
      </c>
      <c r="K4548">
        <v>2662023442</v>
      </c>
      <c r="L4548">
        <v>2662022742</v>
      </c>
      <c r="M4548" t="s">
        <v>24659</v>
      </c>
      <c r="N4548" t="s">
        <v>24135</v>
      </c>
      <c r="O4548" t="s">
        <v>13748</v>
      </c>
      <c r="P4548">
        <v>49080</v>
      </c>
      <c r="Q4548" t="str">
        <f>"39.397834"</f>
        <v>39.397834</v>
      </c>
      <c r="R4548" t="str">
        <f>"20.066618"</f>
        <v>20.066618</v>
      </c>
      <c r="S4548" t="s">
        <v>26</v>
      </c>
    </row>
    <row r="4549" spans="1:19" x14ac:dyDescent="0.3">
      <c r="A4549" t="s">
        <v>23985</v>
      </c>
      <c r="B4549" t="s">
        <v>24580</v>
      </c>
      <c r="C4549" t="s">
        <v>24195</v>
      </c>
      <c r="D4549" t="s">
        <v>20006</v>
      </c>
      <c r="E4549" t="s">
        <v>23991</v>
      </c>
      <c r="F4549" t="s">
        <v>23992</v>
      </c>
      <c r="G4549" t="s">
        <v>23992</v>
      </c>
      <c r="H4549" t="s">
        <v>868</v>
      </c>
      <c r="I4549" t="s">
        <v>869</v>
      </c>
      <c r="J4549" t="str">
        <f>"9240004"</f>
        <v>9240004</v>
      </c>
      <c r="K4549">
        <v>2661039320</v>
      </c>
      <c r="L4549">
        <v>2661039320</v>
      </c>
      <c r="M4549" t="s">
        <v>24660</v>
      </c>
      <c r="N4549" t="s">
        <v>24661</v>
      </c>
      <c r="O4549" t="s">
        <v>24662</v>
      </c>
      <c r="P4549">
        <v>49100</v>
      </c>
      <c r="Q4549" t="str">
        <f>"39.623105"</f>
        <v>39.623105</v>
      </c>
      <c r="R4549" t="str">
        <f>"19.922036"</f>
        <v>19.922036</v>
      </c>
      <c r="S4549" t="s">
        <v>26</v>
      </c>
    </row>
    <row r="4550" spans="1:19" x14ac:dyDescent="0.3">
      <c r="A4550" t="s">
        <v>23985</v>
      </c>
      <c r="B4550" t="s">
        <v>24580</v>
      </c>
      <c r="C4550" t="s">
        <v>24664</v>
      </c>
      <c r="D4550" t="s">
        <v>20006</v>
      </c>
      <c r="E4550" t="s">
        <v>23991</v>
      </c>
      <c r="F4550" t="s">
        <v>24663</v>
      </c>
      <c r="G4550" t="s">
        <v>24663</v>
      </c>
      <c r="H4550" t="s">
        <v>868</v>
      </c>
      <c r="I4550" t="s">
        <v>950</v>
      </c>
      <c r="J4550" t="str">
        <f>"9240143"</f>
        <v>9240143</v>
      </c>
      <c r="K4550">
        <v>2663071905</v>
      </c>
      <c r="L4550">
        <v>2663071905</v>
      </c>
      <c r="M4550" t="s">
        <v>24665</v>
      </c>
      <c r="N4550" t="s">
        <v>24666</v>
      </c>
      <c r="O4550" t="s">
        <v>24666</v>
      </c>
      <c r="P4550">
        <v>49100</v>
      </c>
      <c r="Q4550" t="str">
        <f>"39.854008"</f>
        <v>39.854008</v>
      </c>
      <c r="R4550" t="str">
        <f>"19.401218"</f>
        <v>19.401218</v>
      </c>
      <c r="S4550" t="s">
        <v>57</v>
      </c>
    </row>
    <row r="4551" spans="1:19" x14ac:dyDescent="0.3">
      <c r="A4551" t="s">
        <v>23985</v>
      </c>
      <c r="B4551" t="s">
        <v>24580</v>
      </c>
      <c r="C4551" t="s">
        <v>24097</v>
      </c>
      <c r="D4551" t="s">
        <v>20006</v>
      </c>
      <c r="E4551" t="s">
        <v>23991</v>
      </c>
      <c r="F4551" t="s">
        <v>24090</v>
      </c>
      <c r="G4551" t="s">
        <v>24091</v>
      </c>
      <c r="H4551" t="s">
        <v>868</v>
      </c>
      <c r="I4551" t="s">
        <v>869</v>
      </c>
      <c r="J4551" t="str">
        <f>"9240130"</f>
        <v>9240130</v>
      </c>
      <c r="K4551">
        <v>2663041167</v>
      </c>
      <c r="M4551" t="s">
        <v>24670</v>
      </c>
      <c r="N4551" t="s">
        <v>24671</v>
      </c>
      <c r="O4551" t="s">
        <v>24671</v>
      </c>
      <c r="P4551">
        <v>49083</v>
      </c>
      <c r="Q4551" t="str">
        <f>"39.670896"</f>
        <v>39.670896</v>
      </c>
      <c r="R4551" t="str">
        <f>"19.741724"</f>
        <v>19.741724</v>
      </c>
      <c r="S4551" t="s">
        <v>26</v>
      </c>
    </row>
    <row r="4552" spans="1:19" x14ac:dyDescent="0.3">
      <c r="A4552" t="s">
        <v>23985</v>
      </c>
      <c r="B4552" t="s">
        <v>24580</v>
      </c>
      <c r="C4552" t="s">
        <v>24155</v>
      </c>
      <c r="D4552" t="s">
        <v>20006</v>
      </c>
      <c r="E4552" t="s">
        <v>24148</v>
      </c>
      <c r="F4552" t="s">
        <v>24149</v>
      </c>
      <c r="G4552" t="s">
        <v>24150</v>
      </c>
      <c r="H4552" t="s">
        <v>868</v>
      </c>
      <c r="I4552" t="s">
        <v>869</v>
      </c>
      <c r="J4552" t="str">
        <f>"9240120"</f>
        <v>9240120</v>
      </c>
      <c r="K4552">
        <v>2663031202</v>
      </c>
      <c r="L4552">
        <v>2663031202</v>
      </c>
      <c r="M4552" t="s">
        <v>24672</v>
      </c>
      <c r="N4552" t="s">
        <v>24653</v>
      </c>
      <c r="O4552" t="s">
        <v>24653</v>
      </c>
      <c r="P4552">
        <v>49081</v>
      </c>
      <c r="Q4552" t="str">
        <f>"39.778485"</f>
        <v>39.778485</v>
      </c>
      <c r="R4552" t="str">
        <f>"19.746015"</f>
        <v>19.746015</v>
      </c>
      <c r="S4552" t="s">
        <v>26</v>
      </c>
    </row>
    <row r="4553" spans="1:19" x14ac:dyDescent="0.3">
      <c r="A4553" t="s">
        <v>23985</v>
      </c>
      <c r="B4553" t="s">
        <v>24580</v>
      </c>
      <c r="C4553" t="s">
        <v>24673</v>
      </c>
      <c r="D4553" t="s">
        <v>20006</v>
      </c>
      <c r="E4553" t="s">
        <v>23991</v>
      </c>
      <c r="F4553" t="s">
        <v>23992</v>
      </c>
      <c r="G4553" t="s">
        <v>24644</v>
      </c>
      <c r="H4553" t="s">
        <v>868</v>
      </c>
      <c r="I4553" t="s">
        <v>869</v>
      </c>
      <c r="J4553" t="str">
        <f>"9240013"</f>
        <v>9240013</v>
      </c>
      <c r="K4553">
        <v>2661036553</v>
      </c>
      <c r="M4553" t="s">
        <v>24674</v>
      </c>
      <c r="N4553" t="s">
        <v>24675</v>
      </c>
      <c r="O4553" t="s">
        <v>24676</v>
      </c>
      <c r="P4553">
        <v>49100</v>
      </c>
      <c r="Q4553" t="str">
        <f>"39.618530"</f>
        <v>39.618530</v>
      </c>
      <c r="R4553" t="str">
        <f>"19.896658"</f>
        <v>19.896658</v>
      </c>
      <c r="S4553" t="s">
        <v>26</v>
      </c>
    </row>
    <row r="4554" spans="1:19" x14ac:dyDescent="0.3">
      <c r="A4554" t="s">
        <v>23985</v>
      </c>
      <c r="B4554" t="s">
        <v>24580</v>
      </c>
      <c r="C4554" t="s">
        <v>24082</v>
      </c>
      <c r="D4554" t="s">
        <v>20006</v>
      </c>
      <c r="E4554" t="s">
        <v>24075</v>
      </c>
      <c r="F4554" t="s">
        <v>24076</v>
      </c>
      <c r="G4554" t="s">
        <v>24680</v>
      </c>
      <c r="H4554" t="s">
        <v>868</v>
      </c>
      <c r="I4554" t="s">
        <v>869</v>
      </c>
      <c r="J4554" t="str">
        <f>"9240058"</f>
        <v>9240058</v>
      </c>
      <c r="K4554">
        <v>2662022539</v>
      </c>
      <c r="L4554">
        <v>2662022539</v>
      </c>
      <c r="M4554" t="s">
        <v>24681</v>
      </c>
      <c r="N4554" t="s">
        <v>24077</v>
      </c>
      <c r="O4554" t="s">
        <v>24682</v>
      </c>
      <c r="P4554">
        <v>49080</v>
      </c>
      <c r="Q4554" t="str">
        <f>"39.422070"</f>
        <v>39.422070</v>
      </c>
      <c r="R4554" t="str">
        <f>"20.061720"</f>
        <v>20.061720</v>
      </c>
      <c r="S4554" t="s">
        <v>26</v>
      </c>
    </row>
    <row r="4555" spans="1:19" x14ac:dyDescent="0.3">
      <c r="A4555" t="s">
        <v>23985</v>
      </c>
      <c r="B4555" t="s">
        <v>24580</v>
      </c>
      <c r="C4555" t="s">
        <v>24111</v>
      </c>
      <c r="D4555" t="s">
        <v>20006</v>
      </c>
      <c r="E4555" t="s">
        <v>23991</v>
      </c>
      <c r="F4555" t="s">
        <v>23992</v>
      </c>
      <c r="G4555" t="s">
        <v>20468</v>
      </c>
      <c r="H4555" t="s">
        <v>868</v>
      </c>
      <c r="I4555" t="s">
        <v>869</v>
      </c>
      <c r="J4555" t="str">
        <f>"9240035"</f>
        <v>9240035</v>
      </c>
      <c r="K4555">
        <v>2661038116</v>
      </c>
      <c r="L4555">
        <v>2661038116</v>
      </c>
      <c r="M4555" t="s">
        <v>24683</v>
      </c>
      <c r="N4555" t="s">
        <v>23995</v>
      </c>
      <c r="O4555" t="s">
        <v>21383</v>
      </c>
      <c r="P4555">
        <v>49100</v>
      </c>
      <c r="Q4555" t="str">
        <f>"39.608673"</f>
        <v>39.608673</v>
      </c>
      <c r="R4555" t="str">
        <f>"19.886708"</f>
        <v>19.886708</v>
      </c>
      <c r="S4555" t="s">
        <v>26</v>
      </c>
    </row>
    <row r="4556" spans="1:19" x14ac:dyDescent="0.3">
      <c r="A4556" t="s">
        <v>23985</v>
      </c>
      <c r="B4556" t="s">
        <v>24580</v>
      </c>
      <c r="C4556" t="s">
        <v>24704</v>
      </c>
      <c r="D4556" t="s">
        <v>20006</v>
      </c>
      <c r="E4556" t="s">
        <v>23991</v>
      </c>
      <c r="F4556" t="s">
        <v>24158</v>
      </c>
      <c r="G4556" t="s">
        <v>24703</v>
      </c>
      <c r="H4556" t="s">
        <v>868</v>
      </c>
      <c r="I4556" t="s">
        <v>869</v>
      </c>
      <c r="J4556" t="str">
        <f>"9240018"</f>
        <v>9240018</v>
      </c>
      <c r="K4556">
        <v>2661052250</v>
      </c>
      <c r="L4556">
        <v>2661052250</v>
      </c>
      <c r="M4556" t="s">
        <v>24705</v>
      </c>
      <c r="N4556" t="s">
        <v>24706</v>
      </c>
      <c r="O4556" t="s">
        <v>24706</v>
      </c>
      <c r="P4556">
        <v>49100</v>
      </c>
      <c r="Q4556" t="str">
        <f>"39.622226"</f>
        <v>39.622226</v>
      </c>
      <c r="R4556" t="str">
        <f>"19.858403"</f>
        <v>19.858403</v>
      </c>
      <c r="S4556" t="s">
        <v>26</v>
      </c>
    </row>
    <row r="4557" spans="1:19" x14ac:dyDescent="0.3">
      <c r="A4557" t="s">
        <v>23985</v>
      </c>
      <c r="B4557" t="s">
        <v>24580</v>
      </c>
      <c r="C4557" t="s">
        <v>24720</v>
      </c>
      <c r="D4557" t="s">
        <v>20006</v>
      </c>
      <c r="E4557" t="s">
        <v>24075</v>
      </c>
      <c r="F4557" t="s">
        <v>24718</v>
      </c>
      <c r="G4557" t="s">
        <v>24719</v>
      </c>
      <c r="H4557" t="s">
        <v>868</v>
      </c>
      <c r="I4557" t="s">
        <v>869</v>
      </c>
      <c r="J4557" t="str">
        <f>"9240009"</f>
        <v>9240009</v>
      </c>
      <c r="K4557">
        <v>2661075144</v>
      </c>
      <c r="L4557">
        <v>2661075144</v>
      </c>
      <c r="M4557" t="s">
        <v>24721</v>
      </c>
      <c r="N4557" t="s">
        <v>24722</v>
      </c>
      <c r="O4557" t="s">
        <v>24722</v>
      </c>
      <c r="P4557">
        <v>49084</v>
      </c>
      <c r="Q4557" t="str">
        <f>"39.497282"</f>
        <v>39.497282</v>
      </c>
      <c r="R4557" t="str">
        <f>"19.874613"</f>
        <v>19.874613</v>
      </c>
      <c r="S4557" t="s">
        <v>26</v>
      </c>
    </row>
    <row r="4558" spans="1:19" x14ac:dyDescent="0.3">
      <c r="A4558" t="s">
        <v>23985</v>
      </c>
      <c r="B4558" t="s">
        <v>24580</v>
      </c>
      <c r="C4558" t="s">
        <v>24074</v>
      </c>
      <c r="D4558" t="s">
        <v>20006</v>
      </c>
      <c r="E4558" t="s">
        <v>23991</v>
      </c>
      <c r="F4558" t="s">
        <v>23992</v>
      </c>
      <c r="G4558" t="s">
        <v>23992</v>
      </c>
      <c r="H4558" t="s">
        <v>868</v>
      </c>
      <c r="I4558" t="s">
        <v>869</v>
      </c>
      <c r="J4558" t="str">
        <f>"9240195"</f>
        <v>9240195</v>
      </c>
      <c r="K4558">
        <v>2661024073</v>
      </c>
      <c r="L4558">
        <v>2661024073</v>
      </c>
      <c r="M4558" t="s">
        <v>24725</v>
      </c>
      <c r="N4558" t="s">
        <v>23995</v>
      </c>
      <c r="O4558" t="s">
        <v>24589</v>
      </c>
      <c r="P4558">
        <v>49100</v>
      </c>
      <c r="Q4558" t="str">
        <f>"39.618717"</f>
        <v>39.618717</v>
      </c>
      <c r="R4558" t="str">
        <f>"19.918151"</f>
        <v>19.918151</v>
      </c>
      <c r="S4558" t="s">
        <v>26</v>
      </c>
    </row>
    <row r="4559" spans="1:19" x14ac:dyDescent="0.3">
      <c r="A4559" t="s">
        <v>23985</v>
      </c>
      <c r="B4559" t="s">
        <v>24580</v>
      </c>
      <c r="C4559" t="s">
        <v>24730</v>
      </c>
      <c r="D4559" t="s">
        <v>20006</v>
      </c>
      <c r="E4559" t="s">
        <v>23991</v>
      </c>
      <c r="F4559" t="s">
        <v>24090</v>
      </c>
      <c r="G4559" t="s">
        <v>24691</v>
      </c>
      <c r="H4559" t="s">
        <v>868</v>
      </c>
      <c r="I4559" t="s">
        <v>869</v>
      </c>
      <c r="J4559" t="str">
        <f>"9240127"</f>
        <v>9240127</v>
      </c>
      <c r="K4559">
        <v>2663049287</v>
      </c>
      <c r="L4559">
        <v>2663049587</v>
      </c>
      <c r="M4559" t="s">
        <v>24731</v>
      </c>
      <c r="N4559" t="s">
        <v>24732</v>
      </c>
      <c r="O4559" t="s">
        <v>24732</v>
      </c>
      <c r="P4559">
        <v>49083</v>
      </c>
      <c r="Q4559" t="str">
        <f>"39.679819"</f>
        <v>39.679819</v>
      </c>
      <c r="R4559" t="str">
        <f>"19.710260"</f>
        <v>19.710260</v>
      </c>
      <c r="S4559" t="s">
        <v>26</v>
      </c>
    </row>
    <row r="4560" spans="1:19" x14ac:dyDescent="0.3">
      <c r="A4560" t="s">
        <v>23985</v>
      </c>
      <c r="B4560" t="s">
        <v>24580</v>
      </c>
      <c r="C4560" t="s">
        <v>24191</v>
      </c>
      <c r="D4560" t="s">
        <v>20006</v>
      </c>
      <c r="E4560" t="s">
        <v>24186</v>
      </c>
      <c r="F4560" t="s">
        <v>24186</v>
      </c>
      <c r="G4560" t="s">
        <v>24187</v>
      </c>
      <c r="H4560" t="s">
        <v>868</v>
      </c>
      <c r="I4560" t="s">
        <v>869</v>
      </c>
      <c r="J4560" t="str">
        <f>"9240075"</f>
        <v>9240075</v>
      </c>
      <c r="K4560">
        <v>2662031372</v>
      </c>
      <c r="L4560">
        <v>2662031993</v>
      </c>
      <c r="M4560" t="s">
        <v>24744</v>
      </c>
      <c r="N4560" t="s">
        <v>24191</v>
      </c>
      <c r="O4560" t="s">
        <v>24745</v>
      </c>
      <c r="P4560">
        <v>49082</v>
      </c>
      <c r="Q4560" t="str">
        <f>"39.198336"</f>
        <v>39.198336</v>
      </c>
      <c r="R4560" t="str">
        <f>"20.167294"</f>
        <v>20.167294</v>
      </c>
      <c r="S4560" t="s">
        <v>57</v>
      </c>
    </row>
    <row r="4561" spans="1:19" x14ac:dyDescent="0.3">
      <c r="A4561" t="s">
        <v>23985</v>
      </c>
      <c r="B4561" t="s">
        <v>24580</v>
      </c>
      <c r="C4561" t="s">
        <v>24747</v>
      </c>
      <c r="D4561" t="s">
        <v>20006</v>
      </c>
      <c r="E4561" t="s">
        <v>23991</v>
      </c>
      <c r="F4561" t="s">
        <v>24083</v>
      </c>
      <c r="G4561" t="s">
        <v>24746</v>
      </c>
      <c r="H4561" t="s">
        <v>868</v>
      </c>
      <c r="I4561" t="s">
        <v>869</v>
      </c>
      <c r="J4561" t="str">
        <f>"9240042"</f>
        <v>9240042</v>
      </c>
      <c r="K4561">
        <v>2661056298</v>
      </c>
      <c r="L4561">
        <v>2661056298</v>
      </c>
      <c r="M4561" t="s">
        <v>24748</v>
      </c>
      <c r="N4561" t="s">
        <v>24749</v>
      </c>
      <c r="O4561" t="s">
        <v>24750</v>
      </c>
      <c r="P4561">
        <v>49084</v>
      </c>
      <c r="Q4561" t="str">
        <f>"39.568376"</f>
        <v>39.568376</v>
      </c>
      <c r="R4561" t="str">
        <f>"19.887708"</f>
        <v>19.887708</v>
      </c>
      <c r="S4561" t="s">
        <v>26</v>
      </c>
    </row>
    <row r="4562" spans="1:19" x14ac:dyDescent="0.3">
      <c r="A4562" t="s">
        <v>23985</v>
      </c>
      <c r="B4562" t="s">
        <v>24580</v>
      </c>
      <c r="C4562" t="s">
        <v>24237</v>
      </c>
      <c r="D4562" t="s">
        <v>20006</v>
      </c>
      <c r="E4562" t="s">
        <v>23991</v>
      </c>
      <c r="F4562" t="s">
        <v>24112</v>
      </c>
      <c r="G4562" t="s">
        <v>24756</v>
      </c>
      <c r="H4562" t="s">
        <v>868</v>
      </c>
      <c r="I4562" t="s">
        <v>869</v>
      </c>
      <c r="J4562" t="str">
        <f>"9240089"</f>
        <v>9240089</v>
      </c>
      <c r="K4562">
        <v>2661093643</v>
      </c>
      <c r="L4562">
        <v>2661093643</v>
      </c>
      <c r="M4562" t="s">
        <v>24766</v>
      </c>
      <c r="N4562" t="s">
        <v>24767</v>
      </c>
      <c r="O4562" t="s">
        <v>24768</v>
      </c>
      <c r="P4562">
        <v>49083</v>
      </c>
      <c r="Q4562" t="str">
        <f>"39.706188"</f>
        <v>39.706188</v>
      </c>
      <c r="R4562" t="str">
        <f>"19.833636"</f>
        <v>19.833636</v>
      </c>
      <c r="S4562" t="s">
        <v>26</v>
      </c>
    </row>
    <row r="4563" spans="1:19" x14ac:dyDescent="0.3">
      <c r="A4563" t="s">
        <v>23985</v>
      </c>
      <c r="B4563" t="s">
        <v>24580</v>
      </c>
      <c r="C4563" t="s">
        <v>24124</v>
      </c>
      <c r="D4563" t="s">
        <v>20006</v>
      </c>
      <c r="E4563" t="s">
        <v>23991</v>
      </c>
      <c r="F4563" t="s">
        <v>23992</v>
      </c>
      <c r="G4563" t="s">
        <v>23992</v>
      </c>
      <c r="H4563" t="s">
        <v>868</v>
      </c>
      <c r="I4563" t="s">
        <v>869</v>
      </c>
      <c r="J4563" t="str">
        <f>"9240082"</f>
        <v>9240082</v>
      </c>
      <c r="K4563">
        <v>2661039987</v>
      </c>
      <c r="L4563">
        <v>6944241663</v>
      </c>
      <c r="M4563" t="s">
        <v>24781</v>
      </c>
      <c r="N4563" t="s">
        <v>23995</v>
      </c>
      <c r="O4563" t="s">
        <v>5322</v>
      </c>
      <c r="P4563">
        <v>49100</v>
      </c>
      <c r="Q4563" t="str">
        <f>"39.615772"</f>
        <v>39.615772</v>
      </c>
      <c r="R4563" t="str">
        <f>"19.918391"</f>
        <v>19.918391</v>
      </c>
      <c r="S4563" t="s">
        <v>26</v>
      </c>
    </row>
    <row r="4564" spans="1:19" x14ac:dyDescent="0.3">
      <c r="A4564" t="s">
        <v>23985</v>
      </c>
      <c r="B4564" t="s">
        <v>24580</v>
      </c>
      <c r="C4564" t="s">
        <v>24225</v>
      </c>
      <c r="D4564" t="s">
        <v>20006</v>
      </c>
      <c r="E4564" t="s">
        <v>23991</v>
      </c>
      <c r="F4564" t="s">
        <v>23992</v>
      </c>
      <c r="G4564" t="s">
        <v>23992</v>
      </c>
      <c r="H4564" t="s">
        <v>868</v>
      </c>
      <c r="I4564" t="s">
        <v>869</v>
      </c>
      <c r="J4564" t="str">
        <f>"9240243"</f>
        <v>9240243</v>
      </c>
      <c r="K4564">
        <v>2661022940</v>
      </c>
      <c r="L4564">
        <v>2661022940</v>
      </c>
      <c r="M4564" t="s">
        <v>24782</v>
      </c>
      <c r="N4564" t="s">
        <v>23995</v>
      </c>
      <c r="O4564" t="s">
        <v>3795</v>
      </c>
      <c r="P4564">
        <v>49100</v>
      </c>
      <c r="Q4564" t="str">
        <f>"39.608516"</f>
        <v>39.608516</v>
      </c>
      <c r="R4564" t="str">
        <f>"19.921727"</f>
        <v>19.921727</v>
      </c>
      <c r="S4564" t="s">
        <v>26</v>
      </c>
    </row>
    <row r="4565" spans="1:19" x14ac:dyDescent="0.3">
      <c r="A4565" t="s">
        <v>23985</v>
      </c>
      <c r="B4565" t="s">
        <v>24580</v>
      </c>
      <c r="C4565" t="s">
        <v>24783</v>
      </c>
      <c r="D4565" t="s">
        <v>20006</v>
      </c>
      <c r="E4565" t="s">
        <v>23991</v>
      </c>
      <c r="F4565" t="s">
        <v>23992</v>
      </c>
      <c r="G4565" t="s">
        <v>23992</v>
      </c>
      <c r="H4565" t="s">
        <v>868</v>
      </c>
      <c r="I4565" t="s">
        <v>869</v>
      </c>
      <c r="J4565" t="str">
        <f>"9240006"</f>
        <v>9240006</v>
      </c>
      <c r="K4565">
        <v>2661031764</v>
      </c>
      <c r="L4565">
        <v>2661031764</v>
      </c>
      <c r="M4565" t="s">
        <v>24784</v>
      </c>
      <c r="N4565" t="s">
        <v>24106</v>
      </c>
      <c r="O4565" t="s">
        <v>24785</v>
      </c>
      <c r="P4565">
        <v>49100</v>
      </c>
      <c r="Q4565" t="str">
        <f>"39.619773"</f>
        <v>39.619773</v>
      </c>
      <c r="R4565" t="str">
        <f>"19.907305"</f>
        <v>19.907305</v>
      </c>
      <c r="S4565" t="s">
        <v>26</v>
      </c>
    </row>
    <row r="4566" spans="1:19" x14ac:dyDescent="0.3">
      <c r="A4566" t="s">
        <v>23985</v>
      </c>
      <c r="B4566" t="s">
        <v>24580</v>
      </c>
      <c r="C4566" t="s">
        <v>24812</v>
      </c>
      <c r="D4566" t="s">
        <v>20006</v>
      </c>
      <c r="E4566" t="s">
        <v>23991</v>
      </c>
      <c r="F4566" t="s">
        <v>23992</v>
      </c>
      <c r="G4566" t="s">
        <v>23992</v>
      </c>
      <c r="H4566" t="s">
        <v>868</v>
      </c>
      <c r="I4566" t="s">
        <v>869</v>
      </c>
      <c r="J4566" t="str">
        <f>"9240085"</f>
        <v>9240085</v>
      </c>
      <c r="K4566">
        <v>2661091284</v>
      </c>
      <c r="L4566">
        <v>2661091284</v>
      </c>
      <c r="M4566" t="s">
        <v>24813</v>
      </c>
      <c r="N4566" t="s">
        <v>24106</v>
      </c>
      <c r="O4566" t="s">
        <v>24814</v>
      </c>
      <c r="P4566">
        <v>49100</v>
      </c>
      <c r="Q4566" t="str">
        <f>"39.645933"</f>
        <v>39.645933</v>
      </c>
      <c r="R4566" t="str">
        <f>"19.848009"</f>
        <v>19.848009</v>
      </c>
      <c r="S4566" t="s">
        <v>26</v>
      </c>
    </row>
    <row r="4567" spans="1:19" x14ac:dyDescent="0.3">
      <c r="A4567" t="s">
        <v>23985</v>
      </c>
      <c r="B4567" t="s">
        <v>24580</v>
      </c>
      <c r="C4567" t="s">
        <v>24182</v>
      </c>
      <c r="D4567" t="s">
        <v>20006</v>
      </c>
      <c r="E4567" t="s">
        <v>24148</v>
      </c>
      <c r="F4567" t="s">
        <v>24176</v>
      </c>
      <c r="G4567" t="s">
        <v>24177</v>
      </c>
      <c r="H4567" t="s">
        <v>868</v>
      </c>
      <c r="I4567" t="s">
        <v>869</v>
      </c>
      <c r="J4567" t="str">
        <f>"9240121"</f>
        <v>9240121</v>
      </c>
      <c r="K4567">
        <v>2663081251</v>
      </c>
      <c r="L4567">
        <v>2663081218</v>
      </c>
      <c r="M4567" t="s">
        <v>24819</v>
      </c>
      <c r="N4567" t="s">
        <v>24181</v>
      </c>
      <c r="O4567" t="s">
        <v>24181</v>
      </c>
      <c r="P4567">
        <v>49081</v>
      </c>
      <c r="Q4567" t="str">
        <f>"39.788618"</f>
        <v>39.788618</v>
      </c>
      <c r="R4567" t="str">
        <f>"19.920408"</f>
        <v>19.920408</v>
      </c>
      <c r="S4567" t="s">
        <v>26</v>
      </c>
    </row>
    <row r="4568" spans="1:19" x14ac:dyDescent="0.3">
      <c r="A4568" t="s">
        <v>23985</v>
      </c>
      <c r="B4568" t="s">
        <v>24580</v>
      </c>
      <c r="C4568" t="s">
        <v>24820</v>
      </c>
      <c r="D4568" t="s">
        <v>20006</v>
      </c>
      <c r="E4568" t="s">
        <v>24075</v>
      </c>
      <c r="F4568" t="s">
        <v>24213</v>
      </c>
      <c r="G4568" t="s">
        <v>24590</v>
      </c>
      <c r="H4568" t="s">
        <v>868</v>
      </c>
      <c r="I4568" t="s">
        <v>869</v>
      </c>
      <c r="J4568" t="str">
        <f>"9240057"</f>
        <v>9240057</v>
      </c>
      <c r="K4568">
        <v>2662022183</v>
      </c>
      <c r="L4568">
        <v>2662022183</v>
      </c>
      <c r="M4568" t="s">
        <v>24821</v>
      </c>
      <c r="N4568" t="s">
        <v>24822</v>
      </c>
      <c r="O4568" t="s">
        <v>24823</v>
      </c>
      <c r="P4568">
        <v>49080</v>
      </c>
      <c r="Q4568" t="str">
        <f>"39.420994"</f>
        <v>39.420994</v>
      </c>
      <c r="R4568" t="str">
        <f>"20.014302"</f>
        <v>20.014302</v>
      </c>
      <c r="S4568" t="s">
        <v>26</v>
      </c>
    </row>
    <row r="4569" spans="1:19" x14ac:dyDescent="0.3">
      <c r="A4569" t="s">
        <v>23985</v>
      </c>
      <c r="B4569" t="s">
        <v>24580</v>
      </c>
      <c r="C4569" t="s">
        <v>24824</v>
      </c>
      <c r="D4569" t="s">
        <v>20006</v>
      </c>
      <c r="E4569" t="s">
        <v>23991</v>
      </c>
      <c r="F4569" t="s">
        <v>24083</v>
      </c>
      <c r="G4569" t="s">
        <v>24698</v>
      </c>
      <c r="H4569" t="s">
        <v>868</v>
      </c>
      <c r="I4569" t="s">
        <v>869</v>
      </c>
      <c r="J4569" t="str">
        <f>"9240048"</f>
        <v>9240048</v>
      </c>
      <c r="K4569">
        <v>2661072003</v>
      </c>
      <c r="L4569">
        <v>2661072003</v>
      </c>
      <c r="M4569" t="s">
        <v>24825</v>
      </c>
      <c r="N4569" t="s">
        <v>23995</v>
      </c>
      <c r="O4569" t="s">
        <v>24702</v>
      </c>
      <c r="P4569">
        <v>49084</v>
      </c>
      <c r="Q4569" t="str">
        <f>"39.542236"</f>
        <v>39.542236</v>
      </c>
      <c r="R4569" t="str">
        <f>"19.914353"</f>
        <v>19.914353</v>
      </c>
      <c r="S4569" t="s">
        <v>26</v>
      </c>
    </row>
    <row r="4570" spans="1:19" x14ac:dyDescent="0.3">
      <c r="A4570" t="s">
        <v>23985</v>
      </c>
      <c r="B4570" t="s">
        <v>24580</v>
      </c>
      <c r="C4570" t="s">
        <v>24826</v>
      </c>
      <c r="D4570" t="s">
        <v>20006</v>
      </c>
      <c r="E4570" t="s">
        <v>23991</v>
      </c>
      <c r="F4570" t="s">
        <v>24083</v>
      </c>
      <c r="G4570" t="s">
        <v>24726</v>
      </c>
      <c r="H4570" t="s">
        <v>868</v>
      </c>
      <c r="I4570" t="s">
        <v>869</v>
      </c>
      <c r="J4570" t="str">
        <f>"9240037"</f>
        <v>9240037</v>
      </c>
      <c r="K4570">
        <v>2661053053</v>
      </c>
      <c r="L4570">
        <v>2661053053</v>
      </c>
      <c r="M4570" t="s">
        <v>24827</v>
      </c>
      <c r="N4570" t="s">
        <v>24828</v>
      </c>
      <c r="P4570">
        <v>49084</v>
      </c>
      <c r="Q4570" t="str">
        <f>"39.539377"</f>
        <v>39.539377</v>
      </c>
      <c r="R4570" t="str">
        <f>"19.864544"</f>
        <v>19.864544</v>
      </c>
      <c r="S4570" t="s">
        <v>26</v>
      </c>
    </row>
    <row r="4571" spans="1:19" x14ac:dyDescent="0.3">
      <c r="A4571" t="s">
        <v>23985</v>
      </c>
      <c r="B4571" t="s">
        <v>24580</v>
      </c>
      <c r="C4571" t="s">
        <v>24829</v>
      </c>
      <c r="D4571" t="s">
        <v>20006</v>
      </c>
      <c r="E4571" t="s">
        <v>24075</v>
      </c>
      <c r="F4571" t="s">
        <v>24213</v>
      </c>
      <c r="G4571" t="s">
        <v>24711</v>
      </c>
      <c r="H4571" t="s">
        <v>868</v>
      </c>
      <c r="I4571" t="s">
        <v>869</v>
      </c>
      <c r="J4571" t="str">
        <f>"9240177"</f>
        <v>9240177</v>
      </c>
      <c r="K4571">
        <v>2662051644</v>
      </c>
      <c r="L4571">
        <v>2662051644</v>
      </c>
      <c r="M4571" t="s">
        <v>24830</v>
      </c>
      <c r="N4571" t="s">
        <v>24831</v>
      </c>
      <c r="O4571" t="s">
        <v>24831</v>
      </c>
      <c r="P4571">
        <v>49080</v>
      </c>
      <c r="Q4571" t="str">
        <f>"39.451623"</f>
        <v>39.451623</v>
      </c>
      <c r="R4571" t="str">
        <f>"19.997664"</f>
        <v>19.997664</v>
      </c>
      <c r="S4571" t="s">
        <v>26</v>
      </c>
    </row>
    <row r="4572" spans="1:19" x14ac:dyDescent="0.3">
      <c r="A4572" t="s">
        <v>23985</v>
      </c>
      <c r="B4572" t="s">
        <v>24580</v>
      </c>
      <c r="C4572" t="s">
        <v>24219</v>
      </c>
      <c r="D4572" t="s">
        <v>20006</v>
      </c>
      <c r="E4572" t="s">
        <v>24075</v>
      </c>
      <c r="F4572" t="s">
        <v>24213</v>
      </c>
      <c r="G4572" t="s">
        <v>24214</v>
      </c>
      <c r="H4572" t="s">
        <v>868</v>
      </c>
      <c r="I4572" t="s">
        <v>869</v>
      </c>
      <c r="J4572" t="str">
        <f>"9240015"</f>
        <v>9240015</v>
      </c>
      <c r="K4572">
        <v>2662051427</v>
      </c>
      <c r="L4572">
        <v>2662051427</v>
      </c>
      <c r="M4572" t="s">
        <v>24832</v>
      </c>
      <c r="N4572" t="s">
        <v>24218</v>
      </c>
      <c r="O4572" t="s">
        <v>24218</v>
      </c>
      <c r="P4572">
        <v>49080</v>
      </c>
      <c r="Q4572" t="str">
        <f>"39.438731"</f>
        <v>39.438731</v>
      </c>
      <c r="R4572" t="str">
        <f>"19.966814"</f>
        <v>19.966814</v>
      </c>
      <c r="S4572" t="s">
        <v>26</v>
      </c>
    </row>
    <row r="4573" spans="1:19" x14ac:dyDescent="0.3">
      <c r="A4573" t="s">
        <v>23985</v>
      </c>
      <c r="B4573" t="s">
        <v>24580</v>
      </c>
      <c r="C4573" t="s">
        <v>24834</v>
      </c>
      <c r="D4573" t="s">
        <v>20006</v>
      </c>
      <c r="E4573" t="s">
        <v>24075</v>
      </c>
      <c r="F4573" t="s">
        <v>24718</v>
      </c>
      <c r="G4573" t="s">
        <v>24833</v>
      </c>
      <c r="H4573" t="s">
        <v>868</v>
      </c>
      <c r="I4573" t="s">
        <v>869</v>
      </c>
      <c r="J4573" t="str">
        <f>"9240173"</f>
        <v>9240173</v>
      </c>
      <c r="K4573">
        <v>2661075297</v>
      </c>
      <c r="L4573">
        <v>2661075297</v>
      </c>
      <c r="M4573" t="s">
        <v>24835</v>
      </c>
      <c r="N4573" t="s">
        <v>24836</v>
      </c>
      <c r="O4573" t="s">
        <v>24837</v>
      </c>
      <c r="P4573">
        <v>49080</v>
      </c>
      <c r="Q4573" t="str">
        <f>"39.472343"</f>
        <v>39.472343</v>
      </c>
      <c r="R4573" t="str">
        <f>"19.910379"</f>
        <v>19.910379</v>
      </c>
      <c r="S4573" t="s">
        <v>26</v>
      </c>
    </row>
    <row r="4574" spans="1:19" x14ac:dyDescent="0.3">
      <c r="A4574" t="s">
        <v>23985</v>
      </c>
      <c r="B4574" t="s">
        <v>24580</v>
      </c>
      <c r="C4574" t="s">
        <v>24840</v>
      </c>
      <c r="D4574" t="s">
        <v>20006</v>
      </c>
      <c r="E4574" t="s">
        <v>24075</v>
      </c>
      <c r="F4574" t="s">
        <v>24076</v>
      </c>
      <c r="G4574" t="s">
        <v>24077</v>
      </c>
      <c r="H4574" t="s">
        <v>868</v>
      </c>
      <c r="I4574" t="s">
        <v>869</v>
      </c>
      <c r="J4574" t="str">
        <f>"9240043"</f>
        <v>9240043</v>
      </c>
      <c r="K4574">
        <v>2662022534</v>
      </c>
      <c r="L4574">
        <v>2662022534</v>
      </c>
      <c r="M4574" t="s">
        <v>24841</v>
      </c>
      <c r="N4574" t="s">
        <v>24134</v>
      </c>
      <c r="O4574" t="s">
        <v>24842</v>
      </c>
      <c r="P4574">
        <v>49080</v>
      </c>
      <c r="Q4574" t="str">
        <f>"39.423010"</f>
        <v>39.423010</v>
      </c>
      <c r="R4574" t="str">
        <f>"20.060527"</f>
        <v>20.060527</v>
      </c>
      <c r="S4574" t="s">
        <v>26</v>
      </c>
    </row>
    <row r="4575" spans="1:19" x14ac:dyDescent="0.3">
      <c r="A4575" t="s">
        <v>23985</v>
      </c>
      <c r="B4575" t="s">
        <v>24580</v>
      </c>
      <c r="C4575" t="s">
        <v>24844</v>
      </c>
      <c r="D4575" t="s">
        <v>20006</v>
      </c>
      <c r="E4575" t="s">
        <v>23991</v>
      </c>
      <c r="F4575" t="s">
        <v>24843</v>
      </c>
      <c r="G4575" t="s">
        <v>24843</v>
      </c>
      <c r="H4575" t="s">
        <v>868</v>
      </c>
      <c r="I4575" t="s">
        <v>950</v>
      </c>
      <c r="J4575" t="str">
        <f>"9240114"</f>
        <v>9240114</v>
      </c>
      <c r="K4575">
        <v>2663072576</v>
      </c>
      <c r="L4575">
        <v>2663072576</v>
      </c>
      <c r="M4575" t="s">
        <v>24845</v>
      </c>
      <c r="N4575" t="s">
        <v>20006</v>
      </c>
      <c r="O4575" t="s">
        <v>24846</v>
      </c>
      <c r="P4575">
        <v>49100</v>
      </c>
      <c r="Q4575" t="str">
        <f>"39.880301"</f>
        <v>39.880301</v>
      </c>
      <c r="R4575" t="str">
        <f>"19.579681"</f>
        <v>19.579681</v>
      </c>
      <c r="S4575" t="s">
        <v>57</v>
      </c>
    </row>
    <row r="4576" spans="1:19" x14ac:dyDescent="0.3">
      <c r="A4576" t="s">
        <v>23985</v>
      </c>
      <c r="B4576" t="s">
        <v>24580</v>
      </c>
      <c r="C4576" t="s">
        <v>24175</v>
      </c>
      <c r="D4576" t="s">
        <v>20006</v>
      </c>
      <c r="E4576" t="s">
        <v>23991</v>
      </c>
      <c r="F4576" t="s">
        <v>24112</v>
      </c>
      <c r="G4576" t="s">
        <v>24113</v>
      </c>
      <c r="H4576" t="s">
        <v>868</v>
      </c>
      <c r="I4576" t="s">
        <v>869</v>
      </c>
      <c r="J4576" t="str">
        <f>"9240124"</f>
        <v>9240124</v>
      </c>
      <c r="K4576">
        <v>2661093468</v>
      </c>
      <c r="L4576">
        <v>2661093468</v>
      </c>
      <c r="M4576" t="s">
        <v>24847</v>
      </c>
      <c r="N4576" t="s">
        <v>24848</v>
      </c>
      <c r="O4576" t="s">
        <v>24848</v>
      </c>
      <c r="P4576">
        <v>49083</v>
      </c>
      <c r="Q4576" t="str">
        <f>"39.689081"</f>
        <v>39.689081</v>
      </c>
      <c r="R4576" t="str">
        <f>"19.832005"</f>
        <v>19.832005</v>
      </c>
      <c r="S4576" t="s">
        <v>26</v>
      </c>
    </row>
    <row r="4577" spans="1:19" x14ac:dyDescent="0.3">
      <c r="A4577" t="s">
        <v>23985</v>
      </c>
      <c r="B4577" t="s">
        <v>24580</v>
      </c>
      <c r="C4577" t="s">
        <v>24212</v>
      </c>
      <c r="D4577" t="s">
        <v>20006</v>
      </c>
      <c r="E4577" t="s">
        <v>24148</v>
      </c>
      <c r="F4577" t="s">
        <v>1872</v>
      </c>
      <c r="G4577" t="s">
        <v>24208</v>
      </c>
      <c r="H4577" t="s">
        <v>868</v>
      </c>
      <c r="I4577" t="s">
        <v>869</v>
      </c>
      <c r="J4577" t="str">
        <f>"9240094"</f>
        <v>9240094</v>
      </c>
      <c r="K4577">
        <v>2663071492</v>
      </c>
      <c r="L4577">
        <v>2663072696</v>
      </c>
      <c r="M4577" t="s">
        <v>24849</v>
      </c>
      <c r="N4577" t="s">
        <v>24850</v>
      </c>
      <c r="O4577" t="s">
        <v>24851</v>
      </c>
      <c r="P4577">
        <v>49083</v>
      </c>
      <c r="Q4577" t="str">
        <f>"39.720108"</f>
        <v>39.720108</v>
      </c>
      <c r="R4577" t="str">
        <f>"19.724737"</f>
        <v>19.724737</v>
      </c>
      <c r="S4577" t="s">
        <v>26</v>
      </c>
    </row>
    <row r="4578" spans="1:19" x14ac:dyDescent="0.3">
      <c r="A4578" t="s">
        <v>23985</v>
      </c>
      <c r="B4578" t="s">
        <v>24580</v>
      </c>
      <c r="C4578" t="s">
        <v>24852</v>
      </c>
      <c r="D4578" t="s">
        <v>20006</v>
      </c>
      <c r="E4578" t="s">
        <v>23991</v>
      </c>
      <c r="F4578" t="s">
        <v>24112</v>
      </c>
      <c r="G4578" t="s">
        <v>24815</v>
      </c>
      <c r="H4578" t="s">
        <v>868</v>
      </c>
      <c r="I4578" t="s">
        <v>869</v>
      </c>
      <c r="J4578" t="str">
        <f>"9240157"</f>
        <v>9240157</v>
      </c>
      <c r="K4578">
        <v>2663092260</v>
      </c>
      <c r="L4578">
        <v>2663092260</v>
      </c>
      <c r="M4578" t="s">
        <v>24853</v>
      </c>
      <c r="N4578" t="s">
        <v>24854</v>
      </c>
      <c r="O4578" t="s">
        <v>24855</v>
      </c>
      <c r="P4578">
        <v>49083</v>
      </c>
      <c r="Q4578" t="str">
        <f>"39.720513"</f>
        <v>39.720513</v>
      </c>
      <c r="R4578" t="str">
        <f>"19.844423"</f>
        <v>19.844423</v>
      </c>
      <c r="S4578" t="s">
        <v>26</v>
      </c>
    </row>
    <row r="4579" spans="1:19" x14ac:dyDescent="0.3">
      <c r="A4579" t="s">
        <v>23985</v>
      </c>
      <c r="B4579" t="s">
        <v>24580</v>
      </c>
      <c r="C4579" t="s">
        <v>24207</v>
      </c>
      <c r="D4579" t="s">
        <v>20006</v>
      </c>
      <c r="E4579" t="s">
        <v>24148</v>
      </c>
      <c r="F4579" t="s">
        <v>24149</v>
      </c>
      <c r="G4579" t="s">
        <v>24788</v>
      </c>
      <c r="H4579" t="s">
        <v>868</v>
      </c>
      <c r="I4579" t="s">
        <v>869</v>
      </c>
      <c r="J4579" t="str">
        <f>"9240102"</f>
        <v>9240102</v>
      </c>
      <c r="K4579">
        <v>2663095450</v>
      </c>
      <c r="L4579">
        <v>2663099450</v>
      </c>
      <c r="M4579" t="s">
        <v>24856</v>
      </c>
      <c r="N4579" t="s">
        <v>24791</v>
      </c>
      <c r="O4579" t="s">
        <v>24791</v>
      </c>
      <c r="P4579">
        <v>49081</v>
      </c>
      <c r="Q4579" t="str">
        <f>"39.778339"</f>
        <v>39.778339</v>
      </c>
      <c r="R4579" t="str">
        <f>"19.661354"</f>
        <v>19.661354</v>
      </c>
      <c r="S4579" t="s">
        <v>26</v>
      </c>
    </row>
    <row r="4580" spans="1:19" x14ac:dyDescent="0.3">
      <c r="A4580" t="s">
        <v>23985</v>
      </c>
      <c r="B4580" t="s">
        <v>24580</v>
      </c>
      <c r="C4580" t="s">
        <v>24202</v>
      </c>
      <c r="D4580" t="s">
        <v>20006</v>
      </c>
      <c r="E4580" t="s">
        <v>24148</v>
      </c>
      <c r="F4580" t="s">
        <v>24196</v>
      </c>
      <c r="G4580" t="s">
        <v>18684</v>
      </c>
      <c r="H4580" t="s">
        <v>868</v>
      </c>
      <c r="I4580" t="s">
        <v>869</v>
      </c>
      <c r="J4580" t="str">
        <f>"9240091"</f>
        <v>9240091</v>
      </c>
      <c r="K4580">
        <v>2663063041</v>
      </c>
      <c r="L4580">
        <v>2663063041</v>
      </c>
      <c r="M4580" t="s">
        <v>24857</v>
      </c>
      <c r="N4580" t="s">
        <v>24201</v>
      </c>
      <c r="O4580" t="s">
        <v>24201</v>
      </c>
      <c r="P4580">
        <v>49081</v>
      </c>
      <c r="Q4580" t="str">
        <f>"39.793038"</f>
        <v>39.793038</v>
      </c>
      <c r="R4580" t="str">
        <f>"19.821366"</f>
        <v>19.821366</v>
      </c>
      <c r="S4580" t="s">
        <v>26</v>
      </c>
    </row>
    <row r="4581" spans="1:19" x14ac:dyDescent="0.3">
      <c r="A4581" t="s">
        <v>23985</v>
      </c>
      <c r="B4581" t="s">
        <v>24580</v>
      </c>
      <c r="C4581" t="s">
        <v>24858</v>
      </c>
      <c r="D4581" t="s">
        <v>20006</v>
      </c>
      <c r="E4581" t="s">
        <v>24148</v>
      </c>
      <c r="F4581" t="s">
        <v>24149</v>
      </c>
      <c r="G4581" t="s">
        <v>24769</v>
      </c>
      <c r="H4581" t="s">
        <v>868</v>
      </c>
      <c r="I4581" t="s">
        <v>869</v>
      </c>
      <c r="J4581" t="str">
        <f>"9240105"</f>
        <v>9240105</v>
      </c>
      <c r="K4581">
        <v>2663051223</v>
      </c>
      <c r="L4581">
        <v>2663051210</v>
      </c>
      <c r="M4581" t="s">
        <v>24859</v>
      </c>
      <c r="N4581" t="s">
        <v>24860</v>
      </c>
      <c r="O4581" t="s">
        <v>24772</v>
      </c>
      <c r="P4581">
        <v>49081</v>
      </c>
      <c r="Q4581" t="str">
        <f>"39.756020"</f>
        <v>39.756020</v>
      </c>
      <c r="R4581" t="str">
        <f>"19.694726"</f>
        <v>19.694726</v>
      </c>
      <c r="S4581" t="s">
        <v>26</v>
      </c>
    </row>
    <row r="4582" spans="1:19" x14ac:dyDescent="0.3">
      <c r="A4582" t="s">
        <v>23985</v>
      </c>
      <c r="B4582" t="s">
        <v>24580</v>
      </c>
      <c r="C4582" t="s">
        <v>24861</v>
      </c>
      <c r="D4582" t="s">
        <v>20006</v>
      </c>
      <c r="E4582" t="s">
        <v>23991</v>
      </c>
      <c r="F4582" t="s">
        <v>24083</v>
      </c>
      <c r="G4582" t="s">
        <v>24733</v>
      </c>
      <c r="H4582" t="s">
        <v>868</v>
      </c>
      <c r="I4582" t="s">
        <v>869</v>
      </c>
      <c r="J4582" t="str">
        <f>"9240028"</f>
        <v>9240028</v>
      </c>
      <c r="K4582">
        <v>2661056241</v>
      </c>
      <c r="L4582">
        <v>2661056241</v>
      </c>
      <c r="M4582" t="s">
        <v>24862</v>
      </c>
      <c r="N4582" t="s">
        <v>24736</v>
      </c>
      <c r="O4582" t="s">
        <v>24736</v>
      </c>
      <c r="P4582">
        <v>49084</v>
      </c>
      <c r="Q4582" t="str">
        <f>"39.561898"</f>
        <v>39.561898</v>
      </c>
      <c r="R4582" t="str">
        <f>"19.899911"</f>
        <v>19.899911</v>
      </c>
      <c r="S4582" t="s">
        <v>26</v>
      </c>
    </row>
    <row r="4583" spans="1:19" x14ac:dyDescent="0.3">
      <c r="A4583" t="s">
        <v>23985</v>
      </c>
      <c r="B4583" t="s">
        <v>24580</v>
      </c>
      <c r="C4583" t="s">
        <v>24864</v>
      </c>
      <c r="D4583" t="s">
        <v>20006</v>
      </c>
      <c r="E4583" t="s">
        <v>24148</v>
      </c>
      <c r="F4583" t="s">
        <v>24196</v>
      </c>
      <c r="G4583" t="s">
        <v>24863</v>
      </c>
      <c r="H4583" t="s">
        <v>868</v>
      </c>
      <c r="I4583" t="s">
        <v>869</v>
      </c>
      <c r="J4583" t="str">
        <f>"9240140"</f>
        <v>9240140</v>
      </c>
      <c r="K4583">
        <v>2663094485</v>
      </c>
      <c r="L4583">
        <v>2663094485</v>
      </c>
      <c r="M4583" t="s">
        <v>24865</v>
      </c>
      <c r="N4583" t="s">
        <v>24866</v>
      </c>
      <c r="O4583" t="s">
        <v>24867</v>
      </c>
      <c r="P4583">
        <v>49081</v>
      </c>
      <c r="Q4583" t="str">
        <f>"39.768257"</f>
        <v>39.768257</v>
      </c>
      <c r="R4583" t="str">
        <f>"19.772972"</f>
        <v>19.772972</v>
      </c>
      <c r="S4583" t="s">
        <v>26</v>
      </c>
    </row>
    <row r="4584" spans="1:19" x14ac:dyDescent="0.3">
      <c r="A4584" t="s">
        <v>23985</v>
      </c>
      <c r="B4584" t="s">
        <v>24580</v>
      </c>
      <c r="C4584" t="s">
        <v>24117</v>
      </c>
      <c r="D4584" t="s">
        <v>20006</v>
      </c>
      <c r="E4584" t="s">
        <v>23991</v>
      </c>
      <c r="F4584" t="s">
        <v>23992</v>
      </c>
      <c r="G4584" t="s">
        <v>23992</v>
      </c>
      <c r="H4584" t="s">
        <v>868</v>
      </c>
      <c r="I4584" t="s">
        <v>869</v>
      </c>
      <c r="J4584" t="str">
        <f>"9240076"</f>
        <v>9240076</v>
      </c>
      <c r="K4584">
        <v>2661091276</v>
      </c>
      <c r="M4584" t="s">
        <v>24868</v>
      </c>
      <c r="N4584" t="s">
        <v>24869</v>
      </c>
      <c r="O4584" t="s">
        <v>24869</v>
      </c>
      <c r="P4584">
        <v>49100</v>
      </c>
      <c r="Q4584" t="str">
        <f>"39.654137"</f>
        <v>39.654137</v>
      </c>
      <c r="R4584" t="str">
        <f>"19.841904"</f>
        <v>19.841904</v>
      </c>
      <c r="S4584" t="s">
        <v>26</v>
      </c>
    </row>
    <row r="4585" spans="1:19" x14ac:dyDescent="0.3">
      <c r="A4585" t="s">
        <v>23985</v>
      </c>
      <c r="B4585" t="s">
        <v>24580</v>
      </c>
      <c r="C4585" t="s">
        <v>24162</v>
      </c>
      <c r="D4585" t="s">
        <v>20006</v>
      </c>
      <c r="E4585" t="s">
        <v>23991</v>
      </c>
      <c r="F4585" t="s">
        <v>24158</v>
      </c>
      <c r="G4585" t="s">
        <v>14943</v>
      </c>
      <c r="H4585" t="s">
        <v>868</v>
      </c>
      <c r="I4585" t="s">
        <v>869</v>
      </c>
      <c r="J4585" t="str">
        <f>"9240008"</f>
        <v>9240008</v>
      </c>
      <c r="K4585">
        <v>2661052442</v>
      </c>
      <c r="L4585">
        <v>2661052442</v>
      </c>
      <c r="M4585" t="s">
        <v>24870</v>
      </c>
      <c r="N4585" t="s">
        <v>19973</v>
      </c>
      <c r="O4585" t="s">
        <v>19973</v>
      </c>
      <c r="P4585">
        <v>49100</v>
      </c>
      <c r="Q4585" t="str">
        <f>"39.616664"</f>
        <v>39.616664</v>
      </c>
      <c r="R4585" t="str">
        <f>"19.843605"</f>
        <v>19.843605</v>
      </c>
      <c r="S4585" t="s">
        <v>26</v>
      </c>
    </row>
    <row r="4586" spans="1:19" x14ac:dyDescent="0.3">
      <c r="A4586" t="s">
        <v>23985</v>
      </c>
      <c r="B4586" t="s">
        <v>24580</v>
      </c>
      <c r="C4586" t="s">
        <v>24871</v>
      </c>
      <c r="D4586" t="s">
        <v>20006</v>
      </c>
      <c r="E4586" t="s">
        <v>23991</v>
      </c>
      <c r="F4586" t="s">
        <v>23992</v>
      </c>
      <c r="G4586" t="s">
        <v>23992</v>
      </c>
      <c r="H4586" t="s">
        <v>868</v>
      </c>
      <c r="I4586" t="s">
        <v>869</v>
      </c>
      <c r="J4586" t="str">
        <f>"9240002"</f>
        <v>9240002</v>
      </c>
      <c r="K4586">
        <v>2661033781</v>
      </c>
      <c r="L4586">
        <v>2661033781</v>
      </c>
      <c r="M4586" t="s">
        <v>24872</v>
      </c>
      <c r="N4586" t="s">
        <v>23995</v>
      </c>
      <c r="O4586" t="s">
        <v>24873</v>
      </c>
      <c r="P4586">
        <v>49100</v>
      </c>
      <c r="Q4586" t="str">
        <f>"39.597355"</f>
        <v>39.597355</v>
      </c>
      <c r="R4586" t="str">
        <f>"19.920811"</f>
        <v>19.920811</v>
      </c>
      <c r="S4586" t="s">
        <v>26</v>
      </c>
    </row>
    <row r="4587" spans="1:19" x14ac:dyDescent="0.3">
      <c r="A4587" t="s">
        <v>23985</v>
      </c>
      <c r="B4587" t="s">
        <v>24580</v>
      </c>
      <c r="C4587" t="s">
        <v>24101</v>
      </c>
      <c r="D4587" t="s">
        <v>20006</v>
      </c>
      <c r="E4587" t="s">
        <v>23991</v>
      </c>
      <c r="F4587" t="s">
        <v>23992</v>
      </c>
      <c r="G4587" t="s">
        <v>23992</v>
      </c>
      <c r="H4587" t="s">
        <v>868</v>
      </c>
      <c r="I4587" t="s">
        <v>869</v>
      </c>
      <c r="J4587" t="str">
        <f>"9240083"</f>
        <v>9240083</v>
      </c>
      <c r="K4587">
        <v>2661031193</v>
      </c>
      <c r="L4587">
        <v>2661027744</v>
      </c>
      <c r="M4587" t="s">
        <v>24874</v>
      </c>
      <c r="N4587" t="s">
        <v>23995</v>
      </c>
      <c r="O4587" t="s">
        <v>24875</v>
      </c>
      <c r="P4587">
        <v>49100</v>
      </c>
      <c r="Q4587" t="str">
        <f>"39.619741"</f>
        <v>39.619741</v>
      </c>
      <c r="R4587" t="str">
        <f>"19.915003"</f>
        <v>19.915003</v>
      </c>
      <c r="S4587" t="s">
        <v>26</v>
      </c>
    </row>
    <row r="4588" spans="1:19" x14ac:dyDescent="0.3">
      <c r="A4588" t="s">
        <v>23985</v>
      </c>
      <c r="B4588" t="s">
        <v>24580</v>
      </c>
      <c r="C4588" t="s">
        <v>24876</v>
      </c>
      <c r="D4588" t="s">
        <v>20006</v>
      </c>
      <c r="E4588" t="s">
        <v>23991</v>
      </c>
      <c r="F4588" t="s">
        <v>23992</v>
      </c>
      <c r="G4588" t="s">
        <v>23992</v>
      </c>
      <c r="H4588" t="s">
        <v>868</v>
      </c>
      <c r="I4588" t="s">
        <v>869</v>
      </c>
      <c r="J4588" t="str">
        <f>"9240229"</f>
        <v>9240229</v>
      </c>
      <c r="K4588">
        <v>2661030411</v>
      </c>
      <c r="L4588">
        <v>2661030411</v>
      </c>
      <c r="M4588" t="s">
        <v>24877</v>
      </c>
      <c r="N4588" t="s">
        <v>23995</v>
      </c>
      <c r="O4588" t="s">
        <v>24878</v>
      </c>
      <c r="P4588">
        <v>49100</v>
      </c>
      <c r="Q4588" t="str">
        <f>"39.619525"</f>
        <v>39.619525</v>
      </c>
      <c r="R4588" t="str">
        <f>"19.911621"</f>
        <v>19.911621</v>
      </c>
      <c r="S4588" t="s">
        <v>26</v>
      </c>
    </row>
    <row r="4589" spans="1:19" x14ac:dyDescent="0.3">
      <c r="A4589" t="s">
        <v>23985</v>
      </c>
      <c r="B4589" t="s">
        <v>24580</v>
      </c>
      <c r="C4589" t="s">
        <v>24898</v>
      </c>
      <c r="D4589" t="s">
        <v>20006</v>
      </c>
      <c r="E4589" t="s">
        <v>23991</v>
      </c>
      <c r="F4589" t="s">
        <v>23992</v>
      </c>
      <c r="G4589" t="s">
        <v>23992</v>
      </c>
      <c r="H4589" t="s">
        <v>868</v>
      </c>
      <c r="I4589" t="s">
        <v>869</v>
      </c>
      <c r="J4589" t="str">
        <f>"9240079"</f>
        <v>9240079</v>
      </c>
      <c r="K4589">
        <v>2661031295</v>
      </c>
      <c r="L4589">
        <v>2661031988</v>
      </c>
      <c r="M4589" t="s">
        <v>24899</v>
      </c>
      <c r="N4589" t="s">
        <v>23995</v>
      </c>
      <c r="O4589" t="s">
        <v>24811</v>
      </c>
      <c r="P4589">
        <v>49100</v>
      </c>
      <c r="Q4589" t="str">
        <f>"39.610117"</f>
        <v>39.610117</v>
      </c>
      <c r="R4589" t="str">
        <f>"19.922468"</f>
        <v>19.922468</v>
      </c>
      <c r="S4589" t="s">
        <v>26</v>
      </c>
    </row>
    <row r="4590" spans="1:19" x14ac:dyDescent="0.3">
      <c r="A4590" t="s">
        <v>23985</v>
      </c>
      <c r="B4590" t="s">
        <v>24580</v>
      </c>
      <c r="C4590" t="s">
        <v>24907</v>
      </c>
      <c r="D4590" t="s">
        <v>20006</v>
      </c>
      <c r="E4590" t="s">
        <v>23991</v>
      </c>
      <c r="F4590" t="s">
        <v>23992</v>
      </c>
      <c r="G4590" t="s">
        <v>23992</v>
      </c>
      <c r="H4590" t="s">
        <v>868</v>
      </c>
      <c r="I4590" t="s">
        <v>1157</v>
      </c>
      <c r="J4590" t="str">
        <f>"9240228"</f>
        <v>9240228</v>
      </c>
      <c r="K4590">
        <v>2661031755</v>
      </c>
      <c r="L4590">
        <v>2661031755</v>
      </c>
      <c r="M4590" t="s">
        <v>24908</v>
      </c>
      <c r="N4590" t="s">
        <v>23995</v>
      </c>
      <c r="O4590" t="s">
        <v>24909</v>
      </c>
      <c r="P4590">
        <v>49100</v>
      </c>
      <c r="Q4590" t="str">
        <f>"39.618868"</f>
        <v>39.618868</v>
      </c>
      <c r="R4590" t="str">
        <f>"19.918182"</f>
        <v>19.918182</v>
      </c>
      <c r="S4590" t="s">
        <v>26</v>
      </c>
    </row>
    <row r="4591" spans="1:19" x14ac:dyDescent="0.3">
      <c r="A4591" t="s">
        <v>23985</v>
      </c>
      <c r="B4591" t="s">
        <v>24580</v>
      </c>
      <c r="C4591" t="s">
        <v>24929</v>
      </c>
      <c r="D4591" t="s">
        <v>20006</v>
      </c>
      <c r="E4591" t="s">
        <v>23991</v>
      </c>
      <c r="F4591" t="s">
        <v>23992</v>
      </c>
      <c r="G4591" t="s">
        <v>23992</v>
      </c>
      <c r="H4591" t="s">
        <v>868</v>
      </c>
      <c r="I4591" t="s">
        <v>1157</v>
      </c>
      <c r="J4591" t="str">
        <f>"9521402"</f>
        <v>9521402</v>
      </c>
      <c r="K4591">
        <v>2661026828</v>
      </c>
      <c r="L4591">
        <v>2661026828</v>
      </c>
      <c r="N4591" t="s">
        <v>23995</v>
      </c>
      <c r="O4591" t="s">
        <v>24930</v>
      </c>
      <c r="P4591">
        <v>49100</v>
      </c>
      <c r="Q4591" t="str">
        <f>"39.623174"</f>
        <v>39.623174</v>
      </c>
      <c r="R4591" t="str">
        <f>"19.922094"</f>
        <v>19.922094</v>
      </c>
      <c r="S4591" t="s">
        <v>26</v>
      </c>
    </row>
    <row r="4592" spans="1:19" x14ac:dyDescent="0.3">
      <c r="A4592" t="s">
        <v>23985</v>
      </c>
      <c r="B4592" t="s">
        <v>24580</v>
      </c>
      <c r="C4592" t="s">
        <v>24939</v>
      </c>
      <c r="D4592" t="s">
        <v>20006</v>
      </c>
      <c r="E4592" t="s">
        <v>24148</v>
      </c>
      <c r="F4592" t="s">
        <v>24149</v>
      </c>
      <c r="G4592" t="s">
        <v>24769</v>
      </c>
      <c r="H4592" t="s">
        <v>868</v>
      </c>
      <c r="I4592" t="s">
        <v>1157</v>
      </c>
      <c r="J4592" t="str">
        <f>"9241004"</f>
        <v>9241004</v>
      </c>
      <c r="K4592">
        <v>6989777788</v>
      </c>
      <c r="L4592">
        <v>2663072149</v>
      </c>
      <c r="M4592" t="s">
        <v>24940</v>
      </c>
      <c r="N4592" t="s">
        <v>24211</v>
      </c>
      <c r="O4592" t="s">
        <v>24860</v>
      </c>
      <c r="P4592">
        <v>49083</v>
      </c>
      <c r="Q4592" t="str">
        <f>"39.720881"</f>
        <v>39.720881</v>
      </c>
      <c r="R4592" t="str">
        <f>"19.724725"</f>
        <v>19.724725</v>
      </c>
      <c r="S4592" t="s">
        <v>26</v>
      </c>
    </row>
    <row r="4593" spans="1:19" x14ac:dyDescent="0.3">
      <c r="A4593" t="s">
        <v>23985</v>
      </c>
      <c r="B4593" t="s">
        <v>24941</v>
      </c>
      <c r="C4593" t="s">
        <v>24962</v>
      </c>
      <c r="D4593" t="s">
        <v>1150</v>
      </c>
      <c r="E4593" t="s">
        <v>23997</v>
      </c>
      <c r="F4593" t="s">
        <v>23997</v>
      </c>
      <c r="G4593" t="s">
        <v>23997</v>
      </c>
      <c r="H4593" t="s">
        <v>868</v>
      </c>
      <c r="I4593" t="s">
        <v>869</v>
      </c>
      <c r="J4593" t="str">
        <f>"9250097"</f>
        <v>9250097</v>
      </c>
      <c r="K4593">
        <v>2671022092</v>
      </c>
      <c r="L4593">
        <v>2671022092</v>
      </c>
      <c r="M4593" t="s">
        <v>24963</v>
      </c>
      <c r="N4593" t="s">
        <v>24000</v>
      </c>
      <c r="O4593" t="s">
        <v>24964</v>
      </c>
      <c r="P4593">
        <v>28100</v>
      </c>
      <c r="Q4593" t="str">
        <f>"38.182720"</f>
        <v>38.182720</v>
      </c>
      <c r="R4593" t="str">
        <f>"20.484835"</f>
        <v>20.484835</v>
      </c>
      <c r="S4593" t="s">
        <v>26</v>
      </c>
    </row>
    <row r="4594" spans="1:19" x14ac:dyDescent="0.3">
      <c r="A4594" t="s">
        <v>23985</v>
      </c>
      <c r="B4594" t="s">
        <v>24941</v>
      </c>
      <c r="C4594" t="s">
        <v>24969</v>
      </c>
      <c r="D4594" t="s">
        <v>1150</v>
      </c>
      <c r="E4594" t="s">
        <v>24278</v>
      </c>
      <c r="F4594" t="s">
        <v>24942</v>
      </c>
      <c r="G4594" t="s">
        <v>24943</v>
      </c>
      <c r="H4594" t="s">
        <v>868</v>
      </c>
      <c r="I4594" t="s">
        <v>869</v>
      </c>
      <c r="J4594" t="str">
        <f>"9250121"</f>
        <v>9250121</v>
      </c>
      <c r="K4594">
        <v>2674061415</v>
      </c>
      <c r="L4594">
        <v>2674061415</v>
      </c>
      <c r="M4594" t="s">
        <v>24970</v>
      </c>
      <c r="N4594" t="s">
        <v>24971</v>
      </c>
      <c r="O4594" t="s">
        <v>24972</v>
      </c>
      <c r="P4594">
        <v>28081</v>
      </c>
      <c r="Q4594" t="str">
        <f>"38.311219"</f>
        <v>38.311219</v>
      </c>
      <c r="R4594" t="str">
        <f>"20.557576"</f>
        <v>20.557576</v>
      </c>
      <c r="S4594" t="s">
        <v>26</v>
      </c>
    </row>
    <row r="4595" spans="1:19" x14ac:dyDescent="0.3">
      <c r="A4595" t="s">
        <v>23985</v>
      </c>
      <c r="B4595" t="s">
        <v>24941</v>
      </c>
      <c r="C4595" t="s">
        <v>24255</v>
      </c>
      <c r="D4595" t="s">
        <v>1150</v>
      </c>
      <c r="E4595" t="s">
        <v>23997</v>
      </c>
      <c r="F4595" t="s">
        <v>23997</v>
      </c>
      <c r="G4595" t="s">
        <v>24973</v>
      </c>
      <c r="H4595" t="s">
        <v>868</v>
      </c>
      <c r="I4595" t="s">
        <v>950</v>
      </c>
      <c r="J4595" t="str">
        <f>"9250023"</f>
        <v>9250023</v>
      </c>
      <c r="K4595">
        <v>2671084602</v>
      </c>
      <c r="M4595" t="s">
        <v>24974</v>
      </c>
      <c r="N4595" t="s">
        <v>24975</v>
      </c>
      <c r="O4595" t="s">
        <v>24975</v>
      </c>
      <c r="P4595">
        <v>28100</v>
      </c>
      <c r="Q4595" t="str">
        <f>"38.225387"</f>
        <v>38.225387</v>
      </c>
      <c r="R4595" t="str">
        <f>"20.514857"</f>
        <v>20.514857</v>
      </c>
      <c r="S4595" t="s">
        <v>26</v>
      </c>
    </row>
    <row r="4596" spans="1:19" x14ac:dyDescent="0.3">
      <c r="A4596" t="s">
        <v>23985</v>
      </c>
      <c r="B4596" t="s">
        <v>24941</v>
      </c>
      <c r="C4596" t="s">
        <v>24277</v>
      </c>
      <c r="D4596" t="s">
        <v>1150</v>
      </c>
      <c r="E4596" t="s">
        <v>23997</v>
      </c>
      <c r="F4596" t="s">
        <v>23997</v>
      </c>
      <c r="G4596" t="s">
        <v>23997</v>
      </c>
      <c r="H4596" t="s">
        <v>868</v>
      </c>
      <c r="I4596" t="s">
        <v>869</v>
      </c>
      <c r="J4596" t="str">
        <f>"9250011"</f>
        <v>9250011</v>
      </c>
      <c r="K4596">
        <v>2671022668</v>
      </c>
      <c r="L4596">
        <v>2671022668</v>
      </c>
      <c r="M4596" t="s">
        <v>24976</v>
      </c>
      <c r="N4596" t="s">
        <v>24000</v>
      </c>
      <c r="O4596" t="s">
        <v>24977</v>
      </c>
      <c r="P4596">
        <v>28100</v>
      </c>
      <c r="Q4596" t="str">
        <f>"38.177568"</f>
        <v>38.177568</v>
      </c>
      <c r="R4596" t="str">
        <f>"20.486452"</f>
        <v>20.486452</v>
      </c>
      <c r="S4596" t="s">
        <v>26</v>
      </c>
    </row>
    <row r="4597" spans="1:19" x14ac:dyDescent="0.3">
      <c r="A4597" t="s">
        <v>23985</v>
      </c>
      <c r="B4597" t="s">
        <v>24941</v>
      </c>
      <c r="C4597" t="s">
        <v>24268</v>
      </c>
      <c r="D4597" t="s">
        <v>1150</v>
      </c>
      <c r="E4597" t="s">
        <v>23997</v>
      </c>
      <c r="F4597" t="s">
        <v>24263</v>
      </c>
      <c r="G4597" t="s">
        <v>24980</v>
      </c>
      <c r="H4597" t="s">
        <v>868</v>
      </c>
      <c r="I4597" t="s">
        <v>950</v>
      </c>
      <c r="J4597" t="str">
        <f>"9250049"</f>
        <v>9250049</v>
      </c>
      <c r="K4597">
        <v>2671081348</v>
      </c>
      <c r="L4597">
        <v>2671081348</v>
      </c>
      <c r="M4597" t="s">
        <v>24981</v>
      </c>
      <c r="N4597" t="s">
        <v>24982</v>
      </c>
      <c r="O4597" t="s">
        <v>24982</v>
      </c>
      <c r="P4597">
        <v>28086</v>
      </c>
      <c r="Q4597" t="str">
        <f>"38.081535"</f>
        <v>38.081535</v>
      </c>
      <c r="R4597" t="str">
        <f>"20.720482"</f>
        <v>20.720482</v>
      </c>
      <c r="S4597" t="s">
        <v>26</v>
      </c>
    </row>
    <row r="4598" spans="1:19" x14ac:dyDescent="0.3">
      <c r="A4598" t="s">
        <v>23985</v>
      </c>
      <c r="B4598" t="s">
        <v>24941</v>
      </c>
      <c r="C4598" t="s">
        <v>24244</v>
      </c>
      <c r="D4598" t="s">
        <v>24239</v>
      </c>
      <c r="E4598" t="s">
        <v>24239</v>
      </c>
      <c r="F4598" t="s">
        <v>24239</v>
      </c>
      <c r="G4598" t="s">
        <v>24239</v>
      </c>
      <c r="H4598" t="s">
        <v>868</v>
      </c>
      <c r="I4598" t="s">
        <v>869</v>
      </c>
      <c r="J4598" t="str">
        <f>"9250002"</f>
        <v>9250002</v>
      </c>
      <c r="K4598">
        <v>2674032309</v>
      </c>
      <c r="L4598">
        <v>2674032309</v>
      </c>
      <c r="M4598" t="s">
        <v>24985</v>
      </c>
      <c r="N4598" t="s">
        <v>24242</v>
      </c>
      <c r="O4598" t="s">
        <v>24242</v>
      </c>
      <c r="P4598">
        <v>28300</v>
      </c>
      <c r="Q4598" t="str">
        <f>"38.366339"</f>
        <v>38.366339</v>
      </c>
      <c r="R4598" t="str">
        <f>"20.711668"</f>
        <v>20.711668</v>
      </c>
      <c r="S4598" t="s">
        <v>57</v>
      </c>
    </row>
    <row r="4599" spans="1:19" x14ac:dyDescent="0.3">
      <c r="A4599" t="s">
        <v>23985</v>
      </c>
      <c r="B4599" t="s">
        <v>24941</v>
      </c>
      <c r="C4599" t="s">
        <v>24293</v>
      </c>
      <c r="D4599" t="s">
        <v>1150</v>
      </c>
      <c r="E4599" t="s">
        <v>23997</v>
      </c>
      <c r="F4599" t="s">
        <v>23997</v>
      </c>
      <c r="G4599" t="s">
        <v>23997</v>
      </c>
      <c r="H4599" t="s">
        <v>868</v>
      </c>
      <c r="I4599" t="s">
        <v>869</v>
      </c>
      <c r="J4599" t="str">
        <f>"9250012"</f>
        <v>9250012</v>
      </c>
      <c r="K4599">
        <v>2671028433</v>
      </c>
      <c r="L4599">
        <v>2671028433</v>
      </c>
      <c r="M4599" t="s">
        <v>24986</v>
      </c>
      <c r="N4599" t="s">
        <v>24987</v>
      </c>
      <c r="O4599" t="s">
        <v>24977</v>
      </c>
      <c r="P4599">
        <v>28100</v>
      </c>
      <c r="Q4599" t="str">
        <f>"38.177033"</f>
        <v>38.177033</v>
      </c>
      <c r="R4599" t="str">
        <f>"20.486715"</f>
        <v>20.486715</v>
      </c>
      <c r="S4599" t="s">
        <v>26</v>
      </c>
    </row>
    <row r="4600" spans="1:19" x14ac:dyDescent="0.3">
      <c r="A4600" t="s">
        <v>23985</v>
      </c>
      <c r="B4600" t="s">
        <v>24941</v>
      </c>
      <c r="C4600" t="s">
        <v>24321</v>
      </c>
      <c r="D4600" t="s">
        <v>1150</v>
      </c>
      <c r="E4600" t="s">
        <v>24256</v>
      </c>
      <c r="F4600" t="s">
        <v>24257</v>
      </c>
      <c r="G4600" t="s">
        <v>24316</v>
      </c>
      <c r="H4600" t="s">
        <v>868</v>
      </c>
      <c r="I4600" t="s">
        <v>869</v>
      </c>
      <c r="J4600" t="str">
        <f>"9250052"</f>
        <v>9250052</v>
      </c>
      <c r="K4600">
        <v>2671097380</v>
      </c>
      <c r="L4600">
        <v>2671097380</v>
      </c>
      <c r="M4600" t="s">
        <v>24988</v>
      </c>
      <c r="N4600" t="s">
        <v>24320</v>
      </c>
      <c r="O4600" t="s">
        <v>24320</v>
      </c>
      <c r="P4600">
        <v>28200</v>
      </c>
      <c r="Q4600" t="str">
        <f>"38.244734"</f>
        <v>38.244734</v>
      </c>
      <c r="R4600" t="str">
        <f>"20.385005"</f>
        <v>20.385005</v>
      </c>
      <c r="S4600" t="s">
        <v>26</v>
      </c>
    </row>
    <row r="4601" spans="1:19" x14ac:dyDescent="0.3">
      <c r="A4601" t="s">
        <v>23985</v>
      </c>
      <c r="B4601" t="s">
        <v>24941</v>
      </c>
      <c r="C4601" t="s">
        <v>24283</v>
      </c>
      <c r="D4601" t="s">
        <v>1150</v>
      </c>
      <c r="E4601" t="s">
        <v>24278</v>
      </c>
      <c r="F4601" t="s">
        <v>24278</v>
      </c>
      <c r="G4601" t="s">
        <v>24278</v>
      </c>
      <c r="H4601" t="s">
        <v>868</v>
      </c>
      <c r="I4601" t="s">
        <v>869</v>
      </c>
      <c r="J4601" t="str">
        <f>"9250085"</f>
        <v>9250085</v>
      </c>
      <c r="K4601">
        <v>2674022143</v>
      </c>
      <c r="L4601">
        <v>2674022143</v>
      </c>
      <c r="M4601" t="s">
        <v>24989</v>
      </c>
      <c r="N4601" t="s">
        <v>24990</v>
      </c>
      <c r="O4601" t="s">
        <v>24991</v>
      </c>
      <c r="P4601">
        <v>28080</v>
      </c>
      <c r="Q4601" t="str">
        <f>"38.250235"</f>
        <v>38.250235</v>
      </c>
      <c r="R4601" t="str">
        <f>"20.646225"</f>
        <v>20.646225</v>
      </c>
      <c r="S4601" t="s">
        <v>26</v>
      </c>
    </row>
    <row r="4602" spans="1:19" x14ac:dyDescent="0.3">
      <c r="A4602" t="s">
        <v>23985</v>
      </c>
      <c r="B4602" t="s">
        <v>24941</v>
      </c>
      <c r="C4602" t="s">
        <v>24993</v>
      </c>
      <c r="D4602" t="s">
        <v>1150</v>
      </c>
      <c r="E4602" t="s">
        <v>23997</v>
      </c>
      <c r="F4602" t="s">
        <v>24263</v>
      </c>
      <c r="G4602" t="s">
        <v>24992</v>
      </c>
      <c r="H4602" t="s">
        <v>868</v>
      </c>
      <c r="I4602" t="s">
        <v>869</v>
      </c>
      <c r="J4602" t="str">
        <f>"9250045"</f>
        <v>9250045</v>
      </c>
      <c r="K4602">
        <v>2671083386</v>
      </c>
      <c r="M4602" t="s">
        <v>24994</v>
      </c>
      <c r="N4602" t="s">
        <v>6596</v>
      </c>
      <c r="O4602" t="s">
        <v>6596</v>
      </c>
      <c r="P4602">
        <v>28086</v>
      </c>
      <c r="Q4602" t="str">
        <f>"38.074893"</f>
        <v>38.074893</v>
      </c>
      <c r="R4602" t="str">
        <f>"20.797708"</f>
        <v>20.797708</v>
      </c>
      <c r="S4602" t="s">
        <v>26</v>
      </c>
    </row>
    <row r="4603" spans="1:19" x14ac:dyDescent="0.3">
      <c r="A4603" t="s">
        <v>23985</v>
      </c>
      <c r="B4603" t="s">
        <v>24941</v>
      </c>
      <c r="C4603" t="s">
        <v>12931</v>
      </c>
      <c r="D4603" t="s">
        <v>1150</v>
      </c>
      <c r="E4603" t="s">
        <v>23997</v>
      </c>
      <c r="F4603" t="s">
        <v>24245</v>
      </c>
      <c r="G4603" t="s">
        <v>12926</v>
      </c>
      <c r="H4603" t="s">
        <v>868</v>
      </c>
      <c r="I4603" t="s">
        <v>869</v>
      </c>
      <c r="J4603" t="str">
        <f>"9250026"</f>
        <v>9250026</v>
      </c>
      <c r="K4603">
        <v>2671069006</v>
      </c>
      <c r="L4603">
        <v>2671069006</v>
      </c>
      <c r="M4603" t="s">
        <v>24995</v>
      </c>
      <c r="N4603" t="s">
        <v>24249</v>
      </c>
      <c r="O4603" t="s">
        <v>24249</v>
      </c>
      <c r="P4603">
        <v>28100</v>
      </c>
      <c r="Q4603" t="str">
        <f>"38.119322"</f>
        <v>38.119322</v>
      </c>
      <c r="R4603" t="str">
        <f>"20.561906"</f>
        <v>20.561906</v>
      </c>
      <c r="S4603" t="s">
        <v>26</v>
      </c>
    </row>
    <row r="4604" spans="1:19" x14ac:dyDescent="0.3">
      <c r="A4604" t="s">
        <v>23985</v>
      </c>
      <c r="B4604" t="s">
        <v>24941</v>
      </c>
      <c r="C4604" t="s">
        <v>24332</v>
      </c>
      <c r="D4604" t="s">
        <v>1150</v>
      </c>
      <c r="E4604" t="s">
        <v>24278</v>
      </c>
      <c r="F4604" t="s">
        <v>24326</v>
      </c>
      <c r="G4604" t="s">
        <v>24996</v>
      </c>
      <c r="H4604" t="s">
        <v>868</v>
      </c>
      <c r="I4604" t="s">
        <v>869</v>
      </c>
      <c r="J4604" t="str">
        <f>"9250081"</f>
        <v>9250081</v>
      </c>
      <c r="K4604">
        <v>2674041170</v>
      </c>
      <c r="L4604">
        <v>2674041170</v>
      </c>
      <c r="M4604" t="s">
        <v>24997</v>
      </c>
      <c r="N4604" t="s">
        <v>24998</v>
      </c>
      <c r="O4604" t="s">
        <v>24999</v>
      </c>
      <c r="P4604">
        <v>28084</v>
      </c>
      <c r="Q4604" t="str">
        <f>"38.436582"</f>
        <v>38.436582</v>
      </c>
      <c r="R4604" t="str">
        <f>"20.559881"</f>
        <v>20.559881</v>
      </c>
      <c r="S4604" t="s">
        <v>26</v>
      </c>
    </row>
    <row r="4605" spans="1:19" x14ac:dyDescent="0.3">
      <c r="A4605" t="s">
        <v>23985</v>
      </c>
      <c r="B4605" t="s">
        <v>24941</v>
      </c>
      <c r="C4605" t="s">
        <v>24262</v>
      </c>
      <c r="D4605" t="s">
        <v>1150</v>
      </c>
      <c r="E4605" t="s">
        <v>24256</v>
      </c>
      <c r="F4605" t="s">
        <v>24257</v>
      </c>
      <c r="G4605" t="s">
        <v>24256</v>
      </c>
      <c r="H4605" t="s">
        <v>868</v>
      </c>
      <c r="I4605" t="s">
        <v>869</v>
      </c>
      <c r="J4605" t="str">
        <f>"9250051"</f>
        <v>9250051</v>
      </c>
      <c r="K4605">
        <v>2671091338</v>
      </c>
      <c r="L4605">
        <v>2671091338</v>
      </c>
      <c r="M4605" t="s">
        <v>25000</v>
      </c>
      <c r="N4605" t="s">
        <v>24967</v>
      </c>
      <c r="O4605" t="s">
        <v>25001</v>
      </c>
      <c r="P4605">
        <v>28200</v>
      </c>
      <c r="Q4605" t="str">
        <f>"38.207287"</f>
        <v>38.207287</v>
      </c>
      <c r="R4605" t="str">
        <f>"20.436493"</f>
        <v>20.436493</v>
      </c>
      <c r="S4605" t="s">
        <v>26</v>
      </c>
    </row>
    <row r="4606" spans="1:19" x14ac:dyDescent="0.3">
      <c r="A4606" t="s">
        <v>23985</v>
      </c>
      <c r="B4606" t="s">
        <v>24941</v>
      </c>
      <c r="C4606" t="s">
        <v>24288</v>
      </c>
      <c r="D4606" t="s">
        <v>1150</v>
      </c>
      <c r="E4606" t="s">
        <v>24256</v>
      </c>
      <c r="F4606" t="s">
        <v>24257</v>
      </c>
      <c r="G4606" t="s">
        <v>24256</v>
      </c>
      <c r="H4606" t="s">
        <v>868</v>
      </c>
      <c r="I4606" t="s">
        <v>869</v>
      </c>
      <c r="J4606" t="str">
        <f>"9250050"</f>
        <v>9250050</v>
      </c>
      <c r="K4606">
        <v>2671094069</v>
      </c>
      <c r="L4606">
        <v>2671094236</v>
      </c>
      <c r="M4606" t="s">
        <v>25008</v>
      </c>
      <c r="N4606" t="s">
        <v>24967</v>
      </c>
      <c r="O4606" t="s">
        <v>11145</v>
      </c>
      <c r="P4606">
        <v>28200</v>
      </c>
      <c r="Q4606" t="str">
        <f>"38.197300"</f>
        <v>38.197300</v>
      </c>
      <c r="R4606" t="str">
        <f>"20.439111"</f>
        <v>20.439111</v>
      </c>
      <c r="S4606" t="s">
        <v>26</v>
      </c>
    </row>
    <row r="4607" spans="1:19" x14ac:dyDescent="0.3">
      <c r="A4607" t="s">
        <v>23985</v>
      </c>
      <c r="B4607" t="s">
        <v>24941</v>
      </c>
      <c r="C4607" t="s">
        <v>25010</v>
      </c>
      <c r="D4607" t="s">
        <v>1150</v>
      </c>
      <c r="E4607" t="s">
        <v>23997</v>
      </c>
      <c r="F4607" t="s">
        <v>24245</v>
      </c>
      <c r="G4607" t="s">
        <v>25009</v>
      </c>
      <c r="H4607" t="s">
        <v>868</v>
      </c>
      <c r="I4607" t="s">
        <v>1157</v>
      </c>
      <c r="J4607" t="str">
        <f>"9520901"</f>
        <v>9520901</v>
      </c>
      <c r="K4607">
        <v>2671068075</v>
      </c>
      <c r="L4607">
        <v>2671068075</v>
      </c>
      <c r="M4607" t="s">
        <v>25011</v>
      </c>
      <c r="N4607" t="s">
        <v>24950</v>
      </c>
      <c r="O4607" t="s">
        <v>25012</v>
      </c>
      <c r="P4607">
        <v>28100</v>
      </c>
      <c r="Q4607" t="str">
        <f>"38.134671"</f>
        <v>38.134671</v>
      </c>
      <c r="R4607" t="str">
        <f>"20.554729"</f>
        <v>20.554729</v>
      </c>
      <c r="S4607" t="s">
        <v>26</v>
      </c>
    </row>
    <row r="4608" spans="1:19" x14ac:dyDescent="0.3">
      <c r="A4608" t="s">
        <v>23985</v>
      </c>
      <c r="B4608" t="s">
        <v>24941</v>
      </c>
      <c r="C4608" t="s">
        <v>25015</v>
      </c>
      <c r="D4608" t="s">
        <v>24239</v>
      </c>
      <c r="E4608" t="s">
        <v>24239</v>
      </c>
      <c r="F4608" t="s">
        <v>24239</v>
      </c>
      <c r="G4608" t="s">
        <v>21878</v>
      </c>
      <c r="H4608" t="s">
        <v>868</v>
      </c>
      <c r="I4608" t="s">
        <v>869</v>
      </c>
      <c r="J4608" t="str">
        <f>"9250009"</f>
        <v>9250009</v>
      </c>
      <c r="K4608">
        <v>2674031213</v>
      </c>
      <c r="L4608">
        <v>2674031213</v>
      </c>
      <c r="M4608" t="s">
        <v>25016</v>
      </c>
      <c r="N4608" t="s">
        <v>25017</v>
      </c>
      <c r="O4608" t="s">
        <v>21881</v>
      </c>
      <c r="P4608">
        <v>28301</v>
      </c>
      <c r="Q4608" t="str">
        <f>"38.446428"</f>
        <v>38.446428</v>
      </c>
      <c r="R4608" t="str">
        <f>"20.646905"</f>
        <v>20.646905</v>
      </c>
      <c r="S4608" t="s">
        <v>57</v>
      </c>
    </row>
    <row r="4609" spans="1:19" x14ac:dyDescent="0.3">
      <c r="A4609" t="s">
        <v>23985</v>
      </c>
      <c r="B4609" t="s">
        <v>24941</v>
      </c>
      <c r="C4609" t="s">
        <v>24272</v>
      </c>
      <c r="D4609" t="s">
        <v>1150</v>
      </c>
      <c r="E4609" t="s">
        <v>23997</v>
      </c>
      <c r="F4609" t="s">
        <v>23997</v>
      </c>
      <c r="G4609" t="s">
        <v>23997</v>
      </c>
      <c r="H4609" t="s">
        <v>868</v>
      </c>
      <c r="I4609" t="s">
        <v>869</v>
      </c>
      <c r="J4609" t="str">
        <f>"9250109"</f>
        <v>9250109</v>
      </c>
      <c r="K4609">
        <v>2671022902</v>
      </c>
      <c r="M4609" t="s">
        <v>25018</v>
      </c>
      <c r="N4609" t="s">
        <v>24000</v>
      </c>
      <c r="O4609" t="s">
        <v>25019</v>
      </c>
      <c r="P4609">
        <v>28100</v>
      </c>
      <c r="Q4609" t="str">
        <f>"38.168575"</f>
        <v>38.168575</v>
      </c>
      <c r="R4609" t="str">
        <f>"20.491725"</f>
        <v>20.491725</v>
      </c>
      <c r="S4609" t="s">
        <v>26</v>
      </c>
    </row>
    <row r="4610" spans="1:19" x14ac:dyDescent="0.3">
      <c r="A4610" t="s">
        <v>23985</v>
      </c>
      <c r="B4610" t="s">
        <v>24941</v>
      </c>
      <c r="C4610" t="s">
        <v>25021</v>
      </c>
      <c r="D4610" t="s">
        <v>1150</v>
      </c>
      <c r="E4610" t="s">
        <v>23997</v>
      </c>
      <c r="F4610" t="s">
        <v>25020</v>
      </c>
      <c r="G4610" t="s">
        <v>25020</v>
      </c>
      <c r="H4610" t="s">
        <v>868</v>
      </c>
      <c r="I4610" t="s">
        <v>869</v>
      </c>
      <c r="J4610" t="str">
        <f>"9250019"</f>
        <v>9250019</v>
      </c>
      <c r="K4610">
        <v>2671086216</v>
      </c>
      <c r="L4610">
        <v>2671086216</v>
      </c>
      <c r="M4610" t="s">
        <v>25022</v>
      </c>
      <c r="N4610" t="s">
        <v>25023</v>
      </c>
      <c r="O4610" t="s">
        <v>25024</v>
      </c>
      <c r="P4610">
        <v>28100</v>
      </c>
      <c r="Q4610" t="str">
        <f>"38.174611"</f>
        <v>38.174611</v>
      </c>
      <c r="R4610" t="str">
        <f>"20.582570"</f>
        <v>20.582570</v>
      </c>
      <c r="S4610" t="s">
        <v>26</v>
      </c>
    </row>
    <row r="4611" spans="1:19" x14ac:dyDescent="0.3">
      <c r="A4611" t="s">
        <v>23985</v>
      </c>
      <c r="B4611" t="s">
        <v>24941</v>
      </c>
      <c r="C4611" t="s">
        <v>25026</v>
      </c>
      <c r="D4611" t="s">
        <v>1150</v>
      </c>
      <c r="E4611" t="s">
        <v>23997</v>
      </c>
      <c r="F4611" t="s">
        <v>24245</v>
      </c>
      <c r="G4611" t="s">
        <v>25025</v>
      </c>
      <c r="H4611" t="s">
        <v>868</v>
      </c>
      <c r="I4611" t="s">
        <v>869</v>
      </c>
      <c r="J4611" t="str">
        <f>"9250020"</f>
        <v>9250020</v>
      </c>
      <c r="K4611">
        <v>2671031281</v>
      </c>
      <c r="L4611">
        <v>2671031281</v>
      </c>
      <c r="M4611" t="s">
        <v>25027</v>
      </c>
      <c r="N4611" t="s">
        <v>25028</v>
      </c>
      <c r="O4611" t="s">
        <v>25028</v>
      </c>
      <c r="P4611">
        <v>28100</v>
      </c>
      <c r="Q4611" t="str">
        <f>"38.122485"</f>
        <v>38.122485</v>
      </c>
      <c r="R4611" t="str">
        <f>"20.625761"</f>
        <v>20.625761</v>
      </c>
      <c r="S4611" t="s">
        <v>26</v>
      </c>
    </row>
    <row r="4612" spans="1:19" x14ac:dyDescent="0.3">
      <c r="A4612" t="s">
        <v>23985</v>
      </c>
      <c r="B4612" t="s">
        <v>24941</v>
      </c>
      <c r="C4612" t="s">
        <v>25070</v>
      </c>
      <c r="D4612" t="s">
        <v>1150</v>
      </c>
      <c r="E4612" t="s">
        <v>23997</v>
      </c>
      <c r="F4612" t="s">
        <v>24263</v>
      </c>
      <c r="G4612" t="s">
        <v>6576</v>
      </c>
      <c r="H4612" t="s">
        <v>868</v>
      </c>
      <c r="I4612" t="s">
        <v>869</v>
      </c>
      <c r="J4612" t="str">
        <f>"9250041"</f>
        <v>9250041</v>
      </c>
      <c r="K4612">
        <v>2674072421</v>
      </c>
      <c r="L4612">
        <v>2674072421</v>
      </c>
      <c r="M4612" t="s">
        <v>25071</v>
      </c>
      <c r="N4612" t="s">
        <v>25072</v>
      </c>
      <c r="O4612" t="s">
        <v>25073</v>
      </c>
      <c r="P4612">
        <v>28086</v>
      </c>
      <c r="Q4612" t="str">
        <f>"38.154846"</f>
        <v>38.154846</v>
      </c>
      <c r="R4612" t="str">
        <f>"20.769625"</f>
        <v>20.769625</v>
      </c>
      <c r="S4612" t="s">
        <v>26</v>
      </c>
    </row>
    <row r="4613" spans="1:19" x14ac:dyDescent="0.3">
      <c r="A4613" t="s">
        <v>23985</v>
      </c>
      <c r="B4613" t="s">
        <v>24941</v>
      </c>
      <c r="C4613" t="s">
        <v>25074</v>
      </c>
      <c r="D4613" t="s">
        <v>1150</v>
      </c>
      <c r="E4613" t="s">
        <v>23997</v>
      </c>
      <c r="F4613" t="s">
        <v>23997</v>
      </c>
      <c r="G4613" t="s">
        <v>23997</v>
      </c>
      <c r="H4613" t="s">
        <v>868</v>
      </c>
      <c r="I4613" t="s">
        <v>869</v>
      </c>
      <c r="J4613" t="str">
        <f>"9250013"</f>
        <v>9250013</v>
      </c>
      <c r="K4613">
        <v>2671028457</v>
      </c>
      <c r="L4613">
        <v>2671028457</v>
      </c>
      <c r="M4613" t="s">
        <v>25075</v>
      </c>
      <c r="N4613" t="s">
        <v>24987</v>
      </c>
      <c r="O4613" t="s">
        <v>25076</v>
      </c>
      <c r="P4613">
        <v>28100</v>
      </c>
      <c r="Q4613" t="str">
        <f>"38.171719"</f>
        <v>38.171719</v>
      </c>
      <c r="R4613" t="str">
        <f>"20.489872"</f>
        <v>20.489872</v>
      </c>
      <c r="S4613" t="s">
        <v>26</v>
      </c>
    </row>
    <row r="4614" spans="1:19" x14ac:dyDescent="0.3">
      <c r="A4614" t="s">
        <v>23985</v>
      </c>
      <c r="B4614" t="s">
        <v>24941</v>
      </c>
      <c r="C4614" t="s">
        <v>25077</v>
      </c>
      <c r="D4614" t="s">
        <v>1150</v>
      </c>
      <c r="E4614" t="s">
        <v>23997</v>
      </c>
      <c r="F4614" t="s">
        <v>23997</v>
      </c>
      <c r="G4614" t="s">
        <v>23997</v>
      </c>
      <c r="H4614" t="s">
        <v>868</v>
      </c>
      <c r="I4614" t="s">
        <v>869</v>
      </c>
      <c r="J4614" t="str">
        <f>"9521017"</f>
        <v>9521017</v>
      </c>
      <c r="K4614">
        <v>2671020112</v>
      </c>
      <c r="L4614">
        <v>2671020112</v>
      </c>
      <c r="M4614" t="s">
        <v>25078</v>
      </c>
      <c r="N4614" t="s">
        <v>24000</v>
      </c>
      <c r="O4614" t="s">
        <v>25079</v>
      </c>
      <c r="P4614">
        <v>28100</v>
      </c>
      <c r="Q4614" t="str">
        <f>"38.165864"</f>
        <v>38.165864</v>
      </c>
      <c r="R4614" t="str">
        <f>"20.493319"</f>
        <v>20.493319</v>
      </c>
      <c r="S4614" t="s">
        <v>26</v>
      </c>
    </row>
    <row r="4615" spans="1:19" x14ac:dyDescent="0.3">
      <c r="A4615" t="s">
        <v>23985</v>
      </c>
      <c r="B4615" t="s">
        <v>25086</v>
      </c>
      <c r="C4615" t="s">
        <v>24368</v>
      </c>
      <c r="D4615" t="s">
        <v>24002</v>
      </c>
      <c r="E4615" t="s">
        <v>24362</v>
      </c>
      <c r="F4615" t="s">
        <v>24362</v>
      </c>
      <c r="G4615" t="s">
        <v>25087</v>
      </c>
      <c r="H4615" t="s">
        <v>868</v>
      </c>
      <c r="I4615" t="s">
        <v>950</v>
      </c>
      <c r="J4615" t="str">
        <f>"9340032"</f>
        <v>9340032</v>
      </c>
      <c r="K4615">
        <v>2645051152</v>
      </c>
      <c r="L4615">
        <v>2645051738</v>
      </c>
      <c r="M4615" t="s">
        <v>25088</v>
      </c>
      <c r="N4615" t="s">
        <v>25089</v>
      </c>
      <c r="O4615" t="s">
        <v>25090</v>
      </c>
      <c r="P4615">
        <v>31083</v>
      </c>
      <c r="Q4615" t="str">
        <f>"38.655742"</f>
        <v>38.655742</v>
      </c>
      <c r="R4615" t="str">
        <f>"20.791023"</f>
        <v>20.791023</v>
      </c>
      <c r="S4615" t="s">
        <v>57</v>
      </c>
    </row>
    <row r="4616" spans="1:19" x14ac:dyDescent="0.3">
      <c r="A4616" t="s">
        <v>23985</v>
      </c>
      <c r="B4616" t="s">
        <v>25086</v>
      </c>
      <c r="C4616" t="s">
        <v>25091</v>
      </c>
      <c r="D4616" t="s">
        <v>24002</v>
      </c>
      <c r="E4616" t="s">
        <v>24002</v>
      </c>
      <c r="F4616" t="s">
        <v>4470</v>
      </c>
      <c r="G4616" t="s">
        <v>4470</v>
      </c>
      <c r="H4616" t="s">
        <v>868</v>
      </c>
      <c r="I4616" t="s">
        <v>950</v>
      </c>
      <c r="J4616" t="str">
        <f>"9340059"</f>
        <v>9340059</v>
      </c>
      <c r="K4616">
        <v>2646091372</v>
      </c>
      <c r="L4616">
        <v>2646091372</v>
      </c>
      <c r="M4616" t="s">
        <v>25092</v>
      </c>
      <c r="N4616" t="s">
        <v>25093</v>
      </c>
      <c r="O4616" t="s">
        <v>8431</v>
      </c>
      <c r="P4616">
        <v>31081</v>
      </c>
      <c r="Q4616" t="str">
        <f>"38.621514"</f>
        <v>38.621514</v>
      </c>
      <c r="R4616" t="str">
        <f>"20.930963"</f>
        <v>20.930963</v>
      </c>
      <c r="S4616" t="s">
        <v>57</v>
      </c>
    </row>
    <row r="4617" spans="1:19" x14ac:dyDescent="0.3">
      <c r="A4617" t="s">
        <v>23985</v>
      </c>
      <c r="B4617" t="s">
        <v>25086</v>
      </c>
      <c r="C4617" t="s">
        <v>24361</v>
      </c>
      <c r="D4617" t="s">
        <v>24002</v>
      </c>
      <c r="E4617" t="s">
        <v>24002</v>
      </c>
      <c r="F4617" t="s">
        <v>24003</v>
      </c>
      <c r="G4617" t="s">
        <v>24003</v>
      </c>
      <c r="H4617" t="s">
        <v>868</v>
      </c>
      <c r="I4617" t="s">
        <v>869</v>
      </c>
      <c r="J4617" t="str">
        <f>"9340005"</f>
        <v>9340005</v>
      </c>
      <c r="K4617">
        <v>2645022630</v>
      </c>
      <c r="L4617">
        <v>2645022630</v>
      </c>
      <c r="M4617" t="s">
        <v>25096</v>
      </c>
      <c r="N4617" t="s">
        <v>24006</v>
      </c>
      <c r="O4617" t="s">
        <v>24360</v>
      </c>
      <c r="P4617">
        <v>31100</v>
      </c>
      <c r="Q4617" t="str">
        <f>"38.835017"</f>
        <v>38.835017</v>
      </c>
      <c r="R4617" t="str">
        <f>"20.700351"</f>
        <v>20.700351</v>
      </c>
      <c r="S4617" t="s">
        <v>26</v>
      </c>
    </row>
    <row r="4618" spans="1:19" x14ac:dyDescent="0.3">
      <c r="A4618" t="s">
        <v>23985</v>
      </c>
      <c r="B4618" t="s">
        <v>25086</v>
      </c>
      <c r="C4618" t="s">
        <v>25102</v>
      </c>
      <c r="D4618" t="s">
        <v>24002</v>
      </c>
      <c r="E4618" t="s">
        <v>24002</v>
      </c>
      <c r="F4618" t="s">
        <v>24369</v>
      </c>
      <c r="G4618" t="s">
        <v>25101</v>
      </c>
      <c r="H4618" t="s">
        <v>868</v>
      </c>
      <c r="I4618" t="s">
        <v>950</v>
      </c>
      <c r="J4618" t="str">
        <f>"9340035"</f>
        <v>9340035</v>
      </c>
      <c r="K4618">
        <v>2645031148</v>
      </c>
      <c r="L4618">
        <v>2645031148</v>
      </c>
      <c r="M4618" t="s">
        <v>25103</v>
      </c>
      <c r="N4618" t="s">
        <v>25104</v>
      </c>
      <c r="O4618" t="s">
        <v>25105</v>
      </c>
      <c r="P4618">
        <v>31082</v>
      </c>
      <c r="Q4618" t="str">
        <f>"38.629777"</f>
        <v>38.629777</v>
      </c>
      <c r="R4618" t="str">
        <f>"20.649996"</f>
        <v>20.649996</v>
      </c>
      <c r="S4618" t="s">
        <v>26</v>
      </c>
    </row>
    <row r="4619" spans="1:19" x14ac:dyDescent="0.3">
      <c r="A4619" t="s">
        <v>23985</v>
      </c>
      <c r="B4619" t="s">
        <v>25086</v>
      </c>
      <c r="C4619" t="s">
        <v>24392</v>
      </c>
      <c r="D4619" t="s">
        <v>24002</v>
      </c>
      <c r="E4619" t="s">
        <v>24002</v>
      </c>
      <c r="F4619" t="s">
        <v>24003</v>
      </c>
      <c r="G4619" t="s">
        <v>24003</v>
      </c>
      <c r="H4619" t="s">
        <v>868</v>
      </c>
      <c r="I4619" t="s">
        <v>869</v>
      </c>
      <c r="J4619" t="str">
        <f>"9340004"</f>
        <v>9340004</v>
      </c>
      <c r="K4619">
        <v>2645022786</v>
      </c>
      <c r="L4619">
        <v>2645022786</v>
      </c>
      <c r="M4619" t="s">
        <v>25145</v>
      </c>
      <c r="N4619" t="s">
        <v>24006</v>
      </c>
      <c r="O4619" t="s">
        <v>25146</v>
      </c>
      <c r="P4619">
        <v>31100</v>
      </c>
      <c r="Q4619" t="str">
        <f>"38.834896"</f>
        <v>38.834896</v>
      </c>
      <c r="R4619" t="str">
        <f>"20.700493"</f>
        <v>20.700493</v>
      </c>
      <c r="S4619" t="s">
        <v>26</v>
      </c>
    </row>
    <row r="4620" spans="1:19" x14ac:dyDescent="0.3">
      <c r="A4620" t="s">
        <v>23985</v>
      </c>
      <c r="B4620" t="s">
        <v>25086</v>
      </c>
      <c r="C4620" t="s">
        <v>24357</v>
      </c>
      <c r="D4620" t="s">
        <v>24002</v>
      </c>
      <c r="E4620" t="s">
        <v>24002</v>
      </c>
      <c r="F4620" t="s">
        <v>24003</v>
      </c>
      <c r="G4620" t="s">
        <v>24003</v>
      </c>
      <c r="H4620" t="s">
        <v>868</v>
      </c>
      <c r="I4620" t="s">
        <v>869</v>
      </c>
      <c r="J4620" t="str">
        <f>"9340003"</f>
        <v>9340003</v>
      </c>
      <c r="K4620">
        <v>2645025065</v>
      </c>
      <c r="L4620">
        <v>2645025065</v>
      </c>
      <c r="M4620" t="s">
        <v>25147</v>
      </c>
      <c r="N4620" t="s">
        <v>24006</v>
      </c>
      <c r="O4620" t="s">
        <v>25148</v>
      </c>
      <c r="P4620">
        <v>31100</v>
      </c>
      <c r="Q4620" t="str">
        <f>"38.828945"</f>
        <v>38.828945</v>
      </c>
      <c r="R4620" t="str">
        <f>"20.708046"</f>
        <v>20.708046</v>
      </c>
      <c r="S4620" t="s">
        <v>26</v>
      </c>
    </row>
    <row r="4621" spans="1:19" x14ac:dyDescent="0.3">
      <c r="A4621" t="s">
        <v>23985</v>
      </c>
      <c r="B4621" t="s">
        <v>25086</v>
      </c>
      <c r="C4621" t="s">
        <v>25149</v>
      </c>
      <c r="D4621" t="s">
        <v>24002</v>
      </c>
      <c r="E4621" t="s">
        <v>24002</v>
      </c>
      <c r="F4621" t="s">
        <v>24003</v>
      </c>
      <c r="G4621" t="s">
        <v>24003</v>
      </c>
      <c r="H4621" t="s">
        <v>868</v>
      </c>
      <c r="I4621" t="s">
        <v>869</v>
      </c>
      <c r="J4621" t="str">
        <f>"9340070"</f>
        <v>9340070</v>
      </c>
      <c r="K4621">
        <v>2645024786</v>
      </c>
      <c r="L4621">
        <v>2645029487</v>
      </c>
      <c r="M4621" t="s">
        <v>25150</v>
      </c>
      <c r="N4621" t="s">
        <v>24006</v>
      </c>
      <c r="O4621" t="s">
        <v>25151</v>
      </c>
      <c r="P4621">
        <v>31100</v>
      </c>
      <c r="Q4621" t="str">
        <f>"38.829251"</f>
        <v>38.829251</v>
      </c>
      <c r="R4621" t="str">
        <f>"20.700295"</f>
        <v>20.700295</v>
      </c>
      <c r="S4621" t="s">
        <v>26</v>
      </c>
    </row>
    <row r="4622" spans="1:19" x14ac:dyDescent="0.3">
      <c r="A4622" t="s">
        <v>23985</v>
      </c>
      <c r="B4622" t="s">
        <v>25086</v>
      </c>
      <c r="C4622" t="s">
        <v>25152</v>
      </c>
      <c r="D4622" t="s">
        <v>24002</v>
      </c>
      <c r="E4622" t="s">
        <v>24002</v>
      </c>
      <c r="F4622" t="s">
        <v>24003</v>
      </c>
      <c r="G4622" t="s">
        <v>25121</v>
      </c>
      <c r="H4622" t="s">
        <v>868</v>
      </c>
      <c r="I4622" t="s">
        <v>869</v>
      </c>
      <c r="J4622" t="str">
        <f>"9340030"</f>
        <v>9340030</v>
      </c>
      <c r="K4622">
        <v>2645071243</v>
      </c>
      <c r="L4622">
        <v>2645071088</v>
      </c>
      <c r="M4622" t="s">
        <v>25153</v>
      </c>
      <c r="N4622" t="s">
        <v>15285</v>
      </c>
      <c r="O4622" t="s">
        <v>25124</v>
      </c>
      <c r="P4622">
        <v>31100</v>
      </c>
      <c r="Q4622" t="str">
        <f>"38.789350"</f>
        <v>38.789350</v>
      </c>
      <c r="R4622" t="str">
        <f>"20.716481"</f>
        <v>20.716481</v>
      </c>
      <c r="S4622" t="s">
        <v>26</v>
      </c>
    </row>
    <row r="4623" spans="1:19" x14ac:dyDescent="0.3">
      <c r="A4623" t="s">
        <v>23985</v>
      </c>
      <c r="B4623" t="s">
        <v>25086</v>
      </c>
      <c r="C4623" t="s">
        <v>24373</v>
      </c>
      <c r="D4623" t="s">
        <v>24002</v>
      </c>
      <c r="E4623" t="s">
        <v>24002</v>
      </c>
      <c r="F4623" t="s">
        <v>24369</v>
      </c>
      <c r="G4623" t="s">
        <v>23512</v>
      </c>
      <c r="H4623" t="s">
        <v>868</v>
      </c>
      <c r="I4623" t="s">
        <v>869</v>
      </c>
      <c r="J4623" t="str">
        <f>"9340016"</f>
        <v>9340016</v>
      </c>
      <c r="K4623">
        <v>2645031211</v>
      </c>
      <c r="L4623">
        <v>2645031211</v>
      </c>
      <c r="M4623" t="s">
        <v>25154</v>
      </c>
      <c r="N4623" t="s">
        <v>25155</v>
      </c>
      <c r="O4623" t="s">
        <v>23513</v>
      </c>
      <c r="P4623">
        <v>31082</v>
      </c>
      <c r="Q4623" t="str">
        <f>"38.627125"</f>
        <v>38.627125</v>
      </c>
      <c r="R4623" t="str">
        <f>"20.607791"</f>
        <v>20.607791</v>
      </c>
      <c r="S4623" t="s">
        <v>26</v>
      </c>
    </row>
    <row r="4624" spans="1:19" x14ac:dyDescent="0.3">
      <c r="A4624" t="s">
        <v>23985</v>
      </c>
      <c r="B4624" t="s">
        <v>25086</v>
      </c>
      <c r="C4624" t="s">
        <v>24349</v>
      </c>
      <c r="D4624" t="s">
        <v>24002</v>
      </c>
      <c r="E4624" t="s">
        <v>24002</v>
      </c>
      <c r="F4624" t="s">
        <v>24344</v>
      </c>
      <c r="G4624" t="s">
        <v>24345</v>
      </c>
      <c r="H4624" t="s">
        <v>868</v>
      </c>
      <c r="I4624" t="s">
        <v>869</v>
      </c>
      <c r="J4624" t="str">
        <f>"9340038"</f>
        <v>9340038</v>
      </c>
      <c r="K4624">
        <v>2645092450</v>
      </c>
      <c r="L4624">
        <v>2645093183</v>
      </c>
      <c r="M4624" t="s">
        <v>25156</v>
      </c>
      <c r="N4624" t="s">
        <v>25157</v>
      </c>
      <c r="O4624" t="s">
        <v>25157</v>
      </c>
      <c r="P4624">
        <v>31084</v>
      </c>
      <c r="Q4624" t="str">
        <f>"38.709995"</f>
        <v>38.709995</v>
      </c>
      <c r="R4624" t="str">
        <f>"20.714116"</f>
        <v>20.714116</v>
      </c>
      <c r="S4624" t="s">
        <v>26</v>
      </c>
    </row>
    <row r="4625" spans="1:19" x14ac:dyDescent="0.3">
      <c r="A4625" t="s">
        <v>23985</v>
      </c>
      <c r="B4625" t="s">
        <v>25086</v>
      </c>
      <c r="C4625" t="s">
        <v>24377</v>
      </c>
      <c r="D4625" t="s">
        <v>24002</v>
      </c>
      <c r="E4625" t="s">
        <v>24002</v>
      </c>
      <c r="F4625" t="s">
        <v>25158</v>
      </c>
      <c r="G4625" t="s">
        <v>25159</v>
      </c>
      <c r="H4625" t="s">
        <v>868</v>
      </c>
      <c r="I4625" t="s">
        <v>869</v>
      </c>
      <c r="J4625" t="str">
        <f>"9340029"</f>
        <v>9340029</v>
      </c>
      <c r="K4625">
        <v>2645061380</v>
      </c>
      <c r="L4625">
        <v>2645061380</v>
      </c>
      <c r="M4625" t="s">
        <v>25160</v>
      </c>
      <c r="N4625" t="s">
        <v>25161</v>
      </c>
      <c r="O4625" t="s">
        <v>25162</v>
      </c>
      <c r="P4625">
        <v>31080</v>
      </c>
      <c r="Q4625" t="str">
        <f>"38.779261"</f>
        <v>38.779261</v>
      </c>
      <c r="R4625" t="str">
        <f>"20.669458"</f>
        <v>20.669458</v>
      </c>
      <c r="S4625" t="s">
        <v>26</v>
      </c>
    </row>
    <row r="4626" spans="1:19" x14ac:dyDescent="0.3">
      <c r="A4626" t="s">
        <v>23985</v>
      </c>
      <c r="B4626" t="s">
        <v>25086</v>
      </c>
      <c r="C4626" t="s">
        <v>25181</v>
      </c>
      <c r="D4626" t="s">
        <v>24002</v>
      </c>
      <c r="E4626" t="s">
        <v>24002</v>
      </c>
      <c r="F4626" t="s">
        <v>24003</v>
      </c>
      <c r="G4626" t="s">
        <v>24003</v>
      </c>
      <c r="H4626" t="s">
        <v>868</v>
      </c>
      <c r="I4626" t="s">
        <v>1157</v>
      </c>
      <c r="J4626" t="str">
        <f>"9520727"</f>
        <v>9520727</v>
      </c>
      <c r="K4626">
        <v>2645023650</v>
      </c>
      <c r="L4626">
        <v>2645023650</v>
      </c>
      <c r="M4626" t="s">
        <v>25182</v>
      </c>
      <c r="N4626" t="s">
        <v>24006</v>
      </c>
      <c r="O4626" t="s">
        <v>24391</v>
      </c>
      <c r="P4626">
        <v>31100</v>
      </c>
      <c r="Q4626" t="str">
        <f>"38.838356"</f>
        <v>38.838356</v>
      </c>
      <c r="R4626" t="str">
        <f>"20.705847"</f>
        <v>20.705847</v>
      </c>
      <c r="S4626" t="s">
        <v>26</v>
      </c>
    </row>
    <row r="4627" spans="1:19" x14ac:dyDescent="0.3">
      <c r="A4627" t="s">
        <v>25190</v>
      </c>
      <c r="B4627" t="s">
        <v>27598</v>
      </c>
      <c r="C4627" t="s">
        <v>27608</v>
      </c>
      <c r="D4627" t="s">
        <v>25197</v>
      </c>
      <c r="E4627" t="s">
        <v>25264</v>
      </c>
      <c r="F4627" t="s">
        <v>25400</v>
      </c>
      <c r="G4627" t="s">
        <v>25400</v>
      </c>
      <c r="H4627" t="s">
        <v>868</v>
      </c>
      <c r="I4627" t="s">
        <v>869</v>
      </c>
      <c r="J4627" t="str">
        <f>"9521016"</f>
        <v>9521016</v>
      </c>
      <c r="M4627" t="s">
        <v>27609</v>
      </c>
      <c r="N4627" t="s">
        <v>25497</v>
      </c>
      <c r="O4627" t="s">
        <v>20</v>
      </c>
      <c r="P4627">
        <v>55236</v>
      </c>
      <c r="Q4627" t="str">
        <f>""</f>
        <v/>
      </c>
      <c r="R4627" t="str">
        <f>""</f>
        <v/>
      </c>
      <c r="S4627" t="s">
        <v>26</v>
      </c>
    </row>
    <row r="4628" spans="1:19" x14ac:dyDescent="0.3">
      <c r="A4628" t="s">
        <v>25190</v>
      </c>
      <c r="B4628" t="s">
        <v>27598</v>
      </c>
      <c r="C4628" t="s">
        <v>25342</v>
      </c>
      <c r="D4628" t="s">
        <v>25197</v>
      </c>
      <c r="E4628" t="s">
        <v>25299</v>
      </c>
      <c r="F4628" t="s">
        <v>25299</v>
      </c>
      <c r="G4628" t="s">
        <v>25299</v>
      </c>
      <c r="H4628" t="s">
        <v>868</v>
      </c>
      <c r="I4628" t="s">
        <v>869</v>
      </c>
      <c r="J4628" t="str">
        <f>"9190525"</f>
        <v>9190525</v>
      </c>
      <c r="K4628">
        <v>2310439444</v>
      </c>
      <c r="L4628">
        <v>2310456277</v>
      </c>
      <c r="M4628" t="s">
        <v>27610</v>
      </c>
      <c r="N4628" t="s">
        <v>25331</v>
      </c>
      <c r="O4628" t="s">
        <v>27611</v>
      </c>
      <c r="P4628">
        <v>55135</v>
      </c>
      <c r="Q4628" t="str">
        <f>"40.570350"</f>
        <v>40.570350</v>
      </c>
      <c r="R4628" t="str">
        <f>"22.963036"</f>
        <v>22.963036</v>
      </c>
      <c r="S4628" t="s">
        <v>26</v>
      </c>
    </row>
    <row r="4629" spans="1:19" x14ac:dyDescent="0.3">
      <c r="A4629" t="s">
        <v>25190</v>
      </c>
      <c r="B4629" t="s">
        <v>27598</v>
      </c>
      <c r="C4629" t="s">
        <v>27613</v>
      </c>
      <c r="D4629" t="s">
        <v>25197</v>
      </c>
      <c r="E4629" t="s">
        <v>25198</v>
      </c>
      <c r="F4629" t="s">
        <v>25198</v>
      </c>
      <c r="G4629" t="s">
        <v>27612</v>
      </c>
      <c r="H4629" t="s">
        <v>868</v>
      </c>
      <c r="I4629" t="s">
        <v>869</v>
      </c>
      <c r="J4629" t="str">
        <f>"9190335"</f>
        <v>9190335</v>
      </c>
      <c r="K4629">
        <v>2392071211</v>
      </c>
      <c r="L4629">
        <v>2392070032</v>
      </c>
      <c r="M4629" t="s">
        <v>27614</v>
      </c>
      <c r="N4629" t="s">
        <v>27615</v>
      </c>
      <c r="O4629" t="s">
        <v>27616</v>
      </c>
      <c r="P4629">
        <v>57001</v>
      </c>
      <c r="Q4629" t="str">
        <f>"40.486740"</f>
        <v>40.486740</v>
      </c>
      <c r="R4629" t="str">
        <f>"23.020760"</f>
        <v>23.020760</v>
      </c>
      <c r="S4629" t="s">
        <v>26</v>
      </c>
    </row>
    <row r="4630" spans="1:19" x14ac:dyDescent="0.3">
      <c r="A4630" t="s">
        <v>25190</v>
      </c>
      <c r="B4630" t="s">
        <v>27598</v>
      </c>
      <c r="C4630" t="s">
        <v>27617</v>
      </c>
      <c r="D4630" t="s">
        <v>25197</v>
      </c>
      <c r="E4630" t="s">
        <v>25299</v>
      </c>
      <c r="F4630" t="s">
        <v>25299</v>
      </c>
      <c r="G4630" t="s">
        <v>25299</v>
      </c>
      <c r="H4630" t="s">
        <v>868</v>
      </c>
      <c r="I4630" t="s">
        <v>869</v>
      </c>
      <c r="J4630" t="str">
        <f>"9190848"</f>
        <v>9190848</v>
      </c>
      <c r="K4630">
        <v>2310443750</v>
      </c>
      <c r="L4630">
        <v>2310443750</v>
      </c>
      <c r="M4630" t="s">
        <v>27618</v>
      </c>
      <c r="N4630" t="s">
        <v>25331</v>
      </c>
      <c r="O4630" t="s">
        <v>27619</v>
      </c>
      <c r="P4630">
        <v>55133</v>
      </c>
      <c r="Q4630" t="str">
        <f>"40.579932"</f>
        <v>40.579932</v>
      </c>
      <c r="R4630" t="str">
        <f>"22.956542"</f>
        <v>22.956542</v>
      </c>
      <c r="S4630" t="s">
        <v>26</v>
      </c>
    </row>
    <row r="4631" spans="1:19" x14ac:dyDescent="0.3">
      <c r="A4631" t="s">
        <v>25190</v>
      </c>
      <c r="B4631" t="s">
        <v>27598</v>
      </c>
      <c r="C4631" t="s">
        <v>27620</v>
      </c>
      <c r="D4631" t="s">
        <v>25197</v>
      </c>
      <c r="E4631" t="s">
        <v>25197</v>
      </c>
      <c r="F4631" t="s">
        <v>25197</v>
      </c>
      <c r="G4631" t="s">
        <v>25244</v>
      </c>
      <c r="H4631" t="s">
        <v>868</v>
      </c>
      <c r="I4631" t="s">
        <v>869</v>
      </c>
      <c r="J4631" t="str">
        <f>"9190086"</f>
        <v>9190086</v>
      </c>
      <c r="K4631">
        <v>2310273371</v>
      </c>
      <c r="L4631">
        <v>2310277891</v>
      </c>
      <c r="M4631" t="s">
        <v>27621</v>
      </c>
      <c r="N4631" t="s">
        <v>25247</v>
      </c>
      <c r="O4631" t="s">
        <v>27622</v>
      </c>
      <c r="P4631">
        <v>54633</v>
      </c>
      <c r="Q4631" t="str">
        <f>"40.639914"</f>
        <v>40.639914</v>
      </c>
      <c r="R4631" t="str">
        <f>"22.947161"</f>
        <v>22.947161</v>
      </c>
      <c r="S4631" t="s">
        <v>26</v>
      </c>
    </row>
    <row r="4632" spans="1:19" x14ac:dyDescent="0.3">
      <c r="A4632" t="s">
        <v>25190</v>
      </c>
      <c r="B4632" t="s">
        <v>27598</v>
      </c>
      <c r="C4632" t="s">
        <v>27623</v>
      </c>
      <c r="D4632" t="s">
        <v>25197</v>
      </c>
      <c r="E4632" t="s">
        <v>25197</v>
      </c>
      <c r="F4632" t="s">
        <v>25197</v>
      </c>
      <c r="G4632" t="s">
        <v>25283</v>
      </c>
      <c r="H4632" t="s">
        <v>868</v>
      </c>
      <c r="I4632" t="s">
        <v>869</v>
      </c>
      <c r="J4632" t="str">
        <f>"9190635"</f>
        <v>9190635</v>
      </c>
      <c r="K4632">
        <v>2310949590</v>
      </c>
      <c r="L4632">
        <v>2310949590</v>
      </c>
      <c r="M4632" t="s">
        <v>27624</v>
      </c>
      <c r="N4632" t="s">
        <v>25247</v>
      </c>
      <c r="O4632" t="s">
        <v>27625</v>
      </c>
      <c r="P4632">
        <v>54453</v>
      </c>
      <c r="Q4632" t="str">
        <f>"40.616769"</f>
        <v>40.616769</v>
      </c>
      <c r="R4632" t="str">
        <f>"22.966395"</f>
        <v>22.966395</v>
      </c>
      <c r="S4632" t="s">
        <v>26</v>
      </c>
    </row>
    <row r="4633" spans="1:19" x14ac:dyDescent="0.3">
      <c r="A4633" t="s">
        <v>25190</v>
      </c>
      <c r="B4633" t="s">
        <v>27598</v>
      </c>
      <c r="C4633" t="s">
        <v>25449</v>
      </c>
      <c r="D4633" t="s">
        <v>25197</v>
      </c>
      <c r="E4633" t="s">
        <v>25264</v>
      </c>
      <c r="F4633" t="s">
        <v>25270</v>
      </c>
      <c r="G4633" t="s">
        <v>19978</v>
      </c>
      <c r="H4633" t="s">
        <v>868</v>
      </c>
      <c r="I4633" t="s">
        <v>869</v>
      </c>
      <c r="J4633" t="str">
        <f>"9190195"</f>
        <v>9190195</v>
      </c>
      <c r="K4633">
        <v>2310358672</v>
      </c>
      <c r="L4633">
        <v>2310357142</v>
      </c>
      <c r="M4633" t="s">
        <v>27629</v>
      </c>
      <c r="N4633" t="s">
        <v>19981</v>
      </c>
      <c r="O4633" t="s">
        <v>27630</v>
      </c>
      <c r="P4633">
        <v>57010</v>
      </c>
      <c r="Q4633" t="str">
        <f>"40.641488"</f>
        <v>40.641488</v>
      </c>
      <c r="R4633" t="str">
        <f>"23.021383"</f>
        <v>23.021383</v>
      </c>
      <c r="S4633" t="s">
        <v>26</v>
      </c>
    </row>
    <row r="4634" spans="1:19" x14ac:dyDescent="0.3">
      <c r="A4634" t="s">
        <v>25190</v>
      </c>
      <c r="B4634" t="s">
        <v>27598</v>
      </c>
      <c r="C4634" t="s">
        <v>25408</v>
      </c>
      <c r="D4634" t="s">
        <v>25197</v>
      </c>
      <c r="E4634" t="s">
        <v>25197</v>
      </c>
      <c r="F4634" t="s">
        <v>25197</v>
      </c>
      <c r="G4634" t="s">
        <v>25244</v>
      </c>
      <c r="H4634" t="s">
        <v>868</v>
      </c>
      <c r="I4634" t="s">
        <v>950</v>
      </c>
      <c r="J4634" t="str">
        <f>"9190177"</f>
        <v>9190177</v>
      </c>
      <c r="K4634">
        <v>2310209733</v>
      </c>
      <c r="L4634">
        <v>2310209733</v>
      </c>
      <c r="M4634" t="s">
        <v>27631</v>
      </c>
      <c r="N4634" t="s">
        <v>25247</v>
      </c>
      <c r="O4634" t="s">
        <v>27632</v>
      </c>
      <c r="P4634">
        <v>54635</v>
      </c>
      <c r="Q4634" t="str">
        <f>"40.636866"</f>
        <v>40.636866</v>
      </c>
      <c r="R4634" t="str">
        <f>"22.951664"</f>
        <v>22.951664</v>
      </c>
      <c r="S4634" t="s">
        <v>26</v>
      </c>
    </row>
    <row r="4635" spans="1:19" x14ac:dyDescent="0.3">
      <c r="A4635" t="s">
        <v>25190</v>
      </c>
      <c r="B4635" t="s">
        <v>27598</v>
      </c>
      <c r="C4635" t="s">
        <v>25396</v>
      </c>
      <c r="D4635" t="s">
        <v>25197</v>
      </c>
      <c r="E4635" t="s">
        <v>25198</v>
      </c>
      <c r="F4635" t="s">
        <v>25198</v>
      </c>
      <c r="G4635" t="s">
        <v>25198</v>
      </c>
      <c r="H4635" t="s">
        <v>868</v>
      </c>
      <c r="I4635" t="s">
        <v>869</v>
      </c>
      <c r="J4635" t="str">
        <f>"9190354"</f>
        <v>9190354</v>
      </c>
      <c r="K4635">
        <v>2310461221</v>
      </c>
      <c r="L4635">
        <v>2310805812</v>
      </c>
      <c r="M4635" t="s">
        <v>27637</v>
      </c>
      <c r="N4635" t="s">
        <v>25201</v>
      </c>
      <c r="O4635" t="s">
        <v>27638</v>
      </c>
      <c r="P4635">
        <v>57001</v>
      </c>
      <c r="Q4635" t="str">
        <f>"40.549479"</f>
        <v>40.549479</v>
      </c>
      <c r="R4635" t="str">
        <f>"23.021770"</f>
        <v>23.021770</v>
      </c>
      <c r="S4635" t="s">
        <v>26</v>
      </c>
    </row>
    <row r="4636" spans="1:19" x14ac:dyDescent="0.3">
      <c r="A4636" t="s">
        <v>25190</v>
      </c>
      <c r="B4636" t="s">
        <v>27598</v>
      </c>
      <c r="C4636" t="s">
        <v>25755</v>
      </c>
      <c r="D4636" t="s">
        <v>25197</v>
      </c>
      <c r="E4636" t="s">
        <v>25264</v>
      </c>
      <c r="F4636" t="s">
        <v>25265</v>
      </c>
      <c r="G4636" t="s">
        <v>25265</v>
      </c>
      <c r="H4636" t="s">
        <v>868</v>
      </c>
      <c r="I4636" t="s">
        <v>869</v>
      </c>
      <c r="J4636" t="str">
        <f>"9190415"</f>
        <v>9190415</v>
      </c>
      <c r="K4636">
        <v>2310471442</v>
      </c>
      <c r="L4636">
        <v>2310471442</v>
      </c>
      <c r="M4636" t="s">
        <v>27641</v>
      </c>
      <c r="N4636" t="s">
        <v>25345</v>
      </c>
      <c r="O4636" t="s">
        <v>27642</v>
      </c>
      <c r="P4636">
        <v>57001</v>
      </c>
      <c r="Q4636" t="str">
        <f>"40.540455"</f>
        <v>40.540455</v>
      </c>
      <c r="R4636" t="str">
        <f>"22.990686"</f>
        <v>22.990686</v>
      </c>
      <c r="S4636" t="s">
        <v>26</v>
      </c>
    </row>
    <row r="4637" spans="1:19" x14ac:dyDescent="0.3">
      <c r="A4637" t="s">
        <v>25190</v>
      </c>
      <c r="B4637" t="s">
        <v>27598</v>
      </c>
      <c r="C4637" t="s">
        <v>25445</v>
      </c>
      <c r="D4637" t="s">
        <v>25197</v>
      </c>
      <c r="E4637" t="s">
        <v>25264</v>
      </c>
      <c r="F4637" t="s">
        <v>25265</v>
      </c>
      <c r="G4637" t="s">
        <v>25265</v>
      </c>
      <c r="H4637" t="s">
        <v>868</v>
      </c>
      <c r="I4637" t="s">
        <v>869</v>
      </c>
      <c r="J4637" t="str">
        <f>"9190059"</f>
        <v>9190059</v>
      </c>
      <c r="K4637">
        <v>2310300714</v>
      </c>
      <c r="L4637">
        <v>2310300720</v>
      </c>
      <c r="M4637" t="s">
        <v>27643</v>
      </c>
      <c r="N4637" t="s">
        <v>25345</v>
      </c>
      <c r="O4637" t="s">
        <v>27644</v>
      </c>
      <c r="P4637">
        <v>55535</v>
      </c>
      <c r="Q4637" t="str">
        <f>"40.593839"</f>
        <v>40.593839</v>
      </c>
      <c r="R4637" t="str">
        <f>"22.984448"</f>
        <v>22.984448</v>
      </c>
      <c r="S4637" t="s">
        <v>26</v>
      </c>
    </row>
    <row r="4638" spans="1:19" x14ac:dyDescent="0.3">
      <c r="A4638" t="s">
        <v>25190</v>
      </c>
      <c r="B4638" t="s">
        <v>27598</v>
      </c>
      <c r="C4638" t="s">
        <v>27651</v>
      </c>
      <c r="D4638" t="s">
        <v>25197</v>
      </c>
      <c r="E4638" t="s">
        <v>25198</v>
      </c>
      <c r="F4638" t="s">
        <v>25198</v>
      </c>
      <c r="G4638" t="s">
        <v>25198</v>
      </c>
      <c r="H4638" t="s">
        <v>868</v>
      </c>
      <c r="I4638" t="s">
        <v>869</v>
      </c>
      <c r="J4638" t="str">
        <f>"9190909"</f>
        <v>9190909</v>
      </c>
      <c r="K4638">
        <v>2310464521</v>
      </c>
      <c r="L4638">
        <v>2310464723</v>
      </c>
      <c r="M4638" t="s">
        <v>27652</v>
      </c>
      <c r="N4638" t="s">
        <v>27653</v>
      </c>
      <c r="O4638" t="s">
        <v>27654</v>
      </c>
      <c r="P4638">
        <v>57001</v>
      </c>
      <c r="Q4638" t="str">
        <f>"40.547258"</f>
        <v>40.547258</v>
      </c>
      <c r="R4638" t="str">
        <f>"23.049004"</f>
        <v>23.049004</v>
      </c>
      <c r="S4638" t="s">
        <v>26</v>
      </c>
    </row>
    <row r="4639" spans="1:19" x14ac:dyDescent="0.3">
      <c r="A4639" t="s">
        <v>25190</v>
      </c>
      <c r="B4639" t="s">
        <v>27598</v>
      </c>
      <c r="C4639" t="s">
        <v>27655</v>
      </c>
      <c r="D4639" t="s">
        <v>25197</v>
      </c>
      <c r="E4639" t="s">
        <v>25197</v>
      </c>
      <c r="F4639" t="s">
        <v>25197</v>
      </c>
      <c r="G4639" t="s">
        <v>25283</v>
      </c>
      <c r="H4639" t="s">
        <v>868</v>
      </c>
      <c r="I4639" t="s">
        <v>869</v>
      </c>
      <c r="J4639" t="str">
        <f>"9190732"</f>
        <v>9190732</v>
      </c>
      <c r="K4639">
        <v>2310928783</v>
      </c>
      <c r="L4639">
        <v>2310928783</v>
      </c>
      <c r="M4639" t="s">
        <v>27656</v>
      </c>
      <c r="N4639" t="s">
        <v>25247</v>
      </c>
      <c r="O4639" t="s">
        <v>27657</v>
      </c>
      <c r="P4639">
        <v>54454</v>
      </c>
      <c r="Q4639" t="str">
        <f>"40.604544"</f>
        <v>40.604544</v>
      </c>
      <c r="R4639" t="str">
        <f>"22.977068"</f>
        <v>22.977068</v>
      </c>
      <c r="S4639" t="s">
        <v>26</v>
      </c>
    </row>
    <row r="4640" spans="1:19" x14ac:dyDescent="0.3">
      <c r="A4640" t="s">
        <v>25190</v>
      </c>
      <c r="B4640" t="s">
        <v>27598</v>
      </c>
      <c r="C4640" t="s">
        <v>27658</v>
      </c>
      <c r="D4640" t="s">
        <v>25197</v>
      </c>
      <c r="E4640" t="s">
        <v>25197</v>
      </c>
      <c r="F4640" t="s">
        <v>25197</v>
      </c>
      <c r="G4640" t="s">
        <v>25250</v>
      </c>
      <c r="H4640" t="s">
        <v>868</v>
      </c>
      <c r="I4640" t="s">
        <v>869</v>
      </c>
      <c r="J4640" t="str">
        <f>"9190421"</f>
        <v>9190421</v>
      </c>
      <c r="K4640">
        <v>2310840150</v>
      </c>
      <c r="L4640">
        <v>2310840150</v>
      </c>
      <c r="M4640" t="s">
        <v>27659</v>
      </c>
      <c r="N4640" t="s">
        <v>25247</v>
      </c>
      <c r="O4640" t="s">
        <v>27660</v>
      </c>
      <c r="P4640">
        <v>54644</v>
      </c>
      <c r="Q4640" t="str">
        <f>"40.607432"</f>
        <v>40.607432</v>
      </c>
      <c r="R4640" t="str">
        <f>"22.959878"</f>
        <v>22.959878</v>
      </c>
      <c r="S4640" t="s">
        <v>26</v>
      </c>
    </row>
    <row r="4641" spans="1:19" x14ac:dyDescent="0.3">
      <c r="A4641" t="s">
        <v>25190</v>
      </c>
      <c r="B4641" t="s">
        <v>27598</v>
      </c>
      <c r="C4641" t="s">
        <v>27661</v>
      </c>
      <c r="D4641" t="s">
        <v>25197</v>
      </c>
      <c r="E4641" t="s">
        <v>25197</v>
      </c>
      <c r="F4641" t="s">
        <v>25197</v>
      </c>
      <c r="G4641" t="s">
        <v>25250</v>
      </c>
      <c r="H4641" t="s">
        <v>868</v>
      </c>
      <c r="I4641" t="s">
        <v>869</v>
      </c>
      <c r="J4641" t="str">
        <f>"9190009"</f>
        <v>9190009</v>
      </c>
      <c r="K4641">
        <v>2310831344</v>
      </c>
      <c r="M4641" t="s">
        <v>27662</v>
      </c>
      <c r="N4641" t="s">
        <v>25247</v>
      </c>
      <c r="O4641" t="s">
        <v>27663</v>
      </c>
      <c r="P4641">
        <v>54248</v>
      </c>
      <c r="Q4641" t="str">
        <f>"40.603081"</f>
        <v>40.603081</v>
      </c>
      <c r="R4641" t="str">
        <f>"22.958669"</f>
        <v>22.958669</v>
      </c>
      <c r="S4641" t="s">
        <v>26</v>
      </c>
    </row>
    <row r="4642" spans="1:19" x14ac:dyDescent="0.3">
      <c r="A4642" t="s">
        <v>25190</v>
      </c>
      <c r="B4642" t="s">
        <v>27598</v>
      </c>
      <c r="C4642" t="s">
        <v>27664</v>
      </c>
      <c r="D4642" t="s">
        <v>25197</v>
      </c>
      <c r="E4642" t="s">
        <v>25299</v>
      </c>
      <c r="F4642" t="s">
        <v>25299</v>
      </c>
      <c r="G4642" t="s">
        <v>25299</v>
      </c>
      <c r="H4642" t="s">
        <v>868</v>
      </c>
      <c r="I4642" t="s">
        <v>869</v>
      </c>
      <c r="J4642" t="str">
        <f>"9190023"</f>
        <v>9190023</v>
      </c>
      <c r="K4642">
        <v>2310411743</v>
      </c>
      <c r="L4642">
        <v>2310411748</v>
      </c>
      <c r="M4642" t="s">
        <v>27665</v>
      </c>
      <c r="N4642" t="s">
        <v>25331</v>
      </c>
      <c r="O4642" t="s">
        <v>27666</v>
      </c>
      <c r="P4642">
        <v>55131</v>
      </c>
      <c r="Q4642" t="str">
        <f>"40.582292"</f>
        <v>40.582292</v>
      </c>
      <c r="R4642" t="str">
        <f>"22.943488"</f>
        <v>22.943488</v>
      </c>
      <c r="S4642" t="s">
        <v>26</v>
      </c>
    </row>
    <row r="4643" spans="1:19" x14ac:dyDescent="0.3">
      <c r="A4643" t="s">
        <v>25190</v>
      </c>
      <c r="B4643" t="s">
        <v>27598</v>
      </c>
      <c r="C4643" t="s">
        <v>25368</v>
      </c>
      <c r="D4643" t="s">
        <v>25197</v>
      </c>
      <c r="E4643" t="s">
        <v>25299</v>
      </c>
      <c r="F4643" t="s">
        <v>25299</v>
      </c>
      <c r="G4643" t="s">
        <v>25299</v>
      </c>
      <c r="H4643" t="s">
        <v>868</v>
      </c>
      <c r="I4643" t="s">
        <v>869</v>
      </c>
      <c r="J4643" t="str">
        <f>"9190875"</f>
        <v>9190875</v>
      </c>
      <c r="K4643">
        <v>2310429840</v>
      </c>
      <c r="L4643">
        <v>2310429857</v>
      </c>
      <c r="M4643" t="s">
        <v>27667</v>
      </c>
      <c r="N4643" t="s">
        <v>25331</v>
      </c>
      <c r="O4643" t="s">
        <v>25571</v>
      </c>
      <c r="P4643">
        <v>55133</v>
      </c>
      <c r="Q4643" t="str">
        <f>"40.590205"</f>
        <v>40.590205</v>
      </c>
      <c r="R4643" t="str">
        <f>"22.955791"</f>
        <v>22.955791</v>
      </c>
      <c r="S4643" t="s">
        <v>26</v>
      </c>
    </row>
    <row r="4644" spans="1:19" x14ac:dyDescent="0.3">
      <c r="A4644" t="s">
        <v>25190</v>
      </c>
      <c r="B4644" t="s">
        <v>27598</v>
      </c>
      <c r="C4644" t="s">
        <v>27668</v>
      </c>
      <c r="D4644" t="s">
        <v>25197</v>
      </c>
      <c r="E4644" t="s">
        <v>25197</v>
      </c>
      <c r="F4644" t="s">
        <v>25197</v>
      </c>
      <c r="G4644" t="s">
        <v>25235</v>
      </c>
      <c r="H4644" t="s">
        <v>868</v>
      </c>
      <c r="I4644" t="s">
        <v>869</v>
      </c>
      <c r="J4644" t="str">
        <f>"9190186"</f>
        <v>9190186</v>
      </c>
      <c r="K4644">
        <v>2310623318</v>
      </c>
      <c r="L4644">
        <v>2310623318</v>
      </c>
      <c r="M4644" t="s">
        <v>27669</v>
      </c>
      <c r="N4644" t="s">
        <v>25247</v>
      </c>
      <c r="O4644" t="s">
        <v>27670</v>
      </c>
      <c r="P4644">
        <v>54632</v>
      </c>
      <c r="Q4644" t="str">
        <f>"40.645854"</f>
        <v>40.645854</v>
      </c>
      <c r="R4644" t="str">
        <f>"22.939178"</f>
        <v>22.939178</v>
      </c>
      <c r="S4644" t="s">
        <v>26</v>
      </c>
    </row>
    <row r="4645" spans="1:19" x14ac:dyDescent="0.3">
      <c r="A4645" t="s">
        <v>25190</v>
      </c>
      <c r="B4645" t="s">
        <v>27598</v>
      </c>
      <c r="C4645" t="s">
        <v>27676</v>
      </c>
      <c r="D4645" t="s">
        <v>25197</v>
      </c>
      <c r="E4645" t="s">
        <v>25299</v>
      </c>
      <c r="F4645" t="s">
        <v>25299</v>
      </c>
      <c r="G4645" t="s">
        <v>25299</v>
      </c>
      <c r="H4645" t="s">
        <v>868</v>
      </c>
      <c r="I4645" t="s">
        <v>869</v>
      </c>
      <c r="J4645" t="str">
        <f>"9190021"</f>
        <v>9190021</v>
      </c>
      <c r="K4645">
        <v>2310432740</v>
      </c>
      <c r="L4645">
        <v>2310443710</v>
      </c>
      <c r="M4645" t="s">
        <v>27677</v>
      </c>
      <c r="N4645" t="s">
        <v>25331</v>
      </c>
      <c r="O4645" t="s">
        <v>27678</v>
      </c>
      <c r="P4645">
        <v>55133</v>
      </c>
      <c r="Q4645" t="str">
        <f>"40.583061"</f>
        <v>40.583061</v>
      </c>
      <c r="R4645" t="str">
        <f>"22.961157"</f>
        <v>22.961157</v>
      </c>
      <c r="S4645" t="s">
        <v>26</v>
      </c>
    </row>
    <row r="4646" spans="1:19" x14ac:dyDescent="0.3">
      <c r="A4646" t="s">
        <v>25190</v>
      </c>
      <c r="B4646" t="s">
        <v>27598</v>
      </c>
      <c r="C4646" t="s">
        <v>25287</v>
      </c>
      <c r="D4646" t="s">
        <v>25197</v>
      </c>
      <c r="E4646" t="s">
        <v>25197</v>
      </c>
      <c r="F4646" t="s">
        <v>25197</v>
      </c>
      <c r="G4646" t="s">
        <v>25283</v>
      </c>
      <c r="H4646" t="s">
        <v>868</v>
      </c>
      <c r="I4646" t="s">
        <v>869</v>
      </c>
      <c r="J4646" t="str">
        <f>"9190636"</f>
        <v>9190636</v>
      </c>
      <c r="K4646">
        <v>2310929844</v>
      </c>
      <c r="L4646">
        <v>2310929844</v>
      </c>
      <c r="M4646" t="s">
        <v>27679</v>
      </c>
      <c r="N4646" t="s">
        <v>25247</v>
      </c>
      <c r="O4646" t="s">
        <v>27680</v>
      </c>
      <c r="P4646">
        <v>54453</v>
      </c>
      <c r="Q4646" t="str">
        <f>"40.610643"</f>
        <v>40.610643</v>
      </c>
      <c r="R4646" t="str">
        <f>"22.966397"</f>
        <v>22.966397</v>
      </c>
      <c r="S4646" t="s">
        <v>26</v>
      </c>
    </row>
    <row r="4647" spans="1:19" x14ac:dyDescent="0.3">
      <c r="A4647" t="s">
        <v>25190</v>
      </c>
      <c r="B4647" t="s">
        <v>27598</v>
      </c>
      <c r="C4647" t="s">
        <v>25304</v>
      </c>
      <c r="D4647" t="s">
        <v>25197</v>
      </c>
      <c r="E4647" t="s">
        <v>25197</v>
      </c>
      <c r="F4647" t="s">
        <v>25197</v>
      </c>
      <c r="G4647" t="s">
        <v>25255</v>
      </c>
      <c r="H4647" t="s">
        <v>868</v>
      </c>
      <c r="I4647" t="s">
        <v>869</v>
      </c>
      <c r="J4647" t="str">
        <f>"9190175"</f>
        <v>9190175</v>
      </c>
      <c r="K4647">
        <v>2310275695</v>
      </c>
      <c r="L4647">
        <v>2310275695</v>
      </c>
      <c r="M4647" t="s">
        <v>27681</v>
      </c>
      <c r="N4647" t="s">
        <v>25247</v>
      </c>
      <c r="O4647" t="s">
        <v>27682</v>
      </c>
      <c r="P4647">
        <v>54635</v>
      </c>
      <c r="Q4647" t="str">
        <f>"40.636304"</f>
        <v>40.636304</v>
      </c>
      <c r="R4647" t="str">
        <f>"22.948647"</f>
        <v>22.948647</v>
      </c>
      <c r="S4647" t="s">
        <v>26</v>
      </c>
    </row>
    <row r="4648" spans="1:19" x14ac:dyDescent="0.3">
      <c r="A4648" t="s">
        <v>25190</v>
      </c>
      <c r="B4648" t="s">
        <v>27598</v>
      </c>
      <c r="C4648" t="s">
        <v>25505</v>
      </c>
      <c r="D4648" t="s">
        <v>25197</v>
      </c>
      <c r="E4648" t="s">
        <v>25197</v>
      </c>
      <c r="F4648" t="s">
        <v>25197</v>
      </c>
      <c r="G4648" t="s">
        <v>25250</v>
      </c>
      <c r="H4648" t="s">
        <v>868</v>
      </c>
      <c r="I4648" t="s">
        <v>869</v>
      </c>
      <c r="J4648" t="str">
        <f>"9190056"</f>
        <v>9190056</v>
      </c>
      <c r="K4648">
        <v>2310303459</v>
      </c>
      <c r="M4648" t="s">
        <v>27683</v>
      </c>
      <c r="N4648" t="s">
        <v>25247</v>
      </c>
      <c r="O4648" t="s">
        <v>27684</v>
      </c>
      <c r="P4648">
        <v>54250</v>
      </c>
      <c r="Q4648" t="str">
        <f>"40.601344"</f>
        <v>40.601344</v>
      </c>
      <c r="R4648" t="str">
        <f>"22.971312"</f>
        <v>22.971312</v>
      </c>
      <c r="S4648" t="s">
        <v>26</v>
      </c>
    </row>
    <row r="4649" spans="1:19" x14ac:dyDescent="0.3">
      <c r="A4649" t="s">
        <v>25190</v>
      </c>
      <c r="B4649" t="s">
        <v>27598</v>
      </c>
      <c r="C4649" t="s">
        <v>27685</v>
      </c>
      <c r="D4649" t="s">
        <v>25197</v>
      </c>
      <c r="E4649" t="s">
        <v>25197</v>
      </c>
      <c r="F4649" t="s">
        <v>25197</v>
      </c>
      <c r="G4649" t="s">
        <v>25235</v>
      </c>
      <c r="H4649" t="s">
        <v>868</v>
      </c>
      <c r="I4649" t="s">
        <v>869</v>
      </c>
      <c r="J4649" t="str">
        <f>"9190148"</f>
        <v>9190148</v>
      </c>
      <c r="K4649">
        <v>2310514030</v>
      </c>
      <c r="L4649">
        <v>2310514030</v>
      </c>
      <c r="M4649" t="s">
        <v>27686</v>
      </c>
      <c r="N4649" t="s">
        <v>25247</v>
      </c>
      <c r="O4649" t="s">
        <v>27687</v>
      </c>
      <c r="P4649">
        <v>54629</v>
      </c>
      <c r="Q4649" t="str">
        <f>"40.647260"</f>
        <v>40.647260</v>
      </c>
      <c r="R4649" t="str">
        <f>"22.930178"</f>
        <v>22.930178</v>
      </c>
      <c r="S4649" t="s">
        <v>26</v>
      </c>
    </row>
    <row r="4650" spans="1:19" x14ac:dyDescent="0.3">
      <c r="A4650" t="s">
        <v>25190</v>
      </c>
      <c r="B4650" t="s">
        <v>27598</v>
      </c>
      <c r="C4650" t="s">
        <v>27688</v>
      </c>
      <c r="D4650" t="s">
        <v>25197</v>
      </c>
      <c r="E4650" t="s">
        <v>25299</v>
      </c>
      <c r="F4650" t="s">
        <v>25299</v>
      </c>
      <c r="G4650" t="s">
        <v>25299</v>
      </c>
      <c r="H4650" t="s">
        <v>868</v>
      </c>
      <c r="I4650" t="s">
        <v>869</v>
      </c>
      <c r="J4650" t="str">
        <f>"9190550"</f>
        <v>9190550</v>
      </c>
      <c r="K4650">
        <v>2310435133</v>
      </c>
      <c r="L4650">
        <v>2310435133</v>
      </c>
      <c r="M4650" t="s">
        <v>27689</v>
      </c>
      <c r="N4650" t="s">
        <v>25331</v>
      </c>
      <c r="O4650" t="s">
        <v>27690</v>
      </c>
      <c r="P4650">
        <v>55132</v>
      </c>
      <c r="Q4650" t="str">
        <f>"40.577467"</f>
        <v>40.577467</v>
      </c>
      <c r="R4650" t="str">
        <f>"22.949788"</f>
        <v>22.949788</v>
      </c>
      <c r="S4650" t="s">
        <v>26</v>
      </c>
    </row>
    <row r="4651" spans="1:19" x14ac:dyDescent="0.3">
      <c r="A4651" t="s">
        <v>25190</v>
      </c>
      <c r="B4651" t="s">
        <v>27598</v>
      </c>
      <c r="C4651" t="s">
        <v>27692</v>
      </c>
      <c r="D4651" t="s">
        <v>25197</v>
      </c>
      <c r="E4651" t="s">
        <v>25299</v>
      </c>
      <c r="F4651" t="s">
        <v>25299</v>
      </c>
      <c r="G4651" t="s">
        <v>25299</v>
      </c>
      <c r="H4651" t="s">
        <v>868</v>
      </c>
      <c r="I4651" t="s">
        <v>869</v>
      </c>
      <c r="J4651" t="str">
        <f>"9190032"</f>
        <v>9190032</v>
      </c>
      <c r="K4651">
        <v>2310433980</v>
      </c>
      <c r="L4651">
        <v>2310430000</v>
      </c>
      <c r="M4651" t="s">
        <v>27693</v>
      </c>
      <c r="N4651" t="s">
        <v>25331</v>
      </c>
      <c r="O4651" t="s">
        <v>27694</v>
      </c>
      <c r="P4651">
        <v>55134</v>
      </c>
      <c r="Q4651" t="str">
        <f>"40.582815"</f>
        <v>40.582815</v>
      </c>
      <c r="R4651" t="str">
        <f>"22.966716"</f>
        <v>22.966716</v>
      </c>
      <c r="S4651" t="s">
        <v>26</v>
      </c>
    </row>
    <row r="4652" spans="1:19" x14ac:dyDescent="0.3">
      <c r="A4652" t="s">
        <v>25190</v>
      </c>
      <c r="B4652" t="s">
        <v>27598</v>
      </c>
      <c r="C4652" t="s">
        <v>27695</v>
      </c>
      <c r="D4652" t="s">
        <v>25197</v>
      </c>
      <c r="E4652" t="s">
        <v>25299</v>
      </c>
      <c r="F4652" t="s">
        <v>25299</v>
      </c>
      <c r="G4652" t="s">
        <v>25299</v>
      </c>
      <c r="H4652" t="s">
        <v>868</v>
      </c>
      <c r="I4652" t="s">
        <v>869</v>
      </c>
      <c r="J4652" t="str">
        <f>"9190019"</f>
        <v>9190019</v>
      </c>
      <c r="K4652">
        <v>2310411810</v>
      </c>
      <c r="L4652">
        <v>2310420432</v>
      </c>
      <c r="M4652" t="s">
        <v>27696</v>
      </c>
      <c r="N4652" t="s">
        <v>25331</v>
      </c>
      <c r="O4652" t="s">
        <v>27697</v>
      </c>
      <c r="P4652">
        <v>55131</v>
      </c>
      <c r="Q4652" t="str">
        <f>"40.589901"</f>
        <v>40.589901</v>
      </c>
      <c r="R4652" t="str">
        <f>"22.947440"</f>
        <v>22.947440</v>
      </c>
      <c r="S4652" t="s">
        <v>26</v>
      </c>
    </row>
    <row r="4653" spans="1:19" x14ac:dyDescent="0.3">
      <c r="A4653" t="s">
        <v>25190</v>
      </c>
      <c r="B4653" t="s">
        <v>27598</v>
      </c>
      <c r="C4653" t="s">
        <v>25372</v>
      </c>
      <c r="D4653" t="s">
        <v>25197</v>
      </c>
      <c r="E4653" t="s">
        <v>25299</v>
      </c>
      <c r="F4653" t="s">
        <v>25299</v>
      </c>
      <c r="G4653" t="s">
        <v>25299</v>
      </c>
      <c r="H4653" t="s">
        <v>868</v>
      </c>
      <c r="I4653" t="s">
        <v>869</v>
      </c>
      <c r="J4653" t="str">
        <f>"9190787"</f>
        <v>9190787</v>
      </c>
      <c r="K4653">
        <v>2310434345</v>
      </c>
      <c r="L4653">
        <v>2310434345</v>
      </c>
      <c r="M4653" t="s">
        <v>27701</v>
      </c>
      <c r="N4653" t="s">
        <v>25331</v>
      </c>
      <c r="O4653" t="s">
        <v>27702</v>
      </c>
      <c r="P4653">
        <v>55134</v>
      </c>
      <c r="Q4653" t="str">
        <f>"40.585729"</f>
        <v>40.585729</v>
      </c>
      <c r="R4653" t="str">
        <f>"22.965472"</f>
        <v>22.965472</v>
      </c>
      <c r="S4653" t="s">
        <v>26</v>
      </c>
    </row>
    <row r="4654" spans="1:19" x14ac:dyDescent="0.3">
      <c r="A4654" t="s">
        <v>25190</v>
      </c>
      <c r="B4654" t="s">
        <v>27598</v>
      </c>
      <c r="C4654" t="s">
        <v>25690</v>
      </c>
      <c r="D4654" t="s">
        <v>25197</v>
      </c>
      <c r="E4654" t="s">
        <v>25293</v>
      </c>
      <c r="F4654" t="s">
        <v>25293</v>
      </c>
      <c r="G4654" t="s">
        <v>25664</v>
      </c>
      <c r="H4654" t="s">
        <v>868</v>
      </c>
      <c r="I4654" t="s">
        <v>869</v>
      </c>
      <c r="J4654" t="str">
        <f>"9190370"</f>
        <v>9190370</v>
      </c>
      <c r="K4654">
        <v>2392022544</v>
      </c>
      <c r="L4654">
        <v>2392306717</v>
      </c>
      <c r="M4654" t="s">
        <v>27703</v>
      </c>
      <c r="N4654" t="s">
        <v>25688</v>
      </c>
      <c r="O4654" t="s">
        <v>27704</v>
      </c>
      <c r="P4654">
        <v>57019</v>
      </c>
      <c r="Q4654" t="str">
        <f>"40.501771"</f>
        <v>40.501771</v>
      </c>
      <c r="R4654" t="str">
        <f>"22.926644"</f>
        <v>22.926644</v>
      </c>
      <c r="S4654" t="s">
        <v>26</v>
      </c>
    </row>
    <row r="4655" spans="1:19" x14ac:dyDescent="0.3">
      <c r="A4655" t="s">
        <v>25190</v>
      </c>
      <c r="B4655" t="s">
        <v>27598</v>
      </c>
      <c r="C4655" t="s">
        <v>25278</v>
      </c>
      <c r="D4655" t="s">
        <v>25197</v>
      </c>
      <c r="E4655" t="s">
        <v>25197</v>
      </c>
      <c r="F4655" t="s">
        <v>25197</v>
      </c>
      <c r="G4655" t="s">
        <v>25255</v>
      </c>
      <c r="H4655" t="s">
        <v>868</v>
      </c>
      <c r="I4655" t="s">
        <v>869</v>
      </c>
      <c r="J4655" t="str">
        <f>"9190140"</f>
        <v>9190140</v>
      </c>
      <c r="K4655">
        <v>2310524556</v>
      </c>
      <c r="L4655">
        <v>2310524555</v>
      </c>
      <c r="M4655" t="s">
        <v>27708</v>
      </c>
      <c r="N4655" t="s">
        <v>25247</v>
      </c>
      <c r="O4655" t="s">
        <v>27700</v>
      </c>
      <c r="P4655">
        <v>54630</v>
      </c>
      <c r="Q4655" t="str">
        <f>"40.639607"</f>
        <v>40.639607</v>
      </c>
      <c r="R4655" t="str">
        <f>"22.940955"</f>
        <v>22.940955</v>
      </c>
      <c r="S4655" t="s">
        <v>26</v>
      </c>
    </row>
    <row r="4656" spans="1:19" x14ac:dyDescent="0.3">
      <c r="A4656" t="s">
        <v>25190</v>
      </c>
      <c r="B4656" t="s">
        <v>27598</v>
      </c>
      <c r="C4656" t="s">
        <v>25333</v>
      </c>
      <c r="D4656" t="s">
        <v>25197</v>
      </c>
      <c r="E4656" t="s">
        <v>25299</v>
      </c>
      <c r="F4656" t="s">
        <v>25299</v>
      </c>
      <c r="G4656" t="s">
        <v>25299</v>
      </c>
      <c r="H4656" t="s">
        <v>868</v>
      </c>
      <c r="I4656" t="s">
        <v>869</v>
      </c>
      <c r="J4656" t="str">
        <f>"9190623"</f>
        <v>9190623</v>
      </c>
      <c r="K4656">
        <v>2310418716</v>
      </c>
      <c r="L4656">
        <v>2310418716</v>
      </c>
      <c r="M4656" t="s">
        <v>27709</v>
      </c>
      <c r="N4656" t="s">
        <v>25331</v>
      </c>
      <c r="O4656" t="s">
        <v>27710</v>
      </c>
      <c r="P4656">
        <v>55131</v>
      </c>
      <c r="Q4656" t="str">
        <f>"40.582895"</f>
        <v>40.582895</v>
      </c>
      <c r="R4656" t="str">
        <f>"22.944324"</f>
        <v>22.944324</v>
      </c>
      <c r="S4656" t="s">
        <v>26</v>
      </c>
    </row>
    <row r="4657" spans="1:19" x14ac:dyDescent="0.3">
      <c r="A4657" t="s">
        <v>25190</v>
      </c>
      <c r="B4657" t="s">
        <v>27598</v>
      </c>
      <c r="C4657" t="s">
        <v>27712</v>
      </c>
      <c r="D4657" t="s">
        <v>25197</v>
      </c>
      <c r="E4657" t="s">
        <v>25197</v>
      </c>
      <c r="F4657" t="s">
        <v>25197</v>
      </c>
      <c r="G4657" t="s">
        <v>25235</v>
      </c>
      <c r="H4657" t="s">
        <v>868</v>
      </c>
      <c r="I4657" t="s">
        <v>869</v>
      </c>
      <c r="J4657" t="str">
        <f>"9190144"</f>
        <v>9190144</v>
      </c>
      <c r="K4657">
        <v>2310517009</v>
      </c>
      <c r="L4657">
        <v>2310517009</v>
      </c>
      <c r="M4657" t="s">
        <v>27713</v>
      </c>
      <c r="N4657" t="s">
        <v>25247</v>
      </c>
      <c r="O4657" t="s">
        <v>27714</v>
      </c>
      <c r="P4657">
        <v>54627</v>
      </c>
      <c r="Q4657" t="str">
        <f>"40.645013"</f>
        <v>40.645013</v>
      </c>
      <c r="R4657" t="str">
        <f>"22.927512"</f>
        <v>22.927512</v>
      </c>
      <c r="S4657" t="s">
        <v>26</v>
      </c>
    </row>
    <row r="4658" spans="1:19" x14ac:dyDescent="0.3">
      <c r="A4658" t="s">
        <v>25190</v>
      </c>
      <c r="B4658" t="s">
        <v>27598</v>
      </c>
      <c r="C4658" t="s">
        <v>25282</v>
      </c>
      <c r="D4658" t="s">
        <v>25197</v>
      </c>
      <c r="E4658" t="s">
        <v>25299</v>
      </c>
      <c r="F4658" t="s">
        <v>25299</v>
      </c>
      <c r="G4658" t="s">
        <v>25299</v>
      </c>
      <c r="H4658" t="s">
        <v>868</v>
      </c>
      <c r="I4658" t="s">
        <v>869</v>
      </c>
      <c r="J4658" t="str">
        <f>"9190033"</f>
        <v>9190033</v>
      </c>
      <c r="K4658">
        <v>2310472236</v>
      </c>
      <c r="L4658">
        <v>2310472236</v>
      </c>
      <c r="M4658" t="s">
        <v>27727</v>
      </c>
      <c r="N4658" t="s">
        <v>25331</v>
      </c>
      <c r="O4658" t="s">
        <v>22312</v>
      </c>
      <c r="P4658">
        <v>55134</v>
      </c>
      <c r="Q4658" t="str">
        <f>"40.569969"</f>
        <v>40.569969</v>
      </c>
      <c r="R4658" t="str">
        <f>"22.970951"</f>
        <v>22.970951</v>
      </c>
      <c r="S4658" t="s">
        <v>26</v>
      </c>
    </row>
    <row r="4659" spans="1:19" x14ac:dyDescent="0.3">
      <c r="A4659" t="s">
        <v>25190</v>
      </c>
      <c r="B4659" t="s">
        <v>27598</v>
      </c>
      <c r="C4659" t="s">
        <v>25351</v>
      </c>
      <c r="D4659" t="s">
        <v>25197</v>
      </c>
      <c r="E4659" t="s">
        <v>25197</v>
      </c>
      <c r="F4659" t="s">
        <v>25197</v>
      </c>
      <c r="G4659" t="s">
        <v>25235</v>
      </c>
      <c r="H4659" t="s">
        <v>868</v>
      </c>
      <c r="I4659" t="s">
        <v>869</v>
      </c>
      <c r="J4659" t="str">
        <f>"9190147"</f>
        <v>9190147</v>
      </c>
      <c r="K4659">
        <v>2310514648</v>
      </c>
      <c r="L4659">
        <v>2310514648</v>
      </c>
      <c r="M4659" t="s">
        <v>27731</v>
      </c>
      <c r="N4659" t="s">
        <v>25247</v>
      </c>
      <c r="O4659" t="s">
        <v>27732</v>
      </c>
      <c r="P4659">
        <v>54629</v>
      </c>
      <c r="Q4659" t="str">
        <f>"40.647694"</f>
        <v>40.647694</v>
      </c>
      <c r="R4659" t="str">
        <f>"22.933994"</f>
        <v>22.933994</v>
      </c>
      <c r="S4659" t="s">
        <v>26</v>
      </c>
    </row>
    <row r="4660" spans="1:19" x14ac:dyDescent="0.3">
      <c r="A4660" t="s">
        <v>25190</v>
      </c>
      <c r="B4660" t="s">
        <v>27598</v>
      </c>
      <c r="C4660" t="s">
        <v>25516</v>
      </c>
      <c r="D4660" t="s">
        <v>25197</v>
      </c>
      <c r="E4660" t="s">
        <v>25299</v>
      </c>
      <c r="F4660" t="s">
        <v>25299</v>
      </c>
      <c r="G4660" t="s">
        <v>25299</v>
      </c>
      <c r="H4660" t="s">
        <v>868</v>
      </c>
      <c r="I4660" t="s">
        <v>869</v>
      </c>
      <c r="J4660" t="str">
        <f>"9190020"</f>
        <v>9190020</v>
      </c>
      <c r="K4660">
        <v>2310432386</v>
      </c>
      <c r="L4660">
        <v>2310432386</v>
      </c>
      <c r="M4660" t="s">
        <v>27733</v>
      </c>
      <c r="N4660" t="s">
        <v>25331</v>
      </c>
      <c r="O4660" t="s">
        <v>27734</v>
      </c>
      <c r="P4660">
        <v>55132</v>
      </c>
      <c r="Q4660" t="str">
        <f>"40.576501"</f>
        <v>40.576501</v>
      </c>
      <c r="R4660" t="str">
        <f>"22.962728"</f>
        <v>22.962728</v>
      </c>
      <c r="S4660" t="s">
        <v>26</v>
      </c>
    </row>
    <row r="4661" spans="1:19" x14ac:dyDescent="0.3">
      <c r="A4661" t="s">
        <v>25190</v>
      </c>
      <c r="B4661" t="s">
        <v>27598</v>
      </c>
      <c r="C4661" t="s">
        <v>27740</v>
      </c>
      <c r="D4661" t="s">
        <v>25197</v>
      </c>
      <c r="E4661" t="s">
        <v>25197</v>
      </c>
      <c r="F4661" t="s">
        <v>25197</v>
      </c>
      <c r="G4661" t="s">
        <v>25235</v>
      </c>
      <c r="H4661" t="s">
        <v>868</v>
      </c>
      <c r="I4661" t="s">
        <v>2930</v>
      </c>
      <c r="J4661" t="str">
        <f>"9190831"</f>
        <v>9190831</v>
      </c>
      <c r="K4661">
        <v>2310529932</v>
      </c>
      <c r="L4661">
        <v>2310529932</v>
      </c>
      <c r="M4661" t="s">
        <v>27741</v>
      </c>
      <c r="N4661" t="s">
        <v>27742</v>
      </c>
      <c r="O4661" t="s">
        <v>27743</v>
      </c>
      <c r="P4661">
        <v>54629</v>
      </c>
      <c r="Q4661" t="str">
        <f>"40.647027"</f>
        <v>40.647027</v>
      </c>
      <c r="R4661" t="str">
        <f>"22.933162"</f>
        <v>22.933162</v>
      </c>
      <c r="S4661" t="s">
        <v>26</v>
      </c>
    </row>
    <row r="4662" spans="1:19" x14ac:dyDescent="0.3">
      <c r="A4662" t="s">
        <v>25190</v>
      </c>
      <c r="B4662" t="s">
        <v>27598</v>
      </c>
      <c r="C4662" t="s">
        <v>27746</v>
      </c>
      <c r="D4662" t="s">
        <v>25197</v>
      </c>
      <c r="E4662" t="s">
        <v>25197</v>
      </c>
      <c r="F4662" t="s">
        <v>25197</v>
      </c>
      <c r="G4662" t="s">
        <v>25283</v>
      </c>
      <c r="H4662" t="s">
        <v>868</v>
      </c>
      <c r="I4662" t="s">
        <v>869</v>
      </c>
      <c r="J4662" t="str">
        <f>"9190851"</f>
        <v>9190851</v>
      </c>
      <c r="K4662">
        <v>2310925168</v>
      </c>
      <c r="L4662">
        <v>2310925168</v>
      </c>
      <c r="M4662" t="s">
        <v>27747</v>
      </c>
      <c r="N4662" t="s">
        <v>25247</v>
      </c>
      <c r="O4662" t="s">
        <v>27748</v>
      </c>
      <c r="P4662">
        <v>54454</v>
      </c>
      <c r="Q4662" t="str">
        <f>"40.608245"</f>
        <v>40.608245</v>
      </c>
      <c r="R4662" t="str">
        <f>"22.976134"</f>
        <v>22.976134</v>
      </c>
      <c r="S4662" t="s">
        <v>26</v>
      </c>
    </row>
    <row r="4663" spans="1:19" x14ac:dyDescent="0.3">
      <c r="A4663" t="s">
        <v>25190</v>
      </c>
      <c r="B4663" t="s">
        <v>27598</v>
      </c>
      <c r="C4663" t="s">
        <v>25712</v>
      </c>
      <c r="D4663" t="s">
        <v>25197</v>
      </c>
      <c r="E4663" t="s">
        <v>25198</v>
      </c>
      <c r="F4663" t="s">
        <v>25198</v>
      </c>
      <c r="G4663" t="s">
        <v>25198</v>
      </c>
      <c r="H4663" t="s">
        <v>868</v>
      </c>
      <c r="I4663" t="s">
        <v>869</v>
      </c>
      <c r="J4663" t="str">
        <f>"9190921"</f>
        <v>9190921</v>
      </c>
      <c r="K4663">
        <v>2310471161</v>
      </c>
      <c r="L4663">
        <v>2310471161</v>
      </c>
      <c r="M4663" t="s">
        <v>27757</v>
      </c>
      <c r="N4663" t="s">
        <v>25201</v>
      </c>
      <c r="O4663" t="s">
        <v>27758</v>
      </c>
      <c r="P4663">
        <v>57001</v>
      </c>
      <c r="Q4663" t="str">
        <f>"40.543909"</f>
        <v>40.543909</v>
      </c>
      <c r="R4663" t="str">
        <f>"22.996544"</f>
        <v>22.996544</v>
      </c>
      <c r="S4663" t="s">
        <v>26</v>
      </c>
    </row>
    <row r="4664" spans="1:19" x14ac:dyDescent="0.3">
      <c r="A4664" t="s">
        <v>25190</v>
      </c>
      <c r="B4664" t="s">
        <v>27598</v>
      </c>
      <c r="C4664" t="s">
        <v>25576</v>
      </c>
      <c r="D4664" t="s">
        <v>25197</v>
      </c>
      <c r="E4664" t="s">
        <v>25197</v>
      </c>
      <c r="F4664" t="s">
        <v>25197</v>
      </c>
      <c r="G4664" t="s">
        <v>25250</v>
      </c>
      <c r="H4664" t="s">
        <v>868</v>
      </c>
      <c r="I4664" t="s">
        <v>869</v>
      </c>
      <c r="J4664" t="str">
        <f>"9190004"</f>
        <v>9190004</v>
      </c>
      <c r="K4664">
        <v>2310831625</v>
      </c>
      <c r="L4664">
        <v>2310845910</v>
      </c>
      <c r="M4664" t="s">
        <v>27762</v>
      </c>
      <c r="N4664" t="s">
        <v>25247</v>
      </c>
      <c r="O4664" t="s">
        <v>27763</v>
      </c>
      <c r="P4664">
        <v>54640</v>
      </c>
      <c r="Q4664" t="str">
        <f>"40.616349"</f>
        <v>40.616349</v>
      </c>
      <c r="R4664" t="str">
        <f>"22.957715"</f>
        <v>22.957715</v>
      </c>
      <c r="S4664" t="s">
        <v>26</v>
      </c>
    </row>
    <row r="4665" spans="1:19" x14ac:dyDescent="0.3">
      <c r="A4665" t="s">
        <v>25190</v>
      </c>
      <c r="B4665" t="s">
        <v>27598</v>
      </c>
      <c r="C4665" t="s">
        <v>27764</v>
      </c>
      <c r="D4665" t="s">
        <v>25197</v>
      </c>
      <c r="E4665" t="s">
        <v>25197</v>
      </c>
      <c r="F4665" t="s">
        <v>25197</v>
      </c>
      <c r="G4665" t="s">
        <v>25250</v>
      </c>
      <c r="H4665" t="s">
        <v>868</v>
      </c>
      <c r="I4665" t="s">
        <v>869</v>
      </c>
      <c r="J4665" t="str">
        <f>"9190017"</f>
        <v>9190017</v>
      </c>
      <c r="K4665">
        <v>2310843229</v>
      </c>
      <c r="L4665">
        <v>2310832070</v>
      </c>
      <c r="M4665" t="s">
        <v>27765</v>
      </c>
      <c r="N4665" t="s">
        <v>25247</v>
      </c>
      <c r="O4665" t="s">
        <v>27766</v>
      </c>
      <c r="P4665">
        <v>54641</v>
      </c>
      <c r="Q4665" t="str">
        <f>"40.613986"</f>
        <v>40.613986</v>
      </c>
      <c r="R4665" t="str">
        <f>"22.957779"</f>
        <v>22.957779</v>
      </c>
      <c r="S4665" t="s">
        <v>26</v>
      </c>
    </row>
    <row r="4666" spans="1:19" x14ac:dyDescent="0.3">
      <c r="A4666" t="s">
        <v>25190</v>
      </c>
      <c r="B4666" t="s">
        <v>27598</v>
      </c>
      <c r="C4666" t="s">
        <v>27770</v>
      </c>
      <c r="D4666" t="s">
        <v>25197</v>
      </c>
      <c r="E4666" t="s">
        <v>25197</v>
      </c>
      <c r="F4666" t="s">
        <v>25197</v>
      </c>
      <c r="G4666" t="s">
        <v>25250</v>
      </c>
      <c r="H4666" t="s">
        <v>868</v>
      </c>
      <c r="I4666" t="s">
        <v>869</v>
      </c>
      <c r="J4666" t="str">
        <f>"9190173"</f>
        <v>9190173</v>
      </c>
      <c r="K4666">
        <v>2310472702</v>
      </c>
      <c r="L4666">
        <v>2310472702</v>
      </c>
      <c r="M4666" t="s">
        <v>27771</v>
      </c>
      <c r="N4666" t="s">
        <v>25247</v>
      </c>
      <c r="O4666" t="s">
        <v>27772</v>
      </c>
      <c r="P4666">
        <v>55536</v>
      </c>
      <c r="Q4666" t="str">
        <f>"40.576709"</f>
        <v>40.576709</v>
      </c>
      <c r="R4666" t="str">
        <f>"22.986931"</f>
        <v>22.986931</v>
      </c>
      <c r="S4666" t="s">
        <v>26</v>
      </c>
    </row>
    <row r="4667" spans="1:19" x14ac:dyDescent="0.3">
      <c r="A4667" t="s">
        <v>25190</v>
      </c>
      <c r="B4667" t="s">
        <v>27598</v>
      </c>
      <c r="C4667" t="s">
        <v>27783</v>
      </c>
      <c r="D4667" t="s">
        <v>25197</v>
      </c>
      <c r="E4667" t="s">
        <v>25197</v>
      </c>
      <c r="F4667" t="s">
        <v>25197</v>
      </c>
      <c r="G4667" t="s">
        <v>25255</v>
      </c>
      <c r="H4667" t="s">
        <v>868</v>
      </c>
      <c r="I4667" t="s">
        <v>1157</v>
      </c>
      <c r="J4667" t="str">
        <f>"9190878"</f>
        <v>9190878</v>
      </c>
      <c r="K4667">
        <v>2310211372</v>
      </c>
      <c r="L4667">
        <v>2310211372</v>
      </c>
      <c r="M4667" t="s">
        <v>27784</v>
      </c>
      <c r="N4667" t="s">
        <v>25247</v>
      </c>
      <c r="O4667" t="s">
        <v>27785</v>
      </c>
      <c r="P4667">
        <v>54635</v>
      </c>
      <c r="Q4667" t="str">
        <f>"40.633603"</f>
        <v>40.633603</v>
      </c>
      <c r="R4667" t="str">
        <f>"22.955270"</f>
        <v>22.955270</v>
      </c>
      <c r="S4667" t="s">
        <v>26</v>
      </c>
    </row>
    <row r="4668" spans="1:19" x14ac:dyDescent="0.3">
      <c r="A4668" t="s">
        <v>25190</v>
      </c>
      <c r="B4668" t="s">
        <v>27598</v>
      </c>
      <c r="C4668" t="s">
        <v>25428</v>
      </c>
      <c r="D4668" t="s">
        <v>25197</v>
      </c>
      <c r="E4668" t="s">
        <v>25197</v>
      </c>
      <c r="F4668" t="s">
        <v>25197</v>
      </c>
      <c r="G4668" t="s">
        <v>25283</v>
      </c>
      <c r="H4668" t="s">
        <v>868</v>
      </c>
      <c r="I4668" t="s">
        <v>869</v>
      </c>
      <c r="J4668" t="str">
        <f>"9190669"</f>
        <v>9190669</v>
      </c>
      <c r="K4668">
        <v>2310926304</v>
      </c>
      <c r="L4668">
        <v>2310926304</v>
      </c>
      <c r="M4668" t="s">
        <v>27786</v>
      </c>
      <c r="N4668" t="s">
        <v>25247</v>
      </c>
      <c r="O4668" t="s">
        <v>27787</v>
      </c>
      <c r="P4668">
        <v>54352</v>
      </c>
      <c r="Q4668" t="str">
        <f>"40.611961"</f>
        <v>40.611961</v>
      </c>
      <c r="R4668" t="str">
        <f>"22.988427"</f>
        <v>22.988427</v>
      </c>
      <c r="S4668" t="s">
        <v>26</v>
      </c>
    </row>
    <row r="4669" spans="1:19" x14ac:dyDescent="0.3">
      <c r="A4669" t="s">
        <v>25190</v>
      </c>
      <c r="B4669" t="s">
        <v>27598</v>
      </c>
      <c r="C4669" t="s">
        <v>27791</v>
      </c>
      <c r="D4669" t="s">
        <v>25197</v>
      </c>
      <c r="E4669" t="s">
        <v>25197</v>
      </c>
      <c r="F4669" t="s">
        <v>25197</v>
      </c>
      <c r="G4669" t="s">
        <v>25255</v>
      </c>
      <c r="H4669" t="s">
        <v>868</v>
      </c>
      <c r="I4669" t="s">
        <v>869</v>
      </c>
      <c r="J4669" t="str">
        <f>"9190176"</f>
        <v>9190176</v>
      </c>
      <c r="K4669">
        <v>2310272730</v>
      </c>
      <c r="L4669">
        <v>2310272730</v>
      </c>
      <c r="M4669" t="s">
        <v>27792</v>
      </c>
      <c r="N4669" t="s">
        <v>25247</v>
      </c>
      <c r="O4669" t="s">
        <v>27793</v>
      </c>
      <c r="P4669">
        <v>54635</v>
      </c>
      <c r="Q4669" t="str">
        <f>"40.636660"</f>
        <v>40.636660</v>
      </c>
      <c r="R4669" t="str">
        <f>"22.949445"</f>
        <v>22.949445</v>
      </c>
      <c r="S4669" t="s">
        <v>26</v>
      </c>
    </row>
    <row r="4670" spans="1:19" x14ac:dyDescent="0.3">
      <c r="A4670" t="s">
        <v>25190</v>
      </c>
      <c r="B4670" t="s">
        <v>27598</v>
      </c>
      <c r="C4670" t="s">
        <v>27794</v>
      </c>
      <c r="D4670" t="s">
        <v>25197</v>
      </c>
      <c r="E4670" t="s">
        <v>25197</v>
      </c>
      <c r="F4670" t="s">
        <v>25197</v>
      </c>
      <c r="G4670" t="s">
        <v>25235</v>
      </c>
      <c r="H4670" t="s">
        <v>868</v>
      </c>
      <c r="I4670" t="s">
        <v>869</v>
      </c>
      <c r="J4670" t="str">
        <f>"9190184"</f>
        <v>9190184</v>
      </c>
      <c r="K4670">
        <v>2310622407</v>
      </c>
      <c r="L4670">
        <v>2310622407</v>
      </c>
      <c r="M4670" t="s">
        <v>27795</v>
      </c>
      <c r="N4670" t="s">
        <v>25247</v>
      </c>
      <c r="O4670" t="s">
        <v>27670</v>
      </c>
      <c r="P4670">
        <v>54632</v>
      </c>
      <c r="Q4670" t="str">
        <f>"40.645858"</f>
        <v>40.645858</v>
      </c>
      <c r="R4670" t="str">
        <f>"22.939849"</f>
        <v>22.939849</v>
      </c>
      <c r="S4670" t="s">
        <v>26</v>
      </c>
    </row>
    <row r="4671" spans="1:19" x14ac:dyDescent="0.3">
      <c r="A4671" t="s">
        <v>25190</v>
      </c>
      <c r="B4671" t="s">
        <v>27598</v>
      </c>
      <c r="C4671" t="s">
        <v>27796</v>
      </c>
      <c r="D4671" t="s">
        <v>25197</v>
      </c>
      <c r="E4671" t="s">
        <v>25198</v>
      </c>
      <c r="F4671" t="s">
        <v>25323</v>
      </c>
      <c r="G4671" t="s">
        <v>25740</v>
      </c>
      <c r="H4671" t="s">
        <v>868</v>
      </c>
      <c r="I4671" t="s">
        <v>869</v>
      </c>
      <c r="J4671" t="str">
        <f>"9190356"</f>
        <v>9190356</v>
      </c>
      <c r="K4671">
        <v>2392061414</v>
      </c>
      <c r="L4671">
        <v>2392061414</v>
      </c>
      <c r="M4671" t="s">
        <v>27797</v>
      </c>
      <c r="N4671" t="s">
        <v>27775</v>
      </c>
      <c r="O4671" t="s">
        <v>27798</v>
      </c>
      <c r="P4671">
        <v>57500</v>
      </c>
      <c r="Q4671" t="str">
        <f>"40.468953"</f>
        <v>40.468953</v>
      </c>
      <c r="R4671" t="str">
        <f>"22.994371"</f>
        <v>22.994371</v>
      </c>
      <c r="S4671" t="s">
        <v>26</v>
      </c>
    </row>
    <row r="4672" spans="1:19" x14ac:dyDescent="0.3">
      <c r="A4672" t="s">
        <v>25190</v>
      </c>
      <c r="B4672" t="s">
        <v>27598</v>
      </c>
      <c r="C4672" t="s">
        <v>25649</v>
      </c>
      <c r="D4672" t="s">
        <v>25197</v>
      </c>
      <c r="E4672" t="s">
        <v>25197</v>
      </c>
      <c r="F4672" t="s">
        <v>25197</v>
      </c>
      <c r="G4672" t="s">
        <v>25250</v>
      </c>
      <c r="H4672" t="s">
        <v>868</v>
      </c>
      <c r="I4672" t="s">
        <v>869</v>
      </c>
      <c r="J4672" t="str">
        <f>"9190040"</f>
        <v>9190040</v>
      </c>
      <c r="K4672">
        <v>2310300178</v>
      </c>
      <c r="M4672" t="s">
        <v>27799</v>
      </c>
      <c r="N4672" t="s">
        <v>25247</v>
      </c>
      <c r="O4672" t="s">
        <v>27800</v>
      </c>
      <c r="P4672">
        <v>54249</v>
      </c>
      <c r="Q4672" t="str">
        <f>"40.600980"</f>
        <v>40.600980</v>
      </c>
      <c r="R4672" t="str">
        <f>"22.968956"</f>
        <v>22.968956</v>
      </c>
      <c r="S4672" t="s">
        <v>26</v>
      </c>
    </row>
    <row r="4673" spans="1:19" x14ac:dyDescent="0.3">
      <c r="A4673" t="s">
        <v>25190</v>
      </c>
      <c r="B4673" t="s">
        <v>27598</v>
      </c>
      <c r="C4673" t="s">
        <v>25633</v>
      </c>
      <c r="D4673" t="s">
        <v>25197</v>
      </c>
      <c r="E4673" t="s">
        <v>25299</v>
      </c>
      <c r="F4673" t="s">
        <v>25299</v>
      </c>
      <c r="G4673" t="s">
        <v>25299</v>
      </c>
      <c r="H4673" t="s">
        <v>868</v>
      </c>
      <c r="I4673" t="s">
        <v>869</v>
      </c>
      <c r="J4673" t="str">
        <f>"9190026"</f>
        <v>9190026</v>
      </c>
      <c r="K4673">
        <v>2310411500</v>
      </c>
      <c r="L4673">
        <v>2310411500</v>
      </c>
      <c r="M4673" t="s">
        <v>27804</v>
      </c>
      <c r="N4673" t="s">
        <v>25331</v>
      </c>
      <c r="O4673" t="s">
        <v>27711</v>
      </c>
      <c r="P4673">
        <v>55131</v>
      </c>
      <c r="Q4673" t="str">
        <f>"40.582952"</f>
        <v>40.582952</v>
      </c>
      <c r="R4673" t="str">
        <f>"22.944421"</f>
        <v>22.944421</v>
      </c>
      <c r="S4673" t="s">
        <v>26</v>
      </c>
    </row>
    <row r="4674" spans="1:19" x14ac:dyDescent="0.3">
      <c r="A4674" t="s">
        <v>25190</v>
      </c>
      <c r="B4674" t="s">
        <v>27598</v>
      </c>
      <c r="C4674" t="s">
        <v>25420</v>
      </c>
      <c r="D4674" t="s">
        <v>25197</v>
      </c>
      <c r="E4674" t="s">
        <v>25197</v>
      </c>
      <c r="F4674" t="s">
        <v>25197</v>
      </c>
      <c r="G4674" t="s">
        <v>25244</v>
      </c>
      <c r="H4674" t="s">
        <v>868</v>
      </c>
      <c r="I4674" t="s">
        <v>869</v>
      </c>
      <c r="J4674" t="str">
        <f>"9190089"</f>
        <v>9190089</v>
      </c>
      <c r="K4674">
        <v>2310272500</v>
      </c>
      <c r="L4674">
        <v>2310272500</v>
      </c>
      <c r="M4674" t="s">
        <v>27816</v>
      </c>
      <c r="N4674" t="s">
        <v>25247</v>
      </c>
      <c r="O4674" t="s">
        <v>27817</v>
      </c>
      <c r="P4674">
        <v>54632</v>
      </c>
      <c r="Q4674" t="str">
        <f>"40.642739"</f>
        <v>40.642739</v>
      </c>
      <c r="R4674" t="str">
        <f>"22.944891"</f>
        <v>22.944891</v>
      </c>
      <c r="S4674" t="s">
        <v>26</v>
      </c>
    </row>
    <row r="4675" spans="1:19" x14ac:dyDescent="0.3">
      <c r="A4675" t="s">
        <v>25190</v>
      </c>
      <c r="B4675" t="s">
        <v>27598</v>
      </c>
      <c r="C4675" t="s">
        <v>27818</v>
      </c>
      <c r="D4675" t="s">
        <v>25197</v>
      </c>
      <c r="E4675" t="s">
        <v>25197</v>
      </c>
      <c r="F4675" t="s">
        <v>25197</v>
      </c>
      <c r="G4675" t="s">
        <v>25283</v>
      </c>
      <c r="H4675" t="s">
        <v>868</v>
      </c>
      <c r="I4675" t="s">
        <v>869</v>
      </c>
      <c r="J4675" t="str">
        <f>"9190833"</f>
        <v>9190833</v>
      </c>
      <c r="K4675">
        <v>2310918377</v>
      </c>
      <c r="L4675">
        <v>2310918377</v>
      </c>
      <c r="M4675" t="s">
        <v>27819</v>
      </c>
      <c r="N4675" t="s">
        <v>25247</v>
      </c>
      <c r="O4675" t="s">
        <v>27820</v>
      </c>
      <c r="P4675">
        <v>54352</v>
      </c>
      <c r="Q4675" t="str">
        <f>"40.615841"</f>
        <v>40.615841</v>
      </c>
      <c r="R4675" t="str">
        <f>"22.980408"</f>
        <v>22.980408</v>
      </c>
      <c r="S4675" t="s">
        <v>26</v>
      </c>
    </row>
    <row r="4676" spans="1:19" x14ac:dyDescent="0.3">
      <c r="A4676" t="s">
        <v>25190</v>
      </c>
      <c r="B4676" t="s">
        <v>27598</v>
      </c>
      <c r="C4676" t="s">
        <v>27854</v>
      </c>
      <c r="D4676" t="s">
        <v>25197</v>
      </c>
      <c r="E4676" t="s">
        <v>25299</v>
      </c>
      <c r="F4676" t="s">
        <v>25299</v>
      </c>
      <c r="G4676" t="s">
        <v>25299</v>
      </c>
      <c r="H4676" t="s">
        <v>868</v>
      </c>
      <c r="I4676" t="s">
        <v>869</v>
      </c>
      <c r="J4676" t="str">
        <f>"9190025"</f>
        <v>9190025</v>
      </c>
      <c r="K4676">
        <v>2310481470</v>
      </c>
      <c r="L4676">
        <v>2310481470</v>
      </c>
      <c r="M4676" t="s">
        <v>27855</v>
      </c>
      <c r="N4676" t="s">
        <v>25331</v>
      </c>
      <c r="O4676" t="s">
        <v>27856</v>
      </c>
      <c r="P4676">
        <v>55132</v>
      </c>
      <c r="Q4676" t="str">
        <f>"40.580043"</f>
        <v>40.580043</v>
      </c>
      <c r="R4676" t="str">
        <f>"22.953092"</f>
        <v>22.953092</v>
      </c>
      <c r="S4676" t="s">
        <v>26</v>
      </c>
    </row>
    <row r="4677" spans="1:19" x14ac:dyDescent="0.3">
      <c r="A4677" t="s">
        <v>25190</v>
      </c>
      <c r="B4677" t="s">
        <v>27598</v>
      </c>
      <c r="C4677" t="s">
        <v>25404</v>
      </c>
      <c r="D4677" t="s">
        <v>25197</v>
      </c>
      <c r="E4677" t="s">
        <v>25264</v>
      </c>
      <c r="F4677" t="s">
        <v>25400</v>
      </c>
      <c r="G4677" t="s">
        <v>25400</v>
      </c>
      <c r="H4677" t="s">
        <v>868</v>
      </c>
      <c r="I4677" t="s">
        <v>869</v>
      </c>
      <c r="J4677" t="str">
        <f>"9190950"</f>
        <v>9190950</v>
      </c>
      <c r="K4677">
        <v>2310346740</v>
      </c>
      <c r="L4677">
        <v>2310346740</v>
      </c>
      <c r="M4677" t="s">
        <v>27862</v>
      </c>
      <c r="N4677" t="s">
        <v>25497</v>
      </c>
      <c r="O4677" t="s">
        <v>27863</v>
      </c>
      <c r="P4677">
        <v>55236</v>
      </c>
      <c r="Q4677" t="str">
        <f>"40.581693"</f>
        <v>40.581693</v>
      </c>
      <c r="R4677" t="str">
        <f>"23.016296"</f>
        <v>23.016296</v>
      </c>
      <c r="S4677" t="s">
        <v>26</v>
      </c>
    </row>
    <row r="4678" spans="1:19" x14ac:dyDescent="0.3">
      <c r="A4678" t="s">
        <v>25190</v>
      </c>
      <c r="B4678" t="s">
        <v>27598</v>
      </c>
      <c r="C4678" t="s">
        <v>25377</v>
      </c>
      <c r="D4678" t="s">
        <v>25197</v>
      </c>
      <c r="E4678" t="s">
        <v>25299</v>
      </c>
      <c r="F4678" t="s">
        <v>25299</v>
      </c>
      <c r="G4678" t="s">
        <v>25299</v>
      </c>
      <c r="H4678" t="s">
        <v>868</v>
      </c>
      <c r="I4678" t="s">
        <v>869</v>
      </c>
      <c r="J4678" t="str">
        <f>"9190031"</f>
        <v>9190031</v>
      </c>
      <c r="K4678">
        <v>2310444860</v>
      </c>
      <c r="L4678">
        <v>2310444860</v>
      </c>
      <c r="M4678" t="s">
        <v>27870</v>
      </c>
      <c r="N4678" t="s">
        <v>25331</v>
      </c>
      <c r="O4678" t="s">
        <v>27871</v>
      </c>
      <c r="P4678">
        <v>55132</v>
      </c>
      <c r="Q4678" t="str">
        <f>"40.571013"</f>
        <v>40.571013</v>
      </c>
      <c r="R4678" t="str">
        <f>"22.959116"</f>
        <v>22.959116</v>
      </c>
      <c r="S4678" t="s">
        <v>26</v>
      </c>
    </row>
    <row r="4679" spans="1:19" x14ac:dyDescent="0.3">
      <c r="A4679" t="s">
        <v>25190</v>
      </c>
      <c r="B4679" t="s">
        <v>27598</v>
      </c>
      <c r="C4679" t="s">
        <v>27876</v>
      </c>
      <c r="D4679" t="s">
        <v>25197</v>
      </c>
      <c r="E4679" t="s">
        <v>25197</v>
      </c>
      <c r="F4679" t="s">
        <v>25197</v>
      </c>
      <c r="G4679" t="s">
        <v>25250</v>
      </c>
      <c r="H4679" t="s">
        <v>868</v>
      </c>
      <c r="I4679" t="s">
        <v>869</v>
      </c>
      <c r="J4679" t="str">
        <f>"9190419"</f>
        <v>9190419</v>
      </c>
      <c r="K4679">
        <v>2310826959</v>
      </c>
      <c r="L4679">
        <v>2310826959</v>
      </c>
      <c r="M4679" t="s">
        <v>27877</v>
      </c>
      <c r="N4679" t="s">
        <v>25247</v>
      </c>
      <c r="O4679" t="s">
        <v>27878</v>
      </c>
      <c r="P4679">
        <v>54248</v>
      </c>
      <c r="Q4679" t="str">
        <f>"40.602400"</f>
        <v>40.602400</v>
      </c>
      <c r="R4679" t="str">
        <f>"22.960642"</f>
        <v>22.960642</v>
      </c>
      <c r="S4679" t="s">
        <v>26</v>
      </c>
    </row>
    <row r="4680" spans="1:19" x14ac:dyDescent="0.3">
      <c r="A4680" t="s">
        <v>25190</v>
      </c>
      <c r="B4680" t="s">
        <v>27598</v>
      </c>
      <c r="C4680" t="s">
        <v>27879</v>
      </c>
      <c r="D4680" t="s">
        <v>25197</v>
      </c>
      <c r="E4680" t="s">
        <v>25299</v>
      </c>
      <c r="F4680" t="s">
        <v>25299</v>
      </c>
      <c r="G4680" t="s">
        <v>25299</v>
      </c>
      <c r="H4680" t="s">
        <v>868</v>
      </c>
      <c r="I4680" t="s">
        <v>869</v>
      </c>
      <c r="J4680" t="str">
        <f>"9190034"</f>
        <v>9190034</v>
      </c>
      <c r="K4680">
        <v>2310472730</v>
      </c>
      <c r="L4680">
        <v>2310472730</v>
      </c>
      <c r="M4680" t="s">
        <v>27880</v>
      </c>
      <c r="N4680" t="s">
        <v>25331</v>
      </c>
      <c r="O4680" t="s">
        <v>27881</v>
      </c>
      <c r="P4680">
        <v>55134</v>
      </c>
      <c r="Q4680" t="str">
        <f>"40.571424"</f>
        <v>40.571424</v>
      </c>
      <c r="R4680" t="str">
        <f>"22.974288"</f>
        <v>22.974288</v>
      </c>
      <c r="S4680" t="s">
        <v>26</v>
      </c>
    </row>
    <row r="4681" spans="1:19" x14ac:dyDescent="0.3">
      <c r="A4681" t="s">
        <v>25190</v>
      </c>
      <c r="B4681" t="s">
        <v>27598</v>
      </c>
      <c r="C4681" t="s">
        <v>25263</v>
      </c>
      <c r="D4681" t="s">
        <v>25197</v>
      </c>
      <c r="E4681" t="s">
        <v>25197</v>
      </c>
      <c r="F4681" t="s">
        <v>25197</v>
      </c>
      <c r="G4681" t="s">
        <v>25283</v>
      </c>
      <c r="H4681" t="s">
        <v>868</v>
      </c>
      <c r="I4681" t="s">
        <v>869</v>
      </c>
      <c r="J4681" t="str">
        <f>"9190047"</f>
        <v>9190047</v>
      </c>
      <c r="K4681">
        <v>2310824787</v>
      </c>
      <c r="L4681">
        <v>2310824787</v>
      </c>
      <c r="M4681" t="s">
        <v>27888</v>
      </c>
      <c r="N4681" t="s">
        <v>25247</v>
      </c>
      <c r="O4681" t="s">
        <v>27889</v>
      </c>
      <c r="P4681">
        <v>54639</v>
      </c>
      <c r="Q4681" t="str">
        <f>"40.621244"</f>
        <v>40.621244</v>
      </c>
      <c r="R4681" t="str">
        <f>"22.959146"</f>
        <v>22.959146</v>
      </c>
      <c r="S4681" t="s">
        <v>26</v>
      </c>
    </row>
    <row r="4682" spans="1:19" x14ac:dyDescent="0.3">
      <c r="A4682" t="s">
        <v>25190</v>
      </c>
      <c r="B4682" t="s">
        <v>27598</v>
      </c>
      <c r="C4682" t="s">
        <v>27904</v>
      </c>
      <c r="D4682" t="s">
        <v>25197</v>
      </c>
      <c r="E4682" t="s">
        <v>25198</v>
      </c>
      <c r="F4682" t="s">
        <v>25198</v>
      </c>
      <c r="G4682" t="s">
        <v>25198</v>
      </c>
      <c r="H4682" t="s">
        <v>868</v>
      </c>
      <c r="I4682" t="s">
        <v>869</v>
      </c>
      <c r="J4682" t="str">
        <f>"9190838"</f>
        <v>9190838</v>
      </c>
      <c r="K4682">
        <v>2310463445</v>
      </c>
      <c r="L4682">
        <v>2310463445</v>
      </c>
      <c r="M4682" t="s">
        <v>27905</v>
      </c>
      <c r="N4682" t="s">
        <v>25201</v>
      </c>
      <c r="O4682" t="s">
        <v>27906</v>
      </c>
      <c r="P4682">
        <v>57001</v>
      </c>
      <c r="Q4682" t="str">
        <f>"40.545623"</f>
        <v>40.545623</v>
      </c>
      <c r="R4682" t="str">
        <f>"23.023113"</f>
        <v>23.023113</v>
      </c>
      <c r="S4682" t="s">
        <v>26</v>
      </c>
    </row>
    <row r="4683" spans="1:19" x14ac:dyDescent="0.3">
      <c r="A4683" t="s">
        <v>25190</v>
      </c>
      <c r="B4683" t="s">
        <v>27598</v>
      </c>
      <c r="C4683" t="s">
        <v>27907</v>
      </c>
      <c r="D4683" t="s">
        <v>25197</v>
      </c>
      <c r="E4683" t="s">
        <v>25293</v>
      </c>
      <c r="F4683" t="s">
        <v>25294</v>
      </c>
      <c r="G4683" t="s">
        <v>25294</v>
      </c>
      <c r="H4683" t="s">
        <v>868</v>
      </c>
      <c r="I4683" t="s">
        <v>869</v>
      </c>
      <c r="J4683" t="str">
        <f>"9190910"</f>
        <v>9190910</v>
      </c>
      <c r="K4683">
        <v>2392043206</v>
      </c>
      <c r="L4683">
        <v>2392043207</v>
      </c>
      <c r="M4683" t="s">
        <v>27908</v>
      </c>
      <c r="N4683" t="s">
        <v>25297</v>
      </c>
      <c r="O4683" t="s">
        <v>27909</v>
      </c>
      <c r="P4683">
        <v>57500</v>
      </c>
      <c r="Q4683" t="str">
        <f>"40.422160"</f>
        <v>40.422160</v>
      </c>
      <c r="R4683" t="str">
        <f>"22.922809"</f>
        <v>22.922809</v>
      </c>
      <c r="S4683" t="s">
        <v>26</v>
      </c>
    </row>
    <row r="4684" spans="1:19" x14ac:dyDescent="0.3">
      <c r="A4684" t="s">
        <v>25190</v>
      </c>
      <c r="B4684" t="s">
        <v>27598</v>
      </c>
      <c r="C4684" t="s">
        <v>27910</v>
      </c>
      <c r="D4684" t="s">
        <v>25197</v>
      </c>
      <c r="E4684" t="s">
        <v>25197</v>
      </c>
      <c r="F4684" t="s">
        <v>25197</v>
      </c>
      <c r="G4684" t="s">
        <v>25250</v>
      </c>
      <c r="H4684" t="s">
        <v>868</v>
      </c>
      <c r="I4684" t="s">
        <v>869</v>
      </c>
      <c r="J4684" t="str">
        <f>"9190630"</f>
        <v>9190630</v>
      </c>
      <c r="K4684">
        <v>2310852722</v>
      </c>
      <c r="L4684">
        <v>2310852722</v>
      </c>
      <c r="M4684" t="s">
        <v>27911</v>
      </c>
      <c r="N4684" t="s">
        <v>25247</v>
      </c>
      <c r="O4684" t="s">
        <v>27912</v>
      </c>
      <c r="P4684">
        <v>54642</v>
      </c>
      <c r="Q4684" t="str">
        <f>"40.609722"</f>
        <v>40.609722</v>
      </c>
      <c r="R4684" t="str">
        <f>"22.956335"</f>
        <v>22.956335</v>
      </c>
      <c r="S4684" t="s">
        <v>26</v>
      </c>
    </row>
    <row r="4685" spans="1:19" x14ac:dyDescent="0.3">
      <c r="A4685" t="s">
        <v>25190</v>
      </c>
      <c r="B4685" t="s">
        <v>27598</v>
      </c>
      <c r="C4685" t="s">
        <v>27919</v>
      </c>
      <c r="D4685" t="s">
        <v>25197</v>
      </c>
      <c r="E4685" t="s">
        <v>25197</v>
      </c>
      <c r="F4685" t="s">
        <v>25197</v>
      </c>
      <c r="G4685" t="s">
        <v>25250</v>
      </c>
      <c r="H4685" t="s">
        <v>868</v>
      </c>
      <c r="I4685" t="s">
        <v>869</v>
      </c>
      <c r="J4685" t="str">
        <f>"9190014"</f>
        <v>9190014</v>
      </c>
      <c r="K4685">
        <v>2310851715</v>
      </c>
      <c r="L4685">
        <v>2310851715</v>
      </c>
      <c r="M4685" t="s">
        <v>27920</v>
      </c>
      <c r="N4685" t="s">
        <v>25247</v>
      </c>
      <c r="O4685" t="s">
        <v>27912</v>
      </c>
      <c r="P4685">
        <v>54642</v>
      </c>
      <c r="Q4685" t="str">
        <f>"40.609722"</f>
        <v>40.609722</v>
      </c>
      <c r="R4685" t="str">
        <f>"22.956335"</f>
        <v>22.956335</v>
      </c>
      <c r="S4685" t="s">
        <v>26</v>
      </c>
    </row>
    <row r="4686" spans="1:19" x14ac:dyDescent="0.3">
      <c r="A4686" t="s">
        <v>25190</v>
      </c>
      <c r="B4686" t="s">
        <v>27598</v>
      </c>
      <c r="C4686" t="s">
        <v>27933</v>
      </c>
      <c r="D4686" t="s">
        <v>25197</v>
      </c>
      <c r="E4686" t="s">
        <v>25197</v>
      </c>
      <c r="F4686" t="s">
        <v>25197</v>
      </c>
      <c r="G4686" t="s">
        <v>25283</v>
      </c>
      <c r="H4686" t="s">
        <v>868</v>
      </c>
      <c r="I4686" t="s">
        <v>869</v>
      </c>
      <c r="J4686" t="str">
        <f>"9190042"</f>
        <v>9190042</v>
      </c>
      <c r="K4686">
        <v>2310914680</v>
      </c>
      <c r="L4686">
        <v>2310915450</v>
      </c>
      <c r="M4686" t="s">
        <v>27934</v>
      </c>
      <c r="N4686" t="s">
        <v>25247</v>
      </c>
      <c r="O4686" t="s">
        <v>27869</v>
      </c>
      <c r="P4686">
        <v>54454</v>
      </c>
      <c r="Q4686" t="str">
        <f>"40.610223"</f>
        <v>40.610223</v>
      </c>
      <c r="R4686" t="str">
        <f>"22.972400"</f>
        <v>22.972400</v>
      </c>
      <c r="S4686" t="s">
        <v>26</v>
      </c>
    </row>
    <row r="4687" spans="1:19" x14ac:dyDescent="0.3">
      <c r="A4687" t="s">
        <v>25190</v>
      </c>
      <c r="B4687" t="s">
        <v>27598</v>
      </c>
      <c r="C4687" t="s">
        <v>25579</v>
      </c>
      <c r="D4687" t="s">
        <v>25197</v>
      </c>
      <c r="E4687" t="s">
        <v>25197</v>
      </c>
      <c r="F4687" t="s">
        <v>25197</v>
      </c>
      <c r="G4687" t="s">
        <v>25255</v>
      </c>
      <c r="H4687" t="s">
        <v>868</v>
      </c>
      <c r="I4687" t="s">
        <v>869</v>
      </c>
      <c r="J4687" t="str">
        <f>"9190171"</f>
        <v>9190171</v>
      </c>
      <c r="K4687">
        <v>2310213133</v>
      </c>
      <c r="L4687">
        <v>2310213133</v>
      </c>
      <c r="M4687" t="s">
        <v>27935</v>
      </c>
      <c r="N4687" t="s">
        <v>25247</v>
      </c>
      <c r="O4687" t="s">
        <v>27779</v>
      </c>
      <c r="P4687">
        <v>54636</v>
      </c>
      <c r="Q4687" t="str">
        <f>"40.631830"</f>
        <v>40.631830</v>
      </c>
      <c r="R4687" t="str">
        <f>"22.967109"</f>
        <v>22.967109</v>
      </c>
      <c r="S4687" t="s">
        <v>26</v>
      </c>
    </row>
    <row r="4688" spans="1:19" x14ac:dyDescent="0.3">
      <c r="A4688" t="s">
        <v>25190</v>
      </c>
      <c r="B4688" t="s">
        <v>27598</v>
      </c>
      <c r="C4688" t="s">
        <v>25750</v>
      </c>
      <c r="D4688" t="s">
        <v>25197</v>
      </c>
      <c r="E4688" t="s">
        <v>25264</v>
      </c>
      <c r="F4688" t="s">
        <v>25270</v>
      </c>
      <c r="G4688" t="s">
        <v>2344</v>
      </c>
      <c r="H4688" t="s">
        <v>868</v>
      </c>
      <c r="I4688" t="s">
        <v>869</v>
      </c>
      <c r="J4688" t="str">
        <f>"9190346"</f>
        <v>9190346</v>
      </c>
      <c r="K4688">
        <v>2310357386</v>
      </c>
      <c r="L4688">
        <v>2310357386</v>
      </c>
      <c r="M4688" t="s">
        <v>27939</v>
      </c>
      <c r="N4688" t="s">
        <v>2347</v>
      </c>
      <c r="O4688" t="s">
        <v>27940</v>
      </c>
      <c r="P4688">
        <v>57010</v>
      </c>
      <c r="Q4688" t="str">
        <f>"40.630258"</f>
        <v>40.630258</v>
      </c>
      <c r="R4688" t="str">
        <f>"23.040662"</f>
        <v>23.040662</v>
      </c>
      <c r="S4688" t="s">
        <v>26</v>
      </c>
    </row>
    <row r="4689" spans="1:19" x14ac:dyDescent="0.3">
      <c r="A4689" t="s">
        <v>25190</v>
      </c>
      <c r="B4689" t="s">
        <v>27598</v>
      </c>
      <c r="C4689" t="s">
        <v>27941</v>
      </c>
      <c r="D4689" t="s">
        <v>25197</v>
      </c>
      <c r="E4689" t="s">
        <v>25264</v>
      </c>
      <c r="F4689" t="s">
        <v>25265</v>
      </c>
      <c r="G4689" t="s">
        <v>25265</v>
      </c>
      <c r="H4689" t="s">
        <v>868</v>
      </c>
      <c r="I4689" t="s">
        <v>1157</v>
      </c>
      <c r="J4689" t="str">
        <f>"9190877"</f>
        <v>9190877</v>
      </c>
      <c r="K4689">
        <v>2310426805</v>
      </c>
      <c r="L4689">
        <v>2310426271</v>
      </c>
      <c r="M4689" t="s">
        <v>27942</v>
      </c>
      <c r="N4689" t="s">
        <v>25345</v>
      </c>
      <c r="O4689" t="s">
        <v>27644</v>
      </c>
      <c r="P4689">
        <v>55535</v>
      </c>
      <c r="Q4689" t="str">
        <f>"40.593708"</f>
        <v>40.593708</v>
      </c>
      <c r="R4689" t="str">
        <f>"22.984405"</f>
        <v>22.984405</v>
      </c>
      <c r="S4689" t="s">
        <v>26</v>
      </c>
    </row>
    <row r="4690" spans="1:19" x14ac:dyDescent="0.3">
      <c r="A4690" t="s">
        <v>25190</v>
      </c>
      <c r="B4690" t="s">
        <v>27598</v>
      </c>
      <c r="C4690" t="s">
        <v>27943</v>
      </c>
      <c r="D4690" t="s">
        <v>25197</v>
      </c>
      <c r="E4690" t="s">
        <v>25197</v>
      </c>
      <c r="F4690" t="s">
        <v>25197</v>
      </c>
      <c r="G4690" t="s">
        <v>25250</v>
      </c>
      <c r="H4690" t="s">
        <v>868</v>
      </c>
      <c r="I4690" t="s">
        <v>1157</v>
      </c>
      <c r="J4690" t="str">
        <f>"9190035"</f>
        <v>9190035</v>
      </c>
      <c r="K4690">
        <v>2310857722</v>
      </c>
      <c r="L4690">
        <v>2310857722</v>
      </c>
      <c r="M4690" t="s">
        <v>27944</v>
      </c>
      <c r="N4690" t="s">
        <v>25247</v>
      </c>
      <c r="O4690" t="s">
        <v>27945</v>
      </c>
      <c r="P4690">
        <v>54641</v>
      </c>
      <c r="Q4690" t="str">
        <f>"40.613757"</f>
        <v>40.613757</v>
      </c>
      <c r="R4690" t="str">
        <f>"22.953616"</f>
        <v>22.953616</v>
      </c>
      <c r="S4690" t="s">
        <v>26</v>
      </c>
    </row>
    <row r="4691" spans="1:19" x14ac:dyDescent="0.3">
      <c r="A4691" t="s">
        <v>25190</v>
      </c>
      <c r="B4691" t="s">
        <v>27598</v>
      </c>
      <c r="C4691" t="s">
        <v>27946</v>
      </c>
      <c r="D4691" t="s">
        <v>25197</v>
      </c>
      <c r="E4691" t="s">
        <v>25197</v>
      </c>
      <c r="F4691" t="s">
        <v>25197</v>
      </c>
      <c r="G4691" t="s">
        <v>25244</v>
      </c>
      <c r="H4691" t="s">
        <v>868</v>
      </c>
      <c r="I4691" t="s">
        <v>869</v>
      </c>
      <c r="J4691" t="str">
        <f>"9190178"</f>
        <v>9190178</v>
      </c>
      <c r="K4691">
        <v>2310205550</v>
      </c>
      <c r="L4691">
        <v>2310205550</v>
      </c>
      <c r="M4691" t="s">
        <v>27947</v>
      </c>
      <c r="N4691" t="s">
        <v>25247</v>
      </c>
      <c r="O4691" t="s">
        <v>27887</v>
      </c>
      <c r="P4691">
        <v>54634</v>
      </c>
      <c r="Q4691" t="str">
        <f>"40.639005"</f>
        <v>40.639005</v>
      </c>
      <c r="R4691" t="str">
        <f>"22.952146"</f>
        <v>22.952146</v>
      </c>
      <c r="S4691" t="s">
        <v>26</v>
      </c>
    </row>
    <row r="4692" spans="1:19" x14ac:dyDescent="0.3">
      <c r="A4692" t="s">
        <v>25190</v>
      </c>
      <c r="B4692" t="s">
        <v>27598</v>
      </c>
      <c r="C4692" t="s">
        <v>25642</v>
      </c>
      <c r="D4692" t="s">
        <v>25197</v>
      </c>
      <c r="E4692" t="s">
        <v>25299</v>
      </c>
      <c r="F4692" t="s">
        <v>25299</v>
      </c>
      <c r="G4692" t="s">
        <v>25299</v>
      </c>
      <c r="H4692" t="s">
        <v>868</v>
      </c>
      <c r="I4692" t="s">
        <v>869</v>
      </c>
      <c r="J4692" t="str">
        <f>"9190788"</f>
        <v>9190788</v>
      </c>
      <c r="K4692">
        <v>2310433346</v>
      </c>
      <c r="L4692">
        <v>2310433346</v>
      </c>
      <c r="M4692" t="s">
        <v>27951</v>
      </c>
      <c r="N4692" t="s">
        <v>25331</v>
      </c>
      <c r="O4692" t="s">
        <v>27952</v>
      </c>
      <c r="P4692">
        <v>55135</v>
      </c>
      <c r="Q4692" t="str">
        <f>"40.569991"</f>
        <v>40.569991</v>
      </c>
      <c r="R4692" t="str">
        <f>"22.965922"</f>
        <v>22.965922</v>
      </c>
      <c r="S4692" t="s">
        <v>26</v>
      </c>
    </row>
    <row r="4693" spans="1:19" x14ac:dyDescent="0.3">
      <c r="A4693" t="s">
        <v>25190</v>
      </c>
      <c r="B4693" t="s">
        <v>27598</v>
      </c>
      <c r="C4693" t="s">
        <v>25274</v>
      </c>
      <c r="D4693" t="s">
        <v>25197</v>
      </c>
      <c r="E4693" t="s">
        <v>25264</v>
      </c>
      <c r="F4693" t="s">
        <v>25270</v>
      </c>
      <c r="G4693" t="s">
        <v>25270</v>
      </c>
      <c r="H4693" t="s">
        <v>868</v>
      </c>
      <c r="I4693" t="s">
        <v>869</v>
      </c>
      <c r="J4693" t="str">
        <f>"9190377"</f>
        <v>9190377</v>
      </c>
      <c r="K4693">
        <v>2310349252</v>
      </c>
      <c r="L4693">
        <v>2310349252</v>
      </c>
      <c r="M4693" t="s">
        <v>27953</v>
      </c>
      <c r="N4693" t="s">
        <v>27954</v>
      </c>
      <c r="O4693" t="s">
        <v>27955</v>
      </c>
      <c r="P4693">
        <v>57010</v>
      </c>
      <c r="Q4693" t="str">
        <f>"40.619772"</f>
        <v>40.619772</v>
      </c>
      <c r="R4693" t="str">
        <f>"23.097886"</f>
        <v>23.097886</v>
      </c>
      <c r="S4693" t="s">
        <v>26</v>
      </c>
    </row>
    <row r="4694" spans="1:19" x14ac:dyDescent="0.3">
      <c r="A4694" t="s">
        <v>25190</v>
      </c>
      <c r="B4694" t="s">
        <v>27598</v>
      </c>
      <c r="C4694" t="s">
        <v>25313</v>
      </c>
      <c r="D4694" t="s">
        <v>25197</v>
      </c>
      <c r="E4694" t="s">
        <v>25197</v>
      </c>
      <c r="F4694" t="s">
        <v>25197</v>
      </c>
      <c r="G4694" t="s">
        <v>25250</v>
      </c>
      <c r="H4694" t="s">
        <v>868</v>
      </c>
      <c r="I4694" t="s">
        <v>869</v>
      </c>
      <c r="J4694" t="str">
        <f>"9190625"</f>
        <v>9190625</v>
      </c>
      <c r="K4694">
        <v>2310309714</v>
      </c>
      <c r="L4694">
        <v>2310309714</v>
      </c>
      <c r="M4694" t="s">
        <v>27963</v>
      </c>
      <c r="N4694" t="s">
        <v>25247</v>
      </c>
      <c r="O4694" t="s">
        <v>27800</v>
      </c>
      <c r="P4694">
        <v>54249</v>
      </c>
      <c r="Q4694" t="str">
        <f>"40.601484"</f>
        <v>40.601484</v>
      </c>
      <c r="R4694" t="str">
        <f>"22.968830"</f>
        <v>22.968830</v>
      </c>
      <c r="S4694" t="s">
        <v>26</v>
      </c>
    </row>
    <row r="4695" spans="1:19" x14ac:dyDescent="0.3">
      <c r="A4695" t="s">
        <v>25190</v>
      </c>
      <c r="B4695" t="s">
        <v>27598</v>
      </c>
      <c r="C4695" t="s">
        <v>25472</v>
      </c>
      <c r="D4695" t="s">
        <v>25197</v>
      </c>
      <c r="E4695" t="s">
        <v>25197</v>
      </c>
      <c r="F4695" t="s">
        <v>25197</v>
      </c>
      <c r="G4695" t="s">
        <v>25283</v>
      </c>
      <c r="H4695" t="s">
        <v>868</v>
      </c>
      <c r="I4695" t="s">
        <v>869</v>
      </c>
      <c r="J4695" t="str">
        <f>"9190506"</f>
        <v>9190506</v>
      </c>
      <c r="K4695">
        <v>2310917217</v>
      </c>
      <c r="L4695">
        <v>2310917217</v>
      </c>
      <c r="M4695" t="s">
        <v>27964</v>
      </c>
      <c r="N4695" t="s">
        <v>25247</v>
      </c>
      <c r="O4695" t="s">
        <v>27965</v>
      </c>
      <c r="P4695">
        <v>54453</v>
      </c>
      <c r="Q4695" t="str">
        <f>"40.605470"</f>
        <v>40.605470</v>
      </c>
      <c r="R4695" t="str">
        <f>"22.971802"</f>
        <v>22.971802</v>
      </c>
      <c r="S4695" t="s">
        <v>26</v>
      </c>
    </row>
    <row r="4696" spans="1:19" x14ac:dyDescent="0.3">
      <c r="A4696" t="s">
        <v>25190</v>
      </c>
      <c r="B4696" t="s">
        <v>27598</v>
      </c>
      <c r="C4696" t="s">
        <v>27981</v>
      </c>
      <c r="D4696" t="s">
        <v>25197</v>
      </c>
      <c r="E4696" t="s">
        <v>25299</v>
      </c>
      <c r="F4696" t="s">
        <v>25299</v>
      </c>
      <c r="G4696" t="s">
        <v>25299</v>
      </c>
      <c r="H4696" t="s">
        <v>868</v>
      </c>
      <c r="I4696" t="s">
        <v>869</v>
      </c>
      <c r="J4696" t="str">
        <f>"9190029"</f>
        <v>9190029</v>
      </c>
      <c r="K4696">
        <v>2310447722</v>
      </c>
      <c r="L4696">
        <v>2310447796</v>
      </c>
      <c r="M4696" t="s">
        <v>27982</v>
      </c>
      <c r="N4696" t="s">
        <v>25331</v>
      </c>
      <c r="O4696" t="s">
        <v>27691</v>
      </c>
      <c r="P4696">
        <v>55132</v>
      </c>
      <c r="Q4696" t="str">
        <f>"40.577920"</f>
        <v>40.577920</v>
      </c>
      <c r="R4696" t="str">
        <f>"22.950570"</f>
        <v>22.950570</v>
      </c>
      <c r="S4696" t="s">
        <v>26</v>
      </c>
    </row>
    <row r="4697" spans="1:19" x14ac:dyDescent="0.3">
      <c r="A4697" t="s">
        <v>25190</v>
      </c>
      <c r="B4697" t="s">
        <v>27598</v>
      </c>
      <c r="C4697" t="s">
        <v>27993</v>
      </c>
      <c r="D4697" t="s">
        <v>25197</v>
      </c>
      <c r="E4697" t="s">
        <v>25264</v>
      </c>
      <c r="F4697" t="s">
        <v>25265</v>
      </c>
      <c r="G4697" t="s">
        <v>25265</v>
      </c>
      <c r="H4697" t="s">
        <v>868</v>
      </c>
      <c r="I4697" t="s">
        <v>1157</v>
      </c>
      <c r="J4697" t="str">
        <f>"9520882"</f>
        <v>9520882</v>
      </c>
      <c r="K4697">
        <v>2310968193</v>
      </c>
      <c r="L4697">
        <v>2310988187</v>
      </c>
      <c r="M4697" t="s">
        <v>27994</v>
      </c>
      <c r="N4697" t="s">
        <v>25345</v>
      </c>
      <c r="O4697" t="s">
        <v>25731</v>
      </c>
      <c r="P4697">
        <v>54352</v>
      </c>
      <c r="Q4697" t="str">
        <f>"40.606867"</f>
        <v>40.606867</v>
      </c>
      <c r="R4697" t="str">
        <f>"22.997932"</f>
        <v>22.997932</v>
      </c>
      <c r="S4697" t="s">
        <v>26</v>
      </c>
    </row>
    <row r="4698" spans="1:19" x14ac:dyDescent="0.3">
      <c r="A4698" t="s">
        <v>25190</v>
      </c>
      <c r="B4698" t="s">
        <v>27598</v>
      </c>
      <c r="C4698" t="s">
        <v>28004</v>
      </c>
      <c r="D4698" t="s">
        <v>25197</v>
      </c>
      <c r="E4698" t="s">
        <v>25264</v>
      </c>
      <c r="F4698" t="s">
        <v>25265</v>
      </c>
      <c r="G4698" t="s">
        <v>25265</v>
      </c>
      <c r="H4698" t="s">
        <v>868</v>
      </c>
      <c r="I4698" t="s">
        <v>869</v>
      </c>
      <c r="J4698" t="str">
        <f>"9190058"</f>
        <v>9190058</v>
      </c>
      <c r="K4698">
        <v>2310301714</v>
      </c>
      <c r="L4698">
        <v>2310334602</v>
      </c>
      <c r="M4698" t="s">
        <v>28005</v>
      </c>
      <c r="N4698" t="s">
        <v>25345</v>
      </c>
      <c r="O4698" t="s">
        <v>28006</v>
      </c>
      <c r="P4698">
        <v>55535</v>
      </c>
      <c r="Q4698" t="str">
        <f>"40.597202"</f>
        <v>40.597202</v>
      </c>
      <c r="R4698" t="str">
        <f>"22.981727"</f>
        <v>22.981727</v>
      </c>
      <c r="S4698" t="s">
        <v>26</v>
      </c>
    </row>
    <row r="4699" spans="1:19" x14ac:dyDescent="0.3">
      <c r="A4699" t="s">
        <v>25190</v>
      </c>
      <c r="B4699" t="s">
        <v>27598</v>
      </c>
      <c r="C4699" t="s">
        <v>28011</v>
      </c>
      <c r="D4699" t="s">
        <v>25197</v>
      </c>
      <c r="E4699" t="s">
        <v>25197</v>
      </c>
      <c r="F4699" t="s">
        <v>25197</v>
      </c>
      <c r="G4699" t="s">
        <v>25283</v>
      </c>
      <c r="H4699" t="s">
        <v>868</v>
      </c>
      <c r="I4699" t="s">
        <v>1157</v>
      </c>
      <c r="J4699" t="str">
        <f>"9190870"</f>
        <v>9190870</v>
      </c>
      <c r="K4699">
        <v>2310856655</v>
      </c>
      <c r="L4699">
        <v>2310856655</v>
      </c>
      <c r="M4699" t="s">
        <v>28012</v>
      </c>
      <c r="N4699" t="s">
        <v>25247</v>
      </c>
      <c r="O4699" t="s">
        <v>28013</v>
      </c>
      <c r="P4699">
        <v>54642</v>
      </c>
      <c r="Q4699" t="str">
        <f>"40.611484"</f>
        <v>40.611484</v>
      </c>
      <c r="R4699" t="str">
        <f>"22.961733"</f>
        <v>22.961733</v>
      </c>
      <c r="S4699" t="s">
        <v>26</v>
      </c>
    </row>
    <row r="4700" spans="1:19" x14ac:dyDescent="0.3">
      <c r="A4700" t="s">
        <v>25190</v>
      </c>
      <c r="B4700" t="s">
        <v>27598</v>
      </c>
      <c r="C4700" t="s">
        <v>25735</v>
      </c>
      <c r="D4700" t="s">
        <v>25197</v>
      </c>
      <c r="E4700" t="s">
        <v>25198</v>
      </c>
      <c r="F4700" t="s">
        <v>25198</v>
      </c>
      <c r="G4700" t="s">
        <v>27735</v>
      </c>
      <c r="H4700" t="s">
        <v>868</v>
      </c>
      <c r="I4700" t="s">
        <v>869</v>
      </c>
      <c r="J4700" t="str">
        <f>"9190364"</f>
        <v>9190364</v>
      </c>
      <c r="K4700">
        <v>2310461061</v>
      </c>
      <c r="L4700">
        <v>2310461061</v>
      </c>
      <c r="M4700" t="s">
        <v>28018</v>
      </c>
      <c r="N4700" t="s">
        <v>27738</v>
      </c>
      <c r="O4700" t="s">
        <v>28019</v>
      </c>
      <c r="P4700">
        <v>57001</v>
      </c>
      <c r="Q4700" t="str">
        <f>"40.527405"</f>
        <v>40.527405</v>
      </c>
      <c r="R4700" t="str">
        <f>"23.056036"</f>
        <v>23.056036</v>
      </c>
      <c r="S4700" t="s">
        <v>26</v>
      </c>
    </row>
    <row r="4701" spans="1:19" x14ac:dyDescent="0.3">
      <c r="A4701" t="s">
        <v>25190</v>
      </c>
      <c r="B4701" t="s">
        <v>27598</v>
      </c>
      <c r="C4701" t="s">
        <v>28026</v>
      </c>
      <c r="D4701" t="s">
        <v>25197</v>
      </c>
      <c r="E4701" t="s">
        <v>25197</v>
      </c>
      <c r="F4701" t="s">
        <v>25197</v>
      </c>
      <c r="G4701" t="s">
        <v>25283</v>
      </c>
      <c r="H4701" t="s">
        <v>868</v>
      </c>
      <c r="I4701" t="s">
        <v>869</v>
      </c>
      <c r="J4701" t="str">
        <f>"9190632"</f>
        <v>9190632</v>
      </c>
      <c r="K4701">
        <v>2310910652</v>
      </c>
      <c r="L4701">
        <v>2310910652</v>
      </c>
      <c r="M4701" t="s">
        <v>28027</v>
      </c>
      <c r="N4701" t="s">
        <v>25247</v>
      </c>
      <c r="O4701" t="s">
        <v>27869</v>
      </c>
      <c r="P4701">
        <v>54454</v>
      </c>
      <c r="Q4701" t="str">
        <f>"40.609865"</f>
        <v>40.609865</v>
      </c>
      <c r="R4701" t="str">
        <f>"22.971971"</f>
        <v>22.971971</v>
      </c>
      <c r="S4701" t="s">
        <v>26</v>
      </c>
    </row>
    <row r="4702" spans="1:19" x14ac:dyDescent="0.3">
      <c r="A4702" t="s">
        <v>25190</v>
      </c>
      <c r="B4702" t="s">
        <v>27598</v>
      </c>
      <c r="C4702" t="s">
        <v>28043</v>
      </c>
      <c r="D4702" t="s">
        <v>25197</v>
      </c>
      <c r="E4702" t="s">
        <v>25197</v>
      </c>
      <c r="F4702" t="s">
        <v>25197</v>
      </c>
      <c r="G4702" t="s">
        <v>25255</v>
      </c>
      <c r="H4702" t="s">
        <v>868</v>
      </c>
      <c r="I4702" t="s">
        <v>869</v>
      </c>
      <c r="J4702" t="str">
        <f>"9190085"</f>
        <v>9190085</v>
      </c>
      <c r="K4702">
        <v>2310269589</v>
      </c>
      <c r="L4702">
        <v>2310269589</v>
      </c>
      <c r="M4702" t="s">
        <v>28044</v>
      </c>
      <c r="N4702" t="s">
        <v>25247</v>
      </c>
      <c r="O4702" t="s">
        <v>28045</v>
      </c>
      <c r="P4702">
        <v>54622</v>
      </c>
      <c r="Q4702" t="str">
        <f>"40.630675"</f>
        <v>40.630675</v>
      </c>
      <c r="R4702" t="str">
        <f>"22.943707"</f>
        <v>22.943707</v>
      </c>
      <c r="S4702" t="s">
        <v>26</v>
      </c>
    </row>
    <row r="4703" spans="1:19" x14ac:dyDescent="0.3">
      <c r="A4703" t="s">
        <v>25190</v>
      </c>
      <c r="B4703" t="s">
        <v>27598</v>
      </c>
      <c r="C4703" t="s">
        <v>28064</v>
      </c>
      <c r="D4703" t="s">
        <v>25197</v>
      </c>
      <c r="E4703" t="s">
        <v>25197</v>
      </c>
      <c r="F4703" t="s">
        <v>25197</v>
      </c>
      <c r="G4703" t="s">
        <v>25250</v>
      </c>
      <c r="H4703" t="s">
        <v>868</v>
      </c>
      <c r="I4703" t="s">
        <v>869</v>
      </c>
      <c r="J4703" t="str">
        <f>"9190015"</f>
        <v>9190015</v>
      </c>
      <c r="K4703">
        <v>2310811452</v>
      </c>
      <c r="L4703">
        <v>2316009889</v>
      </c>
      <c r="M4703" t="s">
        <v>28065</v>
      </c>
      <c r="N4703" t="s">
        <v>25247</v>
      </c>
      <c r="O4703" t="s">
        <v>28066</v>
      </c>
      <c r="P4703">
        <v>54248</v>
      </c>
      <c r="Q4703" t="str">
        <f>"40.603667"</f>
        <v>40.603667</v>
      </c>
      <c r="R4703" t="str">
        <f>"22.958578"</f>
        <v>22.958578</v>
      </c>
      <c r="S4703" t="s">
        <v>26</v>
      </c>
    </row>
    <row r="4704" spans="1:19" x14ac:dyDescent="0.3">
      <c r="A4704" t="s">
        <v>25190</v>
      </c>
      <c r="B4704" t="s">
        <v>27598</v>
      </c>
      <c r="C4704" t="s">
        <v>28067</v>
      </c>
      <c r="D4704" t="s">
        <v>25197</v>
      </c>
      <c r="E4704" t="s">
        <v>25264</v>
      </c>
      <c r="F4704" t="s">
        <v>25265</v>
      </c>
      <c r="G4704" t="s">
        <v>25265</v>
      </c>
      <c r="H4704" t="s">
        <v>868</v>
      </c>
      <c r="I4704" t="s">
        <v>1157</v>
      </c>
      <c r="J4704" t="str">
        <f>"9190821"</f>
        <v>9190821</v>
      </c>
      <c r="K4704">
        <v>2310318644</v>
      </c>
      <c r="M4704" t="s">
        <v>28068</v>
      </c>
      <c r="N4704" t="s">
        <v>25345</v>
      </c>
      <c r="O4704" t="s">
        <v>28033</v>
      </c>
      <c r="P4704">
        <v>55535</v>
      </c>
      <c r="Q4704" t="str">
        <f>"40.594446"</f>
        <v>40.594446</v>
      </c>
      <c r="R4704" t="str">
        <f>"23.005303"</f>
        <v>23.005303</v>
      </c>
      <c r="S4704" t="s">
        <v>26</v>
      </c>
    </row>
    <row r="4705" spans="1:19" x14ac:dyDescent="0.3">
      <c r="A4705" t="s">
        <v>25190</v>
      </c>
      <c r="B4705" t="s">
        <v>27598</v>
      </c>
      <c r="C4705" t="s">
        <v>28088</v>
      </c>
      <c r="D4705" t="s">
        <v>25197</v>
      </c>
      <c r="E4705" t="s">
        <v>25197</v>
      </c>
      <c r="F4705" t="s">
        <v>25197</v>
      </c>
      <c r="G4705" t="s">
        <v>25250</v>
      </c>
      <c r="H4705" t="s">
        <v>868</v>
      </c>
      <c r="I4705" t="s">
        <v>869</v>
      </c>
      <c r="J4705" t="str">
        <f>"9190001"</f>
        <v>9190001</v>
      </c>
      <c r="K4705">
        <v>2310411696</v>
      </c>
      <c r="L4705">
        <v>2310416003</v>
      </c>
      <c r="M4705" t="s">
        <v>28089</v>
      </c>
      <c r="N4705" t="s">
        <v>25247</v>
      </c>
      <c r="O4705" t="s">
        <v>28090</v>
      </c>
      <c r="P4705">
        <v>54655</v>
      </c>
      <c r="Q4705" t="str">
        <f>"40.593788"</f>
        <v>40.593788</v>
      </c>
      <c r="R4705" t="str">
        <f>"22.959440"</f>
        <v>22.959440</v>
      </c>
      <c r="S4705" t="s">
        <v>26</v>
      </c>
    </row>
    <row r="4706" spans="1:19" x14ac:dyDescent="0.3">
      <c r="A4706" t="s">
        <v>25190</v>
      </c>
      <c r="B4706" t="s">
        <v>27598</v>
      </c>
      <c r="C4706" t="s">
        <v>25500</v>
      </c>
      <c r="D4706" t="s">
        <v>25197</v>
      </c>
      <c r="E4706" t="s">
        <v>25264</v>
      </c>
      <c r="F4706" t="s">
        <v>25400</v>
      </c>
      <c r="G4706" t="s">
        <v>25400</v>
      </c>
      <c r="H4706" t="s">
        <v>868</v>
      </c>
      <c r="I4706" t="s">
        <v>869</v>
      </c>
      <c r="J4706" t="str">
        <f>"9190368"</f>
        <v>9190368</v>
      </c>
      <c r="K4706">
        <v>2310341168</v>
      </c>
      <c r="L4706">
        <v>2310347336</v>
      </c>
      <c r="M4706" t="s">
        <v>28091</v>
      </c>
      <c r="N4706" t="s">
        <v>25497</v>
      </c>
      <c r="O4706" t="s">
        <v>28092</v>
      </c>
      <c r="P4706">
        <v>55236</v>
      </c>
      <c r="Q4706" t="str">
        <f>"40.586563"</f>
        <v>40.586563</v>
      </c>
      <c r="R4706" t="str">
        <f>"23.038393"</f>
        <v>23.038393</v>
      </c>
      <c r="S4706" t="s">
        <v>26</v>
      </c>
    </row>
    <row r="4707" spans="1:19" x14ac:dyDescent="0.3">
      <c r="A4707" t="s">
        <v>25190</v>
      </c>
      <c r="B4707" t="s">
        <v>27598</v>
      </c>
      <c r="C4707" t="s">
        <v>28119</v>
      </c>
      <c r="D4707" t="s">
        <v>25197</v>
      </c>
      <c r="E4707" t="s">
        <v>25293</v>
      </c>
      <c r="F4707" t="s">
        <v>25293</v>
      </c>
      <c r="G4707" t="s">
        <v>25453</v>
      </c>
      <c r="H4707" t="s">
        <v>868</v>
      </c>
      <c r="I4707" t="s">
        <v>2930</v>
      </c>
      <c r="J4707" t="str">
        <f>"9190366"</f>
        <v>9190366</v>
      </c>
      <c r="K4707">
        <v>2392023133</v>
      </c>
      <c r="L4707">
        <v>2392023133</v>
      </c>
      <c r="M4707" t="s">
        <v>28120</v>
      </c>
      <c r="N4707" t="s">
        <v>28009</v>
      </c>
      <c r="O4707" t="s">
        <v>28121</v>
      </c>
      <c r="P4707">
        <v>57019</v>
      </c>
      <c r="Q4707" t="str">
        <f>"40.500993"</f>
        <v>40.500993</v>
      </c>
      <c r="R4707" t="str">
        <f>"22.911215"</f>
        <v>22.911215</v>
      </c>
      <c r="S4707" t="s">
        <v>26</v>
      </c>
    </row>
    <row r="4708" spans="1:19" x14ac:dyDescent="0.3">
      <c r="A4708" t="s">
        <v>25190</v>
      </c>
      <c r="B4708" t="s">
        <v>27598</v>
      </c>
      <c r="C4708" t="s">
        <v>28125</v>
      </c>
      <c r="D4708" t="s">
        <v>25197</v>
      </c>
      <c r="E4708" t="s">
        <v>25197</v>
      </c>
      <c r="F4708" t="s">
        <v>25197</v>
      </c>
      <c r="G4708" t="s">
        <v>25283</v>
      </c>
      <c r="H4708" t="s">
        <v>868</v>
      </c>
      <c r="I4708" t="s">
        <v>1157</v>
      </c>
      <c r="J4708" t="str">
        <f>"9190648"</f>
        <v>9190648</v>
      </c>
      <c r="M4708" t="s">
        <v>27609</v>
      </c>
      <c r="N4708" t="s">
        <v>25247</v>
      </c>
      <c r="O4708" t="s">
        <v>28126</v>
      </c>
      <c r="P4708">
        <v>0</v>
      </c>
      <c r="Q4708" t="str">
        <f>""</f>
        <v/>
      </c>
      <c r="R4708" t="str">
        <f>""</f>
        <v/>
      </c>
      <c r="S4708" t="s">
        <v>26</v>
      </c>
    </row>
    <row r="4709" spans="1:19" x14ac:dyDescent="0.3">
      <c r="A4709" t="s">
        <v>25190</v>
      </c>
      <c r="B4709" t="s">
        <v>27598</v>
      </c>
      <c r="C4709" t="s">
        <v>25391</v>
      </c>
      <c r="D4709" t="s">
        <v>25197</v>
      </c>
      <c r="E4709" t="s">
        <v>25197</v>
      </c>
      <c r="F4709" t="s">
        <v>25197</v>
      </c>
      <c r="G4709" t="s">
        <v>25250</v>
      </c>
      <c r="H4709" t="s">
        <v>868</v>
      </c>
      <c r="I4709" t="s">
        <v>869</v>
      </c>
      <c r="J4709" t="str">
        <f>"9190418"</f>
        <v>9190418</v>
      </c>
      <c r="K4709">
        <v>2310823667</v>
      </c>
      <c r="L4709">
        <v>2310823667</v>
      </c>
      <c r="M4709" t="s">
        <v>28130</v>
      </c>
      <c r="N4709" t="s">
        <v>25247</v>
      </c>
      <c r="O4709" t="s">
        <v>28131</v>
      </c>
      <c r="P4709">
        <v>54645</v>
      </c>
      <c r="Q4709" t="str">
        <f>"40.598570"</f>
        <v>40.598570</v>
      </c>
      <c r="R4709" t="str">
        <f>"22.951355"</f>
        <v>22.951355</v>
      </c>
      <c r="S4709" t="s">
        <v>26</v>
      </c>
    </row>
    <row r="4710" spans="1:19" x14ac:dyDescent="0.3">
      <c r="A4710" t="s">
        <v>25190</v>
      </c>
      <c r="B4710" t="s">
        <v>27598</v>
      </c>
      <c r="C4710" t="s">
        <v>28132</v>
      </c>
      <c r="D4710" t="s">
        <v>25197</v>
      </c>
      <c r="E4710" t="s">
        <v>25197</v>
      </c>
      <c r="F4710" t="s">
        <v>25197</v>
      </c>
      <c r="G4710" t="s">
        <v>25255</v>
      </c>
      <c r="H4710" t="s">
        <v>868</v>
      </c>
      <c r="I4710" t="s">
        <v>1157</v>
      </c>
      <c r="J4710" t="str">
        <f>"9190879"</f>
        <v>9190879</v>
      </c>
      <c r="K4710">
        <v>2310204077</v>
      </c>
      <c r="L4710">
        <v>2310204077</v>
      </c>
      <c r="M4710" t="s">
        <v>28133</v>
      </c>
      <c r="N4710" t="s">
        <v>25247</v>
      </c>
      <c r="O4710" t="s">
        <v>28134</v>
      </c>
      <c r="P4710">
        <v>54636</v>
      </c>
      <c r="Q4710" t="str">
        <f>"40.628944"</f>
        <v>40.628944</v>
      </c>
      <c r="R4710" t="str">
        <f>"22.961313"</f>
        <v>22.961313</v>
      </c>
      <c r="S4710" t="s">
        <v>26</v>
      </c>
    </row>
    <row r="4711" spans="1:19" x14ac:dyDescent="0.3">
      <c r="A4711" t="s">
        <v>25190</v>
      </c>
      <c r="B4711" t="s">
        <v>27598</v>
      </c>
      <c r="C4711" t="s">
        <v>25432</v>
      </c>
      <c r="D4711" t="s">
        <v>25197</v>
      </c>
      <c r="E4711" t="s">
        <v>25197</v>
      </c>
      <c r="F4711" t="s">
        <v>25197</v>
      </c>
      <c r="G4711" t="s">
        <v>25283</v>
      </c>
      <c r="H4711" t="s">
        <v>868</v>
      </c>
      <c r="I4711" t="s">
        <v>869</v>
      </c>
      <c r="J4711" t="str">
        <f>"9190044"</f>
        <v>9190044</v>
      </c>
      <c r="K4711">
        <v>2310913420</v>
      </c>
      <c r="L4711">
        <v>2310913420</v>
      </c>
      <c r="M4711" t="s">
        <v>28135</v>
      </c>
      <c r="N4711" t="s">
        <v>25247</v>
      </c>
      <c r="O4711" t="s">
        <v>28136</v>
      </c>
      <c r="P4711">
        <v>54352</v>
      </c>
      <c r="Q4711" t="str">
        <f>"40.609408"</f>
        <v>40.609408</v>
      </c>
      <c r="R4711" t="str">
        <f>"22.982311"</f>
        <v>22.982311</v>
      </c>
      <c r="S4711" t="s">
        <v>26</v>
      </c>
    </row>
    <row r="4712" spans="1:19" x14ac:dyDescent="0.3">
      <c r="A4712" t="s">
        <v>25190</v>
      </c>
      <c r="B4712" t="s">
        <v>27598</v>
      </c>
      <c r="C4712" t="s">
        <v>28137</v>
      </c>
      <c r="D4712" t="s">
        <v>25197</v>
      </c>
      <c r="E4712" t="s">
        <v>25197</v>
      </c>
      <c r="F4712" t="s">
        <v>25197</v>
      </c>
      <c r="G4712" t="s">
        <v>25244</v>
      </c>
      <c r="H4712" t="s">
        <v>868</v>
      </c>
      <c r="I4712" t="s">
        <v>869</v>
      </c>
      <c r="J4712" t="str">
        <f>"9190088"</f>
        <v>9190088</v>
      </c>
      <c r="K4712">
        <v>2310272500</v>
      </c>
      <c r="L4712">
        <v>2310272500</v>
      </c>
      <c r="M4712" t="s">
        <v>28138</v>
      </c>
      <c r="N4712" t="s">
        <v>25247</v>
      </c>
      <c r="O4712" t="s">
        <v>28139</v>
      </c>
      <c r="P4712">
        <v>54633</v>
      </c>
      <c r="Q4712" t="str">
        <f>"40.640981"</f>
        <v>40.640981</v>
      </c>
      <c r="R4712" t="str">
        <f>"22.946500"</f>
        <v>22.946500</v>
      </c>
      <c r="S4712" t="s">
        <v>26</v>
      </c>
    </row>
    <row r="4713" spans="1:19" x14ac:dyDescent="0.3">
      <c r="A4713" t="s">
        <v>25190</v>
      </c>
      <c r="B4713" t="s">
        <v>27598</v>
      </c>
      <c r="C4713" t="s">
        <v>25588</v>
      </c>
      <c r="D4713" t="s">
        <v>25197</v>
      </c>
      <c r="E4713" t="s">
        <v>25197</v>
      </c>
      <c r="F4713" t="s">
        <v>25197</v>
      </c>
      <c r="G4713" t="s">
        <v>25255</v>
      </c>
      <c r="H4713" t="s">
        <v>868</v>
      </c>
      <c r="I4713" t="s">
        <v>869</v>
      </c>
      <c r="J4713" t="str">
        <f>"9190174"</f>
        <v>9190174</v>
      </c>
      <c r="K4713">
        <v>2310238050</v>
      </c>
      <c r="L4713">
        <v>2310209539</v>
      </c>
      <c r="M4713" t="s">
        <v>28140</v>
      </c>
      <c r="N4713" t="s">
        <v>25247</v>
      </c>
      <c r="O4713" t="s">
        <v>28141</v>
      </c>
      <c r="P4713">
        <v>54635</v>
      </c>
      <c r="Q4713" t="str">
        <f>"40.633598"</f>
        <v>40.633598</v>
      </c>
      <c r="R4713" t="str">
        <f>"22.951165"</f>
        <v>22.951165</v>
      </c>
      <c r="S4713" t="s">
        <v>26</v>
      </c>
    </row>
    <row r="4714" spans="1:19" x14ac:dyDescent="0.3">
      <c r="A4714" t="s">
        <v>25190</v>
      </c>
      <c r="B4714" t="s">
        <v>27598</v>
      </c>
      <c r="C4714" t="s">
        <v>28142</v>
      </c>
      <c r="D4714" t="s">
        <v>25197</v>
      </c>
      <c r="E4714" t="s">
        <v>25197</v>
      </c>
      <c r="F4714" t="s">
        <v>25197</v>
      </c>
      <c r="G4714" t="s">
        <v>25250</v>
      </c>
      <c r="H4714" t="s">
        <v>868</v>
      </c>
      <c r="I4714" t="s">
        <v>1157</v>
      </c>
      <c r="J4714" t="str">
        <f>"9190504"</f>
        <v>9190504</v>
      </c>
      <c r="K4714">
        <v>2310817185</v>
      </c>
      <c r="L4714">
        <v>2310817185</v>
      </c>
      <c r="M4714" t="s">
        <v>28143</v>
      </c>
      <c r="N4714" t="s">
        <v>25247</v>
      </c>
      <c r="O4714" t="s">
        <v>28144</v>
      </c>
      <c r="P4714">
        <v>54641</v>
      </c>
      <c r="Q4714" t="str">
        <f>"40.614637"</f>
        <v>40.614637</v>
      </c>
      <c r="R4714" t="str">
        <f>"22.953021"</f>
        <v>22.953021</v>
      </c>
      <c r="S4714" t="s">
        <v>26</v>
      </c>
    </row>
    <row r="4715" spans="1:19" x14ac:dyDescent="0.3">
      <c r="A4715" t="s">
        <v>25190</v>
      </c>
      <c r="B4715" t="s">
        <v>27598</v>
      </c>
      <c r="C4715" t="s">
        <v>25381</v>
      </c>
      <c r="D4715" t="s">
        <v>25197</v>
      </c>
      <c r="E4715" t="s">
        <v>25197</v>
      </c>
      <c r="F4715" t="s">
        <v>25197</v>
      </c>
      <c r="G4715" t="s">
        <v>25255</v>
      </c>
      <c r="H4715" t="s">
        <v>868</v>
      </c>
      <c r="I4715" t="s">
        <v>869</v>
      </c>
      <c r="J4715" t="str">
        <f>"9190050"</f>
        <v>9190050</v>
      </c>
      <c r="K4715">
        <v>2310221810</v>
      </c>
      <c r="L4715">
        <v>2310221810</v>
      </c>
      <c r="M4715" t="s">
        <v>28145</v>
      </c>
      <c r="N4715" t="s">
        <v>25247</v>
      </c>
      <c r="O4715" t="s">
        <v>25527</v>
      </c>
      <c r="P4715">
        <v>54622</v>
      </c>
      <c r="Q4715" t="str">
        <f>"40.631703"</f>
        <v>40.631703</v>
      </c>
      <c r="R4715" t="str">
        <f>"22.945827"</f>
        <v>22.945827</v>
      </c>
      <c r="S4715" t="s">
        <v>26</v>
      </c>
    </row>
    <row r="4716" spans="1:19" x14ac:dyDescent="0.3">
      <c r="A4716" t="s">
        <v>25190</v>
      </c>
      <c r="B4716" t="s">
        <v>27598</v>
      </c>
      <c r="C4716" t="s">
        <v>25658</v>
      </c>
      <c r="D4716" t="s">
        <v>25197</v>
      </c>
      <c r="E4716" t="s">
        <v>25197</v>
      </c>
      <c r="F4716" t="s">
        <v>25197</v>
      </c>
      <c r="G4716" t="s">
        <v>25250</v>
      </c>
      <c r="H4716" t="s">
        <v>868</v>
      </c>
      <c r="I4716" t="s">
        <v>869</v>
      </c>
      <c r="J4716" t="str">
        <f>"9190037"</f>
        <v>9190037</v>
      </c>
      <c r="K4716">
        <v>2310831934</v>
      </c>
      <c r="L4716">
        <v>2310831934</v>
      </c>
      <c r="M4716" t="s">
        <v>28149</v>
      </c>
      <c r="N4716" t="s">
        <v>25247</v>
      </c>
      <c r="O4716" t="s">
        <v>28150</v>
      </c>
      <c r="P4716">
        <v>54645</v>
      </c>
      <c r="Q4716" t="str">
        <f>"40.598412"</f>
        <v>40.598412</v>
      </c>
      <c r="R4716" t="str">
        <f>"22.949420"</f>
        <v>22.949420</v>
      </c>
      <c r="S4716" t="s">
        <v>26</v>
      </c>
    </row>
    <row r="4717" spans="1:19" x14ac:dyDescent="0.3">
      <c r="A4717" t="s">
        <v>25190</v>
      </c>
      <c r="B4717" t="s">
        <v>27598</v>
      </c>
      <c r="C4717" t="s">
        <v>28154</v>
      </c>
      <c r="D4717" t="s">
        <v>25197</v>
      </c>
      <c r="E4717" t="s">
        <v>25197</v>
      </c>
      <c r="F4717" t="s">
        <v>25197</v>
      </c>
      <c r="G4717" t="s">
        <v>25235</v>
      </c>
      <c r="H4717" t="s">
        <v>868</v>
      </c>
      <c r="I4717" t="s">
        <v>1157</v>
      </c>
      <c r="J4717" t="str">
        <f>"9190531"</f>
        <v>9190531</v>
      </c>
      <c r="K4717">
        <v>2310534654</v>
      </c>
      <c r="L4717">
        <v>2310534654</v>
      </c>
      <c r="M4717" t="s">
        <v>28155</v>
      </c>
      <c r="N4717" t="s">
        <v>25247</v>
      </c>
      <c r="O4717" t="s">
        <v>28156</v>
      </c>
      <c r="P4717">
        <v>54627</v>
      </c>
      <c r="Q4717" t="str">
        <f>"40.646207"</f>
        <v>40.646207</v>
      </c>
      <c r="R4717" t="str">
        <f>"22.918046"</f>
        <v>22.918046</v>
      </c>
      <c r="S4717" t="s">
        <v>26</v>
      </c>
    </row>
    <row r="4718" spans="1:19" x14ac:dyDescent="0.3">
      <c r="A4718" t="s">
        <v>25190</v>
      </c>
      <c r="B4718" t="s">
        <v>27598</v>
      </c>
      <c r="C4718" t="s">
        <v>25249</v>
      </c>
      <c r="D4718" t="s">
        <v>25197</v>
      </c>
      <c r="E4718" t="s">
        <v>25197</v>
      </c>
      <c r="F4718" t="s">
        <v>25197</v>
      </c>
      <c r="G4718" t="s">
        <v>25244</v>
      </c>
      <c r="H4718" t="s">
        <v>868</v>
      </c>
      <c r="I4718" t="s">
        <v>869</v>
      </c>
      <c r="J4718" t="str">
        <f>"9190183"</f>
        <v>9190183</v>
      </c>
      <c r="K4718">
        <v>2310205090</v>
      </c>
      <c r="L4718">
        <v>2310205090</v>
      </c>
      <c r="M4718" t="s">
        <v>28166</v>
      </c>
      <c r="N4718" t="s">
        <v>25247</v>
      </c>
      <c r="O4718" t="s">
        <v>27884</v>
      </c>
      <c r="P4718">
        <v>54634</v>
      </c>
      <c r="Q4718" t="str">
        <f>"40.641819"</f>
        <v>40.641819</v>
      </c>
      <c r="R4718" t="str">
        <f>"22.959714"</f>
        <v>22.959714</v>
      </c>
      <c r="S4718" t="s">
        <v>26</v>
      </c>
    </row>
    <row r="4719" spans="1:19" x14ac:dyDescent="0.3">
      <c r="A4719" t="s">
        <v>25190</v>
      </c>
      <c r="B4719" t="s">
        <v>27598</v>
      </c>
      <c r="C4719" t="s">
        <v>25254</v>
      </c>
      <c r="D4719" t="s">
        <v>25197</v>
      </c>
      <c r="E4719" t="s">
        <v>25197</v>
      </c>
      <c r="F4719" t="s">
        <v>25197</v>
      </c>
      <c r="G4719" t="s">
        <v>25235</v>
      </c>
      <c r="H4719" t="s">
        <v>868</v>
      </c>
      <c r="I4719" t="s">
        <v>869</v>
      </c>
      <c r="J4719" t="str">
        <f>"9190145"</f>
        <v>9190145</v>
      </c>
      <c r="K4719">
        <v>2310516890</v>
      </c>
      <c r="L4719">
        <v>2310502549</v>
      </c>
      <c r="M4719" t="s">
        <v>28170</v>
      </c>
      <c r="N4719" t="s">
        <v>25247</v>
      </c>
      <c r="O4719" t="s">
        <v>25672</v>
      </c>
      <c r="P4719">
        <v>54627</v>
      </c>
      <c r="Q4719" t="str">
        <f>"40.646460"</f>
        <v>40.646460</v>
      </c>
      <c r="R4719" t="str">
        <f>"22.918058"</f>
        <v>22.918058</v>
      </c>
      <c r="S4719" t="s">
        <v>26</v>
      </c>
    </row>
    <row r="4720" spans="1:19" x14ac:dyDescent="0.3">
      <c r="A4720" t="s">
        <v>25190</v>
      </c>
      <c r="B4720" t="s">
        <v>27598</v>
      </c>
      <c r="C4720" t="s">
        <v>25629</v>
      </c>
      <c r="D4720" t="s">
        <v>25197</v>
      </c>
      <c r="E4720" t="s">
        <v>25197</v>
      </c>
      <c r="F4720" t="s">
        <v>25352</v>
      </c>
      <c r="G4720" t="s">
        <v>25352</v>
      </c>
      <c r="H4720" t="s">
        <v>868</v>
      </c>
      <c r="I4720" t="s">
        <v>869</v>
      </c>
      <c r="J4720" t="str">
        <f>"9190193"</f>
        <v>9190193</v>
      </c>
      <c r="K4720">
        <v>2310912154</v>
      </c>
      <c r="L4720">
        <v>2310912154</v>
      </c>
      <c r="M4720" t="s">
        <v>28171</v>
      </c>
      <c r="N4720" t="s">
        <v>27829</v>
      </c>
      <c r="O4720" t="s">
        <v>28172</v>
      </c>
      <c r="P4720">
        <v>55337</v>
      </c>
      <c r="Q4720" t="str">
        <f>"40.620543"</f>
        <v>40.620543</v>
      </c>
      <c r="R4720" t="str">
        <f>"22.970428"</f>
        <v>22.970428</v>
      </c>
      <c r="S4720" t="s">
        <v>26</v>
      </c>
    </row>
    <row r="4721" spans="1:19" x14ac:dyDescent="0.3">
      <c r="A4721" t="s">
        <v>25190</v>
      </c>
      <c r="B4721" t="s">
        <v>27598</v>
      </c>
      <c r="C4721" t="s">
        <v>25259</v>
      </c>
      <c r="D4721" t="s">
        <v>25197</v>
      </c>
      <c r="E4721" t="s">
        <v>25197</v>
      </c>
      <c r="F4721" t="s">
        <v>25197</v>
      </c>
      <c r="G4721" t="s">
        <v>25255</v>
      </c>
      <c r="H4721" t="s">
        <v>868</v>
      </c>
      <c r="I4721" t="s">
        <v>869</v>
      </c>
      <c r="J4721" t="str">
        <f>"9190049"</f>
        <v>9190049</v>
      </c>
      <c r="K4721">
        <v>2310270307</v>
      </c>
      <c r="L4721">
        <v>2310270307</v>
      </c>
      <c r="M4721" t="s">
        <v>28173</v>
      </c>
      <c r="N4721" t="s">
        <v>27742</v>
      </c>
      <c r="O4721" t="s">
        <v>27628</v>
      </c>
      <c r="P4721">
        <v>54621</v>
      </c>
      <c r="Q4721" t="str">
        <f>"40.628877"</f>
        <v>40.628877</v>
      </c>
      <c r="R4721" t="str">
        <f>"22.950670"</f>
        <v>22.950670</v>
      </c>
      <c r="S4721" t="s">
        <v>26</v>
      </c>
    </row>
    <row r="4722" spans="1:19" x14ac:dyDescent="0.3">
      <c r="A4722" t="s">
        <v>25190</v>
      </c>
      <c r="B4722" t="s">
        <v>27598</v>
      </c>
      <c r="C4722" t="s">
        <v>25357</v>
      </c>
      <c r="D4722" t="s">
        <v>25197</v>
      </c>
      <c r="E4722" t="s">
        <v>25197</v>
      </c>
      <c r="F4722" t="s">
        <v>25352</v>
      </c>
      <c r="G4722" t="s">
        <v>25352</v>
      </c>
      <c r="H4722" t="s">
        <v>868</v>
      </c>
      <c r="I4722" t="s">
        <v>869</v>
      </c>
      <c r="J4722" t="str">
        <f>"9190194"</f>
        <v>9190194</v>
      </c>
      <c r="K4722">
        <v>2310912573</v>
      </c>
      <c r="L4722">
        <v>2310912573</v>
      </c>
      <c r="M4722" t="s">
        <v>28174</v>
      </c>
      <c r="N4722" t="s">
        <v>27829</v>
      </c>
      <c r="O4722" t="s">
        <v>25356</v>
      </c>
      <c r="P4722">
        <v>55337</v>
      </c>
      <c r="Q4722" t="str">
        <f>"40.622366"</f>
        <v>40.622366</v>
      </c>
      <c r="R4722" t="str">
        <f>"22.974896"</f>
        <v>22.974896</v>
      </c>
      <c r="S4722" t="s">
        <v>26</v>
      </c>
    </row>
    <row r="4723" spans="1:19" x14ac:dyDescent="0.3">
      <c r="A4723" t="s">
        <v>25190</v>
      </c>
      <c r="B4723" t="s">
        <v>27598</v>
      </c>
      <c r="C4723" t="s">
        <v>25439</v>
      </c>
      <c r="D4723" t="s">
        <v>25197</v>
      </c>
      <c r="E4723" t="s">
        <v>25293</v>
      </c>
      <c r="F4723" t="s">
        <v>25433</v>
      </c>
      <c r="G4723" t="s">
        <v>25434</v>
      </c>
      <c r="H4723" t="s">
        <v>868</v>
      </c>
      <c r="I4723" t="s">
        <v>869</v>
      </c>
      <c r="J4723" t="str">
        <f>"9190363"</f>
        <v>9190363</v>
      </c>
      <c r="K4723">
        <v>2392031238</v>
      </c>
      <c r="L4723">
        <v>2392031238</v>
      </c>
      <c r="M4723" t="s">
        <v>28175</v>
      </c>
      <c r="N4723" t="s">
        <v>25738</v>
      </c>
      <c r="O4723" t="s">
        <v>28176</v>
      </c>
      <c r="P4723">
        <v>57004</v>
      </c>
      <c r="Q4723" t="str">
        <f>"40.463184"</f>
        <v>40.463184</v>
      </c>
      <c r="R4723" t="str">
        <f>"22.866662"</f>
        <v>22.866662</v>
      </c>
      <c r="S4723" t="s">
        <v>26</v>
      </c>
    </row>
    <row r="4724" spans="1:19" x14ac:dyDescent="0.3">
      <c r="A4724" t="s">
        <v>25190</v>
      </c>
      <c r="B4724" t="s">
        <v>27598</v>
      </c>
      <c r="C4724" t="s">
        <v>28178</v>
      </c>
      <c r="D4724" t="s">
        <v>25197</v>
      </c>
      <c r="E4724" t="s">
        <v>25198</v>
      </c>
      <c r="F4724" t="s">
        <v>25323</v>
      </c>
      <c r="G4724" t="s">
        <v>28177</v>
      </c>
      <c r="H4724" t="s">
        <v>868</v>
      </c>
      <c r="I4724" t="s">
        <v>869</v>
      </c>
      <c r="J4724" t="str">
        <f>"9190357"</f>
        <v>9190357</v>
      </c>
      <c r="K4724">
        <v>2392091989</v>
      </c>
      <c r="L4724">
        <v>2392091989</v>
      </c>
      <c r="M4724" t="s">
        <v>28179</v>
      </c>
      <c r="N4724" t="s">
        <v>28180</v>
      </c>
      <c r="O4724" t="s">
        <v>28180</v>
      </c>
      <c r="P4724">
        <v>57500</v>
      </c>
      <c r="Q4724" t="str">
        <f>"40.428792"</f>
        <v>40.428792</v>
      </c>
      <c r="R4724" t="str">
        <f>"23.029824"</f>
        <v>23.029824</v>
      </c>
      <c r="S4724" t="s">
        <v>26</v>
      </c>
    </row>
    <row r="4725" spans="1:19" x14ac:dyDescent="0.3">
      <c r="A4725" t="s">
        <v>25190</v>
      </c>
      <c r="B4725" t="s">
        <v>27598</v>
      </c>
      <c r="C4725" t="s">
        <v>28184</v>
      </c>
      <c r="D4725" t="s">
        <v>25197</v>
      </c>
      <c r="E4725" t="s">
        <v>25264</v>
      </c>
      <c r="F4725" t="s">
        <v>25265</v>
      </c>
      <c r="G4725" t="s">
        <v>25265</v>
      </c>
      <c r="H4725" t="s">
        <v>868</v>
      </c>
      <c r="I4725" t="s">
        <v>1157</v>
      </c>
      <c r="J4725" t="str">
        <f>"9190505"</f>
        <v>9190505</v>
      </c>
      <c r="K4725">
        <v>2310318455</v>
      </c>
      <c r="L4725">
        <v>2310318455</v>
      </c>
      <c r="M4725" t="s">
        <v>28185</v>
      </c>
      <c r="N4725" t="s">
        <v>25345</v>
      </c>
      <c r="O4725" t="s">
        <v>28186</v>
      </c>
      <c r="P4725">
        <v>55536</v>
      </c>
      <c r="Q4725" t="str">
        <f>"40.600890"</f>
        <v>40.600890</v>
      </c>
      <c r="R4725" t="str">
        <f>"23.005659"</f>
        <v>23.005659</v>
      </c>
      <c r="S4725" t="s">
        <v>26</v>
      </c>
    </row>
    <row r="4726" spans="1:19" x14ac:dyDescent="0.3">
      <c r="A4726" t="s">
        <v>25190</v>
      </c>
      <c r="B4726" t="s">
        <v>27598</v>
      </c>
      <c r="C4726" t="s">
        <v>28187</v>
      </c>
      <c r="D4726" t="s">
        <v>25197</v>
      </c>
      <c r="E4726" t="s">
        <v>25264</v>
      </c>
      <c r="F4726" t="s">
        <v>25270</v>
      </c>
      <c r="G4726" t="s">
        <v>25549</v>
      </c>
      <c r="H4726" t="s">
        <v>868</v>
      </c>
      <c r="I4726" t="s">
        <v>869</v>
      </c>
      <c r="J4726" t="str">
        <f>"9190376"</f>
        <v>9190376</v>
      </c>
      <c r="K4726">
        <v>2310677128</v>
      </c>
      <c r="L4726">
        <v>2310677128</v>
      </c>
      <c r="M4726" t="s">
        <v>28188</v>
      </c>
      <c r="N4726" t="s">
        <v>25552</v>
      </c>
      <c r="O4726" t="s">
        <v>28189</v>
      </c>
      <c r="P4726">
        <v>57010</v>
      </c>
      <c r="Q4726" t="str">
        <f>"40.694349"</f>
        <v>40.694349</v>
      </c>
      <c r="R4726" t="str">
        <f>"22.999601"</f>
        <v>22.999601</v>
      </c>
      <c r="S4726" t="s">
        <v>26</v>
      </c>
    </row>
    <row r="4727" spans="1:19" x14ac:dyDescent="0.3">
      <c r="A4727" t="s">
        <v>25190</v>
      </c>
      <c r="B4727" t="s">
        <v>27598</v>
      </c>
      <c r="C4727" t="s">
        <v>25269</v>
      </c>
      <c r="D4727" t="s">
        <v>25197</v>
      </c>
      <c r="E4727" t="s">
        <v>25264</v>
      </c>
      <c r="F4727" t="s">
        <v>25265</v>
      </c>
      <c r="G4727" t="s">
        <v>25265</v>
      </c>
      <c r="H4727" t="s">
        <v>868</v>
      </c>
      <c r="I4727" t="s">
        <v>869</v>
      </c>
      <c r="J4727" t="str">
        <f>"9190900"</f>
        <v>9190900</v>
      </c>
      <c r="K4727">
        <v>2310471404</v>
      </c>
      <c r="L4727">
        <v>2310475894</v>
      </c>
      <c r="M4727" t="s">
        <v>28192</v>
      </c>
      <c r="N4727" t="s">
        <v>25345</v>
      </c>
      <c r="O4727" t="s">
        <v>27642</v>
      </c>
      <c r="P4727">
        <v>57001</v>
      </c>
      <c r="Q4727" t="str">
        <f>"40.540763"</f>
        <v>40.540763</v>
      </c>
      <c r="R4727" t="str">
        <f>"22.990582"</f>
        <v>22.990582</v>
      </c>
      <c r="S4727" t="s">
        <v>26</v>
      </c>
    </row>
    <row r="4728" spans="1:19" x14ac:dyDescent="0.3">
      <c r="A4728" t="s">
        <v>25190</v>
      </c>
      <c r="B4728" t="s">
        <v>27598</v>
      </c>
      <c r="C4728" t="s">
        <v>28193</v>
      </c>
      <c r="D4728" t="s">
        <v>25197</v>
      </c>
      <c r="E4728" t="s">
        <v>25197</v>
      </c>
      <c r="F4728" t="s">
        <v>25197</v>
      </c>
      <c r="G4728" t="s">
        <v>25283</v>
      </c>
      <c r="H4728" t="s">
        <v>868</v>
      </c>
      <c r="I4728" t="s">
        <v>869</v>
      </c>
      <c r="J4728" t="str">
        <f>"9190041"</f>
        <v>9190041</v>
      </c>
      <c r="K4728">
        <v>2310911797</v>
      </c>
      <c r="L4728">
        <v>2310911797</v>
      </c>
      <c r="M4728" t="s">
        <v>28194</v>
      </c>
      <c r="N4728" t="s">
        <v>25698</v>
      </c>
      <c r="O4728" t="s">
        <v>28195</v>
      </c>
      <c r="P4728">
        <v>54453</v>
      </c>
      <c r="Q4728" t="str">
        <f>"40.610283"</f>
        <v>40.610283</v>
      </c>
      <c r="R4728" t="str">
        <f>"22.965648"</f>
        <v>22.965648</v>
      </c>
      <c r="S4728" t="s">
        <v>26</v>
      </c>
    </row>
    <row r="4729" spans="1:19" x14ac:dyDescent="0.3">
      <c r="A4729" t="s">
        <v>25190</v>
      </c>
      <c r="B4729" t="s">
        <v>27598</v>
      </c>
      <c r="C4729" t="s">
        <v>28196</v>
      </c>
      <c r="D4729" t="s">
        <v>25197</v>
      </c>
      <c r="E4729" t="s">
        <v>25197</v>
      </c>
      <c r="F4729" t="s">
        <v>25197</v>
      </c>
      <c r="G4729" t="s">
        <v>25283</v>
      </c>
      <c r="H4729" t="s">
        <v>868</v>
      </c>
      <c r="I4729" t="s">
        <v>869</v>
      </c>
      <c r="J4729" t="str">
        <f>"9190169"</f>
        <v>9190169</v>
      </c>
      <c r="K4729">
        <v>2310934600</v>
      </c>
      <c r="L4729">
        <v>2310912519</v>
      </c>
      <c r="M4729" t="s">
        <v>28197</v>
      </c>
      <c r="N4729" t="s">
        <v>25247</v>
      </c>
      <c r="O4729" t="s">
        <v>27972</v>
      </c>
      <c r="P4729">
        <v>54351</v>
      </c>
      <c r="Q4729" t="str">
        <f>"40.616670"</f>
        <v>40.616670</v>
      </c>
      <c r="R4729" t="str">
        <f>"22.976866"</f>
        <v>22.976866</v>
      </c>
      <c r="S4729" t="s">
        <v>26</v>
      </c>
    </row>
    <row r="4730" spans="1:19" x14ac:dyDescent="0.3">
      <c r="A4730" t="s">
        <v>25190</v>
      </c>
      <c r="B4730" t="s">
        <v>27598</v>
      </c>
      <c r="C4730" t="s">
        <v>28198</v>
      </c>
      <c r="D4730" t="s">
        <v>25197</v>
      </c>
      <c r="E4730" t="s">
        <v>25197</v>
      </c>
      <c r="F4730" t="s">
        <v>25197</v>
      </c>
      <c r="G4730" t="s">
        <v>25283</v>
      </c>
      <c r="H4730" t="s">
        <v>868</v>
      </c>
      <c r="I4730" t="s">
        <v>869</v>
      </c>
      <c r="J4730" t="str">
        <f>"9190170"</f>
        <v>9190170</v>
      </c>
      <c r="K4730">
        <v>2310912197</v>
      </c>
      <c r="L4730">
        <v>2310912197</v>
      </c>
      <c r="M4730" t="s">
        <v>28199</v>
      </c>
      <c r="N4730" t="s">
        <v>25247</v>
      </c>
      <c r="O4730" t="s">
        <v>28200</v>
      </c>
      <c r="P4730">
        <v>54351</v>
      </c>
      <c r="Q4730" t="str">
        <f>"40.620021"</f>
        <v>40.620021</v>
      </c>
      <c r="R4730" t="str">
        <f>"22.976958"</f>
        <v>22.976958</v>
      </c>
      <c r="S4730" t="s">
        <v>26</v>
      </c>
    </row>
    <row r="4731" spans="1:19" x14ac:dyDescent="0.3">
      <c r="A4731" t="s">
        <v>25190</v>
      </c>
      <c r="B4731" t="s">
        <v>27598</v>
      </c>
      <c r="C4731" t="s">
        <v>25412</v>
      </c>
      <c r="D4731" t="s">
        <v>25197</v>
      </c>
      <c r="E4731" t="s">
        <v>25197</v>
      </c>
      <c r="F4731" t="s">
        <v>25197</v>
      </c>
      <c r="G4731" t="s">
        <v>25283</v>
      </c>
      <c r="H4731" t="s">
        <v>868</v>
      </c>
      <c r="I4731" t="s">
        <v>869</v>
      </c>
      <c r="J4731" t="str">
        <f>"9190045"</f>
        <v>9190045</v>
      </c>
      <c r="K4731">
        <v>2310920135</v>
      </c>
      <c r="L4731">
        <v>2310920135</v>
      </c>
      <c r="M4731" t="s">
        <v>28201</v>
      </c>
      <c r="N4731" t="s">
        <v>25247</v>
      </c>
      <c r="O4731" t="s">
        <v>27625</v>
      </c>
      <c r="P4731">
        <v>54453</v>
      </c>
      <c r="Q4731" t="str">
        <f>"40.616821"</f>
        <v>40.616821</v>
      </c>
      <c r="R4731" t="str">
        <f>"22.966783"</f>
        <v>22.966783</v>
      </c>
      <c r="S4731" t="s">
        <v>26</v>
      </c>
    </row>
    <row r="4732" spans="1:19" x14ac:dyDescent="0.3">
      <c r="A4732" t="s">
        <v>25190</v>
      </c>
      <c r="B4732" t="s">
        <v>27598</v>
      </c>
      <c r="C4732" t="s">
        <v>28202</v>
      </c>
      <c r="D4732" t="s">
        <v>25197</v>
      </c>
      <c r="E4732" t="s">
        <v>25197</v>
      </c>
      <c r="F4732" t="s">
        <v>25197</v>
      </c>
      <c r="G4732" t="s">
        <v>25283</v>
      </c>
      <c r="H4732" t="s">
        <v>868</v>
      </c>
      <c r="I4732" t="s">
        <v>869</v>
      </c>
      <c r="J4732" t="str">
        <f>"9190551"</f>
        <v>9190551</v>
      </c>
      <c r="K4732">
        <v>2310927743</v>
      </c>
      <c r="L4732">
        <v>2310921722</v>
      </c>
      <c r="M4732" t="s">
        <v>28203</v>
      </c>
      <c r="N4732" t="s">
        <v>25247</v>
      </c>
      <c r="O4732" t="s">
        <v>28204</v>
      </c>
      <c r="P4732">
        <v>54454</v>
      </c>
      <c r="Q4732" t="str">
        <f>"40.610467"</f>
        <v>40.610467</v>
      </c>
      <c r="R4732" t="str">
        <f>"22.975614"</f>
        <v>22.975614</v>
      </c>
      <c r="S4732" t="s">
        <v>26</v>
      </c>
    </row>
    <row r="4733" spans="1:19" x14ac:dyDescent="0.3">
      <c r="A4733" t="s">
        <v>25190</v>
      </c>
      <c r="B4733" t="s">
        <v>27598</v>
      </c>
      <c r="C4733" t="s">
        <v>28205</v>
      </c>
      <c r="D4733" t="s">
        <v>25197</v>
      </c>
      <c r="E4733" t="s">
        <v>25197</v>
      </c>
      <c r="F4733" t="s">
        <v>25197</v>
      </c>
      <c r="G4733" t="s">
        <v>25283</v>
      </c>
      <c r="H4733" t="s">
        <v>868</v>
      </c>
      <c r="I4733" t="s">
        <v>869</v>
      </c>
      <c r="J4733" t="str">
        <f>"9190046"</f>
        <v>9190046</v>
      </c>
      <c r="K4733">
        <v>2310912175</v>
      </c>
      <c r="L4733">
        <v>2310939900</v>
      </c>
      <c r="M4733" t="s">
        <v>28206</v>
      </c>
      <c r="N4733" t="s">
        <v>25247</v>
      </c>
      <c r="O4733" t="s">
        <v>28207</v>
      </c>
      <c r="P4733">
        <v>54638</v>
      </c>
      <c r="Q4733" t="str">
        <f>"40.620879"</f>
        <v>40.620879</v>
      </c>
      <c r="R4733" t="str">
        <f>"22.967142"</f>
        <v>22.967142</v>
      </c>
      <c r="S4733" t="s">
        <v>26</v>
      </c>
    </row>
    <row r="4734" spans="1:19" x14ac:dyDescent="0.3">
      <c r="A4734" t="s">
        <v>25190</v>
      </c>
      <c r="B4734" t="s">
        <v>27598</v>
      </c>
      <c r="C4734" t="s">
        <v>25363</v>
      </c>
      <c r="D4734" t="s">
        <v>25197</v>
      </c>
      <c r="E4734" t="s">
        <v>25197</v>
      </c>
      <c r="F4734" t="s">
        <v>25197</v>
      </c>
      <c r="G4734" t="s">
        <v>25283</v>
      </c>
      <c r="H4734" t="s">
        <v>868</v>
      </c>
      <c r="I4734" t="s">
        <v>869</v>
      </c>
      <c r="J4734" t="str">
        <f>"9190167"</f>
        <v>9190167</v>
      </c>
      <c r="K4734">
        <v>2310912334</v>
      </c>
      <c r="L4734">
        <v>2310912334</v>
      </c>
      <c r="M4734" t="s">
        <v>28210</v>
      </c>
      <c r="N4734" t="s">
        <v>25247</v>
      </c>
      <c r="O4734" t="s">
        <v>28211</v>
      </c>
      <c r="P4734">
        <v>54351</v>
      </c>
      <c r="Q4734" t="str">
        <f>"40.614392"</f>
        <v>40.614392</v>
      </c>
      <c r="R4734" t="str">
        <f>"22.977281"</f>
        <v>22.977281</v>
      </c>
      <c r="S4734" t="s">
        <v>26</v>
      </c>
    </row>
    <row r="4735" spans="1:19" x14ac:dyDescent="0.3">
      <c r="A4735" t="s">
        <v>25190</v>
      </c>
      <c r="B4735" t="s">
        <v>27598</v>
      </c>
      <c r="C4735" t="s">
        <v>28225</v>
      </c>
      <c r="D4735" t="s">
        <v>25197</v>
      </c>
      <c r="E4735" t="s">
        <v>25197</v>
      </c>
      <c r="F4735" t="s">
        <v>25197</v>
      </c>
      <c r="G4735" t="s">
        <v>25255</v>
      </c>
      <c r="H4735" t="s">
        <v>868</v>
      </c>
      <c r="I4735" t="s">
        <v>16625</v>
      </c>
      <c r="J4735" t="str">
        <f>"9190412"</f>
        <v>9190412</v>
      </c>
      <c r="K4735">
        <v>2310225697</v>
      </c>
      <c r="L4735">
        <v>2310225697</v>
      </c>
      <c r="M4735" t="s">
        <v>28226</v>
      </c>
      <c r="N4735" t="s">
        <v>25247</v>
      </c>
      <c r="O4735" t="s">
        <v>27962</v>
      </c>
      <c r="P4735">
        <v>54631</v>
      </c>
      <c r="Q4735" t="str">
        <f>"40.636227"</f>
        <v>40.636227</v>
      </c>
      <c r="R4735" t="str">
        <f>"22.948101"</f>
        <v>22.948101</v>
      </c>
      <c r="S4735" t="s">
        <v>26</v>
      </c>
    </row>
    <row r="4736" spans="1:19" x14ac:dyDescent="0.3">
      <c r="A4736" t="s">
        <v>25190</v>
      </c>
      <c r="B4736" t="s">
        <v>27598</v>
      </c>
      <c r="C4736" t="s">
        <v>25481</v>
      </c>
      <c r="D4736" t="s">
        <v>25197</v>
      </c>
      <c r="E4736" t="s">
        <v>25197</v>
      </c>
      <c r="F4736" t="s">
        <v>25352</v>
      </c>
      <c r="G4736" t="s">
        <v>25352</v>
      </c>
      <c r="H4736" t="s">
        <v>868</v>
      </c>
      <c r="I4736" t="s">
        <v>869</v>
      </c>
      <c r="J4736" t="str">
        <f>"9190639"</f>
        <v>9190639</v>
      </c>
      <c r="K4736">
        <v>2310936946</v>
      </c>
      <c r="L4736">
        <v>2310936946</v>
      </c>
      <c r="M4736" t="s">
        <v>28227</v>
      </c>
      <c r="N4736" t="s">
        <v>27829</v>
      </c>
      <c r="O4736" t="s">
        <v>28228</v>
      </c>
      <c r="P4736">
        <v>55337</v>
      </c>
      <c r="Q4736" t="str">
        <f>"40.623915"</f>
        <v>40.623915</v>
      </c>
      <c r="R4736" t="str">
        <f>"22.975573"</f>
        <v>22.975573</v>
      </c>
      <c r="S4736" t="s">
        <v>26</v>
      </c>
    </row>
    <row r="4737" spans="1:19" x14ac:dyDescent="0.3">
      <c r="A4737" t="s">
        <v>25190</v>
      </c>
      <c r="B4737" t="s">
        <v>27598</v>
      </c>
      <c r="C4737" t="s">
        <v>28235</v>
      </c>
      <c r="D4737" t="s">
        <v>25197</v>
      </c>
      <c r="E4737" t="s">
        <v>25197</v>
      </c>
      <c r="F4737" t="s">
        <v>25197</v>
      </c>
      <c r="G4737" t="s">
        <v>25283</v>
      </c>
      <c r="H4737" t="s">
        <v>868</v>
      </c>
      <c r="I4737" t="s">
        <v>869</v>
      </c>
      <c r="J4737" t="str">
        <f>"9190637"</f>
        <v>9190637</v>
      </c>
      <c r="K4737">
        <v>2310929160</v>
      </c>
      <c r="L4737">
        <v>2310929160</v>
      </c>
      <c r="M4737" t="s">
        <v>28236</v>
      </c>
      <c r="N4737" t="s">
        <v>25247</v>
      </c>
      <c r="O4737" t="s">
        <v>28237</v>
      </c>
      <c r="P4737">
        <v>54351</v>
      </c>
      <c r="Q4737" t="str">
        <f>"40.617802"</f>
        <v>40.617802</v>
      </c>
      <c r="R4737" t="str">
        <f>"22.976440"</f>
        <v>22.976440</v>
      </c>
      <c r="S4737" t="s">
        <v>26</v>
      </c>
    </row>
    <row r="4738" spans="1:19" x14ac:dyDescent="0.3">
      <c r="A4738" t="s">
        <v>25190</v>
      </c>
      <c r="B4738" t="s">
        <v>27598</v>
      </c>
      <c r="C4738" t="s">
        <v>28253</v>
      </c>
      <c r="D4738" t="s">
        <v>25197</v>
      </c>
      <c r="E4738" t="s">
        <v>25197</v>
      </c>
      <c r="F4738" t="s">
        <v>25197</v>
      </c>
      <c r="G4738" t="s">
        <v>25255</v>
      </c>
      <c r="H4738" t="s">
        <v>868</v>
      </c>
      <c r="I4738" t="s">
        <v>1602</v>
      </c>
      <c r="J4738" t="str">
        <f>"9190016"</f>
        <v>9190016</v>
      </c>
      <c r="K4738">
        <v>2310837917</v>
      </c>
      <c r="M4738" t="s">
        <v>28254</v>
      </c>
      <c r="N4738" t="s">
        <v>25247</v>
      </c>
      <c r="O4738" t="s">
        <v>28255</v>
      </c>
      <c r="P4738">
        <v>53622</v>
      </c>
      <c r="Q4738" t="str">
        <f>"40.632688"</f>
        <v>40.632688</v>
      </c>
      <c r="R4738" t="str">
        <f>"22.949866"</f>
        <v>22.949866</v>
      </c>
      <c r="S4738" t="s">
        <v>26</v>
      </c>
    </row>
    <row r="4739" spans="1:19" x14ac:dyDescent="0.3">
      <c r="A4739" t="s">
        <v>25190</v>
      </c>
      <c r="B4739" t="s">
        <v>27598</v>
      </c>
      <c r="C4739" t="s">
        <v>25697</v>
      </c>
      <c r="D4739" t="s">
        <v>25197</v>
      </c>
      <c r="E4739" t="s">
        <v>25197</v>
      </c>
      <c r="F4739" t="s">
        <v>25197</v>
      </c>
      <c r="G4739" t="s">
        <v>25283</v>
      </c>
      <c r="H4739" t="s">
        <v>868</v>
      </c>
      <c r="I4739" t="s">
        <v>869</v>
      </c>
      <c r="J4739" t="str">
        <f>"9190761"</f>
        <v>9190761</v>
      </c>
      <c r="K4739">
        <v>2310928959</v>
      </c>
      <c r="L4739">
        <v>2310928959</v>
      </c>
      <c r="M4739" t="s">
        <v>28256</v>
      </c>
      <c r="N4739" t="s">
        <v>25247</v>
      </c>
      <c r="O4739" t="s">
        <v>28257</v>
      </c>
      <c r="P4739">
        <v>54352</v>
      </c>
      <c r="Q4739" t="str">
        <f>"40.609583"</f>
        <v>40.609583</v>
      </c>
      <c r="R4739" t="str">
        <f>"22.981489"</f>
        <v>22.981489</v>
      </c>
      <c r="S4739" t="s">
        <v>26</v>
      </c>
    </row>
    <row r="4740" spans="1:19" x14ac:dyDescent="0.3">
      <c r="A4740" t="s">
        <v>25190</v>
      </c>
      <c r="B4740" t="s">
        <v>27598</v>
      </c>
      <c r="C4740" t="s">
        <v>25387</v>
      </c>
      <c r="D4740" t="s">
        <v>25197</v>
      </c>
      <c r="E4740" t="s">
        <v>25197</v>
      </c>
      <c r="F4740" t="s">
        <v>25197</v>
      </c>
      <c r="G4740" t="s">
        <v>25250</v>
      </c>
      <c r="H4740" t="s">
        <v>868</v>
      </c>
      <c r="I4740" t="s">
        <v>869</v>
      </c>
      <c r="J4740" t="str">
        <f>"9190548"</f>
        <v>9190548</v>
      </c>
      <c r="K4740">
        <v>2310317200</v>
      </c>
      <c r="M4740" t="s">
        <v>28258</v>
      </c>
      <c r="N4740" t="s">
        <v>25247</v>
      </c>
      <c r="O4740" t="s">
        <v>28259</v>
      </c>
      <c r="P4740">
        <v>54248</v>
      </c>
      <c r="Q4740" t="str">
        <f>"40.598566"</f>
        <v>40.598566</v>
      </c>
      <c r="R4740" t="str">
        <f>"22.959493"</f>
        <v>22.959493</v>
      </c>
      <c r="S4740" t="s">
        <v>26</v>
      </c>
    </row>
    <row r="4741" spans="1:19" x14ac:dyDescent="0.3">
      <c r="A4741" t="s">
        <v>25190</v>
      </c>
      <c r="B4741" t="s">
        <v>27598</v>
      </c>
      <c r="C4741" t="s">
        <v>28280</v>
      </c>
      <c r="D4741" t="s">
        <v>25197</v>
      </c>
      <c r="E4741" t="s">
        <v>25293</v>
      </c>
      <c r="F4741" t="s">
        <v>25293</v>
      </c>
      <c r="G4741" t="s">
        <v>17334</v>
      </c>
      <c r="H4741" t="s">
        <v>868</v>
      </c>
      <c r="I4741" t="s">
        <v>869</v>
      </c>
      <c r="J4741" t="str">
        <f>"9190336"</f>
        <v>9190336</v>
      </c>
      <c r="K4741">
        <v>2392051302</v>
      </c>
      <c r="L4741">
        <v>2392051302</v>
      </c>
      <c r="M4741" t="s">
        <v>28281</v>
      </c>
      <c r="N4741" t="s">
        <v>8902</v>
      </c>
      <c r="O4741" t="s">
        <v>28282</v>
      </c>
      <c r="P4741">
        <v>57019</v>
      </c>
      <c r="Q4741" t="str">
        <f>"40.500173"</f>
        <v>40.500173</v>
      </c>
      <c r="R4741" t="str">
        <f>"22.878043"</f>
        <v>22.878043</v>
      </c>
      <c r="S4741" t="s">
        <v>26</v>
      </c>
    </row>
    <row r="4742" spans="1:19" x14ac:dyDescent="0.3">
      <c r="A4742" t="s">
        <v>25190</v>
      </c>
      <c r="B4742" t="s">
        <v>27598</v>
      </c>
      <c r="C4742" t="s">
        <v>28283</v>
      </c>
      <c r="D4742" t="s">
        <v>25197</v>
      </c>
      <c r="E4742" t="s">
        <v>25293</v>
      </c>
      <c r="F4742" t="s">
        <v>25433</v>
      </c>
      <c r="G4742" t="s">
        <v>25434</v>
      </c>
      <c r="H4742" t="s">
        <v>868</v>
      </c>
      <c r="I4742" t="s">
        <v>869</v>
      </c>
      <c r="J4742" t="str">
        <f>"9190362"</f>
        <v>9190362</v>
      </c>
      <c r="K4742">
        <v>2392031226</v>
      </c>
      <c r="L4742">
        <v>2392306893</v>
      </c>
      <c r="M4742" t="s">
        <v>28284</v>
      </c>
      <c r="N4742" t="s">
        <v>25738</v>
      </c>
      <c r="O4742" t="s">
        <v>28285</v>
      </c>
      <c r="P4742">
        <v>57004</v>
      </c>
      <c r="Q4742" t="str">
        <f>"40.467951"</f>
        <v>40.467951</v>
      </c>
      <c r="R4742" t="str">
        <f>"22.858589"</f>
        <v>22.858589</v>
      </c>
      <c r="S4742" t="s">
        <v>26</v>
      </c>
    </row>
    <row r="4743" spans="1:19" x14ac:dyDescent="0.3">
      <c r="A4743" t="s">
        <v>25190</v>
      </c>
      <c r="B4743" t="s">
        <v>27598</v>
      </c>
      <c r="C4743" t="s">
        <v>25300</v>
      </c>
      <c r="D4743" t="s">
        <v>25197</v>
      </c>
      <c r="E4743" t="s">
        <v>25293</v>
      </c>
      <c r="F4743" t="s">
        <v>25294</v>
      </c>
      <c r="G4743" t="s">
        <v>25294</v>
      </c>
      <c r="H4743" t="s">
        <v>868</v>
      </c>
      <c r="I4743" t="s">
        <v>869</v>
      </c>
      <c r="J4743" t="str">
        <f>"9190348"</f>
        <v>9190348</v>
      </c>
      <c r="K4743">
        <v>2392041237</v>
      </c>
      <c r="L4743">
        <v>2392041237</v>
      </c>
      <c r="M4743" t="s">
        <v>28286</v>
      </c>
      <c r="N4743" t="s">
        <v>25297</v>
      </c>
      <c r="O4743" t="s">
        <v>28287</v>
      </c>
      <c r="P4743">
        <v>57500</v>
      </c>
      <c r="Q4743" t="str">
        <f>"40.424468"</f>
        <v>40.424468</v>
      </c>
      <c r="R4743" t="str">
        <f>"22.930485"</f>
        <v>22.930485</v>
      </c>
      <c r="S4743" t="s">
        <v>26</v>
      </c>
    </row>
    <row r="4744" spans="1:19" x14ac:dyDescent="0.3">
      <c r="A4744" t="s">
        <v>25190</v>
      </c>
      <c r="B4744" t="s">
        <v>27598</v>
      </c>
      <c r="C4744" t="s">
        <v>28288</v>
      </c>
      <c r="D4744" t="s">
        <v>25197</v>
      </c>
      <c r="E4744" t="s">
        <v>25293</v>
      </c>
      <c r="F4744" t="s">
        <v>25294</v>
      </c>
      <c r="G4744" t="s">
        <v>25294</v>
      </c>
      <c r="H4744" t="s">
        <v>868</v>
      </c>
      <c r="I4744" t="s">
        <v>869</v>
      </c>
      <c r="J4744" t="str">
        <f>"9190350"</f>
        <v>9190350</v>
      </c>
      <c r="K4744">
        <v>2392041277</v>
      </c>
      <c r="L4744">
        <v>2392044969</v>
      </c>
      <c r="M4744" t="s">
        <v>28289</v>
      </c>
      <c r="N4744" t="s">
        <v>25297</v>
      </c>
      <c r="O4744" t="s">
        <v>28290</v>
      </c>
      <c r="P4744">
        <v>57500</v>
      </c>
      <c r="Q4744" t="str">
        <f>"40.429528"</f>
        <v>40.429528</v>
      </c>
      <c r="R4744" t="str">
        <f>"22.928230"</f>
        <v>22.928230</v>
      </c>
      <c r="S4744" t="s">
        <v>26</v>
      </c>
    </row>
    <row r="4745" spans="1:19" x14ac:dyDescent="0.3">
      <c r="A4745" t="s">
        <v>25190</v>
      </c>
      <c r="B4745" t="s">
        <v>27598</v>
      </c>
      <c r="C4745" t="s">
        <v>28292</v>
      </c>
      <c r="D4745" t="s">
        <v>25197</v>
      </c>
      <c r="E4745" t="s">
        <v>25198</v>
      </c>
      <c r="F4745" t="s">
        <v>25317</v>
      </c>
      <c r="G4745" t="s">
        <v>27995</v>
      </c>
      <c r="H4745" t="s">
        <v>868</v>
      </c>
      <c r="I4745" t="s">
        <v>869</v>
      </c>
      <c r="J4745" t="str">
        <f>"9190403"</f>
        <v>9190403</v>
      </c>
      <c r="K4745">
        <v>2396051210</v>
      </c>
      <c r="L4745">
        <v>2396051210</v>
      </c>
      <c r="M4745" t="s">
        <v>28293</v>
      </c>
      <c r="N4745" t="s">
        <v>28294</v>
      </c>
      <c r="O4745" t="s">
        <v>27999</v>
      </c>
      <c r="P4745">
        <v>57006</v>
      </c>
      <c r="Q4745" t="str">
        <f>"40.549890"</f>
        <v>40.549890</v>
      </c>
      <c r="R4745" t="str">
        <f>"23.164584"</f>
        <v>23.164584</v>
      </c>
      <c r="S4745" t="s">
        <v>26</v>
      </c>
    </row>
    <row r="4746" spans="1:19" x14ac:dyDescent="0.3">
      <c r="A4746" t="s">
        <v>25190</v>
      </c>
      <c r="B4746" t="s">
        <v>27598</v>
      </c>
      <c r="C4746" t="s">
        <v>28295</v>
      </c>
      <c r="D4746" t="s">
        <v>25197</v>
      </c>
      <c r="E4746" t="s">
        <v>25198</v>
      </c>
      <c r="F4746" t="s">
        <v>25317</v>
      </c>
      <c r="G4746" t="s">
        <v>152</v>
      </c>
      <c r="H4746" t="s">
        <v>868</v>
      </c>
      <c r="I4746" t="s">
        <v>869</v>
      </c>
      <c r="J4746" t="str">
        <f>"9190931"</f>
        <v>9190931</v>
      </c>
      <c r="K4746">
        <v>2396041374</v>
      </c>
      <c r="L4746">
        <v>2396041374</v>
      </c>
      <c r="M4746" t="s">
        <v>28296</v>
      </c>
      <c r="O4746" t="s">
        <v>4693</v>
      </c>
      <c r="P4746">
        <v>57001</v>
      </c>
      <c r="Q4746" t="str">
        <f>"40.483729"</f>
        <v>40.483729</v>
      </c>
      <c r="R4746" t="str">
        <f>"23.051305"</f>
        <v>23.051305</v>
      </c>
      <c r="S4746" t="s">
        <v>26</v>
      </c>
    </row>
    <row r="4747" spans="1:19" x14ac:dyDescent="0.3">
      <c r="A4747" t="s">
        <v>25190</v>
      </c>
      <c r="B4747" t="s">
        <v>27598</v>
      </c>
      <c r="C4747" t="s">
        <v>28297</v>
      </c>
      <c r="D4747" t="s">
        <v>25197</v>
      </c>
      <c r="E4747" t="s">
        <v>25293</v>
      </c>
      <c r="F4747" t="s">
        <v>25433</v>
      </c>
      <c r="G4747" t="s">
        <v>26479</v>
      </c>
      <c r="H4747" t="s">
        <v>868</v>
      </c>
      <c r="I4747" t="s">
        <v>869</v>
      </c>
      <c r="J4747" t="str">
        <f>"9190333"</f>
        <v>9190333</v>
      </c>
      <c r="K4747">
        <v>2392057011</v>
      </c>
      <c r="L4747">
        <v>2392057654</v>
      </c>
      <c r="M4747" t="s">
        <v>28298</v>
      </c>
      <c r="N4747" t="s">
        <v>26482</v>
      </c>
      <c r="O4747" t="s">
        <v>28299</v>
      </c>
      <c r="P4747">
        <v>57004</v>
      </c>
      <c r="Q4747" t="str">
        <f>"40.497790"</f>
        <v>40.497790</v>
      </c>
      <c r="R4747" t="str">
        <f>"22.833957"</f>
        <v>22.833957</v>
      </c>
      <c r="S4747" t="s">
        <v>26</v>
      </c>
    </row>
    <row r="4748" spans="1:19" x14ac:dyDescent="0.3">
      <c r="A4748" t="s">
        <v>25190</v>
      </c>
      <c r="B4748" t="s">
        <v>27598</v>
      </c>
      <c r="C4748" t="s">
        <v>28300</v>
      </c>
      <c r="D4748" t="s">
        <v>25197</v>
      </c>
      <c r="E4748" t="s">
        <v>25198</v>
      </c>
      <c r="F4748" t="s">
        <v>25323</v>
      </c>
      <c r="G4748" t="s">
        <v>28099</v>
      </c>
      <c r="H4748" t="s">
        <v>868</v>
      </c>
      <c r="I4748" t="s">
        <v>869</v>
      </c>
      <c r="J4748" t="str">
        <f>"9190371"</f>
        <v>9190371</v>
      </c>
      <c r="K4748">
        <v>2392061238</v>
      </c>
      <c r="L4748">
        <v>2392063691</v>
      </c>
      <c r="M4748" t="s">
        <v>28301</v>
      </c>
      <c r="N4748" t="s">
        <v>28102</v>
      </c>
      <c r="O4748" t="s">
        <v>8899</v>
      </c>
      <c r="P4748">
        <v>57500</v>
      </c>
      <c r="Q4748" t="str">
        <f>"40.472538"</f>
        <v>40.472538</v>
      </c>
      <c r="R4748" t="str">
        <f>"22.955697"</f>
        <v>22.955697</v>
      </c>
      <c r="S4748" t="s">
        <v>26</v>
      </c>
    </row>
    <row r="4749" spans="1:19" x14ac:dyDescent="0.3">
      <c r="A4749" t="s">
        <v>25190</v>
      </c>
      <c r="B4749" t="s">
        <v>27598</v>
      </c>
      <c r="C4749" t="s">
        <v>28302</v>
      </c>
      <c r="D4749" t="s">
        <v>25197</v>
      </c>
      <c r="E4749" t="s">
        <v>25198</v>
      </c>
      <c r="F4749" t="s">
        <v>25317</v>
      </c>
      <c r="G4749" t="s">
        <v>28014</v>
      </c>
      <c r="H4749" t="s">
        <v>868</v>
      </c>
      <c r="I4749" t="s">
        <v>869</v>
      </c>
      <c r="J4749" t="str">
        <f>"9190338"</f>
        <v>9190338</v>
      </c>
      <c r="K4749">
        <v>2396041394</v>
      </c>
      <c r="L4749">
        <v>2396041394</v>
      </c>
      <c r="M4749" t="s">
        <v>28303</v>
      </c>
      <c r="N4749" t="s">
        <v>28304</v>
      </c>
      <c r="O4749" t="s">
        <v>28305</v>
      </c>
      <c r="P4749">
        <v>57006</v>
      </c>
      <c r="Q4749" t="str">
        <f>"40.432965"</f>
        <v>40.432965</v>
      </c>
      <c r="R4749" t="str">
        <f>"23.093687"</f>
        <v>23.093687</v>
      </c>
      <c r="S4749" t="s">
        <v>26</v>
      </c>
    </row>
    <row r="4750" spans="1:19" x14ac:dyDescent="0.3">
      <c r="A4750" t="s">
        <v>25190</v>
      </c>
      <c r="B4750" t="s">
        <v>27598</v>
      </c>
      <c r="C4750" t="s">
        <v>25458</v>
      </c>
      <c r="D4750" t="s">
        <v>25197</v>
      </c>
      <c r="E4750" t="s">
        <v>25293</v>
      </c>
      <c r="F4750" t="s">
        <v>25293</v>
      </c>
      <c r="G4750" t="s">
        <v>25664</v>
      </c>
      <c r="H4750" t="s">
        <v>868</v>
      </c>
      <c r="I4750" t="s">
        <v>869</v>
      </c>
      <c r="J4750" t="str">
        <f>"9190908"</f>
        <v>9190908</v>
      </c>
      <c r="K4750">
        <v>2392027870</v>
      </c>
      <c r="L4750">
        <v>2392027870</v>
      </c>
      <c r="M4750" t="s">
        <v>28306</v>
      </c>
      <c r="N4750" t="s">
        <v>25688</v>
      </c>
      <c r="O4750" t="s">
        <v>17308</v>
      </c>
      <c r="P4750">
        <v>57019</v>
      </c>
      <c r="Q4750" t="str">
        <f>"40.495885"</f>
        <v>40.495885</v>
      </c>
      <c r="R4750" t="str">
        <f>"22.928484"</f>
        <v>22.928484</v>
      </c>
      <c r="S4750" t="s">
        <v>26</v>
      </c>
    </row>
    <row r="4751" spans="1:19" x14ac:dyDescent="0.3">
      <c r="A4751" t="s">
        <v>25190</v>
      </c>
      <c r="B4751" t="s">
        <v>27598</v>
      </c>
      <c r="C4751" t="s">
        <v>28307</v>
      </c>
      <c r="D4751" t="s">
        <v>25197</v>
      </c>
      <c r="E4751" t="s">
        <v>25293</v>
      </c>
      <c r="F4751" t="s">
        <v>25293</v>
      </c>
      <c r="G4751" t="s">
        <v>25664</v>
      </c>
      <c r="H4751" t="s">
        <v>868</v>
      </c>
      <c r="I4751" t="s">
        <v>869</v>
      </c>
      <c r="J4751" t="str">
        <f>"9520622"</f>
        <v>9520622</v>
      </c>
      <c r="K4751">
        <v>2392028986</v>
      </c>
      <c r="L4751">
        <v>2392026569</v>
      </c>
      <c r="M4751" t="s">
        <v>28308</v>
      </c>
      <c r="N4751" t="s">
        <v>25688</v>
      </c>
      <c r="O4751" t="s">
        <v>28309</v>
      </c>
      <c r="P4751">
        <v>57019</v>
      </c>
      <c r="Q4751" t="str">
        <f>"40.506503"</f>
        <v>40.506503</v>
      </c>
      <c r="R4751" t="str">
        <f>"22.923659"</f>
        <v>22.923659</v>
      </c>
      <c r="S4751" t="s">
        <v>26</v>
      </c>
    </row>
    <row r="4752" spans="1:19" x14ac:dyDescent="0.3">
      <c r="A4752" t="s">
        <v>25190</v>
      </c>
      <c r="B4752" t="s">
        <v>27598</v>
      </c>
      <c r="C4752" t="s">
        <v>25669</v>
      </c>
      <c r="D4752" t="s">
        <v>25197</v>
      </c>
      <c r="E4752" t="s">
        <v>25293</v>
      </c>
      <c r="F4752" t="s">
        <v>25293</v>
      </c>
      <c r="G4752" t="s">
        <v>25664</v>
      </c>
      <c r="H4752" t="s">
        <v>868</v>
      </c>
      <c r="I4752" t="s">
        <v>869</v>
      </c>
      <c r="J4752" t="str">
        <f>"9520745"</f>
        <v>9520745</v>
      </c>
      <c r="K4752">
        <v>2392306761</v>
      </c>
      <c r="L4752">
        <v>2392027414</v>
      </c>
      <c r="M4752" t="s">
        <v>28310</v>
      </c>
      <c r="N4752" t="s">
        <v>25688</v>
      </c>
      <c r="O4752" t="s">
        <v>28311</v>
      </c>
      <c r="P4752">
        <v>57019</v>
      </c>
      <c r="Q4752" t="str">
        <f>"40.507922"</f>
        <v>40.507922</v>
      </c>
      <c r="R4752" t="str">
        <f>"22.929166"</f>
        <v>22.929166</v>
      </c>
      <c r="S4752" t="s">
        <v>26</v>
      </c>
    </row>
    <row r="4753" spans="1:19" x14ac:dyDescent="0.3">
      <c r="A4753" t="s">
        <v>25190</v>
      </c>
      <c r="B4753" t="s">
        <v>27598</v>
      </c>
      <c r="C4753" t="s">
        <v>28341</v>
      </c>
      <c r="D4753" t="s">
        <v>25197</v>
      </c>
      <c r="E4753" t="s">
        <v>25197</v>
      </c>
      <c r="F4753" t="s">
        <v>25197</v>
      </c>
      <c r="G4753" t="s">
        <v>25250</v>
      </c>
      <c r="H4753" t="s">
        <v>868</v>
      </c>
      <c r="I4753" t="s">
        <v>869</v>
      </c>
      <c r="J4753" t="str">
        <f>"9190008"</f>
        <v>9190008</v>
      </c>
      <c r="K4753">
        <v>2310302838</v>
      </c>
      <c r="L4753">
        <v>2310302838</v>
      </c>
      <c r="M4753" t="s">
        <v>28342</v>
      </c>
      <c r="N4753" t="s">
        <v>25247</v>
      </c>
      <c r="O4753" t="s">
        <v>28259</v>
      </c>
      <c r="P4753">
        <v>54248</v>
      </c>
      <c r="Q4753" t="str">
        <f>"40.598169"</f>
        <v>40.598169</v>
      </c>
      <c r="R4753" t="str">
        <f>"22.959933"</f>
        <v>22.959933</v>
      </c>
      <c r="S4753" t="s">
        <v>26</v>
      </c>
    </row>
    <row r="4754" spans="1:19" x14ac:dyDescent="0.3">
      <c r="A4754" t="s">
        <v>25190</v>
      </c>
      <c r="B4754" t="s">
        <v>27598</v>
      </c>
      <c r="C4754" t="s">
        <v>28343</v>
      </c>
      <c r="D4754" t="s">
        <v>25197</v>
      </c>
      <c r="E4754" t="s">
        <v>25264</v>
      </c>
      <c r="F4754" t="s">
        <v>25270</v>
      </c>
      <c r="G4754" t="s">
        <v>2344</v>
      </c>
      <c r="H4754" t="s">
        <v>868</v>
      </c>
      <c r="I4754" t="s">
        <v>1157</v>
      </c>
      <c r="J4754" t="str">
        <f>"9520724"</f>
        <v>9520724</v>
      </c>
      <c r="K4754">
        <v>2313307576</v>
      </c>
      <c r="L4754">
        <v>2313307576</v>
      </c>
      <c r="M4754" t="s">
        <v>28344</v>
      </c>
      <c r="N4754" t="s">
        <v>2347</v>
      </c>
      <c r="O4754" t="s">
        <v>28345</v>
      </c>
      <c r="P4754">
        <v>57010</v>
      </c>
      <c r="Q4754" t="str">
        <f>"40.631054"</f>
        <v>40.631054</v>
      </c>
      <c r="R4754" t="str">
        <f>"23.045131"</f>
        <v>23.045131</v>
      </c>
      <c r="S4754" t="s">
        <v>26</v>
      </c>
    </row>
    <row r="4755" spans="1:19" x14ac:dyDescent="0.3">
      <c r="A4755" t="s">
        <v>25190</v>
      </c>
      <c r="B4755" t="s">
        <v>27598</v>
      </c>
      <c r="C4755" t="s">
        <v>25292</v>
      </c>
      <c r="D4755" t="s">
        <v>25197</v>
      </c>
      <c r="E4755" t="s">
        <v>25197</v>
      </c>
      <c r="F4755" t="s">
        <v>25197</v>
      </c>
      <c r="G4755" t="s">
        <v>25250</v>
      </c>
      <c r="H4755" t="s">
        <v>868</v>
      </c>
      <c r="I4755" t="s">
        <v>869</v>
      </c>
      <c r="J4755" t="str">
        <f>"9190038"</f>
        <v>9190038</v>
      </c>
      <c r="K4755">
        <v>2310831710</v>
      </c>
      <c r="L4755">
        <v>2310847270</v>
      </c>
      <c r="M4755" t="s">
        <v>28349</v>
      </c>
      <c r="N4755" t="s">
        <v>25247</v>
      </c>
      <c r="O4755" t="s">
        <v>28350</v>
      </c>
      <c r="P4755">
        <v>54639</v>
      </c>
      <c r="Q4755" t="str">
        <f>"40.614756"</f>
        <v>40.614756</v>
      </c>
      <c r="R4755" t="str">
        <f>"22.960668"</f>
        <v>22.960668</v>
      </c>
      <c r="S4755" t="s">
        <v>26</v>
      </c>
    </row>
    <row r="4756" spans="1:19" x14ac:dyDescent="0.3">
      <c r="A4756" t="s">
        <v>25190</v>
      </c>
      <c r="B4756" t="s">
        <v>27598</v>
      </c>
      <c r="C4756" t="s">
        <v>25416</v>
      </c>
      <c r="D4756" t="s">
        <v>25197</v>
      </c>
      <c r="E4756" t="s">
        <v>25197</v>
      </c>
      <c r="F4756" t="s">
        <v>25197</v>
      </c>
      <c r="G4756" t="s">
        <v>25250</v>
      </c>
      <c r="H4756" t="s">
        <v>868</v>
      </c>
      <c r="I4756" t="s">
        <v>869</v>
      </c>
      <c r="J4756" t="str">
        <f>"9190552"</f>
        <v>9190552</v>
      </c>
      <c r="K4756">
        <v>2310316346</v>
      </c>
      <c r="L4756">
        <v>2310315460</v>
      </c>
      <c r="M4756" t="s">
        <v>28351</v>
      </c>
      <c r="N4756" t="s">
        <v>25247</v>
      </c>
      <c r="O4756" t="s">
        <v>28169</v>
      </c>
      <c r="P4756">
        <v>54250</v>
      </c>
      <c r="Q4756" t="str">
        <f>"40.596205"</f>
        <v>40.596205</v>
      </c>
      <c r="R4756" t="str">
        <f>"22.974442"</f>
        <v>22.974442</v>
      </c>
      <c r="S4756" t="s">
        <v>26</v>
      </c>
    </row>
    <row r="4757" spans="1:19" x14ac:dyDescent="0.3">
      <c r="A4757" t="s">
        <v>25190</v>
      </c>
      <c r="B4757" t="s">
        <v>27598</v>
      </c>
      <c r="C4757" t="s">
        <v>25337</v>
      </c>
      <c r="D4757" t="s">
        <v>25197</v>
      </c>
      <c r="E4757" t="s">
        <v>25197</v>
      </c>
      <c r="F4757" t="s">
        <v>25197</v>
      </c>
      <c r="G4757" t="s">
        <v>25250</v>
      </c>
      <c r="H4757" t="s">
        <v>868</v>
      </c>
      <c r="I4757" t="s">
        <v>869</v>
      </c>
      <c r="J4757" t="str">
        <f>"9190420"</f>
        <v>9190420</v>
      </c>
      <c r="K4757">
        <v>2310840895</v>
      </c>
      <c r="L4757">
        <v>2310821333</v>
      </c>
      <c r="M4757" t="s">
        <v>28352</v>
      </c>
      <c r="N4757" t="s">
        <v>25247</v>
      </c>
      <c r="O4757" t="s">
        <v>28353</v>
      </c>
      <c r="P4757">
        <v>54643</v>
      </c>
      <c r="Q4757" t="str">
        <f>"40.607263"</f>
        <v>40.607263</v>
      </c>
      <c r="R4757" t="str">
        <f>"22.952798"</f>
        <v>22.952798</v>
      </c>
      <c r="S4757" t="s">
        <v>26</v>
      </c>
    </row>
    <row r="4758" spans="1:19" x14ac:dyDescent="0.3">
      <c r="A4758" t="s">
        <v>25190</v>
      </c>
      <c r="B4758" t="s">
        <v>27598</v>
      </c>
      <c r="C4758" t="s">
        <v>25424</v>
      </c>
      <c r="D4758" t="s">
        <v>25197</v>
      </c>
      <c r="E4758" t="s">
        <v>25197</v>
      </c>
      <c r="F4758" t="s">
        <v>25197</v>
      </c>
      <c r="G4758" t="s">
        <v>25250</v>
      </c>
      <c r="H4758" t="s">
        <v>868</v>
      </c>
      <c r="I4758" t="s">
        <v>869</v>
      </c>
      <c r="J4758" t="str">
        <f>"9190534"</f>
        <v>9190534</v>
      </c>
      <c r="K4758">
        <v>2310422297</v>
      </c>
      <c r="L4758">
        <v>2310422297</v>
      </c>
      <c r="M4758" t="s">
        <v>28354</v>
      </c>
      <c r="N4758" t="s">
        <v>25247</v>
      </c>
      <c r="O4758" t="s">
        <v>28355</v>
      </c>
      <c r="P4758">
        <v>54655</v>
      </c>
      <c r="Q4758" t="str">
        <f>"40.595056"</f>
        <v>40.595056</v>
      </c>
      <c r="R4758" t="str">
        <f>"22.958468"</f>
        <v>22.958468</v>
      </c>
      <c r="S4758" t="s">
        <v>26</v>
      </c>
    </row>
    <row r="4759" spans="1:19" x14ac:dyDescent="0.3">
      <c r="A4759" t="s">
        <v>25190</v>
      </c>
      <c r="B4759" t="s">
        <v>27598</v>
      </c>
      <c r="C4759" t="s">
        <v>25625</v>
      </c>
      <c r="D4759" t="s">
        <v>25197</v>
      </c>
      <c r="E4759" t="s">
        <v>25197</v>
      </c>
      <c r="F4759" t="s">
        <v>25197</v>
      </c>
      <c r="G4759" t="s">
        <v>25250</v>
      </c>
      <c r="H4759" t="s">
        <v>868</v>
      </c>
      <c r="I4759" t="s">
        <v>869</v>
      </c>
      <c r="J4759" t="str">
        <f>"9190011"</f>
        <v>9190011</v>
      </c>
      <c r="K4759">
        <v>2310813010</v>
      </c>
      <c r="L4759">
        <v>2310813010</v>
      </c>
      <c r="M4759" t="s">
        <v>28356</v>
      </c>
      <c r="N4759" t="s">
        <v>25247</v>
      </c>
      <c r="O4759" t="s">
        <v>28357</v>
      </c>
      <c r="P4759">
        <v>54643</v>
      </c>
      <c r="Q4759" t="str">
        <f>"40.605476"</f>
        <v>40.605476</v>
      </c>
      <c r="R4759" t="str">
        <f>"22.957656"</f>
        <v>22.957656</v>
      </c>
      <c r="S4759" t="s">
        <v>26</v>
      </c>
    </row>
    <row r="4760" spans="1:19" x14ac:dyDescent="0.3">
      <c r="A4760" t="s">
        <v>25190</v>
      </c>
      <c r="B4760" t="s">
        <v>27598</v>
      </c>
      <c r="C4760" t="s">
        <v>28358</v>
      </c>
      <c r="D4760" t="s">
        <v>25197</v>
      </c>
      <c r="E4760" t="s">
        <v>25197</v>
      </c>
      <c r="F4760" t="s">
        <v>25197</v>
      </c>
      <c r="G4760" t="s">
        <v>25250</v>
      </c>
      <c r="H4760" t="s">
        <v>868</v>
      </c>
      <c r="I4760" t="s">
        <v>869</v>
      </c>
      <c r="J4760" t="str">
        <f>"9190757"</f>
        <v>9190757</v>
      </c>
      <c r="K4760">
        <v>2310310855</v>
      </c>
      <c r="L4760">
        <v>2310310855</v>
      </c>
      <c r="M4760" t="s">
        <v>28359</v>
      </c>
      <c r="N4760" t="s">
        <v>25247</v>
      </c>
      <c r="O4760" t="s">
        <v>28360</v>
      </c>
      <c r="P4760">
        <v>54249</v>
      </c>
      <c r="Q4760" t="str">
        <f>"40.605618"</f>
        <v>40.605618</v>
      </c>
      <c r="R4760" t="str">
        <f>"22.965086"</f>
        <v>22.965086</v>
      </c>
      <c r="S4760" t="s">
        <v>26</v>
      </c>
    </row>
    <row r="4761" spans="1:19" x14ac:dyDescent="0.3">
      <c r="A4761" t="s">
        <v>25190</v>
      </c>
      <c r="B4761" t="s">
        <v>27598</v>
      </c>
      <c r="C4761" t="s">
        <v>28366</v>
      </c>
      <c r="D4761" t="s">
        <v>25197</v>
      </c>
      <c r="E4761" t="s">
        <v>25264</v>
      </c>
      <c r="F4761" t="s">
        <v>25400</v>
      </c>
      <c r="G4761" t="s">
        <v>25400</v>
      </c>
      <c r="H4761" t="s">
        <v>868</v>
      </c>
      <c r="I4761" t="s">
        <v>1157</v>
      </c>
      <c r="J4761" t="str">
        <f>"9521172"</f>
        <v>9521172</v>
      </c>
      <c r="K4761">
        <v>2310332930</v>
      </c>
      <c r="L4761">
        <v>2310332930</v>
      </c>
      <c r="M4761" t="s">
        <v>28367</v>
      </c>
      <c r="N4761" t="s">
        <v>25497</v>
      </c>
      <c r="O4761" t="s">
        <v>25499</v>
      </c>
      <c r="P4761">
        <v>55236</v>
      </c>
      <c r="Q4761" t="str">
        <f>"40.597699"</f>
        <v>40.597699</v>
      </c>
      <c r="R4761" t="str">
        <f>"23.049059"</f>
        <v>23.049059</v>
      </c>
      <c r="S4761" t="s">
        <v>26</v>
      </c>
    </row>
    <row r="4762" spans="1:19" x14ac:dyDescent="0.3">
      <c r="A4762" t="s">
        <v>25190</v>
      </c>
      <c r="B4762" t="s">
        <v>27598</v>
      </c>
      <c r="C4762" t="s">
        <v>25347</v>
      </c>
      <c r="D4762" t="s">
        <v>25197</v>
      </c>
      <c r="E4762" t="s">
        <v>25264</v>
      </c>
      <c r="F4762" t="s">
        <v>25265</v>
      </c>
      <c r="G4762" t="s">
        <v>25265</v>
      </c>
      <c r="H4762" t="s">
        <v>868</v>
      </c>
      <c r="I4762" t="s">
        <v>869</v>
      </c>
      <c r="J4762" t="str">
        <f>"9521095"</f>
        <v>9521095</v>
      </c>
      <c r="K4762">
        <v>2310906096</v>
      </c>
      <c r="L4762">
        <v>2310906070</v>
      </c>
      <c r="M4762" t="s">
        <v>28374</v>
      </c>
      <c r="N4762" t="s">
        <v>25345</v>
      </c>
      <c r="O4762" t="s">
        <v>28375</v>
      </c>
      <c r="P4762">
        <v>55534</v>
      </c>
      <c r="Q4762" t="str">
        <f>"40.612302"</f>
        <v>40.612302</v>
      </c>
      <c r="R4762" t="str">
        <f>"22.994278"</f>
        <v>22.994278</v>
      </c>
      <c r="S4762" t="s">
        <v>26</v>
      </c>
    </row>
    <row r="4763" spans="1:19" x14ac:dyDescent="0.3">
      <c r="A4763" t="s">
        <v>25190</v>
      </c>
      <c r="B4763" t="s">
        <v>27598</v>
      </c>
      <c r="C4763" t="s">
        <v>25545</v>
      </c>
      <c r="D4763" t="s">
        <v>25197</v>
      </c>
      <c r="E4763" t="s">
        <v>25198</v>
      </c>
      <c r="F4763" t="s">
        <v>25198</v>
      </c>
      <c r="G4763" t="s">
        <v>28083</v>
      </c>
      <c r="H4763" t="s">
        <v>868</v>
      </c>
      <c r="I4763" t="s">
        <v>869</v>
      </c>
      <c r="J4763" t="str">
        <f>"9190365"</f>
        <v>9190365</v>
      </c>
      <c r="K4763">
        <v>2392073464</v>
      </c>
      <c r="M4763" t="s">
        <v>28376</v>
      </c>
      <c r="N4763" t="s">
        <v>28086</v>
      </c>
      <c r="O4763" t="s">
        <v>28377</v>
      </c>
      <c r="P4763">
        <v>57001</v>
      </c>
      <c r="Q4763" t="str">
        <f>"40.493015"</f>
        <v>40.493015</v>
      </c>
      <c r="R4763" t="str">
        <f>"22.989625"</f>
        <v>22.989625</v>
      </c>
      <c r="S4763" t="s">
        <v>26</v>
      </c>
    </row>
    <row r="4764" spans="1:19" x14ac:dyDescent="0.3">
      <c r="A4764" t="s">
        <v>25190</v>
      </c>
      <c r="B4764" t="s">
        <v>27598</v>
      </c>
      <c r="C4764" t="s">
        <v>28378</v>
      </c>
      <c r="D4764" t="s">
        <v>25197</v>
      </c>
      <c r="E4764" t="s">
        <v>25198</v>
      </c>
      <c r="F4764" t="s">
        <v>25198</v>
      </c>
      <c r="G4764" t="s">
        <v>27735</v>
      </c>
      <c r="H4764" t="s">
        <v>868</v>
      </c>
      <c r="I4764" t="s">
        <v>869</v>
      </c>
      <c r="J4764" t="str">
        <f>"9521277"</f>
        <v>9521277</v>
      </c>
      <c r="K4764">
        <v>2310365965</v>
      </c>
      <c r="M4764" t="s">
        <v>28379</v>
      </c>
      <c r="N4764" t="s">
        <v>27738</v>
      </c>
      <c r="O4764" t="s">
        <v>28380</v>
      </c>
      <c r="P4764">
        <v>57001</v>
      </c>
      <c r="Q4764" t="str">
        <f>"40.511354"</f>
        <v>40.511354</v>
      </c>
      <c r="R4764" t="str">
        <f>"23.077955"</f>
        <v>23.077955</v>
      </c>
      <c r="S4764" t="s">
        <v>26</v>
      </c>
    </row>
    <row r="4765" spans="1:19" x14ac:dyDescent="0.3">
      <c r="A4765" t="s">
        <v>25190</v>
      </c>
      <c r="B4765" t="s">
        <v>27598</v>
      </c>
      <c r="C4765" t="s">
        <v>28381</v>
      </c>
      <c r="D4765" t="s">
        <v>25197</v>
      </c>
      <c r="E4765" t="s">
        <v>25198</v>
      </c>
      <c r="F4765" t="s">
        <v>25323</v>
      </c>
      <c r="G4765" t="s">
        <v>25324</v>
      </c>
      <c r="H4765" t="s">
        <v>868</v>
      </c>
      <c r="I4765" t="s">
        <v>869</v>
      </c>
      <c r="J4765" t="str">
        <f>"9521094"</f>
        <v>9521094</v>
      </c>
      <c r="K4765">
        <v>2392063787</v>
      </c>
      <c r="M4765" t="s">
        <v>28382</v>
      </c>
      <c r="N4765" t="s">
        <v>25327</v>
      </c>
      <c r="O4765" t="s">
        <v>28383</v>
      </c>
      <c r="P4765">
        <v>57500</v>
      </c>
      <c r="Q4765" t="str">
        <f>"40.466626"</f>
        <v>40.466626</v>
      </c>
      <c r="R4765" t="str">
        <f>"22.964708"</f>
        <v>22.964708</v>
      </c>
      <c r="S4765" t="s">
        <v>26</v>
      </c>
    </row>
    <row r="4766" spans="1:19" x14ac:dyDescent="0.3">
      <c r="A4766" t="s">
        <v>25190</v>
      </c>
      <c r="B4766" t="s">
        <v>27598</v>
      </c>
      <c r="C4766" t="s">
        <v>28384</v>
      </c>
      <c r="D4766" t="s">
        <v>25197</v>
      </c>
      <c r="E4766" t="s">
        <v>25198</v>
      </c>
      <c r="F4766" t="s">
        <v>25317</v>
      </c>
      <c r="G4766" t="s">
        <v>27811</v>
      </c>
      <c r="H4766" t="s">
        <v>868</v>
      </c>
      <c r="I4766" t="s">
        <v>869</v>
      </c>
      <c r="J4766" t="str">
        <f>"9190372"</f>
        <v>9190372</v>
      </c>
      <c r="M4766" t="s">
        <v>27609</v>
      </c>
      <c r="N4766" t="s">
        <v>27814</v>
      </c>
      <c r="O4766" t="s">
        <v>27814</v>
      </c>
      <c r="P4766">
        <v>57006</v>
      </c>
      <c r="Q4766" t="str">
        <f>""</f>
        <v/>
      </c>
      <c r="R4766" t="str">
        <f>""</f>
        <v/>
      </c>
      <c r="S4766" t="s">
        <v>26</v>
      </c>
    </row>
    <row r="4767" spans="1:19" x14ac:dyDescent="0.3">
      <c r="A4767" t="s">
        <v>25190</v>
      </c>
      <c r="B4767" t="s">
        <v>27598</v>
      </c>
      <c r="C4767" t="s">
        <v>28389</v>
      </c>
      <c r="D4767" t="s">
        <v>25197</v>
      </c>
      <c r="E4767" t="s">
        <v>25264</v>
      </c>
      <c r="F4767" t="s">
        <v>25270</v>
      </c>
      <c r="G4767" t="s">
        <v>19978</v>
      </c>
      <c r="H4767" t="s">
        <v>868</v>
      </c>
      <c r="I4767" t="s">
        <v>869</v>
      </c>
      <c r="J4767" t="str">
        <f>"9521341"</f>
        <v>9521341</v>
      </c>
      <c r="K4767">
        <v>2310359747</v>
      </c>
      <c r="L4767">
        <v>2310359747</v>
      </c>
      <c r="M4767" t="s">
        <v>28390</v>
      </c>
      <c r="N4767" t="s">
        <v>19981</v>
      </c>
      <c r="O4767" t="s">
        <v>19981</v>
      </c>
      <c r="P4767">
        <v>57010</v>
      </c>
      <c r="Q4767" t="str">
        <f>"40.641264"</f>
        <v>40.641264</v>
      </c>
      <c r="R4767" t="str">
        <f>"23.020803"</f>
        <v>23.020803</v>
      </c>
      <c r="S4767" t="s">
        <v>26</v>
      </c>
    </row>
    <row r="4768" spans="1:19" x14ac:dyDescent="0.3">
      <c r="A4768" t="s">
        <v>25190</v>
      </c>
      <c r="B4768" t="s">
        <v>27598</v>
      </c>
      <c r="C4768" t="s">
        <v>25554</v>
      </c>
      <c r="D4768" t="s">
        <v>25197</v>
      </c>
      <c r="E4768" t="s">
        <v>25264</v>
      </c>
      <c r="F4768" t="s">
        <v>25270</v>
      </c>
      <c r="G4768" t="s">
        <v>25549</v>
      </c>
      <c r="H4768" t="s">
        <v>868</v>
      </c>
      <c r="I4768" t="s">
        <v>869</v>
      </c>
      <c r="J4768" t="str">
        <f>"9521342"</f>
        <v>9521342</v>
      </c>
      <c r="K4768">
        <v>2310677128</v>
      </c>
      <c r="L4768">
        <v>2310678183</v>
      </c>
      <c r="M4768" t="s">
        <v>28391</v>
      </c>
      <c r="N4768" t="s">
        <v>25552</v>
      </c>
      <c r="O4768" t="s">
        <v>28189</v>
      </c>
      <c r="P4768">
        <v>57010</v>
      </c>
      <c r="Q4768" t="str">
        <f>"40.692049"</f>
        <v>40.692049</v>
      </c>
      <c r="R4768" t="str">
        <f>"23.000305"</f>
        <v>23.000305</v>
      </c>
      <c r="S4768" t="s">
        <v>26</v>
      </c>
    </row>
    <row r="4769" spans="1:19" x14ac:dyDescent="0.3">
      <c r="A4769" t="s">
        <v>25190</v>
      </c>
      <c r="B4769" t="s">
        <v>27598</v>
      </c>
      <c r="C4769" t="s">
        <v>25610</v>
      </c>
      <c r="D4769" t="s">
        <v>25197</v>
      </c>
      <c r="E4769" t="s">
        <v>25293</v>
      </c>
      <c r="F4769" t="s">
        <v>25293</v>
      </c>
      <c r="G4769" t="s">
        <v>25664</v>
      </c>
      <c r="H4769" t="s">
        <v>868</v>
      </c>
      <c r="I4769" t="s">
        <v>869</v>
      </c>
      <c r="J4769" t="str">
        <f>"9521318"</f>
        <v>9521318</v>
      </c>
      <c r="K4769">
        <v>2392021149</v>
      </c>
      <c r="L4769">
        <v>2392021179</v>
      </c>
      <c r="M4769" t="s">
        <v>28395</v>
      </c>
      <c r="N4769" t="s">
        <v>25688</v>
      </c>
      <c r="O4769" t="s">
        <v>28396</v>
      </c>
      <c r="P4769">
        <v>57019</v>
      </c>
      <c r="Q4769" t="str">
        <f>"40.495321"</f>
        <v>40.495321</v>
      </c>
      <c r="R4769" t="str">
        <f>"22.923008"</f>
        <v>22.923008</v>
      </c>
      <c r="S4769" t="s">
        <v>26</v>
      </c>
    </row>
    <row r="4770" spans="1:19" x14ac:dyDescent="0.3">
      <c r="A4770" t="s">
        <v>25190</v>
      </c>
      <c r="B4770" t="s">
        <v>27598</v>
      </c>
      <c r="C4770" t="s">
        <v>28408</v>
      </c>
      <c r="D4770" t="s">
        <v>25197</v>
      </c>
      <c r="E4770" t="s">
        <v>25264</v>
      </c>
      <c r="F4770" t="s">
        <v>25265</v>
      </c>
      <c r="G4770" t="s">
        <v>25265</v>
      </c>
      <c r="H4770" t="s">
        <v>868</v>
      </c>
      <c r="I4770" t="s">
        <v>869</v>
      </c>
      <c r="J4770" t="str">
        <f>"9521414"</f>
        <v>9521414</v>
      </c>
      <c r="K4770">
        <v>2310322277</v>
      </c>
      <c r="L4770">
        <v>2310334424</v>
      </c>
      <c r="M4770" t="s">
        <v>28409</v>
      </c>
      <c r="N4770" t="s">
        <v>25345</v>
      </c>
      <c r="O4770" t="s">
        <v>28410</v>
      </c>
      <c r="P4770">
        <v>54250</v>
      </c>
      <c r="Q4770" t="str">
        <f>"40.596872"</f>
        <v>40.596872</v>
      </c>
      <c r="R4770" t="str">
        <f>"22.976369"</f>
        <v>22.976369</v>
      </c>
      <c r="S4770" t="s">
        <v>26</v>
      </c>
    </row>
    <row r="4771" spans="1:19" x14ac:dyDescent="0.3">
      <c r="A4771" t="s">
        <v>25190</v>
      </c>
      <c r="B4771" t="s">
        <v>27598</v>
      </c>
      <c r="C4771" t="s">
        <v>28411</v>
      </c>
      <c r="D4771" t="s">
        <v>25197</v>
      </c>
      <c r="E4771" t="s">
        <v>25198</v>
      </c>
      <c r="F4771" t="s">
        <v>25198</v>
      </c>
      <c r="G4771" t="s">
        <v>25198</v>
      </c>
      <c r="H4771" t="s">
        <v>868</v>
      </c>
      <c r="I4771" t="s">
        <v>869</v>
      </c>
      <c r="J4771" t="str">
        <f>"9520674"</f>
        <v>9520674</v>
      </c>
      <c r="K4771">
        <v>2310460079</v>
      </c>
      <c r="M4771" t="s">
        <v>28412</v>
      </c>
      <c r="N4771" t="s">
        <v>27653</v>
      </c>
      <c r="O4771" t="s">
        <v>28413</v>
      </c>
      <c r="P4771">
        <v>57001</v>
      </c>
      <c r="Q4771" t="str">
        <f>"40.546595"</f>
        <v>40.546595</v>
      </c>
      <c r="R4771" t="str">
        <f>"23.051635"</f>
        <v>23.051635</v>
      </c>
      <c r="S4771" t="s">
        <v>26</v>
      </c>
    </row>
    <row r="4772" spans="1:19" x14ac:dyDescent="0.3">
      <c r="A4772" t="s">
        <v>25190</v>
      </c>
      <c r="B4772" t="s">
        <v>27598</v>
      </c>
      <c r="C4772" t="s">
        <v>25322</v>
      </c>
      <c r="D4772" t="s">
        <v>25197</v>
      </c>
      <c r="E4772" t="s">
        <v>25198</v>
      </c>
      <c r="F4772" t="s">
        <v>25317</v>
      </c>
      <c r="G4772" t="s">
        <v>25317</v>
      </c>
      <c r="H4772" t="s">
        <v>868</v>
      </c>
      <c r="I4772" t="s">
        <v>869</v>
      </c>
      <c r="J4772" t="str">
        <f>"9190343"</f>
        <v>9190343</v>
      </c>
      <c r="K4772">
        <v>2396022225</v>
      </c>
      <c r="L4772">
        <v>2396024001</v>
      </c>
      <c r="M4772" t="s">
        <v>28414</v>
      </c>
      <c r="N4772" t="s">
        <v>25465</v>
      </c>
      <c r="O4772" t="s">
        <v>25465</v>
      </c>
      <c r="P4772">
        <v>57006</v>
      </c>
      <c r="Q4772" t="str">
        <f>"40.478979"</f>
        <v>40.478979</v>
      </c>
      <c r="R4772" t="str">
        <f>"23.138567"</f>
        <v>23.138567</v>
      </c>
      <c r="S4772" t="s">
        <v>26</v>
      </c>
    </row>
    <row r="4773" spans="1:19" x14ac:dyDescent="0.3">
      <c r="A4773" t="s">
        <v>25190</v>
      </c>
      <c r="B4773" t="s">
        <v>27598</v>
      </c>
      <c r="C4773" t="s">
        <v>28415</v>
      </c>
      <c r="D4773" t="s">
        <v>25197</v>
      </c>
      <c r="E4773" t="s">
        <v>25293</v>
      </c>
      <c r="F4773" t="s">
        <v>25294</v>
      </c>
      <c r="G4773" t="s">
        <v>25758</v>
      </c>
      <c r="H4773" t="s">
        <v>868</v>
      </c>
      <c r="I4773" t="s">
        <v>869</v>
      </c>
      <c r="J4773" t="str">
        <f>"9520672"</f>
        <v>9520672</v>
      </c>
      <c r="K4773">
        <v>2392091988</v>
      </c>
      <c r="L4773">
        <v>2392091988</v>
      </c>
      <c r="M4773" t="s">
        <v>28416</v>
      </c>
      <c r="N4773" t="s">
        <v>28042</v>
      </c>
      <c r="O4773" t="s">
        <v>28042</v>
      </c>
      <c r="P4773">
        <v>57500</v>
      </c>
      <c r="Q4773" t="str">
        <f>"40.413578"</f>
        <v>40.413578</v>
      </c>
      <c r="R4773" t="str">
        <f>"23.007634"</f>
        <v>23.007634</v>
      </c>
      <c r="S4773" t="s">
        <v>26</v>
      </c>
    </row>
    <row r="4774" spans="1:19" x14ac:dyDescent="0.3">
      <c r="A4774" t="s">
        <v>25190</v>
      </c>
      <c r="B4774" t="s">
        <v>27598</v>
      </c>
      <c r="C4774" t="s">
        <v>28417</v>
      </c>
      <c r="D4774" t="s">
        <v>25197</v>
      </c>
      <c r="E4774" t="s">
        <v>25198</v>
      </c>
      <c r="F4774" t="s">
        <v>25323</v>
      </c>
      <c r="G4774" t="s">
        <v>28099</v>
      </c>
      <c r="H4774" t="s">
        <v>868</v>
      </c>
      <c r="I4774" t="s">
        <v>869</v>
      </c>
      <c r="J4774" t="str">
        <f>"9521319"</f>
        <v>9521319</v>
      </c>
      <c r="K4774">
        <v>2392306871</v>
      </c>
      <c r="L4774">
        <v>2392306872</v>
      </c>
      <c r="M4774" t="s">
        <v>28418</v>
      </c>
      <c r="N4774" t="s">
        <v>28102</v>
      </c>
      <c r="O4774" t="s">
        <v>28419</v>
      </c>
      <c r="P4774">
        <v>57500</v>
      </c>
      <c r="Q4774" t="str">
        <f>"40.474996"</f>
        <v>40.474996</v>
      </c>
      <c r="R4774" t="str">
        <f>"22.958786"</f>
        <v>22.958786</v>
      </c>
      <c r="S4774" t="s">
        <v>26</v>
      </c>
    </row>
    <row r="4775" spans="1:19" x14ac:dyDescent="0.3">
      <c r="A4775" t="s">
        <v>25190</v>
      </c>
      <c r="B4775" t="s">
        <v>27598</v>
      </c>
      <c r="C4775" t="s">
        <v>25328</v>
      </c>
      <c r="D4775" t="s">
        <v>25197</v>
      </c>
      <c r="E4775" t="s">
        <v>25198</v>
      </c>
      <c r="F4775" t="s">
        <v>25323</v>
      </c>
      <c r="G4775" t="s">
        <v>25324</v>
      </c>
      <c r="H4775" t="s">
        <v>868</v>
      </c>
      <c r="I4775" t="s">
        <v>869</v>
      </c>
      <c r="J4775" t="str">
        <f>"9190375"</f>
        <v>9190375</v>
      </c>
      <c r="K4775">
        <v>2392061231</v>
      </c>
      <c r="L4775">
        <v>2392061231</v>
      </c>
      <c r="M4775" t="s">
        <v>28420</v>
      </c>
      <c r="N4775" t="s">
        <v>25327</v>
      </c>
      <c r="O4775" t="s">
        <v>25327</v>
      </c>
      <c r="P4775">
        <v>57500</v>
      </c>
      <c r="Q4775" t="str">
        <f>"40.473597"</f>
        <v>40.473597</v>
      </c>
      <c r="R4775" t="str">
        <f>"22.969850"</f>
        <v>22.969850</v>
      </c>
      <c r="S4775" t="s">
        <v>26</v>
      </c>
    </row>
    <row r="4776" spans="1:19" x14ac:dyDescent="0.3">
      <c r="A4776" t="s">
        <v>25190</v>
      </c>
      <c r="B4776" t="s">
        <v>27598</v>
      </c>
      <c r="C4776" t="s">
        <v>28433</v>
      </c>
      <c r="D4776" t="s">
        <v>25197</v>
      </c>
      <c r="E4776" t="s">
        <v>25299</v>
      </c>
      <c r="F4776" t="s">
        <v>25299</v>
      </c>
      <c r="G4776" t="s">
        <v>25299</v>
      </c>
      <c r="H4776" t="s">
        <v>868</v>
      </c>
      <c r="I4776" t="s">
        <v>1157</v>
      </c>
      <c r="J4776" t="str">
        <f>"9521480"</f>
        <v>9521480</v>
      </c>
      <c r="M4776" t="s">
        <v>27609</v>
      </c>
      <c r="N4776" t="s">
        <v>25331</v>
      </c>
      <c r="O4776" t="s">
        <v>28434</v>
      </c>
      <c r="P4776">
        <v>0</v>
      </c>
      <c r="Q4776" t="str">
        <f>""</f>
        <v/>
      </c>
      <c r="R4776" t="str">
        <f>""</f>
        <v/>
      </c>
      <c r="S4776" t="s">
        <v>26</v>
      </c>
    </row>
    <row r="4777" spans="1:19" x14ac:dyDescent="0.3">
      <c r="A4777" t="s">
        <v>25190</v>
      </c>
      <c r="B4777" t="s">
        <v>27598</v>
      </c>
      <c r="C4777" t="s">
        <v>28448</v>
      </c>
      <c r="D4777" t="s">
        <v>25197</v>
      </c>
      <c r="E4777" t="s">
        <v>25293</v>
      </c>
      <c r="F4777" t="s">
        <v>25433</v>
      </c>
      <c r="G4777" t="s">
        <v>27872</v>
      </c>
      <c r="H4777" t="s">
        <v>868</v>
      </c>
      <c r="I4777" t="s">
        <v>869</v>
      </c>
      <c r="J4777" t="str">
        <f>"9190345"</f>
        <v>9190345</v>
      </c>
      <c r="K4777">
        <v>2392031008</v>
      </c>
      <c r="L4777">
        <v>2392031970</v>
      </c>
      <c r="M4777" t="s">
        <v>28449</v>
      </c>
      <c r="N4777" t="s">
        <v>27875</v>
      </c>
      <c r="O4777" t="s">
        <v>28450</v>
      </c>
      <c r="P4777">
        <v>57004</v>
      </c>
      <c r="Q4777" t="str">
        <f>"40.475224"</f>
        <v>40.475224</v>
      </c>
      <c r="R4777" t="str">
        <f>"22.867159"</f>
        <v>22.867159</v>
      </c>
      <c r="S4777" t="s">
        <v>26</v>
      </c>
    </row>
    <row r="4778" spans="1:19" x14ac:dyDescent="0.3">
      <c r="A4778" t="s">
        <v>25190</v>
      </c>
      <c r="B4778" t="s">
        <v>27598</v>
      </c>
      <c r="C4778" t="s">
        <v>28452</v>
      </c>
      <c r="D4778" t="s">
        <v>25197</v>
      </c>
      <c r="E4778" t="s">
        <v>25293</v>
      </c>
      <c r="F4778" t="s">
        <v>25293</v>
      </c>
      <c r="G4778" t="s">
        <v>25453</v>
      </c>
      <c r="H4778" t="s">
        <v>868</v>
      </c>
      <c r="I4778" t="s">
        <v>869</v>
      </c>
      <c r="J4778" t="str">
        <f>"9521624"</f>
        <v>9521624</v>
      </c>
      <c r="M4778" t="s">
        <v>27609</v>
      </c>
      <c r="N4778" t="s">
        <v>28009</v>
      </c>
      <c r="O4778" t="s">
        <v>28447</v>
      </c>
      <c r="P4778">
        <v>0</v>
      </c>
      <c r="Q4778" t="str">
        <f>""</f>
        <v/>
      </c>
      <c r="R4778" t="str">
        <f>""</f>
        <v/>
      </c>
      <c r="S4778" t="s">
        <v>26</v>
      </c>
    </row>
    <row r="4779" spans="1:19" x14ac:dyDescent="0.3">
      <c r="A4779" t="s">
        <v>25190</v>
      </c>
      <c r="B4779" t="s">
        <v>27598</v>
      </c>
      <c r="C4779" t="s">
        <v>28453</v>
      </c>
      <c r="D4779" t="s">
        <v>25197</v>
      </c>
      <c r="E4779" t="s">
        <v>25293</v>
      </c>
      <c r="F4779" t="s">
        <v>25433</v>
      </c>
      <c r="G4779" t="s">
        <v>25434</v>
      </c>
      <c r="H4779" t="s">
        <v>868</v>
      </c>
      <c r="I4779" t="s">
        <v>869</v>
      </c>
      <c r="J4779" t="str">
        <f>"9521623"</f>
        <v>9521623</v>
      </c>
      <c r="M4779" t="s">
        <v>27609</v>
      </c>
      <c r="N4779" t="s">
        <v>28002</v>
      </c>
      <c r="O4779" t="s">
        <v>28454</v>
      </c>
      <c r="P4779">
        <v>0</v>
      </c>
      <c r="Q4779" t="str">
        <f>""</f>
        <v/>
      </c>
      <c r="R4779" t="str">
        <f>""</f>
        <v/>
      </c>
      <c r="S4779" t="s">
        <v>26</v>
      </c>
    </row>
    <row r="4780" spans="1:19" x14ac:dyDescent="0.3">
      <c r="A4780" t="s">
        <v>25190</v>
      </c>
      <c r="B4780" t="s">
        <v>27598</v>
      </c>
      <c r="C4780" t="s">
        <v>28455</v>
      </c>
      <c r="D4780" t="s">
        <v>25197</v>
      </c>
      <c r="E4780" t="s">
        <v>25293</v>
      </c>
      <c r="F4780" t="s">
        <v>25294</v>
      </c>
      <c r="G4780" t="s">
        <v>25294</v>
      </c>
      <c r="H4780" t="s">
        <v>868</v>
      </c>
      <c r="I4780" t="s">
        <v>869</v>
      </c>
      <c r="J4780" t="str">
        <f>"9521620"</f>
        <v>9521620</v>
      </c>
      <c r="M4780" t="s">
        <v>27609</v>
      </c>
      <c r="N4780" t="s">
        <v>25297</v>
      </c>
      <c r="O4780" t="s">
        <v>28434</v>
      </c>
      <c r="P4780">
        <v>0</v>
      </c>
      <c r="Q4780" t="str">
        <f>""</f>
        <v/>
      </c>
      <c r="R4780" t="str">
        <f>""</f>
        <v/>
      </c>
      <c r="S4780" t="s">
        <v>26</v>
      </c>
    </row>
    <row r="4781" spans="1:19" x14ac:dyDescent="0.3">
      <c r="A4781" t="s">
        <v>25190</v>
      </c>
      <c r="B4781" t="s">
        <v>27598</v>
      </c>
      <c r="C4781" t="s">
        <v>25745</v>
      </c>
      <c r="D4781" t="s">
        <v>25197</v>
      </c>
      <c r="E4781" t="s">
        <v>25198</v>
      </c>
      <c r="F4781" t="s">
        <v>25323</v>
      </c>
      <c r="G4781" t="s">
        <v>25740</v>
      </c>
      <c r="H4781" t="s">
        <v>868</v>
      </c>
      <c r="I4781" t="s">
        <v>869</v>
      </c>
      <c r="J4781" t="str">
        <f>"9521622"</f>
        <v>9521622</v>
      </c>
      <c r="K4781">
        <v>2392066435</v>
      </c>
      <c r="L4781">
        <v>2392066435</v>
      </c>
      <c r="M4781" t="s">
        <v>28456</v>
      </c>
      <c r="N4781" t="s">
        <v>27775</v>
      </c>
      <c r="O4781" t="s">
        <v>28457</v>
      </c>
      <c r="P4781">
        <v>57500</v>
      </c>
      <c r="Q4781" t="str">
        <f>"40.466210"</f>
        <v>40.466210</v>
      </c>
      <c r="R4781" t="str">
        <f>"22.994483"</f>
        <v>22.994483</v>
      </c>
      <c r="S4781" t="s">
        <v>26</v>
      </c>
    </row>
    <row r="4782" spans="1:19" x14ac:dyDescent="0.3">
      <c r="A4782" t="s">
        <v>25190</v>
      </c>
      <c r="B4782" t="s">
        <v>27598</v>
      </c>
      <c r="C4782" t="s">
        <v>28458</v>
      </c>
      <c r="D4782" t="s">
        <v>25197</v>
      </c>
      <c r="E4782" t="s">
        <v>25198</v>
      </c>
      <c r="F4782" t="s">
        <v>25317</v>
      </c>
      <c r="G4782" t="s">
        <v>25317</v>
      </c>
      <c r="H4782" t="s">
        <v>868</v>
      </c>
      <c r="I4782" t="s">
        <v>869</v>
      </c>
      <c r="J4782" t="str">
        <f>"9521621"</f>
        <v>9521621</v>
      </c>
      <c r="M4782" t="s">
        <v>27609</v>
      </c>
      <c r="N4782" t="s">
        <v>25465</v>
      </c>
      <c r="O4782" t="s">
        <v>25465</v>
      </c>
      <c r="P4782">
        <v>0</v>
      </c>
      <c r="Q4782" t="str">
        <f>""</f>
        <v/>
      </c>
      <c r="R4782" t="str">
        <f>""</f>
        <v/>
      </c>
      <c r="S4782" t="s">
        <v>26</v>
      </c>
    </row>
    <row r="4783" spans="1:19" x14ac:dyDescent="0.3">
      <c r="A4783" t="s">
        <v>25190</v>
      </c>
      <c r="B4783" t="s">
        <v>27598</v>
      </c>
      <c r="C4783" t="s">
        <v>28459</v>
      </c>
      <c r="D4783" t="s">
        <v>25197</v>
      </c>
      <c r="E4783" t="s">
        <v>25198</v>
      </c>
      <c r="F4783" t="s">
        <v>25198</v>
      </c>
      <c r="G4783" t="s">
        <v>25198</v>
      </c>
      <c r="H4783" t="s">
        <v>868</v>
      </c>
      <c r="I4783" t="s">
        <v>869</v>
      </c>
      <c r="J4783" t="str">
        <f>"9521670"</f>
        <v>9521670</v>
      </c>
      <c r="M4783" t="s">
        <v>27609</v>
      </c>
      <c r="N4783" t="s">
        <v>25201</v>
      </c>
      <c r="O4783" t="s">
        <v>20</v>
      </c>
      <c r="P4783">
        <v>0</v>
      </c>
      <c r="Q4783" t="str">
        <f>""</f>
        <v/>
      </c>
      <c r="R4783" t="str">
        <f>""</f>
        <v/>
      </c>
      <c r="S4783" t="s">
        <v>26</v>
      </c>
    </row>
    <row r="4784" spans="1:19" x14ac:dyDescent="0.3">
      <c r="A4784" t="s">
        <v>25190</v>
      </c>
      <c r="B4784" t="s">
        <v>27598</v>
      </c>
      <c r="C4784" t="s">
        <v>28463</v>
      </c>
      <c r="D4784" t="s">
        <v>25197</v>
      </c>
      <c r="E4784" t="s">
        <v>25293</v>
      </c>
      <c r="F4784" t="s">
        <v>25433</v>
      </c>
      <c r="G4784" t="s">
        <v>27872</v>
      </c>
      <c r="H4784" t="s">
        <v>868</v>
      </c>
      <c r="I4784" t="s">
        <v>1157</v>
      </c>
      <c r="J4784" t="str">
        <f>"9521698"</f>
        <v>9521698</v>
      </c>
      <c r="K4784">
        <v>2392306818</v>
      </c>
      <c r="M4784" t="s">
        <v>28464</v>
      </c>
      <c r="N4784" t="s">
        <v>27875</v>
      </c>
      <c r="O4784" t="s">
        <v>28465</v>
      </c>
      <c r="P4784">
        <v>57004</v>
      </c>
      <c r="Q4784" t="str">
        <f>"40.475681"</f>
        <v>40.475681</v>
      </c>
      <c r="R4784" t="str">
        <f>"22.867073"</f>
        <v>22.867073</v>
      </c>
      <c r="S4784" t="s">
        <v>26</v>
      </c>
    </row>
    <row r="4785" spans="1:19" x14ac:dyDescent="0.3">
      <c r="A4785" t="s">
        <v>25190</v>
      </c>
      <c r="B4785" t="s">
        <v>28466</v>
      </c>
      <c r="C4785" t="s">
        <v>28619</v>
      </c>
      <c r="D4785" t="s">
        <v>25197</v>
      </c>
      <c r="E4785" t="s">
        <v>25826</v>
      </c>
      <c r="F4785" t="s">
        <v>25827</v>
      </c>
      <c r="G4785" t="s">
        <v>25827</v>
      </c>
      <c r="H4785" t="s">
        <v>868</v>
      </c>
      <c r="I4785" t="s">
        <v>950</v>
      </c>
      <c r="J4785" t="str">
        <f>"9190658"</f>
        <v>9190658</v>
      </c>
      <c r="K4785">
        <v>2310763290</v>
      </c>
      <c r="L4785">
        <v>2310763290</v>
      </c>
      <c r="M4785" t="s">
        <v>28620</v>
      </c>
      <c r="N4785" t="s">
        <v>25827</v>
      </c>
      <c r="O4785" t="s">
        <v>28469</v>
      </c>
      <c r="P4785">
        <v>54628</v>
      </c>
      <c r="Q4785" t="str">
        <f>"40.667582"</f>
        <v>40.667582</v>
      </c>
      <c r="R4785" t="str">
        <f>"22.885280"</f>
        <v>22.885280</v>
      </c>
      <c r="S4785" t="s">
        <v>26</v>
      </c>
    </row>
    <row r="4786" spans="1:19" x14ac:dyDescent="0.3">
      <c r="A4786" t="s">
        <v>25190</v>
      </c>
      <c r="B4786" t="s">
        <v>28466</v>
      </c>
      <c r="C4786" t="s">
        <v>28652</v>
      </c>
      <c r="D4786" t="s">
        <v>25197</v>
      </c>
      <c r="E4786" t="s">
        <v>25966</v>
      </c>
      <c r="F4786" t="s">
        <v>25966</v>
      </c>
      <c r="G4786" t="s">
        <v>25966</v>
      </c>
      <c r="H4786" t="s">
        <v>868</v>
      </c>
      <c r="I4786" t="s">
        <v>869</v>
      </c>
      <c r="J4786" t="str">
        <f>"9190155"</f>
        <v>9190155</v>
      </c>
      <c r="K4786">
        <v>2310697780</v>
      </c>
      <c r="L4786">
        <v>2310697780</v>
      </c>
      <c r="M4786" t="s">
        <v>28653</v>
      </c>
      <c r="N4786" t="s">
        <v>26360</v>
      </c>
      <c r="O4786" t="s">
        <v>28654</v>
      </c>
      <c r="P4786">
        <v>57013</v>
      </c>
      <c r="Q4786" t="str">
        <f>"40.711956"</f>
        <v>40.711956</v>
      </c>
      <c r="R4786" t="str">
        <f>"22.928337"</f>
        <v>22.928337</v>
      </c>
      <c r="S4786" t="s">
        <v>26</v>
      </c>
    </row>
    <row r="4787" spans="1:19" x14ac:dyDescent="0.3">
      <c r="A4787" t="s">
        <v>25190</v>
      </c>
      <c r="B4787" t="s">
        <v>28466</v>
      </c>
      <c r="C4787" t="s">
        <v>28655</v>
      </c>
      <c r="D4787" t="s">
        <v>25197</v>
      </c>
      <c r="E4787" t="s">
        <v>25790</v>
      </c>
      <c r="F4787" t="s">
        <v>25851</v>
      </c>
      <c r="G4787" t="s">
        <v>25852</v>
      </c>
      <c r="H4787" t="s">
        <v>868</v>
      </c>
      <c r="I4787" t="s">
        <v>869</v>
      </c>
      <c r="J4787" t="str">
        <f>"9190293"</f>
        <v>9190293</v>
      </c>
      <c r="K4787">
        <v>2310798183</v>
      </c>
      <c r="L4787">
        <v>2310798183</v>
      </c>
      <c r="M4787" t="s">
        <v>28656</v>
      </c>
      <c r="N4787" t="s">
        <v>25855</v>
      </c>
      <c r="O4787" t="s">
        <v>28657</v>
      </c>
      <c r="P4787">
        <v>57400</v>
      </c>
      <c r="Q4787" t="str">
        <f>"40.669735"</f>
        <v>40.669735</v>
      </c>
      <c r="R4787" t="str">
        <f>"22.809647"</f>
        <v>22.809647</v>
      </c>
      <c r="S4787" t="s">
        <v>26</v>
      </c>
    </row>
    <row r="4788" spans="1:19" x14ac:dyDescent="0.3">
      <c r="A4788" t="s">
        <v>25190</v>
      </c>
      <c r="B4788" t="s">
        <v>28466</v>
      </c>
      <c r="C4788" t="s">
        <v>28658</v>
      </c>
      <c r="D4788" t="s">
        <v>25197</v>
      </c>
      <c r="E4788" t="s">
        <v>25203</v>
      </c>
      <c r="F4788" t="s">
        <v>25878</v>
      </c>
      <c r="G4788" t="s">
        <v>25878</v>
      </c>
      <c r="H4788" t="s">
        <v>868</v>
      </c>
      <c r="I4788" t="s">
        <v>869</v>
      </c>
      <c r="J4788" t="str">
        <f>"9190351"</f>
        <v>9190351</v>
      </c>
      <c r="K4788">
        <v>2310680250</v>
      </c>
      <c r="M4788" t="s">
        <v>28659</v>
      </c>
      <c r="N4788" t="s">
        <v>26602</v>
      </c>
      <c r="O4788" t="s">
        <v>28660</v>
      </c>
      <c r="P4788">
        <v>56429</v>
      </c>
      <c r="Q4788" t="str">
        <f>"40.686153"</f>
        <v>40.686153</v>
      </c>
      <c r="R4788" t="str">
        <f>"22.954326"</f>
        <v>22.954326</v>
      </c>
      <c r="S4788" t="s">
        <v>26</v>
      </c>
    </row>
    <row r="4789" spans="1:19" x14ac:dyDescent="0.3">
      <c r="A4789" t="s">
        <v>25190</v>
      </c>
      <c r="B4789" t="s">
        <v>28466</v>
      </c>
      <c r="C4789" t="s">
        <v>28661</v>
      </c>
      <c r="D4789" t="s">
        <v>25197</v>
      </c>
      <c r="E4789" t="s">
        <v>25873</v>
      </c>
      <c r="F4789" t="s">
        <v>17906</v>
      </c>
      <c r="G4789" t="s">
        <v>17906</v>
      </c>
      <c r="H4789" t="s">
        <v>868</v>
      </c>
      <c r="I4789" t="s">
        <v>869</v>
      </c>
      <c r="J4789" t="str">
        <f>"9190119"</f>
        <v>9190119</v>
      </c>
      <c r="K4789">
        <v>2310730702</v>
      </c>
      <c r="L4789">
        <v>2310734343</v>
      </c>
      <c r="M4789" t="s">
        <v>28662</v>
      </c>
      <c r="N4789" t="s">
        <v>3379</v>
      </c>
      <c r="O4789" t="s">
        <v>28623</v>
      </c>
      <c r="P4789">
        <v>56123</v>
      </c>
      <c r="Q4789" t="str">
        <f>"40.653549"</f>
        <v>40.653549</v>
      </c>
      <c r="R4789" t="str">
        <f>"22.925061"</f>
        <v>22.925061</v>
      </c>
      <c r="S4789" t="s">
        <v>26</v>
      </c>
    </row>
    <row r="4790" spans="1:19" x14ac:dyDescent="0.3">
      <c r="A4790" t="s">
        <v>25190</v>
      </c>
      <c r="B4790" t="s">
        <v>28466</v>
      </c>
      <c r="C4790" t="s">
        <v>28679</v>
      </c>
      <c r="D4790" t="s">
        <v>25197</v>
      </c>
      <c r="E4790" t="s">
        <v>25203</v>
      </c>
      <c r="F4790" t="s">
        <v>595</v>
      </c>
      <c r="G4790" t="s">
        <v>595</v>
      </c>
      <c r="H4790" t="s">
        <v>868</v>
      </c>
      <c r="I4790" t="s">
        <v>869</v>
      </c>
      <c r="J4790" t="str">
        <f>"9190078"</f>
        <v>9190078</v>
      </c>
      <c r="K4790">
        <v>2310656110</v>
      </c>
      <c r="L4790">
        <v>2310656110</v>
      </c>
      <c r="M4790" t="s">
        <v>28680</v>
      </c>
      <c r="N4790" t="s">
        <v>2473</v>
      </c>
      <c r="O4790" t="s">
        <v>28553</v>
      </c>
      <c r="P4790">
        <v>56430</v>
      </c>
      <c r="Q4790" t="str">
        <f>"40.660024"</f>
        <v>40.660024</v>
      </c>
      <c r="R4790" t="str">
        <f>"22.930262"</f>
        <v>22.930262</v>
      </c>
      <c r="S4790" t="s">
        <v>26</v>
      </c>
    </row>
    <row r="4791" spans="1:19" x14ac:dyDescent="0.3">
      <c r="A4791" t="s">
        <v>25190</v>
      </c>
      <c r="B4791" t="s">
        <v>28466</v>
      </c>
      <c r="C4791" t="s">
        <v>28681</v>
      </c>
      <c r="D4791" t="s">
        <v>25197</v>
      </c>
      <c r="E4791" t="s">
        <v>25889</v>
      </c>
      <c r="F4791" t="s">
        <v>25924</v>
      </c>
      <c r="G4791" t="s">
        <v>25924</v>
      </c>
      <c r="H4791" t="s">
        <v>868</v>
      </c>
      <c r="I4791" t="s">
        <v>869</v>
      </c>
      <c r="J4791" t="str">
        <f>"9190642"</f>
        <v>9190642</v>
      </c>
      <c r="K4791">
        <v>2310619689</v>
      </c>
      <c r="L4791">
        <v>2310619689</v>
      </c>
      <c r="M4791" t="s">
        <v>28682</v>
      </c>
      <c r="N4791" t="s">
        <v>25924</v>
      </c>
      <c r="O4791" t="s">
        <v>28683</v>
      </c>
      <c r="P4791">
        <v>56625</v>
      </c>
      <c r="Q4791" t="str">
        <f>"40.650001"</f>
        <v>40.650001</v>
      </c>
      <c r="R4791" t="str">
        <f>"22.949762"</f>
        <v>22.949762</v>
      </c>
      <c r="S4791" t="s">
        <v>26</v>
      </c>
    </row>
    <row r="4792" spans="1:19" x14ac:dyDescent="0.3">
      <c r="A4792" t="s">
        <v>25190</v>
      </c>
      <c r="B4792" t="s">
        <v>28466</v>
      </c>
      <c r="C4792" t="s">
        <v>28684</v>
      </c>
      <c r="D4792" t="s">
        <v>25197</v>
      </c>
      <c r="E4792" t="s">
        <v>25873</v>
      </c>
      <c r="F4792" t="s">
        <v>25992</v>
      </c>
      <c r="G4792" t="s">
        <v>25992</v>
      </c>
      <c r="H4792" t="s">
        <v>868</v>
      </c>
      <c r="I4792" t="s">
        <v>869</v>
      </c>
      <c r="J4792" t="str">
        <f>"9190733"</f>
        <v>9190733</v>
      </c>
      <c r="K4792">
        <v>2310723604</v>
      </c>
      <c r="L4792">
        <v>2310723604</v>
      </c>
      <c r="M4792" t="s">
        <v>28685</v>
      </c>
      <c r="N4792" t="s">
        <v>28686</v>
      </c>
      <c r="O4792" t="s">
        <v>28687</v>
      </c>
      <c r="P4792">
        <v>56122</v>
      </c>
      <c r="Q4792" t="str">
        <f>"40.655612"</f>
        <v>40.655612</v>
      </c>
      <c r="R4792" t="str">
        <f>"22.914443"</f>
        <v>22.914443</v>
      </c>
      <c r="S4792" t="s">
        <v>26</v>
      </c>
    </row>
    <row r="4793" spans="1:19" x14ac:dyDescent="0.3">
      <c r="A4793" t="s">
        <v>25190</v>
      </c>
      <c r="B4793" t="s">
        <v>28466</v>
      </c>
      <c r="C4793" t="s">
        <v>26374</v>
      </c>
      <c r="D4793" t="s">
        <v>25197</v>
      </c>
      <c r="E4793" t="s">
        <v>25826</v>
      </c>
      <c r="F4793" t="s">
        <v>25833</v>
      </c>
      <c r="G4793" t="s">
        <v>25833</v>
      </c>
      <c r="H4793" t="s">
        <v>868</v>
      </c>
      <c r="I4793" t="s">
        <v>869</v>
      </c>
      <c r="J4793" t="str">
        <f>"9190557"</f>
        <v>9190557</v>
      </c>
      <c r="K4793">
        <v>2310761071</v>
      </c>
      <c r="L4793">
        <v>2316008507</v>
      </c>
      <c r="M4793" t="s">
        <v>28691</v>
      </c>
      <c r="N4793" t="s">
        <v>26010</v>
      </c>
      <c r="O4793" t="s">
        <v>28692</v>
      </c>
      <c r="P4793">
        <v>56224</v>
      </c>
      <c r="Q4793" t="str">
        <f>"40.661915"</f>
        <v>40.661915</v>
      </c>
      <c r="R4793" t="str">
        <f>"22.910384"</f>
        <v>22.910384</v>
      </c>
      <c r="S4793" t="s">
        <v>26</v>
      </c>
    </row>
    <row r="4794" spans="1:19" x14ac:dyDescent="0.3">
      <c r="A4794" t="s">
        <v>25190</v>
      </c>
      <c r="B4794" t="s">
        <v>28466</v>
      </c>
      <c r="C4794" t="s">
        <v>25814</v>
      </c>
      <c r="D4794" t="s">
        <v>25197</v>
      </c>
      <c r="E4794" t="s">
        <v>13689</v>
      </c>
      <c r="F4794" t="s">
        <v>25808</v>
      </c>
      <c r="G4794" t="s">
        <v>25809</v>
      </c>
      <c r="H4794" t="s">
        <v>868</v>
      </c>
      <c r="I4794" t="s">
        <v>869</v>
      </c>
      <c r="J4794" t="str">
        <f>"9190393"</f>
        <v>9190393</v>
      </c>
      <c r="K4794">
        <v>2393022030</v>
      </c>
      <c r="L4794">
        <v>2393022030</v>
      </c>
      <c r="M4794" t="s">
        <v>28693</v>
      </c>
      <c r="N4794" t="s">
        <v>28694</v>
      </c>
      <c r="O4794" t="s">
        <v>26052</v>
      </c>
      <c r="P4794">
        <v>57020</v>
      </c>
      <c r="Q4794" t="str">
        <f>"40.634477"</f>
        <v>40.634477</v>
      </c>
      <c r="R4794" t="str">
        <f>"23.246123"</f>
        <v>23.246123</v>
      </c>
      <c r="S4794" t="s">
        <v>26</v>
      </c>
    </row>
    <row r="4795" spans="1:19" x14ac:dyDescent="0.3">
      <c r="A4795" t="s">
        <v>25190</v>
      </c>
      <c r="B4795" t="s">
        <v>28466</v>
      </c>
      <c r="C4795" t="s">
        <v>25783</v>
      </c>
      <c r="D4795" t="s">
        <v>25197</v>
      </c>
      <c r="E4795" t="s">
        <v>25765</v>
      </c>
      <c r="F4795" t="s">
        <v>25777</v>
      </c>
      <c r="G4795" t="s">
        <v>25778</v>
      </c>
      <c r="H4795" t="s">
        <v>868</v>
      </c>
      <c r="I4795" t="s">
        <v>869</v>
      </c>
      <c r="J4795" t="str">
        <f>"9190398"</f>
        <v>9190398</v>
      </c>
      <c r="K4795">
        <v>2393041275</v>
      </c>
      <c r="L4795">
        <v>2393041294</v>
      </c>
      <c r="M4795" t="s">
        <v>28695</v>
      </c>
      <c r="N4795" t="s">
        <v>28696</v>
      </c>
      <c r="O4795" t="s">
        <v>28696</v>
      </c>
      <c r="P4795">
        <v>57015</v>
      </c>
      <c r="Q4795" t="str">
        <f>"40.625702"</f>
        <v>40.625702</v>
      </c>
      <c r="R4795" t="str">
        <f>"23.440427"</f>
        <v>23.440427</v>
      </c>
      <c r="S4795" t="s">
        <v>26</v>
      </c>
    </row>
    <row r="4796" spans="1:19" x14ac:dyDescent="0.3">
      <c r="A4796" t="s">
        <v>25190</v>
      </c>
      <c r="B4796" t="s">
        <v>28466</v>
      </c>
      <c r="C4796" t="s">
        <v>26350</v>
      </c>
      <c r="D4796" t="s">
        <v>25197</v>
      </c>
      <c r="E4796" t="s">
        <v>25966</v>
      </c>
      <c r="F4796" t="s">
        <v>25966</v>
      </c>
      <c r="G4796" t="s">
        <v>25966</v>
      </c>
      <c r="H4796" t="s">
        <v>868</v>
      </c>
      <c r="I4796" t="s">
        <v>869</v>
      </c>
      <c r="J4796" t="str">
        <f>"9190378"</f>
        <v>9190378</v>
      </c>
      <c r="K4796">
        <v>2310696185</v>
      </c>
      <c r="L4796">
        <v>2310696925</v>
      </c>
      <c r="M4796" t="s">
        <v>28697</v>
      </c>
      <c r="N4796" t="s">
        <v>13558</v>
      </c>
      <c r="O4796" t="s">
        <v>28698</v>
      </c>
      <c r="P4796">
        <v>57013</v>
      </c>
      <c r="Q4796" t="str">
        <f>"40.720173"</f>
        <v>40.720173</v>
      </c>
      <c r="R4796" t="str">
        <f>"22.909240"</f>
        <v>22.909240</v>
      </c>
      <c r="S4796" t="s">
        <v>26</v>
      </c>
    </row>
    <row r="4797" spans="1:19" x14ac:dyDescent="0.3">
      <c r="A4797" t="s">
        <v>25190</v>
      </c>
      <c r="B4797" t="s">
        <v>28466</v>
      </c>
      <c r="C4797" t="s">
        <v>28699</v>
      </c>
      <c r="D4797" t="s">
        <v>25197</v>
      </c>
      <c r="E4797" t="s">
        <v>25966</v>
      </c>
      <c r="F4797" t="s">
        <v>5563</v>
      </c>
      <c r="G4797" t="s">
        <v>3405</v>
      </c>
      <c r="H4797" t="s">
        <v>868</v>
      </c>
      <c r="I4797" t="s">
        <v>869</v>
      </c>
      <c r="J4797" t="str">
        <f>"9190330"</f>
        <v>9190330</v>
      </c>
      <c r="K4797">
        <v>2310786010</v>
      </c>
      <c r="L4797">
        <v>2310786010</v>
      </c>
      <c r="M4797" t="s">
        <v>28700</v>
      </c>
      <c r="N4797" t="s">
        <v>3408</v>
      </c>
      <c r="O4797" t="s">
        <v>3568</v>
      </c>
      <c r="P4797">
        <v>54500</v>
      </c>
      <c r="Q4797" t="str">
        <f>"40.798614"</f>
        <v>40.798614</v>
      </c>
      <c r="R4797" t="str">
        <f>"22.840733"</f>
        <v>22.840733</v>
      </c>
      <c r="S4797" t="s">
        <v>26</v>
      </c>
    </row>
    <row r="4798" spans="1:19" x14ac:dyDescent="0.3">
      <c r="A4798" t="s">
        <v>25190</v>
      </c>
      <c r="B4798" t="s">
        <v>28466</v>
      </c>
      <c r="C4798" t="s">
        <v>25971</v>
      </c>
      <c r="D4798" t="s">
        <v>25197</v>
      </c>
      <c r="E4798" t="s">
        <v>25966</v>
      </c>
      <c r="F4798" t="s">
        <v>25966</v>
      </c>
      <c r="G4798" t="s">
        <v>25966</v>
      </c>
      <c r="H4798" t="s">
        <v>868</v>
      </c>
      <c r="I4798" t="s">
        <v>869</v>
      </c>
      <c r="J4798" t="str">
        <f>"9190868"</f>
        <v>9190868</v>
      </c>
      <c r="K4798">
        <v>2310696267</v>
      </c>
      <c r="L4798">
        <v>2310696267</v>
      </c>
      <c r="M4798" t="s">
        <v>28701</v>
      </c>
      <c r="N4798" t="s">
        <v>26360</v>
      </c>
      <c r="O4798" t="s">
        <v>18794</v>
      </c>
      <c r="P4798">
        <v>57013</v>
      </c>
      <c r="Q4798" t="str">
        <f>"40.727075"</f>
        <v>40.727075</v>
      </c>
      <c r="R4798" t="str">
        <f>"22.916219"</f>
        <v>22.916219</v>
      </c>
      <c r="S4798" t="s">
        <v>26</v>
      </c>
    </row>
    <row r="4799" spans="1:19" x14ac:dyDescent="0.3">
      <c r="A4799" t="s">
        <v>25190</v>
      </c>
      <c r="B4799" t="s">
        <v>28466</v>
      </c>
      <c r="C4799" t="s">
        <v>28702</v>
      </c>
      <c r="D4799" t="s">
        <v>25197</v>
      </c>
      <c r="E4799" t="s">
        <v>25889</v>
      </c>
      <c r="F4799" t="s">
        <v>26080</v>
      </c>
      <c r="G4799" t="s">
        <v>26080</v>
      </c>
      <c r="H4799" t="s">
        <v>868</v>
      </c>
      <c r="I4799" t="s">
        <v>869</v>
      </c>
      <c r="J4799" t="str">
        <f>"9190332"</f>
        <v>9190332</v>
      </c>
      <c r="K4799">
        <v>2310675633</v>
      </c>
      <c r="L4799">
        <v>2310675633</v>
      </c>
      <c r="M4799" t="s">
        <v>28703</v>
      </c>
      <c r="N4799" t="s">
        <v>26262</v>
      </c>
      <c r="O4799" t="s">
        <v>28704</v>
      </c>
      <c r="P4799">
        <v>57010</v>
      </c>
      <c r="Q4799" t="str">
        <f>"40.655605"</f>
        <v>40.655605</v>
      </c>
      <c r="R4799" t="str">
        <f>"22.990129"</f>
        <v>22.990129</v>
      </c>
      <c r="S4799" t="s">
        <v>26</v>
      </c>
    </row>
    <row r="4800" spans="1:19" x14ac:dyDescent="0.3">
      <c r="A4800" t="s">
        <v>25190</v>
      </c>
      <c r="B4800" t="s">
        <v>28466</v>
      </c>
      <c r="C4800" t="s">
        <v>28705</v>
      </c>
      <c r="D4800" t="s">
        <v>25197</v>
      </c>
      <c r="E4800" t="s">
        <v>25790</v>
      </c>
      <c r="F4800" t="s">
        <v>25851</v>
      </c>
      <c r="G4800" t="s">
        <v>26241</v>
      </c>
      <c r="H4800" t="s">
        <v>868</v>
      </c>
      <c r="I4800" t="s">
        <v>869</v>
      </c>
      <c r="J4800" t="str">
        <f>"9190805"</f>
        <v>9190805</v>
      </c>
      <c r="K4800">
        <v>2310781323</v>
      </c>
      <c r="L4800">
        <v>2310781323</v>
      </c>
      <c r="M4800" t="s">
        <v>28706</v>
      </c>
      <c r="N4800" t="s">
        <v>28707</v>
      </c>
      <c r="O4800" t="s">
        <v>8435</v>
      </c>
      <c r="P4800">
        <v>57008</v>
      </c>
      <c r="Q4800" t="str">
        <f>"40.687788"</f>
        <v>40.687788</v>
      </c>
      <c r="R4800" t="str">
        <f>"22.856972"</f>
        <v>22.856972</v>
      </c>
      <c r="S4800" t="s">
        <v>26</v>
      </c>
    </row>
    <row r="4801" spans="1:19" x14ac:dyDescent="0.3">
      <c r="A4801" t="s">
        <v>25190</v>
      </c>
      <c r="B4801" t="s">
        <v>28466</v>
      </c>
      <c r="C4801" t="s">
        <v>28709</v>
      </c>
      <c r="D4801" t="s">
        <v>25197</v>
      </c>
      <c r="E4801" t="s">
        <v>13689</v>
      </c>
      <c r="F4801" t="s">
        <v>25845</v>
      </c>
      <c r="G4801" t="s">
        <v>28708</v>
      </c>
      <c r="H4801" t="s">
        <v>868</v>
      </c>
      <c r="I4801" t="s">
        <v>869</v>
      </c>
      <c r="J4801" t="str">
        <f>"9190218"</f>
        <v>9190218</v>
      </c>
      <c r="K4801">
        <v>2395061274</v>
      </c>
      <c r="L4801">
        <v>2395061274</v>
      </c>
      <c r="M4801" t="s">
        <v>28710</v>
      </c>
      <c r="O4801" t="s">
        <v>28711</v>
      </c>
      <c r="P4801">
        <v>57002</v>
      </c>
      <c r="Q4801" t="str">
        <f>"40.748685"</f>
        <v>40.748685</v>
      </c>
      <c r="R4801" t="str">
        <f>"23.386498"</f>
        <v>23.386498</v>
      </c>
      <c r="S4801" t="s">
        <v>26</v>
      </c>
    </row>
    <row r="4802" spans="1:19" x14ac:dyDescent="0.3">
      <c r="A4802" t="s">
        <v>25190</v>
      </c>
      <c r="B4802" t="s">
        <v>28466</v>
      </c>
      <c r="C4802" t="s">
        <v>28713</v>
      </c>
      <c r="D4802" t="s">
        <v>25197</v>
      </c>
      <c r="E4802" t="s">
        <v>13689</v>
      </c>
      <c r="F4802" t="s">
        <v>25808</v>
      </c>
      <c r="G4802" t="s">
        <v>28712</v>
      </c>
      <c r="H4802" t="s">
        <v>868</v>
      </c>
      <c r="I4802" t="s">
        <v>869</v>
      </c>
      <c r="J4802" t="str">
        <f>"9190198"</f>
        <v>9190198</v>
      </c>
      <c r="K4802">
        <v>2393022334</v>
      </c>
      <c r="L4802">
        <v>2393022334</v>
      </c>
      <c r="M4802" t="s">
        <v>28714</v>
      </c>
      <c r="N4802" t="s">
        <v>28712</v>
      </c>
      <c r="O4802" t="s">
        <v>28715</v>
      </c>
      <c r="P4802">
        <v>57012</v>
      </c>
      <c r="Q4802" t="str">
        <f>"40.628898"</f>
        <v>40.628898</v>
      </c>
      <c r="R4802" t="str">
        <f>"23.214422"</f>
        <v>23.214422</v>
      </c>
      <c r="S4802" t="s">
        <v>26</v>
      </c>
    </row>
    <row r="4803" spans="1:19" x14ac:dyDescent="0.3">
      <c r="A4803" t="s">
        <v>25190</v>
      </c>
      <c r="B4803" t="s">
        <v>28466</v>
      </c>
      <c r="C4803" t="s">
        <v>28716</v>
      </c>
      <c r="D4803" t="s">
        <v>25197</v>
      </c>
      <c r="E4803" t="s">
        <v>25765</v>
      </c>
      <c r="F4803" t="s">
        <v>21848</v>
      </c>
      <c r="G4803" t="s">
        <v>25765</v>
      </c>
      <c r="H4803" t="s">
        <v>868</v>
      </c>
      <c r="I4803" t="s">
        <v>950</v>
      </c>
      <c r="J4803" t="str">
        <f>"9190227"</f>
        <v>9190227</v>
      </c>
      <c r="K4803">
        <v>2397051230</v>
      </c>
      <c r="L4803">
        <v>2397051230</v>
      </c>
      <c r="M4803" t="s">
        <v>28717</v>
      </c>
      <c r="N4803" t="s">
        <v>28718</v>
      </c>
      <c r="O4803" t="s">
        <v>28719</v>
      </c>
      <c r="P4803">
        <v>57014</v>
      </c>
      <c r="Q4803" t="str">
        <f>"40.677728"</f>
        <v>40.677728</v>
      </c>
      <c r="R4803" t="str">
        <f>"23.564260"</f>
        <v>23.564260</v>
      </c>
      <c r="S4803" t="s">
        <v>26</v>
      </c>
    </row>
    <row r="4804" spans="1:19" x14ac:dyDescent="0.3">
      <c r="A4804" t="s">
        <v>25190</v>
      </c>
      <c r="B4804" t="s">
        <v>28466</v>
      </c>
      <c r="C4804" t="s">
        <v>28721</v>
      </c>
      <c r="D4804" t="s">
        <v>25197</v>
      </c>
      <c r="E4804" t="s">
        <v>13689</v>
      </c>
      <c r="F4804" t="s">
        <v>13689</v>
      </c>
      <c r="G4804" t="s">
        <v>28720</v>
      </c>
      <c r="H4804" t="s">
        <v>868</v>
      </c>
      <c r="I4804" t="s">
        <v>869</v>
      </c>
      <c r="J4804" t="str">
        <f>"9190389"</f>
        <v>9190389</v>
      </c>
      <c r="K4804">
        <v>2394052138</v>
      </c>
      <c r="L4804">
        <v>2394052138</v>
      </c>
      <c r="M4804" t="s">
        <v>28722</v>
      </c>
      <c r="N4804" t="s">
        <v>28723</v>
      </c>
      <c r="P4804">
        <v>57200</v>
      </c>
      <c r="Q4804" t="str">
        <f>"40.717066"</f>
        <v>40.717066</v>
      </c>
      <c r="R4804" t="str">
        <f>"23.043075"</f>
        <v>23.043075</v>
      </c>
      <c r="S4804" t="s">
        <v>26</v>
      </c>
    </row>
    <row r="4805" spans="1:19" x14ac:dyDescent="0.3">
      <c r="A4805" t="s">
        <v>25190</v>
      </c>
      <c r="B4805" t="s">
        <v>28466</v>
      </c>
      <c r="C4805" t="s">
        <v>25945</v>
      </c>
      <c r="D4805" t="s">
        <v>25197</v>
      </c>
      <c r="E4805" t="s">
        <v>25203</v>
      </c>
      <c r="F4805" t="s">
        <v>595</v>
      </c>
      <c r="G4805" t="s">
        <v>595</v>
      </c>
      <c r="H4805" t="s">
        <v>868</v>
      </c>
      <c r="I4805" t="s">
        <v>869</v>
      </c>
      <c r="J4805" t="str">
        <f>"9190527"</f>
        <v>9190527</v>
      </c>
      <c r="K4805">
        <v>2310655779</v>
      </c>
      <c r="L4805">
        <v>2310655779</v>
      </c>
      <c r="M4805" t="s">
        <v>28724</v>
      </c>
      <c r="N4805" t="s">
        <v>2473</v>
      </c>
      <c r="O4805" t="s">
        <v>28725</v>
      </c>
      <c r="P4805">
        <v>56430</v>
      </c>
      <c r="Q4805" t="str">
        <f>"40.657509"</f>
        <v>40.657509</v>
      </c>
      <c r="R4805" t="str">
        <f>"22.929483"</f>
        <v>22.929483</v>
      </c>
      <c r="S4805" t="s">
        <v>26</v>
      </c>
    </row>
    <row r="4806" spans="1:19" x14ac:dyDescent="0.3">
      <c r="A4806" t="s">
        <v>25190</v>
      </c>
      <c r="B4806" t="s">
        <v>28466</v>
      </c>
      <c r="C4806" t="s">
        <v>28726</v>
      </c>
      <c r="D4806" t="s">
        <v>25197</v>
      </c>
      <c r="E4806" t="s">
        <v>25203</v>
      </c>
      <c r="F4806" t="s">
        <v>25784</v>
      </c>
      <c r="G4806" t="s">
        <v>25784</v>
      </c>
      <c r="H4806" t="s">
        <v>868</v>
      </c>
      <c r="I4806" t="s">
        <v>869</v>
      </c>
      <c r="J4806" t="str">
        <f>"9190070"</f>
        <v>9190070</v>
      </c>
      <c r="K4806">
        <v>2310611258</v>
      </c>
      <c r="L4806">
        <v>2310672087</v>
      </c>
      <c r="M4806" t="s">
        <v>28727</v>
      </c>
      <c r="N4806" t="s">
        <v>28728</v>
      </c>
      <c r="O4806" t="s">
        <v>28729</v>
      </c>
      <c r="P4806">
        <v>56532</v>
      </c>
      <c r="Q4806" t="str">
        <f>"40.656043"</f>
        <v>40.656043</v>
      </c>
      <c r="R4806" t="str">
        <f>"22.957353"</f>
        <v>22.957353</v>
      </c>
      <c r="S4806" t="s">
        <v>26</v>
      </c>
    </row>
    <row r="4807" spans="1:19" x14ac:dyDescent="0.3">
      <c r="A4807" t="s">
        <v>25190</v>
      </c>
      <c r="B4807" t="s">
        <v>28466</v>
      </c>
      <c r="C4807" t="s">
        <v>25797</v>
      </c>
      <c r="D4807" t="s">
        <v>25197</v>
      </c>
      <c r="E4807" t="s">
        <v>25790</v>
      </c>
      <c r="F4807" t="s">
        <v>25791</v>
      </c>
      <c r="G4807" t="s">
        <v>25792</v>
      </c>
      <c r="H4807" t="s">
        <v>868</v>
      </c>
      <c r="I4807" t="s">
        <v>869</v>
      </c>
      <c r="J4807" t="str">
        <f>"9190930"</f>
        <v>9190930</v>
      </c>
      <c r="K4807">
        <v>2391042902</v>
      </c>
      <c r="L4807">
        <v>2391300624</v>
      </c>
      <c r="M4807" t="s">
        <v>28730</v>
      </c>
      <c r="N4807" t="s">
        <v>26267</v>
      </c>
      <c r="O4807" t="s">
        <v>28404</v>
      </c>
      <c r="P4807">
        <v>57300</v>
      </c>
      <c r="Q4807" t="str">
        <f>"40.615882"</f>
        <v>40.615882</v>
      </c>
      <c r="R4807" t="str">
        <f>"22.693252"</f>
        <v>22.693252</v>
      </c>
      <c r="S4807" t="s">
        <v>26</v>
      </c>
    </row>
    <row r="4808" spans="1:19" x14ac:dyDescent="0.3">
      <c r="A4808" t="s">
        <v>25190</v>
      </c>
      <c r="B4808" t="s">
        <v>28466</v>
      </c>
      <c r="C4808" t="s">
        <v>28738</v>
      </c>
      <c r="D4808" t="s">
        <v>25197</v>
      </c>
      <c r="E4808" t="s">
        <v>25889</v>
      </c>
      <c r="F4808" t="s">
        <v>25890</v>
      </c>
      <c r="G4808" t="s">
        <v>25890</v>
      </c>
      <c r="H4808" t="s">
        <v>868</v>
      </c>
      <c r="I4808" t="s">
        <v>869</v>
      </c>
      <c r="J4808" t="str">
        <f>"9190063"</f>
        <v>9190063</v>
      </c>
      <c r="K4808">
        <v>2310612856</v>
      </c>
      <c r="L4808">
        <v>2310612856</v>
      </c>
      <c r="M4808" t="s">
        <v>28739</v>
      </c>
      <c r="N4808" t="s">
        <v>613</v>
      </c>
      <c r="O4808" t="s">
        <v>28740</v>
      </c>
      <c r="P4808">
        <v>56728</v>
      </c>
      <c r="Q4808" t="str">
        <f>"40.652460"</f>
        <v>40.652460</v>
      </c>
      <c r="R4808" t="str">
        <f>"22.940977"</f>
        <v>22.940977</v>
      </c>
      <c r="S4808" t="s">
        <v>26</v>
      </c>
    </row>
    <row r="4809" spans="1:19" x14ac:dyDescent="0.3">
      <c r="A4809" t="s">
        <v>25190</v>
      </c>
      <c r="B4809" t="s">
        <v>28466</v>
      </c>
      <c r="C4809" t="s">
        <v>25978</v>
      </c>
      <c r="D4809" t="s">
        <v>25197</v>
      </c>
      <c r="E4809" t="s">
        <v>25203</v>
      </c>
      <c r="F4809" t="s">
        <v>25784</v>
      </c>
      <c r="G4809" t="s">
        <v>25784</v>
      </c>
      <c r="H4809" t="s">
        <v>868</v>
      </c>
      <c r="I4809" t="s">
        <v>869</v>
      </c>
      <c r="J4809" t="str">
        <f>"9190834"</f>
        <v>9190834</v>
      </c>
      <c r="K4809">
        <v>2310651634</v>
      </c>
      <c r="L4809">
        <v>2310587509</v>
      </c>
      <c r="M4809" t="s">
        <v>28741</v>
      </c>
      <c r="N4809" t="s">
        <v>25911</v>
      </c>
      <c r="O4809" t="s">
        <v>28742</v>
      </c>
      <c r="P4809">
        <v>56535</v>
      </c>
      <c r="Q4809" t="str">
        <f>"40.669745"</f>
        <v>40.669745</v>
      </c>
      <c r="R4809" t="str">
        <f>"22.944098"</f>
        <v>22.944098</v>
      </c>
      <c r="S4809" t="s">
        <v>26</v>
      </c>
    </row>
    <row r="4810" spans="1:19" x14ac:dyDescent="0.3">
      <c r="A4810" t="s">
        <v>25190</v>
      </c>
      <c r="B4810" t="s">
        <v>28466</v>
      </c>
      <c r="C4810" t="s">
        <v>28743</v>
      </c>
      <c r="D4810" t="s">
        <v>25197</v>
      </c>
      <c r="E4810" t="s">
        <v>25826</v>
      </c>
      <c r="F4810" t="s">
        <v>25827</v>
      </c>
      <c r="G4810" t="s">
        <v>25827</v>
      </c>
      <c r="H4810" t="s">
        <v>868</v>
      </c>
      <c r="I4810" t="s">
        <v>869</v>
      </c>
      <c r="J4810" t="str">
        <f>"9190509"</f>
        <v>9190509</v>
      </c>
      <c r="K4810">
        <v>2310764384</v>
      </c>
      <c r="L4810">
        <v>2310764384</v>
      </c>
      <c r="M4810" t="s">
        <v>28744</v>
      </c>
      <c r="N4810" t="s">
        <v>28510</v>
      </c>
      <c r="O4810" t="s">
        <v>28745</v>
      </c>
      <c r="P4810">
        <v>56334</v>
      </c>
      <c r="Q4810" t="str">
        <f>"40.671342"</f>
        <v>40.671342</v>
      </c>
      <c r="R4810" t="str">
        <f>"22.898941"</f>
        <v>22.898941</v>
      </c>
      <c r="S4810" t="s">
        <v>26</v>
      </c>
    </row>
    <row r="4811" spans="1:19" x14ac:dyDescent="0.3">
      <c r="A4811" t="s">
        <v>25190</v>
      </c>
      <c r="B4811" t="s">
        <v>28466</v>
      </c>
      <c r="C4811" t="s">
        <v>26121</v>
      </c>
      <c r="D4811" t="s">
        <v>25197</v>
      </c>
      <c r="E4811" t="s">
        <v>25203</v>
      </c>
      <c r="F4811" t="s">
        <v>595</v>
      </c>
      <c r="G4811" t="s">
        <v>595</v>
      </c>
      <c r="H4811" t="s">
        <v>868</v>
      </c>
      <c r="I4811" t="s">
        <v>869</v>
      </c>
      <c r="J4811" t="str">
        <f>"9190081"</f>
        <v>9190081</v>
      </c>
      <c r="K4811">
        <v>2310667352</v>
      </c>
      <c r="L4811">
        <v>2310667352</v>
      </c>
      <c r="M4811" t="s">
        <v>28748</v>
      </c>
      <c r="N4811" t="s">
        <v>2473</v>
      </c>
      <c r="O4811" t="s">
        <v>28596</v>
      </c>
      <c r="P4811">
        <v>56436</v>
      </c>
      <c r="Q4811" t="str">
        <f>"40.664266"</f>
        <v>40.664266</v>
      </c>
      <c r="R4811" t="str">
        <f>"22.939223"</f>
        <v>22.939223</v>
      </c>
      <c r="S4811" t="s">
        <v>26</v>
      </c>
    </row>
    <row r="4812" spans="1:19" x14ac:dyDescent="0.3">
      <c r="A4812" t="s">
        <v>25190</v>
      </c>
      <c r="B4812" t="s">
        <v>28466</v>
      </c>
      <c r="C4812" t="s">
        <v>28752</v>
      </c>
      <c r="D4812" t="s">
        <v>25197</v>
      </c>
      <c r="E4812" t="s">
        <v>25826</v>
      </c>
      <c r="F4812" t="s">
        <v>25833</v>
      </c>
      <c r="G4812" t="s">
        <v>25833</v>
      </c>
      <c r="H4812" t="s">
        <v>868</v>
      </c>
      <c r="I4812" t="s">
        <v>869</v>
      </c>
      <c r="J4812" t="str">
        <f>"9190080"</f>
        <v>9190080</v>
      </c>
      <c r="K4812">
        <v>2310656475</v>
      </c>
      <c r="L4812">
        <v>2316008522</v>
      </c>
      <c r="M4812" t="s">
        <v>28753</v>
      </c>
      <c r="N4812" t="s">
        <v>26010</v>
      </c>
      <c r="O4812" t="s">
        <v>28495</v>
      </c>
      <c r="P4812">
        <v>56225</v>
      </c>
      <c r="Q4812" t="str">
        <f>"40.663243"</f>
        <v>40.663243</v>
      </c>
      <c r="R4812" t="str">
        <f>"22.918454"</f>
        <v>22.918454</v>
      </c>
      <c r="S4812" t="s">
        <v>26</v>
      </c>
    </row>
    <row r="4813" spans="1:19" x14ac:dyDescent="0.3">
      <c r="A4813" t="s">
        <v>25190</v>
      </c>
      <c r="B4813" t="s">
        <v>28466</v>
      </c>
      <c r="C4813" t="s">
        <v>26079</v>
      </c>
      <c r="D4813" t="s">
        <v>25197</v>
      </c>
      <c r="E4813" t="s">
        <v>25203</v>
      </c>
      <c r="F4813" t="s">
        <v>595</v>
      </c>
      <c r="G4813" t="s">
        <v>595</v>
      </c>
      <c r="H4813" t="s">
        <v>868</v>
      </c>
      <c r="I4813" t="s">
        <v>869</v>
      </c>
      <c r="J4813" t="str">
        <f>"9190653"</f>
        <v>9190653</v>
      </c>
      <c r="K4813">
        <v>2310656175</v>
      </c>
      <c r="L4813">
        <v>2310656175</v>
      </c>
      <c r="M4813" t="s">
        <v>28765</v>
      </c>
      <c r="N4813" t="s">
        <v>2473</v>
      </c>
      <c r="O4813" t="s">
        <v>28766</v>
      </c>
      <c r="P4813">
        <v>56430</v>
      </c>
      <c r="Q4813" t="str">
        <f>"40.665310"</f>
        <v>40.665310</v>
      </c>
      <c r="R4813" t="str">
        <f>"22.934839"</f>
        <v>22.934839</v>
      </c>
      <c r="S4813" t="s">
        <v>26</v>
      </c>
    </row>
    <row r="4814" spans="1:19" x14ac:dyDescent="0.3">
      <c r="A4814" t="s">
        <v>25190</v>
      </c>
      <c r="B4814" t="s">
        <v>28466</v>
      </c>
      <c r="C4814" t="s">
        <v>28767</v>
      </c>
      <c r="D4814" t="s">
        <v>25197</v>
      </c>
      <c r="E4814" t="s">
        <v>25873</v>
      </c>
      <c r="F4814" t="s">
        <v>17906</v>
      </c>
      <c r="G4814" t="s">
        <v>17906</v>
      </c>
      <c r="H4814" t="s">
        <v>868</v>
      </c>
      <c r="I4814" t="s">
        <v>869</v>
      </c>
      <c r="J4814" t="str">
        <f>"9190649"</f>
        <v>9190649</v>
      </c>
      <c r="K4814">
        <v>2310734180</v>
      </c>
      <c r="L4814">
        <v>2310734180</v>
      </c>
      <c r="M4814" t="s">
        <v>28768</v>
      </c>
      <c r="N4814" t="s">
        <v>28769</v>
      </c>
      <c r="O4814" t="s">
        <v>28770</v>
      </c>
      <c r="P4814">
        <v>56123</v>
      </c>
      <c r="Q4814" t="str">
        <f>"40.649474"</f>
        <v>40.649474</v>
      </c>
      <c r="R4814" t="str">
        <f>"22.924847"</f>
        <v>22.924847</v>
      </c>
      <c r="S4814" t="s">
        <v>26</v>
      </c>
    </row>
    <row r="4815" spans="1:19" x14ac:dyDescent="0.3">
      <c r="A4815" t="s">
        <v>25190</v>
      </c>
      <c r="B4815" t="s">
        <v>28466</v>
      </c>
      <c r="C4815" t="s">
        <v>26306</v>
      </c>
      <c r="D4815" t="s">
        <v>25197</v>
      </c>
      <c r="E4815" t="s">
        <v>25203</v>
      </c>
      <c r="F4815" t="s">
        <v>595</v>
      </c>
      <c r="G4815" t="s">
        <v>595</v>
      </c>
      <c r="H4815" t="s">
        <v>868</v>
      </c>
      <c r="I4815" t="s">
        <v>869</v>
      </c>
      <c r="J4815" t="str">
        <f>"9190864"</f>
        <v>9190864</v>
      </c>
      <c r="K4815">
        <v>2310653530</v>
      </c>
      <c r="L4815">
        <v>2310653530</v>
      </c>
      <c r="M4815" t="s">
        <v>28804</v>
      </c>
      <c r="N4815" t="s">
        <v>2473</v>
      </c>
      <c r="O4815" t="s">
        <v>28805</v>
      </c>
      <c r="P4815">
        <v>56431</v>
      </c>
      <c r="Q4815" t="str">
        <f>"40.670995"</f>
        <v>40.670995</v>
      </c>
      <c r="R4815" t="str">
        <f>"22.931701"</f>
        <v>22.931701</v>
      </c>
      <c r="S4815" t="s">
        <v>26</v>
      </c>
    </row>
    <row r="4816" spans="1:19" x14ac:dyDescent="0.3">
      <c r="A4816" t="s">
        <v>25190</v>
      </c>
      <c r="B4816" t="s">
        <v>28466</v>
      </c>
      <c r="C4816" t="s">
        <v>28809</v>
      </c>
      <c r="D4816" t="s">
        <v>25197</v>
      </c>
      <c r="E4816" t="s">
        <v>25966</v>
      </c>
      <c r="F4816" t="s">
        <v>25966</v>
      </c>
      <c r="G4816" t="s">
        <v>25966</v>
      </c>
      <c r="H4816" t="s">
        <v>868</v>
      </c>
      <c r="I4816" t="s">
        <v>869</v>
      </c>
      <c r="J4816" t="str">
        <f>"9190929"</f>
        <v>9190929</v>
      </c>
      <c r="K4816">
        <v>2310695993</v>
      </c>
      <c r="L4816">
        <v>2310695683</v>
      </c>
      <c r="M4816" t="s">
        <v>28810</v>
      </c>
      <c r="N4816" t="s">
        <v>26360</v>
      </c>
      <c r="O4816" t="s">
        <v>28811</v>
      </c>
      <c r="P4816">
        <v>57013</v>
      </c>
      <c r="Q4816" t="str">
        <f>"40.723800"</f>
        <v>40.723800</v>
      </c>
      <c r="R4816" t="str">
        <f>"22.921502"</f>
        <v>22.921502</v>
      </c>
      <c r="S4816" t="s">
        <v>26</v>
      </c>
    </row>
    <row r="4817" spans="1:19" x14ac:dyDescent="0.3">
      <c r="A4817" t="s">
        <v>25190</v>
      </c>
      <c r="B4817" t="s">
        <v>28466</v>
      </c>
      <c r="C4817" t="s">
        <v>26142</v>
      </c>
      <c r="D4817" t="s">
        <v>25197</v>
      </c>
      <c r="E4817" t="s">
        <v>13689</v>
      </c>
      <c r="F4817" t="s">
        <v>13689</v>
      </c>
      <c r="G4817" t="s">
        <v>26136</v>
      </c>
      <c r="H4817" t="s">
        <v>868</v>
      </c>
      <c r="I4817" t="s">
        <v>869</v>
      </c>
      <c r="J4817" t="str">
        <f>"9190232"</f>
        <v>9190232</v>
      </c>
      <c r="K4817">
        <v>2394041205</v>
      </c>
      <c r="L4817">
        <v>2394041205</v>
      </c>
      <c r="M4817" t="s">
        <v>28827</v>
      </c>
      <c r="N4817" t="s">
        <v>26141</v>
      </c>
      <c r="O4817" t="s">
        <v>26141</v>
      </c>
      <c r="P4817">
        <v>57200</v>
      </c>
      <c r="Q4817" t="str">
        <f>"40.757316"</f>
        <v>40.757316</v>
      </c>
      <c r="R4817" t="str">
        <f>"23.131057"</f>
        <v>23.131057</v>
      </c>
      <c r="S4817" t="s">
        <v>26</v>
      </c>
    </row>
    <row r="4818" spans="1:19" x14ac:dyDescent="0.3">
      <c r="A4818" t="s">
        <v>25190</v>
      </c>
      <c r="B4818" t="s">
        <v>28466</v>
      </c>
      <c r="C4818" t="s">
        <v>25919</v>
      </c>
      <c r="D4818" t="s">
        <v>25197</v>
      </c>
      <c r="E4818" t="s">
        <v>25815</v>
      </c>
      <c r="F4818" t="s">
        <v>60</v>
      </c>
      <c r="G4818" t="s">
        <v>25914</v>
      </c>
      <c r="H4818" t="s">
        <v>868</v>
      </c>
      <c r="I4818" t="s">
        <v>869</v>
      </c>
      <c r="J4818" t="str">
        <f>"9190314"</f>
        <v>9190314</v>
      </c>
      <c r="K4818">
        <v>2310713360</v>
      </c>
      <c r="L4818">
        <v>2310713360</v>
      </c>
      <c r="M4818" t="s">
        <v>28828</v>
      </c>
      <c r="N4818" t="s">
        <v>28559</v>
      </c>
      <c r="O4818" t="s">
        <v>28829</v>
      </c>
      <c r="P4818">
        <v>57011</v>
      </c>
      <c r="Q4818" t="str">
        <f>"40.747265"</f>
        <v>40.747265</v>
      </c>
      <c r="R4818" t="str">
        <f>"22.775434"</f>
        <v>22.775434</v>
      </c>
      <c r="S4818" t="s">
        <v>26</v>
      </c>
    </row>
    <row r="4819" spans="1:19" x14ac:dyDescent="0.3">
      <c r="A4819" t="s">
        <v>25190</v>
      </c>
      <c r="B4819" t="s">
        <v>28466</v>
      </c>
      <c r="C4819" t="s">
        <v>26198</v>
      </c>
      <c r="D4819" t="s">
        <v>25197</v>
      </c>
      <c r="E4819" t="s">
        <v>25966</v>
      </c>
      <c r="F4819" t="s">
        <v>5563</v>
      </c>
      <c r="G4819" t="s">
        <v>26192</v>
      </c>
      <c r="H4819" t="s">
        <v>868</v>
      </c>
      <c r="I4819" t="s">
        <v>869</v>
      </c>
      <c r="J4819" t="str">
        <f>"9190315"</f>
        <v>9190315</v>
      </c>
      <c r="K4819">
        <v>2310788058</v>
      </c>
      <c r="L4819">
        <v>2310788058</v>
      </c>
      <c r="M4819" t="s">
        <v>28842</v>
      </c>
      <c r="N4819" t="s">
        <v>26197</v>
      </c>
      <c r="O4819" t="s">
        <v>26197</v>
      </c>
      <c r="P4819">
        <v>54500</v>
      </c>
      <c r="Q4819" t="str">
        <f>"40.740107"</f>
        <v>40.740107</v>
      </c>
      <c r="R4819" t="str">
        <f>"22.876137"</f>
        <v>22.876137</v>
      </c>
      <c r="S4819" t="s">
        <v>26</v>
      </c>
    </row>
    <row r="4820" spans="1:19" x14ac:dyDescent="0.3">
      <c r="A4820" t="s">
        <v>25190</v>
      </c>
      <c r="B4820" t="s">
        <v>28466</v>
      </c>
      <c r="C4820" t="s">
        <v>28844</v>
      </c>
      <c r="D4820" t="s">
        <v>25197</v>
      </c>
      <c r="E4820" t="s">
        <v>25889</v>
      </c>
      <c r="F4820" t="s">
        <v>28843</v>
      </c>
      <c r="G4820" t="s">
        <v>28843</v>
      </c>
      <c r="H4820" t="s">
        <v>868</v>
      </c>
      <c r="I4820" t="s">
        <v>869</v>
      </c>
      <c r="J4820" t="str">
        <f>"9190172"</f>
        <v>9190172</v>
      </c>
      <c r="K4820">
        <v>2310205450</v>
      </c>
      <c r="L4820">
        <v>2310205033</v>
      </c>
      <c r="M4820" t="s">
        <v>28845</v>
      </c>
      <c r="N4820" t="s">
        <v>28846</v>
      </c>
      <c r="O4820" t="s">
        <v>28847</v>
      </c>
      <c r="P4820">
        <v>54636</v>
      </c>
      <c r="Q4820" t="str">
        <f>"40.636813"</f>
        <v>40.636813</v>
      </c>
      <c r="R4820" t="str">
        <f>"22.959773"</f>
        <v>22.959773</v>
      </c>
      <c r="S4820" t="s">
        <v>26</v>
      </c>
    </row>
    <row r="4821" spans="1:19" x14ac:dyDescent="0.3">
      <c r="A4821" t="s">
        <v>25190</v>
      </c>
      <c r="B4821" t="s">
        <v>28466</v>
      </c>
      <c r="C4821" t="s">
        <v>28848</v>
      </c>
      <c r="D4821" t="s">
        <v>25197</v>
      </c>
      <c r="E4821" t="s">
        <v>25889</v>
      </c>
      <c r="F4821" t="s">
        <v>25924</v>
      </c>
      <c r="G4821" t="s">
        <v>25924</v>
      </c>
      <c r="H4821" t="s">
        <v>868</v>
      </c>
      <c r="I4821" t="s">
        <v>869</v>
      </c>
      <c r="J4821" t="str">
        <f>"9190558"</f>
        <v>9190558</v>
      </c>
      <c r="K4821">
        <v>2310613727</v>
      </c>
      <c r="L4821">
        <v>2310613727</v>
      </c>
      <c r="M4821" t="s">
        <v>28849</v>
      </c>
      <c r="N4821" t="s">
        <v>28850</v>
      </c>
      <c r="O4821" t="s">
        <v>28851</v>
      </c>
      <c r="P4821">
        <v>56626</v>
      </c>
      <c r="Q4821" t="str">
        <f>"40.651806"</f>
        <v>40.651806</v>
      </c>
      <c r="R4821" t="str">
        <f>"22.954663"</f>
        <v>22.954663</v>
      </c>
      <c r="S4821" t="s">
        <v>26</v>
      </c>
    </row>
    <row r="4822" spans="1:19" x14ac:dyDescent="0.3">
      <c r="A4822" t="s">
        <v>25190</v>
      </c>
      <c r="B4822" t="s">
        <v>28466</v>
      </c>
      <c r="C4822" t="s">
        <v>25825</v>
      </c>
      <c r="D4822" t="s">
        <v>25197</v>
      </c>
      <c r="E4822" t="s">
        <v>25815</v>
      </c>
      <c r="F4822" t="s">
        <v>25815</v>
      </c>
      <c r="G4822" t="s">
        <v>25821</v>
      </c>
      <c r="H4822" t="s">
        <v>868</v>
      </c>
      <c r="I4822" t="s">
        <v>869</v>
      </c>
      <c r="J4822" t="str">
        <f>"9190269"</f>
        <v>9190269</v>
      </c>
      <c r="K4822">
        <v>2391031247</v>
      </c>
      <c r="L4822">
        <v>2391032061</v>
      </c>
      <c r="M4822" t="s">
        <v>28856</v>
      </c>
      <c r="N4822" t="s">
        <v>25824</v>
      </c>
      <c r="O4822" t="s">
        <v>28777</v>
      </c>
      <c r="P4822">
        <v>57007</v>
      </c>
      <c r="Q4822" t="str">
        <f>"40.674272"</f>
        <v>40.674272</v>
      </c>
      <c r="R4822" t="str">
        <f>"22.604705"</f>
        <v>22.604705</v>
      </c>
      <c r="S4822" t="s">
        <v>26</v>
      </c>
    </row>
    <row r="4823" spans="1:19" x14ac:dyDescent="0.3">
      <c r="A4823" t="s">
        <v>25190</v>
      </c>
      <c r="B4823" t="s">
        <v>28466</v>
      </c>
      <c r="C4823" t="s">
        <v>25908</v>
      </c>
      <c r="D4823" t="s">
        <v>25197</v>
      </c>
      <c r="E4823" t="s">
        <v>25826</v>
      </c>
      <c r="F4823" t="s">
        <v>25833</v>
      </c>
      <c r="G4823" t="s">
        <v>25833</v>
      </c>
      <c r="H4823" t="s">
        <v>868</v>
      </c>
      <c r="I4823" t="s">
        <v>869</v>
      </c>
      <c r="J4823" t="str">
        <f>"9520876"</f>
        <v>9520876</v>
      </c>
      <c r="K4823">
        <v>2310700093</v>
      </c>
      <c r="L4823">
        <v>2310700093</v>
      </c>
      <c r="M4823" t="s">
        <v>28857</v>
      </c>
      <c r="N4823" t="s">
        <v>26010</v>
      </c>
      <c r="O4823" t="s">
        <v>28858</v>
      </c>
      <c r="P4823">
        <v>56224</v>
      </c>
      <c r="Q4823" t="str">
        <f>"40.674212"</f>
        <v>40.674212</v>
      </c>
      <c r="R4823" t="str">
        <f>"22.916528"</f>
        <v>22.916528</v>
      </c>
      <c r="S4823" t="s">
        <v>26</v>
      </c>
    </row>
    <row r="4824" spans="1:19" x14ac:dyDescent="0.3">
      <c r="A4824" t="s">
        <v>25190</v>
      </c>
      <c r="B4824" t="s">
        <v>28466</v>
      </c>
      <c r="C4824" t="s">
        <v>28875</v>
      </c>
      <c r="D4824" t="s">
        <v>25197</v>
      </c>
      <c r="E4824" t="s">
        <v>25203</v>
      </c>
      <c r="F4824" t="s">
        <v>25878</v>
      </c>
      <c r="G4824" t="s">
        <v>25878</v>
      </c>
      <c r="H4824" t="s">
        <v>868</v>
      </c>
      <c r="I4824" t="s">
        <v>869</v>
      </c>
      <c r="J4824" t="str">
        <f>"9190911"</f>
        <v>9190911</v>
      </c>
      <c r="K4824">
        <v>2316010927</v>
      </c>
      <c r="L4824">
        <v>2310684134</v>
      </c>
      <c r="M4824" t="s">
        <v>28876</v>
      </c>
      <c r="N4824" t="s">
        <v>26602</v>
      </c>
      <c r="O4824" t="s">
        <v>28877</v>
      </c>
      <c r="P4824">
        <v>56429</v>
      </c>
      <c r="Q4824" t="str">
        <f>"40.681124"</f>
        <v>40.681124</v>
      </c>
      <c r="R4824" t="str">
        <f>"22.949214"</f>
        <v>22.949214</v>
      </c>
      <c r="S4824" t="s">
        <v>26</v>
      </c>
    </row>
    <row r="4825" spans="1:19" x14ac:dyDescent="0.3">
      <c r="A4825" t="s">
        <v>25190</v>
      </c>
      <c r="B4825" t="s">
        <v>28466</v>
      </c>
      <c r="C4825" t="s">
        <v>28886</v>
      </c>
      <c r="D4825" t="s">
        <v>25197</v>
      </c>
      <c r="E4825" t="s">
        <v>25826</v>
      </c>
      <c r="F4825" t="s">
        <v>25827</v>
      </c>
      <c r="G4825" t="s">
        <v>25827</v>
      </c>
      <c r="H4825" t="s">
        <v>868</v>
      </c>
      <c r="I4825" t="s">
        <v>869</v>
      </c>
      <c r="J4825" t="str">
        <f>"9190894"</f>
        <v>9190894</v>
      </c>
      <c r="K4825">
        <v>2310705952</v>
      </c>
      <c r="L4825">
        <v>2310774467</v>
      </c>
      <c r="M4825" t="s">
        <v>28887</v>
      </c>
      <c r="N4825" t="s">
        <v>28510</v>
      </c>
      <c r="O4825" t="s">
        <v>28888</v>
      </c>
      <c r="P4825">
        <v>56334</v>
      </c>
      <c r="Q4825" t="str">
        <f>"40.667924"</f>
        <v>40.667924</v>
      </c>
      <c r="R4825" t="str">
        <f>"22.892558"</f>
        <v>22.892558</v>
      </c>
      <c r="S4825" t="s">
        <v>26</v>
      </c>
    </row>
    <row r="4826" spans="1:19" x14ac:dyDescent="0.3">
      <c r="A4826" t="s">
        <v>25190</v>
      </c>
      <c r="B4826" t="s">
        <v>28466</v>
      </c>
      <c r="C4826" t="s">
        <v>28889</v>
      </c>
      <c r="D4826" t="s">
        <v>25197</v>
      </c>
      <c r="E4826" t="s">
        <v>25889</v>
      </c>
      <c r="F4826" t="s">
        <v>26080</v>
      </c>
      <c r="G4826" t="s">
        <v>26080</v>
      </c>
      <c r="H4826" t="s">
        <v>868</v>
      </c>
      <c r="I4826" t="s">
        <v>1157</v>
      </c>
      <c r="J4826" t="str">
        <f>"9190903"</f>
        <v>9190903</v>
      </c>
      <c r="K4826">
        <v>2310673666</v>
      </c>
      <c r="L4826">
        <v>2310673666</v>
      </c>
      <c r="M4826" t="s">
        <v>28890</v>
      </c>
      <c r="N4826" t="s">
        <v>26262</v>
      </c>
      <c r="O4826" t="s">
        <v>28891</v>
      </c>
      <c r="P4826">
        <v>57010</v>
      </c>
      <c r="Q4826" t="str">
        <f>"40.664485"</f>
        <v>40.664485</v>
      </c>
      <c r="R4826" t="str">
        <f>"22.985091"</f>
        <v>22.985091</v>
      </c>
      <c r="S4826" t="s">
        <v>26</v>
      </c>
    </row>
    <row r="4827" spans="1:19" x14ac:dyDescent="0.3">
      <c r="A4827" t="s">
        <v>25190</v>
      </c>
      <c r="B4827" t="s">
        <v>28466</v>
      </c>
      <c r="C4827" t="s">
        <v>28898</v>
      </c>
      <c r="D4827" t="s">
        <v>25197</v>
      </c>
      <c r="E4827" t="s">
        <v>25873</v>
      </c>
      <c r="F4827" t="s">
        <v>25992</v>
      </c>
      <c r="G4827" t="s">
        <v>25992</v>
      </c>
      <c r="H4827" t="s">
        <v>868</v>
      </c>
      <c r="I4827" t="s">
        <v>2930</v>
      </c>
      <c r="J4827" t="str">
        <f>"9190835"</f>
        <v>9190835</v>
      </c>
      <c r="K4827">
        <v>2310707313</v>
      </c>
      <c r="L4827">
        <v>2310707313</v>
      </c>
      <c r="M4827" t="s">
        <v>28899</v>
      </c>
      <c r="N4827" t="s">
        <v>25995</v>
      </c>
      <c r="O4827" t="s">
        <v>28900</v>
      </c>
      <c r="P4827">
        <v>54628</v>
      </c>
      <c r="Q4827" t="str">
        <f>"40.659575"</f>
        <v>40.659575</v>
      </c>
      <c r="R4827" t="str">
        <f>"22.899252"</f>
        <v>22.899252</v>
      </c>
      <c r="S4827" t="s">
        <v>26</v>
      </c>
    </row>
    <row r="4828" spans="1:19" x14ac:dyDescent="0.3">
      <c r="A4828" t="s">
        <v>25190</v>
      </c>
      <c r="B4828" t="s">
        <v>28466</v>
      </c>
      <c r="C4828" t="s">
        <v>26211</v>
      </c>
      <c r="D4828" t="s">
        <v>25197</v>
      </c>
      <c r="E4828" t="s">
        <v>25203</v>
      </c>
      <c r="F4828" t="s">
        <v>595</v>
      </c>
      <c r="G4828" t="s">
        <v>595</v>
      </c>
      <c r="H4828" t="s">
        <v>868</v>
      </c>
      <c r="I4828" t="s">
        <v>869</v>
      </c>
      <c r="J4828" t="str">
        <f>"9190077"</f>
        <v>9190077</v>
      </c>
      <c r="K4828">
        <v>2310602211</v>
      </c>
      <c r="L4828">
        <v>2313092150</v>
      </c>
      <c r="M4828" t="s">
        <v>28904</v>
      </c>
      <c r="N4828" t="s">
        <v>25247</v>
      </c>
      <c r="O4828" t="s">
        <v>28905</v>
      </c>
      <c r="P4828">
        <v>56430</v>
      </c>
      <c r="Q4828" t="str">
        <f>"40.675106"</f>
        <v>40.675106</v>
      </c>
      <c r="R4828" t="str">
        <f>"22.935378"</f>
        <v>22.935378</v>
      </c>
      <c r="S4828" t="s">
        <v>26</v>
      </c>
    </row>
    <row r="4829" spans="1:19" x14ac:dyDescent="0.3">
      <c r="A4829" t="s">
        <v>25190</v>
      </c>
      <c r="B4829" t="s">
        <v>28466</v>
      </c>
      <c r="C4829" t="s">
        <v>25850</v>
      </c>
      <c r="D4829" t="s">
        <v>25197</v>
      </c>
      <c r="E4829" t="s">
        <v>13689</v>
      </c>
      <c r="F4829" t="s">
        <v>25845</v>
      </c>
      <c r="G4829" t="s">
        <v>25845</v>
      </c>
      <c r="H4829" t="s">
        <v>868</v>
      </c>
      <c r="I4829" t="s">
        <v>869</v>
      </c>
      <c r="J4829" t="str">
        <f>"9190209"</f>
        <v>9190209</v>
      </c>
      <c r="K4829">
        <v>2395022228</v>
      </c>
      <c r="L4829">
        <v>2395022388</v>
      </c>
      <c r="M4829" t="s">
        <v>28906</v>
      </c>
      <c r="N4829" t="s">
        <v>28907</v>
      </c>
      <c r="O4829" t="s">
        <v>28908</v>
      </c>
      <c r="P4829">
        <v>57002</v>
      </c>
      <c r="Q4829" t="str">
        <f>"40.817107"</f>
        <v>40.817107</v>
      </c>
      <c r="R4829" t="str">
        <f>"23.361091"</f>
        <v>23.361091</v>
      </c>
      <c r="S4829" t="s">
        <v>26</v>
      </c>
    </row>
    <row r="4830" spans="1:19" x14ac:dyDescent="0.3">
      <c r="A4830" t="s">
        <v>25190</v>
      </c>
      <c r="B4830" t="s">
        <v>28466</v>
      </c>
      <c r="C4830" t="s">
        <v>26370</v>
      </c>
      <c r="D4830" t="s">
        <v>25197</v>
      </c>
      <c r="E4830" t="s">
        <v>25765</v>
      </c>
      <c r="F4830" t="s">
        <v>1872</v>
      </c>
      <c r="G4830" t="s">
        <v>25840</v>
      </c>
      <c r="H4830" t="s">
        <v>868</v>
      </c>
      <c r="I4830" t="s">
        <v>869</v>
      </c>
      <c r="J4830" t="str">
        <f>"9190383"</f>
        <v>9190383</v>
      </c>
      <c r="K4830">
        <v>2397022205</v>
      </c>
      <c r="L4830">
        <v>2397022295</v>
      </c>
      <c r="M4830" t="s">
        <v>28912</v>
      </c>
      <c r="N4830" t="s">
        <v>26369</v>
      </c>
      <c r="O4830" t="s">
        <v>26369</v>
      </c>
      <c r="P4830">
        <v>57021</v>
      </c>
      <c r="Q4830" t="str">
        <f>"40.716980"</f>
        <v>40.716980</v>
      </c>
      <c r="R4830" t="str">
        <f>"23.705864"</f>
        <v>23.705864</v>
      </c>
      <c r="S4830" t="s">
        <v>26</v>
      </c>
    </row>
    <row r="4831" spans="1:19" x14ac:dyDescent="0.3">
      <c r="A4831" t="s">
        <v>25190</v>
      </c>
      <c r="B4831" t="s">
        <v>28466</v>
      </c>
      <c r="C4831" t="s">
        <v>26339</v>
      </c>
      <c r="D4831" t="s">
        <v>25197</v>
      </c>
      <c r="E4831" t="s">
        <v>25203</v>
      </c>
      <c r="F4831" t="s">
        <v>595</v>
      </c>
      <c r="G4831" t="s">
        <v>595</v>
      </c>
      <c r="H4831" t="s">
        <v>868</v>
      </c>
      <c r="I4831" t="s">
        <v>869</v>
      </c>
      <c r="J4831" t="str">
        <f>"9190082"</f>
        <v>9190082</v>
      </c>
      <c r="K4831">
        <v>2310654088</v>
      </c>
      <c r="L4831">
        <v>2310654088</v>
      </c>
      <c r="M4831" t="s">
        <v>28913</v>
      </c>
      <c r="N4831" t="s">
        <v>2473</v>
      </c>
      <c r="O4831" t="s">
        <v>28611</v>
      </c>
      <c r="P4831">
        <v>56430</v>
      </c>
      <c r="Q4831" t="str">
        <f>"40.667225"</f>
        <v>40.667225</v>
      </c>
      <c r="R4831" t="str">
        <f>"22.934562"</f>
        <v>22.934562</v>
      </c>
      <c r="S4831" t="s">
        <v>26</v>
      </c>
    </row>
    <row r="4832" spans="1:19" x14ac:dyDescent="0.3">
      <c r="A4832" t="s">
        <v>25190</v>
      </c>
      <c r="B4832" t="s">
        <v>28466</v>
      </c>
      <c r="C4832" t="s">
        <v>28917</v>
      </c>
      <c r="D4832" t="s">
        <v>25197</v>
      </c>
      <c r="E4832" t="s">
        <v>25889</v>
      </c>
      <c r="F4832" t="s">
        <v>25924</v>
      </c>
      <c r="G4832" t="s">
        <v>25924</v>
      </c>
      <c r="H4832" t="s">
        <v>868</v>
      </c>
      <c r="I4832" t="s">
        <v>869</v>
      </c>
      <c r="J4832" t="str">
        <f>"9190641"</f>
        <v>9190641</v>
      </c>
      <c r="K4832">
        <v>2310610662</v>
      </c>
      <c r="L4832">
        <v>2310610662</v>
      </c>
      <c r="M4832" t="s">
        <v>28918</v>
      </c>
      <c r="N4832" t="s">
        <v>25952</v>
      </c>
      <c r="O4832" t="s">
        <v>28919</v>
      </c>
      <c r="P4832">
        <v>56625</v>
      </c>
      <c r="Q4832" t="str">
        <f>"40.647218"</f>
        <v>40.647218</v>
      </c>
      <c r="R4832" t="str">
        <f>"22.954078"</f>
        <v>22.954078</v>
      </c>
      <c r="S4832" t="s">
        <v>26</v>
      </c>
    </row>
    <row r="4833" spans="1:19" x14ac:dyDescent="0.3">
      <c r="A4833" t="s">
        <v>25190</v>
      </c>
      <c r="B4833" t="s">
        <v>28466</v>
      </c>
      <c r="C4833" t="s">
        <v>28951</v>
      </c>
      <c r="D4833" t="s">
        <v>25197</v>
      </c>
      <c r="E4833" t="s">
        <v>25889</v>
      </c>
      <c r="F4833" t="s">
        <v>26080</v>
      </c>
      <c r="G4833" t="s">
        <v>26080</v>
      </c>
      <c r="H4833" t="s">
        <v>868</v>
      </c>
      <c r="I4833" t="s">
        <v>869</v>
      </c>
      <c r="J4833" t="str">
        <f>"9520746"</f>
        <v>9520746</v>
      </c>
      <c r="K4833">
        <v>2310673202</v>
      </c>
      <c r="L4833">
        <v>2310673202</v>
      </c>
      <c r="M4833" t="s">
        <v>28952</v>
      </c>
      <c r="N4833" t="s">
        <v>26262</v>
      </c>
      <c r="O4833" t="s">
        <v>28953</v>
      </c>
      <c r="P4833">
        <v>57010</v>
      </c>
      <c r="Q4833" t="str">
        <f>"40.656765"</f>
        <v>40.656765</v>
      </c>
      <c r="R4833" t="str">
        <f>"22.999698"</f>
        <v>22.999698</v>
      </c>
      <c r="S4833" t="s">
        <v>26</v>
      </c>
    </row>
    <row r="4834" spans="1:19" x14ac:dyDescent="0.3">
      <c r="A4834" t="s">
        <v>25190</v>
      </c>
      <c r="B4834" t="s">
        <v>28466</v>
      </c>
      <c r="C4834" t="s">
        <v>25789</v>
      </c>
      <c r="D4834" t="s">
        <v>25197</v>
      </c>
      <c r="E4834" t="s">
        <v>25203</v>
      </c>
      <c r="F4834" t="s">
        <v>25784</v>
      </c>
      <c r="G4834" t="s">
        <v>25784</v>
      </c>
      <c r="H4834" t="s">
        <v>868</v>
      </c>
      <c r="I4834" t="s">
        <v>869</v>
      </c>
      <c r="J4834" t="str">
        <f>"9190073"</f>
        <v>9190073</v>
      </c>
      <c r="K4834">
        <v>2310622570</v>
      </c>
      <c r="L4834">
        <v>2310634102</v>
      </c>
      <c r="M4834" t="s">
        <v>28989</v>
      </c>
      <c r="N4834" t="s">
        <v>25911</v>
      </c>
      <c r="O4834" t="s">
        <v>28676</v>
      </c>
      <c r="P4834">
        <v>56532</v>
      </c>
      <c r="Q4834" t="str">
        <f>"40.663212"</f>
        <v>40.663212</v>
      </c>
      <c r="R4834" t="str">
        <f>"22.959994"</f>
        <v>22.959994</v>
      </c>
      <c r="S4834" t="s">
        <v>26</v>
      </c>
    </row>
    <row r="4835" spans="1:19" x14ac:dyDescent="0.3">
      <c r="A4835" t="s">
        <v>25190</v>
      </c>
      <c r="B4835" t="s">
        <v>28466</v>
      </c>
      <c r="C4835" t="s">
        <v>25949</v>
      </c>
      <c r="D4835" t="s">
        <v>25197</v>
      </c>
      <c r="E4835" t="s">
        <v>25790</v>
      </c>
      <c r="F4835" t="s">
        <v>25896</v>
      </c>
      <c r="G4835" t="s">
        <v>25896</v>
      </c>
      <c r="H4835" t="s">
        <v>868</v>
      </c>
      <c r="I4835" t="s">
        <v>869</v>
      </c>
      <c r="J4835" t="str">
        <f>"9190288"</f>
        <v>9190288</v>
      </c>
      <c r="K4835">
        <v>2310792314</v>
      </c>
      <c r="L4835">
        <v>2311243077</v>
      </c>
      <c r="M4835" t="s">
        <v>28990</v>
      </c>
      <c r="N4835" t="s">
        <v>25900</v>
      </c>
      <c r="O4835" t="s">
        <v>28991</v>
      </c>
      <c r="P4835">
        <v>57300</v>
      </c>
      <c r="Q4835" t="str">
        <f>"40.631397"</f>
        <v>40.631397</v>
      </c>
      <c r="R4835" t="str">
        <f>"22.729839"</f>
        <v>22.729839</v>
      </c>
      <c r="S4835" t="s">
        <v>26</v>
      </c>
    </row>
    <row r="4836" spans="1:19" x14ac:dyDescent="0.3">
      <c r="A4836" t="s">
        <v>25190</v>
      </c>
      <c r="B4836" t="s">
        <v>28466</v>
      </c>
      <c r="C4836" t="s">
        <v>29000</v>
      </c>
      <c r="D4836" t="s">
        <v>25197</v>
      </c>
      <c r="E4836" t="s">
        <v>25826</v>
      </c>
      <c r="F4836" t="s">
        <v>25827</v>
      </c>
      <c r="G4836" t="s">
        <v>25827</v>
      </c>
      <c r="H4836" t="s">
        <v>868</v>
      </c>
      <c r="I4836" t="s">
        <v>869</v>
      </c>
      <c r="J4836" t="str">
        <f>"9190124"</f>
        <v>9190124</v>
      </c>
      <c r="K4836">
        <v>2310763718</v>
      </c>
      <c r="L4836">
        <v>2310763718</v>
      </c>
      <c r="M4836" t="s">
        <v>29001</v>
      </c>
      <c r="N4836" t="s">
        <v>28510</v>
      </c>
      <c r="O4836" t="s">
        <v>29002</v>
      </c>
      <c r="P4836">
        <v>56334</v>
      </c>
      <c r="Q4836" t="str">
        <f>"40.668030"</f>
        <v>40.668030</v>
      </c>
      <c r="R4836" t="str">
        <f>"22.895152"</f>
        <v>22.895152</v>
      </c>
      <c r="S4836" t="s">
        <v>26</v>
      </c>
    </row>
    <row r="4837" spans="1:19" x14ac:dyDescent="0.3">
      <c r="A4837" t="s">
        <v>25190</v>
      </c>
      <c r="B4837" t="s">
        <v>28466</v>
      </c>
      <c r="C4837" t="s">
        <v>29006</v>
      </c>
      <c r="D4837" t="s">
        <v>25197</v>
      </c>
      <c r="E4837" t="s">
        <v>25873</v>
      </c>
      <c r="F4837" t="s">
        <v>17906</v>
      </c>
      <c r="G4837" t="s">
        <v>17906</v>
      </c>
      <c r="H4837" t="s">
        <v>868</v>
      </c>
      <c r="I4837" t="s">
        <v>869</v>
      </c>
      <c r="J4837" t="str">
        <f>"9190118"</f>
        <v>9190118</v>
      </c>
      <c r="K4837">
        <v>2310733419</v>
      </c>
      <c r="L4837">
        <v>2310733419</v>
      </c>
      <c r="M4837" t="s">
        <v>29007</v>
      </c>
      <c r="N4837" t="s">
        <v>29008</v>
      </c>
      <c r="O4837" t="s">
        <v>29009</v>
      </c>
      <c r="P4837">
        <v>56121</v>
      </c>
      <c r="Q4837" t="str">
        <f>"40.653631"</f>
        <v>40.653631</v>
      </c>
      <c r="R4837" t="str">
        <f>"22.922236"</f>
        <v>22.922236</v>
      </c>
      <c r="S4837" t="s">
        <v>26</v>
      </c>
    </row>
    <row r="4838" spans="1:19" x14ac:dyDescent="0.3">
      <c r="A4838" t="s">
        <v>25190</v>
      </c>
      <c r="B4838" t="s">
        <v>28466</v>
      </c>
      <c r="C4838" t="s">
        <v>26165</v>
      </c>
      <c r="D4838" t="s">
        <v>25197</v>
      </c>
      <c r="E4838" t="s">
        <v>25765</v>
      </c>
      <c r="F4838" t="s">
        <v>19230</v>
      </c>
      <c r="G4838" t="s">
        <v>26161</v>
      </c>
      <c r="H4838" t="s">
        <v>868</v>
      </c>
      <c r="I4838" t="s">
        <v>869</v>
      </c>
      <c r="J4838" t="str">
        <f>"9190253"</f>
        <v>9190253</v>
      </c>
      <c r="K4838">
        <v>2393051766</v>
      </c>
      <c r="L4838">
        <v>2393051759</v>
      </c>
      <c r="M4838" t="s">
        <v>29013</v>
      </c>
      <c r="N4838" t="s">
        <v>26164</v>
      </c>
      <c r="O4838" t="s">
        <v>26164</v>
      </c>
      <c r="P4838">
        <v>57200</v>
      </c>
      <c r="Q4838" t="str">
        <f>"40.687926"</f>
        <v>40.687926</v>
      </c>
      <c r="R4838" t="str">
        <f>"23.277790"</f>
        <v>23.277790</v>
      </c>
      <c r="S4838" t="s">
        <v>26</v>
      </c>
    </row>
    <row r="4839" spans="1:19" x14ac:dyDescent="0.3">
      <c r="A4839" t="s">
        <v>25190</v>
      </c>
      <c r="B4839" t="s">
        <v>28466</v>
      </c>
      <c r="C4839" t="s">
        <v>26275</v>
      </c>
      <c r="D4839" t="s">
        <v>25197</v>
      </c>
      <c r="E4839" t="s">
        <v>25873</v>
      </c>
      <c r="F4839" t="s">
        <v>17906</v>
      </c>
      <c r="G4839" t="s">
        <v>17906</v>
      </c>
      <c r="H4839" t="s">
        <v>868</v>
      </c>
      <c r="I4839" t="s">
        <v>869</v>
      </c>
      <c r="J4839" t="str">
        <f>"9190556"</f>
        <v>9190556</v>
      </c>
      <c r="K4839">
        <v>2310732186</v>
      </c>
      <c r="L4839">
        <v>2310732186</v>
      </c>
      <c r="M4839" t="s">
        <v>29020</v>
      </c>
      <c r="N4839" t="s">
        <v>3379</v>
      </c>
      <c r="O4839" t="s">
        <v>29021</v>
      </c>
      <c r="P4839">
        <v>56121</v>
      </c>
      <c r="Q4839" t="str">
        <f>"40.652416"</f>
        <v>40.652416</v>
      </c>
      <c r="R4839" t="str">
        <f>"22.918368"</f>
        <v>22.918368</v>
      </c>
      <c r="S4839" t="s">
        <v>26</v>
      </c>
    </row>
    <row r="4840" spans="1:19" x14ac:dyDescent="0.3">
      <c r="A4840" t="s">
        <v>25190</v>
      </c>
      <c r="B4840" t="s">
        <v>28466</v>
      </c>
      <c r="C4840" t="s">
        <v>29022</v>
      </c>
      <c r="D4840" t="s">
        <v>25197</v>
      </c>
      <c r="E4840" t="s">
        <v>25826</v>
      </c>
      <c r="F4840" t="s">
        <v>25827</v>
      </c>
      <c r="G4840" t="s">
        <v>25827</v>
      </c>
      <c r="H4840" t="s">
        <v>868</v>
      </c>
      <c r="I4840" t="s">
        <v>2930</v>
      </c>
      <c r="J4840" t="str">
        <f>"9190796"</f>
        <v>9190796</v>
      </c>
      <c r="K4840">
        <v>2310761420</v>
      </c>
      <c r="L4840">
        <v>2310761420</v>
      </c>
      <c r="M4840" t="s">
        <v>29023</v>
      </c>
      <c r="N4840" t="s">
        <v>25827</v>
      </c>
      <c r="O4840" t="s">
        <v>26178</v>
      </c>
      <c r="P4840">
        <v>56334</v>
      </c>
      <c r="Q4840" t="str">
        <f>"40.672701"</f>
        <v>40.672701</v>
      </c>
      <c r="R4840" t="str">
        <f>"22.890453"</f>
        <v>22.890453</v>
      </c>
      <c r="S4840" t="s">
        <v>26</v>
      </c>
    </row>
    <row r="4841" spans="1:19" x14ac:dyDescent="0.3">
      <c r="A4841" t="s">
        <v>25190</v>
      </c>
      <c r="B4841" t="s">
        <v>28466</v>
      </c>
      <c r="C4841" t="s">
        <v>26099</v>
      </c>
      <c r="D4841" t="s">
        <v>25197</v>
      </c>
      <c r="E4841" t="s">
        <v>25889</v>
      </c>
      <c r="F4841" t="s">
        <v>25890</v>
      </c>
      <c r="G4841" t="s">
        <v>25890</v>
      </c>
      <c r="H4841" t="s">
        <v>868</v>
      </c>
      <c r="I4841" t="s">
        <v>869</v>
      </c>
      <c r="J4841" t="str">
        <f>"9190508"</f>
        <v>9190508</v>
      </c>
      <c r="K4841">
        <v>2310624600</v>
      </c>
      <c r="L4841">
        <v>2310624600</v>
      </c>
      <c r="M4841" t="s">
        <v>29031</v>
      </c>
      <c r="N4841" t="s">
        <v>613</v>
      </c>
      <c r="O4841" t="s">
        <v>26088</v>
      </c>
      <c r="P4841">
        <v>56728</v>
      </c>
      <c r="Q4841" t="str">
        <f>"40.654456"</f>
        <v>40.654456</v>
      </c>
      <c r="R4841" t="str">
        <f>"22.947231"</f>
        <v>22.947231</v>
      </c>
      <c r="S4841" t="s">
        <v>26</v>
      </c>
    </row>
    <row r="4842" spans="1:19" x14ac:dyDescent="0.3">
      <c r="A4842" t="s">
        <v>25190</v>
      </c>
      <c r="B4842" t="s">
        <v>28466</v>
      </c>
      <c r="C4842" t="s">
        <v>26075</v>
      </c>
      <c r="D4842" t="s">
        <v>25197</v>
      </c>
      <c r="E4842" t="s">
        <v>25790</v>
      </c>
      <c r="F4842" t="s">
        <v>25851</v>
      </c>
      <c r="G4842" t="s">
        <v>17983</v>
      </c>
      <c r="H4842" t="s">
        <v>868</v>
      </c>
      <c r="I4842" t="s">
        <v>869</v>
      </c>
      <c r="J4842" t="str">
        <f>"9190905"</f>
        <v>9190905</v>
      </c>
      <c r="K4842">
        <v>2310752850</v>
      </c>
      <c r="L4842">
        <v>2310752850</v>
      </c>
      <c r="M4842" t="s">
        <v>29040</v>
      </c>
      <c r="N4842" t="s">
        <v>17985</v>
      </c>
      <c r="O4842" t="s">
        <v>29041</v>
      </c>
      <c r="P4842">
        <v>57009</v>
      </c>
      <c r="Q4842" t="str">
        <f>"40.641260"</f>
        <v>40.641260</v>
      </c>
      <c r="R4842" t="str">
        <f>"22.849853"</f>
        <v>22.849853</v>
      </c>
      <c r="S4842" t="s">
        <v>26</v>
      </c>
    </row>
    <row r="4843" spans="1:19" x14ac:dyDescent="0.3">
      <c r="A4843" t="s">
        <v>25190</v>
      </c>
      <c r="B4843" t="s">
        <v>28466</v>
      </c>
      <c r="C4843" t="s">
        <v>25877</v>
      </c>
      <c r="D4843" t="s">
        <v>25197</v>
      </c>
      <c r="E4843" t="s">
        <v>25873</v>
      </c>
      <c r="F4843" t="s">
        <v>17906</v>
      </c>
      <c r="G4843" t="s">
        <v>17906</v>
      </c>
      <c r="H4843" t="s">
        <v>868</v>
      </c>
      <c r="I4843" t="s">
        <v>869</v>
      </c>
      <c r="J4843" t="str">
        <f>"9190121"</f>
        <v>9190121</v>
      </c>
      <c r="K4843">
        <v>2310732558</v>
      </c>
      <c r="L4843">
        <v>2310732558</v>
      </c>
      <c r="M4843" t="s">
        <v>29042</v>
      </c>
      <c r="N4843" t="s">
        <v>28769</v>
      </c>
      <c r="O4843" t="s">
        <v>28626</v>
      </c>
      <c r="P4843">
        <v>56121</v>
      </c>
      <c r="Q4843" t="str">
        <f>"40.657465"</f>
        <v>40.657465</v>
      </c>
      <c r="R4843" t="str">
        <f>"22.920419"</f>
        <v>22.920419</v>
      </c>
      <c r="S4843" t="s">
        <v>26</v>
      </c>
    </row>
    <row r="4844" spans="1:19" x14ac:dyDescent="0.3">
      <c r="A4844" t="s">
        <v>25190</v>
      </c>
      <c r="B4844" t="s">
        <v>28466</v>
      </c>
      <c r="C4844" t="s">
        <v>26288</v>
      </c>
      <c r="D4844" t="s">
        <v>25197</v>
      </c>
      <c r="E4844" t="s">
        <v>25826</v>
      </c>
      <c r="F4844" t="s">
        <v>25833</v>
      </c>
      <c r="G4844" t="s">
        <v>25833</v>
      </c>
      <c r="H4844" t="s">
        <v>868</v>
      </c>
      <c r="I4844" t="s">
        <v>869</v>
      </c>
      <c r="J4844" t="str">
        <f>"9190129"</f>
        <v>9190129</v>
      </c>
      <c r="K4844">
        <v>2310767281</v>
      </c>
      <c r="L4844">
        <v>2310767281</v>
      </c>
      <c r="M4844" t="s">
        <v>29047</v>
      </c>
      <c r="N4844" t="s">
        <v>26010</v>
      </c>
      <c r="O4844" t="s">
        <v>29048</v>
      </c>
      <c r="P4844">
        <v>56224</v>
      </c>
      <c r="Q4844" t="str">
        <f>"40.665855"</f>
        <v>40.665855</v>
      </c>
      <c r="R4844" t="str">
        <f>"22.903159"</f>
        <v>22.903159</v>
      </c>
      <c r="S4844" t="s">
        <v>26</v>
      </c>
    </row>
    <row r="4845" spans="1:19" x14ac:dyDescent="0.3">
      <c r="A4845" t="s">
        <v>25190</v>
      </c>
      <c r="B4845" t="s">
        <v>28466</v>
      </c>
      <c r="C4845" t="s">
        <v>29049</v>
      </c>
      <c r="D4845" t="s">
        <v>25197</v>
      </c>
      <c r="E4845" t="s">
        <v>13689</v>
      </c>
      <c r="F4845" t="s">
        <v>13689</v>
      </c>
      <c r="G4845" t="s">
        <v>4618</v>
      </c>
      <c r="H4845" t="s">
        <v>868</v>
      </c>
      <c r="I4845" t="s">
        <v>869</v>
      </c>
      <c r="J4845" t="str">
        <f>"9190230"</f>
        <v>9190230</v>
      </c>
      <c r="K4845">
        <v>2394022765</v>
      </c>
      <c r="L4845">
        <v>2394022765</v>
      </c>
      <c r="M4845" t="s">
        <v>29050</v>
      </c>
      <c r="N4845" t="s">
        <v>28925</v>
      </c>
      <c r="O4845" t="s">
        <v>13686</v>
      </c>
      <c r="P4845">
        <v>57200</v>
      </c>
      <c r="Q4845" t="str">
        <f>"40.759164"</f>
        <v>40.759164</v>
      </c>
      <c r="R4845" t="str">
        <f>"23.036484"</f>
        <v>23.036484</v>
      </c>
      <c r="S4845" t="s">
        <v>26</v>
      </c>
    </row>
    <row r="4846" spans="1:19" x14ac:dyDescent="0.3">
      <c r="A4846" t="s">
        <v>25190</v>
      </c>
      <c r="B4846" t="s">
        <v>28466</v>
      </c>
      <c r="C4846" t="s">
        <v>29051</v>
      </c>
      <c r="D4846" t="s">
        <v>25197</v>
      </c>
      <c r="E4846" t="s">
        <v>13689</v>
      </c>
      <c r="F4846" t="s">
        <v>13689</v>
      </c>
      <c r="G4846" t="s">
        <v>13689</v>
      </c>
      <c r="H4846" t="s">
        <v>868</v>
      </c>
      <c r="I4846" t="s">
        <v>869</v>
      </c>
      <c r="J4846" t="str">
        <f>"9190203"</f>
        <v>9190203</v>
      </c>
      <c r="K4846">
        <v>2394022515</v>
      </c>
      <c r="L4846">
        <v>2394022508</v>
      </c>
      <c r="M4846" t="s">
        <v>29052</v>
      </c>
      <c r="N4846" t="s">
        <v>13686</v>
      </c>
      <c r="O4846" t="s">
        <v>29053</v>
      </c>
      <c r="P4846">
        <v>57200</v>
      </c>
      <c r="Q4846" t="str">
        <f>"40.750108"</f>
        <v>40.750108</v>
      </c>
      <c r="R4846" t="str">
        <f>"23.065174"</f>
        <v>23.065174</v>
      </c>
      <c r="S4846" t="s">
        <v>26</v>
      </c>
    </row>
    <row r="4847" spans="1:19" x14ac:dyDescent="0.3">
      <c r="A4847" t="s">
        <v>25190</v>
      </c>
      <c r="B4847" t="s">
        <v>28466</v>
      </c>
      <c r="C4847" t="s">
        <v>29057</v>
      </c>
      <c r="D4847" t="s">
        <v>25197</v>
      </c>
      <c r="E4847" t="s">
        <v>25826</v>
      </c>
      <c r="F4847" t="s">
        <v>25827</v>
      </c>
      <c r="G4847" t="s">
        <v>25827</v>
      </c>
      <c r="H4847" t="s">
        <v>868</v>
      </c>
      <c r="I4847" t="s">
        <v>1157</v>
      </c>
      <c r="J4847" t="str">
        <f>"9190895"</f>
        <v>9190895</v>
      </c>
      <c r="K4847">
        <v>2310775063</v>
      </c>
      <c r="L4847">
        <v>2310775063</v>
      </c>
      <c r="M4847" t="s">
        <v>29058</v>
      </c>
      <c r="N4847" t="s">
        <v>29059</v>
      </c>
      <c r="O4847" t="s">
        <v>29060</v>
      </c>
      <c r="P4847">
        <v>56334</v>
      </c>
      <c r="Q4847" t="str">
        <f>"40.667799"</f>
        <v>40.667799</v>
      </c>
      <c r="R4847" t="str">
        <f>"22.892127"</f>
        <v>22.892127</v>
      </c>
      <c r="S4847" t="s">
        <v>26</v>
      </c>
    </row>
    <row r="4848" spans="1:19" x14ac:dyDescent="0.3">
      <c r="A4848" t="s">
        <v>25190</v>
      </c>
      <c r="B4848" t="s">
        <v>28466</v>
      </c>
      <c r="C4848" t="s">
        <v>26238</v>
      </c>
      <c r="D4848" t="s">
        <v>25197</v>
      </c>
      <c r="E4848" t="s">
        <v>13689</v>
      </c>
      <c r="F4848" t="s">
        <v>26232</v>
      </c>
      <c r="G4848" t="s">
        <v>26233</v>
      </c>
      <c r="H4848" t="s">
        <v>868</v>
      </c>
      <c r="I4848" t="s">
        <v>869</v>
      </c>
      <c r="J4848" t="str">
        <f>"9190246"</f>
        <v>9190246</v>
      </c>
      <c r="K4848">
        <v>2394093203</v>
      </c>
      <c r="L4848">
        <v>2394093203</v>
      </c>
      <c r="M4848" t="s">
        <v>29064</v>
      </c>
      <c r="N4848" t="s">
        <v>26237</v>
      </c>
      <c r="O4848" t="s">
        <v>26237</v>
      </c>
      <c r="P4848">
        <v>57017</v>
      </c>
      <c r="Q4848" t="str">
        <f>"40.928083"</f>
        <v>40.928083</v>
      </c>
      <c r="R4848" t="str">
        <f>"23.179239"</f>
        <v>23.179239</v>
      </c>
      <c r="S4848" t="s">
        <v>26</v>
      </c>
    </row>
    <row r="4849" spans="1:19" x14ac:dyDescent="0.3">
      <c r="A4849" t="s">
        <v>25190</v>
      </c>
      <c r="B4849" t="s">
        <v>28466</v>
      </c>
      <c r="C4849" t="s">
        <v>29065</v>
      </c>
      <c r="D4849" t="s">
        <v>25197</v>
      </c>
      <c r="E4849" t="s">
        <v>13689</v>
      </c>
      <c r="F4849" t="s">
        <v>26156</v>
      </c>
      <c r="G4849" t="s">
        <v>29035</v>
      </c>
      <c r="H4849" t="s">
        <v>868</v>
      </c>
      <c r="I4849" t="s">
        <v>869</v>
      </c>
      <c r="J4849" t="str">
        <f>"9190234"</f>
        <v>9190234</v>
      </c>
      <c r="K4849">
        <v>2394054036</v>
      </c>
      <c r="L4849">
        <v>2394054036</v>
      </c>
      <c r="M4849" t="s">
        <v>29066</v>
      </c>
      <c r="N4849" t="s">
        <v>29038</v>
      </c>
      <c r="O4849" t="s">
        <v>29039</v>
      </c>
      <c r="P4849">
        <v>57200</v>
      </c>
      <c r="Q4849" t="str">
        <f>"40.841967"</f>
        <v>40.841967</v>
      </c>
      <c r="R4849" t="str">
        <f>"22.979719"</f>
        <v>22.979719</v>
      </c>
      <c r="S4849" t="s">
        <v>26</v>
      </c>
    </row>
    <row r="4850" spans="1:19" x14ac:dyDescent="0.3">
      <c r="A4850" t="s">
        <v>25190</v>
      </c>
      <c r="B4850" t="s">
        <v>28466</v>
      </c>
      <c r="C4850" t="s">
        <v>29074</v>
      </c>
      <c r="D4850" t="s">
        <v>25197</v>
      </c>
      <c r="E4850" t="s">
        <v>25203</v>
      </c>
      <c r="F4850" t="s">
        <v>25784</v>
      </c>
      <c r="G4850" t="s">
        <v>25784</v>
      </c>
      <c r="H4850" t="s">
        <v>868</v>
      </c>
      <c r="I4850" t="s">
        <v>869</v>
      </c>
      <c r="J4850" t="str">
        <f>"9520912"</f>
        <v>9520912</v>
      </c>
      <c r="K4850">
        <v>2310653110</v>
      </c>
      <c r="L4850">
        <v>2310587388</v>
      </c>
      <c r="M4850" t="s">
        <v>29075</v>
      </c>
      <c r="N4850" t="s">
        <v>25911</v>
      </c>
      <c r="O4850" t="s">
        <v>28808</v>
      </c>
      <c r="P4850">
        <v>56429</v>
      </c>
      <c r="Q4850" t="str">
        <f>"40.662913"</f>
        <v>40.662913</v>
      </c>
      <c r="R4850" t="str">
        <f>"22.941912"</f>
        <v>22.941912</v>
      </c>
      <c r="S4850" t="s">
        <v>26</v>
      </c>
    </row>
    <row r="4851" spans="1:19" x14ac:dyDescent="0.3">
      <c r="A4851" t="s">
        <v>25190</v>
      </c>
      <c r="B4851" t="s">
        <v>28466</v>
      </c>
      <c r="C4851" t="s">
        <v>26060</v>
      </c>
      <c r="D4851" t="s">
        <v>25197</v>
      </c>
      <c r="E4851" t="s">
        <v>25966</v>
      </c>
      <c r="F4851" t="s">
        <v>26056</v>
      </c>
      <c r="G4851" t="s">
        <v>15683</v>
      </c>
      <c r="H4851" t="s">
        <v>868</v>
      </c>
      <c r="I4851" t="s">
        <v>869</v>
      </c>
      <c r="J4851" t="str">
        <f>"9190199"</f>
        <v>9190199</v>
      </c>
      <c r="K4851">
        <v>2394031127</v>
      </c>
      <c r="L4851">
        <v>2394031127</v>
      </c>
      <c r="M4851" t="s">
        <v>29076</v>
      </c>
      <c r="N4851" t="s">
        <v>15686</v>
      </c>
      <c r="O4851" t="s">
        <v>15686</v>
      </c>
      <c r="P4851">
        <v>57200</v>
      </c>
      <c r="Q4851" t="str">
        <f>"40.779202"</f>
        <v>40.779202</v>
      </c>
      <c r="R4851" t="str">
        <f>"22.963824"</f>
        <v>22.963824</v>
      </c>
      <c r="S4851" t="s">
        <v>26</v>
      </c>
    </row>
    <row r="4852" spans="1:19" x14ac:dyDescent="0.3">
      <c r="A4852" t="s">
        <v>25190</v>
      </c>
      <c r="B4852" t="s">
        <v>28466</v>
      </c>
      <c r="C4852" t="s">
        <v>25807</v>
      </c>
      <c r="D4852" t="s">
        <v>25197</v>
      </c>
      <c r="E4852" t="s">
        <v>13689</v>
      </c>
      <c r="F4852" t="s">
        <v>25801</v>
      </c>
      <c r="G4852" t="s">
        <v>25802</v>
      </c>
      <c r="H4852" t="s">
        <v>868</v>
      </c>
      <c r="I4852" t="s">
        <v>869</v>
      </c>
      <c r="J4852" t="str">
        <f>"9190388"</f>
        <v>9190388</v>
      </c>
      <c r="K4852">
        <v>2393021112</v>
      </c>
      <c r="L4852">
        <v>2393021112</v>
      </c>
      <c r="M4852" t="s">
        <v>29079</v>
      </c>
      <c r="N4852" t="s">
        <v>29080</v>
      </c>
      <c r="O4852" t="s">
        <v>25806</v>
      </c>
      <c r="P4852">
        <v>57012</v>
      </c>
      <c r="Q4852" t="str">
        <f>"40.574529"</f>
        <v>40.574529</v>
      </c>
      <c r="R4852" t="str">
        <f>"23.292165"</f>
        <v>23.292165</v>
      </c>
      <c r="S4852" t="s">
        <v>26</v>
      </c>
    </row>
    <row r="4853" spans="1:19" x14ac:dyDescent="0.3">
      <c r="A4853" t="s">
        <v>25190</v>
      </c>
      <c r="B4853" t="s">
        <v>28466</v>
      </c>
      <c r="C4853" t="s">
        <v>26332</v>
      </c>
      <c r="D4853" t="s">
        <v>25197</v>
      </c>
      <c r="E4853" t="s">
        <v>25765</v>
      </c>
      <c r="F4853" t="s">
        <v>26327</v>
      </c>
      <c r="G4853" t="s">
        <v>26327</v>
      </c>
      <c r="H4853" t="s">
        <v>868</v>
      </c>
      <c r="I4853" t="s">
        <v>869</v>
      </c>
      <c r="J4853" t="str">
        <f>"9190215"</f>
        <v>9190215</v>
      </c>
      <c r="K4853">
        <v>2395041313</v>
      </c>
      <c r="L4853">
        <v>2395041313</v>
      </c>
      <c r="M4853" t="s">
        <v>29081</v>
      </c>
      <c r="N4853" t="s">
        <v>26327</v>
      </c>
      <c r="O4853" t="s">
        <v>26331</v>
      </c>
      <c r="P4853">
        <v>57021</v>
      </c>
      <c r="Q4853" t="str">
        <f>"40.741654"</f>
        <v>40.741654</v>
      </c>
      <c r="R4853" t="str">
        <f>"23.590518"</f>
        <v>23.590518</v>
      </c>
      <c r="S4853" t="s">
        <v>26</v>
      </c>
    </row>
    <row r="4854" spans="1:19" x14ac:dyDescent="0.3">
      <c r="A4854" t="s">
        <v>25190</v>
      </c>
      <c r="B4854" t="s">
        <v>28466</v>
      </c>
      <c r="C4854" t="s">
        <v>25857</v>
      </c>
      <c r="D4854" t="s">
        <v>25197</v>
      </c>
      <c r="E4854" t="s">
        <v>25790</v>
      </c>
      <c r="F4854" t="s">
        <v>25851</v>
      </c>
      <c r="G4854" t="s">
        <v>25852</v>
      </c>
      <c r="H4854" t="s">
        <v>868</v>
      </c>
      <c r="I4854" t="s">
        <v>869</v>
      </c>
      <c r="J4854" t="str">
        <f>"9190919"</f>
        <v>9190919</v>
      </c>
      <c r="K4854">
        <v>2310796830</v>
      </c>
      <c r="L4854">
        <v>2310796830</v>
      </c>
      <c r="M4854" t="s">
        <v>29088</v>
      </c>
      <c r="N4854" t="s">
        <v>25855</v>
      </c>
      <c r="O4854" t="s">
        <v>29089</v>
      </c>
      <c r="P4854">
        <v>57400</v>
      </c>
      <c r="Q4854" t="str">
        <f>"40.666185"</f>
        <v>40.666185</v>
      </c>
      <c r="R4854" t="str">
        <f>"22.800521"</f>
        <v>22.800521</v>
      </c>
      <c r="S4854" t="s">
        <v>26</v>
      </c>
    </row>
    <row r="4855" spans="1:19" x14ac:dyDescent="0.3">
      <c r="A4855" t="s">
        <v>25190</v>
      </c>
      <c r="B4855" t="s">
        <v>28466</v>
      </c>
      <c r="C4855" t="s">
        <v>26387</v>
      </c>
      <c r="D4855" t="s">
        <v>25197</v>
      </c>
      <c r="E4855" t="s">
        <v>13689</v>
      </c>
      <c r="F4855" t="s">
        <v>13689</v>
      </c>
      <c r="G4855" t="s">
        <v>26382</v>
      </c>
      <c r="H4855" t="s">
        <v>868</v>
      </c>
      <c r="I4855" t="s">
        <v>869</v>
      </c>
      <c r="J4855" t="str">
        <f>"9190359"</f>
        <v>9190359</v>
      </c>
      <c r="K4855">
        <v>2394071765</v>
      </c>
      <c r="L4855">
        <v>2394071765</v>
      </c>
      <c r="M4855" t="s">
        <v>29090</v>
      </c>
      <c r="O4855" t="s">
        <v>29019</v>
      </c>
      <c r="P4855">
        <v>57200</v>
      </c>
      <c r="Q4855" t="str">
        <f>"40.724077"</f>
        <v>40.724077</v>
      </c>
      <c r="R4855" t="str">
        <f>"23.004378"</f>
        <v>23.004378</v>
      </c>
      <c r="S4855" t="s">
        <v>26</v>
      </c>
    </row>
    <row r="4856" spans="1:19" x14ac:dyDescent="0.3">
      <c r="A4856" t="s">
        <v>25190</v>
      </c>
      <c r="B4856" t="s">
        <v>28466</v>
      </c>
      <c r="C4856" t="s">
        <v>25872</v>
      </c>
      <c r="D4856" t="s">
        <v>25197</v>
      </c>
      <c r="E4856" t="s">
        <v>25815</v>
      </c>
      <c r="F4856" t="s">
        <v>60</v>
      </c>
      <c r="G4856" t="s">
        <v>60</v>
      </c>
      <c r="H4856" t="s">
        <v>868</v>
      </c>
      <c r="I4856" t="s">
        <v>869</v>
      </c>
      <c r="J4856" t="str">
        <f>"9190296"</f>
        <v>9190296</v>
      </c>
      <c r="K4856">
        <v>2310701303</v>
      </c>
      <c r="L4856">
        <v>2310701303</v>
      </c>
      <c r="M4856" t="s">
        <v>29091</v>
      </c>
      <c r="N4856" t="s">
        <v>60</v>
      </c>
      <c r="O4856" t="s">
        <v>29092</v>
      </c>
      <c r="P4856">
        <v>57003</v>
      </c>
      <c r="Q4856" t="str">
        <f>"40.711802"</f>
        <v>40.711802</v>
      </c>
      <c r="R4856" t="str">
        <f>"22.729714"</f>
        <v>22.729714</v>
      </c>
      <c r="S4856" t="s">
        <v>26</v>
      </c>
    </row>
    <row r="4857" spans="1:19" x14ac:dyDescent="0.3">
      <c r="A4857" t="s">
        <v>25190</v>
      </c>
      <c r="B4857" t="s">
        <v>28466</v>
      </c>
      <c r="C4857" t="s">
        <v>29093</v>
      </c>
      <c r="D4857" t="s">
        <v>25197</v>
      </c>
      <c r="E4857" t="s">
        <v>25203</v>
      </c>
      <c r="F4857" t="s">
        <v>595</v>
      </c>
      <c r="G4857" t="s">
        <v>595</v>
      </c>
      <c r="H4857" t="s">
        <v>868</v>
      </c>
      <c r="I4857" t="s">
        <v>869</v>
      </c>
      <c r="J4857" t="str">
        <f>"9190079"</f>
        <v>9190079</v>
      </c>
      <c r="K4857">
        <v>2310650105</v>
      </c>
      <c r="L4857">
        <v>2310650105</v>
      </c>
      <c r="M4857" t="s">
        <v>29094</v>
      </c>
      <c r="N4857" t="s">
        <v>2473</v>
      </c>
      <c r="O4857" t="s">
        <v>28556</v>
      </c>
      <c r="P4857">
        <v>56431</v>
      </c>
      <c r="Q4857" t="str">
        <f>"40.669040"</f>
        <v>40.669040</v>
      </c>
      <c r="R4857" t="str">
        <f>"22.929155"</f>
        <v>22.929155</v>
      </c>
      <c r="S4857" t="s">
        <v>26</v>
      </c>
    </row>
    <row r="4858" spans="1:19" x14ac:dyDescent="0.3">
      <c r="A4858" t="s">
        <v>25190</v>
      </c>
      <c r="B4858" t="s">
        <v>28466</v>
      </c>
      <c r="C4858" t="s">
        <v>25832</v>
      </c>
      <c r="D4858" t="s">
        <v>25197</v>
      </c>
      <c r="E4858" t="s">
        <v>25826</v>
      </c>
      <c r="F4858" t="s">
        <v>25827</v>
      </c>
      <c r="G4858" t="s">
        <v>25827</v>
      </c>
      <c r="H4858" t="s">
        <v>868</v>
      </c>
      <c r="I4858" t="s">
        <v>869</v>
      </c>
      <c r="J4858" t="str">
        <f>"9190804"</f>
        <v>9190804</v>
      </c>
      <c r="K4858">
        <v>2310766086</v>
      </c>
      <c r="L4858">
        <v>2310766086</v>
      </c>
      <c r="M4858" t="s">
        <v>29095</v>
      </c>
      <c r="N4858" t="s">
        <v>28510</v>
      </c>
      <c r="O4858" t="s">
        <v>29096</v>
      </c>
      <c r="P4858">
        <v>56334</v>
      </c>
      <c r="Q4858" t="str">
        <f>"40.668119"</f>
        <v>40.668119</v>
      </c>
      <c r="R4858" t="str">
        <f>"22.895917"</f>
        <v>22.895917</v>
      </c>
      <c r="S4858" t="s">
        <v>26</v>
      </c>
    </row>
    <row r="4859" spans="1:19" x14ac:dyDescent="0.3">
      <c r="A4859" t="s">
        <v>25190</v>
      </c>
      <c r="B4859" t="s">
        <v>28466</v>
      </c>
      <c r="C4859" t="s">
        <v>29100</v>
      </c>
      <c r="D4859" t="s">
        <v>25197</v>
      </c>
      <c r="E4859" t="s">
        <v>25203</v>
      </c>
      <c r="F4859" t="s">
        <v>595</v>
      </c>
      <c r="G4859" t="s">
        <v>595</v>
      </c>
      <c r="H4859" t="s">
        <v>868</v>
      </c>
      <c r="I4859" t="s">
        <v>869</v>
      </c>
      <c r="J4859" t="str">
        <f>"9190074"</f>
        <v>9190074</v>
      </c>
      <c r="K4859">
        <v>2310650852</v>
      </c>
      <c r="L4859">
        <v>2310650852</v>
      </c>
      <c r="M4859" t="s">
        <v>29101</v>
      </c>
      <c r="N4859" t="s">
        <v>26091</v>
      </c>
      <c r="O4859" t="s">
        <v>29102</v>
      </c>
      <c r="P4859">
        <v>56431</v>
      </c>
      <c r="Q4859" t="str">
        <f>"40.668837"</f>
        <v>40.668837</v>
      </c>
      <c r="R4859" t="str">
        <f>"22.930698"</f>
        <v>22.930698</v>
      </c>
      <c r="S4859" t="s">
        <v>26</v>
      </c>
    </row>
    <row r="4860" spans="1:19" x14ac:dyDescent="0.3">
      <c r="A4860" t="s">
        <v>25190</v>
      </c>
      <c r="B4860" t="s">
        <v>28466</v>
      </c>
      <c r="C4860" t="s">
        <v>29106</v>
      </c>
      <c r="D4860" t="s">
        <v>25197</v>
      </c>
      <c r="E4860" t="s">
        <v>25889</v>
      </c>
      <c r="F4860" t="s">
        <v>25924</v>
      </c>
      <c r="G4860" t="s">
        <v>25924</v>
      </c>
      <c r="H4860" t="s">
        <v>868</v>
      </c>
      <c r="I4860" t="s">
        <v>869</v>
      </c>
      <c r="J4860" t="str">
        <f>"9190164"</f>
        <v>9190164</v>
      </c>
      <c r="K4860">
        <v>2310610845</v>
      </c>
      <c r="L4860">
        <v>2310610845</v>
      </c>
      <c r="M4860" t="s">
        <v>29107</v>
      </c>
      <c r="N4860" t="s">
        <v>25952</v>
      </c>
      <c r="O4860" t="s">
        <v>29108</v>
      </c>
      <c r="P4860">
        <v>56625</v>
      </c>
      <c r="Q4860" t="str">
        <f>"40.647242"</f>
        <v>40.647242</v>
      </c>
      <c r="R4860" t="str">
        <f>"22.953908"</f>
        <v>22.953908</v>
      </c>
      <c r="S4860" t="s">
        <v>26</v>
      </c>
    </row>
    <row r="4861" spans="1:19" x14ac:dyDescent="0.3">
      <c r="A4861" t="s">
        <v>25190</v>
      </c>
      <c r="B4861" t="s">
        <v>28466</v>
      </c>
      <c r="C4861" t="s">
        <v>26191</v>
      </c>
      <c r="D4861" t="s">
        <v>25197</v>
      </c>
      <c r="E4861" t="s">
        <v>25826</v>
      </c>
      <c r="F4861" t="s">
        <v>25833</v>
      </c>
      <c r="G4861" t="s">
        <v>25833</v>
      </c>
      <c r="H4861" t="s">
        <v>868</v>
      </c>
      <c r="I4861" t="s">
        <v>869</v>
      </c>
      <c r="J4861" t="str">
        <f>"9190128"</f>
        <v>9190128</v>
      </c>
      <c r="K4861">
        <v>2310763344</v>
      </c>
      <c r="L4861">
        <v>2310763344</v>
      </c>
      <c r="M4861" t="s">
        <v>29111</v>
      </c>
      <c r="N4861" t="s">
        <v>26010</v>
      </c>
      <c r="O4861" t="s">
        <v>29112</v>
      </c>
      <c r="P4861">
        <v>56224</v>
      </c>
      <c r="Q4861" t="str">
        <f>"40.667592"</f>
        <v>40.667592</v>
      </c>
      <c r="R4861" t="str">
        <f>"22.908568"</f>
        <v>22.908568</v>
      </c>
      <c r="S4861" t="s">
        <v>26</v>
      </c>
    </row>
    <row r="4862" spans="1:19" x14ac:dyDescent="0.3">
      <c r="A4862" t="s">
        <v>25190</v>
      </c>
      <c r="B4862" t="s">
        <v>28466</v>
      </c>
      <c r="C4862" t="s">
        <v>29113</v>
      </c>
      <c r="D4862" t="s">
        <v>25197</v>
      </c>
      <c r="E4862" t="s">
        <v>25873</v>
      </c>
      <c r="F4862" t="s">
        <v>25992</v>
      </c>
      <c r="G4862" t="s">
        <v>25992</v>
      </c>
      <c r="H4862" t="s">
        <v>868</v>
      </c>
      <c r="I4862" t="s">
        <v>869</v>
      </c>
      <c r="J4862" t="str">
        <f>"9520671"</f>
        <v>9520671</v>
      </c>
      <c r="K4862">
        <v>2310740221</v>
      </c>
      <c r="L4862">
        <v>2310740221</v>
      </c>
      <c r="M4862" t="s">
        <v>29114</v>
      </c>
      <c r="N4862" t="s">
        <v>28686</v>
      </c>
      <c r="O4862" t="s">
        <v>29115</v>
      </c>
      <c r="P4862">
        <v>54628</v>
      </c>
      <c r="Q4862" t="str">
        <f>"40.655628"</f>
        <v>40.655628</v>
      </c>
      <c r="R4862" t="str">
        <f>"22.907882"</f>
        <v>22.907882</v>
      </c>
      <c r="S4862" t="s">
        <v>26</v>
      </c>
    </row>
    <row r="4863" spans="1:19" x14ac:dyDescent="0.3">
      <c r="A4863" t="s">
        <v>25190</v>
      </c>
      <c r="B4863" t="s">
        <v>28466</v>
      </c>
      <c r="C4863" t="s">
        <v>29116</v>
      </c>
      <c r="D4863" t="s">
        <v>25197</v>
      </c>
      <c r="E4863" t="s">
        <v>25873</v>
      </c>
      <c r="F4863" t="s">
        <v>25992</v>
      </c>
      <c r="G4863" t="s">
        <v>25992</v>
      </c>
      <c r="H4863" t="s">
        <v>868</v>
      </c>
      <c r="I4863" t="s">
        <v>869</v>
      </c>
      <c r="J4863" t="str">
        <f>"9190153"</f>
        <v>9190153</v>
      </c>
      <c r="K4863">
        <v>2310732912</v>
      </c>
      <c r="L4863">
        <v>2310732912</v>
      </c>
      <c r="M4863" t="s">
        <v>29117</v>
      </c>
      <c r="N4863" t="s">
        <v>28686</v>
      </c>
      <c r="O4863" t="s">
        <v>28687</v>
      </c>
      <c r="P4863">
        <v>56122</v>
      </c>
      <c r="Q4863" t="str">
        <f>"40.655659"</f>
        <v>40.655659</v>
      </c>
      <c r="R4863" t="str">
        <f>"22.914540"</f>
        <v>22.914540</v>
      </c>
      <c r="S4863" t="s">
        <v>26</v>
      </c>
    </row>
    <row r="4864" spans="1:19" x14ac:dyDescent="0.3">
      <c r="A4864" t="s">
        <v>25190</v>
      </c>
      <c r="B4864" t="s">
        <v>28466</v>
      </c>
      <c r="C4864" t="s">
        <v>25771</v>
      </c>
      <c r="D4864" t="s">
        <v>25197</v>
      </c>
      <c r="E4864" t="s">
        <v>25765</v>
      </c>
      <c r="F4864" t="s">
        <v>25766</v>
      </c>
      <c r="G4864" t="s">
        <v>25767</v>
      </c>
      <c r="H4864" t="s">
        <v>868</v>
      </c>
      <c r="I4864" t="s">
        <v>869</v>
      </c>
      <c r="J4864" t="str">
        <f>"9190400"</f>
        <v>9190400</v>
      </c>
      <c r="K4864">
        <v>2397041578</v>
      </c>
      <c r="L4864">
        <v>2397041571</v>
      </c>
      <c r="M4864" t="s">
        <v>29118</v>
      </c>
      <c r="N4864" t="s">
        <v>25770</v>
      </c>
      <c r="O4864" t="s">
        <v>25770</v>
      </c>
      <c r="P4864">
        <v>57014</v>
      </c>
      <c r="Q4864" t="str">
        <f>"40.624542"</f>
        <v>40.624542</v>
      </c>
      <c r="R4864" t="str">
        <f>"23.563269"</f>
        <v>23.563269</v>
      </c>
      <c r="S4864" t="s">
        <v>26</v>
      </c>
    </row>
    <row r="4865" spans="1:19" x14ac:dyDescent="0.3">
      <c r="A4865" t="s">
        <v>25190</v>
      </c>
      <c r="B4865" t="s">
        <v>28466</v>
      </c>
      <c r="C4865" t="s">
        <v>26160</v>
      </c>
      <c r="D4865" t="s">
        <v>25197</v>
      </c>
      <c r="E4865" t="s">
        <v>13689</v>
      </c>
      <c r="F4865" t="s">
        <v>26156</v>
      </c>
      <c r="G4865" t="s">
        <v>26156</v>
      </c>
      <c r="H4865" t="s">
        <v>868</v>
      </c>
      <c r="I4865" t="s">
        <v>869</v>
      </c>
      <c r="J4865" t="str">
        <f>"9190221"</f>
        <v>9190221</v>
      </c>
      <c r="K4865">
        <v>2394061266</v>
      </c>
      <c r="L4865">
        <v>2394061266</v>
      </c>
      <c r="M4865" t="s">
        <v>29119</v>
      </c>
      <c r="N4865" t="s">
        <v>26159</v>
      </c>
      <c r="O4865" t="s">
        <v>29120</v>
      </c>
      <c r="P4865">
        <v>57200</v>
      </c>
      <c r="Q4865" t="str">
        <f>"40.818276"</f>
        <v>40.818276</v>
      </c>
      <c r="R4865" t="str">
        <f>"23.029068"</f>
        <v>23.029068</v>
      </c>
      <c r="S4865" t="s">
        <v>26</v>
      </c>
    </row>
    <row r="4866" spans="1:19" x14ac:dyDescent="0.3">
      <c r="A4866" t="s">
        <v>25190</v>
      </c>
      <c r="B4866" t="s">
        <v>28466</v>
      </c>
      <c r="C4866" t="s">
        <v>29121</v>
      </c>
      <c r="D4866" t="s">
        <v>25197</v>
      </c>
      <c r="E4866" t="s">
        <v>13689</v>
      </c>
      <c r="F4866" t="s">
        <v>13689</v>
      </c>
      <c r="G4866" t="s">
        <v>28731</v>
      </c>
      <c r="H4866" t="s">
        <v>868</v>
      </c>
      <c r="I4866" t="s">
        <v>869</v>
      </c>
      <c r="J4866" t="str">
        <f>"9190250"</f>
        <v>9190250</v>
      </c>
      <c r="K4866">
        <v>2394022747</v>
      </c>
      <c r="L4866">
        <v>2394022747</v>
      </c>
      <c r="M4866" t="s">
        <v>29122</v>
      </c>
      <c r="N4866" t="s">
        <v>28734</v>
      </c>
      <c r="O4866" t="s">
        <v>28734</v>
      </c>
      <c r="P4866">
        <v>57200</v>
      </c>
      <c r="Q4866" t="str">
        <f>"40.749290"</f>
        <v>40.749290</v>
      </c>
      <c r="R4866" t="str">
        <f>"23.037344"</f>
        <v>23.037344</v>
      </c>
      <c r="S4866" t="s">
        <v>26</v>
      </c>
    </row>
    <row r="4867" spans="1:19" x14ac:dyDescent="0.3">
      <c r="A4867" t="s">
        <v>25190</v>
      </c>
      <c r="B4867" t="s">
        <v>28466</v>
      </c>
      <c r="C4867" t="s">
        <v>25844</v>
      </c>
      <c r="D4867" t="s">
        <v>25197</v>
      </c>
      <c r="E4867" t="s">
        <v>25765</v>
      </c>
      <c r="F4867" t="s">
        <v>1872</v>
      </c>
      <c r="G4867" t="s">
        <v>28935</v>
      </c>
      <c r="H4867" t="s">
        <v>868</v>
      </c>
      <c r="I4867" t="s">
        <v>869</v>
      </c>
      <c r="J4867" t="str">
        <f>"9190662"</f>
        <v>9190662</v>
      </c>
      <c r="K4867">
        <v>2397022940</v>
      </c>
      <c r="L4867">
        <v>2397022940</v>
      </c>
      <c r="M4867" t="s">
        <v>29123</v>
      </c>
      <c r="N4867" t="s">
        <v>28939</v>
      </c>
      <c r="O4867" t="s">
        <v>29124</v>
      </c>
      <c r="P4867">
        <v>57021</v>
      </c>
      <c r="Q4867" t="str">
        <f>"40.706731"</f>
        <v>40.706731</v>
      </c>
      <c r="R4867" t="str">
        <f>"23.697701"</f>
        <v>23.697701</v>
      </c>
      <c r="S4867" t="s">
        <v>26</v>
      </c>
    </row>
    <row r="4868" spans="1:19" x14ac:dyDescent="0.3">
      <c r="A4868" t="s">
        <v>25190</v>
      </c>
      <c r="B4868" t="s">
        <v>28466</v>
      </c>
      <c r="C4868" t="s">
        <v>25776</v>
      </c>
      <c r="D4868" t="s">
        <v>25197</v>
      </c>
      <c r="E4868" t="s">
        <v>25765</v>
      </c>
      <c r="F4868" t="s">
        <v>21848</v>
      </c>
      <c r="G4868" t="s">
        <v>21878</v>
      </c>
      <c r="H4868" t="s">
        <v>868</v>
      </c>
      <c r="I4868" t="s">
        <v>869</v>
      </c>
      <c r="J4868" t="str">
        <f>"9190408"</f>
        <v>9190408</v>
      </c>
      <c r="K4868">
        <v>2397061339</v>
      </c>
      <c r="L4868">
        <v>2397061342</v>
      </c>
      <c r="M4868" t="s">
        <v>29125</v>
      </c>
      <c r="N4868" t="s">
        <v>21881</v>
      </c>
      <c r="O4868" t="s">
        <v>29126</v>
      </c>
      <c r="P4868">
        <v>57014</v>
      </c>
      <c r="Q4868" t="str">
        <f>"40.662610"</f>
        <v>40.662610</v>
      </c>
      <c r="R4868" t="str">
        <f>"23.701353"</f>
        <v>23.701353</v>
      </c>
      <c r="S4868" t="s">
        <v>26</v>
      </c>
    </row>
    <row r="4869" spans="1:19" x14ac:dyDescent="0.3">
      <c r="A4869" t="s">
        <v>25190</v>
      </c>
      <c r="B4869" t="s">
        <v>28466</v>
      </c>
      <c r="C4869" t="s">
        <v>29128</v>
      </c>
      <c r="D4869" t="s">
        <v>25197</v>
      </c>
      <c r="E4869" t="s">
        <v>13689</v>
      </c>
      <c r="F4869" t="s">
        <v>13689</v>
      </c>
      <c r="G4869" t="s">
        <v>29127</v>
      </c>
      <c r="H4869" t="s">
        <v>868</v>
      </c>
      <c r="I4869" t="s">
        <v>869</v>
      </c>
      <c r="J4869" t="str">
        <f>"9190263"</f>
        <v>9190263</v>
      </c>
      <c r="K4869">
        <v>2394022619</v>
      </c>
      <c r="L4869">
        <v>2394022619</v>
      </c>
      <c r="M4869" t="s">
        <v>29129</v>
      </c>
      <c r="N4869" t="s">
        <v>29130</v>
      </c>
      <c r="O4869" t="s">
        <v>29131</v>
      </c>
      <c r="P4869">
        <v>57200</v>
      </c>
      <c r="Q4869" t="str">
        <f>"40.765308"</f>
        <v>40.765308</v>
      </c>
      <c r="R4869" t="str">
        <f>"23.081917"</f>
        <v>23.081917</v>
      </c>
      <c r="S4869" t="s">
        <v>26</v>
      </c>
    </row>
    <row r="4870" spans="1:19" x14ac:dyDescent="0.3">
      <c r="A4870" t="s">
        <v>25190</v>
      </c>
      <c r="B4870" t="s">
        <v>28466</v>
      </c>
      <c r="C4870" t="s">
        <v>29132</v>
      </c>
      <c r="D4870" t="s">
        <v>25197</v>
      </c>
      <c r="E4870" t="s">
        <v>13689</v>
      </c>
      <c r="F4870" t="s">
        <v>28942</v>
      </c>
      <c r="G4870" t="s">
        <v>28943</v>
      </c>
      <c r="H4870" t="s">
        <v>868</v>
      </c>
      <c r="I4870" t="s">
        <v>869</v>
      </c>
      <c r="J4870" t="str">
        <f>"9190248"</f>
        <v>9190248</v>
      </c>
      <c r="K4870">
        <v>2394091204</v>
      </c>
      <c r="L4870">
        <v>2394091204</v>
      </c>
      <c r="M4870" t="s">
        <v>29133</v>
      </c>
      <c r="N4870" t="s">
        <v>29134</v>
      </c>
      <c r="O4870" t="s">
        <v>29135</v>
      </c>
      <c r="P4870">
        <v>57200</v>
      </c>
      <c r="Q4870" t="str">
        <f>"40.837793"</f>
        <v>40.837793</v>
      </c>
      <c r="R4870" t="str">
        <f>"23.204177"</f>
        <v>23.204177</v>
      </c>
      <c r="S4870" t="s">
        <v>26</v>
      </c>
    </row>
    <row r="4871" spans="1:19" x14ac:dyDescent="0.3">
      <c r="A4871" t="s">
        <v>25190</v>
      </c>
      <c r="B4871" t="s">
        <v>28466</v>
      </c>
      <c r="C4871" t="s">
        <v>29136</v>
      </c>
      <c r="D4871" t="s">
        <v>25197</v>
      </c>
      <c r="E4871" t="s">
        <v>25966</v>
      </c>
      <c r="F4871" t="s">
        <v>26056</v>
      </c>
      <c r="G4871" t="s">
        <v>28954</v>
      </c>
      <c r="H4871" t="s">
        <v>868</v>
      </c>
      <c r="I4871" t="s">
        <v>869</v>
      </c>
      <c r="J4871" t="str">
        <f>"9190201"</f>
        <v>9190201</v>
      </c>
      <c r="K4871">
        <v>2394071226</v>
      </c>
      <c r="L4871">
        <v>2394071226</v>
      </c>
      <c r="M4871" t="s">
        <v>29137</v>
      </c>
      <c r="N4871" t="s">
        <v>29138</v>
      </c>
      <c r="O4871" t="s">
        <v>29139</v>
      </c>
      <c r="P4871">
        <v>57200</v>
      </c>
      <c r="Q4871" t="str">
        <f>"40.742982"</f>
        <v>40.742982</v>
      </c>
      <c r="R4871" t="str">
        <f>"22.980551"</f>
        <v>22.980551</v>
      </c>
      <c r="S4871" t="s">
        <v>26</v>
      </c>
    </row>
    <row r="4872" spans="1:19" x14ac:dyDescent="0.3">
      <c r="A4872" t="s">
        <v>25190</v>
      </c>
      <c r="B4872" t="s">
        <v>28466</v>
      </c>
      <c r="C4872" t="s">
        <v>26317</v>
      </c>
      <c r="D4872" t="s">
        <v>25197</v>
      </c>
      <c r="E4872" t="s">
        <v>25790</v>
      </c>
      <c r="F4872" t="s">
        <v>25851</v>
      </c>
      <c r="G4872" t="s">
        <v>26312</v>
      </c>
      <c r="H4872" t="s">
        <v>868</v>
      </c>
      <c r="I4872" t="s">
        <v>869</v>
      </c>
      <c r="J4872" t="str">
        <f>"9190312"</f>
        <v>9190312</v>
      </c>
      <c r="K4872">
        <v>2310781212</v>
      </c>
      <c r="L4872">
        <v>2310781212</v>
      </c>
      <c r="M4872" t="s">
        <v>29140</v>
      </c>
      <c r="N4872" t="s">
        <v>29141</v>
      </c>
      <c r="O4872" t="s">
        <v>29142</v>
      </c>
      <c r="P4872">
        <v>57008</v>
      </c>
      <c r="Q4872" t="str">
        <f>"40.688837"</f>
        <v>40.688837</v>
      </c>
      <c r="R4872" t="str">
        <f>"22.845124"</f>
        <v>22.845124</v>
      </c>
      <c r="S4872" t="s">
        <v>26</v>
      </c>
    </row>
    <row r="4873" spans="1:19" x14ac:dyDescent="0.3">
      <c r="A4873" t="s">
        <v>25190</v>
      </c>
      <c r="B4873" t="s">
        <v>28466</v>
      </c>
      <c r="C4873" t="s">
        <v>25962</v>
      </c>
      <c r="D4873" t="s">
        <v>25197</v>
      </c>
      <c r="E4873" t="s">
        <v>13689</v>
      </c>
      <c r="F4873" t="s">
        <v>13689</v>
      </c>
      <c r="G4873" t="s">
        <v>13689</v>
      </c>
      <c r="H4873" t="s">
        <v>868</v>
      </c>
      <c r="I4873" t="s">
        <v>869</v>
      </c>
      <c r="J4873" t="str">
        <f>"9190207"</f>
        <v>9190207</v>
      </c>
      <c r="K4873">
        <v>2394025389</v>
      </c>
      <c r="L4873">
        <v>2394025389</v>
      </c>
      <c r="M4873" t="s">
        <v>29143</v>
      </c>
      <c r="N4873" t="s">
        <v>13686</v>
      </c>
      <c r="O4873" t="s">
        <v>28960</v>
      </c>
      <c r="P4873">
        <v>57200</v>
      </c>
      <c r="Q4873" t="str">
        <f>"40.755672"</f>
        <v>40.755672</v>
      </c>
      <c r="R4873" t="str">
        <f>"23.067065"</f>
        <v>23.067065</v>
      </c>
      <c r="S4873" t="s">
        <v>26</v>
      </c>
    </row>
    <row r="4874" spans="1:19" x14ac:dyDescent="0.3">
      <c r="A4874" t="s">
        <v>25190</v>
      </c>
      <c r="B4874" t="s">
        <v>28466</v>
      </c>
      <c r="C4874" t="s">
        <v>25986</v>
      </c>
      <c r="D4874" t="s">
        <v>25197</v>
      </c>
      <c r="E4874" t="s">
        <v>25203</v>
      </c>
      <c r="F4874" t="s">
        <v>595</v>
      </c>
      <c r="G4874" t="s">
        <v>595</v>
      </c>
      <c r="H4874" t="s">
        <v>868</v>
      </c>
      <c r="I4874" t="s">
        <v>869</v>
      </c>
      <c r="J4874" t="str">
        <f>"9190075"</f>
        <v>9190075</v>
      </c>
      <c r="K4874">
        <v>2310650811</v>
      </c>
      <c r="L4874">
        <v>2313092151</v>
      </c>
      <c r="M4874" t="s">
        <v>29144</v>
      </c>
      <c r="N4874" t="s">
        <v>2473</v>
      </c>
      <c r="O4874" t="s">
        <v>29145</v>
      </c>
      <c r="P4874">
        <v>56431</v>
      </c>
      <c r="Q4874" t="str">
        <f>"40.675202"</f>
        <v>40.675202</v>
      </c>
      <c r="R4874" t="str">
        <f>"22.924861"</f>
        <v>22.924861</v>
      </c>
      <c r="S4874" t="s">
        <v>26</v>
      </c>
    </row>
    <row r="4875" spans="1:19" x14ac:dyDescent="0.3">
      <c r="A4875" t="s">
        <v>25190</v>
      </c>
      <c r="B4875" t="s">
        <v>28466</v>
      </c>
      <c r="C4875" t="s">
        <v>29146</v>
      </c>
      <c r="D4875" t="s">
        <v>25197</v>
      </c>
      <c r="E4875" t="s">
        <v>25966</v>
      </c>
      <c r="F4875" t="s">
        <v>26056</v>
      </c>
      <c r="G4875" t="s">
        <v>22434</v>
      </c>
      <c r="H4875" t="s">
        <v>868</v>
      </c>
      <c r="I4875" t="s">
        <v>869</v>
      </c>
      <c r="J4875" t="str">
        <f>"9190202"</f>
        <v>9190202</v>
      </c>
      <c r="K4875">
        <v>2394031239</v>
      </c>
      <c r="L4875">
        <v>2394031239</v>
      </c>
      <c r="M4875" t="s">
        <v>29147</v>
      </c>
      <c r="N4875" t="s">
        <v>22434</v>
      </c>
      <c r="O4875" t="s">
        <v>27237</v>
      </c>
      <c r="P4875">
        <v>57018</v>
      </c>
      <c r="Q4875" t="str">
        <f>"40.768876"</f>
        <v>40.768876</v>
      </c>
      <c r="R4875" t="str">
        <f>"22.931670"</f>
        <v>22.931670</v>
      </c>
      <c r="S4875" t="s">
        <v>26</v>
      </c>
    </row>
    <row r="4876" spans="1:19" x14ac:dyDescent="0.3">
      <c r="A4876" t="s">
        <v>25190</v>
      </c>
      <c r="B4876" t="s">
        <v>28466</v>
      </c>
      <c r="C4876" t="s">
        <v>25863</v>
      </c>
      <c r="D4876" t="s">
        <v>25197</v>
      </c>
      <c r="E4876" t="s">
        <v>25765</v>
      </c>
      <c r="F4876" t="s">
        <v>21848</v>
      </c>
      <c r="G4876" t="s">
        <v>21878</v>
      </c>
      <c r="H4876" t="s">
        <v>868</v>
      </c>
      <c r="I4876" t="s">
        <v>869</v>
      </c>
      <c r="J4876" t="str">
        <f>"9190820"</f>
        <v>9190820</v>
      </c>
      <c r="K4876">
        <v>2397061586</v>
      </c>
      <c r="L4876">
        <v>2397061586</v>
      </c>
      <c r="M4876" t="s">
        <v>29148</v>
      </c>
      <c r="N4876" t="s">
        <v>21881</v>
      </c>
      <c r="P4876">
        <v>57014</v>
      </c>
      <c r="Q4876" t="str">
        <f>"40.664597"</f>
        <v>40.664597</v>
      </c>
      <c r="R4876" t="str">
        <f>"23.695527"</f>
        <v>23.695527</v>
      </c>
      <c r="S4876" t="s">
        <v>26</v>
      </c>
    </row>
    <row r="4877" spans="1:19" x14ac:dyDescent="0.3">
      <c r="A4877" t="s">
        <v>25190</v>
      </c>
      <c r="B4877" t="s">
        <v>28466</v>
      </c>
      <c r="C4877" t="s">
        <v>26017</v>
      </c>
      <c r="D4877" t="s">
        <v>25197</v>
      </c>
      <c r="E4877" t="s">
        <v>25826</v>
      </c>
      <c r="F4877" t="s">
        <v>25827</v>
      </c>
      <c r="G4877" t="s">
        <v>25827</v>
      </c>
      <c r="H4877" t="s">
        <v>868</v>
      </c>
      <c r="I4877" t="s">
        <v>869</v>
      </c>
      <c r="J4877" t="str">
        <f>"9190125"</f>
        <v>9190125</v>
      </c>
      <c r="K4877">
        <v>2310763632</v>
      </c>
      <c r="L4877">
        <v>2310763632</v>
      </c>
      <c r="M4877" t="s">
        <v>29149</v>
      </c>
      <c r="N4877" t="s">
        <v>29150</v>
      </c>
      <c r="O4877" t="s">
        <v>29151</v>
      </c>
      <c r="P4877">
        <v>56334</v>
      </c>
      <c r="Q4877" t="str">
        <f>"40.673621"</f>
        <v>40.673621</v>
      </c>
      <c r="R4877" t="str">
        <f>"22.893551"</f>
        <v>22.893551</v>
      </c>
      <c r="S4877" t="s">
        <v>26</v>
      </c>
    </row>
    <row r="4878" spans="1:19" x14ac:dyDescent="0.3">
      <c r="A4878" t="s">
        <v>25190</v>
      </c>
      <c r="B4878" t="s">
        <v>28466</v>
      </c>
      <c r="C4878" t="s">
        <v>29164</v>
      </c>
      <c r="D4878" t="s">
        <v>25197</v>
      </c>
      <c r="E4878" t="s">
        <v>25826</v>
      </c>
      <c r="F4878" t="s">
        <v>25827</v>
      </c>
      <c r="G4878" t="s">
        <v>25827</v>
      </c>
      <c r="H4878" t="s">
        <v>868</v>
      </c>
      <c r="I4878" t="s">
        <v>869</v>
      </c>
      <c r="J4878" t="str">
        <f>"9190126"</f>
        <v>9190126</v>
      </c>
      <c r="K4878">
        <v>2310706740</v>
      </c>
      <c r="L4878">
        <v>2310706740</v>
      </c>
      <c r="M4878" t="s">
        <v>29165</v>
      </c>
      <c r="N4878" t="s">
        <v>29166</v>
      </c>
      <c r="O4878" t="s">
        <v>29151</v>
      </c>
      <c r="P4878">
        <v>56334</v>
      </c>
      <c r="Q4878" t="str">
        <f>"40.673726"</f>
        <v>40.673726</v>
      </c>
      <c r="R4878" t="str">
        <f>"22.894032"</f>
        <v>22.894032</v>
      </c>
      <c r="S4878" t="s">
        <v>26</v>
      </c>
    </row>
    <row r="4879" spans="1:19" x14ac:dyDescent="0.3">
      <c r="A4879" t="s">
        <v>25190</v>
      </c>
      <c r="B4879" t="s">
        <v>28466</v>
      </c>
      <c r="C4879" t="s">
        <v>26129</v>
      </c>
      <c r="D4879" t="s">
        <v>25197</v>
      </c>
      <c r="E4879" t="s">
        <v>13689</v>
      </c>
      <c r="F4879" t="s">
        <v>13689</v>
      </c>
      <c r="G4879" t="s">
        <v>13689</v>
      </c>
      <c r="H4879" t="s">
        <v>868</v>
      </c>
      <c r="I4879" t="s">
        <v>869</v>
      </c>
      <c r="J4879" t="str">
        <f>"9190206"</f>
        <v>9190206</v>
      </c>
      <c r="K4879">
        <v>2394022695</v>
      </c>
      <c r="L4879">
        <v>2394024625</v>
      </c>
      <c r="M4879" t="s">
        <v>29170</v>
      </c>
      <c r="N4879" t="s">
        <v>13689</v>
      </c>
      <c r="O4879" t="s">
        <v>28861</v>
      </c>
      <c r="P4879">
        <v>57200</v>
      </c>
      <c r="Q4879" t="str">
        <f>"40.747320"</f>
        <v>40.747320</v>
      </c>
      <c r="R4879" t="str">
        <f>"23.070127"</f>
        <v>23.070127</v>
      </c>
      <c r="S4879" t="s">
        <v>26</v>
      </c>
    </row>
    <row r="4880" spans="1:19" x14ac:dyDescent="0.3">
      <c r="A4880" t="s">
        <v>25190</v>
      </c>
      <c r="B4880" t="s">
        <v>28466</v>
      </c>
      <c r="C4880" t="s">
        <v>29174</v>
      </c>
      <c r="D4880" t="s">
        <v>25197</v>
      </c>
      <c r="E4880" t="s">
        <v>25203</v>
      </c>
      <c r="F4880" t="s">
        <v>595</v>
      </c>
      <c r="G4880" t="s">
        <v>595</v>
      </c>
      <c r="H4880" t="s">
        <v>868</v>
      </c>
      <c r="I4880" t="s">
        <v>869</v>
      </c>
      <c r="J4880" t="str">
        <f>"9190555"</f>
        <v>9190555</v>
      </c>
      <c r="K4880">
        <v>2310655960</v>
      </c>
      <c r="L4880">
        <v>2310655960</v>
      </c>
      <c r="M4880" t="s">
        <v>29175</v>
      </c>
      <c r="N4880" t="s">
        <v>594</v>
      </c>
      <c r="O4880" t="s">
        <v>28580</v>
      </c>
      <c r="P4880">
        <v>56431</v>
      </c>
      <c r="Q4880" t="str">
        <f>"40.676036"</f>
        <v>40.676036</v>
      </c>
      <c r="R4880" t="str">
        <f>"22.930306"</f>
        <v>22.930306</v>
      </c>
      <c r="S4880" t="s">
        <v>26</v>
      </c>
    </row>
    <row r="4881" spans="1:19" x14ac:dyDescent="0.3">
      <c r="A4881" t="s">
        <v>25190</v>
      </c>
      <c r="B4881" t="s">
        <v>28466</v>
      </c>
      <c r="C4881" t="s">
        <v>26279</v>
      </c>
      <c r="D4881" t="s">
        <v>25197</v>
      </c>
      <c r="E4881" t="s">
        <v>25203</v>
      </c>
      <c r="F4881" t="s">
        <v>595</v>
      </c>
      <c r="G4881" t="s">
        <v>595</v>
      </c>
      <c r="H4881" t="s">
        <v>868</v>
      </c>
      <c r="I4881" t="s">
        <v>869</v>
      </c>
      <c r="J4881" t="str">
        <f>"9190655"</f>
        <v>9190655</v>
      </c>
      <c r="K4881">
        <v>2310683840</v>
      </c>
      <c r="M4881" t="s">
        <v>29176</v>
      </c>
      <c r="N4881" t="s">
        <v>2473</v>
      </c>
      <c r="O4881" t="s">
        <v>29177</v>
      </c>
      <c r="P4881">
        <v>56437</v>
      </c>
      <c r="Q4881" t="str">
        <f>"40.679352"</f>
        <v>40.679352</v>
      </c>
      <c r="R4881" t="str">
        <f>"22.935107"</f>
        <v>22.935107</v>
      </c>
      <c r="S4881" t="s">
        <v>26</v>
      </c>
    </row>
    <row r="4882" spans="1:19" x14ac:dyDescent="0.3">
      <c r="A4882" t="s">
        <v>25190</v>
      </c>
      <c r="B4882" t="s">
        <v>28466</v>
      </c>
      <c r="C4882" t="s">
        <v>29178</v>
      </c>
      <c r="D4882" t="s">
        <v>25197</v>
      </c>
      <c r="E4882" t="s">
        <v>25815</v>
      </c>
      <c r="F4882" t="s">
        <v>25815</v>
      </c>
      <c r="G4882" t="s">
        <v>28966</v>
      </c>
      <c r="H4882" t="s">
        <v>868</v>
      </c>
      <c r="I4882" t="s">
        <v>950</v>
      </c>
      <c r="J4882" t="str">
        <f>"9190280"</f>
        <v>9190280</v>
      </c>
      <c r="K4882">
        <v>2391061311</v>
      </c>
      <c r="L4882">
        <v>2391061311</v>
      </c>
      <c r="M4882" t="s">
        <v>29179</v>
      </c>
      <c r="N4882" t="s">
        <v>29180</v>
      </c>
      <c r="O4882" t="s">
        <v>29180</v>
      </c>
      <c r="P4882">
        <v>57007</v>
      </c>
      <c r="Q4882" t="str">
        <f>"40.681792"</f>
        <v>40.681792</v>
      </c>
      <c r="R4882" t="str">
        <f>"22.542358"</f>
        <v>22.542358</v>
      </c>
      <c r="S4882" t="s">
        <v>26</v>
      </c>
    </row>
    <row r="4883" spans="1:19" x14ac:dyDescent="0.3">
      <c r="A4883" t="s">
        <v>25190</v>
      </c>
      <c r="B4883" t="s">
        <v>28466</v>
      </c>
      <c r="C4883" t="s">
        <v>26151</v>
      </c>
      <c r="D4883" t="s">
        <v>25197</v>
      </c>
      <c r="E4883" t="s">
        <v>25826</v>
      </c>
      <c r="F4883" t="s">
        <v>25833</v>
      </c>
      <c r="G4883" t="s">
        <v>25833</v>
      </c>
      <c r="H4883" t="s">
        <v>868</v>
      </c>
      <c r="I4883" t="s">
        <v>869</v>
      </c>
      <c r="J4883" t="str">
        <f>"9190131"</f>
        <v>9190131</v>
      </c>
      <c r="K4883">
        <v>2310762062</v>
      </c>
      <c r="L4883">
        <v>2310762062</v>
      </c>
      <c r="M4883" t="s">
        <v>29189</v>
      </c>
      <c r="N4883" t="s">
        <v>26010</v>
      </c>
      <c r="O4883" t="s">
        <v>29190</v>
      </c>
      <c r="P4883">
        <v>56224</v>
      </c>
      <c r="Q4883" t="str">
        <f>"40.675203"</f>
        <v>40.675203</v>
      </c>
      <c r="R4883" t="str">
        <f>"22.903364"</f>
        <v>22.903364</v>
      </c>
      <c r="S4883" t="s">
        <v>26</v>
      </c>
    </row>
    <row r="4884" spans="1:19" x14ac:dyDescent="0.3">
      <c r="A4884" t="s">
        <v>25190</v>
      </c>
      <c r="B4884" t="s">
        <v>28466</v>
      </c>
      <c r="C4884" t="s">
        <v>25997</v>
      </c>
      <c r="D4884" t="s">
        <v>25197</v>
      </c>
      <c r="E4884" t="s">
        <v>25873</v>
      </c>
      <c r="F4884" t="s">
        <v>25992</v>
      </c>
      <c r="G4884" t="s">
        <v>25992</v>
      </c>
      <c r="H4884" t="s">
        <v>868</v>
      </c>
      <c r="I4884" t="s">
        <v>869</v>
      </c>
      <c r="J4884" t="str">
        <f>"9190152"</f>
        <v>9190152</v>
      </c>
      <c r="K4884">
        <v>2310732464</v>
      </c>
      <c r="L4884">
        <v>2310732464</v>
      </c>
      <c r="M4884" t="s">
        <v>29194</v>
      </c>
      <c r="N4884" t="s">
        <v>28686</v>
      </c>
      <c r="O4884" t="s">
        <v>29195</v>
      </c>
      <c r="P4884">
        <v>56122</v>
      </c>
      <c r="Q4884" t="str">
        <f>"40.657487"</f>
        <v>40.657487</v>
      </c>
      <c r="R4884" t="str">
        <f>"22.911517"</f>
        <v>22.911517</v>
      </c>
      <c r="S4884" t="s">
        <v>26</v>
      </c>
    </row>
    <row r="4885" spans="1:19" x14ac:dyDescent="0.3">
      <c r="A4885" t="s">
        <v>25190</v>
      </c>
      <c r="B4885" t="s">
        <v>28466</v>
      </c>
      <c r="C4885" t="s">
        <v>26105</v>
      </c>
      <c r="D4885" t="s">
        <v>25197</v>
      </c>
      <c r="E4885" t="s">
        <v>25815</v>
      </c>
      <c r="F4885" t="s">
        <v>60</v>
      </c>
      <c r="G4885" t="s">
        <v>26100</v>
      </c>
      <c r="H4885" t="s">
        <v>868</v>
      </c>
      <c r="I4885" t="s">
        <v>869</v>
      </c>
      <c r="J4885" t="str">
        <f>"9190300"</f>
        <v>9190300</v>
      </c>
      <c r="K4885">
        <v>2310719231</v>
      </c>
      <c r="L4885">
        <v>2310719231</v>
      </c>
      <c r="M4885" t="s">
        <v>29196</v>
      </c>
      <c r="N4885" t="s">
        <v>29197</v>
      </c>
      <c r="O4885" t="s">
        <v>29198</v>
      </c>
      <c r="P4885">
        <v>57011</v>
      </c>
      <c r="Q4885" t="str">
        <f>"40.769964"</f>
        <v>40.769964</v>
      </c>
      <c r="R4885" t="str">
        <f>"22.708345"</f>
        <v>22.708345</v>
      </c>
      <c r="S4885" t="s">
        <v>26</v>
      </c>
    </row>
    <row r="4886" spans="1:19" x14ac:dyDescent="0.3">
      <c r="A4886" t="s">
        <v>25190</v>
      </c>
      <c r="B4886" t="s">
        <v>28466</v>
      </c>
      <c r="C4886" t="s">
        <v>29199</v>
      </c>
      <c r="D4886" t="s">
        <v>25197</v>
      </c>
      <c r="E4886" t="s">
        <v>25889</v>
      </c>
      <c r="F4886" t="s">
        <v>28843</v>
      </c>
      <c r="G4886" t="s">
        <v>28843</v>
      </c>
      <c r="H4886" t="s">
        <v>868</v>
      </c>
      <c r="I4886" t="s">
        <v>869</v>
      </c>
      <c r="J4886" t="str">
        <f>"9190156"</f>
        <v>9190156</v>
      </c>
      <c r="K4886">
        <v>2310205416</v>
      </c>
      <c r="L4886">
        <v>2310205416</v>
      </c>
      <c r="M4886" t="s">
        <v>29200</v>
      </c>
      <c r="N4886" t="s">
        <v>29201</v>
      </c>
      <c r="O4886" t="s">
        <v>29202</v>
      </c>
      <c r="P4886">
        <v>55438</v>
      </c>
      <c r="Q4886" t="str">
        <f>"40.637935"</f>
        <v>40.637935</v>
      </c>
      <c r="R4886" t="str">
        <f>"22.964222"</f>
        <v>22.964222</v>
      </c>
      <c r="S4886" t="s">
        <v>26</v>
      </c>
    </row>
    <row r="4887" spans="1:19" x14ac:dyDescent="0.3">
      <c r="A4887" t="s">
        <v>25190</v>
      </c>
      <c r="B4887" t="s">
        <v>28466</v>
      </c>
      <c r="C4887" t="s">
        <v>26012</v>
      </c>
      <c r="D4887" t="s">
        <v>25197</v>
      </c>
      <c r="E4887" t="s">
        <v>25826</v>
      </c>
      <c r="F4887" t="s">
        <v>25833</v>
      </c>
      <c r="G4887" t="s">
        <v>25833</v>
      </c>
      <c r="H4887" t="s">
        <v>868</v>
      </c>
      <c r="I4887" t="s">
        <v>869</v>
      </c>
      <c r="J4887" t="str">
        <f>"9190132"</f>
        <v>9190132</v>
      </c>
      <c r="K4887">
        <v>2310762922</v>
      </c>
      <c r="L4887">
        <v>2310762922</v>
      </c>
      <c r="M4887" t="s">
        <v>29203</v>
      </c>
      <c r="N4887" t="s">
        <v>26010</v>
      </c>
      <c r="O4887" t="s">
        <v>29204</v>
      </c>
      <c r="P4887">
        <v>56224</v>
      </c>
      <c r="Q4887" t="str">
        <f>"40.669664"</f>
        <v>40.669664</v>
      </c>
      <c r="R4887" t="str">
        <f>"22.916113"</f>
        <v>22.916113</v>
      </c>
      <c r="S4887" t="s">
        <v>26</v>
      </c>
    </row>
    <row r="4888" spans="1:19" x14ac:dyDescent="0.3">
      <c r="A4888" t="s">
        <v>25190</v>
      </c>
      <c r="B4888" t="s">
        <v>28466</v>
      </c>
      <c r="C4888" t="s">
        <v>26259</v>
      </c>
      <c r="D4888" t="s">
        <v>25197</v>
      </c>
      <c r="E4888" t="s">
        <v>25790</v>
      </c>
      <c r="F4888" t="s">
        <v>25896</v>
      </c>
      <c r="G4888" t="s">
        <v>17625</v>
      </c>
      <c r="H4888" t="s">
        <v>868</v>
      </c>
      <c r="I4888" t="s">
        <v>869</v>
      </c>
      <c r="J4888" t="str">
        <f>"9190271"</f>
        <v>9190271</v>
      </c>
      <c r="K4888">
        <v>2310718010</v>
      </c>
      <c r="L4888">
        <v>2310718010</v>
      </c>
      <c r="M4888" t="s">
        <v>29205</v>
      </c>
      <c r="N4888" t="s">
        <v>18130</v>
      </c>
      <c r="O4888" t="s">
        <v>29206</v>
      </c>
      <c r="P4888">
        <v>57300</v>
      </c>
      <c r="Q4888" t="str">
        <f>"40.661825"</f>
        <v>40.661825</v>
      </c>
      <c r="R4888" t="str">
        <f>"22.714096"</f>
        <v>22.714096</v>
      </c>
      <c r="S4888" t="s">
        <v>26</v>
      </c>
    </row>
    <row r="4889" spans="1:19" x14ac:dyDescent="0.3">
      <c r="A4889" t="s">
        <v>25190</v>
      </c>
      <c r="B4889" t="s">
        <v>28466</v>
      </c>
      <c r="C4889" t="s">
        <v>29207</v>
      </c>
      <c r="D4889" t="s">
        <v>25197</v>
      </c>
      <c r="E4889" t="s">
        <v>25790</v>
      </c>
      <c r="F4889" t="s">
        <v>25896</v>
      </c>
      <c r="G4889" t="s">
        <v>25896</v>
      </c>
      <c r="H4889" t="s">
        <v>868</v>
      </c>
      <c r="I4889" t="s">
        <v>869</v>
      </c>
      <c r="J4889" t="str">
        <f>"9190289"</f>
        <v>9190289</v>
      </c>
      <c r="K4889">
        <v>2310792315</v>
      </c>
      <c r="L4889">
        <v>2310792315</v>
      </c>
      <c r="M4889" t="s">
        <v>29208</v>
      </c>
      <c r="N4889" t="s">
        <v>25900</v>
      </c>
      <c r="O4889" t="s">
        <v>29209</v>
      </c>
      <c r="P4889">
        <v>57300</v>
      </c>
      <c r="Q4889" t="str">
        <f>"40.623844"</f>
        <v>40.623844</v>
      </c>
      <c r="R4889" t="str">
        <f>"22.731867"</f>
        <v>22.731867</v>
      </c>
      <c r="S4889" t="s">
        <v>26</v>
      </c>
    </row>
    <row r="4890" spans="1:19" x14ac:dyDescent="0.3">
      <c r="A4890" t="s">
        <v>25190</v>
      </c>
      <c r="B4890" t="s">
        <v>28466</v>
      </c>
      <c r="C4890" t="s">
        <v>29210</v>
      </c>
      <c r="D4890" t="s">
        <v>25197</v>
      </c>
      <c r="E4890" t="s">
        <v>25815</v>
      </c>
      <c r="F4890" t="s">
        <v>60</v>
      </c>
      <c r="G4890" t="s">
        <v>60</v>
      </c>
      <c r="H4890" t="s">
        <v>868</v>
      </c>
      <c r="I4890" t="s">
        <v>869</v>
      </c>
      <c r="J4890" t="str">
        <f>"9190297"</f>
        <v>9190297</v>
      </c>
      <c r="K4890">
        <v>2310701268</v>
      </c>
      <c r="L4890">
        <v>2310701268</v>
      </c>
      <c r="M4890" t="s">
        <v>29211</v>
      </c>
      <c r="N4890" t="s">
        <v>64</v>
      </c>
      <c r="O4890" t="s">
        <v>29212</v>
      </c>
      <c r="P4890">
        <v>57003</v>
      </c>
      <c r="Q4890" t="str">
        <f>"40.716685"</f>
        <v>40.716685</v>
      </c>
      <c r="R4890" t="str">
        <f>"22.727033"</f>
        <v>22.727033</v>
      </c>
      <c r="S4890" t="s">
        <v>26</v>
      </c>
    </row>
    <row r="4891" spans="1:19" x14ac:dyDescent="0.3">
      <c r="A4891" t="s">
        <v>25190</v>
      </c>
      <c r="B4891" t="s">
        <v>28466</v>
      </c>
      <c r="C4891" t="s">
        <v>29213</v>
      </c>
      <c r="D4891" t="s">
        <v>25197</v>
      </c>
      <c r="E4891" t="s">
        <v>25790</v>
      </c>
      <c r="F4891" t="s">
        <v>25791</v>
      </c>
      <c r="G4891" t="s">
        <v>28754</v>
      </c>
      <c r="H4891" t="s">
        <v>868</v>
      </c>
      <c r="I4891" t="s">
        <v>950</v>
      </c>
      <c r="J4891" t="str">
        <f>"9190273"</f>
        <v>9190273</v>
      </c>
      <c r="K4891">
        <v>2391031246</v>
      </c>
      <c r="L4891">
        <v>2391031246</v>
      </c>
      <c r="M4891" t="s">
        <v>29214</v>
      </c>
      <c r="N4891" t="s">
        <v>28757</v>
      </c>
      <c r="O4891" t="s">
        <v>28757</v>
      </c>
      <c r="P4891">
        <v>57007</v>
      </c>
      <c r="Q4891" t="str">
        <f>"40.661915"</f>
        <v>40.661915</v>
      </c>
      <c r="R4891" t="str">
        <f>"22.638018"</f>
        <v>22.638018</v>
      </c>
      <c r="S4891" t="s">
        <v>26</v>
      </c>
    </row>
    <row r="4892" spans="1:19" x14ac:dyDescent="0.3">
      <c r="A4892" t="s">
        <v>25190</v>
      </c>
      <c r="B4892" t="s">
        <v>28466</v>
      </c>
      <c r="C4892" t="s">
        <v>26049</v>
      </c>
      <c r="D4892" t="s">
        <v>25197</v>
      </c>
      <c r="E4892" t="s">
        <v>25815</v>
      </c>
      <c r="F4892" t="s">
        <v>25864</v>
      </c>
      <c r="G4892" t="s">
        <v>26044</v>
      </c>
      <c r="H4892" t="s">
        <v>868</v>
      </c>
      <c r="I4892" t="s">
        <v>869</v>
      </c>
      <c r="J4892" t="str">
        <f>"9190328"</f>
        <v>9190328</v>
      </c>
      <c r="K4892">
        <v>2310711102</v>
      </c>
      <c r="L4892">
        <v>2310711102</v>
      </c>
      <c r="M4892" t="s">
        <v>29215</v>
      </c>
      <c r="N4892" t="s">
        <v>26048</v>
      </c>
      <c r="O4892" t="s">
        <v>26048</v>
      </c>
      <c r="P4892">
        <v>57011</v>
      </c>
      <c r="Q4892" t="str">
        <f>"40.797051"</f>
        <v>40.797051</v>
      </c>
      <c r="R4892" t="str">
        <f>"22.670290"</f>
        <v>22.670290</v>
      </c>
      <c r="S4892" t="s">
        <v>26</v>
      </c>
    </row>
    <row r="4893" spans="1:19" x14ac:dyDescent="0.3">
      <c r="A4893" t="s">
        <v>25190</v>
      </c>
      <c r="B4893" t="s">
        <v>28466</v>
      </c>
      <c r="C4893" t="s">
        <v>26294</v>
      </c>
      <c r="D4893" t="s">
        <v>25197</v>
      </c>
      <c r="E4893" t="s">
        <v>25790</v>
      </c>
      <c r="F4893" t="s">
        <v>25851</v>
      </c>
      <c r="G4893" t="s">
        <v>25852</v>
      </c>
      <c r="H4893" t="s">
        <v>868</v>
      </c>
      <c r="I4893" t="s">
        <v>869</v>
      </c>
      <c r="J4893" t="str">
        <f>"9190292"</f>
        <v>9190292</v>
      </c>
      <c r="K4893">
        <v>2310798110</v>
      </c>
      <c r="L4893">
        <v>2310569643</v>
      </c>
      <c r="M4893" t="s">
        <v>29216</v>
      </c>
      <c r="N4893" t="s">
        <v>25855</v>
      </c>
      <c r="O4893" t="s">
        <v>29217</v>
      </c>
      <c r="P4893">
        <v>57400</v>
      </c>
      <c r="Q4893" t="str">
        <f>"40.662960"</f>
        <v>40.662960</v>
      </c>
      <c r="R4893" t="str">
        <f>"22.800882"</f>
        <v>22.800882</v>
      </c>
      <c r="S4893" t="s">
        <v>26</v>
      </c>
    </row>
    <row r="4894" spans="1:19" x14ac:dyDescent="0.3">
      <c r="A4894" t="s">
        <v>25190</v>
      </c>
      <c r="B4894" t="s">
        <v>28466</v>
      </c>
      <c r="C4894" t="s">
        <v>29218</v>
      </c>
      <c r="D4894" t="s">
        <v>25197</v>
      </c>
      <c r="E4894" t="s">
        <v>25966</v>
      </c>
      <c r="F4894" t="s">
        <v>5563</v>
      </c>
      <c r="G4894" t="s">
        <v>15257</v>
      </c>
      <c r="H4894" t="s">
        <v>868</v>
      </c>
      <c r="I4894" t="s">
        <v>869</v>
      </c>
      <c r="J4894" t="str">
        <f>"9190324"</f>
        <v>9190324</v>
      </c>
      <c r="K4894">
        <v>2310787581</v>
      </c>
      <c r="L4894">
        <v>2310787581</v>
      </c>
      <c r="M4894" t="s">
        <v>29219</v>
      </c>
      <c r="O4894" t="s">
        <v>15374</v>
      </c>
      <c r="P4894">
        <v>54500</v>
      </c>
      <c r="Q4894" t="str">
        <f>"40.743910"</f>
        <v>40.743910</v>
      </c>
      <c r="R4894" t="str">
        <f>"22.854006"</f>
        <v>22.854006</v>
      </c>
      <c r="S4894" t="s">
        <v>26</v>
      </c>
    </row>
    <row r="4895" spans="1:19" x14ac:dyDescent="0.3">
      <c r="A4895" t="s">
        <v>25190</v>
      </c>
      <c r="B4895" t="s">
        <v>28466</v>
      </c>
      <c r="C4895" t="s">
        <v>29220</v>
      </c>
      <c r="D4895" t="s">
        <v>25197</v>
      </c>
      <c r="E4895" t="s">
        <v>25815</v>
      </c>
      <c r="F4895" t="s">
        <v>25864</v>
      </c>
      <c r="G4895" t="s">
        <v>25864</v>
      </c>
      <c r="H4895" t="s">
        <v>868</v>
      </c>
      <c r="I4895" t="s">
        <v>869</v>
      </c>
      <c r="J4895" t="str">
        <f>"9190319"</f>
        <v>9190319</v>
      </c>
      <c r="K4895">
        <v>2391051376</v>
      </c>
      <c r="L4895">
        <v>2391051376</v>
      </c>
      <c r="M4895" t="s">
        <v>29221</v>
      </c>
      <c r="N4895" t="s">
        <v>25940</v>
      </c>
      <c r="O4895" t="s">
        <v>29222</v>
      </c>
      <c r="P4895">
        <v>57100</v>
      </c>
      <c r="Q4895" t="str">
        <f>"40.782881"</f>
        <v>40.782881</v>
      </c>
      <c r="R4895" t="str">
        <f>"22.583074"</f>
        <v>22.583074</v>
      </c>
      <c r="S4895" t="s">
        <v>26</v>
      </c>
    </row>
    <row r="4896" spans="1:19" x14ac:dyDescent="0.3">
      <c r="A4896" t="s">
        <v>25190</v>
      </c>
      <c r="B4896" t="s">
        <v>28466</v>
      </c>
      <c r="C4896" t="s">
        <v>25868</v>
      </c>
      <c r="D4896" t="s">
        <v>25197</v>
      </c>
      <c r="E4896" t="s">
        <v>25815</v>
      </c>
      <c r="F4896" t="s">
        <v>25864</v>
      </c>
      <c r="G4896" t="s">
        <v>25864</v>
      </c>
      <c r="H4896" t="s">
        <v>868</v>
      </c>
      <c r="I4896" t="s">
        <v>869</v>
      </c>
      <c r="J4896" t="str">
        <f>"9190318"</f>
        <v>9190318</v>
      </c>
      <c r="K4896">
        <v>2391051378</v>
      </c>
      <c r="L4896">
        <v>2391051378</v>
      </c>
      <c r="M4896" t="s">
        <v>29223</v>
      </c>
      <c r="N4896" t="s">
        <v>25940</v>
      </c>
      <c r="O4896" t="s">
        <v>29224</v>
      </c>
      <c r="P4896">
        <v>57100</v>
      </c>
      <c r="Q4896" t="str">
        <f>"40.784164"</f>
        <v>40.784164</v>
      </c>
      <c r="R4896" t="str">
        <f>"22.576180"</f>
        <v>22.576180</v>
      </c>
      <c r="S4896" t="s">
        <v>26</v>
      </c>
    </row>
    <row r="4897" spans="1:19" x14ac:dyDescent="0.3">
      <c r="A4897" t="s">
        <v>25190</v>
      </c>
      <c r="B4897" t="s">
        <v>28466</v>
      </c>
      <c r="C4897" t="s">
        <v>25937</v>
      </c>
      <c r="D4897" t="s">
        <v>25197</v>
      </c>
      <c r="E4897" t="s">
        <v>25815</v>
      </c>
      <c r="F4897" t="s">
        <v>25864</v>
      </c>
      <c r="G4897" t="s">
        <v>25864</v>
      </c>
      <c r="H4897" t="s">
        <v>868</v>
      </c>
      <c r="I4897" t="s">
        <v>869</v>
      </c>
      <c r="J4897" t="str">
        <f>"9190320"</f>
        <v>9190320</v>
      </c>
      <c r="K4897">
        <v>2391051374</v>
      </c>
      <c r="L4897">
        <v>2391051387</v>
      </c>
      <c r="M4897" t="s">
        <v>29225</v>
      </c>
      <c r="N4897" t="s">
        <v>29226</v>
      </c>
      <c r="O4897" t="s">
        <v>29227</v>
      </c>
      <c r="P4897">
        <v>57100</v>
      </c>
      <c r="Q4897" t="str">
        <f>"40.779099"</f>
        <v>40.779099</v>
      </c>
      <c r="R4897" t="str">
        <f>"22.576554"</f>
        <v>22.576554</v>
      </c>
      <c r="S4897" t="s">
        <v>26</v>
      </c>
    </row>
    <row r="4898" spans="1:19" x14ac:dyDescent="0.3">
      <c r="A4898" t="s">
        <v>25190</v>
      </c>
      <c r="B4898" t="s">
        <v>28466</v>
      </c>
      <c r="C4898" t="s">
        <v>29229</v>
      </c>
      <c r="D4898" t="s">
        <v>25197</v>
      </c>
      <c r="E4898" t="s">
        <v>25815</v>
      </c>
      <c r="F4898" t="s">
        <v>25864</v>
      </c>
      <c r="G4898" t="s">
        <v>25864</v>
      </c>
      <c r="H4898" t="s">
        <v>868</v>
      </c>
      <c r="I4898" t="s">
        <v>869</v>
      </c>
      <c r="J4898" t="str">
        <f>"9190661"</f>
        <v>9190661</v>
      </c>
      <c r="K4898">
        <v>2391051340</v>
      </c>
      <c r="L4898">
        <v>2391051340</v>
      </c>
      <c r="M4898" t="s">
        <v>29230</v>
      </c>
      <c r="N4898" t="s">
        <v>29231</v>
      </c>
      <c r="O4898" t="s">
        <v>28495</v>
      </c>
      <c r="P4898">
        <v>57100</v>
      </c>
      <c r="Q4898" t="str">
        <f>"40.776994"</f>
        <v>40.776994</v>
      </c>
      <c r="R4898" t="str">
        <f>"22.581845"</f>
        <v>22.581845</v>
      </c>
      <c r="S4898" t="s">
        <v>26</v>
      </c>
    </row>
    <row r="4899" spans="1:19" x14ac:dyDescent="0.3">
      <c r="A4899" t="s">
        <v>25190</v>
      </c>
      <c r="B4899" t="s">
        <v>28466</v>
      </c>
      <c r="C4899" t="s">
        <v>29232</v>
      </c>
      <c r="D4899" t="s">
        <v>25197</v>
      </c>
      <c r="E4899" t="s">
        <v>25790</v>
      </c>
      <c r="F4899" t="s">
        <v>25791</v>
      </c>
      <c r="G4899" t="s">
        <v>29027</v>
      </c>
      <c r="H4899" t="s">
        <v>868</v>
      </c>
      <c r="I4899" t="s">
        <v>869</v>
      </c>
      <c r="J4899" t="str">
        <f>"9190283"</f>
        <v>9190283</v>
      </c>
      <c r="K4899">
        <v>2391041244</v>
      </c>
      <c r="L4899">
        <v>2391041244</v>
      </c>
      <c r="M4899" t="s">
        <v>29233</v>
      </c>
      <c r="N4899" t="s">
        <v>29234</v>
      </c>
      <c r="O4899" t="s">
        <v>29235</v>
      </c>
      <c r="P4899">
        <v>57300</v>
      </c>
      <c r="Q4899" t="str">
        <f>"40.608824"</f>
        <v>40.608824</v>
      </c>
      <c r="R4899" t="str">
        <f>"22.684119"</f>
        <v>22.684119</v>
      </c>
      <c r="S4899" t="s">
        <v>26</v>
      </c>
    </row>
    <row r="4900" spans="1:19" x14ac:dyDescent="0.3">
      <c r="A4900" t="s">
        <v>25190</v>
      </c>
      <c r="B4900" t="s">
        <v>28466</v>
      </c>
      <c r="C4900" t="s">
        <v>29236</v>
      </c>
      <c r="D4900" t="s">
        <v>25197</v>
      </c>
      <c r="E4900" t="s">
        <v>25815</v>
      </c>
      <c r="F4900" t="s">
        <v>25815</v>
      </c>
      <c r="G4900" t="s">
        <v>28966</v>
      </c>
      <c r="H4900" t="s">
        <v>868</v>
      </c>
      <c r="I4900" t="s">
        <v>869</v>
      </c>
      <c r="J4900" t="str">
        <f>"9190281"</f>
        <v>9190281</v>
      </c>
      <c r="K4900">
        <v>2391061119</v>
      </c>
      <c r="L4900">
        <v>2391061119</v>
      </c>
      <c r="M4900" t="s">
        <v>29237</v>
      </c>
      <c r="N4900" t="s">
        <v>29238</v>
      </c>
      <c r="O4900" t="s">
        <v>8899</v>
      </c>
      <c r="P4900">
        <v>57007</v>
      </c>
      <c r="Q4900" t="str">
        <f>"40.705729"</f>
        <v>40.705729</v>
      </c>
      <c r="R4900" t="str">
        <f>"22.542525"</f>
        <v>22.542525</v>
      </c>
      <c r="S4900" t="s">
        <v>26</v>
      </c>
    </row>
    <row r="4901" spans="1:19" x14ac:dyDescent="0.3">
      <c r="A4901" t="s">
        <v>25190</v>
      </c>
      <c r="B4901" t="s">
        <v>28466</v>
      </c>
      <c r="C4901" t="s">
        <v>25901</v>
      </c>
      <c r="D4901" t="s">
        <v>25197</v>
      </c>
      <c r="E4901" t="s">
        <v>25790</v>
      </c>
      <c r="F4901" t="s">
        <v>25896</v>
      </c>
      <c r="G4901" t="s">
        <v>25896</v>
      </c>
      <c r="H4901" t="s">
        <v>868</v>
      </c>
      <c r="I4901" t="s">
        <v>869</v>
      </c>
      <c r="J4901" t="str">
        <f>"9190660"</f>
        <v>9190660</v>
      </c>
      <c r="K4901">
        <v>2310792030</v>
      </c>
      <c r="L4901">
        <v>2310792030</v>
      </c>
      <c r="M4901" t="s">
        <v>29239</v>
      </c>
      <c r="N4901" t="s">
        <v>25900</v>
      </c>
      <c r="O4901" t="s">
        <v>29240</v>
      </c>
      <c r="P4901">
        <v>57300</v>
      </c>
      <c r="Q4901" t="str">
        <f>"40.629125"</f>
        <v>40.629125</v>
      </c>
      <c r="R4901" t="str">
        <f>"22.741769"</f>
        <v>22.741769</v>
      </c>
      <c r="S4901" t="s">
        <v>26</v>
      </c>
    </row>
    <row r="4902" spans="1:19" x14ac:dyDescent="0.3">
      <c r="A4902" t="s">
        <v>25190</v>
      </c>
      <c r="B4902" t="s">
        <v>28466</v>
      </c>
      <c r="C4902" t="s">
        <v>26255</v>
      </c>
      <c r="D4902" t="s">
        <v>25197</v>
      </c>
      <c r="E4902" t="s">
        <v>25815</v>
      </c>
      <c r="F4902" t="s">
        <v>60</v>
      </c>
      <c r="G4902" t="s">
        <v>26250</v>
      </c>
      <c r="H4902" t="s">
        <v>868</v>
      </c>
      <c r="I4902" t="s">
        <v>869</v>
      </c>
      <c r="J4902" t="str">
        <f>"9190301"</f>
        <v>9190301</v>
      </c>
      <c r="K4902">
        <v>2310715338</v>
      </c>
      <c r="L4902">
        <v>2310715338</v>
      </c>
      <c r="M4902" t="s">
        <v>29247</v>
      </c>
      <c r="N4902" t="s">
        <v>26253</v>
      </c>
      <c r="O4902" t="s">
        <v>29248</v>
      </c>
      <c r="P4902">
        <v>57011</v>
      </c>
      <c r="Q4902" t="str">
        <f>"40.730765"</f>
        <v>40.730765</v>
      </c>
      <c r="R4902" t="str">
        <f>"22.694214"</f>
        <v>22.694214</v>
      </c>
      <c r="S4902" t="s">
        <v>26</v>
      </c>
    </row>
    <row r="4903" spans="1:19" x14ac:dyDescent="0.3">
      <c r="A4903" t="s">
        <v>25190</v>
      </c>
      <c r="B4903" t="s">
        <v>28466</v>
      </c>
      <c r="C4903" t="s">
        <v>25991</v>
      </c>
      <c r="D4903" t="s">
        <v>25197</v>
      </c>
      <c r="E4903" t="s">
        <v>25873</v>
      </c>
      <c r="F4903" t="s">
        <v>17906</v>
      </c>
      <c r="G4903" t="s">
        <v>17906</v>
      </c>
      <c r="H4903" t="s">
        <v>868</v>
      </c>
      <c r="I4903" t="s">
        <v>869</v>
      </c>
      <c r="J4903" t="str">
        <f>"9190823"</f>
        <v>9190823</v>
      </c>
      <c r="K4903">
        <v>2310726770</v>
      </c>
      <c r="L4903">
        <v>2310726780</v>
      </c>
      <c r="M4903" t="s">
        <v>29252</v>
      </c>
      <c r="N4903" t="s">
        <v>3379</v>
      </c>
      <c r="O4903" t="s">
        <v>29253</v>
      </c>
      <c r="P4903">
        <v>56121</v>
      </c>
      <c r="Q4903" t="str">
        <f>"40.653884"</f>
        <v>40.653884</v>
      </c>
      <c r="R4903" t="str">
        <f>"22.922404"</f>
        <v>22.922404</v>
      </c>
      <c r="S4903" t="s">
        <v>26</v>
      </c>
    </row>
    <row r="4904" spans="1:19" x14ac:dyDescent="0.3">
      <c r="A4904" t="s">
        <v>25190</v>
      </c>
      <c r="B4904" t="s">
        <v>28466</v>
      </c>
      <c r="C4904" t="s">
        <v>29257</v>
      </c>
      <c r="D4904" t="s">
        <v>25197</v>
      </c>
      <c r="E4904" t="s">
        <v>25790</v>
      </c>
      <c r="F4904" t="s">
        <v>25791</v>
      </c>
      <c r="G4904" t="s">
        <v>25792</v>
      </c>
      <c r="H4904" t="s">
        <v>868</v>
      </c>
      <c r="I4904" t="s">
        <v>869</v>
      </c>
      <c r="J4904" t="str">
        <f>"9190277"</f>
        <v>9190277</v>
      </c>
      <c r="K4904">
        <v>2391041241</v>
      </c>
      <c r="L4904">
        <v>2391041241</v>
      </c>
      <c r="M4904" t="s">
        <v>29258</v>
      </c>
      <c r="N4904" t="s">
        <v>25792</v>
      </c>
      <c r="O4904" t="s">
        <v>29259</v>
      </c>
      <c r="P4904">
        <v>57300</v>
      </c>
      <c r="Q4904" t="str">
        <f>"40.613652"</f>
        <v>40.613652</v>
      </c>
      <c r="R4904" t="str">
        <f>"22.689167"</f>
        <v>22.689167</v>
      </c>
      <c r="S4904" t="s">
        <v>26</v>
      </c>
    </row>
    <row r="4905" spans="1:19" x14ac:dyDescent="0.3">
      <c r="A4905" t="s">
        <v>25190</v>
      </c>
      <c r="B4905" t="s">
        <v>28466</v>
      </c>
      <c r="C4905" t="s">
        <v>29263</v>
      </c>
      <c r="D4905" t="s">
        <v>25197</v>
      </c>
      <c r="E4905" t="s">
        <v>25826</v>
      </c>
      <c r="F4905" t="s">
        <v>25833</v>
      </c>
      <c r="G4905" t="s">
        <v>25833</v>
      </c>
      <c r="H4905" t="s">
        <v>868</v>
      </c>
      <c r="I4905" t="s">
        <v>2930</v>
      </c>
      <c r="J4905" t="str">
        <f>"9190529"</f>
        <v>9190529</v>
      </c>
      <c r="K4905">
        <v>2310764235</v>
      </c>
      <c r="L4905">
        <v>2310764235</v>
      </c>
      <c r="M4905" t="s">
        <v>29264</v>
      </c>
      <c r="N4905" t="s">
        <v>25833</v>
      </c>
      <c r="O4905" t="s">
        <v>29265</v>
      </c>
      <c r="P4905">
        <v>56224</v>
      </c>
      <c r="Q4905" t="str">
        <f>"40.674392"</f>
        <v>40.674392</v>
      </c>
      <c r="R4905" t="str">
        <f>"22.913700"</f>
        <v>22.913700</v>
      </c>
      <c r="S4905" t="s">
        <v>26</v>
      </c>
    </row>
    <row r="4906" spans="1:19" x14ac:dyDescent="0.3">
      <c r="A4906" t="s">
        <v>25190</v>
      </c>
      <c r="B4906" t="s">
        <v>28466</v>
      </c>
      <c r="C4906" t="s">
        <v>29269</v>
      </c>
      <c r="D4906" t="s">
        <v>25197</v>
      </c>
      <c r="E4906" t="s">
        <v>25826</v>
      </c>
      <c r="F4906" t="s">
        <v>25833</v>
      </c>
      <c r="G4906" t="s">
        <v>25833</v>
      </c>
      <c r="H4906" t="s">
        <v>868</v>
      </c>
      <c r="I4906" t="s">
        <v>869</v>
      </c>
      <c r="J4906" t="str">
        <f>"9190659"</f>
        <v>9190659</v>
      </c>
      <c r="K4906">
        <v>2310709326</v>
      </c>
      <c r="L4906">
        <v>2310700039</v>
      </c>
      <c r="M4906" t="s">
        <v>29270</v>
      </c>
      <c r="N4906" t="s">
        <v>26010</v>
      </c>
      <c r="O4906" t="s">
        <v>29204</v>
      </c>
      <c r="P4906">
        <v>56224</v>
      </c>
      <c r="Q4906" t="str">
        <f>"40.669534"</f>
        <v>40.669534</v>
      </c>
      <c r="R4906" t="str">
        <f>"22.916200"</f>
        <v>22.916200</v>
      </c>
      <c r="S4906" t="s">
        <v>26</v>
      </c>
    </row>
    <row r="4907" spans="1:19" x14ac:dyDescent="0.3">
      <c r="A4907" t="s">
        <v>25190</v>
      </c>
      <c r="B4907" t="s">
        <v>28466</v>
      </c>
      <c r="C4907" t="s">
        <v>29271</v>
      </c>
      <c r="D4907" t="s">
        <v>25197</v>
      </c>
      <c r="E4907" t="s">
        <v>25873</v>
      </c>
      <c r="F4907" t="s">
        <v>17906</v>
      </c>
      <c r="G4907" t="s">
        <v>17906</v>
      </c>
      <c r="H4907" t="s">
        <v>868</v>
      </c>
      <c r="I4907" t="s">
        <v>869</v>
      </c>
      <c r="J4907" t="str">
        <f>"9190115"</f>
        <v>9190115</v>
      </c>
      <c r="K4907">
        <v>2310732149</v>
      </c>
      <c r="L4907">
        <v>2310732149</v>
      </c>
      <c r="M4907" t="s">
        <v>29272</v>
      </c>
      <c r="N4907" t="s">
        <v>3379</v>
      </c>
      <c r="O4907" t="s">
        <v>28629</v>
      </c>
      <c r="P4907">
        <v>56121</v>
      </c>
      <c r="Q4907" t="str">
        <f>"40.653891"</f>
        <v>40.653891</v>
      </c>
      <c r="R4907" t="str">
        <f>"22.921174"</f>
        <v>22.921174</v>
      </c>
      <c r="S4907" t="s">
        <v>26</v>
      </c>
    </row>
    <row r="4908" spans="1:19" x14ac:dyDescent="0.3">
      <c r="A4908" t="s">
        <v>25190</v>
      </c>
      <c r="B4908" t="s">
        <v>28466</v>
      </c>
      <c r="C4908" t="s">
        <v>29273</v>
      </c>
      <c r="D4908" t="s">
        <v>25197</v>
      </c>
      <c r="E4908" t="s">
        <v>25815</v>
      </c>
      <c r="F4908" t="s">
        <v>60</v>
      </c>
      <c r="G4908" t="s">
        <v>28980</v>
      </c>
      <c r="H4908" t="s">
        <v>868</v>
      </c>
      <c r="I4908" t="s">
        <v>950</v>
      </c>
      <c r="J4908" t="str">
        <f>"9190298"</f>
        <v>9190298</v>
      </c>
      <c r="K4908">
        <v>2310722305</v>
      </c>
      <c r="L4908">
        <v>2310722305</v>
      </c>
      <c r="M4908" t="s">
        <v>29274</v>
      </c>
      <c r="N4908" t="s">
        <v>28983</v>
      </c>
      <c r="O4908" t="s">
        <v>29275</v>
      </c>
      <c r="P4908">
        <v>57011</v>
      </c>
      <c r="Q4908" t="str">
        <f>"40.715509"</f>
        <v>40.715509</v>
      </c>
      <c r="R4908" t="str">
        <f>"22.779784"</f>
        <v>22.779784</v>
      </c>
      <c r="S4908" t="s">
        <v>26</v>
      </c>
    </row>
    <row r="4909" spans="1:19" x14ac:dyDescent="0.3">
      <c r="A4909" t="s">
        <v>25190</v>
      </c>
      <c r="B4909" t="s">
        <v>28466</v>
      </c>
      <c r="C4909" t="s">
        <v>25820</v>
      </c>
      <c r="D4909" t="s">
        <v>25197</v>
      </c>
      <c r="E4909" t="s">
        <v>25815</v>
      </c>
      <c r="F4909" t="s">
        <v>25815</v>
      </c>
      <c r="G4909" t="s">
        <v>25815</v>
      </c>
      <c r="H4909" t="s">
        <v>868</v>
      </c>
      <c r="I4909" t="s">
        <v>869</v>
      </c>
      <c r="J4909" t="str">
        <f>"9190294"</f>
        <v>9190294</v>
      </c>
      <c r="K4909">
        <v>2391022366</v>
      </c>
      <c r="L4909">
        <v>2391022366</v>
      </c>
      <c r="M4909" t="s">
        <v>29276</v>
      </c>
      <c r="N4909" t="s">
        <v>25819</v>
      </c>
      <c r="O4909" t="s">
        <v>29277</v>
      </c>
      <c r="P4909">
        <v>57007</v>
      </c>
      <c r="Q4909" t="str">
        <f>"40.732176"</f>
        <v>40.732176</v>
      </c>
      <c r="R4909" t="str">
        <f>"22.597856"</f>
        <v>22.597856</v>
      </c>
      <c r="S4909" t="s">
        <v>26</v>
      </c>
    </row>
    <row r="4910" spans="1:19" x14ac:dyDescent="0.3">
      <c r="A4910" t="s">
        <v>25190</v>
      </c>
      <c r="B4910" t="s">
        <v>28466</v>
      </c>
      <c r="C4910" t="s">
        <v>26085</v>
      </c>
      <c r="D4910" t="s">
        <v>25197</v>
      </c>
      <c r="E4910" t="s">
        <v>25889</v>
      </c>
      <c r="F4910" t="s">
        <v>26080</v>
      </c>
      <c r="G4910" t="s">
        <v>26080</v>
      </c>
      <c r="H4910" t="s">
        <v>868</v>
      </c>
      <c r="I4910" t="s">
        <v>869</v>
      </c>
      <c r="J4910" t="str">
        <f>"9520911"</f>
        <v>9520911</v>
      </c>
      <c r="K4910">
        <v>2310676079</v>
      </c>
      <c r="L4910">
        <v>2310676079</v>
      </c>
      <c r="M4910" t="s">
        <v>29278</v>
      </c>
      <c r="N4910" t="s">
        <v>26262</v>
      </c>
      <c r="O4910" t="s">
        <v>29279</v>
      </c>
      <c r="P4910">
        <v>57010</v>
      </c>
      <c r="Q4910" t="str">
        <f>"40.657292"</f>
        <v>40.657292</v>
      </c>
      <c r="R4910" t="str">
        <f>"22.991169"</f>
        <v>22.991169</v>
      </c>
      <c r="S4910" t="s">
        <v>26</v>
      </c>
    </row>
    <row r="4911" spans="1:19" x14ac:dyDescent="0.3">
      <c r="A4911" t="s">
        <v>25190</v>
      </c>
      <c r="B4911" t="s">
        <v>28466</v>
      </c>
      <c r="C4911" t="s">
        <v>26228</v>
      </c>
      <c r="D4911" t="s">
        <v>25197</v>
      </c>
      <c r="E4911" t="s">
        <v>25873</v>
      </c>
      <c r="F4911" t="s">
        <v>17906</v>
      </c>
      <c r="G4911" t="s">
        <v>17906</v>
      </c>
      <c r="H4911" t="s">
        <v>868</v>
      </c>
      <c r="I4911" t="s">
        <v>869</v>
      </c>
      <c r="J4911" t="str">
        <f>"9190120"</f>
        <v>9190120</v>
      </c>
      <c r="K4911">
        <v>2310731159</v>
      </c>
      <c r="L4911">
        <v>2310731159</v>
      </c>
      <c r="M4911" t="s">
        <v>29280</v>
      </c>
      <c r="N4911" t="s">
        <v>3379</v>
      </c>
      <c r="O4911" t="s">
        <v>29281</v>
      </c>
      <c r="P4911">
        <v>56123</v>
      </c>
      <c r="Q4911" t="str">
        <f>"40.651799"</f>
        <v>40.651799</v>
      </c>
      <c r="R4911" t="str">
        <f>"22.929765"</f>
        <v>22.929765</v>
      </c>
      <c r="S4911" t="s">
        <v>26</v>
      </c>
    </row>
    <row r="4912" spans="1:19" x14ac:dyDescent="0.3">
      <c r="A4912" t="s">
        <v>25190</v>
      </c>
      <c r="B4912" t="s">
        <v>28466</v>
      </c>
      <c r="C4912" t="s">
        <v>29282</v>
      </c>
      <c r="D4912" t="s">
        <v>25197</v>
      </c>
      <c r="E4912" t="s">
        <v>25790</v>
      </c>
      <c r="F4912" t="s">
        <v>25851</v>
      </c>
      <c r="G4912" t="s">
        <v>17983</v>
      </c>
      <c r="H4912" t="s">
        <v>868</v>
      </c>
      <c r="I4912" t="s">
        <v>869</v>
      </c>
      <c r="J4912" t="str">
        <f>"9190904"</f>
        <v>9190904</v>
      </c>
      <c r="K4912">
        <v>2310751288</v>
      </c>
      <c r="L4912">
        <v>2310751288</v>
      </c>
      <c r="M4912" t="s">
        <v>29283</v>
      </c>
      <c r="N4912" t="s">
        <v>17985</v>
      </c>
      <c r="O4912" t="s">
        <v>29284</v>
      </c>
      <c r="P4912">
        <v>57009</v>
      </c>
      <c r="Q4912" t="str">
        <f>"40.638603"</f>
        <v>40.638603</v>
      </c>
      <c r="R4912" t="str">
        <f>"22.858673"</f>
        <v>22.858673</v>
      </c>
      <c r="S4912" t="s">
        <v>26</v>
      </c>
    </row>
    <row r="4913" spans="1:19" x14ac:dyDescent="0.3">
      <c r="A4913" t="s">
        <v>25190</v>
      </c>
      <c r="B4913" t="s">
        <v>28466</v>
      </c>
      <c r="C4913" t="s">
        <v>29288</v>
      </c>
      <c r="D4913" t="s">
        <v>25197</v>
      </c>
      <c r="E4913" t="s">
        <v>25826</v>
      </c>
      <c r="F4913" t="s">
        <v>25833</v>
      </c>
      <c r="G4913" t="s">
        <v>25833</v>
      </c>
      <c r="H4913" t="s">
        <v>868</v>
      </c>
      <c r="I4913" t="s">
        <v>869</v>
      </c>
      <c r="J4913" t="str">
        <f>"9190424"</f>
        <v>9190424</v>
      </c>
      <c r="K4913">
        <v>2310653703</v>
      </c>
      <c r="L4913">
        <v>2310653703</v>
      </c>
      <c r="M4913" t="s">
        <v>29289</v>
      </c>
      <c r="N4913" t="s">
        <v>29290</v>
      </c>
      <c r="O4913" t="s">
        <v>29291</v>
      </c>
      <c r="P4913">
        <v>56224</v>
      </c>
      <c r="Q4913" t="str">
        <f>"40.669648"</f>
        <v>40.669648</v>
      </c>
      <c r="R4913" t="str">
        <f>"22.925319"</f>
        <v>22.925319</v>
      </c>
      <c r="S4913" t="s">
        <v>26</v>
      </c>
    </row>
    <row r="4914" spans="1:19" x14ac:dyDescent="0.3">
      <c r="A4914" t="s">
        <v>25190</v>
      </c>
      <c r="B4914" t="s">
        <v>28466</v>
      </c>
      <c r="C4914" t="s">
        <v>29292</v>
      </c>
      <c r="D4914" t="s">
        <v>25197</v>
      </c>
      <c r="E4914" t="s">
        <v>25826</v>
      </c>
      <c r="F4914" t="s">
        <v>25833</v>
      </c>
      <c r="G4914" t="s">
        <v>25833</v>
      </c>
      <c r="H4914" t="s">
        <v>868</v>
      </c>
      <c r="I4914" t="s">
        <v>869</v>
      </c>
      <c r="J4914" t="str">
        <f>"9190076"</f>
        <v>9190076</v>
      </c>
      <c r="K4914">
        <v>2310650761</v>
      </c>
      <c r="L4914">
        <v>2310650761</v>
      </c>
      <c r="M4914" t="s">
        <v>29293</v>
      </c>
      <c r="N4914" t="s">
        <v>26010</v>
      </c>
      <c r="O4914" t="s">
        <v>29294</v>
      </c>
      <c r="P4914">
        <v>56225</v>
      </c>
      <c r="Q4914" t="str">
        <f>"40.666078"</f>
        <v>40.666078</v>
      </c>
      <c r="R4914" t="str">
        <f>"22.925417"</f>
        <v>22.925417</v>
      </c>
      <c r="S4914" t="s">
        <v>26</v>
      </c>
    </row>
    <row r="4915" spans="1:19" x14ac:dyDescent="0.3">
      <c r="A4915" t="s">
        <v>25190</v>
      </c>
      <c r="B4915" t="s">
        <v>28466</v>
      </c>
      <c r="C4915" t="s">
        <v>29374</v>
      </c>
      <c r="D4915" t="s">
        <v>25197</v>
      </c>
      <c r="E4915" t="s">
        <v>25873</v>
      </c>
      <c r="F4915" t="s">
        <v>17906</v>
      </c>
      <c r="G4915" t="s">
        <v>17906</v>
      </c>
      <c r="H4915" t="s">
        <v>868</v>
      </c>
      <c r="I4915" t="s">
        <v>869</v>
      </c>
      <c r="J4915" t="str">
        <f>"9190850"</f>
        <v>9190850</v>
      </c>
      <c r="K4915">
        <v>2310737426</v>
      </c>
      <c r="L4915">
        <v>2310737426</v>
      </c>
      <c r="M4915" t="s">
        <v>29375</v>
      </c>
      <c r="N4915" t="s">
        <v>3379</v>
      </c>
      <c r="O4915" t="s">
        <v>29376</v>
      </c>
      <c r="P4915">
        <v>56123</v>
      </c>
      <c r="Q4915" t="str">
        <f>"40.651799"</f>
        <v>40.651799</v>
      </c>
      <c r="R4915" t="str">
        <f>"22.929765"</f>
        <v>22.929765</v>
      </c>
      <c r="S4915" t="s">
        <v>26</v>
      </c>
    </row>
    <row r="4916" spans="1:19" x14ac:dyDescent="0.3">
      <c r="A4916" t="s">
        <v>25190</v>
      </c>
      <c r="B4916" t="s">
        <v>28466</v>
      </c>
      <c r="C4916" t="s">
        <v>29377</v>
      </c>
      <c r="D4916" t="s">
        <v>25197</v>
      </c>
      <c r="E4916" t="s">
        <v>25826</v>
      </c>
      <c r="F4916" t="s">
        <v>25833</v>
      </c>
      <c r="G4916" t="s">
        <v>25833</v>
      </c>
      <c r="H4916" t="s">
        <v>868</v>
      </c>
      <c r="I4916" t="s">
        <v>869</v>
      </c>
      <c r="J4916" t="str">
        <f>"9190906"</f>
        <v>9190906</v>
      </c>
      <c r="K4916">
        <v>2310640101</v>
      </c>
      <c r="L4916">
        <v>2310640101</v>
      </c>
      <c r="M4916" t="s">
        <v>29378</v>
      </c>
      <c r="N4916" t="s">
        <v>26010</v>
      </c>
      <c r="O4916" t="s">
        <v>28495</v>
      </c>
      <c r="P4916">
        <v>56225</v>
      </c>
      <c r="Q4916" t="str">
        <f>"40.663251"</f>
        <v>40.663251</v>
      </c>
      <c r="R4916" t="str">
        <f>"22.918497"</f>
        <v>22.918497</v>
      </c>
      <c r="S4916" t="s">
        <v>26</v>
      </c>
    </row>
    <row r="4917" spans="1:19" x14ac:dyDescent="0.3">
      <c r="A4917" t="s">
        <v>25190</v>
      </c>
      <c r="B4917" t="s">
        <v>28466</v>
      </c>
      <c r="C4917" t="s">
        <v>29379</v>
      </c>
      <c r="D4917" t="s">
        <v>25197</v>
      </c>
      <c r="E4917" t="s">
        <v>25203</v>
      </c>
      <c r="F4917" t="s">
        <v>25784</v>
      </c>
      <c r="G4917" t="s">
        <v>25784</v>
      </c>
      <c r="H4917" t="s">
        <v>868</v>
      </c>
      <c r="I4917" t="s">
        <v>869</v>
      </c>
      <c r="J4917" t="str">
        <f>"9190072"</f>
        <v>9190072</v>
      </c>
      <c r="K4917">
        <v>2310651634</v>
      </c>
      <c r="L4917">
        <v>2310587509</v>
      </c>
      <c r="M4917" t="s">
        <v>29380</v>
      </c>
      <c r="N4917" t="s">
        <v>25911</v>
      </c>
      <c r="O4917" t="s">
        <v>28742</v>
      </c>
      <c r="P4917">
        <v>56535</v>
      </c>
      <c r="Q4917" t="str">
        <f>"40.669737"</f>
        <v>40.669737</v>
      </c>
      <c r="R4917" t="str">
        <f>"22.944011"</f>
        <v>22.944011</v>
      </c>
      <c r="S4917" t="s">
        <v>26</v>
      </c>
    </row>
    <row r="4918" spans="1:19" x14ac:dyDescent="0.3">
      <c r="A4918" t="s">
        <v>25190</v>
      </c>
      <c r="B4918" t="s">
        <v>28466</v>
      </c>
      <c r="C4918" t="s">
        <v>29381</v>
      </c>
      <c r="D4918" t="s">
        <v>25197</v>
      </c>
      <c r="E4918" t="s">
        <v>25826</v>
      </c>
      <c r="F4918" t="s">
        <v>25833</v>
      </c>
      <c r="G4918" t="s">
        <v>25833</v>
      </c>
      <c r="H4918" t="s">
        <v>868</v>
      </c>
      <c r="I4918" t="s">
        <v>869</v>
      </c>
      <c r="J4918" t="str">
        <f>"9190918"</f>
        <v>9190918</v>
      </c>
      <c r="K4918">
        <v>2310587802</v>
      </c>
      <c r="L4918">
        <v>2310587817</v>
      </c>
      <c r="M4918" t="s">
        <v>29382</v>
      </c>
      <c r="N4918" t="s">
        <v>26010</v>
      </c>
      <c r="O4918" t="s">
        <v>29383</v>
      </c>
      <c r="P4918">
        <v>56224</v>
      </c>
      <c r="Q4918" t="str">
        <f>"40.672613"</f>
        <v>40.672613</v>
      </c>
      <c r="R4918" t="str">
        <f>"22.919473"</f>
        <v>22.919473</v>
      </c>
      <c r="S4918" t="s">
        <v>26</v>
      </c>
    </row>
    <row r="4919" spans="1:19" x14ac:dyDescent="0.3">
      <c r="A4919" t="s">
        <v>25190</v>
      </c>
      <c r="B4919" t="s">
        <v>28466</v>
      </c>
      <c r="C4919" t="s">
        <v>29384</v>
      </c>
      <c r="D4919" t="s">
        <v>25197</v>
      </c>
      <c r="E4919" t="s">
        <v>25889</v>
      </c>
      <c r="F4919" t="s">
        <v>25890</v>
      </c>
      <c r="G4919" t="s">
        <v>25890</v>
      </c>
      <c r="H4919" t="s">
        <v>868</v>
      </c>
      <c r="I4919" t="s">
        <v>869</v>
      </c>
      <c r="J4919" t="str">
        <f>"9190711"</f>
        <v>9190711</v>
      </c>
      <c r="K4919">
        <v>2310623258</v>
      </c>
      <c r="L4919">
        <v>2310623258</v>
      </c>
      <c r="M4919" t="s">
        <v>29385</v>
      </c>
      <c r="N4919" t="s">
        <v>613</v>
      </c>
      <c r="O4919" t="s">
        <v>25894</v>
      </c>
      <c r="P4919">
        <v>56728</v>
      </c>
      <c r="Q4919" t="str">
        <f>"40.654440"</f>
        <v>40.654440</v>
      </c>
      <c r="R4919" t="str">
        <f>"22.947177"</f>
        <v>22.947177</v>
      </c>
      <c r="S4919" t="s">
        <v>26</v>
      </c>
    </row>
    <row r="4920" spans="1:19" x14ac:dyDescent="0.3">
      <c r="A4920" t="s">
        <v>25190</v>
      </c>
      <c r="B4920" t="s">
        <v>28466</v>
      </c>
      <c r="C4920" t="s">
        <v>29386</v>
      </c>
      <c r="D4920" t="s">
        <v>25197</v>
      </c>
      <c r="E4920" t="s">
        <v>25826</v>
      </c>
      <c r="F4920" t="s">
        <v>25833</v>
      </c>
      <c r="G4920" t="s">
        <v>25833</v>
      </c>
      <c r="H4920" t="s">
        <v>868</v>
      </c>
      <c r="I4920" t="s">
        <v>869</v>
      </c>
      <c r="J4920" t="str">
        <f>"9520598"</f>
        <v>9520598</v>
      </c>
      <c r="K4920">
        <v>2310775400</v>
      </c>
      <c r="L4920">
        <v>2310775400</v>
      </c>
      <c r="M4920" t="s">
        <v>29387</v>
      </c>
      <c r="N4920" t="s">
        <v>26010</v>
      </c>
      <c r="O4920" t="s">
        <v>29388</v>
      </c>
      <c r="P4920">
        <v>56224</v>
      </c>
      <c r="Q4920" t="str">
        <f>"40.667585"</f>
        <v>40.667585</v>
      </c>
      <c r="R4920" t="str">
        <f>"22.908541"</f>
        <v>22.908541</v>
      </c>
      <c r="S4920" t="s">
        <v>26</v>
      </c>
    </row>
    <row r="4921" spans="1:19" x14ac:dyDescent="0.3">
      <c r="A4921" t="s">
        <v>25190</v>
      </c>
      <c r="B4921" t="s">
        <v>28466</v>
      </c>
      <c r="C4921" t="s">
        <v>29389</v>
      </c>
      <c r="D4921" t="s">
        <v>25197</v>
      </c>
      <c r="E4921" t="s">
        <v>25826</v>
      </c>
      <c r="F4921" t="s">
        <v>25833</v>
      </c>
      <c r="G4921" t="s">
        <v>25833</v>
      </c>
      <c r="H4921" t="s">
        <v>868</v>
      </c>
      <c r="I4921" t="s">
        <v>16625</v>
      </c>
      <c r="J4921" t="str">
        <f>"9190130"</f>
        <v>9190130</v>
      </c>
      <c r="K4921">
        <v>2310703788</v>
      </c>
      <c r="L4921">
        <v>2310703980</v>
      </c>
      <c r="M4921" t="s">
        <v>29390</v>
      </c>
      <c r="N4921" t="s">
        <v>26010</v>
      </c>
      <c r="O4921" t="s">
        <v>29391</v>
      </c>
      <c r="P4921">
        <v>56224</v>
      </c>
      <c r="Q4921" t="str">
        <f>"40.664888"</f>
        <v>40.664888</v>
      </c>
      <c r="R4921" t="str">
        <f>"22.906085"</f>
        <v>22.906085</v>
      </c>
      <c r="S4921" t="s">
        <v>26</v>
      </c>
    </row>
    <row r="4922" spans="1:19" x14ac:dyDescent="0.3">
      <c r="A4922" t="s">
        <v>25190</v>
      </c>
      <c r="B4922" t="s">
        <v>28466</v>
      </c>
      <c r="C4922" t="s">
        <v>29392</v>
      </c>
      <c r="D4922" t="s">
        <v>25197</v>
      </c>
      <c r="E4922" t="s">
        <v>25790</v>
      </c>
      <c r="F4922" t="s">
        <v>25851</v>
      </c>
      <c r="G4922" t="s">
        <v>26241</v>
      </c>
      <c r="H4922" t="s">
        <v>868</v>
      </c>
      <c r="I4922" t="s">
        <v>869</v>
      </c>
      <c r="J4922" t="str">
        <f>"9190304"</f>
        <v>9190304</v>
      </c>
      <c r="K4922">
        <v>2310781751</v>
      </c>
      <c r="L4922">
        <v>2310781751</v>
      </c>
      <c r="M4922" t="s">
        <v>29393</v>
      </c>
      <c r="N4922" t="s">
        <v>26241</v>
      </c>
      <c r="O4922" t="s">
        <v>29394</v>
      </c>
      <c r="P4922">
        <v>57008</v>
      </c>
      <c r="Q4922" t="str">
        <f>"40.687569"</f>
        <v>40.687569</v>
      </c>
      <c r="R4922" t="str">
        <f>"22.856501"</f>
        <v>22.856501</v>
      </c>
      <c r="S4922" t="s">
        <v>26</v>
      </c>
    </row>
    <row r="4923" spans="1:19" x14ac:dyDescent="0.3">
      <c r="A4923" t="s">
        <v>25190</v>
      </c>
      <c r="B4923" t="s">
        <v>28466</v>
      </c>
      <c r="C4923" t="s">
        <v>25913</v>
      </c>
      <c r="D4923" t="s">
        <v>25197</v>
      </c>
      <c r="E4923" t="s">
        <v>25203</v>
      </c>
      <c r="F4923" t="s">
        <v>25784</v>
      </c>
      <c r="G4923" t="s">
        <v>25784</v>
      </c>
      <c r="H4923" t="s">
        <v>868</v>
      </c>
      <c r="I4923" t="s">
        <v>869</v>
      </c>
      <c r="J4923" t="str">
        <f>"9190646"</f>
        <v>9190646</v>
      </c>
      <c r="K4923">
        <v>2310667848</v>
      </c>
      <c r="L4923">
        <v>2310667848</v>
      </c>
      <c r="M4923" t="s">
        <v>29395</v>
      </c>
      <c r="N4923" t="s">
        <v>25911</v>
      </c>
      <c r="O4923" t="s">
        <v>29396</v>
      </c>
      <c r="P4923">
        <v>56533</v>
      </c>
      <c r="Q4923" t="str">
        <f>"40.666352"</f>
        <v>40.666352</v>
      </c>
      <c r="R4923" t="str">
        <f>"22.951395"</f>
        <v>22.951395</v>
      </c>
      <c r="S4923" t="s">
        <v>26</v>
      </c>
    </row>
    <row r="4924" spans="1:19" x14ac:dyDescent="0.3">
      <c r="A4924" t="s">
        <v>25190</v>
      </c>
      <c r="B4924" t="s">
        <v>28466</v>
      </c>
      <c r="C4924" t="s">
        <v>26031</v>
      </c>
      <c r="D4924" t="s">
        <v>25197</v>
      </c>
      <c r="E4924" t="s">
        <v>25826</v>
      </c>
      <c r="F4924" t="s">
        <v>25833</v>
      </c>
      <c r="G4924" t="s">
        <v>25833</v>
      </c>
      <c r="H4924" t="s">
        <v>868</v>
      </c>
      <c r="I4924" t="s">
        <v>869</v>
      </c>
      <c r="J4924" t="str">
        <f>"9520599"</f>
        <v>9520599</v>
      </c>
      <c r="K4924">
        <v>2310759117</v>
      </c>
      <c r="L4924">
        <v>2310759117</v>
      </c>
      <c r="M4924" t="s">
        <v>29397</v>
      </c>
      <c r="N4924" t="s">
        <v>26010</v>
      </c>
      <c r="O4924" t="s">
        <v>29398</v>
      </c>
      <c r="P4924">
        <v>56226</v>
      </c>
      <c r="Q4924" t="str">
        <f>"40.675482"</f>
        <v>40.675482</v>
      </c>
      <c r="R4924" t="str">
        <f>"22.903368"</f>
        <v>22.903368</v>
      </c>
      <c r="S4924" t="s">
        <v>26</v>
      </c>
    </row>
    <row r="4925" spans="1:19" x14ac:dyDescent="0.3">
      <c r="A4925" t="s">
        <v>25190</v>
      </c>
      <c r="B4925" t="s">
        <v>28466</v>
      </c>
      <c r="C4925" t="s">
        <v>29399</v>
      </c>
      <c r="D4925" t="s">
        <v>25197</v>
      </c>
      <c r="E4925" t="s">
        <v>25826</v>
      </c>
      <c r="F4925" t="s">
        <v>25833</v>
      </c>
      <c r="G4925" t="s">
        <v>25833</v>
      </c>
      <c r="H4925" t="s">
        <v>868</v>
      </c>
      <c r="I4925" t="s">
        <v>869</v>
      </c>
      <c r="J4925" t="str">
        <f>"9520600"</f>
        <v>9520600</v>
      </c>
      <c r="K4925">
        <v>2310587637</v>
      </c>
      <c r="L4925">
        <v>2310606638</v>
      </c>
      <c r="M4925" t="s">
        <v>29400</v>
      </c>
      <c r="N4925" t="s">
        <v>26010</v>
      </c>
      <c r="O4925" t="s">
        <v>29401</v>
      </c>
      <c r="P4925">
        <v>56224</v>
      </c>
      <c r="Q4925" t="str">
        <f>"40.674896"</f>
        <v>40.674896</v>
      </c>
      <c r="R4925" t="str">
        <f>"22.920936"</f>
        <v>22.920936</v>
      </c>
      <c r="S4925" t="s">
        <v>26</v>
      </c>
    </row>
    <row r="4926" spans="1:19" x14ac:dyDescent="0.3">
      <c r="A4926" t="s">
        <v>25190</v>
      </c>
      <c r="B4926" t="s">
        <v>28466</v>
      </c>
      <c r="C4926" t="s">
        <v>26221</v>
      </c>
      <c r="D4926" t="s">
        <v>25197</v>
      </c>
      <c r="E4926" t="s">
        <v>25203</v>
      </c>
      <c r="F4926" t="s">
        <v>25784</v>
      </c>
      <c r="G4926" t="s">
        <v>25784</v>
      </c>
      <c r="H4926" t="s">
        <v>868</v>
      </c>
      <c r="I4926" t="s">
        <v>869</v>
      </c>
      <c r="J4926" t="str">
        <f>"9190071"</f>
        <v>9190071</v>
      </c>
      <c r="K4926">
        <v>2310654739</v>
      </c>
      <c r="L4926">
        <v>2310587767</v>
      </c>
      <c r="M4926" t="s">
        <v>29402</v>
      </c>
      <c r="N4926" t="s">
        <v>25911</v>
      </c>
      <c r="O4926" t="s">
        <v>29403</v>
      </c>
      <c r="P4926">
        <v>56533</v>
      </c>
      <c r="Q4926" t="str">
        <f>"40.662832"</f>
        <v>40.662832</v>
      </c>
      <c r="R4926" t="str">
        <f>"22.948398"</f>
        <v>22.948398</v>
      </c>
      <c r="S4926" t="s">
        <v>26</v>
      </c>
    </row>
    <row r="4927" spans="1:19" x14ac:dyDescent="0.3">
      <c r="A4927" t="s">
        <v>25190</v>
      </c>
      <c r="B4927" t="s">
        <v>28466</v>
      </c>
      <c r="C4927" t="s">
        <v>29404</v>
      </c>
      <c r="D4927" t="s">
        <v>25197</v>
      </c>
      <c r="E4927" t="s">
        <v>25889</v>
      </c>
      <c r="F4927" t="s">
        <v>25890</v>
      </c>
      <c r="G4927" t="s">
        <v>25890</v>
      </c>
      <c r="H4927" t="s">
        <v>868</v>
      </c>
      <c r="I4927" t="s">
        <v>869</v>
      </c>
      <c r="J4927" t="str">
        <f>"9190062"</f>
        <v>9190062</v>
      </c>
      <c r="K4927">
        <v>2310527771</v>
      </c>
      <c r="L4927">
        <v>2310527771</v>
      </c>
      <c r="M4927" t="s">
        <v>29405</v>
      </c>
      <c r="N4927" t="s">
        <v>613</v>
      </c>
      <c r="O4927" t="s">
        <v>29406</v>
      </c>
      <c r="P4927">
        <v>56727</v>
      </c>
      <c r="Q4927" t="str">
        <f>"40.656235"</f>
        <v>40.656235</v>
      </c>
      <c r="R4927" t="str">
        <f>"22.937206"</f>
        <v>22.937206</v>
      </c>
      <c r="S4927" t="s">
        <v>26</v>
      </c>
    </row>
    <row r="4928" spans="1:19" x14ac:dyDescent="0.3">
      <c r="A4928" t="s">
        <v>25190</v>
      </c>
      <c r="B4928" t="s">
        <v>28466</v>
      </c>
      <c r="C4928" t="s">
        <v>29407</v>
      </c>
      <c r="D4928" t="s">
        <v>25197</v>
      </c>
      <c r="E4928" t="s">
        <v>25826</v>
      </c>
      <c r="F4928" t="s">
        <v>25833</v>
      </c>
      <c r="G4928" t="s">
        <v>25833</v>
      </c>
      <c r="H4928" t="s">
        <v>868</v>
      </c>
      <c r="I4928" t="s">
        <v>869</v>
      </c>
      <c r="J4928" t="str">
        <f>"9520670"</f>
        <v>9520670</v>
      </c>
      <c r="K4928">
        <v>2310652481</v>
      </c>
      <c r="L4928">
        <v>2310652481</v>
      </c>
      <c r="M4928" t="s">
        <v>29408</v>
      </c>
      <c r="N4928" t="s">
        <v>26010</v>
      </c>
      <c r="O4928" t="s">
        <v>29409</v>
      </c>
      <c r="P4928">
        <v>56224</v>
      </c>
      <c r="Q4928" t="str">
        <f>"40.669342"</f>
        <v>40.669342</v>
      </c>
      <c r="R4928" t="str">
        <f>"22.925476"</f>
        <v>22.925476</v>
      </c>
      <c r="S4928" t="s">
        <v>26</v>
      </c>
    </row>
    <row r="4929" spans="1:19" x14ac:dyDescent="0.3">
      <c r="A4929" t="s">
        <v>25190</v>
      </c>
      <c r="B4929" t="s">
        <v>28466</v>
      </c>
      <c r="C4929" t="s">
        <v>26043</v>
      </c>
      <c r="D4929" t="s">
        <v>25197</v>
      </c>
      <c r="E4929" t="s">
        <v>25826</v>
      </c>
      <c r="F4929" t="s">
        <v>25833</v>
      </c>
      <c r="G4929" t="s">
        <v>25833</v>
      </c>
      <c r="H4929" t="s">
        <v>868</v>
      </c>
      <c r="I4929" t="s">
        <v>869</v>
      </c>
      <c r="J4929" t="str">
        <f>"9520747"</f>
        <v>9520747</v>
      </c>
      <c r="K4929">
        <v>2310770471</v>
      </c>
      <c r="L4929">
        <v>2310770471</v>
      </c>
      <c r="M4929" t="s">
        <v>29410</v>
      </c>
      <c r="N4929" t="s">
        <v>26010</v>
      </c>
      <c r="O4929" t="s">
        <v>29411</v>
      </c>
      <c r="P4929">
        <v>56224</v>
      </c>
      <c r="Q4929" t="str">
        <f>"40.666572"</f>
        <v>40.666572</v>
      </c>
      <c r="R4929" t="str">
        <f>"22.903379"</f>
        <v>22.903379</v>
      </c>
      <c r="S4929" t="s">
        <v>26</v>
      </c>
    </row>
    <row r="4930" spans="1:19" x14ac:dyDescent="0.3">
      <c r="A4930" t="s">
        <v>25190</v>
      </c>
      <c r="B4930" t="s">
        <v>28466</v>
      </c>
      <c r="C4930" t="s">
        <v>29412</v>
      </c>
      <c r="D4930" t="s">
        <v>25197</v>
      </c>
      <c r="E4930" t="s">
        <v>25815</v>
      </c>
      <c r="F4930" t="s">
        <v>60</v>
      </c>
      <c r="G4930" t="s">
        <v>26250</v>
      </c>
      <c r="H4930" t="s">
        <v>868</v>
      </c>
      <c r="I4930" t="s">
        <v>950</v>
      </c>
      <c r="J4930" t="str">
        <f>"9190302"</f>
        <v>9190302</v>
      </c>
      <c r="K4930">
        <v>2310715493</v>
      </c>
      <c r="L4930">
        <v>2310715493</v>
      </c>
      <c r="M4930" t="s">
        <v>29413</v>
      </c>
      <c r="N4930" t="s">
        <v>28997</v>
      </c>
      <c r="O4930" t="s">
        <v>28997</v>
      </c>
      <c r="P4930">
        <v>57011</v>
      </c>
      <c r="Q4930" t="str">
        <f>"40.720968"</f>
        <v>40.720968</v>
      </c>
      <c r="R4930" t="str">
        <f>"22.687928"</f>
        <v>22.687928</v>
      </c>
      <c r="S4930" t="s">
        <v>26</v>
      </c>
    </row>
    <row r="4931" spans="1:19" x14ac:dyDescent="0.3">
      <c r="A4931" t="s">
        <v>25190</v>
      </c>
      <c r="B4931" t="s">
        <v>28466</v>
      </c>
      <c r="C4931" t="s">
        <v>25839</v>
      </c>
      <c r="D4931" t="s">
        <v>25197</v>
      </c>
      <c r="E4931" t="s">
        <v>25826</v>
      </c>
      <c r="F4931" t="s">
        <v>25833</v>
      </c>
      <c r="G4931" t="s">
        <v>25833</v>
      </c>
      <c r="H4931" t="s">
        <v>868</v>
      </c>
      <c r="I4931" t="s">
        <v>869</v>
      </c>
      <c r="J4931" t="str">
        <f>"9520877"</f>
        <v>9520877</v>
      </c>
      <c r="K4931">
        <v>2310763661</v>
      </c>
      <c r="M4931" t="s">
        <v>29414</v>
      </c>
      <c r="N4931" t="s">
        <v>26010</v>
      </c>
      <c r="O4931" t="s">
        <v>29415</v>
      </c>
      <c r="P4931">
        <v>56224</v>
      </c>
      <c r="Q4931" t="str">
        <f>"40.669622"</f>
        <v>40.669622</v>
      </c>
      <c r="R4931" t="str">
        <f>"22.916934"</f>
        <v>22.916934</v>
      </c>
      <c r="S4931" t="s">
        <v>26</v>
      </c>
    </row>
    <row r="4932" spans="1:19" x14ac:dyDescent="0.3">
      <c r="A4932" t="s">
        <v>25190</v>
      </c>
      <c r="B4932" t="s">
        <v>28466</v>
      </c>
      <c r="C4932" t="s">
        <v>26021</v>
      </c>
      <c r="D4932" t="s">
        <v>25197</v>
      </c>
      <c r="E4932" t="s">
        <v>25889</v>
      </c>
      <c r="F4932" t="s">
        <v>25890</v>
      </c>
      <c r="G4932" t="s">
        <v>25890</v>
      </c>
      <c r="H4932" t="s">
        <v>868</v>
      </c>
      <c r="I4932" t="s">
        <v>869</v>
      </c>
      <c r="J4932" t="str">
        <f>"9190554"</f>
        <v>9190554</v>
      </c>
      <c r="K4932">
        <v>2310615012</v>
      </c>
      <c r="L4932">
        <v>2310614009</v>
      </c>
      <c r="M4932" t="s">
        <v>29416</v>
      </c>
      <c r="N4932" t="s">
        <v>613</v>
      </c>
      <c r="O4932" t="s">
        <v>29417</v>
      </c>
      <c r="P4932">
        <v>56728</v>
      </c>
      <c r="Q4932" t="str">
        <f>"40.653668"</f>
        <v>40.653668</v>
      </c>
      <c r="R4932" t="str">
        <f>"22.945288"</f>
        <v>22.945288</v>
      </c>
      <c r="S4932" t="s">
        <v>26</v>
      </c>
    </row>
    <row r="4933" spans="1:19" x14ac:dyDescent="0.3">
      <c r="A4933" t="s">
        <v>25190</v>
      </c>
      <c r="B4933" t="s">
        <v>28466</v>
      </c>
      <c r="C4933" t="s">
        <v>29418</v>
      </c>
      <c r="D4933" t="s">
        <v>25197</v>
      </c>
      <c r="E4933" t="s">
        <v>25889</v>
      </c>
      <c r="F4933" t="s">
        <v>25924</v>
      </c>
      <c r="G4933" t="s">
        <v>25924</v>
      </c>
      <c r="H4933" t="s">
        <v>868</v>
      </c>
      <c r="I4933" t="s">
        <v>869</v>
      </c>
      <c r="J4933" t="str">
        <f>"9190165"</f>
        <v>9190165</v>
      </c>
      <c r="K4933">
        <v>2310614700</v>
      </c>
      <c r="L4933">
        <v>2310614700</v>
      </c>
      <c r="M4933" t="s">
        <v>29419</v>
      </c>
      <c r="N4933" t="s">
        <v>25247</v>
      </c>
      <c r="O4933" t="s">
        <v>28683</v>
      </c>
      <c r="P4933">
        <v>56626</v>
      </c>
      <c r="Q4933" t="str">
        <f>"40.649949"</f>
        <v>40.649949</v>
      </c>
      <c r="R4933" t="str">
        <f>"22.949750"</f>
        <v>22.949750</v>
      </c>
      <c r="S4933" t="s">
        <v>26</v>
      </c>
    </row>
    <row r="4934" spans="1:19" x14ac:dyDescent="0.3">
      <c r="A4934" t="s">
        <v>25190</v>
      </c>
      <c r="B4934" t="s">
        <v>28466</v>
      </c>
      <c r="C4934" t="s">
        <v>29420</v>
      </c>
      <c r="D4934" t="s">
        <v>25197</v>
      </c>
      <c r="E4934" t="s">
        <v>25203</v>
      </c>
      <c r="F4934" t="s">
        <v>25784</v>
      </c>
      <c r="G4934" t="s">
        <v>25784</v>
      </c>
      <c r="H4934" t="s">
        <v>868</v>
      </c>
      <c r="I4934" t="s">
        <v>869</v>
      </c>
      <c r="J4934" t="str">
        <f>"9190863"</f>
        <v>9190863</v>
      </c>
      <c r="K4934">
        <v>2310669041</v>
      </c>
      <c r="L4934">
        <v>2310669021</v>
      </c>
      <c r="M4934" t="s">
        <v>29421</v>
      </c>
      <c r="N4934" t="s">
        <v>25911</v>
      </c>
      <c r="O4934" t="s">
        <v>29422</v>
      </c>
      <c r="P4934">
        <v>56533</v>
      </c>
      <c r="Q4934" t="str">
        <f>"40.661680"</f>
        <v>40.661680</v>
      </c>
      <c r="R4934" t="str">
        <f>"22.954866"</f>
        <v>22.954866</v>
      </c>
      <c r="S4934" t="s">
        <v>26</v>
      </c>
    </row>
    <row r="4935" spans="1:19" x14ac:dyDescent="0.3">
      <c r="A4935" t="s">
        <v>25190</v>
      </c>
      <c r="B4935" t="s">
        <v>28466</v>
      </c>
      <c r="C4935" t="s">
        <v>25954</v>
      </c>
      <c r="D4935" t="s">
        <v>25197</v>
      </c>
      <c r="E4935" t="s">
        <v>25889</v>
      </c>
      <c r="F4935" t="s">
        <v>25924</v>
      </c>
      <c r="G4935" t="s">
        <v>25924</v>
      </c>
      <c r="H4935" t="s">
        <v>868</v>
      </c>
      <c r="I4935" t="s">
        <v>869</v>
      </c>
      <c r="J4935" t="str">
        <f>"9190066"</f>
        <v>9190066</v>
      </c>
      <c r="K4935">
        <v>2310612345</v>
      </c>
      <c r="L4935">
        <v>2310612345</v>
      </c>
      <c r="M4935" t="s">
        <v>29423</v>
      </c>
      <c r="N4935" t="s">
        <v>25952</v>
      </c>
      <c r="O4935" t="s">
        <v>29424</v>
      </c>
      <c r="P4935">
        <v>56626</v>
      </c>
      <c r="Q4935" t="str">
        <f>"40.652749"</f>
        <v>40.652749</v>
      </c>
      <c r="R4935" t="str">
        <f>"22.957238"</f>
        <v>22.957238</v>
      </c>
      <c r="S4935" t="s">
        <v>26</v>
      </c>
    </row>
    <row r="4936" spans="1:19" x14ac:dyDescent="0.3">
      <c r="A4936" t="s">
        <v>25190</v>
      </c>
      <c r="B4936" t="s">
        <v>28466</v>
      </c>
      <c r="C4936" t="s">
        <v>29425</v>
      </c>
      <c r="D4936" t="s">
        <v>25197</v>
      </c>
      <c r="E4936" t="s">
        <v>25889</v>
      </c>
      <c r="F4936" t="s">
        <v>25924</v>
      </c>
      <c r="G4936" t="s">
        <v>25924</v>
      </c>
      <c r="H4936" t="s">
        <v>868</v>
      </c>
      <c r="I4936" t="s">
        <v>869</v>
      </c>
      <c r="J4936" t="str">
        <f>"9190763"</f>
        <v>9190763</v>
      </c>
      <c r="K4936">
        <v>2310214315</v>
      </c>
      <c r="M4936" t="s">
        <v>29426</v>
      </c>
      <c r="N4936" t="s">
        <v>25952</v>
      </c>
      <c r="O4936" t="s">
        <v>29427</v>
      </c>
      <c r="P4936">
        <v>56626</v>
      </c>
      <c r="Q4936" t="str">
        <f>"40.639857"</f>
        <v>40.639857</v>
      </c>
      <c r="R4936" t="str">
        <f>"22.961359"</f>
        <v>22.961359</v>
      </c>
      <c r="S4936" t="s">
        <v>26</v>
      </c>
    </row>
    <row r="4937" spans="1:19" x14ac:dyDescent="0.3">
      <c r="A4937" t="s">
        <v>25190</v>
      </c>
      <c r="B4937" t="s">
        <v>28466</v>
      </c>
      <c r="C4937" t="s">
        <v>26035</v>
      </c>
      <c r="D4937" t="s">
        <v>25197</v>
      </c>
      <c r="E4937" t="s">
        <v>25203</v>
      </c>
      <c r="F4937" t="s">
        <v>25784</v>
      </c>
      <c r="G4937" t="s">
        <v>25784</v>
      </c>
      <c r="H4937" t="s">
        <v>868</v>
      </c>
      <c r="I4937" t="s">
        <v>869</v>
      </c>
      <c r="J4937" t="str">
        <f>"9190068"</f>
        <v>9190068</v>
      </c>
      <c r="K4937">
        <v>2310650343</v>
      </c>
      <c r="L4937">
        <v>2310650344</v>
      </c>
      <c r="M4937" t="s">
        <v>29428</v>
      </c>
      <c r="N4937" t="s">
        <v>29429</v>
      </c>
      <c r="O4937" t="s">
        <v>28671</v>
      </c>
      <c r="P4937">
        <v>56429</v>
      </c>
      <c r="Q4937" t="str">
        <f>"40.676092"</f>
        <v>40.676092</v>
      </c>
      <c r="R4937" t="str">
        <f>"22.944884"</f>
        <v>22.944884</v>
      </c>
      <c r="S4937" t="s">
        <v>26</v>
      </c>
    </row>
    <row r="4938" spans="1:19" x14ac:dyDescent="0.3">
      <c r="A4938" t="s">
        <v>25190</v>
      </c>
      <c r="B4938" t="s">
        <v>28466</v>
      </c>
      <c r="C4938" t="s">
        <v>29430</v>
      </c>
      <c r="D4938" t="s">
        <v>25197</v>
      </c>
      <c r="E4938" t="s">
        <v>25889</v>
      </c>
      <c r="F4938" t="s">
        <v>25890</v>
      </c>
      <c r="G4938" t="s">
        <v>25890</v>
      </c>
      <c r="H4938" t="s">
        <v>868</v>
      </c>
      <c r="I4938" t="s">
        <v>869</v>
      </c>
      <c r="J4938" t="str">
        <f>"9190067"</f>
        <v>9190067</v>
      </c>
      <c r="K4938">
        <v>2310511675</v>
      </c>
      <c r="L4938">
        <v>2310511675</v>
      </c>
      <c r="M4938" t="s">
        <v>29431</v>
      </c>
      <c r="N4938" t="s">
        <v>613</v>
      </c>
      <c r="O4938" t="s">
        <v>29406</v>
      </c>
      <c r="P4938">
        <v>56727</v>
      </c>
      <c r="Q4938" t="str">
        <f>"40.655993"</f>
        <v>40.655993</v>
      </c>
      <c r="R4938" t="str">
        <f>"22.937139"</f>
        <v>22.937139</v>
      </c>
      <c r="S4938" t="s">
        <v>26</v>
      </c>
    </row>
    <row r="4939" spans="1:19" x14ac:dyDescent="0.3">
      <c r="A4939" t="s">
        <v>25190</v>
      </c>
      <c r="B4939" t="s">
        <v>28466</v>
      </c>
      <c r="C4939" t="s">
        <v>25895</v>
      </c>
      <c r="D4939" t="s">
        <v>25197</v>
      </c>
      <c r="E4939" t="s">
        <v>25203</v>
      </c>
      <c r="F4939" t="s">
        <v>25784</v>
      </c>
      <c r="G4939" t="s">
        <v>25784</v>
      </c>
      <c r="H4939" t="s">
        <v>868</v>
      </c>
      <c r="I4939" t="s">
        <v>869</v>
      </c>
      <c r="J4939" t="str">
        <f>"9190069"</f>
        <v>9190069</v>
      </c>
      <c r="K4939">
        <v>2310672907</v>
      </c>
      <c r="L4939">
        <v>2310672907</v>
      </c>
      <c r="M4939" t="s">
        <v>29432</v>
      </c>
      <c r="N4939" t="s">
        <v>25911</v>
      </c>
      <c r="O4939" t="s">
        <v>29433</v>
      </c>
      <c r="P4939">
        <v>56533</v>
      </c>
      <c r="Q4939" t="str">
        <f>"40.657247"</f>
        <v>40.657247</v>
      </c>
      <c r="R4939" t="str">
        <f>"22.946797"</f>
        <v>22.946797</v>
      </c>
      <c r="S4939" t="s">
        <v>26</v>
      </c>
    </row>
    <row r="4940" spans="1:19" x14ac:dyDescent="0.3">
      <c r="A4940" t="s">
        <v>25190</v>
      </c>
      <c r="B4940" t="s">
        <v>28466</v>
      </c>
      <c r="C4940" t="s">
        <v>25929</v>
      </c>
      <c r="D4940" t="s">
        <v>25197</v>
      </c>
      <c r="E4940" t="s">
        <v>25889</v>
      </c>
      <c r="F4940" t="s">
        <v>25924</v>
      </c>
      <c r="G4940" t="s">
        <v>25924</v>
      </c>
      <c r="H4940" t="s">
        <v>868</v>
      </c>
      <c r="I4940" t="s">
        <v>869</v>
      </c>
      <c r="J4940" t="str">
        <f>"9190166"</f>
        <v>9190166</v>
      </c>
      <c r="K4940">
        <v>2310218820</v>
      </c>
      <c r="L4940">
        <v>2310968513</v>
      </c>
      <c r="M4940" t="s">
        <v>29434</v>
      </c>
      <c r="N4940" t="s">
        <v>25952</v>
      </c>
      <c r="O4940" t="s">
        <v>29435</v>
      </c>
      <c r="P4940">
        <v>56626</v>
      </c>
      <c r="Q4940" t="str">
        <f>"40.647217"</f>
        <v>40.647217</v>
      </c>
      <c r="R4940" t="str">
        <f>"22.956493"</f>
        <v>22.956493</v>
      </c>
      <c r="S4940" t="s">
        <v>26</v>
      </c>
    </row>
    <row r="4941" spans="1:19" x14ac:dyDescent="0.3">
      <c r="A4941" t="s">
        <v>25190</v>
      </c>
      <c r="B4941" t="s">
        <v>28466</v>
      </c>
      <c r="C4941" t="s">
        <v>29436</v>
      </c>
      <c r="D4941" t="s">
        <v>25197</v>
      </c>
      <c r="E4941" t="s">
        <v>25889</v>
      </c>
      <c r="F4941" t="s">
        <v>25924</v>
      </c>
      <c r="G4941" t="s">
        <v>25924</v>
      </c>
      <c r="H4941" t="s">
        <v>868</v>
      </c>
      <c r="I4941" t="s">
        <v>869</v>
      </c>
      <c r="J4941" t="str">
        <f>"9190862"</f>
        <v>9190862</v>
      </c>
      <c r="K4941">
        <v>2310631853</v>
      </c>
      <c r="L4941">
        <v>2310631853</v>
      </c>
      <c r="M4941" t="s">
        <v>29437</v>
      </c>
      <c r="N4941" t="s">
        <v>28850</v>
      </c>
      <c r="O4941" t="s">
        <v>28851</v>
      </c>
      <c r="P4941">
        <v>56626</v>
      </c>
      <c r="Q4941" t="str">
        <f>"40.651838"</f>
        <v>40.651838</v>
      </c>
      <c r="R4941" t="str">
        <f>"22.954760"</f>
        <v>22.954760</v>
      </c>
      <c r="S4941" t="s">
        <v>26</v>
      </c>
    </row>
    <row r="4942" spans="1:19" x14ac:dyDescent="0.3">
      <c r="A4942" t="s">
        <v>25190</v>
      </c>
      <c r="B4942" t="s">
        <v>28466</v>
      </c>
      <c r="C4942" t="s">
        <v>29438</v>
      </c>
      <c r="D4942" t="s">
        <v>25197</v>
      </c>
      <c r="E4942" t="s">
        <v>25873</v>
      </c>
      <c r="F4942" t="s">
        <v>25992</v>
      </c>
      <c r="G4942" t="s">
        <v>25992</v>
      </c>
      <c r="H4942" t="s">
        <v>868</v>
      </c>
      <c r="I4942" t="s">
        <v>2930</v>
      </c>
      <c r="J4942" t="str">
        <f>"9190154"</f>
        <v>9190154</v>
      </c>
      <c r="K4942">
        <v>2310763945</v>
      </c>
      <c r="L4942">
        <v>2310763945</v>
      </c>
      <c r="M4942" t="s">
        <v>29439</v>
      </c>
      <c r="N4942" t="s">
        <v>28686</v>
      </c>
      <c r="O4942" t="s">
        <v>29440</v>
      </c>
      <c r="P4942">
        <v>54628</v>
      </c>
      <c r="Q4942" t="str">
        <f>"40.659416"</f>
        <v>40.659416</v>
      </c>
      <c r="R4942" t="str">
        <f>"22.899380"</f>
        <v>22.899380</v>
      </c>
      <c r="S4942" t="s">
        <v>26</v>
      </c>
    </row>
    <row r="4943" spans="1:19" x14ac:dyDescent="0.3">
      <c r="A4943" t="s">
        <v>25190</v>
      </c>
      <c r="B4943" t="s">
        <v>28466</v>
      </c>
      <c r="C4943" t="s">
        <v>29441</v>
      </c>
      <c r="D4943" t="s">
        <v>25197</v>
      </c>
      <c r="E4943" t="s">
        <v>25889</v>
      </c>
      <c r="F4943" t="s">
        <v>25890</v>
      </c>
      <c r="G4943" t="s">
        <v>25890</v>
      </c>
      <c r="H4943" t="s">
        <v>868</v>
      </c>
      <c r="I4943" t="s">
        <v>869</v>
      </c>
      <c r="J4943" t="str">
        <f>"9190423"</f>
        <v>9190423</v>
      </c>
      <c r="K4943">
        <v>2310545484</v>
      </c>
      <c r="L4943">
        <v>2310545484</v>
      </c>
      <c r="M4943" t="s">
        <v>29442</v>
      </c>
      <c r="N4943" t="s">
        <v>613</v>
      </c>
      <c r="O4943" t="s">
        <v>29443</v>
      </c>
      <c r="P4943">
        <v>56727</v>
      </c>
      <c r="Q4943" t="str">
        <f>"40.651894"</f>
        <v>40.651894</v>
      </c>
      <c r="R4943" t="str">
        <f>"22.935658"</f>
        <v>22.935658</v>
      </c>
      <c r="S4943" t="s">
        <v>26</v>
      </c>
    </row>
    <row r="4944" spans="1:19" x14ac:dyDescent="0.3">
      <c r="A4944" t="s">
        <v>25190</v>
      </c>
      <c r="B4944" t="s">
        <v>28466</v>
      </c>
      <c r="C4944" t="s">
        <v>29444</v>
      </c>
      <c r="D4944" t="s">
        <v>25197</v>
      </c>
      <c r="E4944" t="s">
        <v>25826</v>
      </c>
      <c r="F4944" t="s">
        <v>25833</v>
      </c>
      <c r="G4944" t="s">
        <v>25833</v>
      </c>
      <c r="H4944" t="s">
        <v>868</v>
      </c>
      <c r="I4944" t="s">
        <v>1157</v>
      </c>
      <c r="J4944" t="str">
        <f>"9190530"</f>
        <v>9190530</v>
      </c>
      <c r="K4944">
        <v>2310656235</v>
      </c>
      <c r="L4944">
        <v>2310656235</v>
      </c>
      <c r="M4944" t="s">
        <v>29445</v>
      </c>
      <c r="N4944" t="s">
        <v>25836</v>
      </c>
      <c r="O4944" t="s">
        <v>24425</v>
      </c>
      <c r="P4944">
        <v>56624</v>
      </c>
      <c r="Q4944" t="str">
        <f>"40.663267"</f>
        <v>40.663267</v>
      </c>
      <c r="R4944" t="str">
        <f>"22.919055"</f>
        <v>22.919055</v>
      </c>
      <c r="S4944" t="s">
        <v>26</v>
      </c>
    </row>
    <row r="4945" spans="1:19" x14ac:dyDescent="0.3">
      <c r="A4945" t="s">
        <v>25190</v>
      </c>
      <c r="B4945" t="s">
        <v>28466</v>
      </c>
      <c r="C4945" t="s">
        <v>29446</v>
      </c>
      <c r="D4945" t="s">
        <v>25197</v>
      </c>
      <c r="E4945" t="s">
        <v>25203</v>
      </c>
      <c r="F4945" t="s">
        <v>25878</v>
      </c>
      <c r="G4945" t="s">
        <v>25878</v>
      </c>
      <c r="H4945" t="s">
        <v>868</v>
      </c>
      <c r="I4945" t="s">
        <v>1157</v>
      </c>
      <c r="J4945" t="str">
        <f>"9190532"</f>
        <v>9190532</v>
      </c>
      <c r="K4945">
        <v>2310683863</v>
      </c>
      <c r="L4945">
        <v>2310683863</v>
      </c>
      <c r="M4945" t="s">
        <v>29447</v>
      </c>
      <c r="N4945" t="s">
        <v>25247</v>
      </c>
      <c r="O4945" t="s">
        <v>29448</v>
      </c>
      <c r="P4945">
        <v>56429</v>
      </c>
      <c r="Q4945" t="str">
        <f>"40.689740"</f>
        <v>40.689740</v>
      </c>
      <c r="R4945" t="str">
        <f>"22.954117"</f>
        <v>22.954117</v>
      </c>
      <c r="S4945" t="s">
        <v>26</v>
      </c>
    </row>
    <row r="4946" spans="1:19" x14ac:dyDescent="0.3">
      <c r="A4946" t="s">
        <v>25190</v>
      </c>
      <c r="B4946" t="s">
        <v>28466</v>
      </c>
      <c r="C4946" t="s">
        <v>25888</v>
      </c>
      <c r="D4946" t="s">
        <v>25197</v>
      </c>
      <c r="E4946" t="s">
        <v>25826</v>
      </c>
      <c r="F4946" t="s">
        <v>25833</v>
      </c>
      <c r="G4946" t="s">
        <v>25833</v>
      </c>
      <c r="H4946" t="s">
        <v>868</v>
      </c>
      <c r="I4946" t="s">
        <v>869</v>
      </c>
      <c r="J4946" t="str">
        <f>"9521096"</f>
        <v>9521096</v>
      </c>
      <c r="K4946">
        <v>2310641090</v>
      </c>
      <c r="L4946">
        <v>2310641090</v>
      </c>
      <c r="M4946" t="s">
        <v>29451</v>
      </c>
      <c r="N4946" t="s">
        <v>26010</v>
      </c>
      <c r="O4946" t="s">
        <v>29294</v>
      </c>
      <c r="P4946">
        <v>56225</v>
      </c>
      <c r="Q4946" t="str">
        <f>"40.665812"</f>
        <v>40.665812</v>
      </c>
      <c r="R4946" t="str">
        <f>"22.925349"</f>
        <v>22.925349</v>
      </c>
      <c r="S4946" t="s">
        <v>26</v>
      </c>
    </row>
    <row r="4947" spans="1:19" x14ac:dyDescent="0.3">
      <c r="A4947" t="s">
        <v>25190</v>
      </c>
      <c r="B4947" t="s">
        <v>28466</v>
      </c>
      <c r="C4947" t="s">
        <v>29452</v>
      </c>
      <c r="D4947" t="s">
        <v>25197</v>
      </c>
      <c r="E4947" t="s">
        <v>25826</v>
      </c>
      <c r="F4947" t="s">
        <v>25833</v>
      </c>
      <c r="G4947" t="s">
        <v>25833</v>
      </c>
      <c r="H4947" t="s">
        <v>868</v>
      </c>
      <c r="I4947" t="s">
        <v>869</v>
      </c>
      <c r="J4947" t="str">
        <f>"9521097"</f>
        <v>9521097</v>
      </c>
      <c r="K4947">
        <v>2310700313</v>
      </c>
      <c r="L4947">
        <v>2310700326</v>
      </c>
      <c r="M4947" t="s">
        <v>29453</v>
      </c>
      <c r="N4947" t="s">
        <v>25833</v>
      </c>
      <c r="O4947" t="s">
        <v>29398</v>
      </c>
      <c r="P4947">
        <v>56226</v>
      </c>
      <c r="Q4947" t="str">
        <f>"40.675523"</f>
        <v>40.675523</v>
      </c>
      <c r="R4947" t="str">
        <f>"22.902950"</f>
        <v>22.902950</v>
      </c>
      <c r="S4947" t="s">
        <v>26</v>
      </c>
    </row>
    <row r="4948" spans="1:19" x14ac:dyDescent="0.3">
      <c r="A4948" t="s">
        <v>25190</v>
      </c>
      <c r="B4948" t="s">
        <v>28466</v>
      </c>
      <c r="C4948" t="s">
        <v>29457</v>
      </c>
      <c r="D4948" t="s">
        <v>25197</v>
      </c>
      <c r="E4948" t="s">
        <v>25203</v>
      </c>
      <c r="F4948" t="s">
        <v>25878</v>
      </c>
      <c r="G4948" t="s">
        <v>25878</v>
      </c>
      <c r="H4948" t="s">
        <v>868</v>
      </c>
      <c r="I4948" t="s">
        <v>869</v>
      </c>
      <c r="J4948" t="str">
        <f>"9521103"</f>
        <v>9521103</v>
      </c>
      <c r="K4948">
        <v>2310688161</v>
      </c>
      <c r="L4948">
        <v>2310688161</v>
      </c>
      <c r="M4948" t="s">
        <v>29458</v>
      </c>
      <c r="N4948" t="s">
        <v>26602</v>
      </c>
      <c r="O4948" t="s">
        <v>29459</v>
      </c>
      <c r="P4948">
        <v>56429</v>
      </c>
      <c r="Q4948" t="str">
        <f>"40.682913"</f>
        <v>40.682913</v>
      </c>
      <c r="R4948" t="str">
        <f>"22.944324"</f>
        <v>22.944324</v>
      </c>
      <c r="S4948" t="s">
        <v>26</v>
      </c>
    </row>
    <row r="4949" spans="1:19" x14ac:dyDescent="0.3">
      <c r="A4949" t="s">
        <v>25190</v>
      </c>
      <c r="B4949" t="s">
        <v>28466</v>
      </c>
      <c r="C4949" t="s">
        <v>29470</v>
      </c>
      <c r="D4949" t="s">
        <v>25197</v>
      </c>
      <c r="E4949" t="s">
        <v>25826</v>
      </c>
      <c r="F4949" t="s">
        <v>25833</v>
      </c>
      <c r="G4949" t="s">
        <v>25833</v>
      </c>
      <c r="H4949" t="s">
        <v>868</v>
      </c>
      <c r="I4949" t="s">
        <v>869</v>
      </c>
      <c r="J4949" t="str">
        <f>"9521208"</f>
        <v>9521208</v>
      </c>
      <c r="K4949">
        <v>2310643540</v>
      </c>
      <c r="L4949">
        <v>2310643540</v>
      </c>
      <c r="M4949" t="s">
        <v>29471</v>
      </c>
      <c r="N4949" t="s">
        <v>26010</v>
      </c>
      <c r="O4949" t="s">
        <v>29472</v>
      </c>
      <c r="P4949">
        <v>56224</v>
      </c>
      <c r="Q4949" t="str">
        <f>"40.672613"</f>
        <v>40.672613</v>
      </c>
      <c r="R4949" t="str">
        <f>"22.919473"</f>
        <v>22.919473</v>
      </c>
      <c r="S4949" t="s">
        <v>26</v>
      </c>
    </row>
    <row r="4950" spans="1:19" x14ac:dyDescent="0.3">
      <c r="A4950" t="s">
        <v>25190</v>
      </c>
      <c r="B4950" t="s">
        <v>28466</v>
      </c>
      <c r="C4950" t="s">
        <v>29473</v>
      </c>
      <c r="D4950" t="s">
        <v>25197</v>
      </c>
      <c r="E4950" t="s">
        <v>25826</v>
      </c>
      <c r="F4950" t="s">
        <v>25833</v>
      </c>
      <c r="G4950" t="s">
        <v>25833</v>
      </c>
      <c r="H4950" t="s">
        <v>868</v>
      </c>
      <c r="I4950" t="s">
        <v>869</v>
      </c>
      <c r="J4950" t="str">
        <f>"9521209"</f>
        <v>9521209</v>
      </c>
      <c r="K4950">
        <v>2310764302</v>
      </c>
      <c r="L4950">
        <v>2310764302</v>
      </c>
      <c r="M4950" t="s">
        <v>29474</v>
      </c>
      <c r="N4950" t="s">
        <v>25833</v>
      </c>
      <c r="O4950" t="s">
        <v>29475</v>
      </c>
      <c r="P4950">
        <v>56224</v>
      </c>
      <c r="Q4950" t="str">
        <f>"40.673417"</f>
        <v>40.673417</v>
      </c>
      <c r="R4950" t="str">
        <f>"22.917252"</f>
        <v>22.917252</v>
      </c>
      <c r="S4950" t="s">
        <v>26</v>
      </c>
    </row>
    <row r="4951" spans="1:19" x14ac:dyDescent="0.3">
      <c r="A4951" t="s">
        <v>25190</v>
      </c>
      <c r="B4951" t="s">
        <v>28466</v>
      </c>
      <c r="C4951" t="s">
        <v>29517</v>
      </c>
      <c r="D4951" t="s">
        <v>25197</v>
      </c>
      <c r="E4951" t="s">
        <v>25966</v>
      </c>
      <c r="F4951" t="s">
        <v>25966</v>
      </c>
      <c r="G4951" t="s">
        <v>25966</v>
      </c>
      <c r="H4951" t="s">
        <v>868</v>
      </c>
      <c r="I4951" t="s">
        <v>869</v>
      </c>
      <c r="J4951" t="str">
        <f>"9521108"</f>
        <v>9521108</v>
      </c>
      <c r="K4951">
        <v>2310695322</v>
      </c>
      <c r="L4951">
        <v>2310695322</v>
      </c>
      <c r="M4951" t="s">
        <v>29518</v>
      </c>
      <c r="N4951" t="s">
        <v>26360</v>
      </c>
      <c r="O4951" t="s">
        <v>29510</v>
      </c>
      <c r="P4951">
        <v>57013</v>
      </c>
      <c r="Q4951" t="str">
        <f>"40.724259"</f>
        <v>40.724259</v>
      </c>
      <c r="R4951" t="str">
        <f>"22.916527"</f>
        <v>22.916527</v>
      </c>
      <c r="S4951" t="s">
        <v>26</v>
      </c>
    </row>
    <row r="4952" spans="1:19" x14ac:dyDescent="0.3">
      <c r="A4952" t="s">
        <v>25190</v>
      </c>
      <c r="B4952" t="s">
        <v>28466</v>
      </c>
      <c r="C4952" t="s">
        <v>26264</v>
      </c>
      <c r="D4952" t="s">
        <v>25197</v>
      </c>
      <c r="E4952" t="s">
        <v>25889</v>
      </c>
      <c r="F4952" t="s">
        <v>26080</v>
      </c>
      <c r="G4952" t="s">
        <v>26080</v>
      </c>
      <c r="H4952" t="s">
        <v>868</v>
      </c>
      <c r="I4952" t="s">
        <v>869</v>
      </c>
      <c r="J4952" t="str">
        <f>"9521343"</f>
        <v>9521343</v>
      </c>
      <c r="K4952">
        <v>2310672297</v>
      </c>
      <c r="L4952">
        <v>2310672297</v>
      </c>
      <c r="M4952" t="s">
        <v>29528</v>
      </c>
      <c r="N4952" t="s">
        <v>29529</v>
      </c>
      <c r="O4952" t="s">
        <v>28953</v>
      </c>
      <c r="P4952">
        <v>57010</v>
      </c>
      <c r="Q4952" t="str">
        <f>"40.657270"</f>
        <v>40.657270</v>
      </c>
      <c r="R4952" t="str">
        <f>"22.999066"</f>
        <v>22.999066</v>
      </c>
      <c r="S4952" t="s">
        <v>26</v>
      </c>
    </row>
    <row r="4953" spans="1:19" x14ac:dyDescent="0.3">
      <c r="A4953" t="s">
        <v>25190</v>
      </c>
      <c r="B4953" t="s">
        <v>28466</v>
      </c>
      <c r="C4953" t="s">
        <v>29530</v>
      </c>
      <c r="D4953" t="s">
        <v>25197</v>
      </c>
      <c r="E4953" t="s">
        <v>25966</v>
      </c>
      <c r="F4953" t="s">
        <v>25966</v>
      </c>
      <c r="G4953" t="s">
        <v>25966</v>
      </c>
      <c r="H4953" t="s">
        <v>868</v>
      </c>
      <c r="I4953" t="s">
        <v>869</v>
      </c>
      <c r="J4953" t="str">
        <f>"9521106"</f>
        <v>9521106</v>
      </c>
      <c r="K4953">
        <v>2310695171</v>
      </c>
      <c r="L4953">
        <v>2310695171</v>
      </c>
      <c r="M4953" t="s">
        <v>29531</v>
      </c>
      <c r="N4953" t="s">
        <v>13558</v>
      </c>
      <c r="O4953" t="s">
        <v>29087</v>
      </c>
      <c r="P4953">
        <v>57013</v>
      </c>
      <c r="Q4953" t="str">
        <f>"40.722133"</f>
        <v>40.722133</v>
      </c>
      <c r="R4953" t="str">
        <f>"22.905553"</f>
        <v>22.905553</v>
      </c>
      <c r="S4953" t="s">
        <v>26</v>
      </c>
    </row>
    <row r="4954" spans="1:19" x14ac:dyDescent="0.3">
      <c r="A4954" t="s">
        <v>25190</v>
      </c>
      <c r="B4954" t="s">
        <v>28466</v>
      </c>
      <c r="C4954" t="s">
        <v>25884</v>
      </c>
      <c r="D4954" t="s">
        <v>25197</v>
      </c>
      <c r="E4954" t="s">
        <v>25203</v>
      </c>
      <c r="F4954" t="s">
        <v>25878</v>
      </c>
      <c r="G4954" t="s">
        <v>25878</v>
      </c>
      <c r="H4954" t="s">
        <v>868</v>
      </c>
      <c r="I4954" t="s">
        <v>869</v>
      </c>
      <c r="J4954" t="str">
        <f>"9521104"</f>
        <v>9521104</v>
      </c>
      <c r="K4954">
        <v>2310808518</v>
      </c>
      <c r="M4954" t="s">
        <v>29532</v>
      </c>
      <c r="N4954" t="s">
        <v>26602</v>
      </c>
      <c r="O4954" t="s">
        <v>29533</v>
      </c>
      <c r="P4954">
        <v>56429</v>
      </c>
      <c r="Q4954" t="str">
        <f>"40.685447"</f>
        <v>40.685447</v>
      </c>
      <c r="R4954" t="str">
        <f>"22.954170"</f>
        <v>22.954170</v>
      </c>
      <c r="S4954" t="s">
        <v>26</v>
      </c>
    </row>
    <row r="4955" spans="1:19" x14ac:dyDescent="0.3">
      <c r="A4955" t="s">
        <v>25190</v>
      </c>
      <c r="B4955" t="s">
        <v>28466</v>
      </c>
      <c r="C4955" t="s">
        <v>26246</v>
      </c>
      <c r="D4955" t="s">
        <v>25197</v>
      </c>
      <c r="E4955" t="s">
        <v>25790</v>
      </c>
      <c r="F4955" t="s">
        <v>25851</v>
      </c>
      <c r="G4955" t="s">
        <v>26241</v>
      </c>
      <c r="H4955" t="s">
        <v>868</v>
      </c>
      <c r="I4955" t="s">
        <v>869</v>
      </c>
      <c r="J4955" t="str">
        <f>"9521099"</f>
        <v>9521099</v>
      </c>
      <c r="K4955">
        <v>2310781124</v>
      </c>
      <c r="M4955" t="s">
        <v>29534</v>
      </c>
      <c r="N4955" t="s">
        <v>29535</v>
      </c>
      <c r="O4955" t="s">
        <v>29536</v>
      </c>
      <c r="P4955">
        <v>57008</v>
      </c>
      <c r="Q4955" t="str">
        <f>"40.687812"</f>
        <v>40.687812</v>
      </c>
      <c r="R4955" t="str">
        <f>"22.857095"</f>
        <v>22.857095</v>
      </c>
      <c r="S4955" t="s">
        <v>26</v>
      </c>
    </row>
    <row r="4956" spans="1:19" x14ac:dyDescent="0.3">
      <c r="A4956" t="s">
        <v>25190</v>
      </c>
      <c r="B4956" t="s">
        <v>28466</v>
      </c>
      <c r="C4956" t="s">
        <v>29543</v>
      </c>
      <c r="D4956" t="s">
        <v>25197</v>
      </c>
      <c r="E4956" t="s">
        <v>25203</v>
      </c>
      <c r="F4956" t="s">
        <v>25878</v>
      </c>
      <c r="G4956" t="s">
        <v>25878</v>
      </c>
      <c r="H4956" t="s">
        <v>868</v>
      </c>
      <c r="I4956" t="s">
        <v>1157</v>
      </c>
      <c r="J4956" t="str">
        <f>"9521155"</f>
        <v>9521155</v>
      </c>
      <c r="K4956">
        <v>2313323836</v>
      </c>
      <c r="L4956">
        <v>2313323918</v>
      </c>
      <c r="M4956" t="s">
        <v>29544</v>
      </c>
      <c r="N4956" t="s">
        <v>25197</v>
      </c>
      <c r="O4956" t="s">
        <v>26602</v>
      </c>
      <c r="P4956">
        <v>56403</v>
      </c>
      <c r="Q4956" t="str">
        <f>"40.729275"</f>
        <v>40.729275</v>
      </c>
      <c r="R4956" t="str">
        <f>"22.923090"</f>
        <v>22.923090</v>
      </c>
      <c r="S4956" t="s">
        <v>26</v>
      </c>
    </row>
    <row r="4957" spans="1:19" x14ac:dyDescent="0.3">
      <c r="A4957" t="s">
        <v>25190</v>
      </c>
      <c r="B4957" t="s">
        <v>28466</v>
      </c>
      <c r="C4957" t="s">
        <v>29551</v>
      </c>
      <c r="D4957" t="s">
        <v>25197</v>
      </c>
      <c r="E4957" t="s">
        <v>25826</v>
      </c>
      <c r="F4957" t="s">
        <v>25833</v>
      </c>
      <c r="G4957" t="s">
        <v>25833</v>
      </c>
      <c r="H4957" t="s">
        <v>868</v>
      </c>
      <c r="I4957" t="s">
        <v>869</v>
      </c>
      <c r="J4957" t="str">
        <f>"9521405"</f>
        <v>9521405</v>
      </c>
      <c r="K4957">
        <v>2310689189</v>
      </c>
      <c r="L4957">
        <v>2310689189</v>
      </c>
      <c r="M4957" t="s">
        <v>29552</v>
      </c>
      <c r="N4957" t="s">
        <v>25833</v>
      </c>
      <c r="O4957" t="s">
        <v>29553</v>
      </c>
      <c r="P4957">
        <v>56224</v>
      </c>
      <c r="Q4957" t="str">
        <f>"40.680413"</f>
        <v>40.680413</v>
      </c>
      <c r="R4957" t="str">
        <f>"22.919249"</f>
        <v>22.919249</v>
      </c>
      <c r="S4957" t="s">
        <v>26</v>
      </c>
    </row>
    <row r="4958" spans="1:19" x14ac:dyDescent="0.3">
      <c r="A4958" t="s">
        <v>25190</v>
      </c>
      <c r="B4958" t="s">
        <v>28466</v>
      </c>
      <c r="C4958" t="s">
        <v>29563</v>
      </c>
      <c r="D4958" t="s">
        <v>25197</v>
      </c>
      <c r="E4958" t="s">
        <v>25203</v>
      </c>
      <c r="F4958" t="s">
        <v>595</v>
      </c>
      <c r="G4958" t="s">
        <v>595</v>
      </c>
      <c r="H4958" t="s">
        <v>868</v>
      </c>
      <c r="I4958" t="s">
        <v>869</v>
      </c>
      <c r="J4958" t="str">
        <f>"9521340"</f>
        <v>9521340</v>
      </c>
      <c r="K4958">
        <v>2310690345</v>
      </c>
      <c r="L4958">
        <v>2310685255</v>
      </c>
      <c r="M4958" t="s">
        <v>29564</v>
      </c>
      <c r="N4958" t="s">
        <v>2473</v>
      </c>
      <c r="O4958" t="s">
        <v>29565</v>
      </c>
      <c r="P4958">
        <v>56430</v>
      </c>
      <c r="Q4958" t="str">
        <f>"40.682758"</f>
        <v>40.682758</v>
      </c>
      <c r="R4958" t="str">
        <f>"22.933679"</f>
        <v>22.933679</v>
      </c>
      <c r="S4958" t="s">
        <v>26</v>
      </c>
    </row>
    <row r="4959" spans="1:19" x14ac:dyDescent="0.3">
      <c r="A4959" t="s">
        <v>25190</v>
      </c>
      <c r="B4959" t="s">
        <v>28466</v>
      </c>
      <c r="C4959" t="s">
        <v>29578</v>
      </c>
      <c r="D4959" t="s">
        <v>25197</v>
      </c>
      <c r="E4959" t="s">
        <v>25889</v>
      </c>
      <c r="F4959" t="s">
        <v>25890</v>
      </c>
      <c r="G4959" t="s">
        <v>25890</v>
      </c>
      <c r="H4959" t="s">
        <v>868</v>
      </c>
      <c r="I4959" t="s">
        <v>869</v>
      </c>
      <c r="J4959" t="str">
        <f>"9190065"</f>
        <v>9190065</v>
      </c>
      <c r="K4959">
        <v>2310613381</v>
      </c>
      <c r="L4959">
        <v>2310613381</v>
      </c>
      <c r="M4959" t="s">
        <v>29579</v>
      </c>
      <c r="N4959" t="s">
        <v>613</v>
      </c>
      <c r="O4959" t="s">
        <v>29580</v>
      </c>
      <c r="P4959">
        <v>56728</v>
      </c>
      <c r="Q4959" t="str">
        <f>"40.651882"</f>
        <v>40.651882</v>
      </c>
      <c r="R4959" t="str">
        <f>"22.947121"</f>
        <v>22.947121</v>
      </c>
      <c r="S4959" t="s">
        <v>26</v>
      </c>
    </row>
    <row r="4960" spans="1:19" x14ac:dyDescent="0.3">
      <c r="A4960" t="s">
        <v>25190</v>
      </c>
      <c r="B4960" t="s">
        <v>28466</v>
      </c>
      <c r="C4960" t="s">
        <v>29587</v>
      </c>
      <c r="D4960" t="s">
        <v>25197</v>
      </c>
      <c r="E4960" t="s">
        <v>13689</v>
      </c>
      <c r="F4960" t="s">
        <v>25808</v>
      </c>
      <c r="G4960" t="s">
        <v>14541</v>
      </c>
      <c r="H4960" t="s">
        <v>868</v>
      </c>
      <c r="I4960" t="s">
        <v>869</v>
      </c>
      <c r="J4960" t="str">
        <f>"9190379"</f>
        <v>9190379</v>
      </c>
      <c r="K4960">
        <v>2394051218</v>
      </c>
      <c r="M4960" t="s">
        <v>29588</v>
      </c>
      <c r="N4960" t="s">
        <v>29589</v>
      </c>
      <c r="P4960">
        <v>57200</v>
      </c>
      <c r="Q4960" t="str">
        <f>"40.664768"</f>
        <v>40.664768</v>
      </c>
      <c r="R4960" t="str">
        <f>"23.114593"</f>
        <v>23.114593</v>
      </c>
      <c r="S4960" t="s">
        <v>26</v>
      </c>
    </row>
    <row r="4961" spans="1:19" x14ac:dyDescent="0.3">
      <c r="A4961" t="s">
        <v>25190</v>
      </c>
      <c r="B4961" t="s">
        <v>28466</v>
      </c>
      <c r="C4961" t="s">
        <v>29593</v>
      </c>
      <c r="D4961" t="s">
        <v>25197</v>
      </c>
      <c r="E4961" t="s">
        <v>13689</v>
      </c>
      <c r="F4961" t="s">
        <v>25845</v>
      </c>
      <c r="G4961" t="s">
        <v>4044</v>
      </c>
      <c r="H4961" t="s">
        <v>868</v>
      </c>
      <c r="I4961" t="s">
        <v>869</v>
      </c>
      <c r="J4961" t="str">
        <f>"9190237"</f>
        <v>9190237</v>
      </c>
      <c r="K4961">
        <v>2395051216</v>
      </c>
      <c r="L4961">
        <v>2395051803</v>
      </c>
      <c r="M4961" t="s">
        <v>29594</v>
      </c>
      <c r="O4961" t="s">
        <v>8447</v>
      </c>
      <c r="P4961">
        <v>57002</v>
      </c>
      <c r="Q4961" t="str">
        <f>"40.815726"</f>
        <v>40.815726</v>
      </c>
      <c r="R4961" t="str">
        <f>"23.281065"</f>
        <v>23.281065</v>
      </c>
      <c r="S4961" t="s">
        <v>26</v>
      </c>
    </row>
    <row r="4962" spans="1:19" x14ac:dyDescent="0.3">
      <c r="A4962" t="s">
        <v>25190</v>
      </c>
      <c r="B4962" t="s">
        <v>28466</v>
      </c>
      <c r="C4962" t="s">
        <v>29595</v>
      </c>
      <c r="D4962" t="s">
        <v>25197</v>
      </c>
      <c r="E4962" t="s">
        <v>25966</v>
      </c>
      <c r="F4962" t="s">
        <v>25966</v>
      </c>
      <c r="G4962" t="s">
        <v>25966</v>
      </c>
      <c r="H4962" t="s">
        <v>868</v>
      </c>
      <c r="I4962" t="s">
        <v>869</v>
      </c>
      <c r="J4962" t="str">
        <f>"9521110"</f>
        <v>9521110</v>
      </c>
      <c r="N4962" t="s">
        <v>25966</v>
      </c>
      <c r="O4962" t="s">
        <v>26360</v>
      </c>
      <c r="P4962">
        <v>0</v>
      </c>
      <c r="Q4962" t="str">
        <f>""</f>
        <v/>
      </c>
      <c r="R4962" t="str">
        <f>""</f>
        <v/>
      </c>
      <c r="S4962" t="s">
        <v>26</v>
      </c>
    </row>
    <row r="4963" spans="1:19" x14ac:dyDescent="0.3">
      <c r="A4963" t="s">
        <v>25190</v>
      </c>
      <c r="B4963" t="s">
        <v>28466</v>
      </c>
      <c r="C4963" t="s">
        <v>26391</v>
      </c>
      <c r="D4963" t="s">
        <v>25197</v>
      </c>
      <c r="E4963" t="s">
        <v>25966</v>
      </c>
      <c r="F4963" t="s">
        <v>25966</v>
      </c>
      <c r="G4963" t="s">
        <v>25966</v>
      </c>
      <c r="H4963" t="s">
        <v>868</v>
      </c>
      <c r="I4963" t="s">
        <v>869</v>
      </c>
      <c r="J4963" t="str">
        <f>"9521109"</f>
        <v>9521109</v>
      </c>
      <c r="K4963">
        <v>2394032966</v>
      </c>
      <c r="L4963">
        <v>2394032966</v>
      </c>
      <c r="M4963" t="s">
        <v>29596</v>
      </c>
      <c r="N4963" t="s">
        <v>22437</v>
      </c>
      <c r="O4963" t="s">
        <v>22437</v>
      </c>
      <c r="P4963">
        <v>57018</v>
      </c>
      <c r="Q4963" t="str">
        <f>"40.760729"</f>
        <v>40.760729</v>
      </c>
      <c r="R4963" t="str">
        <f>"22.949824"</f>
        <v>22.949824</v>
      </c>
      <c r="S4963" t="s">
        <v>26</v>
      </c>
    </row>
    <row r="4964" spans="1:19" x14ac:dyDescent="0.3">
      <c r="A4964" t="s">
        <v>25190</v>
      </c>
      <c r="B4964" t="s">
        <v>28466</v>
      </c>
      <c r="C4964" t="s">
        <v>29597</v>
      </c>
      <c r="D4964" t="s">
        <v>25197</v>
      </c>
      <c r="E4964" t="s">
        <v>25815</v>
      </c>
      <c r="F4964" t="s">
        <v>60</v>
      </c>
      <c r="G4964" t="s">
        <v>60</v>
      </c>
      <c r="H4964" t="s">
        <v>868</v>
      </c>
      <c r="I4964" t="s">
        <v>1157</v>
      </c>
      <c r="J4964" t="str">
        <f>"9521384"</f>
        <v>9521384</v>
      </c>
      <c r="K4964">
        <v>2310702138</v>
      </c>
      <c r="M4964" t="s">
        <v>29598</v>
      </c>
      <c r="N4964" t="s">
        <v>25957</v>
      </c>
      <c r="O4964" t="s">
        <v>29599</v>
      </c>
      <c r="P4964">
        <v>57003</v>
      </c>
      <c r="Q4964" t="str">
        <f>"40.716356"</f>
        <v>40.716356</v>
      </c>
      <c r="R4964" t="str">
        <f>"22.737620"</f>
        <v>22.737620</v>
      </c>
      <c r="S4964" t="s">
        <v>26</v>
      </c>
    </row>
    <row r="4965" spans="1:19" x14ac:dyDescent="0.3">
      <c r="A4965" t="s">
        <v>25190</v>
      </c>
      <c r="B4965" t="s">
        <v>28466</v>
      </c>
      <c r="C4965" t="s">
        <v>29600</v>
      </c>
      <c r="D4965" t="s">
        <v>25197</v>
      </c>
      <c r="E4965" t="s">
        <v>25790</v>
      </c>
      <c r="F4965" t="s">
        <v>25851</v>
      </c>
      <c r="G4965" t="s">
        <v>26312</v>
      </c>
      <c r="H4965" t="s">
        <v>868</v>
      </c>
      <c r="I4965" t="s">
        <v>869</v>
      </c>
      <c r="J4965" t="str">
        <f>"9521100"</f>
        <v>9521100</v>
      </c>
      <c r="K4965">
        <v>2311243736</v>
      </c>
      <c r="M4965" t="s">
        <v>29601</v>
      </c>
      <c r="N4965" t="s">
        <v>29141</v>
      </c>
      <c r="O4965" t="s">
        <v>29602</v>
      </c>
      <c r="P4965">
        <v>57008</v>
      </c>
      <c r="Q4965" t="str">
        <f>"40.685467"</f>
        <v>40.685467</v>
      </c>
      <c r="R4965" t="str">
        <f>"22.849958"</f>
        <v>22.849958</v>
      </c>
      <c r="S4965" t="s">
        <v>26</v>
      </c>
    </row>
    <row r="4966" spans="1:19" x14ac:dyDescent="0.3">
      <c r="A4966" t="s">
        <v>25190</v>
      </c>
      <c r="B4966" t="s">
        <v>28466</v>
      </c>
      <c r="C4966" t="s">
        <v>29603</v>
      </c>
      <c r="D4966" t="s">
        <v>25197</v>
      </c>
      <c r="E4966" t="s">
        <v>25790</v>
      </c>
      <c r="F4966" t="s">
        <v>25851</v>
      </c>
      <c r="G4966" t="s">
        <v>25852</v>
      </c>
      <c r="H4966" t="s">
        <v>868</v>
      </c>
      <c r="I4966" t="s">
        <v>869</v>
      </c>
      <c r="J4966" t="str">
        <f>"9190920"</f>
        <v>9190920</v>
      </c>
      <c r="N4966" t="s">
        <v>25852</v>
      </c>
      <c r="O4966" t="s">
        <v>25855</v>
      </c>
      <c r="P4966">
        <v>57400</v>
      </c>
      <c r="Q4966" t="str">
        <f>""</f>
        <v/>
      </c>
      <c r="R4966" t="str">
        <f>""</f>
        <v/>
      </c>
      <c r="S4966" t="s">
        <v>26</v>
      </c>
    </row>
    <row r="4967" spans="1:19" x14ac:dyDescent="0.3">
      <c r="A4967" t="s">
        <v>25190</v>
      </c>
      <c r="B4967" t="s">
        <v>28466</v>
      </c>
      <c r="C4967" t="s">
        <v>29608</v>
      </c>
      <c r="D4967" t="s">
        <v>25197</v>
      </c>
      <c r="E4967" t="s">
        <v>25815</v>
      </c>
      <c r="F4967" t="s">
        <v>25864</v>
      </c>
      <c r="G4967" t="s">
        <v>26044</v>
      </c>
      <c r="H4967" t="s">
        <v>868</v>
      </c>
      <c r="I4967" t="s">
        <v>950</v>
      </c>
      <c r="J4967" t="str">
        <f>"9190326"</f>
        <v>9190326</v>
      </c>
      <c r="K4967">
        <v>2310711501</v>
      </c>
      <c r="L4967">
        <v>2310711501</v>
      </c>
      <c r="M4967" t="s">
        <v>29609</v>
      </c>
      <c r="N4967" t="s">
        <v>1698</v>
      </c>
      <c r="O4967" t="s">
        <v>1698</v>
      </c>
      <c r="P4967">
        <v>57011</v>
      </c>
      <c r="Q4967" t="str">
        <f>"40.837880"</f>
        <v>40.837880</v>
      </c>
      <c r="R4967" t="str">
        <f>"22.652882"</f>
        <v>22.652882</v>
      </c>
      <c r="S4967" t="s">
        <v>26</v>
      </c>
    </row>
    <row r="4968" spans="1:19" x14ac:dyDescent="0.3">
      <c r="A4968" t="s">
        <v>25190</v>
      </c>
      <c r="B4968" t="s">
        <v>28466</v>
      </c>
      <c r="C4968" t="s">
        <v>29636</v>
      </c>
      <c r="D4968" t="s">
        <v>25197</v>
      </c>
      <c r="E4968" t="s">
        <v>25203</v>
      </c>
      <c r="F4968" t="s">
        <v>25878</v>
      </c>
      <c r="G4968" t="s">
        <v>25878</v>
      </c>
      <c r="H4968" t="s">
        <v>868</v>
      </c>
      <c r="I4968" t="s">
        <v>869</v>
      </c>
      <c r="J4968" t="str">
        <f>"9521662"</f>
        <v>9521662</v>
      </c>
      <c r="N4968" t="s">
        <v>25878</v>
      </c>
      <c r="O4968" t="s">
        <v>8872</v>
      </c>
      <c r="P4968">
        <v>0</v>
      </c>
      <c r="Q4968" t="str">
        <f>""</f>
        <v/>
      </c>
      <c r="R4968" t="str">
        <f>""</f>
        <v/>
      </c>
      <c r="S4968" t="s">
        <v>26</v>
      </c>
    </row>
    <row r="4969" spans="1:19" x14ac:dyDescent="0.3">
      <c r="A4969" t="s">
        <v>25190</v>
      </c>
      <c r="B4969" t="s">
        <v>28466</v>
      </c>
      <c r="C4969" t="s">
        <v>29637</v>
      </c>
      <c r="D4969" t="s">
        <v>25197</v>
      </c>
      <c r="E4969" t="s">
        <v>25203</v>
      </c>
      <c r="F4969" t="s">
        <v>595</v>
      </c>
      <c r="G4969" t="s">
        <v>595</v>
      </c>
      <c r="H4969" t="s">
        <v>868</v>
      </c>
      <c r="I4969" t="s">
        <v>869</v>
      </c>
      <c r="J4969" t="str">
        <f>"9521413"</f>
        <v>9521413</v>
      </c>
      <c r="N4969" t="s">
        <v>2473</v>
      </c>
      <c r="O4969">
        <v>0</v>
      </c>
      <c r="P4969">
        <v>0</v>
      </c>
      <c r="Q4969" t="str">
        <f>""</f>
        <v/>
      </c>
      <c r="R4969" t="str">
        <f>""</f>
        <v/>
      </c>
      <c r="S4969" t="s">
        <v>26</v>
      </c>
    </row>
    <row r="4970" spans="1:19" x14ac:dyDescent="0.3">
      <c r="A4970" t="s">
        <v>25190</v>
      </c>
      <c r="B4970" t="s">
        <v>28466</v>
      </c>
      <c r="C4970" t="s">
        <v>29638</v>
      </c>
      <c r="D4970" t="s">
        <v>25197</v>
      </c>
      <c r="E4970" t="s">
        <v>13689</v>
      </c>
      <c r="F4970" t="s">
        <v>13689</v>
      </c>
      <c r="G4970" t="s">
        <v>13689</v>
      </c>
      <c r="H4970" t="s">
        <v>868</v>
      </c>
      <c r="I4970" t="s">
        <v>1157</v>
      </c>
      <c r="J4970" t="str">
        <f>"9521699"</f>
        <v>9521699</v>
      </c>
      <c r="K4970">
        <v>2395026088</v>
      </c>
      <c r="L4970">
        <v>2395026088</v>
      </c>
      <c r="M4970" t="s">
        <v>29639</v>
      </c>
      <c r="N4970" t="s">
        <v>13686</v>
      </c>
      <c r="O4970" t="s">
        <v>29640</v>
      </c>
      <c r="P4970">
        <v>57002</v>
      </c>
      <c r="Q4970" t="str">
        <f>"40.773667"</f>
        <v>40.773667</v>
      </c>
      <c r="R4970" t="str">
        <f>"23.224430"</f>
        <v>23.224430</v>
      </c>
      <c r="S4970" t="s">
        <v>26</v>
      </c>
    </row>
    <row r="4971" spans="1:19" x14ac:dyDescent="0.3">
      <c r="A4971" t="s">
        <v>25190</v>
      </c>
      <c r="B4971" t="s">
        <v>28466</v>
      </c>
      <c r="C4971" t="s">
        <v>29654</v>
      </c>
      <c r="D4971" t="s">
        <v>25197</v>
      </c>
      <c r="E4971" t="s">
        <v>25826</v>
      </c>
      <c r="F4971" t="s">
        <v>25833</v>
      </c>
      <c r="G4971" t="s">
        <v>25833</v>
      </c>
      <c r="H4971" t="s">
        <v>868</v>
      </c>
      <c r="I4971" t="s">
        <v>869</v>
      </c>
      <c r="J4971" t="str">
        <f>"9192000"</f>
        <v>9192000</v>
      </c>
      <c r="Q4971" t="str">
        <f>""</f>
        <v/>
      </c>
      <c r="R4971" t="str">
        <f>""</f>
        <v/>
      </c>
      <c r="S4971" t="s">
        <v>26</v>
      </c>
    </row>
    <row r="4972" spans="1:19" x14ac:dyDescent="0.3">
      <c r="A4972" t="s">
        <v>25190</v>
      </c>
      <c r="B4972" t="s">
        <v>28466</v>
      </c>
      <c r="C4972" t="s">
        <v>29655</v>
      </c>
      <c r="D4972" t="s">
        <v>25197</v>
      </c>
      <c r="E4972" t="s">
        <v>25203</v>
      </c>
      <c r="F4972" t="s">
        <v>25784</v>
      </c>
      <c r="G4972" t="s">
        <v>25784</v>
      </c>
      <c r="H4972" t="s">
        <v>868</v>
      </c>
      <c r="I4972" t="s">
        <v>869</v>
      </c>
      <c r="J4972" t="str">
        <f>"9192002"</f>
        <v>9192002</v>
      </c>
      <c r="Q4972" t="str">
        <f>""</f>
        <v/>
      </c>
      <c r="R4972" t="str">
        <f>""</f>
        <v/>
      </c>
      <c r="S4972" t="s">
        <v>26</v>
      </c>
    </row>
    <row r="4973" spans="1:19" x14ac:dyDescent="0.3">
      <c r="A4973" t="s">
        <v>25190</v>
      </c>
      <c r="B4973" t="s">
        <v>28466</v>
      </c>
      <c r="C4973" t="s">
        <v>29656</v>
      </c>
      <c r="D4973" t="s">
        <v>25197</v>
      </c>
      <c r="E4973" t="s">
        <v>25966</v>
      </c>
      <c r="F4973" t="s">
        <v>25966</v>
      </c>
      <c r="G4973" t="s">
        <v>25966</v>
      </c>
      <c r="H4973" t="s">
        <v>868</v>
      </c>
      <c r="I4973" t="s">
        <v>869</v>
      </c>
      <c r="J4973" t="str">
        <f>"9192004"</f>
        <v>9192004</v>
      </c>
      <c r="Q4973" t="str">
        <f>""</f>
        <v/>
      </c>
      <c r="R4973" t="str">
        <f>""</f>
        <v/>
      </c>
      <c r="S4973" t="s">
        <v>26</v>
      </c>
    </row>
    <row r="4974" spans="1:19" x14ac:dyDescent="0.3">
      <c r="A4974" t="s">
        <v>25190</v>
      </c>
      <c r="B4974" t="s">
        <v>29658</v>
      </c>
      <c r="C4974" t="s">
        <v>26545</v>
      </c>
      <c r="D4974" t="s">
        <v>25191</v>
      </c>
      <c r="E4974" t="s">
        <v>26403</v>
      </c>
      <c r="F4974" t="s">
        <v>26403</v>
      </c>
      <c r="G4974" t="s">
        <v>26404</v>
      </c>
      <c r="H4974" t="s">
        <v>868</v>
      </c>
      <c r="I4974" t="s">
        <v>869</v>
      </c>
      <c r="J4974" t="str">
        <f>"9160079"</f>
        <v>9160079</v>
      </c>
      <c r="K4974">
        <v>2332022432</v>
      </c>
      <c r="L4974">
        <v>2332022349</v>
      </c>
      <c r="M4974" t="s">
        <v>29672</v>
      </c>
      <c r="N4974" t="s">
        <v>26407</v>
      </c>
      <c r="O4974" t="s">
        <v>29673</v>
      </c>
      <c r="P4974">
        <v>59200</v>
      </c>
      <c r="Q4974" t="str">
        <f>"40.631448"</f>
        <v>40.631448</v>
      </c>
      <c r="R4974" t="str">
        <f>"22.070007"</f>
        <v>22.070007</v>
      </c>
      <c r="S4974" t="s">
        <v>26</v>
      </c>
    </row>
    <row r="4975" spans="1:19" x14ac:dyDescent="0.3">
      <c r="A4975" t="s">
        <v>25190</v>
      </c>
      <c r="B4975" t="s">
        <v>29658</v>
      </c>
      <c r="C4975" t="s">
        <v>29679</v>
      </c>
      <c r="D4975" t="s">
        <v>25191</v>
      </c>
      <c r="E4975" t="s">
        <v>25192</v>
      </c>
      <c r="F4975" t="s">
        <v>25192</v>
      </c>
      <c r="G4975" t="s">
        <v>25192</v>
      </c>
      <c r="H4975" t="s">
        <v>868</v>
      </c>
      <c r="I4975" t="s">
        <v>1157</v>
      </c>
      <c r="J4975" t="str">
        <f>"9160228"</f>
        <v>9160228</v>
      </c>
      <c r="K4975">
        <v>2331067780</v>
      </c>
      <c r="L4975">
        <v>2331067780</v>
      </c>
      <c r="M4975" t="s">
        <v>29680</v>
      </c>
      <c r="N4975" t="s">
        <v>25195</v>
      </c>
      <c r="O4975" t="s">
        <v>29681</v>
      </c>
      <c r="P4975">
        <v>59131</v>
      </c>
      <c r="Q4975" t="str">
        <f>"40.529336"</f>
        <v>40.529336</v>
      </c>
      <c r="R4975" t="str">
        <f>"22.197546"</f>
        <v>22.197546</v>
      </c>
      <c r="S4975" t="s">
        <v>26</v>
      </c>
    </row>
    <row r="4976" spans="1:19" x14ac:dyDescent="0.3">
      <c r="A4976" t="s">
        <v>25190</v>
      </c>
      <c r="B4976" t="s">
        <v>29658</v>
      </c>
      <c r="C4976" t="s">
        <v>29690</v>
      </c>
      <c r="D4976" t="s">
        <v>25191</v>
      </c>
      <c r="E4976" t="s">
        <v>26403</v>
      </c>
      <c r="F4976" t="s">
        <v>26403</v>
      </c>
      <c r="G4976" t="s">
        <v>26404</v>
      </c>
      <c r="H4976" t="s">
        <v>868</v>
      </c>
      <c r="I4976" t="s">
        <v>869</v>
      </c>
      <c r="J4976" t="str">
        <f>"9160225"</f>
        <v>9160225</v>
      </c>
      <c r="K4976">
        <v>2332026215</v>
      </c>
      <c r="L4976">
        <v>2332026215</v>
      </c>
      <c r="M4976" t="s">
        <v>29691</v>
      </c>
      <c r="N4976" t="s">
        <v>26407</v>
      </c>
      <c r="O4976" t="s">
        <v>29692</v>
      </c>
      <c r="P4976">
        <v>59200</v>
      </c>
      <c r="Q4976" t="str">
        <f>"40.629441"</f>
        <v>40.629441</v>
      </c>
      <c r="R4976" t="str">
        <f>"22.068855"</f>
        <v>22.068855</v>
      </c>
      <c r="S4976" t="s">
        <v>26</v>
      </c>
    </row>
    <row r="4977" spans="1:19" x14ac:dyDescent="0.3">
      <c r="A4977" t="s">
        <v>25190</v>
      </c>
      <c r="B4977" t="s">
        <v>29658</v>
      </c>
      <c r="C4977" t="s">
        <v>29696</v>
      </c>
      <c r="D4977" t="s">
        <v>25191</v>
      </c>
      <c r="E4977" t="s">
        <v>26403</v>
      </c>
      <c r="F4977" t="s">
        <v>26403</v>
      </c>
      <c r="G4977" t="s">
        <v>26404</v>
      </c>
      <c r="H4977" t="s">
        <v>868</v>
      </c>
      <c r="I4977" t="s">
        <v>869</v>
      </c>
      <c r="J4977" t="str">
        <f>"9160084"</f>
        <v>9160084</v>
      </c>
      <c r="K4977">
        <v>2332028009</v>
      </c>
      <c r="L4977">
        <v>2332028009</v>
      </c>
      <c r="M4977" t="s">
        <v>29697</v>
      </c>
      <c r="N4977" t="s">
        <v>26407</v>
      </c>
      <c r="O4977" t="s">
        <v>29698</v>
      </c>
      <c r="P4977">
        <v>59200</v>
      </c>
      <c r="Q4977" t="str">
        <f>"40.625245"</f>
        <v>40.625245</v>
      </c>
      <c r="R4977" t="str">
        <f>"22.067273"</f>
        <v>22.067273</v>
      </c>
      <c r="S4977" t="s">
        <v>26</v>
      </c>
    </row>
    <row r="4978" spans="1:19" x14ac:dyDescent="0.3">
      <c r="A4978" t="s">
        <v>25190</v>
      </c>
      <c r="B4978" t="s">
        <v>29658</v>
      </c>
      <c r="C4978" t="s">
        <v>29868</v>
      </c>
      <c r="D4978" t="s">
        <v>25191</v>
      </c>
      <c r="E4978" t="s">
        <v>25192</v>
      </c>
      <c r="F4978" t="s">
        <v>25192</v>
      </c>
      <c r="G4978" t="s">
        <v>25192</v>
      </c>
      <c r="H4978" t="s">
        <v>868</v>
      </c>
      <c r="I4978" t="s">
        <v>869</v>
      </c>
      <c r="J4978" t="str">
        <f>"9160126"</f>
        <v>9160126</v>
      </c>
      <c r="K4978">
        <v>2331063904</v>
      </c>
      <c r="L4978">
        <v>2331063904</v>
      </c>
      <c r="M4978" t="s">
        <v>29869</v>
      </c>
      <c r="N4978" t="s">
        <v>25195</v>
      </c>
      <c r="O4978" t="s">
        <v>29870</v>
      </c>
      <c r="P4978">
        <v>59131</v>
      </c>
      <c r="Q4978" t="str">
        <f>"40.528201"</f>
        <v>40.528201</v>
      </c>
      <c r="R4978" t="str">
        <f>"22.203952"</f>
        <v>22.203952</v>
      </c>
      <c r="S4978" t="s">
        <v>26</v>
      </c>
    </row>
    <row r="4979" spans="1:19" x14ac:dyDescent="0.3">
      <c r="A4979" t="s">
        <v>25190</v>
      </c>
      <c r="B4979" t="s">
        <v>29658</v>
      </c>
      <c r="C4979" t="s">
        <v>26409</v>
      </c>
      <c r="D4979" t="s">
        <v>25191</v>
      </c>
      <c r="E4979" t="s">
        <v>26403</v>
      </c>
      <c r="F4979" t="s">
        <v>26403</v>
      </c>
      <c r="G4979" t="s">
        <v>26404</v>
      </c>
      <c r="H4979" t="s">
        <v>868</v>
      </c>
      <c r="I4979" t="s">
        <v>869</v>
      </c>
      <c r="J4979" t="str">
        <f>"9160081"</f>
        <v>9160081</v>
      </c>
      <c r="K4979">
        <v>2332022766</v>
      </c>
      <c r="L4979">
        <v>2332022766</v>
      </c>
      <c r="M4979" t="s">
        <v>29874</v>
      </c>
      <c r="N4979" t="s">
        <v>26407</v>
      </c>
      <c r="O4979" t="s">
        <v>29875</v>
      </c>
      <c r="P4979">
        <v>59200</v>
      </c>
      <c r="Q4979" t="str">
        <f>"40.631368"</f>
        <v>40.631368</v>
      </c>
      <c r="R4979" t="str">
        <f>"22.065455"</f>
        <v>22.065455</v>
      </c>
      <c r="S4979" t="s">
        <v>26</v>
      </c>
    </row>
    <row r="4980" spans="1:19" x14ac:dyDescent="0.3">
      <c r="A4980" t="s">
        <v>25190</v>
      </c>
      <c r="B4980" t="s">
        <v>29658</v>
      </c>
      <c r="C4980" t="s">
        <v>26561</v>
      </c>
      <c r="D4980" t="s">
        <v>25191</v>
      </c>
      <c r="E4980" t="s">
        <v>25192</v>
      </c>
      <c r="F4980" t="s">
        <v>25192</v>
      </c>
      <c r="G4980" t="s">
        <v>25192</v>
      </c>
      <c r="H4980" t="s">
        <v>868</v>
      </c>
      <c r="I4980" t="s">
        <v>869</v>
      </c>
      <c r="J4980" t="str">
        <f>"9160067"</f>
        <v>9160067</v>
      </c>
      <c r="K4980">
        <v>2331022038</v>
      </c>
      <c r="L4980">
        <v>2331022038</v>
      </c>
      <c r="M4980" t="s">
        <v>29879</v>
      </c>
      <c r="N4980" t="s">
        <v>25195</v>
      </c>
      <c r="O4980" t="s">
        <v>29830</v>
      </c>
      <c r="P4980">
        <v>59100</v>
      </c>
      <c r="Q4980" t="str">
        <f>"40.523139"</f>
        <v>40.523139</v>
      </c>
      <c r="R4980" t="str">
        <f>"22.197489"</f>
        <v>22.197489</v>
      </c>
      <c r="S4980" t="s">
        <v>26</v>
      </c>
    </row>
    <row r="4981" spans="1:19" x14ac:dyDescent="0.3">
      <c r="A4981" t="s">
        <v>25190</v>
      </c>
      <c r="B4981" t="s">
        <v>29658</v>
      </c>
      <c r="C4981" t="s">
        <v>26413</v>
      </c>
      <c r="D4981" t="s">
        <v>25191</v>
      </c>
      <c r="E4981" t="s">
        <v>26403</v>
      </c>
      <c r="F4981" t="s">
        <v>26403</v>
      </c>
      <c r="G4981" t="s">
        <v>26404</v>
      </c>
      <c r="H4981" t="s">
        <v>868</v>
      </c>
      <c r="I4981" t="s">
        <v>869</v>
      </c>
      <c r="J4981" t="str">
        <f>"9520833"</f>
        <v>9520833</v>
      </c>
      <c r="K4981">
        <v>2332021822</v>
      </c>
      <c r="L4981">
        <v>2332021822</v>
      </c>
      <c r="M4981" t="s">
        <v>29880</v>
      </c>
      <c r="N4981" t="s">
        <v>26407</v>
      </c>
      <c r="O4981" t="s">
        <v>29881</v>
      </c>
      <c r="P4981">
        <v>59200</v>
      </c>
      <c r="Q4981" t="str">
        <f>"40.623241"</f>
        <v>40.623241</v>
      </c>
      <c r="R4981" t="str">
        <f>"22.069435"</f>
        <v>22.069435</v>
      </c>
      <c r="S4981" t="s">
        <v>26</v>
      </c>
    </row>
    <row r="4982" spans="1:19" x14ac:dyDescent="0.3">
      <c r="A4982" t="s">
        <v>25190</v>
      </c>
      <c r="B4982" t="s">
        <v>29658</v>
      </c>
      <c r="C4982" t="s">
        <v>26434</v>
      </c>
      <c r="D4982" t="s">
        <v>25191</v>
      </c>
      <c r="E4982" t="s">
        <v>25192</v>
      </c>
      <c r="F4982" t="s">
        <v>25192</v>
      </c>
      <c r="G4982" t="s">
        <v>25192</v>
      </c>
      <c r="H4982" t="s">
        <v>868</v>
      </c>
      <c r="I4982" t="s">
        <v>869</v>
      </c>
      <c r="J4982" t="str">
        <f>"9160183"</f>
        <v>9160183</v>
      </c>
      <c r="K4982">
        <v>2331025788</v>
      </c>
      <c r="L4982">
        <v>2331025788</v>
      </c>
      <c r="M4982" t="s">
        <v>29882</v>
      </c>
      <c r="N4982" t="s">
        <v>25195</v>
      </c>
      <c r="O4982" t="s">
        <v>29827</v>
      </c>
      <c r="P4982">
        <v>59131</v>
      </c>
      <c r="Q4982" t="str">
        <f>"40.532941"</f>
        <v>40.532941</v>
      </c>
      <c r="R4982" t="str">
        <f>"22.203011"</f>
        <v>22.203011</v>
      </c>
      <c r="S4982" t="s">
        <v>26</v>
      </c>
    </row>
    <row r="4983" spans="1:19" x14ac:dyDescent="0.3">
      <c r="A4983" t="s">
        <v>25190</v>
      </c>
      <c r="B4983" t="s">
        <v>29658</v>
      </c>
      <c r="C4983" t="s">
        <v>29932</v>
      </c>
      <c r="D4983" t="s">
        <v>25191</v>
      </c>
      <c r="E4983" t="s">
        <v>26403</v>
      </c>
      <c r="F4983" t="s">
        <v>26403</v>
      </c>
      <c r="G4983" t="s">
        <v>26404</v>
      </c>
      <c r="H4983" t="s">
        <v>868</v>
      </c>
      <c r="I4983" t="s">
        <v>1157</v>
      </c>
      <c r="J4983" t="str">
        <f>"9160215"</f>
        <v>9160215</v>
      </c>
      <c r="K4983">
        <v>2332020378</v>
      </c>
      <c r="L4983">
        <v>2332020378</v>
      </c>
      <c r="M4983" t="s">
        <v>29933</v>
      </c>
      <c r="N4983" t="s">
        <v>26407</v>
      </c>
      <c r="O4983" t="s">
        <v>29934</v>
      </c>
      <c r="P4983">
        <v>59200</v>
      </c>
      <c r="Q4983" t="str">
        <f>"40.625305"</f>
        <v>40.625305</v>
      </c>
      <c r="R4983" t="str">
        <f>"22.058217"</f>
        <v>22.058217</v>
      </c>
      <c r="S4983" t="s">
        <v>26</v>
      </c>
    </row>
    <row r="4984" spans="1:19" x14ac:dyDescent="0.3">
      <c r="A4984" t="s">
        <v>25190</v>
      </c>
      <c r="B4984" t="s">
        <v>29658</v>
      </c>
      <c r="C4984" t="s">
        <v>29935</v>
      </c>
      <c r="D4984" t="s">
        <v>25191</v>
      </c>
      <c r="E4984" t="s">
        <v>26403</v>
      </c>
      <c r="F4984" t="s">
        <v>26478</v>
      </c>
      <c r="G4984" t="s">
        <v>19774</v>
      </c>
      <c r="H4984" t="s">
        <v>868</v>
      </c>
      <c r="I4984" t="s">
        <v>869</v>
      </c>
      <c r="J4984" t="str">
        <f>"9160094"</f>
        <v>9160094</v>
      </c>
      <c r="K4984">
        <v>2332047416</v>
      </c>
      <c r="L4984">
        <v>2332047416</v>
      </c>
      <c r="M4984" t="s">
        <v>29936</v>
      </c>
      <c r="N4984" t="s">
        <v>29937</v>
      </c>
      <c r="O4984" t="s">
        <v>29937</v>
      </c>
      <c r="P4984">
        <v>59034</v>
      </c>
      <c r="Q4984" t="str">
        <f>"40.656884"</f>
        <v>40.656884</v>
      </c>
      <c r="R4984" t="str">
        <f>"22.216164"</f>
        <v>22.216164</v>
      </c>
      <c r="S4984" t="s">
        <v>26</v>
      </c>
    </row>
    <row r="4985" spans="1:19" x14ac:dyDescent="0.3">
      <c r="A4985" t="s">
        <v>25190</v>
      </c>
      <c r="B4985" t="s">
        <v>29658</v>
      </c>
      <c r="C4985" t="s">
        <v>29938</v>
      </c>
      <c r="D4985" t="s">
        <v>25191</v>
      </c>
      <c r="E4985" t="s">
        <v>26403</v>
      </c>
      <c r="F4985" t="s">
        <v>26403</v>
      </c>
      <c r="G4985" t="s">
        <v>29705</v>
      </c>
      <c r="H4985" t="s">
        <v>868</v>
      </c>
      <c r="I4985" t="s">
        <v>869</v>
      </c>
      <c r="J4985" t="str">
        <f>"9160113"</f>
        <v>9160113</v>
      </c>
      <c r="K4985">
        <v>2332041670</v>
      </c>
      <c r="L4985">
        <v>2332041670</v>
      </c>
      <c r="M4985" t="s">
        <v>29939</v>
      </c>
      <c r="N4985" t="s">
        <v>29708</v>
      </c>
      <c r="O4985" t="s">
        <v>29705</v>
      </c>
      <c r="P4985">
        <v>59035</v>
      </c>
      <c r="Q4985" t="str">
        <f>"40.603936"</f>
        <v>40.603936</v>
      </c>
      <c r="R4985" t="str">
        <f>"22.126004"</f>
        <v>22.126004</v>
      </c>
      <c r="S4985" t="s">
        <v>26</v>
      </c>
    </row>
    <row r="4986" spans="1:19" x14ac:dyDescent="0.3">
      <c r="A4986" t="s">
        <v>25190</v>
      </c>
      <c r="B4986" t="s">
        <v>29658</v>
      </c>
      <c r="C4986" t="s">
        <v>26465</v>
      </c>
      <c r="D4986" t="s">
        <v>25191</v>
      </c>
      <c r="E4986" t="s">
        <v>25192</v>
      </c>
      <c r="F4986" t="s">
        <v>26460</v>
      </c>
      <c r="G4986" t="s">
        <v>18057</v>
      </c>
      <c r="H4986" t="s">
        <v>868</v>
      </c>
      <c r="I4986" t="s">
        <v>869</v>
      </c>
      <c r="J4986" t="str">
        <f>"9160223"</f>
        <v>9160223</v>
      </c>
      <c r="K4986">
        <v>2331042132</v>
      </c>
      <c r="L4986">
        <v>2331042132</v>
      </c>
      <c r="M4986" t="s">
        <v>29940</v>
      </c>
      <c r="N4986" t="s">
        <v>26463</v>
      </c>
      <c r="O4986" t="s">
        <v>21250</v>
      </c>
      <c r="P4986">
        <v>59033</v>
      </c>
      <c r="Q4986" t="str">
        <f>"40.553825"</f>
        <v>40.553825</v>
      </c>
      <c r="R4986" t="str">
        <f>"22.251581"</f>
        <v>22.251581</v>
      </c>
      <c r="S4986" t="s">
        <v>26</v>
      </c>
    </row>
    <row r="4987" spans="1:19" x14ac:dyDescent="0.3">
      <c r="A4987" t="s">
        <v>25190</v>
      </c>
      <c r="B4987" t="s">
        <v>29658</v>
      </c>
      <c r="C4987" t="s">
        <v>29941</v>
      </c>
      <c r="D4987" t="s">
        <v>25191</v>
      </c>
      <c r="E4987" t="s">
        <v>26403</v>
      </c>
      <c r="F4987" t="s">
        <v>26403</v>
      </c>
      <c r="G4987" t="s">
        <v>26404</v>
      </c>
      <c r="H4987" t="s">
        <v>868</v>
      </c>
      <c r="I4987" t="s">
        <v>869</v>
      </c>
      <c r="J4987" t="str">
        <f>"9160082"</f>
        <v>9160082</v>
      </c>
      <c r="K4987">
        <v>2332022502</v>
      </c>
      <c r="L4987">
        <v>2332022502</v>
      </c>
      <c r="M4987" t="s">
        <v>29942</v>
      </c>
      <c r="N4987" t="s">
        <v>26407</v>
      </c>
      <c r="O4987" t="s">
        <v>29711</v>
      </c>
      <c r="P4987">
        <v>59200</v>
      </c>
      <c r="Q4987" t="str">
        <f>"40.628172"</f>
        <v>40.628172</v>
      </c>
      <c r="R4987" t="str">
        <f>"22.067273"</f>
        <v>22.067273</v>
      </c>
      <c r="S4987" t="s">
        <v>26</v>
      </c>
    </row>
    <row r="4988" spans="1:19" x14ac:dyDescent="0.3">
      <c r="A4988" t="s">
        <v>25190</v>
      </c>
      <c r="B4988" t="s">
        <v>29658</v>
      </c>
      <c r="C4988" t="s">
        <v>29946</v>
      </c>
      <c r="D4988" t="s">
        <v>25191</v>
      </c>
      <c r="E4988" t="s">
        <v>26403</v>
      </c>
      <c r="F4988" t="s">
        <v>26507</v>
      </c>
      <c r="G4988" t="s">
        <v>29659</v>
      </c>
      <c r="H4988" t="s">
        <v>868</v>
      </c>
      <c r="I4988" t="s">
        <v>869</v>
      </c>
      <c r="J4988" t="str">
        <f>"9160107"</f>
        <v>9160107</v>
      </c>
      <c r="K4988">
        <v>2332041321</v>
      </c>
      <c r="L4988">
        <v>2332041321</v>
      </c>
      <c r="M4988" t="s">
        <v>29947</v>
      </c>
      <c r="N4988" t="s">
        <v>29948</v>
      </c>
      <c r="O4988" t="s">
        <v>29662</v>
      </c>
      <c r="P4988">
        <v>59035</v>
      </c>
      <c r="Q4988" t="str">
        <f>"40.619711"</f>
        <v>40.619711</v>
      </c>
      <c r="R4988" t="str">
        <f>"22.178013"</f>
        <v>22.178013</v>
      </c>
      <c r="S4988" t="s">
        <v>26</v>
      </c>
    </row>
    <row r="4989" spans="1:19" x14ac:dyDescent="0.3">
      <c r="A4989" t="s">
        <v>25190</v>
      </c>
      <c r="B4989" t="s">
        <v>29658</v>
      </c>
      <c r="C4989" t="s">
        <v>29974</v>
      </c>
      <c r="D4989" t="s">
        <v>25191</v>
      </c>
      <c r="E4989" t="s">
        <v>26414</v>
      </c>
      <c r="F4989" t="s">
        <v>26519</v>
      </c>
      <c r="G4989" t="s">
        <v>26520</v>
      </c>
      <c r="H4989" t="s">
        <v>868</v>
      </c>
      <c r="I4989" t="s">
        <v>869</v>
      </c>
      <c r="J4989" t="str">
        <f>"9160149"</f>
        <v>9160149</v>
      </c>
      <c r="K4989">
        <v>2331039381</v>
      </c>
      <c r="L4989">
        <v>2331039381</v>
      </c>
      <c r="M4989" t="s">
        <v>29975</v>
      </c>
      <c r="N4989" t="s">
        <v>26523</v>
      </c>
      <c r="O4989" t="s">
        <v>16829</v>
      </c>
      <c r="P4989">
        <v>59100</v>
      </c>
      <c r="Q4989" t="str">
        <f>"40.591752"</f>
        <v>40.591752</v>
      </c>
      <c r="R4989" t="str">
        <f>"22.333543"</f>
        <v>22.333543</v>
      </c>
      <c r="S4989" t="s">
        <v>26</v>
      </c>
    </row>
    <row r="4990" spans="1:19" x14ac:dyDescent="0.3">
      <c r="A4990" t="s">
        <v>25190</v>
      </c>
      <c r="B4990" t="s">
        <v>29658</v>
      </c>
      <c r="C4990" t="s">
        <v>29976</v>
      </c>
      <c r="D4990" t="s">
        <v>25191</v>
      </c>
      <c r="E4990" t="s">
        <v>26414</v>
      </c>
      <c r="F4990" t="s">
        <v>26422</v>
      </c>
      <c r="G4990" t="s">
        <v>29951</v>
      </c>
      <c r="H4990" t="s">
        <v>868</v>
      </c>
      <c r="I4990" t="s">
        <v>869</v>
      </c>
      <c r="J4990" t="str">
        <f>"9160023"</f>
        <v>9160023</v>
      </c>
      <c r="K4990">
        <v>2331099201</v>
      </c>
      <c r="L4990">
        <v>2331099201</v>
      </c>
      <c r="M4990" t="s">
        <v>29977</v>
      </c>
      <c r="N4990" t="s">
        <v>29954</v>
      </c>
      <c r="O4990" t="s">
        <v>5992</v>
      </c>
      <c r="P4990">
        <v>59300</v>
      </c>
      <c r="Q4990" t="str">
        <f>"40.556572"</f>
        <v>40.556572</v>
      </c>
      <c r="R4990" t="str">
        <f>"22.474060"</f>
        <v>22.474060</v>
      </c>
      <c r="S4990" t="s">
        <v>26</v>
      </c>
    </row>
    <row r="4991" spans="1:19" x14ac:dyDescent="0.3">
      <c r="A4991" t="s">
        <v>25190</v>
      </c>
      <c r="B4991" t="s">
        <v>29658</v>
      </c>
      <c r="C4991" t="s">
        <v>26529</v>
      </c>
      <c r="D4991" t="s">
        <v>25191</v>
      </c>
      <c r="E4991" t="s">
        <v>25192</v>
      </c>
      <c r="F4991" t="s">
        <v>25192</v>
      </c>
      <c r="G4991" t="s">
        <v>25192</v>
      </c>
      <c r="H4991" t="s">
        <v>868</v>
      </c>
      <c r="I4991" t="s">
        <v>869</v>
      </c>
      <c r="J4991" t="str">
        <f>"9160123"</f>
        <v>9160123</v>
      </c>
      <c r="K4991">
        <v>2331024996</v>
      </c>
      <c r="L4991">
        <v>2331024996</v>
      </c>
      <c r="M4991" t="s">
        <v>29978</v>
      </c>
      <c r="N4991" t="s">
        <v>25195</v>
      </c>
      <c r="O4991" t="s">
        <v>29979</v>
      </c>
      <c r="P4991">
        <v>59132</v>
      </c>
      <c r="Q4991" t="str">
        <f>"40.522317"</f>
        <v>40.522317</v>
      </c>
      <c r="R4991" t="str">
        <f>"22.205720"</f>
        <v>22.205720</v>
      </c>
      <c r="S4991" t="s">
        <v>26</v>
      </c>
    </row>
    <row r="4992" spans="1:19" x14ac:dyDescent="0.3">
      <c r="A4992" t="s">
        <v>25190</v>
      </c>
      <c r="B4992" t="s">
        <v>29658</v>
      </c>
      <c r="C4992" t="s">
        <v>29980</v>
      </c>
      <c r="D4992" t="s">
        <v>25191</v>
      </c>
      <c r="E4992" t="s">
        <v>26414</v>
      </c>
      <c r="F4992" t="s">
        <v>26414</v>
      </c>
      <c r="G4992" t="s">
        <v>1460</v>
      </c>
      <c r="H4992" t="s">
        <v>868</v>
      </c>
      <c r="I4992" t="s">
        <v>869</v>
      </c>
      <c r="J4992" t="str">
        <f>"9160156"</f>
        <v>9160156</v>
      </c>
      <c r="K4992">
        <v>2333088210</v>
      </c>
      <c r="L4992">
        <v>2333088210</v>
      </c>
      <c r="M4992" t="s">
        <v>29981</v>
      </c>
      <c r="N4992" t="s">
        <v>1611</v>
      </c>
      <c r="O4992" t="s">
        <v>1611</v>
      </c>
      <c r="P4992">
        <v>59300</v>
      </c>
      <c r="Q4992" t="str">
        <f>"40.588441"</f>
        <v>40.588441</v>
      </c>
      <c r="R4992" t="str">
        <f>"22.398106"</f>
        <v>22.398106</v>
      </c>
      <c r="S4992" t="s">
        <v>26</v>
      </c>
    </row>
    <row r="4993" spans="1:19" x14ac:dyDescent="0.3">
      <c r="A4993" t="s">
        <v>25190</v>
      </c>
      <c r="B4993" t="s">
        <v>29658</v>
      </c>
      <c r="C4993" t="s">
        <v>29985</v>
      </c>
      <c r="D4993" t="s">
        <v>25191</v>
      </c>
      <c r="E4993" t="s">
        <v>25192</v>
      </c>
      <c r="F4993" t="s">
        <v>29758</v>
      </c>
      <c r="G4993" t="s">
        <v>13279</v>
      </c>
      <c r="H4993" t="s">
        <v>868</v>
      </c>
      <c r="I4993" t="s">
        <v>869</v>
      </c>
      <c r="J4993" t="str">
        <f>"9160136"</f>
        <v>9160136</v>
      </c>
      <c r="K4993">
        <v>2331051321</v>
      </c>
      <c r="L4993">
        <v>2331051321</v>
      </c>
      <c r="M4993" t="s">
        <v>29986</v>
      </c>
      <c r="O4993" t="s">
        <v>29987</v>
      </c>
      <c r="P4993">
        <v>59150</v>
      </c>
      <c r="Q4993" t="str">
        <f>"40.597943"</f>
        <v>40.597943</v>
      </c>
      <c r="R4993" t="str">
        <f>"22.214850"</f>
        <v>22.214850</v>
      </c>
      <c r="S4993" t="s">
        <v>26</v>
      </c>
    </row>
    <row r="4994" spans="1:19" x14ac:dyDescent="0.3">
      <c r="A4994" t="s">
        <v>25190</v>
      </c>
      <c r="B4994" t="s">
        <v>29658</v>
      </c>
      <c r="C4994" t="s">
        <v>29988</v>
      </c>
      <c r="D4994" t="s">
        <v>25191</v>
      </c>
      <c r="E4994" t="s">
        <v>25192</v>
      </c>
      <c r="F4994" t="s">
        <v>25192</v>
      </c>
      <c r="G4994" t="s">
        <v>25192</v>
      </c>
      <c r="H4994" t="s">
        <v>868</v>
      </c>
      <c r="I4994" t="s">
        <v>869</v>
      </c>
      <c r="J4994" t="str">
        <f>"9160068"</f>
        <v>9160068</v>
      </c>
      <c r="K4994">
        <v>2331023005</v>
      </c>
      <c r="L4994">
        <v>2331023005</v>
      </c>
      <c r="M4994" t="s">
        <v>29989</v>
      </c>
      <c r="N4994" t="s">
        <v>25195</v>
      </c>
      <c r="O4994" t="s">
        <v>29681</v>
      </c>
      <c r="P4994">
        <v>59131</v>
      </c>
      <c r="Q4994" t="str">
        <f>"40.529336"</f>
        <v>40.529336</v>
      </c>
      <c r="R4994" t="str">
        <f>"22.197546"</f>
        <v>22.197546</v>
      </c>
      <c r="S4994" t="s">
        <v>26</v>
      </c>
    </row>
    <row r="4995" spans="1:19" x14ac:dyDescent="0.3">
      <c r="A4995" t="s">
        <v>25190</v>
      </c>
      <c r="B4995" t="s">
        <v>29658</v>
      </c>
      <c r="C4995" t="s">
        <v>29990</v>
      </c>
      <c r="D4995" t="s">
        <v>25191</v>
      </c>
      <c r="E4995" t="s">
        <v>25192</v>
      </c>
      <c r="F4995" t="s">
        <v>25192</v>
      </c>
      <c r="G4995" t="s">
        <v>25192</v>
      </c>
      <c r="H4995" t="s">
        <v>868</v>
      </c>
      <c r="I4995" t="s">
        <v>869</v>
      </c>
      <c r="J4995" t="str">
        <f>"9160220"</f>
        <v>9160220</v>
      </c>
      <c r="K4995">
        <v>2331065895</v>
      </c>
      <c r="L4995">
        <v>2331065895</v>
      </c>
      <c r="M4995" t="s">
        <v>29991</v>
      </c>
      <c r="N4995" t="s">
        <v>25195</v>
      </c>
      <c r="O4995" t="s">
        <v>29676</v>
      </c>
      <c r="P4995">
        <v>59132</v>
      </c>
      <c r="Q4995" t="str">
        <f>"40.518886"</f>
        <v>40.518886</v>
      </c>
      <c r="R4995" t="str">
        <f>"22.199140"</f>
        <v>22.199140</v>
      </c>
      <c r="S4995" t="s">
        <v>26</v>
      </c>
    </row>
    <row r="4996" spans="1:19" x14ac:dyDescent="0.3">
      <c r="A4996" t="s">
        <v>25190</v>
      </c>
      <c r="B4996" t="s">
        <v>29658</v>
      </c>
      <c r="C4996" t="s">
        <v>29992</v>
      </c>
      <c r="D4996" t="s">
        <v>25191</v>
      </c>
      <c r="E4996" t="s">
        <v>26403</v>
      </c>
      <c r="F4996" t="s">
        <v>26478</v>
      </c>
      <c r="G4996" t="s">
        <v>29724</v>
      </c>
      <c r="H4996" t="s">
        <v>868</v>
      </c>
      <c r="I4996" t="s">
        <v>869</v>
      </c>
      <c r="J4996" t="str">
        <f>"9160109"</f>
        <v>9160109</v>
      </c>
      <c r="K4996">
        <v>2332047500</v>
      </c>
      <c r="L4996">
        <v>2332047500</v>
      </c>
      <c r="M4996" t="s">
        <v>29993</v>
      </c>
      <c r="N4996" t="s">
        <v>29994</v>
      </c>
      <c r="O4996" t="s">
        <v>29727</v>
      </c>
      <c r="P4996">
        <v>59034</v>
      </c>
      <c r="Q4996" t="str">
        <f>"40.683247"</f>
        <v>40.683247</v>
      </c>
      <c r="R4996" t="str">
        <f>"22.191064"</f>
        <v>22.191064</v>
      </c>
      <c r="S4996" t="s">
        <v>26</v>
      </c>
    </row>
    <row r="4997" spans="1:19" x14ac:dyDescent="0.3">
      <c r="A4997" t="s">
        <v>25190</v>
      </c>
      <c r="B4997" t="s">
        <v>29658</v>
      </c>
      <c r="C4997" t="s">
        <v>29996</v>
      </c>
      <c r="D4997" t="s">
        <v>25191</v>
      </c>
      <c r="E4997" t="s">
        <v>26414</v>
      </c>
      <c r="F4997" t="s">
        <v>26422</v>
      </c>
      <c r="G4997" t="s">
        <v>29995</v>
      </c>
      <c r="H4997" t="s">
        <v>868</v>
      </c>
      <c r="I4997" t="s">
        <v>869</v>
      </c>
      <c r="J4997" t="str">
        <f>"9160043"</f>
        <v>9160043</v>
      </c>
      <c r="K4997">
        <v>2331081562</v>
      </c>
      <c r="L4997">
        <v>2331081562</v>
      </c>
      <c r="M4997" t="s">
        <v>29997</v>
      </c>
      <c r="N4997" t="s">
        <v>29998</v>
      </c>
      <c r="O4997" t="s">
        <v>29998</v>
      </c>
      <c r="P4997">
        <v>59031</v>
      </c>
      <c r="Q4997" t="str">
        <f>"40.504920"</f>
        <v>40.504920</v>
      </c>
      <c r="R4997" t="str">
        <f>"22.414634"</f>
        <v>22.414634</v>
      </c>
      <c r="S4997" t="s">
        <v>26</v>
      </c>
    </row>
    <row r="4998" spans="1:19" x14ac:dyDescent="0.3">
      <c r="A4998" t="s">
        <v>25190</v>
      </c>
      <c r="B4998" t="s">
        <v>29658</v>
      </c>
      <c r="C4998" t="s">
        <v>29999</v>
      </c>
      <c r="D4998" t="s">
        <v>25191</v>
      </c>
      <c r="E4998" t="s">
        <v>26403</v>
      </c>
      <c r="F4998" t="s">
        <v>26507</v>
      </c>
      <c r="G4998" t="s">
        <v>29782</v>
      </c>
      <c r="H4998" t="s">
        <v>868</v>
      </c>
      <c r="I4998" t="s">
        <v>869</v>
      </c>
      <c r="J4998" t="str">
        <f>"9160101"</f>
        <v>9160101</v>
      </c>
      <c r="K4998">
        <v>2332041003</v>
      </c>
      <c r="L4998">
        <v>2332041003</v>
      </c>
      <c r="M4998" t="s">
        <v>30000</v>
      </c>
      <c r="N4998" t="s">
        <v>30001</v>
      </c>
      <c r="O4998" t="s">
        <v>29785</v>
      </c>
      <c r="P4998">
        <v>59035</v>
      </c>
      <c r="Q4998" t="str">
        <f>"40.652371"</f>
        <v>40.652371</v>
      </c>
      <c r="R4998" t="str">
        <f>"22.115200"</f>
        <v>22.115200</v>
      </c>
      <c r="S4998" t="s">
        <v>26</v>
      </c>
    </row>
    <row r="4999" spans="1:19" x14ac:dyDescent="0.3">
      <c r="A4999" t="s">
        <v>25190</v>
      </c>
      <c r="B4999" t="s">
        <v>29658</v>
      </c>
      <c r="C4999" t="s">
        <v>30002</v>
      </c>
      <c r="D4999" t="s">
        <v>25191</v>
      </c>
      <c r="E4999" t="s">
        <v>26414</v>
      </c>
      <c r="F4999" t="s">
        <v>26414</v>
      </c>
      <c r="G4999" t="s">
        <v>26414</v>
      </c>
      <c r="H4999" t="s">
        <v>868</v>
      </c>
      <c r="I4999" t="s">
        <v>1157</v>
      </c>
      <c r="J4999" t="str">
        <f>"9160227"</f>
        <v>9160227</v>
      </c>
      <c r="K4999">
        <v>2333025672</v>
      </c>
      <c r="L4999">
        <v>2333025672</v>
      </c>
      <c r="M4999" t="s">
        <v>30003</v>
      </c>
      <c r="N4999" t="s">
        <v>30004</v>
      </c>
      <c r="O4999" t="s">
        <v>30005</v>
      </c>
      <c r="P4999">
        <v>59300</v>
      </c>
      <c r="Q4999" t="str">
        <f>"40.626791"</f>
        <v>40.626791</v>
      </c>
      <c r="R4999" t="str">
        <f>"22.440624"</f>
        <v>22.440624</v>
      </c>
      <c r="S4999" t="s">
        <v>26</v>
      </c>
    </row>
    <row r="5000" spans="1:19" x14ac:dyDescent="0.3">
      <c r="A5000" t="s">
        <v>25190</v>
      </c>
      <c r="B5000" t="s">
        <v>29658</v>
      </c>
      <c r="C5000" t="s">
        <v>30006</v>
      </c>
      <c r="D5000" t="s">
        <v>25191</v>
      </c>
      <c r="E5000" t="s">
        <v>26403</v>
      </c>
      <c r="F5000" t="s">
        <v>26403</v>
      </c>
      <c r="G5000" t="s">
        <v>26404</v>
      </c>
      <c r="H5000" t="s">
        <v>868</v>
      </c>
      <c r="I5000" t="s">
        <v>869</v>
      </c>
      <c r="J5000" t="str">
        <f>"9160083"</f>
        <v>9160083</v>
      </c>
      <c r="K5000">
        <v>2332022239</v>
      </c>
      <c r="L5000">
        <v>2332022239</v>
      </c>
      <c r="M5000" t="s">
        <v>30007</v>
      </c>
      <c r="N5000" t="s">
        <v>26407</v>
      </c>
      <c r="O5000" t="s">
        <v>29668</v>
      </c>
      <c r="P5000">
        <v>59200</v>
      </c>
      <c r="Q5000" t="str">
        <f>"40.628613"</f>
        <v>40.628613</v>
      </c>
      <c r="R5000" t="str">
        <f>"22.061994"</f>
        <v>22.061994</v>
      </c>
      <c r="S5000" t="s">
        <v>26</v>
      </c>
    </row>
    <row r="5001" spans="1:19" x14ac:dyDescent="0.3">
      <c r="A5001" t="s">
        <v>25190</v>
      </c>
      <c r="B5001" t="s">
        <v>29658</v>
      </c>
      <c r="C5001" t="s">
        <v>26446</v>
      </c>
      <c r="D5001" t="s">
        <v>25191</v>
      </c>
      <c r="E5001" t="s">
        <v>25192</v>
      </c>
      <c r="F5001" t="s">
        <v>25192</v>
      </c>
      <c r="G5001" t="s">
        <v>25192</v>
      </c>
      <c r="H5001" t="s">
        <v>868</v>
      </c>
      <c r="I5001" t="s">
        <v>869</v>
      </c>
      <c r="J5001" t="str">
        <f>"9160127"</f>
        <v>9160127</v>
      </c>
      <c r="K5001">
        <v>2331023741</v>
      </c>
      <c r="L5001">
        <v>2331022754</v>
      </c>
      <c r="M5001" t="s">
        <v>30008</v>
      </c>
      <c r="N5001" t="s">
        <v>25195</v>
      </c>
      <c r="O5001" t="s">
        <v>29695</v>
      </c>
      <c r="P5001">
        <v>59131</v>
      </c>
      <c r="Q5001" t="str">
        <f>"40.529368"</f>
        <v>40.529368</v>
      </c>
      <c r="R5001" t="str">
        <f>"22.205522"</f>
        <v>22.205522</v>
      </c>
      <c r="S5001" t="s">
        <v>26</v>
      </c>
    </row>
    <row r="5002" spans="1:19" x14ac:dyDescent="0.3">
      <c r="A5002" t="s">
        <v>25190</v>
      </c>
      <c r="B5002" t="s">
        <v>29658</v>
      </c>
      <c r="C5002" t="s">
        <v>30009</v>
      </c>
      <c r="D5002" t="s">
        <v>25191</v>
      </c>
      <c r="E5002" t="s">
        <v>26403</v>
      </c>
      <c r="F5002" t="s">
        <v>26403</v>
      </c>
      <c r="G5002" t="s">
        <v>29749</v>
      </c>
      <c r="H5002" t="s">
        <v>868</v>
      </c>
      <c r="I5002" t="s">
        <v>950</v>
      </c>
      <c r="J5002" t="str">
        <f>"9160110"</f>
        <v>9160110</v>
      </c>
      <c r="K5002">
        <v>2332051284</v>
      </c>
      <c r="L5002">
        <v>2332051284</v>
      </c>
      <c r="M5002" t="s">
        <v>30010</v>
      </c>
      <c r="N5002" t="s">
        <v>29752</v>
      </c>
      <c r="O5002" t="s">
        <v>29752</v>
      </c>
      <c r="P5002">
        <v>59200</v>
      </c>
      <c r="Q5002" t="str">
        <f>"40.690504"</f>
        <v>40.690504</v>
      </c>
      <c r="R5002" t="str">
        <f>"22.016415"</f>
        <v>22.016415</v>
      </c>
      <c r="S5002" t="s">
        <v>26</v>
      </c>
    </row>
    <row r="5003" spans="1:19" x14ac:dyDescent="0.3">
      <c r="A5003" t="s">
        <v>25190</v>
      </c>
      <c r="B5003" t="s">
        <v>29658</v>
      </c>
      <c r="C5003" t="s">
        <v>30011</v>
      </c>
      <c r="D5003" t="s">
        <v>25191</v>
      </c>
      <c r="E5003" t="s">
        <v>26414</v>
      </c>
      <c r="F5003" t="s">
        <v>26414</v>
      </c>
      <c r="G5003" t="s">
        <v>29890</v>
      </c>
      <c r="H5003" t="s">
        <v>868</v>
      </c>
      <c r="I5003" t="s">
        <v>869</v>
      </c>
      <c r="J5003" t="str">
        <f>"9160169"</f>
        <v>9160169</v>
      </c>
      <c r="K5003">
        <v>2333051223</v>
      </c>
      <c r="L5003">
        <v>2333051223</v>
      </c>
      <c r="M5003" t="s">
        <v>30012</v>
      </c>
      <c r="N5003" t="s">
        <v>30013</v>
      </c>
      <c r="O5003" t="s">
        <v>29927</v>
      </c>
      <c r="P5003">
        <v>59300</v>
      </c>
      <c r="Q5003" t="str">
        <f>"40.637649"</f>
        <v>40.637649</v>
      </c>
      <c r="R5003" t="str">
        <f>"22.385538"</f>
        <v>22.385538</v>
      </c>
      <c r="S5003" t="s">
        <v>26</v>
      </c>
    </row>
    <row r="5004" spans="1:19" x14ac:dyDescent="0.3">
      <c r="A5004" t="s">
        <v>25190</v>
      </c>
      <c r="B5004" t="s">
        <v>29658</v>
      </c>
      <c r="C5004" t="s">
        <v>30014</v>
      </c>
      <c r="D5004" t="s">
        <v>25191</v>
      </c>
      <c r="E5004" t="s">
        <v>26414</v>
      </c>
      <c r="F5004" t="s">
        <v>26414</v>
      </c>
      <c r="G5004" t="s">
        <v>26414</v>
      </c>
      <c r="H5004" t="s">
        <v>868</v>
      </c>
      <c r="I5004" t="s">
        <v>869</v>
      </c>
      <c r="J5004" t="str">
        <f>"9160005"</f>
        <v>9160005</v>
      </c>
      <c r="K5004">
        <v>2333023665</v>
      </c>
      <c r="L5004">
        <v>2333025853</v>
      </c>
      <c r="M5004" t="s">
        <v>30015</v>
      </c>
      <c r="N5004" t="s">
        <v>26469</v>
      </c>
      <c r="O5004" t="s">
        <v>30016</v>
      </c>
      <c r="P5004">
        <v>59300</v>
      </c>
      <c r="Q5004" t="str">
        <f>"40.626107"</f>
        <v>40.626107</v>
      </c>
      <c r="R5004" t="str">
        <f>"22.451246"</f>
        <v>22.451246</v>
      </c>
      <c r="S5004" t="s">
        <v>26</v>
      </c>
    </row>
    <row r="5005" spans="1:19" x14ac:dyDescent="0.3">
      <c r="A5005" t="s">
        <v>25190</v>
      </c>
      <c r="B5005" t="s">
        <v>29658</v>
      </c>
      <c r="C5005" t="s">
        <v>26506</v>
      </c>
      <c r="D5005" t="s">
        <v>25191</v>
      </c>
      <c r="E5005" t="s">
        <v>26414</v>
      </c>
      <c r="F5005" t="s">
        <v>26414</v>
      </c>
      <c r="G5005" t="s">
        <v>26414</v>
      </c>
      <c r="H5005" t="s">
        <v>868</v>
      </c>
      <c r="I5005" t="s">
        <v>869</v>
      </c>
      <c r="J5005" t="str">
        <f>"9160195"</f>
        <v>9160195</v>
      </c>
      <c r="K5005">
        <v>2333022905</v>
      </c>
      <c r="L5005">
        <v>2333022905</v>
      </c>
      <c r="M5005" t="s">
        <v>30017</v>
      </c>
      <c r="N5005" t="s">
        <v>26469</v>
      </c>
      <c r="O5005" t="s">
        <v>30018</v>
      </c>
      <c r="P5005">
        <v>59300</v>
      </c>
      <c r="Q5005" t="str">
        <f>"40.629161"</f>
        <v>40.629161</v>
      </c>
      <c r="R5005" t="str">
        <f>"22.432895"</f>
        <v>22.432895</v>
      </c>
      <c r="S5005" t="s">
        <v>26</v>
      </c>
    </row>
    <row r="5006" spans="1:19" x14ac:dyDescent="0.3">
      <c r="A5006" t="s">
        <v>25190</v>
      </c>
      <c r="B5006" t="s">
        <v>29658</v>
      </c>
      <c r="C5006" t="s">
        <v>30019</v>
      </c>
      <c r="D5006" t="s">
        <v>25191</v>
      </c>
      <c r="E5006" t="s">
        <v>26414</v>
      </c>
      <c r="F5006" t="s">
        <v>13055</v>
      </c>
      <c r="G5006" t="s">
        <v>26466</v>
      </c>
      <c r="H5006" t="s">
        <v>868</v>
      </c>
      <c r="I5006" t="s">
        <v>869</v>
      </c>
      <c r="J5006" t="str">
        <f>"9160032"</f>
        <v>9160032</v>
      </c>
      <c r="K5006">
        <v>2333041202</v>
      </c>
      <c r="L5006">
        <v>2333041202</v>
      </c>
      <c r="M5006" t="s">
        <v>30020</v>
      </c>
      <c r="N5006" t="s">
        <v>29878</v>
      </c>
      <c r="O5006" t="s">
        <v>17387</v>
      </c>
      <c r="P5006">
        <v>59300</v>
      </c>
      <c r="Q5006" t="str">
        <f>"40.603658"</f>
        <v>40.603658</v>
      </c>
      <c r="R5006" t="str">
        <f>"22.508146"</f>
        <v>22.508146</v>
      </c>
      <c r="S5006" t="s">
        <v>26</v>
      </c>
    </row>
    <row r="5007" spans="1:19" x14ac:dyDescent="0.3">
      <c r="A5007" t="s">
        <v>25190</v>
      </c>
      <c r="B5007" t="s">
        <v>29658</v>
      </c>
      <c r="C5007" t="s">
        <v>30021</v>
      </c>
      <c r="D5007" t="s">
        <v>25191</v>
      </c>
      <c r="E5007" t="s">
        <v>26414</v>
      </c>
      <c r="F5007" t="s">
        <v>26414</v>
      </c>
      <c r="G5007" t="s">
        <v>26414</v>
      </c>
      <c r="H5007" t="s">
        <v>868</v>
      </c>
      <c r="I5007" t="s">
        <v>869</v>
      </c>
      <c r="J5007" t="str">
        <f>"9520835"</f>
        <v>9520835</v>
      </c>
      <c r="K5007">
        <v>2333053119</v>
      </c>
      <c r="L5007">
        <v>2333053119</v>
      </c>
      <c r="M5007" t="s">
        <v>30022</v>
      </c>
      <c r="N5007" t="s">
        <v>26469</v>
      </c>
      <c r="O5007" t="s">
        <v>30023</v>
      </c>
      <c r="P5007">
        <v>59300</v>
      </c>
      <c r="Q5007" t="str">
        <f>"40.626005"</f>
        <v>40.626005</v>
      </c>
      <c r="R5007" t="str">
        <f>"22.451794"</f>
        <v>22.451794</v>
      </c>
      <c r="S5007" t="s">
        <v>26</v>
      </c>
    </row>
    <row r="5008" spans="1:19" x14ac:dyDescent="0.3">
      <c r="A5008" t="s">
        <v>25190</v>
      </c>
      <c r="B5008" t="s">
        <v>29658</v>
      </c>
      <c r="C5008" t="s">
        <v>30024</v>
      </c>
      <c r="D5008" t="s">
        <v>25191</v>
      </c>
      <c r="E5008" t="s">
        <v>26414</v>
      </c>
      <c r="F5008" t="s">
        <v>13055</v>
      </c>
      <c r="G5008" t="s">
        <v>29838</v>
      </c>
      <c r="H5008" t="s">
        <v>868</v>
      </c>
      <c r="I5008" t="s">
        <v>869</v>
      </c>
      <c r="J5008" t="str">
        <f>"9160035"</f>
        <v>9160035</v>
      </c>
      <c r="K5008">
        <v>2333063451</v>
      </c>
      <c r="L5008">
        <v>2333063451</v>
      </c>
      <c r="M5008" t="s">
        <v>30025</v>
      </c>
      <c r="N5008" t="s">
        <v>29845</v>
      </c>
      <c r="O5008" t="s">
        <v>29845</v>
      </c>
      <c r="P5008">
        <v>59032</v>
      </c>
      <c r="Q5008" t="str">
        <f>"40.634622"</f>
        <v>40.634622</v>
      </c>
      <c r="R5008" t="str">
        <f>"22.503860"</f>
        <v>22.503860</v>
      </c>
      <c r="S5008" t="s">
        <v>26</v>
      </c>
    </row>
    <row r="5009" spans="1:19" x14ac:dyDescent="0.3">
      <c r="A5009" t="s">
        <v>25190</v>
      </c>
      <c r="B5009" t="s">
        <v>29658</v>
      </c>
      <c r="C5009" t="s">
        <v>30026</v>
      </c>
      <c r="D5009" t="s">
        <v>25191</v>
      </c>
      <c r="E5009" t="s">
        <v>26414</v>
      </c>
      <c r="F5009" t="s">
        <v>13055</v>
      </c>
      <c r="G5009" t="s">
        <v>13386</v>
      </c>
      <c r="H5009" t="s">
        <v>868</v>
      </c>
      <c r="I5009" t="s">
        <v>869</v>
      </c>
      <c r="J5009" t="str">
        <f>"9160048"</f>
        <v>9160048</v>
      </c>
      <c r="K5009">
        <v>2333071371</v>
      </c>
      <c r="L5009">
        <v>2333071371</v>
      </c>
      <c r="M5009" t="s">
        <v>30027</v>
      </c>
      <c r="N5009" t="s">
        <v>13389</v>
      </c>
      <c r="O5009" t="s">
        <v>13389</v>
      </c>
      <c r="P5009">
        <v>59032</v>
      </c>
      <c r="Q5009" t="str">
        <f>"40.566676"</f>
        <v>40.566676</v>
      </c>
      <c r="R5009" t="str">
        <f>"22.549747"</f>
        <v>22.549747</v>
      </c>
      <c r="S5009" t="s">
        <v>26</v>
      </c>
    </row>
    <row r="5010" spans="1:19" x14ac:dyDescent="0.3">
      <c r="A5010" t="s">
        <v>25190</v>
      </c>
      <c r="B5010" t="s">
        <v>29658</v>
      </c>
      <c r="C5010" t="s">
        <v>30028</v>
      </c>
      <c r="D5010" t="s">
        <v>25191</v>
      </c>
      <c r="E5010" t="s">
        <v>26414</v>
      </c>
      <c r="F5010" t="s">
        <v>26519</v>
      </c>
      <c r="G5010" t="s">
        <v>29895</v>
      </c>
      <c r="H5010" t="s">
        <v>868</v>
      </c>
      <c r="I5010" t="s">
        <v>869</v>
      </c>
      <c r="J5010" t="str">
        <f>"9160153"</f>
        <v>9160153</v>
      </c>
      <c r="K5010">
        <v>2331039939</v>
      </c>
      <c r="M5010" t="s">
        <v>30029</v>
      </c>
      <c r="O5010" t="s">
        <v>30030</v>
      </c>
      <c r="P5010">
        <v>59100</v>
      </c>
      <c r="Q5010" t="str">
        <f>"40.571807"</f>
        <v>40.571807</v>
      </c>
      <c r="R5010" t="str">
        <f>"22.339690"</f>
        <v>22.339690</v>
      </c>
      <c r="S5010" t="s">
        <v>26</v>
      </c>
    </row>
    <row r="5011" spans="1:19" x14ac:dyDescent="0.3">
      <c r="A5011" t="s">
        <v>25190</v>
      </c>
      <c r="B5011" t="s">
        <v>29658</v>
      </c>
      <c r="C5011" t="s">
        <v>30031</v>
      </c>
      <c r="D5011" t="s">
        <v>25191</v>
      </c>
      <c r="E5011" t="s">
        <v>26414</v>
      </c>
      <c r="F5011" t="s">
        <v>26414</v>
      </c>
      <c r="G5011" t="s">
        <v>26414</v>
      </c>
      <c r="H5011" t="s">
        <v>868</v>
      </c>
      <c r="I5011" t="s">
        <v>869</v>
      </c>
      <c r="J5011" t="str">
        <f>"9520836"</f>
        <v>9520836</v>
      </c>
      <c r="K5011">
        <v>2333053126</v>
      </c>
      <c r="L5011">
        <v>2333053126</v>
      </c>
      <c r="M5011" t="s">
        <v>30032</v>
      </c>
      <c r="N5011" t="s">
        <v>26469</v>
      </c>
      <c r="O5011" t="s">
        <v>3196</v>
      </c>
      <c r="P5011">
        <v>59300</v>
      </c>
      <c r="Q5011" t="str">
        <f>"40.623819"</f>
        <v>40.623819</v>
      </c>
      <c r="R5011" t="str">
        <f>"22.435045"</f>
        <v>22.435045</v>
      </c>
      <c r="S5011" t="s">
        <v>26</v>
      </c>
    </row>
    <row r="5012" spans="1:19" x14ac:dyDescent="0.3">
      <c r="A5012" t="s">
        <v>25190</v>
      </c>
      <c r="B5012" t="s">
        <v>29658</v>
      </c>
      <c r="C5012" t="s">
        <v>30033</v>
      </c>
      <c r="D5012" t="s">
        <v>25191</v>
      </c>
      <c r="E5012" t="s">
        <v>26414</v>
      </c>
      <c r="F5012" t="s">
        <v>26414</v>
      </c>
      <c r="G5012" t="s">
        <v>26414</v>
      </c>
      <c r="H5012" t="s">
        <v>868</v>
      </c>
      <c r="I5012" t="s">
        <v>869</v>
      </c>
      <c r="J5012" t="str">
        <f>"9160007"</f>
        <v>9160007</v>
      </c>
      <c r="K5012">
        <v>2333022373</v>
      </c>
      <c r="L5012">
        <v>2333022373</v>
      </c>
      <c r="M5012" t="s">
        <v>30034</v>
      </c>
      <c r="N5012" t="s">
        <v>29904</v>
      </c>
      <c r="O5012" t="s">
        <v>29904</v>
      </c>
      <c r="P5012">
        <v>59300</v>
      </c>
      <c r="Q5012" t="str">
        <f>"40.613330"</f>
        <v>40.613330</v>
      </c>
      <c r="R5012" t="str">
        <f>"22.432384"</f>
        <v>22.432384</v>
      </c>
      <c r="S5012" t="s">
        <v>26</v>
      </c>
    </row>
    <row r="5013" spans="1:19" x14ac:dyDescent="0.3">
      <c r="A5013" t="s">
        <v>25190</v>
      </c>
      <c r="B5013" t="s">
        <v>29658</v>
      </c>
      <c r="C5013" t="s">
        <v>30035</v>
      </c>
      <c r="D5013" t="s">
        <v>25191</v>
      </c>
      <c r="E5013" t="s">
        <v>26414</v>
      </c>
      <c r="F5013" t="s">
        <v>26422</v>
      </c>
      <c r="G5013" t="s">
        <v>26422</v>
      </c>
      <c r="H5013" t="s">
        <v>868</v>
      </c>
      <c r="I5013" t="s">
        <v>869</v>
      </c>
      <c r="J5013" t="str">
        <f>"9160192"</f>
        <v>9160192</v>
      </c>
      <c r="K5013">
        <v>2331081000</v>
      </c>
      <c r="L5013">
        <v>2331081000</v>
      </c>
      <c r="M5013" t="s">
        <v>30036</v>
      </c>
      <c r="N5013" t="s">
        <v>29969</v>
      </c>
      <c r="O5013" t="s">
        <v>30037</v>
      </c>
      <c r="P5013">
        <v>59031</v>
      </c>
      <c r="Q5013" t="str">
        <f>"40.516522"</f>
        <v>40.516522</v>
      </c>
      <c r="R5013" t="str">
        <f>"22.393670"</f>
        <v>22.393670</v>
      </c>
      <c r="S5013" t="s">
        <v>26</v>
      </c>
    </row>
    <row r="5014" spans="1:19" x14ac:dyDescent="0.3">
      <c r="A5014" t="s">
        <v>25190</v>
      </c>
      <c r="B5014" t="s">
        <v>29658</v>
      </c>
      <c r="C5014" t="s">
        <v>26512</v>
      </c>
      <c r="D5014" t="s">
        <v>25191</v>
      </c>
      <c r="E5014" t="s">
        <v>26403</v>
      </c>
      <c r="F5014" t="s">
        <v>26507</v>
      </c>
      <c r="G5014" t="s">
        <v>26508</v>
      </c>
      <c r="H5014" t="s">
        <v>868</v>
      </c>
      <c r="I5014" t="s">
        <v>869</v>
      </c>
      <c r="J5014" t="str">
        <f>"9160100"</f>
        <v>9160100</v>
      </c>
      <c r="K5014">
        <v>2332041133</v>
      </c>
      <c r="L5014">
        <v>2332041133</v>
      </c>
      <c r="M5014" t="s">
        <v>30038</v>
      </c>
      <c r="N5014" t="s">
        <v>26508</v>
      </c>
      <c r="O5014" t="s">
        <v>152</v>
      </c>
      <c r="P5014">
        <v>59035</v>
      </c>
      <c r="Q5014" t="str">
        <f>"40.634736"</f>
        <v>40.634736</v>
      </c>
      <c r="R5014" t="str">
        <f>"22.125612"</f>
        <v>22.125612</v>
      </c>
      <c r="S5014" t="s">
        <v>26</v>
      </c>
    </row>
    <row r="5015" spans="1:19" x14ac:dyDescent="0.3">
      <c r="A5015" t="s">
        <v>25190</v>
      </c>
      <c r="B5015" t="s">
        <v>29658</v>
      </c>
      <c r="C5015" t="s">
        <v>26427</v>
      </c>
      <c r="D5015" t="s">
        <v>25191</v>
      </c>
      <c r="E5015" t="s">
        <v>26414</v>
      </c>
      <c r="F5015" t="s">
        <v>26422</v>
      </c>
      <c r="G5015" t="s">
        <v>26422</v>
      </c>
      <c r="H5015" t="s">
        <v>868</v>
      </c>
      <c r="I5015" t="s">
        <v>869</v>
      </c>
      <c r="J5015" t="str">
        <f>"9160040"</f>
        <v>9160040</v>
      </c>
      <c r="K5015">
        <v>2331081210</v>
      </c>
      <c r="L5015">
        <v>2331081210</v>
      </c>
      <c r="M5015" t="s">
        <v>30039</v>
      </c>
      <c r="N5015" t="s">
        <v>29969</v>
      </c>
      <c r="O5015" t="s">
        <v>29969</v>
      </c>
      <c r="P5015">
        <v>59031</v>
      </c>
      <c r="Q5015" t="str">
        <f>"40.516922"</f>
        <v>40.516922</v>
      </c>
      <c r="R5015" t="str">
        <f>"22.402282"</f>
        <v>22.402282</v>
      </c>
      <c r="S5015" t="s">
        <v>26</v>
      </c>
    </row>
    <row r="5016" spans="1:19" x14ac:dyDescent="0.3">
      <c r="A5016" t="s">
        <v>25190</v>
      </c>
      <c r="B5016" t="s">
        <v>29658</v>
      </c>
      <c r="C5016" t="s">
        <v>26518</v>
      </c>
      <c r="D5016" t="s">
        <v>25191</v>
      </c>
      <c r="E5016" t="s">
        <v>26403</v>
      </c>
      <c r="F5016" t="s">
        <v>26507</v>
      </c>
      <c r="G5016" t="s">
        <v>26513</v>
      </c>
      <c r="H5016" t="s">
        <v>868</v>
      </c>
      <c r="I5016" t="s">
        <v>869</v>
      </c>
      <c r="J5016" t="str">
        <f>"9160092"</f>
        <v>9160092</v>
      </c>
      <c r="K5016">
        <v>2332044222</v>
      </c>
      <c r="L5016">
        <v>2332044222</v>
      </c>
      <c r="M5016" t="s">
        <v>30040</v>
      </c>
      <c r="N5016" t="s">
        <v>30041</v>
      </c>
      <c r="O5016" t="s">
        <v>30042</v>
      </c>
      <c r="P5016">
        <v>59200</v>
      </c>
      <c r="Q5016" t="str">
        <f>"40.687993"</f>
        <v>40.687993</v>
      </c>
      <c r="R5016" t="str">
        <f>"22.135724"</f>
        <v>22.135724</v>
      </c>
      <c r="S5016" t="s">
        <v>26</v>
      </c>
    </row>
    <row r="5017" spans="1:19" x14ac:dyDescent="0.3">
      <c r="A5017" t="s">
        <v>25190</v>
      </c>
      <c r="B5017" t="s">
        <v>29658</v>
      </c>
      <c r="C5017" t="s">
        <v>26484</v>
      </c>
      <c r="D5017" t="s">
        <v>25191</v>
      </c>
      <c r="E5017" t="s">
        <v>26403</v>
      </c>
      <c r="F5017" t="s">
        <v>26478</v>
      </c>
      <c r="G5017" t="s">
        <v>26479</v>
      </c>
      <c r="H5017" t="s">
        <v>868</v>
      </c>
      <c r="I5017" t="s">
        <v>869</v>
      </c>
      <c r="J5017" t="str">
        <f>"9160087"</f>
        <v>9160087</v>
      </c>
      <c r="K5017">
        <v>2332047209</v>
      </c>
      <c r="L5017">
        <v>2332047209</v>
      </c>
      <c r="M5017" t="s">
        <v>30043</v>
      </c>
      <c r="N5017" t="s">
        <v>26482</v>
      </c>
      <c r="O5017" t="s">
        <v>30044</v>
      </c>
      <c r="P5017">
        <v>59034</v>
      </c>
      <c r="Q5017" t="str">
        <f>"40.674224"</f>
        <v>40.674224</v>
      </c>
      <c r="R5017" t="str">
        <f>"22.199175"</f>
        <v>22.199175</v>
      </c>
      <c r="S5017" t="s">
        <v>26</v>
      </c>
    </row>
    <row r="5018" spans="1:19" x14ac:dyDescent="0.3">
      <c r="A5018" t="s">
        <v>25190</v>
      </c>
      <c r="B5018" t="s">
        <v>29658</v>
      </c>
      <c r="C5018" t="s">
        <v>30045</v>
      </c>
      <c r="D5018" t="s">
        <v>25191</v>
      </c>
      <c r="E5018" t="s">
        <v>25192</v>
      </c>
      <c r="F5018" t="s">
        <v>25192</v>
      </c>
      <c r="G5018" t="s">
        <v>25192</v>
      </c>
      <c r="H5018" t="s">
        <v>868</v>
      </c>
      <c r="I5018" t="s">
        <v>869</v>
      </c>
      <c r="J5018" t="str">
        <f>"9160021"</f>
        <v>9160021</v>
      </c>
      <c r="K5018">
        <v>2331061615</v>
      </c>
      <c r="L5018">
        <v>2331061615</v>
      </c>
      <c r="M5018" t="s">
        <v>30046</v>
      </c>
      <c r="N5018" t="s">
        <v>25195</v>
      </c>
      <c r="O5018" t="s">
        <v>29665</v>
      </c>
      <c r="P5018">
        <v>59132</v>
      </c>
      <c r="Q5018" t="str">
        <f>"40.513185"</f>
        <v>40.513185</v>
      </c>
      <c r="R5018" t="str">
        <f>"22.203954"</f>
        <v>22.203954</v>
      </c>
      <c r="S5018" t="s">
        <v>26</v>
      </c>
    </row>
    <row r="5019" spans="1:19" x14ac:dyDescent="0.3">
      <c r="A5019" t="s">
        <v>25190</v>
      </c>
      <c r="B5019" t="s">
        <v>29658</v>
      </c>
      <c r="C5019" t="s">
        <v>30047</v>
      </c>
      <c r="D5019" t="s">
        <v>25191</v>
      </c>
      <c r="E5019" t="s">
        <v>25192</v>
      </c>
      <c r="F5019" t="s">
        <v>25192</v>
      </c>
      <c r="G5019" t="s">
        <v>25192</v>
      </c>
      <c r="H5019" t="s">
        <v>868</v>
      </c>
      <c r="I5019" t="s">
        <v>869</v>
      </c>
      <c r="J5019" t="str">
        <f>"9160019"</f>
        <v>9160019</v>
      </c>
      <c r="K5019">
        <v>2331025633</v>
      </c>
      <c r="L5019">
        <v>2331025633</v>
      </c>
      <c r="M5019" t="s">
        <v>30048</v>
      </c>
      <c r="N5019" t="s">
        <v>25195</v>
      </c>
      <c r="O5019" t="s">
        <v>30049</v>
      </c>
      <c r="P5019">
        <v>59132</v>
      </c>
      <c r="Q5019" t="str">
        <f>"40.518903"</f>
        <v>40.518903</v>
      </c>
      <c r="R5019" t="str">
        <f>"22.200399"</f>
        <v>22.200399</v>
      </c>
      <c r="S5019" t="s">
        <v>26</v>
      </c>
    </row>
    <row r="5020" spans="1:19" x14ac:dyDescent="0.3">
      <c r="A5020" t="s">
        <v>25190</v>
      </c>
      <c r="B5020" t="s">
        <v>29658</v>
      </c>
      <c r="C5020" t="s">
        <v>30050</v>
      </c>
      <c r="D5020" t="s">
        <v>25191</v>
      </c>
      <c r="E5020" t="s">
        <v>25192</v>
      </c>
      <c r="F5020" t="s">
        <v>25192</v>
      </c>
      <c r="G5020" t="s">
        <v>25192</v>
      </c>
      <c r="H5020" t="s">
        <v>868</v>
      </c>
      <c r="I5020" t="s">
        <v>869</v>
      </c>
      <c r="J5020" t="str">
        <f>"9160125"</f>
        <v>9160125</v>
      </c>
      <c r="K5020">
        <v>2331024439</v>
      </c>
      <c r="L5020">
        <v>2331024439</v>
      </c>
      <c r="M5020" t="s">
        <v>30051</v>
      </c>
      <c r="N5020" t="s">
        <v>25195</v>
      </c>
      <c r="O5020" t="s">
        <v>30052</v>
      </c>
      <c r="P5020">
        <v>59132</v>
      </c>
      <c r="Q5020" t="str">
        <f>"40.524819"</f>
        <v>40.524819</v>
      </c>
      <c r="R5020" t="str">
        <f>"22.203921"</f>
        <v>22.203921</v>
      </c>
      <c r="S5020" t="s">
        <v>26</v>
      </c>
    </row>
    <row r="5021" spans="1:19" x14ac:dyDescent="0.3">
      <c r="A5021" t="s">
        <v>25190</v>
      </c>
      <c r="B5021" t="s">
        <v>29658</v>
      </c>
      <c r="C5021" t="s">
        <v>26440</v>
      </c>
      <c r="D5021" t="s">
        <v>25191</v>
      </c>
      <c r="E5021" t="s">
        <v>26414</v>
      </c>
      <c r="F5021" t="s">
        <v>26414</v>
      </c>
      <c r="G5021" t="s">
        <v>26414</v>
      </c>
      <c r="H5021" t="s">
        <v>868</v>
      </c>
      <c r="I5021" t="s">
        <v>869</v>
      </c>
      <c r="J5021" t="str">
        <f>"9160004"</f>
        <v>9160004</v>
      </c>
      <c r="K5021">
        <v>2333023206</v>
      </c>
      <c r="L5021">
        <v>2333023206</v>
      </c>
      <c r="M5021" t="s">
        <v>30053</v>
      </c>
      <c r="N5021" t="s">
        <v>26469</v>
      </c>
      <c r="O5021" t="s">
        <v>30054</v>
      </c>
      <c r="P5021">
        <v>59300</v>
      </c>
      <c r="Q5021" t="str">
        <f>"40.626900"</f>
        <v>40.626900</v>
      </c>
      <c r="R5021" t="str">
        <f>"22.444550"</f>
        <v>22.444550</v>
      </c>
      <c r="S5021" t="s">
        <v>26</v>
      </c>
    </row>
    <row r="5022" spans="1:19" x14ac:dyDescent="0.3">
      <c r="A5022" t="s">
        <v>25190</v>
      </c>
      <c r="B5022" t="s">
        <v>29658</v>
      </c>
      <c r="C5022" t="s">
        <v>26419</v>
      </c>
      <c r="D5022" t="s">
        <v>25191</v>
      </c>
      <c r="E5022" t="s">
        <v>26414</v>
      </c>
      <c r="F5022" t="s">
        <v>26414</v>
      </c>
      <c r="G5022" t="s">
        <v>26414</v>
      </c>
      <c r="H5022" t="s">
        <v>868</v>
      </c>
      <c r="I5022" t="s">
        <v>869</v>
      </c>
      <c r="J5022" t="str">
        <f>"9520834"</f>
        <v>9520834</v>
      </c>
      <c r="K5022">
        <v>2333053124</v>
      </c>
      <c r="L5022">
        <v>2333053124</v>
      </c>
      <c r="M5022" t="s">
        <v>30055</v>
      </c>
      <c r="N5022" t="s">
        <v>26469</v>
      </c>
      <c r="O5022" t="s">
        <v>30005</v>
      </c>
      <c r="P5022">
        <v>59300</v>
      </c>
      <c r="Q5022" t="str">
        <f>"40.626954"</f>
        <v>40.626954</v>
      </c>
      <c r="R5022" t="str">
        <f>"22.444100"</f>
        <v>22.444100</v>
      </c>
      <c r="S5022" t="s">
        <v>26</v>
      </c>
    </row>
    <row r="5023" spans="1:19" x14ac:dyDescent="0.3">
      <c r="A5023" t="s">
        <v>25190</v>
      </c>
      <c r="B5023" t="s">
        <v>29658</v>
      </c>
      <c r="C5023" t="s">
        <v>30056</v>
      </c>
      <c r="D5023" t="s">
        <v>25191</v>
      </c>
      <c r="E5023" t="s">
        <v>26414</v>
      </c>
      <c r="F5023" t="s">
        <v>26414</v>
      </c>
      <c r="G5023" t="s">
        <v>29961</v>
      </c>
      <c r="H5023" t="s">
        <v>868</v>
      </c>
      <c r="I5023" t="s">
        <v>869</v>
      </c>
      <c r="J5023" t="str">
        <f>"9160151"</f>
        <v>9160151</v>
      </c>
      <c r="K5023">
        <v>2333051007</v>
      </c>
      <c r="L5023">
        <v>2333051007</v>
      </c>
      <c r="M5023" t="s">
        <v>30057</v>
      </c>
      <c r="N5023" t="s">
        <v>30058</v>
      </c>
      <c r="O5023" t="s">
        <v>29964</v>
      </c>
      <c r="P5023">
        <v>59300</v>
      </c>
      <c r="Q5023" t="str">
        <f>"40.618048"</f>
        <v>40.618048</v>
      </c>
      <c r="R5023" t="str">
        <f>"22.405754"</f>
        <v>22.405754</v>
      </c>
      <c r="S5023" t="s">
        <v>26</v>
      </c>
    </row>
    <row r="5024" spans="1:19" x14ac:dyDescent="0.3">
      <c r="A5024" t="s">
        <v>25190</v>
      </c>
      <c r="B5024" t="s">
        <v>29658</v>
      </c>
      <c r="C5024" t="s">
        <v>26495</v>
      </c>
      <c r="D5024" t="s">
        <v>25191</v>
      </c>
      <c r="E5024" t="s">
        <v>26414</v>
      </c>
      <c r="F5024" t="s">
        <v>13055</v>
      </c>
      <c r="G5024" t="s">
        <v>20680</v>
      </c>
      <c r="H5024" t="s">
        <v>868</v>
      </c>
      <c r="I5024" t="s">
        <v>869</v>
      </c>
      <c r="J5024" t="str">
        <f>"9160063"</f>
        <v>9160063</v>
      </c>
      <c r="K5024">
        <v>2333081336</v>
      </c>
      <c r="L5024">
        <v>2333081336</v>
      </c>
      <c r="M5024" t="s">
        <v>30059</v>
      </c>
      <c r="N5024" t="s">
        <v>30060</v>
      </c>
      <c r="O5024" t="s">
        <v>30060</v>
      </c>
      <c r="P5024">
        <v>59032</v>
      </c>
      <c r="Q5024" t="str">
        <f>"40.598915"</f>
        <v>40.598915</v>
      </c>
      <c r="R5024" t="str">
        <f>"22.557227"</f>
        <v>22.557227</v>
      </c>
      <c r="S5024" t="s">
        <v>26</v>
      </c>
    </row>
    <row r="5025" spans="1:19" x14ac:dyDescent="0.3">
      <c r="A5025" t="s">
        <v>25190</v>
      </c>
      <c r="B5025" t="s">
        <v>29658</v>
      </c>
      <c r="C5025" t="s">
        <v>30061</v>
      </c>
      <c r="D5025" t="s">
        <v>25191</v>
      </c>
      <c r="E5025" t="s">
        <v>26403</v>
      </c>
      <c r="F5025" t="s">
        <v>26507</v>
      </c>
      <c r="G5025" t="s">
        <v>29685</v>
      </c>
      <c r="H5025" t="s">
        <v>868</v>
      </c>
      <c r="I5025" t="s">
        <v>869</v>
      </c>
      <c r="J5025" t="str">
        <f>"9160103"</f>
        <v>9160103</v>
      </c>
      <c r="K5025">
        <v>2332044478</v>
      </c>
      <c r="L5025">
        <v>2332044478</v>
      </c>
      <c r="M5025" t="s">
        <v>30062</v>
      </c>
      <c r="N5025" t="s">
        <v>29689</v>
      </c>
      <c r="O5025" t="s">
        <v>29689</v>
      </c>
      <c r="P5025">
        <v>59200</v>
      </c>
      <c r="Q5025" t="str">
        <f>"40.691379"</f>
        <v>40.691379</v>
      </c>
      <c r="R5025" t="str">
        <f>"22.106096"</f>
        <v>22.106096</v>
      </c>
      <c r="S5025" t="s">
        <v>26</v>
      </c>
    </row>
    <row r="5026" spans="1:19" x14ac:dyDescent="0.3">
      <c r="A5026" t="s">
        <v>25190</v>
      </c>
      <c r="B5026" t="s">
        <v>29658</v>
      </c>
      <c r="C5026" t="s">
        <v>30063</v>
      </c>
      <c r="D5026" t="s">
        <v>25191</v>
      </c>
      <c r="E5026" t="s">
        <v>25192</v>
      </c>
      <c r="F5026" t="s">
        <v>25192</v>
      </c>
      <c r="G5026" t="s">
        <v>25192</v>
      </c>
      <c r="H5026" t="s">
        <v>868</v>
      </c>
      <c r="I5026" t="s">
        <v>869</v>
      </c>
      <c r="J5026" t="str">
        <f>"9160017"</f>
        <v>9160017</v>
      </c>
      <c r="K5026">
        <v>2331023332</v>
      </c>
      <c r="L5026">
        <v>2331023332</v>
      </c>
      <c r="M5026" t="s">
        <v>30064</v>
      </c>
      <c r="N5026" t="s">
        <v>25195</v>
      </c>
      <c r="O5026" t="s">
        <v>29814</v>
      </c>
      <c r="P5026">
        <v>59132</v>
      </c>
      <c r="Q5026" t="str">
        <f>"40.519332"</f>
        <v>40.519332</v>
      </c>
      <c r="R5026" t="str">
        <f>"22.205432"</f>
        <v>22.205432</v>
      </c>
      <c r="S5026" t="s">
        <v>26</v>
      </c>
    </row>
    <row r="5027" spans="1:19" x14ac:dyDescent="0.3">
      <c r="A5027" t="s">
        <v>25190</v>
      </c>
      <c r="B5027" t="s">
        <v>29658</v>
      </c>
      <c r="C5027" t="s">
        <v>26525</v>
      </c>
      <c r="D5027" t="s">
        <v>25191</v>
      </c>
      <c r="E5027" t="s">
        <v>25192</v>
      </c>
      <c r="F5027" t="s">
        <v>25192</v>
      </c>
      <c r="G5027" t="s">
        <v>19496</v>
      </c>
      <c r="H5027" t="s">
        <v>868</v>
      </c>
      <c r="I5027" t="s">
        <v>869</v>
      </c>
      <c r="J5027" t="str">
        <f>"9160177"</f>
        <v>9160177</v>
      </c>
      <c r="K5027">
        <v>2331020320</v>
      </c>
      <c r="L5027">
        <v>2331020320</v>
      </c>
      <c r="M5027" t="s">
        <v>30065</v>
      </c>
      <c r="N5027" t="s">
        <v>30066</v>
      </c>
      <c r="O5027" t="s">
        <v>30067</v>
      </c>
      <c r="P5027">
        <v>59100</v>
      </c>
      <c r="Q5027" t="str">
        <f>"40.484795"</f>
        <v>40.484795</v>
      </c>
      <c r="R5027" t="str">
        <f>"22.213604"</f>
        <v>22.213604</v>
      </c>
      <c r="S5027" t="s">
        <v>26</v>
      </c>
    </row>
    <row r="5028" spans="1:19" x14ac:dyDescent="0.3">
      <c r="A5028" t="s">
        <v>25190</v>
      </c>
      <c r="B5028" t="s">
        <v>29658</v>
      </c>
      <c r="C5028" t="s">
        <v>30068</v>
      </c>
      <c r="D5028" t="s">
        <v>25191</v>
      </c>
      <c r="E5028" t="s">
        <v>26403</v>
      </c>
      <c r="F5028" t="s">
        <v>26403</v>
      </c>
      <c r="G5028" t="s">
        <v>26404</v>
      </c>
      <c r="H5028" t="s">
        <v>868</v>
      </c>
      <c r="I5028" t="s">
        <v>869</v>
      </c>
      <c r="J5028" t="str">
        <f>"9160193"</f>
        <v>9160193</v>
      </c>
      <c r="K5028">
        <v>2332022718</v>
      </c>
      <c r="L5028">
        <v>2332022718</v>
      </c>
      <c r="M5028" t="s">
        <v>30069</v>
      </c>
      <c r="N5028" t="s">
        <v>26407</v>
      </c>
      <c r="O5028" t="s">
        <v>10978</v>
      </c>
      <c r="P5028">
        <v>59200</v>
      </c>
      <c r="Q5028" t="str">
        <f>"40.631447"</f>
        <v>40.631447</v>
      </c>
      <c r="R5028" t="str">
        <f>"22.070974"</f>
        <v>22.070974</v>
      </c>
      <c r="S5028" t="s">
        <v>26</v>
      </c>
    </row>
    <row r="5029" spans="1:19" x14ac:dyDescent="0.3">
      <c r="A5029" t="s">
        <v>25190</v>
      </c>
      <c r="B5029" t="s">
        <v>29658</v>
      </c>
      <c r="C5029" t="s">
        <v>26456</v>
      </c>
      <c r="D5029" t="s">
        <v>25191</v>
      </c>
      <c r="E5029" t="s">
        <v>25192</v>
      </c>
      <c r="F5029" t="s">
        <v>25192</v>
      </c>
      <c r="G5029" t="s">
        <v>25192</v>
      </c>
      <c r="H5029" t="s">
        <v>868</v>
      </c>
      <c r="I5029" t="s">
        <v>869</v>
      </c>
      <c r="J5029" t="str">
        <f>"9160016"</f>
        <v>9160016</v>
      </c>
      <c r="K5029">
        <v>2331027538</v>
      </c>
      <c r="L5029">
        <v>2331027538</v>
      </c>
      <c r="M5029" t="s">
        <v>30070</v>
      </c>
      <c r="N5029" t="s">
        <v>25195</v>
      </c>
      <c r="O5029" t="s">
        <v>30071</v>
      </c>
      <c r="P5029">
        <v>59132</v>
      </c>
      <c r="Q5029" t="str">
        <f>"40.512357"</f>
        <v>40.512357</v>
      </c>
      <c r="R5029" t="str">
        <f>"22.210458"</f>
        <v>22.210458</v>
      </c>
      <c r="S5029" t="s">
        <v>26</v>
      </c>
    </row>
    <row r="5030" spans="1:19" x14ac:dyDescent="0.3">
      <c r="A5030" t="s">
        <v>25190</v>
      </c>
      <c r="B5030" t="s">
        <v>29658</v>
      </c>
      <c r="C5030" t="s">
        <v>26430</v>
      </c>
      <c r="D5030" t="s">
        <v>25191</v>
      </c>
      <c r="E5030" t="s">
        <v>26403</v>
      </c>
      <c r="F5030" t="s">
        <v>26403</v>
      </c>
      <c r="G5030" t="s">
        <v>26404</v>
      </c>
      <c r="H5030" t="s">
        <v>868</v>
      </c>
      <c r="I5030" t="s">
        <v>869</v>
      </c>
      <c r="J5030" t="str">
        <f>"9160213"</f>
        <v>9160213</v>
      </c>
      <c r="K5030">
        <v>2332024140</v>
      </c>
      <c r="L5030">
        <v>2332024140</v>
      </c>
      <c r="M5030" t="s">
        <v>30072</v>
      </c>
      <c r="N5030" t="s">
        <v>26407</v>
      </c>
      <c r="O5030" t="s">
        <v>26501</v>
      </c>
      <c r="P5030">
        <v>59200</v>
      </c>
      <c r="Q5030" t="str">
        <f>"40.625790"</f>
        <v>40.625790</v>
      </c>
      <c r="R5030" t="str">
        <f>"22.057450"</f>
        <v>22.057450</v>
      </c>
      <c r="S5030" t="s">
        <v>26</v>
      </c>
    </row>
    <row r="5031" spans="1:19" x14ac:dyDescent="0.3">
      <c r="A5031" t="s">
        <v>25190</v>
      </c>
      <c r="B5031" t="s">
        <v>29658</v>
      </c>
      <c r="C5031" t="s">
        <v>30075</v>
      </c>
      <c r="D5031" t="s">
        <v>25191</v>
      </c>
      <c r="E5031" t="s">
        <v>25192</v>
      </c>
      <c r="F5031" t="s">
        <v>26460</v>
      </c>
      <c r="G5031" t="s">
        <v>29715</v>
      </c>
      <c r="H5031" t="s">
        <v>868</v>
      </c>
      <c r="I5031" t="s">
        <v>869</v>
      </c>
      <c r="J5031" t="str">
        <f>"9160159"</f>
        <v>9160159</v>
      </c>
      <c r="K5031">
        <v>2331042145</v>
      </c>
      <c r="L5031">
        <v>2331042145</v>
      </c>
      <c r="M5031" t="s">
        <v>30076</v>
      </c>
      <c r="N5031" t="s">
        <v>30077</v>
      </c>
      <c r="P5031">
        <v>59150</v>
      </c>
      <c r="Q5031" t="str">
        <f>"40.573231"</f>
        <v>40.573231</v>
      </c>
      <c r="R5031" t="str">
        <f>"22.238259"</f>
        <v>22.238259</v>
      </c>
      <c r="S5031" t="s">
        <v>26</v>
      </c>
    </row>
    <row r="5032" spans="1:19" x14ac:dyDescent="0.3">
      <c r="A5032" t="s">
        <v>25190</v>
      </c>
      <c r="B5032" t="s">
        <v>29658</v>
      </c>
      <c r="C5032" t="s">
        <v>30078</v>
      </c>
      <c r="D5032" t="s">
        <v>25191</v>
      </c>
      <c r="E5032" t="s">
        <v>25192</v>
      </c>
      <c r="F5032" t="s">
        <v>26460</v>
      </c>
      <c r="G5032" t="s">
        <v>15967</v>
      </c>
      <c r="H5032" t="s">
        <v>868</v>
      </c>
      <c r="I5032" t="s">
        <v>869</v>
      </c>
      <c r="J5032" t="str">
        <f>"9160155"</f>
        <v>9160155</v>
      </c>
      <c r="K5032">
        <v>2331097278</v>
      </c>
      <c r="L5032">
        <v>2331097278</v>
      </c>
      <c r="M5032" t="s">
        <v>30079</v>
      </c>
      <c r="N5032" t="s">
        <v>29790</v>
      </c>
      <c r="O5032" t="s">
        <v>29790</v>
      </c>
      <c r="P5032">
        <v>59033</v>
      </c>
      <c r="Q5032" t="str">
        <f>"40.547067"</f>
        <v>40.547067</v>
      </c>
      <c r="R5032" t="str">
        <f>"22.318199"</f>
        <v>22.318199</v>
      </c>
      <c r="S5032" t="s">
        <v>26</v>
      </c>
    </row>
    <row r="5033" spans="1:19" x14ac:dyDescent="0.3">
      <c r="A5033" t="s">
        <v>25190</v>
      </c>
      <c r="B5033" t="s">
        <v>29658</v>
      </c>
      <c r="C5033" t="s">
        <v>30080</v>
      </c>
      <c r="D5033" t="s">
        <v>25191</v>
      </c>
      <c r="E5033" t="s">
        <v>25192</v>
      </c>
      <c r="F5033" t="s">
        <v>26460</v>
      </c>
      <c r="G5033" t="s">
        <v>18057</v>
      </c>
      <c r="H5033" t="s">
        <v>868</v>
      </c>
      <c r="I5033" t="s">
        <v>869</v>
      </c>
      <c r="J5033" t="str">
        <f>"9160163"</f>
        <v>9160163</v>
      </c>
      <c r="K5033">
        <v>2331041221</v>
      </c>
      <c r="L5033">
        <v>2331041221</v>
      </c>
      <c r="M5033" t="s">
        <v>30081</v>
      </c>
      <c r="N5033" t="s">
        <v>26463</v>
      </c>
      <c r="O5033" t="s">
        <v>30082</v>
      </c>
      <c r="P5033">
        <v>59033</v>
      </c>
      <c r="Q5033" t="str">
        <f>"40.554007"</f>
        <v>40.554007</v>
      </c>
      <c r="R5033" t="str">
        <f>"22.255956"</f>
        <v>22.255956</v>
      </c>
      <c r="S5033" t="s">
        <v>26</v>
      </c>
    </row>
    <row r="5034" spans="1:19" x14ac:dyDescent="0.3">
      <c r="A5034" t="s">
        <v>25190</v>
      </c>
      <c r="B5034" t="s">
        <v>29658</v>
      </c>
      <c r="C5034" t="s">
        <v>30083</v>
      </c>
      <c r="D5034" t="s">
        <v>25191</v>
      </c>
      <c r="E5034" t="s">
        <v>26414</v>
      </c>
      <c r="F5034" t="s">
        <v>26414</v>
      </c>
      <c r="G5034" t="s">
        <v>26414</v>
      </c>
      <c r="H5034" t="s">
        <v>868</v>
      </c>
      <c r="I5034" t="s">
        <v>869</v>
      </c>
      <c r="J5034" t="str">
        <f>"9160006"</f>
        <v>9160006</v>
      </c>
      <c r="K5034">
        <v>2333023607</v>
      </c>
      <c r="L5034">
        <v>2333023607</v>
      </c>
      <c r="M5034" t="s">
        <v>30084</v>
      </c>
      <c r="N5034" t="s">
        <v>26469</v>
      </c>
      <c r="O5034" t="s">
        <v>3196</v>
      </c>
      <c r="P5034">
        <v>59300</v>
      </c>
      <c r="Q5034" t="str">
        <f>"40.624345"</f>
        <v>40.624345</v>
      </c>
      <c r="R5034" t="str">
        <f>"22.435304"</f>
        <v>22.435304</v>
      </c>
      <c r="S5034" t="s">
        <v>26</v>
      </c>
    </row>
    <row r="5035" spans="1:19" x14ac:dyDescent="0.3">
      <c r="A5035" t="s">
        <v>25190</v>
      </c>
      <c r="B5035" t="s">
        <v>29658</v>
      </c>
      <c r="C5035" t="s">
        <v>30085</v>
      </c>
      <c r="D5035" t="s">
        <v>25191</v>
      </c>
      <c r="E5035" t="s">
        <v>26414</v>
      </c>
      <c r="F5035" t="s">
        <v>13055</v>
      </c>
      <c r="G5035" t="s">
        <v>19570</v>
      </c>
      <c r="H5035" t="s">
        <v>868</v>
      </c>
      <c r="I5035" t="s">
        <v>869</v>
      </c>
      <c r="J5035" t="str">
        <f>"9160030"</f>
        <v>9160030</v>
      </c>
      <c r="K5035">
        <v>2333071206</v>
      </c>
      <c r="L5035">
        <v>2333071206</v>
      </c>
      <c r="M5035" t="s">
        <v>30086</v>
      </c>
      <c r="N5035" t="s">
        <v>19573</v>
      </c>
      <c r="O5035" t="s">
        <v>30087</v>
      </c>
      <c r="P5035">
        <v>59032</v>
      </c>
      <c r="Q5035" t="str">
        <f>"40.568685"</f>
        <v>40.568685</v>
      </c>
      <c r="R5035" t="str">
        <f>"22.589612"</f>
        <v>22.589612</v>
      </c>
      <c r="S5035" t="s">
        <v>26</v>
      </c>
    </row>
    <row r="5036" spans="1:19" x14ac:dyDescent="0.3">
      <c r="A5036" t="s">
        <v>25190</v>
      </c>
      <c r="B5036" t="s">
        <v>29658</v>
      </c>
      <c r="C5036" t="s">
        <v>30088</v>
      </c>
      <c r="D5036" t="s">
        <v>25191</v>
      </c>
      <c r="E5036" t="s">
        <v>25192</v>
      </c>
      <c r="F5036" t="s">
        <v>26460</v>
      </c>
      <c r="G5036" t="s">
        <v>29862</v>
      </c>
      <c r="H5036" t="s">
        <v>868</v>
      </c>
      <c r="I5036" t="s">
        <v>869</v>
      </c>
      <c r="J5036" t="str">
        <f>"9160145"</f>
        <v>9160145</v>
      </c>
      <c r="K5036">
        <v>2331043454</v>
      </c>
      <c r="L5036">
        <v>2331043454</v>
      </c>
      <c r="M5036" t="s">
        <v>30089</v>
      </c>
      <c r="N5036" t="s">
        <v>25191</v>
      </c>
      <c r="O5036" t="s">
        <v>29865</v>
      </c>
      <c r="P5036">
        <v>59150</v>
      </c>
      <c r="Q5036" t="str">
        <f>"40.546710"</f>
        <v>40.546710</v>
      </c>
      <c r="R5036" t="str">
        <f>"22.266427"</f>
        <v>22.266427</v>
      </c>
      <c r="S5036" t="s">
        <v>26</v>
      </c>
    </row>
    <row r="5037" spans="1:19" x14ac:dyDescent="0.3">
      <c r="A5037" t="s">
        <v>25190</v>
      </c>
      <c r="B5037" t="s">
        <v>29658</v>
      </c>
      <c r="C5037" t="s">
        <v>30090</v>
      </c>
      <c r="D5037" t="s">
        <v>25191</v>
      </c>
      <c r="E5037" t="s">
        <v>25192</v>
      </c>
      <c r="F5037" t="s">
        <v>26460</v>
      </c>
      <c r="G5037" t="s">
        <v>18057</v>
      </c>
      <c r="H5037" t="s">
        <v>868</v>
      </c>
      <c r="I5037" t="s">
        <v>869</v>
      </c>
      <c r="J5037" t="str">
        <f>"9160164"</f>
        <v>9160164</v>
      </c>
      <c r="K5037">
        <v>2331041220</v>
      </c>
      <c r="L5037">
        <v>2331041220</v>
      </c>
      <c r="M5037" t="s">
        <v>30091</v>
      </c>
      <c r="N5037" t="s">
        <v>26570</v>
      </c>
      <c r="O5037" t="s">
        <v>30092</v>
      </c>
      <c r="P5037">
        <v>59033</v>
      </c>
      <c r="Q5037" t="str">
        <f>"40.549007"</f>
        <v>40.549007</v>
      </c>
      <c r="R5037" t="str">
        <f>"22.235129"</f>
        <v>22.235129</v>
      </c>
      <c r="S5037" t="s">
        <v>26</v>
      </c>
    </row>
    <row r="5038" spans="1:19" x14ac:dyDescent="0.3">
      <c r="A5038" t="s">
        <v>25190</v>
      </c>
      <c r="B5038" t="s">
        <v>29658</v>
      </c>
      <c r="C5038" t="s">
        <v>30093</v>
      </c>
      <c r="D5038" t="s">
        <v>25191</v>
      </c>
      <c r="E5038" t="s">
        <v>25192</v>
      </c>
      <c r="F5038" t="s">
        <v>25192</v>
      </c>
      <c r="G5038" t="s">
        <v>5162</v>
      </c>
      <c r="H5038" t="s">
        <v>868</v>
      </c>
      <c r="I5038" t="s">
        <v>869</v>
      </c>
      <c r="J5038" t="str">
        <f>"9160133"</f>
        <v>9160133</v>
      </c>
      <c r="K5038">
        <v>2331091215</v>
      </c>
      <c r="L5038">
        <v>2331091215</v>
      </c>
      <c r="M5038" t="s">
        <v>30094</v>
      </c>
      <c r="N5038" t="s">
        <v>5165</v>
      </c>
      <c r="O5038" t="s">
        <v>5165</v>
      </c>
      <c r="P5038">
        <v>59100</v>
      </c>
      <c r="Q5038" t="str">
        <f>"40.496430"</f>
        <v>40.496430</v>
      </c>
      <c r="R5038" t="str">
        <f>"22.244063"</f>
        <v>22.244063</v>
      </c>
      <c r="S5038" t="s">
        <v>26</v>
      </c>
    </row>
    <row r="5039" spans="1:19" x14ac:dyDescent="0.3">
      <c r="A5039" t="s">
        <v>25190</v>
      </c>
      <c r="B5039" t="s">
        <v>29658</v>
      </c>
      <c r="C5039" t="s">
        <v>30095</v>
      </c>
      <c r="D5039" t="s">
        <v>25191</v>
      </c>
      <c r="E5039" t="s">
        <v>26414</v>
      </c>
      <c r="F5039" t="s">
        <v>26422</v>
      </c>
      <c r="G5039" t="s">
        <v>22056</v>
      </c>
      <c r="H5039" t="s">
        <v>868</v>
      </c>
      <c r="I5039" t="s">
        <v>869</v>
      </c>
      <c r="J5039" t="str">
        <f>"9160058"</f>
        <v>9160058</v>
      </c>
      <c r="K5039">
        <v>2331095056</v>
      </c>
      <c r="L5039">
        <v>2331095056</v>
      </c>
      <c r="M5039" t="s">
        <v>30096</v>
      </c>
      <c r="N5039" t="s">
        <v>30097</v>
      </c>
      <c r="O5039" t="s">
        <v>29885</v>
      </c>
      <c r="P5039">
        <v>59031</v>
      </c>
      <c r="Q5039" t="str">
        <f>"40.550436"</f>
        <v>40.550436</v>
      </c>
      <c r="R5039" t="str">
        <f>"22.396027"</f>
        <v>22.396027</v>
      </c>
      <c r="S5039" t="s">
        <v>26</v>
      </c>
    </row>
    <row r="5040" spans="1:19" x14ac:dyDescent="0.3">
      <c r="A5040" t="s">
        <v>25190</v>
      </c>
      <c r="B5040" t="s">
        <v>29658</v>
      </c>
      <c r="C5040" t="s">
        <v>26491</v>
      </c>
      <c r="D5040" t="s">
        <v>25191</v>
      </c>
      <c r="E5040" t="s">
        <v>25192</v>
      </c>
      <c r="F5040" t="s">
        <v>26485</v>
      </c>
      <c r="G5040" t="s">
        <v>29778</v>
      </c>
      <c r="H5040" t="s">
        <v>868</v>
      </c>
      <c r="I5040" t="s">
        <v>869</v>
      </c>
      <c r="J5040" t="str">
        <f>"9160045"</f>
        <v>9160045</v>
      </c>
      <c r="K5040">
        <v>2331092338</v>
      </c>
      <c r="L5040">
        <v>2331092338</v>
      </c>
      <c r="M5040" t="s">
        <v>30098</v>
      </c>
      <c r="O5040" t="s">
        <v>30099</v>
      </c>
      <c r="P5040">
        <v>59031</v>
      </c>
      <c r="Q5040" t="str">
        <f>"40.485671"</f>
        <v>40.485671</v>
      </c>
      <c r="R5040" t="str">
        <f>"22.317509"</f>
        <v>22.317509</v>
      </c>
      <c r="S5040" t="s">
        <v>26</v>
      </c>
    </row>
    <row r="5041" spans="1:19" x14ac:dyDescent="0.3">
      <c r="A5041" t="s">
        <v>25190</v>
      </c>
      <c r="B5041" t="s">
        <v>29658</v>
      </c>
      <c r="C5041" t="s">
        <v>26541</v>
      </c>
      <c r="D5041" t="s">
        <v>25191</v>
      </c>
      <c r="E5041" t="s">
        <v>25192</v>
      </c>
      <c r="F5041" t="s">
        <v>26535</v>
      </c>
      <c r="G5041" t="s">
        <v>26536</v>
      </c>
      <c r="H5041" t="s">
        <v>868</v>
      </c>
      <c r="I5041" t="s">
        <v>869</v>
      </c>
      <c r="J5041" t="str">
        <f>"9160060"</f>
        <v>9160060</v>
      </c>
      <c r="K5041">
        <v>2331096530</v>
      </c>
      <c r="L5041">
        <v>2331096530</v>
      </c>
      <c r="M5041" t="s">
        <v>30100</v>
      </c>
      <c r="N5041" t="s">
        <v>30101</v>
      </c>
      <c r="O5041" t="s">
        <v>30102</v>
      </c>
      <c r="P5041">
        <v>59100</v>
      </c>
      <c r="Q5041" t="str">
        <f>"40.351964"</f>
        <v>40.351964</v>
      </c>
      <c r="R5041" t="str">
        <f>"22.209814"</f>
        <v>22.209814</v>
      </c>
      <c r="S5041" t="s">
        <v>26</v>
      </c>
    </row>
    <row r="5042" spans="1:19" x14ac:dyDescent="0.3">
      <c r="A5042" t="s">
        <v>25190</v>
      </c>
      <c r="B5042" t="s">
        <v>29658</v>
      </c>
      <c r="C5042" t="s">
        <v>30103</v>
      </c>
      <c r="D5042" t="s">
        <v>25191</v>
      </c>
      <c r="E5042" t="s">
        <v>25192</v>
      </c>
      <c r="F5042" t="s">
        <v>29758</v>
      </c>
      <c r="G5042" t="s">
        <v>29854</v>
      </c>
      <c r="H5042" t="s">
        <v>868</v>
      </c>
      <c r="I5042" t="s">
        <v>869</v>
      </c>
      <c r="J5042" t="str">
        <f>"9160070"</f>
        <v>9160070</v>
      </c>
      <c r="K5042">
        <v>2331022046</v>
      </c>
      <c r="L5042">
        <v>2331022046</v>
      </c>
      <c r="M5042" t="s">
        <v>30104</v>
      </c>
      <c r="N5042" t="s">
        <v>29858</v>
      </c>
      <c r="O5042" t="s">
        <v>30105</v>
      </c>
      <c r="P5042">
        <v>59100</v>
      </c>
      <c r="Q5042" t="str">
        <f>"40.560840"</f>
        <v>40.560840</v>
      </c>
      <c r="R5042" t="str">
        <f>"22.183528"</f>
        <v>22.183528</v>
      </c>
      <c r="S5042" t="s">
        <v>26</v>
      </c>
    </row>
    <row r="5043" spans="1:19" x14ac:dyDescent="0.3">
      <c r="A5043" t="s">
        <v>25190</v>
      </c>
      <c r="B5043" t="s">
        <v>29658</v>
      </c>
      <c r="C5043" t="s">
        <v>30120</v>
      </c>
      <c r="D5043" t="s">
        <v>25191</v>
      </c>
      <c r="E5043" t="s">
        <v>25192</v>
      </c>
      <c r="F5043" t="s">
        <v>29758</v>
      </c>
      <c r="G5043" t="s">
        <v>1872</v>
      </c>
      <c r="H5043" t="s">
        <v>868</v>
      </c>
      <c r="I5043" t="s">
        <v>869</v>
      </c>
      <c r="J5043" t="str">
        <f>"9160138"</f>
        <v>9160138</v>
      </c>
      <c r="K5043">
        <v>2331051223</v>
      </c>
      <c r="L5043">
        <v>2331051186</v>
      </c>
      <c r="M5043" t="s">
        <v>30121</v>
      </c>
      <c r="N5043" t="s">
        <v>12409</v>
      </c>
      <c r="O5043" t="s">
        <v>30122</v>
      </c>
      <c r="P5043">
        <v>59100</v>
      </c>
      <c r="Q5043" t="str">
        <f>"40.602608"</f>
        <v>40.602608</v>
      </c>
      <c r="R5043" t="str">
        <f>"22.194967"</f>
        <v>22.194967</v>
      </c>
      <c r="S5043" t="s">
        <v>26</v>
      </c>
    </row>
    <row r="5044" spans="1:19" x14ac:dyDescent="0.3">
      <c r="A5044" t="s">
        <v>25190</v>
      </c>
      <c r="B5044" t="s">
        <v>29658</v>
      </c>
      <c r="C5044" t="s">
        <v>30123</v>
      </c>
      <c r="D5044" t="s">
        <v>25191</v>
      </c>
      <c r="E5044" t="s">
        <v>26414</v>
      </c>
      <c r="F5044" t="s">
        <v>26414</v>
      </c>
      <c r="G5044" t="s">
        <v>13744</v>
      </c>
      <c r="H5044" t="s">
        <v>868</v>
      </c>
      <c r="I5044" t="s">
        <v>869</v>
      </c>
      <c r="J5044" t="str">
        <f>"9160182"</f>
        <v>9160182</v>
      </c>
      <c r="K5044">
        <v>2333022291</v>
      </c>
      <c r="L5044">
        <v>2333022291</v>
      </c>
      <c r="M5044" t="s">
        <v>30124</v>
      </c>
      <c r="N5044" t="s">
        <v>13748</v>
      </c>
      <c r="O5044" t="s">
        <v>13748</v>
      </c>
      <c r="P5044">
        <v>59300</v>
      </c>
      <c r="Q5044" t="str">
        <f>"40.667346"</f>
        <v>40.667346</v>
      </c>
      <c r="R5044" t="str">
        <f>"22.445066"</f>
        <v>22.445066</v>
      </c>
      <c r="S5044" t="s">
        <v>26</v>
      </c>
    </row>
    <row r="5045" spans="1:19" x14ac:dyDescent="0.3">
      <c r="A5045" t="s">
        <v>25190</v>
      </c>
      <c r="B5045" t="s">
        <v>29658</v>
      </c>
      <c r="C5045" t="s">
        <v>26471</v>
      </c>
      <c r="D5045" t="s">
        <v>25191</v>
      </c>
      <c r="E5045" t="s">
        <v>26414</v>
      </c>
      <c r="F5045" t="s">
        <v>13055</v>
      </c>
      <c r="G5045" t="s">
        <v>13055</v>
      </c>
      <c r="H5045" t="s">
        <v>868</v>
      </c>
      <c r="I5045" t="s">
        <v>869</v>
      </c>
      <c r="J5045" t="str">
        <f>"9160176"</f>
        <v>9160176</v>
      </c>
      <c r="K5045">
        <v>2333063278</v>
      </c>
      <c r="L5045">
        <v>2333063278</v>
      </c>
      <c r="M5045" t="s">
        <v>30125</v>
      </c>
      <c r="O5045" t="s">
        <v>26477</v>
      </c>
      <c r="P5045">
        <v>59032</v>
      </c>
      <c r="Q5045" t="str">
        <f>"40.642606"</f>
        <v>40.642606</v>
      </c>
      <c r="R5045" t="str">
        <f>"22.535521"</f>
        <v>22.535521</v>
      </c>
      <c r="S5045" t="s">
        <v>26</v>
      </c>
    </row>
    <row r="5046" spans="1:19" x14ac:dyDescent="0.3">
      <c r="A5046" t="s">
        <v>25190</v>
      </c>
      <c r="B5046" t="s">
        <v>29658</v>
      </c>
      <c r="C5046" t="s">
        <v>30126</v>
      </c>
      <c r="D5046" t="s">
        <v>25191</v>
      </c>
      <c r="E5046" t="s">
        <v>26414</v>
      </c>
      <c r="F5046" t="s">
        <v>26519</v>
      </c>
      <c r="G5046" t="s">
        <v>21878</v>
      </c>
      <c r="H5046" t="s">
        <v>868</v>
      </c>
      <c r="I5046" t="s">
        <v>869</v>
      </c>
      <c r="J5046" t="str">
        <f>"9160179"</f>
        <v>9160179</v>
      </c>
      <c r="K5046">
        <v>2331039244</v>
      </c>
      <c r="L5046">
        <v>2331039244</v>
      </c>
      <c r="M5046" t="s">
        <v>30127</v>
      </c>
      <c r="N5046" t="s">
        <v>21881</v>
      </c>
      <c r="O5046" t="s">
        <v>30128</v>
      </c>
      <c r="P5046">
        <v>59100</v>
      </c>
      <c r="Q5046" t="str">
        <f>"40.588049"</f>
        <v>40.588049</v>
      </c>
      <c r="R5046" t="str">
        <f>"22.304942"</f>
        <v>22.304942</v>
      </c>
      <c r="S5046" t="s">
        <v>26</v>
      </c>
    </row>
    <row r="5047" spans="1:19" x14ac:dyDescent="0.3">
      <c r="A5047" t="s">
        <v>25190</v>
      </c>
      <c r="B5047" t="s">
        <v>30129</v>
      </c>
      <c r="C5047" t="s">
        <v>26619</v>
      </c>
      <c r="D5047" t="s">
        <v>25207</v>
      </c>
      <c r="E5047" t="s">
        <v>26604</v>
      </c>
      <c r="F5047" t="s">
        <v>26614</v>
      </c>
      <c r="G5047" t="s">
        <v>26614</v>
      </c>
      <c r="H5047" t="s">
        <v>868</v>
      </c>
      <c r="I5047" t="s">
        <v>869</v>
      </c>
      <c r="J5047" t="str">
        <f>"9260187"</f>
        <v>9260187</v>
      </c>
      <c r="K5047">
        <v>2343041256</v>
      </c>
      <c r="L5047">
        <v>2343041256</v>
      </c>
      <c r="M5047" t="s">
        <v>30136</v>
      </c>
      <c r="N5047" t="s">
        <v>26617</v>
      </c>
      <c r="O5047" t="s">
        <v>30137</v>
      </c>
      <c r="P5047">
        <v>61300</v>
      </c>
      <c r="Q5047" t="str">
        <f>"40.950285"</f>
        <v>40.950285</v>
      </c>
      <c r="R5047" t="str">
        <f>"22.451832"</f>
        <v>22.451832</v>
      </c>
      <c r="S5047" t="s">
        <v>26</v>
      </c>
    </row>
    <row r="5048" spans="1:19" x14ac:dyDescent="0.3">
      <c r="A5048" t="s">
        <v>25190</v>
      </c>
      <c r="B5048" t="s">
        <v>30129</v>
      </c>
      <c r="C5048" t="s">
        <v>30147</v>
      </c>
      <c r="D5048" t="s">
        <v>25207</v>
      </c>
      <c r="E5048" t="s">
        <v>26604</v>
      </c>
      <c r="F5048" t="s">
        <v>26645</v>
      </c>
      <c r="G5048" t="s">
        <v>26691</v>
      </c>
      <c r="H5048" t="s">
        <v>868</v>
      </c>
      <c r="I5048" t="s">
        <v>950</v>
      </c>
      <c r="J5048" t="str">
        <f>"9260173"</f>
        <v>9260173</v>
      </c>
      <c r="K5048">
        <v>2343092244</v>
      </c>
      <c r="L5048">
        <v>2343092244</v>
      </c>
      <c r="M5048" t="s">
        <v>30148</v>
      </c>
      <c r="N5048" t="s">
        <v>30149</v>
      </c>
      <c r="O5048" t="s">
        <v>30149</v>
      </c>
      <c r="P5048">
        <v>61200</v>
      </c>
      <c r="Q5048" t="str">
        <f>"41.105234"</f>
        <v>41.105234</v>
      </c>
      <c r="R5048" t="str">
        <f>"22.623581"</f>
        <v>22.623581</v>
      </c>
      <c r="S5048" t="s">
        <v>26</v>
      </c>
    </row>
    <row r="5049" spans="1:19" x14ac:dyDescent="0.3">
      <c r="A5049" t="s">
        <v>25190</v>
      </c>
      <c r="B5049" t="s">
        <v>30129</v>
      </c>
      <c r="C5049" t="s">
        <v>30201</v>
      </c>
      <c r="D5049" t="s">
        <v>25207</v>
      </c>
      <c r="E5049" t="s">
        <v>26604</v>
      </c>
      <c r="F5049" t="s">
        <v>26605</v>
      </c>
      <c r="G5049" t="s">
        <v>30187</v>
      </c>
      <c r="H5049" t="s">
        <v>868</v>
      </c>
      <c r="I5049" t="s">
        <v>869</v>
      </c>
      <c r="J5049" t="str">
        <f>"9260183"</f>
        <v>9260183</v>
      </c>
      <c r="K5049">
        <v>2343031561</v>
      </c>
      <c r="L5049">
        <v>2343031561</v>
      </c>
      <c r="M5049" t="s">
        <v>30202</v>
      </c>
      <c r="N5049" t="s">
        <v>30187</v>
      </c>
      <c r="O5049" t="s">
        <v>30187</v>
      </c>
      <c r="P5049">
        <v>61400</v>
      </c>
      <c r="Q5049" t="str">
        <f>"40.960771"</f>
        <v>40.960771</v>
      </c>
      <c r="R5049" t="str">
        <f>"22.523942"</f>
        <v>22.523942</v>
      </c>
      <c r="S5049" t="s">
        <v>26</v>
      </c>
    </row>
    <row r="5050" spans="1:19" x14ac:dyDescent="0.3">
      <c r="A5050" t="s">
        <v>25190</v>
      </c>
      <c r="B5050" t="s">
        <v>30129</v>
      </c>
      <c r="C5050" t="s">
        <v>30229</v>
      </c>
      <c r="D5050" t="s">
        <v>25207</v>
      </c>
      <c r="E5050" t="s">
        <v>26604</v>
      </c>
      <c r="F5050" t="s">
        <v>26614</v>
      </c>
      <c r="G5050" t="s">
        <v>26614</v>
      </c>
      <c r="H5050" t="s">
        <v>868</v>
      </c>
      <c r="I5050" t="s">
        <v>869</v>
      </c>
      <c r="J5050" t="str">
        <f>"9260186"</f>
        <v>9260186</v>
      </c>
      <c r="K5050">
        <v>2343041350</v>
      </c>
      <c r="L5050">
        <v>2343041350</v>
      </c>
      <c r="M5050" t="s">
        <v>30230</v>
      </c>
      <c r="N5050" t="s">
        <v>26617</v>
      </c>
      <c r="O5050" t="s">
        <v>30231</v>
      </c>
      <c r="P5050">
        <v>61300</v>
      </c>
      <c r="Q5050" t="str">
        <f>"40.942854"</f>
        <v>40.942854</v>
      </c>
      <c r="R5050" t="str">
        <f>"22.453285"</f>
        <v>22.453285</v>
      </c>
      <c r="S5050" t="s">
        <v>26</v>
      </c>
    </row>
    <row r="5051" spans="1:19" x14ac:dyDescent="0.3">
      <c r="A5051" t="s">
        <v>25190</v>
      </c>
      <c r="B5051" t="s">
        <v>30129</v>
      </c>
      <c r="C5051" t="s">
        <v>26590</v>
      </c>
      <c r="D5051" t="s">
        <v>25207</v>
      </c>
      <c r="E5051" t="s">
        <v>25207</v>
      </c>
      <c r="F5051" t="s">
        <v>26584</v>
      </c>
      <c r="G5051" t="s">
        <v>26585</v>
      </c>
      <c r="H5051" t="s">
        <v>868</v>
      </c>
      <c r="I5051" t="s">
        <v>950</v>
      </c>
      <c r="J5051" t="str">
        <f>"9260164"</f>
        <v>9260164</v>
      </c>
      <c r="K5051">
        <v>2341094005</v>
      </c>
      <c r="L5051">
        <v>2341094005</v>
      </c>
      <c r="M5051" t="s">
        <v>30247</v>
      </c>
      <c r="N5051" t="s">
        <v>26589</v>
      </c>
      <c r="O5051" t="s">
        <v>26589</v>
      </c>
      <c r="P5051">
        <v>61100</v>
      </c>
      <c r="Q5051" t="str">
        <f>"40.921650"</f>
        <v>40.921650</v>
      </c>
      <c r="R5051" t="str">
        <f>"22.744432"</f>
        <v>22.744432</v>
      </c>
      <c r="S5051" t="s">
        <v>26</v>
      </c>
    </row>
    <row r="5052" spans="1:19" x14ac:dyDescent="0.3">
      <c r="A5052" t="s">
        <v>25190</v>
      </c>
      <c r="B5052" t="s">
        <v>30129</v>
      </c>
      <c r="C5052" t="s">
        <v>26717</v>
      </c>
      <c r="D5052" t="s">
        <v>25207</v>
      </c>
      <c r="E5052" t="s">
        <v>25207</v>
      </c>
      <c r="F5052" t="s">
        <v>25207</v>
      </c>
      <c r="G5052" t="s">
        <v>25207</v>
      </c>
      <c r="H5052" t="s">
        <v>868</v>
      </c>
      <c r="I5052" t="s">
        <v>869</v>
      </c>
      <c r="J5052" t="str">
        <f>"9260006"</f>
        <v>9260006</v>
      </c>
      <c r="K5052">
        <v>2341022434</v>
      </c>
      <c r="L5052">
        <v>2341022434</v>
      </c>
      <c r="M5052" t="s">
        <v>30248</v>
      </c>
      <c r="N5052" t="s">
        <v>25207</v>
      </c>
      <c r="O5052" t="s">
        <v>30249</v>
      </c>
      <c r="P5052">
        <v>61100</v>
      </c>
      <c r="Q5052" t="str">
        <f>"40.990945"</f>
        <v>40.990945</v>
      </c>
      <c r="R5052" t="str">
        <f>"22.876877"</f>
        <v>22.876877</v>
      </c>
      <c r="S5052" t="s">
        <v>26</v>
      </c>
    </row>
    <row r="5053" spans="1:19" x14ac:dyDescent="0.3">
      <c r="A5053" t="s">
        <v>25190</v>
      </c>
      <c r="B5053" t="s">
        <v>30129</v>
      </c>
      <c r="C5053" t="s">
        <v>26665</v>
      </c>
      <c r="D5053" t="s">
        <v>25207</v>
      </c>
      <c r="E5053" t="s">
        <v>25207</v>
      </c>
      <c r="F5053" t="s">
        <v>26584</v>
      </c>
      <c r="G5053" t="s">
        <v>26661</v>
      </c>
      <c r="H5053" t="s">
        <v>868</v>
      </c>
      <c r="I5053" t="s">
        <v>869</v>
      </c>
      <c r="J5053" t="str">
        <f>"9260135"</f>
        <v>9260135</v>
      </c>
      <c r="K5053">
        <v>2341093202</v>
      </c>
      <c r="L5053">
        <v>2341093202</v>
      </c>
      <c r="M5053" t="s">
        <v>30251</v>
      </c>
      <c r="N5053" t="s">
        <v>26664</v>
      </c>
      <c r="O5053" t="s">
        <v>26664</v>
      </c>
      <c r="P5053">
        <v>57011</v>
      </c>
      <c r="Q5053" t="str">
        <f>"40.809468"</f>
        <v>40.809468</v>
      </c>
      <c r="R5053" t="str">
        <f>"22.706487"</f>
        <v>22.706487</v>
      </c>
      <c r="S5053" t="s">
        <v>26</v>
      </c>
    </row>
    <row r="5054" spans="1:19" x14ac:dyDescent="0.3">
      <c r="A5054" t="s">
        <v>25190</v>
      </c>
      <c r="B5054" t="s">
        <v>30129</v>
      </c>
      <c r="C5054" t="s">
        <v>30252</v>
      </c>
      <c r="D5054" t="s">
        <v>25207</v>
      </c>
      <c r="E5054" t="s">
        <v>25207</v>
      </c>
      <c r="F5054" t="s">
        <v>25207</v>
      </c>
      <c r="G5054" t="s">
        <v>25207</v>
      </c>
      <c r="H5054" t="s">
        <v>868</v>
      </c>
      <c r="I5054" t="s">
        <v>869</v>
      </c>
      <c r="J5054" t="str">
        <f>"9260249"</f>
        <v>9260249</v>
      </c>
      <c r="K5054">
        <v>2341026699</v>
      </c>
      <c r="L5054">
        <v>2341026699</v>
      </c>
      <c r="M5054" t="s">
        <v>30253</v>
      </c>
      <c r="N5054" t="s">
        <v>25207</v>
      </c>
      <c r="O5054" t="s">
        <v>30254</v>
      </c>
      <c r="P5054">
        <v>61100</v>
      </c>
      <c r="Q5054" t="str">
        <f>"40.990945"</f>
        <v>40.990945</v>
      </c>
      <c r="R5054" t="str">
        <f>"22.876877"</f>
        <v>22.876877</v>
      </c>
      <c r="S5054" t="s">
        <v>26</v>
      </c>
    </row>
    <row r="5055" spans="1:19" x14ac:dyDescent="0.3">
      <c r="A5055" t="s">
        <v>25190</v>
      </c>
      <c r="B5055" t="s">
        <v>30129</v>
      </c>
      <c r="C5055" t="s">
        <v>30255</v>
      </c>
      <c r="D5055" t="s">
        <v>25207</v>
      </c>
      <c r="E5055" t="s">
        <v>25207</v>
      </c>
      <c r="F5055" t="s">
        <v>25207</v>
      </c>
      <c r="G5055" t="s">
        <v>30143</v>
      </c>
      <c r="H5055" t="s">
        <v>868</v>
      </c>
      <c r="I5055" t="s">
        <v>869</v>
      </c>
      <c r="J5055" t="str">
        <f>"9260073"</f>
        <v>9260073</v>
      </c>
      <c r="K5055">
        <v>2341024749</v>
      </c>
      <c r="L5055">
        <v>2341024749</v>
      </c>
      <c r="M5055" t="s">
        <v>30256</v>
      </c>
      <c r="N5055" t="s">
        <v>26669</v>
      </c>
      <c r="O5055" t="s">
        <v>30257</v>
      </c>
      <c r="P5055">
        <v>61100</v>
      </c>
      <c r="Q5055" t="str">
        <f>"40.959274"</f>
        <v>40.959274</v>
      </c>
      <c r="R5055" t="str">
        <f>"22.859679"</f>
        <v>22.859679</v>
      </c>
      <c r="S5055" t="s">
        <v>26</v>
      </c>
    </row>
    <row r="5056" spans="1:19" x14ac:dyDescent="0.3">
      <c r="A5056" t="s">
        <v>25190</v>
      </c>
      <c r="B5056" t="s">
        <v>30129</v>
      </c>
      <c r="C5056" t="s">
        <v>26688</v>
      </c>
      <c r="D5056" t="s">
        <v>25207</v>
      </c>
      <c r="E5056" t="s">
        <v>25207</v>
      </c>
      <c r="F5056" t="s">
        <v>26682</v>
      </c>
      <c r="G5056" t="s">
        <v>26683</v>
      </c>
      <c r="H5056" t="s">
        <v>868</v>
      </c>
      <c r="I5056" t="s">
        <v>869</v>
      </c>
      <c r="J5056" t="str">
        <f>"9260059"</f>
        <v>9260059</v>
      </c>
      <c r="K5056">
        <v>2341041318</v>
      </c>
      <c r="L5056">
        <v>2341041318</v>
      </c>
      <c r="M5056" t="s">
        <v>30258</v>
      </c>
      <c r="N5056" t="s">
        <v>26687</v>
      </c>
      <c r="O5056" t="s">
        <v>26687</v>
      </c>
      <c r="P5056">
        <v>61100</v>
      </c>
      <c r="Q5056" t="str">
        <f>"40.891745"</f>
        <v>40.891745</v>
      </c>
      <c r="R5056" t="str">
        <f>"22.914709"</f>
        <v>22.914709</v>
      </c>
      <c r="S5056" t="s">
        <v>26</v>
      </c>
    </row>
    <row r="5057" spans="1:19" x14ac:dyDescent="0.3">
      <c r="A5057" t="s">
        <v>25190</v>
      </c>
      <c r="B5057" t="s">
        <v>30129</v>
      </c>
      <c r="C5057" t="s">
        <v>30259</v>
      </c>
      <c r="D5057" t="s">
        <v>25207</v>
      </c>
      <c r="E5057" t="s">
        <v>26604</v>
      </c>
      <c r="F5057" t="s">
        <v>26645</v>
      </c>
      <c r="G5057" t="s">
        <v>30190</v>
      </c>
      <c r="H5057" t="s">
        <v>868</v>
      </c>
      <c r="I5057" t="s">
        <v>950</v>
      </c>
      <c r="J5057" t="str">
        <f>"9260142"</f>
        <v>9260142</v>
      </c>
      <c r="K5057">
        <v>2343095394</v>
      </c>
      <c r="M5057" t="s">
        <v>30260</v>
      </c>
      <c r="N5057" t="s">
        <v>30261</v>
      </c>
      <c r="O5057" t="s">
        <v>30261</v>
      </c>
      <c r="P5057">
        <v>61200</v>
      </c>
      <c r="Q5057" t="str">
        <f>"40.899109"</f>
        <v>40.899109</v>
      </c>
      <c r="R5057" t="str">
        <f>"22.629511"</f>
        <v>22.629511</v>
      </c>
      <c r="S5057" t="s">
        <v>26</v>
      </c>
    </row>
    <row r="5058" spans="1:19" x14ac:dyDescent="0.3">
      <c r="A5058" t="s">
        <v>25190</v>
      </c>
      <c r="B5058" t="s">
        <v>30129</v>
      </c>
      <c r="C5058" t="s">
        <v>26641</v>
      </c>
      <c r="D5058" t="s">
        <v>25207</v>
      </c>
      <c r="E5058" t="s">
        <v>26604</v>
      </c>
      <c r="F5058" t="s">
        <v>26637</v>
      </c>
      <c r="G5058" t="s">
        <v>26637</v>
      </c>
      <c r="H5058" t="s">
        <v>868</v>
      </c>
      <c r="I5058" t="s">
        <v>869</v>
      </c>
      <c r="J5058" t="str">
        <f>"9260193"</f>
        <v>9260193</v>
      </c>
      <c r="K5058">
        <v>2343061150</v>
      </c>
      <c r="M5058" t="s">
        <v>30264</v>
      </c>
      <c r="N5058" t="s">
        <v>26640</v>
      </c>
      <c r="O5058" t="s">
        <v>26640</v>
      </c>
      <c r="P5058">
        <v>61007</v>
      </c>
      <c r="Q5058" t="str">
        <f>"40.897017"</f>
        <v>40.897017</v>
      </c>
      <c r="R5058" t="str">
        <f>"22.552132"</f>
        <v>22.552132</v>
      </c>
      <c r="S5058" t="s">
        <v>26</v>
      </c>
    </row>
    <row r="5059" spans="1:19" x14ac:dyDescent="0.3">
      <c r="A5059" t="s">
        <v>25190</v>
      </c>
      <c r="B5059" t="s">
        <v>30129</v>
      </c>
      <c r="C5059" t="s">
        <v>30265</v>
      </c>
      <c r="D5059" t="s">
        <v>25207</v>
      </c>
      <c r="E5059" t="s">
        <v>25207</v>
      </c>
      <c r="F5059" t="s">
        <v>26584</v>
      </c>
      <c r="G5059" t="s">
        <v>30213</v>
      </c>
      <c r="H5059" t="s">
        <v>868</v>
      </c>
      <c r="I5059" t="s">
        <v>869</v>
      </c>
      <c r="J5059" t="str">
        <f>"9260157"</f>
        <v>9260157</v>
      </c>
      <c r="K5059">
        <v>2341091066</v>
      </c>
      <c r="L5059">
        <v>2341091066</v>
      </c>
      <c r="M5059" t="s">
        <v>30266</v>
      </c>
      <c r="N5059" t="s">
        <v>30216</v>
      </c>
      <c r="O5059" t="s">
        <v>30216</v>
      </c>
      <c r="P5059">
        <v>61100</v>
      </c>
      <c r="Q5059" t="str">
        <f>"40.888051"</f>
        <v>40.888051</v>
      </c>
      <c r="R5059" t="str">
        <f>"22.811475"</f>
        <v>22.811475</v>
      </c>
      <c r="S5059" t="s">
        <v>26</v>
      </c>
    </row>
    <row r="5060" spans="1:19" x14ac:dyDescent="0.3">
      <c r="A5060" t="s">
        <v>25190</v>
      </c>
      <c r="B5060" t="s">
        <v>30129</v>
      </c>
      <c r="C5060" t="s">
        <v>30279</v>
      </c>
      <c r="D5060" t="s">
        <v>25207</v>
      </c>
      <c r="E5060" t="s">
        <v>25207</v>
      </c>
      <c r="F5060" t="s">
        <v>26591</v>
      </c>
      <c r="G5060" t="s">
        <v>30278</v>
      </c>
      <c r="H5060" t="s">
        <v>868</v>
      </c>
      <c r="I5060" t="s">
        <v>950</v>
      </c>
      <c r="J5060" t="str">
        <f>"9260111"</f>
        <v>9260111</v>
      </c>
      <c r="K5060">
        <v>2341031132</v>
      </c>
      <c r="L5060">
        <v>2341031132</v>
      </c>
      <c r="M5060" t="s">
        <v>30280</v>
      </c>
      <c r="N5060" t="s">
        <v>30281</v>
      </c>
      <c r="O5060" t="s">
        <v>30281</v>
      </c>
      <c r="P5060">
        <v>61003</v>
      </c>
      <c r="Q5060" t="str">
        <f>"41.224061"</f>
        <v>41.224061</v>
      </c>
      <c r="R5060" t="str">
        <f>"22.818267"</f>
        <v>22.818267</v>
      </c>
      <c r="S5060" t="s">
        <v>26</v>
      </c>
    </row>
    <row r="5061" spans="1:19" x14ac:dyDescent="0.3">
      <c r="A5061" t="s">
        <v>25190</v>
      </c>
      <c r="B5061" t="s">
        <v>30129</v>
      </c>
      <c r="C5061" t="s">
        <v>26701</v>
      </c>
      <c r="D5061" t="s">
        <v>25207</v>
      </c>
      <c r="E5061" t="s">
        <v>25207</v>
      </c>
      <c r="F5061" t="s">
        <v>25207</v>
      </c>
      <c r="G5061" t="s">
        <v>30138</v>
      </c>
      <c r="H5061" t="s">
        <v>868</v>
      </c>
      <c r="I5061" t="s">
        <v>869</v>
      </c>
      <c r="J5061" t="str">
        <f>"9260084"</f>
        <v>9260084</v>
      </c>
      <c r="K5061">
        <v>2341071595</v>
      </c>
      <c r="L5061">
        <v>2341071595</v>
      </c>
      <c r="M5061" t="s">
        <v>30282</v>
      </c>
      <c r="N5061" t="s">
        <v>30142</v>
      </c>
      <c r="O5061" t="s">
        <v>30142</v>
      </c>
      <c r="P5061">
        <v>61100</v>
      </c>
      <c r="Q5061" t="str">
        <f>"41.007882"</f>
        <v>41.007882</v>
      </c>
      <c r="R5061" t="str">
        <f>"22.794218"</f>
        <v>22.794218</v>
      </c>
      <c r="S5061" t="s">
        <v>26</v>
      </c>
    </row>
    <row r="5062" spans="1:19" x14ac:dyDescent="0.3">
      <c r="A5062" t="s">
        <v>25190</v>
      </c>
      <c r="B5062" t="s">
        <v>30129</v>
      </c>
      <c r="C5062" t="s">
        <v>26695</v>
      </c>
      <c r="D5062" t="s">
        <v>25207</v>
      </c>
      <c r="E5062" t="s">
        <v>26604</v>
      </c>
      <c r="F5062" t="s">
        <v>26645</v>
      </c>
      <c r="G5062" t="s">
        <v>30223</v>
      </c>
      <c r="H5062" t="s">
        <v>868</v>
      </c>
      <c r="I5062" t="s">
        <v>950</v>
      </c>
      <c r="J5062" t="str">
        <f>"9260150"</f>
        <v>9260150</v>
      </c>
      <c r="K5062">
        <v>2343092233</v>
      </c>
      <c r="L5062">
        <v>2343092233</v>
      </c>
      <c r="M5062" t="s">
        <v>30285</v>
      </c>
      <c r="N5062" t="s">
        <v>20356</v>
      </c>
      <c r="O5062" t="s">
        <v>20356</v>
      </c>
      <c r="P5062">
        <v>61200</v>
      </c>
      <c r="Q5062" t="str">
        <f>"41.066341"</f>
        <v>41.066341</v>
      </c>
      <c r="R5062" t="str">
        <f>"22.594823"</f>
        <v>22.594823</v>
      </c>
      <c r="S5062" t="s">
        <v>26</v>
      </c>
    </row>
    <row r="5063" spans="1:19" x14ac:dyDescent="0.3">
      <c r="A5063" t="s">
        <v>25190</v>
      </c>
      <c r="B5063" t="s">
        <v>30129</v>
      </c>
      <c r="C5063" t="s">
        <v>26650</v>
      </c>
      <c r="D5063" t="s">
        <v>25207</v>
      </c>
      <c r="E5063" t="s">
        <v>26604</v>
      </c>
      <c r="F5063" t="s">
        <v>26645</v>
      </c>
      <c r="G5063" t="s">
        <v>26645</v>
      </c>
      <c r="H5063" t="s">
        <v>868</v>
      </c>
      <c r="I5063" t="s">
        <v>869</v>
      </c>
      <c r="J5063" t="str">
        <f>"9260169"</f>
        <v>9260169</v>
      </c>
      <c r="K5063">
        <v>2343022444</v>
      </c>
      <c r="L5063">
        <v>2343022444</v>
      </c>
      <c r="M5063" t="s">
        <v>30286</v>
      </c>
      <c r="N5063" t="s">
        <v>30287</v>
      </c>
      <c r="O5063" t="s">
        <v>8006</v>
      </c>
      <c r="P5063">
        <v>61200</v>
      </c>
      <c r="Q5063" t="str">
        <f>"40.997541"</f>
        <v>40.997541</v>
      </c>
      <c r="R5063" t="str">
        <f>"22.569169"</f>
        <v>22.569169</v>
      </c>
      <c r="S5063" t="s">
        <v>26</v>
      </c>
    </row>
    <row r="5064" spans="1:19" x14ac:dyDescent="0.3">
      <c r="A5064" t="s">
        <v>25190</v>
      </c>
      <c r="B5064" t="s">
        <v>30129</v>
      </c>
      <c r="C5064" t="s">
        <v>30288</v>
      </c>
      <c r="D5064" t="s">
        <v>25207</v>
      </c>
      <c r="E5064" t="s">
        <v>25207</v>
      </c>
      <c r="F5064" t="s">
        <v>25207</v>
      </c>
      <c r="G5064" t="s">
        <v>25207</v>
      </c>
      <c r="H5064" t="s">
        <v>868</v>
      </c>
      <c r="I5064" t="s">
        <v>869</v>
      </c>
      <c r="J5064" t="str">
        <f>"9260242"</f>
        <v>9260242</v>
      </c>
      <c r="K5064">
        <v>2341029424</v>
      </c>
      <c r="L5064">
        <v>2341029424</v>
      </c>
      <c r="M5064" t="s">
        <v>30289</v>
      </c>
      <c r="N5064" t="s">
        <v>25207</v>
      </c>
      <c r="O5064" t="s">
        <v>30290</v>
      </c>
      <c r="P5064">
        <v>61100</v>
      </c>
      <c r="Q5064" t="str">
        <f>"40.987521"</f>
        <v>40.987521</v>
      </c>
      <c r="R5064" t="str">
        <f>"22.873080"</f>
        <v>22.873080</v>
      </c>
      <c r="S5064" t="s">
        <v>26</v>
      </c>
    </row>
    <row r="5065" spans="1:19" x14ac:dyDescent="0.3">
      <c r="A5065" t="s">
        <v>25190</v>
      </c>
      <c r="B5065" t="s">
        <v>30129</v>
      </c>
      <c r="C5065" t="s">
        <v>30291</v>
      </c>
      <c r="D5065" t="s">
        <v>25207</v>
      </c>
      <c r="E5065" t="s">
        <v>25207</v>
      </c>
      <c r="F5065" t="s">
        <v>26584</v>
      </c>
      <c r="G5065" t="s">
        <v>30162</v>
      </c>
      <c r="H5065" t="s">
        <v>868</v>
      </c>
      <c r="I5065" t="s">
        <v>869</v>
      </c>
      <c r="J5065" t="str">
        <f>"9260137"</f>
        <v>9260137</v>
      </c>
      <c r="K5065">
        <v>2341093475</v>
      </c>
      <c r="L5065">
        <v>2341093475</v>
      </c>
      <c r="M5065" t="s">
        <v>30292</v>
      </c>
      <c r="N5065" t="s">
        <v>30293</v>
      </c>
      <c r="P5065">
        <v>57011</v>
      </c>
      <c r="Q5065" t="str">
        <f>"40.815522"</f>
        <v>40.815522</v>
      </c>
      <c r="R5065" t="str">
        <f>"22.725664"</f>
        <v>22.725664</v>
      </c>
      <c r="S5065" t="s">
        <v>26</v>
      </c>
    </row>
    <row r="5066" spans="1:19" x14ac:dyDescent="0.3">
      <c r="A5066" t="s">
        <v>25190</v>
      </c>
      <c r="B5066" t="s">
        <v>30129</v>
      </c>
      <c r="C5066" t="s">
        <v>30297</v>
      </c>
      <c r="D5066" t="s">
        <v>25207</v>
      </c>
      <c r="E5066" t="s">
        <v>25207</v>
      </c>
      <c r="F5066" t="s">
        <v>26584</v>
      </c>
      <c r="G5066" t="s">
        <v>30219</v>
      </c>
      <c r="H5066" t="s">
        <v>868</v>
      </c>
      <c r="I5066" t="s">
        <v>950</v>
      </c>
      <c r="J5066" t="str">
        <f>"9260161"</f>
        <v>9260161</v>
      </c>
      <c r="K5066">
        <v>2341098473</v>
      </c>
      <c r="L5066">
        <v>2341098286</v>
      </c>
      <c r="M5066" t="s">
        <v>30298</v>
      </c>
      <c r="N5066" t="s">
        <v>30222</v>
      </c>
      <c r="O5066" t="s">
        <v>30222</v>
      </c>
      <c r="P5066">
        <v>57011</v>
      </c>
      <c r="Q5066" t="str">
        <f>"40.842410"</f>
        <v>40.842410</v>
      </c>
      <c r="R5066" t="str">
        <f>"22.775241"</f>
        <v>22.775241</v>
      </c>
      <c r="S5066" t="s">
        <v>26</v>
      </c>
    </row>
    <row r="5067" spans="1:19" x14ac:dyDescent="0.3">
      <c r="A5067" t="s">
        <v>25190</v>
      </c>
      <c r="B5067" t="s">
        <v>30129</v>
      </c>
      <c r="C5067" t="s">
        <v>30299</v>
      </c>
      <c r="D5067" t="s">
        <v>25207</v>
      </c>
      <c r="E5067" t="s">
        <v>25207</v>
      </c>
      <c r="F5067" t="s">
        <v>26682</v>
      </c>
      <c r="G5067" t="s">
        <v>26682</v>
      </c>
      <c r="H5067" t="s">
        <v>868</v>
      </c>
      <c r="I5067" t="s">
        <v>869</v>
      </c>
      <c r="J5067" t="str">
        <f>"9260040"</f>
        <v>9260040</v>
      </c>
      <c r="K5067">
        <v>2341041486</v>
      </c>
      <c r="L5067">
        <v>2341041486</v>
      </c>
      <c r="M5067" t="s">
        <v>30300</v>
      </c>
      <c r="N5067" t="s">
        <v>30173</v>
      </c>
      <c r="O5067" t="s">
        <v>30173</v>
      </c>
      <c r="P5067">
        <v>61100</v>
      </c>
      <c r="Q5067" t="str">
        <f>"40.858375"</f>
        <v>40.858375</v>
      </c>
      <c r="R5067" t="str">
        <f>"22.879753"</f>
        <v>22.879753</v>
      </c>
      <c r="S5067" t="s">
        <v>26</v>
      </c>
    </row>
    <row r="5068" spans="1:19" x14ac:dyDescent="0.3">
      <c r="A5068" t="s">
        <v>25190</v>
      </c>
      <c r="B5068" t="s">
        <v>30129</v>
      </c>
      <c r="C5068" t="s">
        <v>26623</v>
      </c>
      <c r="D5068" t="s">
        <v>25207</v>
      </c>
      <c r="E5068" t="s">
        <v>25207</v>
      </c>
      <c r="F5068" t="s">
        <v>25207</v>
      </c>
      <c r="G5068" t="s">
        <v>25207</v>
      </c>
      <c r="H5068" t="s">
        <v>868</v>
      </c>
      <c r="I5068" t="s">
        <v>869</v>
      </c>
      <c r="J5068" t="str">
        <f>"9260013"</f>
        <v>9260013</v>
      </c>
      <c r="K5068">
        <v>2341028593</v>
      </c>
      <c r="L5068">
        <v>2341075337</v>
      </c>
      <c r="M5068" t="s">
        <v>30301</v>
      </c>
      <c r="N5068" t="s">
        <v>25207</v>
      </c>
      <c r="O5068" t="s">
        <v>30302</v>
      </c>
      <c r="P5068">
        <v>61100</v>
      </c>
      <c r="Q5068" t="str">
        <f>"40.995266"</f>
        <v>40.995266</v>
      </c>
      <c r="R5068" t="str">
        <f>"22.881199"</f>
        <v>22.881199</v>
      </c>
      <c r="S5068" t="s">
        <v>26</v>
      </c>
    </row>
    <row r="5069" spans="1:19" x14ac:dyDescent="0.3">
      <c r="A5069" t="s">
        <v>25190</v>
      </c>
      <c r="B5069" t="s">
        <v>30129</v>
      </c>
      <c r="C5069" t="s">
        <v>30303</v>
      </c>
      <c r="D5069" t="s">
        <v>25207</v>
      </c>
      <c r="E5069" t="s">
        <v>25207</v>
      </c>
      <c r="F5069" t="s">
        <v>26682</v>
      </c>
      <c r="G5069" t="s">
        <v>30156</v>
      </c>
      <c r="H5069" t="s">
        <v>868</v>
      </c>
      <c r="I5069" t="s">
        <v>950</v>
      </c>
      <c r="J5069" t="str">
        <f>"9260102"</f>
        <v>9260102</v>
      </c>
      <c r="K5069">
        <v>2341063340</v>
      </c>
      <c r="L5069">
        <v>2341063340</v>
      </c>
      <c r="M5069" t="s">
        <v>30304</v>
      </c>
      <c r="N5069" t="s">
        <v>30159</v>
      </c>
      <c r="O5069" t="s">
        <v>30159</v>
      </c>
      <c r="P5069">
        <v>61100</v>
      </c>
      <c r="Q5069" t="str">
        <f>"40.907693"</f>
        <v>40.907693</v>
      </c>
      <c r="R5069" t="str">
        <f>"22.870271"</f>
        <v>22.870271</v>
      </c>
      <c r="S5069" t="s">
        <v>26</v>
      </c>
    </row>
    <row r="5070" spans="1:19" x14ac:dyDescent="0.3">
      <c r="A5070" t="s">
        <v>25190</v>
      </c>
      <c r="B5070" t="s">
        <v>30129</v>
      </c>
      <c r="C5070" t="s">
        <v>30305</v>
      </c>
      <c r="D5070" t="s">
        <v>25207</v>
      </c>
      <c r="E5070" t="s">
        <v>25207</v>
      </c>
      <c r="F5070" t="s">
        <v>25207</v>
      </c>
      <c r="G5070" t="s">
        <v>30130</v>
      </c>
      <c r="H5070" t="s">
        <v>868</v>
      </c>
      <c r="I5070" t="s">
        <v>950</v>
      </c>
      <c r="J5070" t="str">
        <f>"9260171"</f>
        <v>9260171</v>
      </c>
      <c r="K5070">
        <v>2341081450</v>
      </c>
      <c r="M5070" t="s">
        <v>30306</v>
      </c>
      <c r="N5070" t="s">
        <v>30130</v>
      </c>
      <c r="O5070" t="s">
        <v>30133</v>
      </c>
      <c r="P5070">
        <v>61100</v>
      </c>
      <c r="Q5070" t="str">
        <f>"40.997334"</f>
        <v>40.997334</v>
      </c>
      <c r="R5070" t="str">
        <f>"22.722475"</f>
        <v>22.722475</v>
      </c>
      <c r="S5070" t="s">
        <v>26</v>
      </c>
    </row>
    <row r="5071" spans="1:19" x14ac:dyDescent="0.3">
      <c r="A5071" t="s">
        <v>25190</v>
      </c>
      <c r="B5071" t="s">
        <v>30129</v>
      </c>
      <c r="C5071" t="s">
        <v>30307</v>
      </c>
      <c r="D5071" t="s">
        <v>25207</v>
      </c>
      <c r="E5071" t="s">
        <v>25207</v>
      </c>
      <c r="F5071" t="s">
        <v>25207</v>
      </c>
      <c r="G5071" t="s">
        <v>25207</v>
      </c>
      <c r="H5071" t="s">
        <v>868</v>
      </c>
      <c r="I5071" t="s">
        <v>869</v>
      </c>
      <c r="J5071" t="str">
        <f>"9520625"</f>
        <v>9520625</v>
      </c>
      <c r="K5071">
        <v>2341022427</v>
      </c>
      <c r="L5071">
        <v>2341022427</v>
      </c>
      <c r="M5071" t="s">
        <v>30308</v>
      </c>
      <c r="N5071" t="s">
        <v>25207</v>
      </c>
      <c r="O5071" t="s">
        <v>30309</v>
      </c>
      <c r="P5071">
        <v>61100</v>
      </c>
      <c r="Q5071" t="str">
        <f>"40.995409"</f>
        <v>40.995409</v>
      </c>
      <c r="R5071" t="str">
        <f>"22.865892"</f>
        <v>22.865892</v>
      </c>
      <c r="S5071" t="s">
        <v>26</v>
      </c>
    </row>
    <row r="5072" spans="1:19" x14ac:dyDescent="0.3">
      <c r="A5072" t="s">
        <v>25190</v>
      </c>
      <c r="B5072" t="s">
        <v>30129</v>
      </c>
      <c r="C5072" t="s">
        <v>30310</v>
      </c>
      <c r="D5072" t="s">
        <v>25207</v>
      </c>
      <c r="E5072" t="s">
        <v>25207</v>
      </c>
      <c r="F5072" t="s">
        <v>30271</v>
      </c>
      <c r="G5072" t="s">
        <v>30272</v>
      </c>
      <c r="H5072" t="s">
        <v>868</v>
      </c>
      <c r="I5072" t="s">
        <v>950</v>
      </c>
      <c r="J5072" t="str">
        <f>"9260046"</f>
        <v>9260046</v>
      </c>
      <c r="K5072">
        <v>2341097214</v>
      </c>
      <c r="L5072">
        <v>2341075837</v>
      </c>
      <c r="M5072" t="s">
        <v>30311</v>
      </c>
      <c r="N5072" t="s">
        <v>30275</v>
      </c>
      <c r="O5072" t="s">
        <v>30275</v>
      </c>
      <c r="P5072">
        <v>61003</v>
      </c>
      <c r="Q5072" t="str">
        <f>"41.168586"</f>
        <v>41.168586</v>
      </c>
      <c r="R5072" t="str">
        <f>"22.802672"</f>
        <v>22.802672</v>
      </c>
      <c r="S5072" t="s">
        <v>26</v>
      </c>
    </row>
    <row r="5073" spans="1:19" x14ac:dyDescent="0.3">
      <c r="A5073" t="s">
        <v>25190</v>
      </c>
      <c r="B5073" t="s">
        <v>30129</v>
      </c>
      <c r="C5073" t="s">
        <v>26627</v>
      </c>
      <c r="D5073" t="s">
        <v>25207</v>
      </c>
      <c r="E5073" t="s">
        <v>25207</v>
      </c>
      <c r="F5073" t="s">
        <v>25207</v>
      </c>
      <c r="G5073" t="s">
        <v>25207</v>
      </c>
      <c r="H5073" t="s">
        <v>868</v>
      </c>
      <c r="I5073" t="s">
        <v>869</v>
      </c>
      <c r="J5073" t="str">
        <f>"9260008"</f>
        <v>9260008</v>
      </c>
      <c r="K5073">
        <v>2341022539</v>
      </c>
      <c r="L5073">
        <v>2341075398</v>
      </c>
      <c r="M5073" t="s">
        <v>30312</v>
      </c>
      <c r="N5073" t="s">
        <v>25207</v>
      </c>
      <c r="O5073" t="s">
        <v>30313</v>
      </c>
      <c r="P5073">
        <v>61100</v>
      </c>
      <c r="Q5073" t="str">
        <f>"40.996408"</f>
        <v>40.996408</v>
      </c>
      <c r="R5073" t="str">
        <f>"22.877164"</f>
        <v>22.877164</v>
      </c>
      <c r="S5073" t="s">
        <v>26</v>
      </c>
    </row>
    <row r="5074" spans="1:19" x14ac:dyDescent="0.3">
      <c r="A5074" t="s">
        <v>25190</v>
      </c>
      <c r="B5074" t="s">
        <v>30129</v>
      </c>
      <c r="C5074" t="s">
        <v>30317</v>
      </c>
      <c r="D5074" t="s">
        <v>25207</v>
      </c>
      <c r="E5074" t="s">
        <v>26604</v>
      </c>
      <c r="F5074" t="s">
        <v>26637</v>
      </c>
      <c r="G5074" t="s">
        <v>8518</v>
      </c>
      <c r="H5074" t="s">
        <v>868</v>
      </c>
      <c r="I5074" t="s">
        <v>869</v>
      </c>
      <c r="J5074" t="str">
        <f>"9260181"</f>
        <v>9260181</v>
      </c>
      <c r="K5074">
        <v>2343061310</v>
      </c>
      <c r="L5074">
        <v>2343061310</v>
      </c>
      <c r="M5074" t="s">
        <v>30318</v>
      </c>
      <c r="O5074" t="s">
        <v>30170</v>
      </c>
      <c r="P5074">
        <v>61007</v>
      </c>
      <c r="Q5074" t="str">
        <f>"40.867119"</f>
        <v>40.867119</v>
      </c>
      <c r="R5074" t="str">
        <f>"22.580949"</f>
        <v>22.580949</v>
      </c>
      <c r="S5074" t="s">
        <v>26</v>
      </c>
    </row>
    <row r="5075" spans="1:19" x14ac:dyDescent="0.3">
      <c r="A5075" t="s">
        <v>25190</v>
      </c>
      <c r="B5075" t="s">
        <v>30129</v>
      </c>
      <c r="C5075" t="s">
        <v>26673</v>
      </c>
      <c r="D5075" t="s">
        <v>25207</v>
      </c>
      <c r="E5075" t="s">
        <v>25207</v>
      </c>
      <c r="F5075" t="s">
        <v>25207</v>
      </c>
      <c r="G5075" t="s">
        <v>25207</v>
      </c>
      <c r="H5075" t="s">
        <v>868</v>
      </c>
      <c r="I5075" t="s">
        <v>869</v>
      </c>
      <c r="J5075" t="str">
        <f>"9260010"</f>
        <v>9260010</v>
      </c>
      <c r="K5075">
        <v>2341024604</v>
      </c>
      <c r="L5075">
        <v>2341024604</v>
      </c>
      <c r="M5075" t="s">
        <v>30319</v>
      </c>
      <c r="N5075" t="s">
        <v>25207</v>
      </c>
      <c r="O5075" t="s">
        <v>30320</v>
      </c>
      <c r="P5075">
        <v>61100</v>
      </c>
      <c r="Q5075" t="str">
        <f>"40.996283"</f>
        <v>40.996283</v>
      </c>
      <c r="R5075" t="str">
        <f>"22.866489"</f>
        <v>22.866489</v>
      </c>
      <c r="S5075" t="s">
        <v>26</v>
      </c>
    </row>
    <row r="5076" spans="1:19" x14ac:dyDescent="0.3">
      <c r="A5076" t="s">
        <v>25190</v>
      </c>
      <c r="B5076" t="s">
        <v>30129</v>
      </c>
      <c r="C5076" t="s">
        <v>30324</v>
      </c>
      <c r="D5076" t="s">
        <v>25207</v>
      </c>
      <c r="E5076" t="s">
        <v>25207</v>
      </c>
      <c r="F5076" t="s">
        <v>26599</v>
      </c>
      <c r="G5076" t="s">
        <v>30267</v>
      </c>
      <c r="H5076" t="s">
        <v>868</v>
      </c>
      <c r="I5076" t="s">
        <v>950</v>
      </c>
      <c r="J5076" t="str">
        <f>"9260050"</f>
        <v>9260050</v>
      </c>
      <c r="K5076">
        <v>2341062320</v>
      </c>
      <c r="L5076">
        <v>2341062320</v>
      </c>
      <c r="M5076" t="s">
        <v>30325</v>
      </c>
      <c r="N5076" t="s">
        <v>30270</v>
      </c>
      <c r="O5076" t="s">
        <v>30270</v>
      </c>
      <c r="P5076">
        <v>61100</v>
      </c>
      <c r="Q5076" t="str">
        <f>"41.010020"</f>
        <v>41.010020</v>
      </c>
      <c r="R5076" t="str">
        <f>"23.014129"</f>
        <v>23.014129</v>
      </c>
      <c r="S5076" t="s">
        <v>26</v>
      </c>
    </row>
    <row r="5077" spans="1:19" x14ac:dyDescent="0.3">
      <c r="A5077" t="s">
        <v>25190</v>
      </c>
      <c r="B5077" t="s">
        <v>30129</v>
      </c>
      <c r="C5077" t="s">
        <v>26681</v>
      </c>
      <c r="D5077" t="s">
        <v>25207</v>
      </c>
      <c r="E5077" t="s">
        <v>25207</v>
      </c>
      <c r="F5077" t="s">
        <v>25207</v>
      </c>
      <c r="G5077" t="s">
        <v>25207</v>
      </c>
      <c r="H5077" t="s">
        <v>868</v>
      </c>
      <c r="I5077" t="s">
        <v>869</v>
      </c>
      <c r="J5077" t="str">
        <f>"9520688"</f>
        <v>9520688</v>
      </c>
      <c r="K5077">
        <v>2341026694</v>
      </c>
      <c r="L5077">
        <v>2341026694</v>
      </c>
      <c r="M5077" t="s">
        <v>30326</v>
      </c>
      <c r="N5077" t="s">
        <v>25207</v>
      </c>
      <c r="O5077" t="s">
        <v>30327</v>
      </c>
      <c r="P5077">
        <v>61100</v>
      </c>
      <c r="Q5077" t="str">
        <f>"40.988475"</f>
        <v>40.988475</v>
      </c>
      <c r="R5077" t="str">
        <f>"22.869215"</f>
        <v>22.869215</v>
      </c>
      <c r="S5077" t="s">
        <v>26</v>
      </c>
    </row>
    <row r="5078" spans="1:19" x14ac:dyDescent="0.3">
      <c r="A5078" t="s">
        <v>25190</v>
      </c>
      <c r="B5078" t="s">
        <v>30129</v>
      </c>
      <c r="C5078" t="s">
        <v>26655</v>
      </c>
      <c r="D5078" t="s">
        <v>25207</v>
      </c>
      <c r="E5078" t="s">
        <v>26604</v>
      </c>
      <c r="F5078" t="s">
        <v>26605</v>
      </c>
      <c r="G5078" t="s">
        <v>26606</v>
      </c>
      <c r="H5078" t="s">
        <v>868</v>
      </c>
      <c r="I5078" t="s">
        <v>869</v>
      </c>
      <c r="J5078" t="str">
        <f>"9520881"</f>
        <v>9520881</v>
      </c>
      <c r="K5078">
        <v>2343032542</v>
      </c>
      <c r="L5078">
        <v>2343032630</v>
      </c>
      <c r="M5078" t="s">
        <v>30328</v>
      </c>
      <c r="N5078" t="s">
        <v>30329</v>
      </c>
      <c r="O5078" t="s">
        <v>18357</v>
      </c>
      <c r="P5078">
        <v>61400</v>
      </c>
      <c r="Q5078" t="str">
        <f>"40.989746"</f>
        <v>40.989746</v>
      </c>
      <c r="R5078" t="str">
        <f>"22.549204"</f>
        <v>22.549204</v>
      </c>
      <c r="S5078" t="s">
        <v>26</v>
      </c>
    </row>
    <row r="5079" spans="1:19" x14ac:dyDescent="0.3">
      <c r="A5079" t="s">
        <v>25190</v>
      </c>
      <c r="B5079" t="s">
        <v>30129</v>
      </c>
      <c r="C5079" t="s">
        <v>30339</v>
      </c>
      <c r="D5079" t="s">
        <v>25207</v>
      </c>
      <c r="E5079" t="s">
        <v>25207</v>
      </c>
      <c r="F5079" t="s">
        <v>26682</v>
      </c>
      <c r="G5079" t="s">
        <v>30178</v>
      </c>
      <c r="H5079" t="s">
        <v>868</v>
      </c>
      <c r="I5079" t="s">
        <v>869</v>
      </c>
      <c r="J5079" t="str">
        <f>"9260098"</f>
        <v>9260098</v>
      </c>
      <c r="K5079">
        <v>2341064249</v>
      </c>
      <c r="L5079">
        <v>2341064249</v>
      </c>
      <c r="M5079" t="s">
        <v>30340</v>
      </c>
      <c r="N5079" t="s">
        <v>30200</v>
      </c>
      <c r="O5079" t="s">
        <v>30200</v>
      </c>
      <c r="P5079">
        <v>61100</v>
      </c>
      <c r="Q5079" t="str">
        <f>"40.839277"</f>
        <v>40.839277</v>
      </c>
      <c r="R5079" t="str">
        <f>"22.921002"</f>
        <v>22.921002</v>
      </c>
      <c r="S5079" t="s">
        <v>26</v>
      </c>
    </row>
    <row r="5080" spans="1:19" x14ac:dyDescent="0.3">
      <c r="A5080" t="s">
        <v>25190</v>
      </c>
      <c r="B5080" t="s">
        <v>30129</v>
      </c>
      <c r="C5080" t="s">
        <v>26610</v>
      </c>
      <c r="D5080" t="s">
        <v>25207</v>
      </c>
      <c r="E5080" t="s">
        <v>26604</v>
      </c>
      <c r="F5080" t="s">
        <v>26605</v>
      </c>
      <c r="G5080" t="s">
        <v>26606</v>
      </c>
      <c r="H5080" t="s">
        <v>868</v>
      </c>
      <c r="I5080" t="s">
        <v>869</v>
      </c>
      <c r="J5080" t="str">
        <f>"9260177"</f>
        <v>9260177</v>
      </c>
      <c r="K5080">
        <v>2343031240</v>
      </c>
      <c r="L5080">
        <v>2343031240</v>
      </c>
      <c r="M5080" t="s">
        <v>30341</v>
      </c>
      <c r="N5080" t="s">
        <v>26609</v>
      </c>
      <c r="O5080" t="s">
        <v>30342</v>
      </c>
      <c r="P5080">
        <v>61400</v>
      </c>
      <c r="Q5080" t="str">
        <f>"40.985752"</f>
        <v>40.985752</v>
      </c>
      <c r="R5080" t="str">
        <f>"22.536676"</f>
        <v>22.536676</v>
      </c>
      <c r="S5080" t="s">
        <v>26</v>
      </c>
    </row>
    <row r="5081" spans="1:19" x14ac:dyDescent="0.3">
      <c r="A5081" t="s">
        <v>25190</v>
      </c>
      <c r="B5081" t="s">
        <v>30129</v>
      </c>
      <c r="C5081" t="s">
        <v>30343</v>
      </c>
      <c r="D5081" t="s">
        <v>25207</v>
      </c>
      <c r="E5081" t="s">
        <v>25207</v>
      </c>
      <c r="F5081" t="s">
        <v>25207</v>
      </c>
      <c r="G5081" t="s">
        <v>25207</v>
      </c>
      <c r="H5081" t="s">
        <v>868</v>
      </c>
      <c r="I5081" t="s">
        <v>1157</v>
      </c>
      <c r="J5081" t="str">
        <f>"9260246"</f>
        <v>9260246</v>
      </c>
      <c r="K5081">
        <v>2341025848</v>
      </c>
      <c r="L5081">
        <v>2341025848</v>
      </c>
      <c r="M5081" t="s">
        <v>30344</v>
      </c>
      <c r="N5081" t="s">
        <v>25207</v>
      </c>
      <c r="O5081" t="s">
        <v>30345</v>
      </c>
      <c r="P5081">
        <v>61100</v>
      </c>
      <c r="Q5081" t="str">
        <f>"40.991723"</f>
        <v>40.991723</v>
      </c>
      <c r="R5081" t="str">
        <f>"22.866175"</f>
        <v>22.866175</v>
      </c>
      <c r="S5081" t="s">
        <v>26</v>
      </c>
    </row>
    <row r="5082" spans="1:19" x14ac:dyDescent="0.3">
      <c r="A5082" t="s">
        <v>25190</v>
      </c>
      <c r="B5082" t="s">
        <v>30129</v>
      </c>
      <c r="C5082" t="s">
        <v>30346</v>
      </c>
      <c r="D5082" t="s">
        <v>25207</v>
      </c>
      <c r="E5082" t="s">
        <v>26604</v>
      </c>
      <c r="F5082" t="s">
        <v>26637</v>
      </c>
      <c r="G5082" t="s">
        <v>25291</v>
      </c>
      <c r="H5082" t="s">
        <v>868</v>
      </c>
      <c r="I5082" t="s">
        <v>950</v>
      </c>
      <c r="J5082" t="str">
        <f>"9260212"</f>
        <v>9260212</v>
      </c>
      <c r="K5082">
        <v>2343071221</v>
      </c>
      <c r="L5082">
        <v>2343071221</v>
      </c>
      <c r="M5082" t="s">
        <v>30347</v>
      </c>
      <c r="N5082" t="s">
        <v>30348</v>
      </c>
      <c r="O5082" t="s">
        <v>30348</v>
      </c>
      <c r="P5082">
        <v>61400</v>
      </c>
      <c r="Q5082" t="str">
        <f>"40.936286"</f>
        <v>40.936286</v>
      </c>
      <c r="R5082" t="str">
        <f>"22.544078"</f>
        <v>22.544078</v>
      </c>
      <c r="S5082" t="s">
        <v>26</v>
      </c>
    </row>
    <row r="5083" spans="1:19" x14ac:dyDescent="0.3">
      <c r="A5083" t="s">
        <v>25190</v>
      </c>
      <c r="B5083" t="s">
        <v>30129</v>
      </c>
      <c r="C5083" t="s">
        <v>30349</v>
      </c>
      <c r="D5083" t="s">
        <v>25207</v>
      </c>
      <c r="E5083" t="s">
        <v>26604</v>
      </c>
      <c r="F5083" t="s">
        <v>26645</v>
      </c>
      <c r="G5083" t="s">
        <v>26645</v>
      </c>
      <c r="H5083" t="s">
        <v>868</v>
      </c>
      <c r="I5083" t="s">
        <v>869</v>
      </c>
      <c r="J5083" t="str">
        <f>"9260235"</f>
        <v>9260235</v>
      </c>
      <c r="K5083">
        <v>2343023248</v>
      </c>
      <c r="L5083">
        <v>2343023248</v>
      </c>
      <c r="M5083" t="s">
        <v>30350</v>
      </c>
      <c r="N5083" t="s">
        <v>26648</v>
      </c>
      <c r="O5083" t="s">
        <v>30351</v>
      </c>
      <c r="P5083">
        <v>61200</v>
      </c>
      <c r="Q5083" t="str">
        <f>"40.991295"</f>
        <v>40.991295</v>
      </c>
      <c r="R5083" t="str">
        <f>"22.577554"</f>
        <v>22.577554</v>
      </c>
      <c r="S5083" t="s">
        <v>26</v>
      </c>
    </row>
    <row r="5084" spans="1:19" x14ac:dyDescent="0.3">
      <c r="A5084" t="s">
        <v>25190</v>
      </c>
      <c r="B5084" t="s">
        <v>30129</v>
      </c>
      <c r="C5084" t="s">
        <v>30352</v>
      </c>
      <c r="D5084" t="s">
        <v>25207</v>
      </c>
      <c r="E5084" t="s">
        <v>26604</v>
      </c>
      <c r="F5084" t="s">
        <v>26645</v>
      </c>
      <c r="G5084" t="s">
        <v>26645</v>
      </c>
      <c r="H5084" t="s">
        <v>868</v>
      </c>
      <c r="I5084" t="s">
        <v>869</v>
      </c>
      <c r="J5084" t="str">
        <f>"9260250"</f>
        <v>9260250</v>
      </c>
      <c r="K5084">
        <v>2343022857</v>
      </c>
      <c r="L5084">
        <v>2343022857</v>
      </c>
      <c r="M5084" t="s">
        <v>30353</v>
      </c>
      <c r="N5084" t="s">
        <v>26648</v>
      </c>
      <c r="O5084" t="s">
        <v>17906</v>
      </c>
      <c r="P5084">
        <v>61200</v>
      </c>
      <c r="Q5084" t="str">
        <f>"41.001973"</f>
        <v>41.001973</v>
      </c>
      <c r="R5084" t="str">
        <f>"22.563943"</f>
        <v>22.563943</v>
      </c>
      <c r="S5084" t="s">
        <v>26</v>
      </c>
    </row>
    <row r="5085" spans="1:19" x14ac:dyDescent="0.3">
      <c r="A5085" t="s">
        <v>25190</v>
      </c>
      <c r="B5085" t="s">
        <v>30129</v>
      </c>
      <c r="C5085" t="s">
        <v>26598</v>
      </c>
      <c r="D5085" t="s">
        <v>25207</v>
      </c>
      <c r="E5085" t="s">
        <v>25207</v>
      </c>
      <c r="F5085" t="s">
        <v>26591</v>
      </c>
      <c r="G5085" t="s">
        <v>26591</v>
      </c>
      <c r="H5085" t="s">
        <v>868</v>
      </c>
      <c r="I5085" t="s">
        <v>869</v>
      </c>
      <c r="J5085" t="str">
        <f>"9260020"</f>
        <v>9260020</v>
      </c>
      <c r="K5085">
        <v>2341031230</v>
      </c>
      <c r="L5085">
        <v>2341031230</v>
      </c>
      <c r="M5085" t="s">
        <v>30354</v>
      </c>
      <c r="N5085" t="s">
        <v>26597</v>
      </c>
      <c r="O5085" t="s">
        <v>26597</v>
      </c>
      <c r="P5085">
        <v>61003</v>
      </c>
      <c r="Q5085" t="str">
        <f>"41.256477"</f>
        <v>41.256477</v>
      </c>
      <c r="R5085" t="str">
        <f>"22.795564"</f>
        <v>22.795564</v>
      </c>
      <c r="S5085" t="s">
        <v>26</v>
      </c>
    </row>
    <row r="5086" spans="1:19" x14ac:dyDescent="0.3">
      <c r="A5086" t="s">
        <v>25190</v>
      </c>
      <c r="B5086" t="s">
        <v>30129</v>
      </c>
      <c r="C5086" t="s">
        <v>26603</v>
      </c>
      <c r="D5086" t="s">
        <v>25207</v>
      </c>
      <c r="E5086" t="s">
        <v>25207</v>
      </c>
      <c r="F5086" t="s">
        <v>26599</v>
      </c>
      <c r="G5086" t="s">
        <v>25878</v>
      </c>
      <c r="H5086" t="s">
        <v>868</v>
      </c>
      <c r="I5086" t="s">
        <v>869</v>
      </c>
      <c r="J5086" t="str">
        <f>"9260052"</f>
        <v>9260052</v>
      </c>
      <c r="K5086">
        <v>2341086203</v>
      </c>
      <c r="L5086">
        <v>2341086203</v>
      </c>
      <c r="M5086" t="s">
        <v>30355</v>
      </c>
      <c r="N5086" t="s">
        <v>26602</v>
      </c>
      <c r="O5086" t="s">
        <v>26602</v>
      </c>
      <c r="P5086">
        <v>61100</v>
      </c>
      <c r="Q5086" t="str">
        <f>"41.072975"</f>
        <v>41.072975</v>
      </c>
      <c r="R5086" t="str">
        <f>"22.909299"</f>
        <v>22.909299</v>
      </c>
      <c r="S5086" t="s">
        <v>26</v>
      </c>
    </row>
    <row r="5087" spans="1:19" x14ac:dyDescent="0.3">
      <c r="A5087" t="s">
        <v>25190</v>
      </c>
      <c r="B5087" t="s">
        <v>30129</v>
      </c>
      <c r="C5087" t="s">
        <v>26636</v>
      </c>
      <c r="D5087" t="s">
        <v>25207</v>
      </c>
      <c r="E5087" t="s">
        <v>25207</v>
      </c>
      <c r="F5087" t="s">
        <v>26631</v>
      </c>
      <c r="G5087" t="s">
        <v>26631</v>
      </c>
      <c r="H5087" t="s">
        <v>868</v>
      </c>
      <c r="I5087" t="s">
        <v>869</v>
      </c>
      <c r="J5087" t="str">
        <f>"9260129"</f>
        <v>9260129</v>
      </c>
      <c r="K5087">
        <v>2341051883</v>
      </c>
      <c r="M5087" t="s">
        <v>30359</v>
      </c>
      <c r="N5087" t="s">
        <v>26634</v>
      </c>
      <c r="O5087" t="s">
        <v>26668</v>
      </c>
      <c r="P5087">
        <v>61100</v>
      </c>
      <c r="Q5087" t="str">
        <f>"41.088624"</f>
        <v>41.088624</v>
      </c>
      <c r="R5087" t="str">
        <f>"22.780241"</f>
        <v>22.780241</v>
      </c>
      <c r="S5087" t="s">
        <v>26</v>
      </c>
    </row>
    <row r="5088" spans="1:19" x14ac:dyDescent="0.3">
      <c r="A5088" t="s">
        <v>25190</v>
      </c>
      <c r="B5088" t="s">
        <v>30129</v>
      </c>
      <c r="C5088" t="s">
        <v>30360</v>
      </c>
      <c r="D5088" t="s">
        <v>25207</v>
      </c>
      <c r="E5088" t="s">
        <v>25207</v>
      </c>
      <c r="F5088" t="s">
        <v>25207</v>
      </c>
      <c r="G5088" t="s">
        <v>25207</v>
      </c>
      <c r="H5088" t="s">
        <v>868</v>
      </c>
      <c r="I5088" t="s">
        <v>869</v>
      </c>
      <c r="J5088" t="str">
        <f>"9521058"</f>
        <v>9521058</v>
      </c>
      <c r="K5088">
        <v>2341076455</v>
      </c>
      <c r="L5088">
        <v>2341076455</v>
      </c>
      <c r="M5088" t="s">
        <v>30361</v>
      </c>
      <c r="N5088" t="s">
        <v>25207</v>
      </c>
      <c r="O5088" t="s">
        <v>30250</v>
      </c>
      <c r="P5088">
        <v>61100</v>
      </c>
      <c r="Q5088" t="str">
        <f>"40.992085"</f>
        <v>40.992085</v>
      </c>
      <c r="R5088" t="str">
        <f>"22.863426"</f>
        <v>22.863426</v>
      </c>
      <c r="S5088" t="s">
        <v>26</v>
      </c>
    </row>
    <row r="5089" spans="1:19" x14ac:dyDescent="0.3">
      <c r="A5089" t="s">
        <v>25190</v>
      </c>
      <c r="B5089" t="s">
        <v>30129</v>
      </c>
      <c r="C5089" t="s">
        <v>30381</v>
      </c>
      <c r="D5089" t="s">
        <v>25207</v>
      </c>
      <c r="E5089" t="s">
        <v>25207</v>
      </c>
      <c r="F5089" t="s">
        <v>25207</v>
      </c>
      <c r="G5089" t="s">
        <v>25207</v>
      </c>
      <c r="H5089" t="s">
        <v>868</v>
      </c>
      <c r="I5089" t="s">
        <v>869</v>
      </c>
      <c r="J5089" t="str">
        <f>"9521417"</f>
        <v>9521417</v>
      </c>
      <c r="N5089" t="s">
        <v>25207</v>
      </c>
      <c r="P5089">
        <v>0</v>
      </c>
      <c r="Q5089" t="str">
        <f>""</f>
        <v/>
      </c>
      <c r="R5089" t="str">
        <f>""</f>
        <v/>
      </c>
      <c r="S5089" t="s">
        <v>26</v>
      </c>
    </row>
    <row r="5090" spans="1:19" x14ac:dyDescent="0.3">
      <c r="A5090" t="s">
        <v>25190</v>
      </c>
      <c r="B5090" t="s">
        <v>30129</v>
      </c>
      <c r="C5090" t="s">
        <v>30382</v>
      </c>
      <c r="D5090" t="s">
        <v>25207</v>
      </c>
      <c r="E5090" t="s">
        <v>26604</v>
      </c>
      <c r="F5090" t="s">
        <v>26645</v>
      </c>
      <c r="G5090" t="s">
        <v>26645</v>
      </c>
      <c r="H5090" t="s">
        <v>868</v>
      </c>
      <c r="I5090" t="s">
        <v>869</v>
      </c>
      <c r="J5090" t="str">
        <f>"9521713"</f>
        <v>9521713</v>
      </c>
      <c r="N5090" t="s">
        <v>26645</v>
      </c>
      <c r="O5090" t="s">
        <v>26648</v>
      </c>
      <c r="P5090">
        <v>0</v>
      </c>
      <c r="Q5090" t="str">
        <f>""</f>
        <v/>
      </c>
      <c r="R5090" t="str">
        <f>""</f>
        <v/>
      </c>
      <c r="S5090" t="s">
        <v>26</v>
      </c>
    </row>
    <row r="5091" spans="1:19" x14ac:dyDescent="0.3">
      <c r="A5091" t="s">
        <v>25190</v>
      </c>
      <c r="B5091" t="s">
        <v>30129</v>
      </c>
      <c r="C5091" t="s">
        <v>30383</v>
      </c>
      <c r="D5091" t="s">
        <v>25207</v>
      </c>
      <c r="E5091" t="s">
        <v>26604</v>
      </c>
      <c r="F5091" t="s">
        <v>26614</v>
      </c>
      <c r="G5091" t="s">
        <v>26614</v>
      </c>
      <c r="H5091" t="s">
        <v>868</v>
      </c>
      <c r="I5091" t="s">
        <v>1157</v>
      </c>
      <c r="J5091" t="str">
        <f>"9521700"</f>
        <v>9521700</v>
      </c>
      <c r="Q5091" t="str">
        <f>""</f>
        <v/>
      </c>
      <c r="R5091" t="str">
        <f>""</f>
        <v/>
      </c>
      <c r="S5091" t="s">
        <v>26</v>
      </c>
    </row>
    <row r="5092" spans="1:19" x14ac:dyDescent="0.3">
      <c r="A5092" t="s">
        <v>25190</v>
      </c>
      <c r="B5092" t="s">
        <v>30385</v>
      </c>
      <c r="C5092" t="s">
        <v>30387</v>
      </c>
      <c r="D5092" t="s">
        <v>25211</v>
      </c>
      <c r="E5092" t="s">
        <v>26753</v>
      </c>
      <c r="F5092" t="s">
        <v>26775</v>
      </c>
      <c r="G5092" t="s">
        <v>30386</v>
      </c>
      <c r="H5092" t="s">
        <v>868</v>
      </c>
      <c r="I5092" t="s">
        <v>869</v>
      </c>
      <c r="J5092" t="str">
        <f>"9380012"</f>
        <v>9380012</v>
      </c>
      <c r="K5092">
        <v>2384071202</v>
      </c>
      <c r="L5092">
        <v>2384071202</v>
      </c>
      <c r="M5092" t="s">
        <v>30388</v>
      </c>
      <c r="N5092" t="s">
        <v>30389</v>
      </c>
      <c r="O5092" t="s">
        <v>30389</v>
      </c>
      <c r="P5092">
        <v>58400</v>
      </c>
      <c r="Q5092" t="str">
        <f>"41.027461"</f>
        <v>41.027461</v>
      </c>
      <c r="R5092" t="str">
        <f>"22.080688"</f>
        <v>22.080688</v>
      </c>
      <c r="S5092" t="s">
        <v>26</v>
      </c>
    </row>
    <row r="5093" spans="1:19" x14ac:dyDescent="0.3">
      <c r="A5093" t="s">
        <v>25190</v>
      </c>
      <c r="B5093" t="s">
        <v>30385</v>
      </c>
      <c r="C5093" t="s">
        <v>30390</v>
      </c>
      <c r="D5093" t="s">
        <v>25211</v>
      </c>
      <c r="E5093" t="s">
        <v>26753</v>
      </c>
      <c r="F5093" t="s">
        <v>26754</v>
      </c>
      <c r="G5093" t="s">
        <v>19955</v>
      </c>
      <c r="H5093" t="s">
        <v>868</v>
      </c>
      <c r="I5093" t="s">
        <v>950</v>
      </c>
      <c r="J5093" t="str">
        <f>"9380040"</f>
        <v>9380040</v>
      </c>
      <c r="K5093">
        <v>2384041401</v>
      </c>
      <c r="L5093">
        <v>2384041401</v>
      </c>
      <c r="M5093" t="s">
        <v>30391</v>
      </c>
      <c r="N5093" t="s">
        <v>30392</v>
      </c>
      <c r="O5093" t="s">
        <v>30392</v>
      </c>
      <c r="P5093">
        <v>58400</v>
      </c>
      <c r="Q5093" t="str">
        <f>"40.992483"</f>
        <v>40.992483</v>
      </c>
      <c r="R5093" t="str">
        <f>"22.146736"</f>
        <v>22.146736</v>
      </c>
      <c r="S5093" t="s">
        <v>26</v>
      </c>
    </row>
    <row r="5094" spans="1:19" x14ac:dyDescent="0.3">
      <c r="A5094" t="s">
        <v>25190</v>
      </c>
      <c r="B5094" t="s">
        <v>30385</v>
      </c>
      <c r="C5094" t="s">
        <v>26891</v>
      </c>
      <c r="D5094" t="s">
        <v>25211</v>
      </c>
      <c r="E5094" t="s">
        <v>26753</v>
      </c>
      <c r="F5094" t="s">
        <v>26775</v>
      </c>
      <c r="G5094" t="s">
        <v>26886</v>
      </c>
      <c r="H5094" t="s">
        <v>868</v>
      </c>
      <c r="I5094" t="s">
        <v>869</v>
      </c>
      <c r="J5094" t="str">
        <f>"9380200"</f>
        <v>9380200</v>
      </c>
      <c r="K5094">
        <v>2384031286</v>
      </c>
      <c r="L5094">
        <v>2384031286</v>
      </c>
      <c r="M5094" t="s">
        <v>30393</v>
      </c>
      <c r="N5094" t="s">
        <v>17916</v>
      </c>
      <c r="O5094" t="s">
        <v>30394</v>
      </c>
      <c r="P5094">
        <v>58400</v>
      </c>
      <c r="Q5094" t="str">
        <f>"40.928346"</f>
        <v>40.928346</v>
      </c>
      <c r="R5094" t="str">
        <f>"22.016615"</f>
        <v>22.016615</v>
      </c>
      <c r="S5094" t="s">
        <v>26</v>
      </c>
    </row>
    <row r="5095" spans="1:19" x14ac:dyDescent="0.3">
      <c r="A5095" t="s">
        <v>25190</v>
      </c>
      <c r="B5095" t="s">
        <v>30385</v>
      </c>
      <c r="C5095" t="s">
        <v>30396</v>
      </c>
      <c r="D5095" t="s">
        <v>25211</v>
      </c>
      <c r="E5095" t="s">
        <v>26753</v>
      </c>
      <c r="F5095" t="s">
        <v>26775</v>
      </c>
      <c r="G5095" t="s">
        <v>30395</v>
      </c>
      <c r="H5095" t="s">
        <v>868</v>
      </c>
      <c r="I5095" t="s">
        <v>869</v>
      </c>
      <c r="J5095" t="str">
        <f>"9380193"</f>
        <v>9380193</v>
      </c>
      <c r="K5095">
        <v>2384065228</v>
      </c>
      <c r="L5095">
        <v>2384065475</v>
      </c>
      <c r="M5095" t="s">
        <v>30397</v>
      </c>
      <c r="N5095" t="s">
        <v>30398</v>
      </c>
      <c r="O5095" t="s">
        <v>30398</v>
      </c>
      <c r="P5095">
        <v>58400</v>
      </c>
      <c r="Q5095" t="str">
        <f>"40.891930"</f>
        <v>40.891930</v>
      </c>
      <c r="R5095" t="str">
        <f>"22.057739"</f>
        <v>22.057739</v>
      </c>
      <c r="S5095" t="s">
        <v>26</v>
      </c>
    </row>
    <row r="5096" spans="1:19" x14ac:dyDescent="0.3">
      <c r="A5096" t="s">
        <v>25190</v>
      </c>
      <c r="B5096" t="s">
        <v>30385</v>
      </c>
      <c r="C5096" t="s">
        <v>26798</v>
      </c>
      <c r="D5096" t="s">
        <v>25211</v>
      </c>
      <c r="E5096" t="s">
        <v>25212</v>
      </c>
      <c r="F5096" t="s">
        <v>25212</v>
      </c>
      <c r="G5096" t="s">
        <v>25213</v>
      </c>
      <c r="H5096" t="s">
        <v>868</v>
      </c>
      <c r="I5096" t="s">
        <v>869</v>
      </c>
      <c r="J5096" t="str">
        <f>"9380148"</f>
        <v>9380148</v>
      </c>
      <c r="K5096">
        <v>2381023560</v>
      </c>
      <c r="L5096">
        <v>2381023560</v>
      </c>
      <c r="M5096" t="s">
        <v>30486</v>
      </c>
      <c r="N5096" t="s">
        <v>25216</v>
      </c>
      <c r="O5096" t="s">
        <v>26814</v>
      </c>
      <c r="P5096">
        <v>58200</v>
      </c>
      <c r="Q5096" t="str">
        <f>"40.794889"</f>
        <v>40.794889</v>
      </c>
      <c r="R5096" t="str">
        <f>"22.046182"</f>
        <v>22.046182</v>
      </c>
      <c r="S5096" t="s">
        <v>26</v>
      </c>
    </row>
    <row r="5097" spans="1:19" x14ac:dyDescent="0.3">
      <c r="A5097" t="s">
        <v>25190</v>
      </c>
      <c r="B5097" t="s">
        <v>30385</v>
      </c>
      <c r="C5097" t="s">
        <v>30556</v>
      </c>
      <c r="D5097" t="s">
        <v>25211</v>
      </c>
      <c r="E5097" t="s">
        <v>25211</v>
      </c>
      <c r="F5097" t="s">
        <v>25211</v>
      </c>
      <c r="G5097" t="s">
        <v>30419</v>
      </c>
      <c r="H5097" t="s">
        <v>868</v>
      </c>
      <c r="I5097" t="s">
        <v>869</v>
      </c>
      <c r="J5097" t="str">
        <f>"9380096"</f>
        <v>9380096</v>
      </c>
      <c r="K5097">
        <v>2391091210</v>
      </c>
      <c r="L5097">
        <v>2391091210</v>
      </c>
      <c r="M5097" t="s">
        <v>30557</v>
      </c>
      <c r="N5097" t="s">
        <v>30558</v>
      </c>
      <c r="O5097" t="s">
        <v>30559</v>
      </c>
      <c r="P5097">
        <v>58005</v>
      </c>
      <c r="Q5097" t="str">
        <f>"40.826033"</f>
        <v>40.826033</v>
      </c>
      <c r="R5097" t="str">
        <f>"22.591233"</f>
        <v>22.591233</v>
      </c>
      <c r="S5097" t="s">
        <v>26</v>
      </c>
    </row>
    <row r="5098" spans="1:19" x14ac:dyDescent="0.3">
      <c r="A5098" t="s">
        <v>25190</v>
      </c>
      <c r="B5098" t="s">
        <v>30385</v>
      </c>
      <c r="C5098" t="s">
        <v>30569</v>
      </c>
      <c r="D5098" t="s">
        <v>25211</v>
      </c>
      <c r="E5098" t="s">
        <v>26753</v>
      </c>
      <c r="F5098" t="s">
        <v>26754</v>
      </c>
      <c r="G5098" t="s">
        <v>30568</v>
      </c>
      <c r="H5098" t="s">
        <v>868</v>
      </c>
      <c r="I5098" t="s">
        <v>950</v>
      </c>
      <c r="J5098" t="str">
        <f>"9380024"</f>
        <v>9380024</v>
      </c>
      <c r="K5098">
        <v>2384064251</v>
      </c>
      <c r="L5098">
        <v>2384064495</v>
      </c>
      <c r="M5098" t="s">
        <v>30570</v>
      </c>
      <c r="N5098" t="s">
        <v>30571</v>
      </c>
      <c r="O5098" t="s">
        <v>30572</v>
      </c>
      <c r="P5098">
        <v>58400</v>
      </c>
      <c r="Q5098" t="str">
        <f>"40.948678"</f>
        <v>40.948678</v>
      </c>
      <c r="R5098" t="str">
        <f>"22.191163"</f>
        <v>22.191163</v>
      </c>
      <c r="S5098" t="s">
        <v>26</v>
      </c>
    </row>
    <row r="5099" spans="1:19" x14ac:dyDescent="0.3">
      <c r="A5099" t="s">
        <v>25190</v>
      </c>
      <c r="B5099" t="s">
        <v>30385</v>
      </c>
      <c r="C5099" t="s">
        <v>26885</v>
      </c>
      <c r="D5099" t="s">
        <v>25211</v>
      </c>
      <c r="E5099" t="s">
        <v>26753</v>
      </c>
      <c r="F5099" t="s">
        <v>26775</v>
      </c>
      <c r="G5099" t="s">
        <v>26775</v>
      </c>
      <c r="H5099" t="s">
        <v>868</v>
      </c>
      <c r="I5099" t="s">
        <v>869</v>
      </c>
      <c r="J5099" t="str">
        <f>"9380313"</f>
        <v>9380313</v>
      </c>
      <c r="K5099">
        <v>2384023355</v>
      </c>
      <c r="L5099">
        <v>2384023355</v>
      </c>
      <c r="M5099" t="s">
        <v>30573</v>
      </c>
      <c r="N5099" t="s">
        <v>26883</v>
      </c>
      <c r="O5099" t="s">
        <v>30574</v>
      </c>
      <c r="P5099">
        <v>58400</v>
      </c>
      <c r="Q5099" t="str">
        <f>"40.970080"</f>
        <v>40.970080</v>
      </c>
      <c r="R5099" t="str">
        <f>"22.059230"</f>
        <v>22.059230</v>
      </c>
      <c r="S5099" t="s">
        <v>26</v>
      </c>
    </row>
    <row r="5100" spans="1:19" x14ac:dyDescent="0.3">
      <c r="A5100" t="s">
        <v>25190</v>
      </c>
      <c r="B5100" t="s">
        <v>30385</v>
      </c>
      <c r="C5100" t="s">
        <v>30576</v>
      </c>
      <c r="D5100" t="s">
        <v>25211</v>
      </c>
      <c r="E5100" t="s">
        <v>26753</v>
      </c>
      <c r="F5100" t="s">
        <v>26775</v>
      </c>
      <c r="G5100" t="s">
        <v>30575</v>
      </c>
      <c r="H5100" t="s">
        <v>868</v>
      </c>
      <c r="I5100" t="s">
        <v>869</v>
      </c>
      <c r="J5100" t="str">
        <f>"9380016"</f>
        <v>9380016</v>
      </c>
      <c r="K5100">
        <v>2384075462</v>
      </c>
      <c r="L5100">
        <v>2384075462</v>
      </c>
      <c r="M5100" t="s">
        <v>30577</v>
      </c>
      <c r="N5100" t="s">
        <v>30578</v>
      </c>
      <c r="O5100" t="s">
        <v>30579</v>
      </c>
      <c r="P5100">
        <v>58400</v>
      </c>
      <c r="Q5100" t="str">
        <f>"41.030589"</f>
        <v>41.030589</v>
      </c>
      <c r="R5100" t="str">
        <f>"22.044368"</f>
        <v>22.044368</v>
      </c>
      <c r="S5100" t="s">
        <v>26</v>
      </c>
    </row>
    <row r="5101" spans="1:19" x14ac:dyDescent="0.3">
      <c r="A5101" t="s">
        <v>25190</v>
      </c>
      <c r="B5101" t="s">
        <v>30385</v>
      </c>
      <c r="C5101" t="s">
        <v>26738</v>
      </c>
      <c r="D5101" t="s">
        <v>25211</v>
      </c>
      <c r="E5101" t="s">
        <v>25211</v>
      </c>
      <c r="F5101" t="s">
        <v>26733</v>
      </c>
      <c r="G5101" t="s">
        <v>26734</v>
      </c>
      <c r="H5101" t="s">
        <v>868</v>
      </c>
      <c r="I5101" t="s">
        <v>869</v>
      </c>
      <c r="J5101" t="str">
        <f>"9380102"</f>
        <v>9380102</v>
      </c>
      <c r="K5101">
        <v>2382099213</v>
      </c>
      <c r="L5101">
        <v>2382099213</v>
      </c>
      <c r="M5101" t="s">
        <v>30585</v>
      </c>
      <c r="N5101" t="s">
        <v>26737</v>
      </c>
      <c r="O5101" t="s">
        <v>26737</v>
      </c>
      <c r="P5101">
        <v>58100</v>
      </c>
      <c r="Q5101" t="str">
        <f>"40.844754"</f>
        <v>40.844754</v>
      </c>
      <c r="R5101" t="str">
        <f>"22.301320"</f>
        <v>22.301320</v>
      </c>
      <c r="S5101" t="s">
        <v>26</v>
      </c>
    </row>
    <row r="5102" spans="1:19" x14ac:dyDescent="0.3">
      <c r="A5102" t="s">
        <v>25190</v>
      </c>
      <c r="B5102" t="s">
        <v>30385</v>
      </c>
      <c r="C5102" t="s">
        <v>26826</v>
      </c>
      <c r="D5102" t="s">
        <v>25211</v>
      </c>
      <c r="E5102" t="s">
        <v>25211</v>
      </c>
      <c r="F5102" t="s">
        <v>26731</v>
      </c>
      <c r="G5102" t="s">
        <v>26731</v>
      </c>
      <c r="H5102" t="s">
        <v>868</v>
      </c>
      <c r="I5102" t="s">
        <v>869</v>
      </c>
      <c r="J5102" t="str">
        <f>"9380263"</f>
        <v>9380263</v>
      </c>
      <c r="K5102">
        <v>2382028124</v>
      </c>
      <c r="L5102">
        <v>2382028124</v>
      </c>
      <c r="M5102" t="s">
        <v>30586</v>
      </c>
      <c r="N5102" t="s">
        <v>26772</v>
      </c>
      <c r="O5102" t="s">
        <v>30587</v>
      </c>
      <c r="P5102">
        <v>58100</v>
      </c>
      <c r="Q5102" t="str">
        <f>"40.798671"</f>
        <v>40.798671</v>
      </c>
      <c r="R5102" t="str">
        <f>"22.423813"</f>
        <v>22.423813</v>
      </c>
      <c r="S5102" t="s">
        <v>26</v>
      </c>
    </row>
    <row r="5103" spans="1:19" x14ac:dyDescent="0.3">
      <c r="A5103" t="s">
        <v>25190</v>
      </c>
      <c r="B5103" t="s">
        <v>30385</v>
      </c>
      <c r="C5103" t="s">
        <v>30588</v>
      </c>
      <c r="D5103" t="s">
        <v>25211</v>
      </c>
      <c r="E5103" t="s">
        <v>25212</v>
      </c>
      <c r="F5103" t="s">
        <v>25212</v>
      </c>
      <c r="G5103" t="s">
        <v>25758</v>
      </c>
      <c r="H5103" t="s">
        <v>868</v>
      </c>
      <c r="I5103" t="s">
        <v>950</v>
      </c>
      <c r="J5103" t="str">
        <f>"9380166"</f>
        <v>9380166</v>
      </c>
      <c r="K5103">
        <v>2381022676</v>
      </c>
      <c r="L5103">
        <v>2381022676</v>
      </c>
      <c r="M5103" t="s">
        <v>30589</v>
      </c>
      <c r="N5103" t="s">
        <v>28042</v>
      </c>
      <c r="O5103" t="s">
        <v>28042</v>
      </c>
      <c r="P5103">
        <v>58200</v>
      </c>
      <c r="Q5103" t="str">
        <f>"40.791784"</f>
        <v>40.791784</v>
      </c>
      <c r="R5103" t="str">
        <f>"22.027176"</f>
        <v>22.027176</v>
      </c>
      <c r="S5103" t="s">
        <v>26</v>
      </c>
    </row>
    <row r="5104" spans="1:19" x14ac:dyDescent="0.3">
      <c r="A5104" t="s">
        <v>25190</v>
      </c>
      <c r="B5104" t="s">
        <v>30385</v>
      </c>
      <c r="C5104" t="s">
        <v>30590</v>
      </c>
      <c r="D5104" t="s">
        <v>25211</v>
      </c>
      <c r="E5104" t="s">
        <v>25211</v>
      </c>
      <c r="F5104" t="s">
        <v>26731</v>
      </c>
      <c r="G5104" t="s">
        <v>26731</v>
      </c>
      <c r="H5104" t="s">
        <v>868</v>
      </c>
      <c r="I5104" t="s">
        <v>869</v>
      </c>
      <c r="J5104" t="str">
        <f>"9380083"</f>
        <v>9380083</v>
      </c>
      <c r="K5104">
        <v>2382026261</v>
      </c>
      <c r="L5104">
        <v>2382026261</v>
      </c>
      <c r="M5104" t="s">
        <v>30591</v>
      </c>
      <c r="N5104" t="s">
        <v>26772</v>
      </c>
      <c r="O5104" t="s">
        <v>30592</v>
      </c>
      <c r="P5104">
        <v>58100</v>
      </c>
      <c r="Q5104" t="str">
        <f>"40.787283"</f>
        <v>40.787283</v>
      </c>
      <c r="R5104" t="str">
        <f>"22.416067"</f>
        <v>22.416067</v>
      </c>
      <c r="S5104" t="s">
        <v>26</v>
      </c>
    </row>
    <row r="5105" spans="1:19" x14ac:dyDescent="0.3">
      <c r="A5105" t="s">
        <v>25190</v>
      </c>
      <c r="B5105" t="s">
        <v>30385</v>
      </c>
      <c r="C5105" t="s">
        <v>26742</v>
      </c>
      <c r="D5105" t="s">
        <v>25211</v>
      </c>
      <c r="E5105" t="s">
        <v>25211</v>
      </c>
      <c r="F5105" t="s">
        <v>26731</v>
      </c>
      <c r="G5105" t="s">
        <v>26731</v>
      </c>
      <c r="H5105" t="s">
        <v>868</v>
      </c>
      <c r="I5105" t="s">
        <v>869</v>
      </c>
      <c r="J5105" t="str">
        <f>"9380080"</f>
        <v>9380080</v>
      </c>
      <c r="K5105">
        <v>2382022783</v>
      </c>
      <c r="L5105">
        <v>2382022783</v>
      </c>
      <c r="M5105" t="s">
        <v>30593</v>
      </c>
      <c r="N5105" t="s">
        <v>26772</v>
      </c>
      <c r="O5105" t="s">
        <v>30594</v>
      </c>
      <c r="P5105">
        <v>58100</v>
      </c>
      <c r="Q5105" t="str">
        <f>"40.801908"</f>
        <v>40.801908</v>
      </c>
      <c r="R5105" t="str">
        <f>"22.415036"</f>
        <v>22.415036</v>
      </c>
      <c r="S5105" t="s">
        <v>26</v>
      </c>
    </row>
    <row r="5106" spans="1:19" x14ac:dyDescent="0.3">
      <c r="A5106" t="s">
        <v>25190</v>
      </c>
      <c r="B5106" t="s">
        <v>30385</v>
      </c>
      <c r="C5106" t="s">
        <v>30595</v>
      </c>
      <c r="D5106" t="s">
        <v>25211</v>
      </c>
      <c r="E5106" t="s">
        <v>25211</v>
      </c>
      <c r="F5106" t="s">
        <v>26731</v>
      </c>
      <c r="G5106" t="s">
        <v>26731</v>
      </c>
      <c r="H5106" t="s">
        <v>868</v>
      </c>
      <c r="I5106" t="s">
        <v>869</v>
      </c>
      <c r="J5106" t="str">
        <f>"9380091"</f>
        <v>9380091</v>
      </c>
      <c r="K5106">
        <v>2382031141</v>
      </c>
      <c r="L5106">
        <v>2382031141</v>
      </c>
      <c r="M5106" t="s">
        <v>30596</v>
      </c>
      <c r="N5106" t="s">
        <v>30597</v>
      </c>
      <c r="O5106" t="s">
        <v>30595</v>
      </c>
      <c r="P5106">
        <v>58100</v>
      </c>
      <c r="Q5106" t="str">
        <f>"40.750743"</f>
        <v>40.750743</v>
      </c>
      <c r="R5106" t="str">
        <f>"22.453661"</f>
        <v>22.453661</v>
      </c>
      <c r="S5106" t="s">
        <v>26</v>
      </c>
    </row>
    <row r="5107" spans="1:19" x14ac:dyDescent="0.3">
      <c r="A5107" t="s">
        <v>25190</v>
      </c>
      <c r="B5107" t="s">
        <v>30385</v>
      </c>
      <c r="C5107" t="s">
        <v>30598</v>
      </c>
      <c r="D5107" t="s">
        <v>25211</v>
      </c>
      <c r="E5107" t="s">
        <v>25211</v>
      </c>
      <c r="F5107" t="s">
        <v>21739</v>
      </c>
      <c r="G5107" t="s">
        <v>21739</v>
      </c>
      <c r="H5107" t="s">
        <v>868</v>
      </c>
      <c r="I5107" t="s">
        <v>869</v>
      </c>
      <c r="J5107" t="str">
        <f>"9380144"</f>
        <v>9380144</v>
      </c>
      <c r="K5107">
        <v>2382061619</v>
      </c>
      <c r="L5107">
        <v>2382061619</v>
      </c>
      <c r="M5107" t="s">
        <v>30599</v>
      </c>
      <c r="N5107" t="s">
        <v>21742</v>
      </c>
      <c r="O5107" t="s">
        <v>30600</v>
      </c>
      <c r="P5107">
        <v>58300</v>
      </c>
      <c r="Q5107" t="str">
        <f>"40.684533"</f>
        <v>40.684533</v>
      </c>
      <c r="R5107" t="str">
        <f>"22.299554"</f>
        <v>22.299554</v>
      </c>
      <c r="S5107" t="s">
        <v>26</v>
      </c>
    </row>
    <row r="5108" spans="1:19" x14ac:dyDescent="0.3">
      <c r="A5108" t="s">
        <v>25190</v>
      </c>
      <c r="B5108" t="s">
        <v>30385</v>
      </c>
      <c r="C5108" t="s">
        <v>30601</v>
      </c>
      <c r="D5108" t="s">
        <v>25211</v>
      </c>
      <c r="E5108" t="s">
        <v>25212</v>
      </c>
      <c r="F5108" t="s">
        <v>25212</v>
      </c>
      <c r="G5108" t="s">
        <v>25213</v>
      </c>
      <c r="H5108" t="s">
        <v>868</v>
      </c>
      <c r="I5108" t="s">
        <v>869</v>
      </c>
      <c r="J5108" t="str">
        <f>"9380151"</f>
        <v>9380151</v>
      </c>
      <c r="K5108">
        <v>2381023393</v>
      </c>
      <c r="L5108">
        <v>2381023393</v>
      </c>
      <c r="M5108" t="s">
        <v>30602</v>
      </c>
      <c r="N5108" t="s">
        <v>25216</v>
      </c>
      <c r="O5108" t="s">
        <v>30603</v>
      </c>
      <c r="P5108">
        <v>58200</v>
      </c>
      <c r="Q5108" t="str">
        <f>"40.805854"</f>
        <v>40.805854</v>
      </c>
      <c r="R5108" t="str">
        <f>"22.054955"</f>
        <v>22.054955</v>
      </c>
      <c r="S5108" t="s">
        <v>26</v>
      </c>
    </row>
    <row r="5109" spans="1:19" x14ac:dyDescent="0.3">
      <c r="A5109" t="s">
        <v>25190</v>
      </c>
      <c r="B5109" t="s">
        <v>30385</v>
      </c>
      <c r="C5109" t="s">
        <v>30604</v>
      </c>
      <c r="D5109" t="s">
        <v>25211</v>
      </c>
      <c r="E5109" t="s">
        <v>25211</v>
      </c>
      <c r="F5109" t="s">
        <v>26733</v>
      </c>
      <c r="G5109" t="s">
        <v>27107</v>
      </c>
      <c r="H5109" t="s">
        <v>868</v>
      </c>
      <c r="I5109" t="s">
        <v>950</v>
      </c>
      <c r="J5109" t="str">
        <f>"9380103"</f>
        <v>9380103</v>
      </c>
      <c r="K5109">
        <v>2382051421</v>
      </c>
      <c r="L5109">
        <v>2382051421</v>
      </c>
      <c r="M5109" t="s">
        <v>30605</v>
      </c>
      <c r="N5109" t="s">
        <v>30606</v>
      </c>
      <c r="O5109" t="s">
        <v>30607</v>
      </c>
      <c r="P5109">
        <v>58100</v>
      </c>
      <c r="Q5109" t="str">
        <f>"40.838759"</f>
        <v>40.838759</v>
      </c>
      <c r="R5109" t="str">
        <f>"22.341720"</f>
        <v>22.341720</v>
      </c>
      <c r="S5109" t="s">
        <v>26</v>
      </c>
    </row>
    <row r="5110" spans="1:19" x14ac:dyDescent="0.3">
      <c r="A5110" t="s">
        <v>25190</v>
      </c>
      <c r="B5110" t="s">
        <v>30385</v>
      </c>
      <c r="C5110" t="s">
        <v>30608</v>
      </c>
      <c r="D5110" t="s">
        <v>25211</v>
      </c>
      <c r="E5110" t="s">
        <v>26753</v>
      </c>
      <c r="F5110" t="s">
        <v>26775</v>
      </c>
      <c r="G5110" t="s">
        <v>26775</v>
      </c>
      <c r="H5110" t="s">
        <v>868</v>
      </c>
      <c r="I5110" t="s">
        <v>1157</v>
      </c>
      <c r="J5110" t="str">
        <f>"9380322"</f>
        <v>9380322</v>
      </c>
      <c r="K5110">
        <v>2384024780</v>
      </c>
      <c r="L5110">
        <v>2384024780</v>
      </c>
      <c r="M5110" t="s">
        <v>30609</v>
      </c>
      <c r="N5110" t="s">
        <v>26778</v>
      </c>
      <c r="O5110" t="s">
        <v>30610</v>
      </c>
      <c r="P5110">
        <v>58400</v>
      </c>
      <c r="Q5110" t="str">
        <f>"40.970177"</f>
        <v>40.970177</v>
      </c>
      <c r="R5110" t="str">
        <f>"22.060023"</f>
        <v>22.060023</v>
      </c>
      <c r="S5110" t="s">
        <v>26</v>
      </c>
    </row>
    <row r="5111" spans="1:19" x14ac:dyDescent="0.3">
      <c r="A5111" t="s">
        <v>25190</v>
      </c>
      <c r="B5111" t="s">
        <v>30385</v>
      </c>
      <c r="C5111" t="s">
        <v>26831</v>
      </c>
      <c r="D5111" t="s">
        <v>25211</v>
      </c>
      <c r="E5111" t="s">
        <v>26753</v>
      </c>
      <c r="F5111" t="s">
        <v>26775</v>
      </c>
      <c r="G5111" t="s">
        <v>26827</v>
      </c>
      <c r="H5111" t="s">
        <v>868</v>
      </c>
      <c r="I5111" t="s">
        <v>869</v>
      </c>
      <c r="J5111" t="str">
        <f>"9380053"</f>
        <v>9380053</v>
      </c>
      <c r="K5111">
        <v>2384075273</v>
      </c>
      <c r="L5111">
        <v>2384075273</v>
      </c>
      <c r="M5111" t="s">
        <v>30611</v>
      </c>
      <c r="N5111" t="s">
        <v>30612</v>
      </c>
      <c r="O5111" t="s">
        <v>30613</v>
      </c>
      <c r="P5111">
        <v>58400</v>
      </c>
      <c r="Q5111" t="str">
        <f>"41.022681"</f>
        <v>41.022681</v>
      </c>
      <c r="R5111" t="str">
        <f>"22.006400"</f>
        <v>22.006400</v>
      </c>
      <c r="S5111" t="s">
        <v>26</v>
      </c>
    </row>
    <row r="5112" spans="1:19" x14ac:dyDescent="0.3">
      <c r="A5112" t="s">
        <v>25190</v>
      </c>
      <c r="B5112" t="s">
        <v>30385</v>
      </c>
      <c r="C5112" t="s">
        <v>30615</v>
      </c>
      <c r="D5112" t="s">
        <v>25211</v>
      </c>
      <c r="E5112" t="s">
        <v>26753</v>
      </c>
      <c r="F5112" t="s">
        <v>26754</v>
      </c>
      <c r="G5112" t="s">
        <v>30614</v>
      </c>
      <c r="H5112" t="s">
        <v>868</v>
      </c>
      <c r="I5112" t="s">
        <v>950</v>
      </c>
      <c r="J5112" t="str">
        <f>"9380031"</f>
        <v>9380031</v>
      </c>
      <c r="K5112">
        <v>2384051250</v>
      </c>
      <c r="L5112">
        <v>2384051250</v>
      </c>
      <c r="M5112" t="s">
        <v>30616</v>
      </c>
      <c r="N5112" t="s">
        <v>30617</v>
      </c>
      <c r="O5112" t="s">
        <v>30618</v>
      </c>
      <c r="P5112">
        <v>58400</v>
      </c>
      <c r="Q5112" t="str">
        <f>"41.000099"</f>
        <v>41.000099</v>
      </c>
      <c r="R5112" t="str">
        <f>"22.171325"</f>
        <v>22.171325</v>
      </c>
      <c r="S5112" t="s">
        <v>26</v>
      </c>
    </row>
    <row r="5113" spans="1:19" x14ac:dyDescent="0.3">
      <c r="A5113" t="s">
        <v>25190</v>
      </c>
      <c r="B5113" t="s">
        <v>30385</v>
      </c>
      <c r="C5113" t="s">
        <v>26765</v>
      </c>
      <c r="D5113" t="s">
        <v>25211</v>
      </c>
      <c r="E5113" t="s">
        <v>26760</v>
      </c>
      <c r="F5113" t="s">
        <v>26760</v>
      </c>
      <c r="G5113" t="s">
        <v>26760</v>
      </c>
      <c r="H5113" t="s">
        <v>868</v>
      </c>
      <c r="I5113" t="s">
        <v>869</v>
      </c>
      <c r="J5113" t="str">
        <f>"9380183"</f>
        <v>9380183</v>
      </c>
      <c r="K5113">
        <v>2381089383</v>
      </c>
      <c r="L5113">
        <v>2381089383</v>
      </c>
      <c r="M5113" t="s">
        <v>30619</v>
      </c>
      <c r="N5113" t="s">
        <v>26763</v>
      </c>
      <c r="O5113" t="s">
        <v>30620</v>
      </c>
      <c r="P5113">
        <v>58500</v>
      </c>
      <c r="Q5113" t="str">
        <f>"40.769691"</f>
        <v>40.769691</v>
      </c>
      <c r="R5113" t="str">
        <f>"22.155469"</f>
        <v>22.155469</v>
      </c>
      <c r="S5113" t="s">
        <v>26</v>
      </c>
    </row>
    <row r="5114" spans="1:19" x14ac:dyDescent="0.3">
      <c r="A5114" t="s">
        <v>25190</v>
      </c>
      <c r="B5114" t="s">
        <v>30385</v>
      </c>
      <c r="C5114" t="s">
        <v>30622</v>
      </c>
      <c r="D5114" t="s">
        <v>25211</v>
      </c>
      <c r="E5114" t="s">
        <v>25212</v>
      </c>
      <c r="F5114" t="s">
        <v>25212</v>
      </c>
      <c r="G5114" t="s">
        <v>30621</v>
      </c>
      <c r="H5114" t="s">
        <v>868</v>
      </c>
      <c r="I5114" t="s">
        <v>950</v>
      </c>
      <c r="J5114" t="str">
        <f>"9380190"</f>
        <v>9380190</v>
      </c>
      <c r="K5114">
        <v>2381099001</v>
      </c>
      <c r="L5114">
        <v>2381099001</v>
      </c>
      <c r="M5114" t="s">
        <v>30623</v>
      </c>
      <c r="N5114" t="s">
        <v>30624</v>
      </c>
      <c r="O5114" t="s">
        <v>30624</v>
      </c>
      <c r="P5114">
        <v>58200</v>
      </c>
      <c r="Q5114" t="str">
        <f>"40.750810"</f>
        <v>40.750810</v>
      </c>
      <c r="R5114" t="str">
        <f>"22.014408"</f>
        <v>22.014408</v>
      </c>
      <c r="S5114" t="s">
        <v>26</v>
      </c>
    </row>
    <row r="5115" spans="1:19" x14ac:dyDescent="0.3">
      <c r="A5115" t="s">
        <v>25190</v>
      </c>
      <c r="B5115" t="s">
        <v>30385</v>
      </c>
      <c r="C5115" t="s">
        <v>30638</v>
      </c>
      <c r="D5115" t="s">
        <v>25211</v>
      </c>
      <c r="E5115" t="s">
        <v>26753</v>
      </c>
      <c r="F5115" t="s">
        <v>26775</v>
      </c>
      <c r="G5115" t="s">
        <v>30637</v>
      </c>
      <c r="H5115" t="s">
        <v>868</v>
      </c>
      <c r="I5115" t="s">
        <v>950</v>
      </c>
      <c r="J5115" t="str">
        <f>"9380020"</f>
        <v>9380020</v>
      </c>
      <c r="K5115">
        <v>2384021757</v>
      </c>
      <c r="L5115">
        <v>2384021757</v>
      </c>
      <c r="M5115" t="s">
        <v>30639</v>
      </c>
      <c r="N5115" t="s">
        <v>30640</v>
      </c>
      <c r="O5115" t="s">
        <v>30641</v>
      </c>
      <c r="P5115">
        <v>58400</v>
      </c>
      <c r="Q5115" t="str">
        <f>"40.995945"</f>
        <v>40.995945</v>
      </c>
      <c r="R5115" t="str">
        <f>"22.056720"</f>
        <v>22.056720</v>
      </c>
      <c r="S5115" t="s">
        <v>26</v>
      </c>
    </row>
    <row r="5116" spans="1:19" x14ac:dyDescent="0.3">
      <c r="A5116" t="s">
        <v>25190</v>
      </c>
      <c r="B5116" t="s">
        <v>30385</v>
      </c>
      <c r="C5116" t="s">
        <v>26774</v>
      </c>
      <c r="D5116" t="s">
        <v>25211</v>
      </c>
      <c r="E5116" t="s">
        <v>25211</v>
      </c>
      <c r="F5116" t="s">
        <v>26731</v>
      </c>
      <c r="G5116" t="s">
        <v>26731</v>
      </c>
      <c r="H5116" t="s">
        <v>868</v>
      </c>
      <c r="I5116" t="s">
        <v>869</v>
      </c>
      <c r="J5116" t="str">
        <f>"9380077"</f>
        <v>9380077</v>
      </c>
      <c r="K5116">
        <v>2382022341</v>
      </c>
      <c r="L5116">
        <v>2382022341</v>
      </c>
      <c r="M5116" t="s">
        <v>30642</v>
      </c>
      <c r="N5116" t="s">
        <v>26772</v>
      </c>
      <c r="O5116" t="s">
        <v>30463</v>
      </c>
      <c r="P5116">
        <v>58100</v>
      </c>
      <c r="Q5116" t="str">
        <f>"40.788837"</f>
        <v>40.788837</v>
      </c>
      <c r="R5116" t="str">
        <f>"22.407701"</f>
        <v>22.407701</v>
      </c>
      <c r="S5116" t="s">
        <v>26</v>
      </c>
    </row>
    <row r="5117" spans="1:19" x14ac:dyDescent="0.3">
      <c r="A5117" t="s">
        <v>25190</v>
      </c>
      <c r="B5117" t="s">
        <v>30385</v>
      </c>
      <c r="C5117" t="s">
        <v>26907</v>
      </c>
      <c r="D5117" t="s">
        <v>25211</v>
      </c>
      <c r="E5117" t="s">
        <v>25211</v>
      </c>
      <c r="F5117" t="s">
        <v>26731</v>
      </c>
      <c r="G5117" t="s">
        <v>26731</v>
      </c>
      <c r="H5117" t="s">
        <v>868</v>
      </c>
      <c r="I5117" t="s">
        <v>869</v>
      </c>
      <c r="J5117" t="str">
        <f>"9380073"</f>
        <v>9380073</v>
      </c>
      <c r="K5117">
        <v>2382022789</v>
      </c>
      <c r="L5117">
        <v>2382022789</v>
      </c>
      <c r="M5117" t="s">
        <v>30643</v>
      </c>
      <c r="N5117" t="s">
        <v>26772</v>
      </c>
      <c r="O5117" t="s">
        <v>30644</v>
      </c>
      <c r="P5117">
        <v>58100</v>
      </c>
      <c r="Q5117" t="str">
        <f>"40.794710"</f>
        <v>40.794710</v>
      </c>
      <c r="R5117" t="str">
        <f>"22.410204"</f>
        <v>22.410204</v>
      </c>
      <c r="S5117" t="s">
        <v>26</v>
      </c>
    </row>
    <row r="5118" spans="1:19" x14ac:dyDescent="0.3">
      <c r="A5118" t="s">
        <v>25190</v>
      </c>
      <c r="B5118" t="s">
        <v>30385</v>
      </c>
      <c r="C5118" t="s">
        <v>30648</v>
      </c>
      <c r="D5118" t="s">
        <v>25211</v>
      </c>
      <c r="E5118" t="s">
        <v>25211</v>
      </c>
      <c r="F5118" t="s">
        <v>26731</v>
      </c>
      <c r="G5118" t="s">
        <v>26731</v>
      </c>
      <c r="H5118" t="s">
        <v>868</v>
      </c>
      <c r="I5118" t="s">
        <v>869</v>
      </c>
      <c r="J5118" t="str">
        <f>"9380093"</f>
        <v>9380093</v>
      </c>
      <c r="K5118">
        <v>2382022020</v>
      </c>
      <c r="L5118">
        <v>2382022020</v>
      </c>
      <c r="M5118" t="s">
        <v>30649</v>
      </c>
      <c r="N5118" t="s">
        <v>26741</v>
      </c>
      <c r="O5118" t="s">
        <v>26894</v>
      </c>
      <c r="P5118">
        <v>58100</v>
      </c>
      <c r="Q5118" t="str">
        <f>"40.820962"</f>
        <v>40.820962</v>
      </c>
      <c r="R5118" t="str">
        <f>"22.417773"</f>
        <v>22.417773</v>
      </c>
      <c r="S5118" t="s">
        <v>26</v>
      </c>
    </row>
    <row r="5119" spans="1:19" x14ac:dyDescent="0.3">
      <c r="A5119" t="s">
        <v>25190</v>
      </c>
      <c r="B5119" t="s">
        <v>30385</v>
      </c>
      <c r="C5119" t="s">
        <v>30650</v>
      </c>
      <c r="D5119" t="s">
        <v>25211</v>
      </c>
      <c r="E5119" t="s">
        <v>25212</v>
      </c>
      <c r="F5119" t="s">
        <v>25212</v>
      </c>
      <c r="G5119" t="s">
        <v>25213</v>
      </c>
      <c r="H5119" t="s">
        <v>868</v>
      </c>
      <c r="I5119" t="s">
        <v>869</v>
      </c>
      <c r="J5119" t="str">
        <f>"9380279"</f>
        <v>9380279</v>
      </c>
      <c r="K5119">
        <v>2381025009</v>
      </c>
      <c r="L5119">
        <v>2381025009</v>
      </c>
      <c r="M5119" t="s">
        <v>30651</v>
      </c>
      <c r="N5119" t="s">
        <v>26856</v>
      </c>
      <c r="O5119" t="s">
        <v>30652</v>
      </c>
      <c r="P5119">
        <v>58200</v>
      </c>
      <c r="Q5119" t="str">
        <f>"40.799151"</f>
        <v>40.799151</v>
      </c>
      <c r="R5119" t="str">
        <f>"22.050222"</f>
        <v>22.050222</v>
      </c>
      <c r="S5119" t="s">
        <v>26</v>
      </c>
    </row>
    <row r="5120" spans="1:19" x14ac:dyDescent="0.3">
      <c r="A5120" t="s">
        <v>25190</v>
      </c>
      <c r="B5120" t="s">
        <v>30385</v>
      </c>
      <c r="C5120" t="s">
        <v>30658</v>
      </c>
      <c r="D5120" t="s">
        <v>25211</v>
      </c>
      <c r="E5120" t="s">
        <v>25211</v>
      </c>
      <c r="F5120" t="s">
        <v>8406</v>
      </c>
      <c r="G5120" t="s">
        <v>30467</v>
      </c>
      <c r="H5120" t="s">
        <v>868</v>
      </c>
      <c r="I5120" t="s">
        <v>869</v>
      </c>
      <c r="J5120" t="str">
        <f>"9380131"</f>
        <v>9380131</v>
      </c>
      <c r="K5120">
        <v>2382041337</v>
      </c>
      <c r="L5120">
        <v>2382041337</v>
      </c>
      <c r="M5120" t="s">
        <v>30659</v>
      </c>
      <c r="O5120" t="s">
        <v>30470</v>
      </c>
      <c r="P5120">
        <v>58300</v>
      </c>
      <c r="Q5120" t="str">
        <f>"40.755609"</f>
        <v>40.755609</v>
      </c>
      <c r="R5120" t="str">
        <f>"22.278805"</f>
        <v>22.278805</v>
      </c>
      <c r="S5120" t="s">
        <v>26</v>
      </c>
    </row>
    <row r="5121" spans="1:19" x14ac:dyDescent="0.3">
      <c r="A5121" t="s">
        <v>25190</v>
      </c>
      <c r="B5121" t="s">
        <v>30385</v>
      </c>
      <c r="C5121" t="s">
        <v>30661</v>
      </c>
      <c r="D5121" t="s">
        <v>25211</v>
      </c>
      <c r="E5121" t="s">
        <v>26753</v>
      </c>
      <c r="F5121" t="s">
        <v>26754</v>
      </c>
      <c r="G5121" t="s">
        <v>30660</v>
      </c>
      <c r="H5121" t="s">
        <v>868</v>
      </c>
      <c r="I5121" t="s">
        <v>950</v>
      </c>
      <c r="J5121" t="str">
        <f>"9380049"</f>
        <v>9380049</v>
      </c>
      <c r="K5121">
        <v>2384073359</v>
      </c>
      <c r="L5121">
        <v>2384073359</v>
      </c>
      <c r="M5121" t="s">
        <v>30662</v>
      </c>
      <c r="N5121" t="s">
        <v>30663</v>
      </c>
      <c r="O5121" t="s">
        <v>30663</v>
      </c>
      <c r="P5121">
        <v>58004</v>
      </c>
      <c r="Q5121" t="str">
        <f>"41.102242"</f>
        <v>41.102242</v>
      </c>
      <c r="R5121" t="str">
        <f>"22.264277"</f>
        <v>22.264277</v>
      </c>
      <c r="S5121" t="s">
        <v>26</v>
      </c>
    </row>
    <row r="5122" spans="1:19" x14ac:dyDescent="0.3">
      <c r="A5122" t="s">
        <v>25190</v>
      </c>
      <c r="B5122" t="s">
        <v>30385</v>
      </c>
      <c r="C5122" t="s">
        <v>26794</v>
      </c>
      <c r="D5122" t="s">
        <v>25211</v>
      </c>
      <c r="E5122" t="s">
        <v>25211</v>
      </c>
      <c r="F5122" t="s">
        <v>26731</v>
      </c>
      <c r="G5122" t="s">
        <v>26731</v>
      </c>
      <c r="H5122" t="s">
        <v>868</v>
      </c>
      <c r="I5122" t="s">
        <v>869</v>
      </c>
      <c r="J5122" t="str">
        <f>"9380307"</f>
        <v>9380307</v>
      </c>
      <c r="K5122">
        <v>2382021458</v>
      </c>
      <c r="L5122">
        <v>2382021458</v>
      </c>
      <c r="M5122" t="s">
        <v>30664</v>
      </c>
      <c r="N5122" t="s">
        <v>30665</v>
      </c>
      <c r="O5122" t="s">
        <v>30666</v>
      </c>
      <c r="P5122">
        <v>58100</v>
      </c>
      <c r="Q5122" t="str">
        <f>"40.785334"</f>
        <v>40.785334</v>
      </c>
      <c r="R5122" t="str">
        <f>"22.403782"</f>
        <v>22.403782</v>
      </c>
      <c r="S5122" t="s">
        <v>26</v>
      </c>
    </row>
    <row r="5123" spans="1:19" x14ac:dyDescent="0.3">
      <c r="A5123" t="s">
        <v>25190</v>
      </c>
      <c r="B5123" t="s">
        <v>30385</v>
      </c>
      <c r="C5123" t="s">
        <v>30670</v>
      </c>
      <c r="D5123" t="s">
        <v>25211</v>
      </c>
      <c r="E5123" t="s">
        <v>25211</v>
      </c>
      <c r="F5123" t="s">
        <v>8406</v>
      </c>
      <c r="G5123" t="s">
        <v>30411</v>
      </c>
      <c r="H5123" t="s">
        <v>868</v>
      </c>
      <c r="I5123" t="s">
        <v>950</v>
      </c>
      <c r="J5123" t="str">
        <f>"9380210"</f>
        <v>9380210</v>
      </c>
      <c r="K5123">
        <v>2381094289</v>
      </c>
      <c r="L5123">
        <v>2381094289</v>
      </c>
      <c r="M5123" t="s">
        <v>30671</v>
      </c>
      <c r="N5123" t="s">
        <v>30411</v>
      </c>
      <c r="O5123" t="s">
        <v>30528</v>
      </c>
      <c r="P5123">
        <v>58100</v>
      </c>
      <c r="Q5123" t="str">
        <f>"40.789219"</f>
        <v>40.789219</v>
      </c>
      <c r="R5123" t="str">
        <f>"22.263573"</f>
        <v>22.263573</v>
      </c>
      <c r="S5123" t="s">
        <v>26</v>
      </c>
    </row>
    <row r="5124" spans="1:19" x14ac:dyDescent="0.3">
      <c r="A5124" t="s">
        <v>25190</v>
      </c>
      <c r="B5124" t="s">
        <v>30385</v>
      </c>
      <c r="C5124" t="s">
        <v>30672</v>
      </c>
      <c r="D5124" t="s">
        <v>25211</v>
      </c>
      <c r="E5124" t="s">
        <v>25211</v>
      </c>
      <c r="F5124" t="s">
        <v>26731</v>
      </c>
      <c r="G5124" t="s">
        <v>26731</v>
      </c>
      <c r="H5124" t="s">
        <v>868</v>
      </c>
      <c r="I5124" t="s">
        <v>1157</v>
      </c>
      <c r="J5124" t="str">
        <f>"9380312"</f>
        <v>9380312</v>
      </c>
      <c r="K5124">
        <v>2382021834</v>
      </c>
      <c r="L5124">
        <v>2382021834</v>
      </c>
      <c r="M5124" t="s">
        <v>30673</v>
      </c>
      <c r="N5124" t="s">
        <v>26772</v>
      </c>
      <c r="O5124" t="s">
        <v>30536</v>
      </c>
      <c r="P5124">
        <v>58100</v>
      </c>
      <c r="Q5124" t="str">
        <f>"40.790832"</f>
        <v>40.790832</v>
      </c>
      <c r="R5124" t="str">
        <f>"22.419826"</f>
        <v>22.419826</v>
      </c>
      <c r="S5124" t="s">
        <v>26</v>
      </c>
    </row>
    <row r="5125" spans="1:19" x14ac:dyDescent="0.3">
      <c r="A5125" t="s">
        <v>25190</v>
      </c>
      <c r="B5125" t="s">
        <v>30385</v>
      </c>
      <c r="C5125" t="s">
        <v>30677</v>
      </c>
      <c r="D5125" t="s">
        <v>25211</v>
      </c>
      <c r="E5125" t="s">
        <v>26753</v>
      </c>
      <c r="F5125" t="s">
        <v>26775</v>
      </c>
      <c r="G5125" t="s">
        <v>26775</v>
      </c>
      <c r="H5125" t="s">
        <v>868</v>
      </c>
      <c r="I5125" t="s">
        <v>869</v>
      </c>
      <c r="J5125" t="str">
        <f>"9380323"</f>
        <v>9380323</v>
      </c>
      <c r="K5125">
        <v>2384024441</v>
      </c>
      <c r="L5125">
        <v>2384028050</v>
      </c>
      <c r="M5125" t="s">
        <v>30678</v>
      </c>
      <c r="N5125" t="s">
        <v>26778</v>
      </c>
      <c r="O5125" t="s">
        <v>30679</v>
      </c>
      <c r="P5125">
        <v>58400</v>
      </c>
      <c r="Q5125" t="str">
        <f>"40.974580"</f>
        <v>40.974580</v>
      </c>
      <c r="R5125" t="str">
        <f>"22.055625"</f>
        <v>22.055625</v>
      </c>
      <c r="S5125" t="s">
        <v>26</v>
      </c>
    </row>
    <row r="5126" spans="1:19" x14ac:dyDescent="0.3">
      <c r="A5126" t="s">
        <v>25190</v>
      </c>
      <c r="B5126" t="s">
        <v>30385</v>
      </c>
      <c r="C5126" t="s">
        <v>30680</v>
      </c>
      <c r="D5126" t="s">
        <v>25211</v>
      </c>
      <c r="E5126" t="s">
        <v>25211</v>
      </c>
      <c r="F5126" t="s">
        <v>26731</v>
      </c>
      <c r="G5126" t="s">
        <v>26731</v>
      </c>
      <c r="H5126" t="s">
        <v>868</v>
      </c>
      <c r="I5126" t="s">
        <v>950</v>
      </c>
      <c r="J5126" t="str">
        <f>"9380088"</f>
        <v>9380088</v>
      </c>
      <c r="K5126">
        <v>2382029864</v>
      </c>
      <c r="L5126">
        <v>2382022076</v>
      </c>
      <c r="M5126" t="s">
        <v>30681</v>
      </c>
      <c r="O5126" t="s">
        <v>30682</v>
      </c>
      <c r="P5126">
        <v>58100</v>
      </c>
      <c r="Q5126" t="str">
        <f>"40.828857"</f>
        <v>40.828857</v>
      </c>
      <c r="R5126" t="str">
        <f>"22.450497"</f>
        <v>22.450497</v>
      </c>
      <c r="S5126" t="s">
        <v>26</v>
      </c>
    </row>
    <row r="5127" spans="1:19" x14ac:dyDescent="0.3">
      <c r="A5127" t="s">
        <v>25190</v>
      </c>
      <c r="B5127" t="s">
        <v>30385</v>
      </c>
      <c r="C5127" t="s">
        <v>30684</v>
      </c>
      <c r="D5127" t="s">
        <v>25211</v>
      </c>
      <c r="E5127" t="s">
        <v>25212</v>
      </c>
      <c r="F5127" t="s">
        <v>25212</v>
      </c>
      <c r="G5127" t="s">
        <v>30683</v>
      </c>
      <c r="H5127" t="s">
        <v>868</v>
      </c>
      <c r="I5127" t="s">
        <v>950</v>
      </c>
      <c r="J5127" t="str">
        <f>"9380242"</f>
        <v>9380242</v>
      </c>
      <c r="K5127">
        <v>2381092146</v>
      </c>
      <c r="L5127">
        <v>2381092146</v>
      </c>
      <c r="M5127" t="s">
        <v>30685</v>
      </c>
      <c r="N5127" t="s">
        <v>30686</v>
      </c>
      <c r="O5127" t="s">
        <v>30686</v>
      </c>
      <c r="P5127">
        <v>58200</v>
      </c>
      <c r="Q5127" t="str">
        <f>"40.798810"</f>
        <v>40.798810</v>
      </c>
      <c r="R5127" t="str">
        <f>"21.916595"</f>
        <v>21.916595</v>
      </c>
      <c r="S5127" t="s">
        <v>26</v>
      </c>
    </row>
    <row r="5128" spans="1:19" x14ac:dyDescent="0.3">
      <c r="A5128" t="s">
        <v>25190</v>
      </c>
      <c r="B5128" t="s">
        <v>30385</v>
      </c>
      <c r="C5128" t="s">
        <v>30699</v>
      </c>
      <c r="D5128" t="s">
        <v>25211</v>
      </c>
      <c r="E5128" t="s">
        <v>25211</v>
      </c>
      <c r="F5128" t="s">
        <v>21739</v>
      </c>
      <c r="G5128" t="s">
        <v>30437</v>
      </c>
      <c r="H5128" t="s">
        <v>868</v>
      </c>
      <c r="I5128" t="s">
        <v>950</v>
      </c>
      <c r="J5128" t="str">
        <f>"9380129"</f>
        <v>9380129</v>
      </c>
      <c r="K5128">
        <v>2382071359</v>
      </c>
      <c r="L5128">
        <v>2382071359</v>
      </c>
      <c r="M5128" t="s">
        <v>30700</v>
      </c>
      <c r="N5128" t="s">
        <v>16038</v>
      </c>
      <c r="O5128" t="s">
        <v>30701</v>
      </c>
      <c r="P5128">
        <v>58300</v>
      </c>
      <c r="Q5128" t="str">
        <f>"40.708491"</f>
        <v>40.708491</v>
      </c>
      <c r="R5128" t="str">
        <f>"22.219523"</f>
        <v>22.219523</v>
      </c>
      <c r="S5128" t="s">
        <v>26</v>
      </c>
    </row>
    <row r="5129" spans="1:19" x14ac:dyDescent="0.3">
      <c r="A5129" t="s">
        <v>25190</v>
      </c>
      <c r="B5129" t="s">
        <v>30385</v>
      </c>
      <c r="C5129" t="s">
        <v>30706</v>
      </c>
      <c r="D5129" t="s">
        <v>25211</v>
      </c>
      <c r="E5129" t="s">
        <v>26760</v>
      </c>
      <c r="F5129" t="s">
        <v>26760</v>
      </c>
      <c r="G5129" t="s">
        <v>26912</v>
      </c>
      <c r="H5129" t="s">
        <v>868</v>
      </c>
      <c r="I5129" t="s">
        <v>950</v>
      </c>
      <c r="J5129" t="str">
        <f>"9380170"</f>
        <v>9380170</v>
      </c>
      <c r="K5129">
        <v>2381071833</v>
      </c>
      <c r="L5129">
        <v>2381071833</v>
      </c>
      <c r="M5129" t="s">
        <v>30707</v>
      </c>
      <c r="N5129" t="s">
        <v>30708</v>
      </c>
      <c r="O5129" t="s">
        <v>30708</v>
      </c>
      <c r="P5129">
        <v>58500</v>
      </c>
      <c r="Q5129" t="str">
        <f>"40.723476"</f>
        <v>40.723476</v>
      </c>
      <c r="R5129" t="str">
        <f>"22.109819"</f>
        <v>22.109819</v>
      </c>
      <c r="S5129" t="s">
        <v>26</v>
      </c>
    </row>
    <row r="5130" spans="1:19" x14ac:dyDescent="0.3">
      <c r="A5130" t="s">
        <v>25190</v>
      </c>
      <c r="B5130" t="s">
        <v>30385</v>
      </c>
      <c r="C5130" t="s">
        <v>26880</v>
      </c>
      <c r="D5130" t="s">
        <v>25211</v>
      </c>
      <c r="E5130" t="s">
        <v>25211</v>
      </c>
      <c r="F5130" t="s">
        <v>8406</v>
      </c>
      <c r="G5130" t="s">
        <v>26875</v>
      </c>
      <c r="H5130" t="s">
        <v>868</v>
      </c>
      <c r="I5130" t="s">
        <v>869</v>
      </c>
      <c r="J5130" t="str">
        <f>"9380106"</f>
        <v>9380106</v>
      </c>
      <c r="K5130">
        <v>2382041327</v>
      </c>
      <c r="L5130">
        <v>2382041327</v>
      </c>
      <c r="M5130" t="s">
        <v>30709</v>
      </c>
      <c r="N5130" t="s">
        <v>26878</v>
      </c>
      <c r="O5130" t="s">
        <v>30710</v>
      </c>
      <c r="P5130">
        <v>58001</v>
      </c>
      <c r="Q5130" t="str">
        <f>"40.768775"</f>
        <v>40.768775</v>
      </c>
      <c r="R5130" t="str">
        <f>"22.313090"</f>
        <v>22.313090</v>
      </c>
      <c r="S5130" t="s">
        <v>26</v>
      </c>
    </row>
    <row r="5131" spans="1:19" x14ac:dyDescent="0.3">
      <c r="A5131" t="s">
        <v>25190</v>
      </c>
      <c r="B5131" t="s">
        <v>30385</v>
      </c>
      <c r="C5131" t="s">
        <v>30711</v>
      </c>
      <c r="D5131" t="s">
        <v>25211</v>
      </c>
      <c r="E5131" t="s">
        <v>25211</v>
      </c>
      <c r="F5131" t="s">
        <v>26731</v>
      </c>
      <c r="G5131" t="s">
        <v>30519</v>
      </c>
      <c r="H5131" t="s">
        <v>868</v>
      </c>
      <c r="I5131" t="s">
        <v>869</v>
      </c>
      <c r="J5131" t="str">
        <f>"9380098"</f>
        <v>9380098</v>
      </c>
      <c r="K5131">
        <v>2382094204</v>
      </c>
      <c r="L5131">
        <v>2382094537</v>
      </c>
      <c r="M5131" t="s">
        <v>30712</v>
      </c>
      <c r="N5131" t="s">
        <v>30713</v>
      </c>
      <c r="O5131" t="s">
        <v>30522</v>
      </c>
      <c r="P5131">
        <v>58100</v>
      </c>
      <c r="Q5131" t="str">
        <f>"40.833342"</f>
        <v>40.833342</v>
      </c>
      <c r="R5131" t="str">
        <f>"22.386005"</f>
        <v>22.386005</v>
      </c>
      <c r="S5131" t="s">
        <v>26</v>
      </c>
    </row>
    <row r="5132" spans="1:19" x14ac:dyDescent="0.3">
      <c r="A5132" t="s">
        <v>25190</v>
      </c>
      <c r="B5132" t="s">
        <v>30385</v>
      </c>
      <c r="C5132" t="s">
        <v>30719</v>
      </c>
      <c r="D5132" t="s">
        <v>25211</v>
      </c>
      <c r="E5132" t="s">
        <v>26753</v>
      </c>
      <c r="F5132" t="s">
        <v>26775</v>
      </c>
      <c r="G5132" t="s">
        <v>30718</v>
      </c>
      <c r="H5132" t="s">
        <v>868</v>
      </c>
      <c r="I5132" t="s">
        <v>869</v>
      </c>
      <c r="J5132" t="str">
        <f>"9380057"</f>
        <v>9380057</v>
      </c>
      <c r="K5132">
        <v>2384021611</v>
      </c>
      <c r="L5132">
        <v>2384025239</v>
      </c>
      <c r="M5132" t="s">
        <v>30720</v>
      </c>
      <c r="N5132" t="s">
        <v>30718</v>
      </c>
      <c r="O5132" t="s">
        <v>30721</v>
      </c>
      <c r="P5132">
        <v>58400</v>
      </c>
      <c r="Q5132" t="str">
        <f>"40.999087"</f>
        <v>40.999087</v>
      </c>
      <c r="R5132" t="str">
        <f>"22.036045"</f>
        <v>22.036045</v>
      </c>
      <c r="S5132" t="s">
        <v>26</v>
      </c>
    </row>
    <row r="5133" spans="1:19" x14ac:dyDescent="0.3">
      <c r="A5133" t="s">
        <v>25190</v>
      </c>
      <c r="B5133" t="s">
        <v>30385</v>
      </c>
      <c r="C5133" t="s">
        <v>26759</v>
      </c>
      <c r="D5133" t="s">
        <v>25211</v>
      </c>
      <c r="E5133" t="s">
        <v>26753</v>
      </c>
      <c r="F5133" t="s">
        <v>26754</v>
      </c>
      <c r="G5133" t="s">
        <v>26754</v>
      </c>
      <c r="H5133" t="s">
        <v>868</v>
      </c>
      <c r="I5133" t="s">
        <v>869</v>
      </c>
      <c r="J5133" t="str">
        <f>"9380021"</f>
        <v>9380021</v>
      </c>
      <c r="K5133">
        <v>2384041202</v>
      </c>
      <c r="L5133">
        <v>2384041202</v>
      </c>
      <c r="M5133" t="s">
        <v>30722</v>
      </c>
      <c r="N5133" t="s">
        <v>26757</v>
      </c>
      <c r="O5133" t="s">
        <v>30723</v>
      </c>
      <c r="P5133">
        <v>58400</v>
      </c>
      <c r="Q5133" t="str">
        <f>"40.979595"</f>
        <v>40.979595</v>
      </c>
      <c r="R5133" t="str">
        <f>"22.127600"</f>
        <v>22.127600</v>
      </c>
      <c r="S5133" t="s">
        <v>26</v>
      </c>
    </row>
    <row r="5134" spans="1:19" x14ac:dyDescent="0.3">
      <c r="A5134" t="s">
        <v>25190</v>
      </c>
      <c r="B5134" t="s">
        <v>30385</v>
      </c>
      <c r="C5134" t="s">
        <v>30724</v>
      </c>
      <c r="D5134" t="s">
        <v>25211</v>
      </c>
      <c r="E5134" t="s">
        <v>26760</v>
      </c>
      <c r="F5134" t="s">
        <v>26760</v>
      </c>
      <c r="G5134" t="s">
        <v>26760</v>
      </c>
      <c r="H5134" t="s">
        <v>868</v>
      </c>
      <c r="I5134" t="s">
        <v>869</v>
      </c>
      <c r="J5134" t="str">
        <f>"9380278"</f>
        <v>9380278</v>
      </c>
      <c r="K5134">
        <v>2381082789</v>
      </c>
      <c r="L5134">
        <v>2381082789</v>
      </c>
      <c r="M5134" t="s">
        <v>30725</v>
      </c>
      <c r="N5134" t="s">
        <v>26763</v>
      </c>
      <c r="O5134" t="s">
        <v>30726</v>
      </c>
      <c r="P5134">
        <v>58500</v>
      </c>
      <c r="Q5134" t="str">
        <f>"40.773505"</f>
        <v>40.773505</v>
      </c>
      <c r="R5134" t="str">
        <f>"22.148623"</f>
        <v>22.148623</v>
      </c>
      <c r="S5134" t="s">
        <v>26</v>
      </c>
    </row>
    <row r="5135" spans="1:19" x14ac:dyDescent="0.3">
      <c r="A5135" t="s">
        <v>25190</v>
      </c>
      <c r="B5135" t="s">
        <v>30385</v>
      </c>
      <c r="C5135" t="s">
        <v>30727</v>
      </c>
      <c r="D5135" t="s">
        <v>25211</v>
      </c>
      <c r="E5135" t="s">
        <v>26760</v>
      </c>
      <c r="F5135" t="s">
        <v>26785</v>
      </c>
      <c r="G5135" t="s">
        <v>30537</v>
      </c>
      <c r="H5135" t="s">
        <v>868</v>
      </c>
      <c r="I5135" t="s">
        <v>869</v>
      </c>
      <c r="J5135" t="str">
        <f>"9380219"</f>
        <v>9380219</v>
      </c>
      <c r="K5135">
        <v>2381097405</v>
      </c>
      <c r="L5135">
        <v>2381097405</v>
      </c>
      <c r="M5135" t="s">
        <v>30728</v>
      </c>
      <c r="N5135" t="s">
        <v>30540</v>
      </c>
      <c r="O5135" t="s">
        <v>30540</v>
      </c>
      <c r="P5135">
        <v>58500</v>
      </c>
      <c r="Q5135" t="str">
        <f>"40.858077"</f>
        <v>40.858077</v>
      </c>
      <c r="R5135" t="str">
        <f>"22.211654"</f>
        <v>22.211654</v>
      </c>
      <c r="S5135" t="s">
        <v>26</v>
      </c>
    </row>
    <row r="5136" spans="1:19" x14ac:dyDescent="0.3">
      <c r="A5136" t="s">
        <v>25190</v>
      </c>
      <c r="B5136" t="s">
        <v>30385</v>
      </c>
      <c r="C5136" t="s">
        <v>26858</v>
      </c>
      <c r="D5136" t="s">
        <v>25211</v>
      </c>
      <c r="E5136" t="s">
        <v>25212</v>
      </c>
      <c r="F5136" t="s">
        <v>25212</v>
      </c>
      <c r="G5136" t="s">
        <v>25213</v>
      </c>
      <c r="H5136" t="s">
        <v>868</v>
      </c>
      <c r="I5136" t="s">
        <v>869</v>
      </c>
      <c r="J5136" t="str">
        <f>"9380315"</f>
        <v>9380315</v>
      </c>
      <c r="K5136">
        <v>2381020222</v>
      </c>
      <c r="L5136">
        <v>2381020222</v>
      </c>
      <c r="M5136" t="s">
        <v>30729</v>
      </c>
      <c r="N5136" t="s">
        <v>25216</v>
      </c>
      <c r="O5136" t="s">
        <v>30730</v>
      </c>
      <c r="P5136">
        <v>58200</v>
      </c>
      <c r="Q5136" t="str">
        <f>"40.799401"</f>
        <v>40.799401</v>
      </c>
      <c r="R5136" t="str">
        <f>"22.044248"</f>
        <v>22.044248</v>
      </c>
      <c r="S5136" t="s">
        <v>26</v>
      </c>
    </row>
    <row r="5137" spans="1:19" x14ac:dyDescent="0.3">
      <c r="A5137" t="s">
        <v>25190</v>
      </c>
      <c r="B5137" t="s">
        <v>30385</v>
      </c>
      <c r="C5137" t="s">
        <v>30739</v>
      </c>
      <c r="D5137" t="s">
        <v>25211</v>
      </c>
      <c r="E5137" t="s">
        <v>25211</v>
      </c>
      <c r="F5137" t="s">
        <v>21739</v>
      </c>
      <c r="G5137" t="s">
        <v>30491</v>
      </c>
      <c r="H5137" t="s">
        <v>868</v>
      </c>
      <c r="I5137" t="s">
        <v>869</v>
      </c>
      <c r="J5137" t="str">
        <f>"9380125"</f>
        <v>9380125</v>
      </c>
      <c r="K5137">
        <v>2382061792</v>
      </c>
      <c r="L5137">
        <v>2382061792</v>
      </c>
      <c r="M5137" t="s">
        <v>30740</v>
      </c>
      <c r="N5137" t="s">
        <v>30741</v>
      </c>
      <c r="O5137" t="s">
        <v>30742</v>
      </c>
      <c r="P5137">
        <v>58300</v>
      </c>
      <c r="Q5137" t="str">
        <f>"40.719561"</f>
        <v>40.719561</v>
      </c>
      <c r="R5137" t="str">
        <f>"22.294017"</f>
        <v>22.294017</v>
      </c>
      <c r="S5137" t="s">
        <v>26</v>
      </c>
    </row>
    <row r="5138" spans="1:19" x14ac:dyDescent="0.3">
      <c r="A5138" t="s">
        <v>25190</v>
      </c>
      <c r="B5138" t="s">
        <v>30385</v>
      </c>
      <c r="C5138" t="s">
        <v>30751</v>
      </c>
      <c r="D5138" t="s">
        <v>25211</v>
      </c>
      <c r="E5138" t="s">
        <v>26760</v>
      </c>
      <c r="F5138" t="s">
        <v>26760</v>
      </c>
      <c r="G5138" t="s">
        <v>30190</v>
      </c>
      <c r="H5138" t="s">
        <v>868</v>
      </c>
      <c r="I5138" t="s">
        <v>869</v>
      </c>
      <c r="J5138" t="str">
        <f>"9380158"</f>
        <v>9380158</v>
      </c>
      <c r="K5138">
        <v>2381061201</v>
      </c>
      <c r="L5138">
        <v>2381061201</v>
      </c>
      <c r="M5138" t="s">
        <v>30752</v>
      </c>
      <c r="N5138" t="s">
        <v>30552</v>
      </c>
      <c r="O5138" t="s">
        <v>30552</v>
      </c>
      <c r="P5138">
        <v>58500</v>
      </c>
      <c r="Q5138" t="str">
        <f>"40.736085"</f>
        <v>40.736085</v>
      </c>
      <c r="R5138" t="str">
        <f>"22.214036"</f>
        <v>22.214036</v>
      </c>
      <c r="S5138" t="s">
        <v>26</v>
      </c>
    </row>
    <row r="5139" spans="1:19" x14ac:dyDescent="0.3">
      <c r="A5139" t="s">
        <v>25190</v>
      </c>
      <c r="B5139" t="s">
        <v>30385</v>
      </c>
      <c r="C5139" t="s">
        <v>30753</v>
      </c>
      <c r="D5139" t="s">
        <v>25211</v>
      </c>
      <c r="E5139" t="s">
        <v>25212</v>
      </c>
      <c r="F5139" t="s">
        <v>25212</v>
      </c>
      <c r="G5139" t="s">
        <v>2864</v>
      </c>
      <c r="H5139" t="s">
        <v>868</v>
      </c>
      <c r="I5139" t="s">
        <v>950</v>
      </c>
      <c r="J5139" t="str">
        <f>"9380235"</f>
        <v>9380235</v>
      </c>
      <c r="K5139">
        <v>2381092385</v>
      </c>
      <c r="L5139">
        <v>2381092385</v>
      </c>
      <c r="M5139" t="s">
        <v>30754</v>
      </c>
      <c r="N5139" t="s">
        <v>2861</v>
      </c>
      <c r="O5139" t="s">
        <v>2861</v>
      </c>
      <c r="P5139">
        <v>58200</v>
      </c>
      <c r="Q5139" t="str">
        <f>"40.804832"</f>
        <v>40.804832</v>
      </c>
      <c r="R5139" t="str">
        <f>"22.004291"</f>
        <v>22.004291</v>
      </c>
      <c r="S5139" t="s">
        <v>26</v>
      </c>
    </row>
    <row r="5140" spans="1:19" x14ac:dyDescent="0.3">
      <c r="A5140" t="s">
        <v>25190</v>
      </c>
      <c r="B5140" t="s">
        <v>30385</v>
      </c>
      <c r="C5140" t="s">
        <v>26916</v>
      </c>
      <c r="D5140" t="s">
        <v>25211</v>
      </c>
      <c r="E5140" t="s">
        <v>26760</v>
      </c>
      <c r="F5140" t="s">
        <v>26760</v>
      </c>
      <c r="G5140" t="s">
        <v>26912</v>
      </c>
      <c r="H5140" t="s">
        <v>868</v>
      </c>
      <c r="I5140" t="s">
        <v>869</v>
      </c>
      <c r="J5140" t="str">
        <f>"9380172"</f>
        <v>9380172</v>
      </c>
      <c r="K5140">
        <v>2381071387</v>
      </c>
      <c r="L5140">
        <v>2381071387</v>
      </c>
      <c r="M5140" t="s">
        <v>30755</v>
      </c>
      <c r="N5140" t="s">
        <v>26915</v>
      </c>
      <c r="O5140" t="s">
        <v>30756</v>
      </c>
      <c r="P5140">
        <v>58500</v>
      </c>
      <c r="Q5140" t="str">
        <f>"40.755943"</f>
        <v>40.755943</v>
      </c>
      <c r="R5140" t="str">
        <f>"22.155144"</f>
        <v>22.155144</v>
      </c>
      <c r="S5140" t="s">
        <v>26</v>
      </c>
    </row>
    <row r="5141" spans="1:19" x14ac:dyDescent="0.3">
      <c r="A5141" t="s">
        <v>25190</v>
      </c>
      <c r="B5141" t="s">
        <v>30385</v>
      </c>
      <c r="C5141" t="s">
        <v>30757</v>
      </c>
      <c r="D5141" t="s">
        <v>25211</v>
      </c>
      <c r="E5141" t="s">
        <v>26760</v>
      </c>
      <c r="F5141" t="s">
        <v>26760</v>
      </c>
      <c r="G5141" t="s">
        <v>30564</v>
      </c>
      <c r="H5141" t="s">
        <v>868</v>
      </c>
      <c r="I5141" t="s">
        <v>869</v>
      </c>
      <c r="J5141" t="str">
        <f>"9380156"</f>
        <v>9380156</v>
      </c>
      <c r="K5141">
        <v>2381071275</v>
      </c>
      <c r="L5141">
        <v>2381071275</v>
      </c>
      <c r="M5141" t="s">
        <v>30758</v>
      </c>
      <c r="N5141" t="s">
        <v>30759</v>
      </c>
      <c r="O5141" t="s">
        <v>30567</v>
      </c>
      <c r="P5141">
        <v>58500</v>
      </c>
      <c r="Q5141" t="str">
        <f>"40.713930"</f>
        <v>40.713930</v>
      </c>
      <c r="R5141" t="str">
        <f>"22.159746"</f>
        <v>22.159746</v>
      </c>
      <c r="S5141" t="s">
        <v>26</v>
      </c>
    </row>
    <row r="5142" spans="1:19" x14ac:dyDescent="0.3">
      <c r="A5142" t="s">
        <v>25190</v>
      </c>
      <c r="B5142" t="s">
        <v>30385</v>
      </c>
      <c r="C5142" t="s">
        <v>26911</v>
      </c>
      <c r="D5142" t="s">
        <v>25211</v>
      </c>
      <c r="E5142" t="s">
        <v>25212</v>
      </c>
      <c r="F5142" t="s">
        <v>25212</v>
      </c>
      <c r="G5142" t="s">
        <v>25213</v>
      </c>
      <c r="H5142" t="s">
        <v>868</v>
      </c>
      <c r="I5142" t="s">
        <v>869</v>
      </c>
      <c r="J5142" t="str">
        <f>"9380227"</f>
        <v>9380227</v>
      </c>
      <c r="K5142">
        <v>2381023495</v>
      </c>
      <c r="L5142">
        <v>2381023495</v>
      </c>
      <c r="M5142" t="s">
        <v>30760</v>
      </c>
      <c r="N5142" t="s">
        <v>25216</v>
      </c>
      <c r="O5142" t="s">
        <v>26910</v>
      </c>
      <c r="P5142">
        <v>58200</v>
      </c>
      <c r="Q5142" t="str">
        <f>"40.803360"</f>
        <v>40.803360</v>
      </c>
      <c r="R5142" t="str">
        <f>"22.047739"</f>
        <v>22.047739</v>
      </c>
      <c r="S5142" t="s">
        <v>26</v>
      </c>
    </row>
    <row r="5143" spans="1:19" x14ac:dyDescent="0.3">
      <c r="A5143" t="s">
        <v>25190</v>
      </c>
      <c r="B5143" t="s">
        <v>30385</v>
      </c>
      <c r="C5143" t="s">
        <v>30766</v>
      </c>
      <c r="D5143" t="s">
        <v>25211</v>
      </c>
      <c r="E5143" t="s">
        <v>25211</v>
      </c>
      <c r="F5143" t="s">
        <v>26733</v>
      </c>
      <c r="G5143" t="s">
        <v>30765</v>
      </c>
      <c r="H5143" t="s">
        <v>868</v>
      </c>
      <c r="I5143" t="s">
        <v>950</v>
      </c>
      <c r="J5143" t="str">
        <f>"9380224"</f>
        <v>9380224</v>
      </c>
      <c r="K5143">
        <v>2381097489</v>
      </c>
      <c r="L5143">
        <v>2381097489</v>
      </c>
      <c r="M5143" t="s">
        <v>30767</v>
      </c>
      <c r="N5143" t="s">
        <v>30765</v>
      </c>
      <c r="O5143" t="s">
        <v>30768</v>
      </c>
      <c r="P5143">
        <v>58500</v>
      </c>
      <c r="Q5143" t="str">
        <f>"40.856066"</f>
        <v>40.856066</v>
      </c>
      <c r="R5143" t="str">
        <f>"22.243765"</f>
        <v>22.243765</v>
      </c>
      <c r="S5143" t="s">
        <v>26</v>
      </c>
    </row>
    <row r="5144" spans="1:19" x14ac:dyDescent="0.3">
      <c r="A5144" t="s">
        <v>25190</v>
      </c>
      <c r="B5144" t="s">
        <v>30385</v>
      </c>
      <c r="C5144" t="s">
        <v>30769</v>
      </c>
      <c r="D5144" t="s">
        <v>25211</v>
      </c>
      <c r="E5144" t="s">
        <v>25211</v>
      </c>
      <c r="F5144" t="s">
        <v>26733</v>
      </c>
      <c r="G5144" t="s">
        <v>28099</v>
      </c>
      <c r="H5144" t="s">
        <v>868</v>
      </c>
      <c r="I5144" t="s">
        <v>950</v>
      </c>
      <c r="J5144" t="str">
        <f>"9380119"</f>
        <v>9380119</v>
      </c>
      <c r="K5144">
        <v>2382099647</v>
      </c>
      <c r="L5144">
        <v>2382099647</v>
      </c>
      <c r="M5144" t="s">
        <v>30770</v>
      </c>
      <c r="N5144" t="s">
        <v>30771</v>
      </c>
      <c r="O5144" t="s">
        <v>30772</v>
      </c>
      <c r="P5144">
        <v>58100</v>
      </c>
      <c r="Q5144" t="str">
        <f>"40.851874"</f>
        <v>40.851874</v>
      </c>
      <c r="R5144" t="str">
        <f>"22.277049"</f>
        <v>22.277049</v>
      </c>
      <c r="S5144" t="s">
        <v>26</v>
      </c>
    </row>
    <row r="5145" spans="1:19" x14ac:dyDescent="0.3">
      <c r="A5145" t="s">
        <v>25190</v>
      </c>
      <c r="B5145" t="s">
        <v>30385</v>
      </c>
      <c r="C5145" t="s">
        <v>30773</v>
      </c>
      <c r="D5145" t="s">
        <v>25211</v>
      </c>
      <c r="E5145" t="s">
        <v>25211</v>
      </c>
      <c r="F5145" t="s">
        <v>26733</v>
      </c>
      <c r="G5145" t="s">
        <v>30448</v>
      </c>
      <c r="H5145" t="s">
        <v>868</v>
      </c>
      <c r="I5145" t="s">
        <v>950</v>
      </c>
      <c r="J5145" t="str">
        <f>"9380114"</f>
        <v>9380114</v>
      </c>
      <c r="K5145">
        <v>2382051310</v>
      </c>
      <c r="M5145" t="s">
        <v>30774</v>
      </c>
      <c r="N5145" t="s">
        <v>30775</v>
      </c>
      <c r="O5145" t="s">
        <v>30775</v>
      </c>
      <c r="P5145">
        <v>58100</v>
      </c>
      <c r="Q5145" t="str">
        <f>"40.806094"</f>
        <v>40.806094</v>
      </c>
      <c r="R5145" t="str">
        <f>"22.326449"</f>
        <v>22.326449</v>
      </c>
      <c r="S5145" t="s">
        <v>26</v>
      </c>
    </row>
    <row r="5146" spans="1:19" x14ac:dyDescent="0.3">
      <c r="A5146" t="s">
        <v>25190</v>
      </c>
      <c r="B5146" t="s">
        <v>30385</v>
      </c>
      <c r="C5146" t="s">
        <v>30776</v>
      </c>
      <c r="D5146" t="s">
        <v>25211</v>
      </c>
      <c r="E5146" t="s">
        <v>25211</v>
      </c>
      <c r="F5146" t="s">
        <v>25211</v>
      </c>
      <c r="G5146" t="s">
        <v>30714</v>
      </c>
      <c r="H5146" t="s">
        <v>868</v>
      </c>
      <c r="I5146" t="s">
        <v>950</v>
      </c>
      <c r="J5146" t="str">
        <f>"9380121"</f>
        <v>9380121</v>
      </c>
      <c r="K5146">
        <v>2391053370</v>
      </c>
      <c r="L5146">
        <v>2391053370</v>
      </c>
      <c r="M5146" t="s">
        <v>30777</v>
      </c>
      <c r="N5146" t="s">
        <v>30717</v>
      </c>
      <c r="O5146" t="s">
        <v>30717</v>
      </c>
      <c r="P5146">
        <v>58005</v>
      </c>
      <c r="Q5146" t="str">
        <f>"40.810618"</f>
        <v>40.810618</v>
      </c>
      <c r="R5146" t="str">
        <f>"22.540903"</f>
        <v>22.540903</v>
      </c>
      <c r="S5146" t="s">
        <v>26</v>
      </c>
    </row>
    <row r="5147" spans="1:19" x14ac:dyDescent="0.3">
      <c r="A5147" t="s">
        <v>25190</v>
      </c>
      <c r="B5147" t="s">
        <v>30385</v>
      </c>
      <c r="C5147" t="s">
        <v>26846</v>
      </c>
      <c r="D5147" t="s">
        <v>25211</v>
      </c>
      <c r="E5147" t="s">
        <v>25211</v>
      </c>
      <c r="F5147" t="s">
        <v>26733</v>
      </c>
      <c r="G5147" t="s">
        <v>26841</v>
      </c>
      <c r="H5147" t="s">
        <v>868</v>
      </c>
      <c r="I5147" t="s">
        <v>869</v>
      </c>
      <c r="J5147" t="str">
        <f>"9380112"</f>
        <v>9380112</v>
      </c>
      <c r="K5147">
        <v>2382051222</v>
      </c>
      <c r="L5147">
        <v>2382052577</v>
      </c>
      <c r="M5147" t="s">
        <v>30778</v>
      </c>
      <c r="N5147" t="s">
        <v>30779</v>
      </c>
      <c r="O5147" t="s">
        <v>30780</v>
      </c>
      <c r="P5147">
        <v>58100</v>
      </c>
      <c r="Q5147" t="str">
        <f>"40.818753"</f>
        <v>40.818753</v>
      </c>
      <c r="R5147" t="str">
        <f>"22.350686"</f>
        <v>22.350686</v>
      </c>
      <c r="S5147" t="s">
        <v>26</v>
      </c>
    </row>
    <row r="5148" spans="1:19" x14ac:dyDescent="0.3">
      <c r="A5148" t="s">
        <v>25190</v>
      </c>
      <c r="B5148" t="s">
        <v>30385</v>
      </c>
      <c r="C5148" t="s">
        <v>30781</v>
      </c>
      <c r="D5148" t="s">
        <v>25211</v>
      </c>
      <c r="E5148" t="s">
        <v>25211</v>
      </c>
      <c r="F5148" t="s">
        <v>25211</v>
      </c>
      <c r="G5148" t="s">
        <v>30407</v>
      </c>
      <c r="H5148" t="s">
        <v>868</v>
      </c>
      <c r="I5148" t="s">
        <v>950</v>
      </c>
      <c r="J5148" t="str">
        <f>"9380104"</f>
        <v>9380104</v>
      </c>
      <c r="K5148">
        <v>2382093281</v>
      </c>
      <c r="L5148">
        <v>2382093281</v>
      </c>
      <c r="M5148" t="s">
        <v>30782</v>
      </c>
      <c r="N5148" t="s">
        <v>30783</v>
      </c>
      <c r="O5148" t="s">
        <v>30410</v>
      </c>
      <c r="P5148">
        <v>58005</v>
      </c>
      <c r="Q5148" t="str">
        <f>"40.857149"</f>
        <v>40.857149</v>
      </c>
      <c r="R5148" t="str">
        <f>"22.529801"</f>
        <v>22.529801</v>
      </c>
      <c r="S5148" t="s">
        <v>26</v>
      </c>
    </row>
    <row r="5149" spans="1:19" x14ac:dyDescent="0.3">
      <c r="A5149" t="s">
        <v>25190</v>
      </c>
      <c r="B5149" t="s">
        <v>30385</v>
      </c>
      <c r="C5149" t="s">
        <v>30784</v>
      </c>
      <c r="D5149" t="s">
        <v>25211</v>
      </c>
      <c r="E5149" t="s">
        <v>25211</v>
      </c>
      <c r="F5149" t="s">
        <v>26731</v>
      </c>
      <c r="G5149" t="s">
        <v>26731</v>
      </c>
      <c r="H5149" t="s">
        <v>868</v>
      </c>
      <c r="I5149" t="s">
        <v>869</v>
      </c>
      <c r="J5149" t="str">
        <f>"9380076"</f>
        <v>9380076</v>
      </c>
      <c r="K5149">
        <v>2382022339</v>
      </c>
      <c r="L5149">
        <v>2382022339</v>
      </c>
      <c r="M5149" t="s">
        <v>30785</v>
      </c>
      <c r="N5149" t="s">
        <v>26772</v>
      </c>
      <c r="O5149" t="s">
        <v>30786</v>
      </c>
      <c r="P5149">
        <v>58100</v>
      </c>
      <c r="Q5149" t="str">
        <f>"40.795365"</f>
        <v>40.795365</v>
      </c>
      <c r="R5149" t="str">
        <f>"22.417698"</f>
        <v>22.417698</v>
      </c>
      <c r="S5149" t="s">
        <v>26</v>
      </c>
    </row>
    <row r="5150" spans="1:19" x14ac:dyDescent="0.3">
      <c r="A5150" t="s">
        <v>25190</v>
      </c>
      <c r="B5150" t="s">
        <v>30385</v>
      </c>
      <c r="C5150" t="s">
        <v>30787</v>
      </c>
      <c r="D5150" t="s">
        <v>25211</v>
      </c>
      <c r="E5150" t="s">
        <v>25211</v>
      </c>
      <c r="F5150" t="s">
        <v>21739</v>
      </c>
      <c r="G5150" t="s">
        <v>30546</v>
      </c>
      <c r="H5150" t="s">
        <v>868</v>
      </c>
      <c r="I5150" t="s">
        <v>869</v>
      </c>
      <c r="J5150" t="str">
        <f>"9380123"</f>
        <v>9380123</v>
      </c>
      <c r="K5150">
        <v>2382061103</v>
      </c>
      <c r="L5150">
        <v>2382061103</v>
      </c>
      <c r="M5150" t="s">
        <v>30788</v>
      </c>
      <c r="N5150" t="s">
        <v>30549</v>
      </c>
      <c r="O5150" t="s">
        <v>30549</v>
      </c>
      <c r="P5150">
        <v>58300</v>
      </c>
      <c r="Q5150" t="str">
        <f>"40.680898"</f>
        <v>40.680898</v>
      </c>
      <c r="R5150" t="str">
        <f>"22.263001"</f>
        <v>22.263001</v>
      </c>
      <c r="S5150" t="s">
        <v>26</v>
      </c>
    </row>
    <row r="5151" spans="1:19" x14ac:dyDescent="0.3">
      <c r="A5151" t="s">
        <v>25190</v>
      </c>
      <c r="B5151" t="s">
        <v>30385</v>
      </c>
      <c r="C5151" t="s">
        <v>30789</v>
      </c>
      <c r="D5151" t="s">
        <v>25211</v>
      </c>
      <c r="E5151" t="s">
        <v>25211</v>
      </c>
      <c r="F5151" t="s">
        <v>26731</v>
      </c>
      <c r="G5151" t="s">
        <v>30429</v>
      </c>
      <c r="H5151" t="s">
        <v>868</v>
      </c>
      <c r="I5151" t="s">
        <v>869</v>
      </c>
      <c r="J5151" t="str">
        <f>"9380110"</f>
        <v>9380110</v>
      </c>
      <c r="K5151">
        <v>2382041969</v>
      </c>
      <c r="L5151">
        <v>2382041969</v>
      </c>
      <c r="M5151" t="s">
        <v>30790</v>
      </c>
      <c r="N5151" t="s">
        <v>30791</v>
      </c>
      <c r="O5151" t="s">
        <v>30432</v>
      </c>
      <c r="P5151">
        <v>58100</v>
      </c>
      <c r="Q5151" t="str">
        <f>"40.775380"</f>
        <v>40.775380</v>
      </c>
      <c r="R5151" t="str">
        <f>"22.352231"</f>
        <v>22.352231</v>
      </c>
      <c r="S5151" t="s">
        <v>26</v>
      </c>
    </row>
    <row r="5152" spans="1:19" x14ac:dyDescent="0.3">
      <c r="A5152" t="s">
        <v>25190</v>
      </c>
      <c r="B5152" t="s">
        <v>30385</v>
      </c>
      <c r="C5152" t="s">
        <v>30792</v>
      </c>
      <c r="D5152" t="s">
        <v>25211</v>
      </c>
      <c r="E5152" t="s">
        <v>25211</v>
      </c>
      <c r="F5152" t="s">
        <v>8406</v>
      </c>
      <c r="G5152" t="s">
        <v>30411</v>
      </c>
      <c r="H5152" t="s">
        <v>868</v>
      </c>
      <c r="I5152" t="s">
        <v>950</v>
      </c>
      <c r="J5152" t="str">
        <f>"9380209"</f>
        <v>9380209</v>
      </c>
      <c r="K5152">
        <v>2381096074</v>
      </c>
      <c r="L5152">
        <v>2381096324</v>
      </c>
      <c r="M5152" t="s">
        <v>30793</v>
      </c>
      <c r="N5152" t="s">
        <v>30415</v>
      </c>
      <c r="O5152" t="s">
        <v>30794</v>
      </c>
      <c r="P5152">
        <v>58100</v>
      </c>
      <c r="Q5152" t="str">
        <f>"40.809923"</f>
        <v>40.809923</v>
      </c>
      <c r="R5152" t="str">
        <f>"22.260461"</f>
        <v>22.260461</v>
      </c>
      <c r="S5152" t="s">
        <v>26</v>
      </c>
    </row>
    <row r="5153" spans="1:19" x14ac:dyDescent="0.3">
      <c r="A5153" t="s">
        <v>25190</v>
      </c>
      <c r="B5153" t="s">
        <v>30385</v>
      </c>
      <c r="C5153" t="s">
        <v>30801</v>
      </c>
      <c r="D5153" t="s">
        <v>25211</v>
      </c>
      <c r="E5153" t="s">
        <v>25211</v>
      </c>
      <c r="F5153" t="s">
        <v>26731</v>
      </c>
      <c r="G5153" t="s">
        <v>26731</v>
      </c>
      <c r="H5153" t="s">
        <v>868</v>
      </c>
      <c r="I5153" t="s">
        <v>869</v>
      </c>
      <c r="J5153" t="str">
        <f>"9380081"</f>
        <v>9380081</v>
      </c>
      <c r="K5153">
        <v>2382022488</v>
      </c>
      <c r="L5153">
        <v>2382022488</v>
      </c>
      <c r="M5153" t="s">
        <v>30802</v>
      </c>
      <c r="N5153" t="s">
        <v>26772</v>
      </c>
      <c r="O5153" t="s">
        <v>30803</v>
      </c>
      <c r="P5153">
        <v>58100</v>
      </c>
      <c r="Q5153" t="str">
        <f>"40.791222"</f>
        <v>40.791222</v>
      </c>
      <c r="R5153" t="str">
        <f>"22.419683"</f>
        <v>22.419683</v>
      </c>
      <c r="S5153" t="s">
        <v>26</v>
      </c>
    </row>
    <row r="5154" spans="1:19" x14ac:dyDescent="0.3">
      <c r="A5154" t="s">
        <v>25190</v>
      </c>
      <c r="B5154" t="s">
        <v>30385</v>
      </c>
      <c r="C5154" t="s">
        <v>30810</v>
      </c>
      <c r="D5154" t="s">
        <v>25211</v>
      </c>
      <c r="E5154" t="s">
        <v>25211</v>
      </c>
      <c r="F5154" t="s">
        <v>26731</v>
      </c>
      <c r="G5154" t="s">
        <v>26731</v>
      </c>
      <c r="H5154" t="s">
        <v>868</v>
      </c>
      <c r="I5154" t="s">
        <v>869</v>
      </c>
      <c r="J5154" t="str">
        <f>"9380085"</f>
        <v>9380085</v>
      </c>
      <c r="K5154">
        <v>2382022835</v>
      </c>
      <c r="L5154">
        <v>2382084119</v>
      </c>
      <c r="M5154" t="s">
        <v>30811</v>
      </c>
      <c r="N5154" t="s">
        <v>26772</v>
      </c>
      <c r="O5154" t="s">
        <v>30812</v>
      </c>
      <c r="P5154">
        <v>58100</v>
      </c>
      <c r="Q5154" t="str">
        <f>"40.790979"</f>
        <v>40.790979</v>
      </c>
      <c r="R5154" t="str">
        <f>"22.410681"</f>
        <v>22.410681</v>
      </c>
      <c r="S5154" t="s">
        <v>26</v>
      </c>
    </row>
    <row r="5155" spans="1:19" x14ac:dyDescent="0.3">
      <c r="A5155" t="s">
        <v>25190</v>
      </c>
      <c r="B5155" t="s">
        <v>30385</v>
      </c>
      <c r="C5155" t="s">
        <v>30813</v>
      </c>
      <c r="D5155" t="s">
        <v>25211</v>
      </c>
      <c r="E5155" t="s">
        <v>25211</v>
      </c>
      <c r="F5155" t="s">
        <v>21739</v>
      </c>
      <c r="G5155" t="s">
        <v>30437</v>
      </c>
      <c r="H5155" t="s">
        <v>868</v>
      </c>
      <c r="I5155" t="s">
        <v>869</v>
      </c>
      <c r="J5155" t="str">
        <f>"9380126"</f>
        <v>9380126</v>
      </c>
      <c r="K5155">
        <v>2382071211</v>
      </c>
      <c r="L5155">
        <v>2382071211</v>
      </c>
      <c r="M5155" t="s">
        <v>30814</v>
      </c>
      <c r="N5155" t="s">
        <v>30815</v>
      </c>
      <c r="O5155" t="s">
        <v>30816</v>
      </c>
      <c r="P5155">
        <v>58300</v>
      </c>
      <c r="Q5155" t="str">
        <f>"40.704159"</f>
        <v>40.704159</v>
      </c>
      <c r="R5155" t="str">
        <f>"22.262752"</f>
        <v>22.262752</v>
      </c>
      <c r="S5155" t="s">
        <v>26</v>
      </c>
    </row>
    <row r="5156" spans="1:19" x14ac:dyDescent="0.3">
      <c r="A5156" t="s">
        <v>25190</v>
      </c>
      <c r="B5156" t="s">
        <v>30385</v>
      </c>
      <c r="C5156" t="s">
        <v>30817</v>
      </c>
      <c r="D5156" t="s">
        <v>25211</v>
      </c>
      <c r="E5156" t="s">
        <v>25211</v>
      </c>
      <c r="F5156" t="s">
        <v>25211</v>
      </c>
      <c r="G5156" t="s">
        <v>30580</v>
      </c>
      <c r="H5156" t="s">
        <v>868</v>
      </c>
      <c r="I5156" t="s">
        <v>869</v>
      </c>
      <c r="J5156" t="str">
        <f>"9380115"</f>
        <v>9380115</v>
      </c>
      <c r="K5156">
        <v>2382031254</v>
      </c>
      <c r="L5156">
        <v>2382031254</v>
      </c>
      <c r="M5156" t="s">
        <v>30818</v>
      </c>
      <c r="N5156" t="s">
        <v>30584</v>
      </c>
      <c r="O5156" t="s">
        <v>30584</v>
      </c>
      <c r="P5156">
        <v>58005</v>
      </c>
      <c r="Q5156" t="str">
        <f>"40.767607"</f>
        <v>40.767607</v>
      </c>
      <c r="R5156" t="str">
        <f>"22.492214"</f>
        <v>22.492214</v>
      </c>
      <c r="S5156" t="s">
        <v>26</v>
      </c>
    </row>
    <row r="5157" spans="1:19" x14ac:dyDescent="0.3">
      <c r="A5157" t="s">
        <v>25190</v>
      </c>
      <c r="B5157" t="s">
        <v>30385</v>
      </c>
      <c r="C5157" t="s">
        <v>26732</v>
      </c>
      <c r="D5157" t="s">
        <v>25211</v>
      </c>
      <c r="E5157" t="s">
        <v>25211</v>
      </c>
      <c r="F5157" t="s">
        <v>21739</v>
      </c>
      <c r="G5157" t="s">
        <v>21739</v>
      </c>
      <c r="H5157" t="s">
        <v>868</v>
      </c>
      <c r="I5157" t="s">
        <v>869</v>
      </c>
      <c r="J5157" t="str">
        <f>"9380143"</f>
        <v>9380143</v>
      </c>
      <c r="K5157">
        <v>2382061615</v>
      </c>
      <c r="L5157">
        <v>2382061615</v>
      </c>
      <c r="M5157" t="s">
        <v>30828</v>
      </c>
      <c r="N5157" t="s">
        <v>21742</v>
      </c>
      <c r="O5157" t="s">
        <v>30829</v>
      </c>
      <c r="P5157">
        <v>58300</v>
      </c>
      <c r="Q5157" t="str">
        <f>"40.687388"</f>
        <v>40.687388</v>
      </c>
      <c r="R5157" t="str">
        <f>"22.310987"</f>
        <v>22.310987</v>
      </c>
      <c r="S5157" t="s">
        <v>26</v>
      </c>
    </row>
    <row r="5158" spans="1:19" x14ac:dyDescent="0.3">
      <c r="A5158" t="s">
        <v>25190</v>
      </c>
      <c r="B5158" t="s">
        <v>30385</v>
      </c>
      <c r="C5158" t="s">
        <v>30830</v>
      </c>
      <c r="D5158" t="s">
        <v>25211</v>
      </c>
      <c r="E5158" t="s">
        <v>25211</v>
      </c>
      <c r="F5158" t="s">
        <v>8406</v>
      </c>
      <c r="G5158" t="s">
        <v>30482</v>
      </c>
      <c r="H5158" t="s">
        <v>868</v>
      </c>
      <c r="I5158" t="s">
        <v>869</v>
      </c>
      <c r="J5158" t="str">
        <f>"9380222"</f>
        <v>9380222</v>
      </c>
      <c r="K5158">
        <v>2382041395</v>
      </c>
      <c r="L5158">
        <v>2382041395</v>
      </c>
      <c r="M5158" t="s">
        <v>30831</v>
      </c>
      <c r="N5158" t="s">
        <v>30485</v>
      </c>
      <c r="O5158" t="s">
        <v>30485</v>
      </c>
      <c r="P5158">
        <v>58100</v>
      </c>
      <c r="Q5158" t="str">
        <f>"40.790979"</f>
        <v>40.790979</v>
      </c>
      <c r="R5158" t="str">
        <f>"22.410681"</f>
        <v>22.410681</v>
      </c>
      <c r="S5158" t="s">
        <v>26</v>
      </c>
    </row>
    <row r="5159" spans="1:19" x14ac:dyDescent="0.3">
      <c r="A5159" t="s">
        <v>25190</v>
      </c>
      <c r="B5159" t="s">
        <v>30385</v>
      </c>
      <c r="C5159" t="s">
        <v>30834</v>
      </c>
      <c r="D5159" t="s">
        <v>25211</v>
      </c>
      <c r="E5159" t="s">
        <v>25211</v>
      </c>
      <c r="F5159" t="s">
        <v>8406</v>
      </c>
      <c r="G5159" t="s">
        <v>30402</v>
      </c>
      <c r="H5159" t="s">
        <v>868</v>
      </c>
      <c r="I5159" t="s">
        <v>950</v>
      </c>
      <c r="J5159" t="str">
        <f>"9380213"</f>
        <v>9380213</v>
      </c>
      <c r="K5159">
        <v>2381096282</v>
      </c>
      <c r="L5159">
        <v>2381096282</v>
      </c>
      <c r="M5159" t="s">
        <v>30835</v>
      </c>
      <c r="N5159" t="s">
        <v>2263</v>
      </c>
      <c r="O5159" t="s">
        <v>2263</v>
      </c>
      <c r="P5159">
        <v>58100</v>
      </c>
      <c r="Q5159" t="str">
        <f>"40.823482"</f>
        <v>40.823482</v>
      </c>
      <c r="R5159" t="str">
        <f>"22.246420"</f>
        <v>22.246420</v>
      </c>
      <c r="S5159" t="s">
        <v>26</v>
      </c>
    </row>
    <row r="5160" spans="1:19" x14ac:dyDescent="0.3">
      <c r="A5160" t="s">
        <v>25190</v>
      </c>
      <c r="B5160" t="s">
        <v>30385</v>
      </c>
      <c r="C5160" t="s">
        <v>30836</v>
      </c>
      <c r="D5160" t="s">
        <v>25211</v>
      </c>
      <c r="E5160" t="s">
        <v>25212</v>
      </c>
      <c r="F5160" t="s">
        <v>25212</v>
      </c>
      <c r="G5160" t="s">
        <v>29890</v>
      </c>
      <c r="H5160" t="s">
        <v>868</v>
      </c>
      <c r="I5160" t="s">
        <v>950</v>
      </c>
      <c r="J5160" t="str">
        <f>"9380251"</f>
        <v>9380251</v>
      </c>
      <c r="K5160">
        <v>2381092756</v>
      </c>
      <c r="L5160">
        <v>2381092756</v>
      </c>
      <c r="M5160" t="s">
        <v>30837</v>
      </c>
      <c r="N5160" t="s">
        <v>29927</v>
      </c>
      <c r="O5160" t="s">
        <v>30838</v>
      </c>
      <c r="P5160">
        <v>58200</v>
      </c>
      <c r="Q5160" t="str">
        <f>"40.822922"</f>
        <v>40.822922</v>
      </c>
      <c r="R5160" t="str">
        <f>"21.934025"</f>
        <v>21.934025</v>
      </c>
      <c r="S5160" t="s">
        <v>26</v>
      </c>
    </row>
    <row r="5161" spans="1:19" x14ac:dyDescent="0.3">
      <c r="A5161" t="s">
        <v>25190</v>
      </c>
      <c r="B5161" t="s">
        <v>30385</v>
      </c>
      <c r="C5161" t="s">
        <v>30839</v>
      </c>
      <c r="D5161" t="s">
        <v>25211</v>
      </c>
      <c r="E5161" t="s">
        <v>26753</v>
      </c>
      <c r="F5161" t="s">
        <v>26754</v>
      </c>
      <c r="G5161" t="s">
        <v>29736</v>
      </c>
      <c r="H5161" t="s">
        <v>868</v>
      </c>
      <c r="I5161" t="s">
        <v>950</v>
      </c>
      <c r="J5161" t="str">
        <f>"9380011"</f>
        <v>9380011</v>
      </c>
      <c r="K5161">
        <v>2384073287</v>
      </c>
      <c r="L5161">
        <v>2384073287</v>
      </c>
      <c r="M5161" t="s">
        <v>30840</v>
      </c>
      <c r="N5161" t="s">
        <v>19424</v>
      </c>
      <c r="O5161" t="s">
        <v>19424</v>
      </c>
      <c r="P5161">
        <v>58400</v>
      </c>
      <c r="Q5161" t="str">
        <f>"41.083329"</f>
        <v>41.083329</v>
      </c>
      <c r="R5161" t="str">
        <f>"22.281128"</f>
        <v>22.281128</v>
      </c>
      <c r="S5161" t="s">
        <v>26</v>
      </c>
    </row>
    <row r="5162" spans="1:19" x14ac:dyDescent="0.3">
      <c r="A5162" t="s">
        <v>25190</v>
      </c>
      <c r="B5162" t="s">
        <v>30385</v>
      </c>
      <c r="C5162" t="s">
        <v>26752</v>
      </c>
      <c r="D5162" t="s">
        <v>25211</v>
      </c>
      <c r="E5162" t="s">
        <v>25211</v>
      </c>
      <c r="F5162" t="s">
        <v>25211</v>
      </c>
      <c r="G5162" t="s">
        <v>26747</v>
      </c>
      <c r="H5162" t="s">
        <v>868</v>
      </c>
      <c r="I5162" t="s">
        <v>869</v>
      </c>
      <c r="J5162" t="str">
        <f>"9380118"</f>
        <v>9380118</v>
      </c>
      <c r="K5162">
        <v>2382031388</v>
      </c>
      <c r="L5162">
        <v>2382031388</v>
      </c>
      <c r="M5162" t="s">
        <v>30841</v>
      </c>
      <c r="N5162" t="s">
        <v>26750</v>
      </c>
      <c r="O5162" t="s">
        <v>6311</v>
      </c>
      <c r="P5162">
        <v>58005</v>
      </c>
      <c r="Q5162" t="str">
        <f>"40.757891"</f>
        <v>40.757891</v>
      </c>
      <c r="R5162" t="str">
        <f>"22.522354"</f>
        <v>22.522354</v>
      </c>
      <c r="S5162" t="s">
        <v>26</v>
      </c>
    </row>
    <row r="5163" spans="1:19" x14ac:dyDescent="0.3">
      <c r="A5163" t="s">
        <v>25190</v>
      </c>
      <c r="B5163" t="s">
        <v>30385</v>
      </c>
      <c r="C5163" t="s">
        <v>30843</v>
      </c>
      <c r="D5163" t="s">
        <v>25211</v>
      </c>
      <c r="E5163" t="s">
        <v>26753</v>
      </c>
      <c r="F5163" t="s">
        <v>26754</v>
      </c>
      <c r="G5163" t="s">
        <v>30842</v>
      </c>
      <c r="H5163" t="s">
        <v>868</v>
      </c>
      <c r="I5163" t="s">
        <v>950</v>
      </c>
      <c r="J5163" t="str">
        <f>"9380045"</f>
        <v>9380045</v>
      </c>
      <c r="K5163">
        <v>2384073297</v>
      </c>
      <c r="L5163">
        <v>2384073297</v>
      </c>
      <c r="M5163" t="s">
        <v>30844</v>
      </c>
      <c r="N5163" t="s">
        <v>30845</v>
      </c>
      <c r="O5163" t="s">
        <v>30845</v>
      </c>
      <c r="P5163">
        <v>58400</v>
      </c>
      <c r="Q5163" t="str">
        <f>"41.102829"</f>
        <v>41.102829</v>
      </c>
      <c r="R5163" t="str">
        <f>"22.208028"</f>
        <v>22.208028</v>
      </c>
      <c r="S5163" t="s">
        <v>26</v>
      </c>
    </row>
    <row r="5164" spans="1:19" x14ac:dyDescent="0.3">
      <c r="A5164" t="s">
        <v>25190</v>
      </c>
      <c r="B5164" t="s">
        <v>30385</v>
      </c>
      <c r="C5164" t="s">
        <v>30847</v>
      </c>
      <c r="D5164" t="s">
        <v>25211</v>
      </c>
      <c r="E5164" t="s">
        <v>26753</v>
      </c>
      <c r="F5164" t="s">
        <v>26775</v>
      </c>
      <c r="G5164" t="s">
        <v>30846</v>
      </c>
      <c r="H5164" t="s">
        <v>868</v>
      </c>
      <c r="I5164" t="s">
        <v>869</v>
      </c>
      <c r="J5164" t="str">
        <f>"9380046"</f>
        <v>9380046</v>
      </c>
      <c r="K5164">
        <v>2384092295</v>
      </c>
      <c r="L5164">
        <v>2384092295</v>
      </c>
      <c r="M5164" t="s">
        <v>30848</v>
      </c>
      <c r="N5164" t="s">
        <v>30849</v>
      </c>
      <c r="O5164" t="s">
        <v>30850</v>
      </c>
      <c r="P5164">
        <v>58400</v>
      </c>
      <c r="Q5164" t="str">
        <f>"40.928992"</f>
        <v>40.928992</v>
      </c>
      <c r="R5164" t="str">
        <f>"22.082254"</f>
        <v>22.082254</v>
      </c>
      <c r="S5164" t="s">
        <v>26</v>
      </c>
    </row>
    <row r="5165" spans="1:19" x14ac:dyDescent="0.3">
      <c r="A5165" t="s">
        <v>25190</v>
      </c>
      <c r="B5165" t="s">
        <v>30385</v>
      </c>
      <c r="C5165" t="s">
        <v>30851</v>
      </c>
      <c r="D5165" t="s">
        <v>25211</v>
      </c>
      <c r="E5165" t="s">
        <v>26753</v>
      </c>
      <c r="F5165" t="s">
        <v>26775</v>
      </c>
      <c r="G5165" t="s">
        <v>30823</v>
      </c>
      <c r="H5165" t="s">
        <v>868</v>
      </c>
      <c r="I5165" t="s">
        <v>950</v>
      </c>
      <c r="J5165" t="str">
        <f>"9380198"</f>
        <v>9380198</v>
      </c>
      <c r="K5165">
        <v>2384094131</v>
      </c>
      <c r="M5165" t="s">
        <v>30852</v>
      </c>
      <c r="N5165" t="s">
        <v>30827</v>
      </c>
      <c r="O5165" t="s">
        <v>30853</v>
      </c>
      <c r="P5165">
        <v>58400</v>
      </c>
      <c r="Q5165" t="str">
        <f>"40.949844"</f>
        <v>40.949844</v>
      </c>
      <c r="R5165" t="str">
        <f>"21.926550"</f>
        <v>21.926550</v>
      </c>
      <c r="S5165" t="s">
        <v>26</v>
      </c>
    </row>
    <row r="5166" spans="1:19" x14ac:dyDescent="0.3">
      <c r="A5166" t="s">
        <v>25190</v>
      </c>
      <c r="B5166" t="s">
        <v>30385</v>
      </c>
      <c r="C5166" t="s">
        <v>30855</v>
      </c>
      <c r="D5166" t="s">
        <v>25211</v>
      </c>
      <c r="E5166" t="s">
        <v>26753</v>
      </c>
      <c r="F5166" t="s">
        <v>26775</v>
      </c>
      <c r="G5166" t="s">
        <v>30854</v>
      </c>
      <c r="H5166" t="s">
        <v>868</v>
      </c>
      <c r="I5166" t="s">
        <v>869</v>
      </c>
      <c r="J5166" t="str">
        <f>"9380032"</f>
        <v>9380032</v>
      </c>
      <c r="K5166">
        <v>2384091233</v>
      </c>
      <c r="L5166">
        <v>2384091089</v>
      </c>
      <c r="M5166" t="s">
        <v>30856</v>
      </c>
      <c r="N5166" t="s">
        <v>30857</v>
      </c>
      <c r="O5166" t="s">
        <v>30858</v>
      </c>
      <c r="P5166">
        <v>58400</v>
      </c>
      <c r="Q5166" t="str">
        <f>"40.971426"</f>
        <v>40.971426</v>
      </c>
      <c r="R5166" t="str">
        <f>"21.947411"</f>
        <v>21.947411</v>
      </c>
      <c r="S5166" t="s">
        <v>26</v>
      </c>
    </row>
    <row r="5167" spans="1:19" x14ac:dyDescent="0.3">
      <c r="A5167" t="s">
        <v>25190</v>
      </c>
      <c r="B5167" t="s">
        <v>30385</v>
      </c>
      <c r="C5167" t="s">
        <v>26784</v>
      </c>
      <c r="D5167" t="s">
        <v>25211</v>
      </c>
      <c r="E5167" t="s">
        <v>25211</v>
      </c>
      <c r="F5167" t="s">
        <v>26731</v>
      </c>
      <c r="G5167" t="s">
        <v>26731</v>
      </c>
      <c r="H5167" t="s">
        <v>868</v>
      </c>
      <c r="I5167" t="s">
        <v>869</v>
      </c>
      <c r="J5167" t="str">
        <f>"9521021"</f>
        <v>9521021</v>
      </c>
      <c r="K5167">
        <v>2382022950</v>
      </c>
      <c r="M5167" t="s">
        <v>30863</v>
      </c>
      <c r="N5167" t="s">
        <v>26772</v>
      </c>
      <c r="O5167" t="s">
        <v>30864</v>
      </c>
      <c r="P5167">
        <v>58100</v>
      </c>
      <c r="Q5167" t="str">
        <f>"40.791320"</f>
        <v>40.791320</v>
      </c>
      <c r="R5167" t="str">
        <f>"22.419673"</f>
        <v>22.419673</v>
      </c>
      <c r="S5167" t="s">
        <v>26</v>
      </c>
    </row>
    <row r="5168" spans="1:19" x14ac:dyDescent="0.3">
      <c r="A5168" t="s">
        <v>25190</v>
      </c>
      <c r="B5168" t="s">
        <v>30385</v>
      </c>
      <c r="C5168" t="s">
        <v>30866</v>
      </c>
      <c r="D5168" t="s">
        <v>25211</v>
      </c>
      <c r="E5168" t="s">
        <v>26753</v>
      </c>
      <c r="F5168" t="s">
        <v>26775</v>
      </c>
      <c r="G5168" t="s">
        <v>30865</v>
      </c>
      <c r="H5168" t="s">
        <v>868</v>
      </c>
      <c r="I5168" t="s">
        <v>950</v>
      </c>
      <c r="J5168" t="str">
        <f>"9380205"</f>
        <v>9380205</v>
      </c>
      <c r="K5168">
        <v>2384094141</v>
      </c>
      <c r="L5168">
        <v>2384094141</v>
      </c>
      <c r="M5168" t="s">
        <v>30867</v>
      </c>
      <c r="N5168" t="s">
        <v>30868</v>
      </c>
      <c r="O5168" t="s">
        <v>30869</v>
      </c>
      <c r="P5168">
        <v>58400</v>
      </c>
      <c r="Q5168" t="str">
        <f>"40.914987"</f>
        <v>40.914987</v>
      </c>
      <c r="R5168" t="str">
        <f>"21.953303"</f>
        <v>21.953303</v>
      </c>
      <c r="S5168" t="s">
        <v>26</v>
      </c>
    </row>
    <row r="5169" spans="1:19" x14ac:dyDescent="0.3">
      <c r="A5169" t="s">
        <v>25190</v>
      </c>
      <c r="B5169" t="s">
        <v>30385</v>
      </c>
      <c r="C5169" t="s">
        <v>30870</v>
      </c>
      <c r="D5169" t="s">
        <v>25211</v>
      </c>
      <c r="E5169" t="s">
        <v>26753</v>
      </c>
      <c r="F5169" t="s">
        <v>26754</v>
      </c>
      <c r="G5169" t="s">
        <v>30653</v>
      </c>
      <c r="H5169" t="s">
        <v>868</v>
      </c>
      <c r="I5169" t="s">
        <v>950</v>
      </c>
      <c r="J5169" t="str">
        <f>"9380061"</f>
        <v>9380061</v>
      </c>
      <c r="K5169">
        <v>2384062279</v>
      </c>
      <c r="M5169" t="s">
        <v>30871</v>
      </c>
      <c r="N5169" t="s">
        <v>30657</v>
      </c>
      <c r="O5169" t="s">
        <v>30657</v>
      </c>
      <c r="P5169">
        <v>58400</v>
      </c>
      <c r="Q5169" t="str">
        <f>"41.034070"</f>
        <v>41.034070</v>
      </c>
      <c r="R5169" t="str">
        <f>"22.152899"</f>
        <v>22.152899</v>
      </c>
      <c r="S5169" t="s">
        <v>26</v>
      </c>
    </row>
    <row r="5170" spans="1:19" x14ac:dyDescent="0.3">
      <c r="A5170" t="s">
        <v>25190</v>
      </c>
      <c r="B5170" t="s">
        <v>30385</v>
      </c>
      <c r="C5170" t="s">
        <v>26926</v>
      </c>
      <c r="D5170" t="s">
        <v>25211</v>
      </c>
      <c r="E5170" t="s">
        <v>25211</v>
      </c>
      <c r="F5170" t="s">
        <v>26733</v>
      </c>
      <c r="G5170" t="s">
        <v>26922</v>
      </c>
      <c r="H5170" t="s">
        <v>868</v>
      </c>
      <c r="I5170" t="s">
        <v>869</v>
      </c>
      <c r="J5170" t="str">
        <f>"9380100"</f>
        <v>9380100</v>
      </c>
      <c r="K5170">
        <v>2382051330</v>
      </c>
      <c r="L5170">
        <v>2381051330</v>
      </c>
      <c r="M5170" t="s">
        <v>30872</v>
      </c>
      <c r="N5170" t="s">
        <v>26925</v>
      </c>
      <c r="O5170" t="s">
        <v>30873</v>
      </c>
      <c r="P5170">
        <v>58100</v>
      </c>
      <c r="Q5170" t="str">
        <f>"40.802979"</f>
        <v>40.802979</v>
      </c>
      <c r="R5170" t="str">
        <f>"22.362325"</f>
        <v>22.362325</v>
      </c>
      <c r="S5170" t="s">
        <v>26</v>
      </c>
    </row>
    <row r="5171" spans="1:19" x14ac:dyDescent="0.3">
      <c r="A5171" t="s">
        <v>25190</v>
      </c>
      <c r="B5171" t="s">
        <v>30385</v>
      </c>
      <c r="C5171" t="s">
        <v>26746</v>
      </c>
      <c r="D5171" t="s">
        <v>25211</v>
      </c>
      <c r="E5171" t="s">
        <v>25211</v>
      </c>
      <c r="F5171" t="s">
        <v>21739</v>
      </c>
      <c r="G5171" t="s">
        <v>21739</v>
      </c>
      <c r="H5171" t="s">
        <v>868</v>
      </c>
      <c r="I5171" t="s">
        <v>869</v>
      </c>
      <c r="J5171" t="str">
        <f>"9380142"</f>
        <v>9380142</v>
      </c>
      <c r="K5171">
        <v>2382061784</v>
      </c>
      <c r="L5171">
        <v>2382061784</v>
      </c>
      <c r="M5171" t="s">
        <v>30877</v>
      </c>
      <c r="N5171" t="s">
        <v>21742</v>
      </c>
      <c r="O5171" t="s">
        <v>30878</v>
      </c>
      <c r="P5171">
        <v>58300</v>
      </c>
      <c r="Q5171" t="str">
        <f>"40.692484"</f>
        <v>40.692484</v>
      </c>
      <c r="R5171" t="str">
        <f>"22.302769"</f>
        <v>22.302769</v>
      </c>
      <c r="S5171" t="s">
        <v>26</v>
      </c>
    </row>
    <row r="5172" spans="1:19" x14ac:dyDescent="0.3">
      <c r="A5172" t="s">
        <v>25190</v>
      </c>
      <c r="B5172" t="s">
        <v>30385</v>
      </c>
      <c r="C5172" t="s">
        <v>30879</v>
      </c>
      <c r="D5172" t="s">
        <v>25211</v>
      </c>
      <c r="E5172" t="s">
        <v>25211</v>
      </c>
      <c r="F5172" t="s">
        <v>21739</v>
      </c>
      <c r="G5172" t="s">
        <v>21739</v>
      </c>
      <c r="H5172" t="s">
        <v>868</v>
      </c>
      <c r="I5172" t="s">
        <v>869</v>
      </c>
      <c r="J5172" t="str">
        <f>"9380319"</f>
        <v>9380319</v>
      </c>
      <c r="K5172">
        <v>2382062217</v>
      </c>
      <c r="L5172">
        <v>2382062217</v>
      </c>
      <c r="M5172" t="s">
        <v>30880</v>
      </c>
      <c r="N5172" t="s">
        <v>21742</v>
      </c>
      <c r="O5172" t="s">
        <v>30881</v>
      </c>
      <c r="P5172">
        <v>58300</v>
      </c>
      <c r="Q5172" t="str">
        <f>"40.682192"</f>
        <v>40.682192</v>
      </c>
      <c r="R5172" t="str">
        <f>"22.305064"</f>
        <v>22.305064</v>
      </c>
      <c r="S5172" t="s">
        <v>26</v>
      </c>
    </row>
    <row r="5173" spans="1:19" x14ac:dyDescent="0.3">
      <c r="A5173" t="s">
        <v>25190</v>
      </c>
      <c r="B5173" t="s">
        <v>30385</v>
      </c>
      <c r="C5173" t="s">
        <v>30883</v>
      </c>
      <c r="D5173" t="s">
        <v>25211</v>
      </c>
      <c r="E5173" t="s">
        <v>26753</v>
      </c>
      <c r="F5173" t="s">
        <v>26775</v>
      </c>
      <c r="G5173" t="s">
        <v>30882</v>
      </c>
      <c r="H5173" t="s">
        <v>868</v>
      </c>
      <c r="I5173" t="s">
        <v>869</v>
      </c>
      <c r="J5173" t="str">
        <f>"9380059"</f>
        <v>9380059</v>
      </c>
      <c r="K5173">
        <v>2384021604</v>
      </c>
      <c r="L5173">
        <v>2384021604</v>
      </c>
      <c r="M5173" t="s">
        <v>30884</v>
      </c>
      <c r="N5173" t="s">
        <v>30885</v>
      </c>
      <c r="O5173" t="s">
        <v>30886</v>
      </c>
      <c r="P5173">
        <v>58400</v>
      </c>
      <c r="Q5173" t="str">
        <f>"40.954245"</f>
        <v>40.954245</v>
      </c>
      <c r="R5173" t="str">
        <f>"22.040755"</f>
        <v>22.040755</v>
      </c>
      <c r="S5173" t="s">
        <v>26</v>
      </c>
    </row>
    <row r="5174" spans="1:19" x14ac:dyDescent="0.3">
      <c r="A5174" t="s">
        <v>25190</v>
      </c>
      <c r="B5174" t="s">
        <v>30385</v>
      </c>
      <c r="C5174" t="s">
        <v>26780</v>
      </c>
      <c r="D5174" t="s">
        <v>25211</v>
      </c>
      <c r="E5174" t="s">
        <v>26753</v>
      </c>
      <c r="F5174" t="s">
        <v>26775</v>
      </c>
      <c r="G5174" t="s">
        <v>26775</v>
      </c>
      <c r="H5174" t="s">
        <v>868</v>
      </c>
      <c r="I5174" t="s">
        <v>869</v>
      </c>
      <c r="J5174" t="str">
        <f>"9380002"</f>
        <v>9380002</v>
      </c>
      <c r="K5174">
        <v>2384021436</v>
      </c>
      <c r="L5174">
        <v>2384021436</v>
      </c>
      <c r="M5174" t="s">
        <v>30951</v>
      </c>
      <c r="N5174" t="s">
        <v>26883</v>
      </c>
      <c r="O5174" t="s">
        <v>30952</v>
      </c>
      <c r="P5174">
        <v>58400</v>
      </c>
      <c r="Q5174" t="str">
        <f>"40.978170"</f>
        <v>40.978170</v>
      </c>
      <c r="R5174" t="str">
        <f>"22.061191"</f>
        <v>22.061191</v>
      </c>
      <c r="S5174" t="s">
        <v>26</v>
      </c>
    </row>
    <row r="5175" spans="1:19" x14ac:dyDescent="0.3">
      <c r="A5175" t="s">
        <v>25190</v>
      </c>
      <c r="B5175" t="s">
        <v>30385</v>
      </c>
      <c r="C5175" t="s">
        <v>30953</v>
      </c>
      <c r="D5175" t="s">
        <v>25211</v>
      </c>
      <c r="E5175" t="s">
        <v>25212</v>
      </c>
      <c r="F5175" t="s">
        <v>26815</v>
      </c>
      <c r="G5175" t="s">
        <v>30735</v>
      </c>
      <c r="H5175" t="s">
        <v>868</v>
      </c>
      <c r="I5175" t="s">
        <v>950</v>
      </c>
      <c r="J5175" t="str">
        <f>"9380256"</f>
        <v>9380256</v>
      </c>
      <c r="K5175">
        <v>2381034386</v>
      </c>
      <c r="L5175">
        <v>2381034386</v>
      </c>
      <c r="M5175" t="s">
        <v>30954</v>
      </c>
      <c r="N5175" t="s">
        <v>30955</v>
      </c>
      <c r="O5175" t="s">
        <v>30956</v>
      </c>
      <c r="P5175">
        <v>58002</v>
      </c>
      <c r="Q5175" t="str">
        <f>"40.858910"</f>
        <v>40.858910</v>
      </c>
      <c r="R5175" t="str">
        <f>"21.819124"</f>
        <v>21.819124</v>
      </c>
      <c r="S5175" t="s">
        <v>26</v>
      </c>
    </row>
    <row r="5176" spans="1:19" x14ac:dyDescent="0.3">
      <c r="A5176" t="s">
        <v>25190</v>
      </c>
      <c r="B5176" t="s">
        <v>30385</v>
      </c>
      <c r="C5176" t="s">
        <v>26791</v>
      </c>
      <c r="D5176" t="s">
        <v>25211</v>
      </c>
      <c r="E5176" t="s">
        <v>26760</v>
      </c>
      <c r="F5176" t="s">
        <v>26785</v>
      </c>
      <c r="G5176" t="s">
        <v>26786</v>
      </c>
      <c r="H5176" t="s">
        <v>868</v>
      </c>
      <c r="I5176" t="s">
        <v>869</v>
      </c>
      <c r="J5176" t="str">
        <f>"9380215"</f>
        <v>9380215</v>
      </c>
      <c r="K5176">
        <v>2381041169</v>
      </c>
      <c r="L5176">
        <v>2381041169</v>
      </c>
      <c r="M5176" t="s">
        <v>30957</v>
      </c>
      <c r="N5176" t="s">
        <v>26835</v>
      </c>
      <c r="O5176" t="s">
        <v>26835</v>
      </c>
      <c r="P5176">
        <v>58500</v>
      </c>
      <c r="Q5176" t="str">
        <f>"40.819562"</f>
        <v>40.819562</v>
      </c>
      <c r="R5176" t="str">
        <f>"22.177486"</f>
        <v>22.177486</v>
      </c>
      <c r="S5176" t="s">
        <v>26</v>
      </c>
    </row>
    <row r="5177" spans="1:19" x14ac:dyDescent="0.3">
      <c r="A5177" t="s">
        <v>25190</v>
      </c>
      <c r="B5177" t="s">
        <v>30385</v>
      </c>
      <c r="C5177" t="s">
        <v>30958</v>
      </c>
      <c r="D5177" t="s">
        <v>25211</v>
      </c>
      <c r="E5177" t="s">
        <v>26760</v>
      </c>
      <c r="F5177" t="s">
        <v>26785</v>
      </c>
      <c r="G5177" t="s">
        <v>30560</v>
      </c>
      <c r="H5177" t="s">
        <v>868</v>
      </c>
      <c r="I5177" t="s">
        <v>950</v>
      </c>
      <c r="J5177" t="str">
        <f>"9380216"</f>
        <v>9380216</v>
      </c>
      <c r="K5177">
        <v>2381094204</v>
      </c>
      <c r="M5177" t="s">
        <v>30959</v>
      </c>
      <c r="N5177" t="s">
        <v>6673</v>
      </c>
      <c r="O5177" t="s">
        <v>30960</v>
      </c>
      <c r="P5177">
        <v>58500</v>
      </c>
      <c r="Q5177" t="str">
        <f>"40.788934"</f>
        <v>40.788934</v>
      </c>
      <c r="R5177" t="str">
        <f>"22.232543"</f>
        <v>22.232543</v>
      </c>
      <c r="S5177" t="s">
        <v>26</v>
      </c>
    </row>
    <row r="5178" spans="1:19" x14ac:dyDescent="0.3">
      <c r="A5178" t="s">
        <v>25190</v>
      </c>
      <c r="B5178" t="s">
        <v>30385</v>
      </c>
      <c r="C5178" t="s">
        <v>30961</v>
      </c>
      <c r="D5178" t="s">
        <v>25211</v>
      </c>
      <c r="E5178" t="s">
        <v>25212</v>
      </c>
      <c r="F5178" t="s">
        <v>25212</v>
      </c>
      <c r="G5178" t="s">
        <v>30859</v>
      </c>
      <c r="H5178" t="s">
        <v>868</v>
      </c>
      <c r="I5178" t="s">
        <v>950</v>
      </c>
      <c r="J5178" t="str">
        <f>"9380244"</f>
        <v>9380244</v>
      </c>
      <c r="K5178">
        <v>2381092775</v>
      </c>
      <c r="L5178">
        <v>2381092775</v>
      </c>
      <c r="M5178" t="s">
        <v>30962</v>
      </c>
      <c r="N5178" t="s">
        <v>30963</v>
      </c>
      <c r="O5178" t="s">
        <v>30964</v>
      </c>
      <c r="P5178">
        <v>58200</v>
      </c>
      <c r="Q5178" t="str">
        <f>"40.845255"</f>
        <v>40.845255</v>
      </c>
      <c r="R5178" t="str">
        <f>"21.957634"</f>
        <v>21.957634</v>
      </c>
      <c r="S5178" t="s">
        <v>26</v>
      </c>
    </row>
    <row r="5179" spans="1:19" x14ac:dyDescent="0.3">
      <c r="A5179" t="s">
        <v>25190</v>
      </c>
      <c r="B5179" t="s">
        <v>30385</v>
      </c>
      <c r="C5179" t="s">
        <v>30965</v>
      </c>
      <c r="D5179" t="s">
        <v>25211</v>
      </c>
      <c r="E5179" t="s">
        <v>25212</v>
      </c>
      <c r="F5179" t="s">
        <v>26815</v>
      </c>
      <c r="G5179" t="s">
        <v>25664</v>
      </c>
      <c r="H5179" t="s">
        <v>868</v>
      </c>
      <c r="I5179" t="s">
        <v>950</v>
      </c>
      <c r="J5179" t="str">
        <f>"9380168"</f>
        <v>9380168</v>
      </c>
      <c r="K5179">
        <v>2381033258</v>
      </c>
      <c r="L5179">
        <v>2381033258</v>
      </c>
      <c r="M5179" t="s">
        <v>30966</v>
      </c>
      <c r="N5179" t="s">
        <v>25688</v>
      </c>
      <c r="O5179" t="s">
        <v>25688</v>
      </c>
      <c r="P5179">
        <v>58002</v>
      </c>
      <c r="Q5179" t="str">
        <f>"40.729506"</f>
        <v>40.729506</v>
      </c>
      <c r="R5179" t="str">
        <f>"21.807856"</f>
        <v>21.807856</v>
      </c>
      <c r="S5179" t="s">
        <v>26</v>
      </c>
    </row>
    <row r="5180" spans="1:19" x14ac:dyDescent="0.3">
      <c r="A5180" t="s">
        <v>25190</v>
      </c>
      <c r="B5180" t="s">
        <v>30385</v>
      </c>
      <c r="C5180" t="s">
        <v>30967</v>
      </c>
      <c r="D5180" t="s">
        <v>25211</v>
      </c>
      <c r="E5180" t="s">
        <v>26760</v>
      </c>
      <c r="F5180" t="s">
        <v>26760</v>
      </c>
      <c r="G5180" t="s">
        <v>30744</v>
      </c>
      <c r="H5180" t="s">
        <v>868</v>
      </c>
      <c r="I5180" t="s">
        <v>869</v>
      </c>
      <c r="J5180" t="str">
        <f>"9380179"</f>
        <v>9380179</v>
      </c>
      <c r="K5180">
        <v>2381071209</v>
      </c>
      <c r="L5180">
        <v>2381072432</v>
      </c>
      <c r="M5180" t="s">
        <v>30968</v>
      </c>
      <c r="N5180" t="s">
        <v>30747</v>
      </c>
      <c r="O5180" t="s">
        <v>30747</v>
      </c>
      <c r="P5180">
        <v>58500</v>
      </c>
      <c r="Q5180" t="str">
        <f>"40.734268"</f>
        <v>40.734268</v>
      </c>
      <c r="R5180" t="str">
        <f>"22.134446"</f>
        <v>22.134446</v>
      </c>
      <c r="S5180" t="s">
        <v>26</v>
      </c>
    </row>
    <row r="5181" spans="1:19" x14ac:dyDescent="0.3">
      <c r="A5181" t="s">
        <v>25190</v>
      </c>
      <c r="B5181" t="s">
        <v>30385</v>
      </c>
      <c r="C5181" t="s">
        <v>30969</v>
      </c>
      <c r="D5181" t="s">
        <v>25211</v>
      </c>
      <c r="E5181" t="s">
        <v>25212</v>
      </c>
      <c r="F5181" t="s">
        <v>26815</v>
      </c>
      <c r="G5181" t="s">
        <v>30735</v>
      </c>
      <c r="H5181" t="s">
        <v>868</v>
      </c>
      <c r="I5181" t="s">
        <v>950</v>
      </c>
      <c r="J5181" t="str">
        <f>"9380254"</f>
        <v>9380254</v>
      </c>
      <c r="K5181">
        <v>2381034308</v>
      </c>
      <c r="L5181">
        <v>2381034308</v>
      </c>
      <c r="M5181" t="s">
        <v>30970</v>
      </c>
      <c r="N5181" t="s">
        <v>30738</v>
      </c>
      <c r="O5181" t="s">
        <v>30738</v>
      </c>
      <c r="P5181">
        <v>58002</v>
      </c>
      <c r="Q5181" t="str">
        <f>"40.851976"</f>
        <v>40.851976</v>
      </c>
      <c r="R5181" t="str">
        <f>"21.848133"</f>
        <v>21.848133</v>
      </c>
      <c r="S5181" t="s">
        <v>26</v>
      </c>
    </row>
    <row r="5182" spans="1:19" x14ac:dyDescent="0.3">
      <c r="A5182" t="s">
        <v>25190</v>
      </c>
      <c r="B5182" t="s">
        <v>30385</v>
      </c>
      <c r="C5182" t="s">
        <v>30971</v>
      </c>
      <c r="D5182" t="s">
        <v>25211</v>
      </c>
      <c r="E5182" t="s">
        <v>25212</v>
      </c>
      <c r="F5182" t="s">
        <v>25212</v>
      </c>
      <c r="G5182" t="s">
        <v>23583</v>
      </c>
      <c r="H5182" t="s">
        <v>868</v>
      </c>
      <c r="I5182" t="s">
        <v>869</v>
      </c>
      <c r="J5182" t="str">
        <f>"9380177"</f>
        <v>9380177</v>
      </c>
      <c r="K5182">
        <v>2381091341</v>
      </c>
      <c r="L5182">
        <v>2381091473</v>
      </c>
      <c r="M5182" t="s">
        <v>30972</v>
      </c>
      <c r="N5182" t="s">
        <v>30973</v>
      </c>
      <c r="O5182" t="s">
        <v>30974</v>
      </c>
      <c r="P5182">
        <v>58200</v>
      </c>
      <c r="Q5182" t="str">
        <f>"40.782885"</f>
        <v>40.782885</v>
      </c>
      <c r="R5182" t="str">
        <f>"22.089684"</f>
        <v>22.089684</v>
      </c>
      <c r="S5182" t="s">
        <v>26</v>
      </c>
    </row>
    <row r="5183" spans="1:19" x14ac:dyDescent="0.3">
      <c r="A5183" t="s">
        <v>25190</v>
      </c>
      <c r="B5183" t="s">
        <v>30385</v>
      </c>
      <c r="C5183" t="s">
        <v>30976</v>
      </c>
      <c r="D5183" t="s">
        <v>25211</v>
      </c>
      <c r="E5183" t="s">
        <v>25212</v>
      </c>
      <c r="F5183" t="s">
        <v>25212</v>
      </c>
      <c r="G5183" t="s">
        <v>30975</v>
      </c>
      <c r="H5183" t="s">
        <v>868</v>
      </c>
      <c r="I5183" t="s">
        <v>950</v>
      </c>
      <c r="J5183" t="str">
        <f>"9380261"</f>
        <v>9380261</v>
      </c>
      <c r="K5183">
        <v>2381035263</v>
      </c>
      <c r="M5183" t="s">
        <v>30977</v>
      </c>
      <c r="N5183" t="s">
        <v>23655</v>
      </c>
      <c r="O5183" t="s">
        <v>30978</v>
      </c>
      <c r="P5183">
        <v>58200</v>
      </c>
      <c r="Q5183" t="str">
        <f>"40.857734"</f>
        <v>40.857734</v>
      </c>
      <c r="R5183" t="str">
        <f>"22.045474"</f>
        <v>22.045474</v>
      </c>
      <c r="S5183" t="s">
        <v>26</v>
      </c>
    </row>
    <row r="5184" spans="1:19" x14ac:dyDescent="0.3">
      <c r="A5184" t="s">
        <v>25190</v>
      </c>
      <c r="B5184" t="s">
        <v>30385</v>
      </c>
      <c r="C5184" t="s">
        <v>30979</v>
      </c>
      <c r="D5184" t="s">
        <v>25211</v>
      </c>
      <c r="E5184" t="s">
        <v>25212</v>
      </c>
      <c r="F5184" t="s">
        <v>25212</v>
      </c>
      <c r="G5184" t="s">
        <v>30859</v>
      </c>
      <c r="H5184" t="s">
        <v>868</v>
      </c>
      <c r="I5184" t="s">
        <v>950</v>
      </c>
      <c r="J5184" t="str">
        <f>"9380246"</f>
        <v>9380246</v>
      </c>
      <c r="K5184">
        <v>2381092776</v>
      </c>
      <c r="M5184" t="s">
        <v>30980</v>
      </c>
      <c r="N5184" t="s">
        <v>30981</v>
      </c>
      <c r="O5184" t="s">
        <v>30981</v>
      </c>
      <c r="P5184">
        <v>58200</v>
      </c>
      <c r="Q5184" t="str">
        <f>"40.876814"</f>
        <v>40.876814</v>
      </c>
      <c r="R5184" t="str">
        <f>"21.962591"</f>
        <v>21.962591</v>
      </c>
      <c r="S5184" t="s">
        <v>26</v>
      </c>
    </row>
    <row r="5185" spans="1:19" x14ac:dyDescent="0.3">
      <c r="A5185" t="s">
        <v>25190</v>
      </c>
      <c r="B5185" t="s">
        <v>30385</v>
      </c>
      <c r="C5185" t="s">
        <v>30983</v>
      </c>
      <c r="D5185" t="s">
        <v>25211</v>
      </c>
      <c r="E5185" t="s">
        <v>26760</v>
      </c>
      <c r="F5185" t="s">
        <v>26760</v>
      </c>
      <c r="G5185" t="s">
        <v>30982</v>
      </c>
      <c r="H5185" t="s">
        <v>868</v>
      </c>
      <c r="I5185" t="s">
        <v>869</v>
      </c>
      <c r="J5185" t="str">
        <f>"9380248"</f>
        <v>9380248</v>
      </c>
      <c r="K5185">
        <v>2381089511</v>
      </c>
      <c r="L5185">
        <v>2381089511</v>
      </c>
      <c r="M5185" t="s">
        <v>30984</v>
      </c>
      <c r="N5185" t="s">
        <v>30985</v>
      </c>
      <c r="O5185" t="s">
        <v>30985</v>
      </c>
      <c r="P5185">
        <v>58500</v>
      </c>
      <c r="Q5185" t="str">
        <f>"40.758826"</f>
        <v>40.758826</v>
      </c>
      <c r="R5185" t="str">
        <f>"22.179923"</f>
        <v>22.179923</v>
      </c>
      <c r="S5185" t="s">
        <v>26</v>
      </c>
    </row>
    <row r="5186" spans="1:19" x14ac:dyDescent="0.3">
      <c r="A5186" t="s">
        <v>25190</v>
      </c>
      <c r="B5186" t="s">
        <v>30385</v>
      </c>
      <c r="C5186" t="s">
        <v>31011</v>
      </c>
      <c r="D5186" t="s">
        <v>25211</v>
      </c>
      <c r="E5186" t="s">
        <v>25212</v>
      </c>
      <c r="F5186" t="s">
        <v>26815</v>
      </c>
      <c r="G5186" t="s">
        <v>8133</v>
      </c>
      <c r="H5186" t="s">
        <v>868</v>
      </c>
      <c r="I5186" t="s">
        <v>950</v>
      </c>
      <c r="J5186" t="str">
        <f>"9380163"</f>
        <v>9380163</v>
      </c>
      <c r="K5186">
        <v>2381031145</v>
      </c>
      <c r="L5186">
        <v>2381031145</v>
      </c>
      <c r="M5186" t="s">
        <v>31012</v>
      </c>
      <c r="N5186" t="s">
        <v>31013</v>
      </c>
      <c r="O5186" t="s">
        <v>31010</v>
      </c>
      <c r="P5186">
        <v>58002</v>
      </c>
      <c r="Q5186" t="str">
        <f>"40.707492"</f>
        <v>40.707492</v>
      </c>
      <c r="R5186" t="str">
        <f>"21.891251"</f>
        <v>21.891251</v>
      </c>
      <c r="S5186" t="s">
        <v>26</v>
      </c>
    </row>
    <row r="5187" spans="1:19" x14ac:dyDescent="0.3">
      <c r="A5187" t="s">
        <v>25190</v>
      </c>
      <c r="B5187" t="s">
        <v>30385</v>
      </c>
      <c r="C5187" t="s">
        <v>31015</v>
      </c>
      <c r="D5187" t="s">
        <v>25211</v>
      </c>
      <c r="E5187" t="s">
        <v>26760</v>
      </c>
      <c r="F5187" t="s">
        <v>26785</v>
      </c>
      <c r="G5187" t="s">
        <v>31014</v>
      </c>
      <c r="H5187" t="s">
        <v>868</v>
      </c>
      <c r="I5187" t="s">
        <v>869</v>
      </c>
      <c r="J5187" t="str">
        <f>"9380257"</f>
        <v>9380257</v>
      </c>
      <c r="K5187">
        <v>2381041139</v>
      </c>
      <c r="L5187">
        <v>2381041139</v>
      </c>
      <c r="M5187" t="s">
        <v>31016</v>
      </c>
      <c r="N5187" t="s">
        <v>31017</v>
      </c>
      <c r="O5187" t="s">
        <v>31018</v>
      </c>
      <c r="P5187">
        <v>58500</v>
      </c>
      <c r="Q5187" t="str">
        <f>"40.813074"</f>
        <v>40.813074</v>
      </c>
      <c r="R5187" t="str">
        <f>"22.159695"</f>
        <v>22.159695</v>
      </c>
      <c r="S5187" t="s">
        <v>26</v>
      </c>
    </row>
    <row r="5188" spans="1:19" x14ac:dyDescent="0.3">
      <c r="A5188" t="s">
        <v>25190</v>
      </c>
      <c r="B5188" t="s">
        <v>30385</v>
      </c>
      <c r="C5188" t="s">
        <v>31019</v>
      </c>
      <c r="D5188" t="s">
        <v>25211</v>
      </c>
      <c r="E5188" t="s">
        <v>25212</v>
      </c>
      <c r="F5188" t="s">
        <v>26815</v>
      </c>
      <c r="G5188" t="s">
        <v>60</v>
      </c>
      <c r="H5188" t="s">
        <v>868</v>
      </c>
      <c r="I5188" t="s">
        <v>950</v>
      </c>
      <c r="J5188" t="str">
        <f>"9380233"</f>
        <v>9380233</v>
      </c>
      <c r="K5188">
        <v>2381031053</v>
      </c>
      <c r="L5188">
        <v>2381031092</v>
      </c>
      <c r="M5188" t="s">
        <v>31020</v>
      </c>
      <c r="O5188" t="s">
        <v>31019</v>
      </c>
      <c r="P5188">
        <v>58002</v>
      </c>
      <c r="Q5188" t="str">
        <f>"40.833150"</f>
        <v>40.833150</v>
      </c>
      <c r="R5188" t="str">
        <f>"21.795240"</f>
        <v>21.795240</v>
      </c>
      <c r="S5188" t="s">
        <v>26</v>
      </c>
    </row>
    <row r="5189" spans="1:19" x14ac:dyDescent="0.3">
      <c r="A5189" t="s">
        <v>25190</v>
      </c>
      <c r="B5189" t="s">
        <v>30385</v>
      </c>
      <c r="C5189" t="s">
        <v>31021</v>
      </c>
      <c r="D5189" t="s">
        <v>25211</v>
      </c>
      <c r="E5189" t="s">
        <v>25212</v>
      </c>
      <c r="F5189" t="s">
        <v>25212</v>
      </c>
      <c r="G5189" t="s">
        <v>30621</v>
      </c>
      <c r="H5189" t="s">
        <v>868</v>
      </c>
      <c r="I5189" t="s">
        <v>950</v>
      </c>
      <c r="J5189" t="str">
        <f>"9380189"</f>
        <v>9380189</v>
      </c>
      <c r="K5189">
        <v>2381099296</v>
      </c>
      <c r="L5189">
        <v>2381099296</v>
      </c>
      <c r="M5189" t="s">
        <v>31022</v>
      </c>
      <c r="N5189" t="s">
        <v>31023</v>
      </c>
      <c r="O5189" t="s">
        <v>31024</v>
      </c>
      <c r="P5189">
        <v>58200</v>
      </c>
      <c r="Q5189" t="str">
        <f>"40.712742"</f>
        <v>40.712742</v>
      </c>
      <c r="R5189" t="str">
        <f>"22.003004"</f>
        <v>22.003004</v>
      </c>
      <c r="S5189" t="s">
        <v>26</v>
      </c>
    </row>
    <row r="5190" spans="1:19" x14ac:dyDescent="0.3">
      <c r="A5190" t="s">
        <v>25190</v>
      </c>
      <c r="B5190" t="s">
        <v>30385</v>
      </c>
      <c r="C5190" t="s">
        <v>31025</v>
      </c>
      <c r="D5190" t="s">
        <v>25211</v>
      </c>
      <c r="E5190" t="s">
        <v>26760</v>
      </c>
      <c r="F5190" t="s">
        <v>26760</v>
      </c>
      <c r="G5190" t="s">
        <v>30992</v>
      </c>
      <c r="H5190" t="s">
        <v>868</v>
      </c>
      <c r="I5190" t="s">
        <v>869</v>
      </c>
      <c r="J5190" t="str">
        <f>"9380181"</f>
        <v>9380181</v>
      </c>
      <c r="K5190">
        <v>2381089543</v>
      </c>
      <c r="L5190">
        <v>2381089543</v>
      </c>
      <c r="M5190" t="s">
        <v>31026</v>
      </c>
      <c r="N5190" t="s">
        <v>31027</v>
      </c>
      <c r="O5190" t="s">
        <v>31027</v>
      </c>
      <c r="P5190">
        <v>58500</v>
      </c>
      <c r="Q5190" t="str">
        <f>"40.768536"</f>
        <v>40.768536</v>
      </c>
      <c r="R5190" t="str">
        <f>"22.122552"</f>
        <v>22.122552</v>
      </c>
      <c r="S5190" t="s">
        <v>26</v>
      </c>
    </row>
    <row r="5191" spans="1:19" x14ac:dyDescent="0.3">
      <c r="A5191" t="s">
        <v>25190</v>
      </c>
      <c r="B5191" t="s">
        <v>30385</v>
      </c>
      <c r="C5191" t="s">
        <v>31028</v>
      </c>
      <c r="D5191" t="s">
        <v>25211</v>
      </c>
      <c r="E5191" t="s">
        <v>26760</v>
      </c>
      <c r="F5191" t="s">
        <v>26760</v>
      </c>
      <c r="G5191" t="s">
        <v>2920</v>
      </c>
      <c r="H5191" t="s">
        <v>868</v>
      </c>
      <c r="I5191" t="s">
        <v>869</v>
      </c>
      <c r="J5191" t="str">
        <f>"9380139"</f>
        <v>9380139</v>
      </c>
      <c r="K5191">
        <v>2381061205</v>
      </c>
      <c r="L5191">
        <v>2381061205</v>
      </c>
      <c r="M5191" t="s">
        <v>31029</v>
      </c>
      <c r="N5191" t="s">
        <v>2921</v>
      </c>
      <c r="O5191" t="s">
        <v>2921</v>
      </c>
      <c r="P5191">
        <v>58500</v>
      </c>
      <c r="Q5191" t="str">
        <f>"40.755632"</f>
        <v>40.755632</v>
      </c>
      <c r="R5191" t="str">
        <f>"22.221721"</f>
        <v>22.221721</v>
      </c>
      <c r="S5191" t="s">
        <v>26</v>
      </c>
    </row>
    <row r="5192" spans="1:19" x14ac:dyDescent="0.3">
      <c r="A5192" t="s">
        <v>25190</v>
      </c>
      <c r="B5192" t="s">
        <v>30385</v>
      </c>
      <c r="C5192" t="s">
        <v>26821</v>
      </c>
      <c r="D5192" t="s">
        <v>25211</v>
      </c>
      <c r="E5192" t="s">
        <v>25212</v>
      </c>
      <c r="F5192" t="s">
        <v>26815</v>
      </c>
      <c r="G5192" t="s">
        <v>26816</v>
      </c>
      <c r="H5192" t="s">
        <v>868</v>
      </c>
      <c r="I5192" t="s">
        <v>869</v>
      </c>
      <c r="J5192" t="str">
        <f>"9380155"</f>
        <v>9380155</v>
      </c>
      <c r="K5192">
        <v>2381031234</v>
      </c>
      <c r="L5192">
        <v>2381032049</v>
      </c>
      <c r="M5192" t="s">
        <v>31033</v>
      </c>
      <c r="N5192" t="s">
        <v>26820</v>
      </c>
      <c r="O5192" t="s">
        <v>26820</v>
      </c>
      <c r="P5192">
        <v>58002</v>
      </c>
      <c r="Q5192" t="str">
        <f>"40.787272"</f>
        <v>40.787272</v>
      </c>
      <c r="R5192" t="str">
        <f>"21.836550"</f>
        <v>21.836550</v>
      </c>
      <c r="S5192" t="s">
        <v>26</v>
      </c>
    </row>
    <row r="5193" spans="1:19" x14ac:dyDescent="0.3">
      <c r="A5193" t="s">
        <v>25190</v>
      </c>
      <c r="B5193" t="s">
        <v>30385</v>
      </c>
      <c r="C5193" t="s">
        <v>31034</v>
      </c>
      <c r="D5193" t="s">
        <v>25211</v>
      </c>
      <c r="E5193" t="s">
        <v>26760</v>
      </c>
      <c r="F5193" t="s">
        <v>26760</v>
      </c>
      <c r="G5193" t="s">
        <v>30986</v>
      </c>
      <c r="H5193" t="s">
        <v>868</v>
      </c>
      <c r="I5193" t="s">
        <v>869</v>
      </c>
      <c r="J5193" t="str">
        <f>"9380164"</f>
        <v>9380164</v>
      </c>
      <c r="K5193">
        <v>2381089526</v>
      </c>
      <c r="L5193">
        <v>2381089526</v>
      </c>
      <c r="M5193" t="s">
        <v>31035</v>
      </c>
      <c r="N5193" t="s">
        <v>31036</v>
      </c>
      <c r="O5193" t="s">
        <v>31037</v>
      </c>
      <c r="P5193">
        <v>58500</v>
      </c>
      <c r="Q5193" t="str">
        <f>"40.783822"</f>
        <v>40.783822</v>
      </c>
      <c r="R5193" t="str">
        <f>"22.154798"</f>
        <v>22.154798</v>
      </c>
      <c r="S5193" t="s">
        <v>26</v>
      </c>
    </row>
    <row r="5194" spans="1:19" x14ac:dyDescent="0.3">
      <c r="A5194" t="s">
        <v>25190</v>
      </c>
      <c r="B5194" t="s">
        <v>30385</v>
      </c>
      <c r="C5194" t="s">
        <v>31038</v>
      </c>
      <c r="D5194" t="s">
        <v>25211</v>
      </c>
      <c r="E5194" t="s">
        <v>25212</v>
      </c>
      <c r="F5194" t="s">
        <v>25212</v>
      </c>
      <c r="G5194" t="s">
        <v>25213</v>
      </c>
      <c r="H5194" t="s">
        <v>868</v>
      </c>
      <c r="I5194" t="s">
        <v>1157</v>
      </c>
      <c r="J5194" t="str">
        <f>"9380316"</f>
        <v>9380316</v>
      </c>
      <c r="K5194">
        <v>2381051118</v>
      </c>
      <c r="L5194">
        <v>2381025228</v>
      </c>
      <c r="M5194" t="s">
        <v>31039</v>
      </c>
      <c r="N5194" t="s">
        <v>25216</v>
      </c>
      <c r="O5194" t="s">
        <v>26910</v>
      </c>
      <c r="P5194">
        <v>58200</v>
      </c>
      <c r="Q5194" t="str">
        <f>"40.803709"</f>
        <v>40.803709</v>
      </c>
      <c r="R5194" t="str">
        <f>"22.047471"</f>
        <v>22.047471</v>
      </c>
      <c r="S5194" t="s">
        <v>26</v>
      </c>
    </row>
    <row r="5195" spans="1:19" x14ac:dyDescent="0.3">
      <c r="A5195" t="s">
        <v>25190</v>
      </c>
      <c r="B5195" t="s">
        <v>30385</v>
      </c>
      <c r="C5195" t="s">
        <v>31040</v>
      </c>
      <c r="D5195" t="s">
        <v>25211</v>
      </c>
      <c r="E5195" t="s">
        <v>25212</v>
      </c>
      <c r="F5195" t="s">
        <v>25212</v>
      </c>
      <c r="G5195" t="s">
        <v>25213</v>
      </c>
      <c r="H5195" t="s">
        <v>868</v>
      </c>
      <c r="I5195" t="s">
        <v>869</v>
      </c>
      <c r="J5195" t="str">
        <f>"9380146"</f>
        <v>9380146</v>
      </c>
      <c r="K5195">
        <v>2381023270</v>
      </c>
      <c r="L5195">
        <v>2381023270</v>
      </c>
      <c r="M5195" t="s">
        <v>31041</v>
      </c>
      <c r="N5195" t="s">
        <v>25216</v>
      </c>
      <c r="O5195" t="s">
        <v>31042</v>
      </c>
      <c r="P5195">
        <v>58200</v>
      </c>
      <c r="Q5195" t="str">
        <f>"40.799541"</f>
        <v>40.799541</v>
      </c>
      <c r="R5195" t="str">
        <f>"22.052432"</f>
        <v>22.052432</v>
      </c>
      <c r="S5195" t="s">
        <v>26</v>
      </c>
    </row>
    <row r="5196" spans="1:19" x14ac:dyDescent="0.3">
      <c r="A5196" t="s">
        <v>25190</v>
      </c>
      <c r="B5196" t="s">
        <v>30385</v>
      </c>
      <c r="C5196" t="s">
        <v>31043</v>
      </c>
      <c r="D5196" t="s">
        <v>25211</v>
      </c>
      <c r="E5196" t="s">
        <v>25212</v>
      </c>
      <c r="F5196" t="s">
        <v>25212</v>
      </c>
      <c r="G5196" t="s">
        <v>25213</v>
      </c>
      <c r="H5196" t="s">
        <v>868</v>
      </c>
      <c r="I5196" t="s">
        <v>869</v>
      </c>
      <c r="J5196" t="str">
        <f>"9380230"</f>
        <v>9380230</v>
      </c>
      <c r="K5196">
        <v>2381023360</v>
      </c>
      <c r="L5196">
        <v>2381023360</v>
      </c>
      <c r="M5196" t="s">
        <v>31044</v>
      </c>
      <c r="N5196" t="s">
        <v>25216</v>
      </c>
      <c r="O5196" t="s">
        <v>31045</v>
      </c>
      <c r="P5196">
        <v>58200</v>
      </c>
      <c r="Q5196" t="str">
        <f>"40.800913"</f>
        <v>40.800913</v>
      </c>
      <c r="R5196" t="str">
        <f>"22.040395"</f>
        <v>22.040395</v>
      </c>
      <c r="S5196" t="s">
        <v>26</v>
      </c>
    </row>
    <row r="5197" spans="1:19" x14ac:dyDescent="0.3">
      <c r="A5197" t="s">
        <v>25190</v>
      </c>
      <c r="B5197" t="s">
        <v>30385</v>
      </c>
      <c r="C5197" t="s">
        <v>26805</v>
      </c>
      <c r="D5197" t="s">
        <v>25211</v>
      </c>
      <c r="E5197" t="s">
        <v>25212</v>
      </c>
      <c r="F5197" t="s">
        <v>25212</v>
      </c>
      <c r="G5197" t="s">
        <v>25213</v>
      </c>
      <c r="H5197" t="s">
        <v>868</v>
      </c>
      <c r="I5197" t="s">
        <v>869</v>
      </c>
      <c r="J5197" t="str">
        <f>"9380284"</f>
        <v>9380284</v>
      </c>
      <c r="K5197">
        <v>2381027037</v>
      </c>
      <c r="L5197">
        <v>2381027037</v>
      </c>
      <c r="M5197" t="s">
        <v>31046</v>
      </c>
      <c r="N5197" t="s">
        <v>25216</v>
      </c>
      <c r="O5197" t="s">
        <v>31047</v>
      </c>
      <c r="P5197">
        <v>58200</v>
      </c>
      <c r="Q5197" t="str">
        <f>"40.807010"</f>
        <v>40.807010</v>
      </c>
      <c r="R5197" t="str">
        <f>"22.045236"</f>
        <v>22.045236</v>
      </c>
      <c r="S5197" t="s">
        <v>26</v>
      </c>
    </row>
    <row r="5198" spans="1:19" x14ac:dyDescent="0.3">
      <c r="A5198" t="s">
        <v>25190</v>
      </c>
      <c r="B5198" t="s">
        <v>30385</v>
      </c>
      <c r="C5198" t="s">
        <v>31051</v>
      </c>
      <c r="D5198" t="s">
        <v>25211</v>
      </c>
      <c r="E5198" t="s">
        <v>25212</v>
      </c>
      <c r="F5198" t="s">
        <v>25212</v>
      </c>
      <c r="G5198" t="s">
        <v>25213</v>
      </c>
      <c r="H5198" t="s">
        <v>868</v>
      </c>
      <c r="I5198" t="s">
        <v>869</v>
      </c>
      <c r="J5198" t="str">
        <f>"9380225"</f>
        <v>9380225</v>
      </c>
      <c r="K5198">
        <v>2381023258</v>
      </c>
      <c r="L5198">
        <v>2381023258</v>
      </c>
      <c r="M5198" t="s">
        <v>31052</v>
      </c>
      <c r="N5198" t="s">
        <v>25216</v>
      </c>
      <c r="O5198" t="s">
        <v>31053</v>
      </c>
      <c r="P5198">
        <v>58200</v>
      </c>
      <c r="Q5198" t="str">
        <f>"40.799724"</f>
        <v>40.799724</v>
      </c>
      <c r="R5198" t="str">
        <f>"22.046109"</f>
        <v>22.046109</v>
      </c>
      <c r="S5198" t="s">
        <v>26</v>
      </c>
    </row>
    <row r="5199" spans="1:19" x14ac:dyDescent="0.3">
      <c r="A5199" t="s">
        <v>25190</v>
      </c>
      <c r="B5199" t="s">
        <v>30385</v>
      </c>
      <c r="C5199" t="s">
        <v>31069</v>
      </c>
      <c r="D5199" t="s">
        <v>25211</v>
      </c>
      <c r="E5199" t="s">
        <v>26753</v>
      </c>
      <c r="F5199" t="s">
        <v>26754</v>
      </c>
      <c r="G5199" t="s">
        <v>30935</v>
      </c>
      <c r="H5199" t="s">
        <v>868</v>
      </c>
      <c r="I5199" t="s">
        <v>950</v>
      </c>
      <c r="J5199" t="str">
        <f>"9380028"</f>
        <v>9380028</v>
      </c>
      <c r="K5199">
        <v>2384051220</v>
      </c>
      <c r="L5199">
        <v>2384051220</v>
      </c>
      <c r="M5199" t="s">
        <v>31070</v>
      </c>
      <c r="N5199" t="s">
        <v>30939</v>
      </c>
      <c r="O5199" t="s">
        <v>31071</v>
      </c>
      <c r="P5199">
        <v>58400</v>
      </c>
      <c r="Q5199" t="str">
        <f>"41.007675"</f>
        <v>41.007675</v>
      </c>
      <c r="R5199" t="str">
        <f>"22.175807"</f>
        <v>22.175807</v>
      </c>
      <c r="S5199" t="s">
        <v>26</v>
      </c>
    </row>
    <row r="5200" spans="1:19" x14ac:dyDescent="0.3">
      <c r="A5200" t="s">
        <v>25190</v>
      </c>
      <c r="B5200" t="s">
        <v>30385</v>
      </c>
      <c r="C5200" t="s">
        <v>31072</v>
      </c>
      <c r="D5200" t="s">
        <v>25211</v>
      </c>
      <c r="E5200" t="s">
        <v>26753</v>
      </c>
      <c r="F5200" t="s">
        <v>26775</v>
      </c>
      <c r="G5200" t="s">
        <v>26775</v>
      </c>
      <c r="H5200" t="s">
        <v>868</v>
      </c>
      <c r="I5200" t="s">
        <v>869</v>
      </c>
      <c r="J5200" t="str">
        <f>"9380004"</f>
        <v>9380004</v>
      </c>
      <c r="K5200">
        <v>2384021397</v>
      </c>
      <c r="L5200">
        <v>2384021397</v>
      </c>
      <c r="M5200" t="s">
        <v>31073</v>
      </c>
      <c r="N5200" t="s">
        <v>26883</v>
      </c>
      <c r="O5200" t="s">
        <v>31074</v>
      </c>
      <c r="P5200">
        <v>58400</v>
      </c>
      <c r="Q5200" t="str">
        <f>"40.970242"</f>
        <v>40.970242</v>
      </c>
      <c r="R5200" t="str">
        <f>"22.058589"</f>
        <v>22.058589</v>
      </c>
      <c r="S5200" t="s">
        <v>26</v>
      </c>
    </row>
    <row r="5201" spans="1:19" x14ac:dyDescent="0.3">
      <c r="A5201" t="s">
        <v>25190</v>
      </c>
      <c r="B5201" t="s">
        <v>30385</v>
      </c>
      <c r="C5201" t="s">
        <v>31078</v>
      </c>
      <c r="D5201" t="s">
        <v>25211</v>
      </c>
      <c r="E5201" t="s">
        <v>26760</v>
      </c>
      <c r="F5201" t="s">
        <v>26760</v>
      </c>
      <c r="G5201" t="s">
        <v>3549</v>
      </c>
      <c r="H5201" t="s">
        <v>868</v>
      </c>
      <c r="I5201" t="s">
        <v>869</v>
      </c>
      <c r="J5201" t="str">
        <f>"9380135"</f>
        <v>9380135</v>
      </c>
      <c r="K5201">
        <v>2381061202</v>
      </c>
      <c r="L5201">
        <v>2381061202</v>
      </c>
      <c r="M5201" t="s">
        <v>31079</v>
      </c>
      <c r="N5201" t="s">
        <v>3549</v>
      </c>
      <c r="O5201" t="s">
        <v>31080</v>
      </c>
      <c r="P5201">
        <v>58500</v>
      </c>
      <c r="Q5201" t="str">
        <f>"40.774660"</f>
        <v>40.774660</v>
      </c>
      <c r="R5201" t="str">
        <f>"22.228435"</f>
        <v>22.228435</v>
      </c>
      <c r="S5201" t="s">
        <v>26</v>
      </c>
    </row>
    <row r="5202" spans="1:19" x14ac:dyDescent="0.3">
      <c r="A5202" t="s">
        <v>25190</v>
      </c>
      <c r="B5202" t="s">
        <v>30385</v>
      </c>
      <c r="C5202" t="s">
        <v>31091</v>
      </c>
      <c r="D5202" t="s">
        <v>25211</v>
      </c>
      <c r="E5202" t="s">
        <v>25211</v>
      </c>
      <c r="F5202" t="s">
        <v>26731</v>
      </c>
      <c r="G5202" t="s">
        <v>26731</v>
      </c>
      <c r="H5202" t="s">
        <v>868</v>
      </c>
      <c r="I5202" t="s">
        <v>869</v>
      </c>
      <c r="J5202" t="str">
        <f>"9521557"</f>
        <v>9521557</v>
      </c>
      <c r="K5202">
        <v>2382024870</v>
      </c>
      <c r="M5202" t="s">
        <v>31092</v>
      </c>
      <c r="N5202" t="s">
        <v>26772</v>
      </c>
      <c r="O5202" t="s">
        <v>31093</v>
      </c>
      <c r="P5202">
        <v>58100</v>
      </c>
      <c r="Q5202" t="str">
        <f>"40.785058"</f>
        <v>40.785058</v>
      </c>
      <c r="R5202" t="str">
        <f>"22.415691"</f>
        <v>22.415691</v>
      </c>
      <c r="S5202" t="s">
        <v>26</v>
      </c>
    </row>
    <row r="5203" spans="1:19" x14ac:dyDescent="0.3">
      <c r="A5203" t="s">
        <v>25190</v>
      </c>
      <c r="B5203" t="s">
        <v>30385</v>
      </c>
      <c r="C5203" t="s">
        <v>31094</v>
      </c>
      <c r="D5203" t="s">
        <v>25211</v>
      </c>
      <c r="E5203" t="s">
        <v>26760</v>
      </c>
      <c r="F5203" t="s">
        <v>26760</v>
      </c>
      <c r="G5203" t="s">
        <v>26760</v>
      </c>
      <c r="H5203" t="s">
        <v>868</v>
      </c>
      <c r="I5203" t="s">
        <v>1157</v>
      </c>
      <c r="J5203" t="str">
        <f>"9521561"</f>
        <v>9521561</v>
      </c>
      <c r="N5203" t="s">
        <v>26760</v>
      </c>
      <c r="O5203" t="s">
        <v>7582</v>
      </c>
      <c r="P5203">
        <v>0</v>
      </c>
      <c r="Q5203" t="str">
        <f>""</f>
        <v/>
      </c>
      <c r="R5203" t="str">
        <f>""</f>
        <v/>
      </c>
      <c r="S5203" t="s">
        <v>26</v>
      </c>
    </row>
    <row r="5204" spans="1:19" x14ac:dyDescent="0.3">
      <c r="A5204" t="s">
        <v>25190</v>
      </c>
      <c r="B5204" t="s">
        <v>31098</v>
      </c>
      <c r="C5204" t="s">
        <v>26996</v>
      </c>
      <c r="D5204" t="s">
        <v>25218</v>
      </c>
      <c r="E5204" t="s">
        <v>25219</v>
      </c>
      <c r="F5204" t="s">
        <v>25219</v>
      </c>
      <c r="G5204" t="s">
        <v>25219</v>
      </c>
      <c r="H5204" t="s">
        <v>868</v>
      </c>
      <c r="I5204" t="s">
        <v>869</v>
      </c>
      <c r="J5204" t="str">
        <f>"9390012"</f>
        <v>9390012</v>
      </c>
      <c r="K5204">
        <v>2351023904</v>
      </c>
      <c r="L5204">
        <v>2351023904</v>
      </c>
      <c r="M5204" t="s">
        <v>31099</v>
      </c>
      <c r="N5204" t="s">
        <v>26969</v>
      </c>
      <c r="O5204" t="s">
        <v>31100</v>
      </c>
      <c r="P5204">
        <v>60133</v>
      </c>
      <c r="Q5204" t="str">
        <f>"40.284109"</f>
        <v>40.284109</v>
      </c>
      <c r="R5204" t="str">
        <f>"22.500694"</f>
        <v>22.500694</v>
      </c>
      <c r="S5204" t="s">
        <v>26</v>
      </c>
    </row>
    <row r="5205" spans="1:19" x14ac:dyDescent="0.3">
      <c r="A5205" t="s">
        <v>25190</v>
      </c>
      <c r="B5205" t="s">
        <v>31098</v>
      </c>
      <c r="C5205" t="s">
        <v>31101</v>
      </c>
      <c r="D5205" t="s">
        <v>25218</v>
      </c>
      <c r="E5205" t="s">
        <v>25219</v>
      </c>
      <c r="F5205" t="s">
        <v>25219</v>
      </c>
      <c r="G5205" t="s">
        <v>25219</v>
      </c>
      <c r="H5205" t="s">
        <v>868</v>
      </c>
      <c r="I5205" t="s">
        <v>869</v>
      </c>
      <c r="J5205" t="str">
        <f>"9390055"</f>
        <v>9390055</v>
      </c>
      <c r="K5205">
        <v>2351045194</v>
      </c>
      <c r="L5205">
        <v>2351029336</v>
      </c>
      <c r="M5205" t="s">
        <v>31102</v>
      </c>
      <c r="N5205" t="s">
        <v>26969</v>
      </c>
      <c r="O5205" t="s">
        <v>28648</v>
      </c>
      <c r="P5205">
        <v>60100</v>
      </c>
      <c r="Q5205" t="str">
        <f>"40.266447"</f>
        <v>40.266447</v>
      </c>
      <c r="R5205" t="str">
        <f>"22.505526"</f>
        <v>22.505526</v>
      </c>
      <c r="S5205" t="s">
        <v>26</v>
      </c>
    </row>
    <row r="5206" spans="1:19" x14ac:dyDescent="0.3">
      <c r="A5206" t="s">
        <v>25190</v>
      </c>
      <c r="B5206" t="s">
        <v>31098</v>
      </c>
      <c r="C5206" t="s">
        <v>26961</v>
      </c>
      <c r="D5206" t="s">
        <v>25218</v>
      </c>
      <c r="E5206" t="s">
        <v>25219</v>
      </c>
      <c r="F5206" t="s">
        <v>25219</v>
      </c>
      <c r="G5206" t="s">
        <v>25219</v>
      </c>
      <c r="H5206" t="s">
        <v>868</v>
      </c>
      <c r="I5206" t="s">
        <v>869</v>
      </c>
      <c r="J5206" t="str">
        <f>"9390054"</f>
        <v>9390054</v>
      </c>
      <c r="K5206">
        <v>2351029335</v>
      </c>
      <c r="M5206" t="s">
        <v>31103</v>
      </c>
      <c r="N5206" t="s">
        <v>26969</v>
      </c>
      <c r="O5206" t="s">
        <v>31104</v>
      </c>
      <c r="P5206">
        <v>60132</v>
      </c>
      <c r="Q5206" t="str">
        <f>"40.270199"</f>
        <v>40.270199</v>
      </c>
      <c r="R5206" t="str">
        <f>"22.501543"</f>
        <v>22.501543</v>
      </c>
      <c r="S5206" t="s">
        <v>26</v>
      </c>
    </row>
    <row r="5207" spans="1:19" x14ac:dyDescent="0.3">
      <c r="A5207" t="s">
        <v>25190</v>
      </c>
      <c r="B5207" t="s">
        <v>31098</v>
      </c>
      <c r="C5207" t="s">
        <v>31105</v>
      </c>
      <c r="D5207" t="s">
        <v>25218</v>
      </c>
      <c r="E5207" t="s">
        <v>25219</v>
      </c>
      <c r="F5207" t="s">
        <v>25219</v>
      </c>
      <c r="G5207" t="s">
        <v>25219</v>
      </c>
      <c r="H5207" t="s">
        <v>868</v>
      </c>
      <c r="I5207" t="s">
        <v>1157</v>
      </c>
      <c r="J5207" t="str">
        <f>"9390165"</f>
        <v>9390165</v>
      </c>
      <c r="K5207">
        <v>2351031493</v>
      </c>
      <c r="L5207">
        <v>2351031493</v>
      </c>
      <c r="M5207" t="s">
        <v>31106</v>
      </c>
      <c r="N5207" t="s">
        <v>25219</v>
      </c>
      <c r="O5207" t="s">
        <v>31107</v>
      </c>
      <c r="P5207">
        <v>60100</v>
      </c>
      <c r="Q5207" t="str">
        <f>"40.308693"</f>
        <v>40.308693</v>
      </c>
      <c r="R5207" t="str">
        <f>"22.498006"</f>
        <v>22.498006</v>
      </c>
      <c r="S5207" t="s">
        <v>26</v>
      </c>
    </row>
    <row r="5208" spans="1:19" x14ac:dyDescent="0.3">
      <c r="A5208" t="s">
        <v>25190</v>
      </c>
      <c r="B5208" t="s">
        <v>31098</v>
      </c>
      <c r="C5208" t="s">
        <v>31112</v>
      </c>
      <c r="D5208" t="s">
        <v>25218</v>
      </c>
      <c r="E5208" t="s">
        <v>25219</v>
      </c>
      <c r="F5208" t="s">
        <v>12466</v>
      </c>
      <c r="G5208" t="s">
        <v>27034</v>
      </c>
      <c r="H5208" t="s">
        <v>868</v>
      </c>
      <c r="I5208" t="s">
        <v>950</v>
      </c>
      <c r="J5208" t="str">
        <f>"9390077"</f>
        <v>9390077</v>
      </c>
      <c r="K5208">
        <v>2351081000</v>
      </c>
      <c r="L5208">
        <v>2351081000</v>
      </c>
      <c r="M5208" t="s">
        <v>31113</v>
      </c>
      <c r="N5208" t="s">
        <v>31114</v>
      </c>
      <c r="O5208" t="s">
        <v>31114</v>
      </c>
      <c r="P5208">
        <v>60100</v>
      </c>
      <c r="Q5208" t="str">
        <f>"40.250385"</f>
        <v>40.250385</v>
      </c>
      <c r="R5208" t="str">
        <f>"22.304259"</f>
        <v>22.304259</v>
      </c>
      <c r="S5208" t="s">
        <v>26</v>
      </c>
    </row>
    <row r="5209" spans="1:19" x14ac:dyDescent="0.3">
      <c r="A5209" t="s">
        <v>25190</v>
      </c>
      <c r="B5209" t="s">
        <v>31098</v>
      </c>
      <c r="C5209" t="s">
        <v>27043</v>
      </c>
      <c r="D5209" t="s">
        <v>25218</v>
      </c>
      <c r="E5209" t="s">
        <v>26941</v>
      </c>
      <c r="F5209" t="s">
        <v>26942</v>
      </c>
      <c r="G5209" t="s">
        <v>19920</v>
      </c>
      <c r="H5209" t="s">
        <v>868</v>
      </c>
      <c r="I5209" t="s">
        <v>869</v>
      </c>
      <c r="J5209" t="str">
        <f>"9390069"</f>
        <v>9390069</v>
      </c>
      <c r="K5209">
        <v>2352031231</v>
      </c>
      <c r="L5209">
        <v>2352031231</v>
      </c>
      <c r="M5209" t="s">
        <v>31115</v>
      </c>
      <c r="N5209" t="s">
        <v>19923</v>
      </c>
      <c r="O5209" t="s">
        <v>31116</v>
      </c>
      <c r="P5209">
        <v>60063</v>
      </c>
      <c r="Q5209" t="str">
        <f>"40.061934"</f>
        <v>40.061934</v>
      </c>
      <c r="R5209" t="str">
        <f>"22.563854"</f>
        <v>22.563854</v>
      </c>
      <c r="S5209" t="s">
        <v>26</v>
      </c>
    </row>
    <row r="5210" spans="1:19" x14ac:dyDescent="0.3">
      <c r="A5210" t="s">
        <v>25190</v>
      </c>
      <c r="B5210" t="s">
        <v>31098</v>
      </c>
      <c r="C5210" t="s">
        <v>31117</v>
      </c>
      <c r="D5210" t="s">
        <v>25218</v>
      </c>
      <c r="E5210" t="s">
        <v>25219</v>
      </c>
      <c r="F5210" t="s">
        <v>12466</v>
      </c>
      <c r="G5210" t="s">
        <v>3295</v>
      </c>
      <c r="H5210" t="s">
        <v>868</v>
      </c>
      <c r="I5210" t="s">
        <v>950</v>
      </c>
      <c r="J5210" t="str">
        <f>"9390110"</f>
        <v>9390110</v>
      </c>
      <c r="K5210">
        <v>2351084255</v>
      </c>
      <c r="L5210">
        <v>2351084255</v>
      </c>
      <c r="M5210" t="s">
        <v>31118</v>
      </c>
      <c r="N5210" t="s">
        <v>3472</v>
      </c>
      <c r="O5210" t="s">
        <v>3472</v>
      </c>
      <c r="P5210">
        <v>60100</v>
      </c>
      <c r="Q5210" t="str">
        <f>"40.156042"</f>
        <v>40.156042</v>
      </c>
      <c r="R5210" t="str">
        <f>"22.231226"</f>
        <v>22.231226</v>
      </c>
      <c r="S5210" t="s">
        <v>26</v>
      </c>
    </row>
    <row r="5211" spans="1:19" x14ac:dyDescent="0.3">
      <c r="A5211" t="s">
        <v>25190</v>
      </c>
      <c r="B5211" t="s">
        <v>31098</v>
      </c>
      <c r="C5211" t="s">
        <v>31136</v>
      </c>
      <c r="D5211" t="s">
        <v>25218</v>
      </c>
      <c r="E5211" t="s">
        <v>25219</v>
      </c>
      <c r="F5211" t="s">
        <v>25219</v>
      </c>
      <c r="G5211" t="s">
        <v>25219</v>
      </c>
      <c r="H5211" t="s">
        <v>868</v>
      </c>
      <c r="I5211" t="s">
        <v>869</v>
      </c>
      <c r="J5211" t="str">
        <f>"9390103"</f>
        <v>9390103</v>
      </c>
      <c r="K5211">
        <v>2351023842</v>
      </c>
      <c r="L5211">
        <v>2351023842</v>
      </c>
      <c r="M5211" t="s">
        <v>31137</v>
      </c>
      <c r="N5211" t="s">
        <v>25219</v>
      </c>
      <c r="O5211" t="s">
        <v>31138</v>
      </c>
      <c r="P5211">
        <v>60100</v>
      </c>
      <c r="Q5211" t="str">
        <f>"40.270704"</f>
        <v>40.270704</v>
      </c>
      <c r="R5211" t="str">
        <f>"22.491912"</f>
        <v>22.491912</v>
      </c>
      <c r="S5211" t="s">
        <v>26</v>
      </c>
    </row>
    <row r="5212" spans="1:19" x14ac:dyDescent="0.3">
      <c r="A5212" t="s">
        <v>25190</v>
      </c>
      <c r="B5212" t="s">
        <v>31098</v>
      </c>
      <c r="C5212" t="s">
        <v>31140</v>
      </c>
      <c r="D5212" t="s">
        <v>25218</v>
      </c>
      <c r="E5212" t="s">
        <v>25219</v>
      </c>
      <c r="F5212" t="s">
        <v>12466</v>
      </c>
      <c r="G5212" t="s">
        <v>31139</v>
      </c>
      <c r="H5212" t="s">
        <v>868</v>
      </c>
      <c r="I5212" t="s">
        <v>950</v>
      </c>
      <c r="J5212" t="str">
        <f>"9390092"</f>
        <v>9390092</v>
      </c>
      <c r="K5212">
        <v>2351098376</v>
      </c>
      <c r="M5212" t="s">
        <v>31141</v>
      </c>
      <c r="N5212" t="s">
        <v>31139</v>
      </c>
      <c r="O5212" t="s">
        <v>31142</v>
      </c>
      <c r="P5212">
        <v>60100</v>
      </c>
      <c r="Q5212" t="str">
        <f>"40.264900"</f>
        <v>40.264900</v>
      </c>
      <c r="R5212" t="str">
        <f>"22.398338"</f>
        <v>22.398338</v>
      </c>
      <c r="S5212" t="s">
        <v>26</v>
      </c>
    </row>
    <row r="5213" spans="1:19" x14ac:dyDescent="0.3">
      <c r="A5213" t="s">
        <v>25190</v>
      </c>
      <c r="B5213" t="s">
        <v>31098</v>
      </c>
      <c r="C5213" t="s">
        <v>31161</v>
      </c>
      <c r="D5213" t="s">
        <v>25218</v>
      </c>
      <c r="E5213" t="s">
        <v>25219</v>
      </c>
      <c r="F5213" t="s">
        <v>25219</v>
      </c>
      <c r="G5213" t="s">
        <v>25219</v>
      </c>
      <c r="H5213" t="s">
        <v>868</v>
      </c>
      <c r="I5213" t="s">
        <v>869</v>
      </c>
      <c r="J5213" t="str">
        <f>"9390141"</f>
        <v>9390141</v>
      </c>
      <c r="K5213">
        <v>2351024148</v>
      </c>
      <c r="L5213">
        <v>2351024148</v>
      </c>
      <c r="M5213" t="s">
        <v>31162</v>
      </c>
      <c r="N5213" t="s">
        <v>26969</v>
      </c>
      <c r="O5213" t="s">
        <v>31163</v>
      </c>
      <c r="P5213">
        <v>60134</v>
      </c>
      <c r="Q5213" t="str">
        <f>"40.270785"</f>
        <v>40.270785</v>
      </c>
      <c r="R5213" t="str">
        <f>"22.528598"</f>
        <v>22.528598</v>
      </c>
      <c r="S5213" t="s">
        <v>26</v>
      </c>
    </row>
    <row r="5214" spans="1:19" x14ac:dyDescent="0.3">
      <c r="A5214" t="s">
        <v>25190</v>
      </c>
      <c r="B5214" t="s">
        <v>31098</v>
      </c>
      <c r="C5214" t="s">
        <v>31202</v>
      </c>
      <c r="D5214" t="s">
        <v>25218</v>
      </c>
      <c r="E5214" t="s">
        <v>25219</v>
      </c>
      <c r="F5214" t="s">
        <v>27025</v>
      </c>
      <c r="G5214" t="s">
        <v>31124</v>
      </c>
      <c r="H5214" t="s">
        <v>868</v>
      </c>
      <c r="I5214" t="s">
        <v>950</v>
      </c>
      <c r="J5214" t="str">
        <f>"9390140"</f>
        <v>9390140</v>
      </c>
      <c r="K5214">
        <v>2351082150</v>
      </c>
      <c r="L5214">
        <v>2351082428</v>
      </c>
      <c r="M5214" t="s">
        <v>31203</v>
      </c>
      <c r="N5214" t="s">
        <v>31124</v>
      </c>
      <c r="O5214" t="s">
        <v>31127</v>
      </c>
      <c r="P5214">
        <v>60100</v>
      </c>
      <c r="Q5214" t="str">
        <f>"40.273167"</f>
        <v>40.273167</v>
      </c>
      <c r="R5214" t="str">
        <f>"22.324305"</f>
        <v>22.324305</v>
      </c>
      <c r="S5214" t="s">
        <v>26</v>
      </c>
    </row>
    <row r="5215" spans="1:19" x14ac:dyDescent="0.3">
      <c r="A5215" t="s">
        <v>25190</v>
      </c>
      <c r="B5215" t="s">
        <v>31098</v>
      </c>
      <c r="C5215" t="s">
        <v>27000</v>
      </c>
      <c r="D5215" t="s">
        <v>25218</v>
      </c>
      <c r="E5215" t="s">
        <v>25219</v>
      </c>
      <c r="F5215" t="s">
        <v>25219</v>
      </c>
      <c r="G5215" t="s">
        <v>25219</v>
      </c>
      <c r="H5215" t="s">
        <v>868</v>
      </c>
      <c r="I5215" t="s">
        <v>869</v>
      </c>
      <c r="J5215" t="str">
        <f>"9390058"</f>
        <v>9390058</v>
      </c>
      <c r="K5215">
        <v>2351023732</v>
      </c>
      <c r="L5215">
        <v>2351047467</v>
      </c>
      <c r="M5215" t="s">
        <v>31211</v>
      </c>
      <c r="N5215" t="s">
        <v>31212</v>
      </c>
      <c r="O5215" t="s">
        <v>31213</v>
      </c>
      <c r="P5215">
        <v>60132</v>
      </c>
      <c r="Q5215" t="str">
        <f>"40.264860"</f>
        <v>40.264860</v>
      </c>
      <c r="R5215" t="str">
        <f>"22.511244"</f>
        <v>22.511244</v>
      </c>
      <c r="S5215" t="s">
        <v>26</v>
      </c>
    </row>
    <row r="5216" spans="1:19" x14ac:dyDescent="0.3">
      <c r="A5216" t="s">
        <v>25190</v>
      </c>
      <c r="B5216" t="s">
        <v>31098</v>
      </c>
      <c r="C5216" t="s">
        <v>27031</v>
      </c>
      <c r="D5216" t="s">
        <v>25218</v>
      </c>
      <c r="E5216" t="s">
        <v>25219</v>
      </c>
      <c r="F5216" t="s">
        <v>27025</v>
      </c>
      <c r="G5216" t="s">
        <v>27026</v>
      </c>
      <c r="H5216" t="s">
        <v>868</v>
      </c>
      <c r="I5216" t="s">
        <v>950</v>
      </c>
      <c r="J5216" t="str">
        <f>"9390134"</f>
        <v>9390134</v>
      </c>
      <c r="K5216">
        <v>2351082362</v>
      </c>
      <c r="L5216">
        <v>2351082362</v>
      </c>
      <c r="M5216" t="s">
        <v>31247</v>
      </c>
      <c r="N5216" t="s">
        <v>27030</v>
      </c>
      <c r="O5216" t="s">
        <v>31248</v>
      </c>
      <c r="P5216">
        <v>60100</v>
      </c>
      <c r="Q5216" t="str">
        <f>"40.286224"</f>
        <v>40.286224</v>
      </c>
      <c r="R5216" t="str">
        <f>"22.283383"</f>
        <v>22.283383</v>
      </c>
      <c r="S5216" t="s">
        <v>26</v>
      </c>
    </row>
    <row r="5217" spans="1:19" x14ac:dyDescent="0.3">
      <c r="A5217" t="s">
        <v>25190</v>
      </c>
      <c r="B5217" t="s">
        <v>31098</v>
      </c>
      <c r="C5217" t="s">
        <v>26956</v>
      </c>
      <c r="D5217" t="s">
        <v>25218</v>
      </c>
      <c r="E5217" t="s">
        <v>26949</v>
      </c>
      <c r="F5217" t="s">
        <v>26950</v>
      </c>
      <c r="G5217" t="s">
        <v>26950</v>
      </c>
      <c r="H5217" t="s">
        <v>868</v>
      </c>
      <c r="I5217" t="s">
        <v>869</v>
      </c>
      <c r="J5217" t="str">
        <f>"9390019"</f>
        <v>9390019</v>
      </c>
      <c r="K5217">
        <v>2353031220</v>
      </c>
      <c r="L5217">
        <v>2353021423</v>
      </c>
      <c r="M5217" t="s">
        <v>31249</v>
      </c>
      <c r="N5217" t="s">
        <v>31250</v>
      </c>
      <c r="O5217" t="s">
        <v>31246</v>
      </c>
      <c r="P5217">
        <v>60061</v>
      </c>
      <c r="Q5217" t="str">
        <f>"40.480543"</f>
        <v>40.480543</v>
      </c>
      <c r="R5217" t="str">
        <f>"22.487146"</f>
        <v>22.487146</v>
      </c>
      <c r="S5217" t="s">
        <v>26</v>
      </c>
    </row>
    <row r="5218" spans="1:19" x14ac:dyDescent="0.3">
      <c r="A5218" t="s">
        <v>25190</v>
      </c>
      <c r="B5218" t="s">
        <v>31098</v>
      </c>
      <c r="C5218" t="s">
        <v>31252</v>
      </c>
      <c r="D5218" t="s">
        <v>25218</v>
      </c>
      <c r="E5218" t="s">
        <v>25219</v>
      </c>
      <c r="F5218" t="s">
        <v>12466</v>
      </c>
      <c r="G5218" t="s">
        <v>31251</v>
      </c>
      <c r="H5218" t="s">
        <v>868</v>
      </c>
      <c r="I5218" t="s">
        <v>869</v>
      </c>
      <c r="J5218" t="str">
        <f>"9390072"</f>
        <v>9390072</v>
      </c>
      <c r="K5218">
        <v>2351098214</v>
      </c>
      <c r="L5218">
        <v>2351098214</v>
      </c>
      <c r="M5218" t="s">
        <v>31253</v>
      </c>
      <c r="N5218" t="s">
        <v>31254</v>
      </c>
      <c r="O5218" t="s">
        <v>31254</v>
      </c>
      <c r="P5218">
        <v>60100</v>
      </c>
      <c r="Q5218" t="str">
        <f>"40.244527"</f>
        <v>40.244527</v>
      </c>
      <c r="R5218" t="str">
        <f>"22.378071"</f>
        <v>22.378071</v>
      </c>
      <c r="S5218" t="s">
        <v>26</v>
      </c>
    </row>
    <row r="5219" spans="1:19" x14ac:dyDescent="0.3">
      <c r="A5219" t="s">
        <v>25190</v>
      </c>
      <c r="B5219" t="s">
        <v>31098</v>
      </c>
      <c r="C5219" t="s">
        <v>31257</v>
      </c>
      <c r="D5219" t="s">
        <v>25218</v>
      </c>
      <c r="E5219" t="s">
        <v>25219</v>
      </c>
      <c r="F5219" t="s">
        <v>25219</v>
      </c>
      <c r="G5219" t="s">
        <v>25219</v>
      </c>
      <c r="H5219" t="s">
        <v>868</v>
      </c>
      <c r="I5219" t="s">
        <v>869</v>
      </c>
      <c r="J5219" t="str">
        <f>"9390102"</f>
        <v>9390102</v>
      </c>
      <c r="K5219">
        <v>2351023630</v>
      </c>
      <c r="L5219">
        <v>2351023630</v>
      </c>
      <c r="M5219" t="s">
        <v>31258</v>
      </c>
      <c r="N5219" t="s">
        <v>26969</v>
      </c>
      <c r="O5219" t="s">
        <v>11263</v>
      </c>
      <c r="P5219">
        <v>60100</v>
      </c>
      <c r="Q5219" t="str">
        <f>"40.271437"</f>
        <v>40.271437</v>
      </c>
      <c r="R5219" t="str">
        <f>"22.504932"</f>
        <v>22.504932</v>
      </c>
      <c r="S5219" t="s">
        <v>26</v>
      </c>
    </row>
    <row r="5220" spans="1:19" x14ac:dyDescent="0.3">
      <c r="A5220" t="s">
        <v>25190</v>
      </c>
      <c r="B5220" t="s">
        <v>31098</v>
      </c>
      <c r="C5220" t="s">
        <v>31271</v>
      </c>
      <c r="D5220" t="s">
        <v>25218</v>
      </c>
      <c r="E5220" t="s">
        <v>25219</v>
      </c>
      <c r="F5220" t="s">
        <v>25219</v>
      </c>
      <c r="G5220" t="s">
        <v>25219</v>
      </c>
      <c r="H5220" t="s">
        <v>868</v>
      </c>
      <c r="I5220" t="s">
        <v>869</v>
      </c>
      <c r="J5220" t="str">
        <f>"9390160"</f>
        <v>9390160</v>
      </c>
      <c r="K5220">
        <v>2351025529</v>
      </c>
      <c r="L5220">
        <v>2351025529</v>
      </c>
      <c r="M5220" t="s">
        <v>31272</v>
      </c>
      <c r="N5220" t="s">
        <v>25219</v>
      </c>
      <c r="O5220" t="s">
        <v>31273</v>
      </c>
      <c r="P5220">
        <v>60134</v>
      </c>
      <c r="Q5220" t="str">
        <f>"40.271242"</f>
        <v>40.271242</v>
      </c>
      <c r="R5220" t="str">
        <f>"22.511499"</f>
        <v>22.511499</v>
      </c>
      <c r="S5220" t="s">
        <v>26</v>
      </c>
    </row>
    <row r="5221" spans="1:19" x14ac:dyDescent="0.3">
      <c r="A5221" t="s">
        <v>25190</v>
      </c>
      <c r="B5221" t="s">
        <v>31098</v>
      </c>
      <c r="C5221" t="s">
        <v>31275</v>
      </c>
      <c r="D5221" t="s">
        <v>25218</v>
      </c>
      <c r="E5221" t="s">
        <v>25219</v>
      </c>
      <c r="F5221" t="s">
        <v>27025</v>
      </c>
      <c r="G5221" t="s">
        <v>31274</v>
      </c>
      <c r="H5221" t="s">
        <v>868</v>
      </c>
      <c r="I5221" t="s">
        <v>950</v>
      </c>
      <c r="J5221" t="str">
        <f>"9390113"</f>
        <v>9390113</v>
      </c>
      <c r="K5221">
        <v>2351082109</v>
      </c>
      <c r="L5221">
        <v>2351082109</v>
      </c>
      <c r="M5221" t="s">
        <v>31276</v>
      </c>
      <c r="N5221" t="s">
        <v>31277</v>
      </c>
      <c r="O5221" t="s">
        <v>31277</v>
      </c>
      <c r="P5221">
        <v>60100</v>
      </c>
      <c r="Q5221" t="str">
        <f>"40.319968"</f>
        <v>40.319968</v>
      </c>
      <c r="R5221" t="str">
        <f>"22.264725"</f>
        <v>22.264725</v>
      </c>
      <c r="S5221" t="s">
        <v>26</v>
      </c>
    </row>
    <row r="5222" spans="1:19" x14ac:dyDescent="0.3">
      <c r="A5222" t="s">
        <v>25190</v>
      </c>
      <c r="B5222" t="s">
        <v>31098</v>
      </c>
      <c r="C5222" t="s">
        <v>31278</v>
      </c>
      <c r="D5222" t="s">
        <v>25218</v>
      </c>
      <c r="E5222" t="s">
        <v>26941</v>
      </c>
      <c r="F5222" t="s">
        <v>26942</v>
      </c>
      <c r="G5222" t="s">
        <v>31240</v>
      </c>
      <c r="H5222" t="s">
        <v>868</v>
      </c>
      <c r="I5222" t="s">
        <v>869</v>
      </c>
      <c r="J5222" t="str">
        <f>"9390083"</f>
        <v>9390083</v>
      </c>
      <c r="K5222">
        <v>2352041143</v>
      </c>
      <c r="L5222">
        <v>2352041143</v>
      </c>
      <c r="M5222" t="s">
        <v>31279</v>
      </c>
      <c r="N5222" t="s">
        <v>31280</v>
      </c>
      <c r="O5222" t="s">
        <v>22957</v>
      </c>
      <c r="P5222">
        <v>60065</v>
      </c>
      <c r="Q5222" t="str">
        <f>"40.001949"</f>
        <v>40.001949</v>
      </c>
      <c r="R5222" t="str">
        <f>"22.595900"</f>
        <v>22.595900</v>
      </c>
      <c r="S5222" t="s">
        <v>26</v>
      </c>
    </row>
    <row r="5223" spans="1:19" x14ac:dyDescent="0.3">
      <c r="A5223" t="s">
        <v>25190</v>
      </c>
      <c r="B5223" t="s">
        <v>31098</v>
      </c>
      <c r="C5223" t="s">
        <v>31282</v>
      </c>
      <c r="D5223" t="s">
        <v>25218</v>
      </c>
      <c r="E5223" t="s">
        <v>25219</v>
      </c>
      <c r="F5223" t="s">
        <v>12466</v>
      </c>
      <c r="G5223" t="s">
        <v>31281</v>
      </c>
      <c r="H5223" t="s">
        <v>868</v>
      </c>
      <c r="I5223" t="s">
        <v>950</v>
      </c>
      <c r="J5223" t="str">
        <f>"9390126"</f>
        <v>9390126</v>
      </c>
      <c r="K5223">
        <v>2351081231</v>
      </c>
      <c r="L5223">
        <v>2351081231</v>
      </c>
      <c r="M5223" t="s">
        <v>31283</v>
      </c>
      <c r="N5223" t="s">
        <v>31284</v>
      </c>
      <c r="O5223" t="s">
        <v>31285</v>
      </c>
      <c r="P5223">
        <v>60100</v>
      </c>
      <c r="Q5223" t="str">
        <f>"40.219314"</f>
        <v>40.219314</v>
      </c>
      <c r="R5223" t="str">
        <f>"22.312731"</f>
        <v>22.312731</v>
      </c>
      <c r="S5223" t="s">
        <v>26</v>
      </c>
    </row>
    <row r="5224" spans="1:19" x14ac:dyDescent="0.3">
      <c r="A5224" t="s">
        <v>25190</v>
      </c>
      <c r="B5224" t="s">
        <v>31098</v>
      </c>
      <c r="C5224" t="s">
        <v>31300</v>
      </c>
      <c r="D5224" t="s">
        <v>25218</v>
      </c>
      <c r="E5224" t="s">
        <v>25219</v>
      </c>
      <c r="F5224" t="s">
        <v>25219</v>
      </c>
      <c r="G5224" t="s">
        <v>25219</v>
      </c>
      <c r="H5224" t="s">
        <v>868</v>
      </c>
      <c r="I5224" t="s">
        <v>869</v>
      </c>
      <c r="J5224" t="str">
        <f>"9390013"</f>
        <v>9390013</v>
      </c>
      <c r="K5224">
        <v>2351023004</v>
      </c>
      <c r="L5224">
        <v>2351023004</v>
      </c>
      <c r="M5224" t="s">
        <v>31301</v>
      </c>
      <c r="N5224" t="s">
        <v>26969</v>
      </c>
      <c r="O5224" t="s">
        <v>31302</v>
      </c>
      <c r="P5224">
        <v>60134</v>
      </c>
      <c r="Q5224" t="str">
        <f>"40.278251"</f>
        <v>40.278251</v>
      </c>
      <c r="R5224" t="str">
        <f>"22.512135"</f>
        <v>22.512135</v>
      </c>
      <c r="S5224" t="s">
        <v>26</v>
      </c>
    </row>
    <row r="5225" spans="1:19" x14ac:dyDescent="0.3">
      <c r="A5225" t="s">
        <v>25190</v>
      </c>
      <c r="B5225" t="s">
        <v>31098</v>
      </c>
      <c r="C5225" t="s">
        <v>31303</v>
      </c>
      <c r="D5225" t="s">
        <v>25218</v>
      </c>
      <c r="E5225" t="s">
        <v>25219</v>
      </c>
      <c r="F5225" t="s">
        <v>25219</v>
      </c>
      <c r="G5225" t="s">
        <v>27075</v>
      </c>
      <c r="H5225" t="s">
        <v>868</v>
      </c>
      <c r="I5225" t="s">
        <v>869</v>
      </c>
      <c r="J5225" t="str">
        <f>"9390135"</f>
        <v>9390135</v>
      </c>
      <c r="K5225">
        <v>2351092360</v>
      </c>
      <c r="L5225">
        <v>2351092360</v>
      </c>
      <c r="M5225" t="s">
        <v>31304</v>
      </c>
      <c r="N5225" t="s">
        <v>27076</v>
      </c>
      <c r="O5225" t="s">
        <v>31305</v>
      </c>
      <c r="P5225">
        <v>60100</v>
      </c>
      <c r="Q5225" t="str">
        <f>"40.308496"</f>
        <v>40.308496</v>
      </c>
      <c r="R5225" t="str">
        <f>"22.497373"</f>
        <v>22.497373</v>
      </c>
      <c r="S5225" t="s">
        <v>26</v>
      </c>
    </row>
    <row r="5226" spans="1:19" x14ac:dyDescent="0.3">
      <c r="A5226" t="s">
        <v>25190</v>
      </c>
      <c r="B5226" t="s">
        <v>31098</v>
      </c>
      <c r="C5226" t="s">
        <v>31318</v>
      </c>
      <c r="D5226" t="s">
        <v>25218</v>
      </c>
      <c r="E5226" t="s">
        <v>26949</v>
      </c>
      <c r="F5226" t="s">
        <v>26950</v>
      </c>
      <c r="G5226" t="s">
        <v>26950</v>
      </c>
      <c r="H5226" t="s">
        <v>868</v>
      </c>
      <c r="I5226" t="s">
        <v>869</v>
      </c>
      <c r="J5226" t="str">
        <f>"9390018"</f>
        <v>9390018</v>
      </c>
      <c r="K5226">
        <v>2353031219</v>
      </c>
      <c r="L5226">
        <v>2353031219</v>
      </c>
      <c r="M5226" t="s">
        <v>31319</v>
      </c>
      <c r="N5226" t="s">
        <v>31250</v>
      </c>
      <c r="O5226" t="s">
        <v>31315</v>
      </c>
      <c r="P5226">
        <v>60061</v>
      </c>
      <c r="Q5226" t="str">
        <f>"40.477605"</f>
        <v>40.477605</v>
      </c>
      <c r="R5226" t="str">
        <f>"22.487560"</f>
        <v>22.487560</v>
      </c>
      <c r="S5226" t="s">
        <v>26</v>
      </c>
    </row>
    <row r="5227" spans="1:19" x14ac:dyDescent="0.3">
      <c r="A5227" t="s">
        <v>25190</v>
      </c>
      <c r="B5227" t="s">
        <v>31098</v>
      </c>
      <c r="C5227" t="s">
        <v>31326</v>
      </c>
      <c r="D5227" t="s">
        <v>25218</v>
      </c>
      <c r="E5227" t="s">
        <v>25219</v>
      </c>
      <c r="F5227" t="s">
        <v>27077</v>
      </c>
      <c r="G5227" t="s">
        <v>31325</v>
      </c>
      <c r="H5227" t="s">
        <v>868</v>
      </c>
      <c r="I5227" t="s">
        <v>950</v>
      </c>
      <c r="J5227" t="str">
        <f>"9390050"</f>
        <v>9390050</v>
      </c>
      <c r="K5227">
        <v>2351091220</v>
      </c>
      <c r="M5227" t="s">
        <v>31327</v>
      </c>
      <c r="N5227" t="s">
        <v>31328</v>
      </c>
      <c r="O5227" t="s">
        <v>31329</v>
      </c>
      <c r="P5227">
        <v>60100</v>
      </c>
      <c r="Q5227" t="str">
        <f>"40.324383"</f>
        <v>40.324383</v>
      </c>
      <c r="R5227" t="str">
        <f>"22.530879"</f>
        <v>22.530879</v>
      </c>
      <c r="S5227" t="s">
        <v>26</v>
      </c>
    </row>
    <row r="5228" spans="1:19" x14ac:dyDescent="0.3">
      <c r="A5228" t="s">
        <v>25190</v>
      </c>
      <c r="B5228" t="s">
        <v>31098</v>
      </c>
      <c r="C5228" t="s">
        <v>31330</v>
      </c>
      <c r="D5228" t="s">
        <v>25218</v>
      </c>
      <c r="E5228" t="s">
        <v>26949</v>
      </c>
      <c r="F5228" t="s">
        <v>26955</v>
      </c>
      <c r="G5228" t="s">
        <v>26955</v>
      </c>
      <c r="H5228" t="s">
        <v>868</v>
      </c>
      <c r="I5228" t="s">
        <v>869</v>
      </c>
      <c r="J5228" t="str">
        <f>"9390005"</f>
        <v>9390005</v>
      </c>
      <c r="K5228">
        <v>2353022207</v>
      </c>
      <c r="L5228">
        <v>2353022207</v>
      </c>
      <c r="M5228" t="s">
        <v>31331</v>
      </c>
      <c r="N5228" t="s">
        <v>31184</v>
      </c>
      <c r="O5228" t="s">
        <v>31332</v>
      </c>
      <c r="P5228">
        <v>60300</v>
      </c>
      <c r="Q5228" t="str">
        <f>"40.505923"</f>
        <v>40.505923</v>
      </c>
      <c r="R5228" t="str">
        <f>"22.529602"</f>
        <v>22.529602</v>
      </c>
      <c r="S5228" t="s">
        <v>26</v>
      </c>
    </row>
    <row r="5229" spans="1:19" x14ac:dyDescent="0.3">
      <c r="A5229" t="s">
        <v>25190</v>
      </c>
      <c r="B5229" t="s">
        <v>31098</v>
      </c>
      <c r="C5229" t="s">
        <v>27071</v>
      </c>
      <c r="D5229" t="s">
        <v>25218</v>
      </c>
      <c r="E5229" t="s">
        <v>26949</v>
      </c>
      <c r="F5229" t="s">
        <v>27066</v>
      </c>
      <c r="G5229" t="s">
        <v>27067</v>
      </c>
      <c r="H5229" t="s">
        <v>868</v>
      </c>
      <c r="I5229" t="s">
        <v>869</v>
      </c>
      <c r="J5229" t="str">
        <f>"9390027"</f>
        <v>9390027</v>
      </c>
      <c r="K5229">
        <v>2353041223</v>
      </c>
      <c r="L5229">
        <v>2353041223</v>
      </c>
      <c r="M5229" t="s">
        <v>31333</v>
      </c>
      <c r="N5229" t="s">
        <v>31334</v>
      </c>
      <c r="O5229" t="s">
        <v>31335</v>
      </c>
      <c r="P5229">
        <v>60066</v>
      </c>
      <c r="Q5229" t="str">
        <f>"40.415822"</f>
        <v>40.415822</v>
      </c>
      <c r="R5229" t="str">
        <f>"22.602672"</f>
        <v>22.602672</v>
      </c>
      <c r="S5229" t="s">
        <v>26</v>
      </c>
    </row>
    <row r="5230" spans="1:19" x14ac:dyDescent="0.3">
      <c r="A5230" t="s">
        <v>25190</v>
      </c>
      <c r="B5230" t="s">
        <v>31098</v>
      </c>
      <c r="C5230" t="s">
        <v>31375</v>
      </c>
      <c r="D5230" t="s">
        <v>25218</v>
      </c>
      <c r="E5230" t="s">
        <v>26949</v>
      </c>
      <c r="F5230" t="s">
        <v>26955</v>
      </c>
      <c r="G5230" t="s">
        <v>26955</v>
      </c>
      <c r="H5230" t="s">
        <v>868</v>
      </c>
      <c r="I5230" t="s">
        <v>869</v>
      </c>
      <c r="J5230" t="str">
        <f>"9390003"</f>
        <v>9390003</v>
      </c>
      <c r="K5230">
        <v>2353022253</v>
      </c>
      <c r="L5230">
        <v>2353021048</v>
      </c>
      <c r="M5230" t="s">
        <v>31376</v>
      </c>
      <c r="N5230" t="s">
        <v>31184</v>
      </c>
      <c r="O5230" t="s">
        <v>31135</v>
      </c>
      <c r="P5230">
        <v>60300</v>
      </c>
      <c r="Q5230" t="str">
        <f>"40.498276"</f>
        <v>40.498276</v>
      </c>
      <c r="R5230" t="str">
        <f>"22.543368"</f>
        <v>22.543368</v>
      </c>
      <c r="S5230" t="s">
        <v>26</v>
      </c>
    </row>
    <row r="5231" spans="1:19" x14ac:dyDescent="0.3">
      <c r="A5231" t="s">
        <v>25190</v>
      </c>
      <c r="B5231" t="s">
        <v>31098</v>
      </c>
      <c r="C5231" t="s">
        <v>27052</v>
      </c>
      <c r="D5231" t="s">
        <v>25218</v>
      </c>
      <c r="E5231" t="s">
        <v>26949</v>
      </c>
      <c r="F5231" t="s">
        <v>27047</v>
      </c>
      <c r="G5231" t="s">
        <v>31320</v>
      </c>
      <c r="H5231" t="s">
        <v>868</v>
      </c>
      <c r="I5231" t="s">
        <v>950</v>
      </c>
      <c r="J5231" t="str">
        <f>"9390045"</f>
        <v>9390045</v>
      </c>
      <c r="K5231">
        <v>2351085253</v>
      </c>
      <c r="L5231">
        <v>2351085253</v>
      </c>
      <c r="M5231" t="s">
        <v>31377</v>
      </c>
      <c r="N5231" t="s">
        <v>31378</v>
      </c>
      <c r="O5231" t="s">
        <v>31379</v>
      </c>
      <c r="P5231">
        <v>60060</v>
      </c>
      <c r="Q5231" t="str">
        <f>"40.413405"</f>
        <v>40.413405</v>
      </c>
      <c r="R5231" t="str">
        <f>"22.547694"</f>
        <v>22.547694</v>
      </c>
      <c r="S5231" t="s">
        <v>26</v>
      </c>
    </row>
    <row r="5232" spans="1:19" x14ac:dyDescent="0.3">
      <c r="A5232" t="s">
        <v>25190</v>
      </c>
      <c r="B5232" t="s">
        <v>31098</v>
      </c>
      <c r="C5232" t="s">
        <v>31382</v>
      </c>
      <c r="D5232" t="s">
        <v>25218</v>
      </c>
      <c r="E5232" t="s">
        <v>25219</v>
      </c>
      <c r="F5232" t="s">
        <v>12466</v>
      </c>
      <c r="G5232" t="s">
        <v>31251</v>
      </c>
      <c r="H5232" t="s">
        <v>868</v>
      </c>
      <c r="I5232" t="s">
        <v>950</v>
      </c>
      <c r="J5232" t="str">
        <f>"9390074"</f>
        <v>9390074</v>
      </c>
      <c r="K5232">
        <v>2351098382</v>
      </c>
      <c r="L5232">
        <v>2351098382</v>
      </c>
      <c r="M5232" t="s">
        <v>31383</v>
      </c>
      <c r="N5232" t="s">
        <v>31384</v>
      </c>
      <c r="O5232" t="s">
        <v>31385</v>
      </c>
      <c r="P5232">
        <v>60100</v>
      </c>
      <c r="Q5232" t="str">
        <f>"40.244402"</f>
        <v>40.244402</v>
      </c>
      <c r="R5232" t="str">
        <f>"22.359965"</f>
        <v>22.359965</v>
      </c>
      <c r="S5232" t="s">
        <v>26</v>
      </c>
    </row>
    <row r="5233" spans="1:19" x14ac:dyDescent="0.3">
      <c r="A5233" t="s">
        <v>25190</v>
      </c>
      <c r="B5233" t="s">
        <v>31098</v>
      </c>
      <c r="C5233" t="s">
        <v>31386</v>
      </c>
      <c r="D5233" t="s">
        <v>25218</v>
      </c>
      <c r="E5233" t="s">
        <v>25219</v>
      </c>
      <c r="F5233" t="s">
        <v>31119</v>
      </c>
      <c r="G5233" t="s">
        <v>31120</v>
      </c>
      <c r="H5233" t="s">
        <v>868</v>
      </c>
      <c r="I5233" t="s">
        <v>950</v>
      </c>
      <c r="J5233" t="str">
        <f>"9390130"</f>
        <v>9390130</v>
      </c>
      <c r="K5233">
        <v>2351092494</v>
      </c>
      <c r="L5233">
        <v>2351092494</v>
      </c>
      <c r="M5233" t="s">
        <v>31387</v>
      </c>
      <c r="N5233" t="s">
        <v>31123</v>
      </c>
      <c r="O5233" t="s">
        <v>31123</v>
      </c>
      <c r="P5233">
        <v>60100</v>
      </c>
      <c r="Q5233" t="str">
        <f>"40.315156"</f>
        <v>40.315156</v>
      </c>
      <c r="R5233" t="str">
        <f>"22.466055"</f>
        <v>22.466055</v>
      </c>
      <c r="S5233" t="s">
        <v>26</v>
      </c>
    </row>
    <row r="5234" spans="1:19" x14ac:dyDescent="0.3">
      <c r="A5234" t="s">
        <v>25190</v>
      </c>
      <c r="B5234" t="s">
        <v>31098</v>
      </c>
      <c r="C5234" t="s">
        <v>31388</v>
      </c>
      <c r="D5234" t="s">
        <v>25218</v>
      </c>
      <c r="E5234" t="s">
        <v>26941</v>
      </c>
      <c r="F5234" t="s">
        <v>26981</v>
      </c>
      <c r="G5234" t="s">
        <v>19462</v>
      </c>
      <c r="H5234" t="s">
        <v>868</v>
      </c>
      <c r="I5234" t="s">
        <v>869</v>
      </c>
      <c r="J5234" t="str">
        <f>"9390059"</f>
        <v>9390059</v>
      </c>
      <c r="K5234">
        <v>2351055240</v>
      </c>
      <c r="L5234">
        <v>2351055240</v>
      </c>
      <c r="M5234" t="s">
        <v>31389</v>
      </c>
      <c r="N5234" t="s">
        <v>19465</v>
      </c>
      <c r="O5234" t="s">
        <v>19465</v>
      </c>
      <c r="P5234">
        <v>60100</v>
      </c>
      <c r="Q5234" t="str">
        <f>"40.208421"</f>
        <v>40.208421</v>
      </c>
      <c r="R5234" t="str">
        <f>"22.442745"</f>
        <v>22.442745</v>
      </c>
      <c r="S5234" t="s">
        <v>26</v>
      </c>
    </row>
    <row r="5235" spans="1:19" x14ac:dyDescent="0.3">
      <c r="A5235" t="s">
        <v>25190</v>
      </c>
      <c r="B5235" t="s">
        <v>31098</v>
      </c>
      <c r="C5235" t="s">
        <v>31391</v>
      </c>
      <c r="D5235" t="s">
        <v>25218</v>
      </c>
      <c r="E5235" t="s">
        <v>26949</v>
      </c>
      <c r="F5235" t="s">
        <v>27047</v>
      </c>
      <c r="G5235" t="s">
        <v>31390</v>
      </c>
      <c r="H5235" t="s">
        <v>868</v>
      </c>
      <c r="I5235" t="s">
        <v>950</v>
      </c>
      <c r="J5235" t="str">
        <f>"9390035"</f>
        <v>9390035</v>
      </c>
      <c r="K5235">
        <v>2351083292</v>
      </c>
      <c r="L5235">
        <v>2351083296</v>
      </c>
      <c r="M5235" t="s">
        <v>31392</v>
      </c>
      <c r="N5235" t="s">
        <v>31393</v>
      </c>
      <c r="O5235" t="s">
        <v>31393</v>
      </c>
      <c r="P5235">
        <v>60061</v>
      </c>
      <c r="Q5235" t="str">
        <f>"40.418840"</f>
        <v>40.418840</v>
      </c>
      <c r="R5235" t="str">
        <f>"22.463504"</f>
        <v>22.463504</v>
      </c>
      <c r="S5235" t="s">
        <v>26</v>
      </c>
    </row>
    <row r="5236" spans="1:19" x14ac:dyDescent="0.3">
      <c r="A5236" t="s">
        <v>25190</v>
      </c>
      <c r="B5236" t="s">
        <v>31098</v>
      </c>
      <c r="C5236" t="s">
        <v>31394</v>
      </c>
      <c r="D5236" t="s">
        <v>25218</v>
      </c>
      <c r="E5236" t="s">
        <v>25219</v>
      </c>
      <c r="F5236" t="s">
        <v>14212</v>
      </c>
      <c r="G5236" t="s">
        <v>14212</v>
      </c>
      <c r="H5236" t="s">
        <v>868</v>
      </c>
      <c r="I5236" t="s">
        <v>869</v>
      </c>
      <c r="J5236" t="str">
        <f>"9390139"</f>
        <v>9390139</v>
      </c>
      <c r="K5236">
        <v>2351061303</v>
      </c>
      <c r="L5236">
        <v>2351061303</v>
      </c>
      <c r="M5236" t="s">
        <v>31395</v>
      </c>
      <c r="N5236" t="s">
        <v>31396</v>
      </c>
      <c r="O5236" t="s">
        <v>31397</v>
      </c>
      <c r="P5236">
        <v>60100</v>
      </c>
      <c r="Q5236" t="str">
        <f>"40.263389"</f>
        <v>40.263389</v>
      </c>
      <c r="R5236" t="str">
        <f>"22.594587"</f>
        <v>22.594587</v>
      </c>
      <c r="S5236" t="s">
        <v>26</v>
      </c>
    </row>
    <row r="5237" spans="1:19" x14ac:dyDescent="0.3">
      <c r="A5237" t="s">
        <v>25190</v>
      </c>
      <c r="B5237" t="s">
        <v>31098</v>
      </c>
      <c r="C5237" t="s">
        <v>31398</v>
      </c>
      <c r="D5237" t="s">
        <v>25218</v>
      </c>
      <c r="E5237" t="s">
        <v>26941</v>
      </c>
      <c r="F5237" t="s">
        <v>26962</v>
      </c>
      <c r="G5237" t="s">
        <v>26962</v>
      </c>
      <c r="H5237" t="s">
        <v>868</v>
      </c>
      <c r="I5237" t="s">
        <v>869</v>
      </c>
      <c r="J5237" t="str">
        <f>"9390070"</f>
        <v>9390070</v>
      </c>
      <c r="K5237">
        <v>2352081241</v>
      </c>
      <c r="L5237">
        <v>2352081241</v>
      </c>
      <c r="M5237" t="s">
        <v>31399</v>
      </c>
      <c r="N5237" t="s">
        <v>31370</v>
      </c>
      <c r="O5237" t="s">
        <v>31400</v>
      </c>
      <c r="P5237">
        <v>60200</v>
      </c>
      <c r="Q5237" t="str">
        <f>"40.102599"</f>
        <v>40.102599</v>
      </c>
      <c r="R5237" t="str">
        <f>"22.499622"</f>
        <v>22.499622</v>
      </c>
      <c r="S5237" t="s">
        <v>26</v>
      </c>
    </row>
    <row r="5238" spans="1:19" x14ac:dyDescent="0.3">
      <c r="A5238" t="s">
        <v>25190</v>
      </c>
      <c r="B5238" t="s">
        <v>31098</v>
      </c>
      <c r="C5238" t="s">
        <v>31403</v>
      </c>
      <c r="D5238" t="s">
        <v>25218</v>
      </c>
      <c r="E5238" t="s">
        <v>25219</v>
      </c>
      <c r="F5238" t="s">
        <v>31119</v>
      </c>
      <c r="G5238" t="s">
        <v>31220</v>
      </c>
      <c r="H5238" t="s">
        <v>868</v>
      </c>
      <c r="I5238" t="s">
        <v>950</v>
      </c>
      <c r="J5238" t="str">
        <f>"9390118"</f>
        <v>9390118</v>
      </c>
      <c r="K5238">
        <v>2351095547</v>
      </c>
      <c r="L5238">
        <v>2351095547</v>
      </c>
      <c r="M5238" t="s">
        <v>31404</v>
      </c>
      <c r="N5238" t="s">
        <v>31405</v>
      </c>
      <c r="O5238" t="s">
        <v>31406</v>
      </c>
      <c r="P5238">
        <v>60100</v>
      </c>
      <c r="Q5238" t="str">
        <f>"40.353082"</f>
        <v>40.353082</v>
      </c>
      <c r="R5238" t="str">
        <f>"22.366209"</f>
        <v>22.366209</v>
      </c>
      <c r="S5238" t="s">
        <v>26</v>
      </c>
    </row>
    <row r="5239" spans="1:19" x14ac:dyDescent="0.3">
      <c r="A5239" t="s">
        <v>25190</v>
      </c>
      <c r="B5239" t="s">
        <v>31098</v>
      </c>
      <c r="C5239" t="s">
        <v>31407</v>
      </c>
      <c r="D5239" t="s">
        <v>25218</v>
      </c>
      <c r="E5239" t="s">
        <v>26949</v>
      </c>
      <c r="F5239" t="s">
        <v>27047</v>
      </c>
      <c r="G5239" t="s">
        <v>27047</v>
      </c>
      <c r="H5239" t="s">
        <v>868</v>
      </c>
      <c r="I5239" t="s">
        <v>869</v>
      </c>
      <c r="J5239" t="str">
        <f>"9390039"</f>
        <v>9390039</v>
      </c>
      <c r="K5239">
        <v>2351071221</v>
      </c>
      <c r="L5239">
        <v>2351071221</v>
      </c>
      <c r="M5239" t="s">
        <v>31408</v>
      </c>
      <c r="N5239" t="s">
        <v>31270</v>
      </c>
      <c r="O5239" t="s">
        <v>31270</v>
      </c>
      <c r="P5239">
        <v>60064</v>
      </c>
      <c r="Q5239" t="str">
        <f>"40.372728"</f>
        <v>40.372728</v>
      </c>
      <c r="R5239" t="str">
        <f>"22.571640"</f>
        <v>22.571640</v>
      </c>
      <c r="S5239" t="s">
        <v>26</v>
      </c>
    </row>
    <row r="5240" spans="1:19" x14ac:dyDescent="0.3">
      <c r="A5240" t="s">
        <v>25190</v>
      </c>
      <c r="B5240" t="s">
        <v>31098</v>
      </c>
      <c r="C5240" t="s">
        <v>27007</v>
      </c>
      <c r="D5240" t="s">
        <v>25218</v>
      </c>
      <c r="E5240" t="s">
        <v>25219</v>
      </c>
      <c r="F5240" t="s">
        <v>25219</v>
      </c>
      <c r="G5240" t="s">
        <v>25219</v>
      </c>
      <c r="H5240" t="s">
        <v>868</v>
      </c>
      <c r="I5240" t="s">
        <v>869</v>
      </c>
      <c r="J5240" t="str">
        <f>"9390085"</f>
        <v>9390085</v>
      </c>
      <c r="K5240">
        <v>2351027750</v>
      </c>
      <c r="L5240">
        <v>2351027750</v>
      </c>
      <c r="M5240" t="s">
        <v>31409</v>
      </c>
      <c r="N5240" t="s">
        <v>31410</v>
      </c>
      <c r="O5240" t="s">
        <v>31411</v>
      </c>
      <c r="P5240">
        <v>60100</v>
      </c>
      <c r="Q5240" t="str">
        <f>"40.271352"</f>
        <v>40.271352</v>
      </c>
      <c r="R5240" t="str">
        <f>"22.480044"</f>
        <v>22.480044</v>
      </c>
      <c r="S5240" t="s">
        <v>26</v>
      </c>
    </row>
    <row r="5241" spans="1:19" x14ac:dyDescent="0.3">
      <c r="A5241" t="s">
        <v>25190</v>
      </c>
      <c r="B5241" t="s">
        <v>31098</v>
      </c>
      <c r="C5241" t="s">
        <v>31415</v>
      </c>
      <c r="D5241" t="s">
        <v>25218</v>
      </c>
      <c r="E5241" t="s">
        <v>26941</v>
      </c>
      <c r="F5241" t="s">
        <v>26942</v>
      </c>
      <c r="G5241" t="s">
        <v>31108</v>
      </c>
      <c r="H5241" t="s">
        <v>868</v>
      </c>
      <c r="I5241" t="s">
        <v>869</v>
      </c>
      <c r="J5241" t="str">
        <f>"9390088"</f>
        <v>9390088</v>
      </c>
      <c r="K5241">
        <v>2352091215</v>
      </c>
      <c r="L5241">
        <v>2352091215</v>
      </c>
      <c r="M5241" t="s">
        <v>31416</v>
      </c>
      <c r="N5241" t="s">
        <v>31417</v>
      </c>
      <c r="O5241" t="s">
        <v>31418</v>
      </c>
      <c r="P5241">
        <v>60063</v>
      </c>
      <c r="Q5241" t="str">
        <f>"40.015821"</f>
        <v>40.015821</v>
      </c>
      <c r="R5241" t="str">
        <f>"22.553510"</f>
        <v>22.553510</v>
      </c>
      <c r="S5241" t="s">
        <v>26</v>
      </c>
    </row>
    <row r="5242" spans="1:19" x14ac:dyDescent="0.3">
      <c r="A5242" t="s">
        <v>25190</v>
      </c>
      <c r="B5242" t="s">
        <v>31098</v>
      </c>
      <c r="C5242" t="s">
        <v>26975</v>
      </c>
      <c r="D5242" t="s">
        <v>25218</v>
      </c>
      <c r="E5242" t="s">
        <v>26949</v>
      </c>
      <c r="F5242" t="s">
        <v>26955</v>
      </c>
      <c r="G5242" t="s">
        <v>26955</v>
      </c>
      <c r="H5242" t="s">
        <v>868</v>
      </c>
      <c r="I5242" t="s">
        <v>869</v>
      </c>
      <c r="J5242" t="str">
        <f>"9390004"</f>
        <v>9390004</v>
      </c>
      <c r="K5242">
        <v>2353022255</v>
      </c>
      <c r="L5242">
        <v>2353022255</v>
      </c>
      <c r="M5242" t="s">
        <v>31419</v>
      </c>
      <c r="N5242" t="s">
        <v>31184</v>
      </c>
      <c r="O5242" t="s">
        <v>31420</v>
      </c>
      <c r="P5242">
        <v>60300</v>
      </c>
      <c r="Q5242" t="str">
        <f>"40.501297"</f>
        <v>40.501297</v>
      </c>
      <c r="R5242" t="str">
        <f>"22.539093"</f>
        <v>22.539093</v>
      </c>
      <c r="S5242" t="s">
        <v>26</v>
      </c>
    </row>
    <row r="5243" spans="1:19" x14ac:dyDescent="0.3">
      <c r="A5243" t="s">
        <v>25190</v>
      </c>
      <c r="B5243" t="s">
        <v>31098</v>
      </c>
      <c r="C5243" t="s">
        <v>27091</v>
      </c>
      <c r="D5243" t="s">
        <v>25218</v>
      </c>
      <c r="E5243" t="s">
        <v>26941</v>
      </c>
      <c r="F5243" t="s">
        <v>26942</v>
      </c>
      <c r="G5243" t="s">
        <v>19920</v>
      </c>
      <c r="H5243" t="s">
        <v>868</v>
      </c>
      <c r="I5243" t="s">
        <v>869</v>
      </c>
      <c r="J5243" t="str">
        <f>"9390068"</f>
        <v>9390068</v>
      </c>
      <c r="K5243">
        <v>2352031230</v>
      </c>
      <c r="L5243">
        <v>2352031235</v>
      </c>
      <c r="M5243" t="s">
        <v>31421</v>
      </c>
      <c r="N5243" t="s">
        <v>19923</v>
      </c>
      <c r="O5243" t="s">
        <v>31422</v>
      </c>
      <c r="P5243">
        <v>60063</v>
      </c>
      <c r="Q5243" t="str">
        <f>"40.060416"</f>
        <v>40.060416</v>
      </c>
      <c r="R5243" t="str">
        <f>"22.564024"</f>
        <v>22.564024</v>
      </c>
      <c r="S5243" t="s">
        <v>26</v>
      </c>
    </row>
    <row r="5244" spans="1:19" x14ac:dyDescent="0.3">
      <c r="A5244" t="s">
        <v>25190</v>
      </c>
      <c r="B5244" t="s">
        <v>31098</v>
      </c>
      <c r="C5244" t="s">
        <v>26940</v>
      </c>
      <c r="D5244" t="s">
        <v>25218</v>
      </c>
      <c r="E5244" t="s">
        <v>25219</v>
      </c>
      <c r="F5244" t="s">
        <v>25219</v>
      </c>
      <c r="G5244" t="s">
        <v>25219</v>
      </c>
      <c r="H5244" t="s">
        <v>868</v>
      </c>
      <c r="I5244" t="s">
        <v>869</v>
      </c>
      <c r="J5244" t="str">
        <f>"9390011"</f>
        <v>9390011</v>
      </c>
      <c r="K5244">
        <v>2351023620</v>
      </c>
      <c r="L5244">
        <v>2351023508</v>
      </c>
      <c r="M5244" t="s">
        <v>31426</v>
      </c>
      <c r="N5244" t="s">
        <v>26969</v>
      </c>
      <c r="O5244" t="s">
        <v>31427</v>
      </c>
      <c r="P5244">
        <v>60132</v>
      </c>
      <c r="Q5244" t="str">
        <f>"40.269122"</f>
        <v>40.269122</v>
      </c>
      <c r="R5244" t="str">
        <f>"22.512152"</f>
        <v>22.512152</v>
      </c>
      <c r="S5244" t="s">
        <v>26</v>
      </c>
    </row>
    <row r="5245" spans="1:19" x14ac:dyDescent="0.3">
      <c r="A5245" t="s">
        <v>25190</v>
      </c>
      <c r="B5245" t="s">
        <v>31098</v>
      </c>
      <c r="C5245" t="s">
        <v>31431</v>
      </c>
      <c r="D5245" t="s">
        <v>25218</v>
      </c>
      <c r="E5245" t="s">
        <v>26941</v>
      </c>
      <c r="F5245" t="s">
        <v>26962</v>
      </c>
      <c r="G5245" t="s">
        <v>26962</v>
      </c>
      <c r="H5245" t="s">
        <v>868</v>
      </c>
      <c r="I5245" t="s">
        <v>869</v>
      </c>
      <c r="J5245" t="str">
        <f>"9390071"</f>
        <v>9390071</v>
      </c>
      <c r="K5245">
        <v>2352081045</v>
      </c>
      <c r="L5245">
        <v>2352081045</v>
      </c>
      <c r="M5245" t="s">
        <v>31432</v>
      </c>
      <c r="N5245" t="s">
        <v>31370</v>
      </c>
      <c r="O5245" t="s">
        <v>31433</v>
      </c>
      <c r="P5245">
        <v>60200</v>
      </c>
      <c r="Q5245" t="str">
        <f>"40.104198"</f>
        <v>40.104198</v>
      </c>
      <c r="R5245" t="str">
        <f>"22.508571"</f>
        <v>22.508571</v>
      </c>
      <c r="S5245" t="s">
        <v>26</v>
      </c>
    </row>
    <row r="5246" spans="1:19" x14ac:dyDescent="0.3">
      <c r="A5246" t="s">
        <v>25190</v>
      </c>
      <c r="B5246" t="s">
        <v>31098</v>
      </c>
      <c r="C5246" t="s">
        <v>26966</v>
      </c>
      <c r="D5246" t="s">
        <v>25218</v>
      </c>
      <c r="E5246" t="s">
        <v>26941</v>
      </c>
      <c r="F5246" t="s">
        <v>26962</v>
      </c>
      <c r="G5246" t="s">
        <v>26962</v>
      </c>
      <c r="H5246" t="s">
        <v>868</v>
      </c>
      <c r="I5246" t="s">
        <v>869</v>
      </c>
      <c r="J5246" t="str">
        <f>"9390187"</f>
        <v>9390187</v>
      </c>
      <c r="K5246">
        <v>2352084234</v>
      </c>
      <c r="L5246">
        <v>2352084234</v>
      </c>
      <c r="M5246" t="s">
        <v>31434</v>
      </c>
      <c r="N5246" t="s">
        <v>31370</v>
      </c>
      <c r="O5246" t="s">
        <v>31435</v>
      </c>
      <c r="P5246">
        <v>60200</v>
      </c>
      <c r="Q5246" t="str">
        <f>"40.098159"</f>
        <v>40.098159</v>
      </c>
      <c r="R5246" t="str">
        <f>"22.502315"</f>
        <v>22.502315</v>
      </c>
      <c r="S5246" t="s">
        <v>26</v>
      </c>
    </row>
    <row r="5247" spans="1:19" x14ac:dyDescent="0.3">
      <c r="A5247" t="s">
        <v>25190</v>
      </c>
      <c r="B5247" t="s">
        <v>31098</v>
      </c>
      <c r="C5247" t="s">
        <v>31436</v>
      </c>
      <c r="D5247" t="s">
        <v>25218</v>
      </c>
      <c r="E5247" t="s">
        <v>25219</v>
      </c>
      <c r="F5247" t="s">
        <v>25219</v>
      </c>
      <c r="G5247" t="s">
        <v>25219</v>
      </c>
      <c r="H5247" t="s">
        <v>868</v>
      </c>
      <c r="I5247" t="s">
        <v>869</v>
      </c>
      <c r="J5247" t="str">
        <f>"9390014"</f>
        <v>9390014</v>
      </c>
      <c r="K5247">
        <v>2351023660</v>
      </c>
      <c r="L5247">
        <v>2351032431</v>
      </c>
      <c r="M5247" t="s">
        <v>31437</v>
      </c>
      <c r="N5247" t="s">
        <v>26969</v>
      </c>
      <c r="O5247" t="s">
        <v>31172</v>
      </c>
      <c r="P5247">
        <v>60133</v>
      </c>
      <c r="Q5247" t="str">
        <f>"40.276973"</f>
        <v>40.276973</v>
      </c>
      <c r="R5247" t="str">
        <f>"22.502462"</f>
        <v>22.502462</v>
      </c>
      <c r="S5247" t="s">
        <v>26</v>
      </c>
    </row>
    <row r="5248" spans="1:19" x14ac:dyDescent="0.3">
      <c r="A5248" t="s">
        <v>25190</v>
      </c>
      <c r="B5248" t="s">
        <v>31098</v>
      </c>
      <c r="C5248" t="s">
        <v>31438</v>
      </c>
      <c r="D5248" t="s">
        <v>25218</v>
      </c>
      <c r="E5248" t="s">
        <v>25219</v>
      </c>
      <c r="F5248" t="s">
        <v>25219</v>
      </c>
      <c r="G5248" t="s">
        <v>25219</v>
      </c>
      <c r="H5248" t="s">
        <v>868</v>
      </c>
      <c r="I5248" t="s">
        <v>869</v>
      </c>
      <c r="J5248" t="str">
        <f>"9390015"</f>
        <v>9390015</v>
      </c>
      <c r="K5248">
        <v>2351029313</v>
      </c>
      <c r="L5248">
        <v>2351029313</v>
      </c>
      <c r="M5248" t="s">
        <v>31439</v>
      </c>
      <c r="N5248" t="s">
        <v>26969</v>
      </c>
      <c r="O5248" t="s">
        <v>31440</v>
      </c>
      <c r="P5248">
        <v>60134</v>
      </c>
      <c r="Q5248" t="str">
        <f>"40.269238"</f>
        <v>40.269238</v>
      </c>
      <c r="R5248" t="str">
        <f>"22.517237"</f>
        <v>22.517237</v>
      </c>
      <c r="S5248" t="s">
        <v>26</v>
      </c>
    </row>
    <row r="5249" spans="1:19" x14ac:dyDescent="0.3">
      <c r="A5249" t="s">
        <v>25190</v>
      </c>
      <c r="B5249" t="s">
        <v>31098</v>
      </c>
      <c r="C5249" t="s">
        <v>31441</v>
      </c>
      <c r="D5249" t="s">
        <v>25218</v>
      </c>
      <c r="E5249" t="s">
        <v>25219</v>
      </c>
      <c r="F5249" t="s">
        <v>14212</v>
      </c>
      <c r="G5249" t="s">
        <v>5563</v>
      </c>
      <c r="H5249" t="s">
        <v>868</v>
      </c>
      <c r="I5249" t="s">
        <v>869</v>
      </c>
      <c r="J5249" t="str">
        <f>"9390116"</f>
        <v>9390116</v>
      </c>
      <c r="K5249">
        <v>2351061293</v>
      </c>
      <c r="L5249">
        <v>2351061258</v>
      </c>
      <c r="M5249" t="s">
        <v>31442</v>
      </c>
      <c r="N5249" t="s">
        <v>5567</v>
      </c>
      <c r="O5249" t="s">
        <v>31443</v>
      </c>
      <c r="P5249">
        <v>60100</v>
      </c>
      <c r="Q5249" t="str">
        <f>"40.275402"</f>
        <v>40.275402</v>
      </c>
      <c r="R5249" t="str">
        <f>"22.577903"</f>
        <v>22.577903</v>
      </c>
      <c r="S5249" t="s">
        <v>26</v>
      </c>
    </row>
    <row r="5250" spans="1:19" x14ac:dyDescent="0.3">
      <c r="A5250" t="s">
        <v>25190</v>
      </c>
      <c r="B5250" t="s">
        <v>31098</v>
      </c>
      <c r="C5250" t="s">
        <v>31444</v>
      </c>
      <c r="D5250" t="s">
        <v>25218</v>
      </c>
      <c r="E5250" t="s">
        <v>26941</v>
      </c>
      <c r="F5250" t="s">
        <v>26981</v>
      </c>
      <c r="G5250" t="s">
        <v>31306</v>
      </c>
      <c r="H5250" t="s">
        <v>868</v>
      </c>
      <c r="I5250" t="s">
        <v>869</v>
      </c>
      <c r="J5250" t="str">
        <f>"9390062"</f>
        <v>9390062</v>
      </c>
      <c r="K5250">
        <v>2351055206</v>
      </c>
      <c r="L5250">
        <v>2351055206</v>
      </c>
      <c r="M5250" t="s">
        <v>31445</v>
      </c>
      <c r="N5250" t="s">
        <v>31309</v>
      </c>
      <c r="O5250" t="s">
        <v>31446</v>
      </c>
      <c r="P5250">
        <v>60100</v>
      </c>
      <c r="Q5250" t="str">
        <f>"40.193974"</f>
        <v>40.193974</v>
      </c>
      <c r="R5250" t="str">
        <f>"22.431690"</f>
        <v>22.431690</v>
      </c>
      <c r="S5250" t="s">
        <v>26</v>
      </c>
    </row>
    <row r="5251" spans="1:19" x14ac:dyDescent="0.3">
      <c r="A5251" t="s">
        <v>25190</v>
      </c>
      <c r="B5251" t="s">
        <v>31098</v>
      </c>
      <c r="C5251" t="s">
        <v>27058</v>
      </c>
      <c r="D5251" t="s">
        <v>25218</v>
      </c>
      <c r="E5251" t="s">
        <v>25219</v>
      </c>
      <c r="F5251" t="s">
        <v>25219</v>
      </c>
      <c r="G5251" t="s">
        <v>25219</v>
      </c>
      <c r="H5251" t="s">
        <v>868</v>
      </c>
      <c r="I5251" t="s">
        <v>869</v>
      </c>
      <c r="J5251" t="str">
        <f>"9390053"</f>
        <v>9390053</v>
      </c>
      <c r="K5251">
        <v>2351024683</v>
      </c>
      <c r="L5251">
        <v>2351024683</v>
      </c>
      <c r="M5251" t="s">
        <v>31447</v>
      </c>
      <c r="N5251" t="s">
        <v>26969</v>
      </c>
      <c r="O5251" t="s">
        <v>31448</v>
      </c>
      <c r="P5251">
        <v>60100</v>
      </c>
      <c r="Q5251" t="str">
        <f>"40.265217"</f>
        <v>40.265217</v>
      </c>
      <c r="R5251" t="str">
        <f>"22.495313"</f>
        <v>22.495313</v>
      </c>
      <c r="S5251" t="s">
        <v>26</v>
      </c>
    </row>
    <row r="5252" spans="1:19" x14ac:dyDescent="0.3">
      <c r="A5252" t="s">
        <v>25190</v>
      </c>
      <c r="B5252" t="s">
        <v>31098</v>
      </c>
      <c r="C5252" t="s">
        <v>31449</v>
      </c>
      <c r="D5252" t="s">
        <v>25218</v>
      </c>
      <c r="E5252" t="s">
        <v>25219</v>
      </c>
      <c r="F5252" t="s">
        <v>25219</v>
      </c>
      <c r="G5252" t="s">
        <v>25219</v>
      </c>
      <c r="H5252" t="s">
        <v>868</v>
      </c>
      <c r="I5252" t="s">
        <v>869</v>
      </c>
      <c r="J5252" t="str">
        <f>"9390101"</f>
        <v>9390101</v>
      </c>
      <c r="K5252">
        <v>2351024470</v>
      </c>
      <c r="L5252">
        <v>2351045369</v>
      </c>
      <c r="M5252" t="s">
        <v>31450</v>
      </c>
      <c r="N5252" t="s">
        <v>26969</v>
      </c>
      <c r="O5252" t="s">
        <v>31374</v>
      </c>
      <c r="P5252">
        <v>60100</v>
      </c>
      <c r="Q5252" t="str">
        <f>"40.275834"</f>
        <v>40.275834</v>
      </c>
      <c r="R5252" t="str">
        <f>"22.491308"</f>
        <v>22.491308</v>
      </c>
      <c r="S5252" t="s">
        <v>26</v>
      </c>
    </row>
    <row r="5253" spans="1:19" x14ac:dyDescent="0.3">
      <c r="A5253" t="s">
        <v>25190</v>
      </c>
      <c r="B5253" t="s">
        <v>31098</v>
      </c>
      <c r="C5253" t="s">
        <v>31451</v>
      </c>
      <c r="D5253" t="s">
        <v>25218</v>
      </c>
      <c r="E5253" t="s">
        <v>26941</v>
      </c>
      <c r="F5253" t="s">
        <v>26981</v>
      </c>
      <c r="G5253" t="s">
        <v>26981</v>
      </c>
      <c r="H5253" t="s">
        <v>868</v>
      </c>
      <c r="I5253" t="s">
        <v>869</v>
      </c>
      <c r="J5253" t="str">
        <f>"9390075"</f>
        <v>9390075</v>
      </c>
      <c r="K5253">
        <v>2351053201</v>
      </c>
      <c r="L5253">
        <v>2351053201</v>
      </c>
      <c r="M5253" t="s">
        <v>31452</v>
      </c>
      <c r="N5253" t="s">
        <v>31453</v>
      </c>
      <c r="O5253" t="s">
        <v>31454</v>
      </c>
      <c r="P5253">
        <v>60100</v>
      </c>
      <c r="Q5253" t="str">
        <f>"40.170416"</f>
        <v>40.170416</v>
      </c>
      <c r="R5253" t="str">
        <f>"22.484815"</f>
        <v>22.484815</v>
      </c>
      <c r="S5253" t="s">
        <v>26</v>
      </c>
    </row>
    <row r="5254" spans="1:19" x14ac:dyDescent="0.3">
      <c r="A5254" t="s">
        <v>25190</v>
      </c>
      <c r="B5254" t="s">
        <v>31098</v>
      </c>
      <c r="C5254" t="s">
        <v>31455</v>
      </c>
      <c r="D5254" t="s">
        <v>25218</v>
      </c>
      <c r="E5254" t="s">
        <v>25219</v>
      </c>
      <c r="F5254" t="s">
        <v>25219</v>
      </c>
      <c r="G5254" t="s">
        <v>25219</v>
      </c>
      <c r="H5254" t="s">
        <v>868</v>
      </c>
      <c r="I5254" t="s">
        <v>869</v>
      </c>
      <c r="J5254" t="str">
        <f>"9390170"</f>
        <v>9390170</v>
      </c>
      <c r="K5254">
        <v>2351034154</v>
      </c>
      <c r="L5254">
        <v>2351031096</v>
      </c>
      <c r="M5254" t="s">
        <v>31456</v>
      </c>
      <c r="N5254" t="s">
        <v>26969</v>
      </c>
      <c r="O5254" t="s">
        <v>31367</v>
      </c>
      <c r="P5254">
        <v>60133</v>
      </c>
      <c r="Q5254" t="str">
        <f>"40.272658"</f>
        <v>40.272658</v>
      </c>
      <c r="R5254" t="str">
        <f>"22.501056"</f>
        <v>22.501056</v>
      </c>
      <c r="S5254" t="s">
        <v>26</v>
      </c>
    </row>
    <row r="5255" spans="1:19" x14ac:dyDescent="0.3">
      <c r="A5255" t="s">
        <v>25190</v>
      </c>
      <c r="B5255" t="s">
        <v>31098</v>
      </c>
      <c r="C5255" t="s">
        <v>31457</v>
      </c>
      <c r="D5255" t="s">
        <v>25218</v>
      </c>
      <c r="E5255" t="s">
        <v>26941</v>
      </c>
      <c r="F5255" t="s">
        <v>26981</v>
      </c>
      <c r="G5255" t="s">
        <v>31345</v>
      </c>
      <c r="H5255" t="s">
        <v>868</v>
      </c>
      <c r="I5255" t="s">
        <v>869</v>
      </c>
      <c r="J5255" t="str">
        <f>"9390064"</f>
        <v>9390064</v>
      </c>
      <c r="K5255">
        <v>2351053203</v>
      </c>
      <c r="M5255" t="s">
        <v>31458</v>
      </c>
      <c r="N5255" t="s">
        <v>31459</v>
      </c>
      <c r="O5255" t="s">
        <v>31460</v>
      </c>
      <c r="P5255">
        <v>60100</v>
      </c>
      <c r="Q5255" t="str">
        <f>"40.184749"</f>
        <v>40.184749</v>
      </c>
      <c r="R5255" t="str">
        <f>"22.479668"</f>
        <v>22.479668</v>
      </c>
      <c r="S5255" t="s">
        <v>26</v>
      </c>
    </row>
    <row r="5256" spans="1:19" x14ac:dyDescent="0.3">
      <c r="A5256" t="s">
        <v>25190</v>
      </c>
      <c r="B5256" t="s">
        <v>31098</v>
      </c>
      <c r="C5256" t="s">
        <v>26948</v>
      </c>
      <c r="D5256" t="s">
        <v>25218</v>
      </c>
      <c r="E5256" t="s">
        <v>26941</v>
      </c>
      <c r="F5256" t="s">
        <v>26942</v>
      </c>
      <c r="G5256" t="s">
        <v>26943</v>
      </c>
      <c r="H5256" t="s">
        <v>868</v>
      </c>
      <c r="I5256" t="s">
        <v>869</v>
      </c>
      <c r="J5256" t="str">
        <f>"9390090"</f>
        <v>9390090</v>
      </c>
      <c r="K5256">
        <v>2352041314</v>
      </c>
      <c r="L5256">
        <v>2352041314</v>
      </c>
      <c r="M5256" t="s">
        <v>31461</v>
      </c>
      <c r="N5256" t="s">
        <v>31462</v>
      </c>
      <c r="O5256" t="s">
        <v>31156</v>
      </c>
      <c r="P5256">
        <v>60065</v>
      </c>
      <c r="Q5256" t="str">
        <f>"39.988536"</f>
        <v>39.988536</v>
      </c>
      <c r="R5256" t="str">
        <f>"22.627907"</f>
        <v>22.627907</v>
      </c>
      <c r="S5256" t="s">
        <v>26</v>
      </c>
    </row>
    <row r="5257" spans="1:19" x14ac:dyDescent="0.3">
      <c r="A5257" t="s">
        <v>25190</v>
      </c>
      <c r="B5257" t="s">
        <v>31098</v>
      </c>
      <c r="C5257" t="s">
        <v>31463</v>
      </c>
      <c r="D5257" t="s">
        <v>25218</v>
      </c>
      <c r="E5257" t="s">
        <v>26941</v>
      </c>
      <c r="F5257" t="s">
        <v>26981</v>
      </c>
      <c r="G5257" t="s">
        <v>31157</v>
      </c>
      <c r="H5257" t="s">
        <v>868</v>
      </c>
      <c r="I5257" t="s">
        <v>869</v>
      </c>
      <c r="J5257" t="str">
        <f>"9390079"</f>
        <v>9390079</v>
      </c>
      <c r="K5257">
        <v>2351051251</v>
      </c>
      <c r="L5257">
        <v>2351051251</v>
      </c>
      <c r="M5257" t="s">
        <v>31464</v>
      </c>
      <c r="N5257" t="s">
        <v>31465</v>
      </c>
      <c r="O5257" t="s">
        <v>31160</v>
      </c>
      <c r="P5257">
        <v>60100</v>
      </c>
      <c r="Q5257" t="str">
        <f>"40.230352"</f>
        <v>40.230352</v>
      </c>
      <c r="R5257" t="str">
        <f>"22.497137"</f>
        <v>22.497137</v>
      </c>
      <c r="S5257" t="s">
        <v>26</v>
      </c>
    </row>
    <row r="5258" spans="1:19" x14ac:dyDescent="0.3">
      <c r="A5258" t="s">
        <v>25190</v>
      </c>
      <c r="B5258" t="s">
        <v>31098</v>
      </c>
      <c r="C5258" t="s">
        <v>31466</v>
      </c>
      <c r="D5258" t="s">
        <v>25218</v>
      </c>
      <c r="E5258" t="s">
        <v>25219</v>
      </c>
      <c r="F5258" t="s">
        <v>31119</v>
      </c>
      <c r="G5258" t="s">
        <v>31236</v>
      </c>
      <c r="H5258" t="s">
        <v>868</v>
      </c>
      <c r="I5258" t="s">
        <v>950</v>
      </c>
      <c r="J5258" t="str">
        <f>"9390128"</f>
        <v>9390128</v>
      </c>
      <c r="K5258">
        <v>2351093242</v>
      </c>
      <c r="L5258">
        <v>2351093242</v>
      </c>
      <c r="M5258" t="s">
        <v>31467</v>
      </c>
      <c r="N5258" t="s">
        <v>31236</v>
      </c>
      <c r="O5258" t="s">
        <v>31239</v>
      </c>
      <c r="P5258">
        <v>60100</v>
      </c>
      <c r="Q5258" t="str">
        <f>"40.326244"</f>
        <v>40.326244</v>
      </c>
      <c r="R5258" t="str">
        <f>"22.307361"</f>
        <v>22.307361</v>
      </c>
      <c r="S5258" t="s">
        <v>26</v>
      </c>
    </row>
    <row r="5259" spans="1:19" x14ac:dyDescent="0.3">
      <c r="A5259" t="s">
        <v>25190</v>
      </c>
      <c r="B5259" t="s">
        <v>31098</v>
      </c>
      <c r="C5259" t="s">
        <v>26980</v>
      </c>
      <c r="D5259" t="s">
        <v>25218</v>
      </c>
      <c r="E5259" t="s">
        <v>25219</v>
      </c>
      <c r="F5259" t="s">
        <v>14212</v>
      </c>
      <c r="G5259" t="s">
        <v>27020</v>
      </c>
      <c r="H5259" t="s">
        <v>868</v>
      </c>
      <c r="I5259" t="s">
        <v>869</v>
      </c>
      <c r="J5259" t="str">
        <f>"9390132"</f>
        <v>9390132</v>
      </c>
      <c r="K5259">
        <v>2351024911</v>
      </c>
      <c r="L5259">
        <v>2351024911</v>
      </c>
      <c r="M5259" t="s">
        <v>31468</v>
      </c>
      <c r="N5259" t="s">
        <v>31469</v>
      </c>
      <c r="O5259" t="s">
        <v>31470</v>
      </c>
      <c r="P5259">
        <v>60100</v>
      </c>
      <c r="Q5259" t="str">
        <f>"40.273962"</f>
        <v>40.273962</v>
      </c>
      <c r="R5259" t="str">
        <f>"22.539700"</f>
        <v>22.539700</v>
      </c>
      <c r="S5259" t="s">
        <v>26</v>
      </c>
    </row>
    <row r="5260" spans="1:19" x14ac:dyDescent="0.3">
      <c r="A5260" t="s">
        <v>25190</v>
      </c>
      <c r="B5260" t="s">
        <v>31098</v>
      </c>
      <c r="C5260" t="s">
        <v>26986</v>
      </c>
      <c r="D5260" t="s">
        <v>25218</v>
      </c>
      <c r="E5260" t="s">
        <v>26941</v>
      </c>
      <c r="F5260" t="s">
        <v>26981</v>
      </c>
      <c r="G5260" t="s">
        <v>26982</v>
      </c>
      <c r="H5260" t="s">
        <v>868</v>
      </c>
      <c r="I5260" t="s">
        <v>869</v>
      </c>
      <c r="J5260" t="str">
        <f>"9390065"</f>
        <v>9390065</v>
      </c>
      <c r="K5260">
        <v>2351051516</v>
      </c>
      <c r="L5260">
        <v>2351051516</v>
      </c>
      <c r="M5260" t="s">
        <v>31471</v>
      </c>
      <c r="N5260" t="s">
        <v>26985</v>
      </c>
      <c r="O5260" t="s">
        <v>31472</v>
      </c>
      <c r="P5260">
        <v>60100</v>
      </c>
      <c r="Q5260" t="str">
        <f>"40.225616"</f>
        <v>40.225616</v>
      </c>
      <c r="R5260" t="str">
        <f>"22.461108"</f>
        <v>22.461108</v>
      </c>
      <c r="S5260" t="s">
        <v>26</v>
      </c>
    </row>
    <row r="5261" spans="1:19" x14ac:dyDescent="0.3">
      <c r="A5261" t="s">
        <v>25190</v>
      </c>
      <c r="B5261" t="s">
        <v>31098</v>
      </c>
      <c r="C5261" t="s">
        <v>31473</v>
      </c>
      <c r="D5261" t="s">
        <v>25218</v>
      </c>
      <c r="E5261" t="s">
        <v>25219</v>
      </c>
      <c r="F5261" t="s">
        <v>25219</v>
      </c>
      <c r="G5261" t="s">
        <v>25219</v>
      </c>
      <c r="H5261" t="s">
        <v>868</v>
      </c>
      <c r="I5261" t="s">
        <v>950</v>
      </c>
      <c r="J5261" t="str">
        <f>"9390107"</f>
        <v>9390107</v>
      </c>
      <c r="K5261">
        <v>2351091214</v>
      </c>
      <c r="L5261">
        <v>2351091214</v>
      </c>
      <c r="M5261" t="s">
        <v>31474</v>
      </c>
      <c r="N5261" t="s">
        <v>31198</v>
      </c>
      <c r="O5261" t="s">
        <v>31198</v>
      </c>
      <c r="P5261">
        <v>60100</v>
      </c>
      <c r="Q5261" t="str">
        <f>"40.307471"</f>
        <v>40.307471</v>
      </c>
      <c r="R5261" t="str">
        <f>"22.540626"</f>
        <v>22.540626</v>
      </c>
      <c r="S5261" t="s">
        <v>26</v>
      </c>
    </row>
    <row r="5262" spans="1:19" x14ac:dyDescent="0.3">
      <c r="A5262" t="s">
        <v>25190</v>
      </c>
      <c r="B5262" t="s">
        <v>31098</v>
      </c>
      <c r="C5262" t="s">
        <v>31475</v>
      </c>
      <c r="D5262" t="s">
        <v>25218</v>
      </c>
      <c r="E5262" t="s">
        <v>26941</v>
      </c>
      <c r="F5262" t="s">
        <v>26942</v>
      </c>
      <c r="G5262" t="s">
        <v>31128</v>
      </c>
      <c r="H5262" t="s">
        <v>868</v>
      </c>
      <c r="I5262" t="s">
        <v>869</v>
      </c>
      <c r="J5262" t="str">
        <f>"9390152"</f>
        <v>9390152</v>
      </c>
      <c r="K5262">
        <v>2352041923</v>
      </c>
      <c r="M5262" t="s">
        <v>31476</v>
      </c>
      <c r="N5262" t="s">
        <v>31477</v>
      </c>
      <c r="O5262" t="s">
        <v>31478</v>
      </c>
      <c r="P5262">
        <v>60065</v>
      </c>
      <c r="Q5262" t="str">
        <f>"39.976192"</f>
        <v>39.976192</v>
      </c>
      <c r="R5262" t="str">
        <f>"22.649488"</f>
        <v>22.649488</v>
      </c>
      <c r="S5262" t="s">
        <v>26</v>
      </c>
    </row>
    <row r="5263" spans="1:19" x14ac:dyDescent="0.3">
      <c r="A5263" t="s">
        <v>25190</v>
      </c>
      <c r="B5263" t="s">
        <v>31098</v>
      </c>
      <c r="C5263" t="s">
        <v>31480</v>
      </c>
      <c r="D5263" t="s">
        <v>25218</v>
      </c>
      <c r="E5263" t="s">
        <v>25219</v>
      </c>
      <c r="F5263" t="s">
        <v>25219</v>
      </c>
      <c r="G5263" t="s">
        <v>31479</v>
      </c>
      <c r="H5263" t="s">
        <v>868</v>
      </c>
      <c r="I5263" t="s">
        <v>869</v>
      </c>
      <c r="J5263" t="str">
        <f>"9390087"</f>
        <v>9390087</v>
      </c>
      <c r="K5263">
        <v>2351030238</v>
      </c>
      <c r="L5263">
        <v>2351030238</v>
      </c>
      <c r="M5263" t="s">
        <v>31481</v>
      </c>
      <c r="N5263" t="s">
        <v>31482</v>
      </c>
      <c r="O5263" t="s">
        <v>31483</v>
      </c>
      <c r="P5263">
        <v>60100</v>
      </c>
      <c r="Q5263" t="str">
        <f>"40.269663"</f>
        <v>40.269663</v>
      </c>
      <c r="R5263" t="str">
        <f>"22.464882"</f>
        <v>22.464882</v>
      </c>
      <c r="S5263" t="s">
        <v>26</v>
      </c>
    </row>
    <row r="5264" spans="1:19" x14ac:dyDescent="0.3">
      <c r="A5264" t="s">
        <v>25190</v>
      </c>
      <c r="B5264" t="s">
        <v>31098</v>
      </c>
      <c r="C5264" t="s">
        <v>27038</v>
      </c>
      <c r="D5264" t="s">
        <v>25218</v>
      </c>
      <c r="E5264" t="s">
        <v>25219</v>
      </c>
      <c r="F5264" t="s">
        <v>12466</v>
      </c>
      <c r="G5264" t="s">
        <v>27034</v>
      </c>
      <c r="H5264" t="s">
        <v>868</v>
      </c>
      <c r="I5264" t="s">
        <v>869</v>
      </c>
      <c r="J5264" t="str">
        <f>"9390124"</f>
        <v>9390124</v>
      </c>
      <c r="K5264">
        <v>2351081058</v>
      </c>
      <c r="L5264">
        <v>2351081752</v>
      </c>
      <c r="M5264" t="s">
        <v>31484</v>
      </c>
      <c r="N5264" t="s">
        <v>27037</v>
      </c>
      <c r="O5264" t="s">
        <v>27037</v>
      </c>
      <c r="P5264">
        <v>60100</v>
      </c>
      <c r="Q5264" t="str">
        <f>"40.255620"</f>
        <v>40.255620</v>
      </c>
      <c r="R5264" t="str">
        <f>"22.340617"</f>
        <v>22.340617</v>
      </c>
      <c r="S5264" t="s">
        <v>26</v>
      </c>
    </row>
    <row r="5265" spans="1:19" x14ac:dyDescent="0.3">
      <c r="A5265" t="s">
        <v>25190</v>
      </c>
      <c r="B5265" t="s">
        <v>31098</v>
      </c>
      <c r="C5265" t="s">
        <v>27081</v>
      </c>
      <c r="D5265" t="s">
        <v>25218</v>
      </c>
      <c r="E5265" t="s">
        <v>25219</v>
      </c>
      <c r="F5265" t="s">
        <v>27077</v>
      </c>
      <c r="G5265" t="s">
        <v>27077</v>
      </c>
      <c r="H5265" t="s">
        <v>868</v>
      </c>
      <c r="I5265" t="s">
        <v>869</v>
      </c>
      <c r="J5265" t="str">
        <f>"9390120"</f>
        <v>9390120</v>
      </c>
      <c r="K5265">
        <v>2351042437</v>
      </c>
      <c r="L5265">
        <v>2351042552</v>
      </c>
      <c r="M5265" t="s">
        <v>31489</v>
      </c>
      <c r="N5265" t="s">
        <v>27077</v>
      </c>
      <c r="O5265" t="s">
        <v>31490</v>
      </c>
      <c r="P5265">
        <v>60062</v>
      </c>
      <c r="Q5265" t="str">
        <f>"40.312744"</f>
        <v>40.312744</v>
      </c>
      <c r="R5265" t="str">
        <f>"22.588191"</f>
        <v>22.588191</v>
      </c>
      <c r="S5265" t="s">
        <v>26</v>
      </c>
    </row>
    <row r="5266" spans="1:19" x14ac:dyDescent="0.3">
      <c r="A5266" t="s">
        <v>25190</v>
      </c>
      <c r="B5266" t="s">
        <v>31098</v>
      </c>
      <c r="C5266" t="s">
        <v>31498</v>
      </c>
      <c r="D5266" t="s">
        <v>25218</v>
      </c>
      <c r="E5266" t="s">
        <v>25219</v>
      </c>
      <c r="F5266" t="s">
        <v>31119</v>
      </c>
      <c r="G5266" t="s">
        <v>2344</v>
      </c>
      <c r="H5266" t="s">
        <v>868</v>
      </c>
      <c r="I5266" t="s">
        <v>869</v>
      </c>
      <c r="J5266" t="str">
        <f>"9390117"</f>
        <v>9390117</v>
      </c>
      <c r="K5266">
        <v>2351095223</v>
      </c>
      <c r="L5266">
        <v>2351095223</v>
      </c>
      <c r="M5266" t="s">
        <v>31499</v>
      </c>
      <c r="N5266" t="s">
        <v>31500</v>
      </c>
      <c r="O5266" t="s">
        <v>31501</v>
      </c>
      <c r="P5266">
        <v>60100</v>
      </c>
      <c r="Q5266" t="str">
        <f>"40.348639"</f>
        <v>40.348639</v>
      </c>
      <c r="R5266" t="str">
        <f>"22.430559"</f>
        <v>22.430559</v>
      </c>
      <c r="S5266" t="s">
        <v>26</v>
      </c>
    </row>
    <row r="5267" spans="1:19" x14ac:dyDescent="0.3">
      <c r="A5267" t="s">
        <v>25190</v>
      </c>
      <c r="B5267" t="s">
        <v>31098</v>
      </c>
      <c r="C5267" t="s">
        <v>31510</v>
      </c>
      <c r="D5267" t="s">
        <v>25218</v>
      </c>
      <c r="E5267" t="s">
        <v>25219</v>
      </c>
      <c r="F5267" t="s">
        <v>25219</v>
      </c>
      <c r="G5267" t="s">
        <v>25219</v>
      </c>
      <c r="H5267" t="s">
        <v>868</v>
      </c>
      <c r="I5267" t="s">
        <v>869</v>
      </c>
      <c r="J5267" t="str">
        <f>"9521615"</f>
        <v>9521615</v>
      </c>
      <c r="K5267">
        <v>2351045417</v>
      </c>
      <c r="L5267">
        <v>2351035175</v>
      </c>
      <c r="M5267" t="s">
        <v>31511</v>
      </c>
      <c r="N5267" t="s">
        <v>26969</v>
      </c>
      <c r="O5267" t="s">
        <v>31512</v>
      </c>
      <c r="P5267">
        <v>60133</v>
      </c>
      <c r="Q5267" t="str">
        <f>"40.277408"</f>
        <v>40.277408</v>
      </c>
      <c r="R5267" t="str">
        <f>"22.494540"</f>
        <v>22.494540</v>
      </c>
      <c r="S5267" t="s">
        <v>26</v>
      </c>
    </row>
    <row r="5268" spans="1:19" x14ac:dyDescent="0.3">
      <c r="A5268" t="s">
        <v>25190</v>
      </c>
      <c r="B5268" t="s">
        <v>31098</v>
      </c>
      <c r="C5268" t="s">
        <v>31516</v>
      </c>
      <c r="D5268" t="s">
        <v>25218</v>
      </c>
      <c r="E5268" t="s">
        <v>25219</v>
      </c>
      <c r="F5268" t="s">
        <v>25219</v>
      </c>
      <c r="G5268" t="s">
        <v>25219</v>
      </c>
      <c r="H5268" t="s">
        <v>868</v>
      </c>
      <c r="I5268" t="s">
        <v>869</v>
      </c>
      <c r="J5268" t="str">
        <f>"9521706"</f>
        <v>9521706</v>
      </c>
      <c r="K5268">
        <v>2351046256</v>
      </c>
      <c r="L5268">
        <v>2351046257</v>
      </c>
      <c r="M5268" t="s">
        <v>31517</v>
      </c>
      <c r="N5268" t="s">
        <v>31212</v>
      </c>
      <c r="O5268" t="s">
        <v>31518</v>
      </c>
      <c r="P5268">
        <v>60100</v>
      </c>
      <c r="Q5268" t="str">
        <f>"40.282422"</f>
        <v>40.282422</v>
      </c>
      <c r="R5268" t="str">
        <f>"22.506082"</f>
        <v>22.506082</v>
      </c>
      <c r="S5268" t="s">
        <v>26</v>
      </c>
    </row>
    <row r="5269" spans="1:19" x14ac:dyDescent="0.3">
      <c r="A5269" t="s">
        <v>25190</v>
      </c>
      <c r="B5269" t="s">
        <v>31098</v>
      </c>
      <c r="C5269" t="s">
        <v>26971</v>
      </c>
      <c r="D5269" t="s">
        <v>25218</v>
      </c>
      <c r="E5269" t="s">
        <v>25219</v>
      </c>
      <c r="F5269" t="s">
        <v>25219</v>
      </c>
      <c r="G5269" t="s">
        <v>25219</v>
      </c>
      <c r="H5269" t="s">
        <v>868</v>
      </c>
      <c r="I5269" t="s">
        <v>869</v>
      </c>
      <c r="J5269" t="str">
        <f>"9521707"</f>
        <v>9521707</v>
      </c>
      <c r="K5269">
        <v>2351046050</v>
      </c>
      <c r="L5269">
        <v>2351046051</v>
      </c>
      <c r="M5269" t="s">
        <v>31519</v>
      </c>
      <c r="N5269" t="s">
        <v>26969</v>
      </c>
      <c r="O5269" t="s">
        <v>31520</v>
      </c>
      <c r="P5269">
        <v>60131</v>
      </c>
      <c r="Q5269" t="str">
        <f>"40.260122"</f>
        <v>40.260122</v>
      </c>
      <c r="R5269" t="str">
        <f>"22.502203"</f>
        <v>22.502203</v>
      </c>
      <c r="S5269" t="s">
        <v>26</v>
      </c>
    </row>
    <row r="5270" spans="1:19" x14ac:dyDescent="0.3">
      <c r="A5270" t="s">
        <v>25190</v>
      </c>
      <c r="B5270" t="s">
        <v>31098</v>
      </c>
      <c r="C5270" t="s">
        <v>31521</v>
      </c>
      <c r="D5270" t="s">
        <v>25218</v>
      </c>
      <c r="E5270" t="s">
        <v>25219</v>
      </c>
      <c r="F5270" t="s">
        <v>25219</v>
      </c>
      <c r="G5270" t="s">
        <v>25219</v>
      </c>
      <c r="H5270" t="s">
        <v>868</v>
      </c>
      <c r="I5270" t="s">
        <v>869</v>
      </c>
      <c r="J5270" t="str">
        <f>"9521710"</f>
        <v>9521710</v>
      </c>
      <c r="K5270">
        <v>2351045582</v>
      </c>
      <c r="L5270">
        <v>2351045582</v>
      </c>
      <c r="M5270" t="s">
        <v>31522</v>
      </c>
      <c r="N5270" t="s">
        <v>26969</v>
      </c>
      <c r="O5270" t="s">
        <v>31523</v>
      </c>
      <c r="P5270">
        <v>60134</v>
      </c>
      <c r="Q5270" t="str">
        <f>"40.265810"</f>
        <v>40.265810</v>
      </c>
      <c r="R5270" t="str">
        <f>"22.519316"</f>
        <v>22.519316</v>
      </c>
      <c r="S5270" t="s">
        <v>26</v>
      </c>
    </row>
    <row r="5271" spans="1:19" x14ac:dyDescent="0.3">
      <c r="A5271" t="s">
        <v>25190</v>
      </c>
      <c r="B5271" t="s">
        <v>31524</v>
      </c>
      <c r="C5271" t="s">
        <v>27353</v>
      </c>
      <c r="D5271" t="s">
        <v>25224</v>
      </c>
      <c r="E5271" t="s">
        <v>25224</v>
      </c>
      <c r="F5271" t="s">
        <v>25224</v>
      </c>
      <c r="G5271" t="s">
        <v>25224</v>
      </c>
      <c r="H5271" t="s">
        <v>868</v>
      </c>
      <c r="I5271" t="s">
        <v>869</v>
      </c>
      <c r="J5271" t="str">
        <f>"9520755"</f>
        <v>9520755</v>
      </c>
      <c r="K5271">
        <v>2321022114</v>
      </c>
      <c r="L5271">
        <v>2321099523</v>
      </c>
      <c r="M5271" t="s">
        <v>31532</v>
      </c>
      <c r="N5271" t="s">
        <v>27366</v>
      </c>
      <c r="O5271" t="s">
        <v>31533</v>
      </c>
      <c r="P5271">
        <v>62121</v>
      </c>
      <c r="Q5271" t="str">
        <f>"41.087811"</f>
        <v>41.087811</v>
      </c>
      <c r="R5271" t="str">
        <f>"23.538955"</f>
        <v>23.538955</v>
      </c>
      <c r="S5271" t="s">
        <v>26</v>
      </c>
    </row>
    <row r="5272" spans="1:19" x14ac:dyDescent="0.3">
      <c r="A5272" t="s">
        <v>25190</v>
      </c>
      <c r="B5272" t="s">
        <v>31524</v>
      </c>
      <c r="C5272" t="s">
        <v>31540</v>
      </c>
      <c r="D5272" t="s">
        <v>25224</v>
      </c>
      <c r="E5272" t="s">
        <v>25224</v>
      </c>
      <c r="F5272" t="s">
        <v>25224</v>
      </c>
      <c r="G5272" t="s">
        <v>25224</v>
      </c>
      <c r="H5272" t="s">
        <v>868</v>
      </c>
      <c r="I5272" t="s">
        <v>869</v>
      </c>
      <c r="J5272" t="str">
        <f>"9440152"</f>
        <v>9440152</v>
      </c>
      <c r="K5272">
        <v>2321035797</v>
      </c>
      <c r="L5272">
        <v>2321097967</v>
      </c>
      <c r="M5272" t="s">
        <v>31541</v>
      </c>
      <c r="N5272" t="s">
        <v>25227</v>
      </c>
      <c r="O5272" t="s">
        <v>31542</v>
      </c>
      <c r="P5272">
        <v>62123</v>
      </c>
      <c r="Q5272" t="str">
        <f>"41.085160"</f>
        <v>41.085160</v>
      </c>
      <c r="R5272" t="str">
        <f>"23.549832"</f>
        <v>23.549832</v>
      </c>
      <c r="S5272" t="s">
        <v>26</v>
      </c>
    </row>
    <row r="5273" spans="1:19" x14ac:dyDescent="0.3">
      <c r="A5273" t="s">
        <v>25190</v>
      </c>
      <c r="B5273" t="s">
        <v>31524</v>
      </c>
      <c r="C5273" t="s">
        <v>31553</v>
      </c>
      <c r="D5273" t="s">
        <v>25224</v>
      </c>
      <c r="E5273" t="s">
        <v>25224</v>
      </c>
      <c r="F5273" t="s">
        <v>25224</v>
      </c>
      <c r="G5273" t="s">
        <v>25224</v>
      </c>
      <c r="H5273" t="s">
        <v>868</v>
      </c>
      <c r="I5273" t="s">
        <v>869</v>
      </c>
      <c r="J5273" t="str">
        <f>"9440146"</f>
        <v>9440146</v>
      </c>
      <c r="K5273">
        <v>2321022114</v>
      </c>
      <c r="L5273">
        <v>2321099523</v>
      </c>
      <c r="M5273" t="s">
        <v>31554</v>
      </c>
      <c r="N5273" t="s">
        <v>25227</v>
      </c>
      <c r="O5273" t="s">
        <v>31555</v>
      </c>
      <c r="P5273">
        <v>62121</v>
      </c>
      <c r="Q5273" t="str">
        <f>"41.087341"</f>
        <v>41.087341</v>
      </c>
      <c r="R5273" t="str">
        <f>"23.539250"</f>
        <v>23.539250</v>
      </c>
      <c r="S5273" t="s">
        <v>26</v>
      </c>
    </row>
    <row r="5274" spans="1:19" x14ac:dyDescent="0.3">
      <c r="A5274" t="s">
        <v>25190</v>
      </c>
      <c r="B5274" t="s">
        <v>31524</v>
      </c>
      <c r="C5274" t="s">
        <v>27357</v>
      </c>
      <c r="D5274" t="s">
        <v>25224</v>
      </c>
      <c r="E5274" t="s">
        <v>25224</v>
      </c>
      <c r="F5274" t="s">
        <v>25224</v>
      </c>
      <c r="G5274" t="s">
        <v>25224</v>
      </c>
      <c r="H5274" t="s">
        <v>868</v>
      </c>
      <c r="I5274" t="s">
        <v>869</v>
      </c>
      <c r="J5274" t="str">
        <f>"9440087"</f>
        <v>9440087</v>
      </c>
      <c r="K5274">
        <v>2321020903</v>
      </c>
      <c r="L5274">
        <v>2321053025</v>
      </c>
      <c r="M5274" t="s">
        <v>31562</v>
      </c>
      <c r="N5274" t="s">
        <v>25227</v>
      </c>
      <c r="O5274" t="s">
        <v>31563</v>
      </c>
      <c r="P5274">
        <v>62122</v>
      </c>
      <c r="Q5274" t="str">
        <f>"41.095914"</f>
        <v>41.095914</v>
      </c>
      <c r="R5274" t="str">
        <f>"23.548615"</f>
        <v>23.548615</v>
      </c>
      <c r="S5274" t="s">
        <v>26</v>
      </c>
    </row>
    <row r="5275" spans="1:19" x14ac:dyDescent="0.3">
      <c r="A5275" t="s">
        <v>25190</v>
      </c>
      <c r="B5275" t="s">
        <v>31524</v>
      </c>
      <c r="C5275" t="s">
        <v>31567</v>
      </c>
      <c r="D5275" t="s">
        <v>25224</v>
      </c>
      <c r="E5275" t="s">
        <v>25224</v>
      </c>
      <c r="F5275" t="s">
        <v>25224</v>
      </c>
      <c r="G5275" t="s">
        <v>25224</v>
      </c>
      <c r="H5275" t="s">
        <v>868</v>
      </c>
      <c r="I5275" t="s">
        <v>869</v>
      </c>
      <c r="J5275" t="str">
        <f>"9440394"</f>
        <v>9440394</v>
      </c>
      <c r="K5275">
        <v>2321036769</v>
      </c>
      <c r="L5275">
        <v>2321036458</v>
      </c>
      <c r="M5275" t="s">
        <v>31568</v>
      </c>
      <c r="N5275" t="s">
        <v>25227</v>
      </c>
      <c r="O5275" t="s">
        <v>31569</v>
      </c>
      <c r="P5275">
        <v>62123</v>
      </c>
      <c r="Q5275" t="str">
        <f>"41.084103"</f>
        <v>41.084103</v>
      </c>
      <c r="R5275" t="str">
        <f>"23.546851"</f>
        <v>23.546851</v>
      </c>
      <c r="S5275" t="s">
        <v>26</v>
      </c>
    </row>
    <row r="5276" spans="1:19" x14ac:dyDescent="0.3">
      <c r="A5276" t="s">
        <v>25190</v>
      </c>
      <c r="B5276" t="s">
        <v>31524</v>
      </c>
      <c r="C5276" t="s">
        <v>31592</v>
      </c>
      <c r="D5276" t="s">
        <v>25224</v>
      </c>
      <c r="E5276" t="s">
        <v>25224</v>
      </c>
      <c r="F5276" t="s">
        <v>25224</v>
      </c>
      <c r="G5276" t="s">
        <v>25224</v>
      </c>
      <c r="H5276" t="s">
        <v>868</v>
      </c>
      <c r="I5276" t="s">
        <v>869</v>
      </c>
      <c r="J5276" t="str">
        <f>"9440081"</f>
        <v>9440081</v>
      </c>
      <c r="K5276">
        <v>2321064117</v>
      </c>
      <c r="L5276">
        <v>2321099531</v>
      </c>
      <c r="M5276" t="s">
        <v>31593</v>
      </c>
      <c r="N5276" t="s">
        <v>25227</v>
      </c>
      <c r="O5276" t="s">
        <v>31594</v>
      </c>
      <c r="P5276">
        <v>62122</v>
      </c>
      <c r="Q5276" t="str">
        <f>"41.091885"</f>
        <v>41.091885</v>
      </c>
      <c r="R5276" t="str">
        <f>"23.566139"</f>
        <v>23.566139</v>
      </c>
      <c r="S5276" t="s">
        <v>26</v>
      </c>
    </row>
    <row r="5277" spans="1:19" x14ac:dyDescent="0.3">
      <c r="A5277" t="s">
        <v>25190</v>
      </c>
      <c r="B5277" t="s">
        <v>31524</v>
      </c>
      <c r="C5277" t="s">
        <v>31595</v>
      </c>
      <c r="D5277" t="s">
        <v>25224</v>
      </c>
      <c r="E5277" t="s">
        <v>27143</v>
      </c>
      <c r="F5277" t="s">
        <v>27174</v>
      </c>
      <c r="G5277" t="s">
        <v>3344</v>
      </c>
      <c r="H5277" t="s">
        <v>868</v>
      </c>
      <c r="I5277" t="s">
        <v>869</v>
      </c>
      <c r="J5277" t="str">
        <f>"9440134"</f>
        <v>9440134</v>
      </c>
      <c r="K5277">
        <v>2321031592</v>
      </c>
      <c r="L5277">
        <v>2321031592</v>
      </c>
      <c r="M5277" t="s">
        <v>31596</v>
      </c>
      <c r="O5277" t="s">
        <v>31597</v>
      </c>
      <c r="P5277">
        <v>62500</v>
      </c>
      <c r="Q5277" t="str">
        <f>"41.006760"</f>
        <v>41.006760</v>
      </c>
      <c r="R5277" t="str">
        <f>"23.625348"</f>
        <v>23.625348</v>
      </c>
      <c r="S5277" t="s">
        <v>26</v>
      </c>
    </row>
    <row r="5278" spans="1:19" x14ac:dyDescent="0.3">
      <c r="A5278" t="s">
        <v>25190</v>
      </c>
      <c r="B5278" t="s">
        <v>31524</v>
      </c>
      <c r="C5278" t="s">
        <v>27374</v>
      </c>
      <c r="D5278" t="s">
        <v>25224</v>
      </c>
      <c r="E5278" t="s">
        <v>25224</v>
      </c>
      <c r="F5278" t="s">
        <v>25224</v>
      </c>
      <c r="G5278" t="s">
        <v>25224</v>
      </c>
      <c r="H5278" t="s">
        <v>868</v>
      </c>
      <c r="I5278" t="s">
        <v>869</v>
      </c>
      <c r="J5278" t="str">
        <f>"9440075"</f>
        <v>9440075</v>
      </c>
      <c r="K5278">
        <v>2321037524</v>
      </c>
      <c r="L5278">
        <v>2321046999</v>
      </c>
      <c r="M5278" t="s">
        <v>31598</v>
      </c>
      <c r="N5278" t="s">
        <v>25227</v>
      </c>
      <c r="O5278" t="s">
        <v>31599</v>
      </c>
      <c r="P5278">
        <v>62124</v>
      </c>
      <c r="Q5278" t="str">
        <f>"41.081801"</f>
        <v>41.081801</v>
      </c>
      <c r="R5278" t="str">
        <f>"23.554808"</f>
        <v>23.554808</v>
      </c>
      <c r="S5278" t="s">
        <v>26</v>
      </c>
    </row>
    <row r="5279" spans="1:19" x14ac:dyDescent="0.3">
      <c r="A5279" t="s">
        <v>25190</v>
      </c>
      <c r="B5279" t="s">
        <v>31524</v>
      </c>
      <c r="C5279" t="s">
        <v>27294</v>
      </c>
      <c r="D5279" t="s">
        <v>25224</v>
      </c>
      <c r="E5279" t="s">
        <v>25224</v>
      </c>
      <c r="F5279" t="s">
        <v>27289</v>
      </c>
      <c r="G5279" t="s">
        <v>27289</v>
      </c>
      <c r="H5279" t="s">
        <v>868</v>
      </c>
      <c r="I5279" t="s">
        <v>869</v>
      </c>
      <c r="J5279" t="str">
        <f>"9440174"</f>
        <v>9440174</v>
      </c>
      <c r="K5279">
        <v>2321050586</v>
      </c>
      <c r="L5279">
        <v>2321035156</v>
      </c>
      <c r="M5279" t="s">
        <v>31600</v>
      </c>
      <c r="N5279" t="s">
        <v>27292</v>
      </c>
      <c r="O5279" t="s">
        <v>31601</v>
      </c>
      <c r="P5279">
        <v>62100</v>
      </c>
      <c r="Q5279" t="str">
        <f>"41.103660"</f>
        <v>41.103660</v>
      </c>
      <c r="R5279" t="str">
        <f>"23.494272"</f>
        <v>23.494272</v>
      </c>
      <c r="S5279" t="s">
        <v>26</v>
      </c>
    </row>
    <row r="5280" spans="1:19" x14ac:dyDescent="0.3">
      <c r="A5280" t="s">
        <v>25190</v>
      </c>
      <c r="B5280" t="s">
        <v>31524</v>
      </c>
      <c r="C5280" t="s">
        <v>27365</v>
      </c>
      <c r="D5280" t="s">
        <v>25224</v>
      </c>
      <c r="E5280" t="s">
        <v>25224</v>
      </c>
      <c r="F5280" t="s">
        <v>25224</v>
      </c>
      <c r="G5280" t="s">
        <v>25224</v>
      </c>
      <c r="H5280" t="s">
        <v>868</v>
      </c>
      <c r="I5280" t="s">
        <v>869</v>
      </c>
      <c r="J5280" t="str">
        <f>"9440084"</f>
        <v>9440084</v>
      </c>
      <c r="K5280">
        <v>2321025281</v>
      </c>
      <c r="L5280">
        <v>2321025637</v>
      </c>
      <c r="M5280" t="s">
        <v>31608</v>
      </c>
      <c r="N5280" t="s">
        <v>31609</v>
      </c>
      <c r="O5280" t="s">
        <v>31610</v>
      </c>
      <c r="P5280">
        <v>62100</v>
      </c>
      <c r="Q5280" t="str">
        <f>"41.101293"</f>
        <v>41.101293</v>
      </c>
      <c r="R5280" t="str">
        <f>"23.584646"</f>
        <v>23.584646</v>
      </c>
      <c r="S5280" t="s">
        <v>26</v>
      </c>
    </row>
    <row r="5281" spans="1:19" x14ac:dyDescent="0.3">
      <c r="A5281" t="s">
        <v>25190</v>
      </c>
      <c r="B5281" t="s">
        <v>31524</v>
      </c>
      <c r="C5281" t="s">
        <v>31611</v>
      </c>
      <c r="D5281" t="s">
        <v>25224</v>
      </c>
      <c r="E5281" t="s">
        <v>25224</v>
      </c>
      <c r="F5281" t="s">
        <v>27289</v>
      </c>
      <c r="G5281" t="s">
        <v>31546</v>
      </c>
      <c r="H5281" t="s">
        <v>868</v>
      </c>
      <c r="I5281" t="s">
        <v>869</v>
      </c>
      <c r="J5281" t="str">
        <f>"9440167"</f>
        <v>9440167</v>
      </c>
      <c r="K5281">
        <v>2321078002</v>
      </c>
      <c r="L5281">
        <v>2321078002</v>
      </c>
      <c r="M5281" t="s">
        <v>31612</v>
      </c>
      <c r="N5281" t="s">
        <v>31613</v>
      </c>
      <c r="O5281" t="s">
        <v>31549</v>
      </c>
      <c r="P5281">
        <v>62100</v>
      </c>
      <c r="Q5281" t="str">
        <f>"41.100511"</f>
        <v>41.100511</v>
      </c>
      <c r="R5281" t="str">
        <f>"23.422821"</f>
        <v>23.422821</v>
      </c>
      <c r="S5281" t="s">
        <v>26</v>
      </c>
    </row>
    <row r="5282" spans="1:19" x14ac:dyDescent="0.3">
      <c r="A5282" t="s">
        <v>25190</v>
      </c>
      <c r="B5282" t="s">
        <v>31524</v>
      </c>
      <c r="C5282" t="s">
        <v>27173</v>
      </c>
      <c r="D5282" t="s">
        <v>25224</v>
      </c>
      <c r="E5282" t="s">
        <v>27143</v>
      </c>
      <c r="F5282" t="s">
        <v>27143</v>
      </c>
      <c r="G5282" t="s">
        <v>27168</v>
      </c>
      <c r="H5282" t="s">
        <v>868</v>
      </c>
      <c r="I5282" t="s">
        <v>869</v>
      </c>
      <c r="J5282" t="str">
        <f>"9440123"</f>
        <v>9440123</v>
      </c>
      <c r="K5282">
        <v>2321071543</v>
      </c>
      <c r="L5282">
        <v>2321071543</v>
      </c>
      <c r="M5282" t="s">
        <v>31616</v>
      </c>
      <c r="N5282" t="s">
        <v>27171</v>
      </c>
      <c r="O5282" t="s">
        <v>31617</v>
      </c>
      <c r="P5282">
        <v>62048</v>
      </c>
      <c r="Q5282" t="str">
        <f>"41.047878"</f>
        <v>41.047878</v>
      </c>
      <c r="R5282" t="str">
        <f>"23.685705"</f>
        <v>23.685705</v>
      </c>
      <c r="S5282" t="s">
        <v>26</v>
      </c>
    </row>
    <row r="5283" spans="1:19" x14ac:dyDescent="0.3">
      <c r="A5283" t="s">
        <v>25190</v>
      </c>
      <c r="B5283" t="s">
        <v>31524</v>
      </c>
      <c r="C5283" t="s">
        <v>31626</v>
      </c>
      <c r="D5283" t="s">
        <v>25224</v>
      </c>
      <c r="E5283" t="s">
        <v>27106</v>
      </c>
      <c r="F5283" t="s">
        <v>31525</v>
      </c>
      <c r="G5283" t="s">
        <v>31525</v>
      </c>
      <c r="H5283" t="s">
        <v>868</v>
      </c>
      <c r="I5283" t="s">
        <v>950</v>
      </c>
      <c r="J5283" t="str">
        <f>"9440218"</f>
        <v>9440218</v>
      </c>
      <c r="K5283">
        <v>2323041060</v>
      </c>
      <c r="L5283">
        <v>2323041060</v>
      </c>
      <c r="M5283" t="s">
        <v>31627</v>
      </c>
      <c r="N5283" t="s">
        <v>31528</v>
      </c>
      <c r="O5283" t="s">
        <v>31628</v>
      </c>
      <c r="P5283">
        <v>62300</v>
      </c>
      <c r="Q5283" t="str">
        <f>"41.374649"</f>
        <v>41.374649</v>
      </c>
      <c r="R5283" t="str">
        <f>"23.444570"</f>
        <v>23.444570</v>
      </c>
      <c r="S5283" t="s">
        <v>26</v>
      </c>
    </row>
    <row r="5284" spans="1:19" x14ac:dyDescent="0.3">
      <c r="A5284" t="s">
        <v>25190</v>
      </c>
      <c r="B5284" t="s">
        <v>31524</v>
      </c>
      <c r="C5284" t="s">
        <v>27195</v>
      </c>
      <c r="D5284" t="s">
        <v>25224</v>
      </c>
      <c r="E5284" t="s">
        <v>25224</v>
      </c>
      <c r="F5284" t="s">
        <v>25224</v>
      </c>
      <c r="G5284" t="s">
        <v>25224</v>
      </c>
      <c r="H5284" t="s">
        <v>868</v>
      </c>
      <c r="I5284" t="s">
        <v>869</v>
      </c>
      <c r="J5284" t="str">
        <f>"9440072"</f>
        <v>9440072</v>
      </c>
      <c r="K5284">
        <v>2321035995</v>
      </c>
      <c r="L5284">
        <v>2321035975</v>
      </c>
      <c r="M5284" t="s">
        <v>31639</v>
      </c>
      <c r="N5284" t="s">
        <v>25227</v>
      </c>
      <c r="O5284" t="s">
        <v>31640</v>
      </c>
      <c r="P5284">
        <v>62123</v>
      </c>
      <c r="Q5284" t="str">
        <f>"41.083867"</f>
        <v>41.083867</v>
      </c>
      <c r="R5284" t="str">
        <f>"23.546684"</f>
        <v>23.546684</v>
      </c>
      <c r="S5284" t="s">
        <v>26</v>
      </c>
    </row>
    <row r="5285" spans="1:19" x14ac:dyDescent="0.3">
      <c r="A5285" t="s">
        <v>25190</v>
      </c>
      <c r="B5285" t="s">
        <v>31524</v>
      </c>
      <c r="C5285" t="s">
        <v>31694</v>
      </c>
      <c r="D5285" t="s">
        <v>25224</v>
      </c>
      <c r="E5285" t="s">
        <v>27106</v>
      </c>
      <c r="F5285" t="s">
        <v>27111</v>
      </c>
      <c r="G5285" t="s">
        <v>31693</v>
      </c>
      <c r="H5285" t="s">
        <v>868</v>
      </c>
      <c r="I5285" t="s">
        <v>869</v>
      </c>
      <c r="J5285" t="str">
        <f>"9440280"</f>
        <v>9440280</v>
      </c>
      <c r="K5285">
        <v>2323022868</v>
      </c>
      <c r="L5285">
        <v>2323022868</v>
      </c>
      <c r="M5285" t="s">
        <v>31695</v>
      </c>
      <c r="N5285" t="s">
        <v>31696</v>
      </c>
      <c r="O5285" t="s">
        <v>31697</v>
      </c>
      <c r="P5285">
        <v>62300</v>
      </c>
      <c r="Q5285" t="str">
        <f>"41.264596"</f>
        <v>41.264596</v>
      </c>
      <c r="R5285" t="str">
        <f>"23.374596"</f>
        <v>23.374596</v>
      </c>
      <c r="S5285" t="s">
        <v>26</v>
      </c>
    </row>
    <row r="5286" spans="1:19" x14ac:dyDescent="0.3">
      <c r="A5286" t="s">
        <v>25190</v>
      </c>
      <c r="B5286" t="s">
        <v>31524</v>
      </c>
      <c r="C5286" t="s">
        <v>27167</v>
      </c>
      <c r="D5286" t="s">
        <v>25224</v>
      </c>
      <c r="E5286" t="s">
        <v>27163</v>
      </c>
      <c r="F5286" t="s">
        <v>27163</v>
      </c>
      <c r="G5286" t="s">
        <v>27163</v>
      </c>
      <c r="H5286" t="s">
        <v>868</v>
      </c>
      <c r="I5286" t="s">
        <v>869</v>
      </c>
      <c r="J5286" t="str">
        <f>"9440328"</f>
        <v>9440328</v>
      </c>
      <c r="K5286">
        <v>2324022325</v>
      </c>
      <c r="L5286">
        <v>2324022325</v>
      </c>
      <c r="M5286" t="s">
        <v>31702</v>
      </c>
      <c r="N5286" t="s">
        <v>27166</v>
      </c>
      <c r="O5286" t="s">
        <v>31703</v>
      </c>
      <c r="P5286">
        <v>62042</v>
      </c>
      <c r="Q5286" t="str">
        <f>"41.031621"</f>
        <v>41.031621</v>
      </c>
      <c r="R5286" t="str">
        <f>"23.832622"</f>
        <v>23.832622</v>
      </c>
      <c r="S5286" t="s">
        <v>26</v>
      </c>
    </row>
    <row r="5287" spans="1:19" x14ac:dyDescent="0.3">
      <c r="A5287" t="s">
        <v>25190</v>
      </c>
      <c r="B5287" t="s">
        <v>31524</v>
      </c>
      <c r="C5287" t="s">
        <v>31710</v>
      </c>
      <c r="D5287" t="s">
        <v>25224</v>
      </c>
      <c r="E5287" t="s">
        <v>25224</v>
      </c>
      <c r="F5287" t="s">
        <v>25224</v>
      </c>
      <c r="G5287" t="s">
        <v>25224</v>
      </c>
      <c r="H5287" t="s">
        <v>868</v>
      </c>
      <c r="I5287" t="s">
        <v>869</v>
      </c>
      <c r="J5287" t="str">
        <f>"9440079"</f>
        <v>9440079</v>
      </c>
      <c r="K5287">
        <v>2321022976</v>
      </c>
      <c r="L5287">
        <v>2321053643</v>
      </c>
      <c r="M5287" t="s">
        <v>31711</v>
      </c>
      <c r="N5287" t="s">
        <v>25227</v>
      </c>
      <c r="O5287" t="s">
        <v>31712</v>
      </c>
      <c r="P5287">
        <v>62124</v>
      </c>
      <c r="Q5287" t="str">
        <f>"41.089208"</f>
        <v>41.089208</v>
      </c>
      <c r="R5287" t="str">
        <f>"23.552507"</f>
        <v>23.552507</v>
      </c>
      <c r="S5287" t="s">
        <v>26</v>
      </c>
    </row>
    <row r="5288" spans="1:19" x14ac:dyDescent="0.3">
      <c r="A5288" t="s">
        <v>25190</v>
      </c>
      <c r="B5288" t="s">
        <v>31524</v>
      </c>
      <c r="C5288" t="s">
        <v>27321</v>
      </c>
      <c r="D5288" t="s">
        <v>25224</v>
      </c>
      <c r="E5288" t="s">
        <v>25224</v>
      </c>
      <c r="F5288" t="s">
        <v>25224</v>
      </c>
      <c r="G5288" t="s">
        <v>25224</v>
      </c>
      <c r="H5288" t="s">
        <v>868</v>
      </c>
      <c r="I5288" t="s">
        <v>869</v>
      </c>
      <c r="J5288" t="str">
        <f>"9440151"</f>
        <v>9440151</v>
      </c>
      <c r="K5288">
        <v>2321038559</v>
      </c>
      <c r="L5288">
        <v>2321038559</v>
      </c>
      <c r="M5288" t="s">
        <v>31715</v>
      </c>
      <c r="N5288" t="s">
        <v>25227</v>
      </c>
      <c r="O5288" t="s">
        <v>31716</v>
      </c>
      <c r="P5288">
        <v>62125</v>
      </c>
      <c r="Q5288" t="str">
        <f>"41.077824"</f>
        <v>41.077824</v>
      </c>
      <c r="R5288" t="str">
        <f>"23.533946"</f>
        <v>23.533946</v>
      </c>
      <c r="S5288" t="s">
        <v>26</v>
      </c>
    </row>
    <row r="5289" spans="1:19" x14ac:dyDescent="0.3">
      <c r="A5289" t="s">
        <v>25190</v>
      </c>
      <c r="B5289" t="s">
        <v>31524</v>
      </c>
      <c r="C5289" t="s">
        <v>27136</v>
      </c>
      <c r="D5289" t="s">
        <v>25224</v>
      </c>
      <c r="E5289" t="s">
        <v>27106</v>
      </c>
      <c r="F5289" t="s">
        <v>27118</v>
      </c>
      <c r="G5289" t="s">
        <v>27118</v>
      </c>
      <c r="H5289" t="s">
        <v>868</v>
      </c>
      <c r="I5289" t="s">
        <v>869</v>
      </c>
      <c r="J5289" t="str">
        <f>"9440250"</f>
        <v>9440250</v>
      </c>
      <c r="K5289">
        <v>2327041203</v>
      </c>
      <c r="L5289">
        <v>2327041203</v>
      </c>
      <c r="M5289" t="s">
        <v>31731</v>
      </c>
      <c r="N5289" t="s">
        <v>31732</v>
      </c>
      <c r="O5289" t="s">
        <v>31733</v>
      </c>
      <c r="P5289">
        <v>62055</v>
      </c>
      <c r="Q5289" t="str">
        <f>"41.216921"</f>
        <v>41.216921</v>
      </c>
      <c r="R5289" t="str">
        <f>"23.084994"</f>
        <v>23.084994</v>
      </c>
      <c r="S5289" t="s">
        <v>26</v>
      </c>
    </row>
    <row r="5290" spans="1:19" x14ac:dyDescent="0.3">
      <c r="A5290" t="s">
        <v>25190</v>
      </c>
      <c r="B5290" t="s">
        <v>31524</v>
      </c>
      <c r="C5290" t="s">
        <v>27224</v>
      </c>
      <c r="D5290" t="s">
        <v>25224</v>
      </c>
      <c r="E5290" t="s">
        <v>27218</v>
      </c>
      <c r="F5290" t="s">
        <v>27219</v>
      </c>
      <c r="G5290" t="s">
        <v>27219</v>
      </c>
      <c r="H5290" t="s">
        <v>868</v>
      </c>
      <c r="I5290" t="s">
        <v>869</v>
      </c>
      <c r="J5290" t="str">
        <f>"9440343"</f>
        <v>9440343</v>
      </c>
      <c r="K5290">
        <v>2324071228</v>
      </c>
      <c r="L5290">
        <v>2324071228</v>
      </c>
      <c r="M5290" t="s">
        <v>31734</v>
      </c>
      <c r="N5290" t="s">
        <v>27222</v>
      </c>
      <c r="O5290" t="s">
        <v>31735</v>
      </c>
      <c r="P5290">
        <v>62041</v>
      </c>
      <c r="Q5290" t="str">
        <f>"40.919700"</f>
        <v>40.919700</v>
      </c>
      <c r="R5290" t="str">
        <f>"23.970503"</f>
        <v>23.970503</v>
      </c>
      <c r="S5290" t="s">
        <v>26</v>
      </c>
    </row>
    <row r="5291" spans="1:19" x14ac:dyDescent="0.3">
      <c r="A5291" t="s">
        <v>25190</v>
      </c>
      <c r="B5291" t="s">
        <v>31524</v>
      </c>
      <c r="C5291" t="s">
        <v>31736</v>
      </c>
      <c r="D5291" t="s">
        <v>25224</v>
      </c>
      <c r="E5291" t="s">
        <v>25224</v>
      </c>
      <c r="F5291" t="s">
        <v>25224</v>
      </c>
      <c r="G5291" t="s">
        <v>25224</v>
      </c>
      <c r="H5291" t="s">
        <v>868</v>
      </c>
      <c r="I5291" t="s">
        <v>1157</v>
      </c>
      <c r="J5291" t="str">
        <f>"9440370"</f>
        <v>9440370</v>
      </c>
      <c r="K5291">
        <v>2321023349</v>
      </c>
      <c r="L5291">
        <v>2321023349</v>
      </c>
      <c r="M5291" t="s">
        <v>31737</v>
      </c>
      <c r="N5291" t="s">
        <v>25227</v>
      </c>
      <c r="O5291" t="s">
        <v>31738</v>
      </c>
      <c r="P5291">
        <v>62100</v>
      </c>
      <c r="Q5291" t="str">
        <f>"41.090132"</f>
        <v>41.090132</v>
      </c>
      <c r="R5291" t="str">
        <f>"23.586444"</f>
        <v>23.586444</v>
      </c>
      <c r="S5291" t="s">
        <v>26</v>
      </c>
    </row>
    <row r="5292" spans="1:19" x14ac:dyDescent="0.3">
      <c r="A5292" t="s">
        <v>25190</v>
      </c>
      <c r="B5292" t="s">
        <v>31524</v>
      </c>
      <c r="C5292" t="s">
        <v>31742</v>
      </c>
      <c r="D5292" t="s">
        <v>25224</v>
      </c>
      <c r="E5292" t="s">
        <v>27218</v>
      </c>
      <c r="F5292" t="s">
        <v>31740</v>
      </c>
      <c r="G5292" t="s">
        <v>31741</v>
      </c>
      <c r="H5292" t="s">
        <v>868</v>
      </c>
      <c r="I5292" t="s">
        <v>869</v>
      </c>
      <c r="J5292" t="str">
        <f>"9440331"</f>
        <v>9440331</v>
      </c>
      <c r="K5292">
        <v>2324081326</v>
      </c>
      <c r="L5292">
        <v>2324081326</v>
      </c>
      <c r="M5292" t="s">
        <v>31743</v>
      </c>
      <c r="N5292" t="s">
        <v>31744</v>
      </c>
      <c r="O5292" t="s">
        <v>31745</v>
      </c>
      <c r="P5292">
        <v>62047</v>
      </c>
      <c r="Q5292" t="str">
        <f>"40.989864"</f>
        <v>40.989864</v>
      </c>
      <c r="R5292" t="str">
        <f>"24.020921"</f>
        <v>24.020921</v>
      </c>
      <c r="S5292" t="s">
        <v>26</v>
      </c>
    </row>
    <row r="5293" spans="1:19" x14ac:dyDescent="0.3">
      <c r="A5293" t="s">
        <v>25190</v>
      </c>
      <c r="B5293" t="s">
        <v>31524</v>
      </c>
      <c r="C5293" t="s">
        <v>27318</v>
      </c>
      <c r="D5293" t="s">
        <v>25224</v>
      </c>
      <c r="E5293" t="s">
        <v>27218</v>
      </c>
      <c r="F5293" t="s">
        <v>27218</v>
      </c>
      <c r="G5293" t="s">
        <v>27313</v>
      </c>
      <c r="H5293" t="s">
        <v>868</v>
      </c>
      <c r="I5293" t="s">
        <v>869</v>
      </c>
      <c r="J5293" t="str">
        <f>"9440336"</f>
        <v>9440336</v>
      </c>
      <c r="K5293">
        <v>2324093214</v>
      </c>
      <c r="L5293">
        <v>2324093214</v>
      </c>
      <c r="M5293" t="s">
        <v>31751</v>
      </c>
      <c r="N5293" t="s">
        <v>27317</v>
      </c>
      <c r="O5293" t="s">
        <v>27316</v>
      </c>
      <c r="P5293">
        <v>62041</v>
      </c>
      <c r="Q5293" t="str">
        <f>"40.876574"</f>
        <v>40.876574</v>
      </c>
      <c r="R5293" t="str">
        <f>"23.903991"</f>
        <v>23.903991</v>
      </c>
      <c r="S5293" t="s">
        <v>26</v>
      </c>
    </row>
    <row r="5294" spans="1:19" x14ac:dyDescent="0.3">
      <c r="A5294" t="s">
        <v>25190</v>
      </c>
      <c r="B5294" t="s">
        <v>31524</v>
      </c>
      <c r="C5294" t="s">
        <v>31778</v>
      </c>
      <c r="D5294" t="s">
        <v>25224</v>
      </c>
      <c r="E5294" t="s">
        <v>27218</v>
      </c>
      <c r="F5294" t="s">
        <v>27218</v>
      </c>
      <c r="G5294" t="s">
        <v>31746</v>
      </c>
      <c r="H5294" t="s">
        <v>868</v>
      </c>
      <c r="I5294" t="s">
        <v>950</v>
      </c>
      <c r="J5294" t="str">
        <f>"9440041"</f>
        <v>9440041</v>
      </c>
      <c r="K5294">
        <v>2322032211</v>
      </c>
      <c r="L5294">
        <v>2322032211</v>
      </c>
      <c r="M5294" t="s">
        <v>31779</v>
      </c>
      <c r="N5294" t="s">
        <v>31780</v>
      </c>
      <c r="O5294" t="s">
        <v>31780</v>
      </c>
      <c r="P5294">
        <v>62041</v>
      </c>
      <c r="Q5294" t="str">
        <f>"40.795012"</f>
        <v>40.795012</v>
      </c>
      <c r="R5294" t="str">
        <f>"23.840008"</f>
        <v>23.840008</v>
      </c>
      <c r="S5294" t="s">
        <v>26</v>
      </c>
    </row>
    <row r="5295" spans="1:19" x14ac:dyDescent="0.3">
      <c r="A5295" t="s">
        <v>25190</v>
      </c>
      <c r="B5295" t="s">
        <v>31524</v>
      </c>
      <c r="C5295" t="s">
        <v>27231</v>
      </c>
      <c r="D5295" t="s">
        <v>25224</v>
      </c>
      <c r="E5295" t="s">
        <v>27181</v>
      </c>
      <c r="F5295" t="s">
        <v>27225</v>
      </c>
      <c r="G5295" t="s">
        <v>27226</v>
      </c>
      <c r="H5295" t="s">
        <v>868</v>
      </c>
      <c r="I5295" t="s">
        <v>869</v>
      </c>
      <c r="J5295" t="str">
        <f>"9440039"</f>
        <v>9440039</v>
      </c>
      <c r="K5295">
        <v>2322031219</v>
      </c>
      <c r="L5295">
        <v>2322020199</v>
      </c>
      <c r="M5295" t="s">
        <v>31781</v>
      </c>
      <c r="N5295" t="s">
        <v>27229</v>
      </c>
      <c r="O5295" t="s">
        <v>27230</v>
      </c>
      <c r="P5295">
        <v>62049</v>
      </c>
      <c r="Q5295" t="str">
        <f>"40.895485"</f>
        <v>40.895485</v>
      </c>
      <c r="R5295" t="str">
        <f>"23.752725"</f>
        <v>23.752725</v>
      </c>
      <c r="S5295" t="s">
        <v>26</v>
      </c>
    </row>
    <row r="5296" spans="1:19" x14ac:dyDescent="0.3">
      <c r="A5296" t="s">
        <v>25190</v>
      </c>
      <c r="B5296" t="s">
        <v>31524</v>
      </c>
      <c r="C5296" t="s">
        <v>31784</v>
      </c>
      <c r="D5296" t="s">
        <v>25224</v>
      </c>
      <c r="E5296" t="s">
        <v>25224</v>
      </c>
      <c r="F5296" t="s">
        <v>25224</v>
      </c>
      <c r="G5296" t="s">
        <v>25224</v>
      </c>
      <c r="H5296" t="s">
        <v>868</v>
      </c>
      <c r="I5296" t="s">
        <v>869</v>
      </c>
      <c r="J5296" t="str">
        <f>"9440148"</f>
        <v>9440148</v>
      </c>
      <c r="K5296">
        <v>2321045576</v>
      </c>
      <c r="L5296">
        <v>2321045576</v>
      </c>
      <c r="M5296" t="s">
        <v>31785</v>
      </c>
      <c r="N5296" t="s">
        <v>25227</v>
      </c>
      <c r="O5296" t="s">
        <v>31786</v>
      </c>
      <c r="P5296">
        <v>62125</v>
      </c>
      <c r="Q5296" t="str">
        <f>"41.081654"</f>
        <v>41.081654</v>
      </c>
      <c r="R5296" t="str">
        <f>"23.532361"</f>
        <v>23.532361</v>
      </c>
      <c r="S5296" t="s">
        <v>26</v>
      </c>
    </row>
    <row r="5297" spans="1:19" x14ac:dyDescent="0.3">
      <c r="A5297" t="s">
        <v>25190</v>
      </c>
      <c r="B5297" t="s">
        <v>31524</v>
      </c>
      <c r="C5297" t="s">
        <v>31806</v>
      </c>
      <c r="D5297" t="s">
        <v>25224</v>
      </c>
      <c r="E5297" t="s">
        <v>27181</v>
      </c>
      <c r="F5297" t="s">
        <v>31629</v>
      </c>
      <c r="G5297" t="s">
        <v>31630</v>
      </c>
      <c r="H5297" t="s">
        <v>868</v>
      </c>
      <c r="I5297" t="s">
        <v>869</v>
      </c>
      <c r="J5297" t="str">
        <f>"9440048"</f>
        <v>9440048</v>
      </c>
      <c r="K5297">
        <v>2322051204</v>
      </c>
      <c r="L5297">
        <v>2322051204</v>
      </c>
      <c r="M5297" t="s">
        <v>31807</v>
      </c>
      <c r="N5297" t="s">
        <v>31633</v>
      </c>
      <c r="O5297" t="s">
        <v>31634</v>
      </c>
      <c r="P5297">
        <v>62200</v>
      </c>
      <c r="Q5297" t="str">
        <f>"40.883233"</f>
        <v>40.883233</v>
      </c>
      <c r="R5297" t="str">
        <f>"23.620204"</f>
        <v>23.620204</v>
      </c>
      <c r="S5297" t="s">
        <v>26</v>
      </c>
    </row>
    <row r="5298" spans="1:19" x14ac:dyDescent="0.3">
      <c r="A5298" t="s">
        <v>25190</v>
      </c>
      <c r="B5298" t="s">
        <v>31524</v>
      </c>
      <c r="C5298" t="s">
        <v>27242</v>
      </c>
      <c r="D5298" t="s">
        <v>25224</v>
      </c>
      <c r="E5298" t="s">
        <v>27106</v>
      </c>
      <c r="F5298" t="s">
        <v>27111</v>
      </c>
      <c r="G5298" t="s">
        <v>31686</v>
      </c>
      <c r="H5298" t="s">
        <v>868</v>
      </c>
      <c r="I5298" t="s">
        <v>869</v>
      </c>
      <c r="J5298" t="str">
        <f>"9440201"</f>
        <v>9440201</v>
      </c>
      <c r="K5298">
        <v>2323051428</v>
      </c>
      <c r="L5298">
        <v>2321051428</v>
      </c>
      <c r="M5298" t="s">
        <v>31850</v>
      </c>
      <c r="N5298" t="s">
        <v>31851</v>
      </c>
      <c r="O5298" t="s">
        <v>31689</v>
      </c>
      <c r="P5298">
        <v>62300</v>
      </c>
      <c r="Q5298" t="str">
        <f>"41.178917"</f>
        <v>41.178917</v>
      </c>
      <c r="R5298" t="str">
        <f>"23.394483"</f>
        <v>23.394483</v>
      </c>
      <c r="S5298" t="s">
        <v>26</v>
      </c>
    </row>
    <row r="5299" spans="1:19" x14ac:dyDescent="0.3">
      <c r="A5299" t="s">
        <v>25190</v>
      </c>
      <c r="B5299" t="s">
        <v>31524</v>
      </c>
      <c r="C5299" t="s">
        <v>27180</v>
      </c>
      <c r="D5299" t="s">
        <v>25224</v>
      </c>
      <c r="E5299" t="s">
        <v>27143</v>
      </c>
      <c r="F5299" t="s">
        <v>27174</v>
      </c>
      <c r="G5299" t="s">
        <v>27175</v>
      </c>
      <c r="H5299" t="s">
        <v>868</v>
      </c>
      <c r="I5299" t="s">
        <v>869</v>
      </c>
      <c r="J5299" t="str">
        <f>"9440110"</f>
        <v>9440110</v>
      </c>
      <c r="K5299">
        <v>2321031201</v>
      </c>
      <c r="L5299">
        <v>2321031201</v>
      </c>
      <c r="M5299" t="s">
        <v>31857</v>
      </c>
      <c r="N5299" t="s">
        <v>27178</v>
      </c>
      <c r="O5299" t="s">
        <v>31858</v>
      </c>
      <c r="P5299">
        <v>62044</v>
      </c>
      <c r="Q5299" t="str">
        <f>"41.024796"</f>
        <v>41.024796</v>
      </c>
      <c r="R5299" t="str">
        <f>"23.609829"</f>
        <v>23.609829</v>
      </c>
      <c r="S5299" t="s">
        <v>26</v>
      </c>
    </row>
    <row r="5300" spans="1:19" x14ac:dyDescent="0.3">
      <c r="A5300" t="s">
        <v>25190</v>
      </c>
      <c r="B5300" t="s">
        <v>31524</v>
      </c>
      <c r="C5300" t="s">
        <v>27154</v>
      </c>
      <c r="D5300" t="s">
        <v>25224</v>
      </c>
      <c r="E5300" t="s">
        <v>27106</v>
      </c>
      <c r="F5300" t="s">
        <v>27149</v>
      </c>
      <c r="G5300" t="s">
        <v>27150</v>
      </c>
      <c r="H5300" t="s">
        <v>868</v>
      </c>
      <c r="I5300" t="s">
        <v>869</v>
      </c>
      <c r="J5300" t="str">
        <f>"9440234"</f>
        <v>9440234</v>
      </c>
      <c r="K5300">
        <v>2323031326</v>
      </c>
      <c r="L5300">
        <v>2323031326</v>
      </c>
      <c r="M5300" t="s">
        <v>31864</v>
      </c>
      <c r="N5300" t="s">
        <v>31865</v>
      </c>
      <c r="O5300" t="s">
        <v>31679</v>
      </c>
      <c r="P5300">
        <v>62043</v>
      </c>
      <c r="Q5300" t="str">
        <f>"41.264606"</f>
        <v>41.264606</v>
      </c>
      <c r="R5300" t="str">
        <f>"23.254717"</f>
        <v>23.254717</v>
      </c>
      <c r="S5300" t="s">
        <v>26</v>
      </c>
    </row>
    <row r="5301" spans="1:19" x14ac:dyDescent="0.3">
      <c r="A5301" t="s">
        <v>25190</v>
      </c>
      <c r="B5301" t="s">
        <v>31524</v>
      </c>
      <c r="C5301" t="s">
        <v>27200</v>
      </c>
      <c r="D5301" t="s">
        <v>25224</v>
      </c>
      <c r="E5301" t="s">
        <v>27106</v>
      </c>
      <c r="F5301" t="s">
        <v>27111</v>
      </c>
      <c r="G5301" t="s">
        <v>27111</v>
      </c>
      <c r="H5301" t="s">
        <v>868</v>
      </c>
      <c r="I5301" t="s">
        <v>869</v>
      </c>
      <c r="J5301" t="str">
        <f>"9440213"</f>
        <v>9440213</v>
      </c>
      <c r="K5301">
        <v>2323022416</v>
      </c>
      <c r="L5301">
        <v>2323022416</v>
      </c>
      <c r="M5301" t="s">
        <v>31866</v>
      </c>
      <c r="N5301" t="s">
        <v>27271</v>
      </c>
      <c r="O5301" t="s">
        <v>31867</v>
      </c>
      <c r="P5301">
        <v>62300</v>
      </c>
      <c r="Q5301" t="str">
        <f>"41.233551"</f>
        <v>41.233551</v>
      </c>
      <c r="R5301" t="str">
        <f>"23.383524"</f>
        <v>23.383524</v>
      </c>
      <c r="S5301" t="s">
        <v>26</v>
      </c>
    </row>
    <row r="5302" spans="1:19" x14ac:dyDescent="0.3">
      <c r="A5302" t="s">
        <v>25190</v>
      </c>
      <c r="B5302" t="s">
        <v>31524</v>
      </c>
      <c r="C5302" t="s">
        <v>27306</v>
      </c>
      <c r="D5302" t="s">
        <v>25224</v>
      </c>
      <c r="E5302" t="s">
        <v>27106</v>
      </c>
      <c r="F5302" t="s">
        <v>27149</v>
      </c>
      <c r="G5302" t="s">
        <v>27301</v>
      </c>
      <c r="H5302" t="s">
        <v>868</v>
      </c>
      <c r="I5302" t="s">
        <v>869</v>
      </c>
      <c r="J5302" t="str">
        <f>"9440266"</f>
        <v>9440266</v>
      </c>
      <c r="K5302">
        <v>2323031227</v>
      </c>
      <c r="L5302">
        <v>2323031227</v>
      </c>
      <c r="M5302" t="s">
        <v>31868</v>
      </c>
      <c r="N5302" t="s">
        <v>31869</v>
      </c>
      <c r="O5302" t="s">
        <v>31870</v>
      </c>
      <c r="P5302">
        <v>62043</v>
      </c>
      <c r="Q5302" t="str">
        <f>"41.272893"</f>
        <v>41.272893</v>
      </c>
      <c r="R5302" t="str">
        <f>"23.294874"</f>
        <v>23.294874</v>
      </c>
      <c r="S5302" t="s">
        <v>26</v>
      </c>
    </row>
    <row r="5303" spans="1:19" x14ac:dyDescent="0.3">
      <c r="A5303" t="s">
        <v>25190</v>
      </c>
      <c r="B5303" t="s">
        <v>31524</v>
      </c>
      <c r="C5303" t="s">
        <v>27332</v>
      </c>
      <c r="D5303" t="s">
        <v>25224</v>
      </c>
      <c r="E5303" t="s">
        <v>27163</v>
      </c>
      <c r="F5303" t="s">
        <v>27163</v>
      </c>
      <c r="G5303" t="s">
        <v>27328</v>
      </c>
      <c r="H5303" t="s">
        <v>868</v>
      </c>
      <c r="I5303" t="s">
        <v>869</v>
      </c>
      <c r="J5303" t="str">
        <f>"9440307"</f>
        <v>9440307</v>
      </c>
      <c r="K5303">
        <v>2324051207</v>
      </c>
      <c r="L5303">
        <v>2324051207</v>
      </c>
      <c r="M5303" t="s">
        <v>31875</v>
      </c>
      <c r="O5303" t="s">
        <v>27331</v>
      </c>
      <c r="P5303">
        <v>62052</v>
      </c>
      <c r="Q5303" t="str">
        <f>"40.925891"</f>
        <v>40.925891</v>
      </c>
      <c r="R5303" t="str">
        <f>"23.870441"</f>
        <v>23.870441</v>
      </c>
      <c r="S5303" t="s">
        <v>26</v>
      </c>
    </row>
    <row r="5304" spans="1:19" x14ac:dyDescent="0.3">
      <c r="A5304" t="s">
        <v>25190</v>
      </c>
      <c r="B5304" t="s">
        <v>31524</v>
      </c>
      <c r="C5304" t="s">
        <v>27385</v>
      </c>
      <c r="D5304" t="s">
        <v>25224</v>
      </c>
      <c r="E5304" t="s">
        <v>27143</v>
      </c>
      <c r="F5304" t="s">
        <v>27143</v>
      </c>
      <c r="G5304" t="s">
        <v>27144</v>
      </c>
      <c r="H5304" t="s">
        <v>868</v>
      </c>
      <c r="I5304" t="s">
        <v>869</v>
      </c>
      <c r="J5304" t="str">
        <f>"9440112"</f>
        <v>9440112</v>
      </c>
      <c r="K5304">
        <v>2321091250</v>
      </c>
      <c r="L5304">
        <v>2321091275</v>
      </c>
      <c r="M5304" t="s">
        <v>31876</v>
      </c>
      <c r="N5304" t="s">
        <v>31877</v>
      </c>
      <c r="O5304" t="s">
        <v>31878</v>
      </c>
      <c r="P5304">
        <v>62100</v>
      </c>
      <c r="Q5304" t="str">
        <f>"41.092652"</f>
        <v>41.092652</v>
      </c>
      <c r="R5304" t="str">
        <f>"23.641126"</f>
        <v>23.641126</v>
      </c>
      <c r="S5304" t="s">
        <v>26</v>
      </c>
    </row>
    <row r="5305" spans="1:19" x14ac:dyDescent="0.3">
      <c r="A5305" t="s">
        <v>25190</v>
      </c>
      <c r="B5305" t="s">
        <v>31524</v>
      </c>
      <c r="C5305" t="s">
        <v>31880</v>
      </c>
      <c r="D5305" t="s">
        <v>25224</v>
      </c>
      <c r="E5305" t="s">
        <v>27143</v>
      </c>
      <c r="F5305" t="s">
        <v>27174</v>
      </c>
      <c r="G5305" t="s">
        <v>31879</v>
      </c>
      <c r="H5305" t="s">
        <v>868</v>
      </c>
      <c r="I5305" t="s">
        <v>869</v>
      </c>
      <c r="J5305" t="str">
        <f>"9440095"</f>
        <v>9440095</v>
      </c>
      <c r="K5305">
        <v>2321031488</v>
      </c>
      <c r="L5305">
        <v>2321032597</v>
      </c>
      <c r="M5305" t="s">
        <v>31881</v>
      </c>
      <c r="N5305" t="s">
        <v>31882</v>
      </c>
      <c r="O5305" t="s">
        <v>31882</v>
      </c>
      <c r="P5305">
        <v>62100</v>
      </c>
      <c r="Q5305" t="str">
        <f>"40.992583"</f>
        <v>40.992583</v>
      </c>
      <c r="R5305" t="str">
        <f>"23.596956"</f>
        <v>23.596956</v>
      </c>
      <c r="S5305" t="s">
        <v>26</v>
      </c>
    </row>
    <row r="5306" spans="1:19" x14ac:dyDescent="0.3">
      <c r="A5306" t="s">
        <v>25190</v>
      </c>
      <c r="B5306" t="s">
        <v>31524</v>
      </c>
      <c r="C5306" t="s">
        <v>31884</v>
      </c>
      <c r="D5306" t="s">
        <v>25224</v>
      </c>
      <c r="E5306" t="s">
        <v>27143</v>
      </c>
      <c r="F5306" t="s">
        <v>27174</v>
      </c>
      <c r="G5306" t="s">
        <v>13744</v>
      </c>
      <c r="H5306" t="s">
        <v>868</v>
      </c>
      <c r="I5306" t="s">
        <v>869</v>
      </c>
      <c r="J5306" t="str">
        <f>"9440114"</f>
        <v>9440114</v>
      </c>
      <c r="K5306">
        <v>2321076474</v>
      </c>
      <c r="L5306">
        <v>2321076474</v>
      </c>
      <c r="M5306" t="s">
        <v>31885</v>
      </c>
      <c r="N5306" t="s">
        <v>17237</v>
      </c>
      <c r="O5306" t="s">
        <v>31561</v>
      </c>
      <c r="P5306">
        <v>62100</v>
      </c>
      <c r="Q5306" t="str">
        <f>"41.053368"</f>
        <v>41.053368</v>
      </c>
      <c r="R5306" t="str">
        <f>"23.580783"</f>
        <v>23.580783</v>
      </c>
      <c r="S5306" t="s">
        <v>26</v>
      </c>
    </row>
    <row r="5307" spans="1:19" x14ac:dyDescent="0.3">
      <c r="A5307" t="s">
        <v>25190</v>
      </c>
      <c r="B5307" t="s">
        <v>31524</v>
      </c>
      <c r="C5307" t="s">
        <v>27238</v>
      </c>
      <c r="D5307" t="s">
        <v>25224</v>
      </c>
      <c r="E5307" t="s">
        <v>25224</v>
      </c>
      <c r="F5307" t="s">
        <v>25224</v>
      </c>
      <c r="G5307" t="s">
        <v>25224</v>
      </c>
      <c r="H5307" t="s">
        <v>868</v>
      </c>
      <c r="I5307" t="s">
        <v>869</v>
      </c>
      <c r="J5307" t="str">
        <f>"9440149"</f>
        <v>9440149</v>
      </c>
      <c r="K5307">
        <v>2321038710</v>
      </c>
      <c r="M5307" t="s">
        <v>31886</v>
      </c>
      <c r="N5307" t="s">
        <v>25227</v>
      </c>
      <c r="O5307" t="s">
        <v>31887</v>
      </c>
      <c r="P5307">
        <v>62125</v>
      </c>
      <c r="Q5307" t="str">
        <f>"41.082691"</f>
        <v>41.082691</v>
      </c>
      <c r="R5307" t="str">
        <f>"23.536242"</f>
        <v>23.536242</v>
      </c>
      <c r="S5307" t="s">
        <v>26</v>
      </c>
    </row>
    <row r="5308" spans="1:19" x14ac:dyDescent="0.3">
      <c r="A5308" t="s">
        <v>25190</v>
      </c>
      <c r="B5308" t="s">
        <v>31524</v>
      </c>
      <c r="C5308" t="s">
        <v>31888</v>
      </c>
      <c r="D5308" t="s">
        <v>25224</v>
      </c>
      <c r="E5308" t="s">
        <v>27163</v>
      </c>
      <c r="F5308" t="s">
        <v>27163</v>
      </c>
      <c r="G5308" t="s">
        <v>31704</v>
      </c>
      <c r="H5308" t="s">
        <v>868</v>
      </c>
      <c r="I5308" t="s">
        <v>869</v>
      </c>
      <c r="J5308" t="str">
        <f>"9440300"</f>
        <v>9440300</v>
      </c>
      <c r="K5308">
        <v>2324041241</v>
      </c>
      <c r="L5308">
        <v>2324020524</v>
      </c>
      <c r="M5308" t="s">
        <v>31889</v>
      </c>
      <c r="N5308" t="s">
        <v>31890</v>
      </c>
      <c r="O5308" t="s">
        <v>31707</v>
      </c>
      <c r="P5308">
        <v>62042</v>
      </c>
      <c r="Q5308" t="str">
        <f>"41.023524"</f>
        <v>41.023524</v>
      </c>
      <c r="R5308" t="str">
        <f>"23.773087"</f>
        <v>23.773087</v>
      </c>
      <c r="S5308" t="s">
        <v>26</v>
      </c>
    </row>
    <row r="5309" spans="1:19" x14ac:dyDescent="0.3">
      <c r="A5309" t="s">
        <v>25190</v>
      </c>
      <c r="B5309" t="s">
        <v>31524</v>
      </c>
      <c r="C5309" t="s">
        <v>31891</v>
      </c>
      <c r="D5309" t="s">
        <v>25224</v>
      </c>
      <c r="E5309" t="s">
        <v>25224</v>
      </c>
      <c r="F5309" t="s">
        <v>25224</v>
      </c>
      <c r="G5309" t="s">
        <v>25224</v>
      </c>
      <c r="H5309" t="s">
        <v>868</v>
      </c>
      <c r="I5309" t="s">
        <v>869</v>
      </c>
      <c r="J5309" t="str">
        <f>"9440150"</f>
        <v>9440150</v>
      </c>
      <c r="K5309">
        <v>2321023660</v>
      </c>
      <c r="L5309">
        <v>2321024878</v>
      </c>
      <c r="M5309" t="s">
        <v>31892</v>
      </c>
      <c r="N5309" t="s">
        <v>25227</v>
      </c>
      <c r="O5309" t="s">
        <v>31585</v>
      </c>
      <c r="P5309">
        <v>62121</v>
      </c>
      <c r="Q5309" t="str">
        <f>"41.091038"</f>
        <v>41.091038</v>
      </c>
      <c r="R5309" t="str">
        <f>"23.544272"</f>
        <v>23.544272</v>
      </c>
      <c r="S5309" t="s">
        <v>26</v>
      </c>
    </row>
    <row r="5310" spans="1:19" x14ac:dyDescent="0.3">
      <c r="A5310" t="s">
        <v>25190</v>
      </c>
      <c r="B5310" t="s">
        <v>31524</v>
      </c>
      <c r="C5310" t="s">
        <v>27159</v>
      </c>
      <c r="D5310" t="s">
        <v>25224</v>
      </c>
      <c r="E5310" t="s">
        <v>25224</v>
      </c>
      <c r="F5310" t="s">
        <v>25224</v>
      </c>
      <c r="G5310" t="s">
        <v>25224</v>
      </c>
      <c r="H5310" t="s">
        <v>868</v>
      </c>
      <c r="I5310" t="s">
        <v>869</v>
      </c>
      <c r="J5310" t="str">
        <f>"9440147"</f>
        <v>9440147</v>
      </c>
      <c r="K5310">
        <v>2321022115</v>
      </c>
      <c r="L5310">
        <v>2321099612</v>
      </c>
      <c r="M5310" t="s">
        <v>31896</v>
      </c>
      <c r="N5310" t="s">
        <v>25227</v>
      </c>
      <c r="O5310" t="s">
        <v>31897</v>
      </c>
      <c r="P5310">
        <v>62121</v>
      </c>
      <c r="Q5310" t="str">
        <f>"41.087037"</f>
        <v>41.087037</v>
      </c>
      <c r="R5310" t="str">
        <f>"23.535766"</f>
        <v>23.535766</v>
      </c>
      <c r="S5310" t="s">
        <v>26</v>
      </c>
    </row>
    <row r="5311" spans="1:19" x14ac:dyDescent="0.3">
      <c r="A5311" t="s">
        <v>25190</v>
      </c>
      <c r="B5311" t="s">
        <v>31524</v>
      </c>
      <c r="C5311" t="s">
        <v>27288</v>
      </c>
      <c r="D5311" t="s">
        <v>25224</v>
      </c>
      <c r="E5311" t="s">
        <v>25224</v>
      </c>
      <c r="F5311" t="s">
        <v>25224</v>
      </c>
      <c r="G5311" t="s">
        <v>25224</v>
      </c>
      <c r="H5311" t="s">
        <v>868</v>
      </c>
      <c r="I5311" t="s">
        <v>869</v>
      </c>
      <c r="J5311" t="str">
        <f>"9440418"</f>
        <v>9440418</v>
      </c>
      <c r="K5311">
        <v>2321021485</v>
      </c>
      <c r="L5311">
        <v>2321024878</v>
      </c>
      <c r="M5311" t="s">
        <v>31901</v>
      </c>
      <c r="N5311" t="s">
        <v>25227</v>
      </c>
      <c r="O5311" t="s">
        <v>31585</v>
      </c>
      <c r="P5311">
        <v>62121</v>
      </c>
      <c r="Q5311" t="str">
        <f>"41.091055"</f>
        <v>41.091055</v>
      </c>
      <c r="R5311" t="str">
        <f>"23.544407"</f>
        <v>23.544407</v>
      </c>
      <c r="S5311" t="s">
        <v>26</v>
      </c>
    </row>
    <row r="5312" spans="1:19" x14ac:dyDescent="0.3">
      <c r="A5312" t="s">
        <v>25190</v>
      </c>
      <c r="B5312" t="s">
        <v>31524</v>
      </c>
      <c r="C5312" t="s">
        <v>27248</v>
      </c>
      <c r="D5312" t="s">
        <v>25224</v>
      </c>
      <c r="E5312" t="s">
        <v>27163</v>
      </c>
      <c r="F5312" t="s">
        <v>27243</v>
      </c>
      <c r="G5312" t="s">
        <v>27243</v>
      </c>
      <c r="H5312" t="s">
        <v>868</v>
      </c>
      <c r="I5312" t="s">
        <v>869</v>
      </c>
      <c r="J5312" t="str">
        <f>"9440294"</f>
        <v>9440294</v>
      </c>
      <c r="K5312">
        <v>2324031224</v>
      </c>
      <c r="L5312">
        <v>2324031224</v>
      </c>
      <c r="M5312" t="s">
        <v>31902</v>
      </c>
      <c r="N5312" t="s">
        <v>27246</v>
      </c>
      <c r="O5312" t="s">
        <v>27246</v>
      </c>
      <c r="P5312">
        <v>62045</v>
      </c>
      <c r="Q5312" t="str">
        <f>"41.065408"</f>
        <v>41.065408</v>
      </c>
      <c r="R5312" t="str">
        <f>"23.954756"</f>
        <v>23.954756</v>
      </c>
      <c r="S5312" t="s">
        <v>26</v>
      </c>
    </row>
    <row r="5313" spans="1:19" x14ac:dyDescent="0.3">
      <c r="A5313" t="s">
        <v>25190</v>
      </c>
      <c r="B5313" t="s">
        <v>31524</v>
      </c>
      <c r="C5313" t="s">
        <v>27327</v>
      </c>
      <c r="D5313" t="s">
        <v>25224</v>
      </c>
      <c r="E5313" t="s">
        <v>27218</v>
      </c>
      <c r="F5313" t="s">
        <v>27322</v>
      </c>
      <c r="G5313" t="s">
        <v>27322</v>
      </c>
      <c r="H5313" t="s">
        <v>868</v>
      </c>
      <c r="I5313" t="s">
        <v>869</v>
      </c>
      <c r="J5313" t="str">
        <f>"9440340"</f>
        <v>9440340</v>
      </c>
      <c r="K5313">
        <v>2324061218</v>
      </c>
      <c r="L5313">
        <v>2324061432</v>
      </c>
      <c r="M5313" t="s">
        <v>31903</v>
      </c>
      <c r="N5313" t="s">
        <v>31904</v>
      </c>
      <c r="O5313" t="s">
        <v>27326</v>
      </c>
      <c r="P5313">
        <v>62047</v>
      </c>
      <c r="Q5313" t="str">
        <f>"40.948073"</f>
        <v>40.948073</v>
      </c>
      <c r="R5313" t="str">
        <f>"24.002817"</f>
        <v>24.002817</v>
      </c>
      <c r="S5313" t="s">
        <v>26</v>
      </c>
    </row>
    <row r="5314" spans="1:19" x14ac:dyDescent="0.3">
      <c r="A5314" t="s">
        <v>25190</v>
      </c>
      <c r="B5314" t="s">
        <v>31524</v>
      </c>
      <c r="C5314" t="s">
        <v>31910</v>
      </c>
      <c r="D5314" t="s">
        <v>25224</v>
      </c>
      <c r="E5314" t="s">
        <v>25224</v>
      </c>
      <c r="F5314" t="s">
        <v>25224</v>
      </c>
      <c r="G5314" t="s">
        <v>25224</v>
      </c>
      <c r="H5314" t="s">
        <v>868</v>
      </c>
      <c r="I5314" t="s">
        <v>869</v>
      </c>
      <c r="J5314" t="str">
        <f>"9440153"</f>
        <v>9440153</v>
      </c>
      <c r="K5314">
        <v>2321022015</v>
      </c>
      <c r="L5314">
        <v>2321022058</v>
      </c>
      <c r="M5314" t="s">
        <v>31911</v>
      </c>
      <c r="N5314" t="s">
        <v>25227</v>
      </c>
      <c r="O5314" t="s">
        <v>31566</v>
      </c>
      <c r="P5314">
        <v>62121</v>
      </c>
      <c r="Q5314" t="str">
        <f>"41.092353"</f>
        <v>41.092353</v>
      </c>
      <c r="R5314" t="str">
        <f>"23.546375"</f>
        <v>23.546375</v>
      </c>
      <c r="S5314" t="s">
        <v>26</v>
      </c>
    </row>
    <row r="5315" spans="1:19" x14ac:dyDescent="0.3">
      <c r="A5315" t="s">
        <v>25190</v>
      </c>
      <c r="B5315" t="s">
        <v>31524</v>
      </c>
      <c r="C5315" t="s">
        <v>27162</v>
      </c>
      <c r="D5315" t="s">
        <v>25224</v>
      </c>
      <c r="E5315" t="s">
        <v>27106</v>
      </c>
      <c r="F5315" t="s">
        <v>27118</v>
      </c>
      <c r="G5315" t="s">
        <v>4330</v>
      </c>
      <c r="H5315" t="s">
        <v>868</v>
      </c>
      <c r="I5315" t="s">
        <v>869</v>
      </c>
      <c r="J5315" t="str">
        <f>"9440276"</f>
        <v>9440276</v>
      </c>
      <c r="K5315">
        <v>2327022259</v>
      </c>
      <c r="L5315">
        <v>2327022259</v>
      </c>
      <c r="M5315" t="s">
        <v>31912</v>
      </c>
      <c r="N5315" t="s">
        <v>8752</v>
      </c>
      <c r="O5315" t="s">
        <v>31771</v>
      </c>
      <c r="P5315">
        <v>62055</v>
      </c>
      <c r="Q5315" t="str">
        <f>"41.261187"</f>
        <v>41.261187</v>
      </c>
      <c r="R5315" t="str">
        <f>"23.000946"</f>
        <v>23.000946</v>
      </c>
      <c r="S5315" t="s">
        <v>26</v>
      </c>
    </row>
    <row r="5316" spans="1:19" x14ac:dyDescent="0.3">
      <c r="A5316" t="s">
        <v>25190</v>
      </c>
      <c r="B5316" t="s">
        <v>31524</v>
      </c>
      <c r="C5316" t="s">
        <v>27210</v>
      </c>
      <c r="D5316" t="s">
        <v>25224</v>
      </c>
      <c r="E5316" t="s">
        <v>25224</v>
      </c>
      <c r="F5316" t="s">
        <v>25224</v>
      </c>
      <c r="G5316" t="s">
        <v>25224</v>
      </c>
      <c r="H5316" t="s">
        <v>868</v>
      </c>
      <c r="I5316" t="s">
        <v>869</v>
      </c>
      <c r="J5316" t="str">
        <f>"9440080"</f>
        <v>9440080</v>
      </c>
      <c r="K5316">
        <v>2321020931</v>
      </c>
      <c r="L5316">
        <v>2321020919</v>
      </c>
      <c r="M5316" t="s">
        <v>31913</v>
      </c>
      <c r="N5316" t="s">
        <v>25227</v>
      </c>
      <c r="O5316" t="s">
        <v>31914</v>
      </c>
      <c r="P5316">
        <v>62122</v>
      </c>
      <c r="Q5316" t="str">
        <f>"41.096124"</f>
        <v>41.096124</v>
      </c>
      <c r="R5316" t="str">
        <f>"23.566765"</f>
        <v>23.566765</v>
      </c>
      <c r="S5316" t="s">
        <v>26</v>
      </c>
    </row>
    <row r="5317" spans="1:19" x14ac:dyDescent="0.3">
      <c r="A5317" t="s">
        <v>25190</v>
      </c>
      <c r="B5317" t="s">
        <v>31524</v>
      </c>
      <c r="C5317" t="s">
        <v>27217</v>
      </c>
      <c r="D5317" t="s">
        <v>25224</v>
      </c>
      <c r="E5317" t="s">
        <v>25224</v>
      </c>
      <c r="F5317" t="s">
        <v>25224</v>
      </c>
      <c r="G5317" t="s">
        <v>25224</v>
      </c>
      <c r="H5317" t="s">
        <v>868</v>
      </c>
      <c r="I5317" t="s">
        <v>869</v>
      </c>
      <c r="J5317" t="str">
        <f>"9440085"</f>
        <v>9440085</v>
      </c>
      <c r="K5317">
        <v>2321025105</v>
      </c>
      <c r="L5317">
        <v>2321097663</v>
      </c>
      <c r="M5317" t="s">
        <v>31915</v>
      </c>
      <c r="N5317" t="s">
        <v>25227</v>
      </c>
      <c r="O5317" t="s">
        <v>31916</v>
      </c>
      <c r="P5317">
        <v>62124</v>
      </c>
      <c r="Q5317" t="str">
        <f>"41.088027"</f>
        <v>41.088027</v>
      </c>
      <c r="R5317" t="str">
        <f>"23.560265"</f>
        <v>23.560265</v>
      </c>
      <c r="S5317" t="s">
        <v>26</v>
      </c>
    </row>
    <row r="5318" spans="1:19" x14ac:dyDescent="0.3">
      <c r="A5318" t="s">
        <v>25190</v>
      </c>
      <c r="B5318" t="s">
        <v>31524</v>
      </c>
      <c r="C5318" t="s">
        <v>31917</v>
      </c>
      <c r="D5318" t="s">
        <v>25224</v>
      </c>
      <c r="E5318" t="s">
        <v>27106</v>
      </c>
      <c r="F5318" t="s">
        <v>27111</v>
      </c>
      <c r="G5318" t="s">
        <v>27111</v>
      </c>
      <c r="H5318" t="s">
        <v>868</v>
      </c>
      <c r="I5318" t="s">
        <v>869</v>
      </c>
      <c r="J5318" t="str">
        <f>"9440211"</f>
        <v>9440211</v>
      </c>
      <c r="K5318">
        <v>2323022461</v>
      </c>
      <c r="L5318">
        <v>2323022461</v>
      </c>
      <c r="M5318" t="s">
        <v>31918</v>
      </c>
      <c r="N5318" t="s">
        <v>27271</v>
      </c>
      <c r="O5318" t="s">
        <v>31919</v>
      </c>
      <c r="P5318">
        <v>62300</v>
      </c>
      <c r="Q5318" t="str">
        <f>"41.241553"</f>
        <v>41.241553</v>
      </c>
      <c r="R5318" t="str">
        <f>"23.390650"</f>
        <v>23.390650</v>
      </c>
      <c r="S5318" t="s">
        <v>26</v>
      </c>
    </row>
    <row r="5319" spans="1:19" x14ac:dyDescent="0.3">
      <c r="A5319" t="s">
        <v>25190</v>
      </c>
      <c r="B5319" t="s">
        <v>31524</v>
      </c>
      <c r="C5319" t="s">
        <v>27112</v>
      </c>
      <c r="D5319" t="s">
        <v>25224</v>
      </c>
      <c r="E5319" t="s">
        <v>27106</v>
      </c>
      <c r="F5319" t="s">
        <v>27107</v>
      </c>
      <c r="G5319" t="s">
        <v>27107</v>
      </c>
      <c r="H5319" t="s">
        <v>868</v>
      </c>
      <c r="I5319" t="s">
        <v>950</v>
      </c>
      <c r="J5319" t="str">
        <f>"9440230"</f>
        <v>9440230</v>
      </c>
      <c r="K5319">
        <v>2323061201</v>
      </c>
      <c r="L5319">
        <v>2323061201</v>
      </c>
      <c r="M5319" t="s">
        <v>31920</v>
      </c>
      <c r="N5319" t="s">
        <v>30606</v>
      </c>
      <c r="O5319" t="s">
        <v>30606</v>
      </c>
      <c r="P5319">
        <v>62300</v>
      </c>
      <c r="Q5319" t="str">
        <f>"41.320068"</f>
        <v>41.320068</v>
      </c>
      <c r="R5319" t="str">
        <f>"23.542341"</f>
        <v>23.542341</v>
      </c>
      <c r="S5319" t="s">
        <v>26</v>
      </c>
    </row>
    <row r="5320" spans="1:19" x14ac:dyDescent="0.3">
      <c r="A5320" t="s">
        <v>25190</v>
      </c>
      <c r="B5320" t="s">
        <v>31524</v>
      </c>
      <c r="C5320" t="s">
        <v>31921</v>
      </c>
      <c r="D5320" t="s">
        <v>25224</v>
      </c>
      <c r="E5320" t="s">
        <v>27181</v>
      </c>
      <c r="F5320" t="s">
        <v>27182</v>
      </c>
      <c r="G5320" t="s">
        <v>27182</v>
      </c>
      <c r="H5320" t="s">
        <v>868</v>
      </c>
      <c r="I5320" t="s">
        <v>869</v>
      </c>
      <c r="J5320" t="str">
        <f>"9440001"</f>
        <v>9440001</v>
      </c>
      <c r="K5320">
        <v>2322022303</v>
      </c>
      <c r="L5320">
        <v>2322022303</v>
      </c>
      <c r="M5320" t="s">
        <v>31922</v>
      </c>
      <c r="N5320" t="s">
        <v>27190</v>
      </c>
      <c r="O5320" t="s">
        <v>31923</v>
      </c>
      <c r="P5320">
        <v>62200</v>
      </c>
      <c r="Q5320" t="str">
        <f>"40.906335"</f>
        <v>40.906335</v>
      </c>
      <c r="R5320" t="str">
        <f>"23.500890"</f>
        <v>23.500890</v>
      </c>
      <c r="S5320" t="s">
        <v>26</v>
      </c>
    </row>
    <row r="5321" spans="1:19" x14ac:dyDescent="0.3">
      <c r="A5321" t="s">
        <v>25190</v>
      </c>
      <c r="B5321" t="s">
        <v>31524</v>
      </c>
      <c r="C5321" t="s">
        <v>27187</v>
      </c>
      <c r="D5321" t="s">
        <v>25224</v>
      </c>
      <c r="E5321" t="s">
        <v>27181</v>
      </c>
      <c r="F5321" t="s">
        <v>27182</v>
      </c>
      <c r="G5321" t="s">
        <v>27182</v>
      </c>
      <c r="H5321" t="s">
        <v>868</v>
      </c>
      <c r="I5321" t="s">
        <v>869</v>
      </c>
      <c r="J5321" t="str">
        <f>"9440004"</f>
        <v>9440004</v>
      </c>
      <c r="K5321">
        <v>2322022307</v>
      </c>
      <c r="L5321">
        <v>2322022307</v>
      </c>
      <c r="M5321" t="s">
        <v>31924</v>
      </c>
      <c r="N5321" t="s">
        <v>27190</v>
      </c>
      <c r="O5321" t="s">
        <v>31925</v>
      </c>
      <c r="P5321">
        <v>62200</v>
      </c>
      <c r="Q5321" t="str">
        <f>"40.909567"</f>
        <v>40.909567</v>
      </c>
      <c r="R5321" t="str">
        <f>"23.499760"</f>
        <v>23.499760</v>
      </c>
      <c r="S5321" t="s">
        <v>26</v>
      </c>
    </row>
    <row r="5322" spans="1:19" x14ac:dyDescent="0.3">
      <c r="A5322" t="s">
        <v>25190</v>
      </c>
      <c r="B5322" t="s">
        <v>31524</v>
      </c>
      <c r="C5322" t="s">
        <v>31926</v>
      </c>
      <c r="D5322" t="s">
        <v>25224</v>
      </c>
      <c r="E5322" t="s">
        <v>27181</v>
      </c>
      <c r="F5322" t="s">
        <v>27182</v>
      </c>
      <c r="G5322" t="s">
        <v>27182</v>
      </c>
      <c r="H5322" t="s">
        <v>868</v>
      </c>
      <c r="I5322" t="s">
        <v>869</v>
      </c>
      <c r="J5322" t="str">
        <f>"9440005"</f>
        <v>9440005</v>
      </c>
      <c r="K5322">
        <v>2322022387</v>
      </c>
      <c r="L5322">
        <v>2322022387</v>
      </c>
      <c r="M5322" t="s">
        <v>31927</v>
      </c>
      <c r="N5322" t="s">
        <v>27190</v>
      </c>
      <c r="O5322" t="s">
        <v>31928</v>
      </c>
      <c r="P5322">
        <v>62200</v>
      </c>
      <c r="Q5322" t="str">
        <f>"40.905840"</f>
        <v>40.905840</v>
      </c>
      <c r="R5322" t="str">
        <f>"23.497317"</f>
        <v>23.497317</v>
      </c>
      <c r="S5322" t="s">
        <v>26</v>
      </c>
    </row>
    <row r="5323" spans="1:19" x14ac:dyDescent="0.3">
      <c r="A5323" t="s">
        <v>25190</v>
      </c>
      <c r="B5323" t="s">
        <v>31524</v>
      </c>
      <c r="C5323" t="s">
        <v>27124</v>
      </c>
      <c r="D5323" t="s">
        <v>25224</v>
      </c>
      <c r="E5323" t="s">
        <v>27106</v>
      </c>
      <c r="F5323" t="s">
        <v>27118</v>
      </c>
      <c r="G5323" t="s">
        <v>31663</v>
      </c>
      <c r="H5323" t="s">
        <v>868</v>
      </c>
      <c r="I5323" t="s">
        <v>869</v>
      </c>
      <c r="J5323" t="str">
        <f>"9440228"</f>
        <v>9440228</v>
      </c>
      <c r="K5323">
        <v>2327051213</v>
      </c>
      <c r="L5323">
        <v>2327051173</v>
      </c>
      <c r="M5323" t="s">
        <v>31929</v>
      </c>
      <c r="N5323" t="s">
        <v>31667</v>
      </c>
      <c r="O5323" t="s">
        <v>31930</v>
      </c>
      <c r="P5323">
        <v>62055</v>
      </c>
      <c r="Q5323" t="str">
        <f>"41.288087"</f>
        <v>41.288087</v>
      </c>
      <c r="R5323" t="str">
        <f>"23.034770"</f>
        <v>23.034770</v>
      </c>
      <c r="S5323" t="s">
        <v>26</v>
      </c>
    </row>
    <row r="5324" spans="1:19" x14ac:dyDescent="0.3">
      <c r="A5324" t="s">
        <v>25190</v>
      </c>
      <c r="B5324" t="s">
        <v>31524</v>
      </c>
      <c r="C5324" t="s">
        <v>31931</v>
      </c>
      <c r="D5324" t="s">
        <v>25224</v>
      </c>
      <c r="E5324" t="s">
        <v>27181</v>
      </c>
      <c r="F5324" t="s">
        <v>27182</v>
      </c>
      <c r="G5324" t="s">
        <v>31698</v>
      </c>
      <c r="H5324" t="s">
        <v>868</v>
      </c>
      <c r="I5324" t="s">
        <v>869</v>
      </c>
      <c r="J5324" t="str">
        <f>"9440050"</f>
        <v>9440050</v>
      </c>
      <c r="K5324">
        <v>2322022651</v>
      </c>
      <c r="L5324">
        <v>2322022651</v>
      </c>
      <c r="M5324" t="s">
        <v>31932</v>
      </c>
      <c r="O5324" t="s">
        <v>31933</v>
      </c>
      <c r="P5324">
        <v>62200</v>
      </c>
      <c r="Q5324" t="str">
        <f>"40.930467"</f>
        <v>40.930467</v>
      </c>
      <c r="R5324" t="str">
        <f>"23.434124"</f>
        <v>23.434124</v>
      </c>
      <c r="S5324" t="s">
        <v>26</v>
      </c>
    </row>
    <row r="5325" spans="1:19" x14ac:dyDescent="0.3">
      <c r="A5325" t="s">
        <v>25190</v>
      </c>
      <c r="B5325" t="s">
        <v>31524</v>
      </c>
      <c r="C5325" t="s">
        <v>31934</v>
      </c>
      <c r="D5325" t="s">
        <v>25224</v>
      </c>
      <c r="E5325" t="s">
        <v>25224</v>
      </c>
      <c r="F5325" t="s">
        <v>27201</v>
      </c>
      <c r="G5325" t="s">
        <v>31673</v>
      </c>
      <c r="H5325" t="s">
        <v>868</v>
      </c>
      <c r="I5325" t="s">
        <v>869</v>
      </c>
      <c r="J5325" t="str">
        <f>"9440102"</f>
        <v>9440102</v>
      </c>
      <c r="K5325">
        <v>2321041660</v>
      </c>
      <c r="L5325">
        <v>2321041660</v>
      </c>
      <c r="M5325" t="s">
        <v>31935</v>
      </c>
      <c r="N5325" t="s">
        <v>31676</v>
      </c>
      <c r="O5325" t="s">
        <v>31676</v>
      </c>
      <c r="P5325">
        <v>62100</v>
      </c>
      <c r="Q5325" t="str">
        <f>"41.019279"</f>
        <v>41.019279</v>
      </c>
      <c r="R5325" t="str">
        <f>"23.482313"</f>
        <v>23.482313</v>
      </c>
      <c r="S5325" t="s">
        <v>26</v>
      </c>
    </row>
    <row r="5326" spans="1:19" x14ac:dyDescent="0.3">
      <c r="A5326" t="s">
        <v>25190</v>
      </c>
      <c r="B5326" t="s">
        <v>31524</v>
      </c>
      <c r="C5326" t="s">
        <v>27342</v>
      </c>
      <c r="D5326" t="s">
        <v>25224</v>
      </c>
      <c r="E5326" t="s">
        <v>27181</v>
      </c>
      <c r="F5326" t="s">
        <v>27181</v>
      </c>
      <c r="G5326" t="s">
        <v>27338</v>
      </c>
      <c r="H5326" t="s">
        <v>868</v>
      </c>
      <c r="I5326" t="s">
        <v>869</v>
      </c>
      <c r="J5326" t="str">
        <f>"9440023"</f>
        <v>9440023</v>
      </c>
      <c r="K5326">
        <v>2322061204</v>
      </c>
      <c r="L5326">
        <v>2322061204</v>
      </c>
      <c r="M5326" t="s">
        <v>31936</v>
      </c>
      <c r="N5326" t="s">
        <v>31937</v>
      </c>
      <c r="O5326" t="s">
        <v>27341</v>
      </c>
      <c r="P5326">
        <v>62200</v>
      </c>
      <c r="Q5326" t="str">
        <f>"40.982701"</f>
        <v>40.982701</v>
      </c>
      <c r="R5326" t="str">
        <f>"23.412104"</f>
        <v>23.412104</v>
      </c>
      <c r="S5326" t="s">
        <v>26</v>
      </c>
    </row>
    <row r="5327" spans="1:19" x14ac:dyDescent="0.3">
      <c r="A5327" t="s">
        <v>25190</v>
      </c>
      <c r="B5327" t="s">
        <v>31524</v>
      </c>
      <c r="C5327" t="s">
        <v>27206</v>
      </c>
      <c r="D5327" t="s">
        <v>25224</v>
      </c>
      <c r="E5327" t="s">
        <v>25224</v>
      </c>
      <c r="F5327" t="s">
        <v>27201</v>
      </c>
      <c r="G5327" t="s">
        <v>27201</v>
      </c>
      <c r="H5327" t="s">
        <v>868</v>
      </c>
      <c r="I5327" t="s">
        <v>869</v>
      </c>
      <c r="J5327" t="str">
        <f>"9440126"</f>
        <v>9440126</v>
      </c>
      <c r="K5327">
        <v>2321041244</v>
      </c>
      <c r="L5327">
        <v>2321099185</v>
      </c>
      <c r="M5327" t="s">
        <v>31938</v>
      </c>
      <c r="N5327" t="s">
        <v>27204</v>
      </c>
      <c r="O5327" t="s">
        <v>31900</v>
      </c>
      <c r="P5327">
        <v>62100</v>
      </c>
      <c r="Q5327" t="str">
        <f>"41.015837"</f>
        <v>41.015837</v>
      </c>
      <c r="R5327" t="str">
        <f>"23.517081"</f>
        <v>23.517081</v>
      </c>
      <c r="S5327" t="s">
        <v>26</v>
      </c>
    </row>
    <row r="5328" spans="1:19" x14ac:dyDescent="0.3">
      <c r="A5328" t="s">
        <v>25190</v>
      </c>
      <c r="B5328" t="s">
        <v>31524</v>
      </c>
      <c r="C5328" t="s">
        <v>31939</v>
      </c>
      <c r="D5328" t="s">
        <v>25224</v>
      </c>
      <c r="E5328" t="s">
        <v>25224</v>
      </c>
      <c r="F5328" t="s">
        <v>27125</v>
      </c>
      <c r="G5328" t="s">
        <v>31754</v>
      </c>
      <c r="H5328" t="s">
        <v>868</v>
      </c>
      <c r="I5328" t="s">
        <v>950</v>
      </c>
      <c r="J5328" t="str">
        <f>"9440159"</f>
        <v>9440159</v>
      </c>
      <c r="K5328">
        <v>2321088458</v>
      </c>
      <c r="L5328">
        <v>2321088458</v>
      </c>
      <c r="M5328" t="s">
        <v>31940</v>
      </c>
      <c r="N5328" t="s">
        <v>31941</v>
      </c>
      <c r="O5328" t="s">
        <v>31942</v>
      </c>
      <c r="P5328">
        <v>62100</v>
      </c>
      <c r="Q5328" t="str">
        <f>"41.056888"</f>
        <v>41.056888</v>
      </c>
      <c r="R5328" t="str">
        <f>"23.423192"</f>
        <v>23.423192</v>
      </c>
      <c r="S5328" t="s">
        <v>26</v>
      </c>
    </row>
    <row r="5329" spans="1:19" x14ac:dyDescent="0.3">
      <c r="A5329" t="s">
        <v>25190</v>
      </c>
      <c r="B5329" t="s">
        <v>31524</v>
      </c>
      <c r="C5329" t="s">
        <v>27265</v>
      </c>
      <c r="D5329" t="s">
        <v>25224</v>
      </c>
      <c r="E5329" t="s">
        <v>25224</v>
      </c>
      <c r="F5329" t="s">
        <v>25224</v>
      </c>
      <c r="G5329" t="s">
        <v>25224</v>
      </c>
      <c r="H5329" t="s">
        <v>868</v>
      </c>
      <c r="I5329" t="s">
        <v>869</v>
      </c>
      <c r="J5329" t="str">
        <f>"9440077"</f>
        <v>9440077</v>
      </c>
      <c r="K5329">
        <v>2321022143</v>
      </c>
      <c r="L5329">
        <v>2321026930</v>
      </c>
      <c r="M5329" t="s">
        <v>31943</v>
      </c>
      <c r="N5329" t="s">
        <v>25227</v>
      </c>
      <c r="O5329" t="s">
        <v>31944</v>
      </c>
      <c r="P5329">
        <v>62122</v>
      </c>
      <c r="Q5329" t="str">
        <f>"41.093367"</f>
        <v>41.093367</v>
      </c>
      <c r="R5329" t="str">
        <f>"23.553896"</f>
        <v>23.553896</v>
      </c>
      <c r="S5329" t="s">
        <v>26</v>
      </c>
    </row>
    <row r="5330" spans="1:19" x14ac:dyDescent="0.3">
      <c r="A5330" t="s">
        <v>25190</v>
      </c>
      <c r="B5330" t="s">
        <v>31524</v>
      </c>
      <c r="C5330" t="s">
        <v>31945</v>
      </c>
      <c r="D5330" t="s">
        <v>25224</v>
      </c>
      <c r="E5330" t="s">
        <v>27106</v>
      </c>
      <c r="F5330" t="s">
        <v>27111</v>
      </c>
      <c r="G5330" t="s">
        <v>27111</v>
      </c>
      <c r="H5330" t="s">
        <v>868</v>
      </c>
      <c r="I5330" t="s">
        <v>869</v>
      </c>
      <c r="J5330" t="str">
        <f>"9440212"</f>
        <v>9440212</v>
      </c>
      <c r="K5330">
        <v>2323023180</v>
      </c>
      <c r="L5330">
        <v>2323023180</v>
      </c>
      <c r="M5330" t="s">
        <v>31946</v>
      </c>
      <c r="N5330" t="s">
        <v>27271</v>
      </c>
      <c r="O5330" t="s">
        <v>31947</v>
      </c>
      <c r="P5330">
        <v>62300</v>
      </c>
      <c r="Q5330" t="str">
        <f>"41.235238"</f>
        <v>41.235238</v>
      </c>
      <c r="R5330" t="str">
        <f>"23.392426"</f>
        <v>23.392426</v>
      </c>
      <c r="S5330" t="s">
        <v>26</v>
      </c>
    </row>
    <row r="5331" spans="1:19" x14ac:dyDescent="0.3">
      <c r="A5331" t="s">
        <v>25190</v>
      </c>
      <c r="B5331" t="s">
        <v>31524</v>
      </c>
      <c r="C5331" t="s">
        <v>31948</v>
      </c>
      <c r="D5331" t="s">
        <v>25224</v>
      </c>
      <c r="E5331" t="s">
        <v>25224</v>
      </c>
      <c r="F5331" t="s">
        <v>25224</v>
      </c>
      <c r="G5331" t="s">
        <v>25224</v>
      </c>
      <c r="H5331" t="s">
        <v>868</v>
      </c>
      <c r="I5331" t="s">
        <v>869</v>
      </c>
      <c r="J5331" t="str">
        <f>"9440417"</f>
        <v>9440417</v>
      </c>
      <c r="K5331">
        <v>2321023108</v>
      </c>
      <c r="L5331">
        <v>2321064850</v>
      </c>
      <c r="M5331" t="s">
        <v>31949</v>
      </c>
      <c r="N5331" t="s">
        <v>31950</v>
      </c>
      <c r="O5331" t="s">
        <v>30082</v>
      </c>
      <c r="P5331">
        <v>62122</v>
      </c>
      <c r="Q5331" t="str">
        <f>"41.091002"</f>
        <v>41.091002</v>
      </c>
      <c r="R5331" t="str">
        <f>"23.555033"</f>
        <v>23.555033</v>
      </c>
      <c r="S5331" t="s">
        <v>26</v>
      </c>
    </row>
    <row r="5332" spans="1:19" x14ac:dyDescent="0.3">
      <c r="A5332" t="s">
        <v>25190</v>
      </c>
      <c r="B5332" t="s">
        <v>31524</v>
      </c>
      <c r="C5332" t="s">
        <v>31952</v>
      </c>
      <c r="D5332" t="s">
        <v>25224</v>
      </c>
      <c r="E5332" t="s">
        <v>25224</v>
      </c>
      <c r="F5332" t="s">
        <v>31951</v>
      </c>
      <c r="G5332" t="s">
        <v>31951</v>
      </c>
      <c r="H5332" t="s">
        <v>868</v>
      </c>
      <c r="I5332" t="s">
        <v>950</v>
      </c>
      <c r="J5332" t="str">
        <f>"9440118"</f>
        <v>9440118</v>
      </c>
      <c r="K5332">
        <v>2321056846</v>
      </c>
      <c r="L5332">
        <v>2321056846</v>
      </c>
      <c r="M5332" t="s">
        <v>31953</v>
      </c>
      <c r="N5332" t="s">
        <v>31954</v>
      </c>
      <c r="O5332" t="s">
        <v>31955</v>
      </c>
      <c r="P5332">
        <v>62100</v>
      </c>
      <c r="Q5332" t="str">
        <f>"41.190853"</f>
        <v>41.190853</v>
      </c>
      <c r="R5332" t="str">
        <f>"23.592304"</f>
        <v>23.592304</v>
      </c>
      <c r="S5332" t="s">
        <v>26</v>
      </c>
    </row>
    <row r="5333" spans="1:19" x14ac:dyDescent="0.3">
      <c r="A5333" t="s">
        <v>25190</v>
      </c>
      <c r="B5333" t="s">
        <v>31524</v>
      </c>
      <c r="C5333" t="s">
        <v>31957</v>
      </c>
      <c r="D5333" t="s">
        <v>25224</v>
      </c>
      <c r="E5333" t="s">
        <v>27106</v>
      </c>
      <c r="F5333" t="s">
        <v>27118</v>
      </c>
      <c r="G5333" t="s">
        <v>31956</v>
      </c>
      <c r="H5333" t="s">
        <v>868</v>
      </c>
      <c r="I5333" t="s">
        <v>869</v>
      </c>
      <c r="J5333" t="str">
        <f>"9440245"</f>
        <v>9440245</v>
      </c>
      <c r="K5333">
        <v>2327061257</v>
      </c>
      <c r="L5333">
        <v>2327061257</v>
      </c>
      <c r="M5333" t="s">
        <v>31958</v>
      </c>
      <c r="N5333" t="s">
        <v>31959</v>
      </c>
      <c r="O5333" t="s">
        <v>31960</v>
      </c>
      <c r="P5333">
        <v>62055</v>
      </c>
      <c r="Q5333" t="str">
        <f>"41.277096"</f>
        <v>41.277096</v>
      </c>
      <c r="R5333" t="str">
        <f>"22.893034"</f>
        <v>22.893034</v>
      </c>
      <c r="S5333" t="s">
        <v>26</v>
      </c>
    </row>
    <row r="5334" spans="1:19" x14ac:dyDescent="0.3">
      <c r="A5334" t="s">
        <v>25190</v>
      </c>
      <c r="B5334" t="s">
        <v>31524</v>
      </c>
      <c r="C5334" t="s">
        <v>31980</v>
      </c>
      <c r="D5334" t="s">
        <v>25224</v>
      </c>
      <c r="E5334" t="s">
        <v>18832</v>
      </c>
      <c r="F5334" t="s">
        <v>27273</v>
      </c>
      <c r="G5334" t="s">
        <v>31835</v>
      </c>
      <c r="H5334" t="s">
        <v>868</v>
      </c>
      <c r="I5334" t="s">
        <v>869</v>
      </c>
      <c r="J5334" t="str">
        <f>"9440068"</f>
        <v>9440068</v>
      </c>
      <c r="K5334">
        <v>2325041255</v>
      </c>
      <c r="L5334">
        <v>2325041574</v>
      </c>
      <c r="M5334" t="s">
        <v>31981</v>
      </c>
      <c r="N5334" t="s">
        <v>31982</v>
      </c>
      <c r="O5334" t="s">
        <v>31838</v>
      </c>
      <c r="P5334">
        <v>62400</v>
      </c>
      <c r="Q5334" t="str">
        <f>"41.108042"</f>
        <v>41.108042</v>
      </c>
      <c r="R5334" t="str">
        <f>"23.261069"</f>
        <v>23.261069</v>
      </c>
      <c r="S5334" t="s">
        <v>26</v>
      </c>
    </row>
    <row r="5335" spans="1:19" x14ac:dyDescent="0.3">
      <c r="A5335" t="s">
        <v>25190</v>
      </c>
      <c r="B5335" t="s">
        <v>31524</v>
      </c>
      <c r="C5335" t="s">
        <v>31984</v>
      </c>
      <c r="D5335" t="s">
        <v>25224</v>
      </c>
      <c r="E5335" t="s">
        <v>18832</v>
      </c>
      <c r="F5335" t="s">
        <v>18832</v>
      </c>
      <c r="G5335" t="s">
        <v>31983</v>
      </c>
      <c r="H5335" t="s">
        <v>868</v>
      </c>
      <c r="I5335" t="s">
        <v>869</v>
      </c>
      <c r="J5335" t="str">
        <f>"9440164"</f>
        <v>9440164</v>
      </c>
      <c r="K5335">
        <v>2325022734</v>
      </c>
      <c r="L5335">
        <v>2325028198</v>
      </c>
      <c r="M5335" t="s">
        <v>31985</v>
      </c>
      <c r="N5335" t="s">
        <v>22703</v>
      </c>
      <c r="O5335" t="s">
        <v>31986</v>
      </c>
      <c r="P5335">
        <v>62400</v>
      </c>
      <c r="Q5335" t="str">
        <f>"41.164401"</f>
        <v>41.164401</v>
      </c>
      <c r="R5335" t="str">
        <f>"23.267390"</f>
        <v>23.267390</v>
      </c>
      <c r="S5335" t="s">
        <v>26</v>
      </c>
    </row>
    <row r="5336" spans="1:19" x14ac:dyDescent="0.3">
      <c r="A5336" t="s">
        <v>25190</v>
      </c>
      <c r="B5336" t="s">
        <v>31524</v>
      </c>
      <c r="C5336" t="s">
        <v>31987</v>
      </c>
      <c r="D5336" t="s">
        <v>25224</v>
      </c>
      <c r="E5336" t="s">
        <v>25224</v>
      </c>
      <c r="F5336" t="s">
        <v>25224</v>
      </c>
      <c r="G5336" t="s">
        <v>25224</v>
      </c>
      <c r="H5336" t="s">
        <v>868</v>
      </c>
      <c r="I5336" t="s">
        <v>869</v>
      </c>
      <c r="J5336" t="str">
        <f>"9440430"</f>
        <v>9440430</v>
      </c>
      <c r="K5336">
        <v>2321058703</v>
      </c>
      <c r="L5336">
        <v>2321058703</v>
      </c>
      <c r="M5336" t="s">
        <v>31988</v>
      </c>
      <c r="N5336" t="s">
        <v>25224</v>
      </c>
      <c r="O5336" t="s">
        <v>31989</v>
      </c>
      <c r="P5336">
        <v>62122</v>
      </c>
      <c r="Q5336" t="str">
        <f>"41.089605"</f>
        <v>41.089605</v>
      </c>
      <c r="R5336" t="str">
        <f>"23.550009"</f>
        <v>23.550009</v>
      </c>
      <c r="S5336" t="s">
        <v>26</v>
      </c>
    </row>
    <row r="5337" spans="1:19" x14ac:dyDescent="0.3">
      <c r="A5337" t="s">
        <v>25190</v>
      </c>
      <c r="B5337" t="s">
        <v>31524</v>
      </c>
      <c r="C5337" t="s">
        <v>27284</v>
      </c>
      <c r="D5337" t="s">
        <v>25224</v>
      </c>
      <c r="E5337" t="s">
        <v>18832</v>
      </c>
      <c r="F5337" t="s">
        <v>18832</v>
      </c>
      <c r="G5337" t="s">
        <v>27279</v>
      </c>
      <c r="H5337" t="s">
        <v>868</v>
      </c>
      <c r="I5337" t="s">
        <v>869</v>
      </c>
      <c r="J5337" t="str">
        <f>"9440255"</f>
        <v>9440255</v>
      </c>
      <c r="K5337">
        <v>2325023210</v>
      </c>
      <c r="L5337">
        <v>2325023571</v>
      </c>
      <c r="M5337" t="s">
        <v>31994</v>
      </c>
      <c r="N5337" t="s">
        <v>31789</v>
      </c>
      <c r="O5337" t="s">
        <v>31790</v>
      </c>
      <c r="P5337">
        <v>62400</v>
      </c>
      <c r="Q5337" t="str">
        <f>"41.217342"</f>
        <v>41.217342</v>
      </c>
      <c r="R5337" t="str">
        <f>"23.298808"</f>
        <v>23.298808</v>
      </c>
      <c r="S5337" t="s">
        <v>26</v>
      </c>
    </row>
    <row r="5338" spans="1:19" x14ac:dyDescent="0.3">
      <c r="A5338" t="s">
        <v>25190</v>
      </c>
      <c r="B5338" t="s">
        <v>31524</v>
      </c>
      <c r="C5338" t="s">
        <v>27148</v>
      </c>
      <c r="D5338" t="s">
        <v>25224</v>
      </c>
      <c r="E5338" t="s">
        <v>25224</v>
      </c>
      <c r="F5338" t="s">
        <v>27125</v>
      </c>
      <c r="G5338" t="s">
        <v>31905</v>
      </c>
      <c r="H5338" t="s">
        <v>868</v>
      </c>
      <c r="I5338" t="s">
        <v>869</v>
      </c>
      <c r="J5338" t="str">
        <f>"9440354"</f>
        <v>9440354</v>
      </c>
      <c r="K5338">
        <v>2321075204</v>
      </c>
      <c r="L5338">
        <v>2321075204</v>
      </c>
      <c r="M5338" t="s">
        <v>31995</v>
      </c>
      <c r="N5338" t="s">
        <v>31996</v>
      </c>
      <c r="O5338" t="s">
        <v>31909</v>
      </c>
      <c r="P5338">
        <v>62100</v>
      </c>
      <c r="Q5338" t="str">
        <f>"41.070295"</f>
        <v>41.070295</v>
      </c>
      <c r="R5338" t="str">
        <f>"23.460570"</f>
        <v>23.460570</v>
      </c>
      <c r="S5338" t="s">
        <v>26</v>
      </c>
    </row>
    <row r="5339" spans="1:19" x14ac:dyDescent="0.3">
      <c r="A5339" t="s">
        <v>25190</v>
      </c>
      <c r="B5339" t="s">
        <v>31524</v>
      </c>
      <c r="C5339" t="s">
        <v>31999</v>
      </c>
      <c r="D5339" t="s">
        <v>25224</v>
      </c>
      <c r="E5339" t="s">
        <v>18832</v>
      </c>
      <c r="F5339" t="s">
        <v>18832</v>
      </c>
      <c r="G5339" t="s">
        <v>31831</v>
      </c>
      <c r="H5339" t="s">
        <v>868</v>
      </c>
      <c r="I5339" t="s">
        <v>869</v>
      </c>
      <c r="J5339" t="str">
        <f>"9440269"</f>
        <v>9440269</v>
      </c>
      <c r="K5339">
        <v>2325023475</v>
      </c>
      <c r="L5339">
        <v>2325023536</v>
      </c>
      <c r="M5339" t="s">
        <v>32000</v>
      </c>
      <c r="N5339" t="s">
        <v>32001</v>
      </c>
      <c r="O5339" t="s">
        <v>31834</v>
      </c>
      <c r="P5339">
        <v>62400</v>
      </c>
      <c r="Q5339" t="str">
        <f>"41.207250"</f>
        <v>41.207250</v>
      </c>
      <c r="R5339" t="str">
        <f>"23.284861"</f>
        <v>23.284861</v>
      </c>
      <c r="S5339" t="s">
        <v>26</v>
      </c>
    </row>
    <row r="5340" spans="1:19" x14ac:dyDescent="0.3">
      <c r="A5340" t="s">
        <v>25190</v>
      </c>
      <c r="B5340" t="s">
        <v>31524</v>
      </c>
      <c r="C5340" t="s">
        <v>32002</v>
      </c>
      <c r="D5340" t="s">
        <v>25224</v>
      </c>
      <c r="E5340" t="s">
        <v>18832</v>
      </c>
      <c r="F5340" t="s">
        <v>18832</v>
      </c>
      <c r="G5340" t="s">
        <v>31758</v>
      </c>
      <c r="H5340" t="s">
        <v>868</v>
      </c>
      <c r="I5340" t="s">
        <v>869</v>
      </c>
      <c r="J5340" t="str">
        <f>"9440199"</f>
        <v>9440199</v>
      </c>
      <c r="K5340">
        <v>2325022671</v>
      </c>
      <c r="L5340">
        <v>2325025522</v>
      </c>
      <c r="M5340" t="s">
        <v>32003</v>
      </c>
      <c r="N5340" t="s">
        <v>32004</v>
      </c>
      <c r="O5340" t="s">
        <v>31761</v>
      </c>
      <c r="P5340">
        <v>62400</v>
      </c>
      <c r="Q5340" t="str">
        <f>"41.179136"</f>
        <v>41.179136</v>
      </c>
      <c r="R5340" t="str">
        <f>"23.318967"</f>
        <v>23.318967</v>
      </c>
      <c r="S5340" t="s">
        <v>26</v>
      </c>
    </row>
    <row r="5341" spans="1:19" x14ac:dyDescent="0.3">
      <c r="A5341" t="s">
        <v>25190</v>
      </c>
      <c r="B5341" t="s">
        <v>31524</v>
      </c>
      <c r="C5341" t="s">
        <v>32009</v>
      </c>
      <c r="D5341" t="s">
        <v>25224</v>
      </c>
      <c r="E5341" t="s">
        <v>27143</v>
      </c>
      <c r="F5341" t="s">
        <v>27143</v>
      </c>
      <c r="G5341" t="s">
        <v>2116</v>
      </c>
      <c r="H5341" t="s">
        <v>868</v>
      </c>
      <c r="I5341" t="s">
        <v>869</v>
      </c>
      <c r="J5341" t="str">
        <f>"9440132"</f>
        <v>9440132</v>
      </c>
      <c r="K5341">
        <v>2321074409</v>
      </c>
      <c r="L5341">
        <v>2321074409</v>
      </c>
      <c r="M5341" t="s">
        <v>32010</v>
      </c>
      <c r="N5341" t="s">
        <v>32011</v>
      </c>
      <c r="O5341" t="s">
        <v>32011</v>
      </c>
      <c r="P5341">
        <v>62046</v>
      </c>
      <c r="Q5341" t="str">
        <f>"41.062046"</f>
        <v>41.062046</v>
      </c>
      <c r="R5341" t="str">
        <f>"23.653952"</f>
        <v>23.653952</v>
      </c>
      <c r="S5341" t="s">
        <v>26</v>
      </c>
    </row>
    <row r="5342" spans="1:19" x14ac:dyDescent="0.3">
      <c r="A5342" t="s">
        <v>25190</v>
      </c>
      <c r="B5342" t="s">
        <v>31524</v>
      </c>
      <c r="C5342" t="s">
        <v>27142</v>
      </c>
      <c r="D5342" t="s">
        <v>25224</v>
      </c>
      <c r="E5342" t="s">
        <v>18832</v>
      </c>
      <c r="F5342" t="s">
        <v>27137</v>
      </c>
      <c r="G5342" t="s">
        <v>27137</v>
      </c>
      <c r="H5342" t="s">
        <v>868</v>
      </c>
      <c r="I5342" t="s">
        <v>869</v>
      </c>
      <c r="J5342" t="str">
        <f>"9440187"</f>
        <v>9440187</v>
      </c>
      <c r="K5342">
        <v>2321081215</v>
      </c>
      <c r="L5342">
        <v>2321081215</v>
      </c>
      <c r="M5342" t="s">
        <v>32012</v>
      </c>
      <c r="N5342" t="s">
        <v>27140</v>
      </c>
      <c r="O5342" t="s">
        <v>27141</v>
      </c>
      <c r="P5342">
        <v>62100</v>
      </c>
      <c r="Q5342" t="str">
        <f>"41.126698"</f>
        <v>41.126698</v>
      </c>
      <c r="R5342" t="str">
        <f>"23.378918"</f>
        <v>23.378918</v>
      </c>
      <c r="S5342" t="s">
        <v>26</v>
      </c>
    </row>
    <row r="5343" spans="1:19" x14ac:dyDescent="0.3">
      <c r="A5343" t="s">
        <v>25190</v>
      </c>
      <c r="B5343" t="s">
        <v>31524</v>
      </c>
      <c r="C5343" t="s">
        <v>27278</v>
      </c>
      <c r="D5343" t="s">
        <v>25224</v>
      </c>
      <c r="E5343" t="s">
        <v>18832</v>
      </c>
      <c r="F5343" t="s">
        <v>27273</v>
      </c>
      <c r="G5343" t="s">
        <v>27273</v>
      </c>
      <c r="H5343" t="s">
        <v>868</v>
      </c>
      <c r="I5343" t="s">
        <v>869</v>
      </c>
      <c r="J5343" t="str">
        <f>"9440064"</f>
        <v>9440064</v>
      </c>
      <c r="K5343">
        <v>2321086213</v>
      </c>
      <c r="L5343">
        <v>2321086213</v>
      </c>
      <c r="M5343" t="s">
        <v>32013</v>
      </c>
      <c r="N5343" t="s">
        <v>27276</v>
      </c>
      <c r="O5343" t="s">
        <v>27277</v>
      </c>
      <c r="P5343">
        <v>62054</v>
      </c>
      <c r="Q5343" t="str">
        <f>"41.043243"</f>
        <v>41.043243</v>
      </c>
      <c r="R5343" t="str">
        <f>"23.316267"</f>
        <v>23.316267</v>
      </c>
      <c r="S5343" t="s">
        <v>26</v>
      </c>
    </row>
    <row r="5344" spans="1:19" x14ac:dyDescent="0.3">
      <c r="A5344" t="s">
        <v>25190</v>
      </c>
      <c r="B5344" t="s">
        <v>31524</v>
      </c>
      <c r="C5344" t="s">
        <v>27131</v>
      </c>
      <c r="D5344" t="s">
        <v>25224</v>
      </c>
      <c r="E5344" t="s">
        <v>25224</v>
      </c>
      <c r="F5344" t="s">
        <v>27125</v>
      </c>
      <c r="G5344" t="s">
        <v>27126</v>
      </c>
      <c r="H5344" t="s">
        <v>868</v>
      </c>
      <c r="I5344" t="s">
        <v>869</v>
      </c>
      <c r="J5344" t="str">
        <f>"9440185"</f>
        <v>9440185</v>
      </c>
      <c r="K5344">
        <v>2321088203</v>
      </c>
      <c r="L5344">
        <v>2321088203</v>
      </c>
      <c r="M5344" t="s">
        <v>32014</v>
      </c>
      <c r="O5344" t="s">
        <v>31816</v>
      </c>
      <c r="P5344">
        <v>62100</v>
      </c>
      <c r="Q5344" t="str">
        <f>"41.067012"</f>
        <v>41.067012</v>
      </c>
      <c r="R5344" t="str">
        <f>"23.387160"</f>
        <v>23.387160</v>
      </c>
      <c r="S5344" t="s">
        <v>26</v>
      </c>
    </row>
    <row r="5345" spans="1:19" x14ac:dyDescent="0.3">
      <c r="A5345" t="s">
        <v>25190</v>
      </c>
      <c r="B5345" t="s">
        <v>31524</v>
      </c>
      <c r="C5345" t="s">
        <v>32015</v>
      </c>
      <c r="D5345" t="s">
        <v>25224</v>
      </c>
      <c r="E5345" t="s">
        <v>18832</v>
      </c>
      <c r="F5345" t="s">
        <v>18832</v>
      </c>
      <c r="G5345" t="s">
        <v>18832</v>
      </c>
      <c r="H5345" t="s">
        <v>868</v>
      </c>
      <c r="I5345" t="s">
        <v>869</v>
      </c>
      <c r="J5345" t="str">
        <f>"9440136"</f>
        <v>9440136</v>
      </c>
      <c r="K5345">
        <v>2325022377</v>
      </c>
      <c r="L5345">
        <v>2325022377</v>
      </c>
      <c r="M5345" t="s">
        <v>32016</v>
      </c>
      <c r="N5345" t="s">
        <v>32017</v>
      </c>
      <c r="O5345" t="s">
        <v>32018</v>
      </c>
      <c r="P5345">
        <v>62400</v>
      </c>
      <c r="Q5345" t="str">
        <f>"41.184927"</f>
        <v>41.184927</v>
      </c>
      <c r="R5345" t="str">
        <f>"23.283135"</f>
        <v>23.283135</v>
      </c>
      <c r="S5345" t="s">
        <v>26</v>
      </c>
    </row>
    <row r="5346" spans="1:19" x14ac:dyDescent="0.3">
      <c r="A5346" t="s">
        <v>25190</v>
      </c>
      <c r="B5346" t="s">
        <v>31524</v>
      </c>
      <c r="C5346" t="s">
        <v>27117</v>
      </c>
      <c r="D5346" t="s">
        <v>25224</v>
      </c>
      <c r="E5346" t="s">
        <v>18832</v>
      </c>
      <c r="F5346" t="s">
        <v>18832</v>
      </c>
      <c r="G5346" t="s">
        <v>18832</v>
      </c>
      <c r="H5346" t="s">
        <v>868</v>
      </c>
      <c r="I5346" t="s">
        <v>869</v>
      </c>
      <c r="J5346" t="str">
        <f>"9440401"</f>
        <v>9440401</v>
      </c>
      <c r="K5346">
        <v>2325023968</v>
      </c>
      <c r="L5346">
        <v>2325022377</v>
      </c>
      <c r="M5346" t="s">
        <v>32019</v>
      </c>
      <c r="N5346" t="s">
        <v>32017</v>
      </c>
      <c r="O5346" t="s">
        <v>32020</v>
      </c>
      <c r="P5346">
        <v>62400</v>
      </c>
      <c r="Q5346" t="str">
        <f>"41.184943"</f>
        <v>41.184943</v>
      </c>
      <c r="R5346" t="str">
        <f>"23.283146"</f>
        <v>23.283146</v>
      </c>
      <c r="S5346" t="s">
        <v>26</v>
      </c>
    </row>
    <row r="5347" spans="1:19" x14ac:dyDescent="0.3">
      <c r="A5347" t="s">
        <v>25190</v>
      </c>
      <c r="B5347" t="s">
        <v>31524</v>
      </c>
      <c r="C5347" t="s">
        <v>32023</v>
      </c>
      <c r="D5347" t="s">
        <v>25224</v>
      </c>
      <c r="E5347" t="s">
        <v>25224</v>
      </c>
      <c r="F5347" t="s">
        <v>25224</v>
      </c>
      <c r="G5347" t="s">
        <v>25224</v>
      </c>
      <c r="H5347" t="s">
        <v>868</v>
      </c>
      <c r="I5347" t="s">
        <v>869</v>
      </c>
      <c r="J5347" t="str">
        <f>"9521119"</f>
        <v>9521119</v>
      </c>
      <c r="K5347">
        <v>2321038655</v>
      </c>
      <c r="L5347">
        <v>2321038655</v>
      </c>
      <c r="M5347" t="s">
        <v>32024</v>
      </c>
      <c r="N5347" t="s">
        <v>25227</v>
      </c>
      <c r="O5347" t="s">
        <v>31542</v>
      </c>
      <c r="P5347">
        <v>62110</v>
      </c>
      <c r="Q5347" t="str">
        <f>"41.085141"</f>
        <v>41.085141</v>
      </c>
      <c r="R5347" t="str">
        <f>"23.550154"</f>
        <v>23.550154</v>
      </c>
      <c r="S5347" t="s">
        <v>26</v>
      </c>
    </row>
    <row r="5348" spans="1:19" x14ac:dyDescent="0.3">
      <c r="A5348" t="s">
        <v>25190</v>
      </c>
      <c r="B5348" t="s">
        <v>31524</v>
      </c>
      <c r="C5348" t="s">
        <v>32028</v>
      </c>
      <c r="D5348" t="s">
        <v>25224</v>
      </c>
      <c r="E5348" t="s">
        <v>27106</v>
      </c>
      <c r="F5348" t="s">
        <v>27111</v>
      </c>
      <c r="G5348" t="s">
        <v>27111</v>
      </c>
      <c r="H5348" t="s">
        <v>868</v>
      </c>
      <c r="I5348" t="s">
        <v>1157</v>
      </c>
      <c r="J5348" t="str">
        <f>"9521278"</f>
        <v>9521278</v>
      </c>
      <c r="K5348">
        <v>2323022841</v>
      </c>
      <c r="L5348">
        <v>2323051428</v>
      </c>
      <c r="M5348" t="s">
        <v>32029</v>
      </c>
      <c r="N5348" t="s">
        <v>31689</v>
      </c>
      <c r="O5348" t="s">
        <v>31689</v>
      </c>
      <c r="P5348">
        <v>62300</v>
      </c>
      <c r="Q5348" t="str">
        <f>"41.234947"</f>
        <v>41.234947</v>
      </c>
      <c r="R5348" t="str">
        <f>"23.393820"</f>
        <v>23.393820</v>
      </c>
      <c r="S5348" t="s">
        <v>26</v>
      </c>
    </row>
    <row r="5349" spans="1:19" x14ac:dyDescent="0.3">
      <c r="A5349" t="s">
        <v>25190</v>
      </c>
      <c r="B5349" t="s">
        <v>31524</v>
      </c>
      <c r="C5349" t="s">
        <v>32030</v>
      </c>
      <c r="D5349" t="s">
        <v>25224</v>
      </c>
      <c r="E5349" t="s">
        <v>25224</v>
      </c>
      <c r="F5349" t="s">
        <v>25224</v>
      </c>
      <c r="G5349" t="s">
        <v>25224</v>
      </c>
      <c r="H5349" t="s">
        <v>868</v>
      </c>
      <c r="I5349" t="s">
        <v>1157</v>
      </c>
      <c r="J5349" t="str">
        <f>"9521174"</f>
        <v>9521174</v>
      </c>
      <c r="K5349">
        <v>2321021971</v>
      </c>
      <c r="L5349">
        <v>2321021971</v>
      </c>
      <c r="M5349" t="s">
        <v>32031</v>
      </c>
      <c r="N5349" t="s">
        <v>25224</v>
      </c>
      <c r="O5349" t="s">
        <v>31716</v>
      </c>
      <c r="P5349">
        <v>62121</v>
      </c>
      <c r="Q5349" t="str">
        <f>"41.077824"</f>
        <v>41.077824</v>
      </c>
      <c r="R5349" t="str">
        <f>"23.533946"</f>
        <v>23.533946</v>
      </c>
      <c r="S5349" t="s">
        <v>26</v>
      </c>
    </row>
    <row r="5350" spans="1:19" x14ac:dyDescent="0.3">
      <c r="A5350" t="s">
        <v>25190</v>
      </c>
      <c r="B5350" t="s">
        <v>31524</v>
      </c>
      <c r="C5350" t="s">
        <v>32032</v>
      </c>
      <c r="D5350" t="s">
        <v>25224</v>
      </c>
      <c r="E5350" t="s">
        <v>25224</v>
      </c>
      <c r="F5350" t="s">
        <v>25224</v>
      </c>
      <c r="G5350" t="s">
        <v>25224</v>
      </c>
      <c r="H5350" t="s">
        <v>868</v>
      </c>
      <c r="I5350" t="s">
        <v>16625</v>
      </c>
      <c r="J5350" t="str">
        <f>"9521475"</f>
        <v>9521475</v>
      </c>
      <c r="K5350">
        <v>2321050060</v>
      </c>
      <c r="L5350">
        <v>2321059125</v>
      </c>
      <c r="M5350" t="s">
        <v>32033</v>
      </c>
      <c r="N5350" t="s">
        <v>25227</v>
      </c>
      <c r="O5350" t="s">
        <v>32034</v>
      </c>
      <c r="P5350">
        <v>62125</v>
      </c>
      <c r="Q5350" t="str">
        <f>"41.082947"</f>
        <v>41.082947</v>
      </c>
      <c r="R5350" t="str">
        <f>"23.540228"</f>
        <v>23.540228</v>
      </c>
      <c r="S5350" t="s">
        <v>26</v>
      </c>
    </row>
    <row r="5351" spans="1:19" x14ac:dyDescent="0.3">
      <c r="A5351" t="s">
        <v>25190</v>
      </c>
      <c r="B5351" t="s">
        <v>32051</v>
      </c>
      <c r="C5351" t="s">
        <v>27440</v>
      </c>
      <c r="D5351" t="s">
        <v>25229</v>
      </c>
      <c r="E5351" t="s">
        <v>27387</v>
      </c>
      <c r="F5351" t="s">
        <v>27387</v>
      </c>
      <c r="G5351" t="s">
        <v>1969</v>
      </c>
      <c r="H5351" t="s">
        <v>868</v>
      </c>
      <c r="I5351" t="s">
        <v>869</v>
      </c>
      <c r="J5351" t="str">
        <f>"9490086"</f>
        <v>9490086</v>
      </c>
      <c r="K5351">
        <v>2375032373</v>
      </c>
      <c r="L5351">
        <v>2375032373</v>
      </c>
      <c r="M5351" t="s">
        <v>32060</v>
      </c>
      <c r="N5351" t="s">
        <v>14960</v>
      </c>
      <c r="O5351" t="s">
        <v>14960</v>
      </c>
      <c r="P5351">
        <v>63078</v>
      </c>
      <c r="Q5351" t="str">
        <f>"40.247268"</f>
        <v>40.247268</v>
      </c>
      <c r="R5351" t="str">
        <f>"23.693529"</f>
        <v>23.693529</v>
      </c>
      <c r="S5351" t="s">
        <v>26</v>
      </c>
    </row>
    <row r="5352" spans="1:19" x14ac:dyDescent="0.3">
      <c r="A5352" t="s">
        <v>25190</v>
      </c>
      <c r="B5352" t="s">
        <v>32051</v>
      </c>
      <c r="C5352" t="s">
        <v>32061</v>
      </c>
      <c r="D5352" t="s">
        <v>25229</v>
      </c>
      <c r="E5352" t="s">
        <v>27387</v>
      </c>
      <c r="F5352" t="s">
        <v>27388</v>
      </c>
      <c r="G5352" t="s">
        <v>27389</v>
      </c>
      <c r="H5352" t="s">
        <v>868</v>
      </c>
      <c r="I5352" t="s">
        <v>950</v>
      </c>
      <c r="J5352" t="str">
        <f>"9490055"</f>
        <v>9490055</v>
      </c>
      <c r="K5352">
        <v>2375051284</v>
      </c>
      <c r="L5352">
        <v>2375051284</v>
      </c>
      <c r="M5352" t="s">
        <v>32062</v>
      </c>
      <c r="N5352" t="s">
        <v>32063</v>
      </c>
      <c r="O5352" t="s">
        <v>32063</v>
      </c>
      <c r="P5352">
        <v>63072</v>
      </c>
      <c r="Q5352" t="str">
        <f>"39.985825"</f>
        <v>39.985825</v>
      </c>
      <c r="R5352" t="str">
        <f>"23.905479"</f>
        <v>23.905479</v>
      </c>
      <c r="S5352" t="s">
        <v>26</v>
      </c>
    </row>
    <row r="5353" spans="1:19" x14ac:dyDescent="0.3">
      <c r="A5353" t="s">
        <v>25190</v>
      </c>
      <c r="B5353" t="s">
        <v>32051</v>
      </c>
      <c r="C5353" t="s">
        <v>27393</v>
      </c>
      <c r="D5353" t="s">
        <v>25229</v>
      </c>
      <c r="E5353" t="s">
        <v>27387</v>
      </c>
      <c r="F5353" t="s">
        <v>27388</v>
      </c>
      <c r="G5353" t="s">
        <v>27389</v>
      </c>
      <c r="H5353" t="s">
        <v>868</v>
      </c>
      <c r="I5353" t="s">
        <v>869</v>
      </c>
      <c r="J5353" t="str">
        <f>"9490053"</f>
        <v>9490053</v>
      </c>
      <c r="K5353">
        <v>2375042107</v>
      </c>
      <c r="L5353">
        <v>2375042107</v>
      </c>
      <c r="M5353" t="s">
        <v>32064</v>
      </c>
      <c r="N5353" t="s">
        <v>32065</v>
      </c>
      <c r="O5353" t="s">
        <v>32065</v>
      </c>
      <c r="P5353">
        <v>63072</v>
      </c>
      <c r="Q5353" t="str">
        <f>"40.037429"</f>
        <v>40.037429</v>
      </c>
      <c r="R5353" t="str">
        <f>"23.952055"</f>
        <v>23.952055</v>
      </c>
      <c r="S5353" t="s">
        <v>26</v>
      </c>
    </row>
    <row r="5354" spans="1:19" x14ac:dyDescent="0.3">
      <c r="A5354" t="s">
        <v>25190</v>
      </c>
      <c r="B5354" t="s">
        <v>32051</v>
      </c>
      <c r="C5354" t="s">
        <v>27429</v>
      </c>
      <c r="D5354" t="s">
        <v>25229</v>
      </c>
      <c r="E5354" t="s">
        <v>27387</v>
      </c>
      <c r="F5354" t="s">
        <v>27387</v>
      </c>
      <c r="G5354" t="s">
        <v>27425</v>
      </c>
      <c r="H5354" t="s">
        <v>868</v>
      </c>
      <c r="I5354" t="s">
        <v>869</v>
      </c>
      <c r="J5354" t="str">
        <f>"9490039"</f>
        <v>9490039</v>
      </c>
      <c r="K5354">
        <v>2375022272</v>
      </c>
      <c r="L5354">
        <v>2375022272</v>
      </c>
      <c r="M5354" t="s">
        <v>32066</v>
      </c>
      <c r="N5354" t="s">
        <v>32067</v>
      </c>
      <c r="O5354" t="s">
        <v>27428</v>
      </c>
      <c r="P5354">
        <v>63088</v>
      </c>
      <c r="Q5354" t="str">
        <f>"40.223410"</f>
        <v>40.223410</v>
      </c>
      <c r="R5354" t="str">
        <f>"23.668365"</f>
        <v>23.668365</v>
      </c>
      <c r="S5354" t="s">
        <v>26</v>
      </c>
    </row>
    <row r="5355" spans="1:19" x14ac:dyDescent="0.3">
      <c r="A5355" t="s">
        <v>25190</v>
      </c>
      <c r="B5355" t="s">
        <v>32051</v>
      </c>
      <c r="C5355" t="s">
        <v>27414</v>
      </c>
      <c r="D5355" t="s">
        <v>25229</v>
      </c>
      <c r="E5355" t="s">
        <v>25230</v>
      </c>
      <c r="F5355" t="s">
        <v>25230</v>
      </c>
      <c r="G5355" t="s">
        <v>25230</v>
      </c>
      <c r="H5355" t="s">
        <v>868</v>
      </c>
      <c r="I5355" t="s">
        <v>869</v>
      </c>
      <c r="J5355" t="str">
        <f>"9490007"</f>
        <v>9490007</v>
      </c>
      <c r="K5355">
        <v>2371022351</v>
      </c>
      <c r="L5355">
        <v>2371022067</v>
      </c>
      <c r="M5355" t="s">
        <v>32072</v>
      </c>
      <c r="N5355" t="s">
        <v>25233</v>
      </c>
      <c r="O5355" t="s">
        <v>32073</v>
      </c>
      <c r="P5355">
        <v>63100</v>
      </c>
      <c r="Q5355" t="str">
        <f>"40.382829"</f>
        <v>40.382829</v>
      </c>
      <c r="R5355" t="str">
        <f>"23.444261"</f>
        <v>23.444261</v>
      </c>
      <c r="S5355" t="s">
        <v>26</v>
      </c>
    </row>
    <row r="5356" spans="1:19" x14ac:dyDescent="0.3">
      <c r="A5356" t="s">
        <v>25190</v>
      </c>
      <c r="B5356" t="s">
        <v>32051</v>
      </c>
      <c r="C5356" t="s">
        <v>27534</v>
      </c>
      <c r="D5356" t="s">
        <v>25229</v>
      </c>
      <c r="E5356" t="s">
        <v>27403</v>
      </c>
      <c r="F5356" t="s">
        <v>1800</v>
      </c>
      <c r="G5356" t="s">
        <v>27529</v>
      </c>
      <c r="H5356" t="s">
        <v>868</v>
      </c>
      <c r="I5356" t="s">
        <v>869</v>
      </c>
      <c r="J5356" t="str">
        <f>"9490070"</f>
        <v>9490070</v>
      </c>
      <c r="K5356">
        <v>2372031313</v>
      </c>
      <c r="L5356">
        <v>2372031313</v>
      </c>
      <c r="M5356" t="s">
        <v>32074</v>
      </c>
      <c r="N5356" t="s">
        <v>32075</v>
      </c>
      <c r="O5356" t="s">
        <v>32076</v>
      </c>
      <c r="P5356">
        <v>63076</v>
      </c>
      <c r="Q5356" t="str">
        <f>"40.442931"</f>
        <v>40.442931</v>
      </c>
      <c r="R5356" t="str">
        <f>"23.680280"</f>
        <v>23.680280</v>
      </c>
      <c r="S5356" t="s">
        <v>26</v>
      </c>
    </row>
    <row r="5357" spans="1:19" x14ac:dyDescent="0.3">
      <c r="A5357" t="s">
        <v>25190</v>
      </c>
      <c r="B5357" t="s">
        <v>32051</v>
      </c>
      <c r="C5357" t="s">
        <v>32077</v>
      </c>
      <c r="D5357" t="s">
        <v>25229</v>
      </c>
      <c r="E5357" t="s">
        <v>25230</v>
      </c>
      <c r="F5357" t="s">
        <v>25230</v>
      </c>
      <c r="G5357" t="s">
        <v>25230</v>
      </c>
      <c r="H5357" t="s">
        <v>868</v>
      </c>
      <c r="I5357" t="s">
        <v>869</v>
      </c>
      <c r="J5357" t="str">
        <f>"9490004"</f>
        <v>9490004</v>
      </c>
      <c r="K5357">
        <v>2371051122</v>
      </c>
      <c r="L5357">
        <v>2371051001</v>
      </c>
      <c r="M5357" t="s">
        <v>32078</v>
      </c>
      <c r="N5357" t="s">
        <v>32079</v>
      </c>
      <c r="O5357" t="s">
        <v>32080</v>
      </c>
      <c r="P5357">
        <v>63100</v>
      </c>
      <c r="Q5357" t="str">
        <f>"40.284847"</f>
        <v>40.284847</v>
      </c>
      <c r="R5357" t="str">
        <f>"23.398283"</f>
        <v>23.398283</v>
      </c>
      <c r="S5357" t="s">
        <v>26</v>
      </c>
    </row>
    <row r="5358" spans="1:19" x14ac:dyDescent="0.3">
      <c r="A5358" t="s">
        <v>25190</v>
      </c>
      <c r="B5358" t="s">
        <v>32051</v>
      </c>
      <c r="C5358" t="s">
        <v>32087</v>
      </c>
      <c r="D5358" t="s">
        <v>25229</v>
      </c>
      <c r="E5358" t="s">
        <v>25230</v>
      </c>
      <c r="F5358" t="s">
        <v>25230</v>
      </c>
      <c r="G5358" t="s">
        <v>25230</v>
      </c>
      <c r="H5358" t="s">
        <v>868</v>
      </c>
      <c r="I5358" t="s">
        <v>869</v>
      </c>
      <c r="J5358" t="str">
        <f>"9490163"</f>
        <v>9490163</v>
      </c>
      <c r="K5358">
        <v>2371023915</v>
      </c>
      <c r="L5358">
        <v>2371024643</v>
      </c>
      <c r="M5358" t="s">
        <v>32088</v>
      </c>
      <c r="N5358" t="s">
        <v>25233</v>
      </c>
      <c r="O5358" t="s">
        <v>25233</v>
      </c>
      <c r="P5358">
        <v>63100</v>
      </c>
      <c r="Q5358" t="str">
        <f>"40.377826"</f>
        <v>40.377826</v>
      </c>
      <c r="R5358" t="str">
        <f>"23.446232"</f>
        <v>23.446232</v>
      </c>
      <c r="S5358" t="s">
        <v>26</v>
      </c>
    </row>
    <row r="5359" spans="1:19" x14ac:dyDescent="0.3">
      <c r="A5359" t="s">
        <v>25190</v>
      </c>
      <c r="B5359" t="s">
        <v>32051</v>
      </c>
      <c r="C5359" t="s">
        <v>32112</v>
      </c>
      <c r="D5359" t="s">
        <v>25229</v>
      </c>
      <c r="E5359" t="s">
        <v>27387</v>
      </c>
      <c r="F5359" t="s">
        <v>27388</v>
      </c>
      <c r="G5359" t="s">
        <v>32111</v>
      </c>
      <c r="H5359" t="s">
        <v>868</v>
      </c>
      <c r="I5359" t="s">
        <v>869</v>
      </c>
      <c r="J5359" t="str">
        <f>"9490050"</f>
        <v>9490050</v>
      </c>
      <c r="K5359">
        <v>2375094350</v>
      </c>
      <c r="L5359">
        <v>2375094350</v>
      </c>
      <c r="M5359" t="s">
        <v>32113</v>
      </c>
      <c r="N5359" t="s">
        <v>32114</v>
      </c>
      <c r="O5359" t="s">
        <v>32114</v>
      </c>
      <c r="P5359">
        <v>63072</v>
      </c>
      <c r="Q5359" t="str">
        <f>"40.093460"</f>
        <v>40.093460</v>
      </c>
      <c r="R5359" t="str">
        <f>"23.978532"</f>
        <v>23.978532</v>
      </c>
      <c r="S5359" t="s">
        <v>26</v>
      </c>
    </row>
    <row r="5360" spans="1:19" x14ac:dyDescent="0.3">
      <c r="A5360" t="s">
        <v>25190</v>
      </c>
      <c r="B5360" t="s">
        <v>32051</v>
      </c>
      <c r="C5360" t="s">
        <v>32116</v>
      </c>
      <c r="D5360" t="s">
        <v>25229</v>
      </c>
      <c r="E5360" t="s">
        <v>25230</v>
      </c>
      <c r="F5360" t="s">
        <v>25230</v>
      </c>
      <c r="G5360" t="s">
        <v>32115</v>
      </c>
      <c r="H5360" t="s">
        <v>868</v>
      </c>
      <c r="I5360" t="s">
        <v>950</v>
      </c>
      <c r="J5360" t="str">
        <f>"9490108"</f>
        <v>9490108</v>
      </c>
      <c r="K5360">
        <v>2371094230</v>
      </c>
      <c r="L5360">
        <v>2371094230</v>
      </c>
      <c r="M5360" t="s">
        <v>32117</v>
      </c>
      <c r="N5360" t="s">
        <v>32118</v>
      </c>
      <c r="O5360" t="s">
        <v>32119</v>
      </c>
      <c r="P5360">
        <v>63100</v>
      </c>
      <c r="Q5360" t="str">
        <f>"40.425803"</f>
        <v>40.425803</v>
      </c>
      <c r="R5360" t="str">
        <f>"23.521606"</f>
        <v>23.521606</v>
      </c>
      <c r="S5360" t="s">
        <v>26</v>
      </c>
    </row>
    <row r="5361" spans="1:19" x14ac:dyDescent="0.3">
      <c r="A5361" t="s">
        <v>25190</v>
      </c>
      <c r="B5361" t="s">
        <v>32051</v>
      </c>
      <c r="C5361" t="s">
        <v>27410</v>
      </c>
      <c r="D5361" t="s">
        <v>25229</v>
      </c>
      <c r="E5361" t="s">
        <v>27403</v>
      </c>
      <c r="F5361" t="s">
        <v>27404</v>
      </c>
      <c r="G5361" t="s">
        <v>27405</v>
      </c>
      <c r="H5361" t="s">
        <v>868</v>
      </c>
      <c r="I5361" t="s">
        <v>869</v>
      </c>
      <c r="J5361" t="str">
        <f>"9490356"</f>
        <v>9490356</v>
      </c>
      <c r="K5361">
        <v>2377023998</v>
      </c>
      <c r="L5361">
        <v>2377023998</v>
      </c>
      <c r="M5361" t="s">
        <v>32138</v>
      </c>
      <c r="N5361" t="s">
        <v>27561</v>
      </c>
      <c r="O5361" t="s">
        <v>32139</v>
      </c>
      <c r="P5361">
        <v>63075</v>
      </c>
      <c r="Q5361" t="str">
        <f>"40.400753"</f>
        <v>40.400753</v>
      </c>
      <c r="R5361" t="str">
        <f>"23.873221"</f>
        <v>23.873221</v>
      </c>
      <c r="S5361" t="s">
        <v>26</v>
      </c>
    </row>
    <row r="5362" spans="1:19" x14ac:dyDescent="0.3">
      <c r="A5362" t="s">
        <v>25190</v>
      </c>
      <c r="B5362" t="s">
        <v>32051</v>
      </c>
      <c r="C5362" t="s">
        <v>32166</v>
      </c>
      <c r="D5362" t="s">
        <v>25229</v>
      </c>
      <c r="E5362" t="s">
        <v>25230</v>
      </c>
      <c r="F5362" t="s">
        <v>27470</v>
      </c>
      <c r="G5362" t="s">
        <v>4832</v>
      </c>
      <c r="H5362" t="s">
        <v>868</v>
      </c>
      <c r="I5362" t="s">
        <v>869</v>
      </c>
      <c r="J5362" t="str">
        <f>"9490025"</f>
        <v>9490025</v>
      </c>
      <c r="K5362">
        <v>2375061223</v>
      </c>
      <c r="L5362">
        <v>2375061223</v>
      </c>
      <c r="M5362" t="s">
        <v>32167</v>
      </c>
      <c r="N5362" t="s">
        <v>4835</v>
      </c>
      <c r="O5362" t="s">
        <v>4835</v>
      </c>
      <c r="P5362">
        <v>63078</v>
      </c>
      <c r="Q5362" t="str">
        <f>"40.228304"</f>
        <v>40.228304</v>
      </c>
      <c r="R5362" t="str">
        <f>"23.602499"</f>
        <v>23.602499</v>
      </c>
      <c r="S5362" t="s">
        <v>26</v>
      </c>
    </row>
    <row r="5363" spans="1:19" x14ac:dyDescent="0.3">
      <c r="A5363" t="s">
        <v>25190</v>
      </c>
      <c r="B5363" t="s">
        <v>32051</v>
      </c>
      <c r="C5363" t="s">
        <v>32169</v>
      </c>
      <c r="D5363" t="s">
        <v>25229</v>
      </c>
      <c r="E5363" t="s">
        <v>27394</v>
      </c>
      <c r="F5363" t="s">
        <v>27447</v>
      </c>
      <c r="G5363" t="s">
        <v>32168</v>
      </c>
      <c r="H5363" t="s">
        <v>868</v>
      </c>
      <c r="I5363" t="s">
        <v>869</v>
      </c>
      <c r="J5363" t="str">
        <f>"9490158"</f>
        <v>9490158</v>
      </c>
      <c r="K5363">
        <v>2373022858</v>
      </c>
      <c r="L5363">
        <v>2373022858</v>
      </c>
      <c r="M5363" t="s">
        <v>32170</v>
      </c>
      <c r="N5363" t="s">
        <v>32171</v>
      </c>
      <c r="O5363" t="s">
        <v>32172</v>
      </c>
      <c r="P5363">
        <v>63200</v>
      </c>
      <c r="Q5363" t="str">
        <f>"40.252839"</f>
        <v>40.252839</v>
      </c>
      <c r="R5363" t="str">
        <f>"23.249919"</f>
        <v>23.249919</v>
      </c>
      <c r="S5363" t="s">
        <v>26</v>
      </c>
    </row>
    <row r="5364" spans="1:19" x14ac:dyDescent="0.3">
      <c r="A5364" t="s">
        <v>25190</v>
      </c>
      <c r="B5364" t="s">
        <v>32051</v>
      </c>
      <c r="C5364" t="s">
        <v>32203</v>
      </c>
      <c r="D5364" t="s">
        <v>25229</v>
      </c>
      <c r="E5364" t="s">
        <v>27403</v>
      </c>
      <c r="F5364" t="s">
        <v>27430</v>
      </c>
      <c r="G5364" t="s">
        <v>32103</v>
      </c>
      <c r="H5364" t="s">
        <v>868</v>
      </c>
      <c r="I5364" t="s">
        <v>950</v>
      </c>
      <c r="J5364" t="str">
        <f>"9490063"</f>
        <v>9490063</v>
      </c>
      <c r="K5364">
        <v>2372051225</v>
      </c>
      <c r="L5364">
        <v>2372051225</v>
      </c>
      <c r="M5364" t="s">
        <v>32204</v>
      </c>
      <c r="N5364" t="s">
        <v>32106</v>
      </c>
      <c r="O5364" t="s">
        <v>32106</v>
      </c>
      <c r="P5364">
        <v>63074</v>
      </c>
      <c r="Q5364" t="str">
        <f>"40.571905"</f>
        <v>40.571905</v>
      </c>
      <c r="R5364" t="str">
        <f>"23.655762"</f>
        <v>23.655762</v>
      </c>
      <c r="S5364" t="s">
        <v>26</v>
      </c>
    </row>
    <row r="5365" spans="1:19" x14ac:dyDescent="0.3">
      <c r="A5365" t="s">
        <v>25190</v>
      </c>
      <c r="B5365" t="s">
        <v>32051</v>
      </c>
      <c r="C5365" t="s">
        <v>32224</v>
      </c>
      <c r="D5365" t="s">
        <v>25229</v>
      </c>
      <c r="E5365" t="s">
        <v>27403</v>
      </c>
      <c r="F5365" t="s">
        <v>27404</v>
      </c>
      <c r="G5365" t="s">
        <v>32223</v>
      </c>
      <c r="H5365" t="s">
        <v>868</v>
      </c>
      <c r="I5365" t="s">
        <v>869</v>
      </c>
      <c r="J5365" t="str">
        <f>"9490075"</f>
        <v>9490075</v>
      </c>
      <c r="K5365">
        <v>2377071206</v>
      </c>
      <c r="L5365">
        <v>2377071571</v>
      </c>
      <c r="M5365" t="s">
        <v>32225</v>
      </c>
      <c r="N5365" t="s">
        <v>32226</v>
      </c>
      <c r="O5365" t="s">
        <v>32226</v>
      </c>
      <c r="P5365">
        <v>63075</v>
      </c>
      <c r="Q5365" t="str">
        <f>"40.326061"</f>
        <v>40.326061</v>
      </c>
      <c r="R5365" t="str">
        <f>"23.983411"</f>
        <v>23.983411</v>
      </c>
      <c r="S5365" t="s">
        <v>26</v>
      </c>
    </row>
    <row r="5366" spans="1:19" x14ac:dyDescent="0.3">
      <c r="A5366" t="s">
        <v>25190</v>
      </c>
      <c r="B5366" t="s">
        <v>32051</v>
      </c>
      <c r="C5366" t="s">
        <v>32228</v>
      </c>
      <c r="D5366" t="s">
        <v>25229</v>
      </c>
      <c r="E5366" t="s">
        <v>27403</v>
      </c>
      <c r="F5366" t="s">
        <v>27404</v>
      </c>
      <c r="G5366" t="s">
        <v>32227</v>
      </c>
      <c r="H5366" t="s">
        <v>868</v>
      </c>
      <c r="I5366" t="s">
        <v>950</v>
      </c>
      <c r="J5366" t="str">
        <f>"9490082"</f>
        <v>9490082</v>
      </c>
      <c r="K5366">
        <v>2376041206</v>
      </c>
      <c r="L5366">
        <v>2376041206</v>
      </c>
      <c r="M5366" t="s">
        <v>32229</v>
      </c>
      <c r="N5366" t="s">
        <v>32230</v>
      </c>
      <c r="O5366" t="s">
        <v>32230</v>
      </c>
      <c r="P5366">
        <v>63083</v>
      </c>
      <c r="Q5366" t="str">
        <f>"40.523932"</f>
        <v>40.523932</v>
      </c>
      <c r="R5366" t="str">
        <f>"23.764867"</f>
        <v>23.764867</v>
      </c>
      <c r="S5366" t="s">
        <v>26</v>
      </c>
    </row>
    <row r="5367" spans="1:19" x14ac:dyDescent="0.3">
      <c r="A5367" t="s">
        <v>25190</v>
      </c>
      <c r="B5367" t="s">
        <v>32051</v>
      </c>
      <c r="C5367" t="s">
        <v>27491</v>
      </c>
      <c r="D5367" t="s">
        <v>25229</v>
      </c>
      <c r="E5367" t="s">
        <v>27387</v>
      </c>
      <c r="F5367" t="s">
        <v>27387</v>
      </c>
      <c r="G5367" t="s">
        <v>27487</v>
      </c>
      <c r="H5367" t="s">
        <v>868</v>
      </c>
      <c r="I5367" t="s">
        <v>869</v>
      </c>
      <c r="J5367" t="str">
        <f>"9490035"</f>
        <v>9490035</v>
      </c>
      <c r="K5367">
        <v>2375071244</v>
      </c>
      <c r="L5367">
        <v>2375071442</v>
      </c>
      <c r="M5367" t="s">
        <v>32231</v>
      </c>
      <c r="N5367" t="s">
        <v>32193</v>
      </c>
      <c r="O5367" t="s">
        <v>32193</v>
      </c>
      <c r="P5367">
        <v>63081</v>
      </c>
      <c r="Q5367" t="str">
        <f>"40.091688"</f>
        <v>40.091688</v>
      </c>
      <c r="R5367" t="str">
        <f>"23.786872"</f>
        <v>23.786872</v>
      </c>
      <c r="S5367" t="s">
        <v>26</v>
      </c>
    </row>
    <row r="5368" spans="1:19" x14ac:dyDescent="0.3">
      <c r="A5368" t="s">
        <v>25190</v>
      </c>
      <c r="B5368" t="s">
        <v>32051</v>
      </c>
      <c r="C5368" t="s">
        <v>32242</v>
      </c>
      <c r="D5368" t="s">
        <v>25229</v>
      </c>
      <c r="E5368" t="s">
        <v>25230</v>
      </c>
      <c r="F5368" t="s">
        <v>25230</v>
      </c>
      <c r="G5368" t="s">
        <v>25230</v>
      </c>
      <c r="H5368" t="s">
        <v>868</v>
      </c>
      <c r="I5368" t="s">
        <v>1157</v>
      </c>
      <c r="J5368" t="str">
        <f>"9490357"</f>
        <v>9490357</v>
      </c>
      <c r="K5368">
        <v>2371024868</v>
      </c>
      <c r="L5368">
        <v>2371024868</v>
      </c>
      <c r="M5368" t="s">
        <v>32243</v>
      </c>
      <c r="N5368" t="s">
        <v>25233</v>
      </c>
      <c r="O5368" t="s">
        <v>32244</v>
      </c>
      <c r="P5368">
        <v>63100</v>
      </c>
      <c r="Q5368" t="str">
        <f>"40.383139"</f>
        <v>40.383139</v>
      </c>
      <c r="R5368" t="str">
        <f>"23.444711"</f>
        <v>23.444711</v>
      </c>
      <c r="S5368" t="s">
        <v>26</v>
      </c>
    </row>
    <row r="5369" spans="1:19" x14ac:dyDescent="0.3">
      <c r="A5369" t="s">
        <v>25190</v>
      </c>
      <c r="B5369" t="s">
        <v>32051</v>
      </c>
      <c r="C5369" t="s">
        <v>27446</v>
      </c>
      <c r="D5369" t="s">
        <v>25229</v>
      </c>
      <c r="E5369" t="s">
        <v>25230</v>
      </c>
      <c r="F5369" t="s">
        <v>25230</v>
      </c>
      <c r="G5369" t="s">
        <v>25230</v>
      </c>
      <c r="H5369" t="s">
        <v>868</v>
      </c>
      <c r="I5369" t="s">
        <v>869</v>
      </c>
      <c r="J5369" t="str">
        <f>"9490350"</f>
        <v>9490350</v>
      </c>
      <c r="K5369">
        <v>2371024111</v>
      </c>
      <c r="L5369">
        <v>2371021075</v>
      </c>
      <c r="M5369" t="s">
        <v>32254</v>
      </c>
      <c r="N5369" t="s">
        <v>25233</v>
      </c>
      <c r="O5369" t="s">
        <v>32255</v>
      </c>
      <c r="P5369">
        <v>63100</v>
      </c>
      <c r="Q5369" t="str">
        <f>"40.377119"</f>
        <v>40.377119</v>
      </c>
      <c r="R5369" t="str">
        <f>"23.435541"</f>
        <v>23.435541</v>
      </c>
      <c r="S5369" t="s">
        <v>26</v>
      </c>
    </row>
    <row r="5370" spans="1:19" x14ac:dyDescent="0.3">
      <c r="A5370" t="s">
        <v>25190</v>
      </c>
      <c r="B5370" t="s">
        <v>32051</v>
      </c>
      <c r="C5370" t="s">
        <v>32266</v>
      </c>
      <c r="D5370" t="s">
        <v>25229</v>
      </c>
      <c r="E5370" t="s">
        <v>27387</v>
      </c>
      <c r="F5370" t="s">
        <v>27387</v>
      </c>
      <c r="G5370" t="s">
        <v>32179</v>
      </c>
      <c r="H5370" t="s">
        <v>868</v>
      </c>
      <c r="I5370" t="s">
        <v>869</v>
      </c>
      <c r="J5370" t="str">
        <f>"9490099"</f>
        <v>9490099</v>
      </c>
      <c r="K5370">
        <v>2375092249</v>
      </c>
      <c r="L5370">
        <v>2375092249</v>
      </c>
      <c r="M5370" t="s">
        <v>32267</v>
      </c>
      <c r="N5370" t="s">
        <v>32182</v>
      </c>
      <c r="O5370" t="s">
        <v>32182</v>
      </c>
      <c r="P5370">
        <v>63078</v>
      </c>
      <c r="Q5370" t="str">
        <f>"40.323784"</f>
        <v>40.323784</v>
      </c>
      <c r="R5370" t="str">
        <f>"23.655121"</f>
        <v>23.655121</v>
      </c>
      <c r="S5370" t="s">
        <v>26</v>
      </c>
    </row>
    <row r="5371" spans="1:19" x14ac:dyDescent="0.3">
      <c r="A5371" t="s">
        <v>25190</v>
      </c>
      <c r="B5371" t="s">
        <v>32051</v>
      </c>
      <c r="C5371" t="s">
        <v>27475</v>
      </c>
      <c r="D5371" t="s">
        <v>25229</v>
      </c>
      <c r="E5371" t="s">
        <v>25230</v>
      </c>
      <c r="F5371" t="s">
        <v>27470</v>
      </c>
      <c r="G5371" t="s">
        <v>27470</v>
      </c>
      <c r="H5371" t="s">
        <v>868</v>
      </c>
      <c r="I5371" t="s">
        <v>869</v>
      </c>
      <c r="J5371" t="str">
        <f>"9490042"</f>
        <v>9490042</v>
      </c>
      <c r="K5371">
        <v>2371041312</v>
      </c>
      <c r="L5371">
        <v>2371041312</v>
      </c>
      <c r="M5371" t="s">
        <v>32268</v>
      </c>
      <c r="N5371" t="s">
        <v>27473</v>
      </c>
      <c r="O5371" t="s">
        <v>32269</v>
      </c>
      <c r="P5371">
        <v>63071</v>
      </c>
      <c r="Q5371" t="str">
        <f>"40.293240"</f>
        <v>40.293240</v>
      </c>
      <c r="R5371" t="str">
        <f>"23.542032"</f>
        <v>23.542032</v>
      </c>
      <c r="S5371" t="s">
        <v>26</v>
      </c>
    </row>
    <row r="5372" spans="1:19" x14ac:dyDescent="0.3">
      <c r="A5372" t="s">
        <v>25190</v>
      </c>
      <c r="B5372" t="s">
        <v>32051</v>
      </c>
      <c r="C5372" t="s">
        <v>27554</v>
      </c>
      <c r="D5372" t="s">
        <v>25229</v>
      </c>
      <c r="E5372" t="s">
        <v>27415</v>
      </c>
      <c r="F5372" t="s">
        <v>4024</v>
      </c>
      <c r="G5372" t="s">
        <v>27549</v>
      </c>
      <c r="H5372" t="s">
        <v>868</v>
      </c>
      <c r="I5372" t="s">
        <v>869</v>
      </c>
      <c r="J5372" t="str">
        <f>"9490001"</f>
        <v>9490001</v>
      </c>
      <c r="K5372">
        <v>2374061231</v>
      </c>
      <c r="L5372">
        <v>2374061231</v>
      </c>
      <c r="M5372" t="s">
        <v>32278</v>
      </c>
      <c r="N5372" t="s">
        <v>27553</v>
      </c>
      <c r="O5372" t="s">
        <v>27553</v>
      </c>
      <c r="P5372">
        <v>63085</v>
      </c>
      <c r="Q5372" t="str">
        <f>"39.985939"</f>
        <v>39.985939</v>
      </c>
      <c r="R5372" t="str">
        <f>"23.614220"</f>
        <v>23.614220</v>
      </c>
      <c r="S5372" t="s">
        <v>26</v>
      </c>
    </row>
    <row r="5373" spans="1:19" x14ac:dyDescent="0.3">
      <c r="A5373" t="s">
        <v>25190</v>
      </c>
      <c r="B5373" t="s">
        <v>32051</v>
      </c>
      <c r="C5373" t="s">
        <v>32282</v>
      </c>
      <c r="D5373" t="s">
        <v>25229</v>
      </c>
      <c r="E5373" t="s">
        <v>27403</v>
      </c>
      <c r="F5373" t="s">
        <v>27404</v>
      </c>
      <c r="G5373" t="s">
        <v>32099</v>
      </c>
      <c r="H5373" t="s">
        <v>868</v>
      </c>
      <c r="I5373" t="s">
        <v>950</v>
      </c>
      <c r="J5373" t="str">
        <f>"9490062"</f>
        <v>9490062</v>
      </c>
      <c r="K5373">
        <v>2377051205</v>
      </c>
      <c r="L5373">
        <v>2377051205</v>
      </c>
      <c r="M5373" t="s">
        <v>32283</v>
      </c>
      <c r="N5373" t="s">
        <v>32102</v>
      </c>
      <c r="P5373">
        <v>63075</v>
      </c>
      <c r="Q5373" t="str">
        <f>"40.330515"</f>
        <v>40.330515</v>
      </c>
      <c r="R5373" t="str">
        <f>"23.921246"</f>
        <v>23.921246</v>
      </c>
      <c r="S5373" t="s">
        <v>57</v>
      </c>
    </row>
    <row r="5374" spans="1:19" x14ac:dyDescent="0.3">
      <c r="A5374" t="s">
        <v>25190</v>
      </c>
      <c r="B5374" t="s">
        <v>32051</v>
      </c>
      <c r="C5374" t="s">
        <v>32285</v>
      </c>
      <c r="D5374" t="s">
        <v>25229</v>
      </c>
      <c r="E5374" t="s">
        <v>25230</v>
      </c>
      <c r="F5374" t="s">
        <v>27520</v>
      </c>
      <c r="G5374" t="s">
        <v>32284</v>
      </c>
      <c r="H5374" t="s">
        <v>868</v>
      </c>
      <c r="I5374" t="s">
        <v>950</v>
      </c>
      <c r="J5374" t="str">
        <f>"9490089"</f>
        <v>9490089</v>
      </c>
      <c r="K5374">
        <v>2371091215</v>
      </c>
      <c r="L5374">
        <v>2371091215</v>
      </c>
      <c r="M5374" t="s">
        <v>32286</v>
      </c>
      <c r="N5374" t="s">
        <v>32287</v>
      </c>
      <c r="O5374" t="s">
        <v>32287</v>
      </c>
      <c r="P5374">
        <v>63073</v>
      </c>
      <c r="Q5374" t="str">
        <f>"40.424300"</f>
        <v>40.424300</v>
      </c>
      <c r="R5374" t="str">
        <f>"23.323250"</f>
        <v>23.323250</v>
      </c>
      <c r="S5374" t="s">
        <v>26</v>
      </c>
    </row>
    <row r="5375" spans="1:19" x14ac:dyDescent="0.3">
      <c r="A5375" t="s">
        <v>25190</v>
      </c>
      <c r="B5375" t="s">
        <v>32051</v>
      </c>
      <c r="C5375" t="s">
        <v>27526</v>
      </c>
      <c r="D5375" t="s">
        <v>25229</v>
      </c>
      <c r="E5375" t="s">
        <v>25230</v>
      </c>
      <c r="F5375" t="s">
        <v>27520</v>
      </c>
      <c r="G5375" t="s">
        <v>27521</v>
      </c>
      <c r="H5375" t="s">
        <v>868</v>
      </c>
      <c r="I5375" t="s">
        <v>869</v>
      </c>
      <c r="J5375" t="str">
        <f>"9490094"</f>
        <v>9490094</v>
      </c>
      <c r="K5375">
        <v>2371031220</v>
      </c>
      <c r="L5375">
        <v>2371031244</v>
      </c>
      <c r="M5375" t="s">
        <v>32288</v>
      </c>
      <c r="N5375" t="s">
        <v>27525</v>
      </c>
      <c r="O5375" t="s">
        <v>27525</v>
      </c>
      <c r="P5375">
        <v>63073</v>
      </c>
      <c r="Q5375" t="str">
        <f>"40.468232"</f>
        <v>40.468232</v>
      </c>
      <c r="R5375" t="str">
        <f>"23.269947"</f>
        <v>23.269947</v>
      </c>
      <c r="S5375" t="s">
        <v>26</v>
      </c>
    </row>
    <row r="5376" spans="1:19" x14ac:dyDescent="0.3">
      <c r="A5376" t="s">
        <v>25190</v>
      </c>
      <c r="B5376" t="s">
        <v>32051</v>
      </c>
      <c r="C5376" t="s">
        <v>32289</v>
      </c>
      <c r="D5376" t="s">
        <v>25229</v>
      </c>
      <c r="E5376" t="s">
        <v>27403</v>
      </c>
      <c r="F5376" t="s">
        <v>27404</v>
      </c>
      <c r="G5376" t="s">
        <v>27405</v>
      </c>
      <c r="H5376" t="s">
        <v>868</v>
      </c>
      <c r="I5376" t="s">
        <v>869</v>
      </c>
      <c r="J5376" t="str">
        <f>"9490066"</f>
        <v>9490066</v>
      </c>
      <c r="K5376">
        <v>2377022250</v>
      </c>
      <c r="L5376">
        <v>2377022250</v>
      </c>
      <c r="M5376" t="s">
        <v>32290</v>
      </c>
      <c r="N5376" t="s">
        <v>27561</v>
      </c>
      <c r="O5376" t="s">
        <v>27561</v>
      </c>
      <c r="P5376">
        <v>63075</v>
      </c>
      <c r="Q5376" t="str">
        <f>"40.395173"</f>
        <v>40.395173</v>
      </c>
      <c r="R5376" t="str">
        <f>"23.883118"</f>
        <v>23.883118</v>
      </c>
      <c r="S5376" t="s">
        <v>26</v>
      </c>
    </row>
    <row r="5377" spans="1:19" x14ac:dyDescent="0.3">
      <c r="A5377" t="s">
        <v>25190</v>
      </c>
      <c r="B5377" t="s">
        <v>32051</v>
      </c>
      <c r="C5377" t="s">
        <v>27548</v>
      </c>
      <c r="D5377" t="s">
        <v>25229</v>
      </c>
      <c r="E5377" t="s">
        <v>27403</v>
      </c>
      <c r="F5377" t="s">
        <v>27430</v>
      </c>
      <c r="G5377" t="s">
        <v>1684</v>
      </c>
      <c r="H5377" t="s">
        <v>868</v>
      </c>
      <c r="I5377" t="s">
        <v>869</v>
      </c>
      <c r="J5377" t="str">
        <f>"9490077"</f>
        <v>9490077</v>
      </c>
      <c r="K5377">
        <v>2372041210</v>
      </c>
      <c r="L5377">
        <v>2372041210</v>
      </c>
      <c r="M5377" t="s">
        <v>32291</v>
      </c>
      <c r="N5377" t="s">
        <v>1687</v>
      </c>
      <c r="O5377" t="s">
        <v>27547</v>
      </c>
      <c r="P5377">
        <v>63074</v>
      </c>
      <c r="Q5377" t="str">
        <f>"40.489022"</f>
        <v>40.489022</v>
      </c>
      <c r="R5377" t="str">
        <f>"23.648465"</f>
        <v>23.648465</v>
      </c>
      <c r="S5377" t="s">
        <v>26</v>
      </c>
    </row>
    <row r="5378" spans="1:19" x14ac:dyDescent="0.3">
      <c r="A5378" t="s">
        <v>25190</v>
      </c>
      <c r="B5378" t="s">
        <v>32051</v>
      </c>
      <c r="C5378" t="s">
        <v>32292</v>
      </c>
      <c r="D5378" t="s">
        <v>25229</v>
      </c>
      <c r="E5378" t="s">
        <v>27403</v>
      </c>
      <c r="F5378" t="s">
        <v>27430</v>
      </c>
      <c r="G5378" t="s">
        <v>15528</v>
      </c>
      <c r="H5378" t="s">
        <v>868</v>
      </c>
      <c r="I5378" t="s">
        <v>869</v>
      </c>
      <c r="J5378" t="str">
        <f>"9490080"</f>
        <v>9490080</v>
      </c>
      <c r="K5378">
        <v>2372061313</v>
      </c>
      <c r="L5378">
        <v>2372061313</v>
      </c>
      <c r="M5378" t="s">
        <v>32293</v>
      </c>
      <c r="N5378" t="s">
        <v>15531</v>
      </c>
      <c r="O5378" t="s">
        <v>15531</v>
      </c>
      <c r="P5378">
        <v>63074</v>
      </c>
      <c r="Q5378" t="str">
        <f>"40.544569"</f>
        <v>40.544569</v>
      </c>
      <c r="R5378" t="str">
        <f>"23.589453"</f>
        <v>23.589453</v>
      </c>
      <c r="S5378" t="s">
        <v>26</v>
      </c>
    </row>
    <row r="5379" spans="1:19" x14ac:dyDescent="0.3">
      <c r="A5379" t="s">
        <v>25190</v>
      </c>
      <c r="B5379" t="s">
        <v>32051</v>
      </c>
      <c r="C5379" t="s">
        <v>32295</v>
      </c>
      <c r="D5379" t="s">
        <v>25229</v>
      </c>
      <c r="E5379" t="s">
        <v>27394</v>
      </c>
      <c r="F5379" t="s">
        <v>27447</v>
      </c>
      <c r="G5379" t="s">
        <v>32294</v>
      </c>
      <c r="H5379" t="s">
        <v>868</v>
      </c>
      <c r="I5379" t="s">
        <v>869</v>
      </c>
      <c r="J5379" t="str">
        <f>"9490009"</f>
        <v>9490009</v>
      </c>
      <c r="K5379">
        <v>2373091426</v>
      </c>
      <c r="L5379">
        <v>2373091426</v>
      </c>
      <c r="M5379" t="s">
        <v>32296</v>
      </c>
      <c r="N5379" t="s">
        <v>32297</v>
      </c>
      <c r="O5379" t="s">
        <v>32298</v>
      </c>
      <c r="P5379">
        <v>63200</v>
      </c>
      <c r="Q5379" t="str">
        <f>"40.258551"</f>
        <v>40.258551</v>
      </c>
      <c r="R5379" t="str">
        <f>"23.334867"</f>
        <v>23.334867</v>
      </c>
      <c r="S5379" t="s">
        <v>26</v>
      </c>
    </row>
    <row r="5380" spans="1:19" x14ac:dyDescent="0.3">
      <c r="A5380" t="s">
        <v>25190</v>
      </c>
      <c r="B5380" t="s">
        <v>32051</v>
      </c>
      <c r="C5380" t="s">
        <v>27481</v>
      </c>
      <c r="D5380" t="s">
        <v>25229</v>
      </c>
      <c r="E5380" t="s">
        <v>27403</v>
      </c>
      <c r="F5380" t="s">
        <v>27404</v>
      </c>
      <c r="G5380" t="s">
        <v>27476</v>
      </c>
      <c r="H5380" t="s">
        <v>868</v>
      </c>
      <c r="I5380" t="s">
        <v>869</v>
      </c>
      <c r="J5380" t="str">
        <f>"9490085"</f>
        <v>9490085</v>
      </c>
      <c r="K5380">
        <v>2376022252</v>
      </c>
      <c r="L5380">
        <v>2376022252</v>
      </c>
      <c r="M5380" t="s">
        <v>32299</v>
      </c>
      <c r="N5380" t="s">
        <v>27480</v>
      </c>
      <c r="O5380" t="s">
        <v>27480</v>
      </c>
      <c r="P5380">
        <v>63082</v>
      </c>
      <c r="Q5380" t="str">
        <f>"40.515952"</f>
        <v>40.515952</v>
      </c>
      <c r="R5380" t="str">
        <f>"23.824824"</f>
        <v>23.824824</v>
      </c>
      <c r="S5380" t="s">
        <v>26</v>
      </c>
    </row>
    <row r="5381" spans="1:19" x14ac:dyDescent="0.3">
      <c r="A5381" t="s">
        <v>25190</v>
      </c>
      <c r="B5381" t="s">
        <v>32051</v>
      </c>
      <c r="C5381" t="s">
        <v>32303</v>
      </c>
      <c r="D5381" t="s">
        <v>25229</v>
      </c>
      <c r="E5381" t="s">
        <v>25230</v>
      </c>
      <c r="F5381" t="s">
        <v>25230</v>
      </c>
      <c r="G5381" t="s">
        <v>32068</v>
      </c>
      <c r="H5381" t="s">
        <v>868</v>
      </c>
      <c r="I5381" t="s">
        <v>869</v>
      </c>
      <c r="J5381" t="str">
        <f>"9490090"</f>
        <v>9490090</v>
      </c>
      <c r="K5381">
        <v>2371071263</v>
      </c>
      <c r="L5381">
        <v>2371071263</v>
      </c>
      <c r="M5381" t="s">
        <v>32304</v>
      </c>
      <c r="N5381" t="s">
        <v>32071</v>
      </c>
      <c r="O5381" t="s">
        <v>32071</v>
      </c>
      <c r="P5381">
        <v>63100</v>
      </c>
      <c r="Q5381" t="str">
        <f>"40.370647"</f>
        <v>40.370647</v>
      </c>
      <c r="R5381" t="str">
        <f>"23.537291"</f>
        <v>23.537291</v>
      </c>
      <c r="S5381" t="s">
        <v>26</v>
      </c>
    </row>
    <row r="5382" spans="1:19" x14ac:dyDescent="0.3">
      <c r="A5382" t="s">
        <v>25190</v>
      </c>
      <c r="B5382" t="s">
        <v>32051</v>
      </c>
      <c r="C5382" t="s">
        <v>32306</v>
      </c>
      <c r="D5382" t="s">
        <v>25229</v>
      </c>
      <c r="E5382" t="s">
        <v>27415</v>
      </c>
      <c r="F5382" t="s">
        <v>27415</v>
      </c>
      <c r="G5382" t="s">
        <v>32305</v>
      </c>
      <c r="H5382" t="s">
        <v>868</v>
      </c>
      <c r="I5382" t="s">
        <v>869</v>
      </c>
      <c r="J5382" t="str">
        <f>"9490013"</f>
        <v>9490013</v>
      </c>
      <c r="K5382">
        <v>2374091235</v>
      </c>
      <c r="L5382">
        <v>2374091235</v>
      </c>
      <c r="M5382" t="s">
        <v>32307</v>
      </c>
      <c r="N5382" t="s">
        <v>32308</v>
      </c>
      <c r="O5382" t="s">
        <v>32309</v>
      </c>
      <c r="P5382">
        <v>63077</v>
      </c>
      <c r="Q5382" t="str">
        <f>"40.097844"</f>
        <v>40.097844</v>
      </c>
      <c r="R5382" t="str">
        <f>"23.437237"</f>
        <v>23.437237</v>
      </c>
      <c r="S5382" t="s">
        <v>26</v>
      </c>
    </row>
    <row r="5383" spans="1:19" x14ac:dyDescent="0.3">
      <c r="A5383" t="s">
        <v>25190</v>
      </c>
      <c r="B5383" t="s">
        <v>32051</v>
      </c>
      <c r="C5383" t="s">
        <v>27519</v>
      </c>
      <c r="D5383" t="s">
        <v>25229</v>
      </c>
      <c r="E5383" t="s">
        <v>27394</v>
      </c>
      <c r="F5383" t="s">
        <v>27447</v>
      </c>
      <c r="G5383" t="s">
        <v>27401</v>
      </c>
      <c r="H5383" t="s">
        <v>868</v>
      </c>
      <c r="I5383" t="s">
        <v>869</v>
      </c>
      <c r="J5383" t="str">
        <f>"9490358"</f>
        <v>9490358</v>
      </c>
      <c r="K5383">
        <v>2373025880</v>
      </c>
      <c r="L5383">
        <v>2373025880</v>
      </c>
      <c r="M5383" t="s">
        <v>32310</v>
      </c>
      <c r="N5383" t="s">
        <v>32097</v>
      </c>
      <c r="O5383" t="s">
        <v>32311</v>
      </c>
      <c r="P5383">
        <v>63200</v>
      </c>
      <c r="Q5383" t="str">
        <f>"40.242341"</f>
        <v>40.242341</v>
      </c>
      <c r="R5383" t="str">
        <f>"23.292491"</f>
        <v>23.292491</v>
      </c>
      <c r="S5383" t="s">
        <v>26</v>
      </c>
    </row>
    <row r="5384" spans="1:19" x14ac:dyDescent="0.3">
      <c r="A5384" t="s">
        <v>25190</v>
      </c>
      <c r="B5384" t="s">
        <v>32051</v>
      </c>
      <c r="C5384" t="s">
        <v>32312</v>
      </c>
      <c r="D5384" t="s">
        <v>25229</v>
      </c>
      <c r="E5384" t="s">
        <v>27415</v>
      </c>
      <c r="F5384" t="s">
        <v>4024</v>
      </c>
      <c r="G5384" t="s">
        <v>32052</v>
      </c>
      <c r="H5384" t="s">
        <v>868</v>
      </c>
      <c r="I5384" t="s">
        <v>869</v>
      </c>
      <c r="J5384" t="str">
        <f>"9490030"</f>
        <v>9490030</v>
      </c>
      <c r="K5384">
        <v>2374071220</v>
      </c>
      <c r="L5384">
        <v>2374071220</v>
      </c>
      <c r="M5384" t="s">
        <v>32313</v>
      </c>
      <c r="N5384" t="s">
        <v>32056</v>
      </c>
      <c r="O5384" t="s">
        <v>32056</v>
      </c>
      <c r="P5384">
        <v>63085</v>
      </c>
      <c r="Q5384" t="str">
        <f>"39.947208"</f>
        <v>39.947208</v>
      </c>
      <c r="R5384" t="str">
        <f>"23.532294"</f>
        <v>23.532294</v>
      </c>
      <c r="S5384" t="s">
        <v>26</v>
      </c>
    </row>
    <row r="5385" spans="1:19" x14ac:dyDescent="0.3">
      <c r="A5385" t="s">
        <v>25190</v>
      </c>
      <c r="B5385" t="s">
        <v>32051</v>
      </c>
      <c r="C5385" t="s">
        <v>27402</v>
      </c>
      <c r="D5385" t="s">
        <v>25229</v>
      </c>
      <c r="E5385" t="s">
        <v>27394</v>
      </c>
      <c r="F5385" t="s">
        <v>27395</v>
      </c>
      <c r="G5385" t="s">
        <v>27396</v>
      </c>
      <c r="H5385" t="s">
        <v>868</v>
      </c>
      <c r="I5385" t="s">
        <v>869</v>
      </c>
      <c r="J5385" t="str">
        <f>"9490349"</f>
        <v>9490349</v>
      </c>
      <c r="K5385">
        <v>2373051104</v>
      </c>
      <c r="L5385">
        <v>2373052307</v>
      </c>
      <c r="M5385" t="s">
        <v>32314</v>
      </c>
      <c r="N5385" t="s">
        <v>32315</v>
      </c>
      <c r="O5385" t="s">
        <v>32315</v>
      </c>
      <c r="P5385">
        <v>63079</v>
      </c>
      <c r="Q5385" t="str">
        <f>"40.306886"</f>
        <v>40.306886</v>
      </c>
      <c r="R5385" t="str">
        <f>"23.202572"</f>
        <v>23.202572</v>
      </c>
      <c r="S5385" t="s">
        <v>26</v>
      </c>
    </row>
    <row r="5386" spans="1:19" x14ac:dyDescent="0.3">
      <c r="A5386" t="s">
        <v>25190</v>
      </c>
      <c r="B5386" t="s">
        <v>32051</v>
      </c>
      <c r="C5386" t="s">
        <v>32316</v>
      </c>
      <c r="D5386" t="s">
        <v>25229</v>
      </c>
      <c r="E5386" t="s">
        <v>27394</v>
      </c>
      <c r="F5386" t="s">
        <v>27395</v>
      </c>
      <c r="G5386" t="s">
        <v>27396</v>
      </c>
      <c r="H5386" t="s">
        <v>868</v>
      </c>
      <c r="I5386" t="s">
        <v>869</v>
      </c>
      <c r="J5386" t="str">
        <f>"9490033"</f>
        <v>9490033</v>
      </c>
      <c r="K5386">
        <v>2373051223</v>
      </c>
      <c r="L5386">
        <v>2373052281</v>
      </c>
      <c r="M5386" t="s">
        <v>32317</v>
      </c>
      <c r="N5386" t="s">
        <v>27400</v>
      </c>
      <c r="O5386" t="s">
        <v>32128</v>
      </c>
      <c r="P5386">
        <v>63079</v>
      </c>
      <c r="Q5386" t="str">
        <f>"40.305921"</f>
        <v>40.305921</v>
      </c>
      <c r="R5386" t="str">
        <f>"23.207336"</f>
        <v>23.207336</v>
      </c>
      <c r="S5386" t="s">
        <v>26</v>
      </c>
    </row>
    <row r="5387" spans="1:19" x14ac:dyDescent="0.3">
      <c r="A5387" t="s">
        <v>25190</v>
      </c>
      <c r="B5387" t="s">
        <v>32051</v>
      </c>
      <c r="C5387" t="s">
        <v>27436</v>
      </c>
      <c r="D5387" t="s">
        <v>25229</v>
      </c>
      <c r="E5387" t="s">
        <v>27403</v>
      </c>
      <c r="F5387" t="s">
        <v>27430</v>
      </c>
      <c r="G5387" t="s">
        <v>27430</v>
      </c>
      <c r="H5387" t="s">
        <v>868</v>
      </c>
      <c r="I5387" t="s">
        <v>869</v>
      </c>
      <c r="J5387" t="str">
        <f>"9490060"</f>
        <v>9490060</v>
      </c>
      <c r="K5387">
        <v>2372022325</v>
      </c>
      <c r="L5387">
        <v>2372022325</v>
      </c>
      <c r="M5387" t="s">
        <v>32318</v>
      </c>
      <c r="N5387" t="s">
        <v>27434</v>
      </c>
      <c r="O5387" t="s">
        <v>27436</v>
      </c>
      <c r="P5387">
        <v>63074</v>
      </c>
      <c r="Q5387" t="str">
        <f>"40.488504"</f>
        <v>40.488504</v>
      </c>
      <c r="R5387" t="str">
        <f>"23.598778"</f>
        <v>23.598778</v>
      </c>
      <c r="S5387" t="s">
        <v>26</v>
      </c>
    </row>
    <row r="5388" spans="1:19" x14ac:dyDescent="0.3">
      <c r="A5388" t="s">
        <v>25190</v>
      </c>
      <c r="B5388" t="s">
        <v>32051</v>
      </c>
      <c r="C5388" t="s">
        <v>32319</v>
      </c>
      <c r="D5388" t="s">
        <v>25229</v>
      </c>
      <c r="E5388" t="s">
        <v>27403</v>
      </c>
      <c r="F5388" t="s">
        <v>27404</v>
      </c>
      <c r="G5388" t="s">
        <v>32237</v>
      </c>
      <c r="H5388" t="s">
        <v>868</v>
      </c>
      <c r="I5388" t="s">
        <v>869</v>
      </c>
      <c r="J5388" t="str">
        <f>"9490073"</f>
        <v>9490073</v>
      </c>
      <c r="K5388">
        <v>2377031313</v>
      </c>
      <c r="L5388">
        <v>2377021085</v>
      </c>
      <c r="M5388" t="s">
        <v>32320</v>
      </c>
      <c r="N5388" t="s">
        <v>32321</v>
      </c>
      <c r="O5388" t="s">
        <v>32321</v>
      </c>
      <c r="P5388">
        <v>63075</v>
      </c>
      <c r="Q5388" t="str">
        <f>"40.397099"</f>
        <v>40.397099</v>
      </c>
      <c r="R5388" t="str">
        <f>"23.787082"</f>
        <v>23.787082</v>
      </c>
      <c r="S5388" t="s">
        <v>26</v>
      </c>
    </row>
    <row r="5389" spans="1:19" x14ac:dyDescent="0.3">
      <c r="A5389" t="s">
        <v>25190</v>
      </c>
      <c r="B5389" t="s">
        <v>32051</v>
      </c>
      <c r="C5389" t="s">
        <v>32322</v>
      </c>
      <c r="D5389" t="s">
        <v>25229</v>
      </c>
      <c r="E5389" t="s">
        <v>25230</v>
      </c>
      <c r="F5389" t="s">
        <v>25230</v>
      </c>
      <c r="G5389" t="s">
        <v>32211</v>
      </c>
      <c r="H5389" t="s">
        <v>868</v>
      </c>
      <c r="I5389" t="s">
        <v>869</v>
      </c>
      <c r="J5389" t="str">
        <f>"9490040"</f>
        <v>9490040</v>
      </c>
      <c r="K5389">
        <v>2373091392</v>
      </c>
      <c r="L5389">
        <v>2373091392</v>
      </c>
      <c r="M5389" t="s">
        <v>32323</v>
      </c>
      <c r="N5389" t="s">
        <v>32214</v>
      </c>
      <c r="O5389" t="s">
        <v>32214</v>
      </c>
      <c r="P5389">
        <v>63200</v>
      </c>
      <c r="Q5389" t="str">
        <f>"40.292627"</f>
        <v>40.292627</v>
      </c>
      <c r="R5389" t="str">
        <f>"23.341791"</f>
        <v>23.341791</v>
      </c>
      <c r="S5389" t="s">
        <v>26</v>
      </c>
    </row>
    <row r="5390" spans="1:19" x14ac:dyDescent="0.3">
      <c r="A5390" t="s">
        <v>25190</v>
      </c>
      <c r="B5390" t="s">
        <v>32051</v>
      </c>
      <c r="C5390" t="s">
        <v>32324</v>
      </c>
      <c r="D5390" t="s">
        <v>25229</v>
      </c>
      <c r="E5390" t="s">
        <v>27394</v>
      </c>
      <c r="F5390" t="s">
        <v>27447</v>
      </c>
      <c r="G5390" t="s">
        <v>22987</v>
      </c>
      <c r="H5390" t="s">
        <v>868</v>
      </c>
      <c r="I5390" t="s">
        <v>869</v>
      </c>
      <c r="J5390" t="str">
        <f>"9490049"</f>
        <v>9490049</v>
      </c>
      <c r="K5390">
        <v>2373021901</v>
      </c>
      <c r="L5390">
        <v>2373021901</v>
      </c>
      <c r="M5390" t="s">
        <v>32325</v>
      </c>
      <c r="N5390" t="s">
        <v>32326</v>
      </c>
      <c r="O5390" t="s">
        <v>32326</v>
      </c>
      <c r="P5390">
        <v>63200</v>
      </c>
      <c r="Q5390" t="str">
        <f>"40.284319"</f>
        <v>40.284319</v>
      </c>
      <c r="R5390" t="str">
        <f>"23.295061"</f>
        <v>23.295061</v>
      </c>
      <c r="S5390" t="s">
        <v>26</v>
      </c>
    </row>
    <row r="5391" spans="1:19" x14ac:dyDescent="0.3">
      <c r="A5391" t="s">
        <v>25190</v>
      </c>
      <c r="B5391" t="s">
        <v>32051</v>
      </c>
      <c r="C5391" t="s">
        <v>32327</v>
      </c>
      <c r="D5391" t="s">
        <v>25229</v>
      </c>
      <c r="E5391" t="s">
        <v>27403</v>
      </c>
      <c r="F5391" t="s">
        <v>27404</v>
      </c>
      <c r="G5391" t="s">
        <v>18357</v>
      </c>
      <c r="H5391" t="s">
        <v>868</v>
      </c>
      <c r="I5391" t="s">
        <v>950</v>
      </c>
      <c r="J5391" t="str">
        <f>"9490074"</f>
        <v>9490074</v>
      </c>
      <c r="K5391">
        <v>2376051297</v>
      </c>
      <c r="L5391">
        <v>2376051297</v>
      </c>
      <c r="M5391" t="s">
        <v>32328</v>
      </c>
      <c r="N5391" t="s">
        <v>18361</v>
      </c>
      <c r="O5391" t="s">
        <v>18361</v>
      </c>
      <c r="P5391">
        <v>57014</v>
      </c>
      <c r="Q5391" t="str">
        <f>"40.590772"</f>
        <v>40.590772</v>
      </c>
      <c r="R5391" t="str">
        <f>"23.781574"</f>
        <v>23.781574</v>
      </c>
      <c r="S5391" t="s">
        <v>26</v>
      </c>
    </row>
    <row r="5392" spans="1:19" x14ac:dyDescent="0.3">
      <c r="A5392" t="s">
        <v>25190</v>
      </c>
      <c r="B5392" t="s">
        <v>32051</v>
      </c>
      <c r="C5392" t="s">
        <v>27508</v>
      </c>
      <c r="D5392" t="s">
        <v>25229</v>
      </c>
      <c r="E5392" t="s">
        <v>25230</v>
      </c>
      <c r="F5392" t="s">
        <v>27502</v>
      </c>
      <c r="G5392" t="s">
        <v>27503</v>
      </c>
      <c r="H5392" t="s">
        <v>868</v>
      </c>
      <c r="I5392" t="s">
        <v>869</v>
      </c>
      <c r="J5392" t="str">
        <f>"9490103"</f>
        <v>9490103</v>
      </c>
      <c r="K5392">
        <v>2371061324</v>
      </c>
      <c r="L5392">
        <v>2371061724</v>
      </c>
      <c r="M5392" t="s">
        <v>32331</v>
      </c>
      <c r="N5392" t="s">
        <v>27506</v>
      </c>
      <c r="O5392" t="s">
        <v>27506</v>
      </c>
      <c r="P5392">
        <v>63073</v>
      </c>
      <c r="Q5392" t="str">
        <f>"40.500642"</f>
        <v>40.500642</v>
      </c>
      <c r="R5392" t="str">
        <f>"23.436601"</f>
        <v>23.436601</v>
      </c>
      <c r="S5392" t="s">
        <v>26</v>
      </c>
    </row>
    <row r="5393" spans="1:19" x14ac:dyDescent="0.3">
      <c r="A5393" t="s">
        <v>25190</v>
      </c>
      <c r="B5393" t="s">
        <v>32051</v>
      </c>
      <c r="C5393" t="s">
        <v>32334</v>
      </c>
      <c r="D5393" t="s">
        <v>25229</v>
      </c>
      <c r="E5393" t="s">
        <v>27394</v>
      </c>
      <c r="F5393" t="s">
        <v>27453</v>
      </c>
      <c r="G5393" t="s">
        <v>28843</v>
      </c>
      <c r="H5393" t="s">
        <v>868</v>
      </c>
      <c r="I5393" t="s">
        <v>950</v>
      </c>
      <c r="J5393" t="str">
        <f>"9490012"</f>
        <v>9490012</v>
      </c>
      <c r="K5393">
        <v>2399061065</v>
      </c>
      <c r="L5393">
        <v>2399061065</v>
      </c>
      <c r="M5393" t="s">
        <v>32335</v>
      </c>
      <c r="N5393" t="s">
        <v>32265</v>
      </c>
      <c r="O5393" t="s">
        <v>32336</v>
      </c>
      <c r="P5393">
        <v>63080</v>
      </c>
      <c r="Q5393" t="str">
        <f>"40.345279"</f>
        <v>40.345279</v>
      </c>
      <c r="R5393" t="str">
        <f>"23.015014"</f>
        <v>23.015014</v>
      </c>
      <c r="S5393" t="s">
        <v>26</v>
      </c>
    </row>
    <row r="5394" spans="1:19" x14ac:dyDescent="0.3">
      <c r="A5394" t="s">
        <v>25190</v>
      </c>
      <c r="B5394" t="s">
        <v>32051</v>
      </c>
      <c r="C5394" t="s">
        <v>27575</v>
      </c>
      <c r="D5394" t="s">
        <v>25229</v>
      </c>
      <c r="E5394" t="s">
        <v>27394</v>
      </c>
      <c r="F5394" t="s">
        <v>27447</v>
      </c>
      <c r="G5394" t="s">
        <v>27570</v>
      </c>
      <c r="H5394" t="s">
        <v>868</v>
      </c>
      <c r="I5394" t="s">
        <v>869</v>
      </c>
      <c r="J5394" t="str">
        <f>"9490029"</f>
        <v>9490029</v>
      </c>
      <c r="K5394">
        <v>2373041571</v>
      </c>
      <c r="L5394">
        <v>2373041571</v>
      </c>
      <c r="M5394" t="s">
        <v>32337</v>
      </c>
      <c r="N5394" t="s">
        <v>27573</v>
      </c>
      <c r="O5394" t="s">
        <v>32338</v>
      </c>
      <c r="P5394">
        <v>63200</v>
      </c>
      <c r="Q5394" t="str">
        <f>"40.196077"</f>
        <v>40.196077</v>
      </c>
      <c r="R5394" t="str">
        <f>"23.327043"</f>
        <v>23.327043</v>
      </c>
      <c r="S5394" t="s">
        <v>26</v>
      </c>
    </row>
    <row r="5395" spans="1:19" x14ac:dyDescent="0.3">
      <c r="A5395" t="s">
        <v>25190</v>
      </c>
      <c r="B5395" t="s">
        <v>32051</v>
      </c>
      <c r="C5395" t="s">
        <v>32340</v>
      </c>
      <c r="D5395" t="s">
        <v>25229</v>
      </c>
      <c r="E5395" t="s">
        <v>27415</v>
      </c>
      <c r="F5395" t="s">
        <v>4024</v>
      </c>
      <c r="G5395" t="s">
        <v>32339</v>
      </c>
      <c r="H5395" t="s">
        <v>868</v>
      </c>
      <c r="I5395" t="s">
        <v>869</v>
      </c>
      <c r="J5395" t="str">
        <f>"9490048"</f>
        <v>9490048</v>
      </c>
      <c r="K5395">
        <v>2374051205</v>
      </c>
      <c r="L5395">
        <v>2374051205</v>
      </c>
      <c r="M5395" t="s">
        <v>32341</v>
      </c>
      <c r="N5395" t="s">
        <v>32342</v>
      </c>
      <c r="O5395" t="s">
        <v>32342</v>
      </c>
      <c r="P5395">
        <v>63085</v>
      </c>
      <c r="Q5395" t="str">
        <f>"40.014616"</f>
        <v>40.014616</v>
      </c>
      <c r="R5395" t="str">
        <f>"23.528684"</f>
        <v>23.528684</v>
      </c>
      <c r="S5395" t="s">
        <v>26</v>
      </c>
    </row>
    <row r="5396" spans="1:19" x14ac:dyDescent="0.3">
      <c r="A5396" t="s">
        <v>25190</v>
      </c>
      <c r="B5396" t="s">
        <v>32051</v>
      </c>
      <c r="C5396" t="s">
        <v>27580</v>
      </c>
      <c r="D5396" t="s">
        <v>25229</v>
      </c>
      <c r="E5396" t="s">
        <v>27415</v>
      </c>
      <c r="F5396" t="s">
        <v>27415</v>
      </c>
      <c r="G5396" t="s">
        <v>27576</v>
      </c>
      <c r="H5396" t="s">
        <v>868</v>
      </c>
      <c r="I5396" t="s">
        <v>869</v>
      </c>
      <c r="J5396" t="str">
        <f>"9490034"</f>
        <v>9490034</v>
      </c>
      <c r="K5396">
        <v>2374081242</v>
      </c>
      <c r="L5396">
        <v>2374081242</v>
      </c>
      <c r="M5396" t="s">
        <v>32343</v>
      </c>
      <c r="N5396" t="s">
        <v>27579</v>
      </c>
      <c r="P5396">
        <v>63077</v>
      </c>
      <c r="Q5396" t="str">
        <f>"40.131482"</f>
        <v>40.131482</v>
      </c>
      <c r="R5396" t="str">
        <f>"23.394614"</f>
        <v>23.394614</v>
      </c>
      <c r="S5396" t="s">
        <v>26</v>
      </c>
    </row>
    <row r="5397" spans="1:19" x14ac:dyDescent="0.3">
      <c r="A5397" t="s">
        <v>25190</v>
      </c>
      <c r="B5397" t="s">
        <v>32051</v>
      </c>
      <c r="C5397" t="s">
        <v>32344</v>
      </c>
      <c r="D5397" t="s">
        <v>25229</v>
      </c>
      <c r="E5397" t="s">
        <v>27394</v>
      </c>
      <c r="F5397" t="s">
        <v>27453</v>
      </c>
      <c r="G5397" t="s">
        <v>1497</v>
      </c>
      <c r="H5397" t="s">
        <v>868</v>
      </c>
      <c r="I5397" t="s">
        <v>869</v>
      </c>
      <c r="J5397" t="str">
        <f>"9490024"</f>
        <v>9490024</v>
      </c>
      <c r="K5397">
        <v>2399051260</v>
      </c>
      <c r="L5397">
        <v>2399051260</v>
      </c>
      <c r="M5397" t="s">
        <v>32345</v>
      </c>
      <c r="N5397" t="s">
        <v>1494</v>
      </c>
      <c r="O5397" t="s">
        <v>32346</v>
      </c>
      <c r="P5397">
        <v>63080</v>
      </c>
      <c r="Q5397" t="str">
        <f>"40.390852"</f>
        <v>40.390852</v>
      </c>
      <c r="R5397" t="str">
        <f>"23.059087"</f>
        <v>23.059087</v>
      </c>
      <c r="S5397" t="s">
        <v>26</v>
      </c>
    </row>
    <row r="5398" spans="1:19" x14ac:dyDescent="0.3">
      <c r="A5398" t="s">
        <v>25190</v>
      </c>
      <c r="B5398" t="s">
        <v>32051</v>
      </c>
      <c r="C5398" t="s">
        <v>32348</v>
      </c>
      <c r="D5398" t="s">
        <v>25229</v>
      </c>
      <c r="E5398" t="s">
        <v>27394</v>
      </c>
      <c r="F5398" t="s">
        <v>27453</v>
      </c>
      <c r="G5398" t="s">
        <v>32347</v>
      </c>
      <c r="H5398" t="s">
        <v>868</v>
      </c>
      <c r="I5398" t="s">
        <v>869</v>
      </c>
      <c r="J5398" t="str">
        <f>"9490037"</f>
        <v>9490037</v>
      </c>
      <c r="K5398">
        <v>2399023533</v>
      </c>
      <c r="L5398">
        <v>2399023533</v>
      </c>
      <c r="M5398" t="s">
        <v>32349</v>
      </c>
      <c r="N5398" t="s">
        <v>27454</v>
      </c>
      <c r="O5398" t="s">
        <v>32350</v>
      </c>
      <c r="P5398">
        <v>63080</v>
      </c>
      <c r="Q5398" t="str">
        <f>"40.328652"</f>
        <v>40.328652</v>
      </c>
      <c r="R5398" t="str">
        <f>"23.135431"</f>
        <v>23.135431</v>
      </c>
      <c r="S5398" t="s">
        <v>26</v>
      </c>
    </row>
    <row r="5399" spans="1:19" x14ac:dyDescent="0.3">
      <c r="A5399" t="s">
        <v>25190</v>
      </c>
      <c r="B5399" t="s">
        <v>32051</v>
      </c>
      <c r="C5399" t="s">
        <v>32351</v>
      </c>
      <c r="D5399" t="s">
        <v>25229</v>
      </c>
      <c r="E5399" t="s">
        <v>27394</v>
      </c>
      <c r="F5399" t="s">
        <v>27447</v>
      </c>
      <c r="G5399" t="s">
        <v>32245</v>
      </c>
      <c r="H5399" t="s">
        <v>868</v>
      </c>
      <c r="I5399" t="s">
        <v>869</v>
      </c>
      <c r="J5399" t="str">
        <f>"9490057"</f>
        <v>9490057</v>
      </c>
      <c r="K5399">
        <v>2373031377</v>
      </c>
      <c r="L5399">
        <v>2373031377</v>
      </c>
      <c r="M5399" t="s">
        <v>32352</v>
      </c>
      <c r="N5399" t="s">
        <v>32353</v>
      </c>
      <c r="O5399" t="s">
        <v>32354</v>
      </c>
      <c r="P5399">
        <v>63200</v>
      </c>
      <c r="Q5399" t="str">
        <f>"40.258612"</f>
        <v>40.258612</v>
      </c>
      <c r="R5399" t="str">
        <f>"23.221477"</f>
        <v>23.221477</v>
      </c>
      <c r="S5399" t="s">
        <v>26</v>
      </c>
    </row>
    <row r="5400" spans="1:19" x14ac:dyDescent="0.3">
      <c r="A5400" t="s">
        <v>25190</v>
      </c>
      <c r="B5400" t="s">
        <v>32051</v>
      </c>
      <c r="C5400" t="s">
        <v>27469</v>
      </c>
      <c r="D5400" t="s">
        <v>25229</v>
      </c>
      <c r="E5400" t="s">
        <v>27394</v>
      </c>
      <c r="F5400" t="s">
        <v>27447</v>
      </c>
      <c r="G5400" t="s">
        <v>2180</v>
      </c>
      <c r="H5400" t="s">
        <v>868</v>
      </c>
      <c r="I5400" t="s">
        <v>869</v>
      </c>
      <c r="J5400" t="str">
        <f>"9490051"</f>
        <v>9490051</v>
      </c>
      <c r="K5400">
        <v>2373061208</v>
      </c>
      <c r="L5400">
        <v>2373061227</v>
      </c>
      <c r="M5400" t="s">
        <v>32355</v>
      </c>
      <c r="N5400" t="s">
        <v>32356</v>
      </c>
      <c r="O5400" t="s">
        <v>27468</v>
      </c>
      <c r="P5400">
        <v>63200</v>
      </c>
      <c r="Q5400" t="str">
        <f>"40.343263"</f>
        <v>40.343263</v>
      </c>
      <c r="R5400" t="str">
        <f>"23.311523"</f>
        <v>23.311523</v>
      </c>
      <c r="S5400" t="s">
        <v>26</v>
      </c>
    </row>
    <row r="5401" spans="1:19" x14ac:dyDescent="0.3">
      <c r="A5401" t="s">
        <v>25190</v>
      </c>
      <c r="B5401" t="s">
        <v>32051</v>
      </c>
      <c r="C5401" t="s">
        <v>32358</v>
      </c>
      <c r="D5401" t="s">
        <v>25229</v>
      </c>
      <c r="E5401" t="s">
        <v>27415</v>
      </c>
      <c r="F5401" t="s">
        <v>27415</v>
      </c>
      <c r="G5401" t="s">
        <v>32357</v>
      </c>
      <c r="H5401" t="s">
        <v>868</v>
      </c>
      <c r="I5401" t="s">
        <v>869</v>
      </c>
      <c r="J5401" t="str">
        <f>"9490058"</f>
        <v>9490058</v>
      </c>
      <c r="K5401">
        <v>2374041205</v>
      </c>
      <c r="L5401">
        <v>2374041205</v>
      </c>
      <c r="M5401" t="s">
        <v>32359</v>
      </c>
      <c r="N5401" t="s">
        <v>32360</v>
      </c>
      <c r="O5401" t="s">
        <v>32361</v>
      </c>
      <c r="P5401">
        <v>63077</v>
      </c>
      <c r="Q5401" t="str">
        <f>"40.005744"</f>
        <v>40.005744</v>
      </c>
      <c r="R5401" t="str">
        <f>"23.414934"</f>
        <v>23.414934</v>
      </c>
      <c r="S5401" t="s">
        <v>26</v>
      </c>
    </row>
    <row r="5402" spans="1:19" x14ac:dyDescent="0.3">
      <c r="A5402" t="s">
        <v>25190</v>
      </c>
      <c r="B5402" t="s">
        <v>32051</v>
      </c>
      <c r="C5402" t="s">
        <v>27499</v>
      </c>
      <c r="D5402" t="s">
        <v>25229</v>
      </c>
      <c r="E5402" t="s">
        <v>27415</v>
      </c>
      <c r="F5402" t="s">
        <v>4024</v>
      </c>
      <c r="G5402" t="s">
        <v>27494</v>
      </c>
      <c r="H5402" t="s">
        <v>868</v>
      </c>
      <c r="I5402" t="s">
        <v>869</v>
      </c>
      <c r="J5402" t="str">
        <f>"9490044"</f>
        <v>9490044</v>
      </c>
      <c r="K5402">
        <v>2374092207</v>
      </c>
      <c r="L5402">
        <v>2374092207</v>
      </c>
      <c r="M5402" t="s">
        <v>32362</v>
      </c>
      <c r="N5402" t="s">
        <v>27498</v>
      </c>
      <c r="O5402" t="s">
        <v>32363</v>
      </c>
      <c r="P5402">
        <v>63085</v>
      </c>
      <c r="Q5402" t="str">
        <f>"39.946142"</f>
        <v>39.946142</v>
      </c>
      <c r="R5402" t="str">
        <f>"23.663095"</f>
        <v>23.663095</v>
      </c>
      <c r="S5402" t="s">
        <v>26</v>
      </c>
    </row>
    <row r="5403" spans="1:19" x14ac:dyDescent="0.3">
      <c r="A5403" t="s">
        <v>25190</v>
      </c>
      <c r="B5403" t="s">
        <v>32051</v>
      </c>
      <c r="C5403" t="s">
        <v>32364</v>
      </c>
      <c r="D5403" t="s">
        <v>25229</v>
      </c>
      <c r="E5403" t="s">
        <v>27394</v>
      </c>
      <c r="F5403" t="s">
        <v>27453</v>
      </c>
      <c r="G5403" t="s">
        <v>27454</v>
      </c>
      <c r="H5403" t="s">
        <v>868</v>
      </c>
      <c r="I5403" t="s">
        <v>869</v>
      </c>
      <c r="J5403" t="str">
        <f>"9490028"</f>
        <v>9490028</v>
      </c>
      <c r="K5403">
        <v>2399021326</v>
      </c>
      <c r="L5403">
        <v>2399022017</v>
      </c>
      <c r="M5403" t="s">
        <v>32365</v>
      </c>
      <c r="N5403" t="s">
        <v>27540</v>
      </c>
      <c r="O5403" t="s">
        <v>32366</v>
      </c>
      <c r="P5403">
        <v>63080</v>
      </c>
      <c r="Q5403" t="str">
        <f>"40.320458"</f>
        <v>40.320458</v>
      </c>
      <c r="R5403" t="str">
        <f>"23.051287"</f>
        <v>23.051287</v>
      </c>
      <c r="S5403" t="s">
        <v>26</v>
      </c>
    </row>
    <row r="5404" spans="1:19" x14ac:dyDescent="0.3">
      <c r="A5404" t="s">
        <v>25190</v>
      </c>
      <c r="B5404" t="s">
        <v>32051</v>
      </c>
      <c r="C5404" t="s">
        <v>27515</v>
      </c>
      <c r="D5404" t="s">
        <v>25229</v>
      </c>
      <c r="E5404" t="s">
        <v>27415</v>
      </c>
      <c r="F5404" t="s">
        <v>27415</v>
      </c>
      <c r="G5404" t="s">
        <v>27416</v>
      </c>
      <c r="H5404" t="s">
        <v>868</v>
      </c>
      <c r="I5404" t="s">
        <v>869</v>
      </c>
      <c r="J5404" t="str">
        <f>"9490355"</f>
        <v>9490355</v>
      </c>
      <c r="K5404">
        <v>2374023998</v>
      </c>
      <c r="L5404">
        <v>2374023998</v>
      </c>
      <c r="M5404" t="s">
        <v>32367</v>
      </c>
      <c r="N5404" t="s">
        <v>27420</v>
      </c>
      <c r="O5404" t="s">
        <v>27420</v>
      </c>
      <c r="P5404">
        <v>63077</v>
      </c>
      <c r="Q5404" t="str">
        <f>"40.052548"</f>
        <v>40.052548</v>
      </c>
      <c r="R5404" t="str">
        <f>"23.420134"</f>
        <v>23.420134</v>
      </c>
      <c r="S5404" t="s">
        <v>26</v>
      </c>
    </row>
    <row r="5405" spans="1:19" x14ac:dyDescent="0.3">
      <c r="A5405" t="s">
        <v>25190</v>
      </c>
      <c r="B5405" t="s">
        <v>32051</v>
      </c>
      <c r="C5405" t="s">
        <v>27452</v>
      </c>
      <c r="D5405" t="s">
        <v>25229</v>
      </c>
      <c r="E5405" t="s">
        <v>27394</v>
      </c>
      <c r="F5405" t="s">
        <v>27447</v>
      </c>
      <c r="G5405" t="s">
        <v>27401</v>
      </c>
      <c r="H5405" t="s">
        <v>868</v>
      </c>
      <c r="I5405" t="s">
        <v>869</v>
      </c>
      <c r="J5405" t="str">
        <f>"9490003"</f>
        <v>9490003</v>
      </c>
      <c r="K5405">
        <v>2373021260</v>
      </c>
      <c r="L5405">
        <v>2373065224</v>
      </c>
      <c r="M5405" t="s">
        <v>32368</v>
      </c>
      <c r="N5405" t="s">
        <v>32369</v>
      </c>
      <c r="O5405" t="s">
        <v>32370</v>
      </c>
      <c r="P5405">
        <v>63200</v>
      </c>
      <c r="Q5405" t="str">
        <f>"40.240232"</f>
        <v>40.240232</v>
      </c>
      <c r="R5405" t="str">
        <f>"23.287093"</f>
        <v>23.287093</v>
      </c>
      <c r="S5405" t="s">
        <v>26</v>
      </c>
    </row>
    <row r="5406" spans="1:19" x14ac:dyDescent="0.3">
      <c r="A5406" t="s">
        <v>25190</v>
      </c>
      <c r="B5406" t="s">
        <v>32051</v>
      </c>
      <c r="C5406" t="s">
        <v>27421</v>
      </c>
      <c r="D5406" t="s">
        <v>25229</v>
      </c>
      <c r="E5406" t="s">
        <v>27415</v>
      </c>
      <c r="F5406" t="s">
        <v>27415</v>
      </c>
      <c r="G5406" t="s">
        <v>27416</v>
      </c>
      <c r="H5406" t="s">
        <v>868</v>
      </c>
      <c r="I5406" t="s">
        <v>869</v>
      </c>
      <c r="J5406" t="str">
        <f>"9490020"</f>
        <v>9490020</v>
      </c>
      <c r="K5406">
        <v>2374022298</v>
      </c>
      <c r="L5406">
        <v>2374022298</v>
      </c>
      <c r="M5406" t="s">
        <v>32371</v>
      </c>
      <c r="N5406" t="s">
        <v>27420</v>
      </c>
      <c r="O5406" t="s">
        <v>27420</v>
      </c>
      <c r="P5406">
        <v>63077</v>
      </c>
      <c r="Q5406" t="str">
        <f>"40.045942"</f>
        <v>40.045942</v>
      </c>
      <c r="R5406" t="str">
        <f>"23.411533"</f>
        <v>23.411533</v>
      </c>
      <c r="S5406" t="s">
        <v>26</v>
      </c>
    </row>
    <row r="5407" spans="1:19" x14ac:dyDescent="0.3">
      <c r="A5407" t="s">
        <v>25190</v>
      </c>
      <c r="B5407" t="s">
        <v>32051</v>
      </c>
      <c r="C5407" t="s">
        <v>27459</v>
      </c>
      <c r="D5407" t="s">
        <v>25229</v>
      </c>
      <c r="E5407" t="s">
        <v>27394</v>
      </c>
      <c r="F5407" t="s">
        <v>27453</v>
      </c>
      <c r="G5407" t="s">
        <v>27454</v>
      </c>
      <c r="H5407" t="s">
        <v>868</v>
      </c>
      <c r="I5407" t="s">
        <v>869</v>
      </c>
      <c r="J5407" t="str">
        <f>"9490352"</f>
        <v>9490352</v>
      </c>
      <c r="K5407">
        <v>2399023985</v>
      </c>
      <c r="L5407">
        <v>2399020043</v>
      </c>
      <c r="M5407" t="s">
        <v>32372</v>
      </c>
      <c r="N5407" t="s">
        <v>27540</v>
      </c>
      <c r="O5407" t="s">
        <v>32373</v>
      </c>
      <c r="P5407">
        <v>63080</v>
      </c>
      <c r="Q5407" t="str">
        <f>"40.313268"</f>
        <v>40.313268</v>
      </c>
      <c r="R5407" t="str">
        <f>"23.063089"</f>
        <v>23.063089</v>
      </c>
      <c r="S5407" t="s">
        <v>26</v>
      </c>
    </row>
    <row r="5408" spans="1:19" x14ac:dyDescent="0.3">
      <c r="A5408" t="s">
        <v>25190</v>
      </c>
      <c r="B5408" t="s">
        <v>32051</v>
      </c>
      <c r="C5408" t="s">
        <v>27486</v>
      </c>
      <c r="D5408" t="s">
        <v>25229</v>
      </c>
      <c r="E5408" t="s">
        <v>27394</v>
      </c>
      <c r="F5408" t="s">
        <v>27447</v>
      </c>
      <c r="G5408" t="s">
        <v>27401</v>
      </c>
      <c r="H5408" t="s">
        <v>868</v>
      </c>
      <c r="I5408" t="s">
        <v>869</v>
      </c>
      <c r="J5408" t="str">
        <f>"9490162"</f>
        <v>9490162</v>
      </c>
      <c r="K5408">
        <v>2373022778</v>
      </c>
      <c r="L5408">
        <v>2373026033</v>
      </c>
      <c r="M5408" t="s">
        <v>32374</v>
      </c>
      <c r="N5408" t="s">
        <v>32164</v>
      </c>
      <c r="O5408" t="s">
        <v>32375</v>
      </c>
      <c r="P5408">
        <v>63200</v>
      </c>
      <c r="Q5408" t="str">
        <f>"40.242609"</f>
        <v>40.242609</v>
      </c>
      <c r="R5408" t="str">
        <f>"23.281046"</f>
        <v>23.281046</v>
      </c>
      <c r="S5408" t="s">
        <v>26</v>
      </c>
    </row>
    <row r="5409" spans="1:19" x14ac:dyDescent="0.3">
      <c r="A5409" t="s">
        <v>25190</v>
      </c>
      <c r="B5409" t="s">
        <v>32051</v>
      </c>
      <c r="C5409" t="s">
        <v>32420</v>
      </c>
      <c r="D5409" t="s">
        <v>25229</v>
      </c>
      <c r="E5409" t="s">
        <v>27415</v>
      </c>
      <c r="F5409" t="s">
        <v>4024</v>
      </c>
      <c r="G5409" t="s">
        <v>32207</v>
      </c>
      <c r="H5409" t="s">
        <v>868</v>
      </c>
      <c r="I5409" t="s">
        <v>869</v>
      </c>
      <c r="J5409" t="str">
        <f>"9490059"</f>
        <v>9490059</v>
      </c>
      <c r="K5409">
        <v>2374051095</v>
      </c>
      <c r="L5409">
        <v>2374051095</v>
      </c>
      <c r="M5409" t="s">
        <v>32421</v>
      </c>
      <c r="N5409" t="s">
        <v>32207</v>
      </c>
      <c r="O5409" t="s">
        <v>32207</v>
      </c>
      <c r="P5409">
        <v>63085</v>
      </c>
      <c r="Q5409" t="str">
        <f>"39.943293"</f>
        <v>39.943293</v>
      </c>
      <c r="R5409" t="str">
        <f>"23.642983"</f>
        <v>23.642983</v>
      </c>
      <c r="S5409" t="s">
        <v>26</v>
      </c>
    </row>
    <row r="5410" spans="1:19" x14ac:dyDescent="0.3">
      <c r="A5410" t="s">
        <v>25190</v>
      </c>
      <c r="B5410" t="s">
        <v>32051</v>
      </c>
      <c r="C5410" t="s">
        <v>32422</v>
      </c>
      <c r="D5410" t="s">
        <v>25229</v>
      </c>
      <c r="E5410" t="s">
        <v>27394</v>
      </c>
      <c r="F5410" t="s">
        <v>27447</v>
      </c>
      <c r="G5410" t="s">
        <v>27401</v>
      </c>
      <c r="H5410" t="s">
        <v>868</v>
      </c>
      <c r="I5410" t="s">
        <v>869</v>
      </c>
      <c r="J5410" t="str">
        <f>"9521234"</f>
        <v>9521234</v>
      </c>
      <c r="K5410">
        <v>2373021748</v>
      </c>
      <c r="L5410">
        <v>2373021792</v>
      </c>
      <c r="M5410" t="s">
        <v>32423</v>
      </c>
      <c r="N5410" t="s">
        <v>32097</v>
      </c>
      <c r="O5410" t="s">
        <v>32424</v>
      </c>
      <c r="P5410">
        <v>63200</v>
      </c>
      <c r="Q5410" t="str">
        <f>"40.244062"</f>
        <v>40.244062</v>
      </c>
      <c r="R5410" t="str">
        <f>"23.292022"</f>
        <v>23.292022</v>
      </c>
      <c r="S5410" t="s">
        <v>26</v>
      </c>
    </row>
    <row r="5411" spans="1:19" x14ac:dyDescent="0.3">
      <c r="A5411" t="s">
        <v>25190</v>
      </c>
      <c r="B5411" t="s">
        <v>32051</v>
      </c>
      <c r="C5411" t="s">
        <v>32428</v>
      </c>
      <c r="D5411" t="s">
        <v>25229</v>
      </c>
      <c r="E5411" t="s">
        <v>27403</v>
      </c>
      <c r="F5411" t="s">
        <v>27430</v>
      </c>
      <c r="G5411" t="s">
        <v>1684</v>
      </c>
      <c r="H5411" t="s">
        <v>868</v>
      </c>
      <c r="I5411" t="s">
        <v>1157</v>
      </c>
      <c r="J5411" t="str">
        <f>"9521275"</f>
        <v>9521275</v>
      </c>
      <c r="K5411">
        <v>2372042103</v>
      </c>
      <c r="L5411">
        <v>2372042103</v>
      </c>
      <c r="N5411" t="s">
        <v>1687</v>
      </c>
      <c r="O5411" t="s">
        <v>1687</v>
      </c>
      <c r="P5411">
        <v>63074</v>
      </c>
      <c r="Q5411" t="str">
        <f>"40.492441"</f>
        <v>40.492441</v>
      </c>
      <c r="R5411" t="str">
        <f>"23.649284"</f>
        <v>23.649284</v>
      </c>
      <c r="S5411" t="s">
        <v>26</v>
      </c>
    </row>
    <row r="5412" spans="1:19" x14ac:dyDescent="0.3">
      <c r="A5412" t="s">
        <v>25190</v>
      </c>
      <c r="B5412" t="s">
        <v>32051</v>
      </c>
      <c r="C5412" t="s">
        <v>32433</v>
      </c>
      <c r="D5412" t="s">
        <v>25229</v>
      </c>
      <c r="E5412" t="s">
        <v>27394</v>
      </c>
      <c r="F5412" t="s">
        <v>27447</v>
      </c>
      <c r="G5412" t="s">
        <v>22987</v>
      </c>
      <c r="H5412" t="s">
        <v>868</v>
      </c>
      <c r="I5412" t="s">
        <v>1157</v>
      </c>
      <c r="J5412" t="str">
        <f>"9521274"</f>
        <v>9521274</v>
      </c>
      <c r="K5412">
        <v>2373022772</v>
      </c>
      <c r="L5412">
        <v>2373022772</v>
      </c>
      <c r="M5412" t="s">
        <v>32434</v>
      </c>
      <c r="N5412" t="s">
        <v>27394</v>
      </c>
      <c r="O5412" t="s">
        <v>23281</v>
      </c>
      <c r="P5412">
        <v>63200</v>
      </c>
      <c r="Q5412" t="str">
        <f>"40.284319"</f>
        <v>40.284319</v>
      </c>
      <c r="R5412" t="str">
        <f>"23.295061"</f>
        <v>23.295061</v>
      </c>
      <c r="S5412" t="s">
        <v>26</v>
      </c>
    </row>
    <row r="5413" spans="1:19" x14ac:dyDescent="0.3">
      <c r="A5413" t="s">
        <v>25190</v>
      </c>
      <c r="B5413" t="s">
        <v>32051</v>
      </c>
      <c r="C5413" t="s">
        <v>32440</v>
      </c>
      <c r="D5413" t="s">
        <v>25229</v>
      </c>
      <c r="E5413" t="s">
        <v>27415</v>
      </c>
      <c r="F5413" t="s">
        <v>27415</v>
      </c>
      <c r="G5413" t="s">
        <v>32091</v>
      </c>
      <c r="H5413" t="s">
        <v>868</v>
      </c>
      <c r="I5413" t="s">
        <v>869</v>
      </c>
      <c r="J5413" t="str">
        <f>"9490017"</f>
        <v>9490017</v>
      </c>
      <c r="K5413">
        <v>2374041295</v>
      </c>
      <c r="L5413">
        <v>2374041295</v>
      </c>
      <c r="M5413" t="s">
        <v>32441</v>
      </c>
      <c r="N5413" t="s">
        <v>32094</v>
      </c>
      <c r="O5413" t="s">
        <v>32094</v>
      </c>
      <c r="P5413">
        <v>63077</v>
      </c>
      <c r="Q5413" t="str">
        <f>"39.974741"</f>
        <v>39.974741</v>
      </c>
      <c r="R5413" t="str">
        <f>"23.400710"</f>
        <v>23.400710</v>
      </c>
      <c r="S5413" t="s">
        <v>26</v>
      </c>
    </row>
    <row r="5414" spans="1:19" x14ac:dyDescent="0.3">
      <c r="A5414" t="s">
        <v>25190</v>
      </c>
      <c r="B5414" t="s">
        <v>32051</v>
      </c>
      <c r="C5414" t="s">
        <v>32442</v>
      </c>
      <c r="D5414" t="s">
        <v>25229</v>
      </c>
      <c r="E5414" t="s">
        <v>27403</v>
      </c>
      <c r="F5414" t="s">
        <v>27430</v>
      </c>
      <c r="G5414" t="s">
        <v>13744</v>
      </c>
      <c r="H5414" t="s">
        <v>868</v>
      </c>
      <c r="I5414" t="s">
        <v>950</v>
      </c>
      <c r="J5414" t="str">
        <f>"9490071"</f>
        <v>9490071</v>
      </c>
      <c r="K5414">
        <v>2372041252</v>
      </c>
      <c r="L5414">
        <v>2372041252</v>
      </c>
      <c r="M5414" t="s">
        <v>32443</v>
      </c>
      <c r="N5414" t="s">
        <v>13748</v>
      </c>
      <c r="O5414" t="s">
        <v>32444</v>
      </c>
      <c r="P5414">
        <v>63074</v>
      </c>
      <c r="Q5414" t="str">
        <f>"40.509095"</f>
        <v>40.509095</v>
      </c>
      <c r="R5414" t="str">
        <f>"23.679872"</f>
        <v>23.679872</v>
      </c>
      <c r="S5414" t="s">
        <v>26</v>
      </c>
    </row>
    <row r="5415" spans="1:19" x14ac:dyDescent="0.3">
      <c r="A5415" t="s">
        <v>25190</v>
      </c>
      <c r="B5415" t="s">
        <v>32051</v>
      </c>
      <c r="C5415" t="s">
        <v>32445</v>
      </c>
      <c r="D5415" t="s">
        <v>25229</v>
      </c>
      <c r="E5415" t="s">
        <v>27415</v>
      </c>
      <c r="F5415" t="s">
        <v>27415</v>
      </c>
      <c r="G5415" t="s">
        <v>5563</v>
      </c>
      <c r="H5415" t="s">
        <v>868</v>
      </c>
      <c r="I5415" t="s">
        <v>869</v>
      </c>
      <c r="J5415" t="str">
        <f>"9490018"</f>
        <v>9490018</v>
      </c>
      <c r="K5415">
        <v>2374023366</v>
      </c>
      <c r="L5415">
        <v>2374023366</v>
      </c>
      <c r="M5415" t="s">
        <v>32446</v>
      </c>
      <c r="N5415" t="s">
        <v>5996</v>
      </c>
      <c r="O5415" t="s">
        <v>32447</v>
      </c>
      <c r="P5415">
        <v>63077</v>
      </c>
      <c r="Q5415" t="str">
        <f>"40.075976"</f>
        <v>40.075976</v>
      </c>
      <c r="R5415" t="str">
        <f>"23.444888"</f>
        <v>23.444888</v>
      </c>
      <c r="S5415" t="s">
        <v>26</v>
      </c>
    </row>
    <row r="5416" spans="1:19" x14ac:dyDescent="0.3">
      <c r="A5416" t="s">
        <v>25190</v>
      </c>
      <c r="B5416" t="s">
        <v>32051</v>
      </c>
      <c r="C5416" t="s">
        <v>32448</v>
      </c>
      <c r="D5416" t="s">
        <v>25229</v>
      </c>
      <c r="E5416" t="s">
        <v>27394</v>
      </c>
      <c r="F5416" t="s">
        <v>27395</v>
      </c>
      <c r="G5416" t="s">
        <v>15880</v>
      </c>
      <c r="H5416" t="s">
        <v>868</v>
      </c>
      <c r="I5416" t="s">
        <v>950</v>
      </c>
      <c r="J5416" t="str">
        <f>"9490022"</f>
        <v>9490022</v>
      </c>
      <c r="K5416">
        <v>2373075028</v>
      </c>
      <c r="L5416">
        <v>2373075028</v>
      </c>
      <c r="M5416" t="s">
        <v>32449</v>
      </c>
      <c r="N5416" t="s">
        <v>23975</v>
      </c>
      <c r="O5416" t="s">
        <v>23975</v>
      </c>
      <c r="P5416">
        <v>63080</v>
      </c>
      <c r="Q5416" t="str">
        <f>"40.405184"</f>
        <v>40.405184</v>
      </c>
      <c r="R5416" t="str">
        <f>"23.154206"</f>
        <v>23.154206</v>
      </c>
      <c r="S5416" t="s">
        <v>26</v>
      </c>
    </row>
    <row r="5417" spans="1:19" x14ac:dyDescent="0.3">
      <c r="A5417" t="s">
        <v>25190</v>
      </c>
      <c r="B5417" t="s">
        <v>32051</v>
      </c>
      <c r="C5417" t="s">
        <v>32467</v>
      </c>
      <c r="D5417" t="s">
        <v>25229</v>
      </c>
      <c r="E5417" t="s">
        <v>27394</v>
      </c>
      <c r="F5417" t="s">
        <v>27395</v>
      </c>
      <c r="G5417" t="s">
        <v>32199</v>
      </c>
      <c r="H5417" t="s">
        <v>868</v>
      </c>
      <c r="I5417" t="s">
        <v>869</v>
      </c>
      <c r="J5417" t="str">
        <f>"9521712"</f>
        <v>9521712</v>
      </c>
      <c r="K5417">
        <v>2373031205</v>
      </c>
      <c r="L5417">
        <v>2373031205</v>
      </c>
      <c r="M5417" t="s">
        <v>32468</v>
      </c>
      <c r="N5417" t="s">
        <v>32469</v>
      </c>
      <c r="O5417" t="s">
        <v>32202</v>
      </c>
      <c r="P5417">
        <v>63200</v>
      </c>
      <c r="Q5417" t="str">
        <f>"40.264643"</f>
        <v>40.264643</v>
      </c>
      <c r="R5417" t="str">
        <f>"23.201135"</f>
        <v>23.201135</v>
      </c>
      <c r="S5417" t="s">
        <v>26</v>
      </c>
    </row>
    <row r="5418" spans="1:19" x14ac:dyDescent="0.3">
      <c r="A5418" t="s">
        <v>32470</v>
      </c>
      <c r="B5418" t="s">
        <v>33426</v>
      </c>
      <c r="C5418" t="s">
        <v>33437</v>
      </c>
      <c r="D5418" t="s">
        <v>4618</v>
      </c>
      <c r="E5418" t="s">
        <v>4618</v>
      </c>
      <c r="F5418" t="s">
        <v>4618</v>
      </c>
      <c r="G5418" t="s">
        <v>32514</v>
      </c>
      <c r="H5418" t="s">
        <v>868</v>
      </c>
      <c r="I5418" t="s">
        <v>1157</v>
      </c>
      <c r="J5418" t="str">
        <f>"9170511"</f>
        <v>9170511</v>
      </c>
      <c r="K5418">
        <v>2810316275</v>
      </c>
      <c r="L5418">
        <v>2810528913</v>
      </c>
      <c r="M5418" t="s">
        <v>33438</v>
      </c>
      <c r="N5418" t="s">
        <v>33439</v>
      </c>
      <c r="O5418" t="s">
        <v>33440</v>
      </c>
      <c r="P5418">
        <v>71305</v>
      </c>
      <c r="Q5418" t="str">
        <f>"35.334402"</f>
        <v>35.334402</v>
      </c>
      <c r="R5418" t="str">
        <f>"25.126074"</f>
        <v>25.126074</v>
      </c>
      <c r="S5418" t="s">
        <v>26</v>
      </c>
    </row>
    <row r="5419" spans="1:19" x14ac:dyDescent="0.3">
      <c r="A5419" t="s">
        <v>32470</v>
      </c>
      <c r="B5419" t="s">
        <v>33426</v>
      </c>
      <c r="C5419" t="s">
        <v>32758</v>
      </c>
      <c r="D5419" t="s">
        <v>4618</v>
      </c>
      <c r="E5419" t="s">
        <v>4618</v>
      </c>
      <c r="F5419" t="s">
        <v>4618</v>
      </c>
      <c r="G5419" t="s">
        <v>32754</v>
      </c>
      <c r="H5419" t="s">
        <v>868</v>
      </c>
      <c r="I5419" t="s">
        <v>869</v>
      </c>
      <c r="J5419" t="str">
        <f>"9170535"</f>
        <v>9170535</v>
      </c>
      <c r="K5419">
        <v>2810222629</v>
      </c>
      <c r="L5419">
        <v>2810222629</v>
      </c>
      <c r="M5419" t="s">
        <v>33442</v>
      </c>
      <c r="N5419" t="s">
        <v>28925</v>
      </c>
      <c r="O5419" t="s">
        <v>33443</v>
      </c>
      <c r="P5419">
        <v>71307</v>
      </c>
      <c r="Q5419" t="str">
        <f>"35.332488"</f>
        <v>35.332488</v>
      </c>
      <c r="R5419" t="str">
        <f>"25.149370"</f>
        <v>25.149370</v>
      </c>
      <c r="S5419" t="s">
        <v>26</v>
      </c>
    </row>
    <row r="5420" spans="1:19" x14ac:dyDescent="0.3">
      <c r="A5420" t="s">
        <v>32470</v>
      </c>
      <c r="B5420" t="s">
        <v>33426</v>
      </c>
      <c r="C5420" t="s">
        <v>32809</v>
      </c>
      <c r="D5420" t="s">
        <v>4618</v>
      </c>
      <c r="E5420" t="s">
        <v>4618</v>
      </c>
      <c r="F5420" t="s">
        <v>4618</v>
      </c>
      <c r="G5420" t="s">
        <v>32754</v>
      </c>
      <c r="H5420" t="s">
        <v>868</v>
      </c>
      <c r="I5420" t="s">
        <v>869</v>
      </c>
      <c r="J5420" t="str">
        <f>"9170255"</f>
        <v>9170255</v>
      </c>
      <c r="K5420">
        <v>2810220750</v>
      </c>
      <c r="L5420">
        <v>2810220750</v>
      </c>
      <c r="M5420" t="s">
        <v>33454</v>
      </c>
      <c r="N5420" t="s">
        <v>4741</v>
      </c>
      <c r="O5420" t="s">
        <v>33455</v>
      </c>
      <c r="P5420">
        <v>71307</v>
      </c>
      <c r="Q5420" t="str">
        <f>"35.335893"</f>
        <v>35.335893</v>
      </c>
      <c r="R5420" t="str">
        <f>"25.147163"</f>
        <v>25.147163</v>
      </c>
      <c r="S5420" t="s">
        <v>26</v>
      </c>
    </row>
    <row r="5421" spans="1:19" x14ac:dyDescent="0.3">
      <c r="A5421" t="s">
        <v>32470</v>
      </c>
      <c r="B5421" t="s">
        <v>33426</v>
      </c>
      <c r="C5421" t="s">
        <v>32724</v>
      </c>
      <c r="D5421" t="s">
        <v>4618</v>
      </c>
      <c r="E5421" t="s">
        <v>32629</v>
      </c>
      <c r="F5421" t="s">
        <v>32630</v>
      </c>
      <c r="G5421" t="s">
        <v>33667</v>
      </c>
      <c r="H5421" t="s">
        <v>868</v>
      </c>
      <c r="I5421" t="s">
        <v>950</v>
      </c>
      <c r="J5421" t="str">
        <f>"9170325"</f>
        <v>9170325</v>
      </c>
      <c r="K5421">
        <v>2893031002</v>
      </c>
      <c r="L5421">
        <v>2893031054</v>
      </c>
      <c r="M5421" t="s">
        <v>33668</v>
      </c>
      <c r="N5421" t="s">
        <v>33669</v>
      </c>
      <c r="O5421" t="s">
        <v>33670</v>
      </c>
      <c r="P5421">
        <v>70016</v>
      </c>
      <c r="Q5421" t="str">
        <f>"35.053796"</f>
        <v>35.053796</v>
      </c>
      <c r="R5421" t="str">
        <f>"25.047637"</f>
        <v>25.047637</v>
      </c>
      <c r="S5421" t="s">
        <v>26</v>
      </c>
    </row>
    <row r="5422" spans="1:19" x14ac:dyDescent="0.3">
      <c r="A5422" t="s">
        <v>32470</v>
      </c>
      <c r="B5422" t="s">
        <v>33426</v>
      </c>
      <c r="C5422" t="s">
        <v>33686</v>
      </c>
      <c r="D5422" t="s">
        <v>4618</v>
      </c>
      <c r="E5422" t="s">
        <v>4618</v>
      </c>
      <c r="F5422" t="s">
        <v>4618</v>
      </c>
      <c r="G5422" t="s">
        <v>32514</v>
      </c>
      <c r="H5422" t="s">
        <v>868</v>
      </c>
      <c r="I5422" t="s">
        <v>869</v>
      </c>
      <c r="J5422" t="str">
        <f>"9170546"</f>
        <v>9170546</v>
      </c>
      <c r="K5422">
        <v>2810261362</v>
      </c>
      <c r="L5422">
        <v>2810310045</v>
      </c>
      <c r="M5422" t="s">
        <v>33687</v>
      </c>
      <c r="N5422" t="s">
        <v>28925</v>
      </c>
      <c r="O5422" t="s">
        <v>33441</v>
      </c>
      <c r="P5422">
        <v>71305</v>
      </c>
      <c r="Q5422" t="str">
        <f>"35.334057"</f>
        <v>35.334057</v>
      </c>
      <c r="R5422" t="str">
        <f>"25.126244"</f>
        <v>25.126244</v>
      </c>
      <c r="S5422" t="s">
        <v>26</v>
      </c>
    </row>
    <row r="5423" spans="1:19" x14ac:dyDescent="0.3">
      <c r="A5423" t="s">
        <v>32470</v>
      </c>
      <c r="B5423" t="s">
        <v>33426</v>
      </c>
      <c r="C5423" t="s">
        <v>32591</v>
      </c>
      <c r="D5423" t="s">
        <v>4618</v>
      </c>
      <c r="E5423" t="s">
        <v>32584</v>
      </c>
      <c r="F5423" t="s">
        <v>32585</v>
      </c>
      <c r="G5423" t="s">
        <v>32585</v>
      </c>
      <c r="H5423" t="s">
        <v>868</v>
      </c>
      <c r="I5423" t="s">
        <v>869</v>
      </c>
      <c r="J5423" t="str">
        <f>"9170338"</f>
        <v>9170338</v>
      </c>
      <c r="K5423">
        <v>2892051377</v>
      </c>
      <c r="L5423">
        <v>2892051377</v>
      </c>
      <c r="M5423" t="s">
        <v>33688</v>
      </c>
      <c r="N5423" t="s">
        <v>33689</v>
      </c>
      <c r="O5423" t="s">
        <v>32589</v>
      </c>
      <c r="P5423">
        <v>70200</v>
      </c>
      <c r="Q5423" t="str">
        <f>"35.072470"</f>
        <v>35.072470</v>
      </c>
      <c r="R5423" t="str">
        <f>"24.769131"</f>
        <v>24.769131</v>
      </c>
      <c r="S5423" t="s">
        <v>26</v>
      </c>
    </row>
    <row r="5424" spans="1:19" x14ac:dyDescent="0.3">
      <c r="A5424" t="s">
        <v>32470</v>
      </c>
      <c r="B5424" t="s">
        <v>33426</v>
      </c>
      <c r="C5424" t="s">
        <v>33690</v>
      </c>
      <c r="D5424" t="s">
        <v>4618</v>
      </c>
      <c r="E5424" t="s">
        <v>4618</v>
      </c>
      <c r="F5424" t="s">
        <v>4618</v>
      </c>
      <c r="G5424" t="s">
        <v>32754</v>
      </c>
      <c r="H5424" t="s">
        <v>868</v>
      </c>
      <c r="I5424" t="s">
        <v>869</v>
      </c>
      <c r="J5424" t="str">
        <f>"9170254"</f>
        <v>9170254</v>
      </c>
      <c r="K5424">
        <v>2810245117</v>
      </c>
      <c r="L5424">
        <v>2810245117</v>
      </c>
      <c r="M5424" t="s">
        <v>33691</v>
      </c>
      <c r="N5424" t="s">
        <v>28925</v>
      </c>
      <c r="O5424" t="s">
        <v>33692</v>
      </c>
      <c r="P5424">
        <v>71307</v>
      </c>
      <c r="Q5424" t="str">
        <f>"35.335823"</f>
        <v>35.335823</v>
      </c>
      <c r="R5424" t="str">
        <f>"25.144101"</f>
        <v>25.144101</v>
      </c>
      <c r="S5424" t="s">
        <v>26</v>
      </c>
    </row>
    <row r="5425" spans="1:19" x14ac:dyDescent="0.3">
      <c r="A5425" t="s">
        <v>32470</v>
      </c>
      <c r="B5425" t="s">
        <v>33426</v>
      </c>
      <c r="C5425" t="s">
        <v>32524</v>
      </c>
      <c r="D5425" t="s">
        <v>4618</v>
      </c>
      <c r="E5425" t="s">
        <v>32508</v>
      </c>
      <c r="F5425" t="s">
        <v>32519</v>
      </c>
      <c r="G5425" t="s">
        <v>33444</v>
      </c>
      <c r="H5425" t="s">
        <v>868</v>
      </c>
      <c r="I5425" t="s">
        <v>869</v>
      </c>
      <c r="J5425" t="str">
        <f>"9170205"</f>
        <v>9170205</v>
      </c>
      <c r="K5425">
        <v>2810762030</v>
      </c>
      <c r="L5425">
        <v>2810762095</v>
      </c>
      <c r="M5425" t="s">
        <v>33693</v>
      </c>
      <c r="N5425" t="s">
        <v>33694</v>
      </c>
      <c r="O5425" t="s">
        <v>33695</v>
      </c>
      <c r="P5425">
        <v>71500</v>
      </c>
      <c r="Q5425" t="str">
        <f>"35.325583"</f>
        <v>35.325583</v>
      </c>
      <c r="R5425" t="str">
        <f>"25.277419"</f>
        <v>25.277419</v>
      </c>
      <c r="S5425" t="s">
        <v>26</v>
      </c>
    </row>
    <row r="5426" spans="1:19" x14ac:dyDescent="0.3">
      <c r="A5426" t="s">
        <v>32470</v>
      </c>
      <c r="B5426" t="s">
        <v>33426</v>
      </c>
      <c r="C5426" t="s">
        <v>33699</v>
      </c>
      <c r="D5426" t="s">
        <v>4618</v>
      </c>
      <c r="E5426" t="s">
        <v>32584</v>
      </c>
      <c r="F5426" t="s">
        <v>32616</v>
      </c>
      <c r="G5426" t="s">
        <v>32616</v>
      </c>
      <c r="H5426" t="s">
        <v>868</v>
      </c>
      <c r="I5426" t="s">
        <v>869</v>
      </c>
      <c r="J5426" t="str">
        <f>"9170268"</f>
        <v>9170268</v>
      </c>
      <c r="K5426">
        <v>2892022710</v>
      </c>
      <c r="L5426">
        <v>2892022710</v>
      </c>
      <c r="M5426" t="s">
        <v>33700</v>
      </c>
      <c r="N5426" t="s">
        <v>32860</v>
      </c>
      <c r="O5426" t="s">
        <v>32860</v>
      </c>
      <c r="P5426">
        <v>70400</v>
      </c>
      <c r="Q5426" t="str">
        <f>"35.047702"</f>
        <v>35.047702</v>
      </c>
      <c r="R5426" t="str">
        <f>"24.873251"</f>
        <v>24.873251</v>
      </c>
      <c r="S5426" t="s">
        <v>26</v>
      </c>
    </row>
    <row r="5427" spans="1:19" x14ac:dyDescent="0.3">
      <c r="A5427" t="s">
        <v>32470</v>
      </c>
      <c r="B5427" t="s">
        <v>33426</v>
      </c>
      <c r="C5427" t="s">
        <v>33702</v>
      </c>
      <c r="D5427" t="s">
        <v>4618</v>
      </c>
      <c r="E5427" t="s">
        <v>32690</v>
      </c>
      <c r="F5427" t="s">
        <v>32690</v>
      </c>
      <c r="G5427" t="s">
        <v>33701</v>
      </c>
      <c r="H5427" t="s">
        <v>868</v>
      </c>
      <c r="I5427" t="s">
        <v>950</v>
      </c>
      <c r="J5427" t="str">
        <f>"9170129"</f>
        <v>9170129</v>
      </c>
      <c r="K5427">
        <v>2895031360</v>
      </c>
      <c r="L5427">
        <v>2895031125</v>
      </c>
      <c r="M5427" t="s">
        <v>33703</v>
      </c>
      <c r="N5427" t="s">
        <v>33704</v>
      </c>
      <c r="O5427" t="s">
        <v>33704</v>
      </c>
      <c r="P5427">
        <v>70004</v>
      </c>
      <c r="Q5427" t="str">
        <f>"35.040336"</f>
        <v>35.040336</v>
      </c>
      <c r="R5427" t="str">
        <f>"25.444916"</f>
        <v>25.444916</v>
      </c>
      <c r="S5427" t="s">
        <v>57</v>
      </c>
    </row>
    <row r="5428" spans="1:19" x14ac:dyDescent="0.3">
      <c r="A5428" t="s">
        <v>32470</v>
      </c>
      <c r="B5428" t="s">
        <v>33426</v>
      </c>
      <c r="C5428" t="s">
        <v>32674</v>
      </c>
      <c r="D5428" t="s">
        <v>4618</v>
      </c>
      <c r="E5428" t="s">
        <v>32549</v>
      </c>
      <c r="F5428" t="s">
        <v>32669</v>
      </c>
      <c r="G5428" t="s">
        <v>32669</v>
      </c>
      <c r="H5428" t="s">
        <v>868</v>
      </c>
      <c r="I5428" t="s">
        <v>869</v>
      </c>
      <c r="J5428" t="str">
        <f>"9170235"</f>
        <v>9170235</v>
      </c>
      <c r="K5428">
        <v>2891031258</v>
      </c>
      <c r="L5428">
        <v>2891031258</v>
      </c>
      <c r="M5428" t="s">
        <v>33705</v>
      </c>
      <c r="N5428" t="s">
        <v>33706</v>
      </c>
      <c r="O5428" t="s">
        <v>32840</v>
      </c>
      <c r="P5428">
        <v>70006</v>
      </c>
      <c r="Q5428" t="str">
        <f>"35.205732"</f>
        <v>35.205732</v>
      </c>
      <c r="R5428" t="str">
        <f>"25.340589"</f>
        <v>25.340589</v>
      </c>
      <c r="S5428" t="s">
        <v>26</v>
      </c>
    </row>
    <row r="5429" spans="1:19" x14ac:dyDescent="0.3">
      <c r="A5429" t="s">
        <v>32470</v>
      </c>
      <c r="B5429" t="s">
        <v>33426</v>
      </c>
      <c r="C5429" t="s">
        <v>32576</v>
      </c>
      <c r="D5429" t="s">
        <v>4618</v>
      </c>
      <c r="E5429" t="s">
        <v>32501</v>
      </c>
      <c r="F5429" t="s">
        <v>32571</v>
      </c>
      <c r="G5429" t="s">
        <v>32572</v>
      </c>
      <c r="H5429" t="s">
        <v>868</v>
      </c>
      <c r="I5429" t="s">
        <v>869</v>
      </c>
      <c r="J5429" t="str">
        <f>"9170326"</f>
        <v>9170326</v>
      </c>
      <c r="K5429">
        <v>2893022213</v>
      </c>
      <c r="L5429">
        <v>2893023264</v>
      </c>
      <c r="M5429" t="s">
        <v>33718</v>
      </c>
      <c r="N5429" t="s">
        <v>33719</v>
      </c>
      <c r="O5429" t="s">
        <v>33719</v>
      </c>
      <c r="P5429">
        <v>70010</v>
      </c>
      <c r="Q5429" t="str">
        <f>"35.010351"</f>
        <v>35.010351</v>
      </c>
      <c r="R5429" t="str">
        <f>"25.120602"</f>
        <v>25.120602</v>
      </c>
      <c r="S5429" t="s">
        <v>26</v>
      </c>
    </row>
    <row r="5430" spans="1:19" x14ac:dyDescent="0.3">
      <c r="A5430" t="s">
        <v>32470</v>
      </c>
      <c r="B5430" t="s">
        <v>33426</v>
      </c>
      <c r="C5430" t="s">
        <v>33720</v>
      </c>
      <c r="D5430" t="s">
        <v>4618</v>
      </c>
      <c r="E5430" t="s">
        <v>4618</v>
      </c>
      <c r="F5430" t="s">
        <v>4618</v>
      </c>
      <c r="G5430" t="s">
        <v>32471</v>
      </c>
      <c r="H5430" t="s">
        <v>868</v>
      </c>
      <c r="I5430" t="s">
        <v>1157</v>
      </c>
      <c r="J5430" t="str">
        <f>"9170372"</f>
        <v>9170372</v>
      </c>
      <c r="K5430">
        <v>2810281754</v>
      </c>
      <c r="L5430">
        <v>2810281754</v>
      </c>
      <c r="M5430" t="s">
        <v>33721</v>
      </c>
      <c r="N5430" t="s">
        <v>28925</v>
      </c>
      <c r="O5430" t="s">
        <v>33722</v>
      </c>
      <c r="P5430">
        <v>71305</v>
      </c>
      <c r="Q5430" t="str">
        <f>"35.332425"</f>
        <v>35.332425</v>
      </c>
      <c r="R5430" t="str">
        <f>"25.134753"</f>
        <v>25.134753</v>
      </c>
      <c r="S5430" t="s">
        <v>26</v>
      </c>
    </row>
    <row r="5431" spans="1:19" x14ac:dyDescent="0.3">
      <c r="A5431" t="s">
        <v>32470</v>
      </c>
      <c r="B5431" t="s">
        <v>33426</v>
      </c>
      <c r="C5431" t="s">
        <v>17101</v>
      </c>
      <c r="D5431" t="s">
        <v>4618</v>
      </c>
      <c r="E5431" t="s">
        <v>32501</v>
      </c>
      <c r="F5431" t="s">
        <v>32596</v>
      </c>
      <c r="G5431" t="s">
        <v>33739</v>
      </c>
      <c r="H5431" t="s">
        <v>868</v>
      </c>
      <c r="I5431" t="s">
        <v>869</v>
      </c>
      <c r="J5431" t="str">
        <f>"9170211"</f>
        <v>9170211</v>
      </c>
      <c r="K5431">
        <v>2810741283</v>
      </c>
      <c r="L5431">
        <v>2810741283</v>
      </c>
      <c r="M5431" t="s">
        <v>33746</v>
      </c>
      <c r="N5431" t="s">
        <v>16740</v>
      </c>
      <c r="O5431" t="s">
        <v>16740</v>
      </c>
      <c r="P5431">
        <v>70100</v>
      </c>
      <c r="Q5431" t="str">
        <f>"35.234650"</f>
        <v>35.234650</v>
      </c>
      <c r="R5431" t="str">
        <f>"25.209204"</f>
        <v>25.209204</v>
      </c>
      <c r="S5431" t="s">
        <v>26</v>
      </c>
    </row>
    <row r="5432" spans="1:19" x14ac:dyDescent="0.3">
      <c r="A5432" t="s">
        <v>32470</v>
      </c>
      <c r="B5432" t="s">
        <v>33426</v>
      </c>
      <c r="C5432" t="s">
        <v>32890</v>
      </c>
      <c r="D5432" t="s">
        <v>4618</v>
      </c>
      <c r="E5432" t="s">
        <v>4618</v>
      </c>
      <c r="F5432" t="s">
        <v>4618</v>
      </c>
      <c r="G5432" t="s">
        <v>32471</v>
      </c>
      <c r="H5432" t="s">
        <v>868</v>
      </c>
      <c r="I5432" t="s">
        <v>869</v>
      </c>
      <c r="J5432" t="str">
        <f>"9170048"</f>
        <v>9170048</v>
      </c>
      <c r="K5432">
        <v>2810283303</v>
      </c>
      <c r="L5432">
        <v>2810283303</v>
      </c>
      <c r="M5432" t="s">
        <v>33750</v>
      </c>
      <c r="N5432" t="s">
        <v>28925</v>
      </c>
      <c r="O5432" t="s">
        <v>33751</v>
      </c>
      <c r="P5432">
        <v>71202</v>
      </c>
      <c r="Q5432" t="str">
        <f>"35.340773"</f>
        <v>35.340773</v>
      </c>
      <c r="R5432" t="str">
        <f>"25.129524"</f>
        <v>25.129524</v>
      </c>
      <c r="S5432" t="s">
        <v>26</v>
      </c>
    </row>
    <row r="5433" spans="1:19" x14ac:dyDescent="0.3">
      <c r="A5433" t="s">
        <v>32470</v>
      </c>
      <c r="B5433" t="s">
        <v>33426</v>
      </c>
      <c r="C5433" t="s">
        <v>32668</v>
      </c>
      <c r="D5433" t="s">
        <v>4618</v>
      </c>
      <c r="E5433" t="s">
        <v>32584</v>
      </c>
      <c r="F5433" t="s">
        <v>32616</v>
      </c>
      <c r="G5433" t="s">
        <v>32616</v>
      </c>
      <c r="H5433" t="s">
        <v>868</v>
      </c>
      <c r="I5433" t="s">
        <v>869</v>
      </c>
      <c r="J5433" t="str">
        <f>"9170495"</f>
        <v>9170495</v>
      </c>
      <c r="K5433">
        <v>2892023325</v>
      </c>
      <c r="L5433">
        <v>2892023325</v>
      </c>
      <c r="M5433" t="s">
        <v>33755</v>
      </c>
      <c r="N5433" t="s">
        <v>32860</v>
      </c>
      <c r="O5433" t="s">
        <v>32860</v>
      </c>
      <c r="P5433">
        <v>70400</v>
      </c>
      <c r="Q5433" t="str">
        <f>"35.051622"</f>
        <v>35.051622</v>
      </c>
      <c r="R5433" t="str">
        <f>"24.894672"</f>
        <v>24.894672</v>
      </c>
      <c r="S5433" t="s">
        <v>26</v>
      </c>
    </row>
    <row r="5434" spans="1:19" x14ac:dyDescent="0.3">
      <c r="A5434" t="s">
        <v>32470</v>
      </c>
      <c r="B5434" t="s">
        <v>33426</v>
      </c>
      <c r="C5434" t="s">
        <v>33756</v>
      </c>
      <c r="D5434" t="s">
        <v>4618</v>
      </c>
      <c r="E5434" t="s">
        <v>32508</v>
      </c>
      <c r="F5434" t="s">
        <v>32519</v>
      </c>
      <c r="G5434" t="s">
        <v>33472</v>
      </c>
      <c r="H5434" t="s">
        <v>868</v>
      </c>
      <c r="I5434" t="s">
        <v>869</v>
      </c>
      <c r="J5434" t="str">
        <f>"9170222"</f>
        <v>9170222</v>
      </c>
      <c r="K5434">
        <v>2810781325</v>
      </c>
      <c r="L5434">
        <v>2810781325</v>
      </c>
      <c r="M5434" t="s">
        <v>33757</v>
      </c>
      <c r="N5434" t="s">
        <v>33758</v>
      </c>
      <c r="O5434" t="s">
        <v>33758</v>
      </c>
      <c r="P5434">
        <v>70008</v>
      </c>
      <c r="Q5434" t="str">
        <f>"35.301207"</f>
        <v>35.301207</v>
      </c>
      <c r="R5434" t="str">
        <f>"25.231027"</f>
        <v>25.231027</v>
      </c>
      <c r="S5434" t="s">
        <v>26</v>
      </c>
    </row>
    <row r="5435" spans="1:19" x14ac:dyDescent="0.3">
      <c r="A5435" t="s">
        <v>32470</v>
      </c>
      <c r="B5435" t="s">
        <v>33426</v>
      </c>
      <c r="C5435" t="s">
        <v>32513</v>
      </c>
      <c r="D5435" t="s">
        <v>4618</v>
      </c>
      <c r="E5435" t="s">
        <v>32508</v>
      </c>
      <c r="F5435" t="s">
        <v>30112</v>
      </c>
      <c r="G5435" t="s">
        <v>30112</v>
      </c>
      <c r="H5435" t="s">
        <v>868</v>
      </c>
      <c r="I5435" t="s">
        <v>869</v>
      </c>
      <c r="J5435" t="str">
        <f>"9170224"</f>
        <v>9170224</v>
      </c>
      <c r="K5435">
        <v>2810771214</v>
      </c>
      <c r="L5435">
        <v>2810771214</v>
      </c>
      <c r="M5435" t="s">
        <v>33777</v>
      </c>
      <c r="N5435" t="s">
        <v>26516</v>
      </c>
      <c r="O5435" t="s">
        <v>26516</v>
      </c>
      <c r="P5435">
        <v>70008</v>
      </c>
      <c r="Q5435" t="str">
        <f>"35.257070"</f>
        <v>35.257070</v>
      </c>
      <c r="R5435" t="str">
        <f>"25.237559"</f>
        <v>25.237559</v>
      </c>
      <c r="S5435" t="s">
        <v>26</v>
      </c>
    </row>
    <row r="5436" spans="1:19" x14ac:dyDescent="0.3">
      <c r="A5436" t="s">
        <v>32470</v>
      </c>
      <c r="B5436" t="s">
        <v>33426</v>
      </c>
      <c r="C5436" t="s">
        <v>33784</v>
      </c>
      <c r="D5436" t="s">
        <v>4618</v>
      </c>
      <c r="E5436" t="s">
        <v>32690</v>
      </c>
      <c r="F5436" t="s">
        <v>32690</v>
      </c>
      <c r="G5436" t="s">
        <v>33783</v>
      </c>
      <c r="H5436" t="s">
        <v>868</v>
      </c>
      <c r="I5436" t="s">
        <v>950</v>
      </c>
      <c r="J5436" t="str">
        <f>"9170173"</f>
        <v>9170173</v>
      </c>
      <c r="K5436">
        <v>2895041441</v>
      </c>
      <c r="L5436">
        <v>2895041441</v>
      </c>
      <c r="M5436" t="s">
        <v>33785</v>
      </c>
      <c r="N5436" t="s">
        <v>33786</v>
      </c>
      <c r="O5436" t="s">
        <v>33787</v>
      </c>
      <c r="P5436">
        <v>70300</v>
      </c>
      <c r="Q5436" t="str">
        <f>"35.097347"</f>
        <v>35.097347</v>
      </c>
      <c r="R5436" t="str">
        <f>"25.385032"</f>
        <v>25.385032</v>
      </c>
      <c r="S5436" t="s">
        <v>26</v>
      </c>
    </row>
    <row r="5437" spans="1:19" x14ac:dyDescent="0.3">
      <c r="A5437" t="s">
        <v>32470</v>
      </c>
      <c r="B5437" t="s">
        <v>33426</v>
      </c>
      <c r="C5437" t="s">
        <v>32764</v>
      </c>
      <c r="D5437" t="s">
        <v>4618</v>
      </c>
      <c r="E5437" t="s">
        <v>32501</v>
      </c>
      <c r="F5437" t="s">
        <v>32596</v>
      </c>
      <c r="G5437" t="s">
        <v>33595</v>
      </c>
      <c r="H5437" t="s">
        <v>868</v>
      </c>
      <c r="I5437" t="s">
        <v>869</v>
      </c>
      <c r="J5437" t="str">
        <f>"9170079"</f>
        <v>9170079</v>
      </c>
      <c r="K5437">
        <v>2894051292</v>
      </c>
      <c r="L5437">
        <v>2894051292</v>
      </c>
      <c r="M5437" t="s">
        <v>33795</v>
      </c>
      <c r="N5437" t="s">
        <v>33796</v>
      </c>
      <c r="O5437" t="s">
        <v>33796</v>
      </c>
      <c r="P5437">
        <v>70010</v>
      </c>
      <c r="Q5437" t="str">
        <f>"35.129297"</f>
        <v>35.129297</v>
      </c>
      <c r="R5437" t="str">
        <f>"25.142446"</f>
        <v>25.142446</v>
      </c>
      <c r="S5437" t="s">
        <v>26</v>
      </c>
    </row>
    <row r="5438" spans="1:19" x14ac:dyDescent="0.3">
      <c r="A5438" t="s">
        <v>32470</v>
      </c>
      <c r="B5438" t="s">
        <v>33426</v>
      </c>
      <c r="C5438" t="s">
        <v>33807</v>
      </c>
      <c r="D5438" t="s">
        <v>4618</v>
      </c>
      <c r="E5438" t="s">
        <v>32508</v>
      </c>
      <c r="F5438" t="s">
        <v>30112</v>
      </c>
      <c r="G5438" t="s">
        <v>33806</v>
      </c>
      <c r="H5438" t="s">
        <v>868</v>
      </c>
      <c r="I5438" t="s">
        <v>950</v>
      </c>
      <c r="J5438" t="str">
        <f>"9170246"</f>
        <v>9170246</v>
      </c>
      <c r="K5438">
        <v>2810771304</v>
      </c>
      <c r="L5438">
        <v>2810771304</v>
      </c>
      <c r="M5438" t="s">
        <v>33808</v>
      </c>
      <c r="N5438" t="s">
        <v>33809</v>
      </c>
      <c r="O5438" t="s">
        <v>33809</v>
      </c>
      <c r="P5438">
        <v>70008</v>
      </c>
      <c r="Q5438" t="str">
        <f>"35.243379"</f>
        <v>35.243379</v>
      </c>
      <c r="R5438" t="str">
        <f>"25.235903"</f>
        <v>25.235903</v>
      </c>
      <c r="S5438" t="s">
        <v>26</v>
      </c>
    </row>
    <row r="5439" spans="1:19" x14ac:dyDescent="0.3">
      <c r="A5439" t="s">
        <v>32470</v>
      </c>
      <c r="B5439" t="s">
        <v>33426</v>
      </c>
      <c r="C5439" t="s">
        <v>32659</v>
      </c>
      <c r="D5439" t="s">
        <v>4618</v>
      </c>
      <c r="E5439" t="s">
        <v>4618</v>
      </c>
      <c r="F5439" t="s">
        <v>4618</v>
      </c>
      <c r="G5439" t="s">
        <v>32537</v>
      </c>
      <c r="H5439" t="s">
        <v>868</v>
      </c>
      <c r="I5439" t="s">
        <v>869</v>
      </c>
      <c r="J5439" t="str">
        <f>"9170533"</f>
        <v>9170533</v>
      </c>
      <c r="K5439">
        <v>2810239434</v>
      </c>
      <c r="L5439">
        <v>2810239434</v>
      </c>
      <c r="M5439" t="s">
        <v>33810</v>
      </c>
      <c r="N5439" t="s">
        <v>28925</v>
      </c>
      <c r="O5439" t="s">
        <v>33811</v>
      </c>
      <c r="P5439">
        <v>71409</v>
      </c>
      <c r="Q5439" t="str">
        <f>"35.314882"</f>
        <v>35.314882</v>
      </c>
      <c r="R5439" t="str">
        <f>"25.137211"</f>
        <v>25.137211</v>
      </c>
      <c r="S5439" t="s">
        <v>26</v>
      </c>
    </row>
    <row r="5440" spans="1:19" x14ac:dyDescent="0.3">
      <c r="A5440" t="s">
        <v>32470</v>
      </c>
      <c r="B5440" t="s">
        <v>33426</v>
      </c>
      <c r="C5440" t="s">
        <v>33812</v>
      </c>
      <c r="D5440" t="s">
        <v>4618</v>
      </c>
      <c r="E5440" t="s">
        <v>32501</v>
      </c>
      <c r="F5440" t="s">
        <v>32571</v>
      </c>
      <c r="G5440" t="s">
        <v>32759</v>
      </c>
      <c r="H5440" t="s">
        <v>868</v>
      </c>
      <c r="I5440" t="s">
        <v>950</v>
      </c>
      <c r="J5440" t="str">
        <f>"9170086"</f>
        <v>9170086</v>
      </c>
      <c r="K5440">
        <v>2893051257</v>
      </c>
      <c r="L5440">
        <v>2893051073</v>
      </c>
      <c r="M5440" t="s">
        <v>33813</v>
      </c>
      <c r="N5440" t="s">
        <v>33814</v>
      </c>
      <c r="O5440" t="s">
        <v>33814</v>
      </c>
      <c r="P5440">
        <v>70010</v>
      </c>
      <c r="Q5440" t="str">
        <f>"35.092619"</f>
        <v>35.092619</v>
      </c>
      <c r="R5440" t="str">
        <f>"25.163226"</f>
        <v>25.163226</v>
      </c>
      <c r="S5440" t="s">
        <v>26</v>
      </c>
    </row>
    <row r="5441" spans="1:19" x14ac:dyDescent="0.3">
      <c r="A5441" t="s">
        <v>32470</v>
      </c>
      <c r="B5441" t="s">
        <v>33426</v>
      </c>
      <c r="C5441" t="s">
        <v>33816</v>
      </c>
      <c r="D5441" t="s">
        <v>4618</v>
      </c>
      <c r="E5441" t="s">
        <v>32501</v>
      </c>
      <c r="F5441" t="s">
        <v>32596</v>
      </c>
      <c r="G5441" t="s">
        <v>33815</v>
      </c>
      <c r="H5441" t="s">
        <v>868</v>
      </c>
      <c r="I5441" t="s">
        <v>869</v>
      </c>
      <c r="J5441" t="str">
        <f>"9170200"</f>
        <v>9170200</v>
      </c>
      <c r="K5441">
        <v>2810741264</v>
      </c>
      <c r="L5441">
        <v>2810741264</v>
      </c>
      <c r="M5441" t="s">
        <v>33817</v>
      </c>
      <c r="N5441" t="s">
        <v>33818</v>
      </c>
      <c r="O5441" t="s">
        <v>33818</v>
      </c>
      <c r="P5441">
        <v>70100</v>
      </c>
      <c r="Q5441" t="str">
        <f>"35.214106"</f>
        <v>35.214106</v>
      </c>
      <c r="R5441" t="str">
        <f>"25.204975"</f>
        <v>25.204975</v>
      </c>
      <c r="S5441" t="s">
        <v>26</v>
      </c>
    </row>
    <row r="5442" spans="1:19" x14ac:dyDescent="0.3">
      <c r="A5442" t="s">
        <v>32470</v>
      </c>
      <c r="B5442" t="s">
        <v>33426</v>
      </c>
      <c r="C5442" t="s">
        <v>32500</v>
      </c>
      <c r="D5442" t="s">
        <v>4618</v>
      </c>
      <c r="E5442" t="s">
        <v>4618</v>
      </c>
      <c r="F5442" t="s">
        <v>4618</v>
      </c>
      <c r="G5442" t="s">
        <v>32471</v>
      </c>
      <c r="H5442" t="s">
        <v>868</v>
      </c>
      <c r="I5442" t="s">
        <v>869</v>
      </c>
      <c r="J5442" t="str">
        <f>"9170198"</f>
        <v>9170198</v>
      </c>
      <c r="K5442">
        <v>2810227379</v>
      </c>
      <c r="L5442">
        <v>2810286551</v>
      </c>
      <c r="M5442" t="s">
        <v>33819</v>
      </c>
      <c r="N5442" t="s">
        <v>28925</v>
      </c>
      <c r="O5442" t="s">
        <v>33820</v>
      </c>
      <c r="P5442">
        <v>71306</v>
      </c>
      <c r="Q5442" t="str">
        <f>"35.334488"</f>
        <v>35.334488</v>
      </c>
      <c r="R5442" t="str">
        <f>"25.140211"</f>
        <v>25.140211</v>
      </c>
      <c r="S5442" t="s">
        <v>26</v>
      </c>
    </row>
    <row r="5443" spans="1:19" x14ac:dyDescent="0.3">
      <c r="A5443" t="s">
        <v>32470</v>
      </c>
      <c r="B5443" t="s">
        <v>33426</v>
      </c>
      <c r="C5443" t="s">
        <v>33821</v>
      </c>
      <c r="D5443" t="s">
        <v>4618</v>
      </c>
      <c r="E5443" t="s">
        <v>4618</v>
      </c>
      <c r="F5443" t="s">
        <v>4618</v>
      </c>
      <c r="G5443" t="s">
        <v>32471</v>
      </c>
      <c r="H5443" t="s">
        <v>868</v>
      </c>
      <c r="I5443" t="s">
        <v>869</v>
      </c>
      <c r="J5443" t="str">
        <f>"9170494"</f>
        <v>9170494</v>
      </c>
      <c r="K5443">
        <v>2810228361</v>
      </c>
      <c r="L5443">
        <v>2810228361</v>
      </c>
      <c r="M5443" t="s">
        <v>33822</v>
      </c>
      <c r="N5443" t="s">
        <v>33823</v>
      </c>
      <c r="O5443" t="s">
        <v>33820</v>
      </c>
      <c r="P5443">
        <v>71306</v>
      </c>
      <c r="Q5443" t="str">
        <f>"35.334488"</f>
        <v>35.334488</v>
      </c>
      <c r="R5443" t="str">
        <f>"25.140211"</f>
        <v>25.140211</v>
      </c>
      <c r="S5443" t="s">
        <v>26</v>
      </c>
    </row>
    <row r="5444" spans="1:19" x14ac:dyDescent="0.3">
      <c r="A5444" t="s">
        <v>32470</v>
      </c>
      <c r="B5444" t="s">
        <v>33426</v>
      </c>
      <c r="C5444" t="s">
        <v>33827</v>
      </c>
      <c r="D5444" t="s">
        <v>4618</v>
      </c>
      <c r="E5444" t="s">
        <v>4618</v>
      </c>
      <c r="F5444" t="s">
        <v>2421</v>
      </c>
      <c r="G5444" t="s">
        <v>33826</v>
      </c>
      <c r="H5444" t="s">
        <v>868</v>
      </c>
      <c r="I5444" t="s">
        <v>950</v>
      </c>
      <c r="J5444" t="str">
        <f>"9170117"</f>
        <v>9170117</v>
      </c>
      <c r="K5444">
        <v>6973003325</v>
      </c>
      <c r="L5444">
        <v>2810881218</v>
      </c>
      <c r="M5444" t="s">
        <v>33828</v>
      </c>
      <c r="N5444" t="s">
        <v>33829</v>
      </c>
      <c r="O5444" t="s">
        <v>33829</v>
      </c>
      <c r="P5444">
        <v>71500</v>
      </c>
      <c r="Q5444" t="str">
        <f>"35.241320"</f>
        <v>35.241320</v>
      </c>
      <c r="R5444" t="str">
        <f>"25.116812"</f>
        <v>25.116812</v>
      </c>
      <c r="S5444" t="s">
        <v>26</v>
      </c>
    </row>
    <row r="5445" spans="1:19" x14ac:dyDescent="0.3">
      <c r="A5445" t="s">
        <v>32470</v>
      </c>
      <c r="B5445" t="s">
        <v>33426</v>
      </c>
      <c r="C5445" t="s">
        <v>33830</v>
      </c>
      <c r="D5445" t="s">
        <v>4618</v>
      </c>
      <c r="E5445" t="s">
        <v>4618</v>
      </c>
      <c r="F5445" t="s">
        <v>4618</v>
      </c>
      <c r="G5445" t="s">
        <v>32537</v>
      </c>
      <c r="H5445" t="s">
        <v>868</v>
      </c>
      <c r="I5445" t="s">
        <v>1157</v>
      </c>
      <c r="J5445" t="str">
        <f>"9170566"</f>
        <v>9170566</v>
      </c>
      <c r="K5445">
        <v>2810230139</v>
      </c>
      <c r="L5445">
        <v>2810230139</v>
      </c>
      <c r="M5445" t="s">
        <v>33831</v>
      </c>
      <c r="N5445" t="s">
        <v>33832</v>
      </c>
      <c r="O5445" t="s">
        <v>32684</v>
      </c>
      <c r="P5445">
        <v>71409</v>
      </c>
      <c r="Q5445" t="str">
        <f>"35.313627"</f>
        <v>35.313627</v>
      </c>
      <c r="R5445" t="str">
        <f>"25.152187"</f>
        <v>25.152187</v>
      </c>
      <c r="S5445" t="s">
        <v>26</v>
      </c>
    </row>
    <row r="5446" spans="1:19" x14ac:dyDescent="0.3">
      <c r="A5446" t="s">
        <v>32470</v>
      </c>
      <c r="B5446" t="s">
        <v>33426</v>
      </c>
      <c r="C5446" t="s">
        <v>33833</v>
      </c>
      <c r="D5446" t="s">
        <v>4618</v>
      </c>
      <c r="E5446" t="s">
        <v>4618</v>
      </c>
      <c r="F5446" t="s">
        <v>4618</v>
      </c>
      <c r="G5446" t="s">
        <v>33523</v>
      </c>
      <c r="H5446" t="s">
        <v>868</v>
      </c>
      <c r="I5446" t="s">
        <v>869</v>
      </c>
      <c r="J5446" t="str">
        <f>"9170120"</f>
        <v>9170120</v>
      </c>
      <c r="K5446">
        <v>2810881577</v>
      </c>
      <c r="L5446">
        <v>2810881577</v>
      </c>
      <c r="M5446" t="s">
        <v>33834</v>
      </c>
      <c r="N5446" t="s">
        <v>33835</v>
      </c>
      <c r="O5446" t="s">
        <v>33836</v>
      </c>
      <c r="P5446">
        <v>71500</v>
      </c>
      <c r="Q5446" t="str">
        <f>"35.270478"</f>
        <v>35.270478</v>
      </c>
      <c r="R5446" t="str">
        <f>"25.135569"</f>
        <v>25.135569</v>
      </c>
      <c r="S5446" t="s">
        <v>26</v>
      </c>
    </row>
    <row r="5447" spans="1:19" x14ac:dyDescent="0.3">
      <c r="A5447" t="s">
        <v>32470</v>
      </c>
      <c r="B5447" t="s">
        <v>33426</v>
      </c>
      <c r="C5447" t="s">
        <v>33841</v>
      </c>
      <c r="D5447" t="s">
        <v>4618</v>
      </c>
      <c r="E5447" t="s">
        <v>4618</v>
      </c>
      <c r="F5447" t="s">
        <v>4618</v>
      </c>
      <c r="G5447" t="s">
        <v>33840</v>
      </c>
      <c r="H5447" t="s">
        <v>868</v>
      </c>
      <c r="I5447" t="s">
        <v>869</v>
      </c>
      <c r="J5447" t="str">
        <f>"9170061"</f>
        <v>9170061</v>
      </c>
      <c r="K5447">
        <v>2810791254</v>
      </c>
      <c r="L5447">
        <v>2810791254</v>
      </c>
      <c r="M5447" t="s">
        <v>33842</v>
      </c>
      <c r="N5447" t="s">
        <v>33843</v>
      </c>
      <c r="O5447" t="s">
        <v>33843</v>
      </c>
      <c r="P5447">
        <v>70011</v>
      </c>
      <c r="Q5447" t="str">
        <f>"35.210814"</f>
        <v>35.210814</v>
      </c>
      <c r="R5447" t="str">
        <f>"25.046094"</f>
        <v>25.046094</v>
      </c>
      <c r="S5447" t="s">
        <v>26</v>
      </c>
    </row>
    <row r="5448" spans="1:19" x14ac:dyDescent="0.3">
      <c r="A5448" t="s">
        <v>32470</v>
      </c>
      <c r="B5448" t="s">
        <v>33426</v>
      </c>
      <c r="C5448" t="s">
        <v>33848</v>
      </c>
      <c r="D5448" t="s">
        <v>4618</v>
      </c>
      <c r="E5448" t="s">
        <v>4618</v>
      </c>
      <c r="F5448" t="s">
        <v>4618</v>
      </c>
      <c r="G5448" t="s">
        <v>32537</v>
      </c>
      <c r="H5448" t="s">
        <v>868</v>
      </c>
      <c r="I5448" t="s">
        <v>869</v>
      </c>
      <c r="J5448" t="str">
        <f>"9170534"</f>
        <v>9170534</v>
      </c>
      <c r="K5448">
        <v>2810323225</v>
      </c>
      <c r="L5448">
        <v>2810323225</v>
      </c>
      <c r="M5448" t="s">
        <v>33849</v>
      </c>
      <c r="N5448" t="s">
        <v>32864</v>
      </c>
      <c r="O5448" t="s">
        <v>33850</v>
      </c>
      <c r="P5448">
        <v>71409</v>
      </c>
      <c r="Q5448" t="str">
        <f>"35.317964"</f>
        <v>35.317964</v>
      </c>
      <c r="R5448" t="str">
        <f>"25.148174"</f>
        <v>25.148174</v>
      </c>
      <c r="S5448" t="s">
        <v>26</v>
      </c>
    </row>
    <row r="5449" spans="1:19" x14ac:dyDescent="0.3">
      <c r="A5449" t="s">
        <v>32470</v>
      </c>
      <c r="B5449" t="s">
        <v>33426</v>
      </c>
      <c r="C5449" t="s">
        <v>33851</v>
      </c>
      <c r="D5449" t="s">
        <v>4618</v>
      </c>
      <c r="E5449" t="s">
        <v>4618</v>
      </c>
      <c r="F5449" t="s">
        <v>32623</v>
      </c>
      <c r="G5449" t="s">
        <v>32623</v>
      </c>
      <c r="H5449" t="s">
        <v>868</v>
      </c>
      <c r="I5449" t="s">
        <v>869</v>
      </c>
      <c r="J5449" t="str">
        <f>"9170264"</f>
        <v>9170264</v>
      </c>
      <c r="K5449">
        <v>2810332030</v>
      </c>
      <c r="L5449">
        <v>2810245939</v>
      </c>
      <c r="M5449" t="s">
        <v>33852</v>
      </c>
      <c r="N5449" t="s">
        <v>32626</v>
      </c>
      <c r="O5449" t="s">
        <v>33714</v>
      </c>
      <c r="P5449">
        <v>71601</v>
      </c>
      <c r="Q5449" t="str">
        <f>"35.340073"</f>
        <v>35.340073</v>
      </c>
      <c r="R5449" t="str">
        <f>"25.156638"</f>
        <v>25.156638</v>
      </c>
      <c r="S5449" t="s">
        <v>26</v>
      </c>
    </row>
    <row r="5450" spans="1:19" x14ac:dyDescent="0.3">
      <c r="A5450" t="s">
        <v>32470</v>
      </c>
      <c r="B5450" t="s">
        <v>33426</v>
      </c>
      <c r="C5450" t="s">
        <v>33857</v>
      </c>
      <c r="D5450" t="s">
        <v>4618</v>
      </c>
      <c r="E5450" t="s">
        <v>32508</v>
      </c>
      <c r="F5450" t="s">
        <v>32508</v>
      </c>
      <c r="G5450" t="s">
        <v>32768</v>
      </c>
      <c r="H5450" t="s">
        <v>868</v>
      </c>
      <c r="I5450" t="s">
        <v>869</v>
      </c>
      <c r="J5450" t="str">
        <f>"9521015"</f>
        <v>9521015</v>
      </c>
      <c r="K5450">
        <v>2897029138</v>
      </c>
      <c r="L5450">
        <v>2897029138</v>
      </c>
      <c r="M5450" t="s">
        <v>33858</v>
      </c>
      <c r="N5450" t="s">
        <v>32882</v>
      </c>
      <c r="O5450" t="s">
        <v>33859</v>
      </c>
      <c r="P5450">
        <v>70014</v>
      </c>
      <c r="Q5450" t="str">
        <f>"35.312718"</f>
        <v>35.312718</v>
      </c>
      <c r="R5450" t="str">
        <f>"25.386821"</f>
        <v>25.386821</v>
      </c>
      <c r="S5450" t="s">
        <v>26</v>
      </c>
    </row>
    <row r="5451" spans="1:19" x14ac:dyDescent="0.3">
      <c r="A5451" t="s">
        <v>32470</v>
      </c>
      <c r="B5451" t="s">
        <v>33426</v>
      </c>
      <c r="C5451" t="s">
        <v>33860</v>
      </c>
      <c r="D5451" t="s">
        <v>4618</v>
      </c>
      <c r="E5451" t="s">
        <v>4618</v>
      </c>
      <c r="F5451" t="s">
        <v>32607</v>
      </c>
      <c r="G5451" t="s">
        <v>33778</v>
      </c>
      <c r="H5451" t="s">
        <v>868</v>
      </c>
      <c r="I5451" t="s">
        <v>950</v>
      </c>
      <c r="J5451" t="str">
        <f>"9170008"</f>
        <v>9170008</v>
      </c>
      <c r="K5451">
        <v>2810861366</v>
      </c>
      <c r="L5451">
        <v>2810861366</v>
      </c>
      <c r="M5451" t="s">
        <v>33861</v>
      </c>
      <c r="N5451" t="s">
        <v>33778</v>
      </c>
      <c r="O5451" t="s">
        <v>33781</v>
      </c>
      <c r="P5451">
        <v>70013</v>
      </c>
      <c r="Q5451" t="str">
        <f>"35.195831"</f>
        <v>35.195831</v>
      </c>
      <c r="R5451" t="str">
        <f>"24.997533"</f>
        <v>24.997533</v>
      </c>
      <c r="S5451" t="s">
        <v>26</v>
      </c>
    </row>
    <row r="5452" spans="1:19" x14ac:dyDescent="0.3">
      <c r="A5452" t="s">
        <v>32470</v>
      </c>
      <c r="B5452" t="s">
        <v>33426</v>
      </c>
      <c r="C5452" t="s">
        <v>32545</v>
      </c>
      <c r="D5452" t="s">
        <v>4618</v>
      </c>
      <c r="E5452" t="s">
        <v>4618</v>
      </c>
      <c r="F5452" t="s">
        <v>4618</v>
      </c>
      <c r="G5452" t="s">
        <v>32537</v>
      </c>
      <c r="H5452" t="s">
        <v>868</v>
      </c>
      <c r="I5452" t="s">
        <v>869</v>
      </c>
      <c r="J5452" t="str">
        <f>"9170423"</f>
        <v>9170423</v>
      </c>
      <c r="K5452">
        <v>2810239612</v>
      </c>
      <c r="L5452">
        <v>2810239612</v>
      </c>
      <c r="M5452" t="s">
        <v>33862</v>
      </c>
      <c r="N5452" t="s">
        <v>28925</v>
      </c>
      <c r="O5452" t="s">
        <v>33542</v>
      </c>
      <c r="P5452">
        <v>71307</v>
      </c>
      <c r="Q5452" t="str">
        <f>"35.323952"</f>
        <v>35.323952</v>
      </c>
      <c r="R5452" t="str">
        <f>"25.142367"</f>
        <v>25.142367</v>
      </c>
      <c r="S5452" t="s">
        <v>26</v>
      </c>
    </row>
    <row r="5453" spans="1:19" x14ac:dyDescent="0.3">
      <c r="A5453" t="s">
        <v>32470</v>
      </c>
      <c r="B5453" t="s">
        <v>33426</v>
      </c>
      <c r="C5453" t="s">
        <v>33864</v>
      </c>
      <c r="D5453" t="s">
        <v>4618</v>
      </c>
      <c r="E5453" t="s">
        <v>32584</v>
      </c>
      <c r="F5453" t="s">
        <v>32616</v>
      </c>
      <c r="G5453" t="s">
        <v>33863</v>
      </c>
      <c r="H5453" t="s">
        <v>868</v>
      </c>
      <c r="I5453" t="s">
        <v>869</v>
      </c>
      <c r="J5453" t="str">
        <f>"9170282"</f>
        <v>9170282</v>
      </c>
      <c r="K5453">
        <v>2892022120</v>
      </c>
      <c r="L5453">
        <v>2892022120</v>
      </c>
      <c r="M5453" t="s">
        <v>33865</v>
      </c>
      <c r="N5453" t="s">
        <v>33863</v>
      </c>
      <c r="O5453" t="s">
        <v>33866</v>
      </c>
      <c r="P5453">
        <v>70400</v>
      </c>
      <c r="Q5453" t="str">
        <f>"35.071811"</f>
        <v>35.071811</v>
      </c>
      <c r="R5453" t="str">
        <f>"24.868272"</f>
        <v>24.868272</v>
      </c>
      <c r="S5453" t="s">
        <v>26</v>
      </c>
    </row>
    <row r="5454" spans="1:19" x14ac:dyDescent="0.3">
      <c r="A5454" t="s">
        <v>32470</v>
      </c>
      <c r="B5454" t="s">
        <v>33426</v>
      </c>
      <c r="C5454" t="s">
        <v>33868</v>
      </c>
      <c r="D5454" t="s">
        <v>4618</v>
      </c>
      <c r="E5454" t="s">
        <v>32629</v>
      </c>
      <c r="F5454" t="s">
        <v>32630</v>
      </c>
      <c r="G5454" t="s">
        <v>33867</v>
      </c>
      <c r="H5454" t="s">
        <v>868</v>
      </c>
      <c r="I5454" t="s">
        <v>950</v>
      </c>
      <c r="J5454" t="str">
        <f>"9170085"</f>
        <v>9170085</v>
      </c>
      <c r="K5454">
        <v>2893031176</v>
      </c>
      <c r="L5454">
        <v>2893031176</v>
      </c>
      <c r="M5454" t="s">
        <v>33869</v>
      </c>
      <c r="N5454" t="s">
        <v>33870</v>
      </c>
      <c r="O5454" t="s">
        <v>33870</v>
      </c>
      <c r="P5454">
        <v>70016</v>
      </c>
      <c r="Q5454" t="str">
        <f>"35.059298"</f>
        <v>35.059298</v>
      </c>
      <c r="R5454" t="str">
        <f>"25.107976"</f>
        <v>25.107976</v>
      </c>
      <c r="S5454" t="s">
        <v>26</v>
      </c>
    </row>
    <row r="5455" spans="1:19" x14ac:dyDescent="0.3">
      <c r="A5455" t="s">
        <v>32470</v>
      </c>
      <c r="B5455" t="s">
        <v>33426</v>
      </c>
      <c r="C5455" t="s">
        <v>33871</v>
      </c>
      <c r="D5455" t="s">
        <v>4618</v>
      </c>
      <c r="E5455" t="s">
        <v>4618</v>
      </c>
      <c r="F5455" t="s">
        <v>2421</v>
      </c>
      <c r="G5455" t="s">
        <v>15297</v>
      </c>
      <c r="H5455" t="s">
        <v>868</v>
      </c>
      <c r="I5455" t="s">
        <v>950</v>
      </c>
      <c r="J5455" t="str">
        <f>"9170123"</f>
        <v>9170123</v>
      </c>
      <c r="K5455">
        <v>2810871160</v>
      </c>
      <c r="L5455">
        <v>2810871160</v>
      </c>
      <c r="M5455" t="s">
        <v>33872</v>
      </c>
      <c r="N5455" t="s">
        <v>33873</v>
      </c>
      <c r="O5455" t="s">
        <v>33874</v>
      </c>
      <c r="P5455">
        <v>70011</v>
      </c>
      <c r="Q5455" t="str">
        <f>"35.161085"</f>
        <v>35.161085</v>
      </c>
      <c r="R5455" t="str">
        <f>"25.123382"</f>
        <v>25.123382</v>
      </c>
      <c r="S5455" t="s">
        <v>26</v>
      </c>
    </row>
    <row r="5456" spans="1:19" x14ac:dyDescent="0.3">
      <c r="A5456" t="s">
        <v>32470</v>
      </c>
      <c r="B5456" t="s">
        <v>33426</v>
      </c>
      <c r="C5456" t="s">
        <v>33877</v>
      </c>
      <c r="D5456" t="s">
        <v>4618</v>
      </c>
      <c r="E5456" t="s">
        <v>32529</v>
      </c>
      <c r="F5456" t="s">
        <v>32650</v>
      </c>
      <c r="G5456" t="s">
        <v>33770</v>
      </c>
      <c r="H5456" t="s">
        <v>868</v>
      </c>
      <c r="I5456" t="s">
        <v>869</v>
      </c>
      <c r="J5456" t="str">
        <f>"9170020"</f>
        <v>9170020</v>
      </c>
      <c r="K5456">
        <v>2810821476</v>
      </c>
      <c r="L5456">
        <v>2810821476</v>
      </c>
      <c r="M5456" t="s">
        <v>33878</v>
      </c>
      <c r="N5456" t="s">
        <v>33773</v>
      </c>
      <c r="O5456" t="s">
        <v>33879</v>
      </c>
      <c r="P5456">
        <v>71500</v>
      </c>
      <c r="Q5456" t="str">
        <f>"35.286859"</f>
        <v>35.286859</v>
      </c>
      <c r="R5456" t="str">
        <f>"25.059259"</f>
        <v>25.059259</v>
      </c>
      <c r="S5456" t="s">
        <v>26</v>
      </c>
    </row>
    <row r="5457" spans="1:19" x14ac:dyDescent="0.3">
      <c r="A5457" t="s">
        <v>32470</v>
      </c>
      <c r="B5457" t="s">
        <v>33426</v>
      </c>
      <c r="C5457" t="s">
        <v>33880</v>
      </c>
      <c r="D5457" t="s">
        <v>4618</v>
      </c>
      <c r="E5457" t="s">
        <v>4618</v>
      </c>
      <c r="F5457" t="s">
        <v>4618</v>
      </c>
      <c r="G5457" t="s">
        <v>32537</v>
      </c>
      <c r="H5457" t="s">
        <v>868</v>
      </c>
      <c r="I5457" t="s">
        <v>869</v>
      </c>
      <c r="J5457" t="str">
        <f>"9170516"</f>
        <v>9170516</v>
      </c>
      <c r="K5457">
        <v>2810236861</v>
      </c>
      <c r="M5457" t="s">
        <v>33881</v>
      </c>
      <c r="N5457" t="s">
        <v>28925</v>
      </c>
      <c r="O5457" t="s">
        <v>33882</v>
      </c>
      <c r="P5457">
        <v>71306</v>
      </c>
      <c r="Q5457" t="str">
        <f>"35.321137"</f>
        <v>35.321137</v>
      </c>
      <c r="R5457" t="str">
        <f>"25.138880"</f>
        <v>25.138880</v>
      </c>
      <c r="S5457" t="s">
        <v>26</v>
      </c>
    </row>
    <row r="5458" spans="1:19" x14ac:dyDescent="0.3">
      <c r="A5458" t="s">
        <v>32470</v>
      </c>
      <c r="B5458" t="s">
        <v>33426</v>
      </c>
      <c r="C5458" t="s">
        <v>33883</v>
      </c>
      <c r="D5458" t="s">
        <v>4618</v>
      </c>
      <c r="E5458" t="s">
        <v>4618</v>
      </c>
      <c r="F5458" t="s">
        <v>4618</v>
      </c>
      <c r="G5458" t="s">
        <v>32754</v>
      </c>
      <c r="H5458" t="s">
        <v>868</v>
      </c>
      <c r="I5458" t="s">
        <v>869</v>
      </c>
      <c r="J5458" t="str">
        <f>"9170426"</f>
        <v>9170426</v>
      </c>
      <c r="K5458">
        <v>2810222289</v>
      </c>
      <c r="L5458">
        <v>2810222289</v>
      </c>
      <c r="M5458" t="s">
        <v>33884</v>
      </c>
      <c r="N5458" t="s">
        <v>28925</v>
      </c>
      <c r="O5458" t="s">
        <v>33885</v>
      </c>
      <c r="P5458">
        <v>71307</v>
      </c>
      <c r="Q5458" t="str">
        <f>"35.334763"</f>
        <v>35.334763</v>
      </c>
      <c r="R5458" t="str">
        <f>"25.146414"</f>
        <v>25.146414</v>
      </c>
      <c r="S5458" t="s">
        <v>26</v>
      </c>
    </row>
    <row r="5459" spans="1:19" x14ac:dyDescent="0.3">
      <c r="A5459" t="s">
        <v>32470</v>
      </c>
      <c r="B5459" t="s">
        <v>33426</v>
      </c>
      <c r="C5459" t="s">
        <v>32707</v>
      </c>
      <c r="D5459" t="s">
        <v>4618</v>
      </c>
      <c r="E5459" t="s">
        <v>32629</v>
      </c>
      <c r="F5459" t="s">
        <v>32629</v>
      </c>
      <c r="G5459" t="s">
        <v>32702</v>
      </c>
      <c r="H5459" t="s">
        <v>868</v>
      </c>
      <c r="I5459" t="s">
        <v>869</v>
      </c>
      <c r="J5459" t="str">
        <f>"9170270"</f>
        <v>9170270</v>
      </c>
      <c r="K5459">
        <v>2892031245</v>
      </c>
      <c r="L5459">
        <v>2892031245</v>
      </c>
      <c r="M5459" t="s">
        <v>33886</v>
      </c>
      <c r="N5459" t="s">
        <v>33887</v>
      </c>
      <c r="O5459" t="s">
        <v>33887</v>
      </c>
      <c r="P5459">
        <v>70012</v>
      </c>
      <c r="Q5459" t="str">
        <f>"35.059400"</f>
        <v>35.059400</v>
      </c>
      <c r="R5459" t="str">
        <f>"24.961506"</f>
        <v>24.961506</v>
      </c>
      <c r="S5459" t="s">
        <v>26</v>
      </c>
    </row>
    <row r="5460" spans="1:19" x14ac:dyDescent="0.3">
      <c r="A5460" t="s">
        <v>32470</v>
      </c>
      <c r="B5460" t="s">
        <v>33426</v>
      </c>
      <c r="C5460" t="s">
        <v>33888</v>
      </c>
      <c r="D5460" t="s">
        <v>4618</v>
      </c>
      <c r="E5460" t="s">
        <v>32529</v>
      </c>
      <c r="F5460" t="s">
        <v>32650</v>
      </c>
      <c r="G5460" t="s">
        <v>18607</v>
      </c>
      <c r="H5460" t="s">
        <v>868</v>
      </c>
      <c r="I5460" t="s">
        <v>869</v>
      </c>
      <c r="J5460" t="str">
        <f>"9170012"</f>
        <v>9170012</v>
      </c>
      <c r="K5460">
        <v>2810811304</v>
      </c>
      <c r="L5460">
        <v>2810811304</v>
      </c>
      <c r="M5460" t="s">
        <v>33889</v>
      </c>
      <c r="N5460" t="s">
        <v>33890</v>
      </c>
      <c r="O5460" t="s">
        <v>33890</v>
      </c>
      <c r="P5460">
        <v>71500</v>
      </c>
      <c r="Q5460" t="str">
        <f>"35.407549"</f>
        <v>35.407549</v>
      </c>
      <c r="R5460" t="str">
        <f>"25.014667"</f>
        <v>25.014667</v>
      </c>
      <c r="S5460" t="s">
        <v>26</v>
      </c>
    </row>
    <row r="5461" spans="1:19" x14ac:dyDescent="0.3">
      <c r="A5461" t="s">
        <v>32470</v>
      </c>
      <c r="B5461" t="s">
        <v>33426</v>
      </c>
      <c r="C5461" t="s">
        <v>33894</v>
      </c>
      <c r="D5461" t="s">
        <v>4618</v>
      </c>
      <c r="E5461" t="s">
        <v>4618</v>
      </c>
      <c r="F5461" t="s">
        <v>4618</v>
      </c>
      <c r="G5461" t="s">
        <v>32537</v>
      </c>
      <c r="H5461" t="s">
        <v>868</v>
      </c>
      <c r="I5461" t="s">
        <v>869</v>
      </c>
      <c r="J5461" t="str">
        <f>"9170197"</f>
        <v>9170197</v>
      </c>
      <c r="K5461">
        <v>2810232577</v>
      </c>
      <c r="L5461">
        <v>2810361563</v>
      </c>
      <c r="M5461" t="s">
        <v>33895</v>
      </c>
      <c r="N5461" t="s">
        <v>28925</v>
      </c>
      <c r="O5461" t="s">
        <v>33896</v>
      </c>
      <c r="P5461">
        <v>71409</v>
      </c>
      <c r="Q5461" t="str">
        <f>"35.302761"</f>
        <v>35.302761</v>
      </c>
      <c r="R5461" t="str">
        <f>"25.148692"</f>
        <v>25.148692</v>
      </c>
      <c r="S5461" t="s">
        <v>26</v>
      </c>
    </row>
    <row r="5462" spans="1:19" x14ac:dyDescent="0.3">
      <c r="A5462" t="s">
        <v>32470</v>
      </c>
      <c r="B5462" t="s">
        <v>33426</v>
      </c>
      <c r="C5462" t="s">
        <v>32583</v>
      </c>
      <c r="D5462" t="s">
        <v>4618</v>
      </c>
      <c r="E5462" t="s">
        <v>4618</v>
      </c>
      <c r="F5462" t="s">
        <v>4618</v>
      </c>
      <c r="G5462" t="s">
        <v>32471</v>
      </c>
      <c r="H5462" t="s">
        <v>868</v>
      </c>
      <c r="I5462" t="s">
        <v>869</v>
      </c>
      <c r="J5462" t="str">
        <f>"9170114"</f>
        <v>9170114</v>
      </c>
      <c r="K5462">
        <v>2810241054</v>
      </c>
      <c r="L5462">
        <v>2810284561</v>
      </c>
      <c r="M5462" t="s">
        <v>33897</v>
      </c>
      <c r="N5462" t="s">
        <v>28925</v>
      </c>
      <c r="O5462" t="s">
        <v>33898</v>
      </c>
      <c r="P5462">
        <v>71201</v>
      </c>
      <c r="Q5462" t="str">
        <f>"35.336380"</f>
        <v>35.336380</v>
      </c>
      <c r="R5462" t="str">
        <f>"25.130068"</f>
        <v>25.130068</v>
      </c>
      <c r="S5462" t="s">
        <v>26</v>
      </c>
    </row>
    <row r="5463" spans="1:19" x14ac:dyDescent="0.3">
      <c r="A5463" t="s">
        <v>32470</v>
      </c>
      <c r="B5463" t="s">
        <v>33426</v>
      </c>
      <c r="C5463" t="s">
        <v>33899</v>
      </c>
      <c r="D5463" t="s">
        <v>4618</v>
      </c>
      <c r="E5463" t="s">
        <v>4618</v>
      </c>
      <c r="F5463" t="s">
        <v>32607</v>
      </c>
      <c r="G5463" t="s">
        <v>33536</v>
      </c>
      <c r="H5463" t="s">
        <v>868</v>
      </c>
      <c r="I5463" t="s">
        <v>869</v>
      </c>
      <c r="J5463" t="str">
        <f>"9170009"</f>
        <v>9170009</v>
      </c>
      <c r="K5463">
        <v>2810861587</v>
      </c>
      <c r="L5463">
        <v>2810861612</v>
      </c>
      <c r="M5463" t="s">
        <v>33900</v>
      </c>
      <c r="N5463" t="s">
        <v>33901</v>
      </c>
      <c r="O5463" t="s">
        <v>33902</v>
      </c>
      <c r="P5463">
        <v>70013</v>
      </c>
      <c r="Q5463" t="str">
        <f>"35.203379"</f>
        <v>35.203379</v>
      </c>
      <c r="R5463" t="str">
        <f>"25.000136"</f>
        <v>25.000136</v>
      </c>
      <c r="S5463" t="s">
        <v>26</v>
      </c>
    </row>
    <row r="5464" spans="1:19" x14ac:dyDescent="0.3">
      <c r="A5464" t="s">
        <v>32470</v>
      </c>
      <c r="B5464" t="s">
        <v>33426</v>
      </c>
      <c r="C5464" t="s">
        <v>33903</v>
      </c>
      <c r="D5464" t="s">
        <v>4618</v>
      </c>
      <c r="E5464" t="s">
        <v>4618</v>
      </c>
      <c r="F5464" t="s">
        <v>32623</v>
      </c>
      <c r="G5464" t="s">
        <v>32623</v>
      </c>
      <c r="H5464" t="s">
        <v>868</v>
      </c>
      <c r="I5464" t="s">
        <v>869</v>
      </c>
      <c r="J5464" t="str">
        <f>"9170520"</f>
        <v>9170520</v>
      </c>
      <c r="K5464">
        <v>2810281317</v>
      </c>
      <c r="L5464">
        <v>2810288749</v>
      </c>
      <c r="M5464" t="s">
        <v>33904</v>
      </c>
      <c r="N5464" t="s">
        <v>33905</v>
      </c>
      <c r="O5464" t="s">
        <v>33638</v>
      </c>
      <c r="P5464">
        <v>71601</v>
      </c>
      <c r="Q5464" t="str">
        <f>"35.339550"</f>
        <v>35.339550</v>
      </c>
      <c r="R5464" t="str">
        <f>"25.156830"</f>
        <v>25.156830</v>
      </c>
      <c r="S5464" t="s">
        <v>26</v>
      </c>
    </row>
    <row r="5465" spans="1:19" x14ac:dyDescent="0.3">
      <c r="A5465" t="s">
        <v>32470</v>
      </c>
      <c r="B5465" t="s">
        <v>33426</v>
      </c>
      <c r="C5465" t="s">
        <v>33906</v>
      </c>
      <c r="D5465" t="s">
        <v>4618</v>
      </c>
      <c r="E5465" t="s">
        <v>32501</v>
      </c>
      <c r="F5465" t="s">
        <v>32571</v>
      </c>
      <c r="G5465" t="s">
        <v>22254</v>
      </c>
      <c r="H5465" t="s">
        <v>868</v>
      </c>
      <c r="I5465" t="s">
        <v>950</v>
      </c>
      <c r="J5465" t="str">
        <f>"9170314"</f>
        <v>9170314</v>
      </c>
      <c r="K5465">
        <v>2893022259</v>
      </c>
      <c r="M5465" t="s">
        <v>33907</v>
      </c>
      <c r="N5465" t="s">
        <v>33908</v>
      </c>
      <c r="O5465" t="s">
        <v>33908</v>
      </c>
      <c r="P5465">
        <v>70010</v>
      </c>
      <c r="Q5465" t="str">
        <f>"35.017594"</f>
        <v>35.017594</v>
      </c>
      <c r="R5465" t="str">
        <f>"25.206919"</f>
        <v>25.206919</v>
      </c>
      <c r="S5465" t="s">
        <v>26</v>
      </c>
    </row>
    <row r="5466" spans="1:19" x14ac:dyDescent="0.3">
      <c r="A5466" t="s">
        <v>32470</v>
      </c>
      <c r="B5466" t="s">
        <v>33426</v>
      </c>
      <c r="C5466" t="s">
        <v>33912</v>
      </c>
      <c r="D5466" t="s">
        <v>4618</v>
      </c>
      <c r="E5466" t="s">
        <v>4618</v>
      </c>
      <c r="F5466" t="s">
        <v>4618</v>
      </c>
      <c r="G5466" t="s">
        <v>32514</v>
      </c>
      <c r="H5466" t="s">
        <v>868</v>
      </c>
      <c r="I5466" t="s">
        <v>1157</v>
      </c>
      <c r="J5466" t="str">
        <f>"9170358"</f>
        <v>9170358</v>
      </c>
      <c r="K5466">
        <v>2810282028</v>
      </c>
      <c r="L5466">
        <v>2810282028</v>
      </c>
      <c r="M5466" t="s">
        <v>33913</v>
      </c>
      <c r="N5466" t="s">
        <v>28925</v>
      </c>
      <c r="O5466" t="s">
        <v>33914</v>
      </c>
      <c r="P5466">
        <v>71410</v>
      </c>
      <c r="Q5466" t="str">
        <f>"35.320258"</f>
        <v>35.320258</v>
      </c>
      <c r="R5466" t="str">
        <f>"25.111480"</f>
        <v>25.111480</v>
      </c>
      <c r="S5466" t="s">
        <v>26</v>
      </c>
    </row>
    <row r="5467" spans="1:19" x14ac:dyDescent="0.3">
      <c r="A5467" t="s">
        <v>32470</v>
      </c>
      <c r="B5467" t="s">
        <v>33426</v>
      </c>
      <c r="C5467" t="s">
        <v>33915</v>
      </c>
      <c r="D5467" t="s">
        <v>4618</v>
      </c>
      <c r="E5467" t="s">
        <v>32508</v>
      </c>
      <c r="F5467" t="s">
        <v>32602</v>
      </c>
      <c r="G5467" t="s">
        <v>32602</v>
      </c>
      <c r="H5467" t="s">
        <v>868</v>
      </c>
      <c r="I5467" t="s">
        <v>869</v>
      </c>
      <c r="J5467" t="str">
        <f>"9521014"</f>
        <v>9521014</v>
      </c>
      <c r="K5467">
        <v>2897029611</v>
      </c>
      <c r="L5467">
        <v>2897029612</v>
      </c>
      <c r="M5467" t="s">
        <v>33916</v>
      </c>
      <c r="N5467" t="s">
        <v>32605</v>
      </c>
      <c r="O5467" t="s">
        <v>33917</v>
      </c>
      <c r="P5467">
        <v>70007</v>
      </c>
      <c r="Q5467" t="str">
        <f>"35.284580"</f>
        <v>35.284580</v>
      </c>
      <c r="R5467" t="str">
        <f>"25.460046"</f>
        <v>25.460046</v>
      </c>
      <c r="S5467" t="s">
        <v>26</v>
      </c>
    </row>
    <row r="5468" spans="1:19" x14ac:dyDescent="0.3">
      <c r="A5468" t="s">
        <v>32470</v>
      </c>
      <c r="B5468" t="s">
        <v>33426</v>
      </c>
      <c r="C5468" t="s">
        <v>33921</v>
      </c>
      <c r="D5468" t="s">
        <v>4618</v>
      </c>
      <c r="E5468" t="s">
        <v>4618</v>
      </c>
      <c r="F5468" t="s">
        <v>4618</v>
      </c>
      <c r="G5468" t="s">
        <v>32471</v>
      </c>
      <c r="H5468" t="s">
        <v>868</v>
      </c>
      <c r="I5468" t="s">
        <v>869</v>
      </c>
      <c r="J5468" t="str">
        <f>"9170196"</f>
        <v>9170196</v>
      </c>
      <c r="K5468">
        <v>2810283356</v>
      </c>
      <c r="L5468">
        <v>2810283356</v>
      </c>
      <c r="M5468" t="s">
        <v>33922</v>
      </c>
      <c r="N5468" t="s">
        <v>28925</v>
      </c>
      <c r="O5468" t="s">
        <v>33923</v>
      </c>
      <c r="P5468">
        <v>71306</v>
      </c>
      <c r="Q5468" t="str">
        <f>"35.332340"</f>
        <v>35.332340</v>
      </c>
      <c r="R5468" t="str">
        <f>"25.135150"</f>
        <v>25.135150</v>
      </c>
      <c r="S5468" t="s">
        <v>26</v>
      </c>
    </row>
    <row r="5469" spans="1:19" x14ac:dyDescent="0.3">
      <c r="A5469" t="s">
        <v>32470</v>
      </c>
      <c r="B5469" t="s">
        <v>33426</v>
      </c>
      <c r="C5469" t="s">
        <v>33926</v>
      </c>
      <c r="D5469" t="s">
        <v>4618</v>
      </c>
      <c r="E5469" t="s">
        <v>4618</v>
      </c>
      <c r="F5469" t="s">
        <v>4618</v>
      </c>
      <c r="G5469" t="s">
        <v>33925</v>
      </c>
      <c r="H5469" t="s">
        <v>868</v>
      </c>
      <c r="I5469" t="s">
        <v>950</v>
      </c>
      <c r="J5469" t="str">
        <f>"9170036"</f>
        <v>9170036</v>
      </c>
      <c r="K5469">
        <v>2810721466</v>
      </c>
      <c r="M5469" t="s">
        <v>33927</v>
      </c>
      <c r="O5469" t="s">
        <v>33928</v>
      </c>
      <c r="P5469">
        <v>70013</v>
      </c>
      <c r="Q5469" t="str">
        <f>"35.253548"</f>
        <v>35.253548</v>
      </c>
      <c r="R5469" t="str">
        <f>"25.061756"</f>
        <v>25.061756</v>
      </c>
      <c r="S5469" t="s">
        <v>26</v>
      </c>
    </row>
    <row r="5470" spans="1:19" x14ac:dyDescent="0.3">
      <c r="A5470" t="s">
        <v>32470</v>
      </c>
      <c r="B5470" t="s">
        <v>33426</v>
      </c>
      <c r="C5470" t="s">
        <v>33940</v>
      </c>
      <c r="D5470" t="s">
        <v>4618</v>
      </c>
      <c r="E5470" t="s">
        <v>32529</v>
      </c>
      <c r="F5470" t="s">
        <v>32650</v>
      </c>
      <c r="G5470" t="s">
        <v>22398</v>
      </c>
      <c r="H5470" t="s">
        <v>868</v>
      </c>
      <c r="I5470" t="s">
        <v>869</v>
      </c>
      <c r="J5470" t="str">
        <f>"9170034"</f>
        <v>9170034</v>
      </c>
      <c r="K5470">
        <v>2810841217</v>
      </c>
      <c r="L5470">
        <v>2810842017</v>
      </c>
      <c r="M5470" t="s">
        <v>33941</v>
      </c>
      <c r="N5470" t="s">
        <v>22401</v>
      </c>
      <c r="O5470" t="s">
        <v>33942</v>
      </c>
      <c r="P5470">
        <v>71500</v>
      </c>
      <c r="Q5470" t="str">
        <f>"35.362453"</f>
        <v>35.362453</v>
      </c>
      <c r="R5470" t="str">
        <f>"25.021929"</f>
        <v>25.021929</v>
      </c>
      <c r="S5470" t="s">
        <v>26</v>
      </c>
    </row>
    <row r="5471" spans="1:19" x14ac:dyDescent="0.3">
      <c r="A5471" t="s">
        <v>32470</v>
      </c>
      <c r="B5471" t="s">
        <v>33426</v>
      </c>
      <c r="C5471" t="s">
        <v>33943</v>
      </c>
      <c r="D5471" t="s">
        <v>4618</v>
      </c>
      <c r="E5471" t="s">
        <v>32629</v>
      </c>
      <c r="F5471" t="s">
        <v>5162</v>
      </c>
      <c r="G5471" t="s">
        <v>30138</v>
      </c>
      <c r="H5471" t="s">
        <v>868</v>
      </c>
      <c r="I5471" t="s">
        <v>869</v>
      </c>
      <c r="J5471" t="str">
        <f>"9170043"</f>
        <v>9170043</v>
      </c>
      <c r="K5471">
        <v>2894022075</v>
      </c>
      <c r="L5471">
        <v>2894023651</v>
      </c>
      <c r="M5471" t="s">
        <v>33944</v>
      </c>
      <c r="N5471" t="s">
        <v>30142</v>
      </c>
      <c r="O5471" t="s">
        <v>30142</v>
      </c>
      <c r="P5471">
        <v>70003</v>
      </c>
      <c r="Q5471" t="str">
        <f>"35.134494"</f>
        <v>35.134494</v>
      </c>
      <c r="R5471" t="str">
        <f>"25.020232"</f>
        <v>25.020232</v>
      </c>
      <c r="S5471" t="s">
        <v>26</v>
      </c>
    </row>
    <row r="5472" spans="1:19" x14ac:dyDescent="0.3">
      <c r="A5472" t="s">
        <v>32470</v>
      </c>
      <c r="B5472" t="s">
        <v>33426</v>
      </c>
      <c r="C5472" t="s">
        <v>33946</v>
      </c>
      <c r="D5472" t="s">
        <v>4618</v>
      </c>
      <c r="E5472" t="s">
        <v>32584</v>
      </c>
      <c r="F5472" t="s">
        <v>32585</v>
      </c>
      <c r="G5472" t="s">
        <v>33945</v>
      </c>
      <c r="H5472" t="s">
        <v>868</v>
      </c>
      <c r="I5472" t="s">
        <v>869</v>
      </c>
      <c r="J5472" t="str">
        <f>"9170336"</f>
        <v>9170336</v>
      </c>
      <c r="K5472">
        <v>2892045288</v>
      </c>
      <c r="L5472">
        <v>2892045388</v>
      </c>
      <c r="M5472" t="s">
        <v>33947</v>
      </c>
      <c r="N5472" t="s">
        <v>33948</v>
      </c>
      <c r="O5472" t="s">
        <v>33948</v>
      </c>
      <c r="P5472">
        <v>70200</v>
      </c>
      <c r="Q5472" t="str">
        <f>"35.016639"</f>
        <v>35.016639</v>
      </c>
      <c r="R5472" t="str">
        <f>"24.779047"</f>
        <v>24.779047</v>
      </c>
      <c r="S5472" t="s">
        <v>26</v>
      </c>
    </row>
    <row r="5473" spans="1:19" x14ac:dyDescent="0.3">
      <c r="A5473" t="s">
        <v>32470</v>
      </c>
      <c r="B5473" t="s">
        <v>33426</v>
      </c>
      <c r="C5473" t="s">
        <v>32875</v>
      </c>
      <c r="D5473" t="s">
        <v>4618</v>
      </c>
      <c r="E5473" t="s">
        <v>4618</v>
      </c>
      <c r="F5473" t="s">
        <v>4618</v>
      </c>
      <c r="G5473" t="s">
        <v>32471</v>
      </c>
      <c r="H5473" t="s">
        <v>868</v>
      </c>
      <c r="I5473" t="s">
        <v>869</v>
      </c>
      <c r="J5473" t="str">
        <f>"9170113"</f>
        <v>9170113</v>
      </c>
      <c r="K5473">
        <v>2810226174</v>
      </c>
      <c r="L5473">
        <v>2810226174</v>
      </c>
      <c r="M5473" t="s">
        <v>33949</v>
      </c>
      <c r="N5473" t="s">
        <v>4741</v>
      </c>
      <c r="O5473" t="s">
        <v>33950</v>
      </c>
      <c r="P5473">
        <v>71202</v>
      </c>
      <c r="Q5473" t="str">
        <f>"35.340424"</f>
        <v>35.340424</v>
      </c>
      <c r="R5473" t="str">
        <f>"25.135183"</f>
        <v>25.135183</v>
      </c>
      <c r="S5473" t="s">
        <v>26</v>
      </c>
    </row>
    <row r="5474" spans="1:19" x14ac:dyDescent="0.3">
      <c r="A5474" t="s">
        <v>32470</v>
      </c>
      <c r="B5474" t="s">
        <v>33426</v>
      </c>
      <c r="C5474" t="s">
        <v>32541</v>
      </c>
      <c r="D5474" t="s">
        <v>4618</v>
      </c>
      <c r="E5474" t="s">
        <v>4618</v>
      </c>
      <c r="F5474" t="s">
        <v>4618</v>
      </c>
      <c r="G5474" t="s">
        <v>32754</v>
      </c>
      <c r="H5474" t="s">
        <v>868</v>
      </c>
      <c r="I5474" t="s">
        <v>869</v>
      </c>
      <c r="J5474" t="str">
        <f>"9170194"</f>
        <v>9170194</v>
      </c>
      <c r="K5474">
        <v>2810239611</v>
      </c>
      <c r="L5474">
        <v>2810239611</v>
      </c>
      <c r="M5474" t="s">
        <v>33951</v>
      </c>
      <c r="N5474" t="s">
        <v>28925</v>
      </c>
      <c r="O5474" t="s">
        <v>33952</v>
      </c>
      <c r="P5474">
        <v>71307</v>
      </c>
      <c r="Q5474" t="str">
        <f>"35.328942"</f>
        <v>35.328942</v>
      </c>
      <c r="R5474" t="str">
        <f>"25.145373"</f>
        <v>25.145373</v>
      </c>
      <c r="S5474" t="s">
        <v>26</v>
      </c>
    </row>
    <row r="5475" spans="1:19" x14ac:dyDescent="0.3">
      <c r="A5475" t="s">
        <v>32470</v>
      </c>
      <c r="B5475" t="s">
        <v>33426</v>
      </c>
      <c r="C5475" t="s">
        <v>33964</v>
      </c>
      <c r="D5475" t="s">
        <v>4618</v>
      </c>
      <c r="E5475" t="s">
        <v>32529</v>
      </c>
      <c r="F5475" t="s">
        <v>32650</v>
      </c>
      <c r="G5475" t="s">
        <v>32650</v>
      </c>
      <c r="H5475" t="s">
        <v>868</v>
      </c>
      <c r="I5475" t="s">
        <v>869</v>
      </c>
      <c r="J5475" t="str">
        <f>"9170017"</f>
        <v>9170017</v>
      </c>
      <c r="K5475">
        <v>2810250746</v>
      </c>
      <c r="L5475">
        <v>2810250746</v>
      </c>
      <c r="M5475" t="s">
        <v>33965</v>
      </c>
      <c r="N5475" t="s">
        <v>8190</v>
      </c>
      <c r="O5475" t="s">
        <v>33966</v>
      </c>
      <c r="P5475">
        <v>71414</v>
      </c>
      <c r="Q5475" t="str">
        <f>"35.328099"</f>
        <v>35.328099</v>
      </c>
      <c r="R5475" t="str">
        <f>"25.089102"</f>
        <v>25.089102</v>
      </c>
      <c r="S5475" t="s">
        <v>26</v>
      </c>
    </row>
    <row r="5476" spans="1:19" x14ac:dyDescent="0.3">
      <c r="A5476" t="s">
        <v>32470</v>
      </c>
      <c r="B5476" t="s">
        <v>33426</v>
      </c>
      <c r="C5476" t="s">
        <v>33967</v>
      </c>
      <c r="D5476" t="s">
        <v>4618</v>
      </c>
      <c r="E5476" t="s">
        <v>4618</v>
      </c>
      <c r="F5476" t="s">
        <v>4618</v>
      </c>
      <c r="G5476" t="s">
        <v>32514</v>
      </c>
      <c r="H5476" t="s">
        <v>868</v>
      </c>
      <c r="I5476" t="s">
        <v>869</v>
      </c>
      <c r="J5476" t="str">
        <f>"9170055"</f>
        <v>9170055</v>
      </c>
      <c r="K5476">
        <v>2810255097</v>
      </c>
      <c r="L5476">
        <v>2810371504</v>
      </c>
      <c r="M5476" t="s">
        <v>33968</v>
      </c>
      <c r="N5476" t="s">
        <v>28925</v>
      </c>
      <c r="O5476" t="s">
        <v>33969</v>
      </c>
      <c r="P5476">
        <v>71303</v>
      </c>
      <c r="Q5476" t="str">
        <f>"35.335233"</f>
        <v>35.335233</v>
      </c>
      <c r="R5476" t="str">
        <f>"25.114700"</f>
        <v>25.114700</v>
      </c>
      <c r="S5476" t="s">
        <v>26</v>
      </c>
    </row>
    <row r="5477" spans="1:19" x14ac:dyDescent="0.3">
      <c r="A5477" t="s">
        <v>32470</v>
      </c>
      <c r="B5477" t="s">
        <v>33426</v>
      </c>
      <c r="C5477" t="s">
        <v>32536</v>
      </c>
      <c r="D5477" t="s">
        <v>4618</v>
      </c>
      <c r="E5477" t="s">
        <v>32529</v>
      </c>
      <c r="F5477" t="s">
        <v>32530</v>
      </c>
      <c r="G5477" t="s">
        <v>32531</v>
      </c>
      <c r="H5477" t="s">
        <v>868</v>
      </c>
      <c r="I5477" t="s">
        <v>869</v>
      </c>
      <c r="J5477" t="str">
        <f>"9170028"</f>
        <v>9170028</v>
      </c>
      <c r="K5477">
        <v>2810711204</v>
      </c>
      <c r="L5477">
        <v>2810711204</v>
      </c>
      <c r="M5477" t="s">
        <v>33970</v>
      </c>
      <c r="N5477" t="s">
        <v>32535</v>
      </c>
      <c r="O5477" t="s">
        <v>32535</v>
      </c>
      <c r="P5477">
        <v>70001</v>
      </c>
      <c r="Q5477" t="str">
        <f>"35.230475"</f>
        <v>35.230475</v>
      </c>
      <c r="R5477" t="str">
        <f>"24.987345"</f>
        <v>24.987345</v>
      </c>
      <c r="S5477" t="s">
        <v>26</v>
      </c>
    </row>
    <row r="5478" spans="1:19" x14ac:dyDescent="0.3">
      <c r="A5478" t="s">
        <v>32470</v>
      </c>
      <c r="B5478" t="s">
        <v>33426</v>
      </c>
      <c r="C5478" t="s">
        <v>33971</v>
      </c>
      <c r="D5478" t="s">
        <v>4618</v>
      </c>
      <c r="E5478" t="s">
        <v>32690</v>
      </c>
      <c r="F5478" t="s">
        <v>32690</v>
      </c>
      <c r="G5478" t="s">
        <v>33853</v>
      </c>
      <c r="H5478" t="s">
        <v>868</v>
      </c>
      <c r="I5478" t="s">
        <v>950</v>
      </c>
      <c r="J5478" t="str">
        <f>"9170383"</f>
        <v>9170383</v>
      </c>
      <c r="K5478">
        <v>2895061350</v>
      </c>
      <c r="L5478">
        <v>2895061350</v>
      </c>
      <c r="M5478" t="s">
        <v>33972</v>
      </c>
      <c r="N5478" t="s">
        <v>33856</v>
      </c>
      <c r="O5478" t="s">
        <v>33856</v>
      </c>
      <c r="P5478">
        <v>70004</v>
      </c>
      <c r="Q5478" t="str">
        <f>"34.986676"</f>
        <v>34.986676</v>
      </c>
      <c r="R5478" t="str">
        <f>"25.499905"</f>
        <v>25.499905</v>
      </c>
      <c r="S5478" t="s">
        <v>57</v>
      </c>
    </row>
    <row r="5479" spans="1:19" x14ac:dyDescent="0.3">
      <c r="A5479" t="s">
        <v>32470</v>
      </c>
      <c r="B5479" t="s">
        <v>33426</v>
      </c>
      <c r="C5479" t="s">
        <v>32601</v>
      </c>
      <c r="D5479" t="s">
        <v>4618</v>
      </c>
      <c r="E5479" t="s">
        <v>32501</v>
      </c>
      <c r="F5479" t="s">
        <v>32596</v>
      </c>
      <c r="G5479" t="s">
        <v>33671</v>
      </c>
      <c r="H5479" t="s">
        <v>868</v>
      </c>
      <c r="I5479" t="s">
        <v>869</v>
      </c>
      <c r="J5479" t="str">
        <f>"9170095"</f>
        <v>9170095</v>
      </c>
      <c r="K5479">
        <v>2810741397</v>
      </c>
      <c r="L5479">
        <v>2810742560</v>
      </c>
      <c r="M5479" t="s">
        <v>33973</v>
      </c>
      <c r="N5479" t="s">
        <v>33674</v>
      </c>
      <c r="O5479" t="s">
        <v>33674</v>
      </c>
      <c r="P5479">
        <v>70100</v>
      </c>
      <c r="Q5479" t="str">
        <f>"35.193451"</f>
        <v>35.193451</v>
      </c>
      <c r="R5479" t="str">
        <f>"25.179332"</f>
        <v>25.179332</v>
      </c>
      <c r="S5479" t="s">
        <v>26</v>
      </c>
    </row>
    <row r="5480" spans="1:19" x14ac:dyDescent="0.3">
      <c r="A5480" t="s">
        <v>32470</v>
      </c>
      <c r="B5480" t="s">
        <v>33426</v>
      </c>
      <c r="C5480" t="s">
        <v>33974</v>
      </c>
      <c r="D5480" t="s">
        <v>4618</v>
      </c>
      <c r="E5480" t="s">
        <v>32508</v>
      </c>
      <c r="F5480" t="s">
        <v>32508</v>
      </c>
      <c r="G5480" t="s">
        <v>32508</v>
      </c>
      <c r="H5480" t="s">
        <v>868</v>
      </c>
      <c r="I5480" t="s">
        <v>869</v>
      </c>
      <c r="J5480" t="str">
        <f>"9170250"</f>
        <v>9170250</v>
      </c>
      <c r="K5480">
        <v>2897022005</v>
      </c>
      <c r="L5480">
        <v>2897022376</v>
      </c>
      <c r="M5480" t="s">
        <v>33975</v>
      </c>
      <c r="N5480" t="s">
        <v>33976</v>
      </c>
      <c r="O5480" t="s">
        <v>33977</v>
      </c>
      <c r="P5480">
        <v>70014</v>
      </c>
      <c r="Q5480" t="str">
        <f>"35.309488"</f>
        <v>35.309488</v>
      </c>
      <c r="R5480" t="str">
        <f>"25.368947"</f>
        <v>25.368947</v>
      </c>
      <c r="S5480" t="s">
        <v>26</v>
      </c>
    </row>
    <row r="5481" spans="1:19" x14ac:dyDescent="0.3">
      <c r="A5481" t="s">
        <v>32470</v>
      </c>
      <c r="B5481" t="s">
        <v>33426</v>
      </c>
      <c r="C5481" t="s">
        <v>33979</v>
      </c>
      <c r="D5481" t="s">
        <v>4618</v>
      </c>
      <c r="E5481" t="s">
        <v>32549</v>
      </c>
      <c r="F5481" t="s">
        <v>32550</v>
      </c>
      <c r="G5481" t="s">
        <v>33978</v>
      </c>
      <c r="H5481" t="s">
        <v>868</v>
      </c>
      <c r="I5481" t="s">
        <v>950</v>
      </c>
      <c r="J5481" t="str">
        <f>"9170170"</f>
        <v>9170170</v>
      </c>
      <c r="K5481">
        <v>2891091303</v>
      </c>
      <c r="L5481">
        <v>2891091303</v>
      </c>
      <c r="M5481" t="s">
        <v>33980</v>
      </c>
      <c r="N5481" t="s">
        <v>33978</v>
      </c>
      <c r="O5481" t="s">
        <v>33981</v>
      </c>
      <c r="P5481">
        <v>70300</v>
      </c>
      <c r="Q5481" t="str">
        <f>"35.055277"</f>
        <v>35.055277</v>
      </c>
      <c r="R5481" t="str">
        <f>"25.305977"</f>
        <v>25.305977</v>
      </c>
      <c r="S5481" t="s">
        <v>26</v>
      </c>
    </row>
    <row r="5482" spans="1:19" x14ac:dyDescent="0.3">
      <c r="A5482" t="s">
        <v>32470</v>
      </c>
      <c r="B5482" t="s">
        <v>33426</v>
      </c>
      <c r="C5482" t="s">
        <v>32714</v>
      </c>
      <c r="D5482" t="s">
        <v>4618</v>
      </c>
      <c r="E5482" t="s">
        <v>4618</v>
      </c>
      <c r="F5482" t="s">
        <v>32623</v>
      </c>
      <c r="G5482" t="s">
        <v>32623</v>
      </c>
      <c r="H5482" t="s">
        <v>868</v>
      </c>
      <c r="I5482" t="s">
        <v>869</v>
      </c>
      <c r="J5482" t="str">
        <f>"9170427"</f>
        <v>9170427</v>
      </c>
      <c r="K5482">
        <v>2810220998</v>
      </c>
      <c r="L5482">
        <v>2810220998</v>
      </c>
      <c r="M5482" t="s">
        <v>33987</v>
      </c>
      <c r="N5482" t="s">
        <v>33905</v>
      </c>
      <c r="O5482" t="s">
        <v>33988</v>
      </c>
      <c r="P5482">
        <v>71601</v>
      </c>
      <c r="Q5482" t="str">
        <f>"35.342568"</f>
        <v>35.342568</v>
      </c>
      <c r="R5482" t="str">
        <f>"25.160472"</f>
        <v>25.160472</v>
      </c>
      <c r="S5482" t="s">
        <v>26</v>
      </c>
    </row>
    <row r="5483" spans="1:19" x14ac:dyDescent="0.3">
      <c r="A5483" t="s">
        <v>32470</v>
      </c>
      <c r="B5483" t="s">
        <v>33426</v>
      </c>
      <c r="C5483" t="s">
        <v>32628</v>
      </c>
      <c r="D5483" t="s">
        <v>4618</v>
      </c>
      <c r="E5483" t="s">
        <v>4618</v>
      </c>
      <c r="F5483" t="s">
        <v>32623</v>
      </c>
      <c r="G5483" t="s">
        <v>32623</v>
      </c>
      <c r="H5483" t="s">
        <v>868</v>
      </c>
      <c r="I5483" t="s">
        <v>869</v>
      </c>
      <c r="J5483" t="str">
        <f>"9170262"</f>
        <v>9170262</v>
      </c>
      <c r="K5483">
        <v>2810245912</v>
      </c>
      <c r="L5483">
        <v>2810288749</v>
      </c>
      <c r="M5483" t="s">
        <v>33989</v>
      </c>
      <c r="N5483" t="s">
        <v>32626</v>
      </c>
      <c r="O5483" t="s">
        <v>33638</v>
      </c>
      <c r="P5483">
        <v>71601</v>
      </c>
      <c r="Q5483" t="str">
        <f>"35.337914"</f>
        <v>35.337914</v>
      </c>
      <c r="R5483" t="str">
        <f>"25.157227"</f>
        <v>25.157227</v>
      </c>
      <c r="S5483" t="s">
        <v>26</v>
      </c>
    </row>
    <row r="5484" spans="1:19" x14ac:dyDescent="0.3">
      <c r="A5484" t="s">
        <v>32470</v>
      </c>
      <c r="B5484" t="s">
        <v>33426</v>
      </c>
      <c r="C5484" t="s">
        <v>32696</v>
      </c>
      <c r="D5484" t="s">
        <v>4618</v>
      </c>
      <c r="E5484" t="s">
        <v>32690</v>
      </c>
      <c r="F5484" t="s">
        <v>32690</v>
      </c>
      <c r="G5484" t="s">
        <v>32691</v>
      </c>
      <c r="H5484" t="s">
        <v>868</v>
      </c>
      <c r="I5484" t="s">
        <v>869</v>
      </c>
      <c r="J5484" t="str">
        <f>"9170132"</f>
        <v>9170132</v>
      </c>
      <c r="K5484">
        <v>2895022233</v>
      </c>
      <c r="L5484">
        <v>2895022237</v>
      </c>
      <c r="M5484" t="s">
        <v>33990</v>
      </c>
      <c r="N5484" t="s">
        <v>33847</v>
      </c>
      <c r="O5484" t="s">
        <v>33847</v>
      </c>
      <c r="P5484">
        <v>70004</v>
      </c>
      <c r="Q5484" t="str">
        <f>"35.053213"</f>
        <v>35.053213</v>
      </c>
      <c r="R5484" t="str">
        <f>"25.411495"</f>
        <v>25.411495</v>
      </c>
      <c r="S5484" t="s">
        <v>26</v>
      </c>
    </row>
    <row r="5485" spans="1:19" x14ac:dyDescent="0.3">
      <c r="A5485" t="s">
        <v>32470</v>
      </c>
      <c r="B5485" t="s">
        <v>33426</v>
      </c>
      <c r="C5485" t="s">
        <v>33991</v>
      </c>
      <c r="D5485" t="s">
        <v>4618</v>
      </c>
      <c r="E5485" t="s">
        <v>4618</v>
      </c>
      <c r="F5485" t="s">
        <v>4618</v>
      </c>
      <c r="G5485" t="s">
        <v>32537</v>
      </c>
      <c r="H5485" t="s">
        <v>868</v>
      </c>
      <c r="I5485" t="s">
        <v>869</v>
      </c>
      <c r="J5485" t="str">
        <f>"9170109"</f>
        <v>9170109</v>
      </c>
      <c r="K5485">
        <v>2810212659</v>
      </c>
      <c r="L5485">
        <v>2810360722</v>
      </c>
      <c r="M5485" t="s">
        <v>33992</v>
      </c>
      <c r="N5485" t="s">
        <v>28925</v>
      </c>
      <c r="O5485" t="s">
        <v>33993</v>
      </c>
      <c r="P5485">
        <v>71306</v>
      </c>
      <c r="Q5485" t="str">
        <f>"35.326905"</f>
        <v>35.326905</v>
      </c>
      <c r="R5485" t="str">
        <f>"25.136157"</f>
        <v>25.136157</v>
      </c>
      <c r="S5485" t="s">
        <v>26</v>
      </c>
    </row>
    <row r="5486" spans="1:19" x14ac:dyDescent="0.3">
      <c r="A5486" t="s">
        <v>32470</v>
      </c>
      <c r="B5486" t="s">
        <v>33426</v>
      </c>
      <c r="C5486" t="s">
        <v>33994</v>
      </c>
      <c r="D5486" t="s">
        <v>4618</v>
      </c>
      <c r="E5486" t="s">
        <v>4618</v>
      </c>
      <c r="F5486" t="s">
        <v>4618</v>
      </c>
      <c r="G5486" t="s">
        <v>32514</v>
      </c>
      <c r="H5486" t="s">
        <v>868</v>
      </c>
      <c r="I5486" t="s">
        <v>869</v>
      </c>
      <c r="J5486" t="str">
        <f>"9170115"</f>
        <v>9170115</v>
      </c>
      <c r="K5486">
        <v>2810231165</v>
      </c>
      <c r="L5486">
        <v>2810231165</v>
      </c>
      <c r="M5486" t="s">
        <v>33995</v>
      </c>
      <c r="N5486" t="s">
        <v>28925</v>
      </c>
      <c r="O5486" t="s">
        <v>33996</v>
      </c>
      <c r="P5486">
        <v>71305</v>
      </c>
      <c r="Q5486" t="str">
        <f>"35.323552"</f>
        <v>35.323552</v>
      </c>
      <c r="R5486" t="str">
        <f>"25.129954"</f>
        <v>25.129954</v>
      </c>
      <c r="S5486" t="s">
        <v>26</v>
      </c>
    </row>
    <row r="5487" spans="1:19" x14ac:dyDescent="0.3">
      <c r="A5487" t="s">
        <v>32470</v>
      </c>
      <c r="B5487" t="s">
        <v>33426</v>
      </c>
      <c r="C5487" t="s">
        <v>33997</v>
      </c>
      <c r="D5487" t="s">
        <v>4618</v>
      </c>
      <c r="E5487" t="s">
        <v>4618</v>
      </c>
      <c r="F5487" t="s">
        <v>4618</v>
      </c>
      <c r="G5487" t="s">
        <v>32514</v>
      </c>
      <c r="H5487" t="s">
        <v>868</v>
      </c>
      <c r="I5487" t="s">
        <v>869</v>
      </c>
      <c r="J5487" t="str">
        <f>"9170575"</f>
        <v>9170575</v>
      </c>
      <c r="K5487">
        <v>2810260772</v>
      </c>
      <c r="L5487">
        <v>2810316893</v>
      </c>
      <c r="M5487" t="s">
        <v>33998</v>
      </c>
      <c r="N5487" t="s">
        <v>4741</v>
      </c>
      <c r="O5487" t="s">
        <v>33666</v>
      </c>
      <c r="P5487">
        <v>71500</v>
      </c>
      <c r="Q5487" t="str">
        <f>"35.321395"</f>
        <v>35.321395</v>
      </c>
      <c r="R5487" t="str">
        <f>"25.100853"</f>
        <v>25.100853</v>
      </c>
      <c r="S5487" t="s">
        <v>26</v>
      </c>
    </row>
    <row r="5488" spans="1:19" x14ac:dyDescent="0.3">
      <c r="A5488" t="s">
        <v>32470</v>
      </c>
      <c r="B5488" t="s">
        <v>33426</v>
      </c>
      <c r="C5488" t="s">
        <v>33999</v>
      </c>
      <c r="D5488" t="s">
        <v>4618</v>
      </c>
      <c r="E5488" t="s">
        <v>4618</v>
      </c>
      <c r="F5488" t="s">
        <v>4618</v>
      </c>
      <c r="G5488" t="s">
        <v>32514</v>
      </c>
      <c r="H5488" t="s">
        <v>868</v>
      </c>
      <c r="I5488" t="s">
        <v>869</v>
      </c>
      <c r="J5488" t="str">
        <f>"9170425"</f>
        <v>9170425</v>
      </c>
      <c r="K5488">
        <v>2810250261</v>
      </c>
      <c r="L5488">
        <v>2810250261</v>
      </c>
      <c r="M5488" t="s">
        <v>34000</v>
      </c>
      <c r="N5488" t="s">
        <v>28925</v>
      </c>
      <c r="O5488" t="s">
        <v>34001</v>
      </c>
      <c r="P5488">
        <v>71305</v>
      </c>
      <c r="Q5488" t="str">
        <f>"35.327835"</f>
        <v>35.327835</v>
      </c>
      <c r="R5488" t="str">
        <f>"25.118527"</f>
        <v>25.118527</v>
      </c>
      <c r="S5488" t="s">
        <v>26</v>
      </c>
    </row>
    <row r="5489" spans="1:19" x14ac:dyDescent="0.3">
      <c r="A5489" t="s">
        <v>32470</v>
      </c>
      <c r="B5489" t="s">
        <v>33426</v>
      </c>
      <c r="C5489" t="s">
        <v>34002</v>
      </c>
      <c r="D5489" t="s">
        <v>4618</v>
      </c>
      <c r="E5489" t="s">
        <v>4618</v>
      </c>
      <c r="F5489" t="s">
        <v>4618</v>
      </c>
      <c r="G5489" t="s">
        <v>32514</v>
      </c>
      <c r="H5489" t="s">
        <v>868</v>
      </c>
      <c r="I5489" t="s">
        <v>869</v>
      </c>
      <c r="J5489" t="str">
        <f>"9170512"</f>
        <v>9170512</v>
      </c>
      <c r="K5489">
        <v>2810253082</v>
      </c>
      <c r="L5489">
        <v>2810259801</v>
      </c>
      <c r="M5489" t="s">
        <v>34003</v>
      </c>
      <c r="N5489" t="s">
        <v>28925</v>
      </c>
      <c r="O5489" t="s">
        <v>34004</v>
      </c>
      <c r="P5489">
        <v>71306</v>
      </c>
      <c r="Q5489" t="str">
        <f>"35.327789"</f>
        <v>35.327789</v>
      </c>
      <c r="R5489" t="str">
        <f>"25.126062"</f>
        <v>25.126062</v>
      </c>
      <c r="S5489" t="s">
        <v>26</v>
      </c>
    </row>
    <row r="5490" spans="1:19" x14ac:dyDescent="0.3">
      <c r="A5490" t="s">
        <v>32470</v>
      </c>
      <c r="B5490" t="s">
        <v>33426</v>
      </c>
      <c r="C5490" t="s">
        <v>32835</v>
      </c>
      <c r="D5490" t="s">
        <v>4618</v>
      </c>
      <c r="E5490" t="s">
        <v>32529</v>
      </c>
      <c r="F5490" t="s">
        <v>32831</v>
      </c>
      <c r="G5490" t="s">
        <v>32831</v>
      </c>
      <c r="H5490" t="s">
        <v>868</v>
      </c>
      <c r="I5490" t="s">
        <v>869</v>
      </c>
      <c r="J5490" t="str">
        <f>"9170037"</f>
        <v>9170037</v>
      </c>
      <c r="K5490">
        <v>2810831208</v>
      </c>
      <c r="L5490">
        <v>2810831208</v>
      </c>
      <c r="M5490" t="s">
        <v>34005</v>
      </c>
      <c r="N5490" t="s">
        <v>34006</v>
      </c>
      <c r="O5490" t="s">
        <v>34006</v>
      </c>
      <c r="P5490">
        <v>71500</v>
      </c>
      <c r="Q5490" t="str">
        <f>"35.296356"</f>
        <v>35.296356</v>
      </c>
      <c r="R5490" t="str">
        <f>"25.019940"</f>
        <v>25.019940</v>
      </c>
      <c r="S5490" t="s">
        <v>26</v>
      </c>
    </row>
    <row r="5491" spans="1:19" x14ac:dyDescent="0.3">
      <c r="A5491" t="s">
        <v>32470</v>
      </c>
      <c r="B5491" t="s">
        <v>33426</v>
      </c>
      <c r="C5491" t="s">
        <v>32663</v>
      </c>
      <c r="D5491" t="s">
        <v>4618</v>
      </c>
      <c r="E5491" t="s">
        <v>4618</v>
      </c>
      <c r="F5491" t="s">
        <v>4618</v>
      </c>
      <c r="G5491" t="s">
        <v>32537</v>
      </c>
      <c r="H5491" t="s">
        <v>868</v>
      </c>
      <c r="I5491" t="s">
        <v>869</v>
      </c>
      <c r="J5491" t="str">
        <f>"9170515"</f>
        <v>9170515</v>
      </c>
      <c r="K5491">
        <v>2810254821</v>
      </c>
      <c r="L5491">
        <v>2810254821</v>
      </c>
      <c r="M5491" t="s">
        <v>34007</v>
      </c>
      <c r="N5491" t="s">
        <v>28925</v>
      </c>
      <c r="O5491" t="s">
        <v>34008</v>
      </c>
      <c r="P5491">
        <v>71303</v>
      </c>
      <c r="Q5491" t="str">
        <f>"35.333214"</f>
        <v>35.333214</v>
      </c>
      <c r="R5491" t="str">
        <f>"25.110408"</f>
        <v>25.110408</v>
      </c>
      <c r="S5491" t="s">
        <v>26</v>
      </c>
    </row>
    <row r="5492" spans="1:19" x14ac:dyDescent="0.3">
      <c r="A5492" t="s">
        <v>32470</v>
      </c>
      <c r="B5492" t="s">
        <v>33426</v>
      </c>
      <c r="C5492" t="s">
        <v>34009</v>
      </c>
      <c r="D5492" t="s">
        <v>4618</v>
      </c>
      <c r="E5492" t="s">
        <v>32529</v>
      </c>
      <c r="F5492" t="s">
        <v>32650</v>
      </c>
      <c r="G5492" t="s">
        <v>33729</v>
      </c>
      <c r="H5492" t="s">
        <v>868</v>
      </c>
      <c r="I5492" t="s">
        <v>950</v>
      </c>
      <c r="J5492" t="str">
        <f>"9170038"</f>
        <v>9170038</v>
      </c>
      <c r="K5492">
        <v>2810521484</v>
      </c>
      <c r="L5492">
        <v>2810521484</v>
      </c>
      <c r="M5492" t="s">
        <v>34010</v>
      </c>
      <c r="N5492" t="s">
        <v>33729</v>
      </c>
      <c r="O5492" t="s">
        <v>33729</v>
      </c>
      <c r="P5492">
        <v>71500</v>
      </c>
      <c r="Q5492" t="str">
        <f>"35.380703"</f>
        <v>35.380703</v>
      </c>
      <c r="R5492" t="str">
        <f>"24.958100"</f>
        <v>24.958100</v>
      </c>
      <c r="S5492" t="s">
        <v>26</v>
      </c>
    </row>
    <row r="5493" spans="1:19" x14ac:dyDescent="0.3">
      <c r="A5493" t="s">
        <v>32470</v>
      </c>
      <c r="B5493" t="s">
        <v>33426</v>
      </c>
      <c r="C5493" t="s">
        <v>34011</v>
      </c>
      <c r="D5493" t="s">
        <v>4618</v>
      </c>
      <c r="E5493" t="s">
        <v>32629</v>
      </c>
      <c r="F5493" t="s">
        <v>5162</v>
      </c>
      <c r="G5493" t="s">
        <v>15717</v>
      </c>
      <c r="H5493" t="s">
        <v>868</v>
      </c>
      <c r="I5493" t="s">
        <v>869</v>
      </c>
      <c r="J5493" t="str">
        <f>"9170041"</f>
        <v>9170041</v>
      </c>
      <c r="K5493">
        <v>2894022150</v>
      </c>
      <c r="L5493">
        <v>2894022150</v>
      </c>
      <c r="M5493" t="s">
        <v>34012</v>
      </c>
      <c r="N5493" t="s">
        <v>15719</v>
      </c>
      <c r="O5493" t="s">
        <v>15719</v>
      </c>
      <c r="P5493">
        <v>70003</v>
      </c>
      <c r="Q5493" t="str">
        <f>"35.145792"</f>
        <v>35.145792</v>
      </c>
      <c r="R5493" t="str">
        <f>"25.033627"</f>
        <v>25.033627</v>
      </c>
      <c r="S5493" t="s">
        <v>26</v>
      </c>
    </row>
    <row r="5494" spans="1:19" x14ac:dyDescent="0.3">
      <c r="A5494" t="s">
        <v>32470</v>
      </c>
      <c r="B5494" t="s">
        <v>33426</v>
      </c>
      <c r="C5494" t="s">
        <v>32830</v>
      </c>
      <c r="D5494" t="s">
        <v>4618</v>
      </c>
      <c r="E5494" t="s">
        <v>4618</v>
      </c>
      <c r="F5494" t="s">
        <v>32824</v>
      </c>
      <c r="G5494" t="s">
        <v>32825</v>
      </c>
      <c r="H5494" t="s">
        <v>868</v>
      </c>
      <c r="I5494" t="s">
        <v>869</v>
      </c>
      <c r="J5494" t="str">
        <f>"9170059"</f>
        <v>9170059</v>
      </c>
      <c r="K5494">
        <v>2810791244</v>
      </c>
      <c r="L5494">
        <v>2810791240</v>
      </c>
      <c r="M5494" t="s">
        <v>34013</v>
      </c>
      <c r="N5494" t="s">
        <v>32829</v>
      </c>
      <c r="O5494" t="s">
        <v>34014</v>
      </c>
      <c r="P5494">
        <v>70011</v>
      </c>
      <c r="Q5494" t="str">
        <f>"35.197062"</f>
        <v>35.197062</v>
      </c>
      <c r="R5494" t="str">
        <f>"25.038631"</f>
        <v>25.038631</v>
      </c>
      <c r="S5494" t="s">
        <v>26</v>
      </c>
    </row>
    <row r="5495" spans="1:19" x14ac:dyDescent="0.3">
      <c r="A5495" t="s">
        <v>32470</v>
      </c>
      <c r="B5495" t="s">
        <v>33426</v>
      </c>
      <c r="C5495" t="s">
        <v>32554</v>
      </c>
      <c r="D5495" t="s">
        <v>4618</v>
      </c>
      <c r="E5495" t="s">
        <v>32549</v>
      </c>
      <c r="F5495" t="s">
        <v>32550</v>
      </c>
      <c r="G5495" t="s">
        <v>32550</v>
      </c>
      <c r="H5495" t="s">
        <v>868</v>
      </c>
      <c r="I5495" t="s">
        <v>869</v>
      </c>
      <c r="J5495" t="str">
        <f>"9170144"</f>
        <v>9170144</v>
      </c>
      <c r="K5495">
        <v>2891022244</v>
      </c>
      <c r="L5495">
        <v>2891022681</v>
      </c>
      <c r="M5495" t="s">
        <v>34019</v>
      </c>
      <c r="N5495" t="s">
        <v>32688</v>
      </c>
      <c r="O5495" t="s">
        <v>34020</v>
      </c>
      <c r="P5495">
        <v>70300</v>
      </c>
      <c r="Q5495" t="str">
        <f>"35.146242"</f>
        <v>35.146242</v>
      </c>
      <c r="R5495" t="str">
        <f>"25.266024"</f>
        <v>25.266024</v>
      </c>
      <c r="S5495" t="s">
        <v>26</v>
      </c>
    </row>
    <row r="5496" spans="1:19" x14ac:dyDescent="0.3">
      <c r="A5496" t="s">
        <v>32470</v>
      </c>
      <c r="B5496" t="s">
        <v>33426</v>
      </c>
      <c r="C5496" t="s">
        <v>32646</v>
      </c>
      <c r="D5496" t="s">
        <v>4618</v>
      </c>
      <c r="E5496" t="s">
        <v>32508</v>
      </c>
      <c r="F5496" t="s">
        <v>32602</v>
      </c>
      <c r="G5496" t="s">
        <v>32640</v>
      </c>
      <c r="H5496" t="s">
        <v>868</v>
      </c>
      <c r="I5496" t="s">
        <v>869</v>
      </c>
      <c r="J5496" t="str">
        <f>"9170244"</f>
        <v>9170244</v>
      </c>
      <c r="K5496">
        <v>2897061213</v>
      </c>
      <c r="L5496">
        <v>2897061213</v>
      </c>
      <c r="M5496" t="s">
        <v>34021</v>
      </c>
      <c r="N5496" t="s">
        <v>32645</v>
      </c>
      <c r="O5496" t="s">
        <v>34022</v>
      </c>
      <c r="P5496">
        <v>70005</v>
      </c>
      <c r="Q5496" t="str">
        <f>"35.262064"</f>
        <v>35.262064</v>
      </c>
      <c r="R5496" t="str">
        <f>"25.426249"</f>
        <v>25.426249</v>
      </c>
      <c r="S5496" t="s">
        <v>26</v>
      </c>
    </row>
    <row r="5497" spans="1:19" x14ac:dyDescent="0.3">
      <c r="A5497" t="s">
        <v>32470</v>
      </c>
      <c r="B5497" t="s">
        <v>33426</v>
      </c>
      <c r="C5497" t="s">
        <v>34023</v>
      </c>
      <c r="D5497" t="s">
        <v>4618</v>
      </c>
      <c r="E5497" t="s">
        <v>4618</v>
      </c>
      <c r="F5497" t="s">
        <v>32623</v>
      </c>
      <c r="G5497" t="s">
        <v>32623</v>
      </c>
      <c r="H5497" t="s">
        <v>868</v>
      </c>
      <c r="I5497" t="s">
        <v>869</v>
      </c>
      <c r="J5497" t="str">
        <f>"9170263"</f>
        <v>9170263</v>
      </c>
      <c r="K5497">
        <v>2810346939</v>
      </c>
      <c r="L5497">
        <v>2810346939</v>
      </c>
      <c r="M5497" t="s">
        <v>34024</v>
      </c>
      <c r="N5497" t="s">
        <v>32626</v>
      </c>
      <c r="O5497" t="s">
        <v>34025</v>
      </c>
      <c r="P5497">
        <v>71601</v>
      </c>
      <c r="Q5497" t="str">
        <f>"35.327772"</f>
        <v>35.327772</v>
      </c>
      <c r="R5497" t="str">
        <f>"25.165748"</f>
        <v>25.165748</v>
      </c>
      <c r="S5497" t="s">
        <v>26</v>
      </c>
    </row>
    <row r="5498" spans="1:19" x14ac:dyDescent="0.3">
      <c r="A5498" t="s">
        <v>32470</v>
      </c>
      <c r="B5498" t="s">
        <v>33426</v>
      </c>
      <c r="C5498" t="s">
        <v>34026</v>
      </c>
      <c r="D5498" t="s">
        <v>4618</v>
      </c>
      <c r="E5498" t="s">
        <v>4618</v>
      </c>
      <c r="F5498" t="s">
        <v>4618</v>
      </c>
      <c r="G5498" t="s">
        <v>32471</v>
      </c>
      <c r="H5498" t="s">
        <v>868</v>
      </c>
      <c r="I5498" t="s">
        <v>869</v>
      </c>
      <c r="J5498" t="str">
        <f>"9170428"</f>
        <v>9170428</v>
      </c>
      <c r="K5498">
        <v>2810234768</v>
      </c>
      <c r="L5498">
        <v>2810235221</v>
      </c>
      <c r="M5498" t="s">
        <v>34027</v>
      </c>
      <c r="N5498" t="s">
        <v>4618</v>
      </c>
      <c r="O5498" t="s">
        <v>34028</v>
      </c>
      <c r="P5498">
        <v>71306</v>
      </c>
      <c r="Q5498" t="str">
        <f>"35.320321"</f>
        <v>35.320321</v>
      </c>
      <c r="R5498" t="str">
        <f>"25.133699"</f>
        <v>25.133699</v>
      </c>
      <c r="S5498" t="s">
        <v>26</v>
      </c>
    </row>
    <row r="5499" spans="1:19" x14ac:dyDescent="0.3">
      <c r="A5499" t="s">
        <v>32470</v>
      </c>
      <c r="B5499" t="s">
        <v>33426</v>
      </c>
      <c r="C5499" t="s">
        <v>32689</v>
      </c>
      <c r="D5499" t="s">
        <v>4618</v>
      </c>
      <c r="E5499" t="s">
        <v>32549</v>
      </c>
      <c r="F5499" t="s">
        <v>32550</v>
      </c>
      <c r="G5499" t="s">
        <v>32550</v>
      </c>
      <c r="H5499" t="s">
        <v>868</v>
      </c>
      <c r="I5499" t="s">
        <v>869</v>
      </c>
      <c r="J5499" t="str">
        <f>"9170561"</f>
        <v>9170561</v>
      </c>
      <c r="K5499">
        <v>2891023609</v>
      </c>
      <c r="L5499">
        <v>2891023767</v>
      </c>
      <c r="M5499" t="s">
        <v>34029</v>
      </c>
      <c r="N5499" t="s">
        <v>32688</v>
      </c>
      <c r="O5499" t="s">
        <v>34030</v>
      </c>
      <c r="P5499">
        <v>70300</v>
      </c>
      <c r="Q5499" t="str">
        <f>"35.141934"</f>
        <v>35.141934</v>
      </c>
      <c r="R5499" t="str">
        <f>"25.265595"</f>
        <v>25.265595</v>
      </c>
      <c r="S5499" t="s">
        <v>26</v>
      </c>
    </row>
    <row r="5500" spans="1:19" x14ac:dyDescent="0.3">
      <c r="A5500" t="s">
        <v>32470</v>
      </c>
      <c r="B5500" t="s">
        <v>33426</v>
      </c>
      <c r="C5500" t="s">
        <v>32701</v>
      </c>
      <c r="D5500" t="s">
        <v>4618</v>
      </c>
      <c r="E5500" t="s">
        <v>32629</v>
      </c>
      <c r="F5500" t="s">
        <v>5162</v>
      </c>
      <c r="G5500" t="s">
        <v>5162</v>
      </c>
      <c r="H5500" t="s">
        <v>868</v>
      </c>
      <c r="I5500" t="s">
        <v>869</v>
      </c>
      <c r="J5500" t="str">
        <f>"9170039"</f>
        <v>9170039</v>
      </c>
      <c r="K5500">
        <v>2894022231</v>
      </c>
      <c r="L5500">
        <v>2894022945</v>
      </c>
      <c r="M5500" t="s">
        <v>34031</v>
      </c>
      <c r="N5500" t="s">
        <v>5165</v>
      </c>
      <c r="O5500" t="s">
        <v>5165</v>
      </c>
      <c r="P5500">
        <v>70003</v>
      </c>
      <c r="Q5500" t="str">
        <f>"35.137811"</f>
        <v>35.137811</v>
      </c>
      <c r="R5500" t="str">
        <f>"25.001537"</f>
        <v>25.001537</v>
      </c>
      <c r="S5500" t="s">
        <v>26</v>
      </c>
    </row>
    <row r="5501" spans="1:19" x14ac:dyDescent="0.3">
      <c r="A5501" t="s">
        <v>32470</v>
      </c>
      <c r="B5501" t="s">
        <v>33426</v>
      </c>
      <c r="C5501" t="s">
        <v>34037</v>
      </c>
      <c r="D5501" t="s">
        <v>4618</v>
      </c>
      <c r="E5501" t="s">
        <v>4618</v>
      </c>
      <c r="F5501" t="s">
        <v>4618</v>
      </c>
      <c r="G5501" t="s">
        <v>32471</v>
      </c>
      <c r="H5501" t="s">
        <v>868</v>
      </c>
      <c r="I5501" t="s">
        <v>869</v>
      </c>
      <c r="J5501" t="str">
        <f>"9170107"</f>
        <v>9170107</v>
      </c>
      <c r="K5501">
        <v>2810282405</v>
      </c>
      <c r="L5501">
        <v>2810284024</v>
      </c>
      <c r="M5501" t="s">
        <v>34038</v>
      </c>
      <c r="N5501" t="s">
        <v>28925</v>
      </c>
      <c r="O5501" t="s">
        <v>33548</v>
      </c>
      <c r="P5501">
        <v>71201</v>
      </c>
      <c r="Q5501" t="str">
        <f>"35.337446"</f>
        <v>35.337446</v>
      </c>
      <c r="R5501" t="str">
        <f>"25.127096"</f>
        <v>25.127096</v>
      </c>
      <c r="S5501" t="s">
        <v>26</v>
      </c>
    </row>
    <row r="5502" spans="1:19" x14ac:dyDescent="0.3">
      <c r="A5502" t="s">
        <v>32470</v>
      </c>
      <c r="B5502" t="s">
        <v>33426</v>
      </c>
      <c r="C5502" t="s">
        <v>34039</v>
      </c>
      <c r="D5502" t="s">
        <v>4618</v>
      </c>
      <c r="E5502" t="s">
        <v>4618</v>
      </c>
      <c r="F5502" t="s">
        <v>4618</v>
      </c>
      <c r="G5502" t="s">
        <v>32471</v>
      </c>
      <c r="H5502" t="s">
        <v>868</v>
      </c>
      <c r="I5502" t="s">
        <v>869</v>
      </c>
      <c r="J5502" t="str">
        <f>"9170102"</f>
        <v>9170102</v>
      </c>
      <c r="K5502">
        <v>2810283938</v>
      </c>
      <c r="L5502">
        <v>2810301903</v>
      </c>
      <c r="M5502" t="s">
        <v>34040</v>
      </c>
      <c r="N5502" t="s">
        <v>28925</v>
      </c>
      <c r="O5502" t="s">
        <v>34041</v>
      </c>
      <c r="P5502">
        <v>71306</v>
      </c>
      <c r="Q5502" t="str">
        <f>"35.332425"</f>
        <v>35.332425</v>
      </c>
      <c r="R5502" t="str">
        <f>"25.134753"</f>
        <v>25.134753</v>
      </c>
      <c r="S5502" t="s">
        <v>26</v>
      </c>
    </row>
    <row r="5503" spans="1:19" x14ac:dyDescent="0.3">
      <c r="A5503" t="s">
        <v>32470</v>
      </c>
      <c r="B5503" t="s">
        <v>33426</v>
      </c>
      <c r="C5503" t="s">
        <v>32561</v>
      </c>
      <c r="D5503" t="s">
        <v>4618</v>
      </c>
      <c r="E5503" t="s">
        <v>4618</v>
      </c>
      <c r="F5503" t="s">
        <v>4618</v>
      </c>
      <c r="G5503" t="s">
        <v>32537</v>
      </c>
      <c r="H5503" t="s">
        <v>868</v>
      </c>
      <c r="I5503" t="s">
        <v>869</v>
      </c>
      <c r="J5503" t="str">
        <f>"9170054"</f>
        <v>9170054</v>
      </c>
      <c r="K5503">
        <v>2810254527</v>
      </c>
      <c r="L5503">
        <v>2810254530</v>
      </c>
      <c r="M5503" t="s">
        <v>34042</v>
      </c>
      <c r="N5503" t="s">
        <v>33823</v>
      </c>
      <c r="O5503" t="s">
        <v>34043</v>
      </c>
      <c r="P5503">
        <v>71304</v>
      </c>
      <c r="Q5503" t="str">
        <f>"35.333893"</f>
        <v>35.333893</v>
      </c>
      <c r="R5503" t="str">
        <f>"25.118615"</f>
        <v>25.118615</v>
      </c>
      <c r="S5503" t="s">
        <v>26</v>
      </c>
    </row>
    <row r="5504" spans="1:19" x14ac:dyDescent="0.3">
      <c r="A5504" t="s">
        <v>32470</v>
      </c>
      <c r="B5504" t="s">
        <v>33426</v>
      </c>
      <c r="C5504" t="s">
        <v>34044</v>
      </c>
      <c r="D5504" t="s">
        <v>4618</v>
      </c>
      <c r="E5504" t="s">
        <v>32508</v>
      </c>
      <c r="F5504" t="s">
        <v>32519</v>
      </c>
      <c r="G5504" t="s">
        <v>32519</v>
      </c>
      <c r="H5504" t="s">
        <v>868</v>
      </c>
      <c r="I5504" t="s">
        <v>869</v>
      </c>
      <c r="J5504" t="str">
        <f>"9170219"</f>
        <v>9170219</v>
      </c>
      <c r="K5504">
        <v>2897041357</v>
      </c>
      <c r="L5504">
        <v>2897043453</v>
      </c>
      <c r="M5504" t="s">
        <v>34045</v>
      </c>
      <c r="N5504" t="s">
        <v>34046</v>
      </c>
      <c r="O5504" t="s">
        <v>34047</v>
      </c>
      <c r="P5504">
        <v>70014</v>
      </c>
      <c r="Q5504" t="str">
        <f>"35.312808"</f>
        <v>35.312808</v>
      </c>
      <c r="R5504" t="str">
        <f>"25.312991"</f>
        <v>25.312991</v>
      </c>
      <c r="S5504" t="s">
        <v>26</v>
      </c>
    </row>
    <row r="5505" spans="1:19" x14ac:dyDescent="0.3">
      <c r="A5505" t="s">
        <v>32470</v>
      </c>
      <c r="B5505" t="s">
        <v>33426</v>
      </c>
      <c r="C5505" t="s">
        <v>32775</v>
      </c>
      <c r="D5505" t="s">
        <v>4618</v>
      </c>
      <c r="E5505" t="s">
        <v>32508</v>
      </c>
      <c r="F5505" t="s">
        <v>32508</v>
      </c>
      <c r="G5505" t="s">
        <v>32768</v>
      </c>
      <c r="H5505" t="s">
        <v>868</v>
      </c>
      <c r="I5505" t="s">
        <v>869</v>
      </c>
      <c r="J5505" t="str">
        <f>"9170239"</f>
        <v>9170239</v>
      </c>
      <c r="K5505">
        <v>2897022076</v>
      </c>
      <c r="L5505">
        <v>2897024890</v>
      </c>
      <c r="M5505" t="s">
        <v>34048</v>
      </c>
      <c r="N5505" t="s">
        <v>33604</v>
      </c>
      <c r="O5505" t="s">
        <v>34049</v>
      </c>
      <c r="P5505">
        <v>70014</v>
      </c>
      <c r="Q5505" t="str">
        <f>"35.312788"</f>
        <v>35.312788</v>
      </c>
      <c r="R5505" t="str">
        <f>"25.386896"</f>
        <v>25.386896</v>
      </c>
      <c r="S5505" t="s">
        <v>26</v>
      </c>
    </row>
    <row r="5506" spans="1:19" x14ac:dyDescent="0.3">
      <c r="A5506" t="s">
        <v>32470</v>
      </c>
      <c r="B5506" t="s">
        <v>33426</v>
      </c>
      <c r="C5506" t="s">
        <v>32606</v>
      </c>
      <c r="D5506" t="s">
        <v>4618</v>
      </c>
      <c r="E5506" t="s">
        <v>32508</v>
      </c>
      <c r="F5506" t="s">
        <v>32602</v>
      </c>
      <c r="G5506" t="s">
        <v>32602</v>
      </c>
      <c r="H5506" t="s">
        <v>868</v>
      </c>
      <c r="I5506" t="s">
        <v>869</v>
      </c>
      <c r="J5506" t="str">
        <f>"9170242"</f>
        <v>9170242</v>
      </c>
      <c r="K5506">
        <v>2897031254</v>
      </c>
      <c r="L5506">
        <v>2897029577</v>
      </c>
      <c r="M5506" t="s">
        <v>34052</v>
      </c>
      <c r="N5506" t="s">
        <v>33635</v>
      </c>
      <c r="O5506" t="s">
        <v>33917</v>
      </c>
      <c r="P5506">
        <v>70007</v>
      </c>
      <c r="Q5506" t="str">
        <f>"35.284092"</f>
        <v>35.284092</v>
      </c>
      <c r="R5506" t="str">
        <f>"25.459896"</f>
        <v>25.459896</v>
      </c>
      <c r="S5506" t="s">
        <v>26</v>
      </c>
    </row>
    <row r="5507" spans="1:19" x14ac:dyDescent="0.3">
      <c r="A5507" t="s">
        <v>32470</v>
      </c>
      <c r="B5507" t="s">
        <v>33426</v>
      </c>
      <c r="C5507" t="s">
        <v>34056</v>
      </c>
      <c r="D5507" t="s">
        <v>4618</v>
      </c>
      <c r="E5507" t="s">
        <v>4618</v>
      </c>
      <c r="F5507" t="s">
        <v>4618</v>
      </c>
      <c r="G5507" t="s">
        <v>32471</v>
      </c>
      <c r="H5507" t="s">
        <v>868</v>
      </c>
      <c r="I5507" t="s">
        <v>869</v>
      </c>
      <c r="J5507" t="str">
        <f>"9170343"</f>
        <v>9170343</v>
      </c>
      <c r="K5507">
        <v>2810283970</v>
      </c>
      <c r="L5507">
        <v>2810284267</v>
      </c>
      <c r="M5507" t="s">
        <v>34057</v>
      </c>
      <c r="N5507" t="s">
        <v>28925</v>
      </c>
      <c r="O5507" t="s">
        <v>34058</v>
      </c>
      <c r="P5507">
        <v>71305</v>
      </c>
      <c r="Q5507" t="str">
        <f>"35.331652"</f>
        <v>35.331652</v>
      </c>
      <c r="R5507" t="str">
        <f>"25.133955"</f>
        <v>25.133955</v>
      </c>
      <c r="S5507" t="s">
        <v>26</v>
      </c>
    </row>
    <row r="5508" spans="1:19" x14ac:dyDescent="0.3">
      <c r="A5508" t="s">
        <v>32470</v>
      </c>
      <c r="B5508" t="s">
        <v>33426</v>
      </c>
      <c r="C5508" t="s">
        <v>32798</v>
      </c>
      <c r="D5508" t="s">
        <v>4618</v>
      </c>
      <c r="E5508" t="s">
        <v>32549</v>
      </c>
      <c r="F5508" t="s">
        <v>32794</v>
      </c>
      <c r="G5508" t="s">
        <v>32794</v>
      </c>
      <c r="H5508" t="s">
        <v>868</v>
      </c>
      <c r="I5508" t="s">
        <v>869</v>
      </c>
      <c r="J5508" t="str">
        <f>"9170228"</f>
        <v>9170228</v>
      </c>
      <c r="K5508">
        <v>2891041210</v>
      </c>
      <c r="L5508">
        <v>2891041210</v>
      </c>
      <c r="M5508" t="s">
        <v>34066</v>
      </c>
      <c r="N5508" t="s">
        <v>34067</v>
      </c>
      <c r="O5508" t="s">
        <v>34065</v>
      </c>
      <c r="P5508">
        <v>70006</v>
      </c>
      <c r="Q5508" t="str">
        <f>"35.187826"</f>
        <v>35.187826</v>
      </c>
      <c r="R5508" t="str">
        <f>"25.281133"</f>
        <v>25.281133</v>
      </c>
      <c r="S5508" t="s">
        <v>26</v>
      </c>
    </row>
    <row r="5509" spans="1:19" x14ac:dyDescent="0.3">
      <c r="A5509" t="s">
        <v>32470</v>
      </c>
      <c r="B5509" t="s">
        <v>33426</v>
      </c>
      <c r="C5509" t="s">
        <v>34068</v>
      </c>
      <c r="D5509" t="s">
        <v>4618</v>
      </c>
      <c r="E5509" t="s">
        <v>32501</v>
      </c>
      <c r="F5509" t="s">
        <v>32502</v>
      </c>
      <c r="G5509" t="s">
        <v>32502</v>
      </c>
      <c r="H5509" t="s">
        <v>868</v>
      </c>
      <c r="I5509" t="s">
        <v>869</v>
      </c>
      <c r="J5509" t="str">
        <f>"9170097"</f>
        <v>9170097</v>
      </c>
      <c r="K5509">
        <v>2810751807</v>
      </c>
      <c r="L5509">
        <v>2810752902</v>
      </c>
      <c r="M5509" t="s">
        <v>34069</v>
      </c>
      <c r="N5509" t="s">
        <v>34070</v>
      </c>
      <c r="O5509" t="s">
        <v>34071</v>
      </c>
      <c r="P5509">
        <v>70100</v>
      </c>
      <c r="Q5509" t="str">
        <f>"35.239471"</f>
        <v>35.239471</v>
      </c>
      <c r="R5509" t="str">
        <f>"25.162128"</f>
        <v>25.162128</v>
      </c>
      <c r="S5509" t="s">
        <v>26</v>
      </c>
    </row>
    <row r="5510" spans="1:19" x14ac:dyDescent="0.3">
      <c r="A5510" t="s">
        <v>32470</v>
      </c>
      <c r="B5510" t="s">
        <v>33426</v>
      </c>
      <c r="C5510" t="s">
        <v>32639</v>
      </c>
      <c r="D5510" t="s">
        <v>4618</v>
      </c>
      <c r="E5510" t="s">
        <v>4618</v>
      </c>
      <c r="F5510" t="s">
        <v>4618</v>
      </c>
      <c r="G5510" t="s">
        <v>32514</v>
      </c>
      <c r="H5510" t="s">
        <v>868</v>
      </c>
      <c r="I5510" t="s">
        <v>869</v>
      </c>
      <c r="J5510" t="str">
        <f>"9170057"</f>
        <v>9170057</v>
      </c>
      <c r="K5510">
        <v>2810251505</v>
      </c>
      <c r="L5510">
        <v>2810371505</v>
      </c>
      <c r="M5510" t="s">
        <v>33924</v>
      </c>
      <c r="N5510" t="s">
        <v>28925</v>
      </c>
      <c r="O5510" t="s">
        <v>34074</v>
      </c>
      <c r="P5510">
        <v>71304</v>
      </c>
      <c r="Q5510" t="str">
        <f>"35.330151"</f>
        <v>35.330151</v>
      </c>
      <c r="R5510" t="str">
        <f>"25.116376"</f>
        <v>25.116376</v>
      </c>
      <c r="S5510" t="s">
        <v>26</v>
      </c>
    </row>
    <row r="5511" spans="1:19" x14ac:dyDescent="0.3">
      <c r="A5511" t="s">
        <v>32470</v>
      </c>
      <c r="B5511" t="s">
        <v>33426</v>
      </c>
      <c r="C5511" t="s">
        <v>32507</v>
      </c>
      <c r="D5511" t="s">
        <v>4618</v>
      </c>
      <c r="E5511" t="s">
        <v>32501</v>
      </c>
      <c r="F5511" t="s">
        <v>32502</v>
      </c>
      <c r="G5511" t="s">
        <v>32502</v>
      </c>
      <c r="H5511" t="s">
        <v>868</v>
      </c>
      <c r="I5511" t="s">
        <v>869</v>
      </c>
      <c r="J5511" t="str">
        <f>"9170549"</f>
        <v>9170549</v>
      </c>
      <c r="K5511">
        <v>2810751800</v>
      </c>
      <c r="L5511">
        <v>2810751800</v>
      </c>
      <c r="M5511" t="s">
        <v>34078</v>
      </c>
      <c r="N5511" t="s">
        <v>33461</v>
      </c>
      <c r="O5511" t="s">
        <v>34079</v>
      </c>
      <c r="P5511">
        <v>70100</v>
      </c>
      <c r="Q5511" t="str">
        <f>"35.230899"</f>
        <v>35.230899</v>
      </c>
      <c r="R5511" t="str">
        <f>"25.157339"</f>
        <v>25.157339</v>
      </c>
      <c r="S5511" t="s">
        <v>26</v>
      </c>
    </row>
    <row r="5512" spans="1:19" x14ac:dyDescent="0.3">
      <c r="A5512" t="s">
        <v>32470</v>
      </c>
      <c r="B5512" t="s">
        <v>33426</v>
      </c>
      <c r="C5512" t="s">
        <v>32518</v>
      </c>
      <c r="D5512" t="s">
        <v>4618</v>
      </c>
      <c r="E5512" t="s">
        <v>4618</v>
      </c>
      <c r="F5512" t="s">
        <v>4618</v>
      </c>
      <c r="G5512" t="s">
        <v>32514</v>
      </c>
      <c r="H5512" t="s">
        <v>868</v>
      </c>
      <c r="I5512" t="s">
        <v>869</v>
      </c>
      <c r="J5512" t="str">
        <f>"9170532"</f>
        <v>9170532</v>
      </c>
      <c r="K5512">
        <v>2810250330</v>
      </c>
      <c r="L5512">
        <v>2810372765</v>
      </c>
      <c r="M5512" t="s">
        <v>34080</v>
      </c>
      <c r="N5512" t="s">
        <v>28925</v>
      </c>
      <c r="O5512" t="s">
        <v>34081</v>
      </c>
      <c r="P5512">
        <v>71304</v>
      </c>
      <c r="Q5512" t="str">
        <f>"35.320844"</f>
        <v>35.320844</v>
      </c>
      <c r="R5512" t="str">
        <f>"25.111050"</f>
        <v>25.111050</v>
      </c>
      <c r="S5512" t="s">
        <v>26</v>
      </c>
    </row>
    <row r="5513" spans="1:19" x14ac:dyDescent="0.3">
      <c r="A5513" t="s">
        <v>32470</v>
      </c>
      <c r="B5513" t="s">
        <v>33426</v>
      </c>
      <c r="C5513" t="s">
        <v>34088</v>
      </c>
      <c r="D5513" t="s">
        <v>4618</v>
      </c>
      <c r="E5513" t="s">
        <v>4618</v>
      </c>
      <c r="F5513" t="s">
        <v>4618</v>
      </c>
      <c r="G5513" t="s">
        <v>32754</v>
      </c>
      <c r="H5513" t="s">
        <v>868</v>
      </c>
      <c r="I5513" t="s">
        <v>869</v>
      </c>
      <c r="J5513" t="str">
        <f>"9170257"</f>
        <v>9170257</v>
      </c>
      <c r="K5513">
        <v>2810245513</v>
      </c>
      <c r="L5513">
        <v>2810245513</v>
      </c>
      <c r="M5513" t="s">
        <v>34089</v>
      </c>
      <c r="N5513" t="s">
        <v>28925</v>
      </c>
      <c r="O5513" t="s">
        <v>34090</v>
      </c>
      <c r="P5513">
        <v>71307</v>
      </c>
      <c r="Q5513" t="str">
        <f>"35.338978"</f>
        <v>35.338978</v>
      </c>
      <c r="R5513" t="str">
        <f>"25.152550"</f>
        <v>25.152550</v>
      </c>
      <c r="S5513" t="s">
        <v>26</v>
      </c>
    </row>
    <row r="5514" spans="1:19" x14ac:dyDescent="0.3">
      <c r="A5514" t="s">
        <v>32470</v>
      </c>
      <c r="B5514" t="s">
        <v>33426</v>
      </c>
      <c r="C5514" t="s">
        <v>32655</v>
      </c>
      <c r="D5514" t="s">
        <v>4618</v>
      </c>
      <c r="E5514" t="s">
        <v>32529</v>
      </c>
      <c r="F5514" t="s">
        <v>32650</v>
      </c>
      <c r="G5514" t="s">
        <v>32650</v>
      </c>
      <c r="H5514" t="s">
        <v>868</v>
      </c>
      <c r="I5514" t="s">
        <v>869</v>
      </c>
      <c r="J5514" t="str">
        <f>"9170018"</f>
        <v>9170018</v>
      </c>
      <c r="K5514">
        <v>2810821217</v>
      </c>
      <c r="L5514">
        <v>2810821217</v>
      </c>
      <c r="M5514" t="s">
        <v>34094</v>
      </c>
      <c r="N5514" t="s">
        <v>33793</v>
      </c>
      <c r="O5514" t="s">
        <v>34095</v>
      </c>
      <c r="P5514">
        <v>71414</v>
      </c>
      <c r="Q5514" t="str">
        <f>"35.323123"</f>
        <v>35.323123</v>
      </c>
      <c r="R5514" t="str">
        <f>"25.066651"</f>
        <v>25.066651</v>
      </c>
      <c r="S5514" t="s">
        <v>26</v>
      </c>
    </row>
    <row r="5515" spans="1:19" x14ac:dyDescent="0.3">
      <c r="A5515" t="s">
        <v>32470</v>
      </c>
      <c r="B5515" t="s">
        <v>33426</v>
      </c>
      <c r="C5515" t="s">
        <v>34096</v>
      </c>
      <c r="D5515" t="s">
        <v>4618</v>
      </c>
      <c r="E5515" t="s">
        <v>4618</v>
      </c>
      <c r="F5515" t="s">
        <v>4618</v>
      </c>
      <c r="G5515" t="s">
        <v>32754</v>
      </c>
      <c r="H5515" t="s">
        <v>868</v>
      </c>
      <c r="I5515" t="s">
        <v>869</v>
      </c>
      <c r="J5515" t="str">
        <f>"9170259"</f>
        <v>9170259</v>
      </c>
      <c r="K5515">
        <v>6945013602</v>
      </c>
      <c r="L5515">
        <v>2810286077</v>
      </c>
      <c r="M5515" t="s">
        <v>34097</v>
      </c>
      <c r="N5515" t="s">
        <v>28925</v>
      </c>
      <c r="O5515" t="s">
        <v>34098</v>
      </c>
      <c r="P5515">
        <v>71307</v>
      </c>
      <c r="Q5515" t="str">
        <f>"35.339317"</f>
        <v>35.339317</v>
      </c>
      <c r="R5515" t="str">
        <f>"25.147471"</f>
        <v>25.147471</v>
      </c>
      <c r="S5515" t="s">
        <v>26</v>
      </c>
    </row>
    <row r="5516" spans="1:19" x14ac:dyDescent="0.3">
      <c r="A5516" t="s">
        <v>32470</v>
      </c>
      <c r="B5516" t="s">
        <v>33426</v>
      </c>
      <c r="C5516" t="s">
        <v>32900</v>
      </c>
      <c r="D5516" t="s">
        <v>4618</v>
      </c>
      <c r="E5516" t="s">
        <v>32584</v>
      </c>
      <c r="F5516" t="s">
        <v>32585</v>
      </c>
      <c r="G5516" t="s">
        <v>32585</v>
      </c>
      <c r="H5516" t="s">
        <v>868</v>
      </c>
      <c r="I5516" t="s">
        <v>869</v>
      </c>
      <c r="J5516" t="str">
        <f>"9170339"</f>
        <v>9170339</v>
      </c>
      <c r="K5516">
        <v>2892051391</v>
      </c>
      <c r="L5516">
        <v>2892051391</v>
      </c>
      <c r="M5516" t="s">
        <v>34113</v>
      </c>
      <c r="N5516" t="s">
        <v>32589</v>
      </c>
      <c r="O5516" t="s">
        <v>34114</v>
      </c>
      <c r="P5516">
        <v>70200</v>
      </c>
      <c r="Q5516" t="str">
        <f>"35.075459"</f>
        <v>35.075459</v>
      </c>
      <c r="R5516" t="str">
        <f>"24.768527"</f>
        <v>24.768527</v>
      </c>
      <c r="S5516" t="s">
        <v>26</v>
      </c>
    </row>
    <row r="5517" spans="1:19" x14ac:dyDescent="0.3">
      <c r="A5517" t="s">
        <v>32470</v>
      </c>
      <c r="B5517" t="s">
        <v>33426</v>
      </c>
      <c r="C5517" t="s">
        <v>34115</v>
      </c>
      <c r="D5517" t="s">
        <v>4618</v>
      </c>
      <c r="E5517" t="s">
        <v>32690</v>
      </c>
      <c r="F5517" t="s">
        <v>32690</v>
      </c>
      <c r="G5517" t="s">
        <v>33701</v>
      </c>
      <c r="H5517" t="s">
        <v>868</v>
      </c>
      <c r="I5517" t="s">
        <v>869</v>
      </c>
      <c r="J5517" t="str">
        <f>"9170130"</f>
        <v>9170130</v>
      </c>
      <c r="K5517">
        <v>6947820929</v>
      </c>
      <c r="L5517">
        <v>2895071253</v>
      </c>
      <c r="M5517" t="s">
        <v>34116</v>
      </c>
      <c r="N5517" t="s">
        <v>34117</v>
      </c>
      <c r="O5517" t="s">
        <v>34117</v>
      </c>
      <c r="P5517">
        <v>70004</v>
      </c>
      <c r="Q5517" t="str">
        <f>"34.992843"</f>
        <v>34.992843</v>
      </c>
      <c r="R5517" t="str">
        <f>"25.454294"</f>
        <v>25.454294</v>
      </c>
      <c r="S5517" t="s">
        <v>57</v>
      </c>
    </row>
    <row r="5518" spans="1:19" x14ac:dyDescent="0.3">
      <c r="A5518" t="s">
        <v>32470</v>
      </c>
      <c r="B5518" t="s">
        <v>33426</v>
      </c>
      <c r="C5518" t="s">
        <v>34118</v>
      </c>
      <c r="D5518" t="s">
        <v>4618</v>
      </c>
      <c r="E5518" t="s">
        <v>4618</v>
      </c>
      <c r="F5518" t="s">
        <v>4618</v>
      </c>
      <c r="G5518" t="s">
        <v>32754</v>
      </c>
      <c r="H5518" t="s">
        <v>868</v>
      </c>
      <c r="I5518" t="s">
        <v>869</v>
      </c>
      <c r="J5518" t="str">
        <f>"9170519"</f>
        <v>9170519</v>
      </c>
      <c r="K5518">
        <v>2810244075</v>
      </c>
      <c r="L5518">
        <v>2810244075</v>
      </c>
      <c r="M5518" t="s">
        <v>34119</v>
      </c>
      <c r="N5518" t="s">
        <v>28925</v>
      </c>
      <c r="O5518" t="s">
        <v>34090</v>
      </c>
      <c r="P5518">
        <v>71307</v>
      </c>
      <c r="Q5518" t="str">
        <f>"35.339465"</f>
        <v>35.339465</v>
      </c>
      <c r="R5518" t="str">
        <f>"25.152641"</f>
        <v>25.152641</v>
      </c>
      <c r="S5518" t="s">
        <v>26</v>
      </c>
    </row>
    <row r="5519" spans="1:19" x14ac:dyDescent="0.3">
      <c r="A5519" t="s">
        <v>32470</v>
      </c>
      <c r="B5519" t="s">
        <v>33426</v>
      </c>
      <c r="C5519" t="s">
        <v>34120</v>
      </c>
      <c r="D5519" t="s">
        <v>4618</v>
      </c>
      <c r="E5519" t="s">
        <v>32501</v>
      </c>
      <c r="F5519" t="s">
        <v>32596</v>
      </c>
      <c r="G5519" t="s">
        <v>33589</v>
      </c>
      <c r="H5519" t="s">
        <v>868</v>
      </c>
      <c r="I5519" t="s">
        <v>869</v>
      </c>
      <c r="J5519" t="str">
        <f>"9170091"</f>
        <v>9170091</v>
      </c>
      <c r="K5519">
        <v>2810741381</v>
      </c>
      <c r="L5519">
        <v>2810741321</v>
      </c>
      <c r="M5519" t="s">
        <v>34121</v>
      </c>
      <c r="N5519" t="s">
        <v>34122</v>
      </c>
      <c r="O5519" t="s">
        <v>33592</v>
      </c>
      <c r="P5519">
        <v>70100</v>
      </c>
      <c r="Q5519" t="str">
        <f>"35.236894"</f>
        <v>35.236894</v>
      </c>
      <c r="R5519" t="str">
        <f>"25.185944"</f>
        <v>25.185944</v>
      </c>
      <c r="S5519" t="s">
        <v>26</v>
      </c>
    </row>
    <row r="5520" spans="1:19" x14ac:dyDescent="0.3">
      <c r="A5520" t="s">
        <v>32470</v>
      </c>
      <c r="B5520" t="s">
        <v>33426</v>
      </c>
      <c r="C5520" t="s">
        <v>34125</v>
      </c>
      <c r="D5520" t="s">
        <v>4618</v>
      </c>
      <c r="E5520" t="s">
        <v>4618</v>
      </c>
      <c r="F5520" t="s">
        <v>4618</v>
      </c>
      <c r="G5520" t="s">
        <v>32537</v>
      </c>
      <c r="H5520" t="s">
        <v>868</v>
      </c>
      <c r="I5520" t="s">
        <v>869</v>
      </c>
      <c r="J5520" t="str">
        <f>"9170517"</f>
        <v>9170517</v>
      </c>
      <c r="K5520">
        <v>2810238757</v>
      </c>
      <c r="L5520">
        <v>2810363315</v>
      </c>
      <c r="M5520" t="s">
        <v>34126</v>
      </c>
      <c r="N5520" t="s">
        <v>28925</v>
      </c>
      <c r="O5520" t="s">
        <v>34127</v>
      </c>
      <c r="P5520">
        <v>71409</v>
      </c>
      <c r="Q5520" t="str">
        <f>"35.305997"</f>
        <v>35.305997</v>
      </c>
      <c r="R5520" t="str">
        <f>"25.142914"</f>
        <v>25.142914</v>
      </c>
      <c r="S5520" t="s">
        <v>26</v>
      </c>
    </row>
    <row r="5521" spans="1:19" x14ac:dyDescent="0.3">
      <c r="A5521" t="s">
        <v>32470</v>
      </c>
      <c r="B5521" t="s">
        <v>33426</v>
      </c>
      <c r="C5521" t="s">
        <v>32685</v>
      </c>
      <c r="D5521" t="s">
        <v>4618</v>
      </c>
      <c r="E5521" t="s">
        <v>4618</v>
      </c>
      <c r="F5521" t="s">
        <v>4618</v>
      </c>
      <c r="G5521" t="s">
        <v>32537</v>
      </c>
      <c r="H5521" t="s">
        <v>868</v>
      </c>
      <c r="I5521" t="s">
        <v>869</v>
      </c>
      <c r="J5521" t="str">
        <f>"9170191"</f>
        <v>9170191</v>
      </c>
      <c r="K5521">
        <v>2810231459</v>
      </c>
      <c r="L5521">
        <v>2810326144</v>
      </c>
      <c r="M5521" t="s">
        <v>34128</v>
      </c>
      <c r="N5521" t="s">
        <v>28925</v>
      </c>
      <c r="O5521" t="s">
        <v>34129</v>
      </c>
      <c r="P5521">
        <v>71409</v>
      </c>
      <c r="Q5521" t="str">
        <f>"35.312846"</f>
        <v>35.312846</v>
      </c>
      <c r="R5521" t="str">
        <f>"25.148852"</f>
        <v>25.148852</v>
      </c>
      <c r="S5521" t="s">
        <v>26</v>
      </c>
    </row>
    <row r="5522" spans="1:19" x14ac:dyDescent="0.3">
      <c r="A5522" t="s">
        <v>32470</v>
      </c>
      <c r="B5522" t="s">
        <v>33426</v>
      </c>
      <c r="C5522" t="s">
        <v>32805</v>
      </c>
      <c r="D5522" t="s">
        <v>4618</v>
      </c>
      <c r="E5522" t="s">
        <v>32584</v>
      </c>
      <c r="F5522" t="s">
        <v>32801</v>
      </c>
      <c r="G5522" t="s">
        <v>32801</v>
      </c>
      <c r="H5522" t="s">
        <v>868</v>
      </c>
      <c r="I5522" t="s">
        <v>869</v>
      </c>
      <c r="J5522" t="str">
        <f>"9170285"</f>
        <v>9170285</v>
      </c>
      <c r="K5522">
        <v>2894031223</v>
      </c>
      <c r="L5522">
        <v>2894031223</v>
      </c>
      <c r="M5522" t="s">
        <v>34130</v>
      </c>
      <c r="O5522" t="s">
        <v>32804</v>
      </c>
      <c r="P5522">
        <v>70002</v>
      </c>
      <c r="Q5522" t="str">
        <f>"35.128791"</f>
        <v>35.128791</v>
      </c>
      <c r="R5522" t="str">
        <f>"24.901563"</f>
        <v>24.901563</v>
      </c>
      <c r="S5522" t="s">
        <v>26</v>
      </c>
    </row>
    <row r="5523" spans="1:19" x14ac:dyDescent="0.3">
      <c r="A5523" t="s">
        <v>32470</v>
      </c>
      <c r="B5523" t="s">
        <v>33426</v>
      </c>
      <c r="C5523" t="s">
        <v>34131</v>
      </c>
      <c r="D5523" t="s">
        <v>4618</v>
      </c>
      <c r="E5523" t="s">
        <v>32584</v>
      </c>
      <c r="F5523" t="s">
        <v>32616</v>
      </c>
      <c r="G5523" t="s">
        <v>34082</v>
      </c>
      <c r="H5523" t="s">
        <v>868</v>
      </c>
      <c r="I5523" t="s">
        <v>950</v>
      </c>
      <c r="J5523" t="str">
        <f>"9170274"</f>
        <v>9170274</v>
      </c>
      <c r="K5523">
        <v>2892097222</v>
      </c>
      <c r="M5523" t="s">
        <v>34132</v>
      </c>
      <c r="O5523" t="s">
        <v>34085</v>
      </c>
      <c r="P5523">
        <v>70009</v>
      </c>
      <c r="Q5523" t="str">
        <f>"34.959553"</f>
        <v>34.959553</v>
      </c>
      <c r="R5523" t="str">
        <f>"24.881565"</f>
        <v>24.881565</v>
      </c>
      <c r="S5523" t="s">
        <v>57</v>
      </c>
    </row>
    <row r="5524" spans="1:19" x14ac:dyDescent="0.3">
      <c r="A5524" t="s">
        <v>32470</v>
      </c>
      <c r="B5524" t="s">
        <v>33426</v>
      </c>
      <c r="C5524" t="s">
        <v>34139</v>
      </c>
      <c r="D5524" t="s">
        <v>4618</v>
      </c>
      <c r="E5524" t="s">
        <v>4618</v>
      </c>
      <c r="F5524" t="s">
        <v>4618</v>
      </c>
      <c r="G5524" t="s">
        <v>32537</v>
      </c>
      <c r="H5524" t="s">
        <v>868</v>
      </c>
      <c r="I5524" t="s">
        <v>869</v>
      </c>
      <c r="J5524" t="str">
        <f>"9170424"</f>
        <v>9170424</v>
      </c>
      <c r="K5524">
        <v>2810254530</v>
      </c>
      <c r="L5524">
        <v>2810254530</v>
      </c>
      <c r="M5524" t="s">
        <v>34140</v>
      </c>
      <c r="N5524" t="s">
        <v>28925</v>
      </c>
      <c r="O5524" t="s">
        <v>34141</v>
      </c>
      <c r="P5524">
        <v>71304</v>
      </c>
      <c r="Q5524" t="str">
        <f>"35.333893"</f>
        <v>35.333893</v>
      </c>
      <c r="R5524" t="str">
        <f>"25.118615"</f>
        <v>25.118615</v>
      </c>
      <c r="S5524" t="s">
        <v>26</v>
      </c>
    </row>
    <row r="5525" spans="1:19" x14ac:dyDescent="0.3">
      <c r="A5525" t="s">
        <v>32470</v>
      </c>
      <c r="B5525" t="s">
        <v>33426</v>
      </c>
      <c r="C5525" t="s">
        <v>34142</v>
      </c>
      <c r="D5525" t="s">
        <v>4618</v>
      </c>
      <c r="E5525" t="s">
        <v>32629</v>
      </c>
      <c r="F5525" t="s">
        <v>32629</v>
      </c>
      <c r="G5525" t="s">
        <v>34075</v>
      </c>
      <c r="H5525" t="s">
        <v>868</v>
      </c>
      <c r="I5525" t="s">
        <v>950</v>
      </c>
      <c r="J5525" t="str">
        <f>"9170289"</f>
        <v>9170289</v>
      </c>
      <c r="K5525">
        <v>2892031220</v>
      </c>
      <c r="L5525">
        <v>2892031220</v>
      </c>
      <c r="M5525" t="s">
        <v>34143</v>
      </c>
      <c r="N5525" t="s">
        <v>20757</v>
      </c>
      <c r="O5525" t="s">
        <v>20757</v>
      </c>
      <c r="P5525">
        <v>70012</v>
      </c>
      <c r="Q5525" t="str">
        <f>"35.054643"</f>
        <v>35.054643</v>
      </c>
      <c r="R5525" t="str">
        <f>"24.944149"</f>
        <v>24.944149</v>
      </c>
      <c r="S5525" t="s">
        <v>26</v>
      </c>
    </row>
    <row r="5526" spans="1:19" x14ac:dyDescent="0.3">
      <c r="A5526" t="s">
        <v>32470</v>
      </c>
      <c r="B5526" t="s">
        <v>33426</v>
      </c>
      <c r="C5526" t="s">
        <v>32894</v>
      </c>
      <c r="D5526" t="s">
        <v>4618</v>
      </c>
      <c r="E5526" t="s">
        <v>4618</v>
      </c>
      <c r="F5526" t="s">
        <v>4618</v>
      </c>
      <c r="G5526" t="s">
        <v>32537</v>
      </c>
      <c r="H5526" t="s">
        <v>868</v>
      </c>
      <c r="I5526" t="s">
        <v>869</v>
      </c>
      <c r="J5526" t="str">
        <f>"9170058"</f>
        <v>9170058</v>
      </c>
      <c r="K5526">
        <v>2810252903</v>
      </c>
      <c r="L5526">
        <v>2810370793</v>
      </c>
      <c r="M5526" t="s">
        <v>34147</v>
      </c>
      <c r="N5526" t="s">
        <v>28925</v>
      </c>
      <c r="O5526" t="s">
        <v>34148</v>
      </c>
      <c r="P5526">
        <v>71305</v>
      </c>
      <c r="Q5526" t="str">
        <f>"35.322469"</f>
        <v>35.322469</v>
      </c>
      <c r="R5526" t="str">
        <f>"25.126013"</f>
        <v>25.126013</v>
      </c>
      <c r="S5526" t="s">
        <v>26</v>
      </c>
    </row>
    <row r="5527" spans="1:19" x14ac:dyDescent="0.3">
      <c r="A5527" t="s">
        <v>32470</v>
      </c>
      <c r="B5527" t="s">
        <v>33426</v>
      </c>
      <c r="C5527" t="s">
        <v>34150</v>
      </c>
      <c r="D5527" t="s">
        <v>4618</v>
      </c>
      <c r="E5527" t="s">
        <v>32584</v>
      </c>
      <c r="F5527" t="s">
        <v>32585</v>
      </c>
      <c r="G5527" t="s">
        <v>34149</v>
      </c>
      <c r="H5527" t="s">
        <v>868</v>
      </c>
      <c r="I5527" t="s">
        <v>950</v>
      </c>
      <c r="J5527" t="str">
        <f>"9170307"</f>
        <v>9170307</v>
      </c>
      <c r="K5527">
        <v>2892042000</v>
      </c>
      <c r="L5527">
        <v>2892042000</v>
      </c>
      <c r="M5527" t="s">
        <v>34151</v>
      </c>
      <c r="N5527" t="s">
        <v>34152</v>
      </c>
      <c r="O5527" t="s">
        <v>34153</v>
      </c>
      <c r="P5527">
        <v>70200</v>
      </c>
      <c r="Q5527" t="str">
        <f>"35.018133"</f>
        <v>35.018133</v>
      </c>
      <c r="R5527" t="str">
        <f>"24.809013"</f>
        <v>24.809013</v>
      </c>
      <c r="S5527" t="s">
        <v>26</v>
      </c>
    </row>
    <row r="5528" spans="1:19" x14ac:dyDescent="0.3">
      <c r="A5528" t="s">
        <v>32470</v>
      </c>
      <c r="B5528" t="s">
        <v>33426</v>
      </c>
      <c r="C5528" t="s">
        <v>34156</v>
      </c>
      <c r="D5528" t="s">
        <v>4618</v>
      </c>
      <c r="E5528" t="s">
        <v>4618</v>
      </c>
      <c r="F5528" t="s">
        <v>4618</v>
      </c>
      <c r="G5528" t="s">
        <v>32471</v>
      </c>
      <c r="H5528" t="s">
        <v>868</v>
      </c>
      <c r="I5528" t="s">
        <v>869</v>
      </c>
      <c r="J5528" t="str">
        <f>"9170531"</f>
        <v>9170531</v>
      </c>
      <c r="K5528">
        <v>2810229104</v>
      </c>
      <c r="L5528">
        <v>2810226174</v>
      </c>
      <c r="M5528" t="s">
        <v>34157</v>
      </c>
      <c r="N5528" t="s">
        <v>28925</v>
      </c>
      <c r="O5528" t="s">
        <v>33950</v>
      </c>
      <c r="P5528">
        <v>71202</v>
      </c>
      <c r="Q5528" t="str">
        <f>"35.339871"</f>
        <v>35.339871</v>
      </c>
      <c r="R5528" t="str">
        <f>"25.134591"</f>
        <v>25.134591</v>
      </c>
      <c r="S5528" t="s">
        <v>26</v>
      </c>
    </row>
    <row r="5529" spans="1:19" x14ac:dyDescent="0.3">
      <c r="A5529" t="s">
        <v>32470</v>
      </c>
      <c r="B5529" t="s">
        <v>33426</v>
      </c>
      <c r="C5529" t="s">
        <v>34160</v>
      </c>
      <c r="D5529" t="s">
        <v>4618</v>
      </c>
      <c r="E5529" t="s">
        <v>32508</v>
      </c>
      <c r="F5529" t="s">
        <v>32519</v>
      </c>
      <c r="G5529" t="s">
        <v>33444</v>
      </c>
      <c r="H5529" t="s">
        <v>868</v>
      </c>
      <c r="I5529" t="s">
        <v>869</v>
      </c>
      <c r="J5529" t="str">
        <f>"9170206"</f>
        <v>9170206</v>
      </c>
      <c r="K5529">
        <v>2810761137</v>
      </c>
      <c r="L5529">
        <v>2810761137</v>
      </c>
      <c r="M5529" t="s">
        <v>34161</v>
      </c>
      <c r="N5529" t="s">
        <v>34162</v>
      </c>
      <c r="O5529" t="s">
        <v>34162</v>
      </c>
      <c r="P5529">
        <v>71500</v>
      </c>
      <c r="Q5529" t="str">
        <f>"35.329260"</f>
        <v>35.329260</v>
      </c>
      <c r="R5529" t="str">
        <f>"25.255244"</f>
        <v>25.255244</v>
      </c>
      <c r="S5529" t="s">
        <v>26</v>
      </c>
    </row>
    <row r="5530" spans="1:19" x14ac:dyDescent="0.3">
      <c r="A5530" t="s">
        <v>32470</v>
      </c>
      <c r="B5530" t="s">
        <v>33426</v>
      </c>
      <c r="C5530" t="s">
        <v>32570</v>
      </c>
      <c r="D5530" t="s">
        <v>4618</v>
      </c>
      <c r="E5530" t="s">
        <v>4618</v>
      </c>
      <c r="F5530" t="s">
        <v>4618</v>
      </c>
      <c r="G5530" t="s">
        <v>32514</v>
      </c>
      <c r="H5530" t="s">
        <v>868</v>
      </c>
      <c r="I5530" t="s">
        <v>869</v>
      </c>
      <c r="J5530" t="str">
        <f>"9170362"</f>
        <v>9170362</v>
      </c>
      <c r="K5530">
        <v>2810255261</v>
      </c>
      <c r="L5530">
        <v>2810315137</v>
      </c>
      <c r="M5530" t="s">
        <v>34163</v>
      </c>
      <c r="N5530" t="s">
        <v>28925</v>
      </c>
      <c r="O5530" t="s">
        <v>34164</v>
      </c>
      <c r="P5530">
        <v>71303</v>
      </c>
      <c r="Q5530" t="str">
        <f>"35.339382"</f>
        <v>35.339382</v>
      </c>
      <c r="R5530" t="str">
        <f>"25.118855"</f>
        <v>25.118855</v>
      </c>
      <c r="S5530" t="s">
        <v>26</v>
      </c>
    </row>
    <row r="5531" spans="1:19" x14ac:dyDescent="0.3">
      <c r="A5531" t="s">
        <v>32470</v>
      </c>
      <c r="B5531" t="s">
        <v>33426</v>
      </c>
      <c r="C5531" t="s">
        <v>32635</v>
      </c>
      <c r="D5531" t="s">
        <v>4618</v>
      </c>
      <c r="E5531" t="s">
        <v>32629</v>
      </c>
      <c r="F5531" t="s">
        <v>32630</v>
      </c>
      <c r="G5531" t="s">
        <v>32631</v>
      </c>
      <c r="H5531" t="s">
        <v>868</v>
      </c>
      <c r="I5531" t="s">
        <v>869</v>
      </c>
      <c r="J5531" t="str">
        <f>"9170068"</f>
        <v>9170068</v>
      </c>
      <c r="K5531">
        <v>2893031217</v>
      </c>
      <c r="L5531">
        <v>2893032338</v>
      </c>
      <c r="M5531" t="s">
        <v>34165</v>
      </c>
      <c r="N5531" t="s">
        <v>34166</v>
      </c>
      <c r="O5531" t="s">
        <v>34166</v>
      </c>
      <c r="P5531">
        <v>70016</v>
      </c>
      <c r="Q5531" t="str">
        <f>"35.045784"</f>
        <v>35.045784</v>
      </c>
      <c r="R5531" t="str">
        <f>"25.100943"</f>
        <v>25.100943</v>
      </c>
      <c r="S5531" t="s">
        <v>26</v>
      </c>
    </row>
    <row r="5532" spans="1:19" x14ac:dyDescent="0.3">
      <c r="A5532" t="s">
        <v>32470</v>
      </c>
      <c r="B5532" t="s">
        <v>33426</v>
      </c>
      <c r="C5532" t="s">
        <v>34167</v>
      </c>
      <c r="D5532" t="s">
        <v>4618</v>
      </c>
      <c r="E5532" t="s">
        <v>4618</v>
      </c>
      <c r="F5532" t="s">
        <v>4618</v>
      </c>
      <c r="G5532" t="s">
        <v>32514</v>
      </c>
      <c r="H5532" t="s">
        <v>868</v>
      </c>
      <c r="I5532" t="s">
        <v>869</v>
      </c>
      <c r="J5532" t="str">
        <f>"9170547"</f>
        <v>9170547</v>
      </c>
      <c r="K5532">
        <v>2810250886</v>
      </c>
      <c r="L5532">
        <v>2810315137</v>
      </c>
      <c r="M5532" t="s">
        <v>34168</v>
      </c>
      <c r="N5532" t="s">
        <v>28925</v>
      </c>
      <c r="O5532" t="s">
        <v>34164</v>
      </c>
      <c r="P5532">
        <v>71303</v>
      </c>
      <c r="Q5532" t="str">
        <f>"35.338962"</f>
        <v>35.338962</v>
      </c>
      <c r="R5532" t="str">
        <f>"25.119209"</f>
        <v>25.119209</v>
      </c>
      <c r="S5532" t="s">
        <v>26</v>
      </c>
    </row>
    <row r="5533" spans="1:19" x14ac:dyDescent="0.3">
      <c r="A5533" t="s">
        <v>32470</v>
      </c>
      <c r="B5533" t="s">
        <v>33426</v>
      </c>
      <c r="C5533" t="s">
        <v>34169</v>
      </c>
      <c r="D5533" t="s">
        <v>4618</v>
      </c>
      <c r="E5533" t="s">
        <v>4618</v>
      </c>
      <c r="F5533" t="s">
        <v>4618</v>
      </c>
      <c r="G5533" t="s">
        <v>32537</v>
      </c>
      <c r="H5533" t="s">
        <v>868</v>
      </c>
      <c r="I5533" t="s">
        <v>869</v>
      </c>
      <c r="J5533" t="str">
        <f>"9170190"</f>
        <v>9170190</v>
      </c>
      <c r="K5533">
        <v>2810232169</v>
      </c>
      <c r="L5533">
        <v>2810232169</v>
      </c>
      <c r="M5533" t="s">
        <v>34170</v>
      </c>
      <c r="N5533" t="s">
        <v>34171</v>
      </c>
      <c r="O5533" t="s">
        <v>34172</v>
      </c>
      <c r="P5533">
        <v>71409</v>
      </c>
      <c r="Q5533" t="str">
        <f>"35.319476"</f>
        <v>35.319476</v>
      </c>
      <c r="R5533" t="str">
        <f>"25.141974"</f>
        <v>25.141974</v>
      </c>
      <c r="S5533" t="s">
        <v>26</v>
      </c>
    </row>
    <row r="5534" spans="1:19" x14ac:dyDescent="0.3">
      <c r="A5534" t="s">
        <v>32470</v>
      </c>
      <c r="B5534" t="s">
        <v>33426</v>
      </c>
      <c r="C5534" t="s">
        <v>34173</v>
      </c>
      <c r="D5534" t="s">
        <v>4618</v>
      </c>
      <c r="E5534" t="s">
        <v>32584</v>
      </c>
      <c r="F5534" t="s">
        <v>32616</v>
      </c>
      <c r="G5534" t="s">
        <v>32616</v>
      </c>
      <c r="H5534" t="s">
        <v>868</v>
      </c>
      <c r="I5534" t="s">
        <v>869</v>
      </c>
      <c r="J5534" t="str">
        <f>"9170267"</f>
        <v>9170267</v>
      </c>
      <c r="K5534">
        <v>2892022320</v>
      </c>
      <c r="L5534">
        <v>2892022320</v>
      </c>
      <c r="M5534" t="s">
        <v>34174</v>
      </c>
      <c r="N5534" t="s">
        <v>32860</v>
      </c>
      <c r="O5534" t="s">
        <v>34175</v>
      </c>
      <c r="P5534">
        <v>70400</v>
      </c>
      <c r="Q5534" t="str">
        <f>"35.052270"</f>
        <v>35.052270</v>
      </c>
      <c r="R5534" t="str">
        <f>"24.878876"</f>
        <v>24.878876</v>
      </c>
      <c r="S5534" t="s">
        <v>26</v>
      </c>
    </row>
    <row r="5535" spans="1:19" x14ac:dyDescent="0.3">
      <c r="A5535" t="s">
        <v>32470</v>
      </c>
      <c r="B5535" t="s">
        <v>33426</v>
      </c>
      <c r="C5535" t="s">
        <v>32823</v>
      </c>
      <c r="D5535" t="s">
        <v>4618</v>
      </c>
      <c r="E5535" t="s">
        <v>32629</v>
      </c>
      <c r="F5535" t="s">
        <v>32629</v>
      </c>
      <c r="G5535" t="s">
        <v>32818</v>
      </c>
      <c r="H5535" t="s">
        <v>868</v>
      </c>
      <c r="I5535" t="s">
        <v>869</v>
      </c>
      <c r="J5535" t="str">
        <f>"9170309"</f>
        <v>9170309</v>
      </c>
      <c r="K5535">
        <v>2893041265</v>
      </c>
      <c r="L5535">
        <v>2893041265</v>
      </c>
      <c r="M5535" t="s">
        <v>34176</v>
      </c>
      <c r="N5535" t="s">
        <v>32822</v>
      </c>
      <c r="O5535" t="s">
        <v>32822</v>
      </c>
      <c r="P5535">
        <v>70012</v>
      </c>
      <c r="Q5535" t="str">
        <f>"35.014236"</f>
        <v>35.014236</v>
      </c>
      <c r="R5535" t="str">
        <f>"25.001135"</f>
        <v>25.001135</v>
      </c>
      <c r="S5535" t="s">
        <v>26</v>
      </c>
    </row>
    <row r="5536" spans="1:19" x14ac:dyDescent="0.3">
      <c r="A5536" t="s">
        <v>32470</v>
      </c>
      <c r="B5536" t="s">
        <v>33426</v>
      </c>
      <c r="C5536" t="s">
        <v>34177</v>
      </c>
      <c r="D5536" t="s">
        <v>4618</v>
      </c>
      <c r="E5536" t="s">
        <v>4618</v>
      </c>
      <c r="F5536" t="s">
        <v>4618</v>
      </c>
      <c r="G5536" t="s">
        <v>32471</v>
      </c>
      <c r="H5536" t="s">
        <v>868</v>
      </c>
      <c r="I5536" t="s">
        <v>869</v>
      </c>
      <c r="J5536" t="str">
        <f>"9170345"</f>
        <v>9170345</v>
      </c>
      <c r="K5536">
        <v>2810289563</v>
      </c>
      <c r="L5536">
        <v>2810289563</v>
      </c>
      <c r="M5536" t="s">
        <v>34178</v>
      </c>
      <c r="N5536" t="s">
        <v>28925</v>
      </c>
      <c r="O5536" t="s">
        <v>34058</v>
      </c>
      <c r="P5536">
        <v>71305</v>
      </c>
      <c r="Q5536" t="str">
        <f>"35.331747"</f>
        <v>35.331747</v>
      </c>
      <c r="R5536" t="str">
        <f>"25.133678"</f>
        <v>25.133678</v>
      </c>
      <c r="S5536" t="s">
        <v>26</v>
      </c>
    </row>
    <row r="5537" spans="1:19" x14ac:dyDescent="0.3">
      <c r="A5537" t="s">
        <v>32470</v>
      </c>
      <c r="B5537" t="s">
        <v>33426</v>
      </c>
      <c r="C5537" t="s">
        <v>32595</v>
      </c>
      <c r="D5537" t="s">
        <v>4618</v>
      </c>
      <c r="E5537" t="s">
        <v>4618</v>
      </c>
      <c r="F5537" t="s">
        <v>4618</v>
      </c>
      <c r="G5537" t="s">
        <v>32514</v>
      </c>
      <c r="H5537" t="s">
        <v>868</v>
      </c>
      <c r="I5537" t="s">
        <v>869</v>
      </c>
      <c r="J5537" t="str">
        <f>"9170056"</f>
        <v>9170056</v>
      </c>
      <c r="K5537">
        <v>2810253392</v>
      </c>
      <c r="L5537">
        <v>2810253392</v>
      </c>
      <c r="M5537" t="s">
        <v>34179</v>
      </c>
      <c r="N5537" t="s">
        <v>34180</v>
      </c>
      <c r="O5537" t="s">
        <v>34181</v>
      </c>
      <c r="P5537">
        <v>71305</v>
      </c>
      <c r="Q5537" t="str">
        <f>"35.334626"</f>
        <v>35.334626</v>
      </c>
      <c r="R5537" t="str">
        <f>"25.126044"</f>
        <v>25.126044</v>
      </c>
      <c r="S5537" t="s">
        <v>26</v>
      </c>
    </row>
    <row r="5538" spans="1:19" x14ac:dyDescent="0.3">
      <c r="A5538" t="s">
        <v>32470</v>
      </c>
      <c r="B5538" t="s">
        <v>33426</v>
      </c>
      <c r="C5538" t="s">
        <v>34184</v>
      </c>
      <c r="D5538" t="s">
        <v>4618</v>
      </c>
      <c r="E5538" t="s">
        <v>32584</v>
      </c>
      <c r="F5538" t="s">
        <v>32585</v>
      </c>
      <c r="G5538" t="s">
        <v>32585</v>
      </c>
      <c r="H5538" t="s">
        <v>868</v>
      </c>
      <c r="I5538" t="s">
        <v>869</v>
      </c>
      <c r="J5538" t="str">
        <f>"9170536"</f>
        <v>9170536</v>
      </c>
      <c r="K5538">
        <v>2892051187</v>
      </c>
      <c r="L5538">
        <v>2892051187</v>
      </c>
      <c r="M5538" t="s">
        <v>34185</v>
      </c>
      <c r="N5538" t="s">
        <v>32589</v>
      </c>
      <c r="O5538" t="s">
        <v>34186</v>
      </c>
      <c r="P5538">
        <v>70200</v>
      </c>
      <c r="Q5538" t="str">
        <f>"35.068972"</f>
        <v>35.068972</v>
      </c>
      <c r="R5538" t="str">
        <f>"24.771675"</f>
        <v>24.771675</v>
      </c>
      <c r="S5538" t="s">
        <v>26</v>
      </c>
    </row>
    <row r="5539" spans="1:19" x14ac:dyDescent="0.3">
      <c r="A5539" t="s">
        <v>32470</v>
      </c>
      <c r="B5539" t="s">
        <v>33426</v>
      </c>
      <c r="C5539" t="s">
        <v>34187</v>
      </c>
      <c r="D5539" t="s">
        <v>4618</v>
      </c>
      <c r="E5539" t="s">
        <v>4618</v>
      </c>
      <c r="F5539" t="s">
        <v>4618</v>
      </c>
      <c r="G5539" t="s">
        <v>32537</v>
      </c>
      <c r="H5539" t="s">
        <v>868</v>
      </c>
      <c r="I5539" t="s">
        <v>869</v>
      </c>
      <c r="J5539" t="str">
        <f>"9170108"</f>
        <v>9170108</v>
      </c>
      <c r="K5539">
        <v>2810232111</v>
      </c>
      <c r="L5539">
        <v>2810361263</v>
      </c>
      <c r="M5539" t="s">
        <v>34188</v>
      </c>
      <c r="N5539" t="s">
        <v>28925</v>
      </c>
      <c r="O5539" t="s">
        <v>34189</v>
      </c>
      <c r="P5539">
        <v>71306</v>
      </c>
      <c r="Q5539" t="str">
        <f>"35.324163"</f>
        <v>35.324163</v>
      </c>
      <c r="R5539" t="str">
        <f>"25.135276"</f>
        <v>25.135276</v>
      </c>
      <c r="S5539" t="s">
        <v>26</v>
      </c>
    </row>
    <row r="5540" spans="1:19" x14ac:dyDescent="0.3">
      <c r="A5540" t="s">
        <v>32470</v>
      </c>
      <c r="B5540" t="s">
        <v>33426</v>
      </c>
      <c r="C5540" t="s">
        <v>32622</v>
      </c>
      <c r="D5540" t="s">
        <v>4618</v>
      </c>
      <c r="E5540" t="s">
        <v>32584</v>
      </c>
      <c r="F5540" t="s">
        <v>32616</v>
      </c>
      <c r="G5540" t="s">
        <v>32617</v>
      </c>
      <c r="H5540" t="s">
        <v>868</v>
      </c>
      <c r="I5540" t="s">
        <v>869</v>
      </c>
      <c r="J5540" t="str">
        <f>"9170300"</f>
        <v>9170300</v>
      </c>
      <c r="K5540">
        <v>2892041219</v>
      </c>
      <c r="L5540">
        <v>2892041219</v>
      </c>
      <c r="M5540" t="s">
        <v>34190</v>
      </c>
      <c r="N5540" t="s">
        <v>32588</v>
      </c>
      <c r="O5540" t="s">
        <v>34191</v>
      </c>
      <c r="P5540">
        <v>70400</v>
      </c>
      <c r="Q5540" t="str">
        <f>"35.010138"</f>
        <v>35.010138</v>
      </c>
      <c r="R5540" t="str">
        <f>"24.869188"</f>
        <v>24.869188</v>
      </c>
      <c r="S5540" t="s">
        <v>26</v>
      </c>
    </row>
    <row r="5541" spans="1:19" x14ac:dyDescent="0.3">
      <c r="A5541" t="s">
        <v>32470</v>
      </c>
      <c r="B5541" t="s">
        <v>33426</v>
      </c>
      <c r="C5541" t="s">
        <v>34192</v>
      </c>
      <c r="D5541" t="s">
        <v>4618</v>
      </c>
      <c r="E5541" t="s">
        <v>4618</v>
      </c>
      <c r="F5541" t="s">
        <v>4618</v>
      </c>
      <c r="G5541" t="s">
        <v>32537</v>
      </c>
      <c r="H5541" t="s">
        <v>868</v>
      </c>
      <c r="I5541" t="s">
        <v>869</v>
      </c>
      <c r="J5541" t="str">
        <f>"9170514"</f>
        <v>9170514</v>
      </c>
      <c r="K5541">
        <v>2810238666</v>
      </c>
      <c r="L5541">
        <v>2810238666</v>
      </c>
      <c r="M5541" t="s">
        <v>34193</v>
      </c>
      <c r="N5541" t="s">
        <v>28925</v>
      </c>
      <c r="O5541" t="s">
        <v>34194</v>
      </c>
      <c r="P5541">
        <v>71305</v>
      </c>
      <c r="Q5541" t="str">
        <f>"35.321134"</f>
        <v>35.321134</v>
      </c>
      <c r="R5541" t="str">
        <f>"25.130735"</f>
        <v>25.130735</v>
      </c>
      <c r="S5541" t="s">
        <v>26</v>
      </c>
    </row>
    <row r="5542" spans="1:19" x14ac:dyDescent="0.3">
      <c r="A5542" t="s">
        <v>32470</v>
      </c>
      <c r="B5542" t="s">
        <v>33426</v>
      </c>
      <c r="C5542" t="s">
        <v>34196</v>
      </c>
      <c r="D5542" t="s">
        <v>4618</v>
      </c>
      <c r="E5542" t="s">
        <v>4618</v>
      </c>
      <c r="F5542" t="s">
        <v>4618</v>
      </c>
      <c r="G5542" t="s">
        <v>34195</v>
      </c>
      <c r="H5542" t="s">
        <v>868</v>
      </c>
      <c r="I5542" t="s">
        <v>869</v>
      </c>
      <c r="J5542" t="str">
        <f>"9170580"</f>
        <v>9170580</v>
      </c>
      <c r="K5542">
        <v>2810542809</v>
      </c>
      <c r="L5542">
        <v>2810542560</v>
      </c>
      <c r="M5542" t="s">
        <v>34197</v>
      </c>
      <c r="N5542" t="s">
        <v>34198</v>
      </c>
      <c r="O5542" t="s">
        <v>34199</v>
      </c>
      <c r="P5542">
        <v>70013</v>
      </c>
      <c r="Q5542" t="str">
        <f>"35.311328"</f>
        <v>35.311328</v>
      </c>
      <c r="R5542" t="str">
        <f>"25.091155"</f>
        <v>25.091155</v>
      </c>
      <c r="S5542" t="s">
        <v>26</v>
      </c>
    </row>
    <row r="5543" spans="1:19" x14ac:dyDescent="0.3">
      <c r="A5543" t="s">
        <v>32470</v>
      </c>
      <c r="B5543" t="s">
        <v>33426</v>
      </c>
      <c r="C5543" t="s">
        <v>34201</v>
      </c>
      <c r="D5543" t="s">
        <v>4618</v>
      </c>
      <c r="E5543" t="s">
        <v>32629</v>
      </c>
      <c r="F5543" t="s">
        <v>32630</v>
      </c>
      <c r="G5543" t="s">
        <v>34200</v>
      </c>
      <c r="H5543" t="s">
        <v>868</v>
      </c>
      <c r="I5543" t="s">
        <v>950</v>
      </c>
      <c r="J5543" t="str">
        <f>"9170067"</f>
        <v>9170067</v>
      </c>
      <c r="K5543">
        <v>2893032007</v>
      </c>
      <c r="L5543">
        <v>2893032007</v>
      </c>
      <c r="M5543" t="s">
        <v>34202</v>
      </c>
      <c r="N5543" t="s">
        <v>34203</v>
      </c>
      <c r="O5543" t="s">
        <v>34203</v>
      </c>
      <c r="P5543">
        <v>70010</v>
      </c>
      <c r="Q5543" t="str">
        <f>"35.083445"</f>
        <v>35.083445</v>
      </c>
      <c r="R5543" t="str">
        <f>"25.104229"</f>
        <v>25.104229</v>
      </c>
      <c r="S5543" t="s">
        <v>26</v>
      </c>
    </row>
    <row r="5544" spans="1:19" x14ac:dyDescent="0.3">
      <c r="A5544" t="s">
        <v>32470</v>
      </c>
      <c r="B5544" t="s">
        <v>33426</v>
      </c>
      <c r="C5544" t="s">
        <v>34211</v>
      </c>
      <c r="D5544" t="s">
        <v>4618</v>
      </c>
      <c r="E5544" t="s">
        <v>32629</v>
      </c>
      <c r="F5544" t="s">
        <v>32629</v>
      </c>
      <c r="G5544" t="s">
        <v>34210</v>
      </c>
      <c r="H5544" t="s">
        <v>868</v>
      </c>
      <c r="I5544" t="s">
        <v>950</v>
      </c>
      <c r="J5544" t="str">
        <f>"9170290"</f>
        <v>9170290</v>
      </c>
      <c r="K5544">
        <v>2892094350</v>
      </c>
      <c r="L5544">
        <v>2892094350</v>
      </c>
      <c r="M5544" t="s">
        <v>34212</v>
      </c>
      <c r="N5544" t="s">
        <v>34213</v>
      </c>
      <c r="O5544" t="s">
        <v>34214</v>
      </c>
      <c r="P5544">
        <v>70400</v>
      </c>
      <c r="Q5544" t="str">
        <f>"34.962169"</f>
        <v>34.962169</v>
      </c>
      <c r="R5544" t="str">
        <f>"24.956787"</f>
        <v>24.956787</v>
      </c>
      <c r="S5544" t="s">
        <v>57</v>
      </c>
    </row>
    <row r="5545" spans="1:19" x14ac:dyDescent="0.3">
      <c r="A5545" t="s">
        <v>32470</v>
      </c>
      <c r="B5545" t="s">
        <v>33426</v>
      </c>
      <c r="C5545" t="s">
        <v>32866</v>
      </c>
      <c r="D5545" t="s">
        <v>4618</v>
      </c>
      <c r="E5545" t="s">
        <v>4618</v>
      </c>
      <c r="F5545" t="s">
        <v>4618</v>
      </c>
      <c r="G5545" t="s">
        <v>32514</v>
      </c>
      <c r="H5545" t="s">
        <v>868</v>
      </c>
      <c r="I5545" t="s">
        <v>869</v>
      </c>
      <c r="J5545" t="str">
        <f>"9170431"</f>
        <v>9170431</v>
      </c>
      <c r="K5545">
        <v>2810250952</v>
      </c>
      <c r="L5545">
        <v>2810250957</v>
      </c>
      <c r="M5545" t="s">
        <v>34215</v>
      </c>
      <c r="N5545" t="s">
        <v>28925</v>
      </c>
      <c r="O5545" t="s">
        <v>33516</v>
      </c>
      <c r="P5545">
        <v>71304</v>
      </c>
      <c r="Q5545" t="str">
        <f>"35.327220"</f>
        <v>35.327220</v>
      </c>
      <c r="R5545" t="str">
        <f>"25.102316"</f>
        <v>25.102316</v>
      </c>
      <c r="S5545" t="s">
        <v>26</v>
      </c>
    </row>
    <row r="5546" spans="1:19" x14ac:dyDescent="0.3">
      <c r="A5546" t="s">
        <v>32470</v>
      </c>
      <c r="B5546" t="s">
        <v>33426</v>
      </c>
      <c r="C5546" t="s">
        <v>34223</v>
      </c>
      <c r="D5546" t="s">
        <v>4618</v>
      </c>
      <c r="E5546" t="s">
        <v>4618</v>
      </c>
      <c r="F5546" t="s">
        <v>4618</v>
      </c>
      <c r="G5546" t="s">
        <v>32537</v>
      </c>
      <c r="H5546" t="s">
        <v>868</v>
      </c>
      <c r="I5546" t="s">
        <v>869</v>
      </c>
      <c r="J5546" t="str">
        <f>"9170192"</f>
        <v>9170192</v>
      </c>
      <c r="K5546">
        <v>2810231985</v>
      </c>
      <c r="L5546">
        <v>2810360153</v>
      </c>
      <c r="M5546" t="s">
        <v>34224</v>
      </c>
      <c r="N5546" t="s">
        <v>4741</v>
      </c>
      <c r="O5546" t="s">
        <v>34225</v>
      </c>
      <c r="P5546">
        <v>71409</v>
      </c>
      <c r="Q5546" t="str">
        <f>"35.308399"</f>
        <v>35.308399</v>
      </c>
      <c r="R5546" t="str">
        <f>"25.152844"</f>
        <v>25.152844</v>
      </c>
      <c r="S5546" t="s">
        <v>26</v>
      </c>
    </row>
    <row r="5547" spans="1:19" x14ac:dyDescent="0.3">
      <c r="A5547" t="s">
        <v>32470</v>
      </c>
      <c r="B5547" t="s">
        <v>33426</v>
      </c>
      <c r="C5547" t="s">
        <v>32738</v>
      </c>
      <c r="D5547" t="s">
        <v>4618</v>
      </c>
      <c r="E5547" t="s">
        <v>32629</v>
      </c>
      <c r="F5547" t="s">
        <v>32732</v>
      </c>
      <c r="G5547" t="s">
        <v>32733</v>
      </c>
      <c r="H5547" t="s">
        <v>868</v>
      </c>
      <c r="I5547" t="s">
        <v>869</v>
      </c>
      <c r="J5547" t="str">
        <f>"9170002"</f>
        <v>9170002</v>
      </c>
      <c r="K5547">
        <v>2894041207</v>
      </c>
      <c r="L5547">
        <v>2894041207</v>
      </c>
      <c r="M5547" t="s">
        <v>34234</v>
      </c>
      <c r="N5547" t="s">
        <v>34146</v>
      </c>
      <c r="O5547" t="s">
        <v>34235</v>
      </c>
      <c r="P5547">
        <v>70003</v>
      </c>
      <c r="Q5547" t="str">
        <f>"35.133668"</f>
        <v>35.133668</v>
      </c>
      <c r="R5547" t="str">
        <f>"24.952084"</f>
        <v>24.952084</v>
      </c>
      <c r="S5547" t="s">
        <v>26</v>
      </c>
    </row>
    <row r="5548" spans="1:19" x14ac:dyDescent="0.3">
      <c r="A5548" t="s">
        <v>32470</v>
      </c>
      <c r="B5548" t="s">
        <v>33426</v>
      </c>
      <c r="C5548" t="s">
        <v>34238</v>
      </c>
      <c r="D5548" t="s">
        <v>4618</v>
      </c>
      <c r="E5548" t="s">
        <v>32584</v>
      </c>
      <c r="F5548" t="s">
        <v>32585</v>
      </c>
      <c r="G5548" t="s">
        <v>34229</v>
      </c>
      <c r="H5548" t="s">
        <v>868</v>
      </c>
      <c r="I5548" t="s">
        <v>950</v>
      </c>
      <c r="J5548" t="str">
        <f>"9170340"</f>
        <v>9170340</v>
      </c>
      <c r="K5548">
        <v>2892023333</v>
      </c>
      <c r="L5548">
        <v>2892023333</v>
      </c>
      <c r="M5548" t="s">
        <v>34239</v>
      </c>
      <c r="N5548" t="s">
        <v>34232</v>
      </c>
      <c r="O5548" t="s">
        <v>34240</v>
      </c>
      <c r="P5548">
        <v>70400</v>
      </c>
      <c r="Q5548" t="str">
        <f>"35.053044"</f>
        <v>35.053044</v>
      </c>
      <c r="R5548" t="str">
        <f>"24.834150"</f>
        <v>24.834150</v>
      </c>
      <c r="S5548" t="s">
        <v>26</v>
      </c>
    </row>
    <row r="5549" spans="1:19" x14ac:dyDescent="0.3">
      <c r="A5549" t="s">
        <v>32470</v>
      </c>
      <c r="B5549" t="s">
        <v>33426</v>
      </c>
      <c r="C5549" t="s">
        <v>34241</v>
      </c>
      <c r="D5549" t="s">
        <v>4618</v>
      </c>
      <c r="E5549" t="s">
        <v>32584</v>
      </c>
      <c r="F5549" t="s">
        <v>32801</v>
      </c>
      <c r="G5549" t="s">
        <v>34103</v>
      </c>
      <c r="H5549" t="s">
        <v>868</v>
      </c>
      <c r="I5549" t="s">
        <v>950</v>
      </c>
      <c r="J5549" t="str">
        <f>"9170279"</f>
        <v>9170279</v>
      </c>
      <c r="K5549">
        <v>2894031022</v>
      </c>
      <c r="L5549">
        <v>2894031022</v>
      </c>
      <c r="M5549" t="s">
        <v>34242</v>
      </c>
      <c r="N5549" t="s">
        <v>34106</v>
      </c>
      <c r="O5549" t="s">
        <v>34106</v>
      </c>
      <c r="P5549">
        <v>70002</v>
      </c>
      <c r="Q5549" t="str">
        <f>"35.149809"</f>
        <v>35.149809</v>
      </c>
      <c r="R5549" t="str">
        <f>"24.849511"</f>
        <v>24.849511</v>
      </c>
      <c r="S5549" t="s">
        <v>26</v>
      </c>
    </row>
    <row r="5550" spans="1:19" x14ac:dyDescent="0.3">
      <c r="A5550" t="s">
        <v>32470</v>
      </c>
      <c r="B5550" t="s">
        <v>33426</v>
      </c>
      <c r="C5550" t="s">
        <v>34243</v>
      </c>
      <c r="D5550" t="s">
        <v>4618</v>
      </c>
      <c r="E5550" t="s">
        <v>32629</v>
      </c>
      <c r="F5550" t="s">
        <v>32629</v>
      </c>
      <c r="G5550" t="s">
        <v>34107</v>
      </c>
      <c r="H5550" t="s">
        <v>868</v>
      </c>
      <c r="I5550" t="s">
        <v>950</v>
      </c>
      <c r="J5550" t="str">
        <f>"9170284"</f>
        <v>9170284</v>
      </c>
      <c r="K5550">
        <v>2892031320</v>
      </c>
      <c r="L5550">
        <v>2892031320</v>
      </c>
      <c r="M5550" t="s">
        <v>34244</v>
      </c>
      <c r="N5550" t="s">
        <v>34110</v>
      </c>
      <c r="O5550" t="s">
        <v>34110</v>
      </c>
      <c r="P5550">
        <v>70012</v>
      </c>
      <c r="Q5550" t="str">
        <f>"35.059195"</f>
        <v>35.059195</v>
      </c>
      <c r="R5550" t="str">
        <f>"25.009119"</f>
        <v>25.009119</v>
      </c>
      <c r="S5550" t="s">
        <v>26</v>
      </c>
    </row>
    <row r="5551" spans="1:19" x14ac:dyDescent="0.3">
      <c r="A5551" t="s">
        <v>32470</v>
      </c>
      <c r="B5551" t="s">
        <v>33426</v>
      </c>
      <c r="C5551" t="s">
        <v>34246</v>
      </c>
      <c r="D5551" t="s">
        <v>4618</v>
      </c>
      <c r="E5551" t="s">
        <v>32629</v>
      </c>
      <c r="F5551" t="s">
        <v>32629</v>
      </c>
      <c r="G5551" t="s">
        <v>34245</v>
      </c>
      <c r="H5551" t="s">
        <v>868</v>
      </c>
      <c r="I5551" t="s">
        <v>950</v>
      </c>
      <c r="J5551" t="str">
        <f>"9170269"</f>
        <v>9170269</v>
      </c>
      <c r="K5551">
        <v>2892094300</v>
      </c>
      <c r="L5551">
        <v>2892094163</v>
      </c>
      <c r="M5551" t="s">
        <v>34247</v>
      </c>
      <c r="N5551" t="s">
        <v>34248</v>
      </c>
      <c r="O5551" t="s">
        <v>34249</v>
      </c>
      <c r="P5551">
        <v>70009</v>
      </c>
      <c r="Q5551" t="str">
        <f>"34.980014"</f>
        <v>34.980014</v>
      </c>
      <c r="R5551" t="str">
        <f>"24.913112"</f>
        <v>24.913112</v>
      </c>
      <c r="S5551" t="s">
        <v>57</v>
      </c>
    </row>
    <row r="5552" spans="1:19" x14ac:dyDescent="0.3">
      <c r="A5552" t="s">
        <v>32470</v>
      </c>
      <c r="B5552" t="s">
        <v>33426</v>
      </c>
      <c r="C5552" t="s">
        <v>34262</v>
      </c>
      <c r="D5552" t="s">
        <v>4618</v>
      </c>
      <c r="E5552" t="s">
        <v>32584</v>
      </c>
      <c r="F5552" t="s">
        <v>32616</v>
      </c>
      <c r="G5552" t="s">
        <v>34250</v>
      </c>
      <c r="H5552" t="s">
        <v>868</v>
      </c>
      <c r="I5552" t="s">
        <v>950</v>
      </c>
      <c r="J5552" t="str">
        <f>"9170304"</f>
        <v>9170304</v>
      </c>
      <c r="K5552">
        <v>2892043385</v>
      </c>
      <c r="L5552">
        <v>2892043385</v>
      </c>
      <c r="M5552" t="s">
        <v>34263</v>
      </c>
      <c r="N5552" t="s">
        <v>34253</v>
      </c>
      <c r="O5552" t="s">
        <v>34253</v>
      </c>
      <c r="P5552">
        <v>70200</v>
      </c>
      <c r="Q5552" t="str">
        <f>"35.107743"</f>
        <v>35.107743</v>
      </c>
      <c r="R5552" t="str">
        <f>"24.843380"</f>
        <v>24.843380</v>
      </c>
      <c r="S5552" t="s">
        <v>57</v>
      </c>
    </row>
    <row r="5553" spans="1:19" x14ac:dyDescent="0.3">
      <c r="A5553" t="s">
        <v>32470</v>
      </c>
      <c r="B5553" t="s">
        <v>33426</v>
      </c>
      <c r="C5553" t="s">
        <v>34264</v>
      </c>
      <c r="D5553" t="s">
        <v>4618</v>
      </c>
      <c r="E5553" t="s">
        <v>32584</v>
      </c>
      <c r="F5553" t="s">
        <v>32616</v>
      </c>
      <c r="G5553" t="s">
        <v>34059</v>
      </c>
      <c r="H5553" t="s">
        <v>868</v>
      </c>
      <c r="I5553" t="s">
        <v>869</v>
      </c>
      <c r="J5553" t="str">
        <f>"9170295"</f>
        <v>9170295</v>
      </c>
      <c r="K5553">
        <v>2892042231</v>
      </c>
      <c r="L5553">
        <v>2892042231</v>
      </c>
      <c r="M5553" t="s">
        <v>34265</v>
      </c>
      <c r="N5553" t="s">
        <v>34062</v>
      </c>
      <c r="O5553" t="s">
        <v>34062</v>
      </c>
      <c r="P5553">
        <v>70400</v>
      </c>
      <c r="Q5553" t="str">
        <f>"35.029987"</f>
        <v>35.029987</v>
      </c>
      <c r="R5553" t="str">
        <f>"24.834148"</f>
        <v>24.834148</v>
      </c>
      <c r="S5553" t="s">
        <v>26</v>
      </c>
    </row>
    <row r="5554" spans="1:19" x14ac:dyDescent="0.3">
      <c r="A5554" t="s">
        <v>32470</v>
      </c>
      <c r="B5554" t="s">
        <v>33426</v>
      </c>
      <c r="C5554" t="s">
        <v>34275</v>
      </c>
      <c r="D5554" t="s">
        <v>4618</v>
      </c>
      <c r="E5554" t="s">
        <v>4618</v>
      </c>
      <c r="F5554" t="s">
        <v>4618</v>
      </c>
      <c r="G5554" t="s">
        <v>33430</v>
      </c>
      <c r="H5554" t="s">
        <v>868</v>
      </c>
      <c r="I5554" t="s">
        <v>869</v>
      </c>
      <c r="J5554" t="str">
        <f>"9170247"</f>
        <v>9170247</v>
      </c>
      <c r="K5554">
        <v>2810731278</v>
      </c>
      <c r="L5554">
        <v>2810731258</v>
      </c>
      <c r="M5554" t="s">
        <v>34276</v>
      </c>
      <c r="N5554" t="s">
        <v>33433</v>
      </c>
      <c r="O5554" t="s">
        <v>33433</v>
      </c>
      <c r="P5554">
        <v>71500</v>
      </c>
      <c r="Q5554" t="str">
        <f>"35.284388"</f>
        <v>35.284388</v>
      </c>
      <c r="R5554" t="str">
        <f>"25.187551"</f>
        <v>25.187551</v>
      </c>
      <c r="S5554" t="s">
        <v>26</v>
      </c>
    </row>
    <row r="5555" spans="1:19" x14ac:dyDescent="0.3">
      <c r="A5555" t="s">
        <v>32470</v>
      </c>
      <c r="B5555" t="s">
        <v>33426</v>
      </c>
      <c r="C5555" t="s">
        <v>32613</v>
      </c>
      <c r="D5555" t="s">
        <v>4618</v>
      </c>
      <c r="E5555" t="s">
        <v>4618</v>
      </c>
      <c r="F5555" t="s">
        <v>32607</v>
      </c>
      <c r="G5555" t="s">
        <v>32608</v>
      </c>
      <c r="H5555" t="s">
        <v>868</v>
      </c>
      <c r="I5555" t="s">
        <v>869</v>
      </c>
      <c r="J5555" t="str">
        <f>"9170006"</f>
        <v>9170006</v>
      </c>
      <c r="K5555">
        <v>2810721207</v>
      </c>
      <c r="M5555" t="s">
        <v>34314</v>
      </c>
      <c r="N5555" t="s">
        <v>34315</v>
      </c>
      <c r="O5555" t="s">
        <v>34315</v>
      </c>
      <c r="P5555">
        <v>70013</v>
      </c>
      <c r="Q5555" t="str">
        <f>"35.231843"</f>
        <v>35.231843</v>
      </c>
      <c r="R5555" t="str">
        <f>"25.029218"</f>
        <v>25.029218</v>
      </c>
      <c r="S5555" t="s">
        <v>26</v>
      </c>
    </row>
    <row r="5556" spans="1:19" x14ac:dyDescent="0.3">
      <c r="A5556" t="s">
        <v>32470</v>
      </c>
      <c r="B5556" t="s">
        <v>33426</v>
      </c>
      <c r="C5556" t="s">
        <v>34316</v>
      </c>
      <c r="D5556" t="s">
        <v>4618</v>
      </c>
      <c r="E5556" t="s">
        <v>32529</v>
      </c>
      <c r="F5556" t="s">
        <v>32650</v>
      </c>
      <c r="G5556" t="s">
        <v>32650</v>
      </c>
      <c r="H5556" t="s">
        <v>868</v>
      </c>
      <c r="I5556" t="s">
        <v>869</v>
      </c>
      <c r="J5556" t="str">
        <f>"9170560"</f>
        <v>9170560</v>
      </c>
      <c r="K5556">
        <v>2810821816</v>
      </c>
      <c r="L5556">
        <v>2810821816</v>
      </c>
      <c r="M5556" t="s">
        <v>34317</v>
      </c>
      <c r="N5556" t="s">
        <v>33793</v>
      </c>
      <c r="O5556" t="s">
        <v>6079</v>
      </c>
      <c r="P5556">
        <v>71414</v>
      </c>
      <c r="Q5556" t="str">
        <f>"35.331551"</f>
        <v>35.331551</v>
      </c>
      <c r="R5556" t="str">
        <f>"25.078508"</f>
        <v>25.078508</v>
      </c>
      <c r="S5556" t="s">
        <v>26</v>
      </c>
    </row>
    <row r="5557" spans="1:19" x14ac:dyDescent="0.3">
      <c r="A5557" t="s">
        <v>32470</v>
      </c>
      <c r="B5557" t="s">
        <v>33426</v>
      </c>
      <c r="C5557" t="s">
        <v>34318</v>
      </c>
      <c r="D5557" t="s">
        <v>4618</v>
      </c>
      <c r="E5557" t="s">
        <v>4618</v>
      </c>
      <c r="F5557" t="s">
        <v>4618</v>
      </c>
      <c r="G5557" t="s">
        <v>34195</v>
      </c>
      <c r="H5557" t="s">
        <v>868</v>
      </c>
      <c r="I5557" t="s">
        <v>950</v>
      </c>
      <c r="J5557" t="str">
        <f>"9170013"</f>
        <v>9170013</v>
      </c>
      <c r="K5557">
        <v>2810721410</v>
      </c>
      <c r="L5557">
        <v>2810721410</v>
      </c>
      <c r="M5557" t="s">
        <v>34319</v>
      </c>
      <c r="N5557" t="s">
        <v>34195</v>
      </c>
      <c r="O5557" t="s">
        <v>34198</v>
      </c>
      <c r="P5557">
        <v>70013</v>
      </c>
      <c r="Q5557" t="str">
        <f>"35.268161"</f>
        <v>35.268161</v>
      </c>
      <c r="R5557" t="str">
        <f>"25.058035"</f>
        <v>25.058035</v>
      </c>
      <c r="S5557" t="s">
        <v>26</v>
      </c>
    </row>
    <row r="5558" spans="1:19" x14ac:dyDescent="0.3">
      <c r="A5558" t="s">
        <v>32470</v>
      </c>
      <c r="B5558" t="s">
        <v>33426</v>
      </c>
      <c r="C5558" t="s">
        <v>34323</v>
      </c>
      <c r="D5558" t="s">
        <v>4618</v>
      </c>
      <c r="E5558" t="s">
        <v>32529</v>
      </c>
      <c r="F5558" t="s">
        <v>32831</v>
      </c>
      <c r="G5558" t="s">
        <v>34284</v>
      </c>
      <c r="H5558" t="s">
        <v>868</v>
      </c>
      <c r="I5558" t="s">
        <v>950</v>
      </c>
      <c r="J5558" t="str">
        <f>"9170030"</f>
        <v>9170030</v>
      </c>
      <c r="K5558">
        <v>2810521240</v>
      </c>
      <c r="L5558">
        <v>2810521061</v>
      </c>
      <c r="M5558" t="s">
        <v>34324</v>
      </c>
      <c r="N5558" t="s">
        <v>34287</v>
      </c>
      <c r="O5558" t="s">
        <v>34287</v>
      </c>
      <c r="P5558">
        <v>71500</v>
      </c>
      <c r="Q5558" t="str">
        <f>"35.347126"</f>
        <v>35.347126</v>
      </c>
      <c r="R5558" t="str">
        <f>"24.971053"</f>
        <v>24.971053</v>
      </c>
      <c r="S5558" t="s">
        <v>26</v>
      </c>
    </row>
    <row r="5559" spans="1:19" x14ac:dyDescent="0.3">
      <c r="A5559" t="s">
        <v>32470</v>
      </c>
      <c r="B5559" t="s">
        <v>33426</v>
      </c>
      <c r="C5559" t="s">
        <v>32721</v>
      </c>
      <c r="D5559" t="s">
        <v>4618</v>
      </c>
      <c r="E5559" t="s">
        <v>32529</v>
      </c>
      <c r="F5559" t="s">
        <v>32530</v>
      </c>
      <c r="G5559" t="s">
        <v>32531</v>
      </c>
      <c r="H5559" t="s">
        <v>868</v>
      </c>
      <c r="I5559" t="s">
        <v>869</v>
      </c>
      <c r="J5559" t="str">
        <f>"9170027"</f>
        <v>9170027</v>
      </c>
      <c r="K5559">
        <v>2810711207</v>
      </c>
      <c r="L5559">
        <v>2810711207</v>
      </c>
      <c r="M5559" t="s">
        <v>34331</v>
      </c>
      <c r="N5559" t="s">
        <v>32535</v>
      </c>
      <c r="O5559" t="s">
        <v>32535</v>
      </c>
      <c r="P5559">
        <v>70001</v>
      </c>
      <c r="Q5559" t="str">
        <f>"35.231555"</f>
        <v>35.231555</v>
      </c>
      <c r="R5559" t="str">
        <f>"24.981641"</f>
        <v>24.981641</v>
      </c>
      <c r="S5559" t="s">
        <v>26</v>
      </c>
    </row>
    <row r="5560" spans="1:19" x14ac:dyDescent="0.3">
      <c r="A5560" t="s">
        <v>32470</v>
      </c>
      <c r="B5560" t="s">
        <v>33426</v>
      </c>
      <c r="C5560" t="s">
        <v>34334</v>
      </c>
      <c r="D5560" t="s">
        <v>4618</v>
      </c>
      <c r="E5560" t="s">
        <v>4618</v>
      </c>
      <c r="F5560" t="s">
        <v>4618</v>
      </c>
      <c r="G5560" t="s">
        <v>32514</v>
      </c>
      <c r="H5560" t="s">
        <v>868</v>
      </c>
      <c r="I5560" t="s">
        <v>869</v>
      </c>
      <c r="J5560" t="str">
        <f>"9170525"</f>
        <v>9170525</v>
      </c>
      <c r="K5560">
        <v>2810256547</v>
      </c>
      <c r="M5560" t="s">
        <v>34335</v>
      </c>
      <c r="N5560" t="s">
        <v>28925</v>
      </c>
      <c r="O5560" t="s">
        <v>34336</v>
      </c>
      <c r="P5560">
        <v>71304</v>
      </c>
      <c r="Q5560" t="str">
        <f>"35.333916"</f>
        <v>35.333916</v>
      </c>
      <c r="R5560" t="str">
        <f>"25.101972"</f>
        <v>25.101972</v>
      </c>
      <c r="S5560" t="s">
        <v>26</v>
      </c>
    </row>
    <row r="5561" spans="1:19" x14ac:dyDescent="0.3">
      <c r="A5561" t="s">
        <v>32470</v>
      </c>
      <c r="B5561" t="s">
        <v>33426</v>
      </c>
      <c r="C5561" t="s">
        <v>34337</v>
      </c>
      <c r="D5561" t="s">
        <v>4618</v>
      </c>
      <c r="E5561" t="s">
        <v>32584</v>
      </c>
      <c r="F5561" t="s">
        <v>32585</v>
      </c>
      <c r="G5561" t="s">
        <v>34099</v>
      </c>
      <c r="H5561" t="s">
        <v>868</v>
      </c>
      <c r="I5561" t="s">
        <v>869</v>
      </c>
      <c r="J5561" t="str">
        <f>"9170327"</f>
        <v>9170327</v>
      </c>
      <c r="K5561">
        <v>2892091234</v>
      </c>
      <c r="L5561">
        <v>2892091234</v>
      </c>
      <c r="M5561" t="s">
        <v>34338</v>
      </c>
      <c r="O5561" t="s">
        <v>34339</v>
      </c>
      <c r="P5561">
        <v>70200</v>
      </c>
      <c r="Q5561" t="str">
        <f>"35.069441"</f>
        <v>35.069441</v>
      </c>
      <c r="R5561" t="str">
        <f>"24.810417"</f>
        <v>24.810417</v>
      </c>
      <c r="S5561" t="s">
        <v>26</v>
      </c>
    </row>
    <row r="5562" spans="1:19" x14ac:dyDescent="0.3">
      <c r="A5562" t="s">
        <v>32470</v>
      </c>
      <c r="B5562" t="s">
        <v>33426</v>
      </c>
      <c r="C5562" t="s">
        <v>34344</v>
      </c>
      <c r="D5562" t="s">
        <v>4618</v>
      </c>
      <c r="E5562" t="s">
        <v>4618</v>
      </c>
      <c r="F5562" t="s">
        <v>4618</v>
      </c>
      <c r="G5562" t="s">
        <v>32514</v>
      </c>
      <c r="H5562" t="s">
        <v>868</v>
      </c>
      <c r="I5562" t="s">
        <v>869</v>
      </c>
      <c r="J5562" t="str">
        <f>"9521092"</f>
        <v>9521092</v>
      </c>
      <c r="K5562">
        <v>2810313321</v>
      </c>
      <c r="L5562">
        <v>2810250261</v>
      </c>
      <c r="M5562" t="s">
        <v>34345</v>
      </c>
      <c r="N5562" t="s">
        <v>28925</v>
      </c>
      <c r="O5562" t="s">
        <v>34001</v>
      </c>
      <c r="P5562">
        <v>71305</v>
      </c>
      <c r="Q5562" t="str">
        <f>"35.327866"</f>
        <v>35.327866</v>
      </c>
      <c r="R5562" t="str">
        <f>"25.118544"</f>
        <v>25.118544</v>
      </c>
      <c r="S5562" t="s">
        <v>26</v>
      </c>
    </row>
    <row r="5563" spans="1:19" x14ac:dyDescent="0.3">
      <c r="A5563" t="s">
        <v>32470</v>
      </c>
      <c r="B5563" t="s">
        <v>33426</v>
      </c>
      <c r="C5563" t="s">
        <v>34346</v>
      </c>
      <c r="D5563" t="s">
        <v>4618</v>
      </c>
      <c r="E5563" t="s">
        <v>32529</v>
      </c>
      <c r="F5563" t="s">
        <v>32650</v>
      </c>
      <c r="G5563" t="s">
        <v>32650</v>
      </c>
      <c r="H5563" t="s">
        <v>868</v>
      </c>
      <c r="I5563" t="s">
        <v>869</v>
      </c>
      <c r="J5563" t="str">
        <f>"9521091"</f>
        <v>9521091</v>
      </c>
      <c r="K5563">
        <v>6973234754</v>
      </c>
      <c r="L5563">
        <v>2810370360</v>
      </c>
      <c r="M5563" t="s">
        <v>34347</v>
      </c>
      <c r="N5563" t="s">
        <v>33793</v>
      </c>
      <c r="O5563" t="s">
        <v>34348</v>
      </c>
      <c r="P5563">
        <v>71414</v>
      </c>
      <c r="Q5563" t="str">
        <f>"35.330071"</f>
        <v>35.330071</v>
      </c>
      <c r="R5563" t="str">
        <f>"25.089123"</f>
        <v>25.089123</v>
      </c>
      <c r="S5563" t="s">
        <v>26</v>
      </c>
    </row>
    <row r="5564" spans="1:19" x14ac:dyDescent="0.3">
      <c r="A5564" t="s">
        <v>32470</v>
      </c>
      <c r="B5564" t="s">
        <v>33426</v>
      </c>
      <c r="C5564" t="s">
        <v>32565</v>
      </c>
      <c r="D5564" t="s">
        <v>4618</v>
      </c>
      <c r="E5564" t="s">
        <v>4618</v>
      </c>
      <c r="F5564" t="s">
        <v>4618</v>
      </c>
      <c r="G5564" t="s">
        <v>32537</v>
      </c>
      <c r="H5564" t="s">
        <v>868</v>
      </c>
      <c r="I5564" t="s">
        <v>869</v>
      </c>
      <c r="J5564" t="str">
        <f>"9521093"</f>
        <v>9521093</v>
      </c>
      <c r="K5564">
        <v>2810322162</v>
      </c>
      <c r="L5564">
        <v>2810231988</v>
      </c>
      <c r="M5564" t="s">
        <v>34352</v>
      </c>
      <c r="N5564" t="s">
        <v>4741</v>
      </c>
      <c r="O5564" t="s">
        <v>34353</v>
      </c>
      <c r="P5564">
        <v>71409</v>
      </c>
      <c r="Q5564" t="str">
        <f>"35.308504"</f>
        <v>35.308504</v>
      </c>
      <c r="R5564" t="str">
        <f>"25.152758"</f>
        <v>25.152758</v>
      </c>
      <c r="S5564" t="s">
        <v>26</v>
      </c>
    </row>
    <row r="5565" spans="1:19" x14ac:dyDescent="0.3">
      <c r="A5565" t="s">
        <v>32470</v>
      </c>
      <c r="B5565" t="s">
        <v>33426</v>
      </c>
      <c r="C5565" t="s">
        <v>34354</v>
      </c>
      <c r="D5565" t="s">
        <v>4618</v>
      </c>
      <c r="E5565" t="s">
        <v>32549</v>
      </c>
      <c r="F5565" t="s">
        <v>32550</v>
      </c>
      <c r="G5565" t="s">
        <v>32550</v>
      </c>
      <c r="H5565" t="s">
        <v>868</v>
      </c>
      <c r="I5565" t="s">
        <v>1157</v>
      </c>
      <c r="J5565" t="str">
        <f>"9521043"</f>
        <v>9521043</v>
      </c>
      <c r="K5565">
        <v>2891023329</v>
      </c>
      <c r="L5565">
        <v>2891023329</v>
      </c>
      <c r="M5565" t="s">
        <v>34355</v>
      </c>
      <c r="N5565" t="s">
        <v>32688</v>
      </c>
      <c r="O5565" t="s">
        <v>32688</v>
      </c>
      <c r="P5565">
        <v>70300</v>
      </c>
      <c r="Q5565" t="str">
        <f>"35.141877"</f>
        <v>35.141877</v>
      </c>
      <c r="R5565" t="str">
        <f>"25.265788"</f>
        <v>25.265788</v>
      </c>
      <c r="S5565" t="s">
        <v>26</v>
      </c>
    </row>
    <row r="5566" spans="1:19" x14ac:dyDescent="0.3">
      <c r="A5566" t="s">
        <v>32470</v>
      </c>
      <c r="B5566" t="s">
        <v>33426</v>
      </c>
      <c r="C5566" t="s">
        <v>32496</v>
      </c>
      <c r="D5566" t="s">
        <v>4618</v>
      </c>
      <c r="E5566" t="s">
        <v>4618</v>
      </c>
      <c r="F5566" t="s">
        <v>2421</v>
      </c>
      <c r="G5566" t="s">
        <v>32492</v>
      </c>
      <c r="H5566" t="s">
        <v>868</v>
      </c>
      <c r="I5566" t="s">
        <v>869</v>
      </c>
      <c r="J5566" t="str">
        <f>"9170126"</f>
        <v>9170126</v>
      </c>
      <c r="K5566">
        <v>2810871213</v>
      </c>
      <c r="L5566">
        <v>2810871509</v>
      </c>
      <c r="M5566" t="s">
        <v>34356</v>
      </c>
      <c r="N5566" t="s">
        <v>34357</v>
      </c>
      <c r="O5566" t="s">
        <v>31050</v>
      </c>
      <c r="P5566">
        <v>71500</v>
      </c>
      <c r="Q5566" t="str">
        <f>"35.208355"</f>
        <v>35.208355</v>
      </c>
      <c r="R5566" t="str">
        <f>"25.100413"</f>
        <v>25.100413</v>
      </c>
      <c r="S5566" t="s">
        <v>26</v>
      </c>
    </row>
    <row r="5567" spans="1:19" x14ac:dyDescent="0.3">
      <c r="A5567" t="s">
        <v>32470</v>
      </c>
      <c r="B5567" t="s">
        <v>33426</v>
      </c>
      <c r="C5567" t="s">
        <v>34373</v>
      </c>
      <c r="D5567" t="s">
        <v>4618</v>
      </c>
      <c r="E5567" t="s">
        <v>32501</v>
      </c>
      <c r="F5567" t="s">
        <v>32571</v>
      </c>
      <c r="G5567" t="s">
        <v>1210</v>
      </c>
      <c r="H5567" t="s">
        <v>868</v>
      </c>
      <c r="I5567" t="s">
        <v>869</v>
      </c>
      <c r="J5567" t="str">
        <f>"9170319"</f>
        <v>9170319</v>
      </c>
      <c r="K5567">
        <v>2893022231</v>
      </c>
      <c r="L5567">
        <v>2893022159</v>
      </c>
      <c r="M5567" t="s">
        <v>34374</v>
      </c>
      <c r="N5567" t="s">
        <v>32864</v>
      </c>
      <c r="O5567" t="s">
        <v>34375</v>
      </c>
      <c r="P5567">
        <v>70010</v>
      </c>
      <c r="Q5567" t="str">
        <f>"35.007315"</f>
        <v>35.007315</v>
      </c>
      <c r="R5567" t="str">
        <f>"25.153420"</f>
        <v>25.153420</v>
      </c>
      <c r="S5567" t="s">
        <v>26</v>
      </c>
    </row>
    <row r="5568" spans="1:19" x14ac:dyDescent="0.3">
      <c r="A5568" t="s">
        <v>32470</v>
      </c>
      <c r="B5568" t="s">
        <v>33426</v>
      </c>
      <c r="C5568" t="s">
        <v>34376</v>
      </c>
      <c r="D5568" t="s">
        <v>4618</v>
      </c>
      <c r="E5568" t="s">
        <v>32584</v>
      </c>
      <c r="F5568" t="s">
        <v>32616</v>
      </c>
      <c r="G5568" t="s">
        <v>32617</v>
      </c>
      <c r="H5568" t="s">
        <v>868</v>
      </c>
      <c r="I5568" t="s">
        <v>1157</v>
      </c>
      <c r="J5568" t="str">
        <f>"9170581"</f>
        <v>9170581</v>
      </c>
      <c r="K5568">
        <v>2892041052</v>
      </c>
      <c r="L5568">
        <v>2892041052</v>
      </c>
      <c r="M5568" t="s">
        <v>34377</v>
      </c>
      <c r="N5568" t="s">
        <v>34378</v>
      </c>
      <c r="O5568" t="s">
        <v>34191</v>
      </c>
      <c r="P5568">
        <v>70400</v>
      </c>
      <c r="Q5568" t="str">
        <f>"35.010204"</f>
        <v>35.010204</v>
      </c>
      <c r="R5568" t="str">
        <f>"24.868989"</f>
        <v>24.868989</v>
      </c>
      <c r="S5568" t="s">
        <v>26</v>
      </c>
    </row>
    <row r="5569" spans="1:19" x14ac:dyDescent="0.3">
      <c r="A5569" t="s">
        <v>32470</v>
      </c>
      <c r="B5569" t="s">
        <v>33426</v>
      </c>
      <c r="C5569" t="s">
        <v>34388</v>
      </c>
      <c r="D5569" t="s">
        <v>4618</v>
      </c>
      <c r="E5569" t="s">
        <v>4618</v>
      </c>
      <c r="F5569" t="s">
        <v>4618</v>
      </c>
      <c r="G5569" t="s">
        <v>32471</v>
      </c>
      <c r="H5569" t="s">
        <v>868</v>
      </c>
      <c r="I5569" t="s">
        <v>34387</v>
      </c>
      <c r="J5569" t="str">
        <f>"9521476"</f>
        <v>9521476</v>
      </c>
      <c r="K5569">
        <v>2810301780</v>
      </c>
      <c r="L5569">
        <v>2810222712</v>
      </c>
      <c r="M5569" t="s">
        <v>34389</v>
      </c>
      <c r="N5569" t="s">
        <v>4618</v>
      </c>
      <c r="O5569" t="s">
        <v>32889</v>
      </c>
      <c r="P5569">
        <v>71202</v>
      </c>
      <c r="Q5569" t="str">
        <f>"35.340154"</f>
        <v>35.340154</v>
      </c>
      <c r="R5569" t="str">
        <f>"25.127255"</f>
        <v>25.127255</v>
      </c>
      <c r="S5569" t="s">
        <v>26</v>
      </c>
    </row>
    <row r="5570" spans="1:19" x14ac:dyDescent="0.3">
      <c r="A5570" t="s">
        <v>32470</v>
      </c>
      <c r="B5570" t="s">
        <v>33426</v>
      </c>
      <c r="C5570" t="s">
        <v>34390</v>
      </c>
      <c r="D5570" t="s">
        <v>4618</v>
      </c>
      <c r="E5570" t="s">
        <v>32529</v>
      </c>
      <c r="F5570" t="s">
        <v>32650</v>
      </c>
      <c r="G5570" t="s">
        <v>32650</v>
      </c>
      <c r="H5570" t="s">
        <v>868</v>
      </c>
      <c r="I5570" t="s">
        <v>869</v>
      </c>
      <c r="J5570" t="str">
        <f>"9521411"</f>
        <v>9521411</v>
      </c>
      <c r="K5570">
        <v>2810824954</v>
      </c>
      <c r="L5570">
        <v>2810824954</v>
      </c>
      <c r="M5570" t="s">
        <v>34391</v>
      </c>
      <c r="N5570" t="s">
        <v>33793</v>
      </c>
      <c r="O5570" t="s">
        <v>6079</v>
      </c>
      <c r="P5570">
        <v>71414</v>
      </c>
      <c r="Q5570" t="str">
        <f>"35.331497"</f>
        <v>35.331497</v>
      </c>
      <c r="R5570" t="str">
        <f>"25.077374"</f>
        <v>25.077374</v>
      </c>
      <c r="S5570" t="s">
        <v>26</v>
      </c>
    </row>
    <row r="5571" spans="1:19" x14ac:dyDescent="0.3">
      <c r="A5571" t="s">
        <v>32470</v>
      </c>
      <c r="B5571" t="s">
        <v>33426</v>
      </c>
      <c r="C5571" t="s">
        <v>34394</v>
      </c>
      <c r="D5571" t="s">
        <v>4618</v>
      </c>
      <c r="E5571" t="s">
        <v>32584</v>
      </c>
      <c r="F5571" t="s">
        <v>32616</v>
      </c>
      <c r="G5571" t="s">
        <v>33863</v>
      </c>
      <c r="H5571" t="s">
        <v>868</v>
      </c>
      <c r="I5571" t="s">
        <v>1157</v>
      </c>
      <c r="J5571" t="str">
        <f>"9521170"</f>
        <v>9521170</v>
      </c>
      <c r="K5571">
        <v>2892022120</v>
      </c>
      <c r="L5571">
        <v>2892022120</v>
      </c>
      <c r="M5571" t="s">
        <v>34395</v>
      </c>
      <c r="N5571" t="s">
        <v>32860</v>
      </c>
      <c r="O5571" t="s">
        <v>34228</v>
      </c>
      <c r="P5571">
        <v>70400</v>
      </c>
      <c r="Q5571" t="str">
        <f>"35.078375"</f>
        <v>35.078375</v>
      </c>
      <c r="R5571" t="str">
        <f>"24.870246"</f>
        <v>24.870246</v>
      </c>
      <c r="S5571" t="s">
        <v>26</v>
      </c>
    </row>
    <row r="5572" spans="1:19" x14ac:dyDescent="0.3">
      <c r="A5572" t="s">
        <v>32470</v>
      </c>
      <c r="B5572" t="s">
        <v>33426</v>
      </c>
      <c r="C5572" t="s">
        <v>34402</v>
      </c>
      <c r="D5572" t="s">
        <v>4618</v>
      </c>
      <c r="E5572" t="s">
        <v>32508</v>
      </c>
      <c r="F5572" t="s">
        <v>32508</v>
      </c>
      <c r="G5572" t="s">
        <v>32508</v>
      </c>
      <c r="H5572" t="s">
        <v>868</v>
      </c>
      <c r="I5572" t="s">
        <v>869</v>
      </c>
      <c r="J5572" t="str">
        <f>"9521412"</f>
        <v>9521412</v>
      </c>
      <c r="K5572">
        <v>2897025680</v>
      </c>
      <c r="L5572">
        <v>2897025680</v>
      </c>
      <c r="M5572" t="s">
        <v>34403</v>
      </c>
      <c r="N5572" t="s">
        <v>34404</v>
      </c>
      <c r="O5572" t="s">
        <v>32475</v>
      </c>
      <c r="P5572">
        <v>70014</v>
      </c>
      <c r="Q5572" t="str">
        <f>"35.327077"</f>
        <v>35.327077</v>
      </c>
      <c r="R5572" t="str">
        <f>"25.344498"</f>
        <v>25.344498</v>
      </c>
      <c r="S5572" t="s">
        <v>26</v>
      </c>
    </row>
    <row r="5573" spans="1:19" x14ac:dyDescent="0.3">
      <c r="A5573" t="s">
        <v>32470</v>
      </c>
      <c r="B5573" t="s">
        <v>33426</v>
      </c>
      <c r="C5573" t="s">
        <v>34409</v>
      </c>
      <c r="D5573" t="s">
        <v>4618</v>
      </c>
      <c r="E5573" t="s">
        <v>32584</v>
      </c>
      <c r="F5573" t="s">
        <v>32585</v>
      </c>
      <c r="G5573" t="s">
        <v>14231</v>
      </c>
      <c r="H5573" t="s">
        <v>868</v>
      </c>
      <c r="I5573" t="s">
        <v>950</v>
      </c>
      <c r="J5573" t="str">
        <f>"9170330"</f>
        <v>9170330</v>
      </c>
      <c r="K5573">
        <v>2892043274</v>
      </c>
      <c r="L5573">
        <v>2892043274</v>
      </c>
      <c r="M5573" t="s">
        <v>34410</v>
      </c>
      <c r="N5573" t="s">
        <v>34411</v>
      </c>
      <c r="O5573" t="s">
        <v>13150</v>
      </c>
      <c r="P5573">
        <v>70002</v>
      </c>
      <c r="Q5573" t="str">
        <f>"35.153592"</f>
        <v>35.153592</v>
      </c>
      <c r="R5573" t="str">
        <f>"24.820233"</f>
        <v>24.820233</v>
      </c>
      <c r="S5573" t="s">
        <v>26</v>
      </c>
    </row>
    <row r="5574" spans="1:19" x14ac:dyDescent="0.3">
      <c r="A5574" t="s">
        <v>32470</v>
      </c>
      <c r="B5574" t="s">
        <v>33426</v>
      </c>
      <c r="C5574" t="s">
        <v>34418</v>
      </c>
      <c r="D5574" t="s">
        <v>4618</v>
      </c>
      <c r="E5574" t="s">
        <v>4618</v>
      </c>
      <c r="F5574" t="s">
        <v>32623</v>
      </c>
      <c r="G5574" t="s">
        <v>5563</v>
      </c>
      <c r="H5574" t="s">
        <v>868</v>
      </c>
      <c r="I5574" t="s">
        <v>869</v>
      </c>
      <c r="J5574" t="str">
        <f>"9521628"</f>
        <v>9521628</v>
      </c>
      <c r="N5574" t="s">
        <v>34419</v>
      </c>
      <c r="O5574" t="s">
        <v>33736</v>
      </c>
      <c r="P5574">
        <v>0</v>
      </c>
      <c r="Q5574" t="str">
        <f>""</f>
        <v/>
      </c>
      <c r="R5574" t="str">
        <f>""</f>
        <v/>
      </c>
      <c r="S5574" t="s">
        <v>26</v>
      </c>
    </row>
    <row r="5575" spans="1:19" x14ac:dyDescent="0.3">
      <c r="A5575" t="s">
        <v>32470</v>
      </c>
      <c r="B5575" t="s">
        <v>34430</v>
      </c>
      <c r="C5575" t="s">
        <v>34447</v>
      </c>
      <c r="D5575" t="s">
        <v>32475</v>
      </c>
      <c r="E5575" t="s">
        <v>32905</v>
      </c>
      <c r="F5575" t="s">
        <v>32967</v>
      </c>
      <c r="G5575" t="s">
        <v>34446</v>
      </c>
      <c r="H5575" t="s">
        <v>868</v>
      </c>
      <c r="I5575" t="s">
        <v>950</v>
      </c>
      <c r="J5575" t="str">
        <f>"9320102"</f>
        <v>9320102</v>
      </c>
      <c r="K5575">
        <v>2843093202</v>
      </c>
      <c r="L5575">
        <v>2843093202</v>
      </c>
      <c r="M5575" t="s">
        <v>34448</v>
      </c>
      <c r="N5575" t="s">
        <v>32961</v>
      </c>
      <c r="O5575" t="s">
        <v>34449</v>
      </c>
      <c r="P5575">
        <v>72300</v>
      </c>
      <c r="Q5575" t="str">
        <f>"35.110439"</f>
        <v>35.110439</v>
      </c>
      <c r="R5575" t="str">
        <f>"26.220180"</f>
        <v>26.220180</v>
      </c>
      <c r="S5575" t="s">
        <v>57</v>
      </c>
    </row>
    <row r="5576" spans="1:19" x14ac:dyDescent="0.3">
      <c r="A5576" t="s">
        <v>32470</v>
      </c>
      <c r="B5576" t="s">
        <v>34430</v>
      </c>
      <c r="C5576" t="s">
        <v>34450</v>
      </c>
      <c r="D5576" t="s">
        <v>32475</v>
      </c>
      <c r="E5576" t="s">
        <v>1969</v>
      </c>
      <c r="F5576" t="s">
        <v>1969</v>
      </c>
      <c r="G5576" t="s">
        <v>1969</v>
      </c>
      <c r="H5576" t="s">
        <v>868</v>
      </c>
      <c r="I5576" t="s">
        <v>869</v>
      </c>
      <c r="J5576" t="str">
        <f>"9320138"</f>
        <v>9320138</v>
      </c>
      <c r="K5576">
        <v>2841022104</v>
      </c>
      <c r="L5576">
        <v>2841022104</v>
      </c>
      <c r="M5576" t="s">
        <v>34451</v>
      </c>
      <c r="N5576" t="s">
        <v>14960</v>
      </c>
      <c r="O5576" t="s">
        <v>34452</v>
      </c>
      <c r="P5576">
        <v>72100</v>
      </c>
      <c r="Q5576" t="str">
        <f>"35.190607"</f>
        <v>35.190607</v>
      </c>
      <c r="R5576" t="str">
        <f>"25.709377"</f>
        <v>25.709377</v>
      </c>
      <c r="S5576" t="s">
        <v>26</v>
      </c>
    </row>
    <row r="5577" spans="1:19" x14ac:dyDescent="0.3">
      <c r="A5577" t="s">
        <v>32470</v>
      </c>
      <c r="B5577" t="s">
        <v>34430</v>
      </c>
      <c r="C5577" t="s">
        <v>34453</v>
      </c>
      <c r="D5577" t="s">
        <v>32475</v>
      </c>
      <c r="E5577" t="s">
        <v>32905</v>
      </c>
      <c r="F5577" t="s">
        <v>32905</v>
      </c>
      <c r="G5577" t="s">
        <v>32905</v>
      </c>
      <c r="H5577" t="s">
        <v>868</v>
      </c>
      <c r="I5577" t="s">
        <v>869</v>
      </c>
      <c r="J5577" t="str">
        <f>"9320205"</f>
        <v>9320205</v>
      </c>
      <c r="K5577">
        <v>2843024509</v>
      </c>
      <c r="L5577">
        <v>2843024509</v>
      </c>
      <c r="M5577" t="s">
        <v>34454</v>
      </c>
      <c r="N5577" t="s">
        <v>32961</v>
      </c>
      <c r="O5577" t="s">
        <v>34455</v>
      </c>
      <c r="P5577">
        <v>72300</v>
      </c>
      <c r="Q5577" t="str">
        <f>"35.213099"</f>
        <v>35.213099</v>
      </c>
      <c r="R5577" t="str">
        <f>"26.109307"</f>
        <v>26.109307</v>
      </c>
      <c r="S5577" t="s">
        <v>26</v>
      </c>
    </row>
    <row r="5578" spans="1:19" x14ac:dyDescent="0.3">
      <c r="A5578" t="s">
        <v>32470</v>
      </c>
      <c r="B5578" t="s">
        <v>34430</v>
      </c>
      <c r="C5578" t="s">
        <v>32916</v>
      </c>
      <c r="D5578" t="s">
        <v>32475</v>
      </c>
      <c r="E5578" t="s">
        <v>32905</v>
      </c>
      <c r="F5578" t="s">
        <v>17070</v>
      </c>
      <c r="G5578" t="s">
        <v>34467</v>
      </c>
      <c r="H5578" t="s">
        <v>868</v>
      </c>
      <c r="I5578" t="s">
        <v>950</v>
      </c>
      <c r="J5578" t="str">
        <f>"9320099"</f>
        <v>9320099</v>
      </c>
      <c r="K5578">
        <v>2843031331</v>
      </c>
      <c r="L5578">
        <v>2843031331</v>
      </c>
      <c r="M5578" t="s">
        <v>34468</v>
      </c>
      <c r="N5578" t="s">
        <v>32961</v>
      </c>
      <c r="O5578" t="s">
        <v>34469</v>
      </c>
      <c r="P5578">
        <v>72059</v>
      </c>
      <c r="Q5578" t="str">
        <f>"35.072788"</f>
        <v>35.072788</v>
      </c>
      <c r="R5578" t="str">
        <f>"26.087447"</f>
        <v>26.087447</v>
      </c>
      <c r="S5578" t="s">
        <v>57</v>
      </c>
    </row>
    <row r="5579" spans="1:19" x14ac:dyDescent="0.3">
      <c r="A5579" t="s">
        <v>32470</v>
      </c>
      <c r="B5579" t="s">
        <v>34430</v>
      </c>
      <c r="C5579" t="s">
        <v>33015</v>
      </c>
      <c r="D5579" t="s">
        <v>32475</v>
      </c>
      <c r="E5579" t="s">
        <v>32905</v>
      </c>
      <c r="F5579" t="s">
        <v>32905</v>
      </c>
      <c r="G5579" t="s">
        <v>34470</v>
      </c>
      <c r="H5579" t="s">
        <v>868</v>
      </c>
      <c r="I5579" t="s">
        <v>869</v>
      </c>
      <c r="J5579" t="str">
        <f>"9320132"</f>
        <v>9320132</v>
      </c>
      <c r="K5579">
        <v>2843094341</v>
      </c>
      <c r="L5579">
        <v>2843094341</v>
      </c>
      <c r="M5579" t="s">
        <v>34477</v>
      </c>
      <c r="N5579" t="s">
        <v>34473</v>
      </c>
      <c r="O5579" t="s">
        <v>34473</v>
      </c>
      <c r="P5579">
        <v>72057</v>
      </c>
      <c r="Q5579" t="str">
        <f>"35.155528"</f>
        <v>35.155528</v>
      </c>
      <c r="R5579" t="str">
        <f>"25.924878"</f>
        <v>25.924878</v>
      </c>
      <c r="S5579" t="s">
        <v>26</v>
      </c>
    </row>
    <row r="5580" spans="1:19" x14ac:dyDescent="0.3">
      <c r="A5580" t="s">
        <v>32470</v>
      </c>
      <c r="B5580" t="s">
        <v>34430</v>
      </c>
      <c r="C5580" t="s">
        <v>33005</v>
      </c>
      <c r="D5580" t="s">
        <v>32475</v>
      </c>
      <c r="E5580" t="s">
        <v>1969</v>
      </c>
      <c r="F5580" t="s">
        <v>1969</v>
      </c>
      <c r="G5580" t="s">
        <v>1969</v>
      </c>
      <c r="H5580" t="s">
        <v>868</v>
      </c>
      <c r="I5580" t="s">
        <v>869</v>
      </c>
      <c r="J5580" t="str">
        <f>"9320055"</f>
        <v>9320055</v>
      </c>
      <c r="K5580">
        <v>2841022326</v>
      </c>
      <c r="L5580">
        <v>2841022326</v>
      </c>
      <c r="M5580" t="s">
        <v>34492</v>
      </c>
      <c r="N5580" t="s">
        <v>14960</v>
      </c>
      <c r="O5580" t="s">
        <v>34493</v>
      </c>
      <c r="P5580">
        <v>72100</v>
      </c>
      <c r="Q5580" t="str">
        <f>"35.190257"</f>
        <v>35.190257</v>
      </c>
      <c r="R5580" t="str">
        <f>"25.716002"</f>
        <v>25.716002</v>
      </c>
      <c r="S5580" t="s">
        <v>26</v>
      </c>
    </row>
    <row r="5581" spans="1:19" x14ac:dyDescent="0.3">
      <c r="A5581" t="s">
        <v>32470</v>
      </c>
      <c r="B5581" t="s">
        <v>34430</v>
      </c>
      <c r="C5581" t="s">
        <v>32929</v>
      </c>
      <c r="D5581" t="s">
        <v>32475</v>
      </c>
      <c r="E5581" t="s">
        <v>32924</v>
      </c>
      <c r="F5581" t="s">
        <v>32924</v>
      </c>
      <c r="G5581" t="s">
        <v>1872</v>
      </c>
      <c r="H5581" t="s">
        <v>868</v>
      </c>
      <c r="I5581" t="s">
        <v>869</v>
      </c>
      <c r="J5581" t="str">
        <f>"9320042"</f>
        <v>9320042</v>
      </c>
      <c r="K5581">
        <v>2844031250</v>
      </c>
      <c r="L5581">
        <v>2844031250</v>
      </c>
      <c r="M5581" t="s">
        <v>34497</v>
      </c>
      <c r="N5581" t="s">
        <v>12409</v>
      </c>
      <c r="O5581" t="s">
        <v>34498</v>
      </c>
      <c r="P5581">
        <v>72052</v>
      </c>
      <c r="Q5581" t="str">
        <f>"35.166901"</f>
        <v>35.166901</v>
      </c>
      <c r="R5581" t="str">
        <f>"25.482679"</f>
        <v>25.482679</v>
      </c>
      <c r="S5581" t="s">
        <v>57</v>
      </c>
    </row>
    <row r="5582" spans="1:19" x14ac:dyDescent="0.3">
      <c r="A5582" t="s">
        <v>32470</v>
      </c>
      <c r="B5582" t="s">
        <v>34430</v>
      </c>
      <c r="C5582" t="s">
        <v>32947</v>
      </c>
      <c r="D5582" t="s">
        <v>32475</v>
      </c>
      <c r="E5582" t="s">
        <v>1969</v>
      </c>
      <c r="F5582" t="s">
        <v>1969</v>
      </c>
      <c r="G5582" t="s">
        <v>1969</v>
      </c>
      <c r="H5582" t="s">
        <v>868</v>
      </c>
      <c r="I5582" t="s">
        <v>869</v>
      </c>
      <c r="J5582" t="str">
        <f>"9320210"</f>
        <v>9320210</v>
      </c>
      <c r="K5582">
        <v>2841026705</v>
      </c>
      <c r="L5582">
        <v>2841026705</v>
      </c>
      <c r="M5582" t="s">
        <v>34512</v>
      </c>
      <c r="N5582" t="s">
        <v>14960</v>
      </c>
      <c r="O5582" t="s">
        <v>34513</v>
      </c>
      <c r="P5582">
        <v>72100</v>
      </c>
      <c r="Q5582" t="str">
        <f>"35.198936"</f>
        <v>35.198936</v>
      </c>
      <c r="R5582" t="str">
        <f>"25.710182"</f>
        <v>25.710182</v>
      </c>
      <c r="S5582" t="s">
        <v>26</v>
      </c>
    </row>
    <row r="5583" spans="1:19" x14ac:dyDescent="0.3">
      <c r="A5583" t="s">
        <v>32470</v>
      </c>
      <c r="B5583" t="s">
        <v>34430</v>
      </c>
      <c r="C5583" t="s">
        <v>34514</v>
      </c>
      <c r="D5583" t="s">
        <v>32475</v>
      </c>
      <c r="E5583" t="s">
        <v>1969</v>
      </c>
      <c r="F5583" t="s">
        <v>1969</v>
      </c>
      <c r="G5583" t="s">
        <v>1969</v>
      </c>
      <c r="H5583" t="s">
        <v>868</v>
      </c>
      <c r="I5583" t="s">
        <v>869</v>
      </c>
      <c r="J5583" t="str">
        <f>"9320058"</f>
        <v>9320058</v>
      </c>
      <c r="K5583">
        <v>2841022496</v>
      </c>
      <c r="L5583">
        <v>2841022496</v>
      </c>
      <c r="M5583" t="s">
        <v>34515</v>
      </c>
      <c r="N5583" t="s">
        <v>14960</v>
      </c>
      <c r="O5583" t="s">
        <v>34516</v>
      </c>
      <c r="P5583">
        <v>72100</v>
      </c>
      <c r="Q5583" t="str">
        <f>"35.194278"</f>
        <v>35.194278</v>
      </c>
      <c r="R5583" t="str">
        <f>"25.714234"</f>
        <v>25.714234</v>
      </c>
      <c r="S5583" t="s">
        <v>26</v>
      </c>
    </row>
    <row r="5584" spans="1:19" x14ac:dyDescent="0.3">
      <c r="A5584" t="s">
        <v>32470</v>
      </c>
      <c r="B5584" t="s">
        <v>34430</v>
      </c>
      <c r="C5584" t="s">
        <v>34524</v>
      </c>
      <c r="D5584" t="s">
        <v>32475</v>
      </c>
      <c r="E5584" t="s">
        <v>32905</v>
      </c>
      <c r="F5584" t="s">
        <v>17070</v>
      </c>
      <c r="G5584" t="s">
        <v>34436</v>
      </c>
      <c r="H5584" t="s">
        <v>868</v>
      </c>
      <c r="I5584" t="s">
        <v>950</v>
      </c>
      <c r="J5584" t="str">
        <f>"9320112"</f>
        <v>9320112</v>
      </c>
      <c r="K5584">
        <v>2843051115</v>
      </c>
      <c r="L5584">
        <v>2843051115</v>
      </c>
      <c r="M5584" t="s">
        <v>34525</v>
      </c>
      <c r="N5584" t="s">
        <v>34526</v>
      </c>
      <c r="O5584" t="s">
        <v>34526</v>
      </c>
      <c r="P5584">
        <v>72059</v>
      </c>
      <c r="Q5584" t="str">
        <f>"35.012506"</f>
        <v>35.012506</v>
      </c>
      <c r="R5584" t="str">
        <f>"26.099675"</f>
        <v>26.099675</v>
      </c>
      <c r="S5584" t="s">
        <v>57</v>
      </c>
    </row>
    <row r="5585" spans="1:19" x14ac:dyDescent="0.3">
      <c r="A5585" t="s">
        <v>32470</v>
      </c>
      <c r="B5585" t="s">
        <v>34430</v>
      </c>
      <c r="C5585" t="s">
        <v>34527</v>
      </c>
      <c r="D5585" t="s">
        <v>32475</v>
      </c>
      <c r="E5585" t="s">
        <v>32905</v>
      </c>
      <c r="F5585" t="s">
        <v>32905</v>
      </c>
      <c r="G5585" t="s">
        <v>32905</v>
      </c>
      <c r="H5585" t="s">
        <v>868</v>
      </c>
      <c r="I5585" t="s">
        <v>1157</v>
      </c>
      <c r="J5585" t="str">
        <f>"9320216"</f>
        <v>9320216</v>
      </c>
      <c r="K5585">
        <v>2843024255</v>
      </c>
      <c r="L5585">
        <v>2843024255</v>
      </c>
      <c r="M5585" t="s">
        <v>34528</v>
      </c>
      <c r="N5585" t="s">
        <v>32961</v>
      </c>
      <c r="O5585" t="s">
        <v>34529</v>
      </c>
      <c r="P5585">
        <v>72300</v>
      </c>
      <c r="Q5585" t="str">
        <f>"35.206220"</f>
        <v>35.206220</v>
      </c>
      <c r="R5585" t="str">
        <f>"26.100390"</f>
        <v>26.100390</v>
      </c>
      <c r="S5585" t="s">
        <v>26</v>
      </c>
    </row>
    <row r="5586" spans="1:19" x14ac:dyDescent="0.3">
      <c r="A5586" t="s">
        <v>32470</v>
      </c>
      <c r="B5586" t="s">
        <v>34430</v>
      </c>
      <c r="C5586" t="s">
        <v>32910</v>
      </c>
      <c r="D5586" t="s">
        <v>32475</v>
      </c>
      <c r="E5586" t="s">
        <v>32905</v>
      </c>
      <c r="F5586" t="s">
        <v>32905</v>
      </c>
      <c r="G5586" t="s">
        <v>32905</v>
      </c>
      <c r="H5586" t="s">
        <v>868</v>
      </c>
      <c r="I5586" t="s">
        <v>869</v>
      </c>
      <c r="J5586" t="str">
        <f>"9320093"</f>
        <v>9320093</v>
      </c>
      <c r="K5586">
        <v>2843025130</v>
      </c>
      <c r="L5586">
        <v>2843025130</v>
      </c>
      <c r="M5586" t="s">
        <v>34533</v>
      </c>
      <c r="N5586" t="s">
        <v>32961</v>
      </c>
      <c r="O5586" t="s">
        <v>34534</v>
      </c>
      <c r="P5586">
        <v>72300</v>
      </c>
      <c r="Q5586" t="str">
        <f>"35.206397"</f>
        <v>35.206397</v>
      </c>
      <c r="R5586" t="str">
        <f>"26.098620"</f>
        <v>26.098620</v>
      </c>
      <c r="S5586" t="s">
        <v>26</v>
      </c>
    </row>
    <row r="5587" spans="1:19" x14ac:dyDescent="0.3">
      <c r="A5587" t="s">
        <v>32470</v>
      </c>
      <c r="B5587" t="s">
        <v>34430</v>
      </c>
      <c r="C5587" t="s">
        <v>34536</v>
      </c>
      <c r="D5587" t="s">
        <v>32475</v>
      </c>
      <c r="E5587" t="s">
        <v>1969</v>
      </c>
      <c r="F5587" t="s">
        <v>1969</v>
      </c>
      <c r="G5587" t="s">
        <v>34535</v>
      </c>
      <c r="H5587" t="s">
        <v>868</v>
      </c>
      <c r="I5587" t="s">
        <v>950</v>
      </c>
      <c r="J5587" t="str">
        <f>"9320081"</f>
        <v>9320081</v>
      </c>
      <c r="K5587">
        <v>2841051404</v>
      </c>
      <c r="L5587">
        <v>2841051404</v>
      </c>
      <c r="M5587" t="s">
        <v>34537</v>
      </c>
      <c r="N5587" t="s">
        <v>14960</v>
      </c>
      <c r="O5587" t="s">
        <v>34538</v>
      </c>
      <c r="P5587">
        <v>72100</v>
      </c>
      <c r="Q5587" t="str">
        <f>"35.136928"</f>
        <v>35.136928</v>
      </c>
      <c r="R5587" t="str">
        <f>"25.658485"</f>
        <v>25.658485</v>
      </c>
      <c r="S5587" t="s">
        <v>26</v>
      </c>
    </row>
    <row r="5588" spans="1:19" x14ac:dyDescent="0.3">
      <c r="A5588" t="s">
        <v>32470</v>
      </c>
      <c r="B5588" t="s">
        <v>34430</v>
      </c>
      <c r="C5588" t="s">
        <v>34545</v>
      </c>
      <c r="D5588" t="s">
        <v>32475</v>
      </c>
      <c r="E5588" t="s">
        <v>32905</v>
      </c>
      <c r="F5588" t="s">
        <v>32905</v>
      </c>
      <c r="G5588" t="s">
        <v>34544</v>
      </c>
      <c r="H5588" t="s">
        <v>868</v>
      </c>
      <c r="I5588" t="s">
        <v>950</v>
      </c>
      <c r="J5588" t="str">
        <f>"9320126"</f>
        <v>9320126</v>
      </c>
      <c r="K5588">
        <v>2843071360</v>
      </c>
      <c r="L5588">
        <v>2843071360</v>
      </c>
      <c r="M5588" t="s">
        <v>34546</v>
      </c>
      <c r="N5588" t="s">
        <v>32961</v>
      </c>
      <c r="O5588" t="s">
        <v>34547</v>
      </c>
      <c r="P5588">
        <v>72300</v>
      </c>
      <c r="Q5588" t="str">
        <f>"35.177667"</f>
        <v>35.177667</v>
      </c>
      <c r="R5588" t="str">
        <f>"26.039278"</f>
        <v>26.039278</v>
      </c>
      <c r="S5588" t="s">
        <v>26</v>
      </c>
    </row>
    <row r="5589" spans="1:19" x14ac:dyDescent="0.3">
      <c r="A5589" t="s">
        <v>32470</v>
      </c>
      <c r="B5589" t="s">
        <v>34430</v>
      </c>
      <c r="C5589" t="s">
        <v>32923</v>
      </c>
      <c r="D5589" t="s">
        <v>32475</v>
      </c>
      <c r="E5589" t="s">
        <v>32917</v>
      </c>
      <c r="F5589" t="s">
        <v>32918</v>
      </c>
      <c r="G5589" t="s">
        <v>30150</v>
      </c>
      <c r="H5589" t="s">
        <v>868</v>
      </c>
      <c r="I5589" t="s">
        <v>869</v>
      </c>
      <c r="J5589" t="str">
        <f>"9320127"</f>
        <v>9320127</v>
      </c>
      <c r="K5589">
        <v>2843051221</v>
      </c>
      <c r="L5589">
        <v>2843051221</v>
      </c>
      <c r="M5589" t="s">
        <v>34548</v>
      </c>
      <c r="N5589" t="s">
        <v>32922</v>
      </c>
      <c r="O5589" t="s">
        <v>32922</v>
      </c>
      <c r="P5589">
        <v>72055</v>
      </c>
      <c r="Q5589" t="str">
        <f>"35.032286"</f>
        <v>35.032286</v>
      </c>
      <c r="R5589" t="str">
        <f>"25.950403"</f>
        <v>25.950403</v>
      </c>
      <c r="S5589" t="s">
        <v>26</v>
      </c>
    </row>
    <row r="5590" spans="1:19" x14ac:dyDescent="0.3">
      <c r="A5590" t="s">
        <v>32470</v>
      </c>
      <c r="B5590" t="s">
        <v>34430</v>
      </c>
      <c r="C5590" t="s">
        <v>34549</v>
      </c>
      <c r="D5590" t="s">
        <v>32475</v>
      </c>
      <c r="E5590" t="s">
        <v>32905</v>
      </c>
      <c r="F5590" t="s">
        <v>32905</v>
      </c>
      <c r="G5590" t="s">
        <v>34485</v>
      </c>
      <c r="H5590" t="s">
        <v>868</v>
      </c>
      <c r="I5590" t="s">
        <v>869</v>
      </c>
      <c r="J5590" t="str">
        <f>"9320121"</f>
        <v>9320121</v>
      </c>
      <c r="K5590">
        <v>2843022036</v>
      </c>
      <c r="L5590">
        <v>2843022036</v>
      </c>
      <c r="M5590" t="s">
        <v>34550</v>
      </c>
      <c r="N5590" t="s">
        <v>32961</v>
      </c>
      <c r="O5590" t="s">
        <v>34488</v>
      </c>
      <c r="P5590">
        <v>72300</v>
      </c>
      <c r="Q5590" t="str">
        <f>"35.177723"</f>
        <v>35.177723</v>
      </c>
      <c r="R5590" t="str">
        <f>"26.094299"</f>
        <v>26.094299</v>
      </c>
      <c r="S5590" t="s">
        <v>26</v>
      </c>
    </row>
    <row r="5591" spans="1:19" x14ac:dyDescent="0.3">
      <c r="A5591" t="s">
        <v>32470</v>
      </c>
      <c r="B5591" t="s">
        <v>34430</v>
      </c>
      <c r="C5591" t="s">
        <v>34551</v>
      </c>
      <c r="D5591" t="s">
        <v>32475</v>
      </c>
      <c r="E5591" t="s">
        <v>1969</v>
      </c>
      <c r="F5591" t="s">
        <v>34508</v>
      </c>
      <c r="G5591" t="s">
        <v>34508</v>
      </c>
      <c r="H5591" t="s">
        <v>868</v>
      </c>
      <c r="I5591" t="s">
        <v>869</v>
      </c>
      <c r="J5591" t="str">
        <f>"9320145"</f>
        <v>9320145</v>
      </c>
      <c r="K5591">
        <v>2841071309</v>
      </c>
      <c r="L5591">
        <v>284107</v>
      </c>
      <c r="M5591" t="s">
        <v>34552</v>
      </c>
      <c r="N5591" t="s">
        <v>34511</v>
      </c>
      <c r="O5591" t="s">
        <v>33305</v>
      </c>
      <c r="P5591">
        <v>72400</v>
      </c>
      <c r="Q5591" t="str">
        <f>"35.308546"</f>
        <v>35.308546</v>
      </c>
      <c r="R5591" t="str">
        <f>"25.520720"</f>
        <v>25.520720</v>
      </c>
      <c r="S5591" t="s">
        <v>26</v>
      </c>
    </row>
    <row r="5592" spans="1:19" x14ac:dyDescent="0.3">
      <c r="A5592" t="s">
        <v>32470</v>
      </c>
      <c r="B5592" t="s">
        <v>34430</v>
      </c>
      <c r="C5592" t="s">
        <v>34553</v>
      </c>
      <c r="D5592" t="s">
        <v>32475</v>
      </c>
      <c r="E5592" t="s">
        <v>32917</v>
      </c>
      <c r="F5592" t="s">
        <v>32918</v>
      </c>
      <c r="G5592" t="s">
        <v>4073</v>
      </c>
      <c r="H5592" t="s">
        <v>868</v>
      </c>
      <c r="I5592" t="s">
        <v>869</v>
      </c>
      <c r="J5592" t="str">
        <f>"9320098"</f>
        <v>9320098</v>
      </c>
      <c r="K5592">
        <v>2843051475</v>
      </c>
      <c r="L5592">
        <v>2843051475</v>
      </c>
      <c r="M5592" t="s">
        <v>34554</v>
      </c>
      <c r="N5592" t="s">
        <v>34466</v>
      </c>
      <c r="O5592" t="s">
        <v>34466</v>
      </c>
      <c r="P5592">
        <v>72055</v>
      </c>
      <c r="Q5592" t="str">
        <f>"35.035232"</f>
        <v>35.035232</v>
      </c>
      <c r="R5592" t="str">
        <f>"25.990610"</f>
        <v>25.990610</v>
      </c>
      <c r="S5592" t="s">
        <v>26</v>
      </c>
    </row>
    <row r="5593" spans="1:19" x14ac:dyDescent="0.3">
      <c r="A5593" t="s">
        <v>32470</v>
      </c>
      <c r="B5593" t="s">
        <v>34430</v>
      </c>
      <c r="C5593" t="s">
        <v>33029</v>
      </c>
      <c r="D5593" t="s">
        <v>32475</v>
      </c>
      <c r="E5593" t="s">
        <v>32905</v>
      </c>
      <c r="F5593" t="s">
        <v>32905</v>
      </c>
      <c r="G5593" t="s">
        <v>32905</v>
      </c>
      <c r="H5593" t="s">
        <v>868</v>
      </c>
      <c r="I5593" t="s">
        <v>869</v>
      </c>
      <c r="J5593" t="str">
        <f>"9320090"</f>
        <v>9320090</v>
      </c>
      <c r="K5593">
        <v>2843022385</v>
      </c>
      <c r="L5593">
        <v>2843022385</v>
      </c>
      <c r="M5593" t="s">
        <v>34558</v>
      </c>
      <c r="N5593" t="s">
        <v>32961</v>
      </c>
      <c r="O5593" t="s">
        <v>34559</v>
      </c>
      <c r="P5593">
        <v>72300</v>
      </c>
      <c r="Q5593" t="str">
        <f>"35.209047"</f>
        <v>35.209047</v>
      </c>
      <c r="R5593" t="str">
        <f>"26.105248"</f>
        <v>26.105248</v>
      </c>
      <c r="S5593" t="s">
        <v>26</v>
      </c>
    </row>
    <row r="5594" spans="1:19" x14ac:dyDescent="0.3">
      <c r="A5594" t="s">
        <v>32470</v>
      </c>
      <c r="B5594" t="s">
        <v>34430</v>
      </c>
      <c r="C5594" t="s">
        <v>32943</v>
      </c>
      <c r="D5594" t="s">
        <v>32475</v>
      </c>
      <c r="E5594" t="s">
        <v>32905</v>
      </c>
      <c r="F5594" t="s">
        <v>32905</v>
      </c>
      <c r="G5594" t="s">
        <v>32905</v>
      </c>
      <c r="H5594" t="s">
        <v>868</v>
      </c>
      <c r="I5594" t="s">
        <v>869</v>
      </c>
      <c r="J5594" t="str">
        <f>"9520629"</f>
        <v>9520629</v>
      </c>
      <c r="K5594">
        <v>2843026678</v>
      </c>
      <c r="L5594">
        <v>2843026678</v>
      </c>
      <c r="M5594" t="s">
        <v>34560</v>
      </c>
      <c r="N5594" t="s">
        <v>32961</v>
      </c>
      <c r="O5594" t="s">
        <v>34561</v>
      </c>
      <c r="P5594">
        <v>72300</v>
      </c>
      <c r="Q5594" t="str">
        <f>"35.203557"</f>
        <v>35.203557</v>
      </c>
      <c r="R5594" t="str">
        <f>"26.098382"</f>
        <v>26.098382</v>
      </c>
      <c r="S5594" t="s">
        <v>26</v>
      </c>
    </row>
    <row r="5595" spans="1:19" x14ac:dyDescent="0.3">
      <c r="A5595" t="s">
        <v>32470</v>
      </c>
      <c r="B5595" t="s">
        <v>34430</v>
      </c>
      <c r="C5595" t="s">
        <v>34568</v>
      </c>
      <c r="D5595" t="s">
        <v>32475</v>
      </c>
      <c r="E5595" t="s">
        <v>1969</v>
      </c>
      <c r="F5595" t="s">
        <v>1969</v>
      </c>
      <c r="G5595" t="s">
        <v>1969</v>
      </c>
      <c r="H5595" t="s">
        <v>868</v>
      </c>
      <c r="I5595" t="s">
        <v>1157</v>
      </c>
      <c r="J5595" t="str">
        <f>"9320209"</f>
        <v>9320209</v>
      </c>
      <c r="K5595">
        <v>2841026803</v>
      </c>
      <c r="L5595">
        <v>2841026803</v>
      </c>
      <c r="M5595" t="s">
        <v>34569</v>
      </c>
      <c r="N5595" t="s">
        <v>14960</v>
      </c>
      <c r="O5595" t="s">
        <v>34543</v>
      </c>
      <c r="P5595">
        <v>72100</v>
      </c>
      <c r="Q5595" t="str">
        <f>"35.198755"</f>
        <v>35.198755</v>
      </c>
      <c r="R5595" t="str">
        <f>"25.710827"</f>
        <v>25.710827</v>
      </c>
      <c r="S5595" t="s">
        <v>26</v>
      </c>
    </row>
    <row r="5596" spans="1:19" x14ac:dyDescent="0.3">
      <c r="A5596" t="s">
        <v>32470</v>
      </c>
      <c r="B5596" t="s">
        <v>34430</v>
      </c>
      <c r="C5596" t="s">
        <v>32973</v>
      </c>
      <c r="D5596" t="s">
        <v>32475</v>
      </c>
      <c r="E5596" t="s">
        <v>32905</v>
      </c>
      <c r="F5596" t="s">
        <v>32967</v>
      </c>
      <c r="G5596" t="s">
        <v>32968</v>
      </c>
      <c r="H5596" t="s">
        <v>868</v>
      </c>
      <c r="I5596" t="s">
        <v>869</v>
      </c>
      <c r="J5596" t="str">
        <f>"9320115"</f>
        <v>9320115</v>
      </c>
      <c r="K5596">
        <v>2843061213</v>
      </c>
      <c r="L5596">
        <v>2843061213</v>
      </c>
      <c r="M5596" t="s">
        <v>34572</v>
      </c>
      <c r="N5596" t="s">
        <v>32961</v>
      </c>
      <c r="O5596" t="s">
        <v>34573</v>
      </c>
      <c r="P5596">
        <v>72300</v>
      </c>
      <c r="Q5596" t="str">
        <f>"35.197387"</f>
        <v>35.197387</v>
      </c>
      <c r="R5596" t="str">
        <f>"26.255393"</f>
        <v>26.255393</v>
      </c>
      <c r="S5596" t="s">
        <v>57</v>
      </c>
    </row>
    <row r="5597" spans="1:19" x14ac:dyDescent="0.3">
      <c r="A5597" t="s">
        <v>32470</v>
      </c>
      <c r="B5597" t="s">
        <v>34430</v>
      </c>
      <c r="C5597" t="s">
        <v>32991</v>
      </c>
      <c r="D5597" t="s">
        <v>32475</v>
      </c>
      <c r="E5597" t="s">
        <v>1969</v>
      </c>
      <c r="F5597" t="s">
        <v>1969</v>
      </c>
      <c r="G5597" t="s">
        <v>32986</v>
      </c>
      <c r="H5597" t="s">
        <v>868</v>
      </c>
      <c r="I5597" t="s">
        <v>869</v>
      </c>
      <c r="J5597" t="str">
        <f>"9320079"</f>
        <v>9320079</v>
      </c>
      <c r="K5597">
        <v>2841051211</v>
      </c>
      <c r="L5597">
        <v>2841089376</v>
      </c>
      <c r="M5597" t="s">
        <v>34574</v>
      </c>
      <c r="N5597" t="s">
        <v>14960</v>
      </c>
      <c r="O5597" t="s">
        <v>34575</v>
      </c>
      <c r="P5597">
        <v>72051</v>
      </c>
      <c r="Q5597" t="str">
        <f>"35.156425"</f>
        <v>35.156425</v>
      </c>
      <c r="R5597" t="str">
        <f>"25.646192"</f>
        <v>25.646192</v>
      </c>
      <c r="S5597" t="s">
        <v>26</v>
      </c>
    </row>
    <row r="5598" spans="1:19" x14ac:dyDescent="0.3">
      <c r="A5598" t="s">
        <v>32470</v>
      </c>
      <c r="B5598" t="s">
        <v>34430</v>
      </c>
      <c r="C5598" t="s">
        <v>34592</v>
      </c>
      <c r="D5598" t="s">
        <v>32475</v>
      </c>
      <c r="E5598" t="s">
        <v>32917</v>
      </c>
      <c r="F5598" t="s">
        <v>32917</v>
      </c>
      <c r="G5598" t="s">
        <v>34591</v>
      </c>
      <c r="H5598" t="s">
        <v>868</v>
      </c>
      <c r="I5598" t="s">
        <v>950</v>
      </c>
      <c r="J5598" t="str">
        <f>"9320028"</f>
        <v>9320028</v>
      </c>
      <c r="K5598">
        <v>2842051243</v>
      </c>
      <c r="L5598">
        <v>2842051243</v>
      </c>
      <c r="M5598" t="s">
        <v>34593</v>
      </c>
      <c r="N5598" t="s">
        <v>34594</v>
      </c>
      <c r="O5598" t="s">
        <v>34595</v>
      </c>
      <c r="P5598">
        <v>72056</v>
      </c>
      <c r="Q5598" t="str">
        <f>"35.004048"</f>
        <v>35.004048</v>
      </c>
      <c r="R5598" t="str">
        <f>"25.583563"</f>
        <v>25.583563</v>
      </c>
      <c r="S5598" t="s">
        <v>26</v>
      </c>
    </row>
    <row r="5599" spans="1:19" x14ac:dyDescent="0.3">
      <c r="A5599" t="s">
        <v>32470</v>
      </c>
      <c r="B5599" t="s">
        <v>34430</v>
      </c>
      <c r="C5599" t="s">
        <v>34596</v>
      </c>
      <c r="D5599" t="s">
        <v>32475</v>
      </c>
      <c r="E5599" t="s">
        <v>32917</v>
      </c>
      <c r="F5599" t="s">
        <v>32917</v>
      </c>
      <c r="G5599" t="s">
        <v>19179</v>
      </c>
      <c r="H5599" t="s">
        <v>868</v>
      </c>
      <c r="I5599" t="s">
        <v>869</v>
      </c>
      <c r="J5599" t="str">
        <f>"9320012"</f>
        <v>9320012</v>
      </c>
      <c r="K5599">
        <v>2842041253</v>
      </c>
      <c r="L5599">
        <v>2842041253</v>
      </c>
      <c r="M5599" t="s">
        <v>34597</v>
      </c>
      <c r="N5599" t="s">
        <v>34598</v>
      </c>
      <c r="O5599" t="s">
        <v>34599</v>
      </c>
      <c r="P5599">
        <v>72200</v>
      </c>
      <c r="Q5599" t="str">
        <f>"35.015267"</f>
        <v>35.015267</v>
      </c>
      <c r="R5599" t="str">
        <f>"25.660259"</f>
        <v>25.660259</v>
      </c>
      <c r="S5599" t="s">
        <v>26</v>
      </c>
    </row>
    <row r="5600" spans="1:19" x14ac:dyDescent="0.3">
      <c r="A5600" t="s">
        <v>32470</v>
      </c>
      <c r="B5600" t="s">
        <v>34430</v>
      </c>
      <c r="C5600" t="s">
        <v>34601</v>
      </c>
      <c r="D5600" t="s">
        <v>32475</v>
      </c>
      <c r="E5600" t="s">
        <v>32917</v>
      </c>
      <c r="F5600" t="s">
        <v>32917</v>
      </c>
      <c r="G5600" t="s">
        <v>34600</v>
      </c>
      <c r="H5600" t="s">
        <v>868</v>
      </c>
      <c r="I5600" t="s">
        <v>950</v>
      </c>
      <c r="J5600" t="str">
        <f>"9320024"</f>
        <v>9320024</v>
      </c>
      <c r="K5600">
        <v>2842091214</v>
      </c>
      <c r="L5600">
        <v>2842091214</v>
      </c>
      <c r="M5600" t="s">
        <v>34602</v>
      </c>
      <c r="N5600" t="s">
        <v>34603</v>
      </c>
      <c r="O5600" t="s">
        <v>34604</v>
      </c>
      <c r="P5600">
        <v>72056</v>
      </c>
      <c r="Q5600" t="str">
        <f>"35.080432"</f>
        <v>35.080432</v>
      </c>
      <c r="R5600" t="str">
        <f>"25.582839"</f>
        <v>25.582839</v>
      </c>
      <c r="S5600" t="s">
        <v>57</v>
      </c>
    </row>
    <row r="5601" spans="1:19" x14ac:dyDescent="0.3">
      <c r="A5601" t="s">
        <v>32470</v>
      </c>
      <c r="B5601" t="s">
        <v>34430</v>
      </c>
      <c r="C5601" t="s">
        <v>34605</v>
      </c>
      <c r="D5601" t="s">
        <v>32475</v>
      </c>
      <c r="E5601" t="s">
        <v>32917</v>
      </c>
      <c r="F5601" t="s">
        <v>32917</v>
      </c>
      <c r="G5601" t="s">
        <v>34583</v>
      </c>
      <c r="H5601" t="s">
        <v>868</v>
      </c>
      <c r="I5601" t="s">
        <v>869</v>
      </c>
      <c r="J5601" t="str">
        <f>"9320030"</f>
        <v>9320030</v>
      </c>
      <c r="K5601">
        <v>2842093264</v>
      </c>
      <c r="L5601">
        <v>2842093264</v>
      </c>
      <c r="M5601" t="s">
        <v>34606</v>
      </c>
      <c r="N5601" t="s">
        <v>34586</v>
      </c>
      <c r="O5601" t="s">
        <v>34586</v>
      </c>
      <c r="P5601">
        <v>72200</v>
      </c>
      <c r="Q5601" t="str">
        <f>"35.109270"</f>
        <v>35.109270</v>
      </c>
      <c r="R5601" t="str">
        <f>"25.805198"</f>
        <v>25.805198</v>
      </c>
      <c r="S5601" t="s">
        <v>26</v>
      </c>
    </row>
    <row r="5602" spans="1:19" x14ac:dyDescent="0.3">
      <c r="A5602" t="s">
        <v>32470</v>
      </c>
      <c r="B5602" t="s">
        <v>34430</v>
      </c>
      <c r="C5602" t="s">
        <v>34607</v>
      </c>
      <c r="D5602" t="s">
        <v>32475</v>
      </c>
      <c r="E5602" t="s">
        <v>32917</v>
      </c>
      <c r="F5602" t="s">
        <v>32917</v>
      </c>
      <c r="G5602" t="s">
        <v>32917</v>
      </c>
      <c r="H5602" t="s">
        <v>868</v>
      </c>
      <c r="I5602" t="s">
        <v>1157</v>
      </c>
      <c r="J5602" t="str">
        <f>"9320213"</f>
        <v>9320213</v>
      </c>
      <c r="K5602">
        <v>2842110754</v>
      </c>
      <c r="M5602" t="s">
        <v>34608</v>
      </c>
      <c r="N5602" t="s">
        <v>32976</v>
      </c>
      <c r="O5602" t="s">
        <v>32997</v>
      </c>
      <c r="P5602">
        <v>72200</v>
      </c>
      <c r="Q5602" t="str">
        <f>"35.013187"</f>
        <v>35.013187</v>
      </c>
      <c r="R5602" t="str">
        <f>"25.749656"</f>
        <v>25.749656</v>
      </c>
      <c r="S5602" t="s">
        <v>26</v>
      </c>
    </row>
    <row r="5603" spans="1:19" x14ac:dyDescent="0.3">
      <c r="A5603" t="s">
        <v>32470</v>
      </c>
      <c r="B5603" t="s">
        <v>34430</v>
      </c>
      <c r="C5603" t="s">
        <v>34614</v>
      </c>
      <c r="D5603" t="s">
        <v>32475</v>
      </c>
      <c r="E5603" t="s">
        <v>32917</v>
      </c>
      <c r="F5603" t="s">
        <v>32917</v>
      </c>
      <c r="G5603" t="s">
        <v>32917</v>
      </c>
      <c r="H5603" t="s">
        <v>868</v>
      </c>
      <c r="I5603" t="s">
        <v>869</v>
      </c>
      <c r="J5603" t="str">
        <f>"9320003"</f>
        <v>9320003</v>
      </c>
      <c r="K5603">
        <v>2842089830</v>
      </c>
      <c r="L5603">
        <v>2842089830</v>
      </c>
      <c r="M5603" t="s">
        <v>34615</v>
      </c>
      <c r="N5603" t="s">
        <v>32976</v>
      </c>
      <c r="O5603" t="s">
        <v>34616</v>
      </c>
      <c r="P5603">
        <v>72200</v>
      </c>
      <c r="Q5603" t="str">
        <f>"35.005288"</f>
        <v>35.005288</v>
      </c>
      <c r="R5603" t="str">
        <f>"25.734904"</f>
        <v>25.734904</v>
      </c>
      <c r="S5603" t="s">
        <v>26</v>
      </c>
    </row>
    <row r="5604" spans="1:19" x14ac:dyDescent="0.3">
      <c r="A5604" t="s">
        <v>32470</v>
      </c>
      <c r="B5604" t="s">
        <v>34430</v>
      </c>
      <c r="C5604" t="s">
        <v>32939</v>
      </c>
      <c r="D5604" t="s">
        <v>32475</v>
      </c>
      <c r="E5604" t="s">
        <v>32917</v>
      </c>
      <c r="F5604" t="s">
        <v>32917</v>
      </c>
      <c r="G5604" t="s">
        <v>32917</v>
      </c>
      <c r="H5604" t="s">
        <v>868</v>
      </c>
      <c r="I5604" t="s">
        <v>869</v>
      </c>
      <c r="J5604" t="str">
        <f>"9320005"</f>
        <v>9320005</v>
      </c>
      <c r="K5604">
        <v>2842022202</v>
      </c>
      <c r="L5604">
        <v>2842022202</v>
      </c>
      <c r="M5604" t="s">
        <v>34617</v>
      </c>
      <c r="N5604" t="s">
        <v>32976</v>
      </c>
      <c r="O5604" t="s">
        <v>34618</v>
      </c>
      <c r="P5604">
        <v>72200</v>
      </c>
      <c r="Q5604" t="str">
        <f>"35.010171"</f>
        <v>35.010171</v>
      </c>
      <c r="R5604" t="str">
        <f>"25.739666"</f>
        <v>25.739666</v>
      </c>
      <c r="S5604" t="s">
        <v>26</v>
      </c>
    </row>
    <row r="5605" spans="1:19" x14ac:dyDescent="0.3">
      <c r="A5605" t="s">
        <v>32470</v>
      </c>
      <c r="B5605" t="s">
        <v>34430</v>
      </c>
      <c r="C5605" t="s">
        <v>32978</v>
      </c>
      <c r="D5605" t="s">
        <v>32475</v>
      </c>
      <c r="E5605" t="s">
        <v>32917</v>
      </c>
      <c r="F5605" t="s">
        <v>32917</v>
      </c>
      <c r="G5605" t="s">
        <v>32917</v>
      </c>
      <c r="H5605" t="s">
        <v>868</v>
      </c>
      <c r="I5605" t="s">
        <v>869</v>
      </c>
      <c r="J5605" t="str">
        <f>"9320006"</f>
        <v>9320006</v>
      </c>
      <c r="K5605">
        <v>2842022359</v>
      </c>
      <c r="L5605">
        <v>2842022359</v>
      </c>
      <c r="M5605" t="s">
        <v>34619</v>
      </c>
      <c r="N5605" t="s">
        <v>32976</v>
      </c>
      <c r="O5605" t="s">
        <v>34620</v>
      </c>
      <c r="P5605">
        <v>72200</v>
      </c>
      <c r="Q5605" t="str">
        <f>"35.010499"</f>
        <v>35.010499</v>
      </c>
      <c r="R5605" t="str">
        <f>"25.746461"</f>
        <v>25.746461</v>
      </c>
      <c r="S5605" t="s">
        <v>26</v>
      </c>
    </row>
    <row r="5606" spans="1:19" x14ac:dyDescent="0.3">
      <c r="A5606" t="s">
        <v>32470</v>
      </c>
      <c r="B5606" t="s">
        <v>34430</v>
      </c>
      <c r="C5606" t="s">
        <v>34621</v>
      </c>
      <c r="D5606" t="s">
        <v>32475</v>
      </c>
      <c r="E5606" t="s">
        <v>32917</v>
      </c>
      <c r="F5606" t="s">
        <v>32917</v>
      </c>
      <c r="G5606" t="s">
        <v>32917</v>
      </c>
      <c r="H5606" t="s">
        <v>868</v>
      </c>
      <c r="I5606" t="s">
        <v>869</v>
      </c>
      <c r="J5606" t="str">
        <f>"9320163"</f>
        <v>9320163</v>
      </c>
      <c r="K5606">
        <v>2842024595</v>
      </c>
      <c r="L5606">
        <v>2842110798</v>
      </c>
      <c r="M5606" t="s">
        <v>34622</v>
      </c>
      <c r="N5606" t="s">
        <v>32976</v>
      </c>
      <c r="O5606" t="s">
        <v>34623</v>
      </c>
      <c r="P5606">
        <v>72200</v>
      </c>
      <c r="Q5606" t="str">
        <f>"35.015916"</f>
        <v>35.015916</v>
      </c>
      <c r="R5606" t="str">
        <f>"25.743050"</f>
        <v>25.743050</v>
      </c>
      <c r="S5606" t="s">
        <v>26</v>
      </c>
    </row>
    <row r="5607" spans="1:19" x14ac:dyDescent="0.3">
      <c r="A5607" t="s">
        <v>32470</v>
      </c>
      <c r="B5607" t="s">
        <v>34430</v>
      </c>
      <c r="C5607" t="s">
        <v>34624</v>
      </c>
      <c r="D5607" t="s">
        <v>32475</v>
      </c>
      <c r="E5607" t="s">
        <v>32917</v>
      </c>
      <c r="F5607" t="s">
        <v>32917</v>
      </c>
      <c r="G5607" t="s">
        <v>32917</v>
      </c>
      <c r="H5607" t="s">
        <v>868</v>
      </c>
      <c r="I5607" t="s">
        <v>869</v>
      </c>
      <c r="J5607" t="str">
        <f>"9320001"</f>
        <v>9320001</v>
      </c>
      <c r="K5607">
        <v>2842022505</v>
      </c>
      <c r="L5607">
        <v>2842022505</v>
      </c>
      <c r="M5607" t="s">
        <v>34625</v>
      </c>
      <c r="N5607" t="s">
        <v>34626</v>
      </c>
      <c r="O5607" t="s">
        <v>34627</v>
      </c>
      <c r="P5607">
        <v>72200</v>
      </c>
      <c r="Q5607" t="str">
        <f>"35.014777"</f>
        <v>35.014777</v>
      </c>
      <c r="R5607" t="str">
        <f>"25.688193"</f>
        <v>25.688193</v>
      </c>
      <c r="S5607" t="s">
        <v>26</v>
      </c>
    </row>
    <row r="5608" spans="1:19" x14ac:dyDescent="0.3">
      <c r="A5608" t="s">
        <v>32470</v>
      </c>
      <c r="B5608" t="s">
        <v>34430</v>
      </c>
      <c r="C5608" t="s">
        <v>34635</v>
      </c>
      <c r="D5608" t="s">
        <v>32475</v>
      </c>
      <c r="E5608" t="s">
        <v>32917</v>
      </c>
      <c r="F5608" t="s">
        <v>32917</v>
      </c>
      <c r="G5608" t="s">
        <v>14943</v>
      </c>
      <c r="H5608" t="s">
        <v>868</v>
      </c>
      <c r="I5608" t="s">
        <v>869</v>
      </c>
      <c r="J5608" t="str">
        <f>"9320009"</f>
        <v>9320009</v>
      </c>
      <c r="K5608">
        <v>2842061261</v>
      </c>
      <c r="L5608">
        <v>2842061189</v>
      </c>
      <c r="M5608" t="s">
        <v>34636</v>
      </c>
      <c r="N5608" t="s">
        <v>34637</v>
      </c>
      <c r="O5608" t="s">
        <v>34638</v>
      </c>
      <c r="P5608">
        <v>72200</v>
      </c>
      <c r="Q5608" t="str">
        <f>"35.017009"</f>
        <v>35.017009</v>
      </c>
      <c r="R5608" t="str">
        <f>"25.846307"</f>
        <v>25.846307</v>
      </c>
      <c r="S5608" t="s">
        <v>26</v>
      </c>
    </row>
    <row r="5609" spans="1:19" x14ac:dyDescent="0.3">
      <c r="A5609" t="s">
        <v>32470</v>
      </c>
      <c r="B5609" t="s">
        <v>34430</v>
      </c>
      <c r="C5609" t="s">
        <v>32985</v>
      </c>
      <c r="D5609" t="s">
        <v>32475</v>
      </c>
      <c r="E5609" t="s">
        <v>32917</v>
      </c>
      <c r="F5609" t="s">
        <v>32917</v>
      </c>
      <c r="G5609" t="s">
        <v>34587</v>
      </c>
      <c r="H5609" t="s">
        <v>868</v>
      </c>
      <c r="I5609" t="s">
        <v>869</v>
      </c>
      <c r="J5609" t="str">
        <f>"9320020"</f>
        <v>9320020</v>
      </c>
      <c r="K5609">
        <v>2842031284</v>
      </c>
      <c r="L5609">
        <v>2842031284</v>
      </c>
      <c r="M5609" t="s">
        <v>34639</v>
      </c>
      <c r="N5609" t="s">
        <v>34640</v>
      </c>
      <c r="O5609" t="s">
        <v>34641</v>
      </c>
      <c r="P5609">
        <v>72200</v>
      </c>
      <c r="Q5609" t="str">
        <f>"35.048974"</f>
        <v>35.048974</v>
      </c>
      <c r="R5609" t="str">
        <f>"25.791135"</f>
        <v>25.791135</v>
      </c>
      <c r="S5609" t="s">
        <v>26</v>
      </c>
    </row>
    <row r="5610" spans="1:19" x14ac:dyDescent="0.3">
      <c r="A5610" t="s">
        <v>32470</v>
      </c>
      <c r="B5610" t="s">
        <v>34430</v>
      </c>
      <c r="C5610" t="s">
        <v>34653</v>
      </c>
      <c r="D5610" t="s">
        <v>32475</v>
      </c>
      <c r="E5610" t="s">
        <v>32917</v>
      </c>
      <c r="F5610" t="s">
        <v>32917</v>
      </c>
      <c r="G5610" t="s">
        <v>34631</v>
      </c>
      <c r="H5610" t="s">
        <v>868</v>
      </c>
      <c r="I5610" t="s">
        <v>950</v>
      </c>
      <c r="J5610" t="str">
        <f>"9320018"</f>
        <v>9320018</v>
      </c>
      <c r="K5610">
        <v>2842092292</v>
      </c>
      <c r="L5610">
        <v>2842092292</v>
      </c>
      <c r="M5610" t="s">
        <v>34654</v>
      </c>
      <c r="N5610" t="s">
        <v>32976</v>
      </c>
      <c r="O5610" t="s">
        <v>34634</v>
      </c>
      <c r="P5610">
        <v>72200</v>
      </c>
      <c r="Q5610" t="str">
        <f>"35.075492"</f>
        <v>35.075492</v>
      </c>
      <c r="R5610" t="str">
        <f>"25.656162"</f>
        <v>25.656162</v>
      </c>
      <c r="S5610" t="s">
        <v>26</v>
      </c>
    </row>
    <row r="5611" spans="1:19" x14ac:dyDescent="0.3">
      <c r="A5611" t="s">
        <v>32470</v>
      </c>
      <c r="B5611" t="s">
        <v>34430</v>
      </c>
      <c r="C5611" t="s">
        <v>34655</v>
      </c>
      <c r="D5611" t="s">
        <v>32475</v>
      </c>
      <c r="E5611" t="s">
        <v>32917</v>
      </c>
      <c r="F5611" t="s">
        <v>32917</v>
      </c>
      <c r="G5611" t="s">
        <v>32917</v>
      </c>
      <c r="H5611" t="s">
        <v>868</v>
      </c>
      <c r="I5611" t="s">
        <v>869</v>
      </c>
      <c r="J5611" t="str">
        <f>"9320021"</f>
        <v>9320021</v>
      </c>
      <c r="K5611">
        <v>2842022557</v>
      </c>
      <c r="L5611">
        <v>2842110802</v>
      </c>
      <c r="M5611" t="s">
        <v>34656</v>
      </c>
      <c r="N5611" t="s">
        <v>34657</v>
      </c>
      <c r="O5611" t="s">
        <v>34657</v>
      </c>
      <c r="P5611">
        <v>72200</v>
      </c>
      <c r="Q5611" t="str">
        <f>"35.033321"</f>
        <v>35.033321</v>
      </c>
      <c r="R5611" t="str">
        <f>"25.753060"</f>
        <v>25.753060</v>
      </c>
      <c r="S5611" t="s">
        <v>26</v>
      </c>
    </row>
    <row r="5612" spans="1:19" x14ac:dyDescent="0.3">
      <c r="A5612" t="s">
        <v>32470</v>
      </c>
      <c r="B5612" t="s">
        <v>34430</v>
      </c>
      <c r="C5612" t="s">
        <v>34664</v>
      </c>
      <c r="D5612" t="s">
        <v>32475</v>
      </c>
      <c r="E5612" t="s">
        <v>1969</v>
      </c>
      <c r="F5612" t="s">
        <v>1969</v>
      </c>
      <c r="G5612" t="s">
        <v>34576</v>
      </c>
      <c r="H5612" t="s">
        <v>868</v>
      </c>
      <c r="I5612" t="s">
        <v>869</v>
      </c>
      <c r="J5612" t="str">
        <f>"9320071"</f>
        <v>9320071</v>
      </c>
      <c r="K5612">
        <v>2841041234</v>
      </c>
      <c r="L5612">
        <v>2841042205</v>
      </c>
      <c r="M5612" t="s">
        <v>34665</v>
      </c>
      <c r="N5612" t="s">
        <v>34579</v>
      </c>
      <c r="O5612" t="s">
        <v>34666</v>
      </c>
      <c r="P5612">
        <v>72053</v>
      </c>
      <c r="Q5612" t="str">
        <f>"35.319997"</f>
        <v>35.319997</v>
      </c>
      <c r="R5612" t="str">
        <f>"25.698342"</f>
        <v>25.698342</v>
      </c>
      <c r="S5612" t="s">
        <v>26</v>
      </c>
    </row>
    <row r="5613" spans="1:19" x14ac:dyDescent="0.3">
      <c r="A5613" t="s">
        <v>32470</v>
      </c>
      <c r="B5613" t="s">
        <v>34430</v>
      </c>
      <c r="C5613" t="s">
        <v>34667</v>
      </c>
      <c r="D5613" t="s">
        <v>32475</v>
      </c>
      <c r="E5613" t="s">
        <v>1969</v>
      </c>
      <c r="F5613" t="s">
        <v>1969</v>
      </c>
      <c r="G5613" t="s">
        <v>34481</v>
      </c>
      <c r="H5613" t="s">
        <v>868</v>
      </c>
      <c r="I5613" t="s">
        <v>869</v>
      </c>
      <c r="J5613" t="str">
        <f>"9320034"</f>
        <v>9320034</v>
      </c>
      <c r="K5613">
        <v>2841061401</v>
      </c>
      <c r="L5613">
        <v>2841061401</v>
      </c>
      <c r="M5613" t="s">
        <v>34668</v>
      </c>
      <c r="N5613" t="s">
        <v>14960</v>
      </c>
      <c r="O5613" t="s">
        <v>34484</v>
      </c>
      <c r="P5613">
        <v>72100</v>
      </c>
      <c r="Q5613" t="str">
        <f>"35.115587"</f>
        <v>35.115587</v>
      </c>
      <c r="R5613" t="str">
        <f>"25.721862"</f>
        <v>25.721862</v>
      </c>
      <c r="S5613" t="s">
        <v>26</v>
      </c>
    </row>
    <row r="5614" spans="1:19" x14ac:dyDescent="0.3">
      <c r="A5614" t="s">
        <v>32470</v>
      </c>
      <c r="B5614" t="s">
        <v>34430</v>
      </c>
      <c r="C5614" t="s">
        <v>34669</v>
      </c>
      <c r="D5614" t="s">
        <v>32475</v>
      </c>
      <c r="E5614" t="s">
        <v>1969</v>
      </c>
      <c r="F5614" t="s">
        <v>1969</v>
      </c>
      <c r="G5614" t="s">
        <v>1969</v>
      </c>
      <c r="H5614" t="s">
        <v>868</v>
      </c>
      <c r="I5614" t="s">
        <v>869</v>
      </c>
      <c r="J5614" t="str">
        <f>"9521420"</f>
        <v>9521420</v>
      </c>
      <c r="K5614">
        <v>2841021022</v>
      </c>
      <c r="L5614">
        <v>2841021022</v>
      </c>
      <c r="M5614" t="s">
        <v>34670</v>
      </c>
      <c r="N5614" t="s">
        <v>14960</v>
      </c>
      <c r="O5614" t="s">
        <v>34671</v>
      </c>
      <c r="P5614">
        <v>72100</v>
      </c>
      <c r="Q5614" t="str">
        <f>"35.187813"</f>
        <v>35.187813</v>
      </c>
      <c r="R5614" t="str">
        <f>"25.706448"</f>
        <v>25.706448</v>
      </c>
      <c r="S5614" t="s">
        <v>26</v>
      </c>
    </row>
    <row r="5615" spans="1:19" x14ac:dyDescent="0.3">
      <c r="A5615" t="s">
        <v>32470</v>
      </c>
      <c r="B5615" t="s">
        <v>34430</v>
      </c>
      <c r="C5615" t="s">
        <v>32934</v>
      </c>
      <c r="D5615" t="s">
        <v>32475</v>
      </c>
      <c r="E5615" t="s">
        <v>1969</v>
      </c>
      <c r="F5615" t="s">
        <v>11666</v>
      </c>
      <c r="G5615" t="s">
        <v>25890</v>
      </c>
      <c r="H5615" t="s">
        <v>868</v>
      </c>
      <c r="I5615" t="s">
        <v>869</v>
      </c>
      <c r="J5615" t="str">
        <f>"9320060"</f>
        <v>9320060</v>
      </c>
      <c r="K5615">
        <v>2841032319</v>
      </c>
      <c r="L5615">
        <v>2841032319</v>
      </c>
      <c r="M5615" t="s">
        <v>34675</v>
      </c>
      <c r="N5615" t="s">
        <v>613</v>
      </c>
      <c r="O5615" t="s">
        <v>34676</v>
      </c>
      <c r="P5615">
        <v>72400</v>
      </c>
      <c r="Q5615" t="str">
        <f>"35.257393"</f>
        <v>35.257393</v>
      </c>
      <c r="R5615" t="str">
        <f>"25.609049"</f>
        <v>25.609049</v>
      </c>
      <c r="S5615" t="s">
        <v>26</v>
      </c>
    </row>
    <row r="5616" spans="1:19" x14ac:dyDescent="0.3">
      <c r="A5616" t="s">
        <v>32470</v>
      </c>
      <c r="B5616" t="s">
        <v>34430</v>
      </c>
      <c r="C5616" t="s">
        <v>33020</v>
      </c>
      <c r="D5616" t="s">
        <v>32475</v>
      </c>
      <c r="E5616" t="s">
        <v>1969</v>
      </c>
      <c r="F5616" t="s">
        <v>11666</v>
      </c>
      <c r="G5616" t="s">
        <v>25890</v>
      </c>
      <c r="H5616" t="s">
        <v>868</v>
      </c>
      <c r="I5616" t="s">
        <v>869</v>
      </c>
      <c r="J5616" t="str">
        <f>"9320063"</f>
        <v>9320063</v>
      </c>
      <c r="K5616">
        <v>2841032369</v>
      </c>
      <c r="L5616">
        <v>2841031369</v>
      </c>
      <c r="M5616" t="s">
        <v>34677</v>
      </c>
      <c r="N5616" t="s">
        <v>613</v>
      </c>
      <c r="O5616" t="s">
        <v>34678</v>
      </c>
      <c r="P5616">
        <v>72400</v>
      </c>
      <c r="Q5616" t="str">
        <f>"35.255633"</f>
        <v>35.255633</v>
      </c>
      <c r="R5616" t="str">
        <f>"25.603375"</f>
        <v>25.603375</v>
      </c>
      <c r="S5616" t="s">
        <v>26</v>
      </c>
    </row>
    <row r="5617" spans="1:19" x14ac:dyDescent="0.3">
      <c r="A5617" t="s">
        <v>32470</v>
      </c>
      <c r="B5617" t="s">
        <v>34430</v>
      </c>
      <c r="C5617" t="s">
        <v>34684</v>
      </c>
      <c r="D5617" t="s">
        <v>32475</v>
      </c>
      <c r="E5617" t="s">
        <v>32917</v>
      </c>
      <c r="F5617" t="s">
        <v>32917</v>
      </c>
      <c r="G5617" t="s">
        <v>32917</v>
      </c>
      <c r="H5617" t="s">
        <v>868</v>
      </c>
      <c r="I5617" t="s">
        <v>869</v>
      </c>
      <c r="J5617" t="str">
        <f>"9521671"</f>
        <v>9521671</v>
      </c>
      <c r="N5617" t="s">
        <v>32976</v>
      </c>
      <c r="O5617" t="s">
        <v>32976</v>
      </c>
      <c r="P5617">
        <v>0</v>
      </c>
      <c r="Q5617" t="str">
        <f>""</f>
        <v/>
      </c>
      <c r="R5617" t="str">
        <f>""</f>
        <v/>
      </c>
      <c r="S5617" t="s">
        <v>26</v>
      </c>
    </row>
    <row r="5618" spans="1:19" x14ac:dyDescent="0.3">
      <c r="A5618" t="s">
        <v>32470</v>
      </c>
      <c r="B5618" t="s">
        <v>34691</v>
      </c>
      <c r="C5618" t="s">
        <v>33097</v>
      </c>
      <c r="D5618" t="s">
        <v>32480</v>
      </c>
      <c r="E5618" t="s">
        <v>32481</v>
      </c>
      <c r="F5618" t="s">
        <v>32481</v>
      </c>
      <c r="G5618" t="s">
        <v>32481</v>
      </c>
      <c r="H5618" t="s">
        <v>868</v>
      </c>
      <c r="I5618" t="s">
        <v>869</v>
      </c>
      <c r="J5618" t="str">
        <f>"9410155"</f>
        <v>9410155</v>
      </c>
      <c r="K5618">
        <v>2831028697</v>
      </c>
      <c r="L5618">
        <v>2831051154</v>
      </c>
      <c r="M5618" t="s">
        <v>34755</v>
      </c>
      <c r="N5618" t="s">
        <v>32484</v>
      </c>
      <c r="O5618" t="s">
        <v>34756</v>
      </c>
      <c r="P5618">
        <v>74100</v>
      </c>
      <c r="Q5618" t="str">
        <f>"35.364305"</f>
        <v>35.364305</v>
      </c>
      <c r="R5618" t="str">
        <f>"24.466405"</f>
        <v>24.466405</v>
      </c>
      <c r="S5618" t="s">
        <v>26</v>
      </c>
    </row>
    <row r="5619" spans="1:19" x14ac:dyDescent="0.3">
      <c r="A5619" t="s">
        <v>32470</v>
      </c>
      <c r="B5619" t="s">
        <v>34691</v>
      </c>
      <c r="C5619" t="s">
        <v>34758</v>
      </c>
      <c r="D5619" t="s">
        <v>32480</v>
      </c>
      <c r="E5619" t="s">
        <v>32481</v>
      </c>
      <c r="F5619" t="s">
        <v>32481</v>
      </c>
      <c r="G5619" t="s">
        <v>34736</v>
      </c>
      <c r="H5619" t="s">
        <v>868</v>
      </c>
      <c r="I5619" t="s">
        <v>869</v>
      </c>
      <c r="J5619" t="str">
        <f>"9410082"</f>
        <v>9410082</v>
      </c>
      <c r="K5619">
        <v>2831075013</v>
      </c>
      <c r="L5619">
        <v>2831075190</v>
      </c>
      <c r="M5619" t="s">
        <v>34759</v>
      </c>
      <c r="N5619" t="s">
        <v>34739</v>
      </c>
      <c r="O5619" t="s">
        <v>34739</v>
      </c>
      <c r="P5619">
        <v>74100</v>
      </c>
      <c r="Q5619" t="str">
        <f>"35.340707"</f>
        <v>35.340707</v>
      </c>
      <c r="R5619" t="str">
        <f>"24.504344"</f>
        <v>24.504344</v>
      </c>
      <c r="S5619" t="s">
        <v>26</v>
      </c>
    </row>
    <row r="5620" spans="1:19" x14ac:dyDescent="0.3">
      <c r="A5620" t="s">
        <v>32470</v>
      </c>
      <c r="B5620" t="s">
        <v>34691</v>
      </c>
      <c r="C5620" t="s">
        <v>34760</v>
      </c>
      <c r="D5620" t="s">
        <v>32480</v>
      </c>
      <c r="E5620" t="s">
        <v>995</v>
      </c>
      <c r="F5620" t="s">
        <v>33045</v>
      </c>
      <c r="G5620" t="s">
        <v>34711</v>
      </c>
      <c r="H5620" t="s">
        <v>868</v>
      </c>
      <c r="I5620" t="s">
        <v>950</v>
      </c>
      <c r="J5620" t="str">
        <f>"9410041"</f>
        <v>9410041</v>
      </c>
      <c r="K5620">
        <v>2834092258</v>
      </c>
      <c r="L5620">
        <v>2834092258</v>
      </c>
      <c r="M5620" t="s">
        <v>34761</v>
      </c>
      <c r="N5620" t="s">
        <v>34714</v>
      </c>
      <c r="O5620" t="s">
        <v>34714</v>
      </c>
      <c r="P5620">
        <v>74052</v>
      </c>
      <c r="Q5620" t="str">
        <f>"35.339467"</f>
        <v>35.339467</v>
      </c>
      <c r="R5620" t="str">
        <f>"24.687046"</f>
        <v>24.687046</v>
      </c>
      <c r="S5620" t="s">
        <v>26</v>
      </c>
    </row>
    <row r="5621" spans="1:19" x14ac:dyDescent="0.3">
      <c r="A5621" t="s">
        <v>32470</v>
      </c>
      <c r="B5621" t="s">
        <v>34691</v>
      </c>
      <c r="C5621" t="s">
        <v>33114</v>
      </c>
      <c r="D5621" t="s">
        <v>32480</v>
      </c>
      <c r="E5621" t="s">
        <v>33080</v>
      </c>
      <c r="F5621" t="s">
        <v>33108</v>
      </c>
      <c r="G5621" t="s">
        <v>33109</v>
      </c>
      <c r="H5621" t="s">
        <v>868</v>
      </c>
      <c r="I5621" t="s">
        <v>869</v>
      </c>
      <c r="J5621" t="str">
        <f>"9410127"</f>
        <v>9410127</v>
      </c>
      <c r="K5621">
        <v>2833022347</v>
      </c>
      <c r="L5621">
        <v>2833022686</v>
      </c>
      <c r="M5621" t="s">
        <v>34762</v>
      </c>
      <c r="N5621" t="s">
        <v>34763</v>
      </c>
      <c r="O5621" t="s">
        <v>34763</v>
      </c>
      <c r="P5621">
        <v>74061</v>
      </c>
      <c r="Q5621" t="str">
        <f>"35.230748"</f>
        <v>35.230748</v>
      </c>
      <c r="R5621" t="str">
        <f>"24.619253"</f>
        <v>24.619253</v>
      </c>
      <c r="S5621" t="s">
        <v>26</v>
      </c>
    </row>
    <row r="5622" spans="1:19" x14ac:dyDescent="0.3">
      <c r="A5622" t="s">
        <v>32470</v>
      </c>
      <c r="B5622" t="s">
        <v>34691</v>
      </c>
      <c r="C5622" t="s">
        <v>34765</v>
      </c>
      <c r="D5622" t="s">
        <v>32480</v>
      </c>
      <c r="E5622" t="s">
        <v>995</v>
      </c>
      <c r="F5622" t="s">
        <v>33045</v>
      </c>
      <c r="G5622" t="s">
        <v>34764</v>
      </c>
      <c r="H5622" t="s">
        <v>868</v>
      </c>
      <c r="I5622" t="s">
        <v>950</v>
      </c>
      <c r="J5622" t="str">
        <f>"9410013"</f>
        <v>9410013</v>
      </c>
      <c r="K5622">
        <v>2834022663</v>
      </c>
      <c r="L5622">
        <v>2834022663</v>
      </c>
      <c r="M5622" t="s">
        <v>34766</v>
      </c>
      <c r="N5622" t="s">
        <v>34767</v>
      </c>
      <c r="O5622" t="s">
        <v>34767</v>
      </c>
      <c r="P5622">
        <v>74052</v>
      </c>
      <c r="Q5622" t="str">
        <f>"35.359777"</f>
        <v>35.359777</v>
      </c>
      <c r="R5622" t="str">
        <f>"24.669279"</f>
        <v>24.669279</v>
      </c>
      <c r="S5622" t="s">
        <v>26</v>
      </c>
    </row>
    <row r="5623" spans="1:19" x14ac:dyDescent="0.3">
      <c r="A5623" t="s">
        <v>32470</v>
      </c>
      <c r="B5623" t="s">
        <v>34691</v>
      </c>
      <c r="C5623" t="s">
        <v>33087</v>
      </c>
      <c r="D5623" t="s">
        <v>32480</v>
      </c>
      <c r="E5623" t="s">
        <v>33080</v>
      </c>
      <c r="F5623" t="s">
        <v>33081</v>
      </c>
      <c r="G5623" t="s">
        <v>33082</v>
      </c>
      <c r="H5623" t="s">
        <v>868</v>
      </c>
      <c r="I5623" t="s">
        <v>950</v>
      </c>
      <c r="J5623" t="str">
        <f>"9410145"</f>
        <v>9410145</v>
      </c>
      <c r="K5623">
        <v>2833041268</v>
      </c>
      <c r="M5623" t="s">
        <v>34768</v>
      </c>
      <c r="N5623" t="s">
        <v>34769</v>
      </c>
      <c r="O5623" t="s">
        <v>34769</v>
      </c>
      <c r="P5623">
        <v>74061</v>
      </c>
      <c r="Q5623" t="str">
        <f>"35.213953"</f>
        <v>35.213953</v>
      </c>
      <c r="R5623" t="str">
        <f>"24.711670"</f>
        <v>24.711670</v>
      </c>
      <c r="S5623" t="s">
        <v>26</v>
      </c>
    </row>
    <row r="5624" spans="1:19" x14ac:dyDescent="0.3">
      <c r="A5624" t="s">
        <v>32470</v>
      </c>
      <c r="B5624" t="s">
        <v>34691</v>
      </c>
      <c r="C5624" t="s">
        <v>34770</v>
      </c>
      <c r="D5624" t="s">
        <v>32480</v>
      </c>
      <c r="E5624" t="s">
        <v>995</v>
      </c>
      <c r="F5624" t="s">
        <v>33146</v>
      </c>
      <c r="G5624" t="s">
        <v>34701</v>
      </c>
      <c r="H5624" t="s">
        <v>868</v>
      </c>
      <c r="I5624" t="s">
        <v>869</v>
      </c>
      <c r="J5624" t="str">
        <f>"9410017"</f>
        <v>9410017</v>
      </c>
      <c r="K5624">
        <v>2834041452</v>
      </c>
      <c r="L5624">
        <v>2834041600</v>
      </c>
      <c r="M5624" t="s">
        <v>34771</v>
      </c>
      <c r="N5624" t="s">
        <v>34704</v>
      </c>
      <c r="O5624" t="s">
        <v>34704</v>
      </c>
      <c r="P5624">
        <v>74052</v>
      </c>
      <c r="Q5624" t="str">
        <f>"35.354412"</f>
        <v>35.354412</v>
      </c>
      <c r="R5624" t="str">
        <f>"24.818503"</f>
        <v>24.818503</v>
      </c>
      <c r="S5624" t="s">
        <v>26</v>
      </c>
    </row>
    <row r="5625" spans="1:19" x14ac:dyDescent="0.3">
      <c r="A5625" t="s">
        <v>32470</v>
      </c>
      <c r="B5625" t="s">
        <v>34691</v>
      </c>
      <c r="C5625" t="s">
        <v>33058</v>
      </c>
      <c r="D5625" t="s">
        <v>32480</v>
      </c>
      <c r="E5625" t="s">
        <v>32481</v>
      </c>
      <c r="F5625" t="s">
        <v>32481</v>
      </c>
      <c r="G5625" t="s">
        <v>32481</v>
      </c>
      <c r="H5625" t="s">
        <v>868</v>
      </c>
      <c r="I5625" t="s">
        <v>869</v>
      </c>
      <c r="J5625" t="str">
        <f>"9410061"</f>
        <v>9410061</v>
      </c>
      <c r="K5625">
        <v>2831024378</v>
      </c>
      <c r="L5625">
        <v>2831024378</v>
      </c>
      <c r="M5625" t="s">
        <v>34772</v>
      </c>
      <c r="N5625" t="s">
        <v>32484</v>
      </c>
      <c r="O5625" t="s">
        <v>34773</v>
      </c>
      <c r="P5625">
        <v>74100</v>
      </c>
      <c r="Q5625" t="str">
        <f>"35.365392"</f>
        <v>35.365392</v>
      </c>
      <c r="R5625" t="str">
        <f>"24.511296"</f>
        <v>24.511296</v>
      </c>
      <c r="S5625" t="s">
        <v>26</v>
      </c>
    </row>
    <row r="5626" spans="1:19" x14ac:dyDescent="0.3">
      <c r="A5626" t="s">
        <v>32470</v>
      </c>
      <c r="B5626" t="s">
        <v>34691</v>
      </c>
      <c r="C5626" t="s">
        <v>34774</v>
      </c>
      <c r="D5626" t="s">
        <v>32480</v>
      </c>
      <c r="E5626" t="s">
        <v>995</v>
      </c>
      <c r="F5626" t="s">
        <v>33045</v>
      </c>
      <c r="G5626" t="s">
        <v>34692</v>
      </c>
      <c r="H5626" t="s">
        <v>868</v>
      </c>
      <c r="I5626" t="s">
        <v>869</v>
      </c>
      <c r="J5626" t="str">
        <f>"9410006"</f>
        <v>9410006</v>
      </c>
      <c r="K5626">
        <v>2834022320</v>
      </c>
      <c r="L5626">
        <v>2834022320</v>
      </c>
      <c r="M5626" t="s">
        <v>34775</v>
      </c>
      <c r="N5626" t="s">
        <v>34695</v>
      </c>
      <c r="O5626" t="s">
        <v>34695</v>
      </c>
      <c r="P5626">
        <v>74052</v>
      </c>
      <c r="Q5626" t="str">
        <f>"35.382203"</f>
        <v>35.382203</v>
      </c>
      <c r="R5626" t="str">
        <f>"24.678884"</f>
        <v>24.678884</v>
      </c>
      <c r="S5626" t="s">
        <v>26</v>
      </c>
    </row>
    <row r="5627" spans="1:19" x14ac:dyDescent="0.3">
      <c r="A5627" t="s">
        <v>32470</v>
      </c>
      <c r="B5627" t="s">
        <v>34691</v>
      </c>
      <c r="C5627" t="s">
        <v>33075</v>
      </c>
      <c r="D5627" t="s">
        <v>32480</v>
      </c>
      <c r="E5627" t="s">
        <v>32481</v>
      </c>
      <c r="F5627" t="s">
        <v>32481</v>
      </c>
      <c r="G5627" t="s">
        <v>32481</v>
      </c>
      <c r="H5627" t="s">
        <v>868</v>
      </c>
      <c r="I5627" t="s">
        <v>869</v>
      </c>
      <c r="J5627" t="str">
        <f>"9410067"</f>
        <v>9410067</v>
      </c>
      <c r="K5627">
        <v>2831022836</v>
      </c>
      <c r="L5627">
        <v>2831022836</v>
      </c>
      <c r="M5627" t="s">
        <v>34776</v>
      </c>
      <c r="N5627" t="s">
        <v>32484</v>
      </c>
      <c r="O5627" t="s">
        <v>34777</v>
      </c>
      <c r="P5627">
        <v>74100</v>
      </c>
      <c r="Q5627" t="str">
        <f>"35.365925"</f>
        <v>35.365925</v>
      </c>
      <c r="R5627" t="str">
        <f>"24.477052"</f>
        <v>24.477052</v>
      </c>
      <c r="S5627" t="s">
        <v>26</v>
      </c>
    </row>
    <row r="5628" spans="1:19" x14ac:dyDescent="0.3">
      <c r="A5628" t="s">
        <v>32470</v>
      </c>
      <c r="B5628" t="s">
        <v>34691</v>
      </c>
      <c r="C5628" t="s">
        <v>34782</v>
      </c>
      <c r="D5628" t="s">
        <v>32480</v>
      </c>
      <c r="E5628" t="s">
        <v>995</v>
      </c>
      <c r="F5628" t="s">
        <v>33045</v>
      </c>
      <c r="G5628" t="s">
        <v>32294</v>
      </c>
      <c r="H5628" t="s">
        <v>868</v>
      </c>
      <c r="I5628" t="s">
        <v>950</v>
      </c>
      <c r="J5628" t="str">
        <f>"9410009"</f>
        <v>9410009</v>
      </c>
      <c r="K5628">
        <v>2834091586</v>
      </c>
      <c r="M5628" t="s">
        <v>34783</v>
      </c>
      <c r="N5628" t="s">
        <v>34784</v>
      </c>
      <c r="O5628" t="s">
        <v>34784</v>
      </c>
      <c r="P5628">
        <v>74054</v>
      </c>
      <c r="Q5628" t="str">
        <f>"35.324821"</f>
        <v>35.324821</v>
      </c>
      <c r="R5628" t="str">
        <f>"24.746151"</f>
        <v>24.746151</v>
      </c>
      <c r="S5628" t="s">
        <v>26</v>
      </c>
    </row>
    <row r="5629" spans="1:19" x14ac:dyDescent="0.3">
      <c r="A5629" t="s">
        <v>32470</v>
      </c>
      <c r="B5629" t="s">
        <v>34691</v>
      </c>
      <c r="C5629" t="s">
        <v>34785</v>
      </c>
      <c r="D5629" t="s">
        <v>32480</v>
      </c>
      <c r="E5629" t="s">
        <v>995</v>
      </c>
      <c r="F5629" t="s">
        <v>33045</v>
      </c>
      <c r="G5629" t="s">
        <v>6203</v>
      </c>
      <c r="H5629" t="s">
        <v>868</v>
      </c>
      <c r="I5629" t="s">
        <v>869</v>
      </c>
      <c r="J5629" t="str">
        <f>"9410242"</f>
        <v>9410242</v>
      </c>
      <c r="K5629">
        <v>2834023145</v>
      </c>
      <c r="L5629">
        <v>2834020017</v>
      </c>
      <c r="M5629" t="s">
        <v>34786</v>
      </c>
      <c r="N5629" t="s">
        <v>12290</v>
      </c>
      <c r="O5629" t="s">
        <v>1291</v>
      </c>
      <c r="P5629">
        <v>74052</v>
      </c>
      <c r="Q5629" t="str">
        <f>"35.371922"</f>
        <v>35.371922</v>
      </c>
      <c r="R5629" t="str">
        <f>"24.699364"</f>
        <v>24.699364</v>
      </c>
      <c r="S5629" t="s">
        <v>26</v>
      </c>
    </row>
    <row r="5630" spans="1:19" x14ac:dyDescent="0.3">
      <c r="A5630" t="s">
        <v>32470</v>
      </c>
      <c r="B5630" t="s">
        <v>34691</v>
      </c>
      <c r="C5630" t="s">
        <v>34790</v>
      </c>
      <c r="D5630" t="s">
        <v>32480</v>
      </c>
      <c r="E5630" t="s">
        <v>32481</v>
      </c>
      <c r="F5630" t="s">
        <v>34744</v>
      </c>
      <c r="G5630" t="s">
        <v>34789</v>
      </c>
      <c r="H5630" t="s">
        <v>868</v>
      </c>
      <c r="I5630" t="s">
        <v>869</v>
      </c>
      <c r="J5630" t="str">
        <f>"9410226"</f>
        <v>9410226</v>
      </c>
      <c r="K5630">
        <v>2831071088</v>
      </c>
      <c r="L5630">
        <v>2831071088</v>
      </c>
      <c r="M5630" t="s">
        <v>34791</v>
      </c>
      <c r="N5630" t="s">
        <v>34792</v>
      </c>
      <c r="O5630" t="s">
        <v>34792</v>
      </c>
      <c r="P5630">
        <v>74100</v>
      </c>
      <c r="Q5630" t="str">
        <f>"35.384291"</f>
        <v>35.384291</v>
      </c>
      <c r="R5630" t="str">
        <f>"24.599271"</f>
        <v>24.599271</v>
      </c>
      <c r="S5630" t="s">
        <v>26</v>
      </c>
    </row>
    <row r="5631" spans="1:19" x14ac:dyDescent="0.3">
      <c r="A5631" t="s">
        <v>32470</v>
      </c>
      <c r="B5631" t="s">
        <v>34691</v>
      </c>
      <c r="C5631" t="s">
        <v>34793</v>
      </c>
      <c r="D5631" t="s">
        <v>32480</v>
      </c>
      <c r="E5631" t="s">
        <v>32481</v>
      </c>
      <c r="F5631" t="s">
        <v>32481</v>
      </c>
      <c r="G5631" t="s">
        <v>32481</v>
      </c>
      <c r="H5631" t="s">
        <v>868</v>
      </c>
      <c r="I5631" t="s">
        <v>869</v>
      </c>
      <c r="J5631" t="str">
        <f>"9410152"</f>
        <v>9410152</v>
      </c>
      <c r="K5631">
        <v>2831029088</v>
      </c>
      <c r="L5631">
        <v>2831029088</v>
      </c>
      <c r="M5631" t="s">
        <v>34794</v>
      </c>
      <c r="N5631" t="s">
        <v>32484</v>
      </c>
      <c r="O5631" t="s">
        <v>34795</v>
      </c>
      <c r="P5631">
        <v>74100</v>
      </c>
      <c r="Q5631" t="str">
        <f>"35.368368"</f>
        <v>35.368368</v>
      </c>
      <c r="R5631" t="str">
        <f>"24.470839"</f>
        <v>24.470839</v>
      </c>
      <c r="S5631" t="s">
        <v>26</v>
      </c>
    </row>
    <row r="5632" spans="1:19" x14ac:dyDescent="0.3">
      <c r="A5632" t="s">
        <v>32470</v>
      </c>
      <c r="B5632" t="s">
        <v>34691</v>
      </c>
      <c r="C5632" t="s">
        <v>34796</v>
      </c>
      <c r="D5632" t="s">
        <v>32480</v>
      </c>
      <c r="E5632" t="s">
        <v>32481</v>
      </c>
      <c r="F5632" t="s">
        <v>32481</v>
      </c>
      <c r="G5632" t="s">
        <v>32481</v>
      </c>
      <c r="H5632" t="s">
        <v>868</v>
      </c>
      <c r="I5632" t="s">
        <v>869</v>
      </c>
      <c r="J5632" t="str">
        <f>"9410241"</f>
        <v>9410241</v>
      </c>
      <c r="K5632">
        <v>2831022616</v>
      </c>
      <c r="L5632">
        <v>2831022616</v>
      </c>
      <c r="M5632" t="s">
        <v>34797</v>
      </c>
      <c r="N5632" t="s">
        <v>32484</v>
      </c>
      <c r="O5632" t="s">
        <v>34798</v>
      </c>
      <c r="P5632">
        <v>74100</v>
      </c>
      <c r="Q5632" t="str">
        <f>"35.361717"</f>
        <v>35.361717</v>
      </c>
      <c r="R5632" t="str">
        <f>"24.486198"</f>
        <v>24.486198</v>
      </c>
      <c r="S5632" t="s">
        <v>26</v>
      </c>
    </row>
    <row r="5633" spans="1:19" x14ac:dyDescent="0.3">
      <c r="A5633" t="s">
        <v>32470</v>
      </c>
      <c r="B5633" t="s">
        <v>34691</v>
      </c>
      <c r="C5633" t="s">
        <v>33064</v>
      </c>
      <c r="D5633" t="s">
        <v>32480</v>
      </c>
      <c r="E5633" t="s">
        <v>33059</v>
      </c>
      <c r="F5633" t="s">
        <v>33059</v>
      </c>
      <c r="G5633" t="s">
        <v>33059</v>
      </c>
      <c r="H5633" t="s">
        <v>868</v>
      </c>
      <c r="I5633" t="s">
        <v>869</v>
      </c>
      <c r="J5633" t="str">
        <f>"9410003"</f>
        <v>9410003</v>
      </c>
      <c r="K5633">
        <v>6976134192</v>
      </c>
      <c r="L5633">
        <v>2834031082</v>
      </c>
      <c r="M5633" t="s">
        <v>34799</v>
      </c>
      <c r="N5633" t="s">
        <v>34800</v>
      </c>
      <c r="O5633" t="s">
        <v>34800</v>
      </c>
      <c r="P5633">
        <v>74051</v>
      </c>
      <c r="Q5633" t="str">
        <f>"35.291843"</f>
        <v>35.291843</v>
      </c>
      <c r="R5633" t="str">
        <f>"24.881502"</f>
        <v>24.881502</v>
      </c>
      <c r="S5633" t="s">
        <v>57</v>
      </c>
    </row>
    <row r="5634" spans="1:19" x14ac:dyDescent="0.3">
      <c r="A5634" t="s">
        <v>32470</v>
      </c>
      <c r="B5634" t="s">
        <v>34691</v>
      </c>
      <c r="C5634" t="s">
        <v>34801</v>
      </c>
      <c r="D5634" t="s">
        <v>32480</v>
      </c>
      <c r="E5634" t="s">
        <v>995</v>
      </c>
      <c r="F5634" t="s">
        <v>33146</v>
      </c>
      <c r="G5634" t="s">
        <v>26922</v>
      </c>
      <c r="H5634" t="s">
        <v>868</v>
      </c>
      <c r="I5634" t="s">
        <v>950</v>
      </c>
      <c r="J5634" t="str">
        <f>"9410015"</f>
        <v>9410015</v>
      </c>
      <c r="K5634">
        <v>2834061336</v>
      </c>
      <c r="L5634">
        <v>2834061903</v>
      </c>
      <c r="M5634" t="s">
        <v>34802</v>
      </c>
      <c r="N5634" t="s">
        <v>26925</v>
      </c>
      <c r="O5634" t="s">
        <v>26925</v>
      </c>
      <c r="P5634">
        <v>74051</v>
      </c>
      <c r="Q5634" t="str">
        <f>"35.308912"</f>
        <v>35.308912</v>
      </c>
      <c r="R5634" t="str">
        <f>"24.841216"</f>
        <v>24.841216</v>
      </c>
      <c r="S5634" t="s">
        <v>26</v>
      </c>
    </row>
    <row r="5635" spans="1:19" x14ac:dyDescent="0.3">
      <c r="A5635" t="s">
        <v>32470</v>
      </c>
      <c r="B5635" t="s">
        <v>34691</v>
      </c>
      <c r="C5635" t="s">
        <v>34803</v>
      </c>
      <c r="D5635" t="s">
        <v>32480</v>
      </c>
      <c r="E5635" t="s">
        <v>33080</v>
      </c>
      <c r="F5635" t="s">
        <v>33081</v>
      </c>
      <c r="G5635" t="s">
        <v>13386</v>
      </c>
      <c r="H5635" t="s">
        <v>868</v>
      </c>
      <c r="I5635" t="s">
        <v>950</v>
      </c>
      <c r="J5635" t="str">
        <f>"9410144"</f>
        <v>9410144</v>
      </c>
      <c r="K5635">
        <v>2833031274</v>
      </c>
      <c r="L5635">
        <v>2833031274</v>
      </c>
      <c r="M5635" t="s">
        <v>34804</v>
      </c>
      <c r="N5635" t="s">
        <v>13386</v>
      </c>
      <c r="O5635" t="s">
        <v>13389</v>
      </c>
      <c r="P5635">
        <v>74061</v>
      </c>
      <c r="Q5635" t="str">
        <f>"35.149981"</f>
        <v>35.149981</v>
      </c>
      <c r="R5635" t="str">
        <f>"24.759279"</f>
        <v>24.759279</v>
      </c>
      <c r="S5635" t="s">
        <v>57</v>
      </c>
    </row>
    <row r="5636" spans="1:19" x14ac:dyDescent="0.3">
      <c r="A5636" t="s">
        <v>32470</v>
      </c>
      <c r="B5636" t="s">
        <v>34691</v>
      </c>
      <c r="C5636" t="s">
        <v>34805</v>
      </c>
      <c r="D5636" t="s">
        <v>32480</v>
      </c>
      <c r="E5636" t="s">
        <v>32481</v>
      </c>
      <c r="F5636" t="s">
        <v>34744</v>
      </c>
      <c r="G5636" t="s">
        <v>34745</v>
      </c>
      <c r="H5636" t="s">
        <v>868</v>
      </c>
      <c r="I5636" t="s">
        <v>869</v>
      </c>
      <c r="J5636" t="str">
        <f>"9410072"</f>
        <v>9410072</v>
      </c>
      <c r="K5636">
        <v>2831071264</v>
      </c>
      <c r="L5636">
        <v>2831072186</v>
      </c>
      <c r="M5636" t="s">
        <v>34806</v>
      </c>
      <c r="N5636" t="s">
        <v>34745</v>
      </c>
      <c r="O5636" t="s">
        <v>34745</v>
      </c>
      <c r="P5636">
        <v>74100</v>
      </c>
      <c r="Q5636" t="str">
        <f>"35.358466"</f>
        <v>35.358466</v>
      </c>
      <c r="R5636" t="str">
        <f>"24.561756"</f>
        <v>24.561756</v>
      </c>
      <c r="S5636" t="s">
        <v>26</v>
      </c>
    </row>
    <row r="5637" spans="1:19" x14ac:dyDescent="0.3">
      <c r="A5637" t="s">
        <v>32470</v>
      </c>
      <c r="B5637" t="s">
        <v>34691</v>
      </c>
      <c r="C5637" t="s">
        <v>34807</v>
      </c>
      <c r="D5637" t="s">
        <v>32480</v>
      </c>
      <c r="E5637" t="s">
        <v>32481</v>
      </c>
      <c r="F5637" t="s">
        <v>32481</v>
      </c>
      <c r="G5637" t="s">
        <v>32481</v>
      </c>
      <c r="H5637" t="s">
        <v>868</v>
      </c>
      <c r="I5637" t="s">
        <v>869</v>
      </c>
      <c r="J5637" t="str">
        <f>"9410070"</f>
        <v>9410070</v>
      </c>
      <c r="K5637">
        <v>2831028583</v>
      </c>
      <c r="L5637">
        <v>2831028583</v>
      </c>
      <c r="M5637" t="s">
        <v>34808</v>
      </c>
      <c r="N5637" t="s">
        <v>32484</v>
      </c>
      <c r="O5637" t="s">
        <v>34809</v>
      </c>
      <c r="P5637">
        <v>74100</v>
      </c>
      <c r="Q5637" t="str">
        <f>"35.362337"</f>
        <v>35.362337</v>
      </c>
      <c r="R5637" t="str">
        <f>"24.485543"</f>
        <v>24.485543</v>
      </c>
      <c r="S5637" t="s">
        <v>26</v>
      </c>
    </row>
    <row r="5638" spans="1:19" x14ac:dyDescent="0.3">
      <c r="A5638" t="s">
        <v>32470</v>
      </c>
      <c r="B5638" t="s">
        <v>34691</v>
      </c>
      <c r="C5638" t="s">
        <v>34811</v>
      </c>
      <c r="D5638" t="s">
        <v>32480</v>
      </c>
      <c r="E5638" t="s">
        <v>995</v>
      </c>
      <c r="F5638" t="s">
        <v>33045</v>
      </c>
      <c r="G5638" t="s">
        <v>34810</v>
      </c>
      <c r="H5638" t="s">
        <v>868</v>
      </c>
      <c r="I5638" t="s">
        <v>950</v>
      </c>
      <c r="J5638" t="str">
        <f>"9410055"</f>
        <v>9410055</v>
      </c>
      <c r="K5638">
        <v>2834051109</v>
      </c>
      <c r="L5638">
        <v>2834051109</v>
      </c>
      <c r="M5638" t="s">
        <v>34812</v>
      </c>
      <c r="N5638" t="s">
        <v>34813</v>
      </c>
      <c r="O5638" t="s">
        <v>34813</v>
      </c>
      <c r="P5638">
        <v>74057</v>
      </c>
      <c r="Q5638" t="str">
        <f>"35.413786"</f>
        <v>35.413786</v>
      </c>
      <c r="R5638" t="str">
        <f>"24.721767"</f>
        <v>24.721767</v>
      </c>
      <c r="S5638" t="s">
        <v>26</v>
      </c>
    </row>
    <row r="5639" spans="1:19" x14ac:dyDescent="0.3">
      <c r="A5639" t="s">
        <v>32470</v>
      </c>
      <c r="B5639" t="s">
        <v>34691</v>
      </c>
      <c r="C5639" t="s">
        <v>33157</v>
      </c>
      <c r="D5639" t="s">
        <v>32480</v>
      </c>
      <c r="E5639" t="s">
        <v>995</v>
      </c>
      <c r="F5639" t="s">
        <v>33146</v>
      </c>
      <c r="G5639" t="s">
        <v>13684</v>
      </c>
      <c r="H5639" t="s">
        <v>868</v>
      </c>
      <c r="I5639" t="s">
        <v>869</v>
      </c>
      <c r="J5639" t="str">
        <f>"9410038"</f>
        <v>9410038</v>
      </c>
      <c r="K5639">
        <v>2834061471</v>
      </c>
      <c r="L5639">
        <v>2834061471</v>
      </c>
      <c r="M5639" t="s">
        <v>34814</v>
      </c>
      <c r="N5639" t="s">
        <v>13646</v>
      </c>
      <c r="O5639" t="s">
        <v>34815</v>
      </c>
      <c r="P5639">
        <v>74051</v>
      </c>
      <c r="Q5639" t="str">
        <f>"35.295656"</f>
        <v>35.295656</v>
      </c>
      <c r="R5639" t="str">
        <f>"24.862688"</f>
        <v>24.862688</v>
      </c>
      <c r="S5639" t="s">
        <v>26</v>
      </c>
    </row>
    <row r="5640" spans="1:19" x14ac:dyDescent="0.3">
      <c r="A5640" t="s">
        <v>32470</v>
      </c>
      <c r="B5640" t="s">
        <v>34691</v>
      </c>
      <c r="C5640" t="s">
        <v>34816</v>
      </c>
      <c r="D5640" t="s">
        <v>32480</v>
      </c>
      <c r="E5640" t="s">
        <v>995</v>
      </c>
      <c r="F5640" t="s">
        <v>33045</v>
      </c>
      <c r="G5640" t="s">
        <v>4282</v>
      </c>
      <c r="H5640" t="s">
        <v>868</v>
      </c>
      <c r="I5640" t="s">
        <v>950</v>
      </c>
      <c r="J5640" t="str">
        <f>"9410053"</f>
        <v>9410053</v>
      </c>
      <c r="K5640">
        <v>2834051285</v>
      </c>
      <c r="L5640">
        <v>2834020207</v>
      </c>
      <c r="M5640" t="s">
        <v>34817</v>
      </c>
      <c r="N5640" t="s">
        <v>34818</v>
      </c>
      <c r="O5640" t="s">
        <v>34818</v>
      </c>
      <c r="P5640">
        <v>74057</v>
      </c>
      <c r="Q5640" t="str">
        <f>"35.403472"</f>
        <v>35.403472</v>
      </c>
      <c r="R5640" t="str">
        <f>"24.699247"</f>
        <v>24.699247</v>
      </c>
      <c r="S5640" t="s">
        <v>26</v>
      </c>
    </row>
    <row r="5641" spans="1:19" x14ac:dyDescent="0.3">
      <c r="A5641" t="s">
        <v>32470</v>
      </c>
      <c r="B5641" t="s">
        <v>34691</v>
      </c>
      <c r="C5641" t="s">
        <v>34820</v>
      </c>
      <c r="D5641" t="s">
        <v>32480</v>
      </c>
      <c r="E5641" t="s">
        <v>995</v>
      </c>
      <c r="F5641" t="s">
        <v>33146</v>
      </c>
      <c r="G5641" t="s">
        <v>34819</v>
      </c>
      <c r="H5641" t="s">
        <v>868</v>
      </c>
      <c r="I5641" t="s">
        <v>950</v>
      </c>
      <c r="J5641" t="str">
        <f>"9410034"</f>
        <v>9410034</v>
      </c>
      <c r="K5641">
        <v>2834061446</v>
      </c>
      <c r="L5641">
        <v>2834061446</v>
      </c>
      <c r="M5641" t="s">
        <v>34821</v>
      </c>
      <c r="N5641" t="s">
        <v>34822</v>
      </c>
      <c r="O5641" t="s">
        <v>34822</v>
      </c>
      <c r="P5641">
        <v>74051</v>
      </c>
      <c r="Q5641" t="str">
        <f>"35.311524"</f>
        <v>35.311524</v>
      </c>
      <c r="R5641" t="str">
        <f>"24.795088"</f>
        <v>24.795088</v>
      </c>
      <c r="S5641" t="s">
        <v>26</v>
      </c>
    </row>
    <row r="5642" spans="1:19" x14ac:dyDescent="0.3">
      <c r="A5642" t="s">
        <v>32470</v>
      </c>
      <c r="B5642" t="s">
        <v>34691</v>
      </c>
      <c r="C5642" t="s">
        <v>33079</v>
      </c>
      <c r="D5642" t="s">
        <v>32480</v>
      </c>
      <c r="E5642" t="s">
        <v>32481</v>
      </c>
      <c r="F5642" t="s">
        <v>32481</v>
      </c>
      <c r="G5642" t="s">
        <v>32481</v>
      </c>
      <c r="H5642" t="s">
        <v>868</v>
      </c>
      <c r="I5642" t="s">
        <v>869</v>
      </c>
      <c r="J5642" t="str">
        <f>"9410069"</f>
        <v>9410069</v>
      </c>
      <c r="K5642">
        <v>2831029296</v>
      </c>
      <c r="L5642">
        <v>2831029296</v>
      </c>
      <c r="M5642" t="s">
        <v>34823</v>
      </c>
      <c r="N5642" t="s">
        <v>32484</v>
      </c>
      <c r="O5642" t="s">
        <v>34824</v>
      </c>
      <c r="P5642">
        <v>74100</v>
      </c>
      <c r="Q5642" t="str">
        <f>"35.364504"</f>
        <v>35.364504</v>
      </c>
      <c r="R5642" t="str">
        <f>"24.483076"</f>
        <v>24.483076</v>
      </c>
      <c r="S5642" t="s">
        <v>26</v>
      </c>
    </row>
    <row r="5643" spans="1:19" x14ac:dyDescent="0.3">
      <c r="A5643" t="s">
        <v>32470</v>
      </c>
      <c r="B5643" t="s">
        <v>34691</v>
      </c>
      <c r="C5643" t="s">
        <v>34826</v>
      </c>
      <c r="D5643" t="s">
        <v>32480</v>
      </c>
      <c r="E5643" t="s">
        <v>995</v>
      </c>
      <c r="F5643" t="s">
        <v>34825</v>
      </c>
      <c r="G5643" t="s">
        <v>34825</v>
      </c>
      <c r="H5643" t="s">
        <v>868</v>
      </c>
      <c r="I5643" t="s">
        <v>869</v>
      </c>
      <c r="J5643" t="str">
        <f>"9410033"</f>
        <v>9410033</v>
      </c>
      <c r="K5643">
        <v>2834061210</v>
      </c>
      <c r="L5643">
        <v>2834061210</v>
      </c>
      <c r="M5643" t="s">
        <v>34827</v>
      </c>
      <c r="N5643" t="s">
        <v>34828</v>
      </c>
      <c r="O5643" t="s">
        <v>34829</v>
      </c>
      <c r="P5643">
        <v>74051</v>
      </c>
      <c r="Q5643" t="str">
        <f>"35.295668"</f>
        <v>35.295668</v>
      </c>
      <c r="R5643" t="str">
        <f>"24.833485"</f>
        <v>24.833485</v>
      </c>
      <c r="S5643" t="s">
        <v>26</v>
      </c>
    </row>
    <row r="5644" spans="1:19" x14ac:dyDescent="0.3">
      <c r="A5644" t="s">
        <v>32470</v>
      </c>
      <c r="B5644" t="s">
        <v>34691</v>
      </c>
      <c r="C5644" t="s">
        <v>33152</v>
      </c>
      <c r="D5644" t="s">
        <v>32480</v>
      </c>
      <c r="E5644" t="s">
        <v>995</v>
      </c>
      <c r="F5644" t="s">
        <v>33146</v>
      </c>
      <c r="G5644" t="s">
        <v>33147</v>
      </c>
      <c r="H5644" t="s">
        <v>868</v>
      </c>
      <c r="I5644" t="s">
        <v>950</v>
      </c>
      <c r="J5644" t="str">
        <f>"9410020"</f>
        <v>9410020</v>
      </c>
      <c r="K5644">
        <v>2834041225</v>
      </c>
      <c r="L5644">
        <v>2834041312</v>
      </c>
      <c r="M5644" t="s">
        <v>34832</v>
      </c>
      <c r="N5644" t="s">
        <v>33151</v>
      </c>
      <c r="O5644" t="s">
        <v>33151</v>
      </c>
      <c r="P5644">
        <v>74054</v>
      </c>
      <c r="Q5644" t="str">
        <f>"35.343967"</f>
        <v>35.343967</v>
      </c>
      <c r="R5644" t="str">
        <f>"24.787197"</f>
        <v>24.787197</v>
      </c>
      <c r="S5644" t="s">
        <v>26</v>
      </c>
    </row>
    <row r="5645" spans="1:19" x14ac:dyDescent="0.3">
      <c r="A5645" t="s">
        <v>32470</v>
      </c>
      <c r="B5645" t="s">
        <v>34691</v>
      </c>
      <c r="C5645" t="s">
        <v>34833</v>
      </c>
      <c r="D5645" t="s">
        <v>32480</v>
      </c>
      <c r="E5645" t="s">
        <v>995</v>
      </c>
      <c r="F5645" t="s">
        <v>33045</v>
      </c>
      <c r="G5645" t="s">
        <v>34707</v>
      </c>
      <c r="H5645" t="s">
        <v>868</v>
      </c>
      <c r="I5645" t="s">
        <v>950</v>
      </c>
      <c r="J5645" t="str">
        <f>"9410054"</f>
        <v>9410054</v>
      </c>
      <c r="K5645">
        <v>2834094098</v>
      </c>
      <c r="L5645">
        <v>2834094098</v>
      </c>
      <c r="M5645" t="s">
        <v>34834</v>
      </c>
      <c r="N5645" t="s">
        <v>34835</v>
      </c>
      <c r="O5645" t="s">
        <v>34836</v>
      </c>
      <c r="P5645">
        <v>74057</v>
      </c>
      <c r="Q5645" t="str">
        <f>"35.394039"</f>
        <v>35.394039</v>
      </c>
      <c r="R5645" t="str">
        <f>"24.886570"</f>
        <v>24.886570</v>
      </c>
      <c r="S5645" t="s">
        <v>26</v>
      </c>
    </row>
    <row r="5646" spans="1:19" x14ac:dyDescent="0.3">
      <c r="A5646" t="s">
        <v>32470</v>
      </c>
      <c r="B5646" t="s">
        <v>34691</v>
      </c>
      <c r="C5646" t="s">
        <v>34837</v>
      </c>
      <c r="D5646" t="s">
        <v>32480</v>
      </c>
      <c r="E5646" t="s">
        <v>995</v>
      </c>
      <c r="F5646" t="s">
        <v>33146</v>
      </c>
      <c r="G5646" t="s">
        <v>4424</v>
      </c>
      <c r="H5646" t="s">
        <v>868</v>
      </c>
      <c r="I5646" t="s">
        <v>950</v>
      </c>
      <c r="J5646" t="str">
        <f>"9410007"</f>
        <v>9410007</v>
      </c>
      <c r="K5646">
        <v>2834041504</v>
      </c>
      <c r="M5646" t="s">
        <v>34838</v>
      </c>
      <c r="N5646" t="s">
        <v>20606</v>
      </c>
      <c r="O5646" t="s">
        <v>33151</v>
      </c>
      <c r="P5646">
        <v>74054</v>
      </c>
      <c r="Q5646" t="str">
        <f>"35.367103"</f>
        <v>35.367103</v>
      </c>
      <c r="R5646" t="str">
        <f>"24.766377"</f>
        <v>24.766377</v>
      </c>
      <c r="S5646" t="s">
        <v>26</v>
      </c>
    </row>
    <row r="5647" spans="1:19" x14ac:dyDescent="0.3">
      <c r="A5647" t="s">
        <v>32470</v>
      </c>
      <c r="B5647" t="s">
        <v>34691</v>
      </c>
      <c r="C5647" t="s">
        <v>34841</v>
      </c>
      <c r="D5647" t="s">
        <v>32480</v>
      </c>
      <c r="E5647" t="s">
        <v>32481</v>
      </c>
      <c r="F5647" t="s">
        <v>32481</v>
      </c>
      <c r="G5647" t="s">
        <v>32481</v>
      </c>
      <c r="H5647" t="s">
        <v>868</v>
      </c>
      <c r="I5647" t="s">
        <v>1157</v>
      </c>
      <c r="J5647" t="str">
        <f>"9410243"</f>
        <v>9410243</v>
      </c>
      <c r="K5647">
        <v>2831026710</v>
      </c>
      <c r="L5647">
        <v>2831026710</v>
      </c>
      <c r="M5647" t="s">
        <v>34842</v>
      </c>
      <c r="N5647" t="s">
        <v>34843</v>
      </c>
      <c r="O5647" t="s">
        <v>34844</v>
      </c>
      <c r="P5647">
        <v>74100</v>
      </c>
      <c r="Q5647" t="str">
        <f>"35.327571"</f>
        <v>35.327571</v>
      </c>
      <c r="R5647" t="str">
        <f>"24.500504"</f>
        <v>24.500504</v>
      </c>
      <c r="S5647" t="s">
        <v>26</v>
      </c>
    </row>
    <row r="5648" spans="1:19" x14ac:dyDescent="0.3">
      <c r="A5648" t="s">
        <v>32470</v>
      </c>
      <c r="B5648" t="s">
        <v>34691</v>
      </c>
      <c r="C5648" t="s">
        <v>34845</v>
      </c>
      <c r="D5648" t="s">
        <v>32480</v>
      </c>
      <c r="E5648" t="s">
        <v>32481</v>
      </c>
      <c r="F5648" t="s">
        <v>32481</v>
      </c>
      <c r="G5648" t="s">
        <v>32481</v>
      </c>
      <c r="H5648" t="s">
        <v>868</v>
      </c>
      <c r="I5648" t="s">
        <v>869</v>
      </c>
      <c r="J5648" t="str">
        <f>"9410065"</f>
        <v>9410065</v>
      </c>
      <c r="K5648">
        <v>2831022519</v>
      </c>
      <c r="L5648">
        <v>2831022519</v>
      </c>
      <c r="M5648" t="s">
        <v>34846</v>
      </c>
      <c r="N5648" t="s">
        <v>32484</v>
      </c>
      <c r="O5648" t="s">
        <v>34847</v>
      </c>
      <c r="P5648">
        <v>74100</v>
      </c>
      <c r="Q5648" t="str">
        <f>"35.367200"</f>
        <v>35.367200</v>
      </c>
      <c r="R5648" t="str">
        <f>"24.532406"</f>
        <v>24.532406</v>
      </c>
      <c r="S5648" t="s">
        <v>26</v>
      </c>
    </row>
    <row r="5649" spans="1:19" x14ac:dyDescent="0.3">
      <c r="A5649" t="s">
        <v>32470</v>
      </c>
      <c r="B5649" t="s">
        <v>34691</v>
      </c>
      <c r="C5649" t="s">
        <v>34855</v>
      </c>
      <c r="D5649" t="s">
        <v>32480</v>
      </c>
      <c r="E5649" t="s">
        <v>995</v>
      </c>
      <c r="F5649" t="s">
        <v>33045</v>
      </c>
      <c r="G5649" t="s">
        <v>32294</v>
      </c>
      <c r="H5649" t="s">
        <v>868</v>
      </c>
      <c r="I5649" t="s">
        <v>950</v>
      </c>
      <c r="J5649" t="str">
        <f>"9410010"</f>
        <v>9410010</v>
      </c>
      <c r="K5649">
        <v>2834091414</v>
      </c>
      <c r="L5649">
        <v>2834091414</v>
      </c>
      <c r="M5649" t="s">
        <v>34856</v>
      </c>
      <c r="N5649" t="s">
        <v>34857</v>
      </c>
      <c r="O5649" t="s">
        <v>34858</v>
      </c>
      <c r="P5649">
        <v>74054</v>
      </c>
      <c r="Q5649" t="str">
        <f>"35.325028"</f>
        <v>35.325028</v>
      </c>
      <c r="R5649" t="str">
        <f>"24.761017"</f>
        <v>24.761017</v>
      </c>
      <c r="S5649" t="s">
        <v>26</v>
      </c>
    </row>
    <row r="5650" spans="1:19" x14ac:dyDescent="0.3">
      <c r="A5650" t="s">
        <v>32470</v>
      </c>
      <c r="B5650" t="s">
        <v>34691</v>
      </c>
      <c r="C5650" t="s">
        <v>33054</v>
      </c>
      <c r="D5650" t="s">
        <v>32480</v>
      </c>
      <c r="E5650" t="s">
        <v>32481</v>
      </c>
      <c r="F5650" t="s">
        <v>32481</v>
      </c>
      <c r="G5650" t="s">
        <v>32481</v>
      </c>
      <c r="H5650" t="s">
        <v>868</v>
      </c>
      <c r="I5650" t="s">
        <v>869</v>
      </c>
      <c r="J5650" t="str">
        <f>"9410064"</f>
        <v>9410064</v>
      </c>
      <c r="K5650">
        <v>2831028390</v>
      </c>
      <c r="L5650">
        <v>2831028302</v>
      </c>
      <c r="M5650" t="s">
        <v>34864</v>
      </c>
      <c r="N5650" t="s">
        <v>32484</v>
      </c>
      <c r="O5650" t="s">
        <v>34865</v>
      </c>
      <c r="P5650">
        <v>74100</v>
      </c>
      <c r="Q5650" t="str">
        <f>"35.365947"</f>
        <v>35.365947</v>
      </c>
      <c r="R5650" t="str">
        <f>"24.501164"</f>
        <v>24.501164</v>
      </c>
      <c r="S5650" t="s">
        <v>26</v>
      </c>
    </row>
    <row r="5651" spans="1:19" x14ac:dyDescent="0.3">
      <c r="A5651" t="s">
        <v>32470</v>
      </c>
      <c r="B5651" t="s">
        <v>34691</v>
      </c>
      <c r="C5651" t="s">
        <v>33127</v>
      </c>
      <c r="D5651" t="s">
        <v>32480</v>
      </c>
      <c r="E5651" t="s">
        <v>995</v>
      </c>
      <c r="F5651" t="s">
        <v>33045</v>
      </c>
      <c r="G5651" t="s">
        <v>33122</v>
      </c>
      <c r="H5651" t="s">
        <v>868</v>
      </c>
      <c r="I5651" t="s">
        <v>869</v>
      </c>
      <c r="J5651" t="str">
        <f>"9410048"</f>
        <v>9410048</v>
      </c>
      <c r="K5651">
        <v>2834020221</v>
      </c>
      <c r="L5651">
        <v>2834020221</v>
      </c>
      <c r="M5651" t="s">
        <v>34871</v>
      </c>
      <c r="N5651" t="s">
        <v>34861</v>
      </c>
      <c r="O5651" t="s">
        <v>34861</v>
      </c>
      <c r="P5651">
        <v>74057</v>
      </c>
      <c r="Q5651" t="str">
        <f>"35.416252"</f>
        <v>35.416252</v>
      </c>
      <c r="R5651" t="str">
        <f>"24.690905"</f>
        <v>24.690905</v>
      </c>
      <c r="S5651" t="s">
        <v>26</v>
      </c>
    </row>
    <row r="5652" spans="1:19" x14ac:dyDescent="0.3">
      <c r="A5652" t="s">
        <v>32470</v>
      </c>
      <c r="B5652" t="s">
        <v>34691</v>
      </c>
      <c r="C5652" t="s">
        <v>34937</v>
      </c>
      <c r="D5652" t="s">
        <v>32480</v>
      </c>
      <c r="E5652" t="s">
        <v>14541</v>
      </c>
      <c r="F5652" t="s">
        <v>33065</v>
      </c>
      <c r="G5652" t="s">
        <v>34876</v>
      </c>
      <c r="H5652" t="s">
        <v>868</v>
      </c>
      <c r="I5652" t="s">
        <v>950</v>
      </c>
      <c r="J5652" t="str">
        <f>"9410109"</f>
        <v>9410109</v>
      </c>
      <c r="K5652">
        <v>2832041235</v>
      </c>
      <c r="M5652" t="s">
        <v>34938</v>
      </c>
      <c r="N5652" t="s">
        <v>34939</v>
      </c>
      <c r="O5652" t="s">
        <v>34939</v>
      </c>
      <c r="P5652">
        <v>74053</v>
      </c>
      <c r="Q5652" t="str">
        <f>"35.133568"</f>
        <v>35.133568</v>
      </c>
      <c r="R5652" t="str">
        <f>"24.554527"</f>
        <v>24.554527</v>
      </c>
      <c r="S5652" t="s">
        <v>26</v>
      </c>
    </row>
    <row r="5653" spans="1:19" x14ac:dyDescent="0.3">
      <c r="A5653" t="s">
        <v>32470</v>
      </c>
      <c r="B5653" t="s">
        <v>34691</v>
      </c>
      <c r="C5653" t="s">
        <v>33142</v>
      </c>
      <c r="D5653" t="s">
        <v>32480</v>
      </c>
      <c r="E5653" t="s">
        <v>14541</v>
      </c>
      <c r="F5653" t="s">
        <v>33136</v>
      </c>
      <c r="G5653" t="s">
        <v>34918</v>
      </c>
      <c r="H5653" t="s">
        <v>868</v>
      </c>
      <c r="I5653" t="s">
        <v>869</v>
      </c>
      <c r="J5653" t="str">
        <f>"9410092"</f>
        <v>9410092</v>
      </c>
      <c r="K5653">
        <v>2832051056</v>
      </c>
      <c r="L5653">
        <v>2832051056</v>
      </c>
      <c r="M5653" t="s">
        <v>34940</v>
      </c>
      <c r="N5653" t="s">
        <v>34921</v>
      </c>
      <c r="O5653" t="s">
        <v>34921</v>
      </c>
      <c r="P5653">
        <v>74053</v>
      </c>
      <c r="Q5653" t="str">
        <f>"35.239148"</f>
        <v>35.239148</v>
      </c>
      <c r="R5653" t="str">
        <f>"24.435928"</f>
        <v>24.435928</v>
      </c>
      <c r="S5653" t="s">
        <v>26</v>
      </c>
    </row>
    <row r="5654" spans="1:19" x14ac:dyDescent="0.3">
      <c r="A5654" t="s">
        <v>32470</v>
      </c>
      <c r="B5654" t="s">
        <v>34691</v>
      </c>
      <c r="C5654" t="s">
        <v>33071</v>
      </c>
      <c r="D5654" t="s">
        <v>32480</v>
      </c>
      <c r="E5654" t="s">
        <v>14541</v>
      </c>
      <c r="F5654" t="s">
        <v>33065</v>
      </c>
      <c r="G5654" t="s">
        <v>33066</v>
      </c>
      <c r="H5654" t="s">
        <v>868</v>
      </c>
      <c r="I5654" t="s">
        <v>869</v>
      </c>
      <c r="J5654" t="str">
        <f>"9410120"</f>
        <v>9410120</v>
      </c>
      <c r="K5654">
        <v>6978148714</v>
      </c>
      <c r="L5654">
        <v>2832022028</v>
      </c>
      <c r="M5654" t="s">
        <v>34941</v>
      </c>
      <c r="N5654" t="s">
        <v>32484</v>
      </c>
      <c r="O5654" t="s">
        <v>33069</v>
      </c>
      <c r="P5654">
        <v>74053</v>
      </c>
      <c r="Q5654" t="str">
        <f>"35.217165"</f>
        <v>35.217165</v>
      </c>
      <c r="R5654" t="str">
        <f>"24.535258"</f>
        <v>24.535258</v>
      </c>
      <c r="S5654" t="s">
        <v>26</v>
      </c>
    </row>
    <row r="5655" spans="1:19" x14ac:dyDescent="0.3">
      <c r="A5655" t="s">
        <v>32470</v>
      </c>
      <c r="B5655" t="s">
        <v>34691</v>
      </c>
      <c r="C5655" t="s">
        <v>34946</v>
      </c>
      <c r="D5655" t="s">
        <v>32480</v>
      </c>
      <c r="E5655" t="s">
        <v>32481</v>
      </c>
      <c r="F5655" t="s">
        <v>33102</v>
      </c>
      <c r="G5655" t="s">
        <v>5600</v>
      </c>
      <c r="H5655" t="s">
        <v>868</v>
      </c>
      <c r="I5655" t="s">
        <v>869</v>
      </c>
      <c r="J5655" t="str">
        <f>"9410159"</f>
        <v>9410159</v>
      </c>
      <c r="K5655">
        <v>2831081279</v>
      </c>
      <c r="L5655">
        <v>2831081189</v>
      </c>
      <c r="M5655" t="s">
        <v>34947</v>
      </c>
      <c r="N5655" t="s">
        <v>34948</v>
      </c>
      <c r="O5655" t="s">
        <v>1038</v>
      </c>
      <c r="P5655">
        <v>74055</v>
      </c>
      <c r="Q5655" t="str">
        <f>"35.284397"</f>
        <v>35.284397</v>
      </c>
      <c r="R5655" t="str">
        <f>"24.335509"</f>
        <v>24.335509</v>
      </c>
      <c r="S5655" t="s">
        <v>26</v>
      </c>
    </row>
    <row r="5656" spans="1:19" x14ac:dyDescent="0.3">
      <c r="A5656" t="s">
        <v>32470</v>
      </c>
      <c r="B5656" t="s">
        <v>34691</v>
      </c>
      <c r="C5656" t="s">
        <v>34949</v>
      </c>
      <c r="D5656" t="s">
        <v>32480</v>
      </c>
      <c r="E5656" t="s">
        <v>32481</v>
      </c>
      <c r="F5656" t="s">
        <v>32481</v>
      </c>
      <c r="G5656" t="s">
        <v>32481</v>
      </c>
      <c r="H5656" t="s">
        <v>868</v>
      </c>
      <c r="I5656" t="s">
        <v>869</v>
      </c>
      <c r="J5656" t="str">
        <f>"9410150"</f>
        <v>9410150</v>
      </c>
      <c r="K5656">
        <v>2831052969</v>
      </c>
      <c r="L5656">
        <v>2831052969</v>
      </c>
      <c r="M5656" t="s">
        <v>34950</v>
      </c>
      <c r="N5656" t="s">
        <v>32484</v>
      </c>
      <c r="O5656" t="s">
        <v>34906</v>
      </c>
      <c r="P5656">
        <v>74100</v>
      </c>
      <c r="Q5656" t="str">
        <f>"35.368366"</f>
        <v>35.368366</v>
      </c>
      <c r="R5656" t="str">
        <f>"24.473869"</f>
        <v>24.473869</v>
      </c>
      <c r="S5656" t="s">
        <v>26</v>
      </c>
    </row>
    <row r="5657" spans="1:19" x14ac:dyDescent="0.3">
      <c r="A5657" t="s">
        <v>32470</v>
      </c>
      <c r="B5657" t="s">
        <v>34691</v>
      </c>
      <c r="C5657" t="s">
        <v>34951</v>
      </c>
      <c r="D5657" t="s">
        <v>32480</v>
      </c>
      <c r="E5657" t="s">
        <v>32481</v>
      </c>
      <c r="F5657" t="s">
        <v>32481</v>
      </c>
      <c r="G5657" t="s">
        <v>32481</v>
      </c>
      <c r="H5657" t="s">
        <v>868</v>
      </c>
      <c r="I5657" t="s">
        <v>869</v>
      </c>
      <c r="J5657" t="str">
        <f>"9410257"</f>
        <v>9410257</v>
      </c>
      <c r="K5657">
        <v>2831056242</v>
      </c>
      <c r="L5657">
        <v>2831056242</v>
      </c>
      <c r="M5657" t="s">
        <v>34952</v>
      </c>
      <c r="N5657" t="s">
        <v>32484</v>
      </c>
      <c r="O5657" t="s">
        <v>34882</v>
      </c>
      <c r="P5657">
        <v>74100</v>
      </c>
      <c r="Q5657" t="str">
        <f>"35.362580"</f>
        <v>35.362580</v>
      </c>
      <c r="R5657" t="str">
        <f>"24.471010"</f>
        <v>24.471010</v>
      </c>
      <c r="S5657" t="s">
        <v>26</v>
      </c>
    </row>
    <row r="5658" spans="1:19" x14ac:dyDescent="0.3">
      <c r="A5658" t="s">
        <v>32470</v>
      </c>
      <c r="B5658" t="s">
        <v>34691</v>
      </c>
      <c r="C5658" t="s">
        <v>33183</v>
      </c>
      <c r="D5658" t="s">
        <v>32480</v>
      </c>
      <c r="E5658" t="s">
        <v>32481</v>
      </c>
      <c r="F5658" t="s">
        <v>33173</v>
      </c>
      <c r="G5658" t="s">
        <v>34922</v>
      </c>
      <c r="H5658" t="s">
        <v>868</v>
      </c>
      <c r="I5658" t="s">
        <v>869</v>
      </c>
      <c r="J5658" t="str">
        <f>"9410167"</f>
        <v>9410167</v>
      </c>
      <c r="K5658">
        <v>2831031455</v>
      </c>
      <c r="L5658">
        <v>2831032042</v>
      </c>
      <c r="M5658" t="s">
        <v>34953</v>
      </c>
      <c r="N5658" t="s">
        <v>34925</v>
      </c>
      <c r="O5658" t="s">
        <v>34925</v>
      </c>
      <c r="P5658">
        <v>74100</v>
      </c>
      <c r="Q5658" t="str">
        <f>"35.352766"</f>
        <v>35.352766</v>
      </c>
      <c r="R5658" t="str">
        <f>"24.398224"</f>
        <v>24.398224</v>
      </c>
      <c r="S5658" t="s">
        <v>26</v>
      </c>
    </row>
    <row r="5659" spans="1:19" x14ac:dyDescent="0.3">
      <c r="A5659" t="s">
        <v>32470</v>
      </c>
      <c r="B5659" t="s">
        <v>34691</v>
      </c>
      <c r="C5659" t="s">
        <v>34954</v>
      </c>
      <c r="D5659" t="s">
        <v>32480</v>
      </c>
      <c r="E5659" t="s">
        <v>32481</v>
      </c>
      <c r="F5659" t="s">
        <v>33173</v>
      </c>
      <c r="G5659" t="s">
        <v>33174</v>
      </c>
      <c r="H5659" t="s">
        <v>868</v>
      </c>
      <c r="I5659" t="s">
        <v>869</v>
      </c>
      <c r="J5659" t="str">
        <f>"9410166"</f>
        <v>9410166</v>
      </c>
      <c r="K5659">
        <v>2831031311</v>
      </c>
      <c r="L5659">
        <v>2831031311</v>
      </c>
      <c r="M5659" t="s">
        <v>34955</v>
      </c>
      <c r="N5659" t="s">
        <v>32484</v>
      </c>
      <c r="O5659" t="s">
        <v>33177</v>
      </c>
      <c r="P5659">
        <v>74100</v>
      </c>
      <c r="Q5659" t="str">
        <f>"35.352726"</f>
        <v>35.352726</v>
      </c>
      <c r="R5659" t="str">
        <f>"24.434506"</f>
        <v>24.434506</v>
      </c>
      <c r="S5659" t="s">
        <v>26</v>
      </c>
    </row>
    <row r="5660" spans="1:19" x14ac:dyDescent="0.3">
      <c r="A5660" t="s">
        <v>32470</v>
      </c>
      <c r="B5660" t="s">
        <v>34691</v>
      </c>
      <c r="C5660" t="s">
        <v>34956</v>
      </c>
      <c r="D5660" t="s">
        <v>32480</v>
      </c>
      <c r="E5660" t="s">
        <v>14541</v>
      </c>
      <c r="F5660" t="s">
        <v>33136</v>
      </c>
      <c r="G5660" t="s">
        <v>34872</v>
      </c>
      <c r="H5660" t="s">
        <v>868</v>
      </c>
      <c r="I5660" t="s">
        <v>869</v>
      </c>
      <c r="J5660" t="str">
        <f>"9410114"</f>
        <v>9410114</v>
      </c>
      <c r="K5660">
        <v>2832031291</v>
      </c>
      <c r="L5660">
        <v>2832031291</v>
      </c>
      <c r="M5660" t="s">
        <v>34957</v>
      </c>
      <c r="N5660" t="s">
        <v>34958</v>
      </c>
      <c r="O5660" t="s">
        <v>34958</v>
      </c>
      <c r="P5660">
        <v>74060</v>
      </c>
      <c r="Q5660" t="str">
        <f>"35.183412"</f>
        <v>35.183412</v>
      </c>
      <c r="R5660" t="str">
        <f>"24.405651"</f>
        <v>24.405651</v>
      </c>
      <c r="S5660" t="s">
        <v>26</v>
      </c>
    </row>
    <row r="5661" spans="1:19" x14ac:dyDescent="0.3">
      <c r="A5661" t="s">
        <v>32470</v>
      </c>
      <c r="B5661" t="s">
        <v>34691</v>
      </c>
      <c r="C5661" t="s">
        <v>34959</v>
      </c>
      <c r="D5661" t="s">
        <v>32480</v>
      </c>
      <c r="E5661" t="s">
        <v>32481</v>
      </c>
      <c r="F5661" t="s">
        <v>33173</v>
      </c>
      <c r="G5661" t="s">
        <v>34909</v>
      </c>
      <c r="H5661" t="s">
        <v>868</v>
      </c>
      <c r="I5661" t="s">
        <v>869</v>
      </c>
      <c r="J5661" t="str">
        <f>"9410169"</f>
        <v>9410169</v>
      </c>
      <c r="K5661">
        <v>2831031123</v>
      </c>
      <c r="L5661">
        <v>2831031123</v>
      </c>
      <c r="M5661" t="s">
        <v>34960</v>
      </c>
      <c r="N5661" t="s">
        <v>34912</v>
      </c>
      <c r="O5661" t="s">
        <v>34961</v>
      </c>
      <c r="P5661">
        <v>74132</v>
      </c>
      <c r="Q5661" t="str">
        <f>"35.323512"</f>
        <v>35.323512</v>
      </c>
      <c r="R5661" t="str">
        <f>"24.419288"</f>
        <v>24.419288</v>
      </c>
      <c r="S5661" t="s">
        <v>26</v>
      </c>
    </row>
    <row r="5662" spans="1:19" x14ac:dyDescent="0.3">
      <c r="A5662" t="s">
        <v>32470</v>
      </c>
      <c r="B5662" t="s">
        <v>34691</v>
      </c>
      <c r="C5662" t="s">
        <v>34962</v>
      </c>
      <c r="D5662" t="s">
        <v>32480</v>
      </c>
      <c r="E5662" t="s">
        <v>32481</v>
      </c>
      <c r="F5662" t="s">
        <v>32481</v>
      </c>
      <c r="G5662" t="s">
        <v>34467</v>
      </c>
      <c r="H5662" t="s">
        <v>868</v>
      </c>
      <c r="I5662" t="s">
        <v>869</v>
      </c>
      <c r="J5662" t="str">
        <f>"9410160"</f>
        <v>9410160</v>
      </c>
      <c r="K5662">
        <v>2831041098</v>
      </c>
      <c r="L5662">
        <v>2831041098</v>
      </c>
      <c r="M5662" t="s">
        <v>34963</v>
      </c>
      <c r="N5662" t="s">
        <v>34917</v>
      </c>
      <c r="O5662" t="s">
        <v>34964</v>
      </c>
      <c r="P5662">
        <v>74100</v>
      </c>
      <c r="Q5662" t="str">
        <f>"35.301636"</f>
        <v>35.301636</v>
      </c>
      <c r="R5662" t="str">
        <f>"24.460758"</f>
        <v>24.460758</v>
      </c>
      <c r="S5662" t="s">
        <v>26</v>
      </c>
    </row>
    <row r="5663" spans="1:19" x14ac:dyDescent="0.3">
      <c r="A5663" t="s">
        <v>32470</v>
      </c>
      <c r="B5663" t="s">
        <v>34691</v>
      </c>
      <c r="C5663" t="s">
        <v>34967</v>
      </c>
      <c r="D5663" t="s">
        <v>32480</v>
      </c>
      <c r="E5663" t="s">
        <v>995</v>
      </c>
      <c r="F5663" t="s">
        <v>33045</v>
      </c>
      <c r="G5663" t="s">
        <v>34696</v>
      </c>
      <c r="H5663" t="s">
        <v>868</v>
      </c>
      <c r="I5663" t="s">
        <v>869</v>
      </c>
      <c r="J5663" t="str">
        <f>"9410044"</f>
        <v>9410044</v>
      </c>
      <c r="K5663">
        <v>2834094218</v>
      </c>
      <c r="L5663">
        <v>2834094218</v>
      </c>
      <c r="M5663" t="s">
        <v>34968</v>
      </c>
      <c r="N5663" t="s">
        <v>34699</v>
      </c>
      <c r="O5663" t="s">
        <v>34699</v>
      </c>
      <c r="P5663">
        <v>74057</v>
      </c>
      <c r="Q5663" t="str">
        <f>"35.412332"</f>
        <v>35.412332</v>
      </c>
      <c r="R5663" t="str">
        <f>"24.782994"</f>
        <v>24.782994</v>
      </c>
      <c r="S5663" t="s">
        <v>26</v>
      </c>
    </row>
    <row r="5664" spans="1:19" x14ac:dyDescent="0.3">
      <c r="A5664" t="s">
        <v>32470</v>
      </c>
      <c r="B5664" t="s">
        <v>34691</v>
      </c>
      <c r="C5664" t="s">
        <v>33179</v>
      </c>
      <c r="D5664" t="s">
        <v>32480</v>
      </c>
      <c r="E5664" t="s">
        <v>32481</v>
      </c>
      <c r="F5664" t="s">
        <v>33173</v>
      </c>
      <c r="G5664" t="s">
        <v>34898</v>
      </c>
      <c r="H5664" t="s">
        <v>868</v>
      </c>
      <c r="I5664" t="s">
        <v>869</v>
      </c>
      <c r="J5664" t="str">
        <f>"9410180"</f>
        <v>9410180</v>
      </c>
      <c r="K5664">
        <v>2831031206</v>
      </c>
      <c r="M5664" t="s">
        <v>34969</v>
      </c>
      <c r="N5664" t="s">
        <v>34901</v>
      </c>
      <c r="O5664" t="s">
        <v>34901</v>
      </c>
      <c r="P5664">
        <v>74100</v>
      </c>
      <c r="Q5664" t="str">
        <f>"35.343567"</f>
        <v>35.343567</v>
      </c>
      <c r="R5664" t="str">
        <f>"24.426761"</f>
        <v>24.426761</v>
      </c>
      <c r="S5664" t="s">
        <v>26</v>
      </c>
    </row>
    <row r="5665" spans="1:19" x14ac:dyDescent="0.3">
      <c r="A5665" t="s">
        <v>32470</v>
      </c>
      <c r="B5665" t="s">
        <v>34691</v>
      </c>
      <c r="C5665" t="s">
        <v>34970</v>
      </c>
      <c r="D5665" t="s">
        <v>32480</v>
      </c>
      <c r="E5665" t="s">
        <v>32481</v>
      </c>
      <c r="F5665" t="s">
        <v>32481</v>
      </c>
      <c r="G5665" t="s">
        <v>32481</v>
      </c>
      <c r="H5665" t="s">
        <v>868</v>
      </c>
      <c r="I5665" t="s">
        <v>869</v>
      </c>
      <c r="J5665" t="str">
        <f>"9410212"</f>
        <v>9410212</v>
      </c>
      <c r="K5665">
        <v>2831022132</v>
      </c>
      <c r="L5665">
        <v>2831022132</v>
      </c>
      <c r="M5665" t="s">
        <v>34971</v>
      </c>
      <c r="N5665" t="s">
        <v>32484</v>
      </c>
      <c r="O5665" t="s">
        <v>34972</v>
      </c>
      <c r="P5665">
        <v>74132</v>
      </c>
      <c r="Q5665" t="str">
        <f>"35.362122"</f>
        <v>35.362122</v>
      </c>
      <c r="R5665" t="str">
        <f>"24.475673"</f>
        <v>24.475673</v>
      </c>
      <c r="S5665" t="s">
        <v>26</v>
      </c>
    </row>
    <row r="5666" spans="1:19" x14ac:dyDescent="0.3">
      <c r="A5666" t="s">
        <v>32470</v>
      </c>
      <c r="B5666" t="s">
        <v>34691</v>
      </c>
      <c r="C5666" t="s">
        <v>34976</v>
      </c>
      <c r="D5666" t="s">
        <v>32480</v>
      </c>
      <c r="E5666" t="s">
        <v>32481</v>
      </c>
      <c r="F5666" t="s">
        <v>32481</v>
      </c>
      <c r="G5666" t="s">
        <v>32481</v>
      </c>
      <c r="H5666" t="s">
        <v>868</v>
      </c>
      <c r="I5666" t="s">
        <v>869</v>
      </c>
      <c r="J5666" t="str">
        <f>"9410263"</f>
        <v>9410263</v>
      </c>
      <c r="K5666">
        <v>2831053818</v>
      </c>
      <c r="L5666">
        <v>2831053818</v>
      </c>
      <c r="M5666" t="s">
        <v>34977</v>
      </c>
      <c r="N5666" t="s">
        <v>32484</v>
      </c>
      <c r="O5666" t="s">
        <v>34978</v>
      </c>
      <c r="P5666">
        <v>74100</v>
      </c>
      <c r="Q5666" t="str">
        <f>"35.357953"</f>
        <v>35.357953</v>
      </c>
      <c r="R5666" t="str">
        <f>"24.475824"</f>
        <v>24.475824</v>
      </c>
      <c r="S5666" t="s">
        <v>26</v>
      </c>
    </row>
    <row r="5667" spans="1:19" x14ac:dyDescent="0.3">
      <c r="A5667" t="s">
        <v>32470</v>
      </c>
      <c r="B5667" t="s">
        <v>34691</v>
      </c>
      <c r="C5667" t="s">
        <v>34982</v>
      </c>
      <c r="D5667" t="s">
        <v>32480</v>
      </c>
      <c r="E5667" t="s">
        <v>14541</v>
      </c>
      <c r="F5667" t="s">
        <v>33065</v>
      </c>
      <c r="G5667" t="s">
        <v>34931</v>
      </c>
      <c r="H5667" t="s">
        <v>868</v>
      </c>
      <c r="I5667" t="s">
        <v>869</v>
      </c>
      <c r="J5667" t="str">
        <f>"9410088"</f>
        <v>9410088</v>
      </c>
      <c r="K5667">
        <v>2832091235</v>
      </c>
      <c r="L5667">
        <v>2832091121</v>
      </c>
      <c r="M5667" t="s">
        <v>34983</v>
      </c>
      <c r="N5667" t="s">
        <v>34934</v>
      </c>
      <c r="O5667" t="s">
        <v>34934</v>
      </c>
      <c r="P5667">
        <v>74056</v>
      </c>
      <c r="Q5667" t="str">
        <f>"35.097730"</f>
        <v>35.097730</v>
      </c>
      <c r="R5667" t="str">
        <f>"24.688539"</f>
        <v>24.688539</v>
      </c>
      <c r="S5667" t="s">
        <v>26</v>
      </c>
    </row>
    <row r="5668" spans="1:19" x14ac:dyDescent="0.3">
      <c r="A5668" t="s">
        <v>32470</v>
      </c>
      <c r="B5668" t="s">
        <v>34691</v>
      </c>
      <c r="C5668" t="s">
        <v>33200</v>
      </c>
      <c r="D5668" t="s">
        <v>32480</v>
      </c>
      <c r="E5668" t="s">
        <v>32481</v>
      </c>
      <c r="F5668" t="s">
        <v>33173</v>
      </c>
      <c r="G5668" t="s">
        <v>33174</v>
      </c>
      <c r="H5668" t="s">
        <v>868</v>
      </c>
      <c r="I5668" t="s">
        <v>869</v>
      </c>
      <c r="J5668" t="str">
        <f>"9521348"</f>
        <v>9521348</v>
      </c>
      <c r="K5668">
        <v>2831021334</v>
      </c>
      <c r="L5668">
        <v>2831021334</v>
      </c>
      <c r="M5668" t="s">
        <v>34988</v>
      </c>
      <c r="N5668" t="s">
        <v>33177</v>
      </c>
      <c r="O5668" t="s">
        <v>34989</v>
      </c>
      <c r="P5668">
        <v>74100</v>
      </c>
      <c r="Q5668" t="str">
        <f>"35.364066"</f>
        <v>35.364066</v>
      </c>
      <c r="R5668" t="str">
        <f>"24.444988"</f>
        <v>24.444988</v>
      </c>
      <c r="S5668" t="s">
        <v>26</v>
      </c>
    </row>
    <row r="5669" spans="1:19" x14ac:dyDescent="0.3">
      <c r="A5669" t="s">
        <v>32470</v>
      </c>
      <c r="B5669" t="s">
        <v>34691</v>
      </c>
      <c r="C5669" t="s">
        <v>33107</v>
      </c>
      <c r="D5669" t="s">
        <v>32480</v>
      </c>
      <c r="E5669" t="s">
        <v>32481</v>
      </c>
      <c r="F5669" t="s">
        <v>33102</v>
      </c>
      <c r="G5669" t="s">
        <v>30112</v>
      </c>
      <c r="H5669" t="s">
        <v>868</v>
      </c>
      <c r="I5669" t="s">
        <v>869</v>
      </c>
      <c r="J5669" t="str">
        <f>"9410170"</f>
        <v>9410170</v>
      </c>
      <c r="K5669">
        <v>2831061220</v>
      </c>
      <c r="M5669" t="s">
        <v>34995</v>
      </c>
      <c r="N5669" t="s">
        <v>34996</v>
      </c>
      <c r="O5669" t="s">
        <v>26516</v>
      </c>
      <c r="P5669">
        <v>74100</v>
      </c>
      <c r="Q5669" t="str">
        <f>"35.329233"</f>
        <v>35.329233</v>
      </c>
      <c r="R5669" t="str">
        <f>"24.335966"</f>
        <v>24.335966</v>
      </c>
      <c r="S5669" t="s">
        <v>26</v>
      </c>
    </row>
    <row r="5670" spans="1:19" x14ac:dyDescent="0.3">
      <c r="A5670" t="s">
        <v>32470</v>
      </c>
      <c r="B5670" t="s">
        <v>34691</v>
      </c>
      <c r="C5670" t="s">
        <v>34998</v>
      </c>
      <c r="D5670" t="s">
        <v>32480</v>
      </c>
      <c r="E5670" t="s">
        <v>32481</v>
      </c>
      <c r="F5670" t="s">
        <v>34744</v>
      </c>
      <c r="G5670" t="s">
        <v>34997</v>
      </c>
      <c r="H5670" t="s">
        <v>868</v>
      </c>
      <c r="I5670" t="s">
        <v>869</v>
      </c>
      <c r="J5670" t="str">
        <f>"9410030"</f>
        <v>9410030</v>
      </c>
      <c r="K5670">
        <v>2834093217</v>
      </c>
      <c r="L5670">
        <v>2834093217</v>
      </c>
      <c r="M5670" t="s">
        <v>34999</v>
      </c>
      <c r="N5670" t="s">
        <v>14960</v>
      </c>
      <c r="O5670" t="s">
        <v>35000</v>
      </c>
      <c r="P5670">
        <v>74052</v>
      </c>
      <c r="Q5670" t="str">
        <f>"35.373447"</f>
        <v>35.373447</v>
      </c>
      <c r="R5670" t="str">
        <f>"24.612765"</f>
        <v>24.612765</v>
      </c>
      <c r="S5670" t="s">
        <v>26</v>
      </c>
    </row>
    <row r="5671" spans="1:19" x14ac:dyDescent="0.3">
      <c r="A5671" t="s">
        <v>32470</v>
      </c>
      <c r="B5671" t="s">
        <v>34691</v>
      </c>
      <c r="C5671" t="s">
        <v>33050</v>
      </c>
      <c r="D5671" t="s">
        <v>32480</v>
      </c>
      <c r="E5671" t="s">
        <v>995</v>
      </c>
      <c r="F5671" t="s">
        <v>33045</v>
      </c>
      <c r="G5671" t="s">
        <v>6203</v>
      </c>
      <c r="H5671" t="s">
        <v>868</v>
      </c>
      <c r="I5671" t="s">
        <v>869</v>
      </c>
      <c r="J5671" t="str">
        <f>"9410051"</f>
        <v>9410051</v>
      </c>
      <c r="K5671">
        <v>2834022247</v>
      </c>
      <c r="L5671">
        <v>2834023337</v>
      </c>
      <c r="M5671" t="s">
        <v>35005</v>
      </c>
      <c r="N5671" t="s">
        <v>1291</v>
      </c>
      <c r="O5671" t="s">
        <v>1291</v>
      </c>
      <c r="P5671">
        <v>74052</v>
      </c>
      <c r="Q5671" t="str">
        <f>"35.368833"</f>
        <v>35.368833</v>
      </c>
      <c r="R5671" t="str">
        <f>"24.703933"</f>
        <v>24.703933</v>
      </c>
      <c r="S5671" t="s">
        <v>26</v>
      </c>
    </row>
    <row r="5672" spans="1:19" x14ac:dyDescent="0.3">
      <c r="A5672" t="s">
        <v>32470</v>
      </c>
      <c r="B5672" t="s">
        <v>35016</v>
      </c>
      <c r="C5672" t="s">
        <v>35021</v>
      </c>
      <c r="D5672" t="s">
        <v>32486</v>
      </c>
      <c r="E5672" t="s">
        <v>33231</v>
      </c>
      <c r="F5672" t="s">
        <v>35020</v>
      </c>
      <c r="G5672" t="s">
        <v>35020</v>
      </c>
      <c r="H5672" t="s">
        <v>868</v>
      </c>
      <c r="I5672" t="s">
        <v>950</v>
      </c>
      <c r="J5672" t="str">
        <f>"9500003"</f>
        <v>9500003</v>
      </c>
      <c r="K5672">
        <v>2831082298</v>
      </c>
      <c r="L5672">
        <v>2831082298</v>
      </c>
      <c r="M5672" t="s">
        <v>35022</v>
      </c>
      <c r="N5672" t="s">
        <v>35023</v>
      </c>
      <c r="O5672" t="s">
        <v>35023</v>
      </c>
      <c r="P5672">
        <v>74055</v>
      </c>
      <c r="Q5672" t="str">
        <f>"35.273868"</f>
        <v>35.273868</v>
      </c>
      <c r="R5672" t="str">
        <f>"24.284575"</f>
        <v>24.284575</v>
      </c>
      <c r="S5672" t="s">
        <v>57</v>
      </c>
    </row>
    <row r="5673" spans="1:19" x14ac:dyDescent="0.3">
      <c r="A5673" t="s">
        <v>32470</v>
      </c>
      <c r="B5673" t="s">
        <v>35016</v>
      </c>
      <c r="C5673" t="s">
        <v>33312</v>
      </c>
      <c r="D5673" t="s">
        <v>32486</v>
      </c>
      <c r="E5673" t="s">
        <v>20356</v>
      </c>
      <c r="F5673" t="s">
        <v>33307</v>
      </c>
      <c r="G5673" t="s">
        <v>33307</v>
      </c>
      <c r="H5673" t="s">
        <v>868</v>
      </c>
      <c r="I5673" t="s">
        <v>869</v>
      </c>
      <c r="J5673" t="str">
        <f>"9500126"</f>
        <v>9500126</v>
      </c>
      <c r="K5673">
        <v>2824031229</v>
      </c>
      <c r="L5673">
        <v>2824031229</v>
      </c>
      <c r="M5673" t="s">
        <v>35033</v>
      </c>
      <c r="N5673" t="s">
        <v>33311</v>
      </c>
      <c r="O5673" t="s">
        <v>35034</v>
      </c>
      <c r="P5673">
        <v>73002</v>
      </c>
      <c r="Q5673" t="str">
        <f>"35.468992"</f>
        <v>35.468992</v>
      </c>
      <c r="R5673" t="str">
        <f>"23.802432"</f>
        <v>23.802432</v>
      </c>
      <c r="S5673" t="s">
        <v>26</v>
      </c>
    </row>
    <row r="5674" spans="1:19" x14ac:dyDescent="0.3">
      <c r="A5674" t="s">
        <v>32470</v>
      </c>
      <c r="B5674" t="s">
        <v>35016</v>
      </c>
      <c r="C5674" t="s">
        <v>35037</v>
      </c>
      <c r="D5674" t="s">
        <v>32486</v>
      </c>
      <c r="E5674" t="s">
        <v>32486</v>
      </c>
      <c r="F5674" t="s">
        <v>35035</v>
      </c>
      <c r="G5674" t="s">
        <v>35036</v>
      </c>
      <c r="H5674" t="s">
        <v>868</v>
      </c>
      <c r="I5674" t="s">
        <v>950</v>
      </c>
      <c r="J5674" t="str">
        <f>"9500091"</f>
        <v>9500091</v>
      </c>
      <c r="K5674">
        <v>2821065223</v>
      </c>
      <c r="L5674">
        <v>2821065223</v>
      </c>
      <c r="M5674" t="s">
        <v>35038</v>
      </c>
      <c r="N5674" t="s">
        <v>35039</v>
      </c>
      <c r="O5674" t="s">
        <v>35039</v>
      </c>
      <c r="P5674">
        <v>73300</v>
      </c>
      <c r="Q5674" t="str">
        <f>"35.439374"</f>
        <v>35.439374</v>
      </c>
      <c r="R5674" t="str">
        <f>"24.059418"</f>
        <v>24.059418</v>
      </c>
      <c r="S5674" t="s">
        <v>26</v>
      </c>
    </row>
    <row r="5675" spans="1:19" x14ac:dyDescent="0.3">
      <c r="A5675" t="s">
        <v>32470</v>
      </c>
      <c r="B5675" t="s">
        <v>35016</v>
      </c>
      <c r="C5675" t="s">
        <v>35069</v>
      </c>
      <c r="D5675" t="s">
        <v>32486</v>
      </c>
      <c r="E5675" t="s">
        <v>32486</v>
      </c>
      <c r="F5675" t="s">
        <v>35024</v>
      </c>
      <c r="G5675" t="s">
        <v>4424</v>
      </c>
      <c r="H5675" t="s">
        <v>868</v>
      </c>
      <c r="I5675" t="s">
        <v>950</v>
      </c>
      <c r="J5675" t="str">
        <f>"9500080"</f>
        <v>9500080</v>
      </c>
      <c r="K5675">
        <v>2821077880</v>
      </c>
      <c r="L5675">
        <v>2821077369</v>
      </c>
      <c r="M5675" t="s">
        <v>35070</v>
      </c>
      <c r="N5675" t="s">
        <v>20606</v>
      </c>
      <c r="O5675" t="s">
        <v>35071</v>
      </c>
      <c r="P5675">
        <v>73005</v>
      </c>
      <c r="Q5675" t="str">
        <f>"35.472032"</f>
        <v>35.472032</v>
      </c>
      <c r="R5675" t="str">
        <f>"23.928610"</f>
        <v>23.928610</v>
      </c>
      <c r="S5675" t="s">
        <v>26</v>
      </c>
    </row>
    <row r="5676" spans="1:19" x14ac:dyDescent="0.3">
      <c r="A5676" t="s">
        <v>32470</v>
      </c>
      <c r="B5676" t="s">
        <v>35016</v>
      </c>
      <c r="C5676" t="s">
        <v>35093</v>
      </c>
      <c r="D5676" t="s">
        <v>32486</v>
      </c>
      <c r="E5676" t="s">
        <v>33231</v>
      </c>
      <c r="F5676" t="s">
        <v>35043</v>
      </c>
      <c r="G5676" t="s">
        <v>35092</v>
      </c>
      <c r="H5676" t="s">
        <v>868</v>
      </c>
      <c r="I5676" t="s">
        <v>869</v>
      </c>
      <c r="J5676" t="str">
        <f>"9500021"</f>
        <v>9500021</v>
      </c>
      <c r="K5676">
        <v>2825096298</v>
      </c>
      <c r="L5676">
        <v>2825096298</v>
      </c>
      <c r="M5676" t="s">
        <v>35094</v>
      </c>
      <c r="N5676" t="s">
        <v>35095</v>
      </c>
      <c r="O5676" t="s">
        <v>35096</v>
      </c>
      <c r="P5676">
        <v>73007</v>
      </c>
      <c r="Q5676" t="str">
        <f>"35.316360"</f>
        <v>35.316360</v>
      </c>
      <c r="R5676" t="str">
        <f>"24.297034"</f>
        <v>24.297034</v>
      </c>
      <c r="S5676" t="s">
        <v>26</v>
      </c>
    </row>
    <row r="5677" spans="1:19" x14ac:dyDescent="0.3">
      <c r="A5677" t="s">
        <v>32470</v>
      </c>
      <c r="B5677" t="s">
        <v>35016</v>
      </c>
      <c r="C5677" t="s">
        <v>35098</v>
      </c>
      <c r="D5677" t="s">
        <v>32486</v>
      </c>
      <c r="E5677" t="s">
        <v>32486</v>
      </c>
      <c r="F5677" t="s">
        <v>35024</v>
      </c>
      <c r="G5677" t="s">
        <v>35097</v>
      </c>
      <c r="H5677" t="s">
        <v>868</v>
      </c>
      <c r="I5677" t="s">
        <v>869</v>
      </c>
      <c r="J5677" t="str">
        <f>"9500107"</f>
        <v>9500107</v>
      </c>
      <c r="K5677">
        <v>2821096244</v>
      </c>
      <c r="L5677">
        <v>2821096244</v>
      </c>
      <c r="M5677" t="s">
        <v>35099</v>
      </c>
      <c r="N5677" t="s">
        <v>35100</v>
      </c>
      <c r="O5677" t="s">
        <v>35100</v>
      </c>
      <c r="P5677">
        <v>73100</v>
      </c>
      <c r="Q5677" t="str">
        <f>"35.483766"</f>
        <v>35.483766</v>
      </c>
      <c r="R5677" t="str">
        <f>"23.991405"</f>
        <v>23.991405</v>
      </c>
      <c r="S5677" t="s">
        <v>26</v>
      </c>
    </row>
    <row r="5678" spans="1:19" x14ac:dyDescent="0.3">
      <c r="A5678" t="s">
        <v>32470</v>
      </c>
      <c r="B5678" t="s">
        <v>35016</v>
      </c>
      <c r="C5678" t="s">
        <v>35105</v>
      </c>
      <c r="D5678" t="s">
        <v>32486</v>
      </c>
      <c r="E5678" t="s">
        <v>33276</v>
      </c>
      <c r="F5678" t="s">
        <v>33276</v>
      </c>
      <c r="G5678" t="s">
        <v>35104</v>
      </c>
      <c r="H5678" t="s">
        <v>868</v>
      </c>
      <c r="I5678" t="s">
        <v>869</v>
      </c>
      <c r="J5678" t="str">
        <f>"9500055"</f>
        <v>9500055</v>
      </c>
      <c r="K5678">
        <v>2825092237</v>
      </c>
      <c r="L5678">
        <v>2825092237</v>
      </c>
      <c r="M5678" t="s">
        <v>35106</v>
      </c>
      <c r="N5678" t="s">
        <v>35107</v>
      </c>
      <c r="O5678" t="s">
        <v>35108</v>
      </c>
      <c r="P5678">
        <v>73011</v>
      </c>
      <c r="Q5678" t="str">
        <f>"35.211503"</f>
        <v>35.211503</v>
      </c>
      <c r="R5678" t="str">
        <f>"24.191761"</f>
        <v>24.191761</v>
      </c>
      <c r="S5678" t="s">
        <v>57</v>
      </c>
    </row>
    <row r="5679" spans="1:19" x14ac:dyDescent="0.3">
      <c r="A5679" t="s">
        <v>32470</v>
      </c>
      <c r="B5679" t="s">
        <v>35016</v>
      </c>
      <c r="C5679" t="s">
        <v>35109</v>
      </c>
      <c r="D5679" t="s">
        <v>32486</v>
      </c>
      <c r="E5679" t="s">
        <v>32486</v>
      </c>
      <c r="F5679" t="s">
        <v>33372</v>
      </c>
      <c r="G5679" t="s">
        <v>13279</v>
      </c>
      <c r="H5679" t="s">
        <v>868</v>
      </c>
      <c r="I5679" t="s">
        <v>869</v>
      </c>
      <c r="J5679" t="str">
        <f>"9500148"</f>
        <v>9500148</v>
      </c>
      <c r="K5679">
        <v>2821068328</v>
      </c>
      <c r="L5679">
        <v>2821068328</v>
      </c>
      <c r="M5679" t="s">
        <v>35110</v>
      </c>
      <c r="N5679" t="s">
        <v>35111</v>
      </c>
      <c r="O5679" t="s">
        <v>35112</v>
      </c>
      <c r="P5679">
        <v>73014</v>
      </c>
      <c r="Q5679" t="str">
        <f>"35.518092"</f>
        <v>35.518092</v>
      </c>
      <c r="R5679" t="str">
        <f>"23.926824"</f>
        <v>23.926824</v>
      </c>
      <c r="S5679" t="s">
        <v>26</v>
      </c>
    </row>
    <row r="5680" spans="1:19" x14ac:dyDescent="0.3">
      <c r="A5680" t="s">
        <v>32470</v>
      </c>
      <c r="B5680" t="s">
        <v>35016</v>
      </c>
      <c r="C5680" t="s">
        <v>35214</v>
      </c>
      <c r="D5680" t="s">
        <v>32486</v>
      </c>
      <c r="E5680" t="s">
        <v>33231</v>
      </c>
      <c r="F5680" t="s">
        <v>35043</v>
      </c>
      <c r="G5680" t="s">
        <v>35043</v>
      </c>
      <c r="H5680" t="s">
        <v>868</v>
      </c>
      <c r="I5680" t="s">
        <v>869</v>
      </c>
      <c r="J5680" t="str">
        <f>"9500009"</f>
        <v>9500009</v>
      </c>
      <c r="K5680">
        <v>2825061346</v>
      </c>
      <c r="L5680">
        <v>2825061346</v>
      </c>
      <c r="M5680" t="s">
        <v>35215</v>
      </c>
      <c r="N5680" t="s">
        <v>35216</v>
      </c>
      <c r="O5680" t="s">
        <v>35216</v>
      </c>
      <c r="P5680">
        <v>73007</v>
      </c>
      <c r="Q5680" t="str">
        <f>"35.359901"</f>
        <v>35.359901</v>
      </c>
      <c r="R5680" t="str">
        <f>"24.259849"</f>
        <v>24.259849</v>
      </c>
      <c r="S5680" t="s">
        <v>26</v>
      </c>
    </row>
    <row r="5681" spans="1:19" x14ac:dyDescent="0.3">
      <c r="A5681" t="s">
        <v>32470</v>
      </c>
      <c r="B5681" t="s">
        <v>35016</v>
      </c>
      <c r="C5681" t="s">
        <v>35217</v>
      </c>
      <c r="D5681" t="s">
        <v>32486</v>
      </c>
      <c r="E5681" t="s">
        <v>33276</v>
      </c>
      <c r="F5681" t="s">
        <v>33276</v>
      </c>
      <c r="G5681" t="s">
        <v>35120</v>
      </c>
      <c r="H5681" t="s">
        <v>868</v>
      </c>
      <c r="I5681" t="s">
        <v>950</v>
      </c>
      <c r="J5681" t="str">
        <f>"9500355"</f>
        <v>9500355</v>
      </c>
      <c r="K5681">
        <v>2825095295</v>
      </c>
      <c r="L5681">
        <v>2825095295</v>
      </c>
      <c r="M5681" t="s">
        <v>35218</v>
      </c>
      <c r="N5681" t="s">
        <v>35120</v>
      </c>
      <c r="O5681" t="s">
        <v>35219</v>
      </c>
      <c r="P5681">
        <v>73011</v>
      </c>
      <c r="Q5681" t="str">
        <f>"35.289596"</f>
        <v>35.289596</v>
      </c>
      <c r="R5681" t="str">
        <f>"24.180338"</f>
        <v>24.180338</v>
      </c>
      <c r="S5681" t="s">
        <v>57</v>
      </c>
    </row>
    <row r="5682" spans="1:19" x14ac:dyDescent="0.3">
      <c r="A5682" t="s">
        <v>32470</v>
      </c>
      <c r="B5682" t="s">
        <v>35016</v>
      </c>
      <c r="C5682" t="s">
        <v>33291</v>
      </c>
      <c r="D5682" t="s">
        <v>32486</v>
      </c>
      <c r="E5682" t="s">
        <v>33231</v>
      </c>
      <c r="F5682" t="s">
        <v>33286</v>
      </c>
      <c r="G5682" t="s">
        <v>33286</v>
      </c>
      <c r="H5682" t="s">
        <v>868</v>
      </c>
      <c r="I5682" t="s">
        <v>869</v>
      </c>
      <c r="J5682" t="str">
        <f>"9500004"</f>
        <v>9500004</v>
      </c>
      <c r="K5682">
        <v>2825022272</v>
      </c>
      <c r="L5682">
        <v>2825022272</v>
      </c>
      <c r="M5682" t="s">
        <v>35220</v>
      </c>
      <c r="N5682" t="s">
        <v>35221</v>
      </c>
      <c r="O5682" t="s">
        <v>35221</v>
      </c>
      <c r="P5682">
        <v>73008</v>
      </c>
      <c r="Q5682" t="str">
        <f>"35.406588"</f>
        <v>35.406588</v>
      </c>
      <c r="R5682" t="str">
        <f>"24.199312"</f>
        <v>24.199312</v>
      </c>
      <c r="S5682" t="s">
        <v>26</v>
      </c>
    </row>
    <row r="5683" spans="1:19" x14ac:dyDescent="0.3">
      <c r="A5683" t="s">
        <v>32470</v>
      </c>
      <c r="B5683" t="s">
        <v>35016</v>
      </c>
      <c r="C5683" t="s">
        <v>35223</v>
      </c>
      <c r="D5683" t="s">
        <v>32486</v>
      </c>
      <c r="E5683" t="s">
        <v>35222</v>
      </c>
      <c r="F5683" t="s">
        <v>35222</v>
      </c>
      <c r="G5683" t="s">
        <v>35222</v>
      </c>
      <c r="H5683" t="s">
        <v>868</v>
      </c>
      <c r="I5683" t="s">
        <v>950</v>
      </c>
      <c r="J5683" t="str">
        <f>"9500170"</f>
        <v>9500170</v>
      </c>
      <c r="K5683">
        <v>2823041125</v>
      </c>
      <c r="L5683">
        <v>2823041125</v>
      </c>
      <c r="M5683" t="s">
        <v>35224</v>
      </c>
      <c r="N5683" t="s">
        <v>35225</v>
      </c>
      <c r="O5683" t="s">
        <v>35225</v>
      </c>
      <c r="P5683">
        <v>73001</v>
      </c>
      <c r="Q5683" t="str">
        <f>"34.831456"</f>
        <v>34.831456</v>
      </c>
      <c r="R5683" t="str">
        <f>"24.081493"</f>
        <v>24.081493</v>
      </c>
      <c r="S5683" t="s">
        <v>57</v>
      </c>
    </row>
    <row r="5684" spans="1:19" x14ac:dyDescent="0.3">
      <c r="A5684" t="s">
        <v>32470</v>
      </c>
      <c r="B5684" t="s">
        <v>35016</v>
      </c>
      <c r="C5684" t="s">
        <v>33371</v>
      </c>
      <c r="D5684" t="s">
        <v>32486</v>
      </c>
      <c r="E5684" t="s">
        <v>33301</v>
      </c>
      <c r="F5684" t="s">
        <v>33301</v>
      </c>
      <c r="G5684" t="s">
        <v>33301</v>
      </c>
      <c r="H5684" t="s">
        <v>868</v>
      </c>
      <c r="I5684" t="s">
        <v>869</v>
      </c>
      <c r="J5684" t="str">
        <f>"9500189"</f>
        <v>9500189</v>
      </c>
      <c r="K5684">
        <v>2822022119</v>
      </c>
      <c r="L5684">
        <v>2822022119</v>
      </c>
      <c r="M5684" t="s">
        <v>35226</v>
      </c>
      <c r="N5684" t="s">
        <v>33370</v>
      </c>
      <c r="O5684" t="s">
        <v>35227</v>
      </c>
      <c r="P5684">
        <v>73400</v>
      </c>
      <c r="Q5684" t="str">
        <f>"35.492183"</f>
        <v>35.492183</v>
      </c>
      <c r="R5684" t="str">
        <f>"23.653477"</f>
        <v>23.653477</v>
      </c>
      <c r="S5684" t="s">
        <v>26</v>
      </c>
    </row>
    <row r="5685" spans="1:19" x14ac:dyDescent="0.3">
      <c r="A5685" t="s">
        <v>32470</v>
      </c>
      <c r="B5685" t="s">
        <v>35016</v>
      </c>
      <c r="C5685" t="s">
        <v>35257</v>
      </c>
      <c r="D5685" t="s">
        <v>32486</v>
      </c>
      <c r="E5685" t="s">
        <v>33301</v>
      </c>
      <c r="F5685" t="s">
        <v>33301</v>
      </c>
      <c r="G5685" t="s">
        <v>33301</v>
      </c>
      <c r="H5685" t="s">
        <v>868</v>
      </c>
      <c r="I5685" t="s">
        <v>869</v>
      </c>
      <c r="J5685" t="str">
        <f>"9500374"</f>
        <v>9500374</v>
      </c>
      <c r="K5685">
        <v>2822023194</v>
      </c>
      <c r="L5685">
        <v>2822023194</v>
      </c>
      <c r="M5685" t="s">
        <v>35258</v>
      </c>
      <c r="N5685" t="s">
        <v>33370</v>
      </c>
      <c r="O5685" t="s">
        <v>33369</v>
      </c>
      <c r="P5685">
        <v>73400</v>
      </c>
      <c r="Q5685" t="str">
        <f>"35.495662"</f>
        <v>35.495662</v>
      </c>
      <c r="R5685" t="str">
        <f>"23.645488"</f>
        <v>23.645488</v>
      </c>
      <c r="S5685" t="s">
        <v>26</v>
      </c>
    </row>
    <row r="5686" spans="1:19" x14ac:dyDescent="0.3">
      <c r="A5686" t="s">
        <v>32470</v>
      </c>
      <c r="B5686" t="s">
        <v>35016</v>
      </c>
      <c r="C5686" t="s">
        <v>35285</v>
      </c>
      <c r="D5686" t="s">
        <v>32486</v>
      </c>
      <c r="E5686" t="s">
        <v>33231</v>
      </c>
      <c r="F5686" t="s">
        <v>35171</v>
      </c>
      <c r="G5686" t="s">
        <v>35171</v>
      </c>
      <c r="H5686" t="s">
        <v>868</v>
      </c>
      <c r="I5686" t="s">
        <v>869</v>
      </c>
      <c r="J5686" t="str">
        <f>"9500032"</f>
        <v>9500032</v>
      </c>
      <c r="K5686">
        <v>2825071301</v>
      </c>
      <c r="L5686">
        <v>2825083602</v>
      </c>
      <c r="M5686" t="s">
        <v>35286</v>
      </c>
      <c r="N5686" t="s">
        <v>35287</v>
      </c>
      <c r="O5686" t="s">
        <v>35288</v>
      </c>
      <c r="P5686">
        <v>73008</v>
      </c>
      <c r="Q5686" t="str">
        <f>"35.382429"</f>
        <v>35.382429</v>
      </c>
      <c r="R5686" t="str">
        <f>"24.144305"</f>
        <v>24.144305</v>
      </c>
      <c r="S5686" t="s">
        <v>26</v>
      </c>
    </row>
    <row r="5687" spans="1:19" x14ac:dyDescent="0.3">
      <c r="A5687" t="s">
        <v>32470</v>
      </c>
      <c r="B5687" t="s">
        <v>35016</v>
      </c>
      <c r="C5687" t="s">
        <v>35306</v>
      </c>
      <c r="D5687" t="s">
        <v>32486</v>
      </c>
      <c r="E5687" t="s">
        <v>32486</v>
      </c>
      <c r="F5687" t="s">
        <v>33372</v>
      </c>
      <c r="G5687" t="s">
        <v>6337</v>
      </c>
      <c r="H5687" t="s">
        <v>868</v>
      </c>
      <c r="I5687" t="s">
        <v>869</v>
      </c>
      <c r="J5687" t="str">
        <f>"9500403"</f>
        <v>9500403</v>
      </c>
      <c r="K5687">
        <v>2821033142</v>
      </c>
      <c r="L5687">
        <v>2821033142</v>
      </c>
      <c r="M5687" t="s">
        <v>35307</v>
      </c>
      <c r="N5687" t="s">
        <v>6242</v>
      </c>
      <c r="O5687" t="s">
        <v>35308</v>
      </c>
      <c r="P5687">
        <v>73100</v>
      </c>
      <c r="Q5687" t="str">
        <f>"35.501713"</f>
        <v>35.501713</v>
      </c>
      <c r="R5687" t="str">
        <f>"23.966107"</f>
        <v>23.966107</v>
      </c>
      <c r="S5687" t="s">
        <v>26</v>
      </c>
    </row>
    <row r="5688" spans="1:19" x14ac:dyDescent="0.3">
      <c r="A5688" t="s">
        <v>32470</v>
      </c>
      <c r="B5688" t="s">
        <v>35016</v>
      </c>
      <c r="C5688" t="s">
        <v>35333</v>
      </c>
      <c r="D5688" t="s">
        <v>32486</v>
      </c>
      <c r="E5688" t="s">
        <v>32486</v>
      </c>
      <c r="F5688" t="s">
        <v>32486</v>
      </c>
      <c r="G5688" t="s">
        <v>32486</v>
      </c>
      <c r="H5688" t="s">
        <v>868</v>
      </c>
      <c r="I5688" t="s">
        <v>869</v>
      </c>
      <c r="J5688" t="str">
        <f>"9500137"</f>
        <v>9500137</v>
      </c>
      <c r="K5688">
        <v>2821093156</v>
      </c>
      <c r="L5688">
        <v>2821093156</v>
      </c>
      <c r="M5688" t="s">
        <v>35334</v>
      </c>
      <c r="N5688" t="s">
        <v>32489</v>
      </c>
      <c r="O5688" t="s">
        <v>35335</v>
      </c>
      <c r="P5688">
        <v>73131</v>
      </c>
      <c r="Q5688" t="str">
        <f>"35.514228"</f>
        <v>35.514228</v>
      </c>
      <c r="R5688" t="str">
        <f>"24.016061"</f>
        <v>24.016061</v>
      </c>
      <c r="S5688" t="s">
        <v>26</v>
      </c>
    </row>
    <row r="5689" spans="1:19" x14ac:dyDescent="0.3">
      <c r="A5689" t="s">
        <v>32470</v>
      </c>
      <c r="B5689" t="s">
        <v>35016</v>
      </c>
      <c r="C5689" t="s">
        <v>35339</v>
      </c>
      <c r="D5689" t="s">
        <v>32486</v>
      </c>
      <c r="E5689" t="s">
        <v>32486</v>
      </c>
      <c r="F5689" t="s">
        <v>13933</v>
      </c>
      <c r="G5689" t="s">
        <v>33253</v>
      </c>
      <c r="H5689" t="s">
        <v>868</v>
      </c>
      <c r="I5689" t="s">
        <v>869</v>
      </c>
      <c r="J5689" t="str">
        <f>"9500358"</f>
        <v>9500358</v>
      </c>
      <c r="K5689">
        <v>2821093459</v>
      </c>
      <c r="L5689">
        <v>2821072825</v>
      </c>
      <c r="M5689" t="s">
        <v>35340</v>
      </c>
      <c r="N5689" t="s">
        <v>35139</v>
      </c>
      <c r="O5689" t="s">
        <v>35341</v>
      </c>
      <c r="P5689">
        <v>73300</v>
      </c>
      <c r="Q5689" t="str">
        <f>"35.499574"</f>
        <v>35.499574</v>
      </c>
      <c r="R5689" t="str">
        <f>"24.012228"</f>
        <v>24.012228</v>
      </c>
      <c r="S5689" t="s">
        <v>26</v>
      </c>
    </row>
    <row r="5690" spans="1:19" x14ac:dyDescent="0.3">
      <c r="A5690" t="s">
        <v>32470</v>
      </c>
      <c r="B5690" t="s">
        <v>35016</v>
      </c>
      <c r="C5690" t="s">
        <v>35342</v>
      </c>
      <c r="D5690" t="s">
        <v>32486</v>
      </c>
      <c r="E5690" t="s">
        <v>32486</v>
      </c>
      <c r="F5690" t="s">
        <v>13933</v>
      </c>
      <c r="G5690" t="s">
        <v>33360</v>
      </c>
      <c r="H5690" t="s">
        <v>868</v>
      </c>
      <c r="I5690" t="s">
        <v>869</v>
      </c>
      <c r="J5690" t="str">
        <f>"9500329"</f>
        <v>9500329</v>
      </c>
      <c r="K5690">
        <v>2821099075</v>
      </c>
      <c r="L5690">
        <v>2821099075</v>
      </c>
      <c r="M5690" t="s">
        <v>35343</v>
      </c>
      <c r="N5690" t="s">
        <v>35344</v>
      </c>
      <c r="O5690" t="s">
        <v>35345</v>
      </c>
      <c r="P5690">
        <v>73134</v>
      </c>
      <c r="Q5690" t="str">
        <f>"35.492702"</f>
        <v>35.492702</v>
      </c>
      <c r="R5690" t="str">
        <f>"24.042533"</f>
        <v>24.042533</v>
      </c>
      <c r="S5690" t="s">
        <v>26</v>
      </c>
    </row>
    <row r="5691" spans="1:19" x14ac:dyDescent="0.3">
      <c r="A5691" t="s">
        <v>32470</v>
      </c>
      <c r="B5691" t="s">
        <v>35016</v>
      </c>
      <c r="C5691" t="s">
        <v>35346</v>
      </c>
      <c r="D5691" t="s">
        <v>32486</v>
      </c>
      <c r="E5691" t="s">
        <v>32486</v>
      </c>
      <c r="F5691" t="s">
        <v>13933</v>
      </c>
      <c r="G5691" t="s">
        <v>33360</v>
      </c>
      <c r="H5691" t="s">
        <v>868</v>
      </c>
      <c r="I5691" t="s">
        <v>869</v>
      </c>
      <c r="J5691" t="str">
        <f>"9500103"</f>
        <v>9500103</v>
      </c>
      <c r="K5691">
        <v>2821097037</v>
      </c>
      <c r="L5691">
        <v>2821090920</v>
      </c>
      <c r="M5691" t="s">
        <v>35347</v>
      </c>
      <c r="N5691" t="s">
        <v>33360</v>
      </c>
      <c r="O5691" t="s">
        <v>33360</v>
      </c>
      <c r="P5691">
        <v>73100</v>
      </c>
      <c r="Q5691" t="str">
        <f>"35.473710"</f>
        <v>35.473710</v>
      </c>
      <c r="R5691" t="str">
        <f>"24.042154"</f>
        <v>24.042154</v>
      </c>
      <c r="S5691" t="s">
        <v>26</v>
      </c>
    </row>
    <row r="5692" spans="1:19" x14ac:dyDescent="0.3">
      <c r="A5692" t="s">
        <v>32470</v>
      </c>
      <c r="B5692" t="s">
        <v>35016</v>
      </c>
      <c r="C5692" t="s">
        <v>33406</v>
      </c>
      <c r="D5692" t="s">
        <v>32486</v>
      </c>
      <c r="E5692" t="s">
        <v>32486</v>
      </c>
      <c r="F5692" t="s">
        <v>35024</v>
      </c>
      <c r="G5692" t="s">
        <v>35130</v>
      </c>
      <c r="H5692" t="s">
        <v>868</v>
      </c>
      <c r="I5692" t="s">
        <v>869</v>
      </c>
      <c r="J5692" t="str">
        <f>"9500119"</f>
        <v>9500119</v>
      </c>
      <c r="K5692">
        <v>2821095816</v>
      </c>
      <c r="L5692">
        <v>2821095816</v>
      </c>
      <c r="M5692" t="s">
        <v>35362</v>
      </c>
      <c r="N5692" t="s">
        <v>35363</v>
      </c>
      <c r="O5692" t="s">
        <v>35364</v>
      </c>
      <c r="P5692">
        <v>73135</v>
      </c>
      <c r="Q5692" t="str">
        <f>"35.492726"</f>
        <v>35.492726</v>
      </c>
      <c r="R5692" t="str">
        <f>"23.986401"</f>
        <v>23.986401</v>
      </c>
      <c r="S5692" t="s">
        <v>26</v>
      </c>
    </row>
    <row r="5693" spans="1:19" x14ac:dyDescent="0.3">
      <c r="A5693" t="s">
        <v>32470</v>
      </c>
      <c r="B5693" t="s">
        <v>35016</v>
      </c>
      <c r="C5693" t="s">
        <v>35365</v>
      </c>
      <c r="D5693" t="s">
        <v>32486</v>
      </c>
      <c r="E5693" t="s">
        <v>33276</v>
      </c>
      <c r="F5693" t="s">
        <v>33276</v>
      </c>
      <c r="G5693" t="s">
        <v>33444</v>
      </c>
      <c r="H5693" t="s">
        <v>868</v>
      </c>
      <c r="I5693" t="s">
        <v>950</v>
      </c>
      <c r="J5693" t="str">
        <f>"9500052"</f>
        <v>9500052</v>
      </c>
      <c r="K5693">
        <v>2825091172</v>
      </c>
      <c r="L5693">
        <v>2825091172</v>
      </c>
      <c r="M5693" t="s">
        <v>35366</v>
      </c>
      <c r="N5693" t="s">
        <v>35031</v>
      </c>
      <c r="O5693" t="s">
        <v>35032</v>
      </c>
      <c r="P5693">
        <v>73011</v>
      </c>
      <c r="Q5693" t="str">
        <f>"35.218100"</f>
        <v>35.218100</v>
      </c>
      <c r="R5693" t="str">
        <f>"24.085445"</f>
        <v>24.085445</v>
      </c>
      <c r="S5693" t="s">
        <v>57</v>
      </c>
    </row>
    <row r="5694" spans="1:19" x14ac:dyDescent="0.3">
      <c r="A5694" t="s">
        <v>32470</v>
      </c>
      <c r="B5694" t="s">
        <v>35016</v>
      </c>
      <c r="C5694" t="s">
        <v>33282</v>
      </c>
      <c r="D5694" t="s">
        <v>32486</v>
      </c>
      <c r="E5694" t="s">
        <v>33276</v>
      </c>
      <c r="F5694" t="s">
        <v>33276</v>
      </c>
      <c r="G5694" t="s">
        <v>33277</v>
      </c>
      <c r="H5694" t="s">
        <v>868</v>
      </c>
      <c r="I5694" t="s">
        <v>950</v>
      </c>
      <c r="J5694" t="str">
        <f>"9500061"</f>
        <v>9500061</v>
      </c>
      <c r="K5694">
        <v>2825091208</v>
      </c>
      <c r="L5694">
        <v>2825091208</v>
      </c>
      <c r="M5694" t="s">
        <v>35367</v>
      </c>
      <c r="N5694" t="s">
        <v>33277</v>
      </c>
      <c r="O5694" t="s">
        <v>33280</v>
      </c>
      <c r="P5694">
        <v>73011</v>
      </c>
      <c r="Q5694" t="str">
        <f>"35.201737"</f>
        <v>35.201737</v>
      </c>
      <c r="R5694" t="str">
        <f>"24.138165"</f>
        <v>24.138165</v>
      </c>
      <c r="S5694" t="s">
        <v>57</v>
      </c>
    </row>
    <row r="5695" spans="1:19" x14ac:dyDescent="0.3">
      <c r="A5695" t="s">
        <v>32470</v>
      </c>
      <c r="B5695" t="s">
        <v>35016</v>
      </c>
      <c r="C5695" t="s">
        <v>33230</v>
      </c>
      <c r="D5695" t="s">
        <v>32486</v>
      </c>
      <c r="E5695" t="s">
        <v>32486</v>
      </c>
      <c r="F5695" t="s">
        <v>32486</v>
      </c>
      <c r="G5695" t="s">
        <v>32486</v>
      </c>
      <c r="H5695" t="s">
        <v>868</v>
      </c>
      <c r="I5695" t="s">
        <v>869</v>
      </c>
      <c r="J5695" t="str">
        <f>"9500075"</f>
        <v>9500075</v>
      </c>
      <c r="K5695">
        <v>2821046505</v>
      </c>
      <c r="L5695">
        <v>2821040311</v>
      </c>
      <c r="M5695" t="s">
        <v>35368</v>
      </c>
      <c r="N5695" t="s">
        <v>33315</v>
      </c>
      <c r="O5695" t="s">
        <v>35261</v>
      </c>
      <c r="P5695">
        <v>73133</v>
      </c>
      <c r="Q5695" t="str">
        <f>"35.507935"</f>
        <v>35.507935</v>
      </c>
      <c r="R5695" t="str">
        <f>"24.024756"</f>
        <v>24.024756</v>
      </c>
      <c r="S5695" t="s">
        <v>26</v>
      </c>
    </row>
    <row r="5696" spans="1:19" x14ac:dyDescent="0.3">
      <c r="A5696" t="s">
        <v>32470</v>
      </c>
      <c r="B5696" t="s">
        <v>35016</v>
      </c>
      <c r="C5696" t="s">
        <v>35369</v>
      </c>
      <c r="D5696" t="s">
        <v>32486</v>
      </c>
      <c r="E5696" t="s">
        <v>32486</v>
      </c>
      <c r="F5696" t="s">
        <v>32486</v>
      </c>
      <c r="G5696" t="s">
        <v>32486</v>
      </c>
      <c r="H5696" t="s">
        <v>868</v>
      </c>
      <c r="I5696" t="s">
        <v>869</v>
      </c>
      <c r="J5696" t="str">
        <f>"9500423"</f>
        <v>9500423</v>
      </c>
      <c r="K5696">
        <v>2821023473</v>
      </c>
      <c r="L5696">
        <v>2821023473</v>
      </c>
      <c r="M5696" t="s">
        <v>35370</v>
      </c>
      <c r="N5696" t="s">
        <v>33275</v>
      </c>
      <c r="O5696" t="s">
        <v>35371</v>
      </c>
      <c r="P5696">
        <v>73134</v>
      </c>
      <c r="Q5696" t="str">
        <f>"35.508215"</f>
        <v>35.508215</v>
      </c>
      <c r="R5696" t="str">
        <f>"24.028146"</f>
        <v>24.028146</v>
      </c>
      <c r="S5696" t="s">
        <v>26</v>
      </c>
    </row>
    <row r="5697" spans="1:19" x14ac:dyDescent="0.3">
      <c r="A5697" t="s">
        <v>32470</v>
      </c>
      <c r="B5697" t="s">
        <v>35016</v>
      </c>
      <c r="C5697" t="s">
        <v>35382</v>
      </c>
      <c r="D5697" t="s">
        <v>32486</v>
      </c>
      <c r="E5697" t="s">
        <v>32486</v>
      </c>
      <c r="F5697" t="s">
        <v>32486</v>
      </c>
      <c r="G5697" t="s">
        <v>32486</v>
      </c>
      <c r="H5697" t="s">
        <v>868</v>
      </c>
      <c r="I5697" t="s">
        <v>869</v>
      </c>
      <c r="J5697" t="str">
        <f>"9500320"</f>
        <v>9500320</v>
      </c>
      <c r="K5697">
        <v>2821099577</v>
      </c>
      <c r="L5697">
        <v>2821099577</v>
      </c>
      <c r="M5697" t="s">
        <v>35383</v>
      </c>
      <c r="N5697" t="s">
        <v>33275</v>
      </c>
      <c r="O5697" t="s">
        <v>35256</v>
      </c>
      <c r="P5697">
        <v>73135</v>
      </c>
      <c r="Q5697" t="str">
        <f>"35.506526"</f>
        <v>35.506526</v>
      </c>
      <c r="R5697" t="str">
        <f>"24.022794"</f>
        <v>24.022794</v>
      </c>
      <c r="S5697" t="s">
        <v>26</v>
      </c>
    </row>
    <row r="5698" spans="1:19" x14ac:dyDescent="0.3">
      <c r="A5698" t="s">
        <v>32470</v>
      </c>
      <c r="B5698" t="s">
        <v>35016</v>
      </c>
      <c r="C5698" t="s">
        <v>35389</v>
      </c>
      <c r="D5698" t="s">
        <v>32486</v>
      </c>
      <c r="E5698" t="s">
        <v>32486</v>
      </c>
      <c r="F5698" t="s">
        <v>32486</v>
      </c>
      <c r="G5698" t="s">
        <v>32486</v>
      </c>
      <c r="H5698" t="s">
        <v>868</v>
      </c>
      <c r="I5698" t="s">
        <v>869</v>
      </c>
      <c r="J5698" t="str">
        <f>"9500038"</f>
        <v>9500038</v>
      </c>
      <c r="K5698">
        <v>2821042407</v>
      </c>
      <c r="L5698">
        <v>2821055075</v>
      </c>
      <c r="M5698" t="s">
        <v>35390</v>
      </c>
      <c r="N5698" t="s">
        <v>32489</v>
      </c>
      <c r="O5698" t="s">
        <v>35391</v>
      </c>
      <c r="P5698">
        <v>73133</v>
      </c>
      <c r="Q5698" t="str">
        <f>"35.518693"</f>
        <v>35.518693</v>
      </c>
      <c r="R5698" t="str">
        <f>"24.042211"</f>
        <v>24.042211</v>
      </c>
      <c r="S5698" t="s">
        <v>26</v>
      </c>
    </row>
    <row r="5699" spans="1:19" x14ac:dyDescent="0.3">
      <c r="A5699" t="s">
        <v>32470</v>
      </c>
      <c r="B5699" t="s">
        <v>35016</v>
      </c>
      <c r="C5699" t="s">
        <v>35392</v>
      </c>
      <c r="D5699" t="s">
        <v>32486</v>
      </c>
      <c r="E5699" t="s">
        <v>32486</v>
      </c>
      <c r="F5699" t="s">
        <v>33262</v>
      </c>
      <c r="G5699" t="s">
        <v>33262</v>
      </c>
      <c r="H5699" t="s">
        <v>868</v>
      </c>
      <c r="I5699" t="s">
        <v>869</v>
      </c>
      <c r="J5699" t="str">
        <f>"9500408"</f>
        <v>9500408</v>
      </c>
      <c r="K5699">
        <v>2821081655</v>
      </c>
      <c r="L5699">
        <v>2821081655</v>
      </c>
      <c r="M5699" t="s">
        <v>35393</v>
      </c>
      <c r="N5699" t="s">
        <v>35394</v>
      </c>
      <c r="O5699" t="s">
        <v>35395</v>
      </c>
      <c r="P5699">
        <v>73200</v>
      </c>
      <c r="Q5699" t="str">
        <f>"35.489842"</f>
        <v>35.489842</v>
      </c>
      <c r="R5699" t="str">
        <f>"24.060802"</f>
        <v>24.060802</v>
      </c>
      <c r="S5699" t="s">
        <v>26</v>
      </c>
    </row>
    <row r="5700" spans="1:19" x14ac:dyDescent="0.3">
      <c r="A5700" t="s">
        <v>32470</v>
      </c>
      <c r="B5700" t="s">
        <v>35016</v>
      </c>
      <c r="C5700" t="s">
        <v>33267</v>
      </c>
      <c r="D5700" t="s">
        <v>32486</v>
      </c>
      <c r="E5700" t="s">
        <v>32486</v>
      </c>
      <c r="F5700" t="s">
        <v>33262</v>
      </c>
      <c r="G5700" t="s">
        <v>33262</v>
      </c>
      <c r="H5700" t="s">
        <v>868</v>
      </c>
      <c r="I5700" t="s">
        <v>869</v>
      </c>
      <c r="J5700" t="str">
        <f>"9500407"</f>
        <v>9500407</v>
      </c>
      <c r="K5700">
        <v>2821089224</v>
      </c>
      <c r="L5700">
        <v>2821089224</v>
      </c>
      <c r="M5700" t="s">
        <v>35402</v>
      </c>
      <c r="N5700" t="s">
        <v>35403</v>
      </c>
      <c r="O5700" t="s">
        <v>35404</v>
      </c>
      <c r="P5700">
        <v>73200</v>
      </c>
      <c r="Q5700" t="str">
        <f>"35.488358"</f>
        <v>35.488358</v>
      </c>
      <c r="R5700" t="str">
        <f>"24.068027"</f>
        <v>24.068027</v>
      </c>
      <c r="S5700" t="s">
        <v>26</v>
      </c>
    </row>
    <row r="5701" spans="1:19" x14ac:dyDescent="0.3">
      <c r="A5701" t="s">
        <v>32470</v>
      </c>
      <c r="B5701" t="s">
        <v>35016</v>
      </c>
      <c r="C5701" t="s">
        <v>33258</v>
      </c>
      <c r="D5701" t="s">
        <v>32486</v>
      </c>
      <c r="E5701" t="s">
        <v>32486</v>
      </c>
      <c r="F5701" t="s">
        <v>13933</v>
      </c>
      <c r="G5701" t="s">
        <v>33253</v>
      </c>
      <c r="H5701" t="s">
        <v>868</v>
      </c>
      <c r="I5701" t="s">
        <v>869</v>
      </c>
      <c r="J5701" t="str">
        <f>"9500359"</f>
        <v>9500359</v>
      </c>
      <c r="K5701">
        <v>2821095778</v>
      </c>
      <c r="L5701">
        <v>2821095778</v>
      </c>
      <c r="M5701" t="s">
        <v>35439</v>
      </c>
      <c r="N5701" t="s">
        <v>35440</v>
      </c>
      <c r="O5701" t="s">
        <v>33399</v>
      </c>
      <c r="P5701">
        <v>73300</v>
      </c>
      <c r="Q5701" t="str">
        <f>"35.480050"</f>
        <v>35.480050</v>
      </c>
      <c r="R5701" t="str">
        <f>"24.013964"</f>
        <v>24.013964</v>
      </c>
      <c r="S5701" t="s">
        <v>26</v>
      </c>
    </row>
    <row r="5702" spans="1:19" x14ac:dyDescent="0.3">
      <c r="A5702" t="s">
        <v>32470</v>
      </c>
      <c r="B5702" t="s">
        <v>35016</v>
      </c>
      <c r="C5702" t="s">
        <v>33338</v>
      </c>
      <c r="D5702" t="s">
        <v>32486</v>
      </c>
      <c r="E5702" t="s">
        <v>32486</v>
      </c>
      <c r="F5702" t="s">
        <v>32486</v>
      </c>
      <c r="G5702" t="s">
        <v>32486</v>
      </c>
      <c r="H5702" t="s">
        <v>868</v>
      </c>
      <c r="I5702" t="s">
        <v>869</v>
      </c>
      <c r="J5702" t="str">
        <f>"9500035"</f>
        <v>9500035</v>
      </c>
      <c r="K5702">
        <v>2821094678</v>
      </c>
      <c r="L5702">
        <v>2821083114</v>
      </c>
      <c r="M5702" t="s">
        <v>35443</v>
      </c>
      <c r="N5702" t="s">
        <v>35317</v>
      </c>
      <c r="O5702" t="s">
        <v>35444</v>
      </c>
      <c r="P5702">
        <v>73134</v>
      </c>
      <c r="Q5702" t="str">
        <f>"35.493377"</f>
        <v>35.493377</v>
      </c>
      <c r="R5702" t="str">
        <f>"24.028959"</f>
        <v>24.028959</v>
      </c>
      <c r="S5702" t="s">
        <v>26</v>
      </c>
    </row>
    <row r="5703" spans="1:19" x14ac:dyDescent="0.3">
      <c r="A5703" t="s">
        <v>32470</v>
      </c>
      <c r="B5703" t="s">
        <v>35016</v>
      </c>
      <c r="C5703" t="s">
        <v>35458</v>
      </c>
      <c r="D5703" t="s">
        <v>32486</v>
      </c>
      <c r="E5703" t="s">
        <v>32486</v>
      </c>
      <c r="F5703" t="s">
        <v>32486</v>
      </c>
      <c r="G5703" t="s">
        <v>32486</v>
      </c>
      <c r="H5703" t="s">
        <v>868</v>
      </c>
      <c r="I5703" t="s">
        <v>1157</v>
      </c>
      <c r="J5703" t="str">
        <f>"9500361"</f>
        <v>9500361</v>
      </c>
      <c r="K5703">
        <v>2821070176</v>
      </c>
      <c r="L5703">
        <v>2821070176</v>
      </c>
      <c r="M5703" t="s">
        <v>35459</v>
      </c>
      <c r="N5703" t="s">
        <v>32489</v>
      </c>
      <c r="O5703" t="s">
        <v>35460</v>
      </c>
      <c r="P5703">
        <v>73132</v>
      </c>
      <c r="Q5703" t="str">
        <f>"35.507171"</f>
        <v>35.507171</v>
      </c>
      <c r="R5703" t="str">
        <f>"24.035460"</f>
        <v>24.035460</v>
      </c>
      <c r="S5703" t="s">
        <v>26</v>
      </c>
    </row>
    <row r="5704" spans="1:19" x14ac:dyDescent="0.3">
      <c r="A5704" t="s">
        <v>32470</v>
      </c>
      <c r="B5704" t="s">
        <v>35016</v>
      </c>
      <c r="C5704" t="s">
        <v>33245</v>
      </c>
      <c r="D5704" t="s">
        <v>32486</v>
      </c>
      <c r="E5704" t="s">
        <v>33218</v>
      </c>
      <c r="F5704" t="s">
        <v>33239</v>
      </c>
      <c r="G5704" t="s">
        <v>33240</v>
      </c>
      <c r="H5704" t="s">
        <v>868</v>
      </c>
      <c r="I5704" t="s">
        <v>869</v>
      </c>
      <c r="J5704" t="str">
        <f>"9500173"</f>
        <v>9500173</v>
      </c>
      <c r="K5704">
        <v>2823022235</v>
      </c>
      <c r="L5704">
        <v>2823022255</v>
      </c>
      <c r="M5704" t="s">
        <v>35468</v>
      </c>
      <c r="N5704" t="s">
        <v>35469</v>
      </c>
      <c r="O5704" t="s">
        <v>33244</v>
      </c>
      <c r="P5704">
        <v>73004</v>
      </c>
      <c r="Q5704" t="str">
        <f>"35.326777"</f>
        <v>35.326777</v>
      </c>
      <c r="R5704" t="str">
        <f>"23.740729"</f>
        <v>23.740729</v>
      </c>
      <c r="S5704" t="s">
        <v>57</v>
      </c>
    </row>
    <row r="5705" spans="1:19" x14ac:dyDescent="0.3">
      <c r="A5705" t="s">
        <v>32470</v>
      </c>
      <c r="B5705" t="s">
        <v>35016</v>
      </c>
      <c r="C5705" t="s">
        <v>33248</v>
      </c>
      <c r="D5705" t="s">
        <v>32486</v>
      </c>
      <c r="E5705" t="s">
        <v>32486</v>
      </c>
      <c r="F5705" t="s">
        <v>32486</v>
      </c>
      <c r="G5705" t="s">
        <v>32486</v>
      </c>
      <c r="H5705" t="s">
        <v>868</v>
      </c>
      <c r="I5705" t="s">
        <v>869</v>
      </c>
      <c r="J5705" t="str">
        <f>"9500041"</f>
        <v>9500041</v>
      </c>
      <c r="K5705">
        <v>2821028218</v>
      </c>
      <c r="L5705">
        <v>2821027529</v>
      </c>
      <c r="M5705" t="s">
        <v>35470</v>
      </c>
      <c r="N5705" t="s">
        <v>32489</v>
      </c>
      <c r="O5705" t="s">
        <v>35086</v>
      </c>
      <c r="P5705">
        <v>73132</v>
      </c>
      <c r="Q5705" t="str">
        <f>"35.513797"</f>
        <v>35.513797</v>
      </c>
      <c r="R5705" t="str">
        <f>"24.026341"</f>
        <v>24.026341</v>
      </c>
      <c r="S5705" t="s">
        <v>26</v>
      </c>
    </row>
    <row r="5706" spans="1:19" x14ac:dyDescent="0.3">
      <c r="A5706" t="s">
        <v>32470</v>
      </c>
      <c r="B5706" t="s">
        <v>35016</v>
      </c>
      <c r="C5706" t="s">
        <v>33238</v>
      </c>
      <c r="D5706" t="s">
        <v>32486</v>
      </c>
      <c r="E5706" t="s">
        <v>33231</v>
      </c>
      <c r="F5706" t="s">
        <v>33232</v>
      </c>
      <c r="G5706" t="s">
        <v>33233</v>
      </c>
      <c r="H5706" t="s">
        <v>868</v>
      </c>
      <c r="I5706" t="s">
        <v>869</v>
      </c>
      <c r="J5706" t="str">
        <f>"9500006"</f>
        <v>9500006</v>
      </c>
      <c r="K5706">
        <v>2825051220</v>
      </c>
      <c r="L5706">
        <v>2825051883</v>
      </c>
      <c r="M5706" t="s">
        <v>35471</v>
      </c>
      <c r="N5706" t="s">
        <v>35472</v>
      </c>
      <c r="O5706" t="s">
        <v>33237</v>
      </c>
      <c r="P5706">
        <v>73007</v>
      </c>
      <c r="Q5706" t="str">
        <f>"35.378907"</f>
        <v>35.378907</v>
      </c>
      <c r="R5706" t="str">
        <f>"24.201866"</f>
        <v>24.201866</v>
      </c>
      <c r="S5706" t="s">
        <v>26</v>
      </c>
    </row>
    <row r="5707" spans="1:19" x14ac:dyDescent="0.3">
      <c r="A5707" t="s">
        <v>32470</v>
      </c>
      <c r="B5707" t="s">
        <v>35016</v>
      </c>
      <c r="C5707" t="s">
        <v>35477</v>
      </c>
      <c r="D5707" t="s">
        <v>32486</v>
      </c>
      <c r="E5707" t="s">
        <v>32486</v>
      </c>
      <c r="F5707" t="s">
        <v>32486</v>
      </c>
      <c r="G5707" t="s">
        <v>32486</v>
      </c>
      <c r="H5707" t="s">
        <v>868</v>
      </c>
      <c r="I5707" t="s">
        <v>869</v>
      </c>
      <c r="J5707" t="str">
        <f>"9500078"</f>
        <v>9500078</v>
      </c>
      <c r="K5707">
        <v>2821028788</v>
      </c>
      <c r="L5707">
        <v>2821020198</v>
      </c>
      <c r="M5707" t="s">
        <v>35478</v>
      </c>
      <c r="N5707" t="s">
        <v>32489</v>
      </c>
      <c r="O5707" t="s">
        <v>35019</v>
      </c>
      <c r="P5707">
        <v>73134</v>
      </c>
      <c r="Q5707" t="str">
        <f>"35.508066"</f>
        <v>35.508066</v>
      </c>
      <c r="R5707" t="str">
        <f>"24.028221"</f>
        <v>24.028221</v>
      </c>
      <c r="S5707" t="s">
        <v>26</v>
      </c>
    </row>
    <row r="5708" spans="1:19" x14ac:dyDescent="0.3">
      <c r="A5708" t="s">
        <v>32470</v>
      </c>
      <c r="B5708" t="s">
        <v>35016</v>
      </c>
      <c r="C5708" t="s">
        <v>35480</v>
      </c>
      <c r="D5708" t="s">
        <v>32486</v>
      </c>
      <c r="E5708" t="s">
        <v>33301</v>
      </c>
      <c r="F5708" t="s">
        <v>35267</v>
      </c>
      <c r="G5708" t="s">
        <v>35479</v>
      </c>
      <c r="H5708" t="s">
        <v>868</v>
      </c>
      <c r="I5708" t="s">
        <v>869</v>
      </c>
      <c r="J5708" t="str">
        <f>"9500205"</f>
        <v>9500205</v>
      </c>
      <c r="K5708">
        <v>2822031289</v>
      </c>
      <c r="L5708">
        <v>2822031289</v>
      </c>
      <c r="M5708" t="s">
        <v>35481</v>
      </c>
      <c r="N5708" t="s">
        <v>35482</v>
      </c>
      <c r="O5708" t="s">
        <v>35482</v>
      </c>
      <c r="P5708">
        <v>73400</v>
      </c>
      <c r="Q5708" t="str">
        <f>"35.494949"</f>
        <v>35.494949</v>
      </c>
      <c r="R5708" t="str">
        <f>"23.709098"</f>
        <v>23.709098</v>
      </c>
      <c r="S5708" t="s">
        <v>26</v>
      </c>
    </row>
    <row r="5709" spans="1:19" x14ac:dyDescent="0.3">
      <c r="A5709" t="s">
        <v>32470</v>
      </c>
      <c r="B5709" t="s">
        <v>35016</v>
      </c>
      <c r="C5709" t="s">
        <v>33306</v>
      </c>
      <c r="D5709" t="s">
        <v>32486</v>
      </c>
      <c r="E5709" t="s">
        <v>33301</v>
      </c>
      <c r="F5709" t="s">
        <v>33301</v>
      </c>
      <c r="G5709" t="s">
        <v>33301</v>
      </c>
      <c r="H5709" t="s">
        <v>868</v>
      </c>
      <c r="I5709" t="s">
        <v>869</v>
      </c>
      <c r="J5709" t="str">
        <f>"9500191"</f>
        <v>9500191</v>
      </c>
      <c r="K5709">
        <v>2822022042</v>
      </c>
      <c r="L5709">
        <v>2822022042</v>
      </c>
      <c r="M5709" t="s">
        <v>35483</v>
      </c>
      <c r="N5709" t="s">
        <v>33370</v>
      </c>
      <c r="O5709" t="s">
        <v>33305</v>
      </c>
      <c r="P5709">
        <v>73400</v>
      </c>
      <c r="Q5709" t="str">
        <f>"35.493529"</f>
        <v>35.493529</v>
      </c>
      <c r="R5709" t="str">
        <f>"23.660075"</f>
        <v>23.660075</v>
      </c>
      <c r="S5709" t="s">
        <v>26</v>
      </c>
    </row>
    <row r="5710" spans="1:19" x14ac:dyDescent="0.3">
      <c r="A5710" t="s">
        <v>32470</v>
      </c>
      <c r="B5710" t="s">
        <v>35016</v>
      </c>
      <c r="C5710" t="s">
        <v>33317</v>
      </c>
      <c r="D5710" t="s">
        <v>32486</v>
      </c>
      <c r="E5710" t="s">
        <v>32486</v>
      </c>
      <c r="F5710" t="s">
        <v>32486</v>
      </c>
      <c r="G5710" t="s">
        <v>32486</v>
      </c>
      <c r="H5710" t="s">
        <v>868</v>
      </c>
      <c r="I5710" t="s">
        <v>869</v>
      </c>
      <c r="J5710" t="str">
        <f>"9500144"</f>
        <v>9500144</v>
      </c>
      <c r="K5710">
        <v>2821094171</v>
      </c>
      <c r="L5710">
        <v>2821094171</v>
      </c>
      <c r="M5710" t="s">
        <v>35484</v>
      </c>
      <c r="N5710" t="s">
        <v>32489</v>
      </c>
      <c r="O5710" t="s">
        <v>35243</v>
      </c>
      <c r="P5710">
        <v>73131</v>
      </c>
      <c r="Q5710" t="str">
        <f>"35.516529"</f>
        <v>35.516529</v>
      </c>
      <c r="R5710" t="str">
        <f>"24.012937"</f>
        <v>24.012937</v>
      </c>
      <c r="S5710" t="s">
        <v>26</v>
      </c>
    </row>
    <row r="5711" spans="1:19" x14ac:dyDescent="0.3">
      <c r="A5711" t="s">
        <v>32470</v>
      </c>
      <c r="B5711" t="s">
        <v>35016</v>
      </c>
      <c r="C5711" t="s">
        <v>35485</v>
      </c>
      <c r="D5711" t="s">
        <v>32486</v>
      </c>
      <c r="E5711" t="s">
        <v>33301</v>
      </c>
      <c r="F5711" t="s">
        <v>33301</v>
      </c>
      <c r="G5711" t="s">
        <v>35422</v>
      </c>
      <c r="H5711" t="s">
        <v>868</v>
      </c>
      <c r="I5711" t="s">
        <v>950</v>
      </c>
      <c r="J5711" t="str">
        <f>"9500201"</f>
        <v>9500201</v>
      </c>
      <c r="K5711">
        <v>2822041442</v>
      </c>
      <c r="L5711">
        <v>2822083162</v>
      </c>
      <c r="M5711" t="s">
        <v>35486</v>
      </c>
      <c r="N5711" t="s">
        <v>35487</v>
      </c>
      <c r="O5711" t="s">
        <v>35488</v>
      </c>
      <c r="P5711">
        <v>73400</v>
      </c>
      <c r="Q5711" t="str">
        <f>"35.485721"</f>
        <v>35.485721</v>
      </c>
      <c r="R5711" t="str">
        <f>"23.606274"</f>
        <v>23.606274</v>
      </c>
      <c r="S5711" t="s">
        <v>26</v>
      </c>
    </row>
    <row r="5712" spans="1:19" x14ac:dyDescent="0.3">
      <c r="A5712" t="s">
        <v>32470</v>
      </c>
      <c r="B5712" t="s">
        <v>35016</v>
      </c>
      <c r="C5712" t="s">
        <v>35491</v>
      </c>
      <c r="D5712" t="s">
        <v>32486</v>
      </c>
      <c r="E5712" t="s">
        <v>33218</v>
      </c>
      <c r="F5712" t="s">
        <v>35049</v>
      </c>
      <c r="G5712" t="s">
        <v>35050</v>
      </c>
      <c r="H5712" t="s">
        <v>868</v>
      </c>
      <c r="I5712" t="s">
        <v>950</v>
      </c>
      <c r="J5712" t="str">
        <f>"9500184"</f>
        <v>9500184</v>
      </c>
      <c r="K5712">
        <v>2823051220</v>
      </c>
      <c r="M5712" t="s">
        <v>35492</v>
      </c>
      <c r="N5712" t="s">
        <v>35493</v>
      </c>
      <c r="O5712" t="s">
        <v>35053</v>
      </c>
      <c r="P5712">
        <v>73009</v>
      </c>
      <c r="Q5712" t="str">
        <f>"35.287401"</f>
        <v>35.287401</v>
      </c>
      <c r="R5712" t="str">
        <f>"23.788493"</f>
        <v>23.788493</v>
      </c>
      <c r="S5712" t="s">
        <v>57</v>
      </c>
    </row>
    <row r="5713" spans="1:19" x14ac:dyDescent="0.3">
      <c r="A5713" t="s">
        <v>32470</v>
      </c>
      <c r="B5713" t="s">
        <v>35016</v>
      </c>
      <c r="C5713" t="s">
        <v>35494</v>
      </c>
      <c r="D5713" t="s">
        <v>32486</v>
      </c>
      <c r="E5713" t="s">
        <v>33301</v>
      </c>
      <c r="F5713" t="s">
        <v>35267</v>
      </c>
      <c r="G5713" t="s">
        <v>35297</v>
      </c>
      <c r="H5713" t="s">
        <v>868</v>
      </c>
      <c r="I5713" t="s">
        <v>950</v>
      </c>
      <c r="J5713" t="str">
        <f>"9500235"</f>
        <v>9500235</v>
      </c>
      <c r="K5713">
        <v>2822031697</v>
      </c>
      <c r="L5713">
        <v>2822031697</v>
      </c>
      <c r="M5713" t="s">
        <v>35495</v>
      </c>
      <c r="N5713" t="s">
        <v>35496</v>
      </c>
      <c r="O5713" t="s">
        <v>35497</v>
      </c>
      <c r="P5713">
        <v>73400</v>
      </c>
      <c r="Q5713" t="str">
        <f>"35.456981"</f>
        <v>35.456981</v>
      </c>
      <c r="R5713" t="str">
        <f>"23.721427"</f>
        <v>23.721427</v>
      </c>
      <c r="S5713" t="s">
        <v>26</v>
      </c>
    </row>
    <row r="5714" spans="1:19" x14ac:dyDescent="0.3">
      <c r="A5714" t="s">
        <v>32470</v>
      </c>
      <c r="B5714" t="s">
        <v>35016</v>
      </c>
      <c r="C5714" t="s">
        <v>33223</v>
      </c>
      <c r="D5714" t="s">
        <v>32486</v>
      </c>
      <c r="E5714" t="s">
        <v>33218</v>
      </c>
      <c r="F5714" t="s">
        <v>33219</v>
      </c>
      <c r="G5714" t="s">
        <v>27503</v>
      </c>
      <c r="H5714" t="s">
        <v>868</v>
      </c>
      <c r="I5714" t="s">
        <v>869</v>
      </c>
      <c r="J5714" t="str">
        <f>"9500175"</f>
        <v>9500175</v>
      </c>
      <c r="K5714">
        <v>2823041233</v>
      </c>
      <c r="L5714">
        <v>2823041233</v>
      </c>
      <c r="M5714" t="s">
        <v>35498</v>
      </c>
      <c r="N5714" t="s">
        <v>27506</v>
      </c>
      <c r="O5714" t="s">
        <v>27506</v>
      </c>
      <c r="P5714">
        <v>73001</v>
      </c>
      <c r="Q5714" t="str">
        <f>"35.232443"</f>
        <v>35.232443</v>
      </c>
      <c r="R5714" t="str">
        <f>"23.679840"</f>
        <v>23.679840</v>
      </c>
      <c r="S5714" t="s">
        <v>57</v>
      </c>
    </row>
    <row r="5715" spans="1:19" x14ac:dyDescent="0.3">
      <c r="A5715" t="s">
        <v>32470</v>
      </c>
      <c r="B5715" t="s">
        <v>35016</v>
      </c>
      <c r="C5715" t="s">
        <v>35499</v>
      </c>
      <c r="D5715" t="s">
        <v>32486</v>
      </c>
      <c r="E5715" t="s">
        <v>33218</v>
      </c>
      <c r="F5715" t="s">
        <v>33219</v>
      </c>
      <c r="G5715" t="s">
        <v>35463</v>
      </c>
      <c r="H5715" t="s">
        <v>868</v>
      </c>
      <c r="I5715" t="s">
        <v>869</v>
      </c>
      <c r="J5715" t="str">
        <f>"9500259"</f>
        <v>9500259</v>
      </c>
      <c r="K5715">
        <v>2823041459</v>
      </c>
      <c r="L5715">
        <v>2823041442</v>
      </c>
      <c r="M5715" t="s">
        <v>35500</v>
      </c>
      <c r="N5715" t="s">
        <v>35467</v>
      </c>
      <c r="O5715" t="s">
        <v>35467</v>
      </c>
      <c r="P5715">
        <v>73001</v>
      </c>
      <c r="Q5715" t="str">
        <f>"35.235505"</f>
        <v>35.235505</v>
      </c>
      <c r="R5715" t="str">
        <f>"23.628691"</f>
        <v>23.628691</v>
      </c>
      <c r="S5715" t="s">
        <v>57</v>
      </c>
    </row>
    <row r="5716" spans="1:19" x14ac:dyDescent="0.3">
      <c r="A5716" t="s">
        <v>32470</v>
      </c>
      <c r="B5716" t="s">
        <v>35016</v>
      </c>
      <c r="C5716" t="s">
        <v>35501</v>
      </c>
      <c r="D5716" t="s">
        <v>32486</v>
      </c>
      <c r="E5716" t="s">
        <v>33301</v>
      </c>
      <c r="F5716" t="s">
        <v>33301</v>
      </c>
      <c r="G5716" t="s">
        <v>13386</v>
      </c>
      <c r="H5716" t="s">
        <v>868</v>
      </c>
      <c r="I5716" t="s">
        <v>869</v>
      </c>
      <c r="J5716" t="str">
        <f>"9500225"</f>
        <v>9500225</v>
      </c>
      <c r="K5716">
        <v>2822041233</v>
      </c>
      <c r="L5716">
        <v>2822041233</v>
      </c>
      <c r="M5716" t="s">
        <v>35502</v>
      </c>
      <c r="N5716" t="s">
        <v>35401</v>
      </c>
      <c r="O5716" t="s">
        <v>35401</v>
      </c>
      <c r="P5716">
        <v>73400</v>
      </c>
      <c r="Q5716" t="str">
        <f>"35.470148"</f>
        <v>35.470148</v>
      </c>
      <c r="R5716" t="str">
        <f>"23.601902"</f>
        <v>23.601902</v>
      </c>
      <c r="S5716" t="s">
        <v>26</v>
      </c>
    </row>
    <row r="5717" spans="1:19" x14ac:dyDescent="0.3">
      <c r="A5717" t="s">
        <v>32470</v>
      </c>
      <c r="B5717" t="s">
        <v>35016</v>
      </c>
      <c r="C5717" t="s">
        <v>33300</v>
      </c>
      <c r="D5717" t="s">
        <v>32486</v>
      </c>
      <c r="E5717" t="s">
        <v>20356</v>
      </c>
      <c r="F5717" t="s">
        <v>33294</v>
      </c>
      <c r="G5717" t="s">
        <v>33295</v>
      </c>
      <c r="H5717" t="s">
        <v>868</v>
      </c>
      <c r="I5717" t="s">
        <v>869</v>
      </c>
      <c r="J5717" t="str">
        <f>"9500081"</f>
        <v>9500081</v>
      </c>
      <c r="K5717">
        <v>2821077150</v>
      </c>
      <c r="L5717">
        <v>2821077150</v>
      </c>
      <c r="M5717" t="s">
        <v>35503</v>
      </c>
      <c r="N5717" t="s">
        <v>33352</v>
      </c>
      <c r="O5717" t="s">
        <v>35407</v>
      </c>
      <c r="P5717">
        <v>73005</v>
      </c>
      <c r="Q5717" t="str">
        <f>"35.453861"</f>
        <v>35.453861</v>
      </c>
      <c r="R5717" t="str">
        <f>"23.911774"</f>
        <v>23.911774</v>
      </c>
      <c r="S5717" t="s">
        <v>26</v>
      </c>
    </row>
    <row r="5718" spans="1:19" x14ac:dyDescent="0.3">
      <c r="A5718" t="s">
        <v>32470</v>
      </c>
      <c r="B5718" t="s">
        <v>35016</v>
      </c>
      <c r="C5718" t="s">
        <v>35504</v>
      </c>
      <c r="D5718" t="s">
        <v>32486</v>
      </c>
      <c r="E5718" t="s">
        <v>32486</v>
      </c>
      <c r="F5718" t="s">
        <v>32486</v>
      </c>
      <c r="G5718" t="s">
        <v>32486</v>
      </c>
      <c r="H5718" t="s">
        <v>868</v>
      </c>
      <c r="I5718" t="s">
        <v>869</v>
      </c>
      <c r="J5718" t="str">
        <f>"9500045"</f>
        <v>9500045</v>
      </c>
      <c r="K5718">
        <v>2821044369</v>
      </c>
      <c r="L5718">
        <v>2821044369</v>
      </c>
      <c r="M5718" t="s">
        <v>35505</v>
      </c>
      <c r="N5718" t="s">
        <v>32489</v>
      </c>
      <c r="O5718" t="s">
        <v>35240</v>
      </c>
      <c r="P5718">
        <v>73133</v>
      </c>
      <c r="Q5718" t="str">
        <f>"35.517369"</f>
        <v>35.517369</v>
      </c>
      <c r="R5718" t="str">
        <f>"24.037495"</f>
        <v>24.037495</v>
      </c>
      <c r="S5718" t="s">
        <v>26</v>
      </c>
    </row>
    <row r="5719" spans="1:19" x14ac:dyDescent="0.3">
      <c r="A5719" t="s">
        <v>32470</v>
      </c>
      <c r="B5719" t="s">
        <v>35016</v>
      </c>
      <c r="C5719" t="s">
        <v>35506</v>
      </c>
      <c r="D5719" t="s">
        <v>32486</v>
      </c>
      <c r="E5719" t="s">
        <v>32486</v>
      </c>
      <c r="F5719" t="s">
        <v>32486</v>
      </c>
      <c r="G5719" t="s">
        <v>32486</v>
      </c>
      <c r="H5719" t="s">
        <v>868</v>
      </c>
      <c r="I5719" t="s">
        <v>869</v>
      </c>
      <c r="J5719" t="str">
        <f>"9500070"</f>
        <v>9500070</v>
      </c>
      <c r="K5719">
        <v>2821095817</v>
      </c>
      <c r="L5719">
        <v>2821095817</v>
      </c>
      <c r="M5719" t="s">
        <v>35507</v>
      </c>
      <c r="N5719" t="s">
        <v>35508</v>
      </c>
      <c r="O5719" t="s">
        <v>35509</v>
      </c>
      <c r="P5719">
        <v>73135</v>
      </c>
      <c r="Q5719" t="str">
        <f>"35.507453"</f>
        <v>35.507453</v>
      </c>
      <c r="R5719" t="str">
        <f>"24.019710"</f>
        <v>24.019710</v>
      </c>
      <c r="S5719" t="s">
        <v>26</v>
      </c>
    </row>
    <row r="5720" spans="1:19" x14ac:dyDescent="0.3">
      <c r="A5720" t="s">
        <v>32470</v>
      </c>
      <c r="B5720" t="s">
        <v>35016</v>
      </c>
      <c r="C5720" t="s">
        <v>35510</v>
      </c>
      <c r="D5720" t="s">
        <v>32486</v>
      </c>
      <c r="E5720" t="s">
        <v>20356</v>
      </c>
      <c r="F5720" t="s">
        <v>20356</v>
      </c>
      <c r="G5720" t="s">
        <v>35113</v>
      </c>
      <c r="H5720" t="s">
        <v>868</v>
      </c>
      <c r="I5720" t="s">
        <v>869</v>
      </c>
      <c r="J5720" t="str">
        <f>"9500160"</f>
        <v>9500160</v>
      </c>
      <c r="K5720">
        <v>2821062458</v>
      </c>
      <c r="L5720">
        <v>2821062855</v>
      </c>
      <c r="M5720" t="s">
        <v>35511</v>
      </c>
      <c r="N5720" t="s">
        <v>35113</v>
      </c>
      <c r="O5720" t="s">
        <v>35113</v>
      </c>
      <c r="P5720">
        <v>73014</v>
      </c>
      <c r="Q5720" t="str">
        <f>"35.519011"</f>
        <v>35.519011</v>
      </c>
      <c r="R5720" t="str">
        <f>"23.846891"</f>
        <v>23.846891</v>
      </c>
      <c r="S5720" t="s">
        <v>26</v>
      </c>
    </row>
    <row r="5721" spans="1:19" x14ac:dyDescent="0.3">
      <c r="A5721" t="s">
        <v>32470</v>
      </c>
      <c r="B5721" t="s">
        <v>35016</v>
      </c>
      <c r="C5721" t="s">
        <v>33366</v>
      </c>
      <c r="D5721" t="s">
        <v>32486</v>
      </c>
      <c r="E5721" t="s">
        <v>32486</v>
      </c>
      <c r="F5721" t="s">
        <v>32486</v>
      </c>
      <c r="G5721" t="s">
        <v>32486</v>
      </c>
      <c r="H5721" t="s">
        <v>868</v>
      </c>
      <c r="I5721" t="s">
        <v>869</v>
      </c>
      <c r="J5721" t="str">
        <f>"9500077"</f>
        <v>9500077</v>
      </c>
      <c r="K5721">
        <v>2821054404</v>
      </c>
      <c r="L5721">
        <v>2821054404</v>
      </c>
      <c r="M5721" t="s">
        <v>35512</v>
      </c>
      <c r="N5721" t="s">
        <v>32489</v>
      </c>
      <c r="O5721" t="s">
        <v>35513</v>
      </c>
      <c r="P5721">
        <v>73132</v>
      </c>
      <c r="Q5721" t="str">
        <f>"35.515242"</f>
        <v>35.515242</v>
      </c>
      <c r="R5721" t="str">
        <f>"24.023404"</f>
        <v>24.023404</v>
      </c>
      <c r="S5721" t="s">
        <v>26</v>
      </c>
    </row>
    <row r="5722" spans="1:19" x14ac:dyDescent="0.3">
      <c r="A5722" t="s">
        <v>32470</v>
      </c>
      <c r="B5722" t="s">
        <v>35016</v>
      </c>
      <c r="C5722" t="s">
        <v>35515</v>
      </c>
      <c r="D5722" t="s">
        <v>32486</v>
      </c>
      <c r="E5722" t="s">
        <v>33231</v>
      </c>
      <c r="F5722" t="s">
        <v>34467</v>
      </c>
      <c r="G5722" t="s">
        <v>35514</v>
      </c>
      <c r="H5722" t="s">
        <v>868</v>
      </c>
      <c r="I5722" t="s">
        <v>869</v>
      </c>
      <c r="J5722" t="str">
        <f>"9500024"</f>
        <v>9500024</v>
      </c>
      <c r="K5722">
        <v>2825041345</v>
      </c>
      <c r="L5722">
        <v>2825041345</v>
      </c>
      <c r="M5722" t="s">
        <v>35516</v>
      </c>
      <c r="N5722" t="s">
        <v>35517</v>
      </c>
      <c r="O5722" t="s">
        <v>35517</v>
      </c>
      <c r="P5722">
        <v>73003</v>
      </c>
      <c r="Q5722" t="str">
        <f>"35.422455"</f>
        <v>35.422455</v>
      </c>
      <c r="R5722" t="str">
        <f>"24.142168"</f>
        <v>24.142168</v>
      </c>
      <c r="S5722" t="s">
        <v>26</v>
      </c>
    </row>
    <row r="5723" spans="1:19" x14ac:dyDescent="0.3">
      <c r="A5723" t="s">
        <v>32470</v>
      </c>
      <c r="B5723" t="s">
        <v>35016</v>
      </c>
      <c r="C5723" t="s">
        <v>35518</v>
      </c>
      <c r="D5723" t="s">
        <v>32486</v>
      </c>
      <c r="E5723" t="s">
        <v>32486</v>
      </c>
      <c r="F5723" t="s">
        <v>32486</v>
      </c>
      <c r="G5723" t="s">
        <v>32486</v>
      </c>
      <c r="H5723" t="s">
        <v>868</v>
      </c>
      <c r="I5723" t="s">
        <v>869</v>
      </c>
      <c r="J5723" t="str">
        <f>"9500338"</f>
        <v>9500338</v>
      </c>
      <c r="K5723">
        <v>2821040556</v>
      </c>
      <c r="L5723">
        <v>2821020309</v>
      </c>
      <c r="M5723" t="s">
        <v>35519</v>
      </c>
      <c r="N5723" t="s">
        <v>32489</v>
      </c>
      <c r="O5723" t="s">
        <v>35520</v>
      </c>
      <c r="P5723">
        <v>73134</v>
      </c>
      <c r="Q5723" t="str">
        <f>"35.508887"</f>
        <v>35.508887</v>
      </c>
      <c r="R5723" t="str">
        <f>"24.038821"</f>
        <v>24.038821</v>
      </c>
      <c r="S5723" t="s">
        <v>26</v>
      </c>
    </row>
    <row r="5724" spans="1:19" x14ac:dyDescent="0.3">
      <c r="A5724" t="s">
        <v>32470</v>
      </c>
      <c r="B5724" t="s">
        <v>35016</v>
      </c>
      <c r="C5724" t="s">
        <v>35521</v>
      </c>
      <c r="D5724" t="s">
        <v>32486</v>
      </c>
      <c r="E5724" t="s">
        <v>32486</v>
      </c>
      <c r="F5724" t="s">
        <v>33262</v>
      </c>
      <c r="G5724" t="s">
        <v>35348</v>
      </c>
      <c r="H5724" t="s">
        <v>868</v>
      </c>
      <c r="I5724" t="s">
        <v>869</v>
      </c>
      <c r="J5724" t="str">
        <f>"9500115"</f>
        <v>9500115</v>
      </c>
      <c r="K5724">
        <v>2821081133</v>
      </c>
      <c r="L5724">
        <v>2821020521</v>
      </c>
      <c r="M5724" t="s">
        <v>35522</v>
      </c>
      <c r="N5724" t="s">
        <v>35523</v>
      </c>
      <c r="O5724" t="s">
        <v>35524</v>
      </c>
      <c r="P5724">
        <v>73200</v>
      </c>
      <c r="Q5724" t="str">
        <f>"35.477228"</f>
        <v>35.477228</v>
      </c>
      <c r="R5724" t="str">
        <f>"24.058858"</f>
        <v>24.058858</v>
      </c>
      <c r="S5724" t="s">
        <v>26</v>
      </c>
    </row>
    <row r="5725" spans="1:19" x14ac:dyDescent="0.3">
      <c r="A5725" t="s">
        <v>32470</v>
      </c>
      <c r="B5725" t="s">
        <v>35016</v>
      </c>
      <c r="C5725" t="s">
        <v>35525</v>
      </c>
      <c r="D5725" t="s">
        <v>32486</v>
      </c>
      <c r="E5725" t="s">
        <v>20356</v>
      </c>
      <c r="F5725" t="s">
        <v>33307</v>
      </c>
      <c r="G5725" t="s">
        <v>35384</v>
      </c>
      <c r="H5725" t="s">
        <v>868</v>
      </c>
      <c r="I5725" t="s">
        <v>869</v>
      </c>
      <c r="J5725" t="str">
        <f>"9500236"</f>
        <v>9500236</v>
      </c>
      <c r="K5725">
        <v>2824022347</v>
      </c>
      <c r="L5725">
        <v>2824022347</v>
      </c>
      <c r="M5725" t="s">
        <v>35526</v>
      </c>
      <c r="N5725" t="s">
        <v>35388</v>
      </c>
      <c r="O5725" t="s">
        <v>35527</v>
      </c>
      <c r="P5725">
        <v>73006</v>
      </c>
      <c r="Q5725" t="str">
        <f>"35.529522"</f>
        <v>35.529522</v>
      </c>
      <c r="R5725" t="str">
        <f>"23.820289"</f>
        <v>23.820289</v>
      </c>
      <c r="S5725" t="s">
        <v>26</v>
      </c>
    </row>
    <row r="5726" spans="1:19" x14ac:dyDescent="0.3">
      <c r="A5726" t="s">
        <v>32470</v>
      </c>
      <c r="B5726" t="s">
        <v>35016</v>
      </c>
      <c r="C5726" t="s">
        <v>35528</v>
      </c>
      <c r="D5726" t="s">
        <v>32486</v>
      </c>
      <c r="E5726" t="s">
        <v>32486</v>
      </c>
      <c r="F5726" t="s">
        <v>32486</v>
      </c>
      <c r="G5726" t="s">
        <v>32486</v>
      </c>
      <c r="H5726" t="s">
        <v>868</v>
      </c>
      <c r="I5726" t="s">
        <v>2930</v>
      </c>
      <c r="J5726" t="str">
        <f>"9500140"</f>
        <v>9500140</v>
      </c>
      <c r="K5726">
        <v>2821097348</v>
      </c>
      <c r="L5726">
        <v>2821097348</v>
      </c>
      <c r="M5726" t="s">
        <v>35529</v>
      </c>
      <c r="N5726" t="s">
        <v>32489</v>
      </c>
      <c r="O5726" t="s">
        <v>35361</v>
      </c>
      <c r="P5726">
        <v>73136</v>
      </c>
      <c r="Q5726" t="str">
        <f>"35.508982"</f>
        <v>35.508982</v>
      </c>
      <c r="R5726" t="str">
        <f>"24.011590"</f>
        <v>24.011590</v>
      </c>
      <c r="S5726" t="s">
        <v>26</v>
      </c>
    </row>
    <row r="5727" spans="1:19" x14ac:dyDescent="0.3">
      <c r="A5727" t="s">
        <v>32470</v>
      </c>
      <c r="B5727" t="s">
        <v>35016</v>
      </c>
      <c r="C5727" t="s">
        <v>33217</v>
      </c>
      <c r="D5727" t="s">
        <v>32486</v>
      </c>
      <c r="E5727" t="s">
        <v>20356</v>
      </c>
      <c r="F5727" t="s">
        <v>33212</v>
      </c>
      <c r="G5727" t="s">
        <v>33212</v>
      </c>
      <c r="H5727" t="s">
        <v>868</v>
      </c>
      <c r="I5727" t="s">
        <v>869</v>
      </c>
      <c r="J5727" t="str">
        <f>"9500218"</f>
        <v>9500218</v>
      </c>
      <c r="K5727">
        <v>2824022216</v>
      </c>
      <c r="L5727">
        <v>2824022216</v>
      </c>
      <c r="M5727" t="s">
        <v>35530</v>
      </c>
      <c r="N5727" t="s">
        <v>33215</v>
      </c>
      <c r="O5727" t="s">
        <v>33216</v>
      </c>
      <c r="P5727">
        <v>73006</v>
      </c>
      <c r="Q5727" t="str">
        <f>"35.537467"</f>
        <v>35.537467</v>
      </c>
      <c r="R5727" t="str">
        <f>"23.781389"</f>
        <v>23.781389</v>
      </c>
      <c r="S5727" t="s">
        <v>26</v>
      </c>
    </row>
    <row r="5728" spans="1:19" x14ac:dyDescent="0.3">
      <c r="A5728" t="s">
        <v>32470</v>
      </c>
      <c r="B5728" t="s">
        <v>35016</v>
      </c>
      <c r="C5728" t="s">
        <v>35531</v>
      </c>
      <c r="D5728" t="s">
        <v>32486</v>
      </c>
      <c r="E5728" t="s">
        <v>32486</v>
      </c>
      <c r="F5728" t="s">
        <v>32486</v>
      </c>
      <c r="G5728" t="s">
        <v>32486</v>
      </c>
      <c r="H5728" t="s">
        <v>868</v>
      </c>
      <c r="I5728" t="s">
        <v>869</v>
      </c>
      <c r="J5728" t="str">
        <f>"9500040"</f>
        <v>9500040</v>
      </c>
      <c r="K5728">
        <v>2821045356</v>
      </c>
      <c r="L5728">
        <v>2821040746</v>
      </c>
      <c r="M5728" t="s">
        <v>35532</v>
      </c>
      <c r="N5728" t="s">
        <v>32489</v>
      </c>
      <c r="O5728" t="s">
        <v>35147</v>
      </c>
      <c r="P5728">
        <v>73134</v>
      </c>
      <c r="Q5728" t="str">
        <f>"35.507196"</f>
        <v>35.507196</v>
      </c>
      <c r="R5728" t="str">
        <f>"24.040549"</f>
        <v>24.040549</v>
      </c>
      <c r="S5728" t="s">
        <v>26</v>
      </c>
    </row>
    <row r="5729" spans="1:19" x14ac:dyDescent="0.3">
      <c r="A5729" t="s">
        <v>32470</v>
      </c>
      <c r="B5729" t="s">
        <v>35016</v>
      </c>
      <c r="C5729" t="s">
        <v>35533</v>
      </c>
      <c r="D5729" t="s">
        <v>32486</v>
      </c>
      <c r="E5729" t="s">
        <v>20356</v>
      </c>
      <c r="F5729" t="s">
        <v>20356</v>
      </c>
      <c r="G5729" t="s">
        <v>34922</v>
      </c>
      <c r="H5729" t="s">
        <v>868</v>
      </c>
      <c r="I5729" t="s">
        <v>869</v>
      </c>
      <c r="J5729" t="str">
        <f>"9500153"</f>
        <v>9500153</v>
      </c>
      <c r="K5729">
        <v>2821061267</v>
      </c>
      <c r="L5729">
        <v>2821061267</v>
      </c>
      <c r="M5729" t="s">
        <v>35534</v>
      </c>
      <c r="N5729" t="s">
        <v>34925</v>
      </c>
      <c r="O5729" t="s">
        <v>34925</v>
      </c>
      <c r="P5729">
        <v>73014</v>
      </c>
      <c r="Q5729" t="str">
        <f>"35.509594"</f>
        <v>35.509594</v>
      </c>
      <c r="R5729" t="str">
        <f>"23.871901"</f>
        <v>23.871901</v>
      </c>
      <c r="S5729" t="s">
        <v>26</v>
      </c>
    </row>
    <row r="5730" spans="1:19" x14ac:dyDescent="0.3">
      <c r="A5730" t="s">
        <v>32470</v>
      </c>
      <c r="B5730" t="s">
        <v>35016</v>
      </c>
      <c r="C5730" t="s">
        <v>35535</v>
      </c>
      <c r="D5730" t="s">
        <v>32486</v>
      </c>
      <c r="E5730" t="s">
        <v>32486</v>
      </c>
      <c r="F5730" t="s">
        <v>33268</v>
      </c>
      <c r="G5730" t="s">
        <v>35194</v>
      </c>
      <c r="H5730" t="s">
        <v>868</v>
      </c>
      <c r="I5730" t="s">
        <v>869</v>
      </c>
      <c r="J5730" t="str">
        <f>"9500083"</f>
        <v>9500083</v>
      </c>
      <c r="K5730">
        <v>2821063500</v>
      </c>
      <c r="L5730">
        <v>2821063500</v>
      </c>
      <c r="M5730" t="s">
        <v>35536</v>
      </c>
      <c r="N5730" t="s">
        <v>32489</v>
      </c>
      <c r="O5730" t="s">
        <v>35537</v>
      </c>
      <c r="P5730">
        <v>73100</v>
      </c>
      <c r="Q5730" t="str">
        <f>"35.521962"</f>
        <v>35.521962</v>
      </c>
      <c r="R5730" t="str">
        <f>"24.130976"</f>
        <v>24.130976</v>
      </c>
      <c r="S5730" t="s">
        <v>26</v>
      </c>
    </row>
    <row r="5731" spans="1:19" x14ac:dyDescent="0.3">
      <c r="A5731" t="s">
        <v>32470</v>
      </c>
      <c r="B5731" t="s">
        <v>35016</v>
      </c>
      <c r="C5731" t="s">
        <v>35538</v>
      </c>
      <c r="D5731" t="s">
        <v>32486</v>
      </c>
      <c r="E5731" t="s">
        <v>32486</v>
      </c>
      <c r="F5731" t="s">
        <v>33268</v>
      </c>
      <c r="G5731" t="s">
        <v>35250</v>
      </c>
      <c r="H5731" t="s">
        <v>868</v>
      </c>
      <c r="I5731" t="s">
        <v>869</v>
      </c>
      <c r="J5731" t="str">
        <f>"9500114"</f>
        <v>9500114</v>
      </c>
      <c r="K5731">
        <v>2821063458</v>
      </c>
      <c r="L5731">
        <v>2821063458</v>
      </c>
      <c r="M5731" t="s">
        <v>35539</v>
      </c>
      <c r="N5731" t="s">
        <v>32489</v>
      </c>
      <c r="O5731" t="s">
        <v>35253</v>
      </c>
      <c r="P5731">
        <v>73100</v>
      </c>
      <c r="Q5731" t="str">
        <f>"35.511379"</f>
        <v>35.511379</v>
      </c>
      <c r="R5731" t="str">
        <f>"24.144139"</f>
        <v>24.144139</v>
      </c>
      <c r="S5731" t="s">
        <v>26</v>
      </c>
    </row>
    <row r="5732" spans="1:19" x14ac:dyDescent="0.3">
      <c r="A5732" t="s">
        <v>32470</v>
      </c>
      <c r="B5732" t="s">
        <v>35016</v>
      </c>
      <c r="C5732" t="s">
        <v>35541</v>
      </c>
      <c r="D5732" t="s">
        <v>32486</v>
      </c>
      <c r="E5732" t="s">
        <v>20356</v>
      </c>
      <c r="F5732" t="s">
        <v>33294</v>
      </c>
      <c r="G5732" t="s">
        <v>35054</v>
      </c>
      <c r="H5732" t="s">
        <v>868</v>
      </c>
      <c r="I5732" t="s">
        <v>950</v>
      </c>
      <c r="J5732" t="str">
        <f>"9500411"</f>
        <v>9500411</v>
      </c>
      <c r="K5732">
        <v>2821077364</v>
      </c>
      <c r="L5732">
        <v>2821077364</v>
      </c>
      <c r="M5732" t="s">
        <v>35542</v>
      </c>
      <c r="N5732" t="s">
        <v>35543</v>
      </c>
      <c r="O5732" t="s">
        <v>35543</v>
      </c>
      <c r="P5732">
        <v>73005</v>
      </c>
      <c r="Q5732" t="str">
        <f>"35.450313"</f>
        <v>35.450313</v>
      </c>
      <c r="R5732" t="str">
        <f>"23.889978"</f>
        <v>23.889978</v>
      </c>
      <c r="S5732" t="s">
        <v>26</v>
      </c>
    </row>
    <row r="5733" spans="1:19" x14ac:dyDescent="0.3">
      <c r="A5733" t="s">
        <v>32470</v>
      </c>
      <c r="B5733" t="s">
        <v>35016</v>
      </c>
      <c r="C5733" t="s">
        <v>33393</v>
      </c>
      <c r="D5733" t="s">
        <v>32486</v>
      </c>
      <c r="E5733" t="s">
        <v>32486</v>
      </c>
      <c r="F5733" t="s">
        <v>33268</v>
      </c>
      <c r="G5733" t="s">
        <v>33269</v>
      </c>
      <c r="H5733" t="s">
        <v>868</v>
      </c>
      <c r="I5733" t="s">
        <v>869</v>
      </c>
      <c r="J5733" t="str">
        <f>"9500093"</f>
        <v>9500093</v>
      </c>
      <c r="K5733">
        <v>2821064537</v>
      </c>
      <c r="L5733">
        <v>2821064537</v>
      </c>
      <c r="M5733" t="s">
        <v>35544</v>
      </c>
      <c r="N5733" t="s">
        <v>33391</v>
      </c>
      <c r="O5733" t="s">
        <v>24523</v>
      </c>
      <c r="P5733">
        <v>73100</v>
      </c>
      <c r="Q5733" t="str">
        <f>"35.536004"</f>
        <v>35.536004</v>
      </c>
      <c r="R5733" t="str">
        <f>"24.079878"</f>
        <v>24.079878</v>
      </c>
      <c r="S5733" t="s">
        <v>26</v>
      </c>
    </row>
    <row r="5734" spans="1:19" x14ac:dyDescent="0.3">
      <c r="A5734" t="s">
        <v>32470</v>
      </c>
      <c r="B5734" t="s">
        <v>35016</v>
      </c>
      <c r="C5734" t="s">
        <v>35545</v>
      </c>
      <c r="D5734" t="s">
        <v>32486</v>
      </c>
      <c r="E5734" t="s">
        <v>33231</v>
      </c>
      <c r="F5734" t="s">
        <v>34467</v>
      </c>
      <c r="G5734" t="s">
        <v>35158</v>
      </c>
      <c r="H5734" t="s">
        <v>868</v>
      </c>
      <c r="I5734" t="s">
        <v>869</v>
      </c>
      <c r="J5734" t="str">
        <f>"9500017"</f>
        <v>9500017</v>
      </c>
      <c r="K5734">
        <v>2825083173</v>
      </c>
      <c r="L5734">
        <v>2825083173</v>
      </c>
      <c r="M5734" t="s">
        <v>35546</v>
      </c>
      <c r="N5734" t="s">
        <v>32080</v>
      </c>
      <c r="O5734" t="s">
        <v>35162</v>
      </c>
      <c r="P5734">
        <v>73003</v>
      </c>
      <c r="Q5734" t="str">
        <f>"35.452406"</f>
        <v>35.452406</v>
      </c>
      <c r="R5734" t="str">
        <f>"24.172007"</f>
        <v>24.172007</v>
      </c>
      <c r="S5734" t="s">
        <v>26</v>
      </c>
    </row>
    <row r="5735" spans="1:19" x14ac:dyDescent="0.3">
      <c r="A5735" t="s">
        <v>32470</v>
      </c>
      <c r="B5735" t="s">
        <v>35016</v>
      </c>
      <c r="C5735" t="s">
        <v>33378</v>
      </c>
      <c r="D5735" t="s">
        <v>32486</v>
      </c>
      <c r="E5735" t="s">
        <v>32486</v>
      </c>
      <c r="F5735" t="s">
        <v>33372</v>
      </c>
      <c r="G5735" t="s">
        <v>6337</v>
      </c>
      <c r="H5735" t="s">
        <v>868</v>
      </c>
      <c r="I5735" t="s">
        <v>869</v>
      </c>
      <c r="J5735" t="str">
        <f>"9500360"</f>
        <v>9500360</v>
      </c>
      <c r="K5735">
        <v>2821031253</v>
      </c>
      <c r="L5735">
        <v>2821023928</v>
      </c>
      <c r="M5735" t="s">
        <v>35547</v>
      </c>
      <c r="N5735" t="s">
        <v>35548</v>
      </c>
      <c r="O5735" t="s">
        <v>35549</v>
      </c>
      <c r="P5735">
        <v>73100</v>
      </c>
      <c r="Q5735" t="str">
        <f>"35.501469"</f>
        <v>35.501469</v>
      </c>
      <c r="R5735" t="str">
        <f>"23.966098"</f>
        <v>23.966098</v>
      </c>
      <c r="S5735" t="s">
        <v>26</v>
      </c>
    </row>
    <row r="5736" spans="1:19" x14ac:dyDescent="0.3">
      <c r="A5736" t="s">
        <v>32470</v>
      </c>
      <c r="B5736" t="s">
        <v>35016</v>
      </c>
      <c r="C5736" t="s">
        <v>35550</v>
      </c>
      <c r="D5736" t="s">
        <v>32486</v>
      </c>
      <c r="E5736" t="s">
        <v>32486</v>
      </c>
      <c r="F5736" t="s">
        <v>32486</v>
      </c>
      <c r="G5736" t="s">
        <v>32486</v>
      </c>
      <c r="H5736" t="s">
        <v>868</v>
      </c>
      <c r="I5736" t="s">
        <v>1157</v>
      </c>
      <c r="J5736" t="str">
        <f>"9500424"</f>
        <v>9500424</v>
      </c>
      <c r="K5736">
        <v>2821044022</v>
      </c>
      <c r="L5736">
        <v>2821044022</v>
      </c>
      <c r="M5736" t="s">
        <v>35551</v>
      </c>
      <c r="N5736" t="s">
        <v>32486</v>
      </c>
      <c r="O5736" t="s">
        <v>35413</v>
      </c>
      <c r="P5736">
        <v>73100</v>
      </c>
      <c r="Q5736" t="str">
        <f>"35.507099"</f>
        <v>35.507099</v>
      </c>
      <c r="R5736" t="str">
        <f>"24.034705"</f>
        <v>24.034705</v>
      </c>
      <c r="S5736" t="s">
        <v>26</v>
      </c>
    </row>
    <row r="5737" spans="1:19" x14ac:dyDescent="0.3">
      <c r="A5737" t="s">
        <v>32470</v>
      </c>
      <c r="B5737" t="s">
        <v>35016</v>
      </c>
      <c r="C5737" t="s">
        <v>33252</v>
      </c>
      <c r="D5737" t="s">
        <v>32486</v>
      </c>
      <c r="E5737" t="s">
        <v>32486</v>
      </c>
      <c r="F5737" t="s">
        <v>32486</v>
      </c>
      <c r="G5737" t="s">
        <v>32486</v>
      </c>
      <c r="H5737" t="s">
        <v>868</v>
      </c>
      <c r="I5737" t="s">
        <v>869</v>
      </c>
      <c r="J5737" t="str">
        <f>"9500314"</f>
        <v>9500314</v>
      </c>
      <c r="K5737">
        <v>2821097640</v>
      </c>
      <c r="L5737">
        <v>2821097640</v>
      </c>
      <c r="M5737" t="s">
        <v>35555</v>
      </c>
      <c r="N5737" t="s">
        <v>35556</v>
      </c>
      <c r="O5737" t="s">
        <v>35031</v>
      </c>
      <c r="P5737">
        <v>73136</v>
      </c>
      <c r="Q5737" t="str">
        <f>"35.505397"</f>
        <v>35.505397</v>
      </c>
      <c r="R5737" t="str">
        <f>"24.008696"</f>
        <v>24.008696</v>
      </c>
      <c r="S5737" t="s">
        <v>26</v>
      </c>
    </row>
    <row r="5738" spans="1:19" x14ac:dyDescent="0.3">
      <c r="A5738" t="s">
        <v>32470</v>
      </c>
      <c r="B5738" t="s">
        <v>35016</v>
      </c>
      <c r="C5738" t="s">
        <v>35557</v>
      </c>
      <c r="D5738" t="s">
        <v>32486</v>
      </c>
      <c r="E5738" t="s">
        <v>33231</v>
      </c>
      <c r="F5738" t="s">
        <v>33232</v>
      </c>
      <c r="G5738" t="s">
        <v>35375</v>
      </c>
      <c r="H5738" t="s">
        <v>868</v>
      </c>
      <c r="I5738" t="s">
        <v>950</v>
      </c>
      <c r="J5738" t="str">
        <f>"9500012"</f>
        <v>9500012</v>
      </c>
      <c r="K5738">
        <v>2825051487</v>
      </c>
      <c r="L5738">
        <v>2825051487</v>
      </c>
      <c r="M5738" t="s">
        <v>35558</v>
      </c>
      <c r="N5738" t="s">
        <v>35559</v>
      </c>
      <c r="O5738" t="s">
        <v>35560</v>
      </c>
      <c r="P5738">
        <v>73007</v>
      </c>
      <c r="Q5738" t="str">
        <f>"35.345036"</f>
        <v>35.345036</v>
      </c>
      <c r="R5738" t="str">
        <f>"24.186498"</f>
        <v>24.186498</v>
      </c>
      <c r="S5738" t="s">
        <v>26</v>
      </c>
    </row>
    <row r="5739" spans="1:19" x14ac:dyDescent="0.3">
      <c r="A5739" t="s">
        <v>32470</v>
      </c>
      <c r="B5739" t="s">
        <v>35016</v>
      </c>
      <c r="C5739" t="s">
        <v>35561</v>
      </c>
      <c r="D5739" t="s">
        <v>32486</v>
      </c>
      <c r="E5739" t="s">
        <v>32486</v>
      </c>
      <c r="F5739" t="s">
        <v>35024</v>
      </c>
      <c r="G5739" t="s">
        <v>35150</v>
      </c>
      <c r="H5739" t="s">
        <v>868</v>
      </c>
      <c r="I5739" t="s">
        <v>869</v>
      </c>
      <c r="J5739" t="str">
        <f>"9500084"</f>
        <v>9500084</v>
      </c>
      <c r="K5739">
        <v>2821031270</v>
      </c>
      <c r="L5739">
        <v>2821031270</v>
      </c>
      <c r="M5739" t="s">
        <v>35562</v>
      </c>
      <c r="N5739" t="s">
        <v>35563</v>
      </c>
      <c r="O5739" t="s">
        <v>35564</v>
      </c>
      <c r="P5739">
        <v>73100</v>
      </c>
      <c r="Q5739" t="str">
        <f>"35.466346"</f>
        <v>35.466346</v>
      </c>
      <c r="R5739" t="str">
        <f>"23.958332"</f>
        <v>23.958332</v>
      </c>
      <c r="S5739" t="s">
        <v>26</v>
      </c>
    </row>
    <row r="5740" spans="1:19" x14ac:dyDescent="0.3">
      <c r="A5740" t="s">
        <v>32470</v>
      </c>
      <c r="B5740" t="s">
        <v>35016</v>
      </c>
      <c r="C5740" t="s">
        <v>33326</v>
      </c>
      <c r="D5740" t="s">
        <v>32486</v>
      </c>
      <c r="E5740" t="s">
        <v>32486</v>
      </c>
      <c r="F5740" t="s">
        <v>32486</v>
      </c>
      <c r="G5740" t="s">
        <v>32486</v>
      </c>
      <c r="H5740" t="s">
        <v>868</v>
      </c>
      <c r="I5740" t="s">
        <v>869</v>
      </c>
      <c r="J5740" t="str">
        <f>"9500071"</f>
        <v>9500071</v>
      </c>
      <c r="K5740">
        <v>2821093760</v>
      </c>
      <c r="L5740">
        <v>2821093760</v>
      </c>
      <c r="M5740" t="s">
        <v>35565</v>
      </c>
      <c r="N5740" t="s">
        <v>32489</v>
      </c>
      <c r="O5740" t="s">
        <v>35256</v>
      </c>
      <c r="P5740">
        <v>73135</v>
      </c>
      <c r="Q5740" t="str">
        <f>"35.506648"</f>
        <v>35.506648</v>
      </c>
      <c r="R5740" t="str">
        <f>"24.022837"</f>
        <v>24.022837</v>
      </c>
      <c r="S5740" t="s">
        <v>26</v>
      </c>
    </row>
    <row r="5741" spans="1:19" x14ac:dyDescent="0.3">
      <c r="A5741" t="s">
        <v>32470</v>
      </c>
      <c r="B5741" t="s">
        <v>35016</v>
      </c>
      <c r="C5741" t="s">
        <v>35566</v>
      </c>
      <c r="D5741" t="s">
        <v>32486</v>
      </c>
      <c r="E5741" t="s">
        <v>32486</v>
      </c>
      <c r="F5741" t="s">
        <v>33268</v>
      </c>
      <c r="G5741" t="s">
        <v>33269</v>
      </c>
      <c r="H5741" t="s">
        <v>868</v>
      </c>
      <c r="I5741" t="s">
        <v>869</v>
      </c>
      <c r="J5741" t="str">
        <f>"9500094"</f>
        <v>9500094</v>
      </c>
      <c r="K5741">
        <v>2821039330</v>
      </c>
      <c r="L5741">
        <v>2821039330</v>
      </c>
      <c r="M5741" t="s">
        <v>35567</v>
      </c>
      <c r="N5741" t="s">
        <v>35193</v>
      </c>
      <c r="O5741" t="s">
        <v>35568</v>
      </c>
      <c r="P5741">
        <v>73100</v>
      </c>
      <c r="Q5741" t="str">
        <f>"35.560635"</f>
        <v>35.560635</v>
      </c>
      <c r="R5741" t="str">
        <f>"24.093196"</f>
        <v>24.093196</v>
      </c>
      <c r="S5741" t="s">
        <v>26</v>
      </c>
    </row>
    <row r="5742" spans="1:19" x14ac:dyDescent="0.3">
      <c r="A5742" t="s">
        <v>32470</v>
      </c>
      <c r="B5742" t="s">
        <v>35016</v>
      </c>
      <c r="C5742" t="s">
        <v>33211</v>
      </c>
      <c r="D5742" t="s">
        <v>32486</v>
      </c>
      <c r="E5742" t="s">
        <v>32486</v>
      </c>
      <c r="F5742" t="s">
        <v>32486</v>
      </c>
      <c r="G5742" t="s">
        <v>32486</v>
      </c>
      <c r="H5742" t="s">
        <v>868</v>
      </c>
      <c r="I5742" t="s">
        <v>869</v>
      </c>
      <c r="J5742" t="str">
        <f>"9500315"</f>
        <v>9500315</v>
      </c>
      <c r="K5742">
        <v>2821040565</v>
      </c>
      <c r="L5742">
        <v>2821040565</v>
      </c>
      <c r="M5742" t="s">
        <v>35569</v>
      </c>
      <c r="N5742" t="s">
        <v>35570</v>
      </c>
      <c r="O5742" t="s">
        <v>35571</v>
      </c>
      <c r="P5742">
        <v>73133</v>
      </c>
      <c r="Q5742" t="str">
        <f>"35.523102"</f>
        <v>35.523102</v>
      </c>
      <c r="R5742" t="str">
        <f>"24.052669"</f>
        <v>24.052669</v>
      </c>
      <c r="S5742" t="s">
        <v>26</v>
      </c>
    </row>
    <row r="5743" spans="1:19" x14ac:dyDescent="0.3">
      <c r="A5743" t="s">
        <v>32470</v>
      </c>
      <c r="B5743" t="s">
        <v>35016</v>
      </c>
      <c r="C5743" t="s">
        <v>35572</v>
      </c>
      <c r="D5743" t="s">
        <v>32486</v>
      </c>
      <c r="E5743" t="s">
        <v>32486</v>
      </c>
      <c r="F5743" t="s">
        <v>32486</v>
      </c>
      <c r="G5743" t="s">
        <v>32486</v>
      </c>
      <c r="H5743" t="s">
        <v>868</v>
      </c>
      <c r="I5743" t="s">
        <v>869</v>
      </c>
      <c r="J5743" t="str">
        <f>"9500139"</f>
        <v>9500139</v>
      </c>
      <c r="K5743">
        <v>2821096819</v>
      </c>
      <c r="L5743">
        <v>2821096819</v>
      </c>
      <c r="M5743" t="s">
        <v>35573</v>
      </c>
      <c r="N5743" t="s">
        <v>32489</v>
      </c>
      <c r="O5743" t="s">
        <v>35574</v>
      </c>
      <c r="P5743">
        <v>73131</v>
      </c>
      <c r="Q5743" t="str">
        <f>"35.509686"</f>
        <v>35.509686</v>
      </c>
      <c r="R5743" t="str">
        <f>"24.005189"</f>
        <v>24.005189</v>
      </c>
      <c r="S5743" t="s">
        <v>26</v>
      </c>
    </row>
    <row r="5744" spans="1:19" x14ac:dyDescent="0.3">
      <c r="A5744" t="s">
        <v>32470</v>
      </c>
      <c r="B5744" t="s">
        <v>35016</v>
      </c>
      <c r="C5744" t="s">
        <v>35575</v>
      </c>
      <c r="D5744" t="s">
        <v>32486</v>
      </c>
      <c r="E5744" t="s">
        <v>20356</v>
      </c>
      <c r="F5744" t="s">
        <v>33294</v>
      </c>
      <c r="G5744" t="s">
        <v>35209</v>
      </c>
      <c r="H5744" t="s">
        <v>868</v>
      </c>
      <c r="I5744" t="s">
        <v>869</v>
      </c>
      <c r="J5744" t="str">
        <f>"9500113"</f>
        <v>9500113</v>
      </c>
      <c r="K5744">
        <v>2821077187</v>
      </c>
      <c r="L5744">
        <v>2821077187</v>
      </c>
      <c r="M5744" t="s">
        <v>35576</v>
      </c>
      <c r="N5744" t="s">
        <v>35577</v>
      </c>
      <c r="O5744" t="s">
        <v>35578</v>
      </c>
      <c r="P5744">
        <v>73005</v>
      </c>
      <c r="Q5744" t="str">
        <f>"35.432673"</f>
        <v>35.432673</v>
      </c>
      <c r="R5744" t="str">
        <f>"23.927475"</f>
        <v>23.927475</v>
      </c>
      <c r="S5744" t="s">
        <v>26</v>
      </c>
    </row>
    <row r="5745" spans="1:19" x14ac:dyDescent="0.3">
      <c r="A5745" t="s">
        <v>32470</v>
      </c>
      <c r="B5745" t="s">
        <v>35016</v>
      </c>
      <c r="C5745" t="s">
        <v>35582</v>
      </c>
      <c r="D5745" t="s">
        <v>32486</v>
      </c>
      <c r="E5745" t="s">
        <v>32486</v>
      </c>
      <c r="F5745" t="s">
        <v>33268</v>
      </c>
      <c r="G5745" t="s">
        <v>33269</v>
      </c>
      <c r="H5745" t="s">
        <v>868</v>
      </c>
      <c r="I5745" t="s">
        <v>869</v>
      </c>
      <c r="J5745" t="str">
        <f>"9520693"</f>
        <v>9520693</v>
      </c>
      <c r="K5745">
        <v>2821066910</v>
      </c>
      <c r="L5745">
        <v>2821066910</v>
      </c>
      <c r="M5745" t="s">
        <v>35583</v>
      </c>
      <c r="N5745" t="s">
        <v>35584</v>
      </c>
      <c r="O5745" t="s">
        <v>35585</v>
      </c>
      <c r="P5745">
        <v>73100</v>
      </c>
      <c r="Q5745" t="str">
        <f>"35.539586"</f>
        <v>35.539586</v>
      </c>
      <c r="R5745" t="str">
        <f>"24.068572"</f>
        <v>24.068572</v>
      </c>
      <c r="S5745" t="s">
        <v>26</v>
      </c>
    </row>
    <row r="5746" spans="1:19" x14ac:dyDescent="0.3">
      <c r="A5746" t="s">
        <v>32470</v>
      </c>
      <c r="B5746" t="s">
        <v>35016</v>
      </c>
      <c r="C5746" t="s">
        <v>35586</v>
      </c>
      <c r="D5746" t="s">
        <v>32486</v>
      </c>
      <c r="E5746" t="s">
        <v>32486</v>
      </c>
      <c r="F5746" t="s">
        <v>32486</v>
      </c>
      <c r="G5746" t="s">
        <v>32486</v>
      </c>
      <c r="H5746" t="s">
        <v>868</v>
      </c>
      <c r="I5746" t="s">
        <v>869</v>
      </c>
      <c r="J5746" t="str">
        <f>"9500147"</f>
        <v>9500147</v>
      </c>
      <c r="K5746">
        <v>2821094573</v>
      </c>
      <c r="L5746">
        <v>2821094573</v>
      </c>
      <c r="M5746" t="s">
        <v>35587</v>
      </c>
      <c r="N5746" t="s">
        <v>32489</v>
      </c>
      <c r="O5746" t="s">
        <v>35588</v>
      </c>
      <c r="P5746">
        <v>73131</v>
      </c>
      <c r="Q5746" t="str">
        <f>"35.515224"</f>
        <v>35.515224</v>
      </c>
      <c r="R5746" t="str">
        <f>"24.010332"</f>
        <v>24.010332</v>
      </c>
      <c r="S5746" t="s">
        <v>26</v>
      </c>
    </row>
    <row r="5747" spans="1:19" x14ac:dyDescent="0.3">
      <c r="A5747" t="s">
        <v>32470</v>
      </c>
      <c r="B5747" t="s">
        <v>35016</v>
      </c>
      <c r="C5747" t="s">
        <v>33348</v>
      </c>
      <c r="D5747" t="s">
        <v>32486</v>
      </c>
      <c r="E5747" t="s">
        <v>20356</v>
      </c>
      <c r="F5747" t="s">
        <v>20356</v>
      </c>
      <c r="G5747" t="s">
        <v>20356</v>
      </c>
      <c r="H5747" t="s">
        <v>868</v>
      </c>
      <c r="I5747" t="s">
        <v>869</v>
      </c>
      <c r="J5747" t="str">
        <f>"9500167"</f>
        <v>9500167</v>
      </c>
      <c r="K5747">
        <v>2821068357</v>
      </c>
      <c r="L5747">
        <v>2821068357</v>
      </c>
      <c r="M5747" t="s">
        <v>35591</v>
      </c>
      <c r="N5747" t="s">
        <v>20284</v>
      </c>
      <c r="O5747" t="s">
        <v>33347</v>
      </c>
      <c r="P5747">
        <v>73014</v>
      </c>
      <c r="Q5747" t="str">
        <f>"35.513951"</f>
        <v>35.513951</v>
      </c>
      <c r="R5747" t="str">
        <f>"23.905293"</f>
        <v>23.905293</v>
      </c>
      <c r="S5747" t="s">
        <v>26</v>
      </c>
    </row>
    <row r="5748" spans="1:19" x14ac:dyDescent="0.3">
      <c r="A5748" t="s">
        <v>32470</v>
      </c>
      <c r="B5748" t="s">
        <v>35016</v>
      </c>
      <c r="C5748" t="s">
        <v>35594</v>
      </c>
      <c r="D5748" t="s">
        <v>32486</v>
      </c>
      <c r="E5748" t="s">
        <v>33301</v>
      </c>
      <c r="F5748" t="s">
        <v>35592</v>
      </c>
      <c r="G5748" t="s">
        <v>35593</v>
      </c>
      <c r="H5748" t="s">
        <v>868</v>
      </c>
      <c r="I5748" t="s">
        <v>950</v>
      </c>
      <c r="J5748" t="str">
        <f>"9500207"</f>
        <v>9500207</v>
      </c>
      <c r="K5748">
        <v>2822061217</v>
      </c>
      <c r="M5748" t="s">
        <v>35595</v>
      </c>
      <c r="N5748" t="s">
        <v>35596</v>
      </c>
      <c r="O5748" t="s">
        <v>35596</v>
      </c>
      <c r="P5748">
        <v>73400</v>
      </c>
      <c r="Q5748" t="str">
        <f>"35.361460"</f>
        <v>35.361460</v>
      </c>
      <c r="R5748" t="str">
        <f>"23.638145"</f>
        <v>23.638145</v>
      </c>
      <c r="S5748" t="s">
        <v>26</v>
      </c>
    </row>
    <row r="5749" spans="1:19" x14ac:dyDescent="0.3">
      <c r="A5749" t="s">
        <v>32470</v>
      </c>
      <c r="B5749" t="s">
        <v>35016</v>
      </c>
      <c r="C5749" t="s">
        <v>35597</v>
      </c>
      <c r="D5749" t="s">
        <v>32486</v>
      </c>
      <c r="E5749" t="s">
        <v>32486</v>
      </c>
      <c r="F5749" t="s">
        <v>33268</v>
      </c>
      <c r="G5749" t="s">
        <v>35250</v>
      </c>
      <c r="H5749" t="s">
        <v>868</v>
      </c>
      <c r="I5749" t="s">
        <v>1157</v>
      </c>
      <c r="J5749" t="str">
        <f>"9500328"</f>
        <v>9500328</v>
      </c>
      <c r="K5749">
        <v>2821097756</v>
      </c>
      <c r="L5749">
        <v>2821097756</v>
      </c>
      <c r="M5749" t="s">
        <v>35598</v>
      </c>
      <c r="N5749" t="s">
        <v>35599</v>
      </c>
      <c r="O5749" t="s">
        <v>35540</v>
      </c>
      <c r="P5749">
        <v>73100</v>
      </c>
      <c r="Q5749" t="str">
        <f>"35.511141"</f>
        <v>35.511141</v>
      </c>
      <c r="R5749" t="str">
        <f>"24.147093"</f>
        <v>24.147093</v>
      </c>
      <c r="S5749" t="s">
        <v>26</v>
      </c>
    </row>
    <row r="5750" spans="1:19" x14ac:dyDescent="0.3">
      <c r="A5750" t="s">
        <v>32470</v>
      </c>
      <c r="B5750" t="s">
        <v>35016</v>
      </c>
      <c r="C5750" t="s">
        <v>35606</v>
      </c>
      <c r="D5750" t="s">
        <v>32486</v>
      </c>
      <c r="E5750" t="s">
        <v>33301</v>
      </c>
      <c r="F5750" t="s">
        <v>33301</v>
      </c>
      <c r="G5750" t="s">
        <v>33301</v>
      </c>
      <c r="H5750" t="s">
        <v>868</v>
      </c>
      <c r="I5750" t="s">
        <v>1157</v>
      </c>
      <c r="J5750" t="str">
        <f>"9521175"</f>
        <v>9521175</v>
      </c>
      <c r="N5750" t="s">
        <v>33413</v>
      </c>
      <c r="Q5750" t="str">
        <f>""</f>
        <v/>
      </c>
      <c r="R5750" t="str">
        <f>""</f>
        <v/>
      </c>
      <c r="S5750" t="s">
        <v>26</v>
      </c>
    </row>
    <row r="5751" spans="1:19" x14ac:dyDescent="0.3">
      <c r="A5751" t="s">
        <v>32470</v>
      </c>
      <c r="B5751" t="s">
        <v>35016</v>
      </c>
      <c r="C5751" t="s">
        <v>35621</v>
      </c>
      <c r="D5751" t="s">
        <v>32486</v>
      </c>
      <c r="E5751" t="s">
        <v>32486</v>
      </c>
      <c r="F5751" t="s">
        <v>32486</v>
      </c>
      <c r="G5751" t="s">
        <v>32486</v>
      </c>
      <c r="H5751" t="s">
        <v>868</v>
      </c>
      <c r="I5751" t="s">
        <v>1157</v>
      </c>
      <c r="J5751" t="str">
        <f>"9521567"</f>
        <v>9521567</v>
      </c>
      <c r="K5751">
        <v>2821086921</v>
      </c>
      <c r="L5751">
        <v>2821086921</v>
      </c>
      <c r="M5751" t="s">
        <v>35622</v>
      </c>
      <c r="N5751" t="s">
        <v>32489</v>
      </c>
      <c r="O5751" t="s">
        <v>35623</v>
      </c>
      <c r="P5751">
        <v>73135</v>
      </c>
      <c r="Q5751" t="str">
        <f>"35.507614"</f>
        <v>35.507614</v>
      </c>
      <c r="R5751" t="str">
        <f>"24.024290"</f>
        <v>24.024290</v>
      </c>
      <c r="S5751" t="s">
        <v>26</v>
      </c>
    </row>
    <row r="5752" spans="1:19" x14ac:dyDescent="0.3">
      <c r="A5752" t="s">
        <v>32470</v>
      </c>
      <c r="B5752" t="s">
        <v>35016</v>
      </c>
      <c r="C5752" t="s">
        <v>35630</v>
      </c>
      <c r="D5752" t="s">
        <v>32486</v>
      </c>
      <c r="E5752" t="s">
        <v>32486</v>
      </c>
      <c r="F5752" t="s">
        <v>33268</v>
      </c>
      <c r="G5752" t="s">
        <v>33269</v>
      </c>
      <c r="H5752" t="s">
        <v>868</v>
      </c>
      <c r="I5752" t="s">
        <v>869</v>
      </c>
      <c r="J5752" t="str">
        <f>"9521627"</f>
        <v>9521627</v>
      </c>
      <c r="N5752" t="s">
        <v>33269</v>
      </c>
      <c r="O5752" t="s">
        <v>14065</v>
      </c>
      <c r="P5752">
        <v>73100</v>
      </c>
      <c r="Q5752" t="str">
        <f>""</f>
        <v/>
      </c>
      <c r="R5752" t="str">
        <f>""</f>
        <v/>
      </c>
      <c r="S5752" t="s">
        <v>26</v>
      </c>
    </row>
    <row r="5753" spans="1:19" x14ac:dyDescent="0.3">
      <c r="A5753" t="s">
        <v>32470</v>
      </c>
      <c r="B5753" t="s">
        <v>35016</v>
      </c>
      <c r="C5753" t="s">
        <v>35636</v>
      </c>
      <c r="D5753" t="s">
        <v>32486</v>
      </c>
      <c r="E5753" t="s">
        <v>32486</v>
      </c>
      <c r="F5753" t="s">
        <v>32486</v>
      </c>
      <c r="G5753" t="s">
        <v>32486</v>
      </c>
      <c r="H5753" t="s">
        <v>868</v>
      </c>
      <c r="I5753" t="s">
        <v>869</v>
      </c>
      <c r="J5753" t="str">
        <f>"9521626"</f>
        <v>9521626</v>
      </c>
      <c r="N5753" t="s">
        <v>35317</v>
      </c>
      <c r="O5753" t="s">
        <v>35317</v>
      </c>
      <c r="P5753">
        <v>0</v>
      </c>
      <c r="Q5753" t="str">
        <f>""</f>
        <v/>
      </c>
      <c r="R5753" t="str">
        <f>""</f>
        <v/>
      </c>
      <c r="S5753" t="s">
        <v>26</v>
      </c>
    </row>
    <row r="5754" spans="1:19" x14ac:dyDescent="0.3">
      <c r="A5754" t="s">
        <v>35638</v>
      </c>
      <c r="B5754" t="s">
        <v>36334</v>
      </c>
      <c r="C5754" t="s">
        <v>35795</v>
      </c>
      <c r="D5754" t="s">
        <v>35651</v>
      </c>
      <c r="E5754" t="s">
        <v>35652</v>
      </c>
      <c r="F5754" t="s">
        <v>35652</v>
      </c>
      <c r="G5754" t="s">
        <v>35652</v>
      </c>
      <c r="H5754" t="s">
        <v>868</v>
      </c>
      <c r="I5754" t="s">
        <v>869</v>
      </c>
      <c r="J5754" t="str">
        <f>"9100280"</f>
        <v>9100280</v>
      </c>
      <c r="K5754">
        <v>2243051255</v>
      </c>
      <c r="L5754">
        <v>2243051255</v>
      </c>
      <c r="M5754" t="s">
        <v>36335</v>
      </c>
      <c r="N5754" t="s">
        <v>35673</v>
      </c>
      <c r="O5754" t="s">
        <v>35673</v>
      </c>
      <c r="P5754">
        <v>85200</v>
      </c>
      <c r="Q5754" t="str">
        <f>"36.956775"</f>
        <v>36.956775</v>
      </c>
      <c r="R5754" t="str">
        <f>"26.969414"</f>
        <v>26.969414</v>
      </c>
      <c r="S5754" t="s">
        <v>26</v>
      </c>
    </row>
    <row r="5755" spans="1:19" x14ac:dyDescent="0.3">
      <c r="A5755" t="s">
        <v>35638</v>
      </c>
      <c r="B5755" t="s">
        <v>36334</v>
      </c>
      <c r="C5755" t="s">
        <v>35872</v>
      </c>
      <c r="D5755" t="s">
        <v>35639</v>
      </c>
      <c r="E5755" t="s">
        <v>22147</v>
      </c>
      <c r="F5755" t="s">
        <v>22147</v>
      </c>
      <c r="G5755" t="s">
        <v>22147</v>
      </c>
      <c r="H5755" t="s">
        <v>868</v>
      </c>
      <c r="I5755" t="s">
        <v>950</v>
      </c>
      <c r="J5755" t="str">
        <f>"9100053"</f>
        <v>9100053</v>
      </c>
      <c r="K5755">
        <v>2246045320</v>
      </c>
      <c r="L5755">
        <v>2246045200</v>
      </c>
      <c r="M5755" t="s">
        <v>36336</v>
      </c>
      <c r="N5755" t="s">
        <v>22150</v>
      </c>
      <c r="O5755" t="s">
        <v>22150</v>
      </c>
      <c r="P5755">
        <v>85110</v>
      </c>
      <c r="Q5755" t="str">
        <f>"36.223345"</f>
        <v>36.223345</v>
      </c>
      <c r="R5755" t="str">
        <f>"27.610139"</f>
        <v>27.610139</v>
      </c>
      <c r="S5755" t="s">
        <v>57</v>
      </c>
    </row>
    <row r="5756" spans="1:19" x14ac:dyDescent="0.3">
      <c r="A5756" t="s">
        <v>35638</v>
      </c>
      <c r="B5756" t="s">
        <v>36334</v>
      </c>
      <c r="C5756" t="s">
        <v>35869</v>
      </c>
      <c r="D5756" t="s">
        <v>35639</v>
      </c>
      <c r="E5756" t="s">
        <v>35864</v>
      </c>
      <c r="F5756" t="s">
        <v>35864</v>
      </c>
      <c r="G5756" t="s">
        <v>35864</v>
      </c>
      <c r="H5756" t="s">
        <v>868</v>
      </c>
      <c r="I5756" t="s">
        <v>950</v>
      </c>
      <c r="J5756" t="str">
        <f>"9100037"</f>
        <v>9100037</v>
      </c>
      <c r="K5756">
        <v>2246049222</v>
      </c>
      <c r="L5756">
        <v>2246049222</v>
      </c>
      <c r="M5756" t="s">
        <v>36340</v>
      </c>
      <c r="N5756" t="s">
        <v>36341</v>
      </c>
      <c r="O5756" t="s">
        <v>35868</v>
      </c>
      <c r="P5756">
        <v>85111</v>
      </c>
      <c r="Q5756" t="str">
        <f>"36.148179"</f>
        <v>36.148179</v>
      </c>
      <c r="R5756" t="str">
        <f>"29.594661"</f>
        <v>29.594661</v>
      </c>
      <c r="S5756" t="s">
        <v>57</v>
      </c>
    </row>
    <row r="5757" spans="1:19" x14ac:dyDescent="0.3">
      <c r="A5757" t="s">
        <v>35638</v>
      </c>
      <c r="B5757" t="s">
        <v>36334</v>
      </c>
      <c r="C5757" t="s">
        <v>35799</v>
      </c>
      <c r="D5757" t="s">
        <v>35639</v>
      </c>
      <c r="E5757" t="s">
        <v>35639</v>
      </c>
      <c r="F5757" t="s">
        <v>35639</v>
      </c>
      <c r="G5757" t="s">
        <v>35639</v>
      </c>
      <c r="H5757" t="s">
        <v>868</v>
      </c>
      <c r="I5757" t="s">
        <v>869</v>
      </c>
      <c r="J5757" t="str">
        <f>"9100224"</f>
        <v>9100224</v>
      </c>
      <c r="K5757">
        <v>2241033642</v>
      </c>
      <c r="L5757">
        <v>2241033642</v>
      </c>
      <c r="M5757" t="s">
        <v>36345</v>
      </c>
      <c r="N5757" t="s">
        <v>35703</v>
      </c>
      <c r="O5757" t="s">
        <v>36346</v>
      </c>
      <c r="P5757">
        <v>85100</v>
      </c>
      <c r="Q5757" t="str">
        <f>"36.439826"</f>
        <v>36.439826</v>
      </c>
      <c r="R5757" t="str">
        <f>"28.219313"</f>
        <v>28.219313</v>
      </c>
      <c r="S5757" t="s">
        <v>26</v>
      </c>
    </row>
    <row r="5758" spans="1:19" x14ac:dyDescent="0.3">
      <c r="A5758" t="s">
        <v>35638</v>
      </c>
      <c r="B5758" t="s">
        <v>36334</v>
      </c>
      <c r="C5758" t="s">
        <v>36347</v>
      </c>
      <c r="D5758" t="s">
        <v>35651</v>
      </c>
      <c r="E5758" t="s">
        <v>35652</v>
      </c>
      <c r="F5758" t="s">
        <v>35652</v>
      </c>
      <c r="G5758" t="s">
        <v>35652</v>
      </c>
      <c r="H5758" t="s">
        <v>868</v>
      </c>
      <c r="I5758" t="s">
        <v>869</v>
      </c>
      <c r="J5758" t="str">
        <f>"9100153"</f>
        <v>9100153</v>
      </c>
      <c r="K5758">
        <v>2243029567</v>
      </c>
      <c r="L5758">
        <v>2243029567</v>
      </c>
      <c r="M5758" t="s">
        <v>36348</v>
      </c>
      <c r="N5758" t="s">
        <v>35673</v>
      </c>
      <c r="O5758" t="s">
        <v>36349</v>
      </c>
      <c r="P5758">
        <v>85200</v>
      </c>
      <c r="Q5758" t="str">
        <f>"36.949599"</f>
        <v>36.949599</v>
      </c>
      <c r="R5758" t="str">
        <f>"26.979447"</f>
        <v>26.979447</v>
      </c>
      <c r="S5758" t="s">
        <v>26</v>
      </c>
    </row>
    <row r="5759" spans="1:19" x14ac:dyDescent="0.3">
      <c r="A5759" t="s">
        <v>35638</v>
      </c>
      <c r="B5759" t="s">
        <v>36334</v>
      </c>
      <c r="C5759" t="s">
        <v>36353</v>
      </c>
      <c r="D5759" t="s">
        <v>35651</v>
      </c>
      <c r="E5759" t="s">
        <v>35762</v>
      </c>
      <c r="F5759" t="s">
        <v>35762</v>
      </c>
      <c r="G5759" t="s">
        <v>35762</v>
      </c>
      <c r="H5759" t="s">
        <v>868</v>
      </c>
      <c r="I5759" t="s">
        <v>950</v>
      </c>
      <c r="J5759" t="str">
        <f>"9100168"</f>
        <v>9100168</v>
      </c>
      <c r="K5759">
        <v>2247031062</v>
      </c>
      <c r="L5759">
        <v>2247031062</v>
      </c>
      <c r="M5759" t="s">
        <v>36354</v>
      </c>
      <c r="N5759" t="s">
        <v>36355</v>
      </c>
      <c r="O5759" t="s">
        <v>13723</v>
      </c>
      <c r="P5759">
        <v>85500</v>
      </c>
      <c r="Q5759" t="str">
        <f>"37.353184"</f>
        <v>37.353184</v>
      </c>
      <c r="R5759" t="str">
        <f>"26.556389"</f>
        <v>26.556389</v>
      </c>
      <c r="S5759" t="s">
        <v>57</v>
      </c>
    </row>
    <row r="5760" spans="1:19" x14ac:dyDescent="0.3">
      <c r="A5760" t="s">
        <v>35638</v>
      </c>
      <c r="B5760" t="s">
        <v>36334</v>
      </c>
      <c r="C5760" t="s">
        <v>36356</v>
      </c>
      <c r="D5760" t="s">
        <v>35651</v>
      </c>
      <c r="E5760" t="s">
        <v>35652</v>
      </c>
      <c r="F5760" t="s">
        <v>35652</v>
      </c>
      <c r="G5760" t="s">
        <v>35652</v>
      </c>
      <c r="H5760" t="s">
        <v>868</v>
      </c>
      <c r="I5760" t="s">
        <v>950</v>
      </c>
      <c r="J5760" t="str">
        <f>"9100158"</f>
        <v>9100158</v>
      </c>
      <c r="K5760">
        <v>2243047995</v>
      </c>
      <c r="L5760">
        <v>2243047995</v>
      </c>
      <c r="M5760" t="s">
        <v>36357</v>
      </c>
      <c r="N5760" t="s">
        <v>36358</v>
      </c>
      <c r="O5760" t="s">
        <v>36358</v>
      </c>
      <c r="P5760">
        <v>85200</v>
      </c>
      <c r="Q5760" t="str">
        <f>"36.995792"</f>
        <v>36.995792</v>
      </c>
      <c r="R5760" t="str">
        <f>"26.919605"</f>
        <v>26.919605</v>
      </c>
      <c r="S5760" t="s">
        <v>57</v>
      </c>
    </row>
    <row r="5761" spans="1:19" x14ac:dyDescent="0.3">
      <c r="A5761" t="s">
        <v>35638</v>
      </c>
      <c r="B5761" t="s">
        <v>36334</v>
      </c>
      <c r="C5761" t="s">
        <v>35881</v>
      </c>
      <c r="D5761" t="s">
        <v>35639</v>
      </c>
      <c r="E5761" t="s">
        <v>35639</v>
      </c>
      <c r="F5761" t="s">
        <v>35639</v>
      </c>
      <c r="G5761" t="s">
        <v>35639</v>
      </c>
      <c r="H5761" t="s">
        <v>868</v>
      </c>
      <c r="I5761" t="s">
        <v>869</v>
      </c>
      <c r="J5761" t="str">
        <f>"9100106"</f>
        <v>9100106</v>
      </c>
      <c r="K5761">
        <v>2241023681</v>
      </c>
      <c r="L5761">
        <v>2241023681</v>
      </c>
      <c r="M5761" t="s">
        <v>36362</v>
      </c>
      <c r="N5761" t="s">
        <v>35703</v>
      </c>
      <c r="O5761" t="s">
        <v>36363</v>
      </c>
      <c r="P5761">
        <v>85100</v>
      </c>
      <c r="Q5761" t="str">
        <f>"36.431681"</f>
        <v>36.431681</v>
      </c>
      <c r="R5761" t="str">
        <f>"28.229856"</f>
        <v>28.229856</v>
      </c>
      <c r="S5761" t="s">
        <v>26</v>
      </c>
    </row>
    <row r="5762" spans="1:19" x14ac:dyDescent="0.3">
      <c r="A5762" t="s">
        <v>35638</v>
      </c>
      <c r="B5762" t="s">
        <v>36334</v>
      </c>
      <c r="C5762" t="s">
        <v>35945</v>
      </c>
      <c r="D5762" t="s">
        <v>35639</v>
      </c>
      <c r="E5762" t="s">
        <v>35639</v>
      </c>
      <c r="F5762" t="s">
        <v>35639</v>
      </c>
      <c r="G5762" t="s">
        <v>35639</v>
      </c>
      <c r="H5762" t="s">
        <v>868</v>
      </c>
      <c r="I5762" t="s">
        <v>869</v>
      </c>
      <c r="J5762" t="str">
        <f>"9100255"</f>
        <v>9100255</v>
      </c>
      <c r="K5762">
        <v>2241064435</v>
      </c>
      <c r="L5762">
        <v>2241064435</v>
      </c>
      <c r="M5762" t="s">
        <v>36364</v>
      </c>
      <c r="N5762" t="s">
        <v>35703</v>
      </c>
      <c r="O5762" t="s">
        <v>36365</v>
      </c>
      <c r="P5762">
        <v>85100</v>
      </c>
      <c r="Q5762" t="str">
        <f>"36.426987"</f>
        <v>36.426987</v>
      </c>
      <c r="R5762" t="str">
        <f>"28.213384"</f>
        <v>28.213384</v>
      </c>
      <c r="S5762" t="s">
        <v>26</v>
      </c>
    </row>
    <row r="5763" spans="1:19" x14ac:dyDescent="0.3">
      <c r="A5763" t="s">
        <v>35638</v>
      </c>
      <c r="B5763" t="s">
        <v>36334</v>
      </c>
      <c r="C5763" t="s">
        <v>35700</v>
      </c>
      <c r="D5763" t="s">
        <v>35639</v>
      </c>
      <c r="E5763" t="s">
        <v>35639</v>
      </c>
      <c r="F5763" t="s">
        <v>35639</v>
      </c>
      <c r="G5763" t="s">
        <v>35639</v>
      </c>
      <c r="H5763" t="s">
        <v>868</v>
      </c>
      <c r="I5763" t="s">
        <v>869</v>
      </c>
      <c r="J5763" t="str">
        <f>"9100108"</f>
        <v>9100108</v>
      </c>
      <c r="K5763">
        <v>2241027202</v>
      </c>
      <c r="L5763">
        <v>2241027202</v>
      </c>
      <c r="M5763" t="s">
        <v>36366</v>
      </c>
      <c r="N5763" t="s">
        <v>35703</v>
      </c>
      <c r="O5763" t="s">
        <v>36367</v>
      </c>
      <c r="P5763">
        <v>85133</v>
      </c>
      <c r="Q5763" t="str">
        <f>"36.436536"</f>
        <v>36.436536</v>
      </c>
      <c r="R5763" t="str">
        <f>"28.222560"</f>
        <v>28.222560</v>
      </c>
      <c r="S5763" t="s">
        <v>26</v>
      </c>
    </row>
    <row r="5764" spans="1:19" x14ac:dyDescent="0.3">
      <c r="A5764" t="s">
        <v>35638</v>
      </c>
      <c r="B5764" t="s">
        <v>36334</v>
      </c>
      <c r="C5764" t="s">
        <v>35767</v>
      </c>
      <c r="D5764" t="s">
        <v>35651</v>
      </c>
      <c r="E5764" t="s">
        <v>35762</v>
      </c>
      <c r="F5764" t="s">
        <v>35762</v>
      </c>
      <c r="G5764" t="s">
        <v>35762</v>
      </c>
      <c r="H5764" t="s">
        <v>868</v>
      </c>
      <c r="I5764" t="s">
        <v>869</v>
      </c>
      <c r="J5764" t="str">
        <f>"9100169"</f>
        <v>9100169</v>
      </c>
      <c r="K5764">
        <v>2247031220</v>
      </c>
      <c r="L5764">
        <v>2247031758</v>
      </c>
      <c r="M5764" t="s">
        <v>36371</v>
      </c>
      <c r="N5764" t="s">
        <v>35766</v>
      </c>
      <c r="O5764" t="s">
        <v>6596</v>
      </c>
      <c r="P5764">
        <v>85500</v>
      </c>
      <c r="Q5764" t="str">
        <f>"37.322470"</f>
        <v>37.322470</v>
      </c>
      <c r="R5764" t="str">
        <f>"26.542105"</f>
        <v>26.542105</v>
      </c>
      <c r="S5764" t="s">
        <v>57</v>
      </c>
    </row>
    <row r="5765" spans="1:19" x14ac:dyDescent="0.3">
      <c r="A5765" t="s">
        <v>35638</v>
      </c>
      <c r="B5765" t="s">
        <v>36334</v>
      </c>
      <c r="C5765" t="s">
        <v>35771</v>
      </c>
      <c r="D5765" t="s">
        <v>35651</v>
      </c>
      <c r="E5765" t="s">
        <v>35652</v>
      </c>
      <c r="F5765" t="s">
        <v>35652</v>
      </c>
      <c r="G5765" t="s">
        <v>35652</v>
      </c>
      <c r="H5765" t="s">
        <v>868</v>
      </c>
      <c r="I5765" t="s">
        <v>869</v>
      </c>
      <c r="J5765" t="str">
        <f>"9100225"</f>
        <v>9100225</v>
      </c>
      <c r="K5765">
        <v>2243022232</v>
      </c>
      <c r="L5765">
        <v>2243022232</v>
      </c>
      <c r="M5765" t="s">
        <v>36372</v>
      </c>
      <c r="N5765" t="s">
        <v>36373</v>
      </c>
      <c r="O5765" t="s">
        <v>36373</v>
      </c>
      <c r="P5765">
        <v>85200</v>
      </c>
      <c r="Q5765" t="str">
        <f>"36.952197"</f>
        <v>36.952197</v>
      </c>
      <c r="R5765" t="str">
        <f>"26.970564"</f>
        <v>26.970564</v>
      </c>
      <c r="S5765" t="s">
        <v>26</v>
      </c>
    </row>
    <row r="5766" spans="1:19" x14ac:dyDescent="0.3">
      <c r="A5766" t="s">
        <v>35638</v>
      </c>
      <c r="B5766" t="s">
        <v>36334</v>
      </c>
      <c r="C5766" t="s">
        <v>36374</v>
      </c>
      <c r="D5766" t="s">
        <v>35651</v>
      </c>
      <c r="E5766" t="s">
        <v>35729</v>
      </c>
      <c r="F5766" t="s">
        <v>35729</v>
      </c>
      <c r="G5766" t="s">
        <v>35729</v>
      </c>
      <c r="H5766" t="s">
        <v>868</v>
      </c>
      <c r="I5766" t="s">
        <v>869</v>
      </c>
      <c r="J5766" t="str">
        <f>"9100172"</f>
        <v>9100172</v>
      </c>
      <c r="K5766">
        <v>2247022766</v>
      </c>
      <c r="L5766">
        <v>2247022766</v>
      </c>
      <c r="M5766" t="s">
        <v>36375</v>
      </c>
      <c r="N5766" t="s">
        <v>35732</v>
      </c>
      <c r="O5766" t="s">
        <v>36376</v>
      </c>
      <c r="P5766">
        <v>85400</v>
      </c>
      <c r="Q5766" t="str">
        <f>"37.160373"</f>
        <v>37.160373</v>
      </c>
      <c r="R5766" t="str">
        <f>"26.829827"</f>
        <v>26.829827</v>
      </c>
      <c r="S5766" t="s">
        <v>57</v>
      </c>
    </row>
    <row r="5767" spans="1:19" x14ac:dyDescent="0.3">
      <c r="A5767" t="s">
        <v>35638</v>
      </c>
      <c r="B5767" t="s">
        <v>36334</v>
      </c>
      <c r="C5767" t="s">
        <v>36379</v>
      </c>
      <c r="D5767" t="s">
        <v>35639</v>
      </c>
      <c r="E5767" t="s">
        <v>35639</v>
      </c>
      <c r="F5767" t="s">
        <v>35784</v>
      </c>
      <c r="G5767" t="s">
        <v>36378</v>
      </c>
      <c r="H5767" t="s">
        <v>868</v>
      </c>
      <c r="I5767" t="s">
        <v>950</v>
      </c>
      <c r="J5767" t="str">
        <f>"9100082"</f>
        <v>9100082</v>
      </c>
      <c r="K5767">
        <v>2246022244</v>
      </c>
      <c r="L5767">
        <v>2246022244</v>
      </c>
      <c r="M5767" t="s">
        <v>36380</v>
      </c>
      <c r="N5767" t="s">
        <v>36381</v>
      </c>
      <c r="O5767" t="s">
        <v>36381</v>
      </c>
      <c r="P5767">
        <v>85106</v>
      </c>
      <c r="Q5767" t="str">
        <f>"36.291453"</f>
        <v>36.291453</v>
      </c>
      <c r="R5767" t="str">
        <f>"27.944120"</f>
        <v>27.944120</v>
      </c>
      <c r="S5767" t="s">
        <v>26</v>
      </c>
    </row>
    <row r="5768" spans="1:19" x14ac:dyDescent="0.3">
      <c r="A5768" t="s">
        <v>35638</v>
      </c>
      <c r="B5768" t="s">
        <v>36334</v>
      </c>
      <c r="C5768" t="s">
        <v>36382</v>
      </c>
      <c r="D5768" t="s">
        <v>35651</v>
      </c>
      <c r="E5768" t="s">
        <v>35762</v>
      </c>
      <c r="F5768" t="s">
        <v>35762</v>
      </c>
      <c r="G5768" t="s">
        <v>35762</v>
      </c>
      <c r="H5768" t="s">
        <v>868</v>
      </c>
      <c r="I5768" t="s">
        <v>950</v>
      </c>
      <c r="J5768" t="str">
        <f>"9100170"</f>
        <v>9100170</v>
      </c>
      <c r="K5768">
        <v>2247031295</v>
      </c>
      <c r="L5768">
        <v>2247029325</v>
      </c>
      <c r="M5768" t="s">
        <v>36383</v>
      </c>
      <c r="N5768" t="s">
        <v>36384</v>
      </c>
      <c r="O5768" t="s">
        <v>36384</v>
      </c>
      <c r="P5768">
        <v>85500</v>
      </c>
      <c r="Q5768" t="str">
        <f>"37.309992"</f>
        <v>37.309992</v>
      </c>
      <c r="R5768" t="str">
        <f>"26.551411"</f>
        <v>26.551411</v>
      </c>
      <c r="S5768" t="s">
        <v>57</v>
      </c>
    </row>
    <row r="5769" spans="1:19" x14ac:dyDescent="0.3">
      <c r="A5769" t="s">
        <v>35638</v>
      </c>
      <c r="B5769" t="s">
        <v>36334</v>
      </c>
      <c r="C5769" t="s">
        <v>36394</v>
      </c>
      <c r="D5769" t="s">
        <v>35639</v>
      </c>
      <c r="E5769" t="s">
        <v>35639</v>
      </c>
      <c r="F5769" t="s">
        <v>35784</v>
      </c>
      <c r="G5769" t="s">
        <v>36393</v>
      </c>
      <c r="H5769" t="s">
        <v>868</v>
      </c>
      <c r="I5769" t="s">
        <v>950</v>
      </c>
      <c r="J5769" t="str">
        <f>"9100061"</f>
        <v>9100061</v>
      </c>
      <c r="K5769">
        <v>2246098340</v>
      </c>
      <c r="L5769">
        <v>2246098340</v>
      </c>
      <c r="M5769" t="s">
        <v>36395</v>
      </c>
      <c r="N5769" t="s">
        <v>35703</v>
      </c>
      <c r="O5769" t="s">
        <v>36396</v>
      </c>
      <c r="P5769">
        <v>85106</v>
      </c>
      <c r="Q5769" t="str">
        <f>"36.283650"</f>
        <v>36.283650</v>
      </c>
      <c r="R5769" t="str">
        <f>"28.007888"</f>
        <v>28.007888</v>
      </c>
      <c r="S5769" t="s">
        <v>26</v>
      </c>
    </row>
    <row r="5770" spans="1:19" x14ac:dyDescent="0.3">
      <c r="A5770" t="s">
        <v>35638</v>
      </c>
      <c r="B5770" t="s">
        <v>36334</v>
      </c>
      <c r="C5770" t="s">
        <v>36402</v>
      </c>
      <c r="D5770" t="s">
        <v>35639</v>
      </c>
      <c r="E5770" t="s">
        <v>35639</v>
      </c>
      <c r="F5770" t="s">
        <v>35639</v>
      </c>
      <c r="G5770" t="s">
        <v>35639</v>
      </c>
      <c r="H5770" t="s">
        <v>868</v>
      </c>
      <c r="I5770" t="s">
        <v>36401</v>
      </c>
      <c r="J5770" t="str">
        <f>"9100214"</f>
        <v>9100214</v>
      </c>
      <c r="K5770">
        <v>2241036501</v>
      </c>
      <c r="L5770">
        <v>2241036501</v>
      </c>
      <c r="M5770" t="s">
        <v>36403</v>
      </c>
      <c r="N5770" t="s">
        <v>35703</v>
      </c>
      <c r="O5770" t="s">
        <v>36404</v>
      </c>
      <c r="P5770">
        <v>85100</v>
      </c>
      <c r="Q5770" t="str">
        <f>"36.449829"</f>
        <v>36.449829</v>
      </c>
      <c r="R5770" t="str">
        <f>"28.221466"</f>
        <v>28.221466</v>
      </c>
      <c r="S5770" t="s">
        <v>26</v>
      </c>
    </row>
    <row r="5771" spans="1:19" x14ac:dyDescent="0.3">
      <c r="A5771" t="s">
        <v>35638</v>
      </c>
      <c r="B5771" t="s">
        <v>36334</v>
      </c>
      <c r="C5771" t="s">
        <v>35775</v>
      </c>
      <c r="D5771" t="s">
        <v>35639</v>
      </c>
      <c r="E5771" t="s">
        <v>35639</v>
      </c>
      <c r="F5771" t="s">
        <v>35639</v>
      </c>
      <c r="G5771" t="s">
        <v>35639</v>
      </c>
      <c r="H5771" t="s">
        <v>868</v>
      </c>
      <c r="I5771" t="s">
        <v>869</v>
      </c>
      <c r="J5771" t="str">
        <f>"9100107"</f>
        <v>9100107</v>
      </c>
      <c r="K5771">
        <v>2241027188</v>
      </c>
      <c r="L5771">
        <v>2241027188</v>
      </c>
      <c r="M5771" t="s">
        <v>36408</v>
      </c>
      <c r="N5771" t="s">
        <v>35703</v>
      </c>
      <c r="O5771" t="s">
        <v>36409</v>
      </c>
      <c r="P5771">
        <v>85100</v>
      </c>
      <c r="Q5771" t="str">
        <f>"36.437483"</f>
        <v>36.437483</v>
      </c>
      <c r="R5771" t="str">
        <f>"28.230251"</f>
        <v>28.230251</v>
      </c>
      <c r="S5771" t="s">
        <v>26</v>
      </c>
    </row>
    <row r="5772" spans="1:19" x14ac:dyDescent="0.3">
      <c r="A5772" t="s">
        <v>35638</v>
      </c>
      <c r="B5772" t="s">
        <v>36334</v>
      </c>
      <c r="C5772" t="s">
        <v>35836</v>
      </c>
      <c r="D5772" t="s">
        <v>35639</v>
      </c>
      <c r="E5772" t="s">
        <v>35706</v>
      </c>
      <c r="F5772" t="s">
        <v>35706</v>
      </c>
      <c r="G5772" t="s">
        <v>35706</v>
      </c>
      <c r="H5772" t="s">
        <v>868</v>
      </c>
      <c r="I5772" t="s">
        <v>869</v>
      </c>
      <c r="J5772" t="str">
        <f>"9100035"</f>
        <v>9100035</v>
      </c>
      <c r="K5772">
        <v>2246071369</v>
      </c>
      <c r="L5772">
        <v>2246071369</v>
      </c>
      <c r="M5772" t="s">
        <v>36410</v>
      </c>
      <c r="N5772" t="s">
        <v>35834</v>
      </c>
      <c r="O5772" t="s">
        <v>36411</v>
      </c>
      <c r="P5772">
        <v>85600</v>
      </c>
      <c r="Q5772" t="str">
        <f>"36.614457"</f>
        <v>36.614457</v>
      </c>
      <c r="R5772" t="str">
        <f>"27.834878"</f>
        <v>27.834878</v>
      </c>
      <c r="S5772" t="s">
        <v>57</v>
      </c>
    </row>
    <row r="5773" spans="1:19" x14ac:dyDescent="0.3">
      <c r="A5773" t="s">
        <v>35638</v>
      </c>
      <c r="B5773" t="s">
        <v>36334</v>
      </c>
      <c r="C5773" t="s">
        <v>35720</v>
      </c>
      <c r="D5773" t="s">
        <v>35657</v>
      </c>
      <c r="E5773" t="s">
        <v>35657</v>
      </c>
      <c r="F5773" t="s">
        <v>35657</v>
      </c>
      <c r="G5773" t="s">
        <v>35657</v>
      </c>
      <c r="H5773" t="s">
        <v>868</v>
      </c>
      <c r="I5773" t="s">
        <v>869</v>
      </c>
      <c r="J5773" t="str">
        <f>"9520740"</f>
        <v>9520740</v>
      </c>
      <c r="K5773">
        <v>2242027672</v>
      </c>
      <c r="L5773">
        <v>2242027672</v>
      </c>
      <c r="M5773" t="s">
        <v>36420</v>
      </c>
      <c r="N5773" t="s">
        <v>35718</v>
      </c>
      <c r="O5773" t="s">
        <v>36421</v>
      </c>
      <c r="P5773">
        <v>85300</v>
      </c>
      <c r="Q5773" t="str">
        <f>"36.891534"</f>
        <v>36.891534</v>
      </c>
      <c r="R5773" t="str">
        <f>"27.292335"</f>
        <v>27.292335</v>
      </c>
      <c r="S5773" t="s">
        <v>26</v>
      </c>
    </row>
    <row r="5774" spans="1:19" x14ac:dyDescent="0.3">
      <c r="A5774" t="s">
        <v>35638</v>
      </c>
      <c r="B5774" t="s">
        <v>36334</v>
      </c>
      <c r="C5774" t="s">
        <v>36422</v>
      </c>
      <c r="D5774" t="s">
        <v>35657</v>
      </c>
      <c r="E5774" t="s">
        <v>35657</v>
      </c>
      <c r="F5774" t="s">
        <v>35657</v>
      </c>
      <c r="G5774" t="s">
        <v>35657</v>
      </c>
      <c r="H5774" t="s">
        <v>868</v>
      </c>
      <c r="I5774" t="s">
        <v>869</v>
      </c>
      <c r="J5774" t="str">
        <f>"9100011"</f>
        <v>9100011</v>
      </c>
      <c r="K5774">
        <v>2242049196</v>
      </c>
      <c r="L5774">
        <v>2242049196</v>
      </c>
      <c r="M5774" t="s">
        <v>36423</v>
      </c>
      <c r="N5774" t="s">
        <v>35718</v>
      </c>
      <c r="O5774" t="s">
        <v>14544</v>
      </c>
      <c r="P5774">
        <v>85300</v>
      </c>
      <c r="Q5774" t="str">
        <f>"36.883433"</f>
        <v>36.883433</v>
      </c>
      <c r="R5774" t="str">
        <f>"27.271342"</f>
        <v>27.271342</v>
      </c>
      <c r="S5774" t="s">
        <v>26</v>
      </c>
    </row>
    <row r="5775" spans="1:19" x14ac:dyDescent="0.3">
      <c r="A5775" t="s">
        <v>35638</v>
      </c>
      <c r="B5775" t="s">
        <v>36334</v>
      </c>
      <c r="C5775" t="s">
        <v>36463</v>
      </c>
      <c r="D5775" t="s">
        <v>35657</v>
      </c>
      <c r="E5775" t="s">
        <v>35657</v>
      </c>
      <c r="F5775" t="s">
        <v>35657</v>
      </c>
      <c r="G5775" t="s">
        <v>35657</v>
      </c>
      <c r="H5775" t="s">
        <v>868</v>
      </c>
      <c r="I5775" t="s">
        <v>869</v>
      </c>
      <c r="J5775" t="str">
        <f>"9100009"</f>
        <v>9100009</v>
      </c>
      <c r="K5775">
        <v>2242028234</v>
      </c>
      <c r="L5775">
        <v>2242028234</v>
      </c>
      <c r="M5775" t="s">
        <v>36464</v>
      </c>
      <c r="N5775" t="s">
        <v>35718</v>
      </c>
      <c r="O5775" t="s">
        <v>36465</v>
      </c>
      <c r="P5775">
        <v>85300</v>
      </c>
      <c r="Q5775" t="str">
        <f>"36.884184"</f>
        <v>36.884184</v>
      </c>
      <c r="R5775" t="str">
        <f>"27.309146"</f>
        <v>27.309146</v>
      </c>
      <c r="S5775" t="s">
        <v>26</v>
      </c>
    </row>
    <row r="5776" spans="1:19" x14ac:dyDescent="0.3">
      <c r="A5776" t="s">
        <v>35638</v>
      </c>
      <c r="B5776" t="s">
        <v>36334</v>
      </c>
      <c r="C5776" t="s">
        <v>35964</v>
      </c>
      <c r="D5776" t="s">
        <v>35657</v>
      </c>
      <c r="E5776" t="s">
        <v>35657</v>
      </c>
      <c r="F5776" t="s">
        <v>35657</v>
      </c>
      <c r="G5776" t="s">
        <v>35657</v>
      </c>
      <c r="H5776" t="s">
        <v>868</v>
      </c>
      <c r="I5776" t="s">
        <v>869</v>
      </c>
      <c r="J5776" t="str">
        <f>"9100004"</f>
        <v>9100004</v>
      </c>
      <c r="K5776">
        <v>2242022030</v>
      </c>
      <c r="L5776">
        <v>2242022030</v>
      </c>
      <c r="M5776" t="s">
        <v>36519</v>
      </c>
      <c r="N5776" t="s">
        <v>35718</v>
      </c>
      <c r="O5776" t="s">
        <v>36520</v>
      </c>
      <c r="P5776">
        <v>85300</v>
      </c>
      <c r="Q5776" t="str">
        <f>"36.901420"</f>
        <v>36.901420</v>
      </c>
      <c r="R5776" t="str">
        <f>"27.282660"</f>
        <v>27.282660</v>
      </c>
      <c r="S5776" t="s">
        <v>26</v>
      </c>
    </row>
    <row r="5777" spans="1:19" x14ac:dyDescent="0.3">
      <c r="A5777" t="s">
        <v>35638</v>
      </c>
      <c r="B5777" t="s">
        <v>36334</v>
      </c>
      <c r="C5777" t="s">
        <v>36531</v>
      </c>
      <c r="D5777" t="s">
        <v>35639</v>
      </c>
      <c r="E5777" t="s">
        <v>35639</v>
      </c>
      <c r="F5777" t="s">
        <v>35639</v>
      </c>
      <c r="G5777" t="s">
        <v>35639</v>
      </c>
      <c r="H5777" t="s">
        <v>868</v>
      </c>
      <c r="I5777" t="s">
        <v>950</v>
      </c>
      <c r="J5777" t="str">
        <f>"9100042"</f>
        <v>9100042</v>
      </c>
      <c r="K5777">
        <v>2241022185</v>
      </c>
      <c r="L5777">
        <v>2241022185</v>
      </c>
      <c r="M5777" t="s">
        <v>36532</v>
      </c>
      <c r="N5777" t="s">
        <v>36533</v>
      </c>
      <c r="O5777" t="s">
        <v>36534</v>
      </c>
      <c r="P5777">
        <v>85100</v>
      </c>
      <c r="Q5777" t="str">
        <f>"36.443476"</f>
        <v>36.443476</v>
      </c>
      <c r="R5777" t="str">
        <f>"28.232327"</f>
        <v>28.232327</v>
      </c>
      <c r="S5777" t="s">
        <v>26</v>
      </c>
    </row>
    <row r="5778" spans="1:19" x14ac:dyDescent="0.3">
      <c r="A5778" t="s">
        <v>35638</v>
      </c>
      <c r="B5778" t="s">
        <v>36334</v>
      </c>
      <c r="C5778" t="s">
        <v>35745</v>
      </c>
      <c r="D5778" t="s">
        <v>35639</v>
      </c>
      <c r="E5778" t="s">
        <v>35639</v>
      </c>
      <c r="F5778" t="s">
        <v>35639</v>
      </c>
      <c r="G5778" t="s">
        <v>35639</v>
      </c>
      <c r="H5778" t="s">
        <v>868</v>
      </c>
      <c r="I5778" t="s">
        <v>869</v>
      </c>
      <c r="J5778" t="str">
        <f>"9100262"</f>
        <v>9100262</v>
      </c>
      <c r="K5778">
        <v>2241062829</v>
      </c>
      <c r="L5778">
        <v>2241072825</v>
      </c>
      <c r="M5778" t="s">
        <v>36535</v>
      </c>
      <c r="N5778" t="s">
        <v>35703</v>
      </c>
      <c r="O5778" t="s">
        <v>26906</v>
      </c>
      <c r="P5778">
        <v>85100</v>
      </c>
      <c r="Q5778" t="str">
        <f>"36.412449"</f>
        <v>36.412449</v>
      </c>
      <c r="R5778" t="str">
        <f>"28.193250"</f>
        <v>28.193250</v>
      </c>
      <c r="S5778" t="s">
        <v>26</v>
      </c>
    </row>
    <row r="5779" spans="1:19" x14ac:dyDescent="0.3">
      <c r="A5779" t="s">
        <v>35638</v>
      </c>
      <c r="B5779" t="s">
        <v>36334</v>
      </c>
      <c r="C5779" t="s">
        <v>36542</v>
      </c>
      <c r="D5779" t="s">
        <v>35639</v>
      </c>
      <c r="E5779" t="s">
        <v>35639</v>
      </c>
      <c r="F5779" t="s">
        <v>35639</v>
      </c>
      <c r="G5779" t="s">
        <v>35639</v>
      </c>
      <c r="H5779" t="s">
        <v>868</v>
      </c>
      <c r="I5779" t="s">
        <v>869</v>
      </c>
      <c r="J5779" t="str">
        <f>"9100050"</f>
        <v>9100050</v>
      </c>
      <c r="K5779">
        <v>2241022002</v>
      </c>
      <c r="L5779">
        <v>2241022002</v>
      </c>
      <c r="M5779" t="s">
        <v>36543</v>
      </c>
      <c r="N5779" t="s">
        <v>35703</v>
      </c>
      <c r="O5779" t="s">
        <v>36544</v>
      </c>
      <c r="P5779">
        <v>85100</v>
      </c>
      <c r="Q5779" t="str">
        <f>"36.450685"</f>
        <v>36.450685</v>
      </c>
      <c r="R5779" t="str">
        <f>"28.220696"</f>
        <v>28.220696</v>
      </c>
      <c r="S5779" t="s">
        <v>26</v>
      </c>
    </row>
    <row r="5780" spans="1:19" x14ac:dyDescent="0.3">
      <c r="A5780" t="s">
        <v>35638</v>
      </c>
      <c r="B5780" t="s">
        <v>36334</v>
      </c>
      <c r="C5780" t="s">
        <v>36562</v>
      </c>
      <c r="D5780" t="s">
        <v>35651</v>
      </c>
      <c r="E5780" t="s">
        <v>35762</v>
      </c>
      <c r="F5780" t="s">
        <v>35762</v>
      </c>
      <c r="G5780" t="s">
        <v>35762</v>
      </c>
      <c r="H5780" t="s">
        <v>868</v>
      </c>
      <c r="I5780" t="s">
        <v>950</v>
      </c>
      <c r="J5780" t="str">
        <f>"9100186"</f>
        <v>9100186</v>
      </c>
      <c r="K5780">
        <v>2247031105</v>
      </c>
      <c r="L5780">
        <v>2247031105</v>
      </c>
      <c r="M5780" t="s">
        <v>36563</v>
      </c>
      <c r="N5780" t="s">
        <v>36564</v>
      </c>
      <c r="O5780" t="s">
        <v>36565</v>
      </c>
      <c r="P5780">
        <v>85500</v>
      </c>
      <c r="Q5780" t="str">
        <f>"37.385230"</f>
        <v>37.385230</v>
      </c>
      <c r="R5780" t="str">
        <f>"26.734912"</f>
        <v>26.734912</v>
      </c>
      <c r="S5780" t="s">
        <v>57</v>
      </c>
    </row>
    <row r="5781" spans="1:19" x14ac:dyDescent="0.3">
      <c r="A5781" t="s">
        <v>35638</v>
      </c>
      <c r="B5781" t="s">
        <v>36334</v>
      </c>
      <c r="C5781" t="s">
        <v>36005</v>
      </c>
      <c r="D5781" t="s">
        <v>35651</v>
      </c>
      <c r="E5781" t="s">
        <v>36001</v>
      </c>
      <c r="F5781" t="s">
        <v>36001</v>
      </c>
      <c r="G5781" t="s">
        <v>36001</v>
      </c>
      <c r="H5781" t="s">
        <v>868</v>
      </c>
      <c r="I5781" t="s">
        <v>950</v>
      </c>
      <c r="J5781" t="str">
        <f>"9100171"</f>
        <v>9100171</v>
      </c>
      <c r="K5781">
        <v>2247029207</v>
      </c>
      <c r="M5781" t="s">
        <v>36566</v>
      </c>
      <c r="N5781" t="s">
        <v>36004</v>
      </c>
      <c r="O5781" t="s">
        <v>36004</v>
      </c>
      <c r="P5781">
        <v>85003</v>
      </c>
      <c r="Q5781" t="str">
        <f>"37.458823"</f>
        <v>37.458823</v>
      </c>
      <c r="R5781" t="str">
        <f>"26.971420"</f>
        <v>26.971420</v>
      </c>
      <c r="S5781" t="s">
        <v>57</v>
      </c>
    </row>
    <row r="5782" spans="1:19" x14ac:dyDescent="0.3">
      <c r="A5782" t="s">
        <v>35638</v>
      </c>
      <c r="B5782" t="s">
        <v>36334</v>
      </c>
      <c r="C5782" t="s">
        <v>36571</v>
      </c>
      <c r="D5782" t="s">
        <v>35651</v>
      </c>
      <c r="E5782" t="s">
        <v>35652</v>
      </c>
      <c r="F5782" t="s">
        <v>35652</v>
      </c>
      <c r="G5782" t="s">
        <v>35652</v>
      </c>
      <c r="H5782" t="s">
        <v>868</v>
      </c>
      <c r="I5782" t="s">
        <v>950</v>
      </c>
      <c r="J5782" t="str">
        <f>"9100145"</f>
        <v>9100145</v>
      </c>
      <c r="K5782">
        <v>2243047115</v>
      </c>
      <c r="L5782">
        <v>2243047115</v>
      </c>
      <c r="M5782" t="s">
        <v>36572</v>
      </c>
      <c r="N5782" t="s">
        <v>36573</v>
      </c>
      <c r="O5782" t="s">
        <v>36573</v>
      </c>
      <c r="P5782">
        <v>85200</v>
      </c>
      <c r="Q5782" t="str">
        <f>"36.957068"</f>
        <v>36.957068</v>
      </c>
      <c r="R5782" t="str">
        <f>"26.944956"</f>
        <v>26.944956</v>
      </c>
      <c r="S5782" t="s">
        <v>26</v>
      </c>
    </row>
    <row r="5783" spans="1:19" x14ac:dyDescent="0.3">
      <c r="A5783" t="s">
        <v>35638</v>
      </c>
      <c r="B5783" t="s">
        <v>36334</v>
      </c>
      <c r="C5783" t="s">
        <v>35705</v>
      </c>
      <c r="D5783" t="s">
        <v>35639</v>
      </c>
      <c r="E5783" t="s">
        <v>35639</v>
      </c>
      <c r="F5783" t="s">
        <v>35639</v>
      </c>
      <c r="G5783" t="s">
        <v>35639</v>
      </c>
      <c r="H5783" t="s">
        <v>868</v>
      </c>
      <c r="I5783" t="s">
        <v>869</v>
      </c>
      <c r="J5783" t="str">
        <f>"9100112"</f>
        <v>9100112</v>
      </c>
      <c r="K5783">
        <v>2241027181</v>
      </c>
      <c r="L5783">
        <v>2241027181</v>
      </c>
      <c r="M5783" t="s">
        <v>36581</v>
      </c>
      <c r="N5783" t="s">
        <v>35703</v>
      </c>
      <c r="O5783" t="s">
        <v>36582</v>
      </c>
      <c r="P5783">
        <v>85132</v>
      </c>
      <c r="Q5783" t="str">
        <f>"36.435491"</f>
        <v>36.435491</v>
      </c>
      <c r="R5783" t="str">
        <f>"28.235320"</f>
        <v>28.235320</v>
      </c>
      <c r="S5783" t="s">
        <v>26</v>
      </c>
    </row>
    <row r="5784" spans="1:19" x14ac:dyDescent="0.3">
      <c r="A5784" t="s">
        <v>35638</v>
      </c>
      <c r="B5784" t="s">
        <v>36334</v>
      </c>
      <c r="C5784" t="s">
        <v>36595</v>
      </c>
      <c r="D5784" t="s">
        <v>35651</v>
      </c>
      <c r="E5784" t="s">
        <v>35652</v>
      </c>
      <c r="F5784" t="s">
        <v>35652</v>
      </c>
      <c r="G5784" t="s">
        <v>35652</v>
      </c>
      <c r="H5784" t="s">
        <v>868</v>
      </c>
      <c r="I5784" t="s">
        <v>869</v>
      </c>
      <c r="J5784" t="str">
        <f>"9100156"</f>
        <v>9100156</v>
      </c>
      <c r="K5784">
        <v>2243047295</v>
      </c>
      <c r="L5784">
        <v>2243047295</v>
      </c>
      <c r="M5784" t="s">
        <v>36596</v>
      </c>
      <c r="N5784" t="s">
        <v>33186</v>
      </c>
      <c r="O5784" t="s">
        <v>36597</v>
      </c>
      <c r="P5784">
        <v>85200</v>
      </c>
      <c r="Q5784" t="str">
        <f>"36.973435"</f>
        <v>36.973435</v>
      </c>
      <c r="R5784" t="str">
        <f>"26.938247"</f>
        <v>26.938247</v>
      </c>
      <c r="S5784" t="s">
        <v>26</v>
      </c>
    </row>
    <row r="5785" spans="1:19" x14ac:dyDescent="0.3">
      <c r="A5785" t="s">
        <v>35638</v>
      </c>
      <c r="B5785" t="s">
        <v>36334</v>
      </c>
      <c r="C5785" t="s">
        <v>36598</v>
      </c>
      <c r="D5785" t="s">
        <v>35651</v>
      </c>
      <c r="E5785" t="s">
        <v>35652</v>
      </c>
      <c r="F5785" t="s">
        <v>35652</v>
      </c>
      <c r="G5785" t="s">
        <v>35652</v>
      </c>
      <c r="H5785" t="s">
        <v>868</v>
      </c>
      <c r="I5785" t="s">
        <v>950</v>
      </c>
      <c r="J5785" t="str">
        <f>"9100146"</f>
        <v>9100146</v>
      </c>
      <c r="K5785">
        <v>2243031235</v>
      </c>
      <c r="L5785">
        <v>2243031235</v>
      </c>
      <c r="M5785" t="s">
        <v>36599</v>
      </c>
      <c r="N5785" t="s">
        <v>35673</v>
      </c>
      <c r="O5785" t="s">
        <v>36600</v>
      </c>
      <c r="P5785">
        <v>85200</v>
      </c>
      <c r="Q5785" t="str">
        <f>"36.980701"</f>
        <v>36.980701</v>
      </c>
      <c r="R5785" t="str">
        <f>"27.007713"</f>
        <v>27.007713</v>
      </c>
      <c r="S5785" t="s">
        <v>26</v>
      </c>
    </row>
    <row r="5786" spans="1:19" x14ac:dyDescent="0.3">
      <c r="A5786" t="s">
        <v>35638</v>
      </c>
      <c r="B5786" t="s">
        <v>36334</v>
      </c>
      <c r="C5786" t="s">
        <v>36601</v>
      </c>
      <c r="D5786" t="s">
        <v>35639</v>
      </c>
      <c r="E5786" t="s">
        <v>35639</v>
      </c>
      <c r="F5786" t="s">
        <v>35639</v>
      </c>
      <c r="G5786" t="s">
        <v>35639</v>
      </c>
      <c r="H5786" t="s">
        <v>868</v>
      </c>
      <c r="I5786" t="s">
        <v>1157</v>
      </c>
      <c r="J5786" t="str">
        <f>"9100281"</f>
        <v>9100281</v>
      </c>
      <c r="K5786">
        <v>2241038395</v>
      </c>
      <c r="L5786">
        <v>2241038395</v>
      </c>
      <c r="M5786" t="s">
        <v>36602</v>
      </c>
      <c r="N5786" t="s">
        <v>35703</v>
      </c>
      <c r="O5786" t="s">
        <v>36368</v>
      </c>
      <c r="P5786">
        <v>85100</v>
      </c>
      <c r="Q5786" t="str">
        <f>"36.436660"</f>
        <v>36.436660</v>
      </c>
      <c r="R5786" t="str">
        <f>"28.222506"</f>
        <v>28.222506</v>
      </c>
      <c r="S5786" t="s">
        <v>26</v>
      </c>
    </row>
    <row r="5787" spans="1:19" x14ac:dyDescent="0.3">
      <c r="A5787" t="s">
        <v>35638</v>
      </c>
      <c r="B5787" t="s">
        <v>36334</v>
      </c>
      <c r="C5787" t="s">
        <v>35825</v>
      </c>
      <c r="D5787" t="s">
        <v>35639</v>
      </c>
      <c r="E5787" t="s">
        <v>35639</v>
      </c>
      <c r="F5787" t="s">
        <v>35639</v>
      </c>
      <c r="G5787" t="s">
        <v>35639</v>
      </c>
      <c r="H5787" t="s">
        <v>868</v>
      </c>
      <c r="I5787" t="s">
        <v>869</v>
      </c>
      <c r="J5787" t="str">
        <f>"9100244"</f>
        <v>9100244</v>
      </c>
      <c r="K5787">
        <v>2241031139</v>
      </c>
      <c r="L5787">
        <v>2241031139</v>
      </c>
      <c r="M5787" t="s">
        <v>36603</v>
      </c>
      <c r="N5787" t="s">
        <v>35703</v>
      </c>
      <c r="O5787" t="s">
        <v>36604</v>
      </c>
      <c r="P5787">
        <v>85100</v>
      </c>
      <c r="Q5787" t="str">
        <f>"36.435180"</f>
        <v>36.435180</v>
      </c>
      <c r="R5787" t="str">
        <f>"28.227984"</f>
        <v>28.227984</v>
      </c>
      <c r="S5787" t="s">
        <v>26</v>
      </c>
    </row>
    <row r="5788" spans="1:19" x14ac:dyDescent="0.3">
      <c r="A5788" t="s">
        <v>35638</v>
      </c>
      <c r="B5788" t="s">
        <v>36334</v>
      </c>
      <c r="C5788" t="s">
        <v>35802</v>
      </c>
      <c r="D5788" t="s">
        <v>35657</v>
      </c>
      <c r="E5788" t="s">
        <v>35657</v>
      </c>
      <c r="F5788" t="s">
        <v>35657</v>
      </c>
      <c r="G5788" t="s">
        <v>35657</v>
      </c>
      <c r="H5788" t="s">
        <v>868</v>
      </c>
      <c r="I5788" t="s">
        <v>869</v>
      </c>
      <c r="J5788" t="str">
        <f>"9100008"</f>
        <v>9100008</v>
      </c>
      <c r="K5788">
        <v>2242028220</v>
      </c>
      <c r="L5788">
        <v>2242028220</v>
      </c>
      <c r="M5788" t="s">
        <v>36605</v>
      </c>
      <c r="N5788" t="s">
        <v>35718</v>
      </c>
      <c r="O5788" t="s">
        <v>36606</v>
      </c>
      <c r="P5788">
        <v>85300</v>
      </c>
      <c r="Q5788" t="str">
        <f>"36.892056"</f>
        <v>36.892056</v>
      </c>
      <c r="R5788" t="str">
        <f>"27.280812"</f>
        <v>27.280812</v>
      </c>
      <c r="S5788" t="s">
        <v>26</v>
      </c>
    </row>
    <row r="5789" spans="1:19" x14ac:dyDescent="0.3">
      <c r="A5789" t="s">
        <v>35638</v>
      </c>
      <c r="B5789" t="s">
        <v>36334</v>
      </c>
      <c r="C5789" t="s">
        <v>36607</v>
      </c>
      <c r="D5789" t="s">
        <v>35639</v>
      </c>
      <c r="E5789" t="s">
        <v>35639</v>
      </c>
      <c r="F5789" t="s">
        <v>35639</v>
      </c>
      <c r="G5789" t="s">
        <v>35639</v>
      </c>
      <c r="H5789" t="s">
        <v>868</v>
      </c>
      <c r="I5789" t="s">
        <v>869</v>
      </c>
      <c r="J5789" t="str">
        <f>"9100110"</f>
        <v>9100110</v>
      </c>
      <c r="K5789">
        <v>2241023549</v>
      </c>
      <c r="L5789">
        <v>2241023549</v>
      </c>
      <c r="M5789" t="s">
        <v>36608</v>
      </c>
      <c r="N5789" t="s">
        <v>35703</v>
      </c>
      <c r="O5789" t="s">
        <v>36368</v>
      </c>
      <c r="P5789">
        <v>85100</v>
      </c>
      <c r="Q5789" t="str">
        <f>"36.436125"</f>
        <v>36.436125</v>
      </c>
      <c r="R5789" t="str">
        <f>"28.224158"</f>
        <v>28.224158</v>
      </c>
      <c r="S5789" t="s">
        <v>26</v>
      </c>
    </row>
    <row r="5790" spans="1:19" x14ac:dyDescent="0.3">
      <c r="A5790" t="s">
        <v>35638</v>
      </c>
      <c r="B5790" t="s">
        <v>36334</v>
      </c>
      <c r="C5790" t="s">
        <v>36610</v>
      </c>
      <c r="D5790" t="s">
        <v>35639</v>
      </c>
      <c r="E5790" t="s">
        <v>35639</v>
      </c>
      <c r="F5790" t="s">
        <v>5563</v>
      </c>
      <c r="G5790" t="s">
        <v>36609</v>
      </c>
      <c r="H5790" t="s">
        <v>868</v>
      </c>
      <c r="I5790" t="s">
        <v>869</v>
      </c>
      <c r="J5790" t="str">
        <f>"9100140"</f>
        <v>9100140</v>
      </c>
      <c r="K5790">
        <v>2241050058</v>
      </c>
      <c r="L5790">
        <v>2241050058</v>
      </c>
      <c r="M5790" t="s">
        <v>36611</v>
      </c>
      <c r="N5790" t="s">
        <v>36612</v>
      </c>
      <c r="O5790" t="s">
        <v>36612</v>
      </c>
      <c r="P5790">
        <v>85100</v>
      </c>
      <c r="Q5790" t="str">
        <f>"36.314642"</f>
        <v>36.314642</v>
      </c>
      <c r="R5790" t="str">
        <f>"28.096978"</f>
        <v>28.096978</v>
      </c>
      <c r="S5790" t="s">
        <v>26</v>
      </c>
    </row>
    <row r="5791" spans="1:19" x14ac:dyDescent="0.3">
      <c r="A5791" t="s">
        <v>35638</v>
      </c>
      <c r="B5791" t="s">
        <v>36334</v>
      </c>
      <c r="C5791" t="s">
        <v>36613</v>
      </c>
      <c r="D5791" t="s">
        <v>35639</v>
      </c>
      <c r="E5791" t="s">
        <v>35639</v>
      </c>
      <c r="F5791" t="s">
        <v>36388</v>
      </c>
      <c r="G5791" t="s">
        <v>36389</v>
      </c>
      <c r="H5791" t="s">
        <v>868</v>
      </c>
      <c r="I5791" t="s">
        <v>869</v>
      </c>
      <c r="J5791" t="str">
        <f>"9100134"</f>
        <v>9100134</v>
      </c>
      <c r="K5791">
        <v>2244044377</v>
      </c>
      <c r="L5791">
        <v>2244044451</v>
      </c>
      <c r="M5791" t="s">
        <v>36614</v>
      </c>
      <c r="N5791" t="s">
        <v>36392</v>
      </c>
      <c r="O5791" t="s">
        <v>36392</v>
      </c>
      <c r="P5791">
        <v>85109</v>
      </c>
      <c r="Q5791" t="str">
        <f>"36.099664"</f>
        <v>36.099664</v>
      </c>
      <c r="R5791" t="str">
        <f>"28.015825"</f>
        <v>28.015825</v>
      </c>
      <c r="S5791" t="s">
        <v>26</v>
      </c>
    </row>
    <row r="5792" spans="1:19" x14ac:dyDescent="0.3">
      <c r="A5792" t="s">
        <v>35638</v>
      </c>
      <c r="B5792" t="s">
        <v>36334</v>
      </c>
      <c r="C5792" t="s">
        <v>36616</v>
      </c>
      <c r="D5792" t="s">
        <v>35639</v>
      </c>
      <c r="E5792" t="s">
        <v>35639</v>
      </c>
      <c r="F5792" t="s">
        <v>35955</v>
      </c>
      <c r="G5792" t="s">
        <v>36615</v>
      </c>
      <c r="H5792" t="s">
        <v>868</v>
      </c>
      <c r="I5792" t="s">
        <v>950</v>
      </c>
      <c r="J5792" t="str">
        <f>"9100072"</f>
        <v>9100072</v>
      </c>
      <c r="K5792">
        <v>2246031393</v>
      </c>
      <c r="L5792">
        <v>2246031393</v>
      </c>
      <c r="M5792" t="s">
        <v>36617</v>
      </c>
      <c r="N5792" t="s">
        <v>36618</v>
      </c>
      <c r="O5792" t="s">
        <v>36618</v>
      </c>
      <c r="P5792">
        <v>85108</v>
      </c>
      <c r="Q5792" t="str">
        <f>"36.210348"</f>
        <v>36.210348</v>
      </c>
      <c r="R5792" t="str">
        <f>"27.800106"</f>
        <v>27.800106</v>
      </c>
      <c r="S5792" t="s">
        <v>57</v>
      </c>
    </row>
    <row r="5793" spans="1:19" x14ac:dyDescent="0.3">
      <c r="A5793" t="s">
        <v>35638</v>
      </c>
      <c r="B5793" t="s">
        <v>36334</v>
      </c>
      <c r="C5793" t="s">
        <v>36620</v>
      </c>
      <c r="D5793" t="s">
        <v>35639</v>
      </c>
      <c r="E5793" t="s">
        <v>35639</v>
      </c>
      <c r="F5793" t="s">
        <v>35721</v>
      </c>
      <c r="G5793" t="s">
        <v>36619</v>
      </c>
      <c r="H5793" t="s">
        <v>868</v>
      </c>
      <c r="I5793" t="s">
        <v>950</v>
      </c>
      <c r="J5793" t="str">
        <f>"9100060"</f>
        <v>9100060</v>
      </c>
      <c r="K5793">
        <v>2241081214</v>
      </c>
      <c r="L5793">
        <v>2241081214</v>
      </c>
      <c r="M5793" t="s">
        <v>36621</v>
      </c>
      <c r="N5793" t="s">
        <v>36622</v>
      </c>
      <c r="O5793" t="s">
        <v>36622</v>
      </c>
      <c r="P5793">
        <v>85101</v>
      </c>
      <c r="Q5793" t="str">
        <f>"36.382418"</f>
        <v>36.382418</v>
      </c>
      <c r="R5793" t="str">
        <f>"28.075609"</f>
        <v>28.075609</v>
      </c>
      <c r="S5793" t="s">
        <v>26</v>
      </c>
    </row>
    <row r="5794" spans="1:19" x14ac:dyDescent="0.3">
      <c r="A5794" t="s">
        <v>35638</v>
      </c>
      <c r="B5794" t="s">
        <v>36334</v>
      </c>
      <c r="C5794" t="s">
        <v>36624</v>
      </c>
      <c r="D5794" t="s">
        <v>35639</v>
      </c>
      <c r="E5794" t="s">
        <v>35639</v>
      </c>
      <c r="F5794" t="s">
        <v>35721</v>
      </c>
      <c r="G5794" t="s">
        <v>36623</v>
      </c>
      <c r="H5794" t="s">
        <v>868</v>
      </c>
      <c r="I5794" t="s">
        <v>869</v>
      </c>
      <c r="J5794" t="str">
        <f>"9100073"</f>
        <v>9100073</v>
      </c>
      <c r="K5794">
        <v>2241047172</v>
      </c>
      <c r="L5794">
        <v>2241047172</v>
      </c>
      <c r="M5794" t="s">
        <v>36625</v>
      </c>
      <c r="N5794" t="s">
        <v>36626</v>
      </c>
      <c r="O5794" t="s">
        <v>36626</v>
      </c>
      <c r="P5794">
        <v>85101</v>
      </c>
      <c r="Q5794" t="str">
        <f>"36.359631"</f>
        <v>36.359631</v>
      </c>
      <c r="R5794" t="str">
        <f>"28.115798"</f>
        <v>28.115798</v>
      </c>
      <c r="S5794" t="s">
        <v>26</v>
      </c>
    </row>
    <row r="5795" spans="1:19" x14ac:dyDescent="0.3">
      <c r="A5795" t="s">
        <v>35638</v>
      </c>
      <c r="B5795" t="s">
        <v>36334</v>
      </c>
      <c r="C5795" t="s">
        <v>36645</v>
      </c>
      <c r="D5795" t="s">
        <v>35639</v>
      </c>
      <c r="E5795" t="s">
        <v>35639</v>
      </c>
      <c r="F5795" t="s">
        <v>35639</v>
      </c>
      <c r="G5795" t="s">
        <v>35639</v>
      </c>
      <c r="H5795" t="s">
        <v>868</v>
      </c>
      <c r="I5795" t="s">
        <v>869</v>
      </c>
      <c r="J5795" t="str">
        <f>"9100115"</f>
        <v>9100115</v>
      </c>
      <c r="K5795">
        <v>2241062395</v>
      </c>
      <c r="L5795">
        <v>2241062395</v>
      </c>
      <c r="M5795" t="s">
        <v>36646</v>
      </c>
      <c r="N5795" t="s">
        <v>36647</v>
      </c>
      <c r="O5795" t="s">
        <v>36648</v>
      </c>
      <c r="P5795">
        <v>85100</v>
      </c>
      <c r="Q5795" t="str">
        <f>"36.403840"</f>
        <v>36.403840</v>
      </c>
      <c r="R5795" t="str">
        <f>"28.200353"</f>
        <v>28.200353</v>
      </c>
      <c r="S5795" t="s">
        <v>26</v>
      </c>
    </row>
    <row r="5796" spans="1:19" x14ac:dyDescent="0.3">
      <c r="A5796" t="s">
        <v>35638</v>
      </c>
      <c r="B5796" t="s">
        <v>36334</v>
      </c>
      <c r="C5796" t="s">
        <v>36651</v>
      </c>
      <c r="D5796" t="s">
        <v>35639</v>
      </c>
      <c r="E5796" t="s">
        <v>35639</v>
      </c>
      <c r="F5796" t="s">
        <v>35784</v>
      </c>
      <c r="G5796" t="s">
        <v>36635</v>
      </c>
      <c r="H5796" t="s">
        <v>868</v>
      </c>
      <c r="I5796" t="s">
        <v>869</v>
      </c>
      <c r="J5796" t="str">
        <f>"9100090"</f>
        <v>9100090</v>
      </c>
      <c r="K5796">
        <v>2241041343</v>
      </c>
      <c r="L5796">
        <v>2241041343</v>
      </c>
      <c r="M5796" t="s">
        <v>36652</v>
      </c>
      <c r="O5796" t="s">
        <v>36653</v>
      </c>
      <c r="P5796">
        <v>85101</v>
      </c>
      <c r="Q5796" t="str">
        <f>"36.349258"</f>
        <v>36.349258</v>
      </c>
      <c r="R5796" t="str">
        <f>"27.979313"</f>
        <v>27.979313</v>
      </c>
      <c r="S5796" t="s">
        <v>26</v>
      </c>
    </row>
    <row r="5797" spans="1:19" x14ac:dyDescent="0.3">
      <c r="A5797" t="s">
        <v>35638</v>
      </c>
      <c r="B5797" t="s">
        <v>36334</v>
      </c>
      <c r="C5797" t="s">
        <v>36654</v>
      </c>
      <c r="D5797" t="s">
        <v>35651</v>
      </c>
      <c r="E5797" t="s">
        <v>35729</v>
      </c>
      <c r="F5797" t="s">
        <v>35729</v>
      </c>
      <c r="G5797" t="s">
        <v>35729</v>
      </c>
      <c r="H5797" t="s">
        <v>868</v>
      </c>
      <c r="I5797" t="s">
        <v>869</v>
      </c>
      <c r="J5797" t="str">
        <f>"9100175"</f>
        <v>9100175</v>
      </c>
      <c r="K5797">
        <v>2247022730</v>
      </c>
      <c r="L5797">
        <v>2247026093</v>
      </c>
      <c r="M5797" t="s">
        <v>36655</v>
      </c>
      <c r="N5797" t="s">
        <v>36484</v>
      </c>
      <c r="O5797" t="s">
        <v>36484</v>
      </c>
      <c r="P5797">
        <v>85400</v>
      </c>
      <c r="Q5797" t="str">
        <f>"37.111679"</f>
        <v>37.111679</v>
      </c>
      <c r="R5797" t="str">
        <f>"26.860130"</f>
        <v>26.860130</v>
      </c>
      <c r="S5797" t="s">
        <v>57</v>
      </c>
    </row>
    <row r="5798" spans="1:19" x14ac:dyDescent="0.3">
      <c r="A5798" t="s">
        <v>35638</v>
      </c>
      <c r="B5798" t="s">
        <v>36334</v>
      </c>
      <c r="C5798" t="s">
        <v>36656</v>
      </c>
      <c r="D5798" t="s">
        <v>35651</v>
      </c>
      <c r="E5798" t="s">
        <v>35652</v>
      </c>
      <c r="F5798" t="s">
        <v>35652</v>
      </c>
      <c r="G5798" t="s">
        <v>35652</v>
      </c>
      <c r="H5798" t="s">
        <v>868</v>
      </c>
      <c r="I5798" t="s">
        <v>869</v>
      </c>
      <c r="J5798" t="str">
        <f>"9100152"</f>
        <v>9100152</v>
      </c>
      <c r="K5798">
        <v>2243028131</v>
      </c>
      <c r="L5798">
        <v>2243028131</v>
      </c>
      <c r="M5798" t="s">
        <v>36657</v>
      </c>
      <c r="N5798" t="s">
        <v>35673</v>
      </c>
      <c r="O5798" t="s">
        <v>4292</v>
      </c>
      <c r="P5798">
        <v>85200</v>
      </c>
      <c r="Q5798" t="str">
        <f>"36.951699"</f>
        <v>36.951699</v>
      </c>
      <c r="R5798" t="str">
        <f>"26.989092"</f>
        <v>26.989092</v>
      </c>
      <c r="S5798" t="s">
        <v>26</v>
      </c>
    </row>
    <row r="5799" spans="1:19" x14ac:dyDescent="0.3">
      <c r="A5799" t="s">
        <v>35638</v>
      </c>
      <c r="B5799" t="s">
        <v>36334</v>
      </c>
      <c r="C5799" t="s">
        <v>35920</v>
      </c>
      <c r="D5799" t="s">
        <v>35651</v>
      </c>
      <c r="E5799" t="s">
        <v>35652</v>
      </c>
      <c r="F5799" t="s">
        <v>35652</v>
      </c>
      <c r="G5799" t="s">
        <v>35652</v>
      </c>
      <c r="H5799" t="s">
        <v>868</v>
      </c>
      <c r="I5799" t="s">
        <v>869</v>
      </c>
      <c r="J5799" t="str">
        <f>"9100155"</f>
        <v>9100155</v>
      </c>
      <c r="K5799">
        <v>2243029262</v>
      </c>
      <c r="L5799">
        <v>2243029262</v>
      </c>
      <c r="M5799" t="s">
        <v>36658</v>
      </c>
      <c r="N5799" t="s">
        <v>36659</v>
      </c>
      <c r="O5799" t="s">
        <v>36660</v>
      </c>
      <c r="P5799">
        <v>85200</v>
      </c>
      <c r="Q5799" t="str">
        <f>"36.954855"</f>
        <v>36.954855</v>
      </c>
      <c r="R5799" t="str">
        <f>"26.976679"</f>
        <v>26.976679</v>
      </c>
      <c r="S5799" t="s">
        <v>26</v>
      </c>
    </row>
    <row r="5800" spans="1:19" x14ac:dyDescent="0.3">
      <c r="A5800" t="s">
        <v>35638</v>
      </c>
      <c r="B5800" t="s">
        <v>36334</v>
      </c>
      <c r="C5800" t="s">
        <v>35807</v>
      </c>
      <c r="D5800" t="s">
        <v>35651</v>
      </c>
      <c r="E5800" t="s">
        <v>35729</v>
      </c>
      <c r="F5800" t="s">
        <v>35729</v>
      </c>
      <c r="G5800" t="s">
        <v>35729</v>
      </c>
      <c r="H5800" t="s">
        <v>868</v>
      </c>
      <c r="I5800" t="s">
        <v>869</v>
      </c>
      <c r="J5800" t="str">
        <f>"9100164"</f>
        <v>9100164</v>
      </c>
      <c r="K5800">
        <v>2247022580</v>
      </c>
      <c r="L5800">
        <v>2247022580</v>
      </c>
      <c r="M5800" t="s">
        <v>36663</v>
      </c>
      <c r="O5800" t="s">
        <v>36503</v>
      </c>
      <c r="P5800">
        <v>85400</v>
      </c>
      <c r="Q5800" t="str">
        <f>"37.155363"</f>
        <v>37.155363</v>
      </c>
      <c r="R5800" t="str">
        <f>"26.853734"</f>
        <v>26.853734</v>
      </c>
      <c r="S5800" t="s">
        <v>57</v>
      </c>
    </row>
    <row r="5801" spans="1:19" x14ac:dyDescent="0.3">
      <c r="A5801" t="s">
        <v>35638</v>
      </c>
      <c r="B5801" t="s">
        <v>36334</v>
      </c>
      <c r="C5801" t="s">
        <v>35675</v>
      </c>
      <c r="D5801" t="s">
        <v>35651</v>
      </c>
      <c r="E5801" t="s">
        <v>35652</v>
      </c>
      <c r="F5801" t="s">
        <v>35652</v>
      </c>
      <c r="G5801" t="s">
        <v>35652</v>
      </c>
      <c r="H5801" t="s">
        <v>868</v>
      </c>
      <c r="I5801" t="s">
        <v>869</v>
      </c>
      <c r="J5801" t="str">
        <f>"9100160"</f>
        <v>9100160</v>
      </c>
      <c r="K5801">
        <v>2243029190</v>
      </c>
      <c r="L5801">
        <v>2243029190</v>
      </c>
      <c r="M5801" t="s">
        <v>36664</v>
      </c>
      <c r="N5801" t="s">
        <v>35673</v>
      </c>
      <c r="O5801" t="s">
        <v>36451</v>
      </c>
      <c r="P5801">
        <v>85200</v>
      </c>
      <c r="Q5801" t="str">
        <f>"36.964027"</f>
        <v>36.964027</v>
      </c>
      <c r="R5801" t="str">
        <f>"26.961037"</f>
        <v>26.961037</v>
      </c>
      <c r="S5801" t="s">
        <v>26</v>
      </c>
    </row>
    <row r="5802" spans="1:19" x14ac:dyDescent="0.3">
      <c r="A5802" t="s">
        <v>35638</v>
      </c>
      <c r="B5802" t="s">
        <v>36334</v>
      </c>
      <c r="C5802" t="s">
        <v>36665</v>
      </c>
      <c r="D5802" t="s">
        <v>35651</v>
      </c>
      <c r="E5802" t="s">
        <v>35652</v>
      </c>
      <c r="F5802" t="s">
        <v>35652</v>
      </c>
      <c r="G5802" t="s">
        <v>35652</v>
      </c>
      <c r="H5802" t="s">
        <v>868</v>
      </c>
      <c r="I5802" t="s">
        <v>869</v>
      </c>
      <c r="J5802" t="str">
        <f>"9100150"</f>
        <v>9100150</v>
      </c>
      <c r="K5802">
        <v>2243029500</v>
      </c>
      <c r="M5802" t="s">
        <v>36666</v>
      </c>
      <c r="N5802" t="s">
        <v>36667</v>
      </c>
      <c r="O5802" t="s">
        <v>36668</v>
      </c>
      <c r="P5802">
        <v>85200</v>
      </c>
      <c r="Q5802" t="str">
        <f>"36.953474"</f>
        <v>36.953474</v>
      </c>
      <c r="R5802" t="str">
        <f>"26.981523"</f>
        <v>26.981523</v>
      </c>
      <c r="S5802" t="s">
        <v>26</v>
      </c>
    </row>
    <row r="5803" spans="1:19" x14ac:dyDescent="0.3">
      <c r="A5803" t="s">
        <v>35638</v>
      </c>
      <c r="B5803" t="s">
        <v>36334</v>
      </c>
      <c r="C5803" t="s">
        <v>35821</v>
      </c>
      <c r="D5803" t="s">
        <v>35639</v>
      </c>
      <c r="E5803" t="s">
        <v>35639</v>
      </c>
      <c r="F5803" t="s">
        <v>35815</v>
      </c>
      <c r="G5803" t="s">
        <v>35816</v>
      </c>
      <c r="H5803" t="s">
        <v>868</v>
      </c>
      <c r="I5803" t="s">
        <v>869</v>
      </c>
      <c r="J5803" t="str">
        <f>"9100127"</f>
        <v>9100127</v>
      </c>
      <c r="K5803">
        <v>2244043413</v>
      </c>
      <c r="L5803">
        <v>2244043685</v>
      </c>
      <c r="M5803" t="s">
        <v>36673</v>
      </c>
      <c r="N5803" t="s">
        <v>36674</v>
      </c>
      <c r="O5803" t="s">
        <v>36674</v>
      </c>
      <c r="P5803">
        <v>85109</v>
      </c>
      <c r="Q5803" t="str">
        <f>"36.028501"</f>
        <v>36.028501</v>
      </c>
      <c r="R5803" t="str">
        <f>"27.920550"</f>
        <v>27.920550</v>
      </c>
      <c r="S5803" t="s">
        <v>57</v>
      </c>
    </row>
    <row r="5804" spans="1:19" x14ac:dyDescent="0.3">
      <c r="A5804" t="s">
        <v>35638</v>
      </c>
      <c r="B5804" t="s">
        <v>36334</v>
      </c>
      <c r="C5804" t="s">
        <v>35891</v>
      </c>
      <c r="D5804" t="s">
        <v>35639</v>
      </c>
      <c r="E5804" t="s">
        <v>35639</v>
      </c>
      <c r="F5804" t="s">
        <v>29736</v>
      </c>
      <c r="G5804" t="s">
        <v>35887</v>
      </c>
      <c r="H5804" t="s">
        <v>868</v>
      </c>
      <c r="I5804" t="s">
        <v>869</v>
      </c>
      <c r="J5804" t="str">
        <f>"9100138"</f>
        <v>9100138</v>
      </c>
      <c r="K5804">
        <v>2244051429</v>
      </c>
      <c r="L5804">
        <v>2244051930</v>
      </c>
      <c r="M5804" t="s">
        <v>36675</v>
      </c>
      <c r="N5804" t="s">
        <v>35890</v>
      </c>
      <c r="O5804" t="s">
        <v>35890</v>
      </c>
      <c r="P5804">
        <v>85102</v>
      </c>
      <c r="Q5804" t="str">
        <f>"36.179497"</f>
        <v>36.179497</v>
      </c>
      <c r="R5804" t="str">
        <f>"28.072881"</f>
        <v>28.072881</v>
      </c>
      <c r="S5804" t="s">
        <v>26</v>
      </c>
    </row>
    <row r="5805" spans="1:19" x14ac:dyDescent="0.3">
      <c r="A5805" t="s">
        <v>35638</v>
      </c>
      <c r="B5805" t="s">
        <v>36334</v>
      </c>
      <c r="C5805" t="s">
        <v>35973</v>
      </c>
      <c r="D5805" t="s">
        <v>35689</v>
      </c>
      <c r="E5805" t="s">
        <v>35689</v>
      </c>
      <c r="F5805" t="s">
        <v>21128</v>
      </c>
      <c r="G5805" t="s">
        <v>21128</v>
      </c>
      <c r="H5805" t="s">
        <v>868</v>
      </c>
      <c r="I5805" t="s">
        <v>950</v>
      </c>
      <c r="J5805" t="str">
        <f>"9100102"</f>
        <v>9100102</v>
      </c>
      <c r="K5805">
        <v>2245051211</v>
      </c>
      <c r="L5805">
        <v>2245051211</v>
      </c>
      <c r="M5805" t="s">
        <v>36690</v>
      </c>
      <c r="N5805" t="s">
        <v>36689</v>
      </c>
      <c r="O5805" t="s">
        <v>36689</v>
      </c>
      <c r="P5805">
        <v>85700</v>
      </c>
      <c r="Q5805" t="str">
        <f>"35.758509"</f>
        <v>35.758509</v>
      </c>
      <c r="R5805" t="str">
        <f>"27.208910"</f>
        <v>27.208910</v>
      </c>
      <c r="S5805" t="s">
        <v>57</v>
      </c>
    </row>
    <row r="5806" spans="1:19" x14ac:dyDescent="0.3">
      <c r="A5806" t="s">
        <v>35638</v>
      </c>
      <c r="B5806" t="s">
        <v>36334</v>
      </c>
      <c r="C5806" t="s">
        <v>36694</v>
      </c>
      <c r="D5806" t="s">
        <v>35639</v>
      </c>
      <c r="E5806" t="s">
        <v>35639</v>
      </c>
      <c r="F5806" t="s">
        <v>36388</v>
      </c>
      <c r="G5806" t="s">
        <v>36693</v>
      </c>
      <c r="H5806" t="s">
        <v>868</v>
      </c>
      <c r="I5806" t="s">
        <v>869</v>
      </c>
      <c r="J5806" t="str">
        <f>"9100139"</f>
        <v>9100139</v>
      </c>
      <c r="K5806">
        <v>2244031096</v>
      </c>
      <c r="M5806" t="s">
        <v>36695</v>
      </c>
      <c r="N5806" t="s">
        <v>36696</v>
      </c>
      <c r="O5806" t="s">
        <v>36696</v>
      </c>
      <c r="P5806">
        <v>85109</v>
      </c>
      <c r="Q5806" t="str">
        <f>"36.021564"</f>
        <v>36.021564</v>
      </c>
      <c r="R5806" t="str">
        <f>"27.925365"</f>
        <v>27.925365</v>
      </c>
      <c r="S5806" t="s">
        <v>26</v>
      </c>
    </row>
    <row r="5807" spans="1:19" x14ac:dyDescent="0.3">
      <c r="A5807" t="s">
        <v>35638</v>
      </c>
      <c r="B5807" t="s">
        <v>36334</v>
      </c>
      <c r="C5807" t="s">
        <v>36697</v>
      </c>
      <c r="D5807" t="s">
        <v>35639</v>
      </c>
      <c r="E5807" t="s">
        <v>35639</v>
      </c>
      <c r="F5807" t="s">
        <v>35746</v>
      </c>
      <c r="G5807" t="s">
        <v>35746</v>
      </c>
      <c r="H5807" t="s">
        <v>868</v>
      </c>
      <c r="I5807" t="s">
        <v>869</v>
      </c>
      <c r="J5807" t="str">
        <f>"9100254"</f>
        <v>9100254</v>
      </c>
      <c r="K5807">
        <v>2241051196</v>
      </c>
      <c r="L5807">
        <v>2241051196</v>
      </c>
      <c r="M5807" t="s">
        <v>36698</v>
      </c>
      <c r="N5807" t="s">
        <v>35749</v>
      </c>
      <c r="O5807" t="s">
        <v>36699</v>
      </c>
      <c r="P5807">
        <v>85103</v>
      </c>
      <c r="Q5807" t="str">
        <f>"36.294347"</f>
        <v>36.294347</v>
      </c>
      <c r="R5807" t="str">
        <f>"28.161390"</f>
        <v>28.161390</v>
      </c>
      <c r="S5807" t="s">
        <v>26</v>
      </c>
    </row>
    <row r="5808" spans="1:19" x14ac:dyDescent="0.3">
      <c r="A5808" t="s">
        <v>35638</v>
      </c>
      <c r="B5808" t="s">
        <v>36334</v>
      </c>
      <c r="C5808" t="s">
        <v>35906</v>
      </c>
      <c r="D5808" t="s">
        <v>35651</v>
      </c>
      <c r="E5808" t="s">
        <v>35901</v>
      </c>
      <c r="F5808" t="s">
        <v>35901</v>
      </c>
      <c r="G5808" t="s">
        <v>35901</v>
      </c>
      <c r="H5808" t="s">
        <v>868</v>
      </c>
      <c r="I5808" t="s">
        <v>869</v>
      </c>
      <c r="J5808" t="str">
        <f>"9100142"</f>
        <v>9100142</v>
      </c>
      <c r="K5808">
        <v>2243061202</v>
      </c>
      <c r="L5808">
        <v>2243061202</v>
      </c>
      <c r="M5808" t="s">
        <v>36703</v>
      </c>
      <c r="N5808" t="s">
        <v>36704</v>
      </c>
      <c r="O5808" t="s">
        <v>36705</v>
      </c>
      <c r="P5808">
        <v>85900</v>
      </c>
      <c r="Q5808" t="str">
        <f>"36.549269"</f>
        <v>36.549269</v>
      </c>
      <c r="R5808" t="str">
        <f>"26.351749"</f>
        <v>26.351749</v>
      </c>
      <c r="S5808" t="s">
        <v>57</v>
      </c>
    </row>
    <row r="5809" spans="1:19" x14ac:dyDescent="0.3">
      <c r="A5809" t="s">
        <v>35638</v>
      </c>
      <c r="B5809" t="s">
        <v>36334</v>
      </c>
      <c r="C5809" t="s">
        <v>35734</v>
      </c>
      <c r="D5809" t="s">
        <v>35651</v>
      </c>
      <c r="E5809" t="s">
        <v>35729</v>
      </c>
      <c r="F5809" t="s">
        <v>35729</v>
      </c>
      <c r="G5809" t="s">
        <v>35729</v>
      </c>
      <c r="H5809" t="s">
        <v>868</v>
      </c>
      <c r="I5809" t="s">
        <v>869</v>
      </c>
      <c r="J5809" t="str">
        <f>"9100173"</f>
        <v>9100173</v>
      </c>
      <c r="K5809">
        <v>2247022873</v>
      </c>
      <c r="L5809">
        <v>2247022873</v>
      </c>
      <c r="M5809" t="s">
        <v>36706</v>
      </c>
      <c r="O5809" t="s">
        <v>36499</v>
      </c>
      <c r="P5809">
        <v>85400</v>
      </c>
      <c r="Q5809" t="str">
        <f>"37.131368"</f>
        <v>37.131368</v>
      </c>
      <c r="R5809" t="str">
        <f>"26.855876"</f>
        <v>26.855876</v>
      </c>
      <c r="S5809" t="s">
        <v>57</v>
      </c>
    </row>
    <row r="5810" spans="1:19" x14ac:dyDescent="0.3">
      <c r="A5810" t="s">
        <v>35638</v>
      </c>
      <c r="B5810" t="s">
        <v>36334</v>
      </c>
      <c r="C5810" t="s">
        <v>36707</v>
      </c>
      <c r="D5810" t="s">
        <v>35657</v>
      </c>
      <c r="E5810" t="s">
        <v>35657</v>
      </c>
      <c r="F5810" t="s">
        <v>35657</v>
      </c>
      <c r="G5810" t="s">
        <v>35657</v>
      </c>
      <c r="H5810" t="s">
        <v>868</v>
      </c>
      <c r="I5810" t="s">
        <v>869</v>
      </c>
      <c r="J5810" t="str">
        <f>"9100002"</f>
        <v>9100002</v>
      </c>
      <c r="K5810">
        <v>2242022703</v>
      </c>
      <c r="L5810">
        <v>2242022703</v>
      </c>
      <c r="M5810" t="s">
        <v>36708</v>
      </c>
      <c r="N5810" t="s">
        <v>35718</v>
      </c>
      <c r="O5810" t="s">
        <v>36709</v>
      </c>
      <c r="P5810">
        <v>85300</v>
      </c>
      <c r="Q5810" t="str">
        <f>"36.883311"</f>
        <v>36.883311</v>
      </c>
      <c r="R5810" t="str">
        <f>"27.290901"</f>
        <v>27.290901</v>
      </c>
      <c r="S5810" t="s">
        <v>26</v>
      </c>
    </row>
    <row r="5811" spans="1:19" x14ac:dyDescent="0.3">
      <c r="A5811" t="s">
        <v>35638</v>
      </c>
      <c r="B5811" t="s">
        <v>36334</v>
      </c>
      <c r="C5811" t="s">
        <v>35715</v>
      </c>
      <c r="D5811" t="s">
        <v>35651</v>
      </c>
      <c r="E5811" t="s">
        <v>35711</v>
      </c>
      <c r="F5811" t="s">
        <v>35711</v>
      </c>
      <c r="G5811" t="s">
        <v>35711</v>
      </c>
      <c r="H5811" t="s">
        <v>868</v>
      </c>
      <c r="I5811" t="s">
        <v>869</v>
      </c>
      <c r="J5811" t="str">
        <f>"9100163"</f>
        <v>9100163</v>
      </c>
      <c r="K5811">
        <v>2247041231</v>
      </c>
      <c r="L5811">
        <v>2247041231</v>
      </c>
      <c r="M5811" t="s">
        <v>36710</v>
      </c>
      <c r="N5811" t="s">
        <v>35714</v>
      </c>
      <c r="O5811" t="s">
        <v>35714</v>
      </c>
      <c r="P5811">
        <v>85001</v>
      </c>
      <c r="Q5811" t="str">
        <f>"37.297809"</f>
        <v>37.297809</v>
      </c>
      <c r="R5811" t="str">
        <f>"26.768001"</f>
        <v>26.768001</v>
      </c>
      <c r="S5811" t="s">
        <v>57</v>
      </c>
    </row>
    <row r="5812" spans="1:19" x14ac:dyDescent="0.3">
      <c r="A5812" t="s">
        <v>35638</v>
      </c>
      <c r="B5812" t="s">
        <v>36334</v>
      </c>
      <c r="C5812" t="s">
        <v>36711</v>
      </c>
      <c r="D5812" t="s">
        <v>35651</v>
      </c>
      <c r="E5812" t="s">
        <v>35652</v>
      </c>
      <c r="F5812" t="s">
        <v>35652</v>
      </c>
      <c r="G5812" t="s">
        <v>35652</v>
      </c>
      <c r="H5812" t="s">
        <v>868</v>
      </c>
      <c r="I5812" t="s">
        <v>1157</v>
      </c>
      <c r="J5812" t="str">
        <f>"9100239"</f>
        <v>9100239</v>
      </c>
      <c r="K5812">
        <v>2243029952</v>
      </c>
      <c r="L5812">
        <v>2243059139</v>
      </c>
      <c r="M5812" t="s">
        <v>36712</v>
      </c>
      <c r="N5812" t="s">
        <v>35673</v>
      </c>
      <c r="O5812" t="s">
        <v>36550</v>
      </c>
      <c r="P5812">
        <v>85200</v>
      </c>
      <c r="Q5812" t="str">
        <f>"36.952282"</f>
        <v>36.952282</v>
      </c>
      <c r="R5812" t="str">
        <f>"26.980765"</f>
        <v>26.980765</v>
      </c>
      <c r="S5812" t="s">
        <v>26</v>
      </c>
    </row>
    <row r="5813" spans="1:19" x14ac:dyDescent="0.3">
      <c r="A5813" t="s">
        <v>35638</v>
      </c>
      <c r="B5813" t="s">
        <v>36334</v>
      </c>
      <c r="C5813" t="s">
        <v>36714</v>
      </c>
      <c r="D5813" t="s">
        <v>35639</v>
      </c>
      <c r="E5813" t="s">
        <v>35639</v>
      </c>
      <c r="F5813" t="s">
        <v>36388</v>
      </c>
      <c r="G5813" t="s">
        <v>36713</v>
      </c>
      <c r="H5813" t="s">
        <v>868</v>
      </c>
      <c r="I5813" t="s">
        <v>869</v>
      </c>
      <c r="J5813" t="str">
        <f>"9100136"</f>
        <v>9100136</v>
      </c>
      <c r="K5813">
        <v>2244031297</v>
      </c>
      <c r="L5813">
        <v>2244031297</v>
      </c>
      <c r="M5813" t="s">
        <v>36715</v>
      </c>
      <c r="N5813" t="s">
        <v>36716</v>
      </c>
      <c r="O5813" t="s">
        <v>36716</v>
      </c>
      <c r="P5813">
        <v>85107</v>
      </c>
      <c r="Q5813" t="str">
        <f>"36.091849"</f>
        <v>36.091849</v>
      </c>
      <c r="R5813" t="str">
        <f>"28.085665"</f>
        <v>28.085665</v>
      </c>
      <c r="S5813" t="s">
        <v>26</v>
      </c>
    </row>
    <row r="5814" spans="1:19" x14ac:dyDescent="0.3">
      <c r="A5814" t="s">
        <v>35638</v>
      </c>
      <c r="B5814" t="s">
        <v>36334</v>
      </c>
      <c r="C5814" t="s">
        <v>36717</v>
      </c>
      <c r="D5814" t="s">
        <v>35657</v>
      </c>
      <c r="E5814" t="s">
        <v>35657</v>
      </c>
      <c r="F5814" t="s">
        <v>35657</v>
      </c>
      <c r="G5814" t="s">
        <v>35657</v>
      </c>
      <c r="H5814" t="s">
        <v>868</v>
      </c>
      <c r="I5814" t="s">
        <v>869</v>
      </c>
      <c r="J5814" t="str">
        <f>"9100007"</f>
        <v>9100007</v>
      </c>
      <c r="K5814">
        <v>2242028225</v>
      </c>
      <c r="L5814">
        <v>2242028225</v>
      </c>
      <c r="M5814" t="s">
        <v>36718</v>
      </c>
      <c r="N5814" t="s">
        <v>36719</v>
      </c>
      <c r="O5814" t="s">
        <v>36720</v>
      </c>
      <c r="P5814">
        <v>85300</v>
      </c>
      <c r="Q5814" t="str">
        <f>"36.896148"</f>
        <v>36.896148</v>
      </c>
      <c r="R5814" t="str">
        <f>"27.285936"</f>
        <v>27.285936</v>
      </c>
      <c r="S5814" t="s">
        <v>26</v>
      </c>
    </row>
    <row r="5815" spans="1:19" x14ac:dyDescent="0.3">
      <c r="A5815" t="s">
        <v>35638</v>
      </c>
      <c r="B5815" t="s">
        <v>36334</v>
      </c>
      <c r="C5815" t="s">
        <v>35841</v>
      </c>
      <c r="D5815" t="s">
        <v>35639</v>
      </c>
      <c r="E5815" t="s">
        <v>35639</v>
      </c>
      <c r="F5815" t="s">
        <v>35639</v>
      </c>
      <c r="G5815" t="s">
        <v>35639</v>
      </c>
      <c r="H5815" t="s">
        <v>868</v>
      </c>
      <c r="I5815" t="s">
        <v>869</v>
      </c>
      <c r="J5815" t="str">
        <f>"9100051"</f>
        <v>9100051</v>
      </c>
      <c r="K5815">
        <v>2241024395</v>
      </c>
      <c r="L5815">
        <v>2241024395</v>
      </c>
      <c r="M5815" t="s">
        <v>36738</v>
      </c>
      <c r="N5815" t="s">
        <v>35703</v>
      </c>
      <c r="O5815" t="s">
        <v>36739</v>
      </c>
      <c r="P5815">
        <v>85131</v>
      </c>
      <c r="Q5815" t="str">
        <f>"36.449765"</f>
        <v>36.449765</v>
      </c>
      <c r="R5815" t="str">
        <f>"28.221324"</f>
        <v>28.221324</v>
      </c>
      <c r="S5815" t="s">
        <v>26</v>
      </c>
    </row>
    <row r="5816" spans="1:19" x14ac:dyDescent="0.3">
      <c r="A5816" t="s">
        <v>35638</v>
      </c>
      <c r="B5816" t="s">
        <v>36334</v>
      </c>
      <c r="C5816" t="s">
        <v>36740</v>
      </c>
      <c r="D5816" t="s">
        <v>35639</v>
      </c>
      <c r="E5816" t="s">
        <v>35639</v>
      </c>
      <c r="F5816" t="s">
        <v>35735</v>
      </c>
      <c r="G5816" t="s">
        <v>35736</v>
      </c>
      <c r="H5816" t="s">
        <v>868</v>
      </c>
      <c r="I5816" t="s">
        <v>869</v>
      </c>
      <c r="J5816" t="str">
        <f>"9100263"</f>
        <v>9100263</v>
      </c>
      <c r="K5816">
        <v>2241090424</v>
      </c>
      <c r="L5816">
        <v>2241090424</v>
      </c>
      <c r="M5816" t="s">
        <v>36741</v>
      </c>
      <c r="N5816" t="s">
        <v>35739</v>
      </c>
      <c r="O5816" t="s">
        <v>36742</v>
      </c>
      <c r="P5816">
        <v>85101</v>
      </c>
      <c r="Q5816" t="str">
        <f>"36.414748"</f>
        <v>36.414748</v>
      </c>
      <c r="R5816" t="str">
        <f>"28.174921"</f>
        <v>28.174921</v>
      </c>
      <c r="S5816" t="s">
        <v>26</v>
      </c>
    </row>
    <row r="5817" spans="1:19" x14ac:dyDescent="0.3">
      <c r="A5817" t="s">
        <v>35638</v>
      </c>
      <c r="B5817" t="s">
        <v>36334</v>
      </c>
      <c r="C5817" t="s">
        <v>36750</v>
      </c>
      <c r="D5817" t="s">
        <v>35639</v>
      </c>
      <c r="E5817" t="s">
        <v>35639</v>
      </c>
      <c r="F5817" t="s">
        <v>29736</v>
      </c>
      <c r="G5817" t="s">
        <v>36749</v>
      </c>
      <c r="H5817" t="s">
        <v>868</v>
      </c>
      <c r="I5817" t="s">
        <v>869</v>
      </c>
      <c r="J5817" t="str">
        <f>"9100137"</f>
        <v>9100137</v>
      </c>
      <c r="K5817">
        <v>2244051332</v>
      </c>
      <c r="L5817">
        <v>2244051332</v>
      </c>
      <c r="M5817" t="s">
        <v>36751</v>
      </c>
      <c r="N5817" t="s">
        <v>36752</v>
      </c>
      <c r="O5817" t="s">
        <v>36753</v>
      </c>
      <c r="P5817">
        <v>85102</v>
      </c>
      <c r="Q5817" t="str">
        <f>"36.202562"</f>
        <v>36.202562</v>
      </c>
      <c r="R5817" t="str">
        <f>"28.068350"</f>
        <v>28.068350</v>
      </c>
      <c r="S5817" t="s">
        <v>26</v>
      </c>
    </row>
    <row r="5818" spans="1:19" x14ac:dyDescent="0.3">
      <c r="A5818" t="s">
        <v>35638</v>
      </c>
      <c r="B5818" t="s">
        <v>36334</v>
      </c>
      <c r="C5818" t="s">
        <v>35863</v>
      </c>
      <c r="D5818" t="s">
        <v>35689</v>
      </c>
      <c r="E5818" t="s">
        <v>35858</v>
      </c>
      <c r="F5818" t="s">
        <v>35858</v>
      </c>
      <c r="G5818" t="s">
        <v>35859</v>
      </c>
      <c r="H5818" t="s">
        <v>868</v>
      </c>
      <c r="I5818" t="s">
        <v>869</v>
      </c>
      <c r="J5818" t="str">
        <f>"9100095"</f>
        <v>9100095</v>
      </c>
      <c r="K5818">
        <v>2245041329</v>
      </c>
      <c r="L5818">
        <v>2245041329</v>
      </c>
      <c r="M5818" t="s">
        <v>36754</v>
      </c>
      <c r="N5818" t="s">
        <v>36755</v>
      </c>
      <c r="O5818" t="s">
        <v>36755</v>
      </c>
      <c r="P5818">
        <v>85800</v>
      </c>
      <c r="Q5818" t="str">
        <f>"35.415503"</f>
        <v>35.415503</v>
      </c>
      <c r="R5818" t="str">
        <f>"26.925807"</f>
        <v>26.925807</v>
      </c>
      <c r="S5818" t="s">
        <v>57</v>
      </c>
    </row>
    <row r="5819" spans="1:19" x14ac:dyDescent="0.3">
      <c r="A5819" t="s">
        <v>35638</v>
      </c>
      <c r="B5819" t="s">
        <v>36334</v>
      </c>
      <c r="C5819" t="s">
        <v>35728</v>
      </c>
      <c r="D5819" t="s">
        <v>35639</v>
      </c>
      <c r="E5819" t="s">
        <v>35639</v>
      </c>
      <c r="F5819" t="s">
        <v>35721</v>
      </c>
      <c r="G5819" t="s">
        <v>35722</v>
      </c>
      <c r="H5819" t="s">
        <v>868</v>
      </c>
      <c r="I5819" t="s">
        <v>869</v>
      </c>
      <c r="J5819" t="str">
        <f>"9100077"</f>
        <v>9100077</v>
      </c>
      <c r="K5819">
        <v>2241081315</v>
      </c>
      <c r="L5819">
        <v>2241081315</v>
      </c>
      <c r="M5819" t="s">
        <v>36760</v>
      </c>
      <c r="N5819" t="s">
        <v>35727</v>
      </c>
      <c r="O5819" t="s">
        <v>20580</v>
      </c>
      <c r="P5819">
        <v>85106</v>
      </c>
      <c r="Q5819" t="str">
        <f>"36.398088"</f>
        <v>36.398088</v>
      </c>
      <c r="R5819" t="str">
        <f>"28.082157"</f>
        <v>28.082157</v>
      </c>
      <c r="S5819" t="s">
        <v>26</v>
      </c>
    </row>
    <row r="5820" spans="1:19" x14ac:dyDescent="0.3">
      <c r="A5820" t="s">
        <v>35638</v>
      </c>
      <c r="B5820" t="s">
        <v>36334</v>
      </c>
      <c r="C5820" t="s">
        <v>35938</v>
      </c>
      <c r="D5820" t="s">
        <v>35657</v>
      </c>
      <c r="E5820" t="s">
        <v>35657</v>
      </c>
      <c r="F5820" t="s">
        <v>35658</v>
      </c>
      <c r="G5820" t="s">
        <v>35659</v>
      </c>
      <c r="H5820" t="s">
        <v>868</v>
      </c>
      <c r="I5820" t="s">
        <v>869</v>
      </c>
      <c r="J5820" t="str">
        <f>"9100017"</f>
        <v>9100017</v>
      </c>
      <c r="K5820">
        <v>2242069270</v>
      </c>
      <c r="L5820">
        <v>2242069270</v>
      </c>
      <c r="M5820" t="s">
        <v>36761</v>
      </c>
      <c r="N5820" t="s">
        <v>36454</v>
      </c>
      <c r="O5820" t="s">
        <v>36762</v>
      </c>
      <c r="P5820">
        <v>85300</v>
      </c>
      <c r="Q5820" t="str">
        <f>"36.875869"</f>
        <v>36.875869</v>
      </c>
      <c r="R5820" t="str">
        <f>"27.205682"</f>
        <v>27.205682</v>
      </c>
      <c r="S5820" t="s">
        <v>26</v>
      </c>
    </row>
    <row r="5821" spans="1:19" x14ac:dyDescent="0.3">
      <c r="A5821" t="s">
        <v>35638</v>
      </c>
      <c r="B5821" t="s">
        <v>36334</v>
      </c>
      <c r="C5821" t="s">
        <v>35761</v>
      </c>
      <c r="D5821" t="s">
        <v>35639</v>
      </c>
      <c r="E5821" t="s">
        <v>35639</v>
      </c>
      <c r="F5821" t="s">
        <v>35721</v>
      </c>
      <c r="G5821" t="s">
        <v>35756</v>
      </c>
      <c r="H5821" t="s">
        <v>868</v>
      </c>
      <c r="I5821" t="s">
        <v>869</v>
      </c>
      <c r="J5821" t="str">
        <f>"9100071"</f>
        <v>9100071</v>
      </c>
      <c r="K5821">
        <v>2241091231</v>
      </c>
      <c r="L5821">
        <v>2241091231</v>
      </c>
      <c r="M5821" t="s">
        <v>36763</v>
      </c>
      <c r="N5821" t="s">
        <v>35759</v>
      </c>
      <c r="O5821" t="s">
        <v>36764</v>
      </c>
      <c r="P5821">
        <v>85104</v>
      </c>
      <c r="Q5821" t="str">
        <f>"36.407776"</f>
        <v>36.407776</v>
      </c>
      <c r="R5821" t="str">
        <f>"28.123940"</f>
        <v>28.123940</v>
      </c>
      <c r="S5821" t="s">
        <v>26</v>
      </c>
    </row>
    <row r="5822" spans="1:19" x14ac:dyDescent="0.3">
      <c r="A5822" t="s">
        <v>35638</v>
      </c>
      <c r="B5822" t="s">
        <v>36334</v>
      </c>
      <c r="C5822" t="s">
        <v>35857</v>
      </c>
      <c r="D5822" t="s">
        <v>35639</v>
      </c>
      <c r="E5822" t="s">
        <v>35639</v>
      </c>
      <c r="F5822" t="s">
        <v>5563</v>
      </c>
      <c r="G5822" t="s">
        <v>35853</v>
      </c>
      <c r="H5822" t="s">
        <v>868</v>
      </c>
      <c r="I5822" t="s">
        <v>869</v>
      </c>
      <c r="J5822" t="str">
        <f>"9100130"</f>
        <v>9100130</v>
      </c>
      <c r="K5822">
        <v>2241085265</v>
      </c>
      <c r="L5822">
        <v>2241085265</v>
      </c>
      <c r="M5822" t="s">
        <v>36765</v>
      </c>
      <c r="N5822" t="s">
        <v>36766</v>
      </c>
      <c r="O5822" t="s">
        <v>36767</v>
      </c>
      <c r="P5822">
        <v>85105</v>
      </c>
      <c r="Q5822" t="str">
        <f>"36.340685"</f>
        <v>36.340685</v>
      </c>
      <c r="R5822" t="str">
        <f>"28.172268"</f>
        <v>28.172268</v>
      </c>
      <c r="S5822" t="s">
        <v>26</v>
      </c>
    </row>
    <row r="5823" spans="1:19" x14ac:dyDescent="0.3">
      <c r="A5823" t="s">
        <v>35638</v>
      </c>
      <c r="B5823" t="s">
        <v>36334</v>
      </c>
      <c r="C5823" t="s">
        <v>36768</v>
      </c>
      <c r="D5823" t="s">
        <v>35639</v>
      </c>
      <c r="E5823" t="s">
        <v>35639</v>
      </c>
      <c r="F5823" t="s">
        <v>35784</v>
      </c>
      <c r="G5823" t="s">
        <v>36724</v>
      </c>
      <c r="H5823" t="s">
        <v>868</v>
      </c>
      <c r="I5823" t="s">
        <v>950</v>
      </c>
      <c r="J5823" t="str">
        <f>"9100068"</f>
        <v>9100068</v>
      </c>
      <c r="K5823">
        <v>2241040052</v>
      </c>
      <c r="L5823">
        <v>2241040052</v>
      </c>
      <c r="M5823" t="s">
        <v>36769</v>
      </c>
      <c r="N5823" t="s">
        <v>36727</v>
      </c>
      <c r="O5823" t="s">
        <v>36727</v>
      </c>
      <c r="P5823">
        <v>85106</v>
      </c>
      <c r="Q5823" t="str">
        <f>"36.339982"</f>
        <v>36.339982</v>
      </c>
      <c r="R5823" t="str">
        <f>"27.949485"</f>
        <v>27.949485</v>
      </c>
      <c r="S5823" t="s">
        <v>26</v>
      </c>
    </row>
    <row r="5824" spans="1:19" x14ac:dyDescent="0.3">
      <c r="A5824" t="s">
        <v>35638</v>
      </c>
      <c r="B5824" t="s">
        <v>36334</v>
      </c>
      <c r="C5824" t="s">
        <v>36770</v>
      </c>
      <c r="D5824" t="s">
        <v>35639</v>
      </c>
      <c r="E5824" t="s">
        <v>35639</v>
      </c>
      <c r="F5824" t="s">
        <v>35639</v>
      </c>
      <c r="G5824" t="s">
        <v>35639</v>
      </c>
      <c r="H5824" t="s">
        <v>868</v>
      </c>
      <c r="I5824" t="s">
        <v>950</v>
      </c>
      <c r="J5824" t="str">
        <f>"9100038"</f>
        <v>9100038</v>
      </c>
      <c r="K5824">
        <v>2241025375</v>
      </c>
      <c r="M5824" t="s">
        <v>36771</v>
      </c>
      <c r="N5824" t="s">
        <v>35703</v>
      </c>
      <c r="O5824" t="s">
        <v>36772</v>
      </c>
      <c r="P5824">
        <v>85100</v>
      </c>
      <c r="Q5824" t="str">
        <f>""</f>
        <v/>
      </c>
      <c r="R5824" t="str">
        <f>""</f>
        <v/>
      </c>
      <c r="S5824" t="s">
        <v>26</v>
      </c>
    </row>
    <row r="5825" spans="1:19" x14ac:dyDescent="0.3">
      <c r="A5825" t="s">
        <v>35638</v>
      </c>
      <c r="B5825" t="s">
        <v>36334</v>
      </c>
      <c r="C5825" t="s">
        <v>36773</v>
      </c>
      <c r="D5825" t="s">
        <v>35639</v>
      </c>
      <c r="E5825" t="s">
        <v>35639</v>
      </c>
      <c r="F5825" t="s">
        <v>35639</v>
      </c>
      <c r="G5825" t="s">
        <v>35639</v>
      </c>
      <c r="H5825" t="s">
        <v>868</v>
      </c>
      <c r="I5825" t="s">
        <v>869</v>
      </c>
      <c r="J5825" t="str">
        <f>"9100044"</f>
        <v>9100044</v>
      </c>
      <c r="K5825">
        <v>2241023628</v>
      </c>
      <c r="L5825">
        <v>2241023628</v>
      </c>
      <c r="M5825" t="s">
        <v>36774</v>
      </c>
      <c r="N5825" t="s">
        <v>35703</v>
      </c>
      <c r="O5825" t="s">
        <v>1537</v>
      </c>
      <c r="P5825">
        <v>85100</v>
      </c>
      <c r="Q5825" t="str">
        <f>"36.446637"</f>
        <v>36.446637</v>
      </c>
      <c r="R5825" t="str">
        <f>"28.219281"</f>
        <v>28.219281</v>
      </c>
      <c r="S5825" t="s">
        <v>26</v>
      </c>
    </row>
    <row r="5826" spans="1:19" x14ac:dyDescent="0.3">
      <c r="A5826" t="s">
        <v>35638</v>
      </c>
      <c r="B5826" t="s">
        <v>36334</v>
      </c>
      <c r="C5826" t="s">
        <v>35910</v>
      </c>
      <c r="D5826" t="s">
        <v>35639</v>
      </c>
      <c r="E5826" t="s">
        <v>35639</v>
      </c>
      <c r="F5826" t="s">
        <v>35639</v>
      </c>
      <c r="G5826" t="s">
        <v>35639</v>
      </c>
      <c r="H5826" t="s">
        <v>868</v>
      </c>
      <c r="I5826" t="s">
        <v>869</v>
      </c>
      <c r="J5826" t="str">
        <f>"9100191"</f>
        <v>9100191</v>
      </c>
      <c r="K5826">
        <v>2241061186</v>
      </c>
      <c r="L5826">
        <v>2241060688</v>
      </c>
      <c r="M5826" t="s">
        <v>36775</v>
      </c>
      <c r="N5826" t="s">
        <v>35703</v>
      </c>
      <c r="O5826" t="s">
        <v>36776</v>
      </c>
      <c r="P5826">
        <v>85100</v>
      </c>
      <c r="Q5826" t="str">
        <f>"36.423130"</f>
        <v>36.423130</v>
      </c>
      <c r="R5826" t="str">
        <f>"28.224336"</f>
        <v>28.224336</v>
      </c>
      <c r="S5826" t="s">
        <v>26</v>
      </c>
    </row>
    <row r="5827" spans="1:19" x14ac:dyDescent="0.3">
      <c r="A5827" t="s">
        <v>35638</v>
      </c>
      <c r="B5827" t="s">
        <v>36334</v>
      </c>
      <c r="C5827" t="s">
        <v>35968</v>
      </c>
      <c r="D5827" t="s">
        <v>35639</v>
      </c>
      <c r="E5827" t="s">
        <v>35639</v>
      </c>
      <c r="F5827" t="s">
        <v>35639</v>
      </c>
      <c r="G5827" t="s">
        <v>35639</v>
      </c>
      <c r="H5827" t="s">
        <v>868</v>
      </c>
      <c r="I5827" t="s">
        <v>869</v>
      </c>
      <c r="J5827" t="str">
        <f>"9520619"</f>
        <v>9520619</v>
      </c>
      <c r="K5827">
        <v>2241069530</v>
      </c>
      <c r="L5827">
        <v>2241069530</v>
      </c>
      <c r="M5827" t="s">
        <v>36777</v>
      </c>
      <c r="N5827" t="s">
        <v>35703</v>
      </c>
      <c r="O5827" t="s">
        <v>36778</v>
      </c>
      <c r="P5827">
        <v>85100</v>
      </c>
      <c r="Q5827" t="str">
        <f>"36.425331"</f>
        <v>36.425331</v>
      </c>
      <c r="R5827" t="str">
        <f>"28.213088"</f>
        <v>28.213088</v>
      </c>
      <c r="S5827" t="s">
        <v>26</v>
      </c>
    </row>
    <row r="5828" spans="1:19" x14ac:dyDescent="0.3">
      <c r="A5828" t="s">
        <v>35638</v>
      </c>
      <c r="B5828" t="s">
        <v>36334</v>
      </c>
      <c r="C5828" t="s">
        <v>35977</v>
      </c>
      <c r="D5828" t="s">
        <v>35639</v>
      </c>
      <c r="E5828" t="s">
        <v>35639</v>
      </c>
      <c r="F5828" t="s">
        <v>5563</v>
      </c>
      <c r="G5828" t="s">
        <v>36781</v>
      </c>
      <c r="H5828" t="s">
        <v>868</v>
      </c>
      <c r="I5828" t="s">
        <v>869</v>
      </c>
      <c r="J5828" t="str">
        <f>"9100132"</f>
        <v>9100132</v>
      </c>
      <c r="K5828">
        <v>2241062245</v>
      </c>
      <c r="L5828">
        <v>2241062245</v>
      </c>
      <c r="M5828" t="s">
        <v>36782</v>
      </c>
      <c r="N5828" t="s">
        <v>36783</v>
      </c>
      <c r="O5828" t="s">
        <v>36783</v>
      </c>
      <c r="P5828">
        <v>85100</v>
      </c>
      <c r="Q5828" t="str">
        <f>"36.387384"</f>
        <v>36.387384</v>
      </c>
      <c r="R5828" t="str">
        <f>"28.212720"</f>
        <v>28.212720</v>
      </c>
      <c r="S5828" t="s">
        <v>26</v>
      </c>
    </row>
    <row r="5829" spans="1:19" x14ac:dyDescent="0.3">
      <c r="A5829" t="s">
        <v>35638</v>
      </c>
      <c r="B5829" t="s">
        <v>36334</v>
      </c>
      <c r="C5829" t="s">
        <v>35898</v>
      </c>
      <c r="D5829" t="s">
        <v>35689</v>
      </c>
      <c r="E5829" t="s">
        <v>35689</v>
      </c>
      <c r="F5829" t="s">
        <v>35689</v>
      </c>
      <c r="G5829" t="s">
        <v>35689</v>
      </c>
      <c r="H5829" t="s">
        <v>868</v>
      </c>
      <c r="I5829" t="s">
        <v>869</v>
      </c>
      <c r="J5829" t="str">
        <f>"9100092"</f>
        <v>9100092</v>
      </c>
      <c r="K5829">
        <v>2245022266</v>
      </c>
      <c r="L5829">
        <v>2245022266</v>
      </c>
      <c r="M5829" t="s">
        <v>36784</v>
      </c>
      <c r="N5829" t="s">
        <v>35754</v>
      </c>
      <c r="O5829" t="s">
        <v>36785</v>
      </c>
      <c r="P5829">
        <v>85700</v>
      </c>
      <c r="Q5829" t="str">
        <f>"35.504604"</f>
        <v>35.504604</v>
      </c>
      <c r="R5829" t="str">
        <f>"27.213578"</f>
        <v>27.213578</v>
      </c>
      <c r="S5829" t="s">
        <v>57</v>
      </c>
    </row>
    <row r="5830" spans="1:19" x14ac:dyDescent="0.3">
      <c r="A5830" t="s">
        <v>35638</v>
      </c>
      <c r="B5830" t="s">
        <v>36334</v>
      </c>
      <c r="C5830" t="s">
        <v>35710</v>
      </c>
      <c r="D5830" t="s">
        <v>35639</v>
      </c>
      <c r="E5830" t="s">
        <v>35706</v>
      </c>
      <c r="F5830" t="s">
        <v>35706</v>
      </c>
      <c r="G5830" t="s">
        <v>35706</v>
      </c>
      <c r="H5830" t="s">
        <v>868</v>
      </c>
      <c r="I5830" t="s">
        <v>869</v>
      </c>
      <c r="J5830" t="str">
        <f>"9100032"</f>
        <v>9100032</v>
      </c>
      <c r="K5830">
        <v>2246071248</v>
      </c>
      <c r="L5830">
        <v>2246071248</v>
      </c>
      <c r="M5830" t="s">
        <v>36786</v>
      </c>
      <c r="N5830" t="s">
        <v>35834</v>
      </c>
      <c r="O5830" t="s">
        <v>35834</v>
      </c>
      <c r="P5830">
        <v>85600</v>
      </c>
      <c r="Q5830" t="str">
        <f>"36.612067"</f>
        <v>36.612067</v>
      </c>
      <c r="R5830" t="str">
        <f>"27.839373"</f>
        <v>27.839373</v>
      </c>
      <c r="S5830" t="s">
        <v>57</v>
      </c>
    </row>
    <row r="5831" spans="1:19" x14ac:dyDescent="0.3">
      <c r="A5831" t="s">
        <v>35638</v>
      </c>
      <c r="B5831" t="s">
        <v>36334</v>
      </c>
      <c r="C5831" t="s">
        <v>36787</v>
      </c>
      <c r="D5831" t="s">
        <v>35689</v>
      </c>
      <c r="E5831" t="s">
        <v>35689</v>
      </c>
      <c r="F5831" t="s">
        <v>35689</v>
      </c>
      <c r="G5831" t="s">
        <v>35689</v>
      </c>
      <c r="H5831" t="s">
        <v>868</v>
      </c>
      <c r="I5831" t="s">
        <v>869</v>
      </c>
      <c r="J5831" t="str">
        <f>"9100282"</f>
        <v>9100282</v>
      </c>
      <c r="K5831">
        <v>2245023755</v>
      </c>
      <c r="L5831">
        <v>2245023755</v>
      </c>
      <c r="M5831" t="s">
        <v>36788</v>
      </c>
      <c r="N5831" t="s">
        <v>35754</v>
      </c>
      <c r="O5831" t="s">
        <v>36789</v>
      </c>
      <c r="P5831">
        <v>85700</v>
      </c>
      <c r="Q5831" t="str">
        <f>"35.505050"</f>
        <v>35.505050</v>
      </c>
      <c r="R5831" t="str">
        <f>"27.211519"</f>
        <v>27.211519</v>
      </c>
      <c r="S5831" t="s">
        <v>57</v>
      </c>
    </row>
    <row r="5832" spans="1:19" x14ac:dyDescent="0.3">
      <c r="A5832" t="s">
        <v>35638</v>
      </c>
      <c r="B5832" t="s">
        <v>36334</v>
      </c>
      <c r="C5832" t="s">
        <v>35695</v>
      </c>
      <c r="D5832" t="s">
        <v>35689</v>
      </c>
      <c r="E5832" t="s">
        <v>35689</v>
      </c>
      <c r="F5832" t="s">
        <v>35689</v>
      </c>
      <c r="G5832" t="s">
        <v>35751</v>
      </c>
      <c r="H5832" t="s">
        <v>868</v>
      </c>
      <c r="I5832" t="s">
        <v>950</v>
      </c>
      <c r="J5832" t="str">
        <f>"9100096"</f>
        <v>9100096</v>
      </c>
      <c r="K5832">
        <v>2245031339</v>
      </c>
      <c r="L5832">
        <v>2245031339</v>
      </c>
      <c r="M5832" t="s">
        <v>36790</v>
      </c>
      <c r="N5832" t="s">
        <v>35694</v>
      </c>
      <c r="O5832" t="s">
        <v>35694</v>
      </c>
      <c r="P5832">
        <v>85700</v>
      </c>
      <c r="Q5832" t="str">
        <f>"35.550119"</f>
        <v>35.550119</v>
      </c>
      <c r="R5832" t="str">
        <f>"27.171304"</f>
        <v>27.171304</v>
      </c>
      <c r="S5832" t="s">
        <v>57</v>
      </c>
    </row>
    <row r="5833" spans="1:19" x14ac:dyDescent="0.3">
      <c r="A5833" t="s">
        <v>35638</v>
      </c>
      <c r="B5833" t="s">
        <v>36334</v>
      </c>
      <c r="C5833" t="s">
        <v>36791</v>
      </c>
      <c r="D5833" t="s">
        <v>35639</v>
      </c>
      <c r="E5833" t="s">
        <v>35639</v>
      </c>
      <c r="F5833" t="s">
        <v>35784</v>
      </c>
      <c r="G5833" t="s">
        <v>36669</v>
      </c>
      <c r="H5833" t="s">
        <v>868</v>
      </c>
      <c r="I5833" t="s">
        <v>950</v>
      </c>
      <c r="J5833" t="str">
        <f>"9100057"</f>
        <v>9100057</v>
      </c>
      <c r="K5833">
        <v>2246091016</v>
      </c>
      <c r="L5833">
        <v>2246091016</v>
      </c>
      <c r="M5833" t="s">
        <v>36792</v>
      </c>
      <c r="N5833" t="s">
        <v>36672</v>
      </c>
      <c r="O5833" t="s">
        <v>36672</v>
      </c>
      <c r="P5833">
        <v>85106</v>
      </c>
      <c r="Q5833" t="str">
        <f>"36.286101"</f>
        <v>36.286101</v>
      </c>
      <c r="R5833" t="str">
        <f>"27.944452"</f>
        <v>27.944452</v>
      </c>
      <c r="S5833" t="s">
        <v>26</v>
      </c>
    </row>
    <row r="5834" spans="1:19" x14ac:dyDescent="0.3">
      <c r="A5834" t="s">
        <v>35638</v>
      </c>
      <c r="B5834" t="s">
        <v>36334</v>
      </c>
      <c r="C5834" t="s">
        <v>36793</v>
      </c>
      <c r="D5834" t="s">
        <v>35689</v>
      </c>
      <c r="E5834" t="s">
        <v>35689</v>
      </c>
      <c r="F5834" t="s">
        <v>35689</v>
      </c>
      <c r="G5834" t="s">
        <v>36756</v>
      </c>
      <c r="H5834" t="s">
        <v>868</v>
      </c>
      <c r="I5834" t="s">
        <v>950</v>
      </c>
      <c r="J5834" t="str">
        <f>"9100097"</f>
        <v>9100097</v>
      </c>
      <c r="K5834">
        <v>2245061279</v>
      </c>
      <c r="L5834">
        <v>2245061279</v>
      </c>
      <c r="M5834" t="s">
        <v>36794</v>
      </c>
      <c r="N5834" t="s">
        <v>36759</v>
      </c>
      <c r="O5834" t="s">
        <v>36759</v>
      </c>
      <c r="P5834">
        <v>85700</v>
      </c>
      <c r="Q5834" t="str">
        <f>"35.480782"</f>
        <v>35.480782</v>
      </c>
      <c r="R5834" t="str">
        <f>"27.119322"</f>
        <v>27.119322</v>
      </c>
      <c r="S5834" t="s">
        <v>57</v>
      </c>
    </row>
    <row r="5835" spans="1:19" x14ac:dyDescent="0.3">
      <c r="A5835" t="s">
        <v>35638</v>
      </c>
      <c r="B5835" t="s">
        <v>36334</v>
      </c>
      <c r="C5835" t="s">
        <v>36795</v>
      </c>
      <c r="D5835" t="s">
        <v>35639</v>
      </c>
      <c r="E5835" t="s">
        <v>35639</v>
      </c>
      <c r="F5835" t="s">
        <v>29736</v>
      </c>
      <c r="G5835" t="s">
        <v>29736</v>
      </c>
      <c r="H5835" t="s">
        <v>868</v>
      </c>
      <c r="I5835" t="s">
        <v>869</v>
      </c>
      <c r="J5835" t="str">
        <f>"9100120"</f>
        <v>9100120</v>
      </c>
      <c r="K5835">
        <v>2244022266</v>
      </c>
      <c r="L5835">
        <v>2244024233</v>
      </c>
      <c r="M5835" t="s">
        <v>36796</v>
      </c>
      <c r="O5835" t="s">
        <v>19424</v>
      </c>
      <c r="P5835">
        <v>85102</v>
      </c>
      <c r="Q5835" t="str">
        <f>"36.207933"</f>
        <v>36.207933</v>
      </c>
      <c r="R5835" t="str">
        <f>"28.110725"</f>
        <v>28.110725</v>
      </c>
      <c r="S5835" t="s">
        <v>26</v>
      </c>
    </row>
    <row r="5836" spans="1:19" x14ac:dyDescent="0.3">
      <c r="A5836" t="s">
        <v>35638</v>
      </c>
      <c r="B5836" t="s">
        <v>36334</v>
      </c>
      <c r="C5836" t="s">
        <v>35688</v>
      </c>
      <c r="D5836" t="s">
        <v>35639</v>
      </c>
      <c r="E5836" t="s">
        <v>35639</v>
      </c>
      <c r="F5836" t="s">
        <v>29736</v>
      </c>
      <c r="G5836" t="s">
        <v>29736</v>
      </c>
      <c r="H5836" t="s">
        <v>868</v>
      </c>
      <c r="I5836" t="s">
        <v>869</v>
      </c>
      <c r="J5836" t="str">
        <f>"9100121"</f>
        <v>9100121</v>
      </c>
      <c r="K5836">
        <v>2244022277</v>
      </c>
      <c r="L5836">
        <v>2244024277</v>
      </c>
      <c r="M5836" t="s">
        <v>36797</v>
      </c>
      <c r="N5836" t="s">
        <v>35982</v>
      </c>
      <c r="O5836" t="s">
        <v>19424</v>
      </c>
      <c r="P5836">
        <v>85102</v>
      </c>
      <c r="Q5836" t="str">
        <f>"36.216204"</f>
        <v>36.216204</v>
      </c>
      <c r="R5836" t="str">
        <f>"28.116754"</f>
        <v>28.116754</v>
      </c>
      <c r="S5836" t="s">
        <v>26</v>
      </c>
    </row>
    <row r="5837" spans="1:19" x14ac:dyDescent="0.3">
      <c r="A5837" t="s">
        <v>35638</v>
      </c>
      <c r="B5837" t="s">
        <v>36334</v>
      </c>
      <c r="C5837" t="s">
        <v>36798</v>
      </c>
      <c r="D5837" t="s">
        <v>35639</v>
      </c>
      <c r="E5837" t="s">
        <v>35639</v>
      </c>
      <c r="F5837" t="s">
        <v>35746</v>
      </c>
      <c r="G5837" t="s">
        <v>36728</v>
      </c>
      <c r="H5837" t="s">
        <v>868</v>
      </c>
      <c r="I5837" t="s">
        <v>950</v>
      </c>
      <c r="J5837" t="str">
        <f>"9100059"</f>
        <v>9100059</v>
      </c>
      <c r="K5837">
        <v>2246098252</v>
      </c>
      <c r="L5837">
        <v>2246098252</v>
      </c>
      <c r="M5837" t="s">
        <v>36799</v>
      </c>
      <c r="N5837" t="s">
        <v>35703</v>
      </c>
      <c r="O5837" t="s">
        <v>36732</v>
      </c>
      <c r="P5837">
        <v>85106</v>
      </c>
      <c r="Q5837" t="str">
        <f>"36.355166"</f>
        <v>36.355166</v>
      </c>
      <c r="R5837" t="str">
        <f>"27.993871"</f>
        <v>27.993871</v>
      </c>
      <c r="S5837" t="s">
        <v>26</v>
      </c>
    </row>
    <row r="5838" spans="1:19" x14ac:dyDescent="0.3">
      <c r="A5838" t="s">
        <v>35638</v>
      </c>
      <c r="B5838" t="s">
        <v>36334</v>
      </c>
      <c r="C5838" t="s">
        <v>35750</v>
      </c>
      <c r="D5838" t="s">
        <v>35639</v>
      </c>
      <c r="E5838" t="s">
        <v>35639</v>
      </c>
      <c r="F5838" t="s">
        <v>35746</v>
      </c>
      <c r="G5838" t="s">
        <v>35746</v>
      </c>
      <c r="H5838" t="s">
        <v>868</v>
      </c>
      <c r="I5838" t="s">
        <v>869</v>
      </c>
      <c r="J5838" t="str">
        <f>"9100125"</f>
        <v>9100125</v>
      </c>
      <c r="K5838">
        <v>2241051498</v>
      </c>
      <c r="L5838">
        <v>2241051498</v>
      </c>
      <c r="M5838" t="s">
        <v>36800</v>
      </c>
      <c r="N5838" t="s">
        <v>35749</v>
      </c>
      <c r="O5838" t="s">
        <v>36801</v>
      </c>
      <c r="P5838">
        <v>85103</v>
      </c>
      <c r="Q5838" t="str">
        <f>"36.296448"</f>
        <v>36.296448</v>
      </c>
      <c r="R5838" t="str">
        <f>"28.162385"</f>
        <v>28.162385</v>
      </c>
      <c r="S5838" t="s">
        <v>26</v>
      </c>
    </row>
    <row r="5839" spans="1:19" x14ac:dyDescent="0.3">
      <c r="A5839" t="s">
        <v>35638</v>
      </c>
      <c r="B5839" t="s">
        <v>36334</v>
      </c>
      <c r="C5839" t="s">
        <v>36802</v>
      </c>
      <c r="D5839" t="s">
        <v>35639</v>
      </c>
      <c r="E5839" t="s">
        <v>35639</v>
      </c>
      <c r="F5839" t="s">
        <v>35746</v>
      </c>
      <c r="G5839" t="s">
        <v>35746</v>
      </c>
      <c r="H5839" t="s">
        <v>868</v>
      </c>
      <c r="I5839" t="s">
        <v>869</v>
      </c>
      <c r="J5839" t="str">
        <f>"9100124"</f>
        <v>9100124</v>
      </c>
      <c r="K5839">
        <v>2241051488</v>
      </c>
      <c r="L5839">
        <v>2241052420</v>
      </c>
      <c r="M5839" t="s">
        <v>36803</v>
      </c>
      <c r="N5839" t="s">
        <v>35749</v>
      </c>
      <c r="O5839" t="s">
        <v>36804</v>
      </c>
      <c r="P5839">
        <v>85103</v>
      </c>
      <c r="Q5839" t="str">
        <f>"36.276152"</f>
        <v>36.276152</v>
      </c>
      <c r="R5839" t="str">
        <f>"28.165138"</f>
        <v>28.165138</v>
      </c>
      <c r="S5839" t="s">
        <v>26</v>
      </c>
    </row>
    <row r="5840" spans="1:19" x14ac:dyDescent="0.3">
      <c r="A5840" t="s">
        <v>35638</v>
      </c>
      <c r="B5840" t="s">
        <v>36334</v>
      </c>
      <c r="C5840" t="s">
        <v>35960</v>
      </c>
      <c r="D5840" t="s">
        <v>35639</v>
      </c>
      <c r="E5840" t="s">
        <v>35639</v>
      </c>
      <c r="F5840" t="s">
        <v>35955</v>
      </c>
      <c r="G5840" t="s">
        <v>35956</v>
      </c>
      <c r="H5840" t="s">
        <v>868</v>
      </c>
      <c r="I5840" t="s">
        <v>869</v>
      </c>
      <c r="J5840" t="str">
        <f>"9100064"</f>
        <v>9100064</v>
      </c>
      <c r="K5840">
        <v>2246041211</v>
      </c>
      <c r="L5840">
        <v>2246041255</v>
      </c>
      <c r="M5840" t="s">
        <v>36805</v>
      </c>
      <c r="N5840" t="s">
        <v>36629</v>
      </c>
      <c r="O5840" t="s">
        <v>36629</v>
      </c>
      <c r="P5840">
        <v>85108</v>
      </c>
      <c r="Q5840" t="str">
        <f>"36.228334"</f>
        <v>36.228334</v>
      </c>
      <c r="R5840" t="str">
        <f>"27.854726"</f>
        <v>27.854726</v>
      </c>
      <c r="S5840" t="s">
        <v>57</v>
      </c>
    </row>
    <row r="5841" spans="1:19" x14ac:dyDescent="0.3">
      <c r="A5841" t="s">
        <v>35638</v>
      </c>
      <c r="B5841" t="s">
        <v>36334</v>
      </c>
      <c r="C5841" t="s">
        <v>36806</v>
      </c>
      <c r="D5841" t="s">
        <v>35639</v>
      </c>
      <c r="E5841" t="s">
        <v>35639</v>
      </c>
      <c r="F5841" t="s">
        <v>35721</v>
      </c>
      <c r="G5841" t="s">
        <v>1713</v>
      </c>
      <c r="H5841" t="s">
        <v>868</v>
      </c>
      <c r="I5841" t="s">
        <v>950</v>
      </c>
      <c r="J5841" t="str">
        <f>"9100066"</f>
        <v>9100066</v>
      </c>
      <c r="K5841">
        <v>2241041238</v>
      </c>
      <c r="L5841">
        <v>2241041238</v>
      </c>
      <c r="M5841" t="s">
        <v>36807</v>
      </c>
      <c r="N5841" t="s">
        <v>36589</v>
      </c>
      <c r="O5841" t="s">
        <v>36589</v>
      </c>
      <c r="P5841">
        <v>85106</v>
      </c>
      <c r="Q5841" t="str">
        <f>"36.356851"</f>
        <v>36.356851</v>
      </c>
      <c r="R5841" t="str">
        <f>"27.991790"</f>
        <v>27.991790</v>
      </c>
      <c r="S5841" t="s">
        <v>26</v>
      </c>
    </row>
    <row r="5842" spans="1:19" x14ac:dyDescent="0.3">
      <c r="A5842" t="s">
        <v>35638</v>
      </c>
      <c r="B5842" t="s">
        <v>36334</v>
      </c>
      <c r="C5842" t="s">
        <v>35741</v>
      </c>
      <c r="D5842" t="s">
        <v>35639</v>
      </c>
      <c r="E5842" t="s">
        <v>35639</v>
      </c>
      <c r="F5842" t="s">
        <v>35735</v>
      </c>
      <c r="G5842" t="s">
        <v>35736</v>
      </c>
      <c r="H5842" t="s">
        <v>868</v>
      </c>
      <c r="I5842" t="s">
        <v>869</v>
      </c>
      <c r="J5842" t="str">
        <f>"9100088"</f>
        <v>9100088</v>
      </c>
      <c r="K5842">
        <v>2241092160</v>
      </c>
      <c r="L5842">
        <v>2241092160</v>
      </c>
      <c r="M5842" t="s">
        <v>36808</v>
      </c>
      <c r="N5842" t="s">
        <v>35739</v>
      </c>
      <c r="O5842" t="s">
        <v>36809</v>
      </c>
      <c r="P5842">
        <v>85101</v>
      </c>
      <c r="Q5842" t="str">
        <f>"36.414057"</f>
        <v>36.414057</v>
      </c>
      <c r="R5842" t="str">
        <f>"28.145015"</f>
        <v>28.145015</v>
      </c>
      <c r="S5842" t="s">
        <v>26</v>
      </c>
    </row>
    <row r="5843" spans="1:19" x14ac:dyDescent="0.3">
      <c r="A5843" t="s">
        <v>35638</v>
      </c>
      <c r="B5843" t="s">
        <v>36334</v>
      </c>
      <c r="C5843" t="s">
        <v>35877</v>
      </c>
      <c r="D5843" t="s">
        <v>35657</v>
      </c>
      <c r="E5843" t="s">
        <v>35657</v>
      </c>
      <c r="F5843" t="s">
        <v>35658</v>
      </c>
      <c r="G5843" t="s">
        <v>36397</v>
      </c>
      <c r="H5843" t="s">
        <v>868</v>
      </c>
      <c r="I5843" t="s">
        <v>869</v>
      </c>
      <c r="J5843" t="str">
        <f>"9100028"</f>
        <v>9100028</v>
      </c>
      <c r="K5843">
        <v>2242041221</v>
      </c>
      <c r="L5843">
        <v>2242041221</v>
      </c>
      <c r="M5843" t="s">
        <v>36810</v>
      </c>
      <c r="N5843" t="s">
        <v>35876</v>
      </c>
      <c r="O5843" t="s">
        <v>35876</v>
      </c>
      <c r="P5843">
        <v>85300</v>
      </c>
      <c r="Q5843" t="str">
        <f>"36.842630"</f>
        <v>36.842630</v>
      </c>
      <c r="R5843" t="str">
        <f>"27.158367"</f>
        <v>27.158367</v>
      </c>
      <c r="S5843" t="s">
        <v>26</v>
      </c>
    </row>
    <row r="5844" spans="1:19" x14ac:dyDescent="0.3">
      <c r="A5844" t="s">
        <v>35638</v>
      </c>
      <c r="B5844" t="s">
        <v>36334</v>
      </c>
      <c r="C5844" t="s">
        <v>36811</v>
      </c>
      <c r="D5844" t="s">
        <v>35639</v>
      </c>
      <c r="E5844" t="s">
        <v>35639</v>
      </c>
      <c r="F5844" t="s">
        <v>35735</v>
      </c>
      <c r="G5844" t="s">
        <v>35736</v>
      </c>
      <c r="H5844" t="s">
        <v>868</v>
      </c>
      <c r="I5844" t="s">
        <v>869</v>
      </c>
      <c r="J5844" t="str">
        <f>"9100089"</f>
        <v>9100089</v>
      </c>
      <c r="K5844">
        <v>2241092231</v>
      </c>
      <c r="L5844">
        <v>2241092231</v>
      </c>
      <c r="M5844" t="s">
        <v>36812</v>
      </c>
      <c r="N5844" t="s">
        <v>36813</v>
      </c>
      <c r="O5844" t="s">
        <v>36814</v>
      </c>
      <c r="P5844">
        <v>85101</v>
      </c>
      <c r="Q5844" t="str">
        <f>"36.410800"</f>
        <v>36.410800</v>
      </c>
      <c r="R5844" t="str">
        <f>"28.154802"</f>
        <v>28.154802</v>
      </c>
      <c r="S5844" t="s">
        <v>26</v>
      </c>
    </row>
    <row r="5845" spans="1:19" x14ac:dyDescent="0.3">
      <c r="A5845" t="s">
        <v>35638</v>
      </c>
      <c r="B5845" t="s">
        <v>36334</v>
      </c>
      <c r="C5845" t="s">
        <v>36817</v>
      </c>
      <c r="D5845" t="s">
        <v>35657</v>
      </c>
      <c r="E5845" t="s">
        <v>35657</v>
      </c>
      <c r="F5845" t="s">
        <v>35776</v>
      </c>
      <c r="G5845" t="s">
        <v>36459</v>
      </c>
      <c r="H5845" t="s">
        <v>868</v>
      </c>
      <c r="I5845" t="s">
        <v>869</v>
      </c>
      <c r="J5845" t="str">
        <f>"9100022"</f>
        <v>9100022</v>
      </c>
      <c r="K5845">
        <v>2242091209</v>
      </c>
      <c r="L5845">
        <v>2242091209</v>
      </c>
      <c r="M5845" t="s">
        <v>36818</v>
      </c>
      <c r="N5845" t="s">
        <v>36462</v>
      </c>
      <c r="O5845" t="s">
        <v>36516</v>
      </c>
      <c r="P5845">
        <v>85302</v>
      </c>
      <c r="Q5845" t="str">
        <f>"36.792626"</f>
        <v>36.792626</v>
      </c>
      <c r="R5845" t="str">
        <f>"27.141245"</f>
        <v>27.141245</v>
      </c>
      <c r="S5845" t="s">
        <v>26</v>
      </c>
    </row>
    <row r="5846" spans="1:19" x14ac:dyDescent="0.3">
      <c r="A5846" t="s">
        <v>35638</v>
      </c>
      <c r="B5846" t="s">
        <v>36334</v>
      </c>
      <c r="C5846" t="s">
        <v>35783</v>
      </c>
      <c r="D5846" t="s">
        <v>35657</v>
      </c>
      <c r="E5846" t="s">
        <v>35657</v>
      </c>
      <c r="F5846" t="s">
        <v>35776</v>
      </c>
      <c r="G5846" t="s">
        <v>35777</v>
      </c>
      <c r="H5846" t="s">
        <v>868</v>
      </c>
      <c r="I5846" t="s">
        <v>869</v>
      </c>
      <c r="J5846" t="str">
        <f>"9100014"</f>
        <v>9100014</v>
      </c>
      <c r="K5846">
        <v>2242051300</v>
      </c>
      <c r="L5846">
        <v>2242051300</v>
      </c>
      <c r="M5846" t="s">
        <v>36819</v>
      </c>
      <c r="N5846" t="s">
        <v>35657</v>
      </c>
      <c r="O5846" t="s">
        <v>35781</v>
      </c>
      <c r="P5846">
        <v>85302</v>
      </c>
      <c r="Q5846" t="str">
        <f>"36.815485"</f>
        <v>36.815485</v>
      </c>
      <c r="R5846" t="str">
        <f>"27.094778"</f>
        <v>27.094778</v>
      </c>
      <c r="S5846" t="s">
        <v>26</v>
      </c>
    </row>
    <row r="5847" spans="1:19" x14ac:dyDescent="0.3">
      <c r="A5847" t="s">
        <v>35638</v>
      </c>
      <c r="B5847" t="s">
        <v>36334</v>
      </c>
      <c r="C5847" t="s">
        <v>35683</v>
      </c>
      <c r="D5847" t="s">
        <v>35657</v>
      </c>
      <c r="E5847" t="s">
        <v>35676</v>
      </c>
      <c r="F5847" t="s">
        <v>35676</v>
      </c>
      <c r="G5847" t="s">
        <v>35677</v>
      </c>
      <c r="H5847" t="s">
        <v>868</v>
      </c>
      <c r="I5847" t="s">
        <v>869</v>
      </c>
      <c r="J5847" t="str">
        <f>"9100012"</f>
        <v>9100012</v>
      </c>
      <c r="K5847">
        <v>2242031266</v>
      </c>
      <c r="L5847">
        <v>2242031266</v>
      </c>
      <c r="M5847" t="s">
        <v>36820</v>
      </c>
      <c r="N5847" t="s">
        <v>35682</v>
      </c>
      <c r="O5847" t="s">
        <v>35682</v>
      </c>
      <c r="P5847">
        <v>85303</v>
      </c>
      <c r="Q5847" t="str">
        <f>"36.608756"</f>
        <v>36.608756</v>
      </c>
      <c r="R5847" t="str">
        <f>"27.134724"</f>
        <v>27.134724</v>
      </c>
      <c r="S5847" t="s">
        <v>57</v>
      </c>
    </row>
    <row r="5848" spans="1:19" x14ac:dyDescent="0.3">
      <c r="A5848" t="s">
        <v>35638</v>
      </c>
      <c r="B5848" t="s">
        <v>36334</v>
      </c>
      <c r="C5848" t="s">
        <v>36821</v>
      </c>
      <c r="D5848" t="s">
        <v>35689</v>
      </c>
      <c r="E5848" t="s">
        <v>35689</v>
      </c>
      <c r="F5848" t="s">
        <v>35689</v>
      </c>
      <c r="G5848" t="s">
        <v>22254</v>
      </c>
      <c r="H5848" t="s">
        <v>868</v>
      </c>
      <c r="I5848" t="s">
        <v>950</v>
      </c>
      <c r="J5848" t="str">
        <f>"9100100"</f>
        <v>9100100</v>
      </c>
      <c r="K5848">
        <v>2245071211</v>
      </c>
      <c r="L5848">
        <v>2245071211</v>
      </c>
      <c r="M5848" t="s">
        <v>36822</v>
      </c>
      <c r="N5848" t="s">
        <v>36823</v>
      </c>
      <c r="O5848" t="s">
        <v>22257</v>
      </c>
      <c r="P5848">
        <v>85700</v>
      </c>
      <c r="Q5848" t="str">
        <f>""</f>
        <v/>
      </c>
      <c r="R5848" t="str">
        <f>""</f>
        <v/>
      </c>
      <c r="S5848" t="s">
        <v>57</v>
      </c>
    </row>
    <row r="5849" spans="1:19" x14ac:dyDescent="0.3">
      <c r="A5849" t="s">
        <v>35638</v>
      </c>
      <c r="B5849" t="s">
        <v>36334</v>
      </c>
      <c r="C5849" t="s">
        <v>35927</v>
      </c>
      <c r="D5849" t="s">
        <v>35657</v>
      </c>
      <c r="E5849" t="s">
        <v>35657</v>
      </c>
      <c r="F5849" t="s">
        <v>35776</v>
      </c>
      <c r="G5849" t="s">
        <v>35923</v>
      </c>
      <c r="H5849" t="s">
        <v>868</v>
      </c>
      <c r="I5849" t="s">
        <v>869</v>
      </c>
      <c r="J5849" t="str">
        <f>"9100023"</f>
        <v>9100023</v>
      </c>
      <c r="K5849">
        <v>2242049206</v>
      </c>
      <c r="L5849">
        <v>2242049206</v>
      </c>
      <c r="M5849" t="s">
        <v>36824</v>
      </c>
      <c r="N5849" t="s">
        <v>36361</v>
      </c>
      <c r="O5849" t="s">
        <v>36361</v>
      </c>
      <c r="P5849">
        <v>85301</v>
      </c>
      <c r="Q5849" t="str">
        <f>"36.738437"</f>
        <v>36.738437</v>
      </c>
      <c r="R5849" t="str">
        <f>"26.958107"</f>
        <v>26.958107</v>
      </c>
      <c r="S5849" t="s">
        <v>57</v>
      </c>
    </row>
    <row r="5850" spans="1:19" x14ac:dyDescent="0.3">
      <c r="A5850" t="s">
        <v>35638</v>
      </c>
      <c r="B5850" t="s">
        <v>36334</v>
      </c>
      <c r="C5850" t="s">
        <v>36829</v>
      </c>
      <c r="D5850" t="s">
        <v>35639</v>
      </c>
      <c r="E5850" t="s">
        <v>35639</v>
      </c>
      <c r="F5850" t="s">
        <v>35955</v>
      </c>
      <c r="G5850" t="s">
        <v>36828</v>
      </c>
      <c r="H5850" t="s">
        <v>868</v>
      </c>
      <c r="I5850" t="s">
        <v>950</v>
      </c>
      <c r="J5850" t="str">
        <f>"9100083"</f>
        <v>9100083</v>
      </c>
      <c r="N5850" t="s">
        <v>36830</v>
      </c>
      <c r="O5850" t="s">
        <v>36831</v>
      </c>
      <c r="P5850">
        <v>85108</v>
      </c>
      <c r="Q5850" t="str">
        <f>""</f>
        <v/>
      </c>
      <c r="R5850" t="str">
        <f>""</f>
        <v/>
      </c>
      <c r="S5850" t="s">
        <v>57</v>
      </c>
    </row>
    <row r="5851" spans="1:19" x14ac:dyDescent="0.3">
      <c r="A5851" t="s">
        <v>35638</v>
      </c>
      <c r="B5851" t="s">
        <v>36334</v>
      </c>
      <c r="C5851" t="s">
        <v>35790</v>
      </c>
      <c r="D5851" t="s">
        <v>35639</v>
      </c>
      <c r="E5851" t="s">
        <v>35639</v>
      </c>
      <c r="F5851" t="s">
        <v>35784</v>
      </c>
      <c r="G5851" t="s">
        <v>35785</v>
      </c>
      <c r="H5851" t="s">
        <v>868</v>
      </c>
      <c r="I5851" t="s">
        <v>869</v>
      </c>
      <c r="J5851" t="str">
        <f>"9100084"</f>
        <v>9100084</v>
      </c>
      <c r="K5851">
        <v>2241041244</v>
      </c>
      <c r="L5851">
        <v>2241041244</v>
      </c>
      <c r="M5851" t="s">
        <v>36832</v>
      </c>
      <c r="O5851" t="s">
        <v>35828</v>
      </c>
      <c r="P5851">
        <v>85101</v>
      </c>
      <c r="Q5851" t="str">
        <f>"36.362451"</f>
        <v>36.362451</v>
      </c>
      <c r="R5851" t="str">
        <f>"28.004416"</f>
        <v>28.004416</v>
      </c>
      <c r="S5851" t="s">
        <v>26</v>
      </c>
    </row>
    <row r="5852" spans="1:19" x14ac:dyDescent="0.3">
      <c r="A5852" t="s">
        <v>35638</v>
      </c>
      <c r="B5852" t="s">
        <v>36334</v>
      </c>
      <c r="C5852" t="s">
        <v>35952</v>
      </c>
      <c r="D5852" t="s">
        <v>35639</v>
      </c>
      <c r="E5852" t="s">
        <v>35946</v>
      </c>
      <c r="F5852" t="s">
        <v>35946</v>
      </c>
      <c r="G5852" t="s">
        <v>13684</v>
      </c>
      <c r="H5852" t="s">
        <v>868</v>
      </c>
      <c r="I5852" t="s">
        <v>950</v>
      </c>
      <c r="J5852" t="str">
        <f>"9100277"</f>
        <v>9100277</v>
      </c>
      <c r="K5852">
        <v>2246044201</v>
      </c>
      <c r="L5852">
        <v>2246044440</v>
      </c>
      <c r="M5852" t="s">
        <v>36835</v>
      </c>
      <c r="N5852" t="s">
        <v>36836</v>
      </c>
      <c r="O5852" t="s">
        <v>36836</v>
      </c>
      <c r="P5852">
        <v>85002</v>
      </c>
      <c r="Q5852" t="str">
        <f>"36.480072"</f>
        <v>36.480072</v>
      </c>
      <c r="R5852" t="str">
        <f>"27.289655"</f>
        <v>27.289655</v>
      </c>
      <c r="S5852" t="s">
        <v>57</v>
      </c>
    </row>
    <row r="5853" spans="1:19" x14ac:dyDescent="0.3">
      <c r="A5853" t="s">
        <v>35638</v>
      </c>
      <c r="B5853" t="s">
        <v>36334</v>
      </c>
      <c r="C5853" t="s">
        <v>36900</v>
      </c>
      <c r="D5853" t="s">
        <v>35639</v>
      </c>
      <c r="E5853" t="s">
        <v>35639</v>
      </c>
      <c r="F5853" t="s">
        <v>35721</v>
      </c>
      <c r="G5853" t="s">
        <v>36893</v>
      </c>
      <c r="H5853" t="s">
        <v>868</v>
      </c>
      <c r="I5853" t="s">
        <v>869</v>
      </c>
      <c r="J5853" t="str">
        <f>"9100079"</f>
        <v>9100079</v>
      </c>
      <c r="K5853">
        <v>2241047101</v>
      </c>
      <c r="L5853">
        <v>2241047101</v>
      </c>
      <c r="M5853" t="s">
        <v>36901</v>
      </c>
      <c r="N5853" t="s">
        <v>36902</v>
      </c>
      <c r="O5853" t="s">
        <v>36896</v>
      </c>
      <c r="P5853">
        <v>85101</v>
      </c>
      <c r="Q5853" t="str">
        <f>"36.388365"</f>
        <v>36.388365</v>
      </c>
      <c r="R5853" t="str">
        <f>"28.146038"</f>
        <v>28.146038</v>
      </c>
      <c r="S5853" t="s">
        <v>26</v>
      </c>
    </row>
    <row r="5854" spans="1:19" x14ac:dyDescent="0.3">
      <c r="A5854" t="s">
        <v>35638</v>
      </c>
      <c r="B5854" t="s">
        <v>36334</v>
      </c>
      <c r="C5854" t="s">
        <v>36903</v>
      </c>
      <c r="D5854" t="s">
        <v>35639</v>
      </c>
      <c r="E5854" t="s">
        <v>35639</v>
      </c>
      <c r="F5854" t="s">
        <v>35639</v>
      </c>
      <c r="G5854" t="s">
        <v>35639</v>
      </c>
      <c r="H5854" t="s">
        <v>868</v>
      </c>
      <c r="I5854" t="s">
        <v>1602</v>
      </c>
      <c r="J5854" t="str">
        <f>"9100203"</f>
        <v>9100203</v>
      </c>
      <c r="K5854">
        <v>2241030985</v>
      </c>
      <c r="L5854">
        <v>2241024930</v>
      </c>
      <c r="M5854" t="s">
        <v>36904</v>
      </c>
      <c r="N5854" t="s">
        <v>35703</v>
      </c>
      <c r="O5854" t="s">
        <v>36905</v>
      </c>
      <c r="P5854">
        <v>85100</v>
      </c>
      <c r="Q5854" t="str">
        <f>"36.449782"</f>
        <v>36.449782</v>
      </c>
      <c r="R5854" t="str">
        <f>"28.221367"</f>
        <v>28.221367</v>
      </c>
      <c r="S5854" t="s">
        <v>26</v>
      </c>
    </row>
    <row r="5855" spans="1:19" x14ac:dyDescent="0.3">
      <c r="A5855" t="s">
        <v>35638</v>
      </c>
      <c r="B5855" t="s">
        <v>36334</v>
      </c>
      <c r="C5855" t="s">
        <v>36906</v>
      </c>
      <c r="D5855" t="s">
        <v>35639</v>
      </c>
      <c r="E5855" t="s">
        <v>35639</v>
      </c>
      <c r="F5855" t="s">
        <v>35639</v>
      </c>
      <c r="G5855" t="s">
        <v>35639</v>
      </c>
      <c r="H5855" t="s">
        <v>868</v>
      </c>
      <c r="I5855" t="s">
        <v>1602</v>
      </c>
      <c r="J5855" t="str">
        <f>"9100040"</f>
        <v>9100040</v>
      </c>
      <c r="K5855">
        <v>2241024906</v>
      </c>
      <c r="L5855">
        <v>2241031208</v>
      </c>
      <c r="M5855" t="s">
        <v>36907</v>
      </c>
      <c r="N5855" t="s">
        <v>35703</v>
      </c>
      <c r="O5855" t="s">
        <v>36908</v>
      </c>
      <c r="P5855">
        <v>85100</v>
      </c>
      <c r="Q5855" t="str">
        <f>"36.434963"</f>
        <v>36.434963</v>
      </c>
      <c r="R5855" t="str">
        <f>"28.217483"</f>
        <v>28.217483</v>
      </c>
      <c r="S5855" t="s">
        <v>26</v>
      </c>
    </row>
    <row r="5856" spans="1:19" x14ac:dyDescent="0.3">
      <c r="A5856" t="s">
        <v>35638</v>
      </c>
      <c r="B5856" t="s">
        <v>36334</v>
      </c>
      <c r="C5856" t="s">
        <v>35811</v>
      </c>
      <c r="D5856" t="s">
        <v>35639</v>
      </c>
      <c r="E5856" t="s">
        <v>35639</v>
      </c>
      <c r="F5856" t="s">
        <v>35639</v>
      </c>
      <c r="G5856" t="s">
        <v>35639</v>
      </c>
      <c r="H5856" t="s">
        <v>868</v>
      </c>
      <c r="I5856" t="s">
        <v>869</v>
      </c>
      <c r="J5856" t="str">
        <f>"9100045"</f>
        <v>9100045</v>
      </c>
      <c r="K5856">
        <v>2241021223</v>
      </c>
      <c r="L5856">
        <v>2241021223</v>
      </c>
      <c r="M5856" t="s">
        <v>36909</v>
      </c>
      <c r="N5856" t="s">
        <v>35703</v>
      </c>
      <c r="O5856" t="s">
        <v>36910</v>
      </c>
      <c r="P5856">
        <v>85100</v>
      </c>
      <c r="Q5856" t="str">
        <f>"36.428034"</f>
        <v>36.428034</v>
      </c>
      <c r="R5856" t="str">
        <f>"28.226067"</f>
        <v>28.226067</v>
      </c>
      <c r="S5856" t="s">
        <v>26</v>
      </c>
    </row>
    <row r="5857" spans="1:19" x14ac:dyDescent="0.3">
      <c r="A5857" t="s">
        <v>35638</v>
      </c>
      <c r="B5857" t="s">
        <v>36334</v>
      </c>
      <c r="C5857" t="s">
        <v>36911</v>
      </c>
      <c r="D5857" t="s">
        <v>35639</v>
      </c>
      <c r="E5857" t="s">
        <v>35639</v>
      </c>
      <c r="F5857" t="s">
        <v>35639</v>
      </c>
      <c r="G5857" t="s">
        <v>35639</v>
      </c>
      <c r="H5857" t="s">
        <v>868</v>
      </c>
      <c r="I5857" t="s">
        <v>1157</v>
      </c>
      <c r="J5857" t="str">
        <f>"9100223"</f>
        <v>9100223</v>
      </c>
      <c r="K5857">
        <v>2241031520</v>
      </c>
      <c r="L5857">
        <v>2241038214</v>
      </c>
      <c r="M5857" t="s">
        <v>36912</v>
      </c>
      <c r="N5857" t="s">
        <v>35703</v>
      </c>
      <c r="O5857" t="s">
        <v>36913</v>
      </c>
      <c r="P5857">
        <v>85100</v>
      </c>
      <c r="Q5857" t="str">
        <f>"36.439552"</f>
        <v>36.439552</v>
      </c>
      <c r="R5857" t="str">
        <f>"28.219409"</f>
        <v>28.219409</v>
      </c>
      <c r="S5857" t="s">
        <v>26</v>
      </c>
    </row>
    <row r="5858" spans="1:19" x14ac:dyDescent="0.3">
      <c r="A5858" t="s">
        <v>35638</v>
      </c>
      <c r="B5858" t="s">
        <v>36334</v>
      </c>
      <c r="C5858" t="s">
        <v>36919</v>
      </c>
      <c r="D5858" t="s">
        <v>35689</v>
      </c>
      <c r="E5858" t="s">
        <v>35689</v>
      </c>
      <c r="F5858" t="s">
        <v>35689</v>
      </c>
      <c r="G5858" t="s">
        <v>35689</v>
      </c>
      <c r="H5858" t="s">
        <v>868</v>
      </c>
      <c r="I5858" t="s">
        <v>1157</v>
      </c>
      <c r="J5858" t="str">
        <f>"9521169"</f>
        <v>9521169</v>
      </c>
      <c r="K5858">
        <v>2245022205</v>
      </c>
      <c r="L5858">
        <v>2245022205</v>
      </c>
      <c r="M5858" t="s">
        <v>36920</v>
      </c>
      <c r="N5858" t="s">
        <v>35754</v>
      </c>
      <c r="O5858" t="s">
        <v>35754</v>
      </c>
      <c r="P5858">
        <v>85700</v>
      </c>
      <c r="Q5858" t="str">
        <f>"35.508526"</f>
        <v>35.508526</v>
      </c>
      <c r="R5858" t="str">
        <f>"27.207968"</f>
        <v>27.207968</v>
      </c>
      <c r="S5858" t="s">
        <v>57</v>
      </c>
    </row>
    <row r="5859" spans="1:19" x14ac:dyDescent="0.3">
      <c r="A5859" t="s">
        <v>35638</v>
      </c>
      <c r="B5859" t="s">
        <v>36334</v>
      </c>
      <c r="C5859" t="s">
        <v>36921</v>
      </c>
      <c r="D5859" t="s">
        <v>35657</v>
      </c>
      <c r="E5859" t="s">
        <v>35657</v>
      </c>
      <c r="F5859" t="s">
        <v>35657</v>
      </c>
      <c r="G5859" t="s">
        <v>35657</v>
      </c>
      <c r="H5859" t="s">
        <v>868</v>
      </c>
      <c r="I5859" t="s">
        <v>1157</v>
      </c>
      <c r="J5859" t="str">
        <f>"9521041"</f>
        <v>9521041</v>
      </c>
      <c r="K5859">
        <v>2242049455</v>
      </c>
      <c r="M5859" t="s">
        <v>36922</v>
      </c>
      <c r="N5859" t="s">
        <v>36923</v>
      </c>
      <c r="O5859" t="s">
        <v>36924</v>
      </c>
      <c r="P5859">
        <v>85300</v>
      </c>
      <c r="Q5859" t="str">
        <f>"36.881775"</f>
        <v>36.881775</v>
      </c>
      <c r="R5859" t="str">
        <f>"27.273346"</f>
        <v>27.273346</v>
      </c>
      <c r="S5859" t="s">
        <v>26</v>
      </c>
    </row>
    <row r="5860" spans="1:19" x14ac:dyDescent="0.3">
      <c r="A5860" t="s">
        <v>35638</v>
      </c>
      <c r="B5860" t="s">
        <v>36334</v>
      </c>
      <c r="C5860" t="s">
        <v>36928</v>
      </c>
      <c r="D5860" t="s">
        <v>35639</v>
      </c>
      <c r="E5860" t="s">
        <v>35639</v>
      </c>
      <c r="F5860" t="s">
        <v>35639</v>
      </c>
      <c r="G5860" t="s">
        <v>35639</v>
      </c>
      <c r="H5860" t="s">
        <v>868</v>
      </c>
      <c r="I5860" t="s">
        <v>1157</v>
      </c>
      <c r="J5860" t="str">
        <f>"9521064"</f>
        <v>9521064</v>
      </c>
      <c r="N5860" t="s">
        <v>35703</v>
      </c>
      <c r="P5860">
        <v>0</v>
      </c>
      <c r="Q5860" t="str">
        <f>""</f>
        <v/>
      </c>
      <c r="R5860" t="str">
        <f>""</f>
        <v/>
      </c>
      <c r="S5860" t="s">
        <v>26</v>
      </c>
    </row>
    <row r="5861" spans="1:19" x14ac:dyDescent="0.3">
      <c r="A5861" t="s">
        <v>35638</v>
      </c>
      <c r="B5861" t="s">
        <v>36334</v>
      </c>
      <c r="C5861" t="s">
        <v>36929</v>
      </c>
      <c r="D5861" t="s">
        <v>35639</v>
      </c>
      <c r="E5861" t="s">
        <v>35639</v>
      </c>
      <c r="F5861" t="s">
        <v>5563</v>
      </c>
      <c r="G5861" t="s">
        <v>35853</v>
      </c>
      <c r="H5861" t="s">
        <v>868</v>
      </c>
      <c r="I5861" t="s">
        <v>869</v>
      </c>
      <c r="J5861" t="str">
        <f>"9521608"</f>
        <v>9521608</v>
      </c>
      <c r="K5861">
        <v>2241002510</v>
      </c>
      <c r="L5861">
        <v>2241002510</v>
      </c>
      <c r="M5861" t="s">
        <v>36930</v>
      </c>
      <c r="N5861" t="s">
        <v>36931</v>
      </c>
      <c r="O5861" t="s">
        <v>36932</v>
      </c>
      <c r="P5861">
        <v>85105</v>
      </c>
      <c r="Q5861" t="str">
        <f>"36.334435"</f>
        <v>36.334435</v>
      </c>
      <c r="R5861" t="str">
        <f>"28.176429"</f>
        <v>28.176429</v>
      </c>
      <c r="S5861" t="s">
        <v>26</v>
      </c>
    </row>
    <row r="5862" spans="1:19" x14ac:dyDescent="0.3">
      <c r="A5862" t="s">
        <v>35638</v>
      </c>
      <c r="B5862" t="s">
        <v>36334</v>
      </c>
      <c r="C5862" t="s">
        <v>36936</v>
      </c>
      <c r="D5862" t="s">
        <v>35639</v>
      </c>
      <c r="E5862" t="s">
        <v>35639</v>
      </c>
      <c r="F5862" t="s">
        <v>36388</v>
      </c>
      <c r="G5862" t="s">
        <v>36389</v>
      </c>
      <c r="H5862" t="s">
        <v>868</v>
      </c>
      <c r="I5862" t="s">
        <v>1157</v>
      </c>
      <c r="J5862" t="str">
        <f>"9521565"</f>
        <v>9521565</v>
      </c>
      <c r="K5862">
        <v>2244044011</v>
      </c>
      <c r="L5862">
        <v>2244044011</v>
      </c>
      <c r="M5862" t="s">
        <v>36937</v>
      </c>
      <c r="N5862" t="s">
        <v>36938</v>
      </c>
      <c r="O5862" t="s">
        <v>36938</v>
      </c>
      <c r="P5862">
        <v>85109</v>
      </c>
      <c r="Q5862" t="str">
        <f>"36.096508"</f>
        <v>36.096508</v>
      </c>
      <c r="R5862" t="str">
        <f>"28.016759"</f>
        <v>28.016759</v>
      </c>
      <c r="S5862" t="s">
        <v>26</v>
      </c>
    </row>
    <row r="5863" spans="1:19" x14ac:dyDescent="0.3">
      <c r="A5863" t="s">
        <v>35638</v>
      </c>
      <c r="B5863" t="s">
        <v>36946</v>
      </c>
      <c r="C5863" t="s">
        <v>36256</v>
      </c>
      <c r="D5863" t="s">
        <v>36133</v>
      </c>
      <c r="E5863" t="s">
        <v>36133</v>
      </c>
      <c r="F5863" t="s">
        <v>36133</v>
      </c>
      <c r="G5863" t="s">
        <v>36947</v>
      </c>
      <c r="H5863" t="s">
        <v>868</v>
      </c>
      <c r="I5863" t="s">
        <v>869</v>
      </c>
      <c r="J5863" t="str">
        <f>"9290076"</f>
        <v>9290076</v>
      </c>
      <c r="K5863">
        <v>2284041454</v>
      </c>
      <c r="L5863">
        <v>2284041454</v>
      </c>
      <c r="M5863" t="s">
        <v>36948</v>
      </c>
      <c r="N5863" t="s">
        <v>36949</v>
      </c>
      <c r="O5863" t="s">
        <v>36949</v>
      </c>
      <c r="P5863">
        <v>84400</v>
      </c>
      <c r="Q5863" t="str">
        <f>"37.040525"</f>
        <v>37.040525</v>
      </c>
      <c r="R5863" t="str">
        <f>"25.247638"</f>
        <v>25.247638</v>
      </c>
      <c r="S5863" t="s">
        <v>26</v>
      </c>
    </row>
    <row r="5864" spans="1:19" x14ac:dyDescent="0.3">
      <c r="A5864" t="s">
        <v>35638</v>
      </c>
      <c r="B5864" t="s">
        <v>36946</v>
      </c>
      <c r="C5864" t="s">
        <v>36280</v>
      </c>
      <c r="D5864" t="s">
        <v>4806</v>
      </c>
      <c r="E5864" t="s">
        <v>35664</v>
      </c>
      <c r="F5864" t="s">
        <v>36073</v>
      </c>
      <c r="G5864" t="s">
        <v>36950</v>
      </c>
      <c r="H5864" t="s">
        <v>868</v>
      </c>
      <c r="I5864" t="s">
        <v>950</v>
      </c>
      <c r="J5864" t="str">
        <f>"9290055"</f>
        <v>9290055</v>
      </c>
      <c r="K5864">
        <v>2285051229</v>
      </c>
      <c r="L5864">
        <v>2285051229</v>
      </c>
      <c r="M5864" t="s">
        <v>36951</v>
      </c>
      <c r="N5864" t="s">
        <v>36952</v>
      </c>
      <c r="O5864" t="s">
        <v>36953</v>
      </c>
      <c r="P5864">
        <v>84302</v>
      </c>
      <c r="Q5864" t="str">
        <f>"37.118740"</f>
        <v>37.118740</v>
      </c>
      <c r="R5864" t="str">
        <f>"25.535313"</f>
        <v>25.535313</v>
      </c>
      <c r="S5864" t="s">
        <v>57</v>
      </c>
    </row>
    <row r="5865" spans="1:19" x14ac:dyDescent="0.3">
      <c r="A5865" t="s">
        <v>35638</v>
      </c>
      <c r="B5865" t="s">
        <v>36946</v>
      </c>
      <c r="C5865" t="s">
        <v>36976</v>
      </c>
      <c r="D5865" t="s">
        <v>4806</v>
      </c>
      <c r="E5865" t="s">
        <v>35664</v>
      </c>
      <c r="F5865" t="s">
        <v>36073</v>
      </c>
      <c r="G5865" t="s">
        <v>36975</v>
      </c>
      <c r="H5865" t="s">
        <v>868</v>
      </c>
      <c r="I5865" t="s">
        <v>869</v>
      </c>
      <c r="J5865" t="str">
        <f>"9290042"</f>
        <v>9290042</v>
      </c>
      <c r="K5865">
        <v>2285061242</v>
      </c>
      <c r="L5865">
        <v>2285061242</v>
      </c>
      <c r="M5865" t="s">
        <v>36977</v>
      </c>
      <c r="N5865" t="s">
        <v>36978</v>
      </c>
      <c r="O5865" t="s">
        <v>36978</v>
      </c>
      <c r="P5865">
        <v>84302</v>
      </c>
      <c r="Q5865" t="str">
        <f>"37.072316"</f>
        <v>37.072316</v>
      </c>
      <c r="R5865" t="str">
        <f>"25.521998"</f>
        <v>25.521998</v>
      </c>
      <c r="S5865" t="s">
        <v>57</v>
      </c>
    </row>
    <row r="5866" spans="1:19" x14ac:dyDescent="0.3">
      <c r="A5866" t="s">
        <v>35638</v>
      </c>
      <c r="B5866" t="s">
        <v>36946</v>
      </c>
      <c r="C5866" t="s">
        <v>36980</v>
      </c>
      <c r="D5866" t="s">
        <v>4806</v>
      </c>
      <c r="E5866" t="s">
        <v>36090</v>
      </c>
      <c r="F5866" t="s">
        <v>36090</v>
      </c>
      <c r="G5866" t="s">
        <v>36979</v>
      </c>
      <c r="H5866" t="s">
        <v>868</v>
      </c>
      <c r="I5866" t="s">
        <v>950</v>
      </c>
      <c r="J5866" t="str">
        <f>"9290022"</f>
        <v>9290022</v>
      </c>
      <c r="K5866">
        <v>2285071398</v>
      </c>
      <c r="L5866">
        <v>2285071398</v>
      </c>
      <c r="M5866" t="s">
        <v>36981</v>
      </c>
      <c r="N5866" t="s">
        <v>36982</v>
      </c>
      <c r="O5866" t="s">
        <v>36983</v>
      </c>
      <c r="P5866">
        <v>84008</v>
      </c>
      <c r="Q5866" t="str">
        <f>"36.827856"</f>
        <v>36.827856</v>
      </c>
      <c r="R5866" t="str">
        <f>"25.866502"</f>
        <v>25.866502</v>
      </c>
      <c r="S5866" t="s">
        <v>57</v>
      </c>
    </row>
    <row r="5867" spans="1:19" x14ac:dyDescent="0.3">
      <c r="A5867" t="s">
        <v>35638</v>
      </c>
      <c r="B5867" t="s">
        <v>36946</v>
      </c>
      <c r="C5867" t="s">
        <v>36985</v>
      </c>
      <c r="D5867" t="s">
        <v>4806</v>
      </c>
      <c r="E5867" t="s">
        <v>36090</v>
      </c>
      <c r="F5867" t="s">
        <v>36090</v>
      </c>
      <c r="G5867" t="s">
        <v>36984</v>
      </c>
      <c r="H5867" t="s">
        <v>868</v>
      </c>
      <c r="I5867" t="s">
        <v>950</v>
      </c>
      <c r="J5867" t="str">
        <f>"9290006"</f>
        <v>9290006</v>
      </c>
      <c r="K5867">
        <v>2285072251</v>
      </c>
      <c r="L5867">
        <v>2285072251</v>
      </c>
      <c r="M5867" t="s">
        <v>36986</v>
      </c>
      <c r="N5867" t="s">
        <v>36987</v>
      </c>
      <c r="O5867" t="s">
        <v>36988</v>
      </c>
      <c r="P5867">
        <v>84008</v>
      </c>
      <c r="Q5867" t="str">
        <f>"36.787917"</f>
        <v>36.787917</v>
      </c>
      <c r="R5867" t="str">
        <f>"25.803336"</f>
        <v>25.803336</v>
      </c>
      <c r="S5867" t="s">
        <v>57</v>
      </c>
    </row>
    <row r="5868" spans="1:19" x14ac:dyDescent="0.3">
      <c r="A5868" t="s">
        <v>35638</v>
      </c>
      <c r="B5868" t="s">
        <v>36946</v>
      </c>
      <c r="C5868" t="s">
        <v>36215</v>
      </c>
      <c r="D5868" t="s">
        <v>4806</v>
      </c>
      <c r="E5868" t="s">
        <v>35664</v>
      </c>
      <c r="F5868" t="s">
        <v>36211</v>
      </c>
      <c r="G5868" t="s">
        <v>36211</v>
      </c>
      <c r="H5868" t="s">
        <v>868</v>
      </c>
      <c r="I5868" t="s">
        <v>950</v>
      </c>
      <c r="J5868" t="str">
        <f>"9290011"</f>
        <v>9290011</v>
      </c>
      <c r="K5868">
        <v>2285051572</v>
      </c>
      <c r="L5868">
        <v>2285051295</v>
      </c>
      <c r="M5868" t="s">
        <v>36989</v>
      </c>
      <c r="N5868" t="s">
        <v>36214</v>
      </c>
      <c r="O5868" t="s">
        <v>36990</v>
      </c>
      <c r="P5868">
        <v>84300</v>
      </c>
      <c r="Q5868" t="str">
        <f>"37.100696"</f>
        <v>37.100696</v>
      </c>
      <c r="R5868" t="str">
        <f>"25.794431"</f>
        <v>25.794431</v>
      </c>
      <c r="S5868" t="s">
        <v>57</v>
      </c>
    </row>
    <row r="5869" spans="1:19" x14ac:dyDescent="0.3">
      <c r="A5869" t="s">
        <v>35638</v>
      </c>
      <c r="B5869" t="s">
        <v>36946</v>
      </c>
      <c r="C5869" t="s">
        <v>36999</v>
      </c>
      <c r="D5869" t="s">
        <v>35644</v>
      </c>
      <c r="E5869" t="s">
        <v>35645</v>
      </c>
      <c r="F5869" t="s">
        <v>35646</v>
      </c>
      <c r="G5869" t="s">
        <v>35646</v>
      </c>
      <c r="H5869" t="s">
        <v>868</v>
      </c>
      <c r="I5869" t="s">
        <v>869</v>
      </c>
      <c r="J5869" t="str">
        <f>"9290132"</f>
        <v>9290132</v>
      </c>
      <c r="K5869">
        <v>2281088545</v>
      </c>
      <c r="L5869">
        <v>2281088545</v>
      </c>
      <c r="M5869" t="s">
        <v>37000</v>
      </c>
      <c r="N5869" t="s">
        <v>37001</v>
      </c>
      <c r="O5869" t="s">
        <v>37002</v>
      </c>
      <c r="P5869">
        <v>84100</v>
      </c>
      <c r="Q5869" t="str">
        <f>"37.441603"</f>
        <v>37.441603</v>
      </c>
      <c r="R5869" t="str">
        <f>"24.940086"</f>
        <v>24.940086</v>
      </c>
      <c r="S5869" t="s">
        <v>26</v>
      </c>
    </row>
    <row r="5870" spans="1:19" x14ac:dyDescent="0.3">
      <c r="A5870" t="s">
        <v>35638</v>
      </c>
      <c r="B5870" t="s">
        <v>36946</v>
      </c>
      <c r="C5870" t="s">
        <v>36119</v>
      </c>
      <c r="D5870" t="s">
        <v>36028</v>
      </c>
      <c r="E5870" t="s">
        <v>36028</v>
      </c>
      <c r="F5870" t="s">
        <v>36028</v>
      </c>
      <c r="G5870" t="s">
        <v>36028</v>
      </c>
      <c r="H5870" t="s">
        <v>868</v>
      </c>
      <c r="I5870" t="s">
        <v>869</v>
      </c>
      <c r="J5870" t="str">
        <f>"9290169"</f>
        <v>9290169</v>
      </c>
      <c r="K5870">
        <v>2287021346</v>
      </c>
      <c r="L5870">
        <v>2287021328</v>
      </c>
      <c r="M5870" t="s">
        <v>37016</v>
      </c>
      <c r="N5870" t="s">
        <v>36117</v>
      </c>
      <c r="O5870" t="s">
        <v>37017</v>
      </c>
      <c r="P5870">
        <v>84800</v>
      </c>
      <c r="Q5870" t="str">
        <f>"36.740974"</f>
        <v>36.740974</v>
      </c>
      <c r="R5870" t="str">
        <f>"24.433742"</f>
        <v>24.433742</v>
      </c>
      <c r="S5870" t="s">
        <v>57</v>
      </c>
    </row>
    <row r="5871" spans="1:19" x14ac:dyDescent="0.3">
      <c r="A5871" t="s">
        <v>35638</v>
      </c>
      <c r="B5871" t="s">
        <v>36946</v>
      </c>
      <c r="C5871" t="s">
        <v>37029</v>
      </c>
      <c r="D5871" t="s">
        <v>4806</v>
      </c>
      <c r="E5871" t="s">
        <v>35664</v>
      </c>
      <c r="F5871" t="s">
        <v>4806</v>
      </c>
      <c r="G5871" t="s">
        <v>37028</v>
      </c>
      <c r="H5871" t="s">
        <v>868</v>
      </c>
      <c r="I5871" t="s">
        <v>950</v>
      </c>
      <c r="J5871" t="str">
        <f>"9290052"</f>
        <v>9290052</v>
      </c>
      <c r="K5871">
        <v>2285031374</v>
      </c>
      <c r="L5871">
        <v>2285031374</v>
      </c>
      <c r="M5871" t="s">
        <v>37030</v>
      </c>
      <c r="N5871" t="s">
        <v>37031</v>
      </c>
      <c r="O5871" t="s">
        <v>37031</v>
      </c>
      <c r="P5871">
        <v>84302</v>
      </c>
      <c r="Q5871" t="str">
        <f>"37.101139"</f>
        <v>37.101139</v>
      </c>
      <c r="R5871" t="str">
        <f>"25.479697"</f>
        <v>25.479697</v>
      </c>
      <c r="S5871" t="s">
        <v>26</v>
      </c>
    </row>
    <row r="5872" spans="1:19" x14ac:dyDescent="0.3">
      <c r="A5872" t="s">
        <v>35638</v>
      </c>
      <c r="B5872" t="s">
        <v>36946</v>
      </c>
      <c r="C5872" t="s">
        <v>36072</v>
      </c>
      <c r="D5872" t="s">
        <v>36064</v>
      </c>
      <c r="E5872" t="s">
        <v>36065</v>
      </c>
      <c r="F5872" t="s">
        <v>36065</v>
      </c>
      <c r="G5872" t="s">
        <v>36066</v>
      </c>
      <c r="H5872" t="s">
        <v>868</v>
      </c>
      <c r="I5872" t="s">
        <v>869</v>
      </c>
      <c r="J5872" t="str">
        <f>"9290171"</f>
        <v>9290171</v>
      </c>
      <c r="K5872">
        <v>2288022066</v>
      </c>
      <c r="L5872">
        <v>2288022066</v>
      </c>
      <c r="M5872" t="s">
        <v>37032</v>
      </c>
      <c r="N5872" t="s">
        <v>36071</v>
      </c>
      <c r="O5872" t="s">
        <v>37033</v>
      </c>
      <c r="P5872">
        <v>84002</v>
      </c>
      <c r="Q5872" t="str">
        <f>"37.637245"</f>
        <v>37.637245</v>
      </c>
      <c r="R5872" t="str">
        <f>"24.340416"</f>
        <v>24.340416</v>
      </c>
      <c r="S5872" t="s">
        <v>26</v>
      </c>
    </row>
    <row r="5873" spans="1:19" x14ac:dyDescent="0.3">
      <c r="A5873" t="s">
        <v>35638</v>
      </c>
      <c r="B5873" t="s">
        <v>36946</v>
      </c>
      <c r="C5873" t="s">
        <v>37035</v>
      </c>
      <c r="D5873" t="s">
        <v>36064</v>
      </c>
      <c r="E5873" t="s">
        <v>36065</v>
      </c>
      <c r="F5873" t="s">
        <v>36065</v>
      </c>
      <c r="G5873" t="s">
        <v>37034</v>
      </c>
      <c r="H5873" t="s">
        <v>868</v>
      </c>
      <c r="I5873" t="s">
        <v>869</v>
      </c>
      <c r="J5873" t="str">
        <f>"9290117"</f>
        <v>9290117</v>
      </c>
      <c r="K5873">
        <v>2288021269</v>
      </c>
      <c r="L5873">
        <v>2288021269</v>
      </c>
      <c r="M5873" t="s">
        <v>37036</v>
      </c>
      <c r="N5873" t="s">
        <v>37037</v>
      </c>
      <c r="O5873" t="s">
        <v>37038</v>
      </c>
      <c r="P5873">
        <v>84002</v>
      </c>
      <c r="Q5873" t="str">
        <f>"37.659186"</f>
        <v>37.659186</v>
      </c>
      <c r="R5873" t="str">
        <f>"24.311469"</f>
        <v>24.311469</v>
      </c>
      <c r="S5873" t="s">
        <v>26</v>
      </c>
    </row>
    <row r="5874" spans="1:19" x14ac:dyDescent="0.3">
      <c r="A5874" t="s">
        <v>35638</v>
      </c>
      <c r="B5874" t="s">
        <v>36946</v>
      </c>
      <c r="C5874" t="s">
        <v>37040</v>
      </c>
      <c r="D5874" t="s">
        <v>36021</v>
      </c>
      <c r="E5874" t="s">
        <v>36021</v>
      </c>
      <c r="F5874" t="s">
        <v>36021</v>
      </c>
      <c r="G5874" t="s">
        <v>37039</v>
      </c>
      <c r="H5874" t="s">
        <v>868</v>
      </c>
      <c r="I5874" t="s">
        <v>869</v>
      </c>
      <c r="J5874" t="str">
        <f>"9290014"</f>
        <v>9290014</v>
      </c>
      <c r="K5874">
        <v>2286031696</v>
      </c>
      <c r="L5874">
        <v>2286031696</v>
      </c>
      <c r="M5874" t="s">
        <v>37041</v>
      </c>
      <c r="N5874" t="s">
        <v>37042</v>
      </c>
      <c r="O5874" t="s">
        <v>37043</v>
      </c>
      <c r="P5874">
        <v>84700</v>
      </c>
      <c r="Q5874" t="str">
        <f>"36.376886"</f>
        <v>36.376886</v>
      </c>
      <c r="R5874" t="str">
        <f>"25.479140"</f>
        <v>25.479140</v>
      </c>
      <c r="S5874" t="s">
        <v>26</v>
      </c>
    </row>
    <row r="5875" spans="1:19" x14ac:dyDescent="0.3">
      <c r="A5875" t="s">
        <v>35638</v>
      </c>
      <c r="B5875" t="s">
        <v>36946</v>
      </c>
      <c r="C5875" t="s">
        <v>36188</v>
      </c>
      <c r="D5875" t="s">
        <v>4806</v>
      </c>
      <c r="E5875" t="s">
        <v>35664</v>
      </c>
      <c r="F5875" t="s">
        <v>36183</v>
      </c>
      <c r="G5875" t="s">
        <v>36183</v>
      </c>
      <c r="H5875" t="s">
        <v>868</v>
      </c>
      <c r="I5875" t="s">
        <v>950</v>
      </c>
      <c r="J5875" t="str">
        <f>"9290028"</f>
        <v>9290028</v>
      </c>
      <c r="K5875">
        <v>2285071970</v>
      </c>
      <c r="L5875">
        <v>2285074284</v>
      </c>
      <c r="M5875" t="s">
        <v>37044</v>
      </c>
      <c r="N5875" t="s">
        <v>37045</v>
      </c>
      <c r="O5875" t="s">
        <v>37046</v>
      </c>
      <c r="P5875">
        <v>84300</v>
      </c>
      <c r="Q5875" t="str">
        <f>"36.871642"</f>
        <v>36.871642</v>
      </c>
      <c r="R5875" t="str">
        <f>"25.519976"</f>
        <v>25.519976</v>
      </c>
      <c r="S5875" t="s">
        <v>57</v>
      </c>
    </row>
    <row r="5876" spans="1:19" x14ac:dyDescent="0.3">
      <c r="A5876" t="s">
        <v>35638</v>
      </c>
      <c r="B5876" t="s">
        <v>36946</v>
      </c>
      <c r="C5876" t="s">
        <v>37047</v>
      </c>
      <c r="D5876" t="s">
        <v>35644</v>
      </c>
      <c r="E5876" t="s">
        <v>35645</v>
      </c>
      <c r="F5876" t="s">
        <v>35646</v>
      </c>
      <c r="G5876" t="s">
        <v>35646</v>
      </c>
      <c r="H5876" t="s">
        <v>868</v>
      </c>
      <c r="I5876" t="s">
        <v>869</v>
      </c>
      <c r="J5876" t="str">
        <f>"9290131"</f>
        <v>9290131</v>
      </c>
      <c r="K5876">
        <v>2281082227</v>
      </c>
      <c r="L5876">
        <v>2281079142</v>
      </c>
      <c r="M5876" t="s">
        <v>37048</v>
      </c>
      <c r="N5876" t="s">
        <v>37001</v>
      </c>
      <c r="O5876" t="s">
        <v>37049</v>
      </c>
      <c r="P5876">
        <v>84100</v>
      </c>
      <c r="Q5876" t="str">
        <f>"37.445437"</f>
        <v>37.445437</v>
      </c>
      <c r="R5876" t="str">
        <f>"24.942933"</f>
        <v>24.942933</v>
      </c>
      <c r="S5876" t="s">
        <v>26</v>
      </c>
    </row>
    <row r="5877" spans="1:19" x14ac:dyDescent="0.3">
      <c r="A5877" t="s">
        <v>35638</v>
      </c>
      <c r="B5877" t="s">
        <v>36946</v>
      </c>
      <c r="C5877" t="s">
        <v>37050</v>
      </c>
      <c r="D5877" t="s">
        <v>36095</v>
      </c>
      <c r="E5877" t="s">
        <v>36095</v>
      </c>
      <c r="F5877" t="s">
        <v>18594</v>
      </c>
      <c r="G5877" t="s">
        <v>36177</v>
      </c>
      <c r="H5877" t="s">
        <v>868</v>
      </c>
      <c r="I5877" t="s">
        <v>869</v>
      </c>
      <c r="J5877" t="str">
        <f>"9290093"</f>
        <v>9290093</v>
      </c>
      <c r="K5877">
        <v>2282071243</v>
      </c>
      <c r="L5877">
        <v>2282071243</v>
      </c>
      <c r="M5877" t="s">
        <v>37051</v>
      </c>
      <c r="N5877" t="s">
        <v>37052</v>
      </c>
      <c r="O5877" t="s">
        <v>2648</v>
      </c>
      <c r="P5877">
        <v>84501</v>
      </c>
      <c r="Q5877" t="str">
        <f>"37.886554"</f>
        <v>37.886554</v>
      </c>
      <c r="R5877" t="str">
        <f>"24.737956"</f>
        <v>24.737956</v>
      </c>
      <c r="S5877" t="s">
        <v>26</v>
      </c>
    </row>
    <row r="5878" spans="1:19" x14ac:dyDescent="0.3">
      <c r="A5878" t="s">
        <v>35638</v>
      </c>
      <c r="B5878" t="s">
        <v>36946</v>
      </c>
      <c r="C5878" t="s">
        <v>36101</v>
      </c>
      <c r="D5878" t="s">
        <v>36095</v>
      </c>
      <c r="E5878" t="s">
        <v>36095</v>
      </c>
      <c r="F5878" t="s">
        <v>36095</v>
      </c>
      <c r="G5878" t="s">
        <v>36095</v>
      </c>
      <c r="H5878" t="s">
        <v>868</v>
      </c>
      <c r="I5878" t="s">
        <v>869</v>
      </c>
      <c r="J5878" t="str">
        <f>"9290083"</f>
        <v>9290083</v>
      </c>
      <c r="K5878">
        <v>2282022452</v>
      </c>
      <c r="L5878">
        <v>2282022468</v>
      </c>
      <c r="M5878" t="s">
        <v>37057</v>
      </c>
      <c r="N5878" t="s">
        <v>37058</v>
      </c>
      <c r="O5878" t="s">
        <v>37058</v>
      </c>
      <c r="P5878">
        <v>84500</v>
      </c>
      <c r="Q5878" t="str">
        <f>"37.836296"</f>
        <v>37.836296</v>
      </c>
      <c r="R5878" t="str">
        <f>"24.938250"</f>
        <v>24.938250</v>
      </c>
      <c r="S5878" t="s">
        <v>26</v>
      </c>
    </row>
    <row r="5879" spans="1:19" x14ac:dyDescent="0.3">
      <c r="A5879" t="s">
        <v>35638</v>
      </c>
      <c r="B5879" t="s">
        <v>36946</v>
      </c>
      <c r="C5879" t="s">
        <v>36040</v>
      </c>
      <c r="D5879" t="s">
        <v>4806</v>
      </c>
      <c r="E5879" t="s">
        <v>35664</v>
      </c>
      <c r="F5879" t="s">
        <v>4806</v>
      </c>
      <c r="G5879" t="s">
        <v>36035</v>
      </c>
      <c r="H5879" t="s">
        <v>868</v>
      </c>
      <c r="I5879" t="s">
        <v>869</v>
      </c>
      <c r="J5879" t="str">
        <f>"9290043"</f>
        <v>9290043</v>
      </c>
      <c r="K5879">
        <v>2285041304</v>
      </c>
      <c r="L5879">
        <v>2285041304</v>
      </c>
      <c r="M5879" t="s">
        <v>37063</v>
      </c>
      <c r="N5879" t="s">
        <v>37064</v>
      </c>
      <c r="O5879" t="s">
        <v>36038</v>
      </c>
      <c r="P5879">
        <v>84300</v>
      </c>
      <c r="Q5879" t="str">
        <f>"37.058587"</f>
        <v>37.058587</v>
      </c>
      <c r="R5879" t="str">
        <f>"25.405682"</f>
        <v>25.405682</v>
      </c>
      <c r="S5879" t="s">
        <v>26</v>
      </c>
    </row>
    <row r="5880" spans="1:19" x14ac:dyDescent="0.3">
      <c r="A5880" t="s">
        <v>35638</v>
      </c>
      <c r="B5880" t="s">
        <v>36946</v>
      </c>
      <c r="C5880" t="s">
        <v>36164</v>
      </c>
      <c r="D5880" t="s">
        <v>36057</v>
      </c>
      <c r="E5880" t="s">
        <v>36057</v>
      </c>
      <c r="F5880" t="s">
        <v>36057</v>
      </c>
      <c r="G5880" t="s">
        <v>36058</v>
      </c>
      <c r="H5880" t="s">
        <v>868</v>
      </c>
      <c r="I5880" t="s">
        <v>869</v>
      </c>
      <c r="J5880" t="str">
        <f>"9290134"</f>
        <v>9290134</v>
      </c>
      <c r="K5880">
        <v>2289022307</v>
      </c>
      <c r="L5880">
        <v>2289024651</v>
      </c>
      <c r="M5880" t="s">
        <v>37065</v>
      </c>
      <c r="N5880" t="s">
        <v>37066</v>
      </c>
      <c r="O5880" t="s">
        <v>37067</v>
      </c>
      <c r="P5880">
        <v>84600</v>
      </c>
      <c r="Q5880" t="str">
        <f>"37.444563"</f>
        <v>37.444563</v>
      </c>
      <c r="R5880" t="str">
        <f>"25.328302"</f>
        <v>25.328302</v>
      </c>
      <c r="S5880" t="s">
        <v>26</v>
      </c>
    </row>
    <row r="5881" spans="1:19" x14ac:dyDescent="0.3">
      <c r="A5881" t="s">
        <v>35638</v>
      </c>
      <c r="B5881" t="s">
        <v>36946</v>
      </c>
      <c r="C5881" t="s">
        <v>37068</v>
      </c>
      <c r="D5881" t="s">
        <v>36095</v>
      </c>
      <c r="E5881" t="s">
        <v>36095</v>
      </c>
      <c r="F5881" t="s">
        <v>36095</v>
      </c>
      <c r="G5881" t="s">
        <v>36047</v>
      </c>
      <c r="H5881" t="s">
        <v>868</v>
      </c>
      <c r="I5881" t="s">
        <v>869</v>
      </c>
      <c r="J5881" t="str">
        <f>"9290104"</f>
        <v>9290104</v>
      </c>
      <c r="K5881">
        <v>2282022129</v>
      </c>
      <c r="L5881">
        <v>2282022129</v>
      </c>
      <c r="M5881" t="s">
        <v>37069</v>
      </c>
      <c r="N5881" t="s">
        <v>37070</v>
      </c>
      <c r="O5881" t="s">
        <v>37071</v>
      </c>
      <c r="P5881">
        <v>84500</v>
      </c>
      <c r="Q5881" t="str">
        <f>"37.823645"</f>
        <v>37.823645</v>
      </c>
      <c r="R5881" t="str">
        <f>"24.911276"</f>
        <v>24.911276</v>
      </c>
      <c r="S5881" t="s">
        <v>26</v>
      </c>
    </row>
    <row r="5882" spans="1:19" x14ac:dyDescent="0.3">
      <c r="A5882" t="s">
        <v>35638</v>
      </c>
      <c r="B5882" t="s">
        <v>36946</v>
      </c>
      <c r="C5882" t="s">
        <v>36089</v>
      </c>
      <c r="D5882" t="s">
        <v>36028</v>
      </c>
      <c r="E5882" t="s">
        <v>36084</v>
      </c>
      <c r="F5882" t="s">
        <v>36084</v>
      </c>
      <c r="G5882" t="s">
        <v>25777</v>
      </c>
      <c r="H5882" t="s">
        <v>868</v>
      </c>
      <c r="I5882" t="s">
        <v>869</v>
      </c>
      <c r="J5882" t="str">
        <f>"9290167"</f>
        <v>9290167</v>
      </c>
      <c r="K5882">
        <v>2284031297</v>
      </c>
      <c r="L5882">
        <v>2284033362</v>
      </c>
      <c r="M5882" t="s">
        <v>37072</v>
      </c>
      <c r="N5882" t="s">
        <v>36087</v>
      </c>
      <c r="O5882" t="s">
        <v>37073</v>
      </c>
      <c r="P5882">
        <v>84003</v>
      </c>
      <c r="Q5882" t="str">
        <f>"36.961510"</f>
        <v>36.961510</v>
      </c>
      <c r="R5882" t="str">
        <f>"24.722753"</f>
        <v>24.722753</v>
      </c>
      <c r="S5882" t="s">
        <v>57</v>
      </c>
    </row>
    <row r="5883" spans="1:19" x14ac:dyDescent="0.3">
      <c r="A5883" t="s">
        <v>35638</v>
      </c>
      <c r="B5883" t="s">
        <v>36946</v>
      </c>
      <c r="C5883" t="s">
        <v>36132</v>
      </c>
      <c r="D5883" t="s">
        <v>35644</v>
      </c>
      <c r="E5883" t="s">
        <v>35645</v>
      </c>
      <c r="F5883" t="s">
        <v>35646</v>
      </c>
      <c r="G5883" t="s">
        <v>35646</v>
      </c>
      <c r="H5883" t="s">
        <v>868</v>
      </c>
      <c r="I5883" t="s">
        <v>869</v>
      </c>
      <c r="J5883" t="str">
        <f>"9290127"</f>
        <v>9290127</v>
      </c>
      <c r="K5883">
        <v>2281088648</v>
      </c>
      <c r="L5883">
        <v>2281079170</v>
      </c>
      <c r="M5883" t="s">
        <v>37074</v>
      </c>
      <c r="N5883" t="s">
        <v>37001</v>
      </c>
      <c r="O5883" t="s">
        <v>37075</v>
      </c>
      <c r="P5883">
        <v>84100</v>
      </c>
      <c r="Q5883" t="str">
        <f>"37.433288"</f>
        <v>37.433288</v>
      </c>
      <c r="R5883" t="str">
        <f>"24.934973"</f>
        <v>24.934973</v>
      </c>
      <c r="S5883" t="s">
        <v>26</v>
      </c>
    </row>
    <row r="5884" spans="1:19" x14ac:dyDescent="0.3">
      <c r="A5884" t="s">
        <v>35638</v>
      </c>
      <c r="B5884" t="s">
        <v>36946</v>
      </c>
      <c r="C5884" t="s">
        <v>36063</v>
      </c>
      <c r="D5884" t="s">
        <v>36057</v>
      </c>
      <c r="E5884" t="s">
        <v>36057</v>
      </c>
      <c r="F5884" t="s">
        <v>36057</v>
      </c>
      <c r="G5884" t="s">
        <v>36058</v>
      </c>
      <c r="H5884" t="s">
        <v>868</v>
      </c>
      <c r="I5884" t="s">
        <v>869</v>
      </c>
      <c r="J5884" t="str">
        <f>"9290266"</f>
        <v>9290266</v>
      </c>
      <c r="K5884">
        <v>2289028260</v>
      </c>
      <c r="L5884">
        <v>2289028260</v>
      </c>
      <c r="M5884" t="s">
        <v>37076</v>
      </c>
      <c r="N5884" t="s">
        <v>37077</v>
      </c>
      <c r="O5884" t="s">
        <v>37078</v>
      </c>
      <c r="P5884">
        <v>84600</v>
      </c>
      <c r="Q5884" t="str">
        <f>"37.442947"</f>
        <v>37.442947</v>
      </c>
      <c r="R5884" t="str">
        <f>"25.337081"</f>
        <v>25.337081</v>
      </c>
      <c r="S5884" t="s">
        <v>26</v>
      </c>
    </row>
    <row r="5885" spans="1:19" x14ac:dyDescent="0.3">
      <c r="A5885" t="s">
        <v>35638</v>
      </c>
      <c r="B5885" t="s">
        <v>36946</v>
      </c>
      <c r="C5885" t="s">
        <v>37079</v>
      </c>
      <c r="D5885" t="s">
        <v>36095</v>
      </c>
      <c r="E5885" t="s">
        <v>36095</v>
      </c>
      <c r="F5885" t="s">
        <v>36107</v>
      </c>
      <c r="G5885" t="s">
        <v>36107</v>
      </c>
      <c r="H5885" t="s">
        <v>868</v>
      </c>
      <c r="I5885" t="s">
        <v>950</v>
      </c>
      <c r="J5885" t="str">
        <f>"9290097"</f>
        <v>9290097</v>
      </c>
      <c r="K5885">
        <v>2282061689</v>
      </c>
      <c r="L5885">
        <v>2282061689</v>
      </c>
      <c r="M5885" t="s">
        <v>37080</v>
      </c>
      <c r="N5885" t="s">
        <v>37081</v>
      </c>
      <c r="O5885" t="s">
        <v>37081</v>
      </c>
      <c r="P5885">
        <v>84502</v>
      </c>
      <c r="Q5885" t="str">
        <f>"37.748052"</f>
        <v>37.748052</v>
      </c>
      <c r="R5885" t="str">
        <f>"24.926157"</f>
        <v>24.926157</v>
      </c>
      <c r="S5885" t="s">
        <v>57</v>
      </c>
    </row>
    <row r="5886" spans="1:19" x14ac:dyDescent="0.3">
      <c r="A5886" t="s">
        <v>35638</v>
      </c>
      <c r="B5886" t="s">
        <v>36946</v>
      </c>
      <c r="C5886" t="s">
        <v>37082</v>
      </c>
      <c r="D5886" t="s">
        <v>35644</v>
      </c>
      <c r="E5886" t="s">
        <v>35645</v>
      </c>
      <c r="F5886" t="s">
        <v>35646</v>
      </c>
      <c r="G5886" t="s">
        <v>35646</v>
      </c>
      <c r="H5886" t="s">
        <v>868</v>
      </c>
      <c r="I5886" t="s">
        <v>869</v>
      </c>
      <c r="J5886" t="str">
        <f>"9290129"</f>
        <v>9290129</v>
      </c>
      <c r="K5886">
        <v>2281082241</v>
      </c>
      <c r="L5886">
        <v>2281077241</v>
      </c>
      <c r="M5886" t="s">
        <v>37083</v>
      </c>
      <c r="N5886" t="s">
        <v>37001</v>
      </c>
      <c r="O5886" t="s">
        <v>37084</v>
      </c>
      <c r="P5886">
        <v>84100</v>
      </c>
      <c r="Q5886" t="str">
        <f>"37.438922"</f>
        <v>37.438922</v>
      </c>
      <c r="R5886" t="str">
        <f>"24.937550"</f>
        <v>24.937550</v>
      </c>
      <c r="S5886" t="s">
        <v>26</v>
      </c>
    </row>
    <row r="5887" spans="1:19" x14ac:dyDescent="0.3">
      <c r="A5887" t="s">
        <v>35638</v>
      </c>
      <c r="B5887" t="s">
        <v>36946</v>
      </c>
      <c r="C5887" t="s">
        <v>36094</v>
      </c>
      <c r="D5887" t="s">
        <v>4806</v>
      </c>
      <c r="E5887" t="s">
        <v>36090</v>
      </c>
      <c r="F5887" t="s">
        <v>36090</v>
      </c>
      <c r="G5887" t="s">
        <v>36090</v>
      </c>
      <c r="H5887" t="s">
        <v>868</v>
      </c>
      <c r="I5887" t="s">
        <v>950</v>
      </c>
      <c r="J5887" t="str">
        <f>"9290004"</f>
        <v>9290004</v>
      </c>
      <c r="K5887">
        <v>2285071236</v>
      </c>
      <c r="L5887">
        <v>2285071236</v>
      </c>
      <c r="M5887" t="s">
        <v>37085</v>
      </c>
      <c r="N5887" t="s">
        <v>37086</v>
      </c>
      <c r="O5887" t="s">
        <v>36243</v>
      </c>
      <c r="P5887">
        <v>84008</v>
      </c>
      <c r="Q5887" t="str">
        <f>"36.832390"</f>
        <v>36.832390</v>
      </c>
      <c r="R5887" t="str">
        <f>"25.901848"</f>
        <v>25.901848</v>
      </c>
      <c r="S5887" t="s">
        <v>57</v>
      </c>
    </row>
    <row r="5888" spans="1:19" x14ac:dyDescent="0.3">
      <c r="A5888" t="s">
        <v>35638</v>
      </c>
      <c r="B5888" t="s">
        <v>36946</v>
      </c>
      <c r="C5888" t="s">
        <v>37087</v>
      </c>
      <c r="D5888" t="s">
        <v>35644</v>
      </c>
      <c r="E5888" t="s">
        <v>35645</v>
      </c>
      <c r="F5888" t="s">
        <v>37023</v>
      </c>
      <c r="G5888" t="s">
        <v>37023</v>
      </c>
      <c r="H5888" t="s">
        <v>868</v>
      </c>
      <c r="I5888" t="s">
        <v>869</v>
      </c>
      <c r="J5888" t="str">
        <f>"9290142"</f>
        <v>9290142</v>
      </c>
      <c r="K5888">
        <v>2281042428</v>
      </c>
      <c r="L5888">
        <v>2281042050</v>
      </c>
      <c r="M5888" t="s">
        <v>37088</v>
      </c>
      <c r="N5888" t="s">
        <v>37027</v>
      </c>
      <c r="O5888" t="s">
        <v>37027</v>
      </c>
      <c r="P5888">
        <v>84100</v>
      </c>
      <c r="Q5888" t="str">
        <f>"37.390438"</f>
        <v>37.390438</v>
      </c>
      <c r="R5888" t="str">
        <f>"24.887244"</f>
        <v>24.887244</v>
      </c>
      <c r="S5888" t="s">
        <v>26</v>
      </c>
    </row>
    <row r="5889" spans="1:19" x14ac:dyDescent="0.3">
      <c r="A5889" t="s">
        <v>35638</v>
      </c>
      <c r="B5889" t="s">
        <v>36946</v>
      </c>
      <c r="C5889" t="s">
        <v>37090</v>
      </c>
      <c r="D5889" t="s">
        <v>4806</v>
      </c>
      <c r="E5889" t="s">
        <v>35664</v>
      </c>
      <c r="F5889" t="s">
        <v>36073</v>
      </c>
      <c r="G5889" t="s">
        <v>37089</v>
      </c>
      <c r="H5889" t="s">
        <v>868</v>
      </c>
      <c r="I5889" t="s">
        <v>950</v>
      </c>
      <c r="J5889" t="str">
        <f>"9290059"</f>
        <v>9290059</v>
      </c>
      <c r="K5889">
        <v>2285031368</v>
      </c>
      <c r="L5889">
        <v>2285032513</v>
      </c>
      <c r="M5889" t="s">
        <v>37091</v>
      </c>
      <c r="N5889" t="s">
        <v>37092</v>
      </c>
      <c r="O5889" t="s">
        <v>37093</v>
      </c>
      <c r="P5889">
        <v>84302</v>
      </c>
      <c r="Q5889" t="str">
        <f>"37.082323"</f>
        <v>37.082323</v>
      </c>
      <c r="R5889" t="str">
        <f>"25.497829"</f>
        <v>25.497829</v>
      </c>
      <c r="S5889" t="s">
        <v>57</v>
      </c>
    </row>
    <row r="5890" spans="1:19" x14ac:dyDescent="0.3">
      <c r="A5890" t="s">
        <v>35638</v>
      </c>
      <c r="B5890" t="s">
        <v>36946</v>
      </c>
      <c r="C5890" t="s">
        <v>37094</v>
      </c>
      <c r="D5890" t="s">
        <v>4806</v>
      </c>
      <c r="E5890" t="s">
        <v>35664</v>
      </c>
      <c r="F5890" t="s">
        <v>4806</v>
      </c>
      <c r="G5890" t="s">
        <v>36957</v>
      </c>
      <c r="H5890" t="s">
        <v>868</v>
      </c>
      <c r="I5890" t="s">
        <v>869</v>
      </c>
      <c r="J5890" t="str">
        <f>"9290057"</f>
        <v>9290057</v>
      </c>
      <c r="K5890">
        <v>2285062360</v>
      </c>
      <c r="L5890">
        <v>2285062349</v>
      </c>
      <c r="M5890" t="s">
        <v>37095</v>
      </c>
      <c r="N5890" t="s">
        <v>37096</v>
      </c>
      <c r="O5890" t="s">
        <v>37097</v>
      </c>
      <c r="P5890">
        <v>84300</v>
      </c>
      <c r="Q5890" t="str">
        <f>"37.087755"</f>
        <v>37.087755</v>
      </c>
      <c r="R5890" t="str">
        <f>"25.436843"</f>
        <v>25.436843</v>
      </c>
      <c r="S5890" t="s">
        <v>26</v>
      </c>
    </row>
    <row r="5891" spans="1:19" x14ac:dyDescent="0.3">
      <c r="A5891" t="s">
        <v>35638</v>
      </c>
      <c r="B5891" t="s">
        <v>36946</v>
      </c>
      <c r="C5891" t="s">
        <v>37098</v>
      </c>
      <c r="D5891" t="s">
        <v>35644</v>
      </c>
      <c r="E5891" t="s">
        <v>35645</v>
      </c>
      <c r="F5891" t="s">
        <v>37023</v>
      </c>
      <c r="G5891" t="s">
        <v>4112</v>
      </c>
      <c r="H5891" t="s">
        <v>868</v>
      </c>
      <c r="I5891" t="s">
        <v>869</v>
      </c>
      <c r="J5891" t="str">
        <f>"9290138"</f>
        <v>9290138</v>
      </c>
      <c r="K5891">
        <v>2281079419</v>
      </c>
      <c r="M5891" t="s">
        <v>37099</v>
      </c>
      <c r="N5891" t="s">
        <v>35649</v>
      </c>
      <c r="O5891" t="s">
        <v>4144</v>
      </c>
      <c r="P5891">
        <v>84100</v>
      </c>
      <c r="Q5891" t="str">
        <f>"37.398235"</f>
        <v>37.398235</v>
      </c>
      <c r="R5891" t="str">
        <f>"24.946735"</f>
        <v>24.946735</v>
      </c>
      <c r="S5891" t="s">
        <v>26</v>
      </c>
    </row>
    <row r="5892" spans="1:19" x14ac:dyDescent="0.3">
      <c r="A5892" t="s">
        <v>35638</v>
      </c>
      <c r="B5892" t="s">
        <v>36946</v>
      </c>
      <c r="C5892" t="s">
        <v>36056</v>
      </c>
      <c r="D5892" t="s">
        <v>4806</v>
      </c>
      <c r="E5892" t="s">
        <v>35664</v>
      </c>
      <c r="F5892" t="s">
        <v>18832</v>
      </c>
      <c r="G5892" t="s">
        <v>18832</v>
      </c>
      <c r="H5892" t="s">
        <v>868</v>
      </c>
      <c r="I5892" t="s">
        <v>950</v>
      </c>
      <c r="J5892" t="str">
        <f>"9290185"</f>
        <v>9290185</v>
      </c>
      <c r="K5892">
        <v>2285071544</v>
      </c>
      <c r="L5892">
        <v>2285071544</v>
      </c>
      <c r="M5892" t="s">
        <v>37122</v>
      </c>
      <c r="N5892" t="s">
        <v>37123</v>
      </c>
      <c r="O5892" t="s">
        <v>37123</v>
      </c>
      <c r="P5892">
        <v>84300</v>
      </c>
      <c r="Q5892" t="str">
        <f>"36.839229"</f>
        <v>36.839229</v>
      </c>
      <c r="R5892" t="str">
        <f>"25.458541"</f>
        <v>25.458541</v>
      </c>
      <c r="S5892" t="s">
        <v>57</v>
      </c>
    </row>
    <row r="5893" spans="1:19" x14ac:dyDescent="0.3">
      <c r="A5893" t="s">
        <v>35638</v>
      </c>
      <c r="B5893" t="s">
        <v>36946</v>
      </c>
      <c r="C5893" t="s">
        <v>36106</v>
      </c>
      <c r="D5893" t="s">
        <v>36021</v>
      </c>
      <c r="E5893" t="s">
        <v>36102</v>
      </c>
      <c r="F5893" t="s">
        <v>36102</v>
      </c>
      <c r="G5893" t="s">
        <v>36102</v>
      </c>
      <c r="H5893" t="s">
        <v>868</v>
      </c>
      <c r="I5893" t="s">
        <v>869</v>
      </c>
      <c r="J5893" t="str">
        <f>"9290020"</f>
        <v>9290020</v>
      </c>
      <c r="K5893">
        <v>2286091295</v>
      </c>
      <c r="L5893">
        <v>2286091295</v>
      </c>
      <c r="M5893" t="s">
        <v>37138</v>
      </c>
      <c r="N5893" t="s">
        <v>36105</v>
      </c>
      <c r="O5893" t="s">
        <v>37139</v>
      </c>
      <c r="P5893">
        <v>84001</v>
      </c>
      <c r="Q5893" t="str">
        <f>"36.722336"</f>
        <v>36.722336</v>
      </c>
      <c r="R5893" t="str">
        <f>"25.283567"</f>
        <v>25.283567</v>
      </c>
      <c r="S5893" t="s">
        <v>57</v>
      </c>
    </row>
    <row r="5894" spans="1:19" x14ac:dyDescent="0.3">
      <c r="A5894" t="s">
        <v>35638</v>
      </c>
      <c r="B5894" t="s">
        <v>36946</v>
      </c>
      <c r="C5894" t="s">
        <v>36199</v>
      </c>
      <c r="D5894" t="s">
        <v>35644</v>
      </c>
      <c r="E5894" t="s">
        <v>35645</v>
      </c>
      <c r="F5894" t="s">
        <v>36288</v>
      </c>
      <c r="G5894" t="s">
        <v>36288</v>
      </c>
      <c r="H5894" t="s">
        <v>868</v>
      </c>
      <c r="I5894" t="s">
        <v>869</v>
      </c>
      <c r="J5894" t="str">
        <f>"9290123"</f>
        <v>9290123</v>
      </c>
      <c r="K5894">
        <v>2281088205</v>
      </c>
      <c r="M5894" t="s">
        <v>37146</v>
      </c>
      <c r="N5894" t="s">
        <v>37147</v>
      </c>
      <c r="O5894" t="s">
        <v>37148</v>
      </c>
      <c r="P5894">
        <v>84100</v>
      </c>
      <c r="Q5894" t="str">
        <f>"37.449385"</f>
        <v>37.449385</v>
      </c>
      <c r="R5894" t="str">
        <f>"24.937121"</f>
        <v>24.937121</v>
      </c>
      <c r="S5894" t="s">
        <v>26</v>
      </c>
    </row>
    <row r="5895" spans="1:19" x14ac:dyDescent="0.3">
      <c r="A5895" t="s">
        <v>35638</v>
      </c>
      <c r="B5895" t="s">
        <v>36946</v>
      </c>
      <c r="C5895" t="s">
        <v>37178</v>
      </c>
      <c r="D5895" t="s">
        <v>36028</v>
      </c>
      <c r="E5895" t="s">
        <v>36028</v>
      </c>
      <c r="F5895" t="s">
        <v>36028</v>
      </c>
      <c r="G5895" t="s">
        <v>37127</v>
      </c>
      <c r="H5895" t="s">
        <v>868</v>
      </c>
      <c r="I5895" t="s">
        <v>869</v>
      </c>
      <c r="J5895" t="str">
        <f>"9290165"</f>
        <v>9290165</v>
      </c>
      <c r="K5895">
        <v>2287022197</v>
      </c>
      <c r="L5895">
        <v>2287022197</v>
      </c>
      <c r="M5895" t="s">
        <v>37179</v>
      </c>
      <c r="N5895" t="s">
        <v>37131</v>
      </c>
      <c r="O5895" t="s">
        <v>37180</v>
      </c>
      <c r="P5895">
        <v>84800</v>
      </c>
      <c r="Q5895" t="str">
        <f>"36.725296"</f>
        <v>36.725296</v>
      </c>
      <c r="R5895" t="str">
        <f>"24.444759"</f>
        <v>24.444759</v>
      </c>
      <c r="S5895" t="s">
        <v>57</v>
      </c>
    </row>
    <row r="5896" spans="1:19" x14ac:dyDescent="0.3">
      <c r="A5896" t="s">
        <v>35638</v>
      </c>
      <c r="B5896" t="s">
        <v>36946</v>
      </c>
      <c r="C5896" t="s">
        <v>36052</v>
      </c>
      <c r="D5896" t="s">
        <v>36021</v>
      </c>
      <c r="E5896" t="s">
        <v>36021</v>
      </c>
      <c r="F5896" t="s">
        <v>36021</v>
      </c>
      <c r="G5896" t="s">
        <v>36047</v>
      </c>
      <c r="H5896" t="s">
        <v>868</v>
      </c>
      <c r="I5896" t="s">
        <v>869</v>
      </c>
      <c r="J5896" t="str">
        <f>"9290025"</f>
        <v>9290025</v>
      </c>
      <c r="K5896">
        <v>2286031571</v>
      </c>
      <c r="L5896">
        <v>2286031571</v>
      </c>
      <c r="M5896" t="s">
        <v>37181</v>
      </c>
      <c r="N5896" t="s">
        <v>36050</v>
      </c>
      <c r="O5896" t="s">
        <v>36051</v>
      </c>
      <c r="P5896">
        <v>84700</v>
      </c>
      <c r="Q5896" t="str">
        <f>"36.399964"</f>
        <v>36.399964</v>
      </c>
      <c r="R5896" t="str">
        <f>"25.454809"</f>
        <v>25.454809</v>
      </c>
      <c r="S5896" t="s">
        <v>26</v>
      </c>
    </row>
    <row r="5897" spans="1:19" x14ac:dyDescent="0.3">
      <c r="A5897" t="s">
        <v>35638</v>
      </c>
      <c r="B5897" t="s">
        <v>36946</v>
      </c>
      <c r="C5897" t="s">
        <v>37182</v>
      </c>
      <c r="D5897" t="s">
        <v>4806</v>
      </c>
      <c r="E5897" t="s">
        <v>35664</v>
      </c>
      <c r="F5897" t="s">
        <v>4806</v>
      </c>
      <c r="G5897" t="s">
        <v>4806</v>
      </c>
      <c r="H5897" t="s">
        <v>868</v>
      </c>
      <c r="I5897" t="s">
        <v>869</v>
      </c>
      <c r="J5897" t="str">
        <f>"9290244"</f>
        <v>9290244</v>
      </c>
      <c r="K5897">
        <v>2285025616</v>
      </c>
      <c r="L5897">
        <v>2285027066</v>
      </c>
      <c r="M5897" t="s">
        <v>37183</v>
      </c>
      <c r="N5897" t="s">
        <v>36077</v>
      </c>
      <c r="O5897" t="s">
        <v>36077</v>
      </c>
      <c r="P5897">
        <v>84300</v>
      </c>
      <c r="Q5897" t="str">
        <f>"37.102449"</f>
        <v>37.102449</v>
      </c>
      <c r="R5897" t="str">
        <f>"25.381763"</f>
        <v>25.381763</v>
      </c>
      <c r="S5897" t="s">
        <v>26</v>
      </c>
    </row>
    <row r="5898" spans="1:19" x14ac:dyDescent="0.3">
      <c r="A5898" t="s">
        <v>35638</v>
      </c>
      <c r="B5898" t="s">
        <v>36946</v>
      </c>
      <c r="C5898" t="s">
        <v>37184</v>
      </c>
      <c r="D5898" t="s">
        <v>36041</v>
      </c>
      <c r="E5898" t="s">
        <v>36041</v>
      </c>
      <c r="F5898" t="s">
        <v>37162</v>
      </c>
      <c r="G5898" t="s">
        <v>21792</v>
      </c>
      <c r="H5898" t="s">
        <v>868</v>
      </c>
      <c r="I5898" t="s">
        <v>869</v>
      </c>
      <c r="J5898" t="str">
        <f>"9290157"</f>
        <v>9290157</v>
      </c>
      <c r="K5898">
        <v>2283051584</v>
      </c>
      <c r="L5898">
        <v>2283051285</v>
      </c>
      <c r="M5898" t="s">
        <v>37185</v>
      </c>
      <c r="N5898" t="s">
        <v>37186</v>
      </c>
      <c r="O5898" t="s">
        <v>37187</v>
      </c>
      <c r="P5898">
        <v>84200</v>
      </c>
      <c r="Q5898" t="str">
        <f>"37.585844"</f>
        <v>37.585844</v>
      </c>
      <c r="R5898" t="str">
        <f>"25.160695"</f>
        <v>25.160695</v>
      </c>
      <c r="S5898" t="s">
        <v>26</v>
      </c>
    </row>
    <row r="5899" spans="1:19" x14ac:dyDescent="0.3">
      <c r="A5899" t="s">
        <v>35638</v>
      </c>
      <c r="B5899" t="s">
        <v>36946</v>
      </c>
      <c r="C5899" t="s">
        <v>36304</v>
      </c>
      <c r="D5899" t="s">
        <v>36028</v>
      </c>
      <c r="E5899" t="s">
        <v>36300</v>
      </c>
      <c r="F5899" t="s">
        <v>36300</v>
      </c>
      <c r="G5899" t="s">
        <v>36300</v>
      </c>
      <c r="H5899" t="s">
        <v>868</v>
      </c>
      <c r="I5899" t="s">
        <v>950</v>
      </c>
      <c r="J5899" t="str">
        <f>"9290170"</f>
        <v>9290170</v>
      </c>
      <c r="K5899">
        <v>2287051221</v>
      </c>
      <c r="L5899">
        <v>2287051221</v>
      </c>
      <c r="M5899" t="s">
        <v>37188</v>
      </c>
      <c r="N5899" t="s">
        <v>36300</v>
      </c>
      <c r="O5899" t="s">
        <v>36303</v>
      </c>
      <c r="P5899">
        <v>84004</v>
      </c>
      <c r="Q5899" t="str">
        <f>"36.790765"</f>
        <v>36.790765</v>
      </c>
      <c r="R5899" t="str">
        <f>"24.573752"</f>
        <v>24.573752</v>
      </c>
      <c r="S5899" t="s">
        <v>57</v>
      </c>
    </row>
    <row r="5900" spans="1:19" x14ac:dyDescent="0.3">
      <c r="A5900" t="s">
        <v>35638</v>
      </c>
      <c r="B5900" t="s">
        <v>36946</v>
      </c>
      <c r="C5900" t="s">
        <v>36079</v>
      </c>
      <c r="D5900" t="s">
        <v>4806</v>
      </c>
      <c r="E5900" t="s">
        <v>35664</v>
      </c>
      <c r="F5900" t="s">
        <v>36073</v>
      </c>
      <c r="G5900" t="s">
        <v>36074</v>
      </c>
      <c r="H5900" t="s">
        <v>868</v>
      </c>
      <c r="I5900" t="s">
        <v>869</v>
      </c>
      <c r="J5900" t="str">
        <f>"9290063"</f>
        <v>9290063</v>
      </c>
      <c r="K5900">
        <v>2285031408</v>
      </c>
      <c r="L5900">
        <v>2285031408</v>
      </c>
      <c r="M5900" t="s">
        <v>37189</v>
      </c>
      <c r="N5900" t="s">
        <v>37190</v>
      </c>
      <c r="O5900" t="s">
        <v>37191</v>
      </c>
      <c r="P5900">
        <v>84302</v>
      </c>
      <c r="Q5900" t="str">
        <f>"37.054989"</f>
        <v>37.054989</v>
      </c>
      <c r="R5900" t="str">
        <f>"25.497301"</f>
        <v>25.497301</v>
      </c>
      <c r="S5900" t="s">
        <v>26</v>
      </c>
    </row>
    <row r="5901" spans="1:19" x14ac:dyDescent="0.3">
      <c r="A5901" t="s">
        <v>35638</v>
      </c>
      <c r="B5901" t="s">
        <v>36946</v>
      </c>
      <c r="C5901" t="s">
        <v>37194</v>
      </c>
      <c r="D5901" t="s">
        <v>4806</v>
      </c>
      <c r="E5901" t="s">
        <v>35664</v>
      </c>
      <c r="F5901" t="s">
        <v>4806</v>
      </c>
      <c r="G5901" t="s">
        <v>36970</v>
      </c>
      <c r="H5901" t="s">
        <v>868</v>
      </c>
      <c r="I5901" t="s">
        <v>869</v>
      </c>
      <c r="J5901" t="str">
        <f>"9290041"</f>
        <v>9290041</v>
      </c>
      <c r="K5901">
        <v>2285042619</v>
      </c>
      <c r="L5901">
        <v>2285042619</v>
      </c>
      <c r="M5901" t="s">
        <v>37195</v>
      </c>
      <c r="N5901" t="s">
        <v>37196</v>
      </c>
      <c r="O5901" t="s">
        <v>37196</v>
      </c>
      <c r="P5901">
        <v>84300</v>
      </c>
      <c r="Q5901" t="str">
        <f>"37.063509"</f>
        <v>37.063509</v>
      </c>
      <c r="R5901" t="str">
        <f>"25.395843"</f>
        <v>25.395843</v>
      </c>
      <c r="S5901" t="s">
        <v>26</v>
      </c>
    </row>
    <row r="5902" spans="1:19" x14ac:dyDescent="0.3">
      <c r="A5902" t="s">
        <v>35638</v>
      </c>
      <c r="B5902" t="s">
        <v>36946</v>
      </c>
      <c r="C5902" t="s">
        <v>36114</v>
      </c>
      <c r="D5902" t="s">
        <v>36095</v>
      </c>
      <c r="E5902" t="s">
        <v>36095</v>
      </c>
      <c r="F5902" t="s">
        <v>36107</v>
      </c>
      <c r="G5902" t="s">
        <v>36108</v>
      </c>
      <c r="H5902" t="s">
        <v>868</v>
      </c>
      <c r="I5902" t="s">
        <v>869</v>
      </c>
      <c r="J5902" t="str">
        <f>"9290107"</f>
        <v>9290107</v>
      </c>
      <c r="K5902">
        <v>2282061281</v>
      </c>
      <c r="L5902">
        <v>2282061281</v>
      </c>
      <c r="M5902" t="s">
        <v>37197</v>
      </c>
      <c r="N5902" t="s">
        <v>36113</v>
      </c>
      <c r="O5902" t="s">
        <v>36113</v>
      </c>
      <c r="P5902">
        <v>84502</v>
      </c>
      <c r="Q5902" t="str">
        <f>"37.772217"</f>
        <v>37.772217</v>
      </c>
      <c r="R5902" t="str">
        <f>"24.950869"</f>
        <v>24.950869</v>
      </c>
      <c r="S5902" t="s">
        <v>26</v>
      </c>
    </row>
    <row r="5903" spans="1:19" x14ac:dyDescent="0.3">
      <c r="A5903" t="s">
        <v>35638</v>
      </c>
      <c r="B5903" t="s">
        <v>36946</v>
      </c>
      <c r="C5903" t="s">
        <v>37198</v>
      </c>
      <c r="D5903" t="s">
        <v>36028</v>
      </c>
      <c r="E5903" t="s">
        <v>36028</v>
      </c>
      <c r="F5903" t="s">
        <v>36028</v>
      </c>
      <c r="G5903" t="s">
        <v>37109</v>
      </c>
      <c r="H5903" t="s">
        <v>868</v>
      </c>
      <c r="I5903" t="s">
        <v>950</v>
      </c>
      <c r="J5903" t="str">
        <f>"9290033"</f>
        <v>9290033</v>
      </c>
      <c r="K5903">
        <v>2287041263</v>
      </c>
      <c r="L5903">
        <v>2287041263</v>
      </c>
      <c r="M5903" t="s">
        <v>37199</v>
      </c>
      <c r="N5903" t="s">
        <v>36117</v>
      </c>
      <c r="O5903" t="s">
        <v>37200</v>
      </c>
      <c r="P5903">
        <v>84800</v>
      </c>
      <c r="Q5903" t="str">
        <f>"36.757696"</f>
        <v>36.757696</v>
      </c>
      <c r="R5903" t="str">
        <f>"24.527483"</f>
        <v>24.527483</v>
      </c>
      <c r="S5903" t="s">
        <v>57</v>
      </c>
    </row>
    <row r="5904" spans="1:19" x14ac:dyDescent="0.3">
      <c r="A5904" t="s">
        <v>35638</v>
      </c>
      <c r="B5904" t="s">
        <v>36946</v>
      </c>
      <c r="C5904" t="s">
        <v>37201</v>
      </c>
      <c r="D5904" t="s">
        <v>35644</v>
      </c>
      <c r="E5904" t="s">
        <v>35645</v>
      </c>
      <c r="F5904" t="s">
        <v>35646</v>
      </c>
      <c r="G5904" t="s">
        <v>35646</v>
      </c>
      <c r="H5904" t="s">
        <v>868</v>
      </c>
      <c r="I5904" t="s">
        <v>869</v>
      </c>
      <c r="J5904" t="str">
        <f>"9290130"</f>
        <v>9290130</v>
      </c>
      <c r="K5904">
        <v>2281088415</v>
      </c>
      <c r="L5904">
        <v>2281088415</v>
      </c>
      <c r="M5904" t="s">
        <v>37202</v>
      </c>
      <c r="N5904" t="s">
        <v>37203</v>
      </c>
      <c r="O5904" t="s">
        <v>37204</v>
      </c>
      <c r="P5904">
        <v>84100</v>
      </c>
      <c r="Q5904" t="str">
        <f>"37.439611"</f>
        <v>37.439611</v>
      </c>
      <c r="R5904" t="str">
        <f>"24.888092"</f>
        <v>24.888092</v>
      </c>
      <c r="S5904" t="s">
        <v>26</v>
      </c>
    </row>
    <row r="5905" spans="1:19" x14ac:dyDescent="0.3">
      <c r="A5905" t="s">
        <v>35638</v>
      </c>
      <c r="B5905" t="s">
        <v>36946</v>
      </c>
      <c r="C5905" t="s">
        <v>37208</v>
      </c>
      <c r="D5905" t="s">
        <v>4806</v>
      </c>
      <c r="E5905" t="s">
        <v>35664</v>
      </c>
      <c r="F5905" t="s">
        <v>36073</v>
      </c>
      <c r="G5905" t="s">
        <v>37003</v>
      </c>
      <c r="H5905" t="s">
        <v>868</v>
      </c>
      <c r="I5905" t="s">
        <v>950</v>
      </c>
      <c r="J5905" t="str">
        <f>"9290054"</f>
        <v>9290054</v>
      </c>
      <c r="K5905">
        <v>2285052224</v>
      </c>
      <c r="L5905">
        <v>2285052224</v>
      </c>
      <c r="M5905" t="s">
        <v>37209</v>
      </c>
      <c r="N5905" t="s">
        <v>37007</v>
      </c>
      <c r="O5905" t="s">
        <v>37007</v>
      </c>
      <c r="P5905">
        <v>84301</v>
      </c>
      <c r="Q5905" t="str">
        <f>"37.146151"</f>
        <v>37.146151</v>
      </c>
      <c r="R5905" t="str">
        <f>"25.529233"</f>
        <v>25.529233</v>
      </c>
      <c r="S5905" t="s">
        <v>57</v>
      </c>
    </row>
    <row r="5906" spans="1:19" x14ac:dyDescent="0.3">
      <c r="A5906" t="s">
        <v>35638</v>
      </c>
      <c r="B5906" t="s">
        <v>36946</v>
      </c>
      <c r="C5906" t="s">
        <v>36261</v>
      </c>
      <c r="D5906" t="s">
        <v>36133</v>
      </c>
      <c r="E5906" t="s">
        <v>36133</v>
      </c>
      <c r="F5906" t="s">
        <v>36133</v>
      </c>
      <c r="G5906" t="s">
        <v>36257</v>
      </c>
      <c r="H5906" t="s">
        <v>868</v>
      </c>
      <c r="I5906" t="s">
        <v>869</v>
      </c>
      <c r="J5906" t="str">
        <f>"9290078"</f>
        <v>9290078</v>
      </c>
      <c r="K5906">
        <v>2284051208</v>
      </c>
      <c r="L5906">
        <v>2284051208</v>
      </c>
      <c r="M5906" t="s">
        <v>37222</v>
      </c>
      <c r="N5906" t="s">
        <v>26407</v>
      </c>
      <c r="O5906" t="s">
        <v>36260</v>
      </c>
      <c r="P5906">
        <v>84401</v>
      </c>
      <c r="Q5906" t="str">
        <f>"37.118693"</f>
        <v>37.118693</v>
      </c>
      <c r="R5906" t="str">
        <f>"25.236308"</f>
        <v>25.236308</v>
      </c>
      <c r="S5906" t="s">
        <v>26</v>
      </c>
    </row>
    <row r="5907" spans="1:19" x14ac:dyDescent="0.3">
      <c r="A5907" t="s">
        <v>35638</v>
      </c>
      <c r="B5907" t="s">
        <v>36946</v>
      </c>
      <c r="C5907" t="s">
        <v>37232</v>
      </c>
      <c r="D5907" t="s">
        <v>35644</v>
      </c>
      <c r="E5907" t="s">
        <v>35645</v>
      </c>
      <c r="F5907" t="s">
        <v>35646</v>
      </c>
      <c r="G5907" t="s">
        <v>35646</v>
      </c>
      <c r="H5907" t="s">
        <v>868</v>
      </c>
      <c r="I5907" t="s">
        <v>1157</v>
      </c>
      <c r="J5907" t="str">
        <f>"9290230"</f>
        <v>9290230</v>
      </c>
      <c r="K5907">
        <v>2281080003</v>
      </c>
      <c r="L5907">
        <v>2281080003</v>
      </c>
      <c r="M5907" t="s">
        <v>37233</v>
      </c>
      <c r="N5907" t="s">
        <v>37001</v>
      </c>
      <c r="O5907" t="s">
        <v>37234</v>
      </c>
      <c r="P5907">
        <v>84100</v>
      </c>
      <c r="Q5907" t="str">
        <f>"37.446560"</f>
        <v>37.446560</v>
      </c>
      <c r="R5907" t="str">
        <f>"24.934104"</f>
        <v>24.934104</v>
      </c>
      <c r="S5907" t="s">
        <v>26</v>
      </c>
    </row>
    <row r="5908" spans="1:19" x14ac:dyDescent="0.3">
      <c r="A5908" t="s">
        <v>35638</v>
      </c>
      <c r="B5908" t="s">
        <v>36946</v>
      </c>
      <c r="C5908" t="s">
        <v>36171</v>
      </c>
      <c r="D5908" t="s">
        <v>36041</v>
      </c>
      <c r="E5908" t="s">
        <v>36041</v>
      </c>
      <c r="F5908" t="s">
        <v>36041</v>
      </c>
      <c r="G5908" t="s">
        <v>36041</v>
      </c>
      <c r="H5908" t="s">
        <v>868</v>
      </c>
      <c r="I5908" t="s">
        <v>869</v>
      </c>
      <c r="J5908" t="str">
        <f>"9290147"</f>
        <v>9290147</v>
      </c>
      <c r="K5908">
        <v>2283022287</v>
      </c>
      <c r="L5908">
        <v>2283022287</v>
      </c>
      <c r="M5908" t="s">
        <v>37235</v>
      </c>
      <c r="N5908" t="s">
        <v>36044</v>
      </c>
      <c r="O5908" t="s">
        <v>37236</v>
      </c>
      <c r="P5908">
        <v>84200</v>
      </c>
      <c r="Q5908" t="str">
        <f>"37.540771"</f>
        <v>37.540771</v>
      </c>
      <c r="R5908" t="str">
        <f>"25.161893"</f>
        <v>25.161893</v>
      </c>
      <c r="S5908" t="s">
        <v>26</v>
      </c>
    </row>
    <row r="5909" spans="1:19" x14ac:dyDescent="0.3">
      <c r="A5909" t="s">
        <v>35638</v>
      </c>
      <c r="B5909" t="s">
        <v>36946</v>
      </c>
      <c r="C5909" t="s">
        <v>36046</v>
      </c>
      <c r="D5909" t="s">
        <v>36041</v>
      </c>
      <c r="E5909" t="s">
        <v>36041</v>
      </c>
      <c r="F5909" t="s">
        <v>36041</v>
      </c>
      <c r="G5909" t="s">
        <v>36041</v>
      </c>
      <c r="H5909" t="s">
        <v>868</v>
      </c>
      <c r="I5909" t="s">
        <v>869</v>
      </c>
      <c r="J5909" t="str">
        <f>"9290148"</f>
        <v>9290148</v>
      </c>
      <c r="K5909">
        <v>2283022358</v>
      </c>
      <c r="L5909">
        <v>2283022358</v>
      </c>
      <c r="M5909" t="s">
        <v>37237</v>
      </c>
      <c r="N5909" t="s">
        <v>37238</v>
      </c>
      <c r="O5909" t="s">
        <v>37239</v>
      </c>
      <c r="P5909">
        <v>84200</v>
      </c>
      <c r="Q5909" t="str">
        <f>"37.537388"</f>
        <v>37.537388</v>
      </c>
      <c r="R5909" t="str">
        <f>"25.164474"</f>
        <v>25.164474</v>
      </c>
      <c r="S5909" t="s">
        <v>26</v>
      </c>
    </row>
    <row r="5910" spans="1:19" x14ac:dyDescent="0.3">
      <c r="A5910" t="s">
        <v>35638</v>
      </c>
      <c r="B5910" t="s">
        <v>36946</v>
      </c>
      <c r="C5910" t="s">
        <v>37244</v>
      </c>
      <c r="D5910" t="s">
        <v>36133</v>
      </c>
      <c r="E5910" t="s">
        <v>36133</v>
      </c>
      <c r="F5910" t="s">
        <v>36133</v>
      </c>
      <c r="G5910" t="s">
        <v>37223</v>
      </c>
      <c r="H5910" t="s">
        <v>868</v>
      </c>
      <c r="I5910" t="s">
        <v>869</v>
      </c>
      <c r="J5910" t="str">
        <f>"9290067"</f>
        <v>9290067</v>
      </c>
      <c r="K5910">
        <v>2284091255</v>
      </c>
      <c r="L5910">
        <v>2284091255</v>
      </c>
      <c r="M5910" t="s">
        <v>37245</v>
      </c>
      <c r="N5910" t="s">
        <v>37246</v>
      </c>
      <c r="O5910" t="s">
        <v>37246</v>
      </c>
      <c r="P5910">
        <v>84400</v>
      </c>
      <c r="Q5910" t="str">
        <f>"37.002987"</f>
        <v>37.002987</v>
      </c>
      <c r="R5910" t="str">
        <f>"25.150472"</f>
        <v>25.150472</v>
      </c>
      <c r="S5910" t="s">
        <v>26</v>
      </c>
    </row>
    <row r="5911" spans="1:19" x14ac:dyDescent="0.3">
      <c r="A5911" t="s">
        <v>35638</v>
      </c>
      <c r="B5911" t="s">
        <v>36946</v>
      </c>
      <c r="C5911" t="s">
        <v>36154</v>
      </c>
      <c r="D5911" t="s">
        <v>36021</v>
      </c>
      <c r="E5911" t="s">
        <v>36021</v>
      </c>
      <c r="F5911" t="s">
        <v>36021</v>
      </c>
      <c r="G5911" t="s">
        <v>37247</v>
      </c>
      <c r="H5911" t="s">
        <v>868</v>
      </c>
      <c r="I5911" t="s">
        <v>869</v>
      </c>
      <c r="J5911" t="str">
        <f>"9290021"</f>
        <v>9290021</v>
      </c>
      <c r="K5911">
        <v>2286022556</v>
      </c>
      <c r="L5911">
        <v>2286022556</v>
      </c>
      <c r="M5911" t="s">
        <v>37248</v>
      </c>
      <c r="N5911" t="s">
        <v>37249</v>
      </c>
      <c r="O5911" t="s">
        <v>37250</v>
      </c>
      <c r="P5911">
        <v>84700</v>
      </c>
      <c r="Q5911" t="str">
        <f>"36.410984"</f>
        <v>36.410984</v>
      </c>
      <c r="R5911" t="str">
        <f>"25.445272"</f>
        <v>25.445272</v>
      </c>
      <c r="S5911" t="s">
        <v>26</v>
      </c>
    </row>
    <row r="5912" spans="1:19" x14ac:dyDescent="0.3">
      <c r="A5912" t="s">
        <v>35638</v>
      </c>
      <c r="B5912" t="s">
        <v>36946</v>
      </c>
      <c r="C5912" t="s">
        <v>36176</v>
      </c>
      <c r="D5912" t="s">
        <v>36021</v>
      </c>
      <c r="E5912" t="s">
        <v>36021</v>
      </c>
      <c r="F5912" t="s">
        <v>36021</v>
      </c>
      <c r="G5912" t="s">
        <v>36172</v>
      </c>
      <c r="H5912" t="s">
        <v>868</v>
      </c>
      <c r="I5912" t="s">
        <v>869</v>
      </c>
      <c r="J5912" t="str">
        <f>"9290012"</f>
        <v>9290012</v>
      </c>
      <c r="K5912">
        <v>2286083176</v>
      </c>
      <c r="L5912">
        <v>2286083176</v>
      </c>
      <c r="M5912" t="s">
        <v>37251</v>
      </c>
      <c r="N5912" t="s">
        <v>37252</v>
      </c>
      <c r="O5912" t="s">
        <v>37252</v>
      </c>
      <c r="P5912">
        <v>84703</v>
      </c>
      <c r="Q5912" t="str">
        <f>"36.357024"</f>
        <v>36.357024</v>
      </c>
      <c r="R5912" t="str">
        <f>"25.445032"</f>
        <v>25.445032</v>
      </c>
      <c r="S5912" t="s">
        <v>26</v>
      </c>
    </row>
    <row r="5913" spans="1:19" x14ac:dyDescent="0.3">
      <c r="A5913" t="s">
        <v>35638</v>
      </c>
      <c r="B5913" t="s">
        <v>36946</v>
      </c>
      <c r="C5913" t="s">
        <v>36235</v>
      </c>
      <c r="D5913" t="s">
        <v>36021</v>
      </c>
      <c r="E5913" t="s">
        <v>36230</v>
      </c>
      <c r="F5913" t="s">
        <v>36230</v>
      </c>
      <c r="G5913" t="s">
        <v>36230</v>
      </c>
      <c r="H5913" t="s">
        <v>868</v>
      </c>
      <c r="I5913" t="s">
        <v>950</v>
      </c>
      <c r="J5913" t="str">
        <f>"9290032"</f>
        <v>9290032</v>
      </c>
      <c r="K5913">
        <v>2286051316</v>
      </c>
      <c r="L5913">
        <v>2286051316</v>
      </c>
      <c r="M5913" t="s">
        <v>37256</v>
      </c>
      <c r="O5913" t="s">
        <v>37115</v>
      </c>
      <c r="P5913">
        <v>84010</v>
      </c>
      <c r="Q5913" t="str">
        <f>"36.695327"</f>
        <v>36.695327</v>
      </c>
      <c r="R5913" t="str">
        <f>"25.118182"</f>
        <v>25.118182</v>
      </c>
      <c r="S5913" t="s">
        <v>57</v>
      </c>
    </row>
    <row r="5914" spans="1:19" x14ac:dyDescent="0.3">
      <c r="A5914" t="s">
        <v>35638</v>
      </c>
      <c r="B5914" t="s">
        <v>36946</v>
      </c>
      <c r="C5914" t="s">
        <v>36138</v>
      </c>
      <c r="D5914" t="s">
        <v>36133</v>
      </c>
      <c r="E5914" t="s">
        <v>36133</v>
      </c>
      <c r="F5914" t="s">
        <v>36133</v>
      </c>
      <c r="G5914" t="s">
        <v>36133</v>
      </c>
      <c r="H5914" t="s">
        <v>868</v>
      </c>
      <c r="I5914" t="s">
        <v>869</v>
      </c>
      <c r="J5914" t="str">
        <f>"9290255"</f>
        <v>9290255</v>
      </c>
      <c r="K5914">
        <v>2284021277</v>
      </c>
      <c r="L5914">
        <v>2284028153</v>
      </c>
      <c r="M5914" t="s">
        <v>37257</v>
      </c>
      <c r="N5914" t="s">
        <v>37258</v>
      </c>
      <c r="O5914" t="s">
        <v>37258</v>
      </c>
      <c r="P5914">
        <v>84400</v>
      </c>
      <c r="Q5914" t="str">
        <f>"37.084336"</f>
        <v>37.084336</v>
      </c>
      <c r="R5914" t="str">
        <f>"25.151153"</f>
        <v>25.151153</v>
      </c>
      <c r="S5914" t="s">
        <v>26</v>
      </c>
    </row>
    <row r="5915" spans="1:19" x14ac:dyDescent="0.3">
      <c r="A5915" t="s">
        <v>35638</v>
      </c>
      <c r="B5915" t="s">
        <v>36946</v>
      </c>
      <c r="C5915" t="s">
        <v>36034</v>
      </c>
      <c r="D5915" t="s">
        <v>36028</v>
      </c>
      <c r="E5915" t="s">
        <v>36029</v>
      </c>
      <c r="F5915" t="s">
        <v>36029</v>
      </c>
      <c r="G5915" t="s">
        <v>36029</v>
      </c>
      <c r="H5915" t="s">
        <v>868</v>
      </c>
      <c r="I5915" t="s">
        <v>869</v>
      </c>
      <c r="J5915" t="str">
        <f>"9290121"</f>
        <v>9290121</v>
      </c>
      <c r="K5915">
        <v>2281051120</v>
      </c>
      <c r="L5915">
        <v>2281051120</v>
      </c>
      <c r="M5915" t="s">
        <v>37262</v>
      </c>
      <c r="N5915" t="s">
        <v>37263</v>
      </c>
      <c r="O5915" t="s">
        <v>37264</v>
      </c>
      <c r="P5915">
        <v>84005</v>
      </c>
      <c r="Q5915" t="str">
        <f>"37.152556"</f>
        <v>37.152556</v>
      </c>
      <c r="R5915" t="str">
        <f>"24.506705"</f>
        <v>24.506705</v>
      </c>
      <c r="S5915" t="s">
        <v>57</v>
      </c>
    </row>
    <row r="5916" spans="1:19" x14ac:dyDescent="0.3">
      <c r="A5916" t="s">
        <v>35638</v>
      </c>
      <c r="B5916" t="s">
        <v>36946</v>
      </c>
      <c r="C5916" t="s">
        <v>37275</v>
      </c>
      <c r="D5916" t="s">
        <v>36057</v>
      </c>
      <c r="E5916" t="s">
        <v>36057</v>
      </c>
      <c r="F5916" t="s">
        <v>36057</v>
      </c>
      <c r="G5916" t="s">
        <v>36318</v>
      </c>
      <c r="H5916" t="s">
        <v>868</v>
      </c>
      <c r="I5916" t="s">
        <v>869</v>
      </c>
      <c r="J5916" t="str">
        <f>"9290137"</f>
        <v>9290137</v>
      </c>
      <c r="K5916">
        <v>2289071273</v>
      </c>
      <c r="L5916">
        <v>2289071273</v>
      </c>
      <c r="M5916" t="s">
        <v>37276</v>
      </c>
      <c r="N5916" t="s">
        <v>36322</v>
      </c>
      <c r="O5916" t="s">
        <v>36322</v>
      </c>
      <c r="P5916">
        <v>84600</v>
      </c>
      <c r="Q5916" t="str">
        <f>"37.448805"</f>
        <v>37.448805</v>
      </c>
      <c r="R5916" t="str">
        <f>"25.392072"</f>
        <v>25.392072</v>
      </c>
      <c r="S5916" t="s">
        <v>26</v>
      </c>
    </row>
    <row r="5917" spans="1:19" x14ac:dyDescent="0.3">
      <c r="A5917" t="s">
        <v>35638</v>
      </c>
      <c r="B5917" t="s">
        <v>36946</v>
      </c>
      <c r="C5917" t="s">
        <v>36266</v>
      </c>
      <c r="D5917" t="s">
        <v>36133</v>
      </c>
      <c r="E5917" t="s">
        <v>36262</v>
      </c>
      <c r="F5917" t="s">
        <v>36262</v>
      </c>
      <c r="G5917" t="s">
        <v>36262</v>
      </c>
      <c r="H5917" t="s">
        <v>868</v>
      </c>
      <c r="I5917" t="s">
        <v>869</v>
      </c>
      <c r="J5917" t="str">
        <f>"9290069"</f>
        <v>9290069</v>
      </c>
      <c r="K5917">
        <v>2284061250</v>
      </c>
      <c r="L5917">
        <v>2284061250</v>
      </c>
      <c r="M5917" t="s">
        <v>37283</v>
      </c>
      <c r="O5917" t="s">
        <v>36265</v>
      </c>
      <c r="P5917">
        <v>84007</v>
      </c>
      <c r="Q5917" t="str">
        <f>"37.040631"</f>
        <v>37.040631</v>
      </c>
      <c r="R5917" t="str">
        <f>"25.080814"</f>
        <v>25.080814</v>
      </c>
      <c r="S5917" t="s">
        <v>57</v>
      </c>
    </row>
    <row r="5918" spans="1:19" x14ac:dyDescent="0.3">
      <c r="A5918" t="s">
        <v>35638</v>
      </c>
      <c r="B5918" t="s">
        <v>36946</v>
      </c>
      <c r="C5918" t="s">
        <v>37284</v>
      </c>
      <c r="D5918" t="s">
        <v>36064</v>
      </c>
      <c r="E5918" t="s">
        <v>36065</v>
      </c>
      <c r="F5918" t="s">
        <v>36065</v>
      </c>
      <c r="G5918" t="s">
        <v>36066</v>
      </c>
      <c r="H5918" t="s">
        <v>868</v>
      </c>
      <c r="I5918" t="s">
        <v>950</v>
      </c>
      <c r="J5918" t="str">
        <f>"9290115"</f>
        <v>9290115</v>
      </c>
      <c r="K5918">
        <v>2288024150</v>
      </c>
      <c r="L5918">
        <v>2288024150</v>
      </c>
      <c r="M5918" t="s">
        <v>37285</v>
      </c>
      <c r="N5918" t="s">
        <v>37286</v>
      </c>
      <c r="O5918" t="s">
        <v>37287</v>
      </c>
      <c r="P5918">
        <v>84002</v>
      </c>
      <c r="Q5918" t="str">
        <f>"37.586911"</f>
        <v>37.586911</v>
      </c>
      <c r="R5918" t="str">
        <f>"24.317730"</f>
        <v>24.317730</v>
      </c>
      <c r="S5918" t="s">
        <v>26</v>
      </c>
    </row>
    <row r="5919" spans="1:19" x14ac:dyDescent="0.3">
      <c r="A5919" t="s">
        <v>35638</v>
      </c>
      <c r="B5919" t="s">
        <v>36946</v>
      </c>
      <c r="C5919" t="s">
        <v>37291</v>
      </c>
      <c r="D5919" t="s">
        <v>36021</v>
      </c>
      <c r="E5919" t="s">
        <v>36021</v>
      </c>
      <c r="F5919" t="s">
        <v>36244</v>
      </c>
      <c r="G5919" t="s">
        <v>36244</v>
      </c>
      <c r="H5919" t="s">
        <v>868</v>
      </c>
      <c r="I5919" t="s">
        <v>869</v>
      </c>
      <c r="J5919" t="str">
        <f>"9290026"</f>
        <v>9290026</v>
      </c>
      <c r="K5919">
        <v>2286071300</v>
      </c>
      <c r="L5919">
        <v>2286071300</v>
      </c>
      <c r="M5919" t="s">
        <v>37292</v>
      </c>
      <c r="N5919" t="s">
        <v>37293</v>
      </c>
      <c r="O5919" t="s">
        <v>37294</v>
      </c>
      <c r="P5919">
        <v>84702</v>
      </c>
      <c r="Q5919" t="str">
        <f>"36.462062"</f>
        <v>36.462062</v>
      </c>
      <c r="R5919" t="str">
        <f>"25.377746"</f>
        <v>25.377746</v>
      </c>
      <c r="S5919" t="s">
        <v>26</v>
      </c>
    </row>
    <row r="5920" spans="1:19" x14ac:dyDescent="0.3">
      <c r="A5920" t="s">
        <v>35638</v>
      </c>
      <c r="B5920" t="s">
        <v>36946</v>
      </c>
      <c r="C5920" t="s">
        <v>37299</v>
      </c>
      <c r="D5920" t="s">
        <v>36133</v>
      </c>
      <c r="E5920" t="s">
        <v>36133</v>
      </c>
      <c r="F5920" t="s">
        <v>36133</v>
      </c>
      <c r="G5920" t="s">
        <v>36133</v>
      </c>
      <c r="H5920" t="s">
        <v>868</v>
      </c>
      <c r="I5920" t="s">
        <v>869</v>
      </c>
      <c r="J5920" t="str">
        <f>"9290259"</f>
        <v>9290259</v>
      </c>
      <c r="K5920">
        <v>2284023580</v>
      </c>
      <c r="L5920">
        <v>2284023580</v>
      </c>
      <c r="M5920" t="s">
        <v>37300</v>
      </c>
      <c r="N5920" t="s">
        <v>37258</v>
      </c>
      <c r="O5920" t="s">
        <v>37301</v>
      </c>
      <c r="P5920">
        <v>84400</v>
      </c>
      <c r="Q5920" t="str">
        <f>"37.080091"</f>
        <v>37.080091</v>
      </c>
      <c r="R5920" t="str">
        <f>"25.148213"</f>
        <v>25.148213</v>
      </c>
      <c r="S5920" t="s">
        <v>26</v>
      </c>
    </row>
    <row r="5921" spans="1:19" x14ac:dyDescent="0.3">
      <c r="A5921" t="s">
        <v>35638</v>
      </c>
      <c r="B5921" t="s">
        <v>36946</v>
      </c>
      <c r="C5921" t="s">
        <v>36229</v>
      </c>
      <c r="D5921" t="s">
        <v>36021</v>
      </c>
      <c r="E5921" t="s">
        <v>36225</v>
      </c>
      <c r="F5921" t="s">
        <v>36225</v>
      </c>
      <c r="G5921" t="s">
        <v>36225</v>
      </c>
      <c r="H5921" t="s">
        <v>868</v>
      </c>
      <c r="I5921" t="s">
        <v>950</v>
      </c>
      <c r="J5921" t="str">
        <f>"9290005"</f>
        <v>9290005</v>
      </c>
      <c r="K5921">
        <v>2286061223</v>
      </c>
      <c r="L5921">
        <v>2286061300</v>
      </c>
      <c r="M5921" t="s">
        <v>37305</v>
      </c>
      <c r="N5921" t="s">
        <v>36228</v>
      </c>
      <c r="O5921" t="s">
        <v>36228</v>
      </c>
      <c r="P5921">
        <v>84009</v>
      </c>
      <c r="Q5921" t="str">
        <f>"36.353630"</f>
        <v>36.353630</v>
      </c>
      <c r="R5921" t="str">
        <f>"25.768486"</f>
        <v>25.768486</v>
      </c>
      <c r="S5921" t="s">
        <v>57</v>
      </c>
    </row>
    <row r="5922" spans="1:19" x14ac:dyDescent="0.3">
      <c r="A5922" t="s">
        <v>35638</v>
      </c>
      <c r="B5922" t="s">
        <v>36946</v>
      </c>
      <c r="C5922" t="s">
        <v>37320</v>
      </c>
      <c r="D5922" t="s">
        <v>4806</v>
      </c>
      <c r="E5922" t="s">
        <v>35664</v>
      </c>
      <c r="F5922" t="s">
        <v>4806</v>
      </c>
      <c r="G5922" t="s">
        <v>36957</v>
      </c>
      <c r="H5922" t="s">
        <v>868</v>
      </c>
      <c r="I5922" t="s">
        <v>1157</v>
      </c>
      <c r="J5922" t="str">
        <f>"9290281"</f>
        <v>9290281</v>
      </c>
      <c r="K5922">
        <v>2285062336</v>
      </c>
      <c r="L5922">
        <v>2285062336</v>
      </c>
      <c r="M5922" t="s">
        <v>37321</v>
      </c>
      <c r="N5922" t="s">
        <v>36077</v>
      </c>
      <c r="O5922" t="s">
        <v>37322</v>
      </c>
      <c r="P5922">
        <v>84300</v>
      </c>
      <c r="Q5922" t="str">
        <f>"37.102103"</f>
        <v>37.102103</v>
      </c>
      <c r="R5922" t="str">
        <f>"25.376114"</f>
        <v>25.376114</v>
      </c>
      <c r="S5922" t="s">
        <v>26</v>
      </c>
    </row>
    <row r="5923" spans="1:19" x14ac:dyDescent="0.3">
      <c r="A5923" t="s">
        <v>35638</v>
      </c>
      <c r="B5923" t="s">
        <v>36946</v>
      </c>
      <c r="C5923" t="s">
        <v>36224</v>
      </c>
      <c r="D5923" t="s">
        <v>36064</v>
      </c>
      <c r="E5923" t="s">
        <v>36219</v>
      </c>
      <c r="F5923" t="s">
        <v>36219</v>
      </c>
      <c r="G5923" t="s">
        <v>36219</v>
      </c>
      <c r="H5923" t="s">
        <v>868</v>
      </c>
      <c r="I5923" t="s">
        <v>869</v>
      </c>
      <c r="J5923" t="str">
        <f>"9290118"</f>
        <v>9290118</v>
      </c>
      <c r="K5923">
        <v>2281031325</v>
      </c>
      <c r="L5923">
        <v>2281031325</v>
      </c>
      <c r="M5923" t="s">
        <v>37326</v>
      </c>
      <c r="N5923" t="s">
        <v>37327</v>
      </c>
      <c r="O5923" t="s">
        <v>37213</v>
      </c>
      <c r="P5923">
        <v>84006</v>
      </c>
      <c r="Q5923" t="str">
        <f>"37.413021"</f>
        <v>37.413021</v>
      </c>
      <c r="R5923" t="str">
        <f>"24.428083"</f>
        <v>24.428083</v>
      </c>
      <c r="S5923" t="s">
        <v>26</v>
      </c>
    </row>
    <row r="5924" spans="1:19" x14ac:dyDescent="0.3">
      <c r="A5924" t="s">
        <v>35638</v>
      </c>
      <c r="B5924" t="s">
        <v>36946</v>
      </c>
      <c r="C5924" t="s">
        <v>37331</v>
      </c>
      <c r="D5924" t="s">
        <v>4806</v>
      </c>
      <c r="E5924" t="s">
        <v>35664</v>
      </c>
      <c r="F5924" t="s">
        <v>4806</v>
      </c>
      <c r="G5924" t="s">
        <v>4806</v>
      </c>
      <c r="H5924" t="s">
        <v>868</v>
      </c>
      <c r="I5924" t="s">
        <v>869</v>
      </c>
      <c r="J5924" t="str">
        <f>"9290039"</f>
        <v>9290039</v>
      </c>
      <c r="K5924">
        <v>2285022317</v>
      </c>
      <c r="L5924">
        <v>2285022317</v>
      </c>
      <c r="M5924" t="s">
        <v>37332</v>
      </c>
      <c r="N5924" t="s">
        <v>36082</v>
      </c>
      <c r="O5924" t="s">
        <v>37333</v>
      </c>
      <c r="P5924">
        <v>84300</v>
      </c>
      <c r="Q5924" t="str">
        <f>"37.108097"</f>
        <v>37.108097</v>
      </c>
      <c r="R5924" t="str">
        <f>"25.375212"</f>
        <v>25.375212</v>
      </c>
      <c r="S5924" t="s">
        <v>26</v>
      </c>
    </row>
    <row r="5925" spans="1:19" x14ac:dyDescent="0.3">
      <c r="A5925" t="s">
        <v>35638</v>
      </c>
      <c r="B5925" t="s">
        <v>36946</v>
      </c>
      <c r="C5925" t="s">
        <v>37334</v>
      </c>
      <c r="D5925" t="s">
        <v>4806</v>
      </c>
      <c r="E5925" t="s">
        <v>35664</v>
      </c>
      <c r="F5925" t="s">
        <v>36073</v>
      </c>
      <c r="G5925" t="s">
        <v>37312</v>
      </c>
      <c r="H5925" t="s">
        <v>868</v>
      </c>
      <c r="I5925" t="s">
        <v>950</v>
      </c>
      <c r="J5925" t="str">
        <f>"9290048"</f>
        <v>9290048</v>
      </c>
      <c r="K5925">
        <v>2285031161</v>
      </c>
      <c r="L5925">
        <v>2285031161</v>
      </c>
      <c r="M5925" t="s">
        <v>37335</v>
      </c>
      <c r="N5925" t="s">
        <v>37315</v>
      </c>
      <c r="O5925" t="s">
        <v>37315</v>
      </c>
      <c r="P5925">
        <v>84302</v>
      </c>
      <c r="Q5925" t="str">
        <f>"37.053451"</f>
        <v>37.053451</v>
      </c>
      <c r="R5925" t="str">
        <f>"25.481862"</f>
        <v>25.481862</v>
      </c>
      <c r="S5925" t="s">
        <v>26</v>
      </c>
    </row>
    <row r="5926" spans="1:19" x14ac:dyDescent="0.3">
      <c r="A5926" t="s">
        <v>35638</v>
      </c>
      <c r="B5926" t="s">
        <v>36946</v>
      </c>
      <c r="C5926" t="s">
        <v>37336</v>
      </c>
      <c r="D5926" t="s">
        <v>4806</v>
      </c>
      <c r="E5926" t="s">
        <v>35664</v>
      </c>
      <c r="F5926" t="s">
        <v>36073</v>
      </c>
      <c r="G5926" t="s">
        <v>37003</v>
      </c>
      <c r="H5926" t="s">
        <v>868</v>
      </c>
      <c r="I5926" t="s">
        <v>950</v>
      </c>
      <c r="J5926" t="str">
        <f>"9290053"</f>
        <v>9290053</v>
      </c>
      <c r="K5926">
        <v>2285067210</v>
      </c>
      <c r="L5926">
        <v>2285067210</v>
      </c>
      <c r="M5926" t="s">
        <v>37337</v>
      </c>
      <c r="N5926" t="s">
        <v>37338</v>
      </c>
      <c r="O5926" t="s">
        <v>37338</v>
      </c>
      <c r="P5926">
        <v>84302</v>
      </c>
      <c r="Q5926" t="str">
        <f>"37.181640"</f>
        <v>37.181640</v>
      </c>
      <c r="R5926" t="str">
        <f>"25.549542"</f>
        <v>25.549542</v>
      </c>
      <c r="S5926" t="s">
        <v>57</v>
      </c>
    </row>
    <row r="5927" spans="1:19" x14ac:dyDescent="0.3">
      <c r="A5927" t="s">
        <v>35638</v>
      </c>
      <c r="B5927" t="s">
        <v>36946</v>
      </c>
      <c r="C5927" t="s">
        <v>36250</v>
      </c>
      <c r="D5927" t="s">
        <v>36021</v>
      </c>
      <c r="E5927" t="s">
        <v>36021</v>
      </c>
      <c r="F5927" t="s">
        <v>36244</v>
      </c>
      <c r="G5927" t="s">
        <v>36245</v>
      </c>
      <c r="H5927" t="s">
        <v>868</v>
      </c>
      <c r="I5927" t="s">
        <v>950</v>
      </c>
      <c r="J5927" t="str">
        <f>"9290018"</f>
        <v>9290018</v>
      </c>
      <c r="K5927">
        <v>2286029324</v>
      </c>
      <c r="L5927">
        <v>2286029324</v>
      </c>
      <c r="M5927" t="s">
        <v>37343</v>
      </c>
      <c r="N5927" t="s">
        <v>36248</v>
      </c>
      <c r="O5927" t="s">
        <v>36249</v>
      </c>
      <c r="P5927">
        <v>84702</v>
      </c>
      <c r="Q5927" t="str">
        <f>"36.466359"</f>
        <v>36.466359</v>
      </c>
      <c r="R5927" t="str">
        <f>"25.384497"</f>
        <v>25.384497</v>
      </c>
      <c r="S5927" t="s">
        <v>57</v>
      </c>
    </row>
    <row r="5928" spans="1:19" x14ac:dyDescent="0.3">
      <c r="A5928" t="s">
        <v>35638</v>
      </c>
      <c r="B5928" t="s">
        <v>36946</v>
      </c>
      <c r="C5928" t="s">
        <v>36160</v>
      </c>
      <c r="D5928" t="s">
        <v>4806</v>
      </c>
      <c r="E5928" t="s">
        <v>35664</v>
      </c>
      <c r="F5928" t="s">
        <v>36073</v>
      </c>
      <c r="G5928" t="s">
        <v>13599</v>
      </c>
      <c r="H5928" t="s">
        <v>868</v>
      </c>
      <c r="I5928" t="s">
        <v>950</v>
      </c>
      <c r="J5928" t="str">
        <f>"9290065"</f>
        <v>9290065</v>
      </c>
      <c r="K5928">
        <v>2285031207</v>
      </c>
      <c r="L5928">
        <v>2285031207</v>
      </c>
      <c r="M5928" t="s">
        <v>37355</v>
      </c>
      <c r="N5928" t="s">
        <v>36159</v>
      </c>
      <c r="O5928" t="s">
        <v>36159</v>
      </c>
      <c r="P5928">
        <v>84302</v>
      </c>
      <c r="Q5928" t="str">
        <f>"37.064096"</f>
        <v>37.064096</v>
      </c>
      <c r="R5928" t="str">
        <f>"25.486458"</f>
        <v>25.486458</v>
      </c>
      <c r="S5928" t="s">
        <v>26</v>
      </c>
    </row>
    <row r="5929" spans="1:19" x14ac:dyDescent="0.3">
      <c r="A5929" t="s">
        <v>35638</v>
      </c>
      <c r="B5929" t="s">
        <v>36946</v>
      </c>
      <c r="C5929" t="s">
        <v>37356</v>
      </c>
      <c r="D5929" t="s">
        <v>35644</v>
      </c>
      <c r="E5929" t="s">
        <v>35645</v>
      </c>
      <c r="F5929" t="s">
        <v>35646</v>
      </c>
      <c r="G5929" t="s">
        <v>35646</v>
      </c>
      <c r="H5929" t="s">
        <v>868</v>
      </c>
      <c r="I5929" t="s">
        <v>869</v>
      </c>
      <c r="J5929" t="str">
        <f>"9290128"</f>
        <v>9290128</v>
      </c>
      <c r="K5929">
        <v>2281088322</v>
      </c>
      <c r="L5929">
        <v>2281088322</v>
      </c>
      <c r="M5929" t="s">
        <v>37357</v>
      </c>
      <c r="N5929" t="s">
        <v>37358</v>
      </c>
      <c r="O5929" t="s">
        <v>37359</v>
      </c>
      <c r="P5929">
        <v>84100</v>
      </c>
      <c r="Q5929" t="str">
        <f>"37.448721"</f>
        <v>37.448721</v>
      </c>
      <c r="R5929" t="str">
        <f>"24.944665"</f>
        <v>24.944665</v>
      </c>
      <c r="S5929" t="s">
        <v>26</v>
      </c>
    </row>
    <row r="5930" spans="1:19" x14ac:dyDescent="0.3">
      <c r="A5930" t="s">
        <v>35638</v>
      </c>
      <c r="B5930" t="s">
        <v>36946</v>
      </c>
      <c r="C5930" t="s">
        <v>37367</v>
      </c>
      <c r="D5930" t="s">
        <v>36021</v>
      </c>
      <c r="E5930" t="s">
        <v>36021</v>
      </c>
      <c r="F5930" t="s">
        <v>36021</v>
      </c>
      <c r="G5930" t="s">
        <v>36021</v>
      </c>
      <c r="H5930" t="s">
        <v>868</v>
      </c>
      <c r="I5930" t="s">
        <v>869</v>
      </c>
      <c r="J5930" t="str">
        <f>"9290017"</f>
        <v>9290017</v>
      </c>
      <c r="K5930">
        <v>2286022224</v>
      </c>
      <c r="L5930">
        <v>2286021284</v>
      </c>
      <c r="M5930" t="s">
        <v>37368</v>
      </c>
      <c r="N5930" t="s">
        <v>36195</v>
      </c>
      <c r="O5930" t="s">
        <v>36195</v>
      </c>
      <c r="P5930">
        <v>84700</v>
      </c>
      <c r="Q5930" t="str">
        <f>"36.439146"</f>
        <v>36.439146</v>
      </c>
      <c r="R5930" t="str">
        <f>"25.425539"</f>
        <v>25.425539</v>
      </c>
      <c r="S5930" t="s">
        <v>26</v>
      </c>
    </row>
    <row r="5931" spans="1:19" x14ac:dyDescent="0.3">
      <c r="A5931" t="s">
        <v>35638</v>
      </c>
      <c r="B5931" t="s">
        <v>36946</v>
      </c>
      <c r="C5931" t="s">
        <v>37383</v>
      </c>
      <c r="D5931" t="s">
        <v>4806</v>
      </c>
      <c r="E5931" t="s">
        <v>35664</v>
      </c>
      <c r="F5931" t="s">
        <v>36073</v>
      </c>
      <c r="G5931" t="s">
        <v>37382</v>
      </c>
      <c r="H5931" t="s">
        <v>868</v>
      </c>
      <c r="I5931" t="s">
        <v>950</v>
      </c>
      <c r="J5931" t="str">
        <f>"9290049"</f>
        <v>9290049</v>
      </c>
      <c r="K5931">
        <v>2285061754</v>
      </c>
      <c r="L5931">
        <v>2285061754</v>
      </c>
      <c r="M5931" t="s">
        <v>37384</v>
      </c>
      <c r="N5931" t="s">
        <v>37385</v>
      </c>
      <c r="O5931" t="s">
        <v>37385</v>
      </c>
      <c r="P5931">
        <v>84302</v>
      </c>
      <c r="Q5931" t="str">
        <f>"37.047940"</f>
        <v>37.047940</v>
      </c>
      <c r="R5931" t="str">
        <f>"25.525180"</f>
        <v>25.525180</v>
      </c>
      <c r="S5931" t="s">
        <v>57</v>
      </c>
    </row>
    <row r="5932" spans="1:19" x14ac:dyDescent="0.3">
      <c r="A5932" t="s">
        <v>35638</v>
      </c>
      <c r="B5932" t="s">
        <v>36946</v>
      </c>
      <c r="C5932" t="s">
        <v>37394</v>
      </c>
      <c r="D5932" t="s">
        <v>36041</v>
      </c>
      <c r="E5932" t="s">
        <v>36041</v>
      </c>
      <c r="F5932" t="s">
        <v>33122</v>
      </c>
      <c r="G5932" t="s">
        <v>33122</v>
      </c>
      <c r="H5932" t="s">
        <v>868</v>
      </c>
      <c r="I5932" t="s">
        <v>950</v>
      </c>
      <c r="J5932" t="str">
        <f>"9290159"</f>
        <v>9290159</v>
      </c>
      <c r="K5932">
        <v>2283031123</v>
      </c>
      <c r="L5932">
        <v>2283031123</v>
      </c>
      <c r="M5932" t="s">
        <v>37395</v>
      </c>
      <c r="N5932" t="s">
        <v>37161</v>
      </c>
      <c r="O5932" t="s">
        <v>37396</v>
      </c>
      <c r="P5932">
        <v>84201</v>
      </c>
      <c r="Q5932" t="str">
        <f>"37.656654"</f>
        <v>37.656654</v>
      </c>
      <c r="R5932" t="str">
        <f>"25.041467"</f>
        <v>25.041467</v>
      </c>
      <c r="S5932" t="s">
        <v>57</v>
      </c>
    </row>
    <row r="5933" spans="1:19" x14ac:dyDescent="0.3">
      <c r="A5933" t="s">
        <v>35638</v>
      </c>
      <c r="B5933" t="s">
        <v>36946</v>
      </c>
      <c r="C5933" t="s">
        <v>37418</v>
      </c>
      <c r="D5933" t="s">
        <v>4806</v>
      </c>
      <c r="E5933" t="s">
        <v>35664</v>
      </c>
      <c r="F5933" t="s">
        <v>4806</v>
      </c>
      <c r="G5933" t="s">
        <v>1782</v>
      </c>
      <c r="H5933" t="s">
        <v>868</v>
      </c>
      <c r="I5933" t="s">
        <v>950</v>
      </c>
      <c r="J5933" t="str">
        <f>"9290060"</f>
        <v>9290060</v>
      </c>
      <c r="K5933">
        <v>2285031134</v>
      </c>
      <c r="L5933">
        <v>2285032042</v>
      </c>
      <c r="M5933" t="s">
        <v>37419</v>
      </c>
      <c r="N5933" t="s">
        <v>37420</v>
      </c>
      <c r="O5933" t="s">
        <v>37421</v>
      </c>
      <c r="P5933">
        <v>84300</v>
      </c>
      <c r="Q5933" t="str">
        <f>"37.067375"</f>
        <v>37.067375</v>
      </c>
      <c r="R5933" t="str">
        <f>"25.440049"</f>
        <v>25.440049</v>
      </c>
      <c r="S5933" t="s">
        <v>26</v>
      </c>
    </row>
    <row r="5934" spans="1:19" x14ac:dyDescent="0.3">
      <c r="A5934" t="s">
        <v>35638</v>
      </c>
      <c r="B5934" t="s">
        <v>36946</v>
      </c>
      <c r="C5934" t="s">
        <v>37422</v>
      </c>
      <c r="D5934" t="s">
        <v>4806</v>
      </c>
      <c r="E5934" t="s">
        <v>35664</v>
      </c>
      <c r="F5934" t="s">
        <v>36073</v>
      </c>
      <c r="G5934" t="s">
        <v>13599</v>
      </c>
      <c r="H5934" t="s">
        <v>868</v>
      </c>
      <c r="I5934" t="s">
        <v>950</v>
      </c>
      <c r="J5934" t="str">
        <f>"9290066"</f>
        <v>9290066</v>
      </c>
      <c r="K5934">
        <v>2285031584</v>
      </c>
      <c r="L5934">
        <v>2285032473</v>
      </c>
      <c r="M5934" t="s">
        <v>37423</v>
      </c>
      <c r="N5934" t="s">
        <v>37424</v>
      </c>
      <c r="O5934" t="s">
        <v>37424</v>
      </c>
      <c r="P5934">
        <v>84302</v>
      </c>
      <c r="Q5934" t="str">
        <f>"37.062669"</f>
        <v>37.062669</v>
      </c>
      <c r="R5934" t="str">
        <f>"25.471836"</f>
        <v>25.471836</v>
      </c>
      <c r="S5934" t="s">
        <v>26</v>
      </c>
    </row>
    <row r="5935" spans="1:19" x14ac:dyDescent="0.3">
      <c r="A5935" t="s">
        <v>35638</v>
      </c>
      <c r="B5935" t="s">
        <v>36946</v>
      </c>
      <c r="C5935" t="s">
        <v>37426</v>
      </c>
      <c r="D5935" t="s">
        <v>4806</v>
      </c>
      <c r="E5935" t="s">
        <v>35664</v>
      </c>
      <c r="F5935" t="s">
        <v>4806</v>
      </c>
      <c r="G5935" t="s">
        <v>37425</v>
      </c>
      <c r="H5935" t="s">
        <v>868</v>
      </c>
      <c r="I5935" t="s">
        <v>950</v>
      </c>
      <c r="J5935" t="str">
        <f>"9290061"</f>
        <v>9290061</v>
      </c>
      <c r="K5935">
        <v>2285041642</v>
      </c>
      <c r="L5935">
        <v>2285041642</v>
      </c>
      <c r="M5935" t="s">
        <v>37427</v>
      </c>
      <c r="N5935" t="s">
        <v>37428</v>
      </c>
      <c r="O5935" t="s">
        <v>37428</v>
      </c>
      <c r="P5935">
        <v>84300</v>
      </c>
      <c r="Q5935" t="str">
        <f>"37.042374"</f>
        <v>37.042374</v>
      </c>
      <c r="R5935" t="str">
        <f>"25.435906"</f>
        <v>25.435906</v>
      </c>
      <c r="S5935" t="s">
        <v>26</v>
      </c>
    </row>
    <row r="5936" spans="1:19" x14ac:dyDescent="0.3">
      <c r="A5936" t="s">
        <v>35638</v>
      </c>
      <c r="B5936" t="s">
        <v>36946</v>
      </c>
      <c r="C5936" t="s">
        <v>37429</v>
      </c>
      <c r="D5936" t="s">
        <v>4806</v>
      </c>
      <c r="E5936" t="s">
        <v>35664</v>
      </c>
      <c r="F5936" t="s">
        <v>4806</v>
      </c>
      <c r="G5936" t="s">
        <v>37362</v>
      </c>
      <c r="H5936" t="s">
        <v>868</v>
      </c>
      <c r="I5936" t="s">
        <v>869</v>
      </c>
      <c r="J5936" t="str">
        <f>"9290047"</f>
        <v>9290047</v>
      </c>
      <c r="K5936">
        <v>2285042390</v>
      </c>
      <c r="L5936">
        <v>2285042390</v>
      </c>
      <c r="M5936" t="s">
        <v>37430</v>
      </c>
      <c r="O5936" t="s">
        <v>37366</v>
      </c>
      <c r="P5936">
        <v>84300</v>
      </c>
      <c r="Q5936" t="str">
        <f>"37.070676"</f>
        <v>37.070676</v>
      </c>
      <c r="R5936" t="str">
        <f>"25.402614"</f>
        <v>25.402614</v>
      </c>
      <c r="S5936" t="s">
        <v>26</v>
      </c>
    </row>
    <row r="5937" spans="1:19" x14ac:dyDescent="0.3">
      <c r="A5937" t="s">
        <v>35638</v>
      </c>
      <c r="B5937" t="s">
        <v>36946</v>
      </c>
      <c r="C5937" t="s">
        <v>36083</v>
      </c>
      <c r="D5937" t="s">
        <v>4806</v>
      </c>
      <c r="E5937" t="s">
        <v>35664</v>
      </c>
      <c r="F5937" t="s">
        <v>36189</v>
      </c>
      <c r="G5937" t="s">
        <v>36189</v>
      </c>
      <c r="H5937" t="s">
        <v>868</v>
      </c>
      <c r="I5937" t="s">
        <v>950</v>
      </c>
      <c r="J5937" t="str">
        <f>"9290023"</f>
        <v>9290023</v>
      </c>
      <c r="K5937">
        <v>2285071391</v>
      </c>
      <c r="L5937">
        <v>2285071391</v>
      </c>
      <c r="M5937" t="s">
        <v>37431</v>
      </c>
      <c r="N5937" t="s">
        <v>36192</v>
      </c>
      <c r="O5937" t="s">
        <v>36192</v>
      </c>
      <c r="P5937">
        <v>84300</v>
      </c>
      <c r="Q5937" t="str">
        <f>"36.932299"</f>
        <v>36.932299</v>
      </c>
      <c r="R5937" t="str">
        <f>"25.601212"</f>
        <v>25.601212</v>
      </c>
      <c r="S5937" t="s">
        <v>57</v>
      </c>
    </row>
    <row r="5938" spans="1:19" x14ac:dyDescent="0.3">
      <c r="A5938" t="s">
        <v>35638</v>
      </c>
      <c r="B5938" t="s">
        <v>36946</v>
      </c>
      <c r="C5938" t="s">
        <v>36141</v>
      </c>
      <c r="D5938" t="s">
        <v>4806</v>
      </c>
      <c r="E5938" t="s">
        <v>35664</v>
      </c>
      <c r="F5938" t="s">
        <v>4806</v>
      </c>
      <c r="G5938" t="s">
        <v>4806</v>
      </c>
      <c r="H5938" t="s">
        <v>868</v>
      </c>
      <c r="I5938" t="s">
        <v>869</v>
      </c>
      <c r="J5938" t="str">
        <f>"9290040"</f>
        <v>9290040</v>
      </c>
      <c r="K5938">
        <v>2285022778</v>
      </c>
      <c r="L5938">
        <v>2285022778</v>
      </c>
      <c r="M5938" t="s">
        <v>37432</v>
      </c>
      <c r="N5938" t="s">
        <v>36077</v>
      </c>
      <c r="O5938" t="s">
        <v>36082</v>
      </c>
      <c r="P5938">
        <v>84300</v>
      </c>
      <c r="Q5938" t="str">
        <f>"37.103988"</f>
        <v>37.103988</v>
      </c>
      <c r="R5938" t="str">
        <f>"25.379202"</f>
        <v>25.379202</v>
      </c>
      <c r="S5938" t="s">
        <v>26</v>
      </c>
    </row>
    <row r="5939" spans="1:19" x14ac:dyDescent="0.3">
      <c r="A5939" t="s">
        <v>35638</v>
      </c>
      <c r="B5939" t="s">
        <v>36946</v>
      </c>
      <c r="C5939" t="s">
        <v>37433</v>
      </c>
      <c r="D5939" t="s">
        <v>4806</v>
      </c>
      <c r="E5939" t="s">
        <v>36090</v>
      </c>
      <c r="F5939" t="s">
        <v>36090</v>
      </c>
      <c r="G5939" t="s">
        <v>36965</v>
      </c>
      <c r="H5939" t="s">
        <v>868</v>
      </c>
      <c r="I5939" t="s">
        <v>869</v>
      </c>
      <c r="J5939" t="str">
        <f>"9290001"</f>
        <v>9290001</v>
      </c>
      <c r="K5939">
        <v>2285073148</v>
      </c>
      <c r="L5939">
        <v>2285073148</v>
      </c>
      <c r="M5939" t="s">
        <v>37434</v>
      </c>
      <c r="N5939" t="s">
        <v>37435</v>
      </c>
      <c r="O5939" t="s">
        <v>37436</v>
      </c>
      <c r="P5939">
        <v>84008</v>
      </c>
      <c r="Q5939" t="str">
        <f>"36.905209"</f>
        <v>36.905209</v>
      </c>
      <c r="R5939" t="str">
        <f>"25.981367"</f>
        <v>25.981367</v>
      </c>
      <c r="S5939" t="s">
        <v>57</v>
      </c>
    </row>
    <row r="5940" spans="1:19" x14ac:dyDescent="0.3">
      <c r="A5940" t="s">
        <v>35638</v>
      </c>
      <c r="B5940" t="s">
        <v>36946</v>
      </c>
      <c r="C5940" t="s">
        <v>36027</v>
      </c>
      <c r="D5940" t="s">
        <v>36021</v>
      </c>
      <c r="E5940" t="s">
        <v>36022</v>
      </c>
      <c r="F5940" t="s">
        <v>36022</v>
      </c>
      <c r="G5940" t="s">
        <v>36022</v>
      </c>
      <c r="H5940" t="s">
        <v>868</v>
      </c>
      <c r="I5940" t="s">
        <v>950</v>
      </c>
      <c r="J5940" t="str">
        <f>"9290036"</f>
        <v>9290036</v>
      </c>
      <c r="K5940">
        <v>2286041382</v>
      </c>
      <c r="L5940">
        <v>2286041382</v>
      </c>
      <c r="M5940" t="s">
        <v>37444</v>
      </c>
      <c r="N5940" t="s">
        <v>37445</v>
      </c>
      <c r="O5940" t="s">
        <v>36025</v>
      </c>
      <c r="P5940">
        <v>84011</v>
      </c>
      <c r="Q5940" t="str">
        <f>"36.628639"</f>
        <v>36.628639</v>
      </c>
      <c r="R5940" t="str">
        <f>"24.920303"</f>
        <v>24.920303</v>
      </c>
      <c r="S5940" t="s">
        <v>57</v>
      </c>
    </row>
    <row r="5941" spans="1:19" x14ac:dyDescent="0.3">
      <c r="A5941" t="s">
        <v>35638</v>
      </c>
      <c r="B5941" t="s">
        <v>36946</v>
      </c>
      <c r="C5941" t="s">
        <v>36182</v>
      </c>
      <c r="D5941" t="s">
        <v>36095</v>
      </c>
      <c r="E5941" t="s">
        <v>36095</v>
      </c>
      <c r="F5941" t="s">
        <v>18594</v>
      </c>
      <c r="G5941" t="s">
        <v>37270</v>
      </c>
      <c r="H5941" t="s">
        <v>868</v>
      </c>
      <c r="I5941" t="s">
        <v>869</v>
      </c>
      <c r="J5941" t="str">
        <f>"9290106"</f>
        <v>9290106</v>
      </c>
      <c r="K5941">
        <v>2282041238</v>
      </c>
      <c r="L5941">
        <v>2282041238</v>
      </c>
      <c r="M5941" t="s">
        <v>37446</v>
      </c>
      <c r="N5941" t="s">
        <v>37447</v>
      </c>
      <c r="O5941" t="s">
        <v>37448</v>
      </c>
      <c r="P5941">
        <v>84503</v>
      </c>
      <c r="Q5941" t="str">
        <f>"37.859978"</f>
        <v>37.859978</v>
      </c>
      <c r="R5941" t="str">
        <f>"24.788544"</f>
        <v>24.788544</v>
      </c>
      <c r="S5941" t="s">
        <v>26</v>
      </c>
    </row>
    <row r="5942" spans="1:19" x14ac:dyDescent="0.3">
      <c r="A5942" t="s">
        <v>35638</v>
      </c>
      <c r="B5942" t="s">
        <v>36946</v>
      </c>
      <c r="C5942" t="s">
        <v>37449</v>
      </c>
      <c r="D5942" t="s">
        <v>36021</v>
      </c>
      <c r="E5942" t="s">
        <v>36021</v>
      </c>
      <c r="F5942" t="s">
        <v>36021</v>
      </c>
      <c r="G5942" t="s">
        <v>33268</v>
      </c>
      <c r="H5942" t="s">
        <v>868</v>
      </c>
      <c r="I5942" t="s">
        <v>869</v>
      </c>
      <c r="J5942" t="str">
        <f>"9290003"</f>
        <v>9290003</v>
      </c>
      <c r="K5942">
        <v>2286081112</v>
      </c>
      <c r="L5942">
        <v>2286083412</v>
      </c>
      <c r="M5942" t="s">
        <v>37450</v>
      </c>
      <c r="N5942" t="s">
        <v>37451</v>
      </c>
      <c r="O5942" t="s">
        <v>37342</v>
      </c>
      <c r="P5942">
        <v>84700</v>
      </c>
      <c r="Q5942" t="str">
        <f>"36.358560"</f>
        <v>36.358560</v>
      </c>
      <c r="R5942" t="str">
        <f>"25.396726"</f>
        <v>25.396726</v>
      </c>
      <c r="S5942" t="s">
        <v>26</v>
      </c>
    </row>
    <row r="5943" spans="1:19" x14ac:dyDescent="0.3">
      <c r="A5943" t="s">
        <v>35638</v>
      </c>
      <c r="B5943" t="s">
        <v>36946</v>
      </c>
      <c r="C5943" t="s">
        <v>36124</v>
      </c>
      <c r="D5943" t="s">
        <v>36021</v>
      </c>
      <c r="E5943" t="s">
        <v>36021</v>
      </c>
      <c r="F5943" t="s">
        <v>36021</v>
      </c>
      <c r="G5943" t="s">
        <v>13031</v>
      </c>
      <c r="H5943" t="s">
        <v>868</v>
      </c>
      <c r="I5943" t="s">
        <v>869</v>
      </c>
      <c r="J5943" t="str">
        <f>"9290027"</f>
        <v>9290027</v>
      </c>
      <c r="K5943">
        <v>2286031067</v>
      </c>
      <c r="L5943">
        <v>2286034242</v>
      </c>
      <c r="M5943" t="s">
        <v>37472</v>
      </c>
      <c r="N5943" t="s">
        <v>37473</v>
      </c>
      <c r="O5943" t="s">
        <v>36123</v>
      </c>
      <c r="P5943">
        <v>84700</v>
      </c>
      <c r="Q5943" t="str">
        <f>"36.381146"</f>
        <v>36.381146</v>
      </c>
      <c r="R5943" t="str">
        <f>"25.450580"</f>
        <v>25.450580</v>
      </c>
      <c r="S5943" t="s">
        <v>26</v>
      </c>
    </row>
    <row r="5944" spans="1:19" x14ac:dyDescent="0.3">
      <c r="A5944" t="s">
        <v>35638</v>
      </c>
      <c r="B5944" t="s">
        <v>36946</v>
      </c>
      <c r="C5944" t="s">
        <v>37474</v>
      </c>
      <c r="D5944" t="s">
        <v>36133</v>
      </c>
      <c r="E5944" t="s">
        <v>36133</v>
      </c>
      <c r="F5944" t="s">
        <v>36133</v>
      </c>
      <c r="G5944" t="s">
        <v>37386</v>
      </c>
      <c r="H5944" t="s">
        <v>868</v>
      </c>
      <c r="I5944" t="s">
        <v>869</v>
      </c>
      <c r="J5944" t="str">
        <f>"9290074"</f>
        <v>9290074</v>
      </c>
      <c r="K5944">
        <v>2284041643</v>
      </c>
      <c r="L5944">
        <v>2284042581</v>
      </c>
      <c r="M5944" t="s">
        <v>37475</v>
      </c>
      <c r="N5944" t="s">
        <v>37476</v>
      </c>
      <c r="O5944" t="s">
        <v>37389</v>
      </c>
      <c r="P5944">
        <v>84400</v>
      </c>
      <c r="Q5944" t="str">
        <f>"37.077675"</f>
        <v>37.077675</v>
      </c>
      <c r="R5944" t="str">
        <f>"25.218056"</f>
        <v>25.218056</v>
      </c>
      <c r="S5944" t="s">
        <v>26</v>
      </c>
    </row>
    <row r="5945" spans="1:19" x14ac:dyDescent="0.3">
      <c r="A5945" t="s">
        <v>35638</v>
      </c>
      <c r="B5945" t="s">
        <v>36946</v>
      </c>
      <c r="C5945" t="s">
        <v>37487</v>
      </c>
      <c r="D5945" t="s">
        <v>36021</v>
      </c>
      <c r="E5945" t="s">
        <v>36021</v>
      </c>
      <c r="F5945" t="s">
        <v>36021</v>
      </c>
      <c r="G5945" t="s">
        <v>36021</v>
      </c>
      <c r="H5945" t="s">
        <v>868</v>
      </c>
      <c r="I5945" t="s">
        <v>1157</v>
      </c>
      <c r="J5945" t="str">
        <f>"9521273"</f>
        <v>9521273</v>
      </c>
      <c r="K5945">
        <v>2286028670</v>
      </c>
      <c r="L5945">
        <v>2286025335</v>
      </c>
      <c r="M5945" t="s">
        <v>37488</v>
      </c>
      <c r="N5945" t="s">
        <v>36195</v>
      </c>
      <c r="O5945" t="s">
        <v>36195</v>
      </c>
      <c r="P5945">
        <v>84700</v>
      </c>
      <c r="Q5945" t="str">
        <f>"36.422652"</f>
        <v>36.422652</v>
      </c>
      <c r="R5945" t="str">
        <f>"25.431201"</f>
        <v>25.431201</v>
      </c>
      <c r="S5945" t="s">
        <v>26</v>
      </c>
    </row>
    <row r="5946" spans="1:19" x14ac:dyDescent="0.3">
      <c r="A5946" t="s">
        <v>35638</v>
      </c>
      <c r="B5946" t="s">
        <v>36946</v>
      </c>
      <c r="C5946" t="s">
        <v>37516</v>
      </c>
      <c r="D5946" t="s">
        <v>4806</v>
      </c>
      <c r="E5946" t="s">
        <v>35664</v>
      </c>
      <c r="F5946" t="s">
        <v>4806</v>
      </c>
      <c r="G5946" t="s">
        <v>4806</v>
      </c>
      <c r="H5946" t="s">
        <v>868</v>
      </c>
      <c r="I5946" t="s">
        <v>869</v>
      </c>
      <c r="J5946" t="str">
        <f>"9521419"</f>
        <v>9521419</v>
      </c>
      <c r="K5946">
        <v>2285027015</v>
      </c>
      <c r="L5946">
        <v>2285027015</v>
      </c>
      <c r="M5946" t="s">
        <v>37517</v>
      </c>
      <c r="N5946" t="s">
        <v>36077</v>
      </c>
      <c r="O5946" t="s">
        <v>13408</v>
      </c>
      <c r="P5946">
        <v>84300</v>
      </c>
      <c r="Q5946" t="str">
        <f>"37.104352"</f>
        <v>37.104352</v>
      </c>
      <c r="R5946" t="str">
        <f>"25.379527"</f>
        <v>25.379527</v>
      </c>
      <c r="S5946" t="s">
        <v>26</v>
      </c>
    </row>
    <row r="5947" spans="1:19" x14ac:dyDescent="0.3">
      <c r="A5947" t="s">
        <v>35638</v>
      </c>
      <c r="B5947" t="s">
        <v>36946</v>
      </c>
      <c r="C5947" t="s">
        <v>37523</v>
      </c>
      <c r="D5947" t="s">
        <v>36041</v>
      </c>
      <c r="E5947" t="s">
        <v>36041</v>
      </c>
      <c r="F5947" t="s">
        <v>36041</v>
      </c>
      <c r="G5947" t="s">
        <v>36041</v>
      </c>
      <c r="H5947" t="s">
        <v>868</v>
      </c>
      <c r="I5947" t="s">
        <v>869</v>
      </c>
      <c r="J5947" t="str">
        <f>"9521633"</f>
        <v>9521633</v>
      </c>
      <c r="K5947">
        <v>2283026230</v>
      </c>
      <c r="L5947">
        <v>2283026230</v>
      </c>
      <c r="M5947" t="s">
        <v>37524</v>
      </c>
      <c r="N5947" t="s">
        <v>36044</v>
      </c>
      <c r="O5947" t="s">
        <v>37177</v>
      </c>
      <c r="P5947">
        <v>84200</v>
      </c>
      <c r="Q5947" t="str">
        <f>"37.532028"</f>
        <v>37.532028</v>
      </c>
      <c r="R5947" t="str">
        <f>"25.163284"</f>
        <v>25.163284</v>
      </c>
      <c r="S5947" t="s">
        <v>26</v>
      </c>
    </row>
    <row r="5948" spans="1:19" x14ac:dyDescent="0.3">
      <c r="A5948" t="s">
        <v>37529</v>
      </c>
      <c r="B5948" t="s">
        <v>38509</v>
      </c>
      <c r="C5948" t="s">
        <v>38515</v>
      </c>
      <c r="D5948" t="s">
        <v>37530</v>
      </c>
      <c r="E5948" t="s">
        <v>37604</v>
      </c>
      <c r="F5948" t="s">
        <v>37604</v>
      </c>
      <c r="G5948" t="s">
        <v>38514</v>
      </c>
      <c r="H5948" t="s">
        <v>868</v>
      </c>
      <c r="I5948" t="s">
        <v>869</v>
      </c>
      <c r="J5948" t="str">
        <f>"9020115"</f>
        <v>9020115</v>
      </c>
      <c r="K5948">
        <v>2753041220</v>
      </c>
      <c r="L5948">
        <v>2753099964</v>
      </c>
      <c r="M5948" t="s">
        <v>38516</v>
      </c>
      <c r="N5948" t="s">
        <v>38514</v>
      </c>
      <c r="O5948" t="s">
        <v>37609</v>
      </c>
      <c r="P5948">
        <v>21059</v>
      </c>
      <c r="Q5948" t="str">
        <f>"37.640154"</f>
        <v>37.640154</v>
      </c>
      <c r="R5948" t="str">
        <f>"23.155771"</f>
        <v>23.155771</v>
      </c>
      <c r="S5948" t="s">
        <v>26</v>
      </c>
    </row>
    <row r="5949" spans="1:19" x14ac:dyDescent="0.3">
      <c r="A5949" t="s">
        <v>37529</v>
      </c>
      <c r="B5949" t="s">
        <v>38509</v>
      </c>
      <c r="C5949" t="s">
        <v>37655</v>
      </c>
      <c r="D5949" t="s">
        <v>37530</v>
      </c>
      <c r="E5949" t="s">
        <v>37572</v>
      </c>
      <c r="F5949" t="s">
        <v>37573</v>
      </c>
      <c r="G5949" t="s">
        <v>37573</v>
      </c>
      <c r="H5949" t="s">
        <v>868</v>
      </c>
      <c r="I5949" t="s">
        <v>869</v>
      </c>
      <c r="J5949" t="str">
        <f>"9020002"</f>
        <v>9020002</v>
      </c>
      <c r="K5949">
        <v>2751068651</v>
      </c>
      <c r="L5949">
        <v>2751068162</v>
      </c>
      <c r="M5949" t="s">
        <v>38529</v>
      </c>
      <c r="N5949" t="s">
        <v>38530</v>
      </c>
      <c r="O5949" t="s">
        <v>38531</v>
      </c>
      <c r="P5949">
        <v>21232</v>
      </c>
      <c r="Q5949" t="str">
        <f>"37.633281"</f>
        <v>37.633281</v>
      </c>
      <c r="R5949" t="str">
        <f>"22.727617"</f>
        <v>22.727617</v>
      </c>
      <c r="S5949" t="s">
        <v>26</v>
      </c>
    </row>
    <row r="5950" spans="1:19" x14ac:dyDescent="0.3">
      <c r="A5950" t="s">
        <v>37529</v>
      </c>
      <c r="B5950" t="s">
        <v>38509</v>
      </c>
      <c r="C5950" t="s">
        <v>38536</v>
      </c>
      <c r="D5950" t="s">
        <v>37530</v>
      </c>
      <c r="E5950" t="s">
        <v>37604</v>
      </c>
      <c r="F5950" t="s">
        <v>37605</v>
      </c>
      <c r="G5950" t="s">
        <v>3295</v>
      </c>
      <c r="H5950" t="s">
        <v>868</v>
      </c>
      <c r="I5950" t="s">
        <v>950</v>
      </c>
      <c r="J5950" t="str">
        <f>"9020083"</f>
        <v>9020083</v>
      </c>
      <c r="K5950">
        <v>2753061195</v>
      </c>
      <c r="L5950">
        <v>2753061195</v>
      </c>
      <c r="M5950" t="s">
        <v>38537</v>
      </c>
      <c r="N5950" t="s">
        <v>3472</v>
      </c>
      <c r="O5950" t="s">
        <v>3472</v>
      </c>
      <c r="P5950">
        <v>21052</v>
      </c>
      <c r="Q5950" t="str">
        <f>"37.605367"</f>
        <v>37.605367</v>
      </c>
      <c r="R5950" t="str">
        <f>"22.944247"</f>
        <v>22.944247</v>
      </c>
      <c r="S5950" t="s">
        <v>26</v>
      </c>
    </row>
    <row r="5951" spans="1:19" x14ac:dyDescent="0.3">
      <c r="A5951" t="s">
        <v>37529</v>
      </c>
      <c r="B5951" t="s">
        <v>38509</v>
      </c>
      <c r="C5951" t="s">
        <v>38541</v>
      </c>
      <c r="D5951" t="s">
        <v>37530</v>
      </c>
      <c r="E5951" t="s">
        <v>37531</v>
      </c>
      <c r="F5951" t="s">
        <v>37532</v>
      </c>
      <c r="G5951" t="s">
        <v>37531</v>
      </c>
      <c r="H5951" t="s">
        <v>868</v>
      </c>
      <c r="I5951" t="s">
        <v>869</v>
      </c>
      <c r="J5951" t="str">
        <f>"9020547"</f>
        <v>9020547</v>
      </c>
      <c r="K5951">
        <v>2752024287</v>
      </c>
      <c r="L5951">
        <v>2752099369</v>
      </c>
      <c r="M5951" t="s">
        <v>38542</v>
      </c>
      <c r="N5951" t="s">
        <v>37535</v>
      </c>
      <c r="O5951" t="s">
        <v>38543</v>
      </c>
      <c r="P5951">
        <v>21100</v>
      </c>
      <c r="Q5951" t="str">
        <f>"37.568765"</f>
        <v>37.568765</v>
      </c>
      <c r="R5951" t="str">
        <f>"22.809313"</f>
        <v>22.809313</v>
      </c>
      <c r="S5951" t="s">
        <v>26</v>
      </c>
    </row>
    <row r="5952" spans="1:19" x14ac:dyDescent="0.3">
      <c r="A5952" t="s">
        <v>37529</v>
      </c>
      <c r="B5952" t="s">
        <v>38509</v>
      </c>
      <c r="C5952" t="s">
        <v>38545</v>
      </c>
      <c r="D5952" t="s">
        <v>37530</v>
      </c>
      <c r="E5952" t="s">
        <v>37531</v>
      </c>
      <c r="F5952" t="s">
        <v>37646</v>
      </c>
      <c r="G5952" t="s">
        <v>38544</v>
      </c>
      <c r="H5952" t="s">
        <v>868</v>
      </c>
      <c r="I5952" t="s">
        <v>869</v>
      </c>
      <c r="J5952" t="str">
        <f>"9020086"</f>
        <v>9020086</v>
      </c>
      <c r="K5952">
        <v>2752044141</v>
      </c>
      <c r="L5952">
        <v>2752044141</v>
      </c>
      <c r="M5952" t="s">
        <v>38546</v>
      </c>
      <c r="N5952" t="s">
        <v>38547</v>
      </c>
      <c r="O5952" t="s">
        <v>38548</v>
      </c>
      <c r="P5952">
        <v>21055</v>
      </c>
      <c r="Q5952" t="str">
        <f>"37.654816"</f>
        <v>37.654816</v>
      </c>
      <c r="R5952" t="str">
        <f>"22.792788"</f>
        <v>22.792788</v>
      </c>
      <c r="S5952" t="s">
        <v>26</v>
      </c>
    </row>
    <row r="5953" spans="1:19" x14ac:dyDescent="0.3">
      <c r="A5953" t="s">
        <v>37529</v>
      </c>
      <c r="B5953" t="s">
        <v>38509</v>
      </c>
      <c r="C5953" t="s">
        <v>37651</v>
      </c>
      <c r="D5953" t="s">
        <v>37530</v>
      </c>
      <c r="E5953" t="s">
        <v>37531</v>
      </c>
      <c r="F5953" t="s">
        <v>37646</v>
      </c>
      <c r="G5953" t="s">
        <v>21730</v>
      </c>
      <c r="H5953" t="s">
        <v>868</v>
      </c>
      <c r="I5953" t="s">
        <v>869</v>
      </c>
      <c r="J5953" t="str">
        <f>"9020080"</f>
        <v>9020080</v>
      </c>
      <c r="K5953">
        <v>2752044346</v>
      </c>
      <c r="L5953">
        <v>2752044346</v>
      </c>
      <c r="M5953" t="s">
        <v>38549</v>
      </c>
      <c r="N5953" t="s">
        <v>8902</v>
      </c>
      <c r="O5953" t="s">
        <v>8902</v>
      </c>
      <c r="P5953">
        <v>21055</v>
      </c>
      <c r="Q5953" t="str">
        <f>"37.639666"</f>
        <v>37.639666</v>
      </c>
      <c r="R5953" t="str">
        <f>"22.810272"</f>
        <v>22.810272</v>
      </c>
      <c r="S5953" t="s">
        <v>26</v>
      </c>
    </row>
    <row r="5954" spans="1:19" x14ac:dyDescent="0.3">
      <c r="A5954" t="s">
        <v>37529</v>
      </c>
      <c r="B5954" t="s">
        <v>38509</v>
      </c>
      <c r="C5954" t="s">
        <v>37583</v>
      </c>
      <c r="D5954" t="s">
        <v>37530</v>
      </c>
      <c r="E5954" t="s">
        <v>37572</v>
      </c>
      <c r="F5954" t="s">
        <v>37573</v>
      </c>
      <c r="G5954" t="s">
        <v>37573</v>
      </c>
      <c r="H5954" t="s">
        <v>868</v>
      </c>
      <c r="I5954" t="s">
        <v>869</v>
      </c>
      <c r="J5954" t="str">
        <f>"9020005"</f>
        <v>9020005</v>
      </c>
      <c r="K5954">
        <v>2751068862</v>
      </c>
      <c r="L5954">
        <v>2751068862</v>
      </c>
      <c r="M5954" t="s">
        <v>38550</v>
      </c>
      <c r="N5954" t="s">
        <v>37577</v>
      </c>
      <c r="O5954" t="s">
        <v>38551</v>
      </c>
      <c r="P5954">
        <v>21323</v>
      </c>
      <c r="Q5954" t="str">
        <f>"37.630368"</f>
        <v>37.630368</v>
      </c>
      <c r="R5954" t="str">
        <f>"22.732713"</f>
        <v>22.732713</v>
      </c>
      <c r="S5954" t="s">
        <v>26</v>
      </c>
    </row>
    <row r="5955" spans="1:19" x14ac:dyDescent="0.3">
      <c r="A5955" t="s">
        <v>37529</v>
      </c>
      <c r="B5955" t="s">
        <v>38509</v>
      </c>
      <c r="C5955" t="s">
        <v>38553</v>
      </c>
      <c r="D5955" t="s">
        <v>37530</v>
      </c>
      <c r="E5955" t="s">
        <v>37531</v>
      </c>
      <c r="F5955" t="s">
        <v>37656</v>
      </c>
      <c r="G5955" t="s">
        <v>38552</v>
      </c>
      <c r="H5955" t="s">
        <v>868</v>
      </c>
      <c r="I5955" t="s">
        <v>869</v>
      </c>
      <c r="J5955" t="str">
        <f>"9020119"</f>
        <v>9020119</v>
      </c>
      <c r="K5955">
        <v>2752059388</v>
      </c>
      <c r="L5955">
        <v>2752059388</v>
      </c>
      <c r="M5955" t="s">
        <v>38554</v>
      </c>
      <c r="N5955" t="s">
        <v>38555</v>
      </c>
      <c r="O5955" t="s">
        <v>38555</v>
      </c>
      <c r="P5955">
        <v>21056</v>
      </c>
      <c r="Q5955" t="str">
        <f>"37.523093"</f>
        <v>37.523093</v>
      </c>
      <c r="R5955" t="str">
        <f>"22.861619"</f>
        <v>22.861619</v>
      </c>
      <c r="S5955" t="s">
        <v>26</v>
      </c>
    </row>
    <row r="5956" spans="1:19" x14ac:dyDescent="0.3">
      <c r="A5956" t="s">
        <v>37529</v>
      </c>
      <c r="B5956" t="s">
        <v>38509</v>
      </c>
      <c r="C5956" t="s">
        <v>38560</v>
      </c>
      <c r="D5956" t="s">
        <v>37530</v>
      </c>
      <c r="E5956" t="s">
        <v>37531</v>
      </c>
      <c r="F5956" t="s">
        <v>37646</v>
      </c>
      <c r="G5956" t="s">
        <v>38559</v>
      </c>
      <c r="H5956" t="s">
        <v>868</v>
      </c>
      <c r="I5956" t="s">
        <v>950</v>
      </c>
      <c r="J5956" t="str">
        <f>"9020089"</f>
        <v>9020089</v>
      </c>
      <c r="K5956">
        <v>2753051373</v>
      </c>
      <c r="L5956">
        <v>2753051373</v>
      </c>
      <c r="M5956" t="s">
        <v>38561</v>
      </c>
      <c r="N5956" t="s">
        <v>38562</v>
      </c>
      <c r="O5956" t="s">
        <v>38562</v>
      </c>
      <c r="P5956">
        <v>21055</v>
      </c>
      <c r="Q5956" t="str">
        <f>"37.676437"</f>
        <v>37.676437</v>
      </c>
      <c r="R5956" t="str">
        <f>"22.957579"</f>
        <v>22.957579</v>
      </c>
      <c r="S5956" t="s">
        <v>26</v>
      </c>
    </row>
    <row r="5957" spans="1:19" x14ac:dyDescent="0.3">
      <c r="A5957" t="s">
        <v>37529</v>
      </c>
      <c r="B5957" t="s">
        <v>38509</v>
      </c>
      <c r="C5957" t="s">
        <v>38563</v>
      </c>
      <c r="D5957" t="s">
        <v>37530</v>
      </c>
      <c r="E5957" t="s">
        <v>37531</v>
      </c>
      <c r="F5957" t="s">
        <v>37532</v>
      </c>
      <c r="G5957" t="s">
        <v>37531</v>
      </c>
      <c r="H5957" t="s">
        <v>868</v>
      </c>
      <c r="I5957" t="s">
        <v>869</v>
      </c>
      <c r="J5957" t="str">
        <f>"9020184"</f>
        <v>9020184</v>
      </c>
      <c r="K5957">
        <v>2752026332</v>
      </c>
      <c r="L5957">
        <v>2752097966</v>
      </c>
      <c r="M5957" t="s">
        <v>38564</v>
      </c>
      <c r="N5957" t="s">
        <v>37535</v>
      </c>
      <c r="O5957" t="s">
        <v>38565</v>
      </c>
      <c r="P5957">
        <v>21100</v>
      </c>
      <c r="Q5957" t="str">
        <f>"37.575647"</f>
        <v>37.575647</v>
      </c>
      <c r="R5957" t="str">
        <f>"22.804277"</f>
        <v>22.804277</v>
      </c>
      <c r="S5957" t="s">
        <v>26</v>
      </c>
    </row>
    <row r="5958" spans="1:19" x14ac:dyDescent="0.3">
      <c r="A5958" t="s">
        <v>37529</v>
      </c>
      <c r="B5958" t="s">
        <v>38509</v>
      </c>
      <c r="C5958" t="s">
        <v>38567</v>
      </c>
      <c r="D5958" t="s">
        <v>37530</v>
      </c>
      <c r="E5958" t="s">
        <v>37531</v>
      </c>
      <c r="F5958" t="s">
        <v>37656</v>
      </c>
      <c r="G5958" t="s">
        <v>38566</v>
      </c>
      <c r="H5958" t="s">
        <v>868</v>
      </c>
      <c r="I5958" t="s">
        <v>950</v>
      </c>
      <c r="J5958" t="str">
        <f>"9020099"</f>
        <v>9020099</v>
      </c>
      <c r="K5958">
        <v>2752094290</v>
      </c>
      <c r="L5958">
        <v>2752094290</v>
      </c>
      <c r="M5958" t="s">
        <v>38568</v>
      </c>
      <c r="N5958" t="s">
        <v>38569</v>
      </c>
      <c r="O5958" t="s">
        <v>38570</v>
      </c>
      <c r="P5958">
        <v>21060</v>
      </c>
      <c r="Q5958" t="str">
        <f>"37.485812"</f>
        <v>37.485812</v>
      </c>
      <c r="R5958" t="str">
        <f>"23.012120"</f>
        <v>23.012120</v>
      </c>
      <c r="S5958" t="s">
        <v>26</v>
      </c>
    </row>
    <row r="5959" spans="1:19" x14ac:dyDescent="0.3">
      <c r="A5959" t="s">
        <v>37529</v>
      </c>
      <c r="B5959" t="s">
        <v>38509</v>
      </c>
      <c r="C5959" t="s">
        <v>37601</v>
      </c>
      <c r="D5959" t="s">
        <v>37530</v>
      </c>
      <c r="E5959" t="s">
        <v>37565</v>
      </c>
      <c r="F5959" t="s">
        <v>37570</v>
      </c>
      <c r="G5959" t="s">
        <v>37570</v>
      </c>
      <c r="H5959" t="s">
        <v>868</v>
      </c>
      <c r="I5959" t="s">
        <v>869</v>
      </c>
      <c r="J5959" t="str">
        <f>"9020059"</f>
        <v>9020059</v>
      </c>
      <c r="K5959">
        <v>2754023087</v>
      </c>
      <c r="L5959">
        <v>2754021478</v>
      </c>
      <c r="M5959" t="s">
        <v>38592</v>
      </c>
      <c r="N5959" t="s">
        <v>38593</v>
      </c>
      <c r="O5959" t="s">
        <v>38594</v>
      </c>
      <c r="P5959">
        <v>21300</v>
      </c>
      <c r="Q5959" t="str">
        <f>"37.354291"</f>
        <v>37.354291</v>
      </c>
      <c r="R5959" t="str">
        <f>"23.136261"</f>
        <v>23.136261</v>
      </c>
      <c r="S5959" t="s">
        <v>26</v>
      </c>
    </row>
    <row r="5960" spans="1:19" x14ac:dyDescent="0.3">
      <c r="A5960" t="s">
        <v>37529</v>
      </c>
      <c r="B5960" t="s">
        <v>38509</v>
      </c>
      <c r="C5960" t="s">
        <v>37571</v>
      </c>
      <c r="D5960" t="s">
        <v>37530</v>
      </c>
      <c r="E5960" t="s">
        <v>37565</v>
      </c>
      <c r="F5960" t="s">
        <v>37566</v>
      </c>
      <c r="G5960" t="s">
        <v>37566</v>
      </c>
      <c r="H5960" t="s">
        <v>868</v>
      </c>
      <c r="I5960" t="s">
        <v>869</v>
      </c>
      <c r="J5960" t="str">
        <f>"9020066"</f>
        <v>9020066</v>
      </c>
      <c r="K5960">
        <v>2754031239</v>
      </c>
      <c r="L5960">
        <v>2754031239</v>
      </c>
      <c r="M5960" t="s">
        <v>38595</v>
      </c>
      <c r="N5960" t="s">
        <v>37569</v>
      </c>
      <c r="O5960" t="s">
        <v>37569</v>
      </c>
      <c r="P5960">
        <v>21051</v>
      </c>
      <c r="Q5960" t="str">
        <f>"37.388531"</f>
        <v>37.388531</v>
      </c>
      <c r="R5960" t="str">
        <f>"23.247380"</f>
        <v>23.247380</v>
      </c>
      <c r="S5960" t="s">
        <v>26</v>
      </c>
    </row>
    <row r="5961" spans="1:19" x14ac:dyDescent="0.3">
      <c r="A5961" t="s">
        <v>37529</v>
      </c>
      <c r="B5961" t="s">
        <v>38509</v>
      </c>
      <c r="C5961" t="s">
        <v>38614</v>
      </c>
      <c r="D5961" t="s">
        <v>37530</v>
      </c>
      <c r="E5961" t="s">
        <v>37531</v>
      </c>
      <c r="F5961" t="s">
        <v>37532</v>
      </c>
      <c r="G5961" t="s">
        <v>37531</v>
      </c>
      <c r="H5961" t="s">
        <v>868</v>
      </c>
      <c r="I5961" t="s">
        <v>869</v>
      </c>
      <c r="J5961" t="str">
        <f>"9020077"</f>
        <v>9020077</v>
      </c>
      <c r="K5961">
        <v>2752028193</v>
      </c>
      <c r="L5961">
        <v>2752097923</v>
      </c>
      <c r="M5961" t="s">
        <v>38615</v>
      </c>
      <c r="N5961" t="s">
        <v>37535</v>
      </c>
      <c r="O5961" t="s">
        <v>38616</v>
      </c>
      <c r="P5961">
        <v>21100</v>
      </c>
      <c r="Q5961" t="str">
        <f>"37.563528"</f>
        <v>37.563528</v>
      </c>
      <c r="R5961" t="str">
        <f>"22.809630"</f>
        <v>22.809630</v>
      </c>
      <c r="S5961" t="s">
        <v>26</v>
      </c>
    </row>
    <row r="5962" spans="1:19" x14ac:dyDescent="0.3">
      <c r="A5962" t="s">
        <v>37529</v>
      </c>
      <c r="B5962" t="s">
        <v>38509</v>
      </c>
      <c r="C5962" t="s">
        <v>38620</v>
      </c>
      <c r="D5962" t="s">
        <v>37530</v>
      </c>
      <c r="E5962" t="s">
        <v>37565</v>
      </c>
      <c r="F5962" t="s">
        <v>37566</v>
      </c>
      <c r="G5962" t="s">
        <v>38521</v>
      </c>
      <c r="H5962" t="s">
        <v>868</v>
      </c>
      <c r="I5962" t="s">
        <v>950</v>
      </c>
      <c r="J5962" t="str">
        <f>"9020069"</f>
        <v>9020069</v>
      </c>
      <c r="K5962">
        <v>2754041238</v>
      </c>
      <c r="L5962">
        <v>2754041238</v>
      </c>
      <c r="M5962" t="s">
        <v>38621</v>
      </c>
      <c r="N5962" t="s">
        <v>38521</v>
      </c>
      <c r="O5962" t="s">
        <v>38622</v>
      </c>
      <c r="P5962">
        <v>21051</v>
      </c>
      <c r="Q5962" t="str">
        <f>"37.412173"</f>
        <v>37.412173</v>
      </c>
      <c r="R5962" t="str">
        <f>"23.323591"</f>
        <v>23.323591</v>
      </c>
      <c r="S5962" t="s">
        <v>26</v>
      </c>
    </row>
    <row r="5963" spans="1:19" x14ac:dyDescent="0.3">
      <c r="A5963" t="s">
        <v>37529</v>
      </c>
      <c r="B5963" t="s">
        <v>38509</v>
      </c>
      <c r="C5963" t="s">
        <v>37615</v>
      </c>
      <c r="D5963" t="s">
        <v>37530</v>
      </c>
      <c r="E5963" t="s">
        <v>37531</v>
      </c>
      <c r="F5963" t="s">
        <v>37532</v>
      </c>
      <c r="G5963" t="s">
        <v>37611</v>
      </c>
      <c r="H5963" t="s">
        <v>868</v>
      </c>
      <c r="I5963" t="s">
        <v>869</v>
      </c>
      <c r="J5963" t="str">
        <f>"9020092"</f>
        <v>9020092</v>
      </c>
      <c r="K5963">
        <v>2752027997</v>
      </c>
      <c r="L5963">
        <v>2752027997</v>
      </c>
      <c r="M5963" t="s">
        <v>38630</v>
      </c>
      <c r="N5963" t="s">
        <v>37535</v>
      </c>
      <c r="O5963" t="s">
        <v>38631</v>
      </c>
      <c r="P5963">
        <v>21100</v>
      </c>
      <c r="Q5963" t="str">
        <f>"37.569377"</f>
        <v>37.569377</v>
      </c>
      <c r="R5963" t="str">
        <f>"22.830875"</f>
        <v>22.830875</v>
      </c>
      <c r="S5963" t="s">
        <v>26</v>
      </c>
    </row>
    <row r="5964" spans="1:19" x14ac:dyDescent="0.3">
      <c r="A5964" t="s">
        <v>37529</v>
      </c>
      <c r="B5964" t="s">
        <v>38509</v>
      </c>
      <c r="C5964" t="s">
        <v>38633</v>
      </c>
      <c r="D5964" t="s">
        <v>37530</v>
      </c>
      <c r="E5964" t="s">
        <v>37531</v>
      </c>
      <c r="F5964" t="s">
        <v>38582</v>
      </c>
      <c r="G5964" t="s">
        <v>38632</v>
      </c>
      <c r="H5964" t="s">
        <v>868</v>
      </c>
      <c r="I5964" t="s">
        <v>869</v>
      </c>
      <c r="J5964" t="str">
        <f>"9020081"</f>
        <v>9020081</v>
      </c>
      <c r="K5964">
        <v>2752091230</v>
      </c>
      <c r="M5964" t="s">
        <v>38634</v>
      </c>
      <c r="O5964" t="s">
        <v>38635</v>
      </c>
      <c r="P5964">
        <v>21100</v>
      </c>
      <c r="Q5964" t="str">
        <f>"37.596004"</f>
        <v>37.596004</v>
      </c>
      <c r="R5964" t="str">
        <f>"22.841711"</f>
        <v>22.841711</v>
      </c>
      <c r="S5964" t="s">
        <v>26</v>
      </c>
    </row>
    <row r="5965" spans="1:19" x14ac:dyDescent="0.3">
      <c r="A5965" t="s">
        <v>37529</v>
      </c>
      <c r="B5965" t="s">
        <v>38509</v>
      </c>
      <c r="C5965" t="s">
        <v>38636</v>
      </c>
      <c r="D5965" t="s">
        <v>37530</v>
      </c>
      <c r="E5965" t="s">
        <v>37531</v>
      </c>
      <c r="F5965" t="s">
        <v>38582</v>
      </c>
      <c r="G5965" t="s">
        <v>38582</v>
      </c>
      <c r="H5965" t="s">
        <v>868</v>
      </c>
      <c r="I5965" t="s">
        <v>869</v>
      </c>
      <c r="J5965" t="str">
        <f>"9020112"</f>
        <v>9020112</v>
      </c>
      <c r="K5965">
        <v>2752036336</v>
      </c>
      <c r="L5965">
        <v>2752036336</v>
      </c>
      <c r="M5965" t="s">
        <v>38637</v>
      </c>
      <c r="N5965" t="s">
        <v>38638</v>
      </c>
      <c r="O5965" t="s">
        <v>38638</v>
      </c>
      <c r="P5965">
        <v>21100</v>
      </c>
      <c r="Q5965" t="str">
        <f>"37.608110"</f>
        <v>37.608110</v>
      </c>
      <c r="R5965" t="str">
        <f>"22.819793"</f>
        <v>22.819793</v>
      </c>
      <c r="S5965" t="s">
        <v>26</v>
      </c>
    </row>
    <row r="5966" spans="1:19" x14ac:dyDescent="0.3">
      <c r="A5966" t="s">
        <v>37529</v>
      </c>
      <c r="B5966" t="s">
        <v>38509</v>
      </c>
      <c r="C5966" t="s">
        <v>38648</v>
      </c>
      <c r="D5966" t="s">
        <v>37530</v>
      </c>
      <c r="E5966" t="s">
        <v>37565</v>
      </c>
      <c r="F5966" t="s">
        <v>37566</v>
      </c>
      <c r="G5966" t="s">
        <v>38525</v>
      </c>
      <c r="H5966" t="s">
        <v>868</v>
      </c>
      <c r="I5966" t="s">
        <v>950</v>
      </c>
      <c r="J5966" t="str">
        <f>"9020068"</f>
        <v>9020068</v>
      </c>
      <c r="K5966">
        <v>2754091100</v>
      </c>
      <c r="L5966">
        <v>2754091100</v>
      </c>
      <c r="M5966" t="s">
        <v>38649</v>
      </c>
      <c r="N5966" t="s">
        <v>38528</v>
      </c>
      <c r="O5966" t="s">
        <v>38528</v>
      </c>
      <c r="P5966">
        <v>21051</v>
      </c>
      <c r="Q5966" t="str">
        <f>"37.442930"</f>
        <v>37.442930</v>
      </c>
      <c r="R5966" t="str">
        <f>"23.268995"</f>
        <v>23.268995</v>
      </c>
      <c r="S5966" t="s">
        <v>26</v>
      </c>
    </row>
    <row r="5967" spans="1:19" x14ac:dyDescent="0.3">
      <c r="A5967" t="s">
        <v>37529</v>
      </c>
      <c r="B5967" t="s">
        <v>38509</v>
      </c>
      <c r="C5967" t="s">
        <v>22210</v>
      </c>
      <c r="D5967" t="s">
        <v>37530</v>
      </c>
      <c r="E5967" t="s">
        <v>37565</v>
      </c>
      <c r="F5967" t="s">
        <v>37570</v>
      </c>
      <c r="G5967" t="s">
        <v>21084</v>
      </c>
      <c r="H5967" t="s">
        <v>868</v>
      </c>
      <c r="I5967" t="s">
        <v>869</v>
      </c>
      <c r="J5967" t="str">
        <f>"9020071"</f>
        <v>9020071</v>
      </c>
      <c r="K5967">
        <v>2754061261</v>
      </c>
      <c r="L5967">
        <v>2754061261</v>
      </c>
      <c r="M5967" t="s">
        <v>38652</v>
      </c>
      <c r="N5967" t="s">
        <v>38653</v>
      </c>
      <c r="O5967" t="s">
        <v>38654</v>
      </c>
      <c r="P5967">
        <v>21300</v>
      </c>
      <c r="Q5967" t="str">
        <f>"37.414865"</f>
        <v>37.414865</v>
      </c>
      <c r="R5967" t="str">
        <f>"23.126246"</f>
        <v>23.126246</v>
      </c>
      <c r="S5967" t="s">
        <v>26</v>
      </c>
    </row>
    <row r="5968" spans="1:19" x14ac:dyDescent="0.3">
      <c r="A5968" t="s">
        <v>37529</v>
      </c>
      <c r="B5968" t="s">
        <v>38509</v>
      </c>
      <c r="C5968" t="s">
        <v>37610</v>
      </c>
      <c r="D5968" t="s">
        <v>37530</v>
      </c>
      <c r="E5968" t="s">
        <v>37604</v>
      </c>
      <c r="F5968" t="s">
        <v>37605</v>
      </c>
      <c r="G5968" t="s">
        <v>37605</v>
      </c>
      <c r="H5968" t="s">
        <v>868</v>
      </c>
      <c r="I5968" t="s">
        <v>869</v>
      </c>
      <c r="J5968" t="str">
        <f>"9020104"</f>
        <v>9020104</v>
      </c>
      <c r="K5968">
        <v>2753022254</v>
      </c>
      <c r="L5968">
        <v>2753099868</v>
      </c>
      <c r="M5968" t="s">
        <v>38659</v>
      </c>
      <c r="N5968" t="s">
        <v>38660</v>
      </c>
      <c r="O5968" t="s">
        <v>38661</v>
      </c>
      <c r="P5968">
        <v>21052</v>
      </c>
      <c r="Q5968" t="str">
        <f>"37.612623"</f>
        <v>37.612623</v>
      </c>
      <c r="R5968" t="str">
        <f>"23.036580"</f>
        <v>23.036580</v>
      </c>
      <c r="S5968" t="s">
        <v>26</v>
      </c>
    </row>
    <row r="5969" spans="1:19" x14ac:dyDescent="0.3">
      <c r="A5969" t="s">
        <v>37529</v>
      </c>
      <c r="B5969" t="s">
        <v>38509</v>
      </c>
      <c r="C5969" t="s">
        <v>38670</v>
      </c>
      <c r="D5969" t="s">
        <v>37530</v>
      </c>
      <c r="E5969" t="s">
        <v>37565</v>
      </c>
      <c r="F5969" t="s">
        <v>37570</v>
      </c>
      <c r="G5969" t="s">
        <v>38669</v>
      </c>
      <c r="H5969" t="s">
        <v>868</v>
      </c>
      <c r="I5969" t="s">
        <v>950</v>
      </c>
      <c r="J5969" t="str">
        <f>"9020061"</f>
        <v>9020061</v>
      </c>
      <c r="K5969">
        <v>2754071228</v>
      </c>
      <c r="L5969">
        <v>2754071228</v>
      </c>
      <c r="M5969" t="s">
        <v>38671</v>
      </c>
      <c r="N5969" t="s">
        <v>38672</v>
      </c>
      <c r="O5969" t="s">
        <v>38673</v>
      </c>
      <c r="P5969">
        <v>21300</v>
      </c>
      <c r="Q5969" t="str">
        <f>"37.467161"</f>
        <v>37.467161</v>
      </c>
      <c r="R5969" t="str">
        <f>"23.174765"</f>
        <v>23.174765</v>
      </c>
      <c r="S5969" t="s">
        <v>26</v>
      </c>
    </row>
    <row r="5970" spans="1:19" x14ac:dyDescent="0.3">
      <c r="A5970" t="s">
        <v>37529</v>
      </c>
      <c r="B5970" t="s">
        <v>38509</v>
      </c>
      <c r="C5970" t="s">
        <v>37596</v>
      </c>
      <c r="D5970" t="s">
        <v>37530</v>
      </c>
      <c r="E5970" t="s">
        <v>37531</v>
      </c>
      <c r="F5970" t="s">
        <v>37532</v>
      </c>
      <c r="G5970" t="s">
        <v>37531</v>
      </c>
      <c r="H5970" t="s">
        <v>868</v>
      </c>
      <c r="I5970" t="s">
        <v>869</v>
      </c>
      <c r="J5970" t="str">
        <f>"9020075"</f>
        <v>9020075</v>
      </c>
      <c r="K5970">
        <v>2752027583</v>
      </c>
      <c r="L5970">
        <v>2752027583</v>
      </c>
      <c r="M5970" t="s">
        <v>38702</v>
      </c>
      <c r="N5970" t="s">
        <v>37535</v>
      </c>
      <c r="O5970" t="s">
        <v>38703</v>
      </c>
      <c r="P5970">
        <v>21100</v>
      </c>
      <c r="Q5970" t="str">
        <f>"37.566413"</f>
        <v>37.566413</v>
      </c>
      <c r="R5970" t="str">
        <f>"22.800164"</f>
        <v>22.800164</v>
      </c>
      <c r="S5970" t="s">
        <v>26</v>
      </c>
    </row>
    <row r="5971" spans="1:19" x14ac:dyDescent="0.3">
      <c r="A5971" t="s">
        <v>37529</v>
      </c>
      <c r="B5971" t="s">
        <v>38509</v>
      </c>
      <c r="C5971" t="s">
        <v>38711</v>
      </c>
      <c r="D5971" t="s">
        <v>37530</v>
      </c>
      <c r="E5971" t="s">
        <v>37572</v>
      </c>
      <c r="F5971" t="s">
        <v>38596</v>
      </c>
      <c r="G5971" t="s">
        <v>38707</v>
      </c>
      <c r="H5971" t="s">
        <v>868</v>
      </c>
      <c r="I5971" t="s">
        <v>869</v>
      </c>
      <c r="J5971" t="str">
        <f>"9020048"</f>
        <v>9020048</v>
      </c>
      <c r="K5971">
        <v>2751042218</v>
      </c>
      <c r="L5971">
        <v>2751042218</v>
      </c>
      <c r="M5971" t="s">
        <v>38712</v>
      </c>
      <c r="N5971" t="s">
        <v>38707</v>
      </c>
      <c r="O5971" t="s">
        <v>38710</v>
      </c>
      <c r="P5971">
        <v>21200</v>
      </c>
      <c r="Q5971" t="str">
        <f>"37.566752"</f>
        <v>37.566752</v>
      </c>
      <c r="R5971" t="str">
        <f>"22.689650"</f>
        <v>22.689650</v>
      </c>
      <c r="S5971" t="s">
        <v>26</v>
      </c>
    </row>
    <row r="5972" spans="1:19" x14ac:dyDescent="0.3">
      <c r="A5972" t="s">
        <v>37529</v>
      </c>
      <c r="B5972" t="s">
        <v>38509</v>
      </c>
      <c r="C5972" t="s">
        <v>38713</v>
      </c>
      <c r="D5972" t="s">
        <v>37530</v>
      </c>
      <c r="E5972" t="s">
        <v>37531</v>
      </c>
      <c r="F5972" t="s">
        <v>37532</v>
      </c>
      <c r="G5972" t="s">
        <v>37531</v>
      </c>
      <c r="H5972" t="s">
        <v>868</v>
      </c>
      <c r="I5972" t="s">
        <v>869</v>
      </c>
      <c r="J5972" t="str">
        <f>"9020076"</f>
        <v>9020076</v>
      </c>
      <c r="K5972">
        <v>2752028192</v>
      </c>
      <c r="L5972">
        <v>2752097654</v>
      </c>
      <c r="M5972" t="s">
        <v>38714</v>
      </c>
      <c r="N5972" t="s">
        <v>37535</v>
      </c>
      <c r="O5972" t="s">
        <v>38543</v>
      </c>
      <c r="P5972">
        <v>21100</v>
      </c>
      <c r="Q5972" t="str">
        <f>"37.568576"</f>
        <v>37.568576</v>
      </c>
      <c r="R5972" t="str">
        <f>"22.809286"</f>
        <v>22.809286</v>
      </c>
      <c r="S5972" t="s">
        <v>26</v>
      </c>
    </row>
    <row r="5973" spans="1:19" x14ac:dyDescent="0.3">
      <c r="A5973" t="s">
        <v>37529</v>
      </c>
      <c r="B5973" t="s">
        <v>38509</v>
      </c>
      <c r="C5973" t="s">
        <v>38715</v>
      </c>
      <c r="D5973" t="s">
        <v>37530</v>
      </c>
      <c r="E5973" t="s">
        <v>37572</v>
      </c>
      <c r="F5973" t="s">
        <v>38686</v>
      </c>
      <c r="G5973" t="s">
        <v>38686</v>
      </c>
      <c r="H5973" t="s">
        <v>868</v>
      </c>
      <c r="I5973" t="s">
        <v>869</v>
      </c>
      <c r="J5973" t="str">
        <f>"9020036"</f>
        <v>9020036</v>
      </c>
      <c r="K5973">
        <v>2751071324</v>
      </c>
      <c r="L5973">
        <v>2751071324</v>
      </c>
      <c r="M5973" t="s">
        <v>38716</v>
      </c>
      <c r="N5973" t="s">
        <v>38689</v>
      </c>
      <c r="O5973" t="s">
        <v>37637</v>
      </c>
      <c r="P5973">
        <v>21200</v>
      </c>
      <c r="Q5973" t="str">
        <f>"37.705412"</f>
        <v>37.705412</v>
      </c>
      <c r="R5973" t="str">
        <f>"22.557117"</f>
        <v>22.557117</v>
      </c>
      <c r="S5973" t="s">
        <v>26</v>
      </c>
    </row>
    <row r="5974" spans="1:19" x14ac:dyDescent="0.3">
      <c r="A5974" t="s">
        <v>37529</v>
      </c>
      <c r="B5974" t="s">
        <v>38509</v>
      </c>
      <c r="C5974" t="s">
        <v>38719</v>
      </c>
      <c r="D5974" t="s">
        <v>37530</v>
      </c>
      <c r="E5974" t="s">
        <v>37565</v>
      </c>
      <c r="F5974" t="s">
        <v>37570</v>
      </c>
      <c r="G5974" t="s">
        <v>38532</v>
      </c>
      <c r="H5974" t="s">
        <v>868</v>
      </c>
      <c r="I5974" t="s">
        <v>869</v>
      </c>
      <c r="J5974" t="str">
        <f>"9020072"</f>
        <v>9020072</v>
      </c>
      <c r="K5974">
        <v>2754051229</v>
      </c>
      <c r="L5974">
        <v>2754051229</v>
      </c>
      <c r="M5974" t="s">
        <v>38720</v>
      </c>
      <c r="N5974" t="s">
        <v>38535</v>
      </c>
      <c r="O5974" t="s">
        <v>38721</v>
      </c>
      <c r="P5974">
        <v>21300</v>
      </c>
      <c r="Q5974" t="str">
        <f>"37.326891"</f>
        <v>37.326891</v>
      </c>
      <c r="R5974" t="str">
        <f>"23.142713"</f>
        <v>23.142713</v>
      </c>
      <c r="S5974" t="s">
        <v>26</v>
      </c>
    </row>
    <row r="5975" spans="1:19" x14ac:dyDescent="0.3">
      <c r="A5975" t="s">
        <v>37529</v>
      </c>
      <c r="B5975" t="s">
        <v>38509</v>
      </c>
      <c r="C5975" t="s">
        <v>38726</v>
      </c>
      <c r="D5975" t="s">
        <v>37530</v>
      </c>
      <c r="E5975" t="s">
        <v>37604</v>
      </c>
      <c r="F5975" t="s">
        <v>37604</v>
      </c>
      <c r="G5975" t="s">
        <v>38722</v>
      </c>
      <c r="H5975" t="s">
        <v>868</v>
      </c>
      <c r="I5975" t="s">
        <v>950</v>
      </c>
      <c r="J5975" t="str">
        <f>"9020111"</f>
        <v>9020111</v>
      </c>
      <c r="K5975">
        <v>2753031228</v>
      </c>
      <c r="L5975">
        <v>2753097094</v>
      </c>
      <c r="M5975" t="s">
        <v>38727</v>
      </c>
      <c r="N5975" t="s">
        <v>38725</v>
      </c>
      <c r="O5975" t="s">
        <v>38725</v>
      </c>
      <c r="P5975">
        <v>21054</v>
      </c>
      <c r="Q5975" t="str">
        <f>"37.677049"</f>
        <v>37.677049</v>
      </c>
      <c r="R5975" t="str">
        <f>"23.125739"</f>
        <v>23.125739</v>
      </c>
      <c r="S5975" t="s">
        <v>26</v>
      </c>
    </row>
    <row r="5976" spans="1:19" x14ac:dyDescent="0.3">
      <c r="A5976" t="s">
        <v>37529</v>
      </c>
      <c r="B5976" t="s">
        <v>38509</v>
      </c>
      <c r="C5976" t="s">
        <v>38728</v>
      </c>
      <c r="D5976" t="s">
        <v>37530</v>
      </c>
      <c r="E5976" t="s">
        <v>37572</v>
      </c>
      <c r="F5976" t="s">
        <v>37573</v>
      </c>
      <c r="G5976" t="s">
        <v>1139</v>
      </c>
      <c r="H5976" t="s">
        <v>868</v>
      </c>
      <c r="I5976" t="s">
        <v>869</v>
      </c>
      <c r="J5976" t="str">
        <f>"9020008"</f>
        <v>9020008</v>
      </c>
      <c r="K5976">
        <v>2751086315</v>
      </c>
      <c r="L5976">
        <v>2751086315</v>
      </c>
      <c r="M5976" t="s">
        <v>38729</v>
      </c>
      <c r="N5976" t="s">
        <v>1142</v>
      </c>
      <c r="O5976" t="s">
        <v>2648</v>
      </c>
      <c r="P5976">
        <v>21200</v>
      </c>
      <c r="Q5976" t="str">
        <f>"37.598769"</f>
        <v>37.598769</v>
      </c>
      <c r="R5976" t="str">
        <f>"22.691773"</f>
        <v>22.691773</v>
      </c>
      <c r="S5976" t="s">
        <v>26</v>
      </c>
    </row>
    <row r="5977" spans="1:19" x14ac:dyDescent="0.3">
      <c r="A5977" t="s">
        <v>37529</v>
      </c>
      <c r="B5977" t="s">
        <v>38509</v>
      </c>
      <c r="C5977" t="s">
        <v>38731</v>
      </c>
      <c r="D5977" t="s">
        <v>37530</v>
      </c>
      <c r="E5977" t="s">
        <v>37604</v>
      </c>
      <c r="F5977" t="s">
        <v>37604</v>
      </c>
      <c r="G5977" t="s">
        <v>38730</v>
      </c>
      <c r="H5977" t="s">
        <v>868</v>
      </c>
      <c r="I5977" t="s">
        <v>950</v>
      </c>
      <c r="J5977" t="str">
        <f>"9020097"</f>
        <v>9020097</v>
      </c>
      <c r="K5977">
        <v>2753031403</v>
      </c>
      <c r="L5977">
        <v>2753097081</v>
      </c>
      <c r="M5977" t="s">
        <v>38732</v>
      </c>
      <c r="N5977" t="s">
        <v>38733</v>
      </c>
      <c r="O5977" t="s">
        <v>38733</v>
      </c>
      <c r="P5977">
        <v>21054</v>
      </c>
      <c r="Q5977" t="str">
        <f>"37.689878"</f>
        <v>37.689878</v>
      </c>
      <c r="R5977" t="str">
        <f>"23.072863"</f>
        <v>23.072863</v>
      </c>
      <c r="S5977" t="s">
        <v>26</v>
      </c>
    </row>
    <row r="5978" spans="1:19" x14ac:dyDescent="0.3">
      <c r="A5978" t="s">
        <v>37529</v>
      </c>
      <c r="B5978" t="s">
        <v>38509</v>
      </c>
      <c r="C5978" t="s">
        <v>38736</v>
      </c>
      <c r="D5978" t="s">
        <v>37530</v>
      </c>
      <c r="E5978" t="s">
        <v>37572</v>
      </c>
      <c r="F5978" t="s">
        <v>37746</v>
      </c>
      <c r="G5978" t="s">
        <v>38510</v>
      </c>
      <c r="H5978" t="s">
        <v>868</v>
      </c>
      <c r="I5978" t="s">
        <v>950</v>
      </c>
      <c r="J5978" t="str">
        <f>"9020049"</f>
        <v>9020049</v>
      </c>
      <c r="K5978">
        <v>2751073104</v>
      </c>
      <c r="L5978">
        <v>2751073104</v>
      </c>
      <c r="M5978" t="s">
        <v>38737</v>
      </c>
      <c r="N5978" t="s">
        <v>38513</v>
      </c>
      <c r="O5978" t="s">
        <v>38738</v>
      </c>
      <c r="P5978">
        <v>20500</v>
      </c>
      <c r="Q5978" t="str">
        <f>"37.788238"</f>
        <v>37.788238</v>
      </c>
      <c r="R5978" t="str">
        <f>"22.436715"</f>
        <v>22.436715</v>
      </c>
      <c r="S5978" t="s">
        <v>26</v>
      </c>
    </row>
    <row r="5979" spans="1:19" x14ac:dyDescent="0.3">
      <c r="A5979" t="s">
        <v>37529</v>
      </c>
      <c r="B5979" t="s">
        <v>38509</v>
      </c>
      <c r="C5979" t="s">
        <v>38749</v>
      </c>
      <c r="D5979" t="s">
        <v>37530</v>
      </c>
      <c r="E5979" t="s">
        <v>37572</v>
      </c>
      <c r="F5979" t="s">
        <v>37573</v>
      </c>
      <c r="G5979" t="s">
        <v>37573</v>
      </c>
      <c r="H5979" t="s">
        <v>868</v>
      </c>
      <c r="I5979" t="s">
        <v>1157</v>
      </c>
      <c r="J5979" t="str">
        <f>"9020165"</f>
        <v>9020165</v>
      </c>
      <c r="K5979">
        <v>2751021144</v>
      </c>
      <c r="M5979" t="s">
        <v>38750</v>
      </c>
      <c r="N5979" t="s">
        <v>37577</v>
      </c>
      <c r="O5979" t="s">
        <v>38751</v>
      </c>
      <c r="P5979">
        <v>21231</v>
      </c>
      <c r="Q5979" t="str">
        <f>"37.634985"</f>
        <v>37.634985</v>
      </c>
      <c r="R5979" t="str">
        <f>"22.736173"</f>
        <v>22.736173</v>
      </c>
      <c r="S5979" t="s">
        <v>26</v>
      </c>
    </row>
    <row r="5980" spans="1:19" x14ac:dyDescent="0.3">
      <c r="A5980" t="s">
        <v>37529</v>
      </c>
      <c r="B5980" t="s">
        <v>38509</v>
      </c>
      <c r="C5980" t="s">
        <v>37579</v>
      </c>
      <c r="D5980" t="s">
        <v>37530</v>
      </c>
      <c r="E5980" t="s">
        <v>37572</v>
      </c>
      <c r="F5980" t="s">
        <v>37573</v>
      </c>
      <c r="G5980" t="s">
        <v>38692</v>
      </c>
      <c r="H5980" t="s">
        <v>868</v>
      </c>
      <c r="I5980" t="s">
        <v>869</v>
      </c>
      <c r="J5980" t="str">
        <f>"9020016"</f>
        <v>9020016</v>
      </c>
      <c r="K5980">
        <v>2751066402</v>
      </c>
      <c r="L5980">
        <v>2751066402</v>
      </c>
      <c r="M5980" t="s">
        <v>38752</v>
      </c>
      <c r="N5980" t="s">
        <v>37682</v>
      </c>
      <c r="O5980" t="s">
        <v>38753</v>
      </c>
      <c r="P5980">
        <v>21200</v>
      </c>
      <c r="Q5980" t="str">
        <f>"37.618387"</f>
        <v>37.618387</v>
      </c>
      <c r="R5980" t="str">
        <f>"22.768300"</f>
        <v>22.768300</v>
      </c>
      <c r="S5980" t="s">
        <v>26</v>
      </c>
    </row>
    <row r="5981" spans="1:19" x14ac:dyDescent="0.3">
      <c r="A5981" t="s">
        <v>37529</v>
      </c>
      <c r="B5981" t="s">
        <v>38509</v>
      </c>
      <c r="C5981" t="s">
        <v>38754</v>
      </c>
      <c r="D5981" t="s">
        <v>37530</v>
      </c>
      <c r="E5981" t="s">
        <v>37565</v>
      </c>
      <c r="F5981" t="s">
        <v>37570</v>
      </c>
      <c r="G5981" t="s">
        <v>37570</v>
      </c>
      <c r="H5981" t="s">
        <v>868</v>
      </c>
      <c r="I5981" t="s">
        <v>869</v>
      </c>
      <c r="J5981" t="str">
        <f>"9020060"</f>
        <v>9020060</v>
      </c>
      <c r="K5981">
        <v>2754021533</v>
      </c>
      <c r="L5981">
        <v>2754021533</v>
      </c>
      <c r="M5981" t="s">
        <v>38755</v>
      </c>
      <c r="N5981" t="s">
        <v>38593</v>
      </c>
      <c r="O5981" t="s">
        <v>38593</v>
      </c>
      <c r="P5981">
        <v>21300</v>
      </c>
      <c r="Q5981" t="str">
        <f>"37.383979"</f>
        <v>37.383979</v>
      </c>
      <c r="R5981" t="str">
        <f>"23.157936"</f>
        <v>23.157936</v>
      </c>
      <c r="S5981" t="s">
        <v>26</v>
      </c>
    </row>
    <row r="5982" spans="1:19" x14ac:dyDescent="0.3">
      <c r="A5982" t="s">
        <v>37529</v>
      </c>
      <c r="B5982" t="s">
        <v>38509</v>
      </c>
      <c r="C5982" t="s">
        <v>38756</v>
      </c>
      <c r="D5982" t="s">
        <v>37530</v>
      </c>
      <c r="E5982" t="s">
        <v>37572</v>
      </c>
      <c r="F5982" t="s">
        <v>37683</v>
      </c>
      <c r="G5982" t="s">
        <v>38682</v>
      </c>
      <c r="H5982" t="s">
        <v>868</v>
      </c>
      <c r="I5982" t="s">
        <v>869</v>
      </c>
      <c r="J5982" t="str">
        <f>"9020052"</f>
        <v>9020052</v>
      </c>
      <c r="K5982">
        <v>2751076394</v>
      </c>
      <c r="L5982">
        <v>2751076394</v>
      </c>
      <c r="M5982" t="s">
        <v>38757</v>
      </c>
      <c r="N5982" t="s">
        <v>38758</v>
      </c>
      <c r="O5982" t="s">
        <v>2648</v>
      </c>
      <c r="P5982">
        <v>21200</v>
      </c>
      <c r="Q5982" t="str">
        <f>"37.718618"</f>
        <v>37.718618</v>
      </c>
      <c r="R5982" t="str">
        <f>"22.725043"</f>
        <v>22.725043</v>
      </c>
      <c r="S5982" t="s">
        <v>26</v>
      </c>
    </row>
    <row r="5983" spans="1:19" x14ac:dyDescent="0.3">
      <c r="A5983" t="s">
        <v>37529</v>
      </c>
      <c r="B5983" t="s">
        <v>38509</v>
      </c>
      <c r="C5983" t="s">
        <v>37689</v>
      </c>
      <c r="D5983" t="s">
        <v>37530</v>
      </c>
      <c r="E5983" t="s">
        <v>37572</v>
      </c>
      <c r="F5983" t="s">
        <v>37683</v>
      </c>
      <c r="G5983" t="s">
        <v>38761</v>
      </c>
      <c r="H5983" t="s">
        <v>868</v>
      </c>
      <c r="I5983" t="s">
        <v>950</v>
      </c>
      <c r="J5983" t="str">
        <f>"9020034"</f>
        <v>9020034</v>
      </c>
      <c r="K5983">
        <v>2751083233</v>
      </c>
      <c r="L5983">
        <v>2751083233</v>
      </c>
      <c r="M5983" t="s">
        <v>38762</v>
      </c>
      <c r="N5983" t="s">
        <v>38763</v>
      </c>
      <c r="O5983" t="s">
        <v>38763</v>
      </c>
      <c r="P5983">
        <v>21200</v>
      </c>
      <c r="Q5983" t="str">
        <f>"37.714959"</f>
        <v>37.714959</v>
      </c>
      <c r="R5983" t="str">
        <f>"22.877104"</f>
        <v>22.877104</v>
      </c>
      <c r="S5983" t="s">
        <v>26</v>
      </c>
    </row>
    <row r="5984" spans="1:19" x14ac:dyDescent="0.3">
      <c r="A5984" t="s">
        <v>37529</v>
      </c>
      <c r="B5984" t="s">
        <v>38509</v>
      </c>
      <c r="C5984" t="s">
        <v>38768</v>
      </c>
      <c r="D5984" t="s">
        <v>37530</v>
      </c>
      <c r="E5984" t="s">
        <v>37572</v>
      </c>
      <c r="F5984" t="s">
        <v>38767</v>
      </c>
      <c r="G5984" t="s">
        <v>38767</v>
      </c>
      <c r="H5984" t="s">
        <v>868</v>
      </c>
      <c r="I5984" t="s">
        <v>950</v>
      </c>
      <c r="J5984" t="str">
        <f>"9020012"</f>
        <v>9020012</v>
      </c>
      <c r="K5984">
        <v>2751081433</v>
      </c>
      <c r="M5984" t="s">
        <v>38769</v>
      </c>
      <c r="N5984" t="s">
        <v>38770</v>
      </c>
      <c r="O5984" t="s">
        <v>38771</v>
      </c>
      <c r="P5984">
        <v>22100</v>
      </c>
      <c r="Q5984" t="str">
        <f>"37.521886"</f>
        <v>37.521886</v>
      </c>
      <c r="R5984" t="str">
        <f>"22.577820"</f>
        <v>22.577820</v>
      </c>
      <c r="S5984" t="s">
        <v>26</v>
      </c>
    </row>
    <row r="5985" spans="1:19" x14ac:dyDescent="0.3">
      <c r="A5985" t="s">
        <v>37529</v>
      </c>
      <c r="B5985" t="s">
        <v>38509</v>
      </c>
      <c r="C5985" t="s">
        <v>38772</v>
      </c>
      <c r="D5985" t="s">
        <v>37530</v>
      </c>
      <c r="E5985" t="s">
        <v>37572</v>
      </c>
      <c r="F5985" t="s">
        <v>37573</v>
      </c>
      <c r="G5985" t="s">
        <v>13813</v>
      </c>
      <c r="H5985" t="s">
        <v>868</v>
      </c>
      <c r="I5985" t="s">
        <v>869</v>
      </c>
      <c r="J5985" t="str">
        <f>"9020044"</f>
        <v>9020044</v>
      </c>
      <c r="K5985">
        <v>2751031391</v>
      </c>
      <c r="L5985">
        <v>2751031391</v>
      </c>
      <c r="M5985" t="s">
        <v>38773</v>
      </c>
      <c r="N5985" t="s">
        <v>38774</v>
      </c>
      <c r="O5985" t="s">
        <v>38774</v>
      </c>
      <c r="P5985">
        <v>21200</v>
      </c>
      <c r="Q5985" t="str">
        <f>"37.558222"</f>
        <v>37.558222</v>
      </c>
      <c r="R5985" t="str">
        <f>"22.706859"</f>
        <v>22.706859</v>
      </c>
      <c r="S5985" t="s">
        <v>26</v>
      </c>
    </row>
    <row r="5986" spans="1:19" x14ac:dyDescent="0.3">
      <c r="A5986" t="s">
        <v>37529</v>
      </c>
      <c r="B5986" t="s">
        <v>38509</v>
      </c>
      <c r="C5986" t="s">
        <v>38778</v>
      </c>
      <c r="D5986" t="s">
        <v>37530</v>
      </c>
      <c r="E5986" t="s">
        <v>37572</v>
      </c>
      <c r="F5986" t="s">
        <v>38686</v>
      </c>
      <c r="G5986" t="s">
        <v>16102</v>
      </c>
      <c r="H5986" t="s">
        <v>868</v>
      </c>
      <c r="I5986" t="s">
        <v>950</v>
      </c>
      <c r="J5986" t="str">
        <f>"9020019"</f>
        <v>9020019</v>
      </c>
      <c r="K5986">
        <v>2751075244</v>
      </c>
      <c r="L5986">
        <v>2751075244</v>
      </c>
      <c r="M5986" t="s">
        <v>38779</v>
      </c>
      <c r="N5986" t="s">
        <v>38780</v>
      </c>
      <c r="O5986" t="s">
        <v>38701</v>
      </c>
      <c r="P5986">
        <v>21200</v>
      </c>
      <c r="Q5986" t="str">
        <f>"37.624608"</f>
        <v>37.624608</v>
      </c>
      <c r="R5986" t="str">
        <f>"22.596455"</f>
        <v>22.596455</v>
      </c>
      <c r="S5986" t="s">
        <v>26</v>
      </c>
    </row>
    <row r="5987" spans="1:19" x14ac:dyDescent="0.3">
      <c r="A5987" t="s">
        <v>37529</v>
      </c>
      <c r="B5987" t="s">
        <v>38509</v>
      </c>
      <c r="C5987" t="s">
        <v>38781</v>
      </c>
      <c r="D5987" t="s">
        <v>37530</v>
      </c>
      <c r="E5987" t="s">
        <v>37572</v>
      </c>
      <c r="F5987" t="s">
        <v>37573</v>
      </c>
      <c r="G5987" t="s">
        <v>37573</v>
      </c>
      <c r="H5987" t="s">
        <v>868</v>
      </c>
      <c r="I5987" t="s">
        <v>869</v>
      </c>
      <c r="J5987" t="str">
        <f>"9020183"</f>
        <v>9020183</v>
      </c>
      <c r="K5987">
        <v>2751025135</v>
      </c>
      <c r="L5987">
        <v>2751025135</v>
      </c>
      <c r="M5987" t="s">
        <v>38782</v>
      </c>
      <c r="N5987" t="s">
        <v>37577</v>
      </c>
      <c r="O5987" t="s">
        <v>38783</v>
      </c>
      <c r="P5987">
        <v>21232</v>
      </c>
      <c r="Q5987" t="str">
        <f>"37.633430"</f>
        <v>37.633430</v>
      </c>
      <c r="R5987" t="str">
        <f>"22.728006"</f>
        <v>22.728006</v>
      </c>
      <c r="S5987" t="s">
        <v>26</v>
      </c>
    </row>
    <row r="5988" spans="1:19" x14ac:dyDescent="0.3">
      <c r="A5988" t="s">
        <v>37529</v>
      </c>
      <c r="B5988" t="s">
        <v>38509</v>
      </c>
      <c r="C5988" t="s">
        <v>37672</v>
      </c>
      <c r="D5988" t="s">
        <v>37530</v>
      </c>
      <c r="E5988" t="s">
        <v>37572</v>
      </c>
      <c r="F5988" t="s">
        <v>37573</v>
      </c>
      <c r="G5988" t="s">
        <v>37573</v>
      </c>
      <c r="H5988" t="s">
        <v>868</v>
      </c>
      <c r="I5988" t="s">
        <v>869</v>
      </c>
      <c r="J5988" t="str">
        <f>"9020003"</f>
        <v>9020003</v>
      </c>
      <c r="K5988">
        <v>2751067776</v>
      </c>
      <c r="L5988">
        <v>2751067776</v>
      </c>
      <c r="M5988" t="s">
        <v>38784</v>
      </c>
      <c r="N5988" t="s">
        <v>37577</v>
      </c>
      <c r="O5988" t="s">
        <v>38785</v>
      </c>
      <c r="P5988">
        <v>21231</v>
      </c>
      <c r="Q5988" t="str">
        <f>"37.639085"</f>
        <v>37.639085</v>
      </c>
      <c r="R5988" t="str">
        <f>"22.732632"</f>
        <v>22.732632</v>
      </c>
      <c r="S5988" t="s">
        <v>26</v>
      </c>
    </row>
    <row r="5989" spans="1:19" x14ac:dyDescent="0.3">
      <c r="A5989" t="s">
        <v>37529</v>
      </c>
      <c r="B5989" t="s">
        <v>38509</v>
      </c>
      <c r="C5989" t="s">
        <v>37639</v>
      </c>
      <c r="D5989" t="s">
        <v>37530</v>
      </c>
      <c r="E5989" t="s">
        <v>37572</v>
      </c>
      <c r="F5989" t="s">
        <v>37573</v>
      </c>
      <c r="G5989" t="s">
        <v>37573</v>
      </c>
      <c r="H5989" t="s">
        <v>868</v>
      </c>
      <c r="I5989" t="s">
        <v>869</v>
      </c>
      <c r="J5989" t="str">
        <f>"9020004"</f>
        <v>9020004</v>
      </c>
      <c r="K5989">
        <v>2751062194</v>
      </c>
      <c r="L5989">
        <v>2751069481</v>
      </c>
      <c r="M5989" t="s">
        <v>38789</v>
      </c>
      <c r="N5989" t="s">
        <v>37577</v>
      </c>
      <c r="O5989" t="s">
        <v>38790</v>
      </c>
      <c r="P5989">
        <v>21200</v>
      </c>
      <c r="Q5989" t="str">
        <f>"37.638268"</f>
        <v>37.638268</v>
      </c>
      <c r="R5989" t="str">
        <f>"22.720574"</f>
        <v>22.720574</v>
      </c>
      <c r="S5989" t="s">
        <v>26</v>
      </c>
    </row>
    <row r="5990" spans="1:19" x14ac:dyDescent="0.3">
      <c r="A5990" t="s">
        <v>37529</v>
      </c>
      <c r="B5990" t="s">
        <v>38509</v>
      </c>
      <c r="C5990" t="s">
        <v>37591</v>
      </c>
      <c r="D5990" t="s">
        <v>37530</v>
      </c>
      <c r="E5990" t="s">
        <v>37572</v>
      </c>
      <c r="F5990" t="s">
        <v>37573</v>
      </c>
      <c r="G5990" t="s">
        <v>37573</v>
      </c>
      <c r="H5990" t="s">
        <v>868</v>
      </c>
      <c r="I5990" t="s">
        <v>869</v>
      </c>
      <c r="J5990" t="str">
        <f>"9020006"</f>
        <v>9020006</v>
      </c>
      <c r="K5990">
        <v>2751066093</v>
      </c>
      <c r="L5990">
        <v>2751066093</v>
      </c>
      <c r="M5990" t="s">
        <v>38791</v>
      </c>
      <c r="N5990" t="s">
        <v>37577</v>
      </c>
      <c r="O5990" t="s">
        <v>38792</v>
      </c>
      <c r="P5990">
        <v>21200</v>
      </c>
      <c r="Q5990" t="str">
        <f>"37.630056"</f>
        <v>37.630056</v>
      </c>
      <c r="R5990" t="str">
        <f>"22.715678"</f>
        <v>22.715678</v>
      </c>
      <c r="S5990" t="s">
        <v>26</v>
      </c>
    </row>
    <row r="5991" spans="1:19" x14ac:dyDescent="0.3">
      <c r="A5991" t="s">
        <v>37529</v>
      </c>
      <c r="B5991" t="s">
        <v>38509</v>
      </c>
      <c r="C5991" t="s">
        <v>37625</v>
      </c>
      <c r="D5991" t="s">
        <v>37530</v>
      </c>
      <c r="E5991" t="s">
        <v>37572</v>
      </c>
      <c r="F5991" t="s">
        <v>37573</v>
      </c>
      <c r="G5991" t="s">
        <v>37573</v>
      </c>
      <c r="H5991" t="s">
        <v>868</v>
      </c>
      <c r="I5991" t="s">
        <v>869</v>
      </c>
      <c r="J5991" t="str">
        <f>"9020007"</f>
        <v>9020007</v>
      </c>
      <c r="K5991">
        <v>2751068998</v>
      </c>
      <c r="L5991">
        <v>2751306745</v>
      </c>
      <c r="M5991" t="s">
        <v>38793</v>
      </c>
      <c r="N5991" t="s">
        <v>37577</v>
      </c>
      <c r="O5991" t="s">
        <v>38794</v>
      </c>
      <c r="P5991">
        <v>21200</v>
      </c>
      <c r="Q5991" t="str">
        <f>"37.642862"</f>
        <v>37.642862</v>
      </c>
      <c r="R5991" t="str">
        <f>"22.726258"</f>
        <v>22.726258</v>
      </c>
      <c r="S5991" t="s">
        <v>26</v>
      </c>
    </row>
    <row r="5992" spans="1:19" x14ac:dyDescent="0.3">
      <c r="A5992" t="s">
        <v>37529</v>
      </c>
      <c r="B5992" t="s">
        <v>38509</v>
      </c>
      <c r="C5992" t="s">
        <v>37669</v>
      </c>
      <c r="D5992" t="s">
        <v>37530</v>
      </c>
      <c r="E5992" t="s">
        <v>37572</v>
      </c>
      <c r="F5992" t="s">
        <v>37664</v>
      </c>
      <c r="G5992" t="s">
        <v>37664</v>
      </c>
      <c r="H5992" t="s">
        <v>868</v>
      </c>
      <c r="I5992" t="s">
        <v>869</v>
      </c>
      <c r="J5992" t="str">
        <f>"9020042"</f>
        <v>9020042</v>
      </c>
      <c r="K5992">
        <v>2751051128</v>
      </c>
      <c r="L5992">
        <v>2751051128</v>
      </c>
      <c r="M5992" t="s">
        <v>38795</v>
      </c>
      <c r="N5992" t="s">
        <v>38747</v>
      </c>
      <c r="O5992" t="s">
        <v>38796</v>
      </c>
      <c r="P5992">
        <v>21053</v>
      </c>
      <c r="Q5992" t="str">
        <f>"37.589973"</f>
        <v>37.589973</v>
      </c>
      <c r="R5992" t="str">
        <f>"22.744079"</f>
        <v>22.744079</v>
      </c>
      <c r="S5992" t="s">
        <v>26</v>
      </c>
    </row>
    <row r="5993" spans="1:19" x14ac:dyDescent="0.3">
      <c r="A5993" t="s">
        <v>37529</v>
      </c>
      <c r="B5993" t="s">
        <v>38509</v>
      </c>
      <c r="C5993" t="s">
        <v>37678</v>
      </c>
      <c r="D5993" t="s">
        <v>37530</v>
      </c>
      <c r="E5993" t="s">
        <v>37572</v>
      </c>
      <c r="F5993" t="s">
        <v>37673</v>
      </c>
      <c r="G5993" t="s">
        <v>37673</v>
      </c>
      <c r="H5993" t="s">
        <v>868</v>
      </c>
      <c r="I5993" t="s">
        <v>869</v>
      </c>
      <c r="J5993" t="str">
        <f>"9020029"</f>
        <v>9020029</v>
      </c>
      <c r="K5993">
        <v>2751091392</v>
      </c>
      <c r="L5993">
        <v>2751091392</v>
      </c>
      <c r="M5993" t="s">
        <v>38797</v>
      </c>
      <c r="N5993" t="s">
        <v>37677</v>
      </c>
      <c r="O5993" t="s">
        <v>38798</v>
      </c>
      <c r="P5993">
        <v>21200</v>
      </c>
      <c r="Q5993" t="str">
        <f>"37.693074"</f>
        <v>37.693074</v>
      </c>
      <c r="R5993" t="str">
        <f>"22.698876"</f>
        <v>22.698876</v>
      </c>
      <c r="S5993" t="s">
        <v>26</v>
      </c>
    </row>
    <row r="5994" spans="1:19" x14ac:dyDescent="0.3">
      <c r="A5994" t="s">
        <v>37529</v>
      </c>
      <c r="B5994" t="s">
        <v>38509</v>
      </c>
      <c r="C5994" t="s">
        <v>38802</v>
      </c>
      <c r="D5994" t="s">
        <v>37530</v>
      </c>
      <c r="E5994" t="s">
        <v>37572</v>
      </c>
      <c r="F5994" t="s">
        <v>38596</v>
      </c>
      <c r="G5994" t="s">
        <v>38623</v>
      </c>
      <c r="H5994" t="s">
        <v>868</v>
      </c>
      <c r="I5994" t="s">
        <v>869</v>
      </c>
      <c r="J5994" t="str">
        <f>"9020027"</f>
        <v>9020027</v>
      </c>
      <c r="K5994">
        <v>2751047944</v>
      </c>
      <c r="L5994">
        <v>2751047944</v>
      </c>
      <c r="M5994" t="s">
        <v>38803</v>
      </c>
      <c r="P5994">
        <v>21200</v>
      </c>
      <c r="Q5994" t="str">
        <f>"37.523786"</f>
        <v>37.523786</v>
      </c>
      <c r="R5994" t="str">
        <f>"22.725717"</f>
        <v>22.725717</v>
      </c>
      <c r="S5994" t="s">
        <v>26</v>
      </c>
    </row>
    <row r="5995" spans="1:19" x14ac:dyDescent="0.3">
      <c r="A5995" t="s">
        <v>37529</v>
      </c>
      <c r="B5995" t="s">
        <v>38509</v>
      </c>
      <c r="C5995" t="s">
        <v>37661</v>
      </c>
      <c r="D5995" t="s">
        <v>37530</v>
      </c>
      <c r="E5995" t="s">
        <v>37531</v>
      </c>
      <c r="F5995" t="s">
        <v>37656</v>
      </c>
      <c r="G5995" t="s">
        <v>15824</v>
      </c>
      <c r="H5995" t="s">
        <v>868</v>
      </c>
      <c r="I5995" t="s">
        <v>869</v>
      </c>
      <c r="J5995" t="str">
        <f>"9020098"</f>
        <v>9020098</v>
      </c>
      <c r="K5995">
        <v>2752092267</v>
      </c>
      <c r="L5995">
        <v>2752092267</v>
      </c>
      <c r="M5995" t="s">
        <v>38817</v>
      </c>
      <c r="N5995" t="s">
        <v>38818</v>
      </c>
      <c r="O5995" t="s">
        <v>15827</v>
      </c>
      <c r="P5995">
        <v>21060</v>
      </c>
      <c r="Q5995" t="str">
        <f>"37.537254"</f>
        <v>37.537254</v>
      </c>
      <c r="R5995" t="str">
        <f>"22.893894"</f>
        <v>22.893894</v>
      </c>
      <c r="S5995" t="s">
        <v>26</v>
      </c>
    </row>
    <row r="5996" spans="1:19" x14ac:dyDescent="0.3">
      <c r="A5996" t="s">
        <v>37529</v>
      </c>
      <c r="B5996" t="s">
        <v>38509</v>
      </c>
      <c r="C5996" t="s">
        <v>38831</v>
      </c>
      <c r="D5996" t="s">
        <v>37530</v>
      </c>
      <c r="E5996" t="s">
        <v>37565</v>
      </c>
      <c r="F5996" t="s">
        <v>37570</v>
      </c>
      <c r="G5996" t="s">
        <v>37570</v>
      </c>
      <c r="H5996" t="s">
        <v>868</v>
      </c>
      <c r="I5996" t="s">
        <v>1157</v>
      </c>
      <c r="J5996" t="str">
        <f>"9521702"</f>
        <v>9521702</v>
      </c>
      <c r="K5996">
        <v>2754029212</v>
      </c>
      <c r="M5996" t="s">
        <v>38832</v>
      </c>
      <c r="O5996" t="s">
        <v>38833</v>
      </c>
      <c r="Q5996" t="str">
        <f>"37.380511"</f>
        <v>37.380511</v>
      </c>
      <c r="R5996" t="str">
        <f>"23.160212"</f>
        <v>23.160212</v>
      </c>
      <c r="S5996" t="s">
        <v>26</v>
      </c>
    </row>
    <row r="5997" spans="1:19" x14ac:dyDescent="0.3">
      <c r="A5997" t="s">
        <v>37529</v>
      </c>
      <c r="B5997" t="s">
        <v>38834</v>
      </c>
      <c r="C5997" t="s">
        <v>38835</v>
      </c>
      <c r="D5997" t="s">
        <v>37537</v>
      </c>
      <c r="E5997" t="s">
        <v>37538</v>
      </c>
      <c r="F5997" t="s">
        <v>37538</v>
      </c>
      <c r="G5997" t="s">
        <v>37539</v>
      </c>
      <c r="H5997" t="s">
        <v>868</v>
      </c>
      <c r="I5997" t="s">
        <v>869</v>
      </c>
      <c r="J5997" t="str">
        <f>"9030362"</f>
        <v>9030362</v>
      </c>
      <c r="K5997">
        <v>2710239682</v>
      </c>
      <c r="L5997">
        <v>2710239682</v>
      </c>
      <c r="M5997" t="s">
        <v>38836</v>
      </c>
      <c r="N5997" t="s">
        <v>37542</v>
      </c>
      <c r="O5997" t="s">
        <v>38837</v>
      </c>
      <c r="P5997">
        <v>22132</v>
      </c>
      <c r="Q5997" t="str">
        <f>"37.510917"</f>
        <v>37.510917</v>
      </c>
      <c r="R5997" t="str">
        <f>"22.376100"</f>
        <v>22.376100</v>
      </c>
      <c r="S5997" t="s">
        <v>26</v>
      </c>
    </row>
    <row r="5998" spans="1:19" x14ac:dyDescent="0.3">
      <c r="A5998" t="s">
        <v>37529</v>
      </c>
      <c r="B5998" t="s">
        <v>38834</v>
      </c>
      <c r="C5998" t="s">
        <v>38840</v>
      </c>
      <c r="D5998" t="s">
        <v>37537</v>
      </c>
      <c r="E5998" t="s">
        <v>37538</v>
      </c>
      <c r="F5998" t="s">
        <v>38838</v>
      </c>
      <c r="G5998" t="s">
        <v>38839</v>
      </c>
      <c r="H5998" t="s">
        <v>868</v>
      </c>
      <c r="I5998" t="s">
        <v>950</v>
      </c>
      <c r="J5998" t="str">
        <f>"9030115"</f>
        <v>9030115</v>
      </c>
      <c r="K5998">
        <v>2710382120</v>
      </c>
      <c r="L5998">
        <v>2710382120</v>
      </c>
      <c r="M5998" t="s">
        <v>38841</v>
      </c>
      <c r="N5998" t="s">
        <v>38842</v>
      </c>
      <c r="O5998" t="s">
        <v>38842</v>
      </c>
      <c r="P5998">
        <v>22016</v>
      </c>
      <c r="Q5998" t="str">
        <f>"37.368357"</f>
        <v>37.368357</v>
      </c>
      <c r="R5998" t="str">
        <f>"22.374904"</f>
        <v>22.374904</v>
      </c>
      <c r="S5998" t="s">
        <v>26</v>
      </c>
    </row>
    <row r="5999" spans="1:19" x14ac:dyDescent="0.3">
      <c r="A5999" t="s">
        <v>37529</v>
      </c>
      <c r="B5999" t="s">
        <v>38834</v>
      </c>
      <c r="C5999" t="s">
        <v>38906</v>
      </c>
      <c r="D5999" t="s">
        <v>37537</v>
      </c>
      <c r="E5999" t="s">
        <v>37760</v>
      </c>
      <c r="F5999" t="s">
        <v>37761</v>
      </c>
      <c r="G5999" t="s">
        <v>38905</v>
      </c>
      <c r="H5999" t="s">
        <v>868</v>
      </c>
      <c r="I5999" t="s">
        <v>950</v>
      </c>
      <c r="J5999" t="str">
        <f>"9030058"</f>
        <v>9030058</v>
      </c>
      <c r="K5999">
        <v>2797024775</v>
      </c>
      <c r="L5999">
        <v>2797024775</v>
      </c>
      <c r="M5999" t="s">
        <v>38907</v>
      </c>
      <c r="N5999" t="s">
        <v>13748</v>
      </c>
      <c r="O5999" t="s">
        <v>38908</v>
      </c>
      <c r="P5999">
        <v>22008</v>
      </c>
      <c r="Q5999" t="str">
        <f>"37.688598"</f>
        <v>37.688598</v>
      </c>
      <c r="R5999" t="str">
        <f>"21.813725"</f>
        <v>21.813725</v>
      </c>
      <c r="S5999" t="s">
        <v>57</v>
      </c>
    </row>
    <row r="6000" spans="1:19" x14ac:dyDescent="0.3">
      <c r="A6000" t="s">
        <v>37529</v>
      </c>
      <c r="B6000" t="s">
        <v>38834</v>
      </c>
      <c r="C6000" t="s">
        <v>38937</v>
      </c>
      <c r="D6000" t="s">
        <v>37537</v>
      </c>
      <c r="E6000" t="s">
        <v>37753</v>
      </c>
      <c r="F6000" t="s">
        <v>37754</v>
      </c>
      <c r="G6000" t="s">
        <v>38936</v>
      </c>
      <c r="H6000" t="s">
        <v>868</v>
      </c>
      <c r="I6000" t="s">
        <v>950</v>
      </c>
      <c r="J6000" t="str">
        <f>"9030268"</f>
        <v>9030268</v>
      </c>
      <c r="K6000">
        <v>2757031019</v>
      </c>
      <c r="M6000" t="s">
        <v>38938</v>
      </c>
      <c r="N6000" t="s">
        <v>38939</v>
      </c>
      <c r="O6000" t="s">
        <v>38940</v>
      </c>
      <c r="P6000">
        <v>22300</v>
      </c>
      <c r="Q6000" t="str">
        <f>"37.055067"</f>
        <v>37.055067</v>
      </c>
      <c r="R6000" t="str">
        <f>"22.892052"</f>
        <v>22.892052</v>
      </c>
      <c r="S6000" t="s">
        <v>57</v>
      </c>
    </row>
    <row r="6001" spans="1:19" x14ac:dyDescent="0.3">
      <c r="A6001" t="s">
        <v>37529</v>
      </c>
      <c r="B6001" t="s">
        <v>38834</v>
      </c>
      <c r="C6001" t="s">
        <v>37706</v>
      </c>
      <c r="D6001" t="s">
        <v>37537</v>
      </c>
      <c r="E6001" t="s">
        <v>37538</v>
      </c>
      <c r="F6001" t="s">
        <v>37538</v>
      </c>
      <c r="G6001" t="s">
        <v>37539</v>
      </c>
      <c r="H6001" t="s">
        <v>868</v>
      </c>
      <c r="I6001" t="s">
        <v>869</v>
      </c>
      <c r="J6001" t="str">
        <f>"9030289"</f>
        <v>9030289</v>
      </c>
      <c r="K6001">
        <v>2710225836</v>
      </c>
      <c r="L6001">
        <v>2710221892</v>
      </c>
      <c r="M6001" t="s">
        <v>38941</v>
      </c>
      <c r="N6001" t="s">
        <v>37542</v>
      </c>
      <c r="O6001" t="s">
        <v>38942</v>
      </c>
      <c r="P6001">
        <v>22131</v>
      </c>
      <c r="Q6001" t="str">
        <f>"37.515876"</f>
        <v>37.515876</v>
      </c>
      <c r="R6001" t="str">
        <f>"22.373282"</f>
        <v>22.373282</v>
      </c>
      <c r="S6001" t="s">
        <v>26</v>
      </c>
    </row>
    <row r="6002" spans="1:19" x14ac:dyDescent="0.3">
      <c r="A6002" t="s">
        <v>37529</v>
      </c>
      <c r="B6002" t="s">
        <v>38834</v>
      </c>
      <c r="C6002" t="s">
        <v>37716</v>
      </c>
      <c r="D6002" t="s">
        <v>37537</v>
      </c>
      <c r="E6002" t="s">
        <v>37538</v>
      </c>
      <c r="F6002" t="s">
        <v>37733</v>
      </c>
      <c r="G6002" t="s">
        <v>37733</v>
      </c>
      <c r="H6002" t="s">
        <v>868</v>
      </c>
      <c r="I6002" t="s">
        <v>869</v>
      </c>
      <c r="J6002" t="str">
        <f>"9030096"</f>
        <v>9030096</v>
      </c>
      <c r="K6002">
        <v>2796022177</v>
      </c>
      <c r="L6002">
        <v>2796022177</v>
      </c>
      <c r="M6002" t="s">
        <v>38945</v>
      </c>
      <c r="N6002" t="s">
        <v>38946</v>
      </c>
      <c r="O6002" t="s">
        <v>37819</v>
      </c>
      <c r="P6002">
        <v>22002</v>
      </c>
      <c r="Q6002" t="str">
        <f>"37.682068"</f>
        <v>37.682068</v>
      </c>
      <c r="R6002" t="str">
        <f>"22.295640"</f>
        <v>22.295640</v>
      </c>
      <c r="S6002" t="s">
        <v>26</v>
      </c>
    </row>
    <row r="6003" spans="1:19" x14ac:dyDescent="0.3">
      <c r="A6003" t="s">
        <v>37529</v>
      </c>
      <c r="B6003" t="s">
        <v>38834</v>
      </c>
      <c r="C6003" t="s">
        <v>38957</v>
      </c>
      <c r="D6003" t="s">
        <v>37537</v>
      </c>
      <c r="E6003" t="s">
        <v>37760</v>
      </c>
      <c r="F6003" t="s">
        <v>38956</v>
      </c>
      <c r="G6003" t="s">
        <v>38956</v>
      </c>
      <c r="H6003" t="s">
        <v>868</v>
      </c>
      <c r="I6003" t="s">
        <v>950</v>
      </c>
      <c r="J6003" t="str">
        <f>"9030002"</f>
        <v>9030002</v>
      </c>
      <c r="K6003">
        <v>2795043210</v>
      </c>
      <c r="M6003" t="s">
        <v>38958</v>
      </c>
      <c r="N6003" t="s">
        <v>38956</v>
      </c>
      <c r="O6003" t="s">
        <v>38959</v>
      </c>
      <c r="P6003">
        <v>22003</v>
      </c>
      <c r="Q6003" t="str">
        <f>"37.681861"</f>
        <v>37.681861</v>
      </c>
      <c r="R6003" t="str">
        <f>"22.030021"</f>
        <v>22.030021</v>
      </c>
      <c r="S6003" t="s">
        <v>26</v>
      </c>
    </row>
    <row r="6004" spans="1:19" x14ac:dyDescent="0.3">
      <c r="A6004" t="s">
        <v>37529</v>
      </c>
      <c r="B6004" t="s">
        <v>38834</v>
      </c>
      <c r="C6004" t="s">
        <v>37802</v>
      </c>
      <c r="D6004" t="s">
        <v>37537</v>
      </c>
      <c r="E6004" t="s">
        <v>37760</v>
      </c>
      <c r="F6004" t="s">
        <v>37798</v>
      </c>
      <c r="G6004" t="s">
        <v>37798</v>
      </c>
      <c r="H6004" t="s">
        <v>868</v>
      </c>
      <c r="I6004" t="s">
        <v>950</v>
      </c>
      <c r="J6004" t="str">
        <f>"9030041"</f>
        <v>9030041</v>
      </c>
      <c r="K6004">
        <v>2797023791</v>
      </c>
      <c r="L6004">
        <v>2797023791</v>
      </c>
      <c r="M6004" t="s">
        <v>38960</v>
      </c>
      <c r="N6004" t="s">
        <v>38955</v>
      </c>
      <c r="O6004" t="s">
        <v>37801</v>
      </c>
      <c r="P6004">
        <v>22015</v>
      </c>
      <c r="Q6004" t="str">
        <f>"37.796887"</f>
        <v>37.796887</v>
      </c>
      <c r="R6004" t="str">
        <f>"21.899755"</f>
        <v>21.899755</v>
      </c>
      <c r="S6004" t="s">
        <v>57</v>
      </c>
    </row>
    <row r="6005" spans="1:19" x14ac:dyDescent="0.3">
      <c r="A6005" t="s">
        <v>37529</v>
      </c>
      <c r="B6005" t="s">
        <v>38834</v>
      </c>
      <c r="C6005" t="s">
        <v>37744</v>
      </c>
      <c r="D6005" t="s">
        <v>37537</v>
      </c>
      <c r="E6005" t="s">
        <v>37538</v>
      </c>
      <c r="F6005" t="s">
        <v>37538</v>
      </c>
      <c r="G6005" t="s">
        <v>37539</v>
      </c>
      <c r="H6005" t="s">
        <v>868</v>
      </c>
      <c r="I6005" t="s">
        <v>869</v>
      </c>
      <c r="J6005" t="str">
        <f>"9030103"</f>
        <v>9030103</v>
      </c>
      <c r="K6005">
        <v>2710238095</v>
      </c>
      <c r="L6005">
        <v>2710238095</v>
      </c>
      <c r="M6005" t="s">
        <v>38961</v>
      </c>
      <c r="N6005" t="s">
        <v>37538</v>
      </c>
      <c r="O6005" t="s">
        <v>38962</v>
      </c>
      <c r="P6005">
        <v>22132</v>
      </c>
      <c r="Q6005" t="str">
        <f>"37.512005"</f>
        <v>37.512005</v>
      </c>
      <c r="R6005" t="str">
        <f>"22.380361"</f>
        <v>22.380361</v>
      </c>
      <c r="S6005" t="s">
        <v>26</v>
      </c>
    </row>
    <row r="6006" spans="1:19" x14ac:dyDescent="0.3">
      <c r="A6006" t="s">
        <v>37529</v>
      </c>
      <c r="B6006" t="s">
        <v>38834</v>
      </c>
      <c r="C6006" t="s">
        <v>38963</v>
      </c>
      <c r="D6006" t="s">
        <v>37537</v>
      </c>
      <c r="E6006" t="s">
        <v>37538</v>
      </c>
      <c r="F6006" t="s">
        <v>37538</v>
      </c>
      <c r="G6006" t="s">
        <v>37539</v>
      </c>
      <c r="H6006" t="s">
        <v>868</v>
      </c>
      <c r="I6006" t="s">
        <v>869</v>
      </c>
      <c r="J6006" t="str">
        <f>"9030291"</f>
        <v>9030291</v>
      </c>
      <c r="K6006">
        <v>2710241914</v>
      </c>
      <c r="L6006">
        <v>2710241914</v>
      </c>
      <c r="M6006" t="s">
        <v>38964</v>
      </c>
      <c r="N6006" t="s">
        <v>37542</v>
      </c>
      <c r="O6006" t="s">
        <v>38874</v>
      </c>
      <c r="P6006">
        <v>22132</v>
      </c>
      <c r="Q6006" t="str">
        <f>"37.508421"</f>
        <v>37.508421</v>
      </c>
      <c r="R6006" t="str">
        <f>"22.378401"</f>
        <v>22.378401</v>
      </c>
      <c r="S6006" t="s">
        <v>26</v>
      </c>
    </row>
    <row r="6007" spans="1:19" x14ac:dyDescent="0.3">
      <c r="A6007" t="s">
        <v>37529</v>
      </c>
      <c r="B6007" t="s">
        <v>38834</v>
      </c>
      <c r="C6007" t="s">
        <v>37813</v>
      </c>
      <c r="D6007" t="s">
        <v>37537</v>
      </c>
      <c r="E6007" t="s">
        <v>37760</v>
      </c>
      <c r="F6007" t="s">
        <v>37808</v>
      </c>
      <c r="G6007" t="s">
        <v>37808</v>
      </c>
      <c r="H6007" t="s">
        <v>868</v>
      </c>
      <c r="I6007" t="s">
        <v>869</v>
      </c>
      <c r="J6007" t="str">
        <f>"9030021"</f>
        <v>9030021</v>
      </c>
      <c r="K6007">
        <v>2795022359</v>
      </c>
      <c r="M6007" t="s">
        <v>38965</v>
      </c>
      <c r="N6007" t="s">
        <v>38966</v>
      </c>
      <c r="O6007" t="s">
        <v>38967</v>
      </c>
      <c r="P6007">
        <v>22010</v>
      </c>
      <c r="Q6007" t="str">
        <f>"37.669338"</f>
        <v>37.669338</v>
      </c>
      <c r="R6007" t="str">
        <f>"22.185895"</f>
        <v>22.185895</v>
      </c>
      <c r="S6007" t="s">
        <v>26</v>
      </c>
    </row>
    <row r="6008" spans="1:19" x14ac:dyDescent="0.3">
      <c r="A6008" t="s">
        <v>37529</v>
      </c>
      <c r="B6008" t="s">
        <v>38834</v>
      </c>
      <c r="C6008" t="s">
        <v>38975</v>
      </c>
      <c r="D6008" t="s">
        <v>37537</v>
      </c>
      <c r="E6008" t="s">
        <v>37760</v>
      </c>
      <c r="F6008" t="s">
        <v>38973</v>
      </c>
      <c r="G6008" t="s">
        <v>38974</v>
      </c>
      <c r="H6008" t="s">
        <v>868</v>
      </c>
      <c r="I6008" t="s">
        <v>950</v>
      </c>
      <c r="J6008" t="str">
        <f>"9030012"</f>
        <v>9030012</v>
      </c>
      <c r="K6008">
        <v>2795082223</v>
      </c>
      <c r="L6008">
        <v>2795082223</v>
      </c>
      <c r="M6008" t="s">
        <v>38976</v>
      </c>
      <c r="N6008" t="s">
        <v>38977</v>
      </c>
      <c r="O6008" t="s">
        <v>38977</v>
      </c>
      <c r="P6008">
        <v>22014</v>
      </c>
      <c r="Q6008" t="str">
        <f>"37.706636"</f>
        <v>37.706636</v>
      </c>
      <c r="R6008" t="str">
        <f>"22.095658"</f>
        <v>22.095658</v>
      </c>
      <c r="S6008" t="s">
        <v>26</v>
      </c>
    </row>
    <row r="6009" spans="1:19" x14ac:dyDescent="0.3">
      <c r="A6009" t="s">
        <v>37529</v>
      </c>
      <c r="B6009" t="s">
        <v>38834</v>
      </c>
      <c r="C6009" t="s">
        <v>37778</v>
      </c>
      <c r="D6009" t="s">
        <v>37537</v>
      </c>
      <c r="E6009" t="s">
        <v>37753</v>
      </c>
      <c r="F6009" t="s">
        <v>37774</v>
      </c>
      <c r="G6009" t="s">
        <v>38916</v>
      </c>
      <c r="H6009" t="s">
        <v>868</v>
      </c>
      <c r="I6009" t="s">
        <v>869</v>
      </c>
      <c r="J6009" t="str">
        <f>"9030284"</f>
        <v>9030284</v>
      </c>
      <c r="K6009">
        <v>2757041220</v>
      </c>
      <c r="L6009">
        <v>2757029315</v>
      </c>
      <c r="M6009" t="s">
        <v>38978</v>
      </c>
      <c r="N6009" t="s">
        <v>38920</v>
      </c>
      <c r="O6009" t="s">
        <v>38920</v>
      </c>
      <c r="P6009">
        <v>22029</v>
      </c>
      <c r="Q6009" t="str">
        <f>"37.246507"</f>
        <v>37.246507</v>
      </c>
      <c r="R6009" t="str">
        <f>"22.858247"</f>
        <v>22.858247</v>
      </c>
      <c r="S6009" t="s">
        <v>26</v>
      </c>
    </row>
    <row r="6010" spans="1:19" x14ac:dyDescent="0.3">
      <c r="A6010" t="s">
        <v>37529</v>
      </c>
      <c r="B6010" t="s">
        <v>38834</v>
      </c>
      <c r="C6010" t="s">
        <v>37765</v>
      </c>
      <c r="D6010" t="s">
        <v>37537</v>
      </c>
      <c r="E6010" t="s">
        <v>37760</v>
      </c>
      <c r="F6010" t="s">
        <v>37761</v>
      </c>
      <c r="G6010" t="s">
        <v>37761</v>
      </c>
      <c r="H6010" t="s">
        <v>868</v>
      </c>
      <c r="I6010" t="s">
        <v>869</v>
      </c>
      <c r="J6010" t="str">
        <f>"9030083"</f>
        <v>9030083</v>
      </c>
      <c r="K6010">
        <v>2797022373</v>
      </c>
      <c r="L6010">
        <v>2797022373</v>
      </c>
      <c r="M6010" t="s">
        <v>38979</v>
      </c>
      <c r="N6010" t="s">
        <v>38980</v>
      </c>
      <c r="O6010" t="s">
        <v>37764</v>
      </c>
      <c r="P6010">
        <v>22008</v>
      </c>
      <c r="Q6010" t="str">
        <f>"37.732369"</f>
        <v>37.732369</v>
      </c>
      <c r="R6010" t="str">
        <f>"21.959432"</f>
        <v>21.959432</v>
      </c>
      <c r="S6010" t="s">
        <v>26</v>
      </c>
    </row>
    <row r="6011" spans="1:19" x14ac:dyDescent="0.3">
      <c r="A6011" t="s">
        <v>37529</v>
      </c>
      <c r="B6011" t="s">
        <v>38834</v>
      </c>
      <c r="C6011" t="s">
        <v>38982</v>
      </c>
      <c r="D6011" t="s">
        <v>37537</v>
      </c>
      <c r="E6011" t="s">
        <v>37753</v>
      </c>
      <c r="F6011" t="s">
        <v>37754</v>
      </c>
      <c r="G6011" t="s">
        <v>37754</v>
      </c>
      <c r="H6011" t="s">
        <v>868</v>
      </c>
      <c r="I6011" t="s">
        <v>1157</v>
      </c>
      <c r="J6011" t="str">
        <f>"9520723"</f>
        <v>9520723</v>
      </c>
      <c r="K6011">
        <v>2757022275</v>
      </c>
      <c r="M6011" t="s">
        <v>38983</v>
      </c>
      <c r="N6011" t="s">
        <v>37754</v>
      </c>
      <c r="O6011" t="s">
        <v>37757</v>
      </c>
      <c r="P6011">
        <v>0</v>
      </c>
      <c r="Q6011" t="str">
        <f>""</f>
        <v/>
      </c>
      <c r="R6011" t="str">
        <f>""</f>
        <v/>
      </c>
      <c r="S6011" t="s">
        <v>26</v>
      </c>
    </row>
    <row r="6012" spans="1:19" x14ac:dyDescent="0.3">
      <c r="A6012" t="s">
        <v>37529</v>
      </c>
      <c r="B6012" t="s">
        <v>38834</v>
      </c>
      <c r="C6012" t="s">
        <v>38984</v>
      </c>
      <c r="D6012" t="s">
        <v>37537</v>
      </c>
      <c r="E6012" t="s">
        <v>37726</v>
      </c>
      <c r="F6012" t="s">
        <v>37726</v>
      </c>
      <c r="G6012" t="s">
        <v>38912</v>
      </c>
      <c r="H6012" t="s">
        <v>868</v>
      </c>
      <c r="I6012" t="s">
        <v>869</v>
      </c>
      <c r="J6012" t="str">
        <f>"9030266"</f>
        <v>9030266</v>
      </c>
      <c r="K6012">
        <v>2755051010</v>
      </c>
      <c r="L6012">
        <v>2755029200</v>
      </c>
      <c r="M6012" t="s">
        <v>38985</v>
      </c>
      <c r="N6012" t="s">
        <v>38915</v>
      </c>
      <c r="O6012" t="s">
        <v>38986</v>
      </c>
      <c r="P6012">
        <v>22001</v>
      </c>
      <c r="Q6012" t="str">
        <f>"37.412468"</f>
        <v>37.412468</v>
      </c>
      <c r="R6012" t="str">
        <f>"22.761240"</f>
        <v>22.761240</v>
      </c>
      <c r="S6012" t="s">
        <v>26</v>
      </c>
    </row>
    <row r="6013" spans="1:19" x14ac:dyDescent="0.3">
      <c r="A6013" t="s">
        <v>37529</v>
      </c>
      <c r="B6013" t="s">
        <v>38834</v>
      </c>
      <c r="C6013" t="s">
        <v>38987</v>
      </c>
      <c r="D6013" t="s">
        <v>37537</v>
      </c>
      <c r="E6013" t="s">
        <v>37726</v>
      </c>
      <c r="F6013" t="s">
        <v>37726</v>
      </c>
      <c r="G6013" t="s">
        <v>38921</v>
      </c>
      <c r="H6013" t="s">
        <v>868</v>
      </c>
      <c r="I6013" t="s">
        <v>869</v>
      </c>
      <c r="J6013" t="str">
        <f>"9030246"</f>
        <v>9030246</v>
      </c>
      <c r="K6013">
        <v>2755022016</v>
      </c>
      <c r="L6013">
        <v>2755022023</v>
      </c>
      <c r="M6013" t="s">
        <v>38988</v>
      </c>
      <c r="N6013" t="s">
        <v>38989</v>
      </c>
      <c r="O6013" t="s">
        <v>37730</v>
      </c>
      <c r="P6013">
        <v>22001</v>
      </c>
      <c r="Q6013" t="str">
        <f>"37.402723"</f>
        <v>37.402723</v>
      </c>
      <c r="R6013" t="str">
        <f>"22.725400"</f>
        <v>22.725400</v>
      </c>
      <c r="S6013" t="s">
        <v>26</v>
      </c>
    </row>
    <row r="6014" spans="1:19" x14ac:dyDescent="0.3">
      <c r="A6014" t="s">
        <v>37529</v>
      </c>
      <c r="B6014" t="s">
        <v>38834</v>
      </c>
      <c r="C6014" t="s">
        <v>37807</v>
      </c>
      <c r="D6014" t="s">
        <v>37537</v>
      </c>
      <c r="E6014" t="s">
        <v>37726</v>
      </c>
      <c r="F6014" t="s">
        <v>37726</v>
      </c>
      <c r="G6014" t="s">
        <v>15303</v>
      </c>
      <c r="H6014" t="s">
        <v>868</v>
      </c>
      <c r="I6014" t="s">
        <v>869</v>
      </c>
      <c r="J6014" t="str">
        <f>"9030237"</f>
        <v>9030237</v>
      </c>
      <c r="K6014">
        <v>2755031216</v>
      </c>
      <c r="L6014">
        <v>2755031544</v>
      </c>
      <c r="M6014" t="s">
        <v>38990</v>
      </c>
      <c r="N6014" t="s">
        <v>38991</v>
      </c>
      <c r="O6014" t="s">
        <v>15307</v>
      </c>
      <c r="P6014">
        <v>22001</v>
      </c>
      <c r="Q6014" t="str">
        <f>"37.344466"</f>
        <v>37.344466</v>
      </c>
      <c r="R6014" t="str">
        <f>"22.766633"</f>
        <v>22.766633</v>
      </c>
      <c r="S6014" t="s">
        <v>26</v>
      </c>
    </row>
    <row r="6015" spans="1:19" x14ac:dyDescent="0.3">
      <c r="A6015" t="s">
        <v>37529</v>
      </c>
      <c r="B6015" t="s">
        <v>38834</v>
      </c>
      <c r="C6015" t="s">
        <v>38996</v>
      </c>
      <c r="D6015" t="s">
        <v>37537</v>
      </c>
      <c r="E6015" t="s">
        <v>37760</v>
      </c>
      <c r="F6015" t="s">
        <v>38949</v>
      </c>
      <c r="G6015" t="s">
        <v>38949</v>
      </c>
      <c r="H6015" t="s">
        <v>868</v>
      </c>
      <c r="I6015" t="s">
        <v>950</v>
      </c>
      <c r="J6015" t="str">
        <f>"9030023"</f>
        <v>9030023</v>
      </c>
      <c r="K6015">
        <v>2795031214</v>
      </c>
      <c r="L6015">
        <v>2795031214</v>
      </c>
      <c r="M6015" t="s">
        <v>38997</v>
      </c>
      <c r="N6015" t="s">
        <v>38998</v>
      </c>
      <c r="O6015" t="s">
        <v>38998</v>
      </c>
      <c r="P6015">
        <v>22007</v>
      </c>
      <c r="Q6015" t="str">
        <f>"37.595198"</f>
        <v>37.595198</v>
      </c>
      <c r="R6015" t="str">
        <f>"22.040197"</f>
        <v>22.040197</v>
      </c>
      <c r="S6015" t="s">
        <v>26</v>
      </c>
    </row>
    <row r="6016" spans="1:19" x14ac:dyDescent="0.3">
      <c r="A6016" t="s">
        <v>37529</v>
      </c>
      <c r="B6016" t="s">
        <v>38834</v>
      </c>
      <c r="C6016" t="s">
        <v>38999</v>
      </c>
      <c r="D6016" t="s">
        <v>37537</v>
      </c>
      <c r="E6016" t="s">
        <v>37538</v>
      </c>
      <c r="F6016" t="s">
        <v>37711</v>
      </c>
      <c r="G6016" t="s">
        <v>38889</v>
      </c>
      <c r="H6016" t="s">
        <v>868</v>
      </c>
      <c r="I6016" t="s">
        <v>869</v>
      </c>
      <c r="J6016" t="str">
        <f>"9030141"</f>
        <v>9030141</v>
      </c>
      <c r="K6016">
        <v>2710561184</v>
      </c>
      <c r="L6016">
        <v>2710561184</v>
      </c>
      <c r="M6016" t="s">
        <v>39000</v>
      </c>
      <c r="N6016" t="s">
        <v>39001</v>
      </c>
      <c r="O6016" t="s">
        <v>39001</v>
      </c>
      <c r="P6016">
        <v>22005</v>
      </c>
      <c r="Q6016" t="str">
        <f>"37.615525"</f>
        <v>37.615525</v>
      </c>
      <c r="R6016" t="str">
        <f>"22.465768"</f>
        <v>22.465768</v>
      </c>
      <c r="S6016" t="s">
        <v>26</v>
      </c>
    </row>
    <row r="6017" spans="1:19" x14ac:dyDescent="0.3">
      <c r="A6017" t="s">
        <v>37529</v>
      </c>
      <c r="B6017" t="s">
        <v>38834</v>
      </c>
      <c r="C6017" t="s">
        <v>37740</v>
      </c>
      <c r="D6017" t="s">
        <v>37537</v>
      </c>
      <c r="E6017" t="s">
        <v>37538</v>
      </c>
      <c r="F6017" t="s">
        <v>37745</v>
      </c>
      <c r="G6017" t="s">
        <v>8715</v>
      </c>
      <c r="H6017" t="s">
        <v>868</v>
      </c>
      <c r="I6017" t="s">
        <v>869</v>
      </c>
      <c r="J6017" t="str">
        <f>"9030155"</f>
        <v>9030155</v>
      </c>
      <c r="K6017">
        <v>2710556175</v>
      </c>
      <c r="M6017" t="s">
        <v>39002</v>
      </c>
      <c r="N6017" t="s">
        <v>39003</v>
      </c>
      <c r="O6017" t="s">
        <v>39004</v>
      </c>
      <c r="P6017">
        <v>22012</v>
      </c>
      <c r="Q6017" t="str">
        <f>"37.460035"</f>
        <v>37.460035</v>
      </c>
      <c r="R6017" t="str">
        <f>"22.434882"</f>
        <v>22.434882</v>
      </c>
      <c r="S6017" t="s">
        <v>26</v>
      </c>
    </row>
    <row r="6018" spans="1:19" x14ac:dyDescent="0.3">
      <c r="A6018" t="s">
        <v>37529</v>
      </c>
      <c r="B6018" t="s">
        <v>38834</v>
      </c>
      <c r="C6018" t="s">
        <v>39007</v>
      </c>
      <c r="D6018" t="s">
        <v>37537</v>
      </c>
      <c r="E6018" t="s">
        <v>37717</v>
      </c>
      <c r="F6018" t="s">
        <v>39005</v>
      </c>
      <c r="G6018" t="s">
        <v>39006</v>
      </c>
      <c r="H6018" t="s">
        <v>868</v>
      </c>
      <c r="I6018" t="s">
        <v>950</v>
      </c>
      <c r="J6018" t="str">
        <f>"9030167"</f>
        <v>9030167</v>
      </c>
      <c r="K6018">
        <v>2791031365</v>
      </c>
      <c r="L6018">
        <v>2791031365</v>
      </c>
      <c r="M6018" t="s">
        <v>39008</v>
      </c>
      <c r="N6018" t="s">
        <v>39009</v>
      </c>
      <c r="O6018" t="s">
        <v>39009</v>
      </c>
      <c r="P6018">
        <v>22022</v>
      </c>
      <c r="Q6018" t="str">
        <f>"37.484360"</f>
        <v>37.484360</v>
      </c>
      <c r="R6018" t="str">
        <f>"22.043771"</f>
        <v>22.043771</v>
      </c>
      <c r="S6018" t="s">
        <v>26</v>
      </c>
    </row>
    <row r="6019" spans="1:19" x14ac:dyDescent="0.3">
      <c r="A6019" t="s">
        <v>37529</v>
      </c>
      <c r="B6019" t="s">
        <v>38834</v>
      </c>
      <c r="C6019" t="s">
        <v>37759</v>
      </c>
      <c r="D6019" t="s">
        <v>37537</v>
      </c>
      <c r="E6019" t="s">
        <v>37753</v>
      </c>
      <c r="F6019" t="s">
        <v>37754</v>
      </c>
      <c r="G6019" t="s">
        <v>37754</v>
      </c>
      <c r="H6019" t="s">
        <v>868</v>
      </c>
      <c r="I6019" t="s">
        <v>869</v>
      </c>
      <c r="J6019" t="str">
        <f>"9030235"</f>
        <v>9030235</v>
      </c>
      <c r="K6019">
        <v>2757022275</v>
      </c>
      <c r="L6019">
        <v>2757029068</v>
      </c>
      <c r="M6019" t="s">
        <v>39010</v>
      </c>
      <c r="N6019" t="s">
        <v>39011</v>
      </c>
      <c r="O6019" t="s">
        <v>37757</v>
      </c>
      <c r="P6019">
        <v>22300</v>
      </c>
      <c r="Q6019" t="str">
        <f>"37.164566"</f>
        <v>37.164566</v>
      </c>
      <c r="R6019" t="str">
        <f>"22.861054"</f>
        <v>22.861054</v>
      </c>
      <c r="S6019" t="s">
        <v>26</v>
      </c>
    </row>
    <row r="6020" spans="1:19" x14ac:dyDescent="0.3">
      <c r="A6020" t="s">
        <v>37529</v>
      </c>
      <c r="B6020" t="s">
        <v>38834</v>
      </c>
      <c r="C6020" t="s">
        <v>37723</v>
      </c>
      <c r="D6020" t="s">
        <v>37537</v>
      </c>
      <c r="E6020" t="s">
        <v>37717</v>
      </c>
      <c r="F6020" t="s">
        <v>37717</v>
      </c>
      <c r="G6020" t="s">
        <v>37718</v>
      </c>
      <c r="H6020" t="s">
        <v>868</v>
      </c>
      <c r="I6020" t="s">
        <v>869</v>
      </c>
      <c r="J6020" t="str">
        <f>"9030193"</f>
        <v>9030193</v>
      </c>
      <c r="K6020">
        <v>2791022326</v>
      </c>
      <c r="L6020">
        <v>2791021012</v>
      </c>
      <c r="M6020" t="s">
        <v>39012</v>
      </c>
      <c r="N6020" t="s">
        <v>37721</v>
      </c>
      <c r="O6020" t="s">
        <v>38859</v>
      </c>
      <c r="P6020">
        <v>22200</v>
      </c>
      <c r="Q6020" t="str">
        <f>"37.402647"</f>
        <v>37.402647</v>
      </c>
      <c r="R6020" t="str">
        <f>"22.140053"</f>
        <v>22.140053</v>
      </c>
      <c r="S6020" t="s">
        <v>26</v>
      </c>
    </row>
    <row r="6021" spans="1:19" x14ac:dyDescent="0.3">
      <c r="A6021" t="s">
        <v>37529</v>
      </c>
      <c r="B6021" t="s">
        <v>38834</v>
      </c>
      <c r="C6021" t="s">
        <v>39016</v>
      </c>
      <c r="D6021" t="s">
        <v>37537</v>
      </c>
      <c r="E6021" t="s">
        <v>37717</v>
      </c>
      <c r="F6021" t="s">
        <v>37717</v>
      </c>
      <c r="G6021" t="s">
        <v>37718</v>
      </c>
      <c r="H6021" t="s">
        <v>868</v>
      </c>
      <c r="I6021" t="s">
        <v>869</v>
      </c>
      <c r="J6021" t="str">
        <f>"9030325"</f>
        <v>9030325</v>
      </c>
      <c r="K6021">
        <v>2791022446</v>
      </c>
      <c r="L6021">
        <v>2791021067</v>
      </c>
      <c r="M6021" t="s">
        <v>39017</v>
      </c>
      <c r="N6021" t="s">
        <v>37721</v>
      </c>
      <c r="O6021" t="s">
        <v>38972</v>
      </c>
      <c r="P6021">
        <v>22200</v>
      </c>
      <c r="Q6021" t="str">
        <f>"37.406662"</f>
        <v>37.406662</v>
      </c>
      <c r="R6021" t="str">
        <f>"22.136051"</f>
        <v>22.136051</v>
      </c>
      <c r="S6021" t="s">
        <v>26</v>
      </c>
    </row>
    <row r="6022" spans="1:19" x14ac:dyDescent="0.3">
      <c r="A6022" t="s">
        <v>37529</v>
      </c>
      <c r="B6022" t="s">
        <v>38834</v>
      </c>
      <c r="C6022" t="s">
        <v>37732</v>
      </c>
      <c r="D6022" t="s">
        <v>37537</v>
      </c>
      <c r="E6022" t="s">
        <v>37726</v>
      </c>
      <c r="F6022" t="s">
        <v>37726</v>
      </c>
      <c r="G6022" t="s">
        <v>37727</v>
      </c>
      <c r="H6022" t="s">
        <v>868</v>
      </c>
      <c r="I6022" t="s">
        <v>869</v>
      </c>
      <c r="J6022" t="str">
        <f>"9030244"</f>
        <v>9030244</v>
      </c>
      <c r="K6022">
        <v>2755022342</v>
      </c>
      <c r="L6022">
        <v>2755029108</v>
      </c>
      <c r="M6022" t="s">
        <v>39018</v>
      </c>
      <c r="N6022" t="s">
        <v>37730</v>
      </c>
      <c r="O6022" t="s">
        <v>37730</v>
      </c>
      <c r="P6022">
        <v>22001</v>
      </c>
      <c r="Q6022" t="str">
        <f>"37.406141"</f>
        <v>37.406141</v>
      </c>
      <c r="R6022" t="str">
        <f>"22.720154"</f>
        <v>22.720154</v>
      </c>
      <c r="S6022" t="s">
        <v>26</v>
      </c>
    </row>
    <row r="6023" spans="1:19" x14ac:dyDescent="0.3">
      <c r="A6023" t="s">
        <v>37529</v>
      </c>
      <c r="B6023" t="s">
        <v>38834</v>
      </c>
      <c r="C6023" t="s">
        <v>39021</v>
      </c>
      <c r="D6023" t="s">
        <v>37537</v>
      </c>
      <c r="E6023" t="s">
        <v>37538</v>
      </c>
      <c r="F6023" t="s">
        <v>37538</v>
      </c>
      <c r="G6023" t="s">
        <v>37539</v>
      </c>
      <c r="H6023" t="s">
        <v>868</v>
      </c>
      <c r="I6023" t="s">
        <v>1157</v>
      </c>
      <c r="J6023" t="str">
        <f>"9030306"</f>
        <v>9030306</v>
      </c>
      <c r="K6023">
        <v>2710225982</v>
      </c>
      <c r="L6023">
        <v>2710225982</v>
      </c>
      <c r="M6023" t="s">
        <v>39022</v>
      </c>
      <c r="N6023" t="s">
        <v>37542</v>
      </c>
      <c r="O6023" t="s">
        <v>37705</v>
      </c>
      <c r="P6023">
        <v>22100</v>
      </c>
      <c r="Q6023" t="str">
        <f>"37.516412"</f>
        <v>37.516412</v>
      </c>
      <c r="R6023" t="str">
        <f>"22.373231"</f>
        <v>22.373231</v>
      </c>
      <c r="S6023" t="s">
        <v>26</v>
      </c>
    </row>
    <row r="6024" spans="1:19" x14ac:dyDescent="0.3">
      <c r="A6024" t="s">
        <v>37529</v>
      </c>
      <c r="B6024" t="s">
        <v>38834</v>
      </c>
      <c r="C6024" t="s">
        <v>39023</v>
      </c>
      <c r="D6024" t="s">
        <v>37537</v>
      </c>
      <c r="E6024" t="s">
        <v>37717</v>
      </c>
      <c r="F6024" t="s">
        <v>37717</v>
      </c>
      <c r="G6024" t="s">
        <v>37718</v>
      </c>
      <c r="H6024" t="s">
        <v>868</v>
      </c>
      <c r="I6024" t="s">
        <v>869</v>
      </c>
      <c r="J6024" t="str">
        <f>"9030341"</f>
        <v>9030341</v>
      </c>
      <c r="K6024">
        <v>2791023240</v>
      </c>
      <c r="L6024">
        <v>2791021094</v>
      </c>
      <c r="M6024" t="s">
        <v>39024</v>
      </c>
      <c r="N6024" t="s">
        <v>39025</v>
      </c>
      <c r="O6024" t="s">
        <v>39026</v>
      </c>
      <c r="P6024">
        <v>22200</v>
      </c>
      <c r="Q6024" t="str">
        <f>"37.400805"</f>
        <v>37.400805</v>
      </c>
      <c r="R6024" t="str">
        <f>"22.129951"</f>
        <v>22.129951</v>
      </c>
      <c r="S6024" t="s">
        <v>26</v>
      </c>
    </row>
    <row r="6025" spans="1:19" x14ac:dyDescent="0.3">
      <c r="A6025" t="s">
        <v>37529</v>
      </c>
      <c r="B6025" t="s">
        <v>38834</v>
      </c>
      <c r="C6025" t="s">
        <v>37710</v>
      </c>
      <c r="D6025" t="s">
        <v>37537</v>
      </c>
      <c r="E6025" t="s">
        <v>37538</v>
      </c>
      <c r="F6025" t="s">
        <v>37538</v>
      </c>
      <c r="G6025" t="s">
        <v>37539</v>
      </c>
      <c r="H6025" t="s">
        <v>868</v>
      </c>
      <c r="I6025" t="s">
        <v>869</v>
      </c>
      <c r="J6025" t="str">
        <f>"9030363"</f>
        <v>9030363</v>
      </c>
      <c r="K6025">
        <v>2710226285</v>
      </c>
      <c r="L6025">
        <v>2710234382</v>
      </c>
      <c r="M6025" t="s">
        <v>39027</v>
      </c>
      <c r="N6025" t="s">
        <v>37538</v>
      </c>
      <c r="O6025" t="s">
        <v>38865</v>
      </c>
      <c r="P6025">
        <v>22100</v>
      </c>
      <c r="Q6025" t="str">
        <f>"37.502278"</f>
        <v>37.502278</v>
      </c>
      <c r="R6025" t="str">
        <f>"22.372890"</f>
        <v>22.372890</v>
      </c>
      <c r="S6025" t="s">
        <v>26</v>
      </c>
    </row>
    <row r="6026" spans="1:19" x14ac:dyDescent="0.3">
      <c r="A6026" t="s">
        <v>37529</v>
      </c>
      <c r="B6026" t="s">
        <v>38834</v>
      </c>
      <c r="C6026" t="s">
        <v>39028</v>
      </c>
      <c r="D6026" t="s">
        <v>37537</v>
      </c>
      <c r="E6026" t="s">
        <v>37538</v>
      </c>
      <c r="F6026" t="s">
        <v>37538</v>
      </c>
      <c r="G6026" t="s">
        <v>37539</v>
      </c>
      <c r="H6026" t="s">
        <v>868</v>
      </c>
      <c r="I6026" t="s">
        <v>869</v>
      </c>
      <c r="J6026" t="str">
        <f>"9030102"</f>
        <v>9030102</v>
      </c>
      <c r="K6026">
        <v>2710222968</v>
      </c>
      <c r="L6026">
        <v>2710222968</v>
      </c>
      <c r="M6026" t="s">
        <v>39029</v>
      </c>
      <c r="N6026" t="s">
        <v>37542</v>
      </c>
      <c r="O6026" t="s">
        <v>39030</v>
      </c>
      <c r="P6026">
        <v>22132</v>
      </c>
      <c r="Q6026" t="str">
        <f>"37.504338"</f>
        <v>37.504338</v>
      </c>
      <c r="R6026" t="str">
        <f>"22.370769"</f>
        <v>22.370769</v>
      </c>
      <c r="S6026" t="s">
        <v>26</v>
      </c>
    </row>
    <row r="6027" spans="1:19" x14ac:dyDescent="0.3">
      <c r="A6027" t="s">
        <v>37529</v>
      </c>
      <c r="B6027" t="s">
        <v>38834</v>
      </c>
      <c r="C6027" t="s">
        <v>39031</v>
      </c>
      <c r="D6027" t="s">
        <v>37537</v>
      </c>
      <c r="E6027" t="s">
        <v>37538</v>
      </c>
      <c r="F6027" t="s">
        <v>37538</v>
      </c>
      <c r="G6027" t="s">
        <v>37539</v>
      </c>
      <c r="H6027" t="s">
        <v>868</v>
      </c>
      <c r="I6027" t="s">
        <v>869</v>
      </c>
      <c r="J6027" t="str">
        <f>"9030105"</f>
        <v>9030105</v>
      </c>
      <c r="K6027">
        <v>2710235376</v>
      </c>
      <c r="L6027">
        <v>2710235376</v>
      </c>
      <c r="M6027" t="s">
        <v>39032</v>
      </c>
      <c r="N6027" t="s">
        <v>37542</v>
      </c>
      <c r="O6027" t="s">
        <v>38868</v>
      </c>
      <c r="P6027">
        <v>22100</v>
      </c>
      <c r="Q6027" t="str">
        <f>"37.504906"</f>
        <v>37.504906</v>
      </c>
      <c r="R6027" t="str">
        <f>"22.393097"</f>
        <v>22.393097</v>
      </c>
      <c r="S6027" t="s">
        <v>26</v>
      </c>
    </row>
    <row r="6028" spans="1:19" x14ac:dyDescent="0.3">
      <c r="A6028" t="s">
        <v>37529</v>
      </c>
      <c r="B6028" t="s">
        <v>38834</v>
      </c>
      <c r="C6028" t="s">
        <v>39033</v>
      </c>
      <c r="D6028" t="s">
        <v>37537</v>
      </c>
      <c r="E6028" t="s">
        <v>37538</v>
      </c>
      <c r="F6028" t="s">
        <v>37538</v>
      </c>
      <c r="G6028" t="s">
        <v>37539</v>
      </c>
      <c r="H6028" t="s">
        <v>868</v>
      </c>
      <c r="I6028" t="s">
        <v>869</v>
      </c>
      <c r="J6028" t="str">
        <f>"9030352"</f>
        <v>9030352</v>
      </c>
      <c r="K6028">
        <v>2710237596</v>
      </c>
      <c r="L6028">
        <v>2710237596</v>
      </c>
      <c r="M6028" t="s">
        <v>39034</v>
      </c>
      <c r="N6028" t="s">
        <v>37542</v>
      </c>
      <c r="O6028" t="s">
        <v>39035</v>
      </c>
      <c r="P6028">
        <v>22131</v>
      </c>
      <c r="Q6028" t="str">
        <f>"37.512276"</f>
        <v>37.512276</v>
      </c>
      <c r="R6028" t="str">
        <f>"22.365382"</f>
        <v>22.365382</v>
      </c>
      <c r="S6028" t="s">
        <v>26</v>
      </c>
    </row>
    <row r="6029" spans="1:19" x14ac:dyDescent="0.3">
      <c r="A6029" t="s">
        <v>37529</v>
      </c>
      <c r="B6029" t="s">
        <v>38834</v>
      </c>
      <c r="C6029" t="s">
        <v>39036</v>
      </c>
      <c r="D6029" t="s">
        <v>37537</v>
      </c>
      <c r="E6029" t="s">
        <v>37538</v>
      </c>
      <c r="F6029" t="s">
        <v>37733</v>
      </c>
      <c r="G6029" t="s">
        <v>13822</v>
      </c>
      <c r="H6029" t="s">
        <v>868</v>
      </c>
      <c r="I6029" t="s">
        <v>950</v>
      </c>
      <c r="J6029" t="str">
        <f>"9030126"</f>
        <v>9030126</v>
      </c>
      <c r="K6029">
        <v>2796031205</v>
      </c>
      <c r="L6029">
        <v>2796031205</v>
      </c>
      <c r="M6029" t="s">
        <v>39037</v>
      </c>
      <c r="N6029" t="s">
        <v>15626</v>
      </c>
      <c r="O6029" t="s">
        <v>15626</v>
      </c>
      <c r="P6029">
        <v>22004</v>
      </c>
      <c r="Q6029" t="str">
        <f>"37.772430"</f>
        <v>37.772430</v>
      </c>
      <c r="R6029" t="str">
        <f>"22.379608"</f>
        <v>22.379608</v>
      </c>
      <c r="S6029" t="s">
        <v>26</v>
      </c>
    </row>
    <row r="6030" spans="1:19" x14ac:dyDescent="0.3">
      <c r="A6030" t="s">
        <v>37529</v>
      </c>
      <c r="B6030" t="s">
        <v>38834</v>
      </c>
      <c r="C6030" t="s">
        <v>39038</v>
      </c>
      <c r="D6030" t="s">
        <v>37537</v>
      </c>
      <c r="E6030" t="s">
        <v>37538</v>
      </c>
      <c r="F6030" t="s">
        <v>37538</v>
      </c>
      <c r="G6030" t="s">
        <v>37539</v>
      </c>
      <c r="H6030" t="s">
        <v>868</v>
      </c>
      <c r="I6030" t="s">
        <v>869</v>
      </c>
      <c r="J6030" t="str">
        <f>"9030101"</f>
        <v>9030101</v>
      </c>
      <c r="K6030">
        <v>2710223857</v>
      </c>
      <c r="M6030" t="s">
        <v>39039</v>
      </c>
      <c r="N6030" t="s">
        <v>37542</v>
      </c>
      <c r="O6030" t="s">
        <v>39040</v>
      </c>
      <c r="P6030">
        <v>22131</v>
      </c>
      <c r="Q6030" t="str">
        <f>"37.510566"</f>
        <v>37.510566</v>
      </c>
      <c r="R6030" t="str">
        <f>"22.369906"</f>
        <v>22.369906</v>
      </c>
      <c r="S6030" t="s">
        <v>26</v>
      </c>
    </row>
    <row r="6031" spans="1:19" x14ac:dyDescent="0.3">
      <c r="A6031" t="s">
        <v>37529</v>
      </c>
      <c r="B6031" t="s">
        <v>38834</v>
      </c>
      <c r="C6031" t="s">
        <v>37789</v>
      </c>
      <c r="D6031" t="s">
        <v>37537</v>
      </c>
      <c r="E6031" t="s">
        <v>37538</v>
      </c>
      <c r="F6031" t="s">
        <v>37538</v>
      </c>
      <c r="G6031" t="s">
        <v>37539</v>
      </c>
      <c r="H6031" t="s">
        <v>868</v>
      </c>
      <c r="I6031" t="s">
        <v>869</v>
      </c>
      <c r="J6031" t="str">
        <f>"9030104"</f>
        <v>9030104</v>
      </c>
      <c r="K6031">
        <v>2710224025</v>
      </c>
      <c r="L6031">
        <v>2710224025</v>
      </c>
      <c r="M6031" t="s">
        <v>39043</v>
      </c>
      <c r="N6031" t="s">
        <v>37542</v>
      </c>
      <c r="O6031" t="s">
        <v>39015</v>
      </c>
      <c r="P6031">
        <v>22131</v>
      </c>
      <c r="Q6031" t="str">
        <f>"37.505106"</f>
        <v>37.505106</v>
      </c>
      <c r="R6031" t="str">
        <f>"22.363836"</f>
        <v>22.363836</v>
      </c>
      <c r="S6031" t="s">
        <v>26</v>
      </c>
    </row>
    <row r="6032" spans="1:19" x14ac:dyDescent="0.3">
      <c r="A6032" t="s">
        <v>37529</v>
      </c>
      <c r="B6032" t="s">
        <v>38834</v>
      </c>
      <c r="C6032" t="s">
        <v>39044</v>
      </c>
      <c r="D6032" t="s">
        <v>37537</v>
      </c>
      <c r="E6032" t="s">
        <v>37717</v>
      </c>
      <c r="F6032" t="s">
        <v>37717</v>
      </c>
      <c r="G6032" t="s">
        <v>37718</v>
      </c>
      <c r="H6032" t="s">
        <v>868</v>
      </c>
      <c r="I6032" t="s">
        <v>869</v>
      </c>
      <c r="J6032" t="str">
        <f>"9030194"</f>
        <v>9030194</v>
      </c>
      <c r="K6032">
        <v>2791022182</v>
      </c>
      <c r="L6032">
        <v>2791022182</v>
      </c>
      <c r="M6032" t="s">
        <v>39045</v>
      </c>
      <c r="N6032" t="s">
        <v>39025</v>
      </c>
      <c r="O6032" t="s">
        <v>38848</v>
      </c>
      <c r="P6032">
        <v>22200</v>
      </c>
      <c r="Q6032" t="str">
        <f>"37.396534"</f>
        <v>37.396534</v>
      </c>
      <c r="R6032" t="str">
        <f>"22.129960"</f>
        <v>22.129960</v>
      </c>
      <c r="S6032" t="s">
        <v>26</v>
      </c>
    </row>
    <row r="6033" spans="1:19" x14ac:dyDescent="0.3">
      <c r="A6033" t="s">
        <v>37529</v>
      </c>
      <c r="B6033" t="s">
        <v>38834</v>
      </c>
      <c r="C6033" t="s">
        <v>37793</v>
      </c>
      <c r="D6033" t="s">
        <v>37537</v>
      </c>
      <c r="E6033" t="s">
        <v>37538</v>
      </c>
      <c r="F6033" t="s">
        <v>37538</v>
      </c>
      <c r="G6033" t="s">
        <v>37539</v>
      </c>
      <c r="H6033" t="s">
        <v>868</v>
      </c>
      <c r="I6033" t="s">
        <v>869</v>
      </c>
      <c r="J6033" t="str">
        <f>"9030098"</f>
        <v>9030098</v>
      </c>
      <c r="K6033">
        <v>2710223571</v>
      </c>
      <c r="L6033">
        <v>2710223571</v>
      </c>
      <c r="M6033" t="s">
        <v>39046</v>
      </c>
      <c r="N6033" t="s">
        <v>39047</v>
      </c>
      <c r="O6033" t="s">
        <v>38871</v>
      </c>
      <c r="P6033">
        <v>22131</v>
      </c>
      <c r="Q6033" t="str">
        <f>"37.519283"</f>
        <v>37.519283</v>
      </c>
      <c r="R6033" t="str">
        <f>"22.369760"</f>
        <v>22.369760</v>
      </c>
      <c r="S6033" t="s">
        <v>26</v>
      </c>
    </row>
    <row r="6034" spans="1:19" x14ac:dyDescent="0.3">
      <c r="A6034" t="s">
        <v>37529</v>
      </c>
      <c r="B6034" t="s">
        <v>38834</v>
      </c>
      <c r="C6034" t="s">
        <v>39048</v>
      </c>
      <c r="D6034" t="s">
        <v>37537</v>
      </c>
      <c r="E6034" t="s">
        <v>37538</v>
      </c>
      <c r="F6034" t="s">
        <v>37538</v>
      </c>
      <c r="G6034" t="s">
        <v>37539</v>
      </c>
      <c r="H6034" t="s">
        <v>868</v>
      </c>
      <c r="I6034" t="s">
        <v>869</v>
      </c>
      <c r="J6034" t="str">
        <f>"9030287"</f>
        <v>9030287</v>
      </c>
      <c r="K6034">
        <v>2710225601</v>
      </c>
      <c r="L6034">
        <v>2710222069</v>
      </c>
      <c r="M6034" t="s">
        <v>39049</v>
      </c>
      <c r="N6034" t="s">
        <v>37542</v>
      </c>
      <c r="O6034" t="s">
        <v>39050</v>
      </c>
      <c r="P6034">
        <v>22132</v>
      </c>
      <c r="Q6034" t="str">
        <f>"37.515876"</f>
        <v>37.515876</v>
      </c>
      <c r="R6034" t="str">
        <f>"22.373282"</f>
        <v>22.373282</v>
      </c>
      <c r="S6034" t="s">
        <v>26</v>
      </c>
    </row>
    <row r="6035" spans="1:19" x14ac:dyDescent="0.3">
      <c r="A6035" t="s">
        <v>37529</v>
      </c>
      <c r="B6035" t="s">
        <v>38834</v>
      </c>
      <c r="C6035" t="s">
        <v>39060</v>
      </c>
      <c r="D6035" t="s">
        <v>37537</v>
      </c>
      <c r="E6035" t="s">
        <v>37726</v>
      </c>
      <c r="F6035" t="s">
        <v>37726</v>
      </c>
      <c r="G6035" t="s">
        <v>19876</v>
      </c>
      <c r="H6035" t="s">
        <v>868</v>
      </c>
      <c r="I6035" t="s">
        <v>950</v>
      </c>
      <c r="J6035" t="str">
        <f>"9030240"</f>
        <v>9030240</v>
      </c>
      <c r="K6035">
        <v>2792022242</v>
      </c>
      <c r="L6035">
        <v>2792022242</v>
      </c>
      <c r="M6035" t="s">
        <v>39061</v>
      </c>
      <c r="N6035" t="s">
        <v>19879</v>
      </c>
      <c r="O6035" t="s">
        <v>19879</v>
      </c>
      <c r="P6035">
        <v>22013</v>
      </c>
      <c r="Q6035" t="str">
        <f>"37.363703"</f>
        <v>37.363703</v>
      </c>
      <c r="R6035" t="str">
        <f>"22.539440"</f>
        <v>22.539440</v>
      </c>
      <c r="S6035" t="s">
        <v>26</v>
      </c>
    </row>
    <row r="6036" spans="1:19" x14ac:dyDescent="0.3">
      <c r="A6036" t="s">
        <v>37529</v>
      </c>
      <c r="B6036" t="s">
        <v>38834</v>
      </c>
      <c r="C6036" t="s">
        <v>39062</v>
      </c>
      <c r="D6036" t="s">
        <v>37537</v>
      </c>
      <c r="E6036" t="s">
        <v>37726</v>
      </c>
      <c r="F6036" t="s">
        <v>37726</v>
      </c>
      <c r="G6036" t="s">
        <v>8518</v>
      </c>
      <c r="H6036" t="s">
        <v>868</v>
      </c>
      <c r="I6036" t="s">
        <v>950</v>
      </c>
      <c r="J6036" t="str">
        <f>"9030241"</f>
        <v>9030241</v>
      </c>
      <c r="K6036">
        <v>2792031223</v>
      </c>
      <c r="L6036">
        <v>2792031223</v>
      </c>
      <c r="M6036" t="s">
        <v>39063</v>
      </c>
      <c r="N6036" t="s">
        <v>39064</v>
      </c>
      <c r="O6036" t="s">
        <v>39064</v>
      </c>
      <c r="P6036">
        <v>22007</v>
      </c>
      <c r="Q6036" t="str">
        <f>"37.328569"</f>
        <v>37.328569</v>
      </c>
      <c r="R6036" t="str">
        <f>"22.545698"</f>
        <v>22.545698</v>
      </c>
      <c r="S6036" t="s">
        <v>26</v>
      </c>
    </row>
    <row r="6037" spans="1:19" x14ac:dyDescent="0.3">
      <c r="A6037" t="s">
        <v>37529</v>
      </c>
      <c r="B6037" t="s">
        <v>38834</v>
      </c>
      <c r="C6037" t="s">
        <v>39065</v>
      </c>
      <c r="D6037" t="s">
        <v>37537</v>
      </c>
      <c r="E6037" t="s">
        <v>37726</v>
      </c>
      <c r="F6037" t="s">
        <v>37726</v>
      </c>
      <c r="G6037" t="s">
        <v>39057</v>
      </c>
      <c r="H6037" t="s">
        <v>868</v>
      </c>
      <c r="I6037" t="s">
        <v>950</v>
      </c>
      <c r="J6037" t="str">
        <f>"9030252"</f>
        <v>9030252</v>
      </c>
      <c r="K6037">
        <v>2755041225</v>
      </c>
      <c r="M6037" t="s">
        <v>39066</v>
      </c>
      <c r="N6037" t="s">
        <v>39067</v>
      </c>
      <c r="O6037" t="s">
        <v>39068</v>
      </c>
      <c r="P6037">
        <v>22001</v>
      </c>
      <c r="Q6037" t="str">
        <f>"37.430711"</f>
        <v>37.430711</v>
      </c>
      <c r="R6037" t="str">
        <f>"22.680577"</f>
        <v>22.680577</v>
      </c>
      <c r="S6037" t="s">
        <v>26</v>
      </c>
    </row>
    <row r="6038" spans="1:19" x14ac:dyDescent="0.3">
      <c r="A6038" t="s">
        <v>37529</v>
      </c>
      <c r="B6038" t="s">
        <v>38834</v>
      </c>
      <c r="C6038" t="s">
        <v>39073</v>
      </c>
      <c r="D6038" t="s">
        <v>37537</v>
      </c>
      <c r="E6038" t="s">
        <v>37726</v>
      </c>
      <c r="F6038" t="s">
        <v>37726</v>
      </c>
      <c r="G6038" t="s">
        <v>37727</v>
      </c>
      <c r="H6038" t="s">
        <v>868</v>
      </c>
      <c r="I6038" t="s">
        <v>1157</v>
      </c>
      <c r="J6038" t="str">
        <f>"9521703"</f>
        <v>9521703</v>
      </c>
      <c r="Q6038" t="str">
        <f>""</f>
        <v/>
      </c>
      <c r="R6038" t="str">
        <f>""</f>
        <v/>
      </c>
      <c r="S6038" t="s">
        <v>26</v>
      </c>
    </row>
    <row r="6039" spans="1:19" x14ac:dyDescent="0.3">
      <c r="A6039" t="s">
        <v>37529</v>
      </c>
      <c r="B6039" t="s">
        <v>38834</v>
      </c>
      <c r="C6039" t="s">
        <v>39074</v>
      </c>
      <c r="D6039" t="s">
        <v>37537</v>
      </c>
      <c r="E6039" t="s">
        <v>37538</v>
      </c>
      <c r="F6039" t="s">
        <v>37538</v>
      </c>
      <c r="G6039" t="s">
        <v>37539</v>
      </c>
      <c r="H6039" t="s">
        <v>868</v>
      </c>
      <c r="I6039" t="s">
        <v>950</v>
      </c>
      <c r="J6039" t="str">
        <f>"9031000"</f>
        <v>9031000</v>
      </c>
      <c r="Q6039" t="str">
        <f>""</f>
        <v/>
      </c>
      <c r="R6039" t="str">
        <f>""</f>
        <v/>
      </c>
      <c r="S6039" t="s">
        <v>26</v>
      </c>
    </row>
    <row r="6040" spans="1:19" x14ac:dyDescent="0.3">
      <c r="A6040" t="s">
        <v>37529</v>
      </c>
      <c r="B6040" t="s">
        <v>39076</v>
      </c>
      <c r="C6040" t="s">
        <v>39143</v>
      </c>
      <c r="D6040" t="s">
        <v>37544</v>
      </c>
      <c r="E6040" t="s">
        <v>37545</v>
      </c>
      <c r="F6040" t="s">
        <v>37858</v>
      </c>
      <c r="G6040" t="s">
        <v>14541</v>
      </c>
      <c r="H6040" t="s">
        <v>868</v>
      </c>
      <c r="I6040" t="s">
        <v>869</v>
      </c>
      <c r="J6040" t="str">
        <f>"9280018"</f>
        <v>9280018</v>
      </c>
      <c r="K6040">
        <v>2741097283</v>
      </c>
      <c r="L6040">
        <v>2741097283</v>
      </c>
      <c r="M6040" t="s">
        <v>39144</v>
      </c>
      <c r="N6040" t="s">
        <v>29084</v>
      </c>
      <c r="O6040" t="s">
        <v>29084</v>
      </c>
      <c r="P6040">
        <v>20008</v>
      </c>
      <c r="Q6040" t="str">
        <f>"37.804949"</f>
        <v>37.804949</v>
      </c>
      <c r="R6040" t="str">
        <f>"22.791207"</f>
        <v>22.791207</v>
      </c>
      <c r="S6040" t="s">
        <v>26</v>
      </c>
    </row>
    <row r="6041" spans="1:19" x14ac:dyDescent="0.3">
      <c r="A6041" t="s">
        <v>37529</v>
      </c>
      <c r="B6041" t="s">
        <v>39076</v>
      </c>
      <c r="C6041" t="s">
        <v>39147</v>
      </c>
      <c r="D6041" t="s">
        <v>37544</v>
      </c>
      <c r="E6041" t="s">
        <v>37545</v>
      </c>
      <c r="F6041" t="s">
        <v>37545</v>
      </c>
      <c r="G6041" t="s">
        <v>39132</v>
      </c>
      <c r="H6041" t="s">
        <v>868</v>
      </c>
      <c r="I6041" t="s">
        <v>869</v>
      </c>
      <c r="J6041" t="str">
        <f>"9280037"</f>
        <v>9280037</v>
      </c>
      <c r="K6041">
        <v>2741036355</v>
      </c>
      <c r="L6041">
        <v>2741036355</v>
      </c>
      <c r="M6041" t="s">
        <v>39148</v>
      </c>
      <c r="N6041" t="s">
        <v>39135</v>
      </c>
      <c r="O6041" t="s">
        <v>39149</v>
      </c>
      <c r="P6041">
        <v>20100</v>
      </c>
      <c r="Q6041" t="str">
        <f>"37.900889"</f>
        <v>37.900889</v>
      </c>
      <c r="R6041" t="str">
        <f>"22.926953"</f>
        <v>22.926953</v>
      </c>
      <c r="S6041" t="s">
        <v>26</v>
      </c>
    </row>
    <row r="6042" spans="1:19" x14ac:dyDescent="0.3">
      <c r="A6042" t="s">
        <v>37529</v>
      </c>
      <c r="B6042" t="s">
        <v>39076</v>
      </c>
      <c r="C6042" t="s">
        <v>39153</v>
      </c>
      <c r="D6042" t="s">
        <v>37544</v>
      </c>
      <c r="E6042" t="s">
        <v>37545</v>
      </c>
      <c r="F6042" t="s">
        <v>37545</v>
      </c>
      <c r="G6042" t="s">
        <v>37546</v>
      </c>
      <c r="H6042" t="s">
        <v>868</v>
      </c>
      <c r="I6042" t="s">
        <v>869</v>
      </c>
      <c r="J6042" t="str">
        <f>"9280010"</f>
        <v>9280010</v>
      </c>
      <c r="K6042">
        <v>2741021980</v>
      </c>
      <c r="L6042">
        <v>2741021980</v>
      </c>
      <c r="M6042" t="s">
        <v>39154</v>
      </c>
      <c r="N6042" t="s">
        <v>37855</v>
      </c>
      <c r="O6042" t="s">
        <v>39155</v>
      </c>
      <c r="P6042">
        <v>20100</v>
      </c>
      <c r="Q6042" t="str">
        <f>"37.935968"</f>
        <v>37.935968</v>
      </c>
      <c r="R6042" t="str">
        <f>"22.940520"</f>
        <v>22.940520</v>
      </c>
      <c r="S6042" t="s">
        <v>26</v>
      </c>
    </row>
    <row r="6043" spans="1:19" x14ac:dyDescent="0.3">
      <c r="A6043" t="s">
        <v>37529</v>
      </c>
      <c r="B6043" t="s">
        <v>39076</v>
      </c>
      <c r="C6043" t="s">
        <v>37957</v>
      </c>
      <c r="D6043" t="s">
        <v>37544</v>
      </c>
      <c r="E6043" t="s">
        <v>37845</v>
      </c>
      <c r="F6043" t="s">
        <v>37846</v>
      </c>
      <c r="G6043" t="s">
        <v>37953</v>
      </c>
      <c r="H6043" t="s">
        <v>868</v>
      </c>
      <c r="I6043" t="s">
        <v>869</v>
      </c>
      <c r="J6043" t="str">
        <f>"9280040"</f>
        <v>9280040</v>
      </c>
      <c r="K6043">
        <v>2741048245</v>
      </c>
      <c r="L6043">
        <v>2741048245</v>
      </c>
      <c r="M6043" t="s">
        <v>39215</v>
      </c>
      <c r="N6043" t="s">
        <v>38075</v>
      </c>
      <c r="O6043" t="s">
        <v>38064</v>
      </c>
      <c r="P6043">
        <v>20100</v>
      </c>
      <c r="Q6043" t="str">
        <f>"37.919624"</f>
        <v>37.919624</v>
      </c>
      <c r="R6043" t="str">
        <f>"23.007550"</f>
        <v>23.007550</v>
      </c>
      <c r="S6043" t="s">
        <v>26</v>
      </c>
    </row>
    <row r="6044" spans="1:19" x14ac:dyDescent="0.3">
      <c r="A6044" t="s">
        <v>37529</v>
      </c>
      <c r="B6044" t="s">
        <v>39076</v>
      </c>
      <c r="C6044" t="s">
        <v>39227</v>
      </c>
      <c r="D6044" t="s">
        <v>37544</v>
      </c>
      <c r="E6044" t="s">
        <v>37869</v>
      </c>
      <c r="F6044" t="s">
        <v>37869</v>
      </c>
      <c r="G6044" t="s">
        <v>39226</v>
      </c>
      <c r="H6044" t="s">
        <v>868</v>
      </c>
      <c r="I6044" t="s">
        <v>950</v>
      </c>
      <c r="J6044" t="str">
        <f>"9280044"</f>
        <v>9280044</v>
      </c>
      <c r="K6044">
        <v>2746031210</v>
      </c>
      <c r="L6044">
        <v>2746031210</v>
      </c>
      <c r="M6044" t="s">
        <v>39228</v>
      </c>
      <c r="N6044" t="s">
        <v>39229</v>
      </c>
      <c r="O6044" t="s">
        <v>39229</v>
      </c>
      <c r="P6044">
        <v>20500</v>
      </c>
      <c r="Q6044" t="str">
        <f>"37.820266"</f>
        <v>37.820266</v>
      </c>
      <c r="R6044" t="str">
        <f>"22.751876"</f>
        <v>22.751876</v>
      </c>
      <c r="S6044" t="s">
        <v>26</v>
      </c>
    </row>
    <row r="6045" spans="1:19" x14ac:dyDescent="0.3">
      <c r="A6045" t="s">
        <v>37529</v>
      </c>
      <c r="B6045" t="s">
        <v>39076</v>
      </c>
      <c r="C6045" t="s">
        <v>39230</v>
      </c>
      <c r="D6045" t="s">
        <v>37544</v>
      </c>
      <c r="E6045" t="s">
        <v>37545</v>
      </c>
      <c r="F6045" t="s">
        <v>37980</v>
      </c>
      <c r="G6045" t="s">
        <v>39171</v>
      </c>
      <c r="H6045" t="s">
        <v>868</v>
      </c>
      <c r="I6045" t="s">
        <v>869</v>
      </c>
      <c r="J6045" t="str">
        <f>"9280030"</f>
        <v>9280030</v>
      </c>
      <c r="K6045">
        <v>2741086420</v>
      </c>
      <c r="L6045">
        <v>2741086420</v>
      </c>
      <c r="M6045" t="s">
        <v>39231</v>
      </c>
      <c r="N6045" t="s">
        <v>39232</v>
      </c>
      <c r="O6045" t="s">
        <v>39233</v>
      </c>
      <c r="P6045">
        <v>20006</v>
      </c>
      <c r="Q6045" t="str">
        <f>"37.938134"</f>
        <v>37.938134</v>
      </c>
      <c r="R6045" t="str">
        <f>"22.823846"</f>
        <v>22.823846</v>
      </c>
      <c r="S6045" t="s">
        <v>26</v>
      </c>
    </row>
    <row r="6046" spans="1:19" x14ac:dyDescent="0.3">
      <c r="A6046" t="s">
        <v>37529</v>
      </c>
      <c r="B6046" t="s">
        <v>39076</v>
      </c>
      <c r="C6046" t="s">
        <v>37902</v>
      </c>
      <c r="D6046" t="s">
        <v>37544</v>
      </c>
      <c r="E6046" t="s">
        <v>37895</v>
      </c>
      <c r="F6046" t="s">
        <v>37896</v>
      </c>
      <c r="G6046" t="s">
        <v>37897</v>
      </c>
      <c r="H6046" t="s">
        <v>868</v>
      </c>
      <c r="I6046" t="s">
        <v>869</v>
      </c>
      <c r="J6046" t="str">
        <f>"9280033"</f>
        <v>9280033</v>
      </c>
      <c r="K6046">
        <v>2741055234</v>
      </c>
      <c r="L6046">
        <v>2741050148</v>
      </c>
      <c r="M6046" t="s">
        <v>39234</v>
      </c>
      <c r="N6046" t="s">
        <v>39235</v>
      </c>
      <c r="O6046" t="s">
        <v>39236</v>
      </c>
      <c r="P6046">
        <v>20006</v>
      </c>
      <c r="Q6046" t="str">
        <f>"37.953562"</f>
        <v>37.953562</v>
      </c>
      <c r="R6046" t="str">
        <f>"22.798630"</f>
        <v>22.798630</v>
      </c>
      <c r="S6046" t="s">
        <v>26</v>
      </c>
    </row>
    <row r="6047" spans="1:19" x14ac:dyDescent="0.3">
      <c r="A6047" t="s">
        <v>37529</v>
      </c>
      <c r="B6047" t="s">
        <v>39076</v>
      </c>
      <c r="C6047" t="s">
        <v>39237</v>
      </c>
      <c r="D6047" t="s">
        <v>37544</v>
      </c>
      <c r="E6047" t="s">
        <v>37545</v>
      </c>
      <c r="F6047" t="s">
        <v>37545</v>
      </c>
      <c r="G6047" t="s">
        <v>37546</v>
      </c>
      <c r="H6047" t="s">
        <v>868</v>
      </c>
      <c r="I6047" t="s">
        <v>869</v>
      </c>
      <c r="J6047" t="str">
        <f>"9280008"</f>
        <v>9280008</v>
      </c>
      <c r="K6047">
        <v>2741023263</v>
      </c>
      <c r="L6047">
        <v>2741023263</v>
      </c>
      <c r="M6047" t="s">
        <v>39238</v>
      </c>
      <c r="N6047" t="s">
        <v>37855</v>
      </c>
      <c r="O6047" t="s">
        <v>39239</v>
      </c>
      <c r="P6047">
        <v>20131</v>
      </c>
      <c r="Q6047" t="str">
        <f>"37.938285"</f>
        <v>37.938285</v>
      </c>
      <c r="R6047" t="str">
        <f>"22.936684"</f>
        <v>22.936684</v>
      </c>
      <c r="S6047" t="s">
        <v>26</v>
      </c>
    </row>
    <row r="6048" spans="1:19" x14ac:dyDescent="0.3">
      <c r="A6048" t="s">
        <v>37529</v>
      </c>
      <c r="B6048" t="s">
        <v>39076</v>
      </c>
      <c r="C6048" t="s">
        <v>38032</v>
      </c>
      <c r="D6048" t="s">
        <v>37544</v>
      </c>
      <c r="E6048" t="s">
        <v>37545</v>
      </c>
      <c r="F6048" t="s">
        <v>38027</v>
      </c>
      <c r="G6048" t="s">
        <v>38028</v>
      </c>
      <c r="H6048" t="s">
        <v>868</v>
      </c>
      <c r="I6048" t="s">
        <v>869</v>
      </c>
      <c r="J6048" t="str">
        <f>"9280063"</f>
        <v>9280063</v>
      </c>
      <c r="K6048">
        <v>2741093210</v>
      </c>
      <c r="L6048">
        <v>2741093210</v>
      </c>
      <c r="M6048" t="s">
        <v>39240</v>
      </c>
      <c r="N6048" t="s">
        <v>38031</v>
      </c>
      <c r="O6048" t="s">
        <v>38031</v>
      </c>
      <c r="P6048">
        <v>20004</v>
      </c>
      <c r="Q6048" t="str">
        <f>"37.792982"</f>
        <v>37.792982</v>
      </c>
      <c r="R6048" t="str">
        <f>"23.052822"</f>
        <v>23.052822</v>
      </c>
      <c r="S6048" t="s">
        <v>26</v>
      </c>
    </row>
    <row r="6049" spans="1:19" x14ac:dyDescent="0.3">
      <c r="A6049" t="s">
        <v>37529</v>
      </c>
      <c r="B6049" t="s">
        <v>39076</v>
      </c>
      <c r="C6049" t="s">
        <v>37906</v>
      </c>
      <c r="D6049" t="s">
        <v>37544</v>
      </c>
      <c r="E6049" t="s">
        <v>37545</v>
      </c>
      <c r="F6049" t="s">
        <v>37545</v>
      </c>
      <c r="G6049" t="s">
        <v>37546</v>
      </c>
      <c r="H6049" t="s">
        <v>868</v>
      </c>
      <c r="I6049" t="s">
        <v>869</v>
      </c>
      <c r="J6049" t="str">
        <f>"9280208"</f>
        <v>9280208</v>
      </c>
      <c r="K6049">
        <v>2741026644</v>
      </c>
      <c r="L6049">
        <v>2741026644</v>
      </c>
      <c r="M6049" t="s">
        <v>39241</v>
      </c>
      <c r="N6049" t="s">
        <v>37855</v>
      </c>
      <c r="O6049" t="s">
        <v>39242</v>
      </c>
      <c r="P6049">
        <v>20132</v>
      </c>
      <c r="Q6049" t="str">
        <f>"37.939510"</f>
        <v>37.939510</v>
      </c>
      <c r="R6049" t="str">
        <f>"22.945121"</f>
        <v>22.945121</v>
      </c>
      <c r="S6049" t="s">
        <v>26</v>
      </c>
    </row>
    <row r="6050" spans="1:19" x14ac:dyDescent="0.3">
      <c r="A6050" t="s">
        <v>37529</v>
      </c>
      <c r="B6050" t="s">
        <v>39076</v>
      </c>
      <c r="C6050" t="s">
        <v>39243</v>
      </c>
      <c r="D6050" t="s">
        <v>37544</v>
      </c>
      <c r="E6050" t="s">
        <v>37545</v>
      </c>
      <c r="F6050" t="s">
        <v>37980</v>
      </c>
      <c r="G6050" t="s">
        <v>39150</v>
      </c>
      <c r="H6050" t="s">
        <v>868</v>
      </c>
      <c r="I6050" t="s">
        <v>869</v>
      </c>
      <c r="J6050" t="str">
        <f>"9280057"</f>
        <v>9280057</v>
      </c>
      <c r="K6050">
        <v>2741086265</v>
      </c>
      <c r="L6050">
        <v>2741086776</v>
      </c>
      <c r="M6050" t="s">
        <v>39244</v>
      </c>
      <c r="N6050" t="s">
        <v>1745</v>
      </c>
      <c r="O6050" t="s">
        <v>39245</v>
      </c>
      <c r="P6050">
        <v>20011</v>
      </c>
      <c r="Q6050" t="str">
        <f>"37.938986"</f>
        <v>37.938986</v>
      </c>
      <c r="R6050" t="str">
        <f>"22.833368"</f>
        <v>22.833368</v>
      </c>
      <c r="S6050" t="s">
        <v>26</v>
      </c>
    </row>
    <row r="6051" spans="1:19" x14ac:dyDescent="0.3">
      <c r="A6051" t="s">
        <v>37529</v>
      </c>
      <c r="B6051" t="s">
        <v>39076</v>
      </c>
      <c r="C6051" t="s">
        <v>39246</v>
      </c>
      <c r="D6051" t="s">
        <v>37544</v>
      </c>
      <c r="E6051" t="s">
        <v>37845</v>
      </c>
      <c r="F6051" t="s">
        <v>37846</v>
      </c>
      <c r="G6051" t="s">
        <v>37847</v>
      </c>
      <c r="H6051" t="s">
        <v>868</v>
      </c>
      <c r="I6051" t="s">
        <v>869</v>
      </c>
      <c r="J6051" t="str">
        <f>"9280011"</f>
        <v>9280011</v>
      </c>
      <c r="K6051">
        <v>2744063167</v>
      </c>
      <c r="L6051">
        <v>2744063167</v>
      </c>
      <c r="M6051" t="s">
        <v>39247</v>
      </c>
      <c r="N6051" t="s">
        <v>30857</v>
      </c>
      <c r="O6051" t="s">
        <v>39248</v>
      </c>
      <c r="P6051">
        <v>20300</v>
      </c>
      <c r="Q6051" t="str">
        <f>"37.975372"</f>
        <v>37.975372</v>
      </c>
      <c r="R6051" t="str">
        <f>"22.983224"</f>
        <v>22.983224</v>
      </c>
      <c r="S6051" t="s">
        <v>26</v>
      </c>
    </row>
    <row r="6052" spans="1:19" x14ac:dyDescent="0.3">
      <c r="A6052" t="s">
        <v>37529</v>
      </c>
      <c r="B6052" t="s">
        <v>39076</v>
      </c>
      <c r="C6052" t="s">
        <v>39249</v>
      </c>
      <c r="D6052" t="s">
        <v>37544</v>
      </c>
      <c r="E6052" t="s">
        <v>37895</v>
      </c>
      <c r="F6052" t="s">
        <v>37896</v>
      </c>
      <c r="G6052" t="s">
        <v>37945</v>
      </c>
      <c r="H6052" t="s">
        <v>868</v>
      </c>
      <c r="I6052" t="s">
        <v>869</v>
      </c>
      <c r="J6052" t="str">
        <f>"9280227"</f>
        <v>9280227</v>
      </c>
      <c r="K6052">
        <v>2741051870</v>
      </c>
      <c r="L6052">
        <v>2741051870</v>
      </c>
      <c r="M6052" t="s">
        <v>39250</v>
      </c>
      <c r="N6052" t="s">
        <v>38067</v>
      </c>
      <c r="O6052" t="s">
        <v>38067</v>
      </c>
      <c r="P6052">
        <v>20001</v>
      </c>
      <c r="Q6052" t="str">
        <f>"37.920774"</f>
        <v>37.920774</v>
      </c>
      <c r="R6052" t="str">
        <f>"22.800664"</f>
        <v>22.800664</v>
      </c>
      <c r="S6052" t="s">
        <v>26</v>
      </c>
    </row>
    <row r="6053" spans="1:19" x14ac:dyDescent="0.3">
      <c r="A6053" t="s">
        <v>37529</v>
      </c>
      <c r="B6053" t="s">
        <v>39076</v>
      </c>
      <c r="C6053" t="s">
        <v>37864</v>
      </c>
      <c r="D6053" t="s">
        <v>37544</v>
      </c>
      <c r="E6053" t="s">
        <v>37545</v>
      </c>
      <c r="F6053" t="s">
        <v>37858</v>
      </c>
      <c r="G6053" t="s">
        <v>37859</v>
      </c>
      <c r="H6053" t="s">
        <v>868</v>
      </c>
      <c r="I6053" t="s">
        <v>869</v>
      </c>
      <c r="J6053" t="str">
        <f>"9280067"</f>
        <v>9280067</v>
      </c>
      <c r="K6053">
        <v>2741098241</v>
      </c>
      <c r="L6053">
        <v>2741098241</v>
      </c>
      <c r="M6053" t="s">
        <v>39255</v>
      </c>
      <c r="N6053" t="s">
        <v>39256</v>
      </c>
      <c r="O6053" t="s">
        <v>39257</v>
      </c>
      <c r="P6053">
        <v>20008</v>
      </c>
      <c r="Q6053" t="str">
        <f>"37.807173"</f>
        <v>37.807173</v>
      </c>
      <c r="R6053" t="str">
        <f>"22.872278"</f>
        <v>22.872278</v>
      </c>
      <c r="S6053" t="s">
        <v>26</v>
      </c>
    </row>
    <row r="6054" spans="1:19" x14ac:dyDescent="0.3">
      <c r="A6054" t="s">
        <v>37529</v>
      </c>
      <c r="B6054" t="s">
        <v>39076</v>
      </c>
      <c r="C6054" t="s">
        <v>37935</v>
      </c>
      <c r="D6054" t="s">
        <v>37544</v>
      </c>
      <c r="E6054" t="s">
        <v>37875</v>
      </c>
      <c r="F6054" t="s">
        <v>37929</v>
      </c>
      <c r="G6054" t="s">
        <v>37930</v>
      </c>
      <c r="H6054" t="s">
        <v>868</v>
      </c>
      <c r="I6054" t="s">
        <v>869</v>
      </c>
      <c r="J6054" t="str">
        <f>"9280086"</f>
        <v>9280086</v>
      </c>
      <c r="K6054">
        <v>2743031249</v>
      </c>
      <c r="L6054">
        <v>2743306770</v>
      </c>
      <c r="M6054" t="s">
        <v>39258</v>
      </c>
      <c r="N6054" t="s">
        <v>39259</v>
      </c>
      <c r="O6054" t="s">
        <v>39259</v>
      </c>
      <c r="P6054">
        <v>20009</v>
      </c>
      <c r="Q6054" t="str">
        <f>"38.131412"</f>
        <v>38.131412</v>
      </c>
      <c r="R6054" t="str">
        <f>"22.411542"</f>
        <v>22.411542</v>
      </c>
      <c r="S6054" t="s">
        <v>26</v>
      </c>
    </row>
    <row r="6055" spans="1:19" x14ac:dyDescent="0.3">
      <c r="A6055" t="s">
        <v>37529</v>
      </c>
      <c r="B6055" t="s">
        <v>39076</v>
      </c>
      <c r="C6055" t="s">
        <v>39260</v>
      </c>
      <c r="D6055" t="s">
        <v>37544</v>
      </c>
      <c r="E6055" t="s">
        <v>37545</v>
      </c>
      <c r="F6055" t="s">
        <v>37545</v>
      </c>
      <c r="G6055" t="s">
        <v>38072</v>
      </c>
      <c r="H6055" t="s">
        <v>868</v>
      </c>
      <c r="I6055" t="s">
        <v>869</v>
      </c>
      <c r="J6055" t="str">
        <f>"9280026"</f>
        <v>9280026</v>
      </c>
      <c r="K6055">
        <v>2741031214</v>
      </c>
      <c r="L6055">
        <v>2741032636</v>
      </c>
      <c r="M6055" t="s">
        <v>39261</v>
      </c>
      <c r="N6055" t="s">
        <v>39142</v>
      </c>
      <c r="O6055" t="s">
        <v>39142</v>
      </c>
      <c r="P6055">
        <v>20007</v>
      </c>
      <c r="Q6055" t="str">
        <f>"37.904358"</f>
        <v>37.904358</v>
      </c>
      <c r="R6055" t="str">
        <f>"22.880982"</f>
        <v>22.880982</v>
      </c>
      <c r="S6055" t="s">
        <v>26</v>
      </c>
    </row>
    <row r="6056" spans="1:19" x14ac:dyDescent="0.3">
      <c r="A6056" t="s">
        <v>37529</v>
      </c>
      <c r="B6056" t="s">
        <v>39076</v>
      </c>
      <c r="C6056" t="s">
        <v>39262</v>
      </c>
      <c r="D6056" t="s">
        <v>37544</v>
      </c>
      <c r="E6056" t="s">
        <v>37545</v>
      </c>
      <c r="F6056" t="s">
        <v>37545</v>
      </c>
      <c r="G6056" t="s">
        <v>39101</v>
      </c>
      <c r="H6056" t="s">
        <v>868</v>
      </c>
      <c r="I6056" t="s">
        <v>869</v>
      </c>
      <c r="J6056" t="str">
        <f>"9280056"</f>
        <v>9280056</v>
      </c>
      <c r="K6056">
        <v>2741036234</v>
      </c>
      <c r="M6056" t="s">
        <v>39263</v>
      </c>
      <c r="N6056" t="s">
        <v>39264</v>
      </c>
      <c r="O6056" t="s">
        <v>39105</v>
      </c>
      <c r="P6056">
        <v>20100</v>
      </c>
      <c r="Q6056" t="str">
        <f>"37.885339"</f>
        <v>37.885339</v>
      </c>
      <c r="R6056" t="str">
        <f>"22.941226"</f>
        <v>22.941226</v>
      </c>
      <c r="S6056" t="s">
        <v>26</v>
      </c>
    </row>
    <row r="6057" spans="1:19" x14ac:dyDescent="0.3">
      <c r="A6057" t="s">
        <v>37529</v>
      </c>
      <c r="B6057" t="s">
        <v>39076</v>
      </c>
      <c r="C6057" t="s">
        <v>39265</v>
      </c>
      <c r="D6057" t="s">
        <v>37544</v>
      </c>
      <c r="E6057" t="s">
        <v>37545</v>
      </c>
      <c r="F6057" t="s">
        <v>37545</v>
      </c>
      <c r="G6057" t="s">
        <v>39136</v>
      </c>
      <c r="H6057" t="s">
        <v>868</v>
      </c>
      <c r="I6057" t="s">
        <v>950</v>
      </c>
      <c r="J6057" t="str">
        <f>"9280060"</f>
        <v>9280060</v>
      </c>
      <c r="K6057">
        <v>2741031372</v>
      </c>
      <c r="L6057">
        <v>2741031372</v>
      </c>
      <c r="M6057" t="s">
        <v>39266</v>
      </c>
      <c r="N6057" t="s">
        <v>39267</v>
      </c>
      <c r="O6057" t="s">
        <v>39139</v>
      </c>
      <c r="P6057">
        <v>20100</v>
      </c>
      <c r="Q6057" t="str">
        <f>"37.874727"</f>
        <v>37.874727</v>
      </c>
      <c r="R6057" t="str">
        <f>"22.889425"</f>
        <v>22.889425</v>
      </c>
      <c r="S6057" t="s">
        <v>26</v>
      </c>
    </row>
    <row r="6058" spans="1:19" x14ac:dyDescent="0.3">
      <c r="A6058" t="s">
        <v>37529</v>
      </c>
      <c r="B6058" t="s">
        <v>39076</v>
      </c>
      <c r="C6058" t="s">
        <v>38006</v>
      </c>
      <c r="D6058" t="s">
        <v>37544</v>
      </c>
      <c r="E6058" t="s">
        <v>37545</v>
      </c>
      <c r="F6058" t="s">
        <v>37545</v>
      </c>
      <c r="G6058" t="s">
        <v>37546</v>
      </c>
      <c r="H6058" t="s">
        <v>868</v>
      </c>
      <c r="I6058" t="s">
        <v>869</v>
      </c>
      <c r="J6058" t="str">
        <f>"9280001"</f>
        <v>9280001</v>
      </c>
      <c r="K6058">
        <v>2741022321</v>
      </c>
      <c r="L6058">
        <v>2741022321</v>
      </c>
      <c r="M6058" t="s">
        <v>39268</v>
      </c>
      <c r="N6058" t="s">
        <v>37855</v>
      </c>
      <c r="O6058" t="s">
        <v>39269</v>
      </c>
      <c r="P6058">
        <v>20131</v>
      </c>
      <c r="Q6058" t="str">
        <f>"37.938374"</f>
        <v>37.938374</v>
      </c>
      <c r="R6058" t="str">
        <f>"22.931363"</f>
        <v>22.931363</v>
      </c>
      <c r="S6058" t="s">
        <v>26</v>
      </c>
    </row>
    <row r="6059" spans="1:19" x14ac:dyDescent="0.3">
      <c r="A6059" t="s">
        <v>37529</v>
      </c>
      <c r="B6059" t="s">
        <v>39076</v>
      </c>
      <c r="C6059" t="s">
        <v>37950</v>
      </c>
      <c r="D6059" t="s">
        <v>37544</v>
      </c>
      <c r="E6059" t="s">
        <v>37895</v>
      </c>
      <c r="F6059" t="s">
        <v>37896</v>
      </c>
      <c r="G6059" t="s">
        <v>37945</v>
      </c>
      <c r="H6059" t="s">
        <v>868</v>
      </c>
      <c r="I6059" t="s">
        <v>869</v>
      </c>
      <c r="J6059" t="str">
        <f>"9280038"</f>
        <v>9280038</v>
      </c>
      <c r="K6059">
        <v>2741054326</v>
      </c>
      <c r="L6059">
        <v>2741053637</v>
      </c>
      <c r="M6059" t="s">
        <v>39270</v>
      </c>
      <c r="N6059" t="s">
        <v>38885</v>
      </c>
      <c r="O6059" t="s">
        <v>39271</v>
      </c>
      <c r="P6059">
        <v>20001</v>
      </c>
      <c r="Q6059" t="str">
        <f>"37.938561"</f>
        <v>37.938561</v>
      </c>
      <c r="R6059" t="str">
        <f>"22.800061"</f>
        <v>22.800061</v>
      </c>
      <c r="S6059" t="s">
        <v>26</v>
      </c>
    </row>
    <row r="6060" spans="1:19" x14ac:dyDescent="0.3">
      <c r="A6060" t="s">
        <v>37529</v>
      </c>
      <c r="B6060" t="s">
        <v>39076</v>
      </c>
      <c r="C6060" t="s">
        <v>39272</v>
      </c>
      <c r="D6060" t="s">
        <v>37544</v>
      </c>
      <c r="E6060" t="s">
        <v>37895</v>
      </c>
      <c r="F6060" t="s">
        <v>37896</v>
      </c>
      <c r="G6060" t="s">
        <v>39197</v>
      </c>
      <c r="H6060" t="s">
        <v>868</v>
      </c>
      <c r="I6060" t="s">
        <v>869</v>
      </c>
      <c r="J6060" t="str">
        <f>"9280031"</f>
        <v>9280031</v>
      </c>
      <c r="K6060">
        <v>2741055670</v>
      </c>
      <c r="L6060">
        <v>2741050088</v>
      </c>
      <c r="M6060" t="s">
        <v>39273</v>
      </c>
      <c r="N6060" t="s">
        <v>39200</v>
      </c>
      <c r="O6060" t="s">
        <v>39200</v>
      </c>
      <c r="P6060">
        <v>20006</v>
      </c>
      <c r="Q6060" t="str">
        <f>"37.950158"</f>
        <v>37.950158</v>
      </c>
      <c r="R6060" t="str">
        <f>"22.795272"</f>
        <v>22.795272</v>
      </c>
      <c r="S6060" t="s">
        <v>26</v>
      </c>
    </row>
    <row r="6061" spans="1:19" x14ac:dyDescent="0.3">
      <c r="A6061" t="s">
        <v>37529</v>
      </c>
      <c r="B6061" t="s">
        <v>39076</v>
      </c>
      <c r="C6061" t="s">
        <v>37857</v>
      </c>
      <c r="D6061" t="s">
        <v>37544</v>
      </c>
      <c r="E6061" t="s">
        <v>37545</v>
      </c>
      <c r="F6061" t="s">
        <v>37545</v>
      </c>
      <c r="G6061" t="s">
        <v>37546</v>
      </c>
      <c r="H6061" t="s">
        <v>868</v>
      </c>
      <c r="I6061" t="s">
        <v>869</v>
      </c>
      <c r="J6061" t="str">
        <f>"9280003"</f>
        <v>9280003</v>
      </c>
      <c r="K6061">
        <v>2741022511</v>
      </c>
      <c r="M6061" t="s">
        <v>39274</v>
      </c>
      <c r="N6061" t="s">
        <v>37855</v>
      </c>
      <c r="O6061" t="s">
        <v>39275</v>
      </c>
      <c r="P6061">
        <v>20131</v>
      </c>
      <c r="Q6061" t="str">
        <f>"37.935094"</f>
        <v>37.935094</v>
      </c>
      <c r="R6061" t="str">
        <f>"22.926043"</f>
        <v>22.926043</v>
      </c>
      <c r="S6061" t="s">
        <v>26</v>
      </c>
    </row>
    <row r="6062" spans="1:19" x14ac:dyDescent="0.3">
      <c r="A6062" t="s">
        <v>37529</v>
      </c>
      <c r="B6062" t="s">
        <v>39076</v>
      </c>
      <c r="C6062" t="s">
        <v>39276</v>
      </c>
      <c r="D6062" t="s">
        <v>37544</v>
      </c>
      <c r="E6062" t="s">
        <v>37545</v>
      </c>
      <c r="F6062" t="s">
        <v>3997</v>
      </c>
      <c r="G6062" t="s">
        <v>39192</v>
      </c>
      <c r="H6062" t="s">
        <v>868</v>
      </c>
      <c r="I6062" t="s">
        <v>869</v>
      </c>
      <c r="J6062" t="str">
        <f>"9280034"</f>
        <v>9280034</v>
      </c>
      <c r="K6062">
        <v>2741033603</v>
      </c>
      <c r="L6062">
        <v>2741033603</v>
      </c>
      <c r="M6062" t="s">
        <v>39277</v>
      </c>
      <c r="N6062" t="s">
        <v>39196</v>
      </c>
      <c r="O6062" t="s">
        <v>39278</v>
      </c>
      <c r="P6062">
        <v>20100</v>
      </c>
      <c r="Q6062" t="str">
        <f>"37.848173"</f>
        <v>37.848173</v>
      </c>
      <c r="R6062" t="str">
        <f>"22.999954"</f>
        <v>22.999954</v>
      </c>
      <c r="S6062" t="s">
        <v>26</v>
      </c>
    </row>
    <row r="6063" spans="1:19" x14ac:dyDescent="0.3">
      <c r="A6063" t="s">
        <v>37529</v>
      </c>
      <c r="B6063" t="s">
        <v>39076</v>
      </c>
      <c r="C6063" t="s">
        <v>39279</v>
      </c>
      <c r="D6063" t="s">
        <v>37544</v>
      </c>
      <c r="E6063" t="s">
        <v>37845</v>
      </c>
      <c r="F6063" t="s">
        <v>22748</v>
      </c>
      <c r="G6063" t="s">
        <v>22748</v>
      </c>
      <c r="H6063" t="s">
        <v>868</v>
      </c>
      <c r="I6063" t="s">
        <v>869</v>
      </c>
      <c r="J6063" t="str">
        <f>"9280021"</f>
        <v>9280021</v>
      </c>
      <c r="K6063">
        <v>2741067459</v>
      </c>
      <c r="L6063">
        <v>2741067459</v>
      </c>
      <c r="M6063" t="s">
        <v>39280</v>
      </c>
      <c r="N6063" t="s">
        <v>22752</v>
      </c>
      <c r="O6063" t="s">
        <v>22752</v>
      </c>
      <c r="P6063">
        <v>20003</v>
      </c>
      <c r="Q6063" t="str">
        <f>"37.928795"</f>
        <v>37.928795</v>
      </c>
      <c r="R6063" t="str">
        <f>"23.141635"</f>
        <v>23.141635</v>
      </c>
      <c r="S6063" t="s">
        <v>26</v>
      </c>
    </row>
    <row r="6064" spans="1:19" x14ac:dyDescent="0.3">
      <c r="A6064" t="s">
        <v>37529</v>
      </c>
      <c r="B6064" t="s">
        <v>39076</v>
      </c>
      <c r="C6064" t="s">
        <v>39281</v>
      </c>
      <c r="D6064" t="s">
        <v>37544</v>
      </c>
      <c r="E6064" t="s">
        <v>37545</v>
      </c>
      <c r="F6064" t="s">
        <v>37858</v>
      </c>
      <c r="G6064" t="s">
        <v>39156</v>
      </c>
      <c r="H6064" t="s">
        <v>868</v>
      </c>
      <c r="I6064" t="s">
        <v>869</v>
      </c>
      <c r="J6064" t="str">
        <f>"9280045"</f>
        <v>9280045</v>
      </c>
      <c r="K6064">
        <v>2741098404</v>
      </c>
      <c r="L6064">
        <v>2741098404</v>
      </c>
      <c r="M6064" t="s">
        <v>39282</v>
      </c>
      <c r="O6064" t="s">
        <v>39159</v>
      </c>
      <c r="P6064">
        <v>20008</v>
      </c>
      <c r="Q6064" t="str">
        <f>"37.787434"</f>
        <v>37.787434</v>
      </c>
      <c r="R6064" t="str">
        <f>"22.863214"</f>
        <v>22.863214</v>
      </c>
      <c r="S6064" t="s">
        <v>26</v>
      </c>
    </row>
    <row r="6065" spans="1:19" x14ac:dyDescent="0.3">
      <c r="A6065" t="s">
        <v>37529</v>
      </c>
      <c r="B6065" t="s">
        <v>39076</v>
      </c>
      <c r="C6065" t="s">
        <v>37986</v>
      </c>
      <c r="D6065" t="s">
        <v>37544</v>
      </c>
      <c r="E6065" t="s">
        <v>37545</v>
      </c>
      <c r="F6065" t="s">
        <v>37980</v>
      </c>
      <c r="G6065" t="s">
        <v>37981</v>
      </c>
      <c r="H6065" t="s">
        <v>868</v>
      </c>
      <c r="I6065" t="s">
        <v>869</v>
      </c>
      <c r="J6065" t="str">
        <f>"9280052"</f>
        <v>9280052</v>
      </c>
      <c r="K6065">
        <v>2741086279</v>
      </c>
      <c r="L6065">
        <v>2741086279</v>
      </c>
      <c r="M6065" t="s">
        <v>39283</v>
      </c>
      <c r="N6065" t="s">
        <v>37984</v>
      </c>
      <c r="O6065" t="s">
        <v>37984</v>
      </c>
      <c r="P6065">
        <v>20011</v>
      </c>
      <c r="Q6065" t="str">
        <f>"37.933270"</f>
        <v>37.933270</v>
      </c>
      <c r="R6065" t="str">
        <f>"22.849727"</f>
        <v>22.849727</v>
      </c>
      <c r="S6065" t="s">
        <v>26</v>
      </c>
    </row>
    <row r="6066" spans="1:19" x14ac:dyDescent="0.3">
      <c r="A6066" t="s">
        <v>37529</v>
      </c>
      <c r="B6066" t="s">
        <v>39076</v>
      </c>
      <c r="C6066" t="s">
        <v>39284</v>
      </c>
      <c r="D6066" t="s">
        <v>37544</v>
      </c>
      <c r="E6066" t="s">
        <v>37545</v>
      </c>
      <c r="F6066" t="s">
        <v>37545</v>
      </c>
      <c r="G6066" t="s">
        <v>37546</v>
      </c>
      <c r="H6066" t="s">
        <v>868</v>
      </c>
      <c r="I6066" t="s">
        <v>869</v>
      </c>
      <c r="J6066" t="str">
        <f>"9280184"</f>
        <v>9280184</v>
      </c>
      <c r="K6066">
        <v>2741022028</v>
      </c>
      <c r="L6066">
        <v>2741022028</v>
      </c>
      <c r="M6066" t="s">
        <v>39285</v>
      </c>
      <c r="N6066" t="s">
        <v>37855</v>
      </c>
      <c r="O6066" t="s">
        <v>39286</v>
      </c>
      <c r="P6066">
        <v>20131</v>
      </c>
      <c r="Q6066" t="str">
        <f>"37.943049"</f>
        <v>37.943049</v>
      </c>
      <c r="R6066" t="str">
        <f>"22.927016"</f>
        <v>22.927016</v>
      </c>
      <c r="S6066" t="s">
        <v>26</v>
      </c>
    </row>
    <row r="6067" spans="1:19" x14ac:dyDescent="0.3">
      <c r="A6067" t="s">
        <v>37529</v>
      </c>
      <c r="B6067" t="s">
        <v>39076</v>
      </c>
      <c r="C6067" t="s">
        <v>39287</v>
      </c>
      <c r="D6067" t="s">
        <v>37544</v>
      </c>
      <c r="E6067" t="s">
        <v>37545</v>
      </c>
      <c r="F6067" t="s">
        <v>37545</v>
      </c>
      <c r="G6067" t="s">
        <v>37546</v>
      </c>
      <c r="H6067" t="s">
        <v>868</v>
      </c>
      <c r="I6067" t="s">
        <v>869</v>
      </c>
      <c r="J6067" t="str">
        <f>"9280006"</f>
        <v>9280006</v>
      </c>
      <c r="K6067">
        <v>2741024686</v>
      </c>
      <c r="L6067">
        <v>2741024686</v>
      </c>
      <c r="M6067" t="s">
        <v>39288</v>
      </c>
      <c r="N6067" t="s">
        <v>37855</v>
      </c>
      <c r="O6067" t="s">
        <v>39289</v>
      </c>
      <c r="P6067">
        <v>20132</v>
      </c>
      <c r="Q6067" t="str">
        <f>"37.939257"</f>
        <v>37.939257</v>
      </c>
      <c r="R6067" t="str">
        <f>"22.944775"</f>
        <v>22.944775</v>
      </c>
      <c r="S6067" t="s">
        <v>26</v>
      </c>
    </row>
    <row r="6068" spans="1:19" x14ac:dyDescent="0.3">
      <c r="A6068" t="s">
        <v>37529</v>
      </c>
      <c r="B6068" t="s">
        <v>39076</v>
      </c>
      <c r="C6068" t="s">
        <v>37890</v>
      </c>
      <c r="D6068" t="s">
        <v>37544</v>
      </c>
      <c r="E6068" t="s">
        <v>37545</v>
      </c>
      <c r="F6068" t="s">
        <v>3997</v>
      </c>
      <c r="G6068" t="s">
        <v>37885</v>
      </c>
      <c r="H6068" t="s">
        <v>868</v>
      </c>
      <c r="I6068" t="s">
        <v>869</v>
      </c>
      <c r="J6068" t="str">
        <f>"9280025"</f>
        <v>9280025</v>
      </c>
      <c r="K6068">
        <v>2741039238</v>
      </c>
      <c r="L6068">
        <v>2741039238</v>
      </c>
      <c r="M6068" t="s">
        <v>39290</v>
      </c>
      <c r="N6068" t="s">
        <v>39291</v>
      </c>
      <c r="O6068" t="s">
        <v>39292</v>
      </c>
      <c r="P6068">
        <v>20005</v>
      </c>
      <c r="Q6068" t="str">
        <f>"37.816351"</f>
        <v>37.816351</v>
      </c>
      <c r="R6068" t="str">
        <f>"22.924452"</f>
        <v>22.924452</v>
      </c>
      <c r="S6068" t="s">
        <v>26</v>
      </c>
    </row>
    <row r="6069" spans="1:19" x14ac:dyDescent="0.3">
      <c r="A6069" t="s">
        <v>37529</v>
      </c>
      <c r="B6069" t="s">
        <v>39076</v>
      </c>
      <c r="C6069" t="s">
        <v>39293</v>
      </c>
      <c r="D6069" t="s">
        <v>37544</v>
      </c>
      <c r="E6069" t="s">
        <v>37869</v>
      </c>
      <c r="F6069" t="s">
        <v>37869</v>
      </c>
      <c r="G6069" t="s">
        <v>37869</v>
      </c>
      <c r="H6069" t="s">
        <v>868</v>
      </c>
      <c r="I6069" t="s">
        <v>869</v>
      </c>
      <c r="J6069" t="str">
        <f>"9280054"</f>
        <v>9280054</v>
      </c>
      <c r="K6069">
        <v>2746022437</v>
      </c>
      <c r="L6069">
        <v>2746022437</v>
      </c>
      <c r="M6069" t="s">
        <v>39294</v>
      </c>
      <c r="N6069" t="s">
        <v>39295</v>
      </c>
      <c r="O6069" t="s">
        <v>39296</v>
      </c>
      <c r="P6069">
        <v>20500</v>
      </c>
      <c r="Q6069" t="str">
        <f>"37.820276"</f>
        <v>37.820276</v>
      </c>
      <c r="R6069" t="str">
        <f>"22.665324"</f>
        <v>22.665324</v>
      </c>
      <c r="S6069" t="s">
        <v>26</v>
      </c>
    </row>
    <row r="6070" spans="1:19" x14ac:dyDescent="0.3">
      <c r="A6070" t="s">
        <v>37529</v>
      </c>
      <c r="B6070" t="s">
        <v>39076</v>
      </c>
      <c r="C6070" t="s">
        <v>37874</v>
      </c>
      <c r="D6070" t="s">
        <v>37544</v>
      </c>
      <c r="E6070" t="s">
        <v>37869</v>
      </c>
      <c r="F6070" t="s">
        <v>37869</v>
      </c>
      <c r="G6070" t="s">
        <v>37869</v>
      </c>
      <c r="H6070" t="s">
        <v>868</v>
      </c>
      <c r="I6070" t="s">
        <v>869</v>
      </c>
      <c r="J6070" t="str">
        <f>"9280055"</f>
        <v>9280055</v>
      </c>
      <c r="K6070">
        <v>2746022652</v>
      </c>
      <c r="L6070">
        <v>2746022652</v>
      </c>
      <c r="M6070" t="s">
        <v>39297</v>
      </c>
      <c r="N6070" t="s">
        <v>37872</v>
      </c>
      <c r="O6070" t="s">
        <v>39298</v>
      </c>
      <c r="P6070">
        <v>20500</v>
      </c>
      <c r="Q6070" t="str">
        <f>"37.820354"</f>
        <v>37.820354</v>
      </c>
      <c r="R6070" t="str">
        <f>"22.661841"</f>
        <v>22.661841</v>
      </c>
      <c r="S6070" t="s">
        <v>26</v>
      </c>
    </row>
    <row r="6071" spans="1:19" x14ac:dyDescent="0.3">
      <c r="A6071" t="s">
        <v>37529</v>
      </c>
      <c r="B6071" t="s">
        <v>39076</v>
      </c>
      <c r="C6071" t="s">
        <v>37894</v>
      </c>
      <c r="D6071" t="s">
        <v>37544</v>
      </c>
      <c r="E6071" t="s">
        <v>37845</v>
      </c>
      <c r="F6071" t="s">
        <v>37846</v>
      </c>
      <c r="G6071" t="s">
        <v>37847</v>
      </c>
      <c r="H6071" t="s">
        <v>868</v>
      </c>
      <c r="I6071" t="s">
        <v>869</v>
      </c>
      <c r="J6071" t="str">
        <f>"9280164"</f>
        <v>9280164</v>
      </c>
      <c r="K6071">
        <v>2744063490</v>
      </c>
      <c r="L6071">
        <v>2744063490</v>
      </c>
      <c r="M6071" t="s">
        <v>39299</v>
      </c>
      <c r="N6071" t="s">
        <v>39300</v>
      </c>
      <c r="O6071" t="s">
        <v>39301</v>
      </c>
      <c r="P6071">
        <v>20300</v>
      </c>
      <c r="Q6071" t="str">
        <f>"37.969560"</f>
        <v>37.969560</v>
      </c>
      <c r="R6071" t="str">
        <f>"22.980808"</f>
        <v>22.980808</v>
      </c>
      <c r="S6071" t="s">
        <v>26</v>
      </c>
    </row>
    <row r="6072" spans="1:19" x14ac:dyDescent="0.3">
      <c r="A6072" t="s">
        <v>37529</v>
      </c>
      <c r="B6072" t="s">
        <v>39076</v>
      </c>
      <c r="C6072" t="s">
        <v>39302</v>
      </c>
      <c r="D6072" t="s">
        <v>37544</v>
      </c>
      <c r="E6072" t="s">
        <v>37545</v>
      </c>
      <c r="F6072" t="s">
        <v>37545</v>
      </c>
      <c r="G6072" t="s">
        <v>37546</v>
      </c>
      <c r="H6072" t="s">
        <v>868</v>
      </c>
      <c r="I6072" t="s">
        <v>869</v>
      </c>
      <c r="J6072" t="str">
        <f>"9280007"</f>
        <v>9280007</v>
      </c>
      <c r="K6072">
        <v>2741020305</v>
      </c>
      <c r="L6072">
        <v>2741020305</v>
      </c>
      <c r="M6072" t="s">
        <v>39303</v>
      </c>
      <c r="N6072" t="s">
        <v>37855</v>
      </c>
      <c r="O6072" t="s">
        <v>39304</v>
      </c>
      <c r="P6072">
        <v>20131</v>
      </c>
      <c r="Q6072" t="str">
        <f>"37.937472"</f>
        <v>37.937472</v>
      </c>
      <c r="R6072" t="str">
        <f>"22.917245"</f>
        <v>22.917245</v>
      </c>
      <c r="S6072" t="s">
        <v>26</v>
      </c>
    </row>
    <row r="6073" spans="1:19" x14ac:dyDescent="0.3">
      <c r="A6073" t="s">
        <v>37529</v>
      </c>
      <c r="B6073" t="s">
        <v>39076</v>
      </c>
      <c r="C6073" t="s">
        <v>37852</v>
      </c>
      <c r="D6073" t="s">
        <v>37544</v>
      </c>
      <c r="E6073" t="s">
        <v>37845</v>
      </c>
      <c r="F6073" t="s">
        <v>37846</v>
      </c>
      <c r="G6073" t="s">
        <v>37847</v>
      </c>
      <c r="H6073" t="s">
        <v>868</v>
      </c>
      <c r="I6073" t="s">
        <v>869</v>
      </c>
      <c r="J6073" t="str">
        <f>"9280014"</f>
        <v>9280014</v>
      </c>
      <c r="K6073">
        <v>2744079288</v>
      </c>
      <c r="L6073">
        <v>2744079288</v>
      </c>
      <c r="M6073" t="s">
        <v>39305</v>
      </c>
      <c r="O6073" t="s">
        <v>39306</v>
      </c>
      <c r="P6073">
        <v>20300</v>
      </c>
      <c r="Q6073" t="str">
        <f>"38.030577"</f>
        <v>38.030577</v>
      </c>
      <c r="R6073" t="str">
        <f>"22.944131"</f>
        <v>22.944131</v>
      </c>
      <c r="S6073" t="s">
        <v>26</v>
      </c>
    </row>
    <row r="6074" spans="1:19" x14ac:dyDescent="0.3">
      <c r="A6074" t="s">
        <v>37529</v>
      </c>
      <c r="B6074" t="s">
        <v>39076</v>
      </c>
      <c r="C6074" t="s">
        <v>37915</v>
      </c>
      <c r="D6074" t="s">
        <v>37544</v>
      </c>
      <c r="E6074" t="s">
        <v>37545</v>
      </c>
      <c r="F6074" t="s">
        <v>37545</v>
      </c>
      <c r="G6074" t="s">
        <v>37546</v>
      </c>
      <c r="H6074" t="s">
        <v>868</v>
      </c>
      <c r="I6074" t="s">
        <v>869</v>
      </c>
      <c r="J6074" t="str">
        <f>"9280201"</f>
        <v>9280201</v>
      </c>
      <c r="K6074">
        <v>2741028419</v>
      </c>
      <c r="L6074">
        <v>2741028419</v>
      </c>
      <c r="M6074" t="s">
        <v>39333</v>
      </c>
      <c r="N6074" t="s">
        <v>37855</v>
      </c>
      <c r="O6074" t="s">
        <v>39334</v>
      </c>
      <c r="P6074">
        <v>20131</v>
      </c>
      <c r="Q6074" t="str">
        <f>"37.935098"</f>
        <v>37.935098</v>
      </c>
      <c r="R6074" t="str">
        <f>"22.919187"</f>
        <v>22.919187</v>
      </c>
      <c r="S6074" t="s">
        <v>26</v>
      </c>
    </row>
    <row r="6075" spans="1:19" x14ac:dyDescent="0.3">
      <c r="A6075" t="s">
        <v>37529</v>
      </c>
      <c r="B6075" t="s">
        <v>39076</v>
      </c>
      <c r="C6075" t="s">
        <v>39401</v>
      </c>
      <c r="D6075" t="s">
        <v>37544</v>
      </c>
      <c r="E6075" t="s">
        <v>37895</v>
      </c>
      <c r="F6075" t="s">
        <v>37939</v>
      </c>
      <c r="G6075" t="s">
        <v>39381</v>
      </c>
      <c r="H6075" t="s">
        <v>868</v>
      </c>
      <c r="I6075" t="s">
        <v>869</v>
      </c>
      <c r="J6075" t="str">
        <f>"9280152"</f>
        <v>9280152</v>
      </c>
      <c r="K6075">
        <v>2742061265</v>
      </c>
      <c r="L6075">
        <v>2742061607</v>
      </c>
      <c r="M6075" t="s">
        <v>39402</v>
      </c>
      <c r="O6075" t="s">
        <v>39384</v>
      </c>
      <c r="P6075">
        <v>20002</v>
      </c>
      <c r="Q6075" t="str">
        <f>"37.909845"</f>
        <v>37.909845</v>
      </c>
      <c r="R6075" t="str">
        <f>"22.699953"</f>
        <v>22.699953</v>
      </c>
      <c r="S6075" t="s">
        <v>26</v>
      </c>
    </row>
    <row r="6076" spans="1:19" x14ac:dyDescent="0.3">
      <c r="A6076" t="s">
        <v>37529</v>
      </c>
      <c r="B6076" t="s">
        <v>39076</v>
      </c>
      <c r="C6076" t="s">
        <v>39403</v>
      </c>
      <c r="D6076" t="s">
        <v>37544</v>
      </c>
      <c r="E6076" t="s">
        <v>37922</v>
      </c>
      <c r="F6076" t="s">
        <v>37922</v>
      </c>
      <c r="G6076" t="s">
        <v>39339</v>
      </c>
      <c r="H6076" t="s">
        <v>868</v>
      </c>
      <c r="I6076" t="s">
        <v>950</v>
      </c>
      <c r="J6076" t="str">
        <f>"9280121"</f>
        <v>9280121</v>
      </c>
      <c r="K6076">
        <v>2742041180</v>
      </c>
      <c r="L6076">
        <v>2742041180</v>
      </c>
      <c r="M6076" t="s">
        <v>39404</v>
      </c>
      <c r="N6076" t="s">
        <v>39405</v>
      </c>
      <c r="O6076" t="s">
        <v>39342</v>
      </c>
      <c r="P6076">
        <v>20200</v>
      </c>
      <c r="Q6076" t="str">
        <f>"38.007879"</f>
        <v>38.007879</v>
      </c>
      <c r="R6076" t="str">
        <f>"22.647847"</f>
        <v>22.647847</v>
      </c>
      <c r="S6076" t="s">
        <v>26</v>
      </c>
    </row>
    <row r="6077" spans="1:19" x14ac:dyDescent="0.3">
      <c r="A6077" t="s">
        <v>37529</v>
      </c>
      <c r="B6077" t="s">
        <v>39076</v>
      </c>
      <c r="C6077" t="s">
        <v>39406</v>
      </c>
      <c r="D6077" t="s">
        <v>37544</v>
      </c>
      <c r="E6077" t="s">
        <v>37875</v>
      </c>
      <c r="F6077" t="s">
        <v>37929</v>
      </c>
      <c r="G6077" t="s">
        <v>39356</v>
      </c>
      <c r="H6077" t="s">
        <v>868</v>
      </c>
      <c r="I6077" t="s">
        <v>950</v>
      </c>
      <c r="J6077" t="str">
        <f>"9280118"</f>
        <v>9280118</v>
      </c>
      <c r="K6077">
        <v>2743051433</v>
      </c>
      <c r="L6077">
        <v>2743051433</v>
      </c>
      <c r="M6077" t="s">
        <v>39407</v>
      </c>
      <c r="N6077" t="s">
        <v>39359</v>
      </c>
      <c r="O6077" t="s">
        <v>39408</v>
      </c>
      <c r="P6077">
        <v>20009</v>
      </c>
      <c r="Q6077" t="str">
        <f>"38.130012"</f>
        <v>38.130012</v>
      </c>
      <c r="R6077" t="str">
        <f>"22.503082"</f>
        <v>22.503082</v>
      </c>
      <c r="S6077" t="s">
        <v>26</v>
      </c>
    </row>
    <row r="6078" spans="1:19" x14ac:dyDescent="0.3">
      <c r="A6078" t="s">
        <v>37529</v>
      </c>
      <c r="B6078" t="s">
        <v>39076</v>
      </c>
      <c r="C6078" t="s">
        <v>39409</v>
      </c>
      <c r="D6078" t="s">
        <v>37544</v>
      </c>
      <c r="E6078" t="s">
        <v>37922</v>
      </c>
      <c r="F6078" t="s">
        <v>37922</v>
      </c>
      <c r="G6078" t="s">
        <v>37923</v>
      </c>
      <c r="H6078" t="s">
        <v>868</v>
      </c>
      <c r="I6078" t="s">
        <v>869</v>
      </c>
      <c r="J6078" t="str">
        <f>"9280186"</f>
        <v>9280186</v>
      </c>
      <c r="K6078">
        <v>2742022200</v>
      </c>
      <c r="L6078">
        <v>2742022200</v>
      </c>
      <c r="M6078" t="s">
        <v>39410</v>
      </c>
      <c r="N6078" t="s">
        <v>37926</v>
      </c>
      <c r="O6078" t="s">
        <v>39411</v>
      </c>
      <c r="P6078">
        <v>20200</v>
      </c>
      <c r="Q6078" t="str">
        <f>"38.004336"</f>
        <v>38.004336</v>
      </c>
      <c r="R6078" t="str">
        <f>"22.746561"</f>
        <v>22.746561</v>
      </c>
      <c r="S6078" t="s">
        <v>26</v>
      </c>
    </row>
    <row r="6079" spans="1:19" x14ac:dyDescent="0.3">
      <c r="A6079" t="s">
        <v>37529</v>
      </c>
      <c r="B6079" t="s">
        <v>39076</v>
      </c>
      <c r="C6079" t="s">
        <v>39412</v>
      </c>
      <c r="D6079" t="s">
        <v>37544</v>
      </c>
      <c r="E6079" t="s">
        <v>37545</v>
      </c>
      <c r="F6079" t="s">
        <v>37545</v>
      </c>
      <c r="G6079" t="s">
        <v>37546</v>
      </c>
      <c r="H6079" t="s">
        <v>868</v>
      </c>
      <c r="I6079" t="s">
        <v>1157</v>
      </c>
      <c r="J6079" t="str">
        <f>"9280220"</f>
        <v>9280220</v>
      </c>
      <c r="K6079">
        <v>2741020778</v>
      </c>
      <c r="L6079">
        <v>2741020778</v>
      </c>
      <c r="M6079" t="s">
        <v>39413</v>
      </c>
      <c r="N6079" t="s">
        <v>37855</v>
      </c>
      <c r="O6079" t="s">
        <v>39414</v>
      </c>
      <c r="P6079">
        <v>20131</v>
      </c>
      <c r="Q6079" t="str">
        <f>"37.934629"</f>
        <v>37.934629</v>
      </c>
      <c r="R6079" t="str">
        <f>"22.926563"</f>
        <v>22.926563</v>
      </c>
      <c r="S6079" t="s">
        <v>26</v>
      </c>
    </row>
    <row r="6080" spans="1:19" x14ac:dyDescent="0.3">
      <c r="A6080" t="s">
        <v>37529</v>
      </c>
      <c r="B6080" t="s">
        <v>39076</v>
      </c>
      <c r="C6080" t="s">
        <v>39415</v>
      </c>
      <c r="D6080" t="s">
        <v>37544</v>
      </c>
      <c r="E6080" t="s">
        <v>37875</v>
      </c>
      <c r="F6080" t="s">
        <v>37876</v>
      </c>
      <c r="G6080" t="s">
        <v>39343</v>
      </c>
      <c r="H6080" t="s">
        <v>868</v>
      </c>
      <c r="I6080" t="s">
        <v>950</v>
      </c>
      <c r="J6080" t="str">
        <f>"9280145"</f>
        <v>9280145</v>
      </c>
      <c r="K6080">
        <v>2743071249</v>
      </c>
      <c r="L6080">
        <v>2743071249</v>
      </c>
      <c r="M6080" t="s">
        <v>39416</v>
      </c>
      <c r="N6080" t="s">
        <v>39346</v>
      </c>
      <c r="O6080" t="s">
        <v>39347</v>
      </c>
      <c r="P6080">
        <v>20400</v>
      </c>
      <c r="Q6080" t="str">
        <f>"38.045842"</f>
        <v>38.045842</v>
      </c>
      <c r="R6080" t="str">
        <f>"22.586594"</f>
        <v>22.586594</v>
      </c>
      <c r="S6080" t="s">
        <v>26</v>
      </c>
    </row>
    <row r="6081" spans="1:19" x14ac:dyDescent="0.3">
      <c r="A6081" t="s">
        <v>37529</v>
      </c>
      <c r="B6081" t="s">
        <v>39076</v>
      </c>
      <c r="C6081" t="s">
        <v>37944</v>
      </c>
      <c r="D6081" t="s">
        <v>37544</v>
      </c>
      <c r="E6081" t="s">
        <v>37895</v>
      </c>
      <c r="F6081" t="s">
        <v>37939</v>
      </c>
      <c r="G6081" t="s">
        <v>37939</v>
      </c>
      <c r="H6081" t="s">
        <v>868</v>
      </c>
      <c r="I6081" t="s">
        <v>869</v>
      </c>
      <c r="J6081" t="str">
        <f>"9280080"</f>
        <v>9280080</v>
      </c>
      <c r="K6081">
        <v>2742032271</v>
      </c>
      <c r="L6081">
        <v>2742030029</v>
      </c>
      <c r="M6081" t="s">
        <v>39417</v>
      </c>
      <c r="N6081" t="s">
        <v>39418</v>
      </c>
      <c r="O6081" t="s">
        <v>39419</v>
      </c>
      <c r="P6081">
        <v>20002</v>
      </c>
      <c r="Q6081" t="str">
        <f>"37.977814"</f>
        <v>37.977814</v>
      </c>
      <c r="R6081" t="str">
        <f>"22.764155"</f>
        <v>22.764155</v>
      </c>
      <c r="S6081" t="s">
        <v>26</v>
      </c>
    </row>
    <row r="6082" spans="1:19" x14ac:dyDescent="0.3">
      <c r="A6082" t="s">
        <v>37529</v>
      </c>
      <c r="B6082" t="s">
        <v>39076</v>
      </c>
      <c r="C6082" t="s">
        <v>39421</v>
      </c>
      <c r="D6082" t="s">
        <v>37544</v>
      </c>
      <c r="E6082" t="s">
        <v>37875</v>
      </c>
      <c r="F6082" t="s">
        <v>37876</v>
      </c>
      <c r="G6082" t="s">
        <v>39420</v>
      </c>
      <c r="H6082" t="s">
        <v>868</v>
      </c>
      <c r="I6082" t="s">
        <v>869</v>
      </c>
      <c r="J6082" t="str">
        <f>"9280098"</f>
        <v>9280098</v>
      </c>
      <c r="K6082">
        <v>2743028843</v>
      </c>
      <c r="L6082">
        <v>2743028843</v>
      </c>
      <c r="M6082" t="s">
        <v>39422</v>
      </c>
      <c r="N6082" t="s">
        <v>37043</v>
      </c>
      <c r="O6082" t="s">
        <v>39423</v>
      </c>
      <c r="P6082">
        <v>20400</v>
      </c>
      <c r="Q6082" t="str">
        <f>"38.091623"</f>
        <v>38.091623</v>
      </c>
      <c r="R6082" t="str">
        <f>"22.578049"</f>
        <v>22.578049</v>
      </c>
      <c r="S6082" t="s">
        <v>26</v>
      </c>
    </row>
    <row r="6083" spans="1:19" x14ac:dyDescent="0.3">
      <c r="A6083" t="s">
        <v>37529</v>
      </c>
      <c r="B6083" t="s">
        <v>39076</v>
      </c>
      <c r="C6083" t="s">
        <v>39424</v>
      </c>
      <c r="D6083" t="s">
        <v>37544</v>
      </c>
      <c r="E6083" t="s">
        <v>37922</v>
      </c>
      <c r="F6083" t="s">
        <v>37922</v>
      </c>
      <c r="G6083" t="s">
        <v>37923</v>
      </c>
      <c r="H6083" t="s">
        <v>868</v>
      </c>
      <c r="I6083" t="s">
        <v>869</v>
      </c>
      <c r="J6083" t="str">
        <f>"9280209"</f>
        <v>9280209</v>
      </c>
      <c r="K6083">
        <v>2742024221</v>
      </c>
      <c r="L6083">
        <v>2742024221</v>
      </c>
      <c r="M6083" t="s">
        <v>39425</v>
      </c>
      <c r="N6083" t="s">
        <v>37926</v>
      </c>
      <c r="O6083" t="s">
        <v>39426</v>
      </c>
      <c r="P6083">
        <v>20200</v>
      </c>
      <c r="Q6083" t="str">
        <f>"38.002726"</f>
        <v>38.002726</v>
      </c>
      <c r="R6083" t="str">
        <f>"22.760638"</f>
        <v>22.760638</v>
      </c>
      <c r="S6083" t="s">
        <v>26</v>
      </c>
    </row>
    <row r="6084" spans="1:19" x14ac:dyDescent="0.3">
      <c r="A6084" t="s">
        <v>37529</v>
      </c>
      <c r="B6084" t="s">
        <v>39076</v>
      </c>
      <c r="C6084" t="s">
        <v>37928</v>
      </c>
      <c r="D6084" t="s">
        <v>37544</v>
      </c>
      <c r="E6084" t="s">
        <v>37922</v>
      </c>
      <c r="F6084" t="s">
        <v>37922</v>
      </c>
      <c r="G6084" t="s">
        <v>37923</v>
      </c>
      <c r="H6084" t="s">
        <v>868</v>
      </c>
      <c r="I6084" t="s">
        <v>869</v>
      </c>
      <c r="J6084" t="str">
        <f>"9280071"</f>
        <v>9280071</v>
      </c>
      <c r="K6084">
        <v>2742022258</v>
      </c>
      <c r="L6084">
        <v>2742022258</v>
      </c>
      <c r="M6084" t="s">
        <v>39427</v>
      </c>
      <c r="N6084" t="s">
        <v>37960</v>
      </c>
      <c r="O6084" t="s">
        <v>39320</v>
      </c>
      <c r="P6084">
        <v>20200</v>
      </c>
      <c r="Q6084" t="str">
        <f>"38.014929"</f>
        <v>38.014929</v>
      </c>
      <c r="R6084" t="str">
        <f>"22.742217"</f>
        <v>22.742217</v>
      </c>
      <c r="S6084" t="s">
        <v>26</v>
      </c>
    </row>
    <row r="6085" spans="1:19" x14ac:dyDescent="0.3">
      <c r="A6085" t="s">
        <v>37529</v>
      </c>
      <c r="B6085" t="s">
        <v>39076</v>
      </c>
      <c r="C6085" t="s">
        <v>37975</v>
      </c>
      <c r="D6085" t="s">
        <v>37544</v>
      </c>
      <c r="E6085" t="s">
        <v>37922</v>
      </c>
      <c r="F6085" t="s">
        <v>37922</v>
      </c>
      <c r="G6085" t="s">
        <v>37923</v>
      </c>
      <c r="H6085" t="s">
        <v>868</v>
      </c>
      <c r="I6085" t="s">
        <v>869</v>
      </c>
      <c r="J6085" t="str">
        <f>"9280073"</f>
        <v>9280073</v>
      </c>
      <c r="K6085">
        <v>2742022588</v>
      </c>
      <c r="L6085">
        <v>2742022588</v>
      </c>
      <c r="M6085" t="s">
        <v>39428</v>
      </c>
      <c r="N6085" t="s">
        <v>39429</v>
      </c>
      <c r="O6085" t="s">
        <v>39430</v>
      </c>
      <c r="P6085">
        <v>20200</v>
      </c>
      <c r="Q6085" t="str">
        <f>"38.019585"</f>
        <v>38.019585</v>
      </c>
      <c r="R6085" t="str">
        <f>"22.735800"</f>
        <v>22.735800</v>
      </c>
      <c r="S6085" t="s">
        <v>26</v>
      </c>
    </row>
    <row r="6086" spans="1:19" x14ac:dyDescent="0.3">
      <c r="A6086" t="s">
        <v>37529</v>
      </c>
      <c r="B6086" t="s">
        <v>39076</v>
      </c>
      <c r="C6086" t="s">
        <v>37979</v>
      </c>
      <c r="D6086" t="s">
        <v>37544</v>
      </c>
      <c r="E6086" t="s">
        <v>37875</v>
      </c>
      <c r="F6086" t="s">
        <v>37876</v>
      </c>
      <c r="G6086" t="s">
        <v>37876</v>
      </c>
      <c r="H6086" t="s">
        <v>868</v>
      </c>
      <c r="I6086" t="s">
        <v>869</v>
      </c>
      <c r="J6086" t="str">
        <f>"9280211"</f>
        <v>9280211</v>
      </c>
      <c r="K6086">
        <v>2743024292</v>
      </c>
      <c r="L6086">
        <v>2743029085</v>
      </c>
      <c r="M6086" t="s">
        <v>39431</v>
      </c>
      <c r="N6086" t="s">
        <v>39432</v>
      </c>
      <c r="O6086" t="s">
        <v>39433</v>
      </c>
      <c r="P6086">
        <v>20400</v>
      </c>
      <c r="Q6086" t="str">
        <f>"38.076574"</f>
        <v>38.076574</v>
      </c>
      <c r="R6086" t="str">
        <f>"22.630718"</f>
        <v>22.630718</v>
      </c>
      <c r="S6086" t="s">
        <v>26</v>
      </c>
    </row>
    <row r="6087" spans="1:19" x14ac:dyDescent="0.3">
      <c r="A6087" t="s">
        <v>37529</v>
      </c>
      <c r="B6087" t="s">
        <v>39076</v>
      </c>
      <c r="C6087" t="s">
        <v>39434</v>
      </c>
      <c r="D6087" t="s">
        <v>37544</v>
      </c>
      <c r="E6087" t="s">
        <v>37922</v>
      </c>
      <c r="F6087" t="s">
        <v>37922</v>
      </c>
      <c r="G6087" t="s">
        <v>39369</v>
      </c>
      <c r="H6087" t="s">
        <v>868</v>
      </c>
      <c r="I6087" t="s">
        <v>869</v>
      </c>
      <c r="J6087" t="str">
        <f>"9280138"</f>
        <v>9280138</v>
      </c>
      <c r="K6087">
        <v>2742022904</v>
      </c>
      <c r="L6087">
        <v>2742022904</v>
      </c>
      <c r="M6087" t="s">
        <v>39435</v>
      </c>
      <c r="N6087" t="s">
        <v>39372</v>
      </c>
      <c r="O6087" t="s">
        <v>39372</v>
      </c>
      <c r="P6087">
        <v>20200</v>
      </c>
      <c r="Q6087" t="str">
        <f>"38.012737"</f>
        <v>38.012737</v>
      </c>
      <c r="R6087" t="str">
        <f>"22.724026"</f>
        <v>22.724026</v>
      </c>
      <c r="S6087" t="s">
        <v>26</v>
      </c>
    </row>
    <row r="6088" spans="1:19" x14ac:dyDescent="0.3">
      <c r="A6088" t="s">
        <v>37529</v>
      </c>
      <c r="B6088" t="s">
        <v>39076</v>
      </c>
      <c r="C6088" t="s">
        <v>39437</v>
      </c>
      <c r="D6088" t="s">
        <v>37544</v>
      </c>
      <c r="E6088" t="s">
        <v>37922</v>
      </c>
      <c r="F6088" t="s">
        <v>37922</v>
      </c>
      <c r="G6088" t="s">
        <v>39436</v>
      </c>
      <c r="H6088" t="s">
        <v>868</v>
      </c>
      <c r="I6088" t="s">
        <v>869</v>
      </c>
      <c r="J6088" t="str">
        <f>"9280126"</f>
        <v>9280126</v>
      </c>
      <c r="K6088">
        <v>2742024738</v>
      </c>
      <c r="L6088">
        <v>2742024738</v>
      </c>
      <c r="M6088" t="s">
        <v>39438</v>
      </c>
      <c r="N6088" t="s">
        <v>39439</v>
      </c>
      <c r="O6088" t="s">
        <v>39439</v>
      </c>
      <c r="P6088">
        <v>20200</v>
      </c>
      <c r="Q6088" t="str">
        <f>"37.994142"</f>
        <v>37.994142</v>
      </c>
      <c r="R6088" t="str">
        <f>"22.727616"</f>
        <v>22.727616</v>
      </c>
      <c r="S6088" t="s">
        <v>26</v>
      </c>
    </row>
    <row r="6089" spans="1:19" x14ac:dyDescent="0.3">
      <c r="A6089" t="s">
        <v>37529</v>
      </c>
      <c r="B6089" t="s">
        <v>39076</v>
      </c>
      <c r="C6089" t="s">
        <v>38026</v>
      </c>
      <c r="D6089" t="s">
        <v>37544</v>
      </c>
      <c r="E6089" t="s">
        <v>37875</v>
      </c>
      <c r="F6089" t="s">
        <v>37876</v>
      </c>
      <c r="G6089" t="s">
        <v>39393</v>
      </c>
      <c r="H6089" t="s">
        <v>868</v>
      </c>
      <c r="I6089" t="s">
        <v>950</v>
      </c>
      <c r="J6089" t="str">
        <f>"9280119"</f>
        <v>9280119</v>
      </c>
      <c r="K6089">
        <v>2743092487</v>
      </c>
      <c r="L6089">
        <v>2743092487</v>
      </c>
      <c r="M6089" t="s">
        <v>39440</v>
      </c>
      <c r="N6089" t="s">
        <v>36128</v>
      </c>
      <c r="O6089" t="s">
        <v>39441</v>
      </c>
      <c r="P6089">
        <v>20400</v>
      </c>
      <c r="Q6089" t="str">
        <f>"37.985218"</f>
        <v>37.985218</v>
      </c>
      <c r="R6089" t="str">
        <f>"22.511207"</f>
        <v>22.511207</v>
      </c>
      <c r="S6089" t="s">
        <v>57</v>
      </c>
    </row>
    <row r="6090" spans="1:19" x14ac:dyDescent="0.3">
      <c r="A6090" t="s">
        <v>37529</v>
      </c>
      <c r="B6090" t="s">
        <v>39076</v>
      </c>
      <c r="C6090" t="s">
        <v>39442</v>
      </c>
      <c r="D6090" t="s">
        <v>37544</v>
      </c>
      <c r="E6090" t="s">
        <v>37895</v>
      </c>
      <c r="F6090" t="s">
        <v>37939</v>
      </c>
      <c r="G6090" t="s">
        <v>39376</v>
      </c>
      <c r="H6090" t="s">
        <v>868</v>
      </c>
      <c r="I6090" t="s">
        <v>869</v>
      </c>
      <c r="J6090" t="str">
        <f>"9280110"</f>
        <v>9280110</v>
      </c>
      <c r="K6090">
        <v>2741055463</v>
      </c>
      <c r="L6090">
        <v>2741055463</v>
      </c>
      <c r="M6090" t="s">
        <v>39443</v>
      </c>
      <c r="N6090" t="s">
        <v>39444</v>
      </c>
      <c r="O6090" t="s">
        <v>39445</v>
      </c>
      <c r="P6090">
        <v>20006</v>
      </c>
      <c r="Q6090" t="str">
        <f>"37.957834"</f>
        <v>37.957834</v>
      </c>
      <c r="R6090" t="str">
        <f>"22.774538"</f>
        <v>22.774538</v>
      </c>
      <c r="S6090" t="s">
        <v>26</v>
      </c>
    </row>
    <row r="6091" spans="1:19" x14ac:dyDescent="0.3">
      <c r="A6091" t="s">
        <v>37529</v>
      </c>
      <c r="B6091" t="s">
        <v>39076</v>
      </c>
      <c r="C6091" t="s">
        <v>39446</v>
      </c>
      <c r="D6091" t="s">
        <v>37544</v>
      </c>
      <c r="E6091" t="s">
        <v>37922</v>
      </c>
      <c r="F6091" t="s">
        <v>37922</v>
      </c>
      <c r="G6091" t="s">
        <v>37923</v>
      </c>
      <c r="H6091" t="s">
        <v>868</v>
      </c>
      <c r="I6091" t="s">
        <v>869</v>
      </c>
      <c r="J6091" t="str">
        <f>"9280069"</f>
        <v>9280069</v>
      </c>
      <c r="K6091">
        <v>2742022201</v>
      </c>
      <c r="L6091">
        <v>2742302170</v>
      </c>
      <c r="M6091" t="s">
        <v>39447</v>
      </c>
      <c r="N6091" t="s">
        <v>39429</v>
      </c>
      <c r="O6091" t="s">
        <v>39448</v>
      </c>
      <c r="P6091">
        <v>20200</v>
      </c>
      <c r="Q6091" t="str">
        <f>"38.011365"</f>
        <v>38.011365</v>
      </c>
      <c r="R6091" t="str">
        <f>"22.751402"</f>
        <v>22.751402</v>
      </c>
      <c r="S6091" t="s">
        <v>26</v>
      </c>
    </row>
    <row r="6092" spans="1:19" x14ac:dyDescent="0.3">
      <c r="A6092" t="s">
        <v>37529</v>
      </c>
      <c r="B6092" t="s">
        <v>39076</v>
      </c>
      <c r="C6092" t="s">
        <v>38052</v>
      </c>
      <c r="D6092" t="s">
        <v>37544</v>
      </c>
      <c r="E6092" t="s">
        <v>37875</v>
      </c>
      <c r="F6092" t="s">
        <v>37876</v>
      </c>
      <c r="G6092" t="s">
        <v>37876</v>
      </c>
      <c r="H6092" t="s">
        <v>868</v>
      </c>
      <c r="I6092" t="s">
        <v>869</v>
      </c>
      <c r="J6092" t="str">
        <f>"9280134"</f>
        <v>9280134</v>
      </c>
      <c r="K6092">
        <v>2743022652</v>
      </c>
      <c r="L6092">
        <v>2743022652</v>
      </c>
      <c r="M6092" t="s">
        <v>39449</v>
      </c>
      <c r="N6092" t="s">
        <v>37879</v>
      </c>
      <c r="O6092" t="s">
        <v>39450</v>
      </c>
      <c r="P6092">
        <v>20400</v>
      </c>
      <c r="Q6092" t="str">
        <f>"38.074622"</f>
        <v>38.074622</v>
      </c>
      <c r="R6092" t="str">
        <f>"22.639043"</f>
        <v>22.639043</v>
      </c>
      <c r="S6092" t="s">
        <v>26</v>
      </c>
    </row>
    <row r="6093" spans="1:19" x14ac:dyDescent="0.3">
      <c r="A6093" t="s">
        <v>37529</v>
      </c>
      <c r="B6093" t="s">
        <v>39076</v>
      </c>
      <c r="C6093" t="s">
        <v>37881</v>
      </c>
      <c r="D6093" t="s">
        <v>37544</v>
      </c>
      <c r="E6093" t="s">
        <v>37875</v>
      </c>
      <c r="F6093" t="s">
        <v>37876</v>
      </c>
      <c r="G6093" t="s">
        <v>37876</v>
      </c>
      <c r="H6093" t="s">
        <v>868</v>
      </c>
      <c r="I6093" t="s">
        <v>869</v>
      </c>
      <c r="J6093" t="str">
        <f>"9280135"</f>
        <v>9280135</v>
      </c>
      <c r="K6093">
        <v>2743022380</v>
      </c>
      <c r="L6093">
        <v>2743022380</v>
      </c>
      <c r="M6093" t="s">
        <v>39451</v>
      </c>
      <c r="N6093" t="s">
        <v>37879</v>
      </c>
      <c r="O6093" t="s">
        <v>39326</v>
      </c>
      <c r="P6093">
        <v>20400</v>
      </c>
      <c r="Q6093" t="str">
        <f>"38.080243"</f>
        <v>38.080243</v>
      </c>
      <c r="R6093" t="str">
        <f>"22.616946"</f>
        <v>22.616946</v>
      </c>
      <c r="S6093" t="s">
        <v>26</v>
      </c>
    </row>
    <row r="6094" spans="1:19" x14ac:dyDescent="0.3">
      <c r="A6094" t="s">
        <v>37529</v>
      </c>
      <c r="B6094" t="s">
        <v>39076</v>
      </c>
      <c r="C6094" t="s">
        <v>38036</v>
      </c>
      <c r="D6094" t="s">
        <v>37544</v>
      </c>
      <c r="E6094" t="s">
        <v>37922</v>
      </c>
      <c r="F6094" t="s">
        <v>37922</v>
      </c>
      <c r="G6094" t="s">
        <v>37923</v>
      </c>
      <c r="H6094" t="s">
        <v>868</v>
      </c>
      <c r="I6094" t="s">
        <v>869</v>
      </c>
      <c r="J6094" t="str">
        <f>"9280075"</f>
        <v>9280075</v>
      </c>
      <c r="K6094">
        <v>2742028438</v>
      </c>
      <c r="L6094">
        <v>2742302165</v>
      </c>
      <c r="M6094" t="s">
        <v>39452</v>
      </c>
      <c r="N6094" t="s">
        <v>37926</v>
      </c>
      <c r="O6094" t="s">
        <v>39453</v>
      </c>
      <c r="P6094">
        <v>20200</v>
      </c>
      <c r="Q6094" t="str">
        <f>"38.007047"</f>
        <v>38.007047</v>
      </c>
      <c r="R6094" t="str">
        <f>"22.754104"</f>
        <v>22.754104</v>
      </c>
      <c r="S6094" t="s">
        <v>26</v>
      </c>
    </row>
    <row r="6095" spans="1:19" x14ac:dyDescent="0.3">
      <c r="A6095" t="s">
        <v>37529</v>
      </c>
      <c r="B6095" t="s">
        <v>39076</v>
      </c>
      <c r="C6095" t="s">
        <v>38012</v>
      </c>
      <c r="D6095" t="s">
        <v>37544</v>
      </c>
      <c r="E6095" t="s">
        <v>37545</v>
      </c>
      <c r="F6095" t="s">
        <v>37545</v>
      </c>
      <c r="G6095" t="s">
        <v>37546</v>
      </c>
      <c r="H6095" t="s">
        <v>868</v>
      </c>
      <c r="I6095" t="s">
        <v>869</v>
      </c>
      <c r="J6095" t="str">
        <f>"9280207"</f>
        <v>9280207</v>
      </c>
      <c r="K6095">
        <v>2741020161</v>
      </c>
      <c r="L6095">
        <v>2741020161</v>
      </c>
      <c r="M6095" t="s">
        <v>39454</v>
      </c>
      <c r="N6095" t="s">
        <v>39455</v>
      </c>
      <c r="O6095" t="s">
        <v>39456</v>
      </c>
      <c r="P6095">
        <v>20132</v>
      </c>
      <c r="Q6095" t="str">
        <f>"37.930389"</f>
        <v>37.930389</v>
      </c>
      <c r="R6095" t="str">
        <f>"22.950676"</f>
        <v>22.950676</v>
      </c>
      <c r="S6095" t="s">
        <v>26</v>
      </c>
    </row>
    <row r="6096" spans="1:19" x14ac:dyDescent="0.3">
      <c r="A6096" t="s">
        <v>37529</v>
      </c>
      <c r="B6096" t="s">
        <v>39076</v>
      </c>
      <c r="C6096" t="s">
        <v>39470</v>
      </c>
      <c r="D6096" t="s">
        <v>37544</v>
      </c>
      <c r="E6096" t="s">
        <v>37875</v>
      </c>
      <c r="F6096" t="s">
        <v>37876</v>
      </c>
      <c r="G6096" t="s">
        <v>27389</v>
      </c>
      <c r="H6096" t="s">
        <v>868</v>
      </c>
      <c r="I6096" t="s">
        <v>1157</v>
      </c>
      <c r="J6096" t="str">
        <f>"9521281"</f>
        <v>9521281</v>
      </c>
      <c r="K6096">
        <v>2743096301</v>
      </c>
      <c r="L6096">
        <v>2743096301</v>
      </c>
      <c r="M6096" t="s">
        <v>39471</v>
      </c>
      <c r="N6096" t="s">
        <v>37879</v>
      </c>
      <c r="O6096" t="s">
        <v>39472</v>
      </c>
      <c r="P6096">
        <v>20400</v>
      </c>
      <c r="Q6096" t="str">
        <f>"38.067121"</f>
        <v>38.067121</v>
      </c>
      <c r="R6096" t="str">
        <f>"22.656734"</f>
        <v>22.656734</v>
      </c>
      <c r="S6096" t="s">
        <v>26</v>
      </c>
    </row>
    <row r="6097" spans="1:19" x14ac:dyDescent="0.3">
      <c r="A6097" t="s">
        <v>37529</v>
      </c>
      <c r="B6097" t="s">
        <v>39076</v>
      </c>
      <c r="C6097" t="s">
        <v>37993</v>
      </c>
      <c r="D6097" t="s">
        <v>37544</v>
      </c>
      <c r="E6097" t="s">
        <v>37922</v>
      </c>
      <c r="F6097" t="s">
        <v>37922</v>
      </c>
      <c r="G6097" t="s">
        <v>4044</v>
      </c>
      <c r="H6097" t="s">
        <v>868</v>
      </c>
      <c r="I6097" t="s">
        <v>869</v>
      </c>
      <c r="J6097" t="str">
        <f>"9280113"</f>
        <v>9280113</v>
      </c>
      <c r="K6097">
        <v>2742051281</v>
      </c>
      <c r="L6097">
        <v>2742051281</v>
      </c>
      <c r="M6097" t="s">
        <v>39473</v>
      </c>
      <c r="N6097" t="s">
        <v>39474</v>
      </c>
      <c r="O6097" t="s">
        <v>39474</v>
      </c>
      <c r="P6097">
        <v>20200</v>
      </c>
      <c r="Q6097" t="str">
        <f>"37.965046"</f>
        <v>37.965046</v>
      </c>
      <c r="R6097" t="str">
        <f>"22.642634"</f>
        <v>22.642634</v>
      </c>
      <c r="S6097" t="s">
        <v>26</v>
      </c>
    </row>
    <row r="6098" spans="1:19" x14ac:dyDescent="0.3">
      <c r="A6098" t="s">
        <v>37529</v>
      </c>
      <c r="B6098" t="s">
        <v>39076</v>
      </c>
      <c r="C6098" t="s">
        <v>39475</v>
      </c>
      <c r="D6098" t="s">
        <v>37544</v>
      </c>
      <c r="E6098" t="s">
        <v>37875</v>
      </c>
      <c r="F6098" t="s">
        <v>37929</v>
      </c>
      <c r="G6098" t="s">
        <v>1210</v>
      </c>
      <c r="H6098" t="s">
        <v>868</v>
      </c>
      <c r="I6098" t="s">
        <v>950</v>
      </c>
      <c r="J6098" t="str">
        <f>"9280143"</f>
        <v>9280143</v>
      </c>
      <c r="K6098">
        <v>2743095270</v>
      </c>
      <c r="L6098">
        <v>2743095270</v>
      </c>
      <c r="M6098" t="s">
        <v>39476</v>
      </c>
      <c r="N6098" t="s">
        <v>1210</v>
      </c>
      <c r="O6098" t="s">
        <v>1211</v>
      </c>
      <c r="P6098">
        <v>20009</v>
      </c>
      <c r="Q6098" t="str">
        <f>"38.089396"</f>
        <v>38.089396</v>
      </c>
      <c r="R6098" t="str">
        <f>"22.440279"</f>
        <v>22.440279</v>
      </c>
      <c r="S6098" t="s">
        <v>26</v>
      </c>
    </row>
    <row r="6099" spans="1:19" x14ac:dyDescent="0.3">
      <c r="A6099" t="s">
        <v>37529</v>
      </c>
      <c r="B6099" t="s">
        <v>39076</v>
      </c>
      <c r="C6099" t="s">
        <v>39477</v>
      </c>
      <c r="D6099" t="s">
        <v>37544</v>
      </c>
      <c r="E6099" t="s">
        <v>37845</v>
      </c>
      <c r="F6099" t="s">
        <v>37846</v>
      </c>
      <c r="G6099" t="s">
        <v>37847</v>
      </c>
      <c r="H6099" t="s">
        <v>868</v>
      </c>
      <c r="I6099" t="s">
        <v>869</v>
      </c>
      <c r="J6099" t="str">
        <f>"9521087"</f>
        <v>9521087</v>
      </c>
      <c r="K6099">
        <v>2744064926</v>
      </c>
      <c r="L6099">
        <v>2744064926</v>
      </c>
      <c r="M6099" t="s">
        <v>39478</v>
      </c>
      <c r="N6099" t="s">
        <v>30857</v>
      </c>
      <c r="O6099" t="s">
        <v>39479</v>
      </c>
      <c r="P6099">
        <v>20300</v>
      </c>
      <c r="Q6099" t="str">
        <f>"37.954470"</f>
        <v>37.954470</v>
      </c>
      <c r="R6099" t="str">
        <f>"22.983059"</f>
        <v>22.983059</v>
      </c>
      <c r="S6099" t="s">
        <v>26</v>
      </c>
    </row>
    <row r="6100" spans="1:19" x14ac:dyDescent="0.3">
      <c r="A6100" t="s">
        <v>37529</v>
      </c>
      <c r="B6100" t="s">
        <v>39076</v>
      </c>
      <c r="C6100" t="s">
        <v>37868</v>
      </c>
      <c r="D6100" t="s">
        <v>37544</v>
      </c>
      <c r="E6100" t="s">
        <v>37845</v>
      </c>
      <c r="F6100" t="s">
        <v>22748</v>
      </c>
      <c r="G6100" t="s">
        <v>22748</v>
      </c>
      <c r="H6100" t="s">
        <v>868</v>
      </c>
      <c r="I6100" t="s">
        <v>869</v>
      </c>
      <c r="J6100" t="str">
        <f>"9521272"</f>
        <v>9521272</v>
      </c>
      <c r="K6100">
        <v>2741068108</v>
      </c>
      <c r="L6100">
        <v>2741068108</v>
      </c>
      <c r="M6100" t="s">
        <v>39480</v>
      </c>
      <c r="N6100" t="s">
        <v>22752</v>
      </c>
      <c r="O6100" t="s">
        <v>39208</v>
      </c>
      <c r="P6100">
        <v>20003</v>
      </c>
      <c r="Q6100" t="str">
        <f>"37.929651"</f>
        <v>37.929651</v>
      </c>
      <c r="R6100" t="str">
        <f>"23.141469"</f>
        <v>23.141469</v>
      </c>
      <c r="S6100" t="s">
        <v>26</v>
      </c>
    </row>
    <row r="6101" spans="1:19" x14ac:dyDescent="0.3">
      <c r="A6101" t="s">
        <v>37529</v>
      </c>
      <c r="B6101" t="s">
        <v>39076</v>
      </c>
      <c r="C6101" t="s">
        <v>39499</v>
      </c>
      <c r="D6101" t="s">
        <v>37544</v>
      </c>
      <c r="E6101" t="s">
        <v>37545</v>
      </c>
      <c r="F6101" t="s">
        <v>37545</v>
      </c>
      <c r="G6101" t="s">
        <v>37546</v>
      </c>
      <c r="H6101" t="s">
        <v>868</v>
      </c>
      <c r="I6101" t="s">
        <v>869</v>
      </c>
      <c r="J6101" t="str">
        <f>"9521610"</f>
        <v>9521610</v>
      </c>
      <c r="K6101">
        <v>2741081375</v>
      </c>
      <c r="L6101">
        <v>2741081375</v>
      </c>
      <c r="M6101" t="s">
        <v>39500</v>
      </c>
      <c r="N6101" t="s">
        <v>39501</v>
      </c>
      <c r="O6101" t="s">
        <v>39502</v>
      </c>
      <c r="P6101">
        <v>20131</v>
      </c>
      <c r="Q6101" t="str">
        <f>"37.930085"</f>
        <v>37.930085</v>
      </c>
      <c r="R6101" t="str">
        <f>"22.911698"</f>
        <v>22.911698</v>
      </c>
      <c r="S6101" t="s">
        <v>26</v>
      </c>
    </row>
    <row r="6102" spans="1:19" x14ac:dyDescent="0.3">
      <c r="A6102" t="s">
        <v>37529</v>
      </c>
      <c r="B6102" t="s">
        <v>39076</v>
      </c>
      <c r="C6102" t="s">
        <v>39506</v>
      </c>
      <c r="D6102" t="s">
        <v>37544</v>
      </c>
      <c r="E6102" t="s">
        <v>37875</v>
      </c>
      <c r="F6102" t="s">
        <v>37876</v>
      </c>
      <c r="G6102" t="s">
        <v>37876</v>
      </c>
      <c r="H6102" t="s">
        <v>868</v>
      </c>
      <c r="I6102" t="s">
        <v>869</v>
      </c>
      <c r="J6102" t="str">
        <f>"9521629"</f>
        <v>9521629</v>
      </c>
      <c r="N6102" t="s">
        <v>37876</v>
      </c>
      <c r="O6102" t="s">
        <v>8872</v>
      </c>
      <c r="P6102">
        <v>0</v>
      </c>
      <c r="Q6102" t="str">
        <f>""</f>
        <v/>
      </c>
      <c r="R6102" t="str">
        <f>""</f>
        <v/>
      </c>
      <c r="S6102" t="s">
        <v>26</v>
      </c>
    </row>
    <row r="6103" spans="1:19" x14ac:dyDescent="0.3">
      <c r="A6103" t="s">
        <v>37529</v>
      </c>
      <c r="B6103" t="s">
        <v>39076</v>
      </c>
      <c r="C6103" t="s">
        <v>38045</v>
      </c>
      <c r="D6103" t="s">
        <v>37544</v>
      </c>
      <c r="E6103" t="s">
        <v>37922</v>
      </c>
      <c r="F6103" t="s">
        <v>38039</v>
      </c>
      <c r="G6103" t="s">
        <v>38040</v>
      </c>
      <c r="H6103" t="s">
        <v>868</v>
      </c>
      <c r="I6103" t="s">
        <v>869</v>
      </c>
      <c r="J6103" t="str">
        <f>"9280095"</f>
        <v>9280095</v>
      </c>
      <c r="K6103">
        <v>2747022334</v>
      </c>
      <c r="M6103" t="s">
        <v>39507</v>
      </c>
      <c r="O6103" t="s">
        <v>38043</v>
      </c>
      <c r="P6103">
        <v>20016</v>
      </c>
      <c r="Q6103" t="str">
        <f>"37.888266"</f>
        <v>37.888266</v>
      </c>
      <c r="R6103" t="str">
        <f>"22.497124"</f>
        <v>22.497124</v>
      </c>
      <c r="S6103" t="s">
        <v>26</v>
      </c>
    </row>
    <row r="6104" spans="1:19" x14ac:dyDescent="0.3">
      <c r="A6104" t="s">
        <v>37529</v>
      </c>
      <c r="B6104" t="s">
        <v>39076</v>
      </c>
      <c r="C6104" t="s">
        <v>37968</v>
      </c>
      <c r="D6104" t="s">
        <v>37544</v>
      </c>
      <c r="E6104" t="s">
        <v>37922</v>
      </c>
      <c r="F6104" t="s">
        <v>37962</v>
      </c>
      <c r="G6104" t="s">
        <v>39457</v>
      </c>
      <c r="H6104" t="s">
        <v>868</v>
      </c>
      <c r="I6104" t="s">
        <v>869</v>
      </c>
      <c r="J6104" t="str">
        <f>"9520753"</f>
        <v>9520753</v>
      </c>
      <c r="K6104">
        <v>2747041387</v>
      </c>
      <c r="L6104">
        <v>2747041387</v>
      </c>
      <c r="M6104" t="s">
        <v>39508</v>
      </c>
      <c r="N6104" t="s">
        <v>39509</v>
      </c>
      <c r="O6104" t="s">
        <v>39510</v>
      </c>
      <c r="P6104">
        <v>20014</v>
      </c>
      <c r="Q6104" t="str">
        <f>"37.908952"</f>
        <v>37.908952</v>
      </c>
      <c r="R6104" t="str">
        <f>"22.327362"</f>
        <v>22.327362</v>
      </c>
      <c r="S6104" t="s">
        <v>57</v>
      </c>
    </row>
    <row r="6105" spans="1:19" x14ac:dyDescent="0.3">
      <c r="A6105" t="s">
        <v>37529</v>
      </c>
      <c r="B6105" t="s">
        <v>39512</v>
      </c>
      <c r="C6105" t="s">
        <v>39514</v>
      </c>
      <c r="D6105" t="s">
        <v>37551</v>
      </c>
      <c r="E6105" t="s">
        <v>37552</v>
      </c>
      <c r="F6105" t="s">
        <v>39513</v>
      </c>
      <c r="G6105" t="s">
        <v>6089</v>
      </c>
      <c r="H6105" t="s">
        <v>868</v>
      </c>
      <c r="I6105" t="s">
        <v>869</v>
      </c>
      <c r="J6105" t="str">
        <f>"9300060"</f>
        <v>9300060</v>
      </c>
      <c r="K6105">
        <v>2731022202</v>
      </c>
      <c r="L6105">
        <v>2731022202</v>
      </c>
      <c r="M6105" t="s">
        <v>39515</v>
      </c>
      <c r="N6105" t="s">
        <v>6092</v>
      </c>
      <c r="O6105" t="s">
        <v>39516</v>
      </c>
      <c r="P6105">
        <v>23100</v>
      </c>
      <c r="Q6105" t="str">
        <f>"37.080616"</f>
        <v>37.080616</v>
      </c>
      <c r="R6105" t="str">
        <f>"22.404746"</f>
        <v>22.404746</v>
      </c>
      <c r="S6105" t="s">
        <v>26</v>
      </c>
    </row>
    <row r="6106" spans="1:19" x14ac:dyDescent="0.3">
      <c r="A6106" t="s">
        <v>37529</v>
      </c>
      <c r="B6106" t="s">
        <v>39512</v>
      </c>
      <c r="C6106" t="s">
        <v>39537</v>
      </c>
      <c r="D6106" t="s">
        <v>37551</v>
      </c>
      <c r="E6106" t="s">
        <v>38097</v>
      </c>
      <c r="F6106" t="s">
        <v>39536</v>
      </c>
      <c r="G6106" t="s">
        <v>39536</v>
      </c>
      <c r="H6106" t="s">
        <v>868</v>
      </c>
      <c r="I6106" t="s">
        <v>869</v>
      </c>
      <c r="J6106" t="str">
        <f>"9300189"</f>
        <v>9300189</v>
      </c>
      <c r="K6106">
        <v>2732031376</v>
      </c>
      <c r="M6106" t="s">
        <v>39538</v>
      </c>
      <c r="N6106" t="s">
        <v>39539</v>
      </c>
      <c r="O6106" t="s">
        <v>39540</v>
      </c>
      <c r="P6106">
        <v>23060</v>
      </c>
      <c r="Q6106" t="str">
        <f>"36.895966"</f>
        <v>36.895966</v>
      </c>
      <c r="R6106" t="str">
        <f>"22.844364"</f>
        <v>22.844364</v>
      </c>
      <c r="S6106" t="s">
        <v>26</v>
      </c>
    </row>
    <row r="6107" spans="1:19" x14ac:dyDescent="0.3">
      <c r="A6107" t="s">
        <v>37529</v>
      </c>
      <c r="B6107" t="s">
        <v>39512</v>
      </c>
      <c r="C6107" t="s">
        <v>39543</v>
      </c>
      <c r="D6107" t="s">
        <v>37551</v>
      </c>
      <c r="E6107" t="s">
        <v>38078</v>
      </c>
      <c r="F6107" t="s">
        <v>39541</v>
      </c>
      <c r="G6107" t="s">
        <v>39542</v>
      </c>
      <c r="H6107" t="s">
        <v>868</v>
      </c>
      <c r="I6107" t="s">
        <v>950</v>
      </c>
      <c r="J6107" t="str">
        <f>"9300182"</f>
        <v>9300182</v>
      </c>
      <c r="K6107">
        <v>2732055333</v>
      </c>
      <c r="L6107">
        <v>2732055333</v>
      </c>
      <c r="M6107" t="s">
        <v>39544</v>
      </c>
      <c r="N6107" t="s">
        <v>34290</v>
      </c>
      <c r="O6107" t="s">
        <v>39545</v>
      </c>
      <c r="P6107">
        <v>23068</v>
      </c>
      <c r="Q6107" t="str">
        <f>"36.962379"</f>
        <v>36.962379</v>
      </c>
      <c r="R6107" t="str">
        <f>"22.988503"</f>
        <v>22.988503</v>
      </c>
      <c r="S6107" t="s">
        <v>57</v>
      </c>
    </row>
    <row r="6108" spans="1:19" x14ac:dyDescent="0.3">
      <c r="A6108" t="s">
        <v>37529</v>
      </c>
      <c r="B6108" t="s">
        <v>39512</v>
      </c>
      <c r="C6108" t="s">
        <v>39560</v>
      </c>
      <c r="D6108" t="s">
        <v>37551</v>
      </c>
      <c r="E6108" t="s">
        <v>38089</v>
      </c>
      <c r="F6108" t="s">
        <v>38090</v>
      </c>
      <c r="G6108" t="s">
        <v>38090</v>
      </c>
      <c r="H6108" t="s">
        <v>868</v>
      </c>
      <c r="I6108" t="s">
        <v>869</v>
      </c>
      <c r="J6108" t="str">
        <f>"9300083"</f>
        <v>9300083</v>
      </c>
      <c r="K6108">
        <v>2733022073</v>
      </c>
      <c r="L6108">
        <v>2733022073</v>
      </c>
      <c r="M6108" t="s">
        <v>39561</v>
      </c>
      <c r="N6108" t="s">
        <v>38094</v>
      </c>
      <c r="O6108" t="s">
        <v>30989</v>
      </c>
      <c r="P6108">
        <v>23200</v>
      </c>
      <c r="Q6108" t="str">
        <f>"36.737005"</f>
        <v>36.737005</v>
      </c>
      <c r="R6108" t="str">
        <f>"22.566150"</f>
        <v>22.566150</v>
      </c>
      <c r="S6108" t="s">
        <v>26</v>
      </c>
    </row>
    <row r="6109" spans="1:19" x14ac:dyDescent="0.3">
      <c r="A6109" t="s">
        <v>37529</v>
      </c>
      <c r="B6109" t="s">
        <v>39512</v>
      </c>
      <c r="C6109" t="s">
        <v>39563</v>
      </c>
      <c r="D6109" t="s">
        <v>37551</v>
      </c>
      <c r="E6109" t="s">
        <v>38089</v>
      </c>
      <c r="F6109" t="s">
        <v>38156</v>
      </c>
      <c r="G6109" t="s">
        <v>39562</v>
      </c>
      <c r="H6109" t="s">
        <v>868</v>
      </c>
      <c r="I6109" t="s">
        <v>950</v>
      </c>
      <c r="J6109" t="str">
        <f>"9300133"</f>
        <v>9300133</v>
      </c>
      <c r="K6109">
        <v>2733055273</v>
      </c>
      <c r="M6109" t="s">
        <v>39564</v>
      </c>
      <c r="N6109" t="s">
        <v>39565</v>
      </c>
      <c r="O6109" t="s">
        <v>39565</v>
      </c>
      <c r="P6109">
        <v>23071</v>
      </c>
      <c r="Q6109" t="str">
        <f>"36.469196"</f>
        <v>36.469196</v>
      </c>
      <c r="R6109" t="str">
        <f>"22.431439"</f>
        <v>22.431439</v>
      </c>
      <c r="S6109" t="s">
        <v>26</v>
      </c>
    </row>
    <row r="6110" spans="1:19" x14ac:dyDescent="0.3">
      <c r="A6110" t="s">
        <v>37529</v>
      </c>
      <c r="B6110" t="s">
        <v>39512</v>
      </c>
      <c r="C6110" t="s">
        <v>39579</v>
      </c>
      <c r="D6110" t="s">
        <v>37551</v>
      </c>
      <c r="E6110" t="s">
        <v>38089</v>
      </c>
      <c r="F6110" t="s">
        <v>38089</v>
      </c>
      <c r="G6110" t="s">
        <v>39578</v>
      </c>
      <c r="H6110" t="s">
        <v>868</v>
      </c>
      <c r="I6110" t="s">
        <v>950</v>
      </c>
      <c r="J6110" t="str">
        <f>"9300096"</f>
        <v>9300096</v>
      </c>
      <c r="K6110">
        <v>2733021325</v>
      </c>
      <c r="L6110">
        <v>2733021325</v>
      </c>
      <c r="M6110" t="s">
        <v>39580</v>
      </c>
      <c r="N6110" t="s">
        <v>39581</v>
      </c>
      <c r="O6110" t="s">
        <v>39582</v>
      </c>
      <c r="P6110">
        <v>23066</v>
      </c>
      <c r="Q6110" t="str">
        <f>"36.622886"</f>
        <v>36.622886</v>
      </c>
      <c r="R6110" t="str">
        <f>"22.470227"</f>
        <v>22.470227</v>
      </c>
      <c r="S6110" t="s">
        <v>26</v>
      </c>
    </row>
    <row r="6111" spans="1:19" x14ac:dyDescent="0.3">
      <c r="A6111" t="s">
        <v>37529</v>
      </c>
      <c r="B6111" t="s">
        <v>39512</v>
      </c>
      <c r="C6111" t="s">
        <v>38153</v>
      </c>
      <c r="D6111" t="s">
        <v>37551</v>
      </c>
      <c r="E6111" t="s">
        <v>38097</v>
      </c>
      <c r="F6111" t="s">
        <v>24992</v>
      </c>
      <c r="G6111" t="s">
        <v>24992</v>
      </c>
      <c r="H6111" t="s">
        <v>868</v>
      </c>
      <c r="I6111" t="s">
        <v>869</v>
      </c>
      <c r="J6111" t="str">
        <f>"9300130"</f>
        <v>9300130</v>
      </c>
      <c r="K6111">
        <v>2735024172</v>
      </c>
      <c r="L6111">
        <v>2735022272</v>
      </c>
      <c r="M6111" t="s">
        <v>39583</v>
      </c>
      <c r="N6111" t="s">
        <v>6596</v>
      </c>
      <c r="O6111" t="s">
        <v>38151</v>
      </c>
      <c r="P6111">
        <v>23051</v>
      </c>
      <c r="Q6111" t="str">
        <f>"36.848910"</f>
        <v>36.848910</v>
      </c>
      <c r="R6111" t="str">
        <f>"22.667468"</f>
        <v>22.667468</v>
      </c>
      <c r="S6111" t="s">
        <v>26</v>
      </c>
    </row>
    <row r="6112" spans="1:19" x14ac:dyDescent="0.3">
      <c r="A6112" t="s">
        <v>37529</v>
      </c>
      <c r="B6112" t="s">
        <v>39512</v>
      </c>
      <c r="C6112" t="s">
        <v>38148</v>
      </c>
      <c r="D6112" t="s">
        <v>37551</v>
      </c>
      <c r="E6112" t="s">
        <v>37552</v>
      </c>
      <c r="F6112" t="s">
        <v>37553</v>
      </c>
      <c r="G6112" t="s">
        <v>37552</v>
      </c>
      <c r="H6112" t="s">
        <v>868</v>
      </c>
      <c r="I6112" t="s">
        <v>869</v>
      </c>
      <c r="J6112" t="str">
        <f>"9300005"</f>
        <v>9300005</v>
      </c>
      <c r="K6112">
        <v>2731028044</v>
      </c>
      <c r="L6112">
        <v>2731028044</v>
      </c>
      <c r="M6112" t="s">
        <v>39607</v>
      </c>
      <c r="N6112" t="s">
        <v>37556</v>
      </c>
      <c r="O6112" t="s">
        <v>39608</v>
      </c>
      <c r="P6112">
        <v>23100</v>
      </c>
      <c r="Q6112" t="str">
        <f>"37.074563"</f>
        <v>37.074563</v>
      </c>
      <c r="R6112" t="str">
        <f>"22.422633"</f>
        <v>22.422633</v>
      </c>
      <c r="S6112" t="s">
        <v>26</v>
      </c>
    </row>
    <row r="6113" spans="1:19" x14ac:dyDescent="0.3">
      <c r="A6113" t="s">
        <v>37529</v>
      </c>
      <c r="B6113" t="s">
        <v>39512</v>
      </c>
      <c r="C6113" t="s">
        <v>39614</v>
      </c>
      <c r="D6113" t="s">
        <v>37551</v>
      </c>
      <c r="E6113" t="s">
        <v>37552</v>
      </c>
      <c r="F6113" t="s">
        <v>39612</v>
      </c>
      <c r="G6113" t="s">
        <v>39613</v>
      </c>
      <c r="H6113" t="s">
        <v>868</v>
      </c>
      <c r="I6113" t="s">
        <v>950</v>
      </c>
      <c r="J6113" t="str">
        <f>"9300071"</f>
        <v>9300071</v>
      </c>
      <c r="K6113">
        <v>2731094386</v>
      </c>
      <c r="L6113">
        <v>2731094386</v>
      </c>
      <c r="M6113" t="s">
        <v>39615</v>
      </c>
      <c r="N6113" t="s">
        <v>39616</v>
      </c>
      <c r="O6113" t="s">
        <v>39617</v>
      </c>
      <c r="P6113">
        <v>23100</v>
      </c>
      <c r="Q6113" t="str">
        <f>"37.166667"</f>
        <v>37.166667</v>
      </c>
      <c r="R6113" t="str">
        <f>"22.416667"</f>
        <v>22.416667</v>
      </c>
      <c r="S6113" t="s">
        <v>26</v>
      </c>
    </row>
    <row r="6114" spans="1:19" x14ac:dyDescent="0.3">
      <c r="A6114" t="s">
        <v>37529</v>
      </c>
      <c r="B6114" t="s">
        <v>39512</v>
      </c>
      <c r="C6114" t="s">
        <v>39618</v>
      </c>
      <c r="D6114" t="s">
        <v>37551</v>
      </c>
      <c r="E6114" t="s">
        <v>38097</v>
      </c>
      <c r="F6114" t="s">
        <v>38098</v>
      </c>
      <c r="G6114" t="s">
        <v>5563</v>
      </c>
      <c r="H6114" t="s">
        <v>868</v>
      </c>
      <c r="I6114" t="s">
        <v>950</v>
      </c>
      <c r="J6114" t="str">
        <f>"9521714"</f>
        <v>9521714</v>
      </c>
      <c r="K6114">
        <v>2731071551</v>
      </c>
      <c r="L6114">
        <v>2731071759</v>
      </c>
      <c r="M6114" t="s">
        <v>39619</v>
      </c>
      <c r="N6114" t="s">
        <v>5563</v>
      </c>
      <c r="O6114" t="s">
        <v>5567</v>
      </c>
      <c r="P6114">
        <v>23058</v>
      </c>
      <c r="Q6114" t="str">
        <f>""</f>
        <v/>
      </c>
      <c r="R6114" t="str">
        <f>""</f>
        <v/>
      </c>
      <c r="S6114" t="s">
        <v>26</v>
      </c>
    </row>
    <row r="6115" spans="1:19" x14ac:dyDescent="0.3">
      <c r="A6115" t="s">
        <v>37529</v>
      </c>
      <c r="B6115" t="s">
        <v>39512</v>
      </c>
      <c r="C6115" t="s">
        <v>39626</v>
      </c>
      <c r="D6115" t="s">
        <v>37551</v>
      </c>
      <c r="E6115" t="s">
        <v>38089</v>
      </c>
      <c r="F6115" t="s">
        <v>38156</v>
      </c>
      <c r="G6115" t="s">
        <v>39603</v>
      </c>
      <c r="H6115" t="s">
        <v>868</v>
      </c>
      <c r="I6115" t="s">
        <v>869</v>
      </c>
      <c r="J6115" t="str">
        <f>"9300147"</f>
        <v>9300147</v>
      </c>
      <c r="K6115">
        <v>2733052407</v>
      </c>
      <c r="M6115" t="s">
        <v>39627</v>
      </c>
      <c r="N6115" t="s">
        <v>39628</v>
      </c>
      <c r="O6115" t="s">
        <v>39606</v>
      </c>
      <c r="P6115">
        <v>23063</v>
      </c>
      <c r="Q6115" t="str">
        <f>"36.628058"</f>
        <v>36.628058</v>
      </c>
      <c r="R6115" t="str">
        <f>"22.386200"</f>
        <v>22.386200</v>
      </c>
      <c r="S6115" t="s">
        <v>26</v>
      </c>
    </row>
    <row r="6116" spans="1:19" x14ac:dyDescent="0.3">
      <c r="A6116" t="s">
        <v>37529</v>
      </c>
      <c r="B6116" t="s">
        <v>39512</v>
      </c>
      <c r="C6116" t="s">
        <v>39629</v>
      </c>
      <c r="D6116" t="s">
        <v>37551</v>
      </c>
      <c r="E6116" t="s">
        <v>37552</v>
      </c>
      <c r="F6116" t="s">
        <v>37553</v>
      </c>
      <c r="G6116" t="s">
        <v>39588</v>
      </c>
      <c r="H6116" t="s">
        <v>868</v>
      </c>
      <c r="I6116" t="s">
        <v>869</v>
      </c>
      <c r="J6116" t="str">
        <f>"9300022"</f>
        <v>9300022</v>
      </c>
      <c r="K6116">
        <v>2731044493</v>
      </c>
      <c r="L6116">
        <v>2731044493</v>
      </c>
      <c r="M6116" t="s">
        <v>39630</v>
      </c>
      <c r="N6116" t="s">
        <v>39631</v>
      </c>
      <c r="O6116" t="s">
        <v>39632</v>
      </c>
      <c r="P6116">
        <v>23100</v>
      </c>
      <c r="Q6116" t="str">
        <f>"37.024237"</f>
        <v>37.024237</v>
      </c>
      <c r="R6116" t="str">
        <f>"22.440242"</f>
        <v>22.440242</v>
      </c>
      <c r="S6116" t="s">
        <v>26</v>
      </c>
    </row>
    <row r="6117" spans="1:19" x14ac:dyDescent="0.3">
      <c r="A6117" t="s">
        <v>37529</v>
      </c>
      <c r="B6117" t="s">
        <v>39512</v>
      </c>
      <c r="C6117" t="s">
        <v>39635</v>
      </c>
      <c r="D6117" t="s">
        <v>37551</v>
      </c>
      <c r="E6117" t="s">
        <v>38089</v>
      </c>
      <c r="F6117" t="s">
        <v>39592</v>
      </c>
      <c r="G6117" t="s">
        <v>39593</v>
      </c>
      <c r="H6117" t="s">
        <v>868</v>
      </c>
      <c r="I6117" t="s">
        <v>950</v>
      </c>
      <c r="J6117" t="str">
        <f>"9300127"</f>
        <v>9300127</v>
      </c>
      <c r="K6117">
        <v>2733092145</v>
      </c>
      <c r="L6117">
        <v>2733092002</v>
      </c>
      <c r="M6117" t="s">
        <v>39636</v>
      </c>
      <c r="N6117" t="s">
        <v>39596</v>
      </c>
      <c r="O6117" t="s">
        <v>39637</v>
      </c>
      <c r="P6117">
        <v>23200</v>
      </c>
      <c r="Q6117" t="str">
        <f>"36.843137"</f>
        <v>36.843137</v>
      </c>
      <c r="R6117" t="str">
        <f>"22.494268"</f>
        <v>22.494268</v>
      </c>
      <c r="S6117" t="s">
        <v>26</v>
      </c>
    </row>
    <row r="6118" spans="1:19" x14ac:dyDescent="0.3">
      <c r="A6118" t="s">
        <v>37529</v>
      </c>
      <c r="B6118" t="s">
        <v>39512</v>
      </c>
      <c r="C6118" t="s">
        <v>39638</v>
      </c>
      <c r="D6118" t="s">
        <v>37551</v>
      </c>
      <c r="E6118" t="s">
        <v>38097</v>
      </c>
      <c r="F6118" t="s">
        <v>38139</v>
      </c>
      <c r="G6118" t="s">
        <v>39523</v>
      </c>
      <c r="H6118" t="s">
        <v>868</v>
      </c>
      <c r="I6118" t="s">
        <v>869</v>
      </c>
      <c r="J6118" t="str">
        <f>"9300040"</f>
        <v>9300040</v>
      </c>
      <c r="K6118">
        <v>2735076276</v>
      </c>
      <c r="L6118">
        <v>2735076276</v>
      </c>
      <c r="M6118" t="s">
        <v>39639</v>
      </c>
      <c r="N6118" t="s">
        <v>39640</v>
      </c>
      <c r="O6118" t="s">
        <v>39641</v>
      </c>
      <c r="P6118">
        <v>23057</v>
      </c>
      <c r="Q6118" t="str">
        <f>"36.926879"</f>
        <v>36.926879</v>
      </c>
      <c r="R6118" t="str">
        <f>"22.533668"</f>
        <v>22.533668</v>
      </c>
      <c r="S6118" t="s">
        <v>26</v>
      </c>
    </row>
    <row r="6119" spans="1:19" x14ac:dyDescent="0.3">
      <c r="A6119" t="s">
        <v>37529</v>
      </c>
      <c r="B6119" t="s">
        <v>39512</v>
      </c>
      <c r="C6119" t="s">
        <v>39642</v>
      </c>
      <c r="D6119" t="s">
        <v>37551</v>
      </c>
      <c r="E6119" t="s">
        <v>38097</v>
      </c>
      <c r="F6119" t="s">
        <v>24992</v>
      </c>
      <c r="G6119" t="s">
        <v>24992</v>
      </c>
      <c r="H6119" t="s">
        <v>868</v>
      </c>
      <c r="I6119" t="s">
        <v>869</v>
      </c>
      <c r="J6119" t="str">
        <f>"9520754"</f>
        <v>9520754</v>
      </c>
      <c r="K6119">
        <v>2735029072</v>
      </c>
      <c r="L6119">
        <v>2735029072</v>
      </c>
      <c r="M6119" t="s">
        <v>39643</v>
      </c>
      <c r="N6119" t="s">
        <v>6596</v>
      </c>
      <c r="O6119" t="s">
        <v>6596</v>
      </c>
      <c r="P6119">
        <v>23051</v>
      </c>
      <c r="Q6119" t="str">
        <f>"36.855326"</f>
        <v>36.855326</v>
      </c>
      <c r="R6119" t="str">
        <f>"22.661460"</f>
        <v>22.661460</v>
      </c>
      <c r="S6119" t="s">
        <v>26</v>
      </c>
    </row>
    <row r="6120" spans="1:19" x14ac:dyDescent="0.3">
      <c r="A6120" t="s">
        <v>37529</v>
      </c>
      <c r="B6120" t="s">
        <v>39512</v>
      </c>
      <c r="C6120" t="s">
        <v>39644</v>
      </c>
      <c r="D6120" t="s">
        <v>37551</v>
      </c>
      <c r="E6120" t="s">
        <v>37552</v>
      </c>
      <c r="F6120" t="s">
        <v>39513</v>
      </c>
      <c r="G6120" t="s">
        <v>14943</v>
      </c>
      <c r="H6120" t="s">
        <v>868</v>
      </c>
      <c r="I6120" t="s">
        <v>869</v>
      </c>
      <c r="J6120" t="str">
        <f>"9300061"</f>
        <v>9300061</v>
      </c>
      <c r="K6120">
        <v>2731083485</v>
      </c>
      <c r="L6120">
        <v>2731083485</v>
      </c>
      <c r="M6120" t="s">
        <v>39645</v>
      </c>
      <c r="N6120" t="s">
        <v>39646</v>
      </c>
      <c r="O6120" t="s">
        <v>39647</v>
      </c>
      <c r="P6120">
        <v>23100</v>
      </c>
      <c r="Q6120" t="str">
        <f>"37.048656"</f>
        <v>37.048656</v>
      </c>
      <c r="R6120" t="str">
        <f>"22.402951"</f>
        <v>22.402951</v>
      </c>
      <c r="S6120" t="s">
        <v>26</v>
      </c>
    </row>
    <row r="6121" spans="1:19" x14ac:dyDescent="0.3">
      <c r="A6121" t="s">
        <v>37529</v>
      </c>
      <c r="B6121" t="s">
        <v>39512</v>
      </c>
      <c r="C6121" t="s">
        <v>38088</v>
      </c>
      <c r="D6121" t="s">
        <v>37551</v>
      </c>
      <c r="E6121" t="s">
        <v>37552</v>
      </c>
      <c r="F6121" t="s">
        <v>37553</v>
      </c>
      <c r="G6121" t="s">
        <v>37552</v>
      </c>
      <c r="H6121" t="s">
        <v>868</v>
      </c>
      <c r="I6121" t="s">
        <v>869</v>
      </c>
      <c r="J6121" t="str">
        <f>"9300003"</f>
        <v>9300003</v>
      </c>
      <c r="K6121">
        <v>2731022643</v>
      </c>
      <c r="L6121">
        <v>2731022643</v>
      </c>
      <c r="M6121" t="s">
        <v>39648</v>
      </c>
      <c r="N6121" t="s">
        <v>39649</v>
      </c>
      <c r="O6121" t="s">
        <v>39650</v>
      </c>
      <c r="P6121">
        <v>23100</v>
      </c>
      <c r="Q6121" t="str">
        <f>"37.100852"</f>
        <v>37.100852</v>
      </c>
      <c r="R6121" t="str">
        <f>"22.434274"</f>
        <v>22.434274</v>
      </c>
      <c r="S6121" t="s">
        <v>26</v>
      </c>
    </row>
    <row r="6122" spans="1:19" x14ac:dyDescent="0.3">
      <c r="A6122" t="s">
        <v>37529</v>
      </c>
      <c r="B6122" t="s">
        <v>39512</v>
      </c>
      <c r="C6122" t="s">
        <v>39651</v>
      </c>
      <c r="D6122" t="s">
        <v>37551</v>
      </c>
      <c r="E6122" t="s">
        <v>37552</v>
      </c>
      <c r="F6122" t="s">
        <v>13678</v>
      </c>
      <c r="G6122" t="s">
        <v>13678</v>
      </c>
      <c r="H6122" t="s">
        <v>868</v>
      </c>
      <c r="I6122" t="s">
        <v>950</v>
      </c>
      <c r="J6122" t="str">
        <f>"9300046"</f>
        <v>9300046</v>
      </c>
      <c r="K6122">
        <v>2731095353</v>
      </c>
      <c r="L6122">
        <v>2731095353</v>
      </c>
      <c r="M6122" t="s">
        <v>39652</v>
      </c>
      <c r="N6122" t="s">
        <v>13681</v>
      </c>
      <c r="O6122" t="s">
        <v>39653</v>
      </c>
      <c r="P6122">
        <v>23067</v>
      </c>
      <c r="Q6122" t="str">
        <f>"37.290999"</f>
        <v>37.290999</v>
      </c>
      <c r="R6122" t="str">
        <f>"22.500798"</f>
        <v>22.500798</v>
      </c>
      <c r="S6122" t="s">
        <v>26</v>
      </c>
    </row>
    <row r="6123" spans="1:19" x14ac:dyDescent="0.3">
      <c r="A6123" t="s">
        <v>37529</v>
      </c>
      <c r="B6123" t="s">
        <v>39512</v>
      </c>
      <c r="C6123" t="s">
        <v>39662</v>
      </c>
      <c r="D6123" t="s">
        <v>37551</v>
      </c>
      <c r="E6123" t="s">
        <v>37552</v>
      </c>
      <c r="F6123" t="s">
        <v>38189</v>
      </c>
      <c r="G6123" t="s">
        <v>39661</v>
      </c>
      <c r="H6123" t="s">
        <v>868</v>
      </c>
      <c r="I6123" t="s">
        <v>869</v>
      </c>
      <c r="J6123" t="str">
        <f>"9300280"</f>
        <v>9300280</v>
      </c>
      <c r="N6123" t="s">
        <v>37552</v>
      </c>
      <c r="O6123" t="s">
        <v>7582</v>
      </c>
      <c r="P6123">
        <v>23100</v>
      </c>
      <c r="Q6123" t="str">
        <f>""</f>
        <v/>
      </c>
      <c r="R6123" t="str">
        <f>""</f>
        <v/>
      </c>
      <c r="S6123" t="s">
        <v>26</v>
      </c>
    </row>
    <row r="6124" spans="1:19" x14ac:dyDescent="0.3">
      <c r="A6124" t="s">
        <v>37529</v>
      </c>
      <c r="B6124" t="s">
        <v>39512</v>
      </c>
      <c r="C6124" t="s">
        <v>39665</v>
      </c>
      <c r="D6124" t="s">
        <v>37551</v>
      </c>
      <c r="E6124" t="s">
        <v>37552</v>
      </c>
      <c r="F6124" t="s">
        <v>37553</v>
      </c>
      <c r="G6124" t="s">
        <v>37552</v>
      </c>
      <c r="H6124" t="s">
        <v>868</v>
      </c>
      <c r="I6124" t="s">
        <v>869</v>
      </c>
      <c r="J6124" t="str">
        <f>"9300248"</f>
        <v>9300248</v>
      </c>
      <c r="K6124">
        <v>2731027166</v>
      </c>
      <c r="L6124">
        <v>2731027166</v>
      </c>
      <c r="M6124" t="s">
        <v>39666</v>
      </c>
      <c r="N6124" t="s">
        <v>37556</v>
      </c>
      <c r="O6124" t="s">
        <v>39667</v>
      </c>
      <c r="P6124">
        <v>23100</v>
      </c>
      <c r="Q6124" t="str">
        <f>"37.081668"</f>
        <v>37.081668</v>
      </c>
      <c r="R6124" t="str">
        <f>"22.434506"</f>
        <v>22.434506</v>
      </c>
      <c r="S6124" t="s">
        <v>26</v>
      </c>
    </row>
    <row r="6125" spans="1:19" x14ac:dyDescent="0.3">
      <c r="A6125" t="s">
        <v>37529</v>
      </c>
      <c r="B6125" t="s">
        <v>39512</v>
      </c>
      <c r="C6125" t="s">
        <v>38198</v>
      </c>
      <c r="D6125" t="s">
        <v>37551</v>
      </c>
      <c r="E6125" t="s">
        <v>37552</v>
      </c>
      <c r="F6125" t="s">
        <v>37553</v>
      </c>
      <c r="G6125" t="s">
        <v>37552</v>
      </c>
      <c r="H6125" t="s">
        <v>868</v>
      </c>
      <c r="I6125" t="s">
        <v>869</v>
      </c>
      <c r="J6125" t="str">
        <f>"9300002"</f>
        <v>9300002</v>
      </c>
      <c r="K6125">
        <v>2731022775</v>
      </c>
      <c r="L6125">
        <v>2731022775</v>
      </c>
      <c r="M6125" t="s">
        <v>39668</v>
      </c>
      <c r="N6125" t="s">
        <v>37556</v>
      </c>
      <c r="O6125" t="s">
        <v>39669</v>
      </c>
      <c r="P6125">
        <v>23100</v>
      </c>
      <c r="Q6125" t="str">
        <f>"37.062058"</f>
        <v>37.062058</v>
      </c>
      <c r="R6125" t="str">
        <f>"22.435260"</f>
        <v>22.435260</v>
      </c>
      <c r="S6125" t="s">
        <v>26</v>
      </c>
    </row>
    <row r="6126" spans="1:19" x14ac:dyDescent="0.3">
      <c r="A6126" t="s">
        <v>37529</v>
      </c>
      <c r="B6126" t="s">
        <v>39512</v>
      </c>
      <c r="C6126" t="s">
        <v>38144</v>
      </c>
      <c r="D6126" t="s">
        <v>37551</v>
      </c>
      <c r="E6126" t="s">
        <v>38097</v>
      </c>
      <c r="F6126" t="s">
        <v>38139</v>
      </c>
      <c r="G6126" t="s">
        <v>38139</v>
      </c>
      <c r="H6126" t="s">
        <v>868</v>
      </c>
      <c r="I6126" t="s">
        <v>869</v>
      </c>
      <c r="J6126" t="str">
        <f>"9300122"</f>
        <v>9300122</v>
      </c>
      <c r="K6126">
        <v>2735071332</v>
      </c>
      <c r="L6126">
        <v>2735071332</v>
      </c>
      <c r="M6126" t="s">
        <v>39670</v>
      </c>
      <c r="N6126" t="s">
        <v>38143</v>
      </c>
      <c r="O6126" t="s">
        <v>38211</v>
      </c>
      <c r="P6126">
        <v>23057</v>
      </c>
      <c r="Q6126" t="str">
        <f>"36.878959"</f>
        <v>36.878959</v>
      </c>
      <c r="R6126" t="str">
        <f>"22.547541"</f>
        <v>22.547541</v>
      </c>
      <c r="S6126" t="s">
        <v>26</v>
      </c>
    </row>
    <row r="6127" spans="1:19" x14ac:dyDescent="0.3">
      <c r="A6127" t="s">
        <v>37529</v>
      </c>
      <c r="B6127" t="s">
        <v>39512</v>
      </c>
      <c r="C6127" t="s">
        <v>38096</v>
      </c>
      <c r="D6127" t="s">
        <v>37551</v>
      </c>
      <c r="E6127" t="s">
        <v>38089</v>
      </c>
      <c r="F6127" t="s">
        <v>38090</v>
      </c>
      <c r="G6127" t="s">
        <v>38090</v>
      </c>
      <c r="H6127" t="s">
        <v>868</v>
      </c>
      <c r="I6127" t="s">
        <v>869</v>
      </c>
      <c r="J6127" t="str">
        <f>"9300078"</f>
        <v>9300078</v>
      </c>
      <c r="K6127">
        <v>2733022446</v>
      </c>
      <c r="L6127">
        <v>2733022349</v>
      </c>
      <c r="M6127" t="s">
        <v>39674</v>
      </c>
      <c r="N6127" t="s">
        <v>38094</v>
      </c>
      <c r="O6127" t="s">
        <v>39675</v>
      </c>
      <c r="P6127">
        <v>23200</v>
      </c>
      <c r="Q6127" t="str">
        <f>"36.761345"</f>
        <v>36.761345</v>
      </c>
      <c r="R6127" t="str">
        <f>"22.564713"</f>
        <v>22.564713</v>
      </c>
      <c r="S6127" t="s">
        <v>26</v>
      </c>
    </row>
    <row r="6128" spans="1:19" x14ac:dyDescent="0.3">
      <c r="A6128" t="s">
        <v>37529</v>
      </c>
      <c r="B6128" t="s">
        <v>39512</v>
      </c>
      <c r="C6128" t="s">
        <v>39681</v>
      </c>
      <c r="D6128" t="s">
        <v>37551</v>
      </c>
      <c r="E6128" t="s">
        <v>38097</v>
      </c>
      <c r="F6128" t="s">
        <v>24992</v>
      </c>
      <c r="G6128" t="s">
        <v>39566</v>
      </c>
      <c r="H6128" t="s">
        <v>868</v>
      </c>
      <c r="I6128" t="s">
        <v>950</v>
      </c>
      <c r="J6128" t="str">
        <f>"9300119"</f>
        <v>9300119</v>
      </c>
      <c r="K6128">
        <v>2735061275</v>
      </c>
      <c r="L6128">
        <v>2735061283</v>
      </c>
      <c r="M6128" t="s">
        <v>39682</v>
      </c>
      <c r="N6128" t="s">
        <v>39683</v>
      </c>
      <c r="O6128" t="s">
        <v>39569</v>
      </c>
      <c r="P6128">
        <v>23051</v>
      </c>
      <c r="Q6128" t="str">
        <f>"36.963714"</f>
        <v>36.963714</v>
      </c>
      <c r="R6128" t="str">
        <f>"22.657404"</f>
        <v>22.657404</v>
      </c>
      <c r="S6128" t="s">
        <v>26</v>
      </c>
    </row>
    <row r="6129" spans="1:19" x14ac:dyDescent="0.3">
      <c r="A6129" t="s">
        <v>37529</v>
      </c>
      <c r="B6129" t="s">
        <v>39512</v>
      </c>
      <c r="C6129" t="s">
        <v>38161</v>
      </c>
      <c r="D6129" t="s">
        <v>37551</v>
      </c>
      <c r="E6129" t="s">
        <v>38089</v>
      </c>
      <c r="F6129" t="s">
        <v>38156</v>
      </c>
      <c r="G6129" t="s">
        <v>38157</v>
      </c>
      <c r="H6129" t="s">
        <v>868</v>
      </c>
      <c r="I6129" t="s">
        <v>869</v>
      </c>
      <c r="J6129" t="str">
        <f>"9300135"</f>
        <v>9300135</v>
      </c>
      <c r="K6129">
        <v>2733051248</v>
      </c>
      <c r="L6129">
        <v>2733051248</v>
      </c>
      <c r="M6129" t="s">
        <v>39692</v>
      </c>
      <c r="N6129" t="s">
        <v>38207</v>
      </c>
      <c r="O6129" t="s">
        <v>38160</v>
      </c>
      <c r="P6129">
        <v>23062</v>
      </c>
      <c r="Q6129" t="str">
        <f>"36.665884"</f>
        <v>36.665884</v>
      </c>
      <c r="R6129" t="str">
        <f>"22.375773"</f>
        <v>22.375773</v>
      </c>
      <c r="S6129" t="s">
        <v>26</v>
      </c>
    </row>
    <row r="6130" spans="1:19" x14ac:dyDescent="0.3">
      <c r="A6130" t="s">
        <v>37529</v>
      </c>
      <c r="B6130" t="s">
        <v>39512</v>
      </c>
      <c r="C6130" t="s">
        <v>38182</v>
      </c>
      <c r="D6130" t="s">
        <v>37551</v>
      </c>
      <c r="E6130" t="s">
        <v>38097</v>
      </c>
      <c r="F6130" t="s">
        <v>35593</v>
      </c>
      <c r="G6130" t="s">
        <v>38177</v>
      </c>
      <c r="H6130" t="s">
        <v>868</v>
      </c>
      <c r="I6130" t="s">
        <v>869</v>
      </c>
      <c r="J6130" t="str">
        <f>"9300165"</f>
        <v>9300165</v>
      </c>
      <c r="K6130">
        <v>2735041230</v>
      </c>
      <c r="L6130">
        <v>2735042291</v>
      </c>
      <c r="M6130" t="s">
        <v>39693</v>
      </c>
      <c r="N6130" t="s">
        <v>38218</v>
      </c>
      <c r="O6130" t="s">
        <v>39660</v>
      </c>
      <c r="P6130">
        <v>23055</v>
      </c>
      <c r="Q6130" t="str">
        <f>"36.863542"</f>
        <v>36.863542</v>
      </c>
      <c r="R6130" t="str">
        <f>"22.712197"</f>
        <v>22.712197</v>
      </c>
      <c r="S6130" t="s">
        <v>26</v>
      </c>
    </row>
    <row r="6131" spans="1:19" x14ac:dyDescent="0.3">
      <c r="A6131" t="s">
        <v>37529</v>
      </c>
      <c r="B6131" t="s">
        <v>39512</v>
      </c>
      <c r="C6131" t="s">
        <v>39696</v>
      </c>
      <c r="D6131" t="s">
        <v>37551</v>
      </c>
      <c r="E6131" t="s">
        <v>37552</v>
      </c>
      <c r="F6131" t="s">
        <v>39694</v>
      </c>
      <c r="G6131" t="s">
        <v>39695</v>
      </c>
      <c r="H6131" t="s">
        <v>868</v>
      </c>
      <c r="I6131" t="s">
        <v>869</v>
      </c>
      <c r="J6131" t="str">
        <f>"9300037"</f>
        <v>9300037</v>
      </c>
      <c r="K6131">
        <v>6936852053</v>
      </c>
      <c r="L6131">
        <v>2731074455</v>
      </c>
      <c r="M6131" t="s">
        <v>39697</v>
      </c>
      <c r="N6131" t="s">
        <v>39698</v>
      </c>
      <c r="O6131" t="s">
        <v>39699</v>
      </c>
      <c r="P6131">
        <v>23100</v>
      </c>
      <c r="Q6131" t="str">
        <f>"37.013373"</f>
        <v>37.013373</v>
      </c>
      <c r="R6131" t="str">
        <f>"22.489930"</f>
        <v>22.489930</v>
      </c>
      <c r="S6131" t="s">
        <v>26</v>
      </c>
    </row>
    <row r="6132" spans="1:19" x14ac:dyDescent="0.3">
      <c r="A6132" t="s">
        <v>37529</v>
      </c>
      <c r="B6132" t="s">
        <v>39512</v>
      </c>
      <c r="C6132" t="s">
        <v>38171</v>
      </c>
      <c r="D6132" t="s">
        <v>37551</v>
      </c>
      <c r="E6132" t="s">
        <v>37552</v>
      </c>
      <c r="F6132" t="s">
        <v>38165</v>
      </c>
      <c r="G6132" t="s">
        <v>38166</v>
      </c>
      <c r="H6132" t="s">
        <v>868</v>
      </c>
      <c r="I6132" t="s">
        <v>869</v>
      </c>
      <c r="J6132" t="str">
        <f>"9300047"</f>
        <v>9300047</v>
      </c>
      <c r="K6132">
        <v>2731057348</v>
      </c>
      <c r="L6132">
        <v>2737057348</v>
      </c>
      <c r="M6132" t="s">
        <v>39709</v>
      </c>
      <c r="N6132" t="s">
        <v>38169</v>
      </c>
      <c r="O6132" t="s">
        <v>38225</v>
      </c>
      <c r="P6132">
        <v>23059</v>
      </c>
      <c r="Q6132" t="str">
        <f>"37.170869"</f>
        <v>37.170869</v>
      </c>
      <c r="R6132" t="str">
        <f>"22.306603"</f>
        <v>22.306603</v>
      </c>
      <c r="S6132" t="s">
        <v>26</v>
      </c>
    </row>
    <row r="6133" spans="1:19" x14ac:dyDescent="0.3">
      <c r="A6133" t="s">
        <v>37529</v>
      </c>
      <c r="B6133" t="s">
        <v>39512</v>
      </c>
      <c r="C6133" t="s">
        <v>38194</v>
      </c>
      <c r="D6133" t="s">
        <v>37551</v>
      </c>
      <c r="E6133" t="s">
        <v>37552</v>
      </c>
      <c r="F6133" t="s">
        <v>38189</v>
      </c>
      <c r="G6133" t="s">
        <v>38190</v>
      </c>
      <c r="H6133" t="s">
        <v>868</v>
      </c>
      <c r="I6133" t="s">
        <v>869</v>
      </c>
      <c r="J6133" t="str">
        <f>"9300064"</f>
        <v>9300064</v>
      </c>
      <c r="K6133">
        <v>2731035470</v>
      </c>
      <c r="L6133">
        <v>2731035470</v>
      </c>
      <c r="M6133" t="s">
        <v>39710</v>
      </c>
      <c r="N6133" t="s">
        <v>38190</v>
      </c>
      <c r="O6133" t="s">
        <v>39711</v>
      </c>
      <c r="P6133">
        <v>23150</v>
      </c>
      <c r="Q6133" t="str">
        <f>"36.961816"</f>
        <v>36.961816</v>
      </c>
      <c r="R6133" t="str">
        <f>"22.454435"</f>
        <v>22.454435</v>
      </c>
      <c r="S6133" t="s">
        <v>26</v>
      </c>
    </row>
    <row r="6134" spans="1:19" x14ac:dyDescent="0.3">
      <c r="A6134" t="s">
        <v>37529</v>
      </c>
      <c r="B6134" t="s">
        <v>39512</v>
      </c>
      <c r="C6134" t="s">
        <v>39712</v>
      </c>
      <c r="D6134" t="s">
        <v>37551</v>
      </c>
      <c r="E6134" t="s">
        <v>37552</v>
      </c>
      <c r="F6134" t="s">
        <v>37553</v>
      </c>
      <c r="G6134" t="s">
        <v>37552</v>
      </c>
      <c r="H6134" t="s">
        <v>868</v>
      </c>
      <c r="I6134" t="s">
        <v>869</v>
      </c>
      <c r="J6134" t="str">
        <f>"9300007"</f>
        <v>9300007</v>
      </c>
      <c r="K6134">
        <v>2731028034</v>
      </c>
      <c r="L6134">
        <v>2731028034</v>
      </c>
      <c r="M6134" t="s">
        <v>39713</v>
      </c>
      <c r="N6134" t="s">
        <v>37556</v>
      </c>
      <c r="O6134" t="s">
        <v>39714</v>
      </c>
      <c r="P6134">
        <v>23100</v>
      </c>
      <c r="Q6134" t="str">
        <f>"37.078217"</f>
        <v>37.078217</v>
      </c>
      <c r="R6134" t="str">
        <f>"22.428955"</f>
        <v>22.428955</v>
      </c>
      <c r="S6134" t="s">
        <v>26</v>
      </c>
    </row>
    <row r="6135" spans="1:19" x14ac:dyDescent="0.3">
      <c r="A6135" t="s">
        <v>37529</v>
      </c>
      <c r="B6135" t="s">
        <v>39512</v>
      </c>
      <c r="C6135" t="s">
        <v>38125</v>
      </c>
      <c r="D6135" t="s">
        <v>37551</v>
      </c>
      <c r="E6135" t="s">
        <v>37552</v>
      </c>
      <c r="F6135" t="s">
        <v>37553</v>
      </c>
      <c r="G6135" t="s">
        <v>37552</v>
      </c>
      <c r="H6135" t="s">
        <v>868</v>
      </c>
      <c r="I6135" t="s">
        <v>869</v>
      </c>
      <c r="J6135" t="str">
        <f>"9300009"</f>
        <v>9300009</v>
      </c>
      <c r="K6135">
        <v>2731028351</v>
      </c>
      <c r="L6135">
        <v>2731028351</v>
      </c>
      <c r="M6135" t="s">
        <v>39715</v>
      </c>
      <c r="N6135" t="s">
        <v>37556</v>
      </c>
      <c r="O6135" t="s">
        <v>39716</v>
      </c>
      <c r="P6135">
        <v>23100</v>
      </c>
      <c r="Q6135" t="str">
        <f>"37.070346"</f>
        <v>37.070346</v>
      </c>
      <c r="R6135" t="str">
        <f>"22.430490"</f>
        <v>22.430490</v>
      </c>
      <c r="S6135" t="s">
        <v>26</v>
      </c>
    </row>
    <row r="6136" spans="1:19" x14ac:dyDescent="0.3">
      <c r="A6136" t="s">
        <v>37529</v>
      </c>
      <c r="B6136" t="s">
        <v>39512</v>
      </c>
      <c r="C6136" t="s">
        <v>39717</v>
      </c>
      <c r="D6136" t="s">
        <v>37551</v>
      </c>
      <c r="E6136" t="s">
        <v>37552</v>
      </c>
      <c r="F6136" t="s">
        <v>37553</v>
      </c>
      <c r="G6136" t="s">
        <v>37552</v>
      </c>
      <c r="H6136" t="s">
        <v>868</v>
      </c>
      <c r="I6136" t="s">
        <v>869</v>
      </c>
      <c r="J6136" t="str">
        <f>"9300011"</f>
        <v>9300011</v>
      </c>
      <c r="K6136">
        <v>2731028681</v>
      </c>
      <c r="L6136">
        <v>2731028681</v>
      </c>
      <c r="M6136" t="s">
        <v>39718</v>
      </c>
      <c r="N6136" t="s">
        <v>37556</v>
      </c>
      <c r="O6136" t="s">
        <v>39719</v>
      </c>
      <c r="P6136">
        <v>23100</v>
      </c>
      <c r="Q6136" t="str">
        <f>"37.075136"</f>
        <v>37.075136</v>
      </c>
      <c r="R6136" t="str">
        <f>"22.436765"</f>
        <v>22.436765</v>
      </c>
      <c r="S6136" t="s">
        <v>26</v>
      </c>
    </row>
    <row r="6137" spans="1:19" x14ac:dyDescent="0.3">
      <c r="A6137" t="s">
        <v>37529</v>
      </c>
      <c r="B6137" t="s">
        <v>39512</v>
      </c>
      <c r="C6137" t="s">
        <v>38236</v>
      </c>
      <c r="D6137" t="s">
        <v>37551</v>
      </c>
      <c r="E6137" t="s">
        <v>38231</v>
      </c>
      <c r="F6137" t="s">
        <v>38231</v>
      </c>
      <c r="G6137" t="s">
        <v>38231</v>
      </c>
      <c r="H6137" t="s">
        <v>868</v>
      </c>
      <c r="I6137" t="s">
        <v>869</v>
      </c>
      <c r="J6137" t="str">
        <f>"9300171"</f>
        <v>9300171</v>
      </c>
      <c r="K6137">
        <v>2734061211</v>
      </c>
      <c r="L6137">
        <v>2734061211</v>
      </c>
      <c r="M6137" t="s">
        <v>39746</v>
      </c>
      <c r="N6137" t="s">
        <v>38235</v>
      </c>
      <c r="O6137" t="s">
        <v>38234</v>
      </c>
      <c r="P6137">
        <v>23053</v>
      </c>
      <c r="Q6137" t="str">
        <f>"36.507687"</f>
        <v>36.507687</v>
      </c>
      <c r="R6137" t="str">
        <f>"22.979142"</f>
        <v>22.979142</v>
      </c>
      <c r="S6137" t="s">
        <v>57</v>
      </c>
    </row>
    <row r="6138" spans="1:19" x14ac:dyDescent="0.3">
      <c r="A6138" t="s">
        <v>37529</v>
      </c>
      <c r="B6138" t="s">
        <v>39512</v>
      </c>
      <c r="C6138" t="s">
        <v>39747</v>
      </c>
      <c r="D6138" t="s">
        <v>37551</v>
      </c>
      <c r="E6138" t="s">
        <v>38078</v>
      </c>
      <c r="F6138" t="s">
        <v>38116</v>
      </c>
      <c r="G6138" t="s">
        <v>27389</v>
      </c>
      <c r="H6138" t="s">
        <v>868</v>
      </c>
      <c r="I6138" t="s">
        <v>869</v>
      </c>
      <c r="J6138" t="str">
        <f>"9300197"</f>
        <v>9300197</v>
      </c>
      <c r="K6138">
        <v>2732071506</v>
      </c>
      <c r="L6138">
        <v>2732071506</v>
      </c>
      <c r="M6138" t="s">
        <v>39748</v>
      </c>
      <c r="N6138" t="s">
        <v>39749</v>
      </c>
      <c r="O6138" t="s">
        <v>39680</v>
      </c>
      <c r="P6138">
        <v>23052</v>
      </c>
      <c r="Q6138" t="str">
        <f>"36.764410"</f>
        <v>36.764410</v>
      </c>
      <c r="R6138" t="str">
        <f>"22.941498"</f>
        <v>22.941498</v>
      </c>
      <c r="S6138" t="s">
        <v>26</v>
      </c>
    </row>
    <row r="6139" spans="1:19" x14ac:dyDescent="0.3">
      <c r="A6139" t="s">
        <v>37529</v>
      </c>
      <c r="B6139" t="s">
        <v>39512</v>
      </c>
      <c r="C6139" t="s">
        <v>38115</v>
      </c>
      <c r="D6139" t="s">
        <v>37551</v>
      </c>
      <c r="E6139" t="s">
        <v>38078</v>
      </c>
      <c r="F6139" t="s">
        <v>38109</v>
      </c>
      <c r="G6139" t="s">
        <v>38110</v>
      </c>
      <c r="H6139" t="s">
        <v>868</v>
      </c>
      <c r="I6139" t="s">
        <v>869</v>
      </c>
      <c r="J6139" t="str">
        <f>"9300195"</f>
        <v>9300195</v>
      </c>
      <c r="K6139">
        <v>2732082233</v>
      </c>
      <c r="L6139">
        <v>2732082233</v>
      </c>
      <c r="M6139" t="s">
        <v>39750</v>
      </c>
      <c r="N6139" t="s">
        <v>38114</v>
      </c>
      <c r="O6139" t="s">
        <v>39751</v>
      </c>
      <c r="P6139">
        <v>23056</v>
      </c>
      <c r="Q6139" t="str">
        <f>"36.714347"</f>
        <v>36.714347</v>
      </c>
      <c r="R6139" t="str">
        <f>"22.857709"</f>
        <v>22.857709</v>
      </c>
      <c r="S6139" t="s">
        <v>26</v>
      </c>
    </row>
    <row r="6140" spans="1:19" x14ac:dyDescent="0.3">
      <c r="A6140" t="s">
        <v>37529</v>
      </c>
      <c r="B6140" t="s">
        <v>39512</v>
      </c>
      <c r="C6140" t="s">
        <v>39754</v>
      </c>
      <c r="D6140" t="s">
        <v>37551</v>
      </c>
      <c r="E6140" t="s">
        <v>38078</v>
      </c>
      <c r="F6140" t="s">
        <v>38109</v>
      </c>
      <c r="G6140" t="s">
        <v>38109</v>
      </c>
      <c r="H6140" t="s">
        <v>868</v>
      </c>
      <c r="I6140" t="s">
        <v>869</v>
      </c>
      <c r="J6140" t="str">
        <f>"9300161"</f>
        <v>9300161</v>
      </c>
      <c r="K6140">
        <v>2732082322</v>
      </c>
      <c r="L6140">
        <v>2732082322</v>
      </c>
      <c r="M6140" t="s">
        <v>39755</v>
      </c>
      <c r="N6140" t="s">
        <v>39756</v>
      </c>
      <c r="O6140" t="s">
        <v>39728</v>
      </c>
      <c r="P6140">
        <v>23052</v>
      </c>
      <c r="Q6140" t="str">
        <f>"36.731288"</f>
        <v>36.731288</v>
      </c>
      <c r="R6140" t="str">
        <f>"22.854567"</f>
        <v>22.854567</v>
      </c>
      <c r="S6140" t="s">
        <v>26</v>
      </c>
    </row>
    <row r="6141" spans="1:19" x14ac:dyDescent="0.3">
      <c r="A6141" t="s">
        <v>37529</v>
      </c>
      <c r="B6141" t="s">
        <v>39512</v>
      </c>
      <c r="C6141" t="s">
        <v>38083</v>
      </c>
      <c r="D6141" t="s">
        <v>37551</v>
      </c>
      <c r="E6141" t="s">
        <v>38078</v>
      </c>
      <c r="F6141" t="s">
        <v>38078</v>
      </c>
      <c r="G6141" t="s">
        <v>38078</v>
      </c>
      <c r="H6141" t="s">
        <v>868</v>
      </c>
      <c r="I6141" t="s">
        <v>869</v>
      </c>
      <c r="J6141" t="str">
        <f>"9300186"</f>
        <v>9300186</v>
      </c>
      <c r="K6141">
        <v>2732061294</v>
      </c>
      <c r="L6141">
        <v>2732061294</v>
      </c>
      <c r="M6141" t="s">
        <v>39763</v>
      </c>
      <c r="N6141" t="s">
        <v>39764</v>
      </c>
      <c r="O6141" t="s">
        <v>38081</v>
      </c>
      <c r="P6141">
        <v>23070</v>
      </c>
      <c r="Q6141" t="str">
        <f>"36.685743"</f>
        <v>36.685743</v>
      </c>
      <c r="R6141" t="str">
        <f>"23.036643"</f>
        <v>23.036643</v>
      </c>
      <c r="S6141" t="s">
        <v>26</v>
      </c>
    </row>
    <row r="6142" spans="1:19" x14ac:dyDescent="0.3">
      <c r="A6142" t="s">
        <v>37529</v>
      </c>
      <c r="B6142" t="s">
        <v>39512</v>
      </c>
      <c r="C6142" t="s">
        <v>39768</v>
      </c>
      <c r="D6142" t="s">
        <v>37551</v>
      </c>
      <c r="E6142" t="s">
        <v>38078</v>
      </c>
      <c r="F6142" t="s">
        <v>39541</v>
      </c>
      <c r="G6142" t="s">
        <v>39705</v>
      </c>
      <c r="H6142" t="s">
        <v>868</v>
      </c>
      <c r="I6142" t="s">
        <v>950</v>
      </c>
      <c r="J6142" t="str">
        <f>"9300196"</f>
        <v>9300196</v>
      </c>
      <c r="K6142">
        <v>2732051234</v>
      </c>
      <c r="L6142">
        <v>2732051234</v>
      </c>
      <c r="M6142" t="s">
        <v>39769</v>
      </c>
      <c r="N6142" t="s">
        <v>39770</v>
      </c>
      <c r="O6142" t="s">
        <v>39771</v>
      </c>
      <c r="P6142">
        <v>23052</v>
      </c>
      <c r="Q6142" t="str">
        <f>"36.844532"</f>
        <v>36.844532</v>
      </c>
      <c r="R6142" t="str">
        <f>"23.002346"</f>
        <v>23.002346</v>
      </c>
      <c r="S6142" t="s">
        <v>26</v>
      </c>
    </row>
    <row r="6143" spans="1:19" x14ac:dyDescent="0.3">
      <c r="A6143" t="s">
        <v>37529</v>
      </c>
      <c r="B6143" t="s">
        <v>39512</v>
      </c>
      <c r="C6143" t="s">
        <v>39772</v>
      </c>
      <c r="D6143" t="s">
        <v>37551</v>
      </c>
      <c r="E6143" t="s">
        <v>38078</v>
      </c>
      <c r="F6143" t="s">
        <v>38103</v>
      </c>
      <c r="G6143" t="s">
        <v>21792</v>
      </c>
      <c r="H6143" t="s">
        <v>868</v>
      </c>
      <c r="I6143" t="s">
        <v>869</v>
      </c>
      <c r="J6143" t="str">
        <f>"9300177"</f>
        <v>9300177</v>
      </c>
      <c r="K6143">
        <v>2734047261</v>
      </c>
      <c r="L6143">
        <v>2734047261</v>
      </c>
      <c r="M6143" t="s">
        <v>39773</v>
      </c>
      <c r="N6143" t="s">
        <v>39774</v>
      </c>
      <c r="O6143" t="s">
        <v>39775</v>
      </c>
      <c r="P6143">
        <v>23053</v>
      </c>
      <c r="Q6143" t="str">
        <f>"36.543156"</f>
        <v>36.543156</v>
      </c>
      <c r="R6143" t="str">
        <f>"23.048442"</f>
        <v>23.048442</v>
      </c>
      <c r="S6143" t="s">
        <v>26</v>
      </c>
    </row>
    <row r="6144" spans="1:19" x14ac:dyDescent="0.3">
      <c r="A6144" t="s">
        <v>37529</v>
      </c>
      <c r="B6144" t="s">
        <v>39512</v>
      </c>
      <c r="C6144" t="s">
        <v>38102</v>
      </c>
      <c r="D6144" t="s">
        <v>37551</v>
      </c>
      <c r="E6144" t="s">
        <v>38097</v>
      </c>
      <c r="F6144" t="s">
        <v>38098</v>
      </c>
      <c r="G6144" t="s">
        <v>16876</v>
      </c>
      <c r="H6144" t="s">
        <v>868</v>
      </c>
      <c r="I6144" t="s">
        <v>869</v>
      </c>
      <c r="J6144" t="str">
        <f>"9300035"</f>
        <v>9300035</v>
      </c>
      <c r="K6144">
        <v>2731071347</v>
      </c>
      <c r="L6144">
        <v>2731071347</v>
      </c>
      <c r="M6144" t="s">
        <v>39780</v>
      </c>
      <c r="N6144" t="s">
        <v>16879</v>
      </c>
      <c r="O6144" t="s">
        <v>39781</v>
      </c>
      <c r="P6144">
        <v>23055</v>
      </c>
      <c r="Q6144" t="str">
        <f>"36.988765"</f>
        <v>36.988765</v>
      </c>
      <c r="R6144" t="str">
        <f>"22.705141"</f>
        <v>22.705141</v>
      </c>
      <c r="S6144" t="s">
        <v>26</v>
      </c>
    </row>
    <row r="6145" spans="1:19" x14ac:dyDescent="0.3">
      <c r="A6145" t="s">
        <v>37529</v>
      </c>
      <c r="B6145" t="s">
        <v>39512</v>
      </c>
      <c r="C6145" t="s">
        <v>39782</v>
      </c>
      <c r="D6145" t="s">
        <v>37551</v>
      </c>
      <c r="E6145" t="s">
        <v>37552</v>
      </c>
      <c r="F6145" t="s">
        <v>38165</v>
      </c>
      <c r="G6145" t="s">
        <v>39776</v>
      </c>
      <c r="H6145" t="s">
        <v>868</v>
      </c>
      <c r="I6145" t="s">
        <v>950</v>
      </c>
      <c r="J6145" t="str">
        <f>"9300059"</f>
        <v>9300059</v>
      </c>
      <c r="K6145">
        <v>2731065471</v>
      </c>
      <c r="L6145">
        <v>2731065471</v>
      </c>
      <c r="M6145" t="s">
        <v>39783</v>
      </c>
      <c r="N6145" t="s">
        <v>39776</v>
      </c>
      <c r="O6145" t="s">
        <v>39779</v>
      </c>
      <c r="P6145">
        <v>23059</v>
      </c>
      <c r="Q6145" t="str">
        <f>"37.228919"</f>
        <v>37.228919</v>
      </c>
      <c r="R6145" t="str">
        <f>"22.252361"</f>
        <v>22.252361</v>
      </c>
      <c r="S6145" t="s">
        <v>26</v>
      </c>
    </row>
    <row r="6146" spans="1:19" x14ac:dyDescent="0.3">
      <c r="A6146" t="s">
        <v>37529</v>
      </c>
      <c r="B6146" t="s">
        <v>39512</v>
      </c>
      <c r="C6146" t="s">
        <v>38135</v>
      </c>
      <c r="D6146" t="s">
        <v>37551</v>
      </c>
      <c r="E6146" t="s">
        <v>38078</v>
      </c>
      <c r="F6146" t="s">
        <v>38103</v>
      </c>
      <c r="G6146" t="s">
        <v>25890</v>
      </c>
      <c r="H6146" t="s">
        <v>868</v>
      </c>
      <c r="I6146" t="s">
        <v>869</v>
      </c>
      <c r="J6146" t="str">
        <f>"9300188"</f>
        <v>9300188</v>
      </c>
      <c r="K6146">
        <v>2734022286</v>
      </c>
      <c r="L6146">
        <v>2734023061</v>
      </c>
      <c r="M6146" t="s">
        <v>39784</v>
      </c>
      <c r="N6146" t="s">
        <v>613</v>
      </c>
      <c r="O6146" t="s">
        <v>39785</v>
      </c>
      <c r="P6146">
        <v>23053</v>
      </c>
      <c r="Q6146" t="str">
        <f>"36.512555"</f>
        <v>36.512555</v>
      </c>
      <c r="R6146" t="str">
        <f>"23.061315"</f>
        <v>23.061315</v>
      </c>
      <c r="S6146" t="s">
        <v>26</v>
      </c>
    </row>
    <row r="6147" spans="1:19" x14ac:dyDescent="0.3">
      <c r="A6147" t="s">
        <v>37529</v>
      </c>
      <c r="B6147" t="s">
        <v>39512</v>
      </c>
      <c r="C6147" t="s">
        <v>38176</v>
      </c>
      <c r="D6147" t="s">
        <v>37551</v>
      </c>
      <c r="E6147" t="s">
        <v>38089</v>
      </c>
      <c r="F6147" t="s">
        <v>38090</v>
      </c>
      <c r="G6147" t="s">
        <v>38090</v>
      </c>
      <c r="H6147" t="s">
        <v>868</v>
      </c>
      <c r="I6147" t="s">
        <v>869</v>
      </c>
      <c r="J6147" t="str">
        <f>"9300076"</f>
        <v>9300076</v>
      </c>
      <c r="K6147">
        <v>2733022534</v>
      </c>
      <c r="M6147" t="s">
        <v>39786</v>
      </c>
      <c r="N6147" t="s">
        <v>38094</v>
      </c>
      <c r="O6147" t="s">
        <v>39787</v>
      </c>
      <c r="P6147">
        <v>23200</v>
      </c>
      <c r="Q6147" t="str">
        <f>"36.753082"</f>
        <v>36.753082</v>
      </c>
      <c r="R6147" t="str">
        <f>"22.569114"</f>
        <v>22.569114</v>
      </c>
      <c r="S6147" t="s">
        <v>26</v>
      </c>
    </row>
    <row r="6148" spans="1:19" x14ac:dyDescent="0.3">
      <c r="A6148" t="s">
        <v>37529</v>
      </c>
      <c r="B6148" t="s">
        <v>39512</v>
      </c>
      <c r="C6148" t="s">
        <v>38121</v>
      </c>
      <c r="D6148" t="s">
        <v>37551</v>
      </c>
      <c r="E6148" t="s">
        <v>38078</v>
      </c>
      <c r="F6148" t="s">
        <v>38116</v>
      </c>
      <c r="G6148" t="s">
        <v>38116</v>
      </c>
      <c r="H6148" t="s">
        <v>868</v>
      </c>
      <c r="I6148" t="s">
        <v>869</v>
      </c>
      <c r="J6148" t="str">
        <f>"9300149"</f>
        <v>9300149</v>
      </c>
      <c r="K6148">
        <v>2732022267</v>
      </c>
      <c r="L6148">
        <v>2732022267</v>
      </c>
      <c r="M6148" t="s">
        <v>39788</v>
      </c>
      <c r="N6148" t="s">
        <v>38119</v>
      </c>
      <c r="O6148" t="s">
        <v>38120</v>
      </c>
      <c r="P6148">
        <v>23052</v>
      </c>
      <c r="Q6148" t="str">
        <f>"36.808329"</f>
        <v>36.808329</v>
      </c>
      <c r="R6148" t="str">
        <f>"22.851562"</f>
        <v>22.851562</v>
      </c>
      <c r="S6148" t="s">
        <v>26</v>
      </c>
    </row>
    <row r="6149" spans="1:19" x14ac:dyDescent="0.3">
      <c r="A6149" t="s">
        <v>37529</v>
      </c>
      <c r="B6149" t="s">
        <v>39512</v>
      </c>
      <c r="C6149" t="s">
        <v>39789</v>
      </c>
      <c r="D6149" t="s">
        <v>37551</v>
      </c>
      <c r="E6149" t="s">
        <v>38097</v>
      </c>
      <c r="F6149" t="s">
        <v>35593</v>
      </c>
      <c r="G6149" t="s">
        <v>39729</v>
      </c>
      <c r="H6149" t="s">
        <v>868</v>
      </c>
      <c r="I6149" t="s">
        <v>869</v>
      </c>
      <c r="J6149" t="str">
        <f>"9300166"</f>
        <v>9300166</v>
      </c>
      <c r="K6149">
        <v>2735091264</v>
      </c>
      <c r="L6149">
        <v>2735091264</v>
      </c>
      <c r="M6149" t="s">
        <v>39790</v>
      </c>
      <c r="N6149" t="s">
        <v>39791</v>
      </c>
      <c r="O6149" t="s">
        <v>39792</v>
      </c>
      <c r="P6149">
        <v>23055</v>
      </c>
      <c r="Q6149" t="str">
        <f>"36.827816"</f>
        <v>36.827816</v>
      </c>
      <c r="R6149" t="str">
        <f>"22.779935"</f>
        <v>22.779935</v>
      </c>
      <c r="S6149" t="s">
        <v>26</v>
      </c>
    </row>
    <row r="6150" spans="1:19" x14ac:dyDescent="0.3">
      <c r="A6150" t="s">
        <v>37529</v>
      </c>
      <c r="B6150" t="s">
        <v>39512</v>
      </c>
      <c r="C6150" t="s">
        <v>38108</v>
      </c>
      <c r="D6150" t="s">
        <v>37551</v>
      </c>
      <c r="E6150" t="s">
        <v>38078</v>
      </c>
      <c r="F6150" t="s">
        <v>38103</v>
      </c>
      <c r="G6150" t="s">
        <v>39793</v>
      </c>
      <c r="H6150" t="s">
        <v>868</v>
      </c>
      <c r="I6150" t="s">
        <v>950</v>
      </c>
      <c r="J6150" t="str">
        <f>"9300172"</f>
        <v>9300172</v>
      </c>
      <c r="K6150">
        <v>2732044392</v>
      </c>
      <c r="L6150">
        <v>2734044392</v>
      </c>
      <c r="M6150" t="s">
        <v>39794</v>
      </c>
      <c r="N6150" t="s">
        <v>39795</v>
      </c>
      <c r="O6150" t="s">
        <v>39795</v>
      </c>
      <c r="P6150">
        <v>23053</v>
      </c>
      <c r="Q6150" t="str">
        <f>"36.548655"</f>
        <v>36.548655</v>
      </c>
      <c r="R6150" t="str">
        <f>"23.036941"</f>
        <v>23.036941</v>
      </c>
      <c r="S6150" t="s">
        <v>26</v>
      </c>
    </row>
    <row r="6151" spans="1:19" x14ac:dyDescent="0.3">
      <c r="A6151" t="s">
        <v>37529</v>
      </c>
      <c r="B6151" t="s">
        <v>39512</v>
      </c>
      <c r="C6151" t="s">
        <v>39805</v>
      </c>
      <c r="D6151" t="s">
        <v>37551</v>
      </c>
      <c r="E6151" t="s">
        <v>37552</v>
      </c>
      <c r="F6151" t="s">
        <v>37553</v>
      </c>
      <c r="G6151" t="s">
        <v>37552</v>
      </c>
      <c r="H6151" t="s">
        <v>868</v>
      </c>
      <c r="I6151" t="s">
        <v>1157</v>
      </c>
      <c r="J6151" t="str">
        <f>"9300230"</f>
        <v>9300230</v>
      </c>
      <c r="K6151">
        <v>2731025980</v>
      </c>
      <c r="L6151">
        <v>2731025980</v>
      </c>
      <c r="M6151" t="s">
        <v>39806</v>
      </c>
      <c r="N6151" t="s">
        <v>39807</v>
      </c>
      <c r="O6151" t="s">
        <v>39808</v>
      </c>
      <c r="P6151">
        <v>23100</v>
      </c>
      <c r="Q6151" t="str">
        <f>"37.055031"</f>
        <v>37.055031</v>
      </c>
      <c r="R6151" t="str">
        <f>"22.417330"</f>
        <v>22.417330</v>
      </c>
      <c r="S6151" t="s">
        <v>26</v>
      </c>
    </row>
    <row r="6152" spans="1:19" x14ac:dyDescent="0.3">
      <c r="A6152" t="s">
        <v>37529</v>
      </c>
      <c r="B6152" t="s">
        <v>39512</v>
      </c>
      <c r="C6152" t="s">
        <v>39829</v>
      </c>
      <c r="D6152" t="s">
        <v>37551</v>
      </c>
      <c r="E6152" t="s">
        <v>38089</v>
      </c>
      <c r="F6152" t="s">
        <v>38090</v>
      </c>
      <c r="G6152" t="s">
        <v>38090</v>
      </c>
      <c r="H6152" t="s">
        <v>868</v>
      </c>
      <c r="I6152" t="s">
        <v>1157</v>
      </c>
      <c r="J6152" t="str">
        <f>"9521280"</f>
        <v>9521280</v>
      </c>
      <c r="N6152" t="s">
        <v>38090</v>
      </c>
      <c r="O6152">
        <v>0</v>
      </c>
      <c r="P6152">
        <v>0</v>
      </c>
      <c r="Q6152" t="str">
        <f>""</f>
        <v/>
      </c>
      <c r="R6152" t="str">
        <f>""</f>
        <v/>
      </c>
      <c r="S6152" t="s">
        <v>26</v>
      </c>
    </row>
    <row r="6153" spans="1:19" x14ac:dyDescent="0.3">
      <c r="A6153" t="s">
        <v>37529</v>
      </c>
      <c r="B6153" t="s">
        <v>39512</v>
      </c>
      <c r="C6153" t="s">
        <v>39831</v>
      </c>
      <c r="D6153" t="s">
        <v>37551</v>
      </c>
      <c r="E6153" t="s">
        <v>38078</v>
      </c>
      <c r="F6153" t="s">
        <v>38116</v>
      </c>
      <c r="G6153" t="s">
        <v>39830</v>
      </c>
      <c r="H6153" t="s">
        <v>868</v>
      </c>
      <c r="I6153" t="s">
        <v>1157</v>
      </c>
      <c r="J6153" t="str">
        <f>"9521483"</f>
        <v>9521483</v>
      </c>
      <c r="K6153">
        <v>2732023547</v>
      </c>
      <c r="L6153">
        <v>2732023547</v>
      </c>
      <c r="M6153" t="s">
        <v>39832</v>
      </c>
      <c r="N6153" t="s">
        <v>39833</v>
      </c>
      <c r="P6153">
        <v>23052</v>
      </c>
      <c r="Q6153" t="str">
        <f>"36.790944"</f>
        <v>36.790944</v>
      </c>
      <c r="R6153" t="str">
        <f>"22.851103"</f>
        <v>22.851103</v>
      </c>
      <c r="S6153" t="s">
        <v>26</v>
      </c>
    </row>
    <row r="6154" spans="1:19" x14ac:dyDescent="0.3">
      <c r="A6154" t="s">
        <v>37529</v>
      </c>
      <c r="B6154" t="s">
        <v>39848</v>
      </c>
      <c r="C6154" t="s">
        <v>39849</v>
      </c>
      <c r="D6154" t="s">
        <v>37558</v>
      </c>
      <c r="E6154" t="s">
        <v>38260</v>
      </c>
      <c r="F6154" t="s">
        <v>38260</v>
      </c>
      <c r="G6154" t="s">
        <v>38260</v>
      </c>
      <c r="H6154" t="s">
        <v>868</v>
      </c>
      <c r="I6154" t="s">
        <v>869</v>
      </c>
      <c r="J6154" t="str">
        <f>"9360094"</f>
        <v>9360094</v>
      </c>
      <c r="K6154">
        <v>2722022275</v>
      </c>
      <c r="L6154">
        <v>2722022275</v>
      </c>
      <c r="M6154" t="s">
        <v>39850</v>
      </c>
      <c r="N6154" t="s">
        <v>38311</v>
      </c>
      <c r="O6154" t="s">
        <v>39851</v>
      </c>
      <c r="P6154">
        <v>24200</v>
      </c>
      <c r="Q6154" t="str">
        <f>"37.057735"</f>
        <v>37.057735</v>
      </c>
      <c r="R6154" t="str">
        <f>"22.006810"</f>
        <v>22.006810</v>
      </c>
      <c r="S6154" t="s">
        <v>26</v>
      </c>
    </row>
    <row r="6155" spans="1:19" x14ac:dyDescent="0.3">
      <c r="A6155" t="s">
        <v>37529</v>
      </c>
      <c r="B6155" t="s">
        <v>39848</v>
      </c>
      <c r="C6155" t="s">
        <v>38308</v>
      </c>
      <c r="D6155" t="s">
        <v>37558</v>
      </c>
      <c r="E6155" t="s">
        <v>37559</v>
      </c>
      <c r="F6155" t="s">
        <v>37559</v>
      </c>
      <c r="G6155" t="s">
        <v>37559</v>
      </c>
      <c r="H6155" t="s">
        <v>868</v>
      </c>
      <c r="I6155" t="s">
        <v>869</v>
      </c>
      <c r="J6155" t="str">
        <f>"9360011"</f>
        <v>9360011</v>
      </c>
      <c r="K6155">
        <v>2721025292</v>
      </c>
      <c r="L6155">
        <v>2721025292</v>
      </c>
      <c r="M6155" t="s">
        <v>39858</v>
      </c>
      <c r="N6155" t="s">
        <v>37562</v>
      </c>
      <c r="O6155" t="s">
        <v>39859</v>
      </c>
      <c r="P6155">
        <v>24100</v>
      </c>
      <c r="Q6155" t="str">
        <f>"37.044384"</f>
        <v>37.044384</v>
      </c>
      <c r="R6155" t="str">
        <f>"22.093224"</f>
        <v>22.093224</v>
      </c>
      <c r="S6155" t="s">
        <v>26</v>
      </c>
    </row>
    <row r="6156" spans="1:19" x14ac:dyDescent="0.3">
      <c r="A6156" t="s">
        <v>37529</v>
      </c>
      <c r="B6156" t="s">
        <v>39848</v>
      </c>
      <c r="C6156" t="s">
        <v>39860</v>
      </c>
      <c r="D6156" t="s">
        <v>37558</v>
      </c>
      <c r="E6156" t="s">
        <v>37559</v>
      </c>
      <c r="F6156" t="s">
        <v>37559</v>
      </c>
      <c r="G6156" t="s">
        <v>37559</v>
      </c>
      <c r="H6156" t="s">
        <v>868</v>
      </c>
      <c r="I6156" t="s">
        <v>869</v>
      </c>
      <c r="J6156" t="str">
        <f>"9360004"</f>
        <v>9360004</v>
      </c>
      <c r="K6156">
        <v>2721023105</v>
      </c>
      <c r="L6156">
        <v>2721023985</v>
      </c>
      <c r="M6156" t="s">
        <v>39861</v>
      </c>
      <c r="N6156" t="s">
        <v>37562</v>
      </c>
      <c r="O6156" t="s">
        <v>39862</v>
      </c>
      <c r="P6156">
        <v>24100</v>
      </c>
      <c r="Q6156" t="str">
        <f>"37.042605"</f>
        <v>37.042605</v>
      </c>
      <c r="R6156" t="str">
        <f>"22.117485"</f>
        <v>22.117485</v>
      </c>
      <c r="S6156" t="s">
        <v>26</v>
      </c>
    </row>
    <row r="6157" spans="1:19" x14ac:dyDescent="0.3">
      <c r="A6157" t="s">
        <v>37529</v>
      </c>
      <c r="B6157" t="s">
        <v>39848</v>
      </c>
      <c r="C6157" t="s">
        <v>39868</v>
      </c>
      <c r="D6157" t="s">
        <v>37558</v>
      </c>
      <c r="E6157" t="s">
        <v>37559</v>
      </c>
      <c r="F6157" t="s">
        <v>37559</v>
      </c>
      <c r="G6157" t="s">
        <v>37559</v>
      </c>
      <c r="H6157" t="s">
        <v>868</v>
      </c>
      <c r="I6157" t="s">
        <v>869</v>
      </c>
      <c r="J6157" t="str">
        <f>"9360016"</f>
        <v>9360016</v>
      </c>
      <c r="K6157">
        <v>2721023175</v>
      </c>
      <c r="L6157">
        <v>2721088835</v>
      </c>
      <c r="M6157" t="s">
        <v>39869</v>
      </c>
      <c r="N6157" t="s">
        <v>37562</v>
      </c>
      <c r="O6157" t="s">
        <v>19855</v>
      </c>
      <c r="P6157">
        <v>24100</v>
      </c>
      <c r="Q6157" t="str">
        <f>"37.040838"</f>
        <v>37.040838</v>
      </c>
      <c r="R6157" t="str">
        <f>"22.116505"</f>
        <v>22.116505</v>
      </c>
      <c r="S6157" t="s">
        <v>26</v>
      </c>
    </row>
    <row r="6158" spans="1:19" x14ac:dyDescent="0.3">
      <c r="A6158" t="s">
        <v>37529</v>
      </c>
      <c r="B6158" t="s">
        <v>39848</v>
      </c>
      <c r="C6158" t="s">
        <v>38385</v>
      </c>
      <c r="D6158" t="s">
        <v>37558</v>
      </c>
      <c r="E6158" t="s">
        <v>21503</v>
      </c>
      <c r="F6158" t="s">
        <v>38381</v>
      </c>
      <c r="G6158" t="s">
        <v>38381</v>
      </c>
      <c r="H6158" t="s">
        <v>868</v>
      </c>
      <c r="I6158" t="s">
        <v>869</v>
      </c>
      <c r="J6158" t="str">
        <f>"9360149"</f>
        <v>9360149</v>
      </c>
      <c r="K6158">
        <v>2724022311</v>
      </c>
      <c r="M6158" t="s">
        <v>39870</v>
      </c>
      <c r="N6158" t="s">
        <v>38384</v>
      </c>
      <c r="O6158" t="s">
        <v>38384</v>
      </c>
      <c r="P6158">
        <v>24002</v>
      </c>
      <c r="Q6158" t="str">
        <f>"37.224515"</f>
        <v>37.224515</v>
      </c>
      <c r="R6158" t="str">
        <f>"21.969915"</f>
        <v>21.969915</v>
      </c>
      <c r="S6158" t="s">
        <v>26</v>
      </c>
    </row>
    <row r="6159" spans="1:19" x14ac:dyDescent="0.3">
      <c r="A6159" t="s">
        <v>37529</v>
      </c>
      <c r="B6159" t="s">
        <v>39848</v>
      </c>
      <c r="C6159" t="s">
        <v>38351</v>
      </c>
      <c r="D6159" t="s">
        <v>37558</v>
      </c>
      <c r="E6159" t="s">
        <v>38260</v>
      </c>
      <c r="F6159" t="s">
        <v>38346</v>
      </c>
      <c r="G6159" t="s">
        <v>38346</v>
      </c>
      <c r="H6159" t="s">
        <v>868</v>
      </c>
      <c r="I6159" t="s">
        <v>869</v>
      </c>
      <c r="J6159" t="str">
        <f>"9360112"</f>
        <v>9360112</v>
      </c>
      <c r="K6159">
        <v>2722092218</v>
      </c>
      <c r="L6159">
        <v>2722092218</v>
      </c>
      <c r="M6159" t="s">
        <v>39871</v>
      </c>
      <c r="N6159" t="s">
        <v>38350</v>
      </c>
      <c r="O6159" t="s">
        <v>38414</v>
      </c>
      <c r="P6159">
        <v>24015</v>
      </c>
      <c r="Q6159" t="str">
        <f>"37.087687"</f>
        <v>37.087687</v>
      </c>
      <c r="R6159" t="str">
        <f>"21.837809"</f>
        <v>21.837809</v>
      </c>
      <c r="S6159" t="s">
        <v>26</v>
      </c>
    </row>
    <row r="6160" spans="1:19" x14ac:dyDescent="0.3">
      <c r="A6160" t="s">
        <v>37529</v>
      </c>
      <c r="B6160" t="s">
        <v>39848</v>
      </c>
      <c r="C6160" t="s">
        <v>38279</v>
      </c>
      <c r="D6160" t="s">
        <v>37558</v>
      </c>
      <c r="E6160" t="s">
        <v>38260</v>
      </c>
      <c r="F6160" t="s">
        <v>38260</v>
      </c>
      <c r="G6160" t="s">
        <v>38260</v>
      </c>
      <c r="H6160" t="s">
        <v>868</v>
      </c>
      <c r="I6160" t="s">
        <v>869</v>
      </c>
      <c r="J6160" t="str">
        <f>"9360098"</f>
        <v>9360098</v>
      </c>
      <c r="K6160">
        <v>2722022504</v>
      </c>
      <c r="L6160">
        <v>2722022504</v>
      </c>
      <c r="M6160" t="s">
        <v>39879</v>
      </c>
      <c r="N6160" t="s">
        <v>38311</v>
      </c>
      <c r="O6160" t="s">
        <v>39880</v>
      </c>
      <c r="P6160">
        <v>24200</v>
      </c>
      <c r="Q6160" t="str">
        <f>"37.051000"</f>
        <v>37.051000</v>
      </c>
      <c r="R6160" t="str">
        <f>"22.003617"</f>
        <v>22.003617</v>
      </c>
      <c r="S6160" t="s">
        <v>26</v>
      </c>
    </row>
    <row r="6161" spans="1:19" x14ac:dyDescent="0.3">
      <c r="A6161" t="s">
        <v>37529</v>
      </c>
      <c r="B6161" t="s">
        <v>39848</v>
      </c>
      <c r="C6161" t="s">
        <v>39888</v>
      </c>
      <c r="D6161" t="s">
        <v>37558</v>
      </c>
      <c r="E6161" t="s">
        <v>37559</v>
      </c>
      <c r="F6161" t="s">
        <v>37559</v>
      </c>
      <c r="G6161" t="s">
        <v>37559</v>
      </c>
      <c r="H6161" t="s">
        <v>868</v>
      </c>
      <c r="I6161" t="s">
        <v>869</v>
      </c>
      <c r="J6161" t="str">
        <f>"9360460"</f>
        <v>9360460</v>
      </c>
      <c r="K6161">
        <v>2721021055</v>
      </c>
      <c r="L6161">
        <v>2721085483</v>
      </c>
      <c r="M6161" t="s">
        <v>39889</v>
      </c>
      <c r="N6161" t="s">
        <v>37562</v>
      </c>
      <c r="O6161" t="s">
        <v>39890</v>
      </c>
      <c r="P6161">
        <v>24100</v>
      </c>
      <c r="Q6161" t="str">
        <f>"37.028080"</f>
        <v>37.028080</v>
      </c>
      <c r="R6161" t="str">
        <f>"22.110639"</f>
        <v>22.110639</v>
      </c>
      <c r="S6161" t="s">
        <v>26</v>
      </c>
    </row>
    <row r="6162" spans="1:19" x14ac:dyDescent="0.3">
      <c r="A6162" t="s">
        <v>37529</v>
      </c>
      <c r="B6162" t="s">
        <v>39848</v>
      </c>
      <c r="C6162" t="s">
        <v>39894</v>
      </c>
      <c r="D6162" t="s">
        <v>37558</v>
      </c>
      <c r="E6162" t="s">
        <v>37559</v>
      </c>
      <c r="F6162" t="s">
        <v>37559</v>
      </c>
      <c r="G6162" t="s">
        <v>39893</v>
      </c>
      <c r="H6162" t="s">
        <v>868</v>
      </c>
      <c r="I6162" t="s">
        <v>869</v>
      </c>
      <c r="J6162" t="str">
        <f>"9360086"</f>
        <v>9360086</v>
      </c>
      <c r="K6162">
        <v>2721041334</v>
      </c>
      <c r="L6162">
        <v>2721041334</v>
      </c>
      <c r="M6162" t="s">
        <v>39895</v>
      </c>
      <c r="N6162" t="s">
        <v>39896</v>
      </c>
      <c r="O6162" t="s">
        <v>39896</v>
      </c>
      <c r="P6162">
        <v>24100</v>
      </c>
      <c r="Q6162" t="str">
        <f>"37.005779"</f>
        <v>37.005779</v>
      </c>
      <c r="R6162" t="str">
        <f>"22.158897"</f>
        <v>22.158897</v>
      </c>
      <c r="S6162" t="s">
        <v>26</v>
      </c>
    </row>
    <row r="6163" spans="1:19" x14ac:dyDescent="0.3">
      <c r="A6163" t="s">
        <v>37529</v>
      </c>
      <c r="B6163" t="s">
        <v>39848</v>
      </c>
      <c r="C6163" t="s">
        <v>38298</v>
      </c>
      <c r="D6163" t="s">
        <v>37558</v>
      </c>
      <c r="E6163" t="s">
        <v>21503</v>
      </c>
      <c r="F6163" t="s">
        <v>38293</v>
      </c>
      <c r="G6163" t="s">
        <v>38293</v>
      </c>
      <c r="H6163" t="s">
        <v>868</v>
      </c>
      <c r="I6163" t="s">
        <v>869</v>
      </c>
      <c r="J6163" t="str">
        <f>"9360316"</f>
        <v>9360316</v>
      </c>
      <c r="K6163">
        <v>2765031221</v>
      </c>
      <c r="L6163">
        <v>2765031302</v>
      </c>
      <c r="M6163" t="s">
        <v>39897</v>
      </c>
      <c r="O6163" t="s">
        <v>38297</v>
      </c>
      <c r="P6163">
        <v>24011</v>
      </c>
      <c r="Q6163" t="str">
        <f>"37.289768"</f>
        <v>37.289768</v>
      </c>
      <c r="R6163" t="str">
        <f>"21.858239"</f>
        <v>21.858239</v>
      </c>
      <c r="S6163" t="s">
        <v>26</v>
      </c>
    </row>
    <row r="6164" spans="1:19" x14ac:dyDescent="0.3">
      <c r="A6164" t="s">
        <v>37529</v>
      </c>
      <c r="B6164" t="s">
        <v>39848</v>
      </c>
      <c r="C6164" t="s">
        <v>38345</v>
      </c>
      <c r="D6164" t="s">
        <v>37558</v>
      </c>
      <c r="E6164" t="s">
        <v>38252</v>
      </c>
      <c r="F6164" t="s">
        <v>38340</v>
      </c>
      <c r="G6164" t="s">
        <v>1490</v>
      </c>
      <c r="H6164" t="s">
        <v>868</v>
      </c>
      <c r="I6164" t="s">
        <v>869</v>
      </c>
      <c r="J6164" t="str">
        <f>"9360269"</f>
        <v>9360269</v>
      </c>
      <c r="K6164">
        <v>2763031332</v>
      </c>
      <c r="L6164">
        <v>2763029737</v>
      </c>
      <c r="M6164" t="s">
        <v>39898</v>
      </c>
      <c r="N6164" t="s">
        <v>39899</v>
      </c>
      <c r="O6164" t="s">
        <v>39900</v>
      </c>
      <c r="P6164">
        <v>24600</v>
      </c>
      <c r="Q6164" t="str">
        <f>"37.051833"</f>
        <v>37.051833</v>
      </c>
      <c r="R6164" t="str">
        <f>"21.722039"</f>
        <v>21.722039</v>
      </c>
      <c r="S6164" t="s">
        <v>26</v>
      </c>
    </row>
    <row r="6165" spans="1:19" x14ac:dyDescent="0.3">
      <c r="A6165" t="s">
        <v>37529</v>
      </c>
      <c r="B6165" t="s">
        <v>39848</v>
      </c>
      <c r="C6165" t="s">
        <v>38376</v>
      </c>
      <c r="D6165" t="s">
        <v>37558</v>
      </c>
      <c r="E6165" t="s">
        <v>37559</v>
      </c>
      <c r="F6165" t="s">
        <v>37559</v>
      </c>
      <c r="G6165" t="s">
        <v>39901</v>
      </c>
      <c r="H6165" t="s">
        <v>868</v>
      </c>
      <c r="I6165" t="s">
        <v>869</v>
      </c>
      <c r="J6165" t="str">
        <f>"9360043"</f>
        <v>9360043</v>
      </c>
      <c r="K6165">
        <v>2721069109</v>
      </c>
      <c r="M6165" t="s">
        <v>39902</v>
      </c>
      <c r="N6165" t="s">
        <v>39903</v>
      </c>
      <c r="O6165" t="s">
        <v>39904</v>
      </c>
      <c r="P6165">
        <v>24100</v>
      </c>
      <c r="Q6165" t="str">
        <f>"37.041101"</f>
        <v>37.041101</v>
      </c>
      <c r="R6165" t="str">
        <f>"22.105865"</f>
        <v>22.105865</v>
      </c>
      <c r="S6165" t="s">
        <v>26</v>
      </c>
    </row>
    <row r="6166" spans="1:19" x14ac:dyDescent="0.3">
      <c r="A6166" t="s">
        <v>37529</v>
      </c>
      <c r="B6166" t="s">
        <v>39848</v>
      </c>
      <c r="C6166" t="s">
        <v>38479</v>
      </c>
      <c r="D6166" t="s">
        <v>37558</v>
      </c>
      <c r="E6166" t="s">
        <v>37559</v>
      </c>
      <c r="F6166" t="s">
        <v>37559</v>
      </c>
      <c r="G6166" t="s">
        <v>37559</v>
      </c>
      <c r="H6166" t="s">
        <v>868</v>
      </c>
      <c r="I6166" t="s">
        <v>869</v>
      </c>
      <c r="J6166" t="str">
        <f>"9360025"</f>
        <v>9360025</v>
      </c>
      <c r="K6166">
        <v>2721022880</v>
      </c>
      <c r="L6166">
        <v>2721022880</v>
      </c>
      <c r="M6166" t="s">
        <v>39905</v>
      </c>
      <c r="N6166" t="s">
        <v>37562</v>
      </c>
      <c r="O6166" t="s">
        <v>39906</v>
      </c>
      <c r="P6166">
        <v>24100</v>
      </c>
      <c r="Q6166" t="str">
        <f>"37.044721"</f>
        <v>37.044721</v>
      </c>
      <c r="R6166" t="str">
        <f>"22.111795"</f>
        <v>22.111795</v>
      </c>
      <c r="S6166" t="s">
        <v>26</v>
      </c>
    </row>
    <row r="6167" spans="1:19" x14ac:dyDescent="0.3">
      <c r="A6167" t="s">
        <v>37529</v>
      </c>
      <c r="B6167" t="s">
        <v>39848</v>
      </c>
      <c r="C6167" t="s">
        <v>39907</v>
      </c>
      <c r="D6167" t="s">
        <v>37558</v>
      </c>
      <c r="E6167" t="s">
        <v>38286</v>
      </c>
      <c r="F6167" t="s">
        <v>38287</v>
      </c>
      <c r="G6167" t="s">
        <v>38287</v>
      </c>
      <c r="H6167" t="s">
        <v>868</v>
      </c>
      <c r="I6167" t="s">
        <v>869</v>
      </c>
      <c r="J6167" t="str">
        <f>"9360300"</f>
        <v>9360300</v>
      </c>
      <c r="K6167">
        <v>2761032260</v>
      </c>
      <c r="M6167" t="s">
        <v>39908</v>
      </c>
      <c r="N6167" t="s">
        <v>39909</v>
      </c>
      <c r="O6167" t="s">
        <v>39910</v>
      </c>
      <c r="P6167">
        <v>24300</v>
      </c>
      <c r="Q6167" t="str">
        <f>"37.156456"</f>
        <v>37.156456</v>
      </c>
      <c r="R6167" t="str">
        <f>"21.591285"</f>
        <v>21.591285</v>
      </c>
      <c r="S6167" t="s">
        <v>26</v>
      </c>
    </row>
    <row r="6168" spans="1:19" x14ac:dyDescent="0.3">
      <c r="A6168" t="s">
        <v>37529</v>
      </c>
      <c r="B6168" t="s">
        <v>39848</v>
      </c>
      <c r="C6168" t="s">
        <v>39918</v>
      </c>
      <c r="D6168" t="s">
        <v>37558</v>
      </c>
      <c r="E6168" t="s">
        <v>38286</v>
      </c>
      <c r="F6168" t="s">
        <v>38287</v>
      </c>
      <c r="G6168" t="s">
        <v>38287</v>
      </c>
      <c r="H6168" t="s">
        <v>868</v>
      </c>
      <c r="I6168" t="s">
        <v>869</v>
      </c>
      <c r="J6168" t="str">
        <f>"9360299"</f>
        <v>9360299</v>
      </c>
      <c r="K6168">
        <v>2761032356</v>
      </c>
      <c r="L6168">
        <v>2761032406</v>
      </c>
      <c r="M6168" t="s">
        <v>39919</v>
      </c>
      <c r="N6168" t="s">
        <v>38497</v>
      </c>
      <c r="O6168" t="s">
        <v>39920</v>
      </c>
      <c r="P6168">
        <v>24300</v>
      </c>
      <c r="Q6168" t="str">
        <f>"37.152895"</f>
        <v>37.152895</v>
      </c>
      <c r="R6168" t="str">
        <f>"21.588174"</f>
        <v>21.588174</v>
      </c>
      <c r="S6168" t="s">
        <v>26</v>
      </c>
    </row>
    <row r="6169" spans="1:19" x14ac:dyDescent="0.3">
      <c r="A6169" t="s">
        <v>37529</v>
      </c>
      <c r="B6169" t="s">
        <v>39848</v>
      </c>
      <c r="C6169" t="s">
        <v>38337</v>
      </c>
      <c r="D6169" t="s">
        <v>37558</v>
      </c>
      <c r="E6169" t="s">
        <v>37559</v>
      </c>
      <c r="F6169" t="s">
        <v>38333</v>
      </c>
      <c r="G6169" t="s">
        <v>38333</v>
      </c>
      <c r="H6169" t="s">
        <v>868</v>
      </c>
      <c r="I6169" t="s">
        <v>869</v>
      </c>
      <c r="J6169" t="str">
        <f>"9360051"</f>
        <v>9360051</v>
      </c>
      <c r="K6169">
        <v>2721032381</v>
      </c>
      <c r="L6169">
        <v>2721032381</v>
      </c>
      <c r="M6169" t="s">
        <v>39925</v>
      </c>
      <c r="N6169" t="s">
        <v>38336</v>
      </c>
      <c r="O6169" t="s">
        <v>38336</v>
      </c>
      <c r="P6169">
        <v>24009</v>
      </c>
      <c r="Q6169" t="str">
        <f>"37.081566"</f>
        <v>37.081566</v>
      </c>
      <c r="R6169" t="str">
        <f>"22.050160"</f>
        <v>22.050160</v>
      </c>
      <c r="S6169" t="s">
        <v>26</v>
      </c>
    </row>
    <row r="6170" spans="1:19" x14ac:dyDescent="0.3">
      <c r="A6170" t="s">
        <v>37529</v>
      </c>
      <c r="B6170" t="s">
        <v>39848</v>
      </c>
      <c r="C6170" t="s">
        <v>39926</v>
      </c>
      <c r="D6170" t="s">
        <v>37558</v>
      </c>
      <c r="E6170" t="s">
        <v>37559</v>
      </c>
      <c r="F6170" t="s">
        <v>37559</v>
      </c>
      <c r="G6170" t="s">
        <v>37559</v>
      </c>
      <c r="H6170" t="s">
        <v>868</v>
      </c>
      <c r="I6170" t="s">
        <v>869</v>
      </c>
      <c r="J6170" t="str">
        <f>"9360009"</f>
        <v>9360009</v>
      </c>
      <c r="K6170">
        <v>2721024888</v>
      </c>
      <c r="M6170" t="s">
        <v>39927</v>
      </c>
      <c r="N6170" t="s">
        <v>37562</v>
      </c>
      <c r="O6170" t="s">
        <v>39928</v>
      </c>
      <c r="P6170">
        <v>24100</v>
      </c>
      <c r="Q6170" t="str">
        <f>"37.043917"</f>
        <v>37.043917</v>
      </c>
      <c r="R6170" t="str">
        <f>"22.099144"</f>
        <v>22.099144</v>
      </c>
      <c r="S6170" t="s">
        <v>26</v>
      </c>
    </row>
    <row r="6171" spans="1:19" x14ac:dyDescent="0.3">
      <c r="A6171" t="s">
        <v>37529</v>
      </c>
      <c r="B6171" t="s">
        <v>39848</v>
      </c>
      <c r="C6171" t="s">
        <v>38292</v>
      </c>
      <c r="D6171" t="s">
        <v>37558</v>
      </c>
      <c r="E6171" t="s">
        <v>38286</v>
      </c>
      <c r="F6171" t="s">
        <v>38287</v>
      </c>
      <c r="G6171" t="s">
        <v>38287</v>
      </c>
      <c r="H6171" t="s">
        <v>868</v>
      </c>
      <c r="I6171" t="s">
        <v>869</v>
      </c>
      <c r="J6171" t="str">
        <f>"9360298"</f>
        <v>9360298</v>
      </c>
      <c r="K6171">
        <v>2761032394</v>
      </c>
      <c r="L6171">
        <v>2761062828</v>
      </c>
      <c r="M6171" t="s">
        <v>39932</v>
      </c>
      <c r="N6171" t="s">
        <v>38497</v>
      </c>
      <c r="O6171" t="s">
        <v>39887</v>
      </c>
      <c r="P6171">
        <v>24300</v>
      </c>
      <c r="Q6171" t="str">
        <f>"37.162635"</f>
        <v>37.162635</v>
      </c>
      <c r="R6171" t="str">
        <f>"21.582073"</f>
        <v>21.582073</v>
      </c>
      <c r="S6171" t="s">
        <v>26</v>
      </c>
    </row>
    <row r="6172" spans="1:19" x14ac:dyDescent="0.3">
      <c r="A6172" t="s">
        <v>37529</v>
      </c>
      <c r="B6172" t="s">
        <v>39848</v>
      </c>
      <c r="C6172" t="s">
        <v>39938</v>
      </c>
      <c r="D6172" t="s">
        <v>37558</v>
      </c>
      <c r="E6172" t="s">
        <v>37559</v>
      </c>
      <c r="F6172" t="s">
        <v>37559</v>
      </c>
      <c r="G6172" t="s">
        <v>37559</v>
      </c>
      <c r="H6172" t="s">
        <v>868</v>
      </c>
      <c r="I6172" t="s">
        <v>869</v>
      </c>
      <c r="J6172" t="str">
        <f>"9360021"</f>
        <v>9360021</v>
      </c>
      <c r="K6172">
        <v>6932634636</v>
      </c>
      <c r="L6172">
        <v>2721094653</v>
      </c>
      <c r="M6172" t="s">
        <v>39939</v>
      </c>
      <c r="N6172" t="s">
        <v>37562</v>
      </c>
      <c r="O6172" t="s">
        <v>39940</v>
      </c>
      <c r="P6172">
        <v>24100</v>
      </c>
      <c r="Q6172" t="str">
        <f>"37.037059"</f>
        <v>37.037059</v>
      </c>
      <c r="R6172" t="str">
        <f>"22.116225"</f>
        <v>22.116225</v>
      </c>
      <c r="S6172" t="s">
        <v>26</v>
      </c>
    </row>
    <row r="6173" spans="1:19" x14ac:dyDescent="0.3">
      <c r="A6173" t="s">
        <v>37529</v>
      </c>
      <c r="B6173" t="s">
        <v>39848</v>
      </c>
      <c r="C6173" t="s">
        <v>38304</v>
      </c>
      <c r="D6173" t="s">
        <v>37558</v>
      </c>
      <c r="E6173" t="s">
        <v>37559</v>
      </c>
      <c r="F6173" t="s">
        <v>37559</v>
      </c>
      <c r="G6173" t="s">
        <v>37559</v>
      </c>
      <c r="H6173" t="s">
        <v>868</v>
      </c>
      <c r="I6173" t="s">
        <v>869</v>
      </c>
      <c r="J6173" t="str">
        <f>"9360005"</f>
        <v>9360005</v>
      </c>
      <c r="K6173">
        <v>2721082708</v>
      </c>
      <c r="L6173">
        <v>2721082708</v>
      </c>
      <c r="M6173" t="s">
        <v>39941</v>
      </c>
      <c r="N6173" t="s">
        <v>37562</v>
      </c>
      <c r="O6173" t="s">
        <v>39942</v>
      </c>
      <c r="P6173">
        <v>24132</v>
      </c>
      <c r="Q6173" t="str">
        <f>"37.026937"</f>
        <v>37.026937</v>
      </c>
      <c r="R6173" t="str">
        <f>"22.118012"</f>
        <v>22.118012</v>
      </c>
      <c r="S6173" t="s">
        <v>26</v>
      </c>
    </row>
    <row r="6174" spans="1:19" x14ac:dyDescent="0.3">
      <c r="A6174" t="s">
        <v>37529</v>
      </c>
      <c r="B6174" t="s">
        <v>39848</v>
      </c>
      <c r="C6174" t="s">
        <v>39951</v>
      </c>
      <c r="D6174" t="s">
        <v>37558</v>
      </c>
      <c r="E6174" t="s">
        <v>37559</v>
      </c>
      <c r="F6174" t="s">
        <v>38280</v>
      </c>
      <c r="G6174" t="s">
        <v>13055</v>
      </c>
      <c r="H6174" t="s">
        <v>868</v>
      </c>
      <c r="I6174" t="s">
        <v>950</v>
      </c>
      <c r="J6174" t="str">
        <f>"9360089"</f>
        <v>9360089</v>
      </c>
      <c r="K6174">
        <v>2721051016</v>
      </c>
      <c r="L6174">
        <v>2721051016</v>
      </c>
      <c r="M6174" t="s">
        <v>39952</v>
      </c>
      <c r="N6174" t="s">
        <v>39953</v>
      </c>
      <c r="O6174" t="s">
        <v>39951</v>
      </c>
      <c r="P6174">
        <v>24009</v>
      </c>
      <c r="Q6174" t="str">
        <f>"37.143847"</f>
        <v>37.143847</v>
      </c>
      <c r="R6174" t="str">
        <f>"22.010278"</f>
        <v>22.010278</v>
      </c>
      <c r="S6174" t="s">
        <v>26</v>
      </c>
    </row>
    <row r="6175" spans="1:19" x14ac:dyDescent="0.3">
      <c r="A6175" t="s">
        <v>37529</v>
      </c>
      <c r="B6175" t="s">
        <v>39848</v>
      </c>
      <c r="C6175" t="s">
        <v>38322</v>
      </c>
      <c r="D6175" t="s">
        <v>37558</v>
      </c>
      <c r="E6175" t="s">
        <v>37559</v>
      </c>
      <c r="F6175" t="s">
        <v>37559</v>
      </c>
      <c r="G6175" t="s">
        <v>37559</v>
      </c>
      <c r="H6175" t="s">
        <v>868</v>
      </c>
      <c r="I6175" t="s">
        <v>869</v>
      </c>
      <c r="J6175" t="str">
        <f>"9360029"</f>
        <v>9360029</v>
      </c>
      <c r="K6175">
        <v>2721084470</v>
      </c>
      <c r="L6175">
        <v>2721084470</v>
      </c>
      <c r="M6175" t="s">
        <v>39954</v>
      </c>
      <c r="N6175" t="s">
        <v>37562</v>
      </c>
      <c r="O6175" t="s">
        <v>39955</v>
      </c>
      <c r="P6175">
        <v>24100</v>
      </c>
      <c r="Q6175" t="str">
        <f>"37.027347"</f>
        <v>37.027347</v>
      </c>
      <c r="R6175" t="str">
        <f>"22.115920"</f>
        <v>22.115920</v>
      </c>
      <c r="S6175" t="s">
        <v>26</v>
      </c>
    </row>
    <row r="6176" spans="1:19" x14ac:dyDescent="0.3">
      <c r="A6176" t="s">
        <v>37529</v>
      </c>
      <c r="B6176" t="s">
        <v>39848</v>
      </c>
      <c r="C6176" t="s">
        <v>39956</v>
      </c>
      <c r="D6176" t="s">
        <v>37558</v>
      </c>
      <c r="E6176" t="s">
        <v>37559</v>
      </c>
      <c r="F6176" t="s">
        <v>37559</v>
      </c>
      <c r="G6176" t="s">
        <v>37559</v>
      </c>
      <c r="H6176" t="s">
        <v>868</v>
      </c>
      <c r="I6176" t="s">
        <v>869</v>
      </c>
      <c r="J6176" t="str">
        <f>"9360418"</f>
        <v>9360418</v>
      </c>
      <c r="K6176">
        <v>2721082884</v>
      </c>
      <c r="L6176">
        <v>2721082884</v>
      </c>
      <c r="M6176" t="s">
        <v>39957</v>
      </c>
      <c r="N6176" t="s">
        <v>37562</v>
      </c>
      <c r="O6176" t="s">
        <v>39958</v>
      </c>
      <c r="P6176">
        <v>24100</v>
      </c>
      <c r="Q6176" t="str">
        <f>"37.033055"</f>
        <v>37.033055</v>
      </c>
      <c r="R6176" t="str">
        <f>"22.109428"</f>
        <v>22.109428</v>
      </c>
      <c r="S6176" t="s">
        <v>26</v>
      </c>
    </row>
    <row r="6177" spans="1:19" x14ac:dyDescent="0.3">
      <c r="A6177" t="s">
        <v>37529</v>
      </c>
      <c r="B6177" t="s">
        <v>39848</v>
      </c>
      <c r="C6177" t="s">
        <v>39959</v>
      </c>
      <c r="D6177" t="s">
        <v>37558</v>
      </c>
      <c r="E6177" t="s">
        <v>37559</v>
      </c>
      <c r="F6177" t="s">
        <v>37559</v>
      </c>
      <c r="G6177" t="s">
        <v>37559</v>
      </c>
      <c r="H6177" t="s">
        <v>868</v>
      </c>
      <c r="I6177" t="s">
        <v>869</v>
      </c>
      <c r="J6177" t="str">
        <f>"9360027"</f>
        <v>9360027</v>
      </c>
      <c r="K6177">
        <v>2721023030</v>
      </c>
      <c r="L6177">
        <v>2721023030</v>
      </c>
      <c r="M6177" t="s">
        <v>39960</v>
      </c>
      <c r="N6177" t="s">
        <v>37562</v>
      </c>
      <c r="O6177" t="s">
        <v>39961</v>
      </c>
      <c r="P6177">
        <v>24100</v>
      </c>
      <c r="Q6177" t="str">
        <f>"37.043271"</f>
        <v>37.043271</v>
      </c>
      <c r="R6177" t="str">
        <f>"22.105908"</f>
        <v>22.105908</v>
      </c>
      <c r="S6177" t="s">
        <v>26</v>
      </c>
    </row>
    <row r="6178" spans="1:19" x14ac:dyDescent="0.3">
      <c r="A6178" t="s">
        <v>37529</v>
      </c>
      <c r="B6178" t="s">
        <v>39848</v>
      </c>
      <c r="C6178" t="s">
        <v>39962</v>
      </c>
      <c r="D6178" t="s">
        <v>37558</v>
      </c>
      <c r="E6178" t="s">
        <v>38286</v>
      </c>
      <c r="F6178" t="s">
        <v>38313</v>
      </c>
      <c r="G6178" t="s">
        <v>38313</v>
      </c>
      <c r="H6178" t="s">
        <v>868</v>
      </c>
      <c r="I6178" t="s">
        <v>869</v>
      </c>
      <c r="J6178" t="str">
        <f>"9360292"</f>
        <v>9360292</v>
      </c>
      <c r="K6178">
        <v>2761022107</v>
      </c>
      <c r="L6178">
        <v>2761025654</v>
      </c>
      <c r="M6178" t="s">
        <v>39963</v>
      </c>
      <c r="N6178" t="s">
        <v>38316</v>
      </c>
      <c r="O6178" t="s">
        <v>39964</v>
      </c>
      <c r="P6178">
        <v>24500</v>
      </c>
      <c r="Q6178" t="str">
        <f>"37.249211"</f>
        <v>37.249211</v>
      </c>
      <c r="R6178" t="str">
        <f>"21.676172"</f>
        <v>21.676172</v>
      </c>
      <c r="S6178" t="s">
        <v>26</v>
      </c>
    </row>
    <row r="6179" spans="1:19" x14ac:dyDescent="0.3">
      <c r="A6179" t="s">
        <v>37529</v>
      </c>
      <c r="B6179" t="s">
        <v>39848</v>
      </c>
      <c r="C6179" t="s">
        <v>39972</v>
      </c>
      <c r="D6179" t="s">
        <v>37558</v>
      </c>
      <c r="E6179" t="s">
        <v>38286</v>
      </c>
      <c r="F6179" t="s">
        <v>15619</v>
      </c>
      <c r="G6179" t="s">
        <v>39872</v>
      </c>
      <c r="H6179" t="s">
        <v>868</v>
      </c>
      <c r="I6179" t="s">
        <v>869</v>
      </c>
      <c r="J6179" t="str">
        <f>"9360376"</f>
        <v>9360376</v>
      </c>
      <c r="K6179">
        <v>2765022254</v>
      </c>
      <c r="L6179">
        <v>2765022312</v>
      </c>
      <c r="M6179" t="s">
        <v>39973</v>
      </c>
      <c r="N6179" t="s">
        <v>39875</v>
      </c>
      <c r="O6179" t="s">
        <v>39875</v>
      </c>
      <c r="P6179">
        <v>24003</v>
      </c>
      <c r="Q6179" t="str">
        <f>"37.289091"</f>
        <v>37.289091</v>
      </c>
      <c r="R6179" t="str">
        <f>"21.820503"</f>
        <v>21.820503</v>
      </c>
      <c r="S6179" t="s">
        <v>26</v>
      </c>
    </row>
    <row r="6180" spans="1:19" x14ac:dyDescent="0.3">
      <c r="A6180" t="s">
        <v>37529</v>
      </c>
      <c r="B6180" t="s">
        <v>39848</v>
      </c>
      <c r="C6180" t="s">
        <v>38319</v>
      </c>
      <c r="D6180" t="s">
        <v>37558</v>
      </c>
      <c r="E6180" t="s">
        <v>38286</v>
      </c>
      <c r="F6180" t="s">
        <v>38313</v>
      </c>
      <c r="G6180" t="s">
        <v>38313</v>
      </c>
      <c r="H6180" t="s">
        <v>868</v>
      </c>
      <c r="I6180" t="s">
        <v>869</v>
      </c>
      <c r="J6180" t="str">
        <f>"9520739"</f>
        <v>9520739</v>
      </c>
      <c r="K6180">
        <v>2761023230</v>
      </c>
      <c r="L6180">
        <v>2761023231</v>
      </c>
      <c r="M6180" t="s">
        <v>39978</v>
      </c>
      <c r="N6180" t="s">
        <v>38316</v>
      </c>
      <c r="O6180" t="s">
        <v>39979</v>
      </c>
      <c r="P6180">
        <v>24500</v>
      </c>
      <c r="Q6180" t="str">
        <f>"37.249701"</f>
        <v>37.249701</v>
      </c>
      <c r="R6180" t="str">
        <f>"21.666056"</f>
        <v>21.666056</v>
      </c>
      <c r="S6180" t="s">
        <v>26</v>
      </c>
    </row>
    <row r="6181" spans="1:19" x14ac:dyDescent="0.3">
      <c r="A6181" t="s">
        <v>37529</v>
      </c>
      <c r="B6181" t="s">
        <v>39848</v>
      </c>
      <c r="C6181" t="s">
        <v>39980</v>
      </c>
      <c r="D6181" t="s">
        <v>37558</v>
      </c>
      <c r="E6181" t="s">
        <v>37559</v>
      </c>
      <c r="F6181" t="s">
        <v>37559</v>
      </c>
      <c r="G6181" t="s">
        <v>37559</v>
      </c>
      <c r="H6181" t="s">
        <v>868</v>
      </c>
      <c r="I6181" t="s">
        <v>869</v>
      </c>
      <c r="J6181" t="str">
        <f>"9360007"</f>
        <v>9360007</v>
      </c>
      <c r="K6181">
        <v>2721023521</v>
      </c>
      <c r="L6181">
        <v>2721023521</v>
      </c>
      <c r="M6181" t="s">
        <v>39981</v>
      </c>
      <c r="N6181" t="s">
        <v>37562</v>
      </c>
      <c r="O6181" t="s">
        <v>39982</v>
      </c>
      <c r="P6181">
        <v>24133</v>
      </c>
      <c r="Q6181" t="str">
        <f>"37.042142"</f>
        <v>37.042142</v>
      </c>
      <c r="R6181" t="str">
        <f>"22.124510"</f>
        <v>22.124510</v>
      </c>
      <c r="S6181" t="s">
        <v>26</v>
      </c>
    </row>
    <row r="6182" spans="1:19" x14ac:dyDescent="0.3">
      <c r="A6182" t="s">
        <v>37529</v>
      </c>
      <c r="B6182" t="s">
        <v>39848</v>
      </c>
      <c r="C6182" t="s">
        <v>38468</v>
      </c>
      <c r="D6182" t="s">
        <v>37558</v>
      </c>
      <c r="E6182" t="s">
        <v>38286</v>
      </c>
      <c r="F6182" t="s">
        <v>38313</v>
      </c>
      <c r="G6182" t="s">
        <v>38313</v>
      </c>
      <c r="H6182" t="s">
        <v>868</v>
      </c>
      <c r="I6182" t="s">
        <v>869</v>
      </c>
      <c r="J6182" t="str">
        <f>"9360293"</f>
        <v>9360293</v>
      </c>
      <c r="K6182">
        <v>2761022637</v>
      </c>
      <c r="L6182">
        <v>2761022098</v>
      </c>
      <c r="M6182" t="s">
        <v>40010</v>
      </c>
      <c r="N6182" t="s">
        <v>38316</v>
      </c>
      <c r="O6182" t="s">
        <v>39979</v>
      </c>
      <c r="P6182">
        <v>24500</v>
      </c>
      <c r="Q6182" t="str">
        <f>"37.250760"</f>
        <v>37.250760</v>
      </c>
      <c r="R6182" t="str">
        <f>"21.666635"</f>
        <v>21.666635</v>
      </c>
      <c r="S6182" t="s">
        <v>26</v>
      </c>
    </row>
    <row r="6183" spans="1:19" x14ac:dyDescent="0.3">
      <c r="A6183" t="s">
        <v>37529</v>
      </c>
      <c r="B6183" t="s">
        <v>39848</v>
      </c>
      <c r="C6183" t="s">
        <v>38332</v>
      </c>
      <c r="D6183" t="s">
        <v>37558</v>
      </c>
      <c r="E6183" t="s">
        <v>38252</v>
      </c>
      <c r="F6183" t="s">
        <v>27066</v>
      </c>
      <c r="G6183" t="s">
        <v>27066</v>
      </c>
      <c r="H6183" t="s">
        <v>868</v>
      </c>
      <c r="I6183" t="s">
        <v>869</v>
      </c>
      <c r="J6183" t="str">
        <f>"9360223"</f>
        <v>9360223</v>
      </c>
      <c r="K6183">
        <v>2723031265</v>
      </c>
      <c r="L6183">
        <v>2723031614</v>
      </c>
      <c r="M6183" t="s">
        <v>40011</v>
      </c>
      <c r="N6183" t="s">
        <v>31266</v>
      </c>
      <c r="O6183" t="s">
        <v>31266</v>
      </c>
      <c r="P6183">
        <v>24006</v>
      </c>
      <c r="Q6183" t="str">
        <f>"36.820452"</f>
        <v>36.820452</v>
      </c>
      <c r="R6183" t="str">
        <f>"21.707100"</f>
        <v>21.707100</v>
      </c>
      <c r="S6183" t="s">
        <v>26</v>
      </c>
    </row>
    <row r="6184" spans="1:19" x14ac:dyDescent="0.3">
      <c r="A6184" t="s">
        <v>37529</v>
      </c>
      <c r="B6184" t="s">
        <v>39848</v>
      </c>
      <c r="C6184" t="s">
        <v>38275</v>
      </c>
      <c r="D6184" t="s">
        <v>37558</v>
      </c>
      <c r="E6184" t="s">
        <v>38268</v>
      </c>
      <c r="F6184" t="s">
        <v>38485</v>
      </c>
      <c r="G6184" t="s">
        <v>21792</v>
      </c>
      <c r="H6184" t="s">
        <v>868</v>
      </c>
      <c r="I6184" t="s">
        <v>869</v>
      </c>
      <c r="J6184" t="str">
        <f>"9360052"</f>
        <v>9360052</v>
      </c>
      <c r="K6184">
        <v>2721071379</v>
      </c>
      <c r="L6184">
        <v>2721071379</v>
      </c>
      <c r="M6184" t="s">
        <v>40017</v>
      </c>
      <c r="N6184" t="s">
        <v>13723</v>
      </c>
      <c r="O6184" t="s">
        <v>13723</v>
      </c>
      <c r="P6184">
        <v>24016</v>
      </c>
      <c r="Q6184" t="str">
        <f>"36.938077"</f>
        <v>36.938077</v>
      </c>
      <c r="R6184" t="str">
        <f>"22.201621"</f>
        <v>22.201621</v>
      </c>
      <c r="S6184" t="s">
        <v>26</v>
      </c>
    </row>
    <row r="6185" spans="1:19" x14ac:dyDescent="0.3">
      <c r="A6185" t="s">
        <v>37529</v>
      </c>
      <c r="B6185" t="s">
        <v>39848</v>
      </c>
      <c r="C6185" t="s">
        <v>40018</v>
      </c>
      <c r="D6185" t="s">
        <v>37558</v>
      </c>
      <c r="E6185" t="s">
        <v>37559</v>
      </c>
      <c r="F6185" t="s">
        <v>37559</v>
      </c>
      <c r="G6185" t="s">
        <v>37559</v>
      </c>
      <c r="H6185" t="s">
        <v>868</v>
      </c>
      <c r="I6185" t="s">
        <v>1157</v>
      </c>
      <c r="J6185" t="str">
        <f>"9360427"</f>
        <v>9360427</v>
      </c>
      <c r="K6185">
        <v>2721024290</v>
      </c>
      <c r="L6185">
        <v>2721062485</v>
      </c>
      <c r="M6185" t="s">
        <v>40019</v>
      </c>
      <c r="N6185" t="s">
        <v>37562</v>
      </c>
      <c r="O6185" t="s">
        <v>40020</v>
      </c>
      <c r="P6185">
        <v>24100</v>
      </c>
      <c r="Q6185" t="str">
        <f>"37.036217"</f>
        <v>37.036217</v>
      </c>
      <c r="R6185" t="str">
        <f>"22.123839"</f>
        <v>22.123839</v>
      </c>
      <c r="S6185" t="s">
        <v>26</v>
      </c>
    </row>
    <row r="6186" spans="1:19" x14ac:dyDescent="0.3">
      <c r="A6186" t="s">
        <v>37529</v>
      </c>
      <c r="B6186" t="s">
        <v>39848</v>
      </c>
      <c r="C6186" t="s">
        <v>40021</v>
      </c>
      <c r="D6186" t="s">
        <v>37558</v>
      </c>
      <c r="E6186" t="s">
        <v>38286</v>
      </c>
      <c r="F6186" t="s">
        <v>38357</v>
      </c>
      <c r="G6186" t="s">
        <v>38357</v>
      </c>
      <c r="H6186" t="s">
        <v>868</v>
      </c>
      <c r="I6186" t="s">
        <v>869</v>
      </c>
      <c r="J6186" t="str">
        <f>"9360287"</f>
        <v>9360287</v>
      </c>
      <c r="K6186">
        <v>2763022480</v>
      </c>
      <c r="L6186">
        <v>2763029164</v>
      </c>
      <c r="M6186" t="s">
        <v>40022</v>
      </c>
      <c r="N6186" t="s">
        <v>40023</v>
      </c>
      <c r="O6186" t="s">
        <v>40024</v>
      </c>
      <c r="P6186">
        <v>24400</v>
      </c>
      <c r="Q6186" t="str">
        <f>"37.067154"</f>
        <v>37.067154</v>
      </c>
      <c r="R6186" t="str">
        <f>"21.644484"</f>
        <v>21.644484</v>
      </c>
      <c r="S6186" t="s">
        <v>26</v>
      </c>
    </row>
    <row r="6187" spans="1:19" x14ac:dyDescent="0.3">
      <c r="A6187" t="s">
        <v>37529</v>
      </c>
      <c r="B6187" t="s">
        <v>39848</v>
      </c>
      <c r="C6187" t="s">
        <v>38500</v>
      </c>
      <c r="D6187" t="s">
        <v>37558</v>
      </c>
      <c r="E6187" t="s">
        <v>38268</v>
      </c>
      <c r="F6187" t="s">
        <v>38269</v>
      </c>
      <c r="G6187" t="s">
        <v>13744</v>
      </c>
      <c r="H6187" t="s">
        <v>868</v>
      </c>
      <c r="I6187" t="s">
        <v>869</v>
      </c>
      <c r="J6187" t="str">
        <f>"9360002"</f>
        <v>9360002</v>
      </c>
      <c r="K6187">
        <v>2721077481</v>
      </c>
      <c r="L6187">
        <v>2721077264</v>
      </c>
      <c r="M6187" t="s">
        <v>40025</v>
      </c>
      <c r="N6187" t="s">
        <v>40026</v>
      </c>
      <c r="O6187" t="s">
        <v>40026</v>
      </c>
      <c r="P6187">
        <v>24024</v>
      </c>
      <c r="Q6187" t="str">
        <f>"36.843624"</f>
        <v>36.843624</v>
      </c>
      <c r="R6187" t="str">
        <f>"22.261074"</f>
        <v>22.261074</v>
      </c>
      <c r="S6187" t="s">
        <v>26</v>
      </c>
    </row>
    <row r="6188" spans="1:19" x14ac:dyDescent="0.3">
      <c r="A6188" t="s">
        <v>37529</v>
      </c>
      <c r="B6188" t="s">
        <v>39848</v>
      </c>
      <c r="C6188" t="s">
        <v>38361</v>
      </c>
      <c r="D6188" t="s">
        <v>37558</v>
      </c>
      <c r="E6188" t="s">
        <v>38286</v>
      </c>
      <c r="F6188" t="s">
        <v>38357</v>
      </c>
      <c r="G6188" t="s">
        <v>38357</v>
      </c>
      <c r="H6188" t="s">
        <v>868</v>
      </c>
      <c r="I6188" t="s">
        <v>869</v>
      </c>
      <c r="J6188" t="str">
        <f>"9360288"</f>
        <v>9360288</v>
      </c>
      <c r="K6188">
        <v>2763022273</v>
      </c>
      <c r="L6188">
        <v>2763029026</v>
      </c>
      <c r="M6188" t="s">
        <v>40033</v>
      </c>
      <c r="N6188" t="s">
        <v>40023</v>
      </c>
      <c r="O6188" t="s">
        <v>1542</v>
      </c>
      <c r="P6188">
        <v>24400</v>
      </c>
      <c r="Q6188" t="str">
        <f>"37.066995"</f>
        <v>37.066995</v>
      </c>
      <c r="R6188" t="str">
        <f>"21.633915"</f>
        <v>21.633915</v>
      </c>
      <c r="S6188" t="s">
        <v>26</v>
      </c>
    </row>
    <row r="6189" spans="1:19" x14ac:dyDescent="0.3">
      <c r="A6189" t="s">
        <v>37529</v>
      </c>
      <c r="B6189" t="s">
        <v>39848</v>
      </c>
      <c r="C6189" t="s">
        <v>38259</v>
      </c>
      <c r="D6189" t="s">
        <v>37558</v>
      </c>
      <c r="E6189" t="s">
        <v>38252</v>
      </c>
      <c r="F6189" t="s">
        <v>38253</v>
      </c>
      <c r="G6189" t="s">
        <v>38253</v>
      </c>
      <c r="H6189" t="s">
        <v>868</v>
      </c>
      <c r="I6189" t="s">
        <v>869</v>
      </c>
      <c r="J6189" t="str">
        <f>"9360211"</f>
        <v>9360211</v>
      </c>
      <c r="K6189">
        <v>2725022216</v>
      </c>
      <c r="L6189">
        <v>2725022253</v>
      </c>
      <c r="M6189" t="s">
        <v>40048</v>
      </c>
      <c r="O6189" t="s">
        <v>40049</v>
      </c>
      <c r="P6189">
        <v>24004</v>
      </c>
      <c r="Q6189" t="str">
        <f>"36.795031"</f>
        <v>36.795031</v>
      </c>
      <c r="R6189" t="str">
        <f>"21.956628"</f>
        <v>21.956628</v>
      </c>
      <c r="S6189" t="s">
        <v>26</v>
      </c>
    </row>
    <row r="6190" spans="1:19" x14ac:dyDescent="0.3">
      <c r="A6190" t="s">
        <v>37529</v>
      </c>
      <c r="B6190" t="s">
        <v>39848</v>
      </c>
      <c r="C6190" t="s">
        <v>38393</v>
      </c>
      <c r="D6190" t="s">
        <v>37558</v>
      </c>
      <c r="E6190" t="s">
        <v>37559</v>
      </c>
      <c r="F6190" t="s">
        <v>37559</v>
      </c>
      <c r="G6190" t="s">
        <v>37559</v>
      </c>
      <c r="H6190" t="s">
        <v>868</v>
      </c>
      <c r="I6190" t="s">
        <v>869</v>
      </c>
      <c r="J6190" t="str">
        <f>"9360030"</f>
        <v>9360030</v>
      </c>
      <c r="K6190">
        <v>2721024296</v>
      </c>
      <c r="L6190">
        <v>2721024296</v>
      </c>
      <c r="M6190" t="s">
        <v>40055</v>
      </c>
      <c r="N6190" t="s">
        <v>37562</v>
      </c>
      <c r="O6190" t="s">
        <v>40056</v>
      </c>
      <c r="P6190">
        <v>24131</v>
      </c>
      <c r="Q6190" t="str">
        <f>"37.030037"</f>
        <v>37.030037</v>
      </c>
      <c r="R6190" t="str">
        <f>"22.105970"</f>
        <v>22.105970</v>
      </c>
      <c r="S6190" t="s">
        <v>26</v>
      </c>
    </row>
    <row r="6191" spans="1:19" x14ac:dyDescent="0.3">
      <c r="A6191" t="s">
        <v>37529</v>
      </c>
      <c r="B6191" t="s">
        <v>39848</v>
      </c>
      <c r="C6191" t="s">
        <v>40063</v>
      </c>
      <c r="D6191" t="s">
        <v>37558</v>
      </c>
      <c r="E6191" t="s">
        <v>21503</v>
      </c>
      <c r="F6191" t="s">
        <v>21503</v>
      </c>
      <c r="G6191" t="s">
        <v>39994</v>
      </c>
      <c r="H6191" t="s">
        <v>868</v>
      </c>
      <c r="I6191" t="s">
        <v>869</v>
      </c>
      <c r="J6191" t="str">
        <f>"9360150"</f>
        <v>9360150</v>
      </c>
      <c r="K6191">
        <v>2724041209</v>
      </c>
      <c r="L6191">
        <v>2724027605</v>
      </c>
      <c r="M6191" t="s">
        <v>40064</v>
      </c>
      <c r="N6191" t="s">
        <v>40065</v>
      </c>
      <c r="O6191" t="s">
        <v>40066</v>
      </c>
      <c r="P6191">
        <v>24002</v>
      </c>
      <c r="Q6191" t="str">
        <f>"37.240954"</f>
        <v>37.240954</v>
      </c>
      <c r="R6191" t="str">
        <f>"22.003769"</f>
        <v>22.003769</v>
      </c>
      <c r="S6191" t="s">
        <v>26</v>
      </c>
    </row>
    <row r="6192" spans="1:19" x14ac:dyDescent="0.3">
      <c r="A6192" t="s">
        <v>37529</v>
      </c>
      <c r="B6192" t="s">
        <v>39848</v>
      </c>
      <c r="C6192" t="s">
        <v>40067</v>
      </c>
      <c r="D6192" t="s">
        <v>37558</v>
      </c>
      <c r="E6192" t="s">
        <v>37559</v>
      </c>
      <c r="F6192" t="s">
        <v>37559</v>
      </c>
      <c r="G6192" t="s">
        <v>37559</v>
      </c>
      <c r="H6192" t="s">
        <v>868</v>
      </c>
      <c r="I6192" t="s">
        <v>869</v>
      </c>
      <c r="J6192" t="str">
        <f>"9360006"</f>
        <v>9360006</v>
      </c>
      <c r="K6192">
        <v>2721023152</v>
      </c>
      <c r="L6192">
        <v>2721023405</v>
      </c>
      <c r="M6192" t="s">
        <v>40068</v>
      </c>
      <c r="N6192" t="s">
        <v>37562</v>
      </c>
      <c r="O6192" t="s">
        <v>40069</v>
      </c>
      <c r="P6192">
        <v>24100</v>
      </c>
      <c r="Q6192" t="str">
        <f>"37.032466"</f>
        <v>37.032466</v>
      </c>
      <c r="R6192" t="str">
        <f>"22.105086"</f>
        <v>22.105086</v>
      </c>
      <c r="S6192" t="s">
        <v>26</v>
      </c>
    </row>
    <row r="6193" spans="1:19" x14ac:dyDescent="0.3">
      <c r="A6193" t="s">
        <v>37529</v>
      </c>
      <c r="B6193" t="s">
        <v>39848</v>
      </c>
      <c r="C6193" t="s">
        <v>38407</v>
      </c>
      <c r="D6193" t="s">
        <v>37558</v>
      </c>
      <c r="E6193" t="s">
        <v>21503</v>
      </c>
      <c r="F6193" t="s">
        <v>38402</v>
      </c>
      <c r="G6193" t="s">
        <v>38403</v>
      </c>
      <c r="H6193" t="s">
        <v>868</v>
      </c>
      <c r="I6193" t="s">
        <v>869</v>
      </c>
      <c r="J6193" t="str">
        <f>"9360274"</f>
        <v>9360274</v>
      </c>
      <c r="K6193">
        <v>2724031221</v>
      </c>
      <c r="L6193">
        <v>2724027502</v>
      </c>
      <c r="M6193" t="s">
        <v>40070</v>
      </c>
      <c r="N6193" t="s">
        <v>40054</v>
      </c>
      <c r="O6193" t="s">
        <v>40054</v>
      </c>
      <c r="P6193">
        <v>24008</v>
      </c>
      <c r="Q6193" t="str">
        <f>"37.299467"</f>
        <v>37.299467</v>
      </c>
      <c r="R6193" t="str">
        <f>"21.969022"</f>
        <v>21.969022</v>
      </c>
      <c r="S6193" t="s">
        <v>26</v>
      </c>
    </row>
    <row r="6194" spans="1:19" x14ac:dyDescent="0.3">
      <c r="A6194" t="s">
        <v>37529</v>
      </c>
      <c r="B6194" t="s">
        <v>39848</v>
      </c>
      <c r="C6194" t="s">
        <v>38267</v>
      </c>
      <c r="D6194" t="s">
        <v>37558</v>
      </c>
      <c r="E6194" t="s">
        <v>38260</v>
      </c>
      <c r="F6194" t="s">
        <v>38261</v>
      </c>
      <c r="G6194" t="s">
        <v>40074</v>
      </c>
      <c r="H6194" t="s">
        <v>868</v>
      </c>
      <c r="I6194" t="s">
        <v>869</v>
      </c>
      <c r="J6194" t="str">
        <f>"9360124"</f>
        <v>9360124</v>
      </c>
      <c r="K6194">
        <v>2722041463</v>
      </c>
      <c r="L6194">
        <v>2722042163</v>
      </c>
      <c r="M6194" t="s">
        <v>40075</v>
      </c>
      <c r="N6194" t="s">
        <v>40045</v>
      </c>
      <c r="O6194" t="s">
        <v>40076</v>
      </c>
      <c r="P6194">
        <v>24013</v>
      </c>
      <c r="Q6194" t="str">
        <f>"37.111076"</f>
        <v>37.111076</v>
      </c>
      <c r="R6194" t="str">
        <f>"21.970272"</f>
        <v>21.970272</v>
      </c>
      <c r="S6194" t="s">
        <v>26</v>
      </c>
    </row>
    <row r="6195" spans="1:19" x14ac:dyDescent="0.3">
      <c r="A6195" t="s">
        <v>37529</v>
      </c>
      <c r="B6195" t="s">
        <v>39848</v>
      </c>
      <c r="C6195" t="s">
        <v>40084</v>
      </c>
      <c r="D6195" t="s">
        <v>37558</v>
      </c>
      <c r="E6195" t="s">
        <v>37559</v>
      </c>
      <c r="F6195" t="s">
        <v>37559</v>
      </c>
      <c r="G6195" t="s">
        <v>40083</v>
      </c>
      <c r="H6195" t="s">
        <v>868</v>
      </c>
      <c r="I6195" t="s">
        <v>869</v>
      </c>
      <c r="J6195" t="str">
        <f>"9360060"</f>
        <v>9360060</v>
      </c>
      <c r="K6195">
        <v>2721086685</v>
      </c>
      <c r="L6195">
        <v>2721086685</v>
      </c>
      <c r="M6195" t="s">
        <v>40085</v>
      </c>
      <c r="N6195" t="s">
        <v>40086</v>
      </c>
      <c r="O6195" t="s">
        <v>40086</v>
      </c>
      <c r="P6195">
        <v>24100</v>
      </c>
      <c r="Q6195" t="str">
        <f>"37.060822"</f>
        <v>37.060822</v>
      </c>
      <c r="R6195" t="str">
        <f>"22.095995"</f>
        <v>22.095995</v>
      </c>
      <c r="S6195" t="s">
        <v>26</v>
      </c>
    </row>
    <row r="6196" spans="1:19" x14ac:dyDescent="0.3">
      <c r="A6196" t="s">
        <v>37529</v>
      </c>
      <c r="B6196" t="s">
        <v>39848</v>
      </c>
      <c r="C6196" t="s">
        <v>40106</v>
      </c>
      <c r="D6196" t="s">
        <v>37558</v>
      </c>
      <c r="E6196" t="s">
        <v>38260</v>
      </c>
      <c r="F6196" t="s">
        <v>38260</v>
      </c>
      <c r="G6196" t="s">
        <v>38260</v>
      </c>
      <c r="H6196" t="s">
        <v>868</v>
      </c>
      <c r="I6196" t="s">
        <v>869</v>
      </c>
      <c r="J6196" t="str">
        <f>"9360096"</f>
        <v>9360096</v>
      </c>
      <c r="K6196">
        <v>2722022630</v>
      </c>
      <c r="L6196">
        <v>2722022630</v>
      </c>
      <c r="M6196" t="s">
        <v>40107</v>
      </c>
      <c r="N6196" t="s">
        <v>38311</v>
      </c>
      <c r="O6196" t="s">
        <v>40108</v>
      </c>
      <c r="P6196">
        <v>24200</v>
      </c>
      <c r="Q6196" t="str">
        <f>"37.045282"</f>
        <v>37.045282</v>
      </c>
      <c r="R6196" t="str">
        <f>"22.007182"</f>
        <v>22.007182</v>
      </c>
      <c r="S6196" t="s">
        <v>26</v>
      </c>
    </row>
    <row r="6197" spans="1:19" x14ac:dyDescent="0.3">
      <c r="A6197" t="s">
        <v>37529</v>
      </c>
      <c r="B6197" t="s">
        <v>39848</v>
      </c>
      <c r="C6197" t="s">
        <v>40114</v>
      </c>
      <c r="D6197" t="s">
        <v>37558</v>
      </c>
      <c r="E6197" t="s">
        <v>37559</v>
      </c>
      <c r="F6197" t="s">
        <v>40039</v>
      </c>
      <c r="G6197" t="s">
        <v>40039</v>
      </c>
      <c r="H6197" t="s">
        <v>868</v>
      </c>
      <c r="I6197" t="s">
        <v>869</v>
      </c>
      <c r="J6197" t="str">
        <f>"9360041"</f>
        <v>9360041</v>
      </c>
      <c r="K6197">
        <v>2721051280</v>
      </c>
      <c r="L6197">
        <v>2721051280</v>
      </c>
      <c r="M6197" t="s">
        <v>40115</v>
      </c>
      <c r="N6197" t="s">
        <v>40042</v>
      </c>
      <c r="O6197" t="s">
        <v>40042</v>
      </c>
      <c r="P6197">
        <v>24009</v>
      </c>
      <c r="Q6197" t="str">
        <f>"37.097400"</f>
        <v>37.097400</v>
      </c>
      <c r="R6197" t="str">
        <f>"22.003549"</f>
        <v>22.003549</v>
      </c>
      <c r="S6197" t="s">
        <v>26</v>
      </c>
    </row>
    <row r="6198" spans="1:19" x14ac:dyDescent="0.3">
      <c r="A6198" t="s">
        <v>37529</v>
      </c>
      <c r="B6198" t="s">
        <v>39848</v>
      </c>
      <c r="C6198" t="s">
        <v>40123</v>
      </c>
      <c r="D6198" t="s">
        <v>37558</v>
      </c>
      <c r="E6198" t="s">
        <v>37559</v>
      </c>
      <c r="F6198" t="s">
        <v>37559</v>
      </c>
      <c r="G6198" t="s">
        <v>37559</v>
      </c>
      <c r="H6198" t="s">
        <v>868</v>
      </c>
      <c r="I6198" t="s">
        <v>869</v>
      </c>
      <c r="J6198" t="str">
        <f>"9360008"</f>
        <v>9360008</v>
      </c>
      <c r="K6198">
        <v>2721025384</v>
      </c>
      <c r="L6198">
        <v>2721025384</v>
      </c>
      <c r="M6198" t="s">
        <v>40124</v>
      </c>
      <c r="N6198" t="s">
        <v>37562</v>
      </c>
      <c r="O6198" t="s">
        <v>40097</v>
      </c>
      <c r="P6198">
        <v>24100</v>
      </c>
      <c r="Q6198" t="str">
        <f>"37.045628"</f>
        <v>37.045628</v>
      </c>
      <c r="R6198" t="str">
        <f>"22.109040"</f>
        <v>22.109040</v>
      </c>
      <c r="S6198" t="s">
        <v>26</v>
      </c>
    </row>
    <row r="6199" spans="1:19" x14ac:dyDescent="0.3">
      <c r="A6199" t="s">
        <v>37529</v>
      </c>
      <c r="B6199" t="s">
        <v>39848</v>
      </c>
      <c r="C6199" t="s">
        <v>40148</v>
      </c>
      <c r="D6199" t="s">
        <v>37558</v>
      </c>
      <c r="E6199" t="s">
        <v>38286</v>
      </c>
      <c r="F6199" t="s">
        <v>38357</v>
      </c>
      <c r="G6199" t="s">
        <v>1210</v>
      </c>
      <c r="H6199" t="s">
        <v>868</v>
      </c>
      <c r="I6199" t="s">
        <v>950</v>
      </c>
      <c r="J6199" t="str">
        <f>"9360266"</f>
        <v>9360266</v>
      </c>
      <c r="K6199">
        <v>2763041251</v>
      </c>
      <c r="L6199">
        <v>2763029900</v>
      </c>
      <c r="M6199" t="s">
        <v>40149</v>
      </c>
      <c r="N6199" t="s">
        <v>39878</v>
      </c>
      <c r="O6199" t="s">
        <v>39878</v>
      </c>
      <c r="P6199">
        <v>24400</v>
      </c>
      <c r="Q6199" t="str">
        <f>"37.073121"</f>
        <v>37.073121</v>
      </c>
      <c r="R6199" t="str">
        <f>"21.693125"</f>
        <v>21.693125</v>
      </c>
      <c r="S6199" t="s">
        <v>26</v>
      </c>
    </row>
    <row r="6200" spans="1:19" x14ac:dyDescent="0.3">
      <c r="A6200" t="s">
        <v>37529</v>
      </c>
      <c r="B6200" t="s">
        <v>39848</v>
      </c>
      <c r="C6200" t="s">
        <v>40160</v>
      </c>
      <c r="D6200" t="s">
        <v>37558</v>
      </c>
      <c r="E6200" t="s">
        <v>38260</v>
      </c>
      <c r="F6200" t="s">
        <v>15425</v>
      </c>
      <c r="G6200" t="s">
        <v>15425</v>
      </c>
      <c r="H6200" t="s">
        <v>868</v>
      </c>
      <c r="I6200" t="s">
        <v>950</v>
      </c>
      <c r="J6200" t="str">
        <f>"9360170"</f>
        <v>9360170</v>
      </c>
      <c r="K6200">
        <v>2722061110</v>
      </c>
      <c r="L6200">
        <v>2722061489</v>
      </c>
      <c r="M6200" t="s">
        <v>40161</v>
      </c>
      <c r="N6200" t="s">
        <v>15429</v>
      </c>
      <c r="O6200" t="s">
        <v>15429</v>
      </c>
      <c r="P6200">
        <v>24013</v>
      </c>
      <c r="Q6200" t="str">
        <f>"37.129013"</f>
        <v>37.129013</v>
      </c>
      <c r="R6200" t="str">
        <f>"21.873014"</f>
        <v>21.873014</v>
      </c>
      <c r="S6200" t="s">
        <v>26</v>
      </c>
    </row>
    <row r="6201" spans="1:19" x14ac:dyDescent="0.3">
      <c r="A6201" t="s">
        <v>37529</v>
      </c>
      <c r="B6201" t="s">
        <v>39848</v>
      </c>
      <c r="C6201" t="s">
        <v>38285</v>
      </c>
      <c r="D6201" t="s">
        <v>37558</v>
      </c>
      <c r="E6201" t="s">
        <v>37559</v>
      </c>
      <c r="F6201" t="s">
        <v>38280</v>
      </c>
      <c r="G6201" t="s">
        <v>38280</v>
      </c>
      <c r="H6201" t="s">
        <v>868</v>
      </c>
      <c r="I6201" t="s">
        <v>869</v>
      </c>
      <c r="J6201" t="str">
        <f>"9360083"</f>
        <v>9360083</v>
      </c>
      <c r="K6201">
        <v>2721052216</v>
      </c>
      <c r="L6201">
        <v>2721052216</v>
      </c>
      <c r="M6201" t="s">
        <v>40162</v>
      </c>
      <c r="N6201" t="s">
        <v>38283</v>
      </c>
      <c r="O6201" t="s">
        <v>40163</v>
      </c>
      <c r="P6201">
        <v>24009</v>
      </c>
      <c r="Q6201" t="str">
        <f>"37.157132"</f>
        <v>37.157132</v>
      </c>
      <c r="R6201" t="str">
        <f>"22.046749"</f>
        <v>22.046749</v>
      </c>
      <c r="S6201" t="s">
        <v>26</v>
      </c>
    </row>
    <row r="6202" spans="1:19" x14ac:dyDescent="0.3">
      <c r="A6202" t="s">
        <v>37529</v>
      </c>
      <c r="B6202" t="s">
        <v>39848</v>
      </c>
      <c r="C6202" t="s">
        <v>40164</v>
      </c>
      <c r="D6202" t="s">
        <v>37558</v>
      </c>
      <c r="E6202" t="s">
        <v>38260</v>
      </c>
      <c r="F6202" t="s">
        <v>38469</v>
      </c>
      <c r="G6202" t="s">
        <v>38470</v>
      </c>
      <c r="H6202" t="s">
        <v>868</v>
      </c>
      <c r="I6202" t="s">
        <v>950</v>
      </c>
      <c r="J6202" t="str">
        <f>"9360256"</f>
        <v>9360256</v>
      </c>
      <c r="K6202">
        <v>2722081322</v>
      </c>
      <c r="L6202">
        <v>2722081322</v>
      </c>
      <c r="M6202" t="s">
        <v>40165</v>
      </c>
      <c r="N6202" t="s">
        <v>38474</v>
      </c>
      <c r="O6202" t="s">
        <v>38470</v>
      </c>
      <c r="P6202">
        <v>24014</v>
      </c>
      <c r="Q6202" t="str">
        <f>""</f>
        <v/>
      </c>
      <c r="R6202" t="str">
        <f>""</f>
        <v/>
      </c>
      <c r="S6202" t="s">
        <v>26</v>
      </c>
    </row>
    <row r="6203" spans="1:19" x14ac:dyDescent="0.3">
      <c r="A6203" t="s">
        <v>37529</v>
      </c>
      <c r="B6203" t="s">
        <v>39848</v>
      </c>
      <c r="C6203" t="s">
        <v>38475</v>
      </c>
      <c r="D6203" t="s">
        <v>37558</v>
      </c>
      <c r="E6203" t="s">
        <v>38252</v>
      </c>
      <c r="F6203" t="s">
        <v>40012</v>
      </c>
      <c r="G6203" t="s">
        <v>40013</v>
      </c>
      <c r="H6203" t="s">
        <v>868</v>
      </c>
      <c r="I6203" t="s">
        <v>950</v>
      </c>
      <c r="J6203" t="str">
        <f>"9360187"</f>
        <v>9360187</v>
      </c>
      <c r="K6203">
        <v>2722084101</v>
      </c>
      <c r="L6203">
        <v>2722084101</v>
      </c>
      <c r="M6203" t="s">
        <v>40166</v>
      </c>
      <c r="N6203" t="s">
        <v>40016</v>
      </c>
      <c r="O6203" t="s">
        <v>40016</v>
      </c>
      <c r="P6203">
        <v>24014</v>
      </c>
      <c r="Q6203" t="str">
        <f>"37.031033"</f>
        <v>37.031033</v>
      </c>
      <c r="R6203" t="str">
        <f>"21.792181"</f>
        <v>21.792181</v>
      </c>
      <c r="S6203" t="s">
        <v>26</v>
      </c>
    </row>
    <row r="6204" spans="1:19" x14ac:dyDescent="0.3">
      <c r="A6204" t="s">
        <v>37529</v>
      </c>
      <c r="B6204" t="s">
        <v>39848</v>
      </c>
      <c r="C6204" t="s">
        <v>38356</v>
      </c>
      <c r="D6204" t="s">
        <v>37558</v>
      </c>
      <c r="E6204" t="s">
        <v>38252</v>
      </c>
      <c r="F6204" t="s">
        <v>38258</v>
      </c>
      <c r="G6204" t="s">
        <v>38258</v>
      </c>
      <c r="H6204" t="s">
        <v>868</v>
      </c>
      <c r="I6204" t="s">
        <v>869</v>
      </c>
      <c r="J6204" t="str">
        <f>"9360450"</f>
        <v>9360450</v>
      </c>
      <c r="K6204">
        <v>2723022681</v>
      </c>
      <c r="L6204">
        <v>2723028236</v>
      </c>
      <c r="M6204" t="s">
        <v>40167</v>
      </c>
      <c r="N6204" t="s">
        <v>38354</v>
      </c>
      <c r="O6204" t="s">
        <v>38354</v>
      </c>
      <c r="P6204">
        <v>24001</v>
      </c>
      <c r="Q6204" t="str">
        <f>"36.910875"</f>
        <v>36.910875</v>
      </c>
      <c r="R6204" t="str">
        <f>"21.694250"</f>
        <v>21.694250</v>
      </c>
      <c r="S6204" t="s">
        <v>26</v>
      </c>
    </row>
    <row r="6205" spans="1:19" x14ac:dyDescent="0.3">
      <c r="A6205" t="s">
        <v>37529</v>
      </c>
      <c r="B6205" t="s">
        <v>39848</v>
      </c>
      <c r="C6205" t="s">
        <v>40168</v>
      </c>
      <c r="D6205" t="s">
        <v>37558</v>
      </c>
      <c r="E6205" t="s">
        <v>38260</v>
      </c>
      <c r="F6205" t="s">
        <v>40087</v>
      </c>
      <c r="G6205" t="s">
        <v>40088</v>
      </c>
      <c r="H6205" t="s">
        <v>868</v>
      </c>
      <c r="I6205" t="s">
        <v>869</v>
      </c>
      <c r="J6205" t="str">
        <f>"9360115"</f>
        <v>9360115</v>
      </c>
      <c r="K6205">
        <v>2724071212</v>
      </c>
      <c r="M6205" t="s">
        <v>40169</v>
      </c>
      <c r="N6205" t="s">
        <v>40091</v>
      </c>
      <c r="O6205" t="s">
        <v>40091</v>
      </c>
      <c r="P6205">
        <v>24002</v>
      </c>
      <c r="Q6205" t="str">
        <f>"37.166764"</f>
        <v>37.166764</v>
      </c>
      <c r="R6205" t="str">
        <f>"21.985450"</f>
        <v>21.985450</v>
      </c>
      <c r="S6205" t="s">
        <v>26</v>
      </c>
    </row>
    <row r="6206" spans="1:19" x14ac:dyDescent="0.3">
      <c r="A6206" t="s">
        <v>37529</v>
      </c>
      <c r="B6206" t="s">
        <v>39848</v>
      </c>
      <c r="C6206" t="s">
        <v>40170</v>
      </c>
      <c r="D6206" t="s">
        <v>37558</v>
      </c>
      <c r="E6206" t="s">
        <v>38252</v>
      </c>
      <c r="F6206" t="s">
        <v>38258</v>
      </c>
      <c r="G6206" t="s">
        <v>38258</v>
      </c>
      <c r="H6206" t="s">
        <v>868</v>
      </c>
      <c r="I6206" t="s">
        <v>869</v>
      </c>
      <c r="J6206" t="str">
        <f>"9360177"</f>
        <v>9360177</v>
      </c>
      <c r="K6206">
        <v>2723022459</v>
      </c>
      <c r="L6206">
        <v>2723022459</v>
      </c>
      <c r="M6206" t="s">
        <v>40171</v>
      </c>
      <c r="N6206" t="s">
        <v>38354</v>
      </c>
      <c r="O6206" t="s">
        <v>38354</v>
      </c>
      <c r="P6206">
        <v>24001</v>
      </c>
      <c r="Q6206" t="str">
        <f>"36.910974"</f>
        <v>36.910974</v>
      </c>
      <c r="R6206" t="str">
        <f>"21.693869"</f>
        <v>21.693869</v>
      </c>
      <c r="S6206" t="s">
        <v>26</v>
      </c>
    </row>
    <row r="6207" spans="1:19" x14ac:dyDescent="0.3">
      <c r="A6207" t="s">
        <v>37529</v>
      </c>
      <c r="B6207" t="s">
        <v>39848</v>
      </c>
      <c r="C6207" t="s">
        <v>40174</v>
      </c>
      <c r="D6207" t="s">
        <v>37558</v>
      </c>
      <c r="E6207" t="s">
        <v>38252</v>
      </c>
      <c r="F6207" t="s">
        <v>38340</v>
      </c>
      <c r="G6207" t="s">
        <v>1490</v>
      </c>
      <c r="H6207" t="s">
        <v>868</v>
      </c>
      <c r="I6207" t="s">
        <v>869</v>
      </c>
      <c r="J6207" t="str">
        <f>"9360268"</f>
        <v>9360268</v>
      </c>
      <c r="K6207">
        <v>2763031202</v>
      </c>
      <c r="L6207">
        <v>2763032040</v>
      </c>
      <c r="M6207" t="s">
        <v>40175</v>
      </c>
      <c r="N6207" t="s">
        <v>13408</v>
      </c>
      <c r="O6207" t="s">
        <v>40176</v>
      </c>
      <c r="P6207">
        <v>24001</v>
      </c>
      <c r="Q6207" t="str">
        <f>"37.050083"</f>
        <v>37.050083</v>
      </c>
      <c r="R6207" t="str">
        <f>"21.713659"</f>
        <v>21.713659</v>
      </c>
      <c r="S6207" t="s">
        <v>26</v>
      </c>
    </row>
    <row r="6208" spans="1:19" x14ac:dyDescent="0.3">
      <c r="A6208" t="s">
        <v>37529</v>
      </c>
      <c r="B6208" t="s">
        <v>39848</v>
      </c>
      <c r="C6208" t="s">
        <v>38459</v>
      </c>
      <c r="D6208" t="s">
        <v>37558</v>
      </c>
      <c r="E6208" t="s">
        <v>38260</v>
      </c>
      <c r="F6208" t="s">
        <v>38453</v>
      </c>
      <c r="G6208" t="s">
        <v>38454</v>
      </c>
      <c r="H6208" t="s">
        <v>868</v>
      </c>
      <c r="I6208" t="s">
        <v>869</v>
      </c>
      <c r="J6208" t="str">
        <f>"9360219"</f>
        <v>9360219</v>
      </c>
      <c r="K6208">
        <v>2725031245</v>
      </c>
      <c r="L6208">
        <v>2725031245</v>
      </c>
      <c r="M6208" t="s">
        <v>40177</v>
      </c>
      <c r="N6208" t="s">
        <v>38458</v>
      </c>
      <c r="O6208" t="s">
        <v>38458</v>
      </c>
      <c r="P6208">
        <v>24010</v>
      </c>
      <c r="Q6208" t="str">
        <f>"36.868455"</f>
        <v>36.868455</v>
      </c>
      <c r="R6208" t="str">
        <f>"21.906742"</f>
        <v>21.906742</v>
      </c>
      <c r="S6208" t="s">
        <v>26</v>
      </c>
    </row>
    <row r="6209" spans="1:19" x14ac:dyDescent="0.3">
      <c r="A6209" t="s">
        <v>37529</v>
      </c>
      <c r="B6209" t="s">
        <v>39848</v>
      </c>
      <c r="C6209" t="s">
        <v>38442</v>
      </c>
      <c r="D6209" t="s">
        <v>37558</v>
      </c>
      <c r="E6209" t="s">
        <v>38260</v>
      </c>
      <c r="F6209" t="s">
        <v>38437</v>
      </c>
      <c r="G6209" t="s">
        <v>38437</v>
      </c>
      <c r="H6209" t="s">
        <v>868</v>
      </c>
      <c r="I6209" t="s">
        <v>869</v>
      </c>
      <c r="J6209" t="str">
        <f>"9360239"</f>
        <v>9360239</v>
      </c>
      <c r="K6209">
        <v>2722031220</v>
      </c>
      <c r="L6209">
        <v>2722031220</v>
      </c>
      <c r="M6209" t="s">
        <v>40183</v>
      </c>
      <c r="N6209" t="s">
        <v>38441</v>
      </c>
      <c r="O6209" t="s">
        <v>38441</v>
      </c>
      <c r="P6209">
        <v>24005</v>
      </c>
      <c r="Q6209" t="str">
        <f>"36.957595"</f>
        <v>36.957595</v>
      </c>
      <c r="R6209" t="str">
        <f>"21.926567"</f>
        <v>21.926567</v>
      </c>
      <c r="S6209" t="s">
        <v>26</v>
      </c>
    </row>
    <row r="6210" spans="1:19" x14ac:dyDescent="0.3">
      <c r="A6210" t="s">
        <v>37529</v>
      </c>
      <c r="B6210" t="s">
        <v>39848</v>
      </c>
      <c r="C6210" t="s">
        <v>40184</v>
      </c>
      <c r="D6210" t="s">
        <v>37558</v>
      </c>
      <c r="E6210" t="s">
        <v>37559</v>
      </c>
      <c r="F6210" t="s">
        <v>37559</v>
      </c>
      <c r="G6210" t="s">
        <v>37559</v>
      </c>
      <c r="H6210" t="s">
        <v>868</v>
      </c>
      <c r="I6210" t="s">
        <v>869</v>
      </c>
      <c r="J6210" t="str">
        <f>"9360012"</f>
        <v>9360012</v>
      </c>
      <c r="K6210">
        <v>2721025064</v>
      </c>
      <c r="L6210">
        <v>2721025764</v>
      </c>
      <c r="M6210" t="s">
        <v>40185</v>
      </c>
      <c r="N6210" t="s">
        <v>37562</v>
      </c>
      <c r="O6210" t="s">
        <v>40186</v>
      </c>
      <c r="P6210">
        <v>24100</v>
      </c>
      <c r="Q6210" t="str">
        <f>"37.046023"</f>
        <v>37.046023</v>
      </c>
      <c r="R6210" t="str">
        <f>"22.120753"</f>
        <v>22.120753</v>
      </c>
      <c r="S6210" t="s">
        <v>26</v>
      </c>
    </row>
    <row r="6211" spans="1:19" x14ac:dyDescent="0.3">
      <c r="A6211" t="s">
        <v>37529</v>
      </c>
      <c r="B6211" t="s">
        <v>39848</v>
      </c>
      <c r="C6211" t="s">
        <v>40187</v>
      </c>
      <c r="D6211" t="s">
        <v>37558</v>
      </c>
      <c r="E6211" t="s">
        <v>38252</v>
      </c>
      <c r="F6211" t="s">
        <v>27066</v>
      </c>
      <c r="G6211" t="s">
        <v>39974</v>
      </c>
      <c r="H6211" t="s">
        <v>868</v>
      </c>
      <c r="I6211" t="s">
        <v>950</v>
      </c>
      <c r="J6211" t="str">
        <f>"9360251"</f>
        <v>9360251</v>
      </c>
      <c r="K6211">
        <v>2723071250</v>
      </c>
      <c r="L6211">
        <v>2723071250</v>
      </c>
      <c r="M6211" t="s">
        <v>40188</v>
      </c>
      <c r="N6211" t="s">
        <v>39977</v>
      </c>
      <c r="O6211" t="s">
        <v>39977</v>
      </c>
      <c r="P6211">
        <v>24006</v>
      </c>
      <c r="Q6211" t="str">
        <f>"36.807566"</f>
        <v>36.807566</v>
      </c>
      <c r="R6211" t="str">
        <f>"21.811400"</f>
        <v>21.811400</v>
      </c>
      <c r="S6211" t="s">
        <v>26</v>
      </c>
    </row>
    <row r="6212" spans="1:19" x14ac:dyDescent="0.3">
      <c r="A6212" t="s">
        <v>37529</v>
      </c>
      <c r="B6212" t="s">
        <v>39848</v>
      </c>
      <c r="C6212" t="s">
        <v>40190</v>
      </c>
      <c r="D6212" t="s">
        <v>37558</v>
      </c>
      <c r="E6212" t="s">
        <v>38252</v>
      </c>
      <c r="F6212" t="s">
        <v>40002</v>
      </c>
      <c r="G6212" t="s">
        <v>40189</v>
      </c>
      <c r="H6212" t="s">
        <v>868</v>
      </c>
      <c r="I6212" t="s">
        <v>869</v>
      </c>
      <c r="J6212" t="str">
        <f>"9360253"</f>
        <v>9360253</v>
      </c>
      <c r="K6212">
        <v>2723051400</v>
      </c>
      <c r="L6212">
        <v>2723051413</v>
      </c>
      <c r="M6212" t="s">
        <v>40191</v>
      </c>
      <c r="N6212" t="s">
        <v>40192</v>
      </c>
      <c r="O6212" t="s">
        <v>40189</v>
      </c>
      <c r="P6212">
        <v>24001</v>
      </c>
      <c r="Q6212" t="str">
        <f>"36.956643"</f>
        <v>36.956643</v>
      </c>
      <c r="R6212" t="str">
        <f>"21.788852"</f>
        <v>21.788852</v>
      </c>
      <c r="S6212" t="s">
        <v>26</v>
      </c>
    </row>
    <row r="6213" spans="1:19" x14ac:dyDescent="0.3">
      <c r="A6213" t="s">
        <v>37529</v>
      </c>
      <c r="B6213" t="s">
        <v>39848</v>
      </c>
      <c r="C6213" t="s">
        <v>40193</v>
      </c>
      <c r="D6213" t="s">
        <v>37558</v>
      </c>
      <c r="E6213" t="s">
        <v>38252</v>
      </c>
      <c r="F6213" t="s">
        <v>38253</v>
      </c>
      <c r="G6213" t="s">
        <v>39987</v>
      </c>
      <c r="H6213" t="s">
        <v>868</v>
      </c>
      <c r="I6213" t="s">
        <v>869</v>
      </c>
      <c r="J6213" t="str">
        <f>"9360255"</f>
        <v>9360255</v>
      </c>
      <c r="K6213">
        <v>2725041213</v>
      </c>
      <c r="L6213">
        <v>2725041213</v>
      </c>
      <c r="M6213" t="s">
        <v>40194</v>
      </c>
      <c r="N6213" t="s">
        <v>39990</v>
      </c>
      <c r="O6213" t="s">
        <v>39990</v>
      </c>
      <c r="P6213">
        <v>24004</v>
      </c>
      <c r="Q6213" t="str">
        <f>"36.810667"</f>
        <v>36.810667</v>
      </c>
      <c r="R6213" t="str">
        <f>"21.912685"</f>
        <v>21.912685</v>
      </c>
      <c r="S6213" t="s">
        <v>26</v>
      </c>
    </row>
    <row r="6214" spans="1:19" x14ac:dyDescent="0.3">
      <c r="A6214" t="s">
        <v>37529</v>
      </c>
      <c r="B6214" t="s">
        <v>39848</v>
      </c>
      <c r="C6214" t="s">
        <v>38326</v>
      </c>
      <c r="D6214" t="s">
        <v>37558</v>
      </c>
      <c r="E6214" t="s">
        <v>37559</v>
      </c>
      <c r="F6214" t="s">
        <v>37559</v>
      </c>
      <c r="G6214" t="s">
        <v>37559</v>
      </c>
      <c r="H6214" t="s">
        <v>868</v>
      </c>
      <c r="I6214" t="s">
        <v>869</v>
      </c>
      <c r="J6214" t="str">
        <f>"9360013"</f>
        <v>9360013</v>
      </c>
      <c r="K6214">
        <v>2721026170</v>
      </c>
      <c r="L6214">
        <v>2721026170</v>
      </c>
      <c r="M6214" t="s">
        <v>40195</v>
      </c>
      <c r="N6214" t="s">
        <v>37562</v>
      </c>
      <c r="O6214" t="s">
        <v>40196</v>
      </c>
      <c r="P6214">
        <v>24100</v>
      </c>
      <c r="Q6214" t="str">
        <f>"37.036196"</f>
        <v>37.036196</v>
      </c>
      <c r="R6214" t="str">
        <f>"22.124715"</f>
        <v>22.124715</v>
      </c>
      <c r="S6214" t="s">
        <v>26</v>
      </c>
    </row>
    <row r="6215" spans="1:19" x14ac:dyDescent="0.3">
      <c r="A6215" t="s">
        <v>37529</v>
      </c>
      <c r="B6215" t="s">
        <v>39848</v>
      </c>
      <c r="C6215" t="s">
        <v>38380</v>
      </c>
      <c r="D6215" t="s">
        <v>37558</v>
      </c>
      <c r="E6215" t="s">
        <v>37559</v>
      </c>
      <c r="F6215" t="s">
        <v>37559</v>
      </c>
      <c r="G6215" t="s">
        <v>37559</v>
      </c>
      <c r="H6215" t="s">
        <v>868</v>
      </c>
      <c r="I6215" t="s">
        <v>869</v>
      </c>
      <c r="J6215" t="str">
        <f>"9360408"</f>
        <v>9360408</v>
      </c>
      <c r="K6215">
        <v>2721021332</v>
      </c>
      <c r="L6215">
        <v>2721021332</v>
      </c>
      <c r="M6215" t="s">
        <v>40197</v>
      </c>
      <c r="N6215" t="s">
        <v>37562</v>
      </c>
      <c r="O6215" t="s">
        <v>40198</v>
      </c>
      <c r="P6215">
        <v>24100</v>
      </c>
      <c r="Q6215" t="str">
        <f>"37.036882"</f>
        <v>37.036882</v>
      </c>
      <c r="R6215" t="str">
        <f>"22.113269"</f>
        <v>22.113269</v>
      </c>
      <c r="S6215" t="s">
        <v>26</v>
      </c>
    </row>
    <row r="6216" spans="1:19" x14ac:dyDescent="0.3">
      <c r="A6216" t="s">
        <v>37529</v>
      </c>
      <c r="B6216" t="s">
        <v>39848</v>
      </c>
      <c r="C6216" t="s">
        <v>40199</v>
      </c>
      <c r="D6216" t="s">
        <v>37558</v>
      </c>
      <c r="E6216" t="s">
        <v>37559</v>
      </c>
      <c r="F6216" t="s">
        <v>37559</v>
      </c>
      <c r="G6216" t="s">
        <v>39921</v>
      </c>
      <c r="H6216" t="s">
        <v>868</v>
      </c>
      <c r="I6216" t="s">
        <v>869</v>
      </c>
      <c r="J6216" t="str">
        <f>"9360073"</f>
        <v>9360073</v>
      </c>
      <c r="K6216">
        <v>2721032645</v>
      </c>
      <c r="L6216">
        <v>2721064233</v>
      </c>
      <c r="M6216" t="s">
        <v>40200</v>
      </c>
      <c r="O6216" t="s">
        <v>40201</v>
      </c>
      <c r="P6216">
        <v>24100</v>
      </c>
      <c r="Q6216" t="str">
        <f>"37.072869"</f>
        <v>37.072869</v>
      </c>
      <c r="R6216" t="str">
        <f>"22.059026"</f>
        <v>22.059026</v>
      </c>
      <c r="S6216" t="s">
        <v>26</v>
      </c>
    </row>
    <row r="6217" spans="1:19" x14ac:dyDescent="0.3">
      <c r="A6217" t="s">
        <v>37529</v>
      </c>
      <c r="B6217" t="s">
        <v>39848</v>
      </c>
      <c r="C6217" t="s">
        <v>40202</v>
      </c>
      <c r="D6217" t="s">
        <v>37558</v>
      </c>
      <c r="E6217" t="s">
        <v>37559</v>
      </c>
      <c r="F6217" t="s">
        <v>37559</v>
      </c>
      <c r="G6217" t="s">
        <v>37559</v>
      </c>
      <c r="H6217" t="s">
        <v>868</v>
      </c>
      <c r="I6217" t="s">
        <v>869</v>
      </c>
      <c r="J6217" t="str">
        <f>"9360022"</f>
        <v>9360022</v>
      </c>
      <c r="K6217">
        <v>2721082015</v>
      </c>
      <c r="L6217">
        <v>2721082015</v>
      </c>
      <c r="M6217" t="s">
        <v>40203</v>
      </c>
      <c r="N6217" t="s">
        <v>38391</v>
      </c>
      <c r="O6217" t="s">
        <v>40204</v>
      </c>
      <c r="P6217">
        <v>24131</v>
      </c>
      <c r="Q6217" t="str">
        <f>"37.031884"</f>
        <v>37.031884</v>
      </c>
      <c r="R6217" t="str">
        <f>"22.112642"</f>
        <v>22.112642</v>
      </c>
      <c r="S6217" t="s">
        <v>26</v>
      </c>
    </row>
    <row r="6218" spans="1:19" x14ac:dyDescent="0.3">
      <c r="A6218" t="s">
        <v>37529</v>
      </c>
      <c r="B6218" t="s">
        <v>39848</v>
      </c>
      <c r="C6218" t="s">
        <v>40205</v>
      </c>
      <c r="D6218" t="s">
        <v>37558</v>
      </c>
      <c r="E6218" t="s">
        <v>37559</v>
      </c>
      <c r="F6218" t="s">
        <v>37559</v>
      </c>
      <c r="G6218" t="s">
        <v>37559</v>
      </c>
      <c r="H6218" t="s">
        <v>868</v>
      </c>
      <c r="I6218" t="s">
        <v>869</v>
      </c>
      <c r="J6218" t="str">
        <f>"9360031"</f>
        <v>9360031</v>
      </c>
      <c r="K6218">
        <v>2721025406</v>
      </c>
      <c r="L6218">
        <v>2721025406</v>
      </c>
      <c r="M6218" t="s">
        <v>40206</v>
      </c>
      <c r="N6218" t="s">
        <v>37562</v>
      </c>
      <c r="O6218" t="s">
        <v>40207</v>
      </c>
      <c r="P6218">
        <v>24100</v>
      </c>
      <c r="Q6218" t="str">
        <f>"37.036688"</f>
        <v>37.036688</v>
      </c>
      <c r="R6218" t="str">
        <f>"22.101724"</f>
        <v>22.101724</v>
      </c>
      <c r="S6218" t="s">
        <v>26</v>
      </c>
    </row>
    <row r="6219" spans="1:19" x14ac:dyDescent="0.3">
      <c r="A6219" t="s">
        <v>37529</v>
      </c>
      <c r="B6219" t="s">
        <v>39848</v>
      </c>
      <c r="C6219" t="s">
        <v>38251</v>
      </c>
      <c r="D6219" t="s">
        <v>37558</v>
      </c>
      <c r="E6219" t="s">
        <v>37559</v>
      </c>
      <c r="F6219" t="s">
        <v>37559</v>
      </c>
      <c r="G6219" t="s">
        <v>37559</v>
      </c>
      <c r="H6219" t="s">
        <v>868</v>
      </c>
      <c r="I6219" t="s">
        <v>869</v>
      </c>
      <c r="J6219" t="str">
        <f>"9360019"</f>
        <v>9360019</v>
      </c>
      <c r="K6219">
        <v>2721026066</v>
      </c>
      <c r="L6219">
        <v>2721026066</v>
      </c>
      <c r="M6219" t="s">
        <v>40208</v>
      </c>
      <c r="N6219" t="s">
        <v>37562</v>
      </c>
      <c r="O6219" t="s">
        <v>40209</v>
      </c>
      <c r="P6219">
        <v>24100</v>
      </c>
      <c r="Q6219" t="str">
        <f>"37.028686"</f>
        <v>37.028686</v>
      </c>
      <c r="R6219" t="str">
        <f>"22.134749"</f>
        <v>22.134749</v>
      </c>
      <c r="S6219" t="s">
        <v>26</v>
      </c>
    </row>
    <row r="6220" spans="1:19" x14ac:dyDescent="0.3">
      <c r="A6220" t="s">
        <v>37529</v>
      </c>
      <c r="B6220" t="s">
        <v>39848</v>
      </c>
      <c r="C6220" t="s">
        <v>40214</v>
      </c>
      <c r="D6220" t="s">
        <v>37558</v>
      </c>
      <c r="E6220" t="s">
        <v>38286</v>
      </c>
      <c r="F6220" t="s">
        <v>38287</v>
      </c>
      <c r="G6220" t="s">
        <v>38287</v>
      </c>
      <c r="H6220" t="s">
        <v>868</v>
      </c>
      <c r="I6220" t="s">
        <v>1157</v>
      </c>
      <c r="J6220" t="str">
        <f>"9521040"</f>
        <v>9521040</v>
      </c>
      <c r="K6220">
        <v>2761032243</v>
      </c>
      <c r="L6220">
        <v>2761062864</v>
      </c>
      <c r="M6220" t="s">
        <v>40215</v>
      </c>
      <c r="N6220" t="s">
        <v>38497</v>
      </c>
      <c r="O6220" t="s">
        <v>40216</v>
      </c>
      <c r="P6220">
        <v>24300</v>
      </c>
      <c r="Q6220" t="str">
        <f>"37.160646"</f>
        <v>37.160646</v>
      </c>
      <c r="R6220" t="str">
        <f>"21.580741"</f>
        <v>21.580741</v>
      </c>
      <c r="S6220" t="s">
        <v>26</v>
      </c>
    </row>
    <row r="6221" spans="1:19" x14ac:dyDescent="0.3">
      <c r="A6221" t="s">
        <v>37529</v>
      </c>
      <c r="B6221" t="s">
        <v>39848</v>
      </c>
      <c r="C6221" t="s">
        <v>40238</v>
      </c>
      <c r="D6221" t="s">
        <v>37558</v>
      </c>
      <c r="E6221" t="s">
        <v>38252</v>
      </c>
      <c r="F6221" t="s">
        <v>38258</v>
      </c>
      <c r="G6221" t="s">
        <v>5563</v>
      </c>
      <c r="H6221" t="s">
        <v>868</v>
      </c>
      <c r="I6221" t="s">
        <v>950</v>
      </c>
      <c r="J6221" t="str">
        <f>"9360200"</f>
        <v>9360200</v>
      </c>
      <c r="K6221">
        <v>2723061135</v>
      </c>
      <c r="L6221">
        <v>2723061135</v>
      </c>
      <c r="M6221" t="s">
        <v>40239</v>
      </c>
      <c r="N6221" t="s">
        <v>5567</v>
      </c>
      <c r="O6221" t="s">
        <v>5567</v>
      </c>
      <c r="P6221">
        <v>24001</v>
      </c>
      <c r="Q6221" t="str">
        <f>"36.878216"</f>
        <v>36.878216</v>
      </c>
      <c r="R6221" t="str">
        <f>"21.785878"</f>
        <v>21.785878</v>
      </c>
      <c r="S6221" t="s">
        <v>26</v>
      </c>
    </row>
    <row r="6222" spans="1:19" x14ac:dyDescent="0.3">
      <c r="A6222" t="s">
        <v>40240</v>
      </c>
      <c r="B6222" t="s">
        <v>41254</v>
      </c>
      <c r="C6222" t="s">
        <v>40369</v>
      </c>
      <c r="D6222" t="s">
        <v>40241</v>
      </c>
      <c r="E6222" t="s">
        <v>40303</v>
      </c>
      <c r="F6222" t="s">
        <v>40303</v>
      </c>
      <c r="G6222" t="s">
        <v>40303</v>
      </c>
      <c r="H6222" t="s">
        <v>868</v>
      </c>
      <c r="I6222" t="s">
        <v>869</v>
      </c>
      <c r="J6222" t="str">
        <f>"9070007"</f>
        <v>9070007</v>
      </c>
      <c r="K6222">
        <v>2262029340</v>
      </c>
      <c r="L6222">
        <v>2262089066</v>
      </c>
      <c r="M6222" t="s">
        <v>41270</v>
      </c>
      <c r="N6222" t="s">
        <v>40306</v>
      </c>
      <c r="O6222" t="s">
        <v>41271</v>
      </c>
      <c r="P6222">
        <v>32200</v>
      </c>
      <c r="Q6222" t="str">
        <f>"38.326321"</f>
        <v>38.326321</v>
      </c>
      <c r="R6222" t="str">
        <f>"23.320786"</f>
        <v>23.320786</v>
      </c>
      <c r="S6222" t="s">
        <v>26</v>
      </c>
    </row>
    <row r="6223" spans="1:19" x14ac:dyDescent="0.3">
      <c r="A6223" t="s">
        <v>40240</v>
      </c>
      <c r="B6223" t="s">
        <v>41254</v>
      </c>
      <c r="C6223" t="s">
        <v>41273</v>
      </c>
      <c r="D6223" t="s">
        <v>40241</v>
      </c>
      <c r="E6223" t="s">
        <v>40303</v>
      </c>
      <c r="F6223" t="s">
        <v>40436</v>
      </c>
      <c r="G6223" t="s">
        <v>41272</v>
      </c>
      <c r="H6223" t="s">
        <v>868</v>
      </c>
      <c r="I6223" t="s">
        <v>950</v>
      </c>
      <c r="J6223" t="str">
        <f>"9070050"</f>
        <v>9070050</v>
      </c>
      <c r="K6223">
        <v>2264041279</v>
      </c>
      <c r="L6223">
        <v>2264041279</v>
      </c>
      <c r="M6223" t="s">
        <v>41274</v>
      </c>
      <c r="N6223" t="s">
        <v>41275</v>
      </c>
      <c r="O6223" t="s">
        <v>41275</v>
      </c>
      <c r="P6223">
        <v>32010</v>
      </c>
      <c r="Q6223" t="str">
        <f>"38.249080"</f>
        <v>38.249080</v>
      </c>
      <c r="R6223" t="str">
        <f>"23.072961"</f>
        <v>23.072961</v>
      </c>
      <c r="S6223" t="s">
        <v>26</v>
      </c>
    </row>
    <row r="6224" spans="1:19" x14ac:dyDescent="0.3">
      <c r="A6224" t="s">
        <v>40240</v>
      </c>
      <c r="B6224" t="s">
        <v>41254</v>
      </c>
      <c r="C6224" t="s">
        <v>41276</v>
      </c>
      <c r="D6224" t="s">
        <v>40241</v>
      </c>
      <c r="E6224" t="s">
        <v>40242</v>
      </c>
      <c r="F6224" t="s">
        <v>40242</v>
      </c>
      <c r="G6224" t="s">
        <v>40242</v>
      </c>
      <c r="H6224" t="s">
        <v>868</v>
      </c>
      <c r="I6224" t="s">
        <v>869</v>
      </c>
      <c r="J6224" t="str">
        <f>"9070075"</f>
        <v>9070075</v>
      </c>
      <c r="K6224">
        <v>2261029405</v>
      </c>
      <c r="L6224">
        <v>2261029405</v>
      </c>
      <c r="M6224" t="s">
        <v>41277</v>
      </c>
      <c r="N6224" t="s">
        <v>40281</v>
      </c>
      <c r="O6224" t="s">
        <v>41278</v>
      </c>
      <c r="P6224">
        <v>32131</v>
      </c>
      <c r="Q6224" t="str">
        <f>"38.431520"</f>
        <v>38.431520</v>
      </c>
      <c r="R6224" t="str">
        <f>"22.864376"</f>
        <v>22.864376</v>
      </c>
      <c r="S6224" t="s">
        <v>26</v>
      </c>
    </row>
    <row r="6225" spans="1:19" x14ac:dyDescent="0.3">
      <c r="A6225" t="s">
        <v>40240</v>
      </c>
      <c r="B6225" t="s">
        <v>41254</v>
      </c>
      <c r="C6225" t="s">
        <v>40454</v>
      </c>
      <c r="D6225" t="s">
        <v>40241</v>
      </c>
      <c r="E6225" t="s">
        <v>40303</v>
      </c>
      <c r="F6225" t="s">
        <v>40303</v>
      </c>
      <c r="G6225" t="s">
        <v>40303</v>
      </c>
      <c r="H6225" t="s">
        <v>868</v>
      </c>
      <c r="I6225" t="s">
        <v>869</v>
      </c>
      <c r="J6225" t="str">
        <f>"9070011"</f>
        <v>9070011</v>
      </c>
      <c r="K6225">
        <v>2262029765</v>
      </c>
      <c r="L6225">
        <v>2262089245</v>
      </c>
      <c r="M6225" t="s">
        <v>41279</v>
      </c>
      <c r="N6225" t="s">
        <v>41280</v>
      </c>
      <c r="O6225" t="s">
        <v>41281</v>
      </c>
      <c r="P6225">
        <v>32200</v>
      </c>
      <c r="Q6225" t="str">
        <f>"38.314282"</f>
        <v>38.314282</v>
      </c>
      <c r="R6225" t="str">
        <f>"23.323163"</f>
        <v>23.323163</v>
      </c>
      <c r="S6225" t="s">
        <v>26</v>
      </c>
    </row>
    <row r="6226" spans="1:19" x14ac:dyDescent="0.3">
      <c r="A6226" t="s">
        <v>40240</v>
      </c>
      <c r="B6226" t="s">
        <v>41254</v>
      </c>
      <c r="C6226" t="s">
        <v>40473</v>
      </c>
      <c r="D6226" t="s">
        <v>40241</v>
      </c>
      <c r="E6226" t="s">
        <v>40289</v>
      </c>
      <c r="F6226" t="s">
        <v>40297</v>
      </c>
      <c r="G6226" t="s">
        <v>40297</v>
      </c>
      <c r="H6226" t="s">
        <v>868</v>
      </c>
      <c r="I6226" t="s">
        <v>869</v>
      </c>
      <c r="J6226" t="str">
        <f>"9070059"</f>
        <v>9070059</v>
      </c>
      <c r="K6226">
        <v>2262058337</v>
      </c>
      <c r="L6226">
        <v>2262058337</v>
      </c>
      <c r="M6226" t="s">
        <v>41282</v>
      </c>
      <c r="N6226" t="s">
        <v>40472</v>
      </c>
      <c r="O6226" t="s">
        <v>41283</v>
      </c>
      <c r="P6226">
        <v>32009</v>
      </c>
      <c r="Q6226" t="str">
        <f>"38.347739"</f>
        <v>38.347739</v>
      </c>
      <c r="R6226" t="str">
        <f>"23.582236"</f>
        <v>23.582236</v>
      </c>
      <c r="S6226" t="s">
        <v>26</v>
      </c>
    </row>
    <row r="6227" spans="1:19" x14ac:dyDescent="0.3">
      <c r="A6227" t="s">
        <v>40240</v>
      </c>
      <c r="B6227" t="s">
        <v>41254</v>
      </c>
      <c r="C6227" t="s">
        <v>40401</v>
      </c>
      <c r="D6227" t="s">
        <v>40241</v>
      </c>
      <c r="E6227" t="s">
        <v>40289</v>
      </c>
      <c r="F6227" t="s">
        <v>40396</v>
      </c>
      <c r="G6227" t="s">
        <v>21531</v>
      </c>
      <c r="H6227" t="s">
        <v>868</v>
      </c>
      <c r="I6227" t="s">
        <v>950</v>
      </c>
      <c r="J6227" t="str">
        <f>"9070056"</f>
        <v>9070056</v>
      </c>
      <c r="K6227">
        <v>2263031217</v>
      </c>
      <c r="L6227">
        <v>2263031217</v>
      </c>
      <c r="M6227" t="s">
        <v>41284</v>
      </c>
      <c r="N6227" t="s">
        <v>40400</v>
      </c>
      <c r="O6227" t="s">
        <v>21534</v>
      </c>
      <c r="P6227">
        <v>32009</v>
      </c>
      <c r="Q6227" t="str">
        <f>"38.213198"</f>
        <v>38.213198</v>
      </c>
      <c r="R6227" t="str">
        <f>"23.496362"</f>
        <v>23.496362</v>
      </c>
      <c r="S6227" t="s">
        <v>26</v>
      </c>
    </row>
    <row r="6228" spans="1:19" x14ac:dyDescent="0.3">
      <c r="A6228" t="s">
        <v>40240</v>
      </c>
      <c r="B6228" t="s">
        <v>41254</v>
      </c>
      <c r="C6228" t="s">
        <v>41296</v>
      </c>
      <c r="D6228" t="s">
        <v>40241</v>
      </c>
      <c r="E6228" t="s">
        <v>40289</v>
      </c>
      <c r="F6228" t="s">
        <v>40396</v>
      </c>
      <c r="G6228" t="s">
        <v>41295</v>
      </c>
      <c r="H6228" t="s">
        <v>868</v>
      </c>
      <c r="I6228" t="s">
        <v>869</v>
      </c>
      <c r="J6228" t="str">
        <f>"9070057"</f>
        <v>9070057</v>
      </c>
      <c r="K6228">
        <v>2263031253</v>
      </c>
      <c r="L6228">
        <v>2263031253</v>
      </c>
      <c r="M6228" t="s">
        <v>41297</v>
      </c>
      <c r="N6228" t="s">
        <v>41298</v>
      </c>
      <c r="O6228" t="s">
        <v>41298</v>
      </c>
      <c r="P6228">
        <v>32009</v>
      </c>
      <c r="Q6228" t="str">
        <f>"38.212927"</f>
        <v>38.212927</v>
      </c>
      <c r="R6228" t="str">
        <f>"23.548940"</f>
        <v>23.548940</v>
      </c>
      <c r="S6228" t="s">
        <v>26</v>
      </c>
    </row>
    <row r="6229" spans="1:19" x14ac:dyDescent="0.3">
      <c r="A6229" t="s">
        <v>40240</v>
      </c>
      <c r="B6229" t="s">
        <v>41254</v>
      </c>
      <c r="C6229" t="s">
        <v>40312</v>
      </c>
      <c r="D6229" t="s">
        <v>40241</v>
      </c>
      <c r="E6229" t="s">
        <v>40303</v>
      </c>
      <c r="F6229" t="s">
        <v>40303</v>
      </c>
      <c r="G6229" t="s">
        <v>40303</v>
      </c>
      <c r="H6229" t="s">
        <v>868</v>
      </c>
      <c r="I6229" t="s">
        <v>869</v>
      </c>
      <c r="J6229" t="str">
        <f>"9070008"</f>
        <v>9070008</v>
      </c>
      <c r="K6229">
        <v>2262029063</v>
      </c>
      <c r="L6229">
        <v>2262089119</v>
      </c>
      <c r="M6229" t="s">
        <v>41299</v>
      </c>
      <c r="N6229" t="s">
        <v>40306</v>
      </c>
      <c r="O6229" t="s">
        <v>41300</v>
      </c>
      <c r="P6229">
        <v>32200</v>
      </c>
      <c r="Q6229" t="str">
        <f>"38.328511"</f>
        <v>38.328511</v>
      </c>
      <c r="R6229" t="str">
        <f>"23.311317"</f>
        <v>23.311317</v>
      </c>
      <c r="S6229" t="s">
        <v>26</v>
      </c>
    </row>
    <row r="6230" spans="1:19" x14ac:dyDescent="0.3">
      <c r="A6230" t="s">
        <v>40240</v>
      </c>
      <c r="B6230" t="s">
        <v>41254</v>
      </c>
      <c r="C6230" t="s">
        <v>41301</v>
      </c>
      <c r="D6230" t="s">
        <v>40241</v>
      </c>
      <c r="E6230" t="s">
        <v>40303</v>
      </c>
      <c r="F6230" t="s">
        <v>40303</v>
      </c>
      <c r="G6230" t="s">
        <v>40303</v>
      </c>
      <c r="H6230" t="s">
        <v>868</v>
      </c>
      <c r="I6230" t="s">
        <v>869</v>
      </c>
      <c r="J6230" t="str">
        <f>"9070292"</f>
        <v>9070292</v>
      </c>
      <c r="K6230">
        <v>2262027361</v>
      </c>
      <c r="L6230">
        <v>2262089285</v>
      </c>
      <c r="M6230" t="s">
        <v>41302</v>
      </c>
      <c r="N6230" t="s">
        <v>41280</v>
      </c>
      <c r="O6230" t="s">
        <v>41281</v>
      </c>
      <c r="P6230">
        <v>32200</v>
      </c>
      <c r="Q6230" t="str">
        <f>"38.314343"</f>
        <v>38.314343</v>
      </c>
      <c r="R6230" t="str">
        <f>"23.323130"</f>
        <v>23.323130</v>
      </c>
      <c r="S6230" t="s">
        <v>26</v>
      </c>
    </row>
    <row r="6231" spans="1:19" x14ac:dyDescent="0.3">
      <c r="A6231" t="s">
        <v>40240</v>
      </c>
      <c r="B6231" t="s">
        <v>41254</v>
      </c>
      <c r="C6231" t="s">
        <v>41303</v>
      </c>
      <c r="D6231" t="s">
        <v>40241</v>
      </c>
      <c r="E6231" t="s">
        <v>40242</v>
      </c>
      <c r="F6231" t="s">
        <v>40242</v>
      </c>
      <c r="G6231" t="s">
        <v>40242</v>
      </c>
      <c r="H6231" t="s">
        <v>868</v>
      </c>
      <c r="I6231" t="s">
        <v>869</v>
      </c>
      <c r="J6231" t="str">
        <f>"9070077"</f>
        <v>9070077</v>
      </c>
      <c r="K6231">
        <v>2261029181</v>
      </c>
      <c r="L6231">
        <v>2261029181</v>
      </c>
      <c r="M6231" t="s">
        <v>41304</v>
      </c>
      <c r="N6231" t="s">
        <v>40281</v>
      </c>
      <c r="O6231" t="s">
        <v>41305</v>
      </c>
      <c r="P6231">
        <v>32131</v>
      </c>
      <c r="Q6231" t="str">
        <f>"38.438074"</f>
        <v>38.438074</v>
      </c>
      <c r="R6231" t="str">
        <f>"22.891241"</f>
        <v>22.891241</v>
      </c>
      <c r="S6231" t="s">
        <v>26</v>
      </c>
    </row>
    <row r="6232" spans="1:19" x14ac:dyDescent="0.3">
      <c r="A6232" t="s">
        <v>40240</v>
      </c>
      <c r="B6232" t="s">
        <v>41254</v>
      </c>
      <c r="C6232" t="s">
        <v>40278</v>
      </c>
      <c r="D6232" t="s">
        <v>40241</v>
      </c>
      <c r="E6232" t="s">
        <v>40242</v>
      </c>
      <c r="F6232" t="s">
        <v>40242</v>
      </c>
      <c r="G6232" t="s">
        <v>40242</v>
      </c>
      <c r="H6232" t="s">
        <v>868</v>
      </c>
      <c r="I6232" t="s">
        <v>869</v>
      </c>
      <c r="J6232" t="str">
        <f>"9070076"</f>
        <v>9070076</v>
      </c>
      <c r="K6232">
        <v>2261029536</v>
      </c>
      <c r="L6232">
        <v>2261089536</v>
      </c>
      <c r="M6232" t="s">
        <v>41306</v>
      </c>
      <c r="N6232" t="s">
        <v>40281</v>
      </c>
      <c r="O6232" t="s">
        <v>41307</v>
      </c>
      <c r="P6232">
        <v>32131</v>
      </c>
      <c r="Q6232" t="str">
        <f>"38.441399"</f>
        <v>38.441399</v>
      </c>
      <c r="R6232" t="str">
        <f>"22.873901"</f>
        <v>22.873901</v>
      </c>
      <c r="S6232" t="s">
        <v>26</v>
      </c>
    </row>
    <row r="6233" spans="1:19" x14ac:dyDescent="0.3">
      <c r="A6233" t="s">
        <v>40240</v>
      </c>
      <c r="B6233" t="s">
        <v>41254</v>
      </c>
      <c r="C6233" t="s">
        <v>41311</v>
      </c>
      <c r="D6233" t="s">
        <v>40241</v>
      </c>
      <c r="E6233" t="s">
        <v>40242</v>
      </c>
      <c r="F6233" t="s">
        <v>40242</v>
      </c>
      <c r="G6233" t="s">
        <v>40242</v>
      </c>
      <c r="H6233" t="s">
        <v>868</v>
      </c>
      <c r="I6233" t="s">
        <v>869</v>
      </c>
      <c r="J6233" t="str">
        <f>"9070287"</f>
        <v>9070287</v>
      </c>
      <c r="K6233">
        <v>2261025281</v>
      </c>
      <c r="L6233">
        <v>2261025341</v>
      </c>
      <c r="M6233" t="s">
        <v>41312</v>
      </c>
      <c r="N6233" t="s">
        <v>40281</v>
      </c>
      <c r="O6233" t="s">
        <v>41313</v>
      </c>
      <c r="P6233">
        <v>32131</v>
      </c>
      <c r="Q6233" t="str">
        <f>"38.446107"</f>
        <v>38.446107</v>
      </c>
      <c r="R6233" t="str">
        <f>"22.869676"</f>
        <v>22.869676</v>
      </c>
      <c r="S6233" t="s">
        <v>26</v>
      </c>
    </row>
    <row r="6234" spans="1:19" x14ac:dyDescent="0.3">
      <c r="A6234" t="s">
        <v>40240</v>
      </c>
      <c r="B6234" t="s">
        <v>41254</v>
      </c>
      <c r="C6234" t="s">
        <v>41314</v>
      </c>
      <c r="D6234" t="s">
        <v>40241</v>
      </c>
      <c r="E6234" t="s">
        <v>40303</v>
      </c>
      <c r="F6234" t="s">
        <v>40303</v>
      </c>
      <c r="G6234" t="s">
        <v>40303</v>
      </c>
      <c r="H6234" t="s">
        <v>868</v>
      </c>
      <c r="I6234" t="s">
        <v>1157</v>
      </c>
      <c r="J6234" t="str">
        <f>"9070298"</f>
        <v>9070298</v>
      </c>
      <c r="K6234">
        <v>2262026550</v>
      </c>
      <c r="L6234">
        <v>2262024739</v>
      </c>
      <c r="M6234" t="s">
        <v>41315</v>
      </c>
      <c r="N6234" t="s">
        <v>40306</v>
      </c>
      <c r="O6234" t="s">
        <v>41316</v>
      </c>
      <c r="P6234">
        <v>32200</v>
      </c>
      <c r="Q6234" t="str">
        <f>"38.325232"</f>
        <v>38.325232</v>
      </c>
      <c r="R6234" t="str">
        <f>"23.331737"</f>
        <v>23.331737</v>
      </c>
      <c r="S6234" t="s">
        <v>26</v>
      </c>
    </row>
    <row r="6235" spans="1:19" x14ac:dyDescent="0.3">
      <c r="A6235" t="s">
        <v>40240</v>
      </c>
      <c r="B6235" t="s">
        <v>41254</v>
      </c>
      <c r="C6235" t="s">
        <v>41318</v>
      </c>
      <c r="D6235" t="s">
        <v>40241</v>
      </c>
      <c r="E6235" t="s">
        <v>40339</v>
      </c>
      <c r="F6235" t="s">
        <v>40339</v>
      </c>
      <c r="G6235" t="s">
        <v>41317</v>
      </c>
      <c r="H6235" t="s">
        <v>868</v>
      </c>
      <c r="I6235" t="s">
        <v>869</v>
      </c>
      <c r="J6235" t="str">
        <f>"9070112"</f>
        <v>9070112</v>
      </c>
      <c r="K6235">
        <v>2261091220</v>
      </c>
      <c r="L6235">
        <v>2261091220</v>
      </c>
      <c r="M6235" t="s">
        <v>41319</v>
      </c>
      <c r="N6235" t="s">
        <v>41320</v>
      </c>
      <c r="O6235" t="s">
        <v>41321</v>
      </c>
      <c r="P6235">
        <v>32300</v>
      </c>
      <c r="Q6235" t="str">
        <f>"38.532058"</f>
        <v>38.532058</v>
      </c>
      <c r="R6235" t="str">
        <f>"23.089921"</f>
        <v>23.089921</v>
      </c>
      <c r="S6235" t="s">
        <v>26</v>
      </c>
    </row>
    <row r="6236" spans="1:19" x14ac:dyDescent="0.3">
      <c r="A6236" t="s">
        <v>40240</v>
      </c>
      <c r="B6236" t="s">
        <v>41254</v>
      </c>
      <c r="C6236" t="s">
        <v>41322</v>
      </c>
      <c r="D6236" t="s">
        <v>40241</v>
      </c>
      <c r="E6236" t="s">
        <v>40332</v>
      </c>
      <c r="F6236" t="s">
        <v>40348</v>
      </c>
      <c r="G6236" t="s">
        <v>21888</v>
      </c>
      <c r="H6236" t="s">
        <v>868</v>
      </c>
      <c r="I6236" t="s">
        <v>869</v>
      </c>
      <c r="J6236" t="str">
        <f>"9070044"</f>
        <v>9070044</v>
      </c>
      <c r="K6236">
        <v>2262067328</v>
      </c>
      <c r="L6236">
        <v>2262067328</v>
      </c>
      <c r="M6236" t="s">
        <v>41323</v>
      </c>
      <c r="N6236" t="s">
        <v>21891</v>
      </c>
      <c r="O6236" t="s">
        <v>21891</v>
      </c>
      <c r="P6236">
        <v>32002</v>
      </c>
      <c r="Q6236" t="str">
        <f>"38.330329"</f>
        <v>38.330329</v>
      </c>
      <c r="R6236" t="str">
        <f>"23.140101"</f>
        <v>23.140101</v>
      </c>
      <c r="S6236" t="s">
        <v>26</v>
      </c>
    </row>
    <row r="6237" spans="1:19" x14ac:dyDescent="0.3">
      <c r="A6237" t="s">
        <v>40240</v>
      </c>
      <c r="B6237" t="s">
        <v>41254</v>
      </c>
      <c r="C6237" t="s">
        <v>40343</v>
      </c>
      <c r="D6237" t="s">
        <v>40241</v>
      </c>
      <c r="E6237" t="s">
        <v>40339</v>
      </c>
      <c r="F6237" t="s">
        <v>40339</v>
      </c>
      <c r="G6237" t="s">
        <v>40339</v>
      </c>
      <c r="H6237" t="s">
        <v>868</v>
      </c>
      <c r="I6237" t="s">
        <v>869</v>
      </c>
      <c r="J6237" t="str">
        <f>"9070080"</f>
        <v>9070080</v>
      </c>
      <c r="K6237">
        <v>2261032305</v>
      </c>
      <c r="L6237">
        <v>2261032305</v>
      </c>
      <c r="M6237" t="s">
        <v>41324</v>
      </c>
      <c r="N6237" t="s">
        <v>41325</v>
      </c>
      <c r="O6237" t="s">
        <v>27101</v>
      </c>
      <c r="P6237">
        <v>32300</v>
      </c>
      <c r="Q6237" t="str">
        <f>"38.500882"</f>
        <v>38.500882</v>
      </c>
      <c r="R6237" t="str">
        <f>"22.977382"</f>
        <v>22.977382</v>
      </c>
      <c r="S6237" t="s">
        <v>26</v>
      </c>
    </row>
    <row r="6238" spans="1:19" x14ac:dyDescent="0.3">
      <c r="A6238" t="s">
        <v>40240</v>
      </c>
      <c r="B6238" t="s">
        <v>41254</v>
      </c>
      <c r="C6238" t="s">
        <v>41334</v>
      </c>
      <c r="D6238" t="s">
        <v>40241</v>
      </c>
      <c r="E6238" t="s">
        <v>40339</v>
      </c>
      <c r="F6238" t="s">
        <v>40339</v>
      </c>
      <c r="G6238" t="s">
        <v>4043</v>
      </c>
      <c r="H6238" t="s">
        <v>868</v>
      </c>
      <c r="I6238" t="s">
        <v>950</v>
      </c>
      <c r="J6238" t="str">
        <f>"9070099"</f>
        <v>9070099</v>
      </c>
      <c r="K6238">
        <v>2261032273</v>
      </c>
      <c r="L6238">
        <v>2261032273</v>
      </c>
      <c r="M6238" t="s">
        <v>41335</v>
      </c>
      <c r="N6238" t="s">
        <v>4157</v>
      </c>
      <c r="O6238" t="s">
        <v>4157</v>
      </c>
      <c r="P6238">
        <v>32300</v>
      </c>
      <c r="Q6238" t="str">
        <f>"38.515824"</f>
        <v>38.515824</v>
      </c>
      <c r="R6238" t="str">
        <f>"22.950354"</f>
        <v>22.950354</v>
      </c>
      <c r="S6238" t="s">
        <v>26</v>
      </c>
    </row>
    <row r="6239" spans="1:19" x14ac:dyDescent="0.3">
      <c r="A6239" t="s">
        <v>40240</v>
      </c>
      <c r="B6239" t="s">
        <v>41254</v>
      </c>
      <c r="C6239" t="s">
        <v>40315</v>
      </c>
      <c r="D6239" t="s">
        <v>40241</v>
      </c>
      <c r="E6239" t="s">
        <v>40303</v>
      </c>
      <c r="F6239" t="s">
        <v>40303</v>
      </c>
      <c r="G6239" t="s">
        <v>40303</v>
      </c>
      <c r="H6239" t="s">
        <v>868</v>
      </c>
      <c r="I6239" t="s">
        <v>869</v>
      </c>
      <c r="J6239" t="str">
        <f>"9070010"</f>
        <v>9070010</v>
      </c>
      <c r="K6239">
        <v>2262029204</v>
      </c>
      <c r="L6239">
        <v>2262025615</v>
      </c>
      <c r="M6239" t="s">
        <v>41336</v>
      </c>
      <c r="N6239" t="s">
        <v>41280</v>
      </c>
      <c r="O6239" t="s">
        <v>41337</v>
      </c>
      <c r="P6239">
        <v>32200</v>
      </c>
      <c r="Q6239" t="str">
        <f>"38.327213"</f>
        <v>38.327213</v>
      </c>
      <c r="R6239" t="str">
        <f>"23.312589"</f>
        <v>23.312589</v>
      </c>
      <c r="S6239" t="s">
        <v>26</v>
      </c>
    </row>
    <row r="6240" spans="1:19" x14ac:dyDescent="0.3">
      <c r="A6240" t="s">
        <v>40240</v>
      </c>
      <c r="B6240" t="s">
        <v>41254</v>
      </c>
      <c r="C6240" t="s">
        <v>41344</v>
      </c>
      <c r="D6240" t="s">
        <v>40241</v>
      </c>
      <c r="E6240" t="s">
        <v>40289</v>
      </c>
      <c r="F6240" t="s">
        <v>40289</v>
      </c>
      <c r="G6240" t="s">
        <v>41343</v>
      </c>
      <c r="H6240" t="s">
        <v>868</v>
      </c>
      <c r="I6240" t="s">
        <v>869</v>
      </c>
      <c r="J6240" t="str">
        <f>"9070016"</f>
        <v>9070016</v>
      </c>
      <c r="K6240">
        <v>2262071155</v>
      </c>
      <c r="L6240">
        <v>2262071155</v>
      </c>
      <c r="M6240" t="s">
        <v>41345</v>
      </c>
      <c r="O6240" t="s">
        <v>41346</v>
      </c>
      <c r="P6240">
        <v>32200</v>
      </c>
      <c r="Q6240" t="str">
        <f>"38.350834"</f>
        <v>38.350834</v>
      </c>
      <c r="R6240" t="str">
        <f>"23.485974"</f>
        <v>23.485974</v>
      </c>
      <c r="S6240" t="s">
        <v>26</v>
      </c>
    </row>
    <row r="6241" spans="1:19" x14ac:dyDescent="0.3">
      <c r="A6241" t="s">
        <v>40240</v>
      </c>
      <c r="B6241" t="s">
        <v>41254</v>
      </c>
      <c r="C6241" t="s">
        <v>40378</v>
      </c>
      <c r="D6241" t="s">
        <v>40241</v>
      </c>
      <c r="E6241" t="s">
        <v>40242</v>
      </c>
      <c r="F6241" t="s">
        <v>40242</v>
      </c>
      <c r="G6241" t="s">
        <v>40242</v>
      </c>
      <c r="H6241" t="s">
        <v>868</v>
      </c>
      <c r="I6241" t="s">
        <v>869</v>
      </c>
      <c r="J6241" t="str">
        <f>"9070289"</f>
        <v>9070289</v>
      </c>
      <c r="K6241">
        <v>2261021940</v>
      </c>
      <c r="L6241">
        <v>2261021940</v>
      </c>
      <c r="M6241" t="s">
        <v>41352</v>
      </c>
      <c r="N6241" t="s">
        <v>40281</v>
      </c>
      <c r="O6241" t="s">
        <v>41353</v>
      </c>
      <c r="P6241">
        <v>32131</v>
      </c>
      <c r="Q6241" t="str">
        <f>"38.443422"</f>
        <v>38.443422</v>
      </c>
      <c r="R6241" t="str">
        <f>"22.873986"</f>
        <v>22.873986</v>
      </c>
      <c r="S6241" t="s">
        <v>26</v>
      </c>
    </row>
    <row r="6242" spans="1:19" x14ac:dyDescent="0.3">
      <c r="A6242" t="s">
        <v>40240</v>
      </c>
      <c r="B6242" t="s">
        <v>41254</v>
      </c>
      <c r="C6242" t="s">
        <v>41360</v>
      </c>
      <c r="D6242" t="s">
        <v>40241</v>
      </c>
      <c r="E6242" t="s">
        <v>40242</v>
      </c>
      <c r="F6242" t="s">
        <v>40242</v>
      </c>
      <c r="G6242" t="s">
        <v>40242</v>
      </c>
      <c r="H6242" t="s">
        <v>868</v>
      </c>
      <c r="I6242" t="s">
        <v>869</v>
      </c>
      <c r="J6242" t="str">
        <f>"9070286"</f>
        <v>9070286</v>
      </c>
      <c r="K6242">
        <v>2261023798</v>
      </c>
      <c r="L6242">
        <v>2261023798</v>
      </c>
      <c r="M6242" t="s">
        <v>41361</v>
      </c>
      <c r="N6242" t="s">
        <v>40281</v>
      </c>
      <c r="O6242" t="s">
        <v>41362</v>
      </c>
      <c r="P6242">
        <v>32131</v>
      </c>
      <c r="Q6242" t="str">
        <f>"38.435546"</f>
        <v>38.435546</v>
      </c>
      <c r="R6242" t="str">
        <f>"22.884893"</f>
        <v>22.884893</v>
      </c>
      <c r="S6242" t="s">
        <v>26</v>
      </c>
    </row>
    <row r="6243" spans="1:19" x14ac:dyDescent="0.3">
      <c r="A6243" t="s">
        <v>40240</v>
      </c>
      <c r="B6243" t="s">
        <v>41254</v>
      </c>
      <c r="C6243" t="s">
        <v>41364</v>
      </c>
      <c r="D6243" t="s">
        <v>40241</v>
      </c>
      <c r="E6243" t="s">
        <v>40303</v>
      </c>
      <c r="F6243" t="s">
        <v>40303</v>
      </c>
      <c r="G6243" t="s">
        <v>41363</v>
      </c>
      <c r="H6243" t="s">
        <v>868</v>
      </c>
      <c r="I6243" t="s">
        <v>950</v>
      </c>
      <c r="J6243" t="str">
        <f>"9070024"</f>
        <v>9070024</v>
      </c>
      <c r="K6243">
        <v>2262071177</v>
      </c>
      <c r="L6243">
        <v>2262071177</v>
      </c>
      <c r="M6243" t="s">
        <v>41365</v>
      </c>
      <c r="N6243" t="s">
        <v>41366</v>
      </c>
      <c r="O6243" t="s">
        <v>41366</v>
      </c>
      <c r="P6243">
        <v>32200</v>
      </c>
      <c r="Q6243" t="str">
        <f>"38.363151"</f>
        <v>38.363151</v>
      </c>
      <c r="R6243" t="str">
        <f>"23.440699"</f>
        <v>23.440699</v>
      </c>
      <c r="S6243" t="s">
        <v>26</v>
      </c>
    </row>
    <row r="6244" spans="1:19" x14ac:dyDescent="0.3">
      <c r="A6244" t="s">
        <v>40240</v>
      </c>
      <c r="B6244" t="s">
        <v>41254</v>
      </c>
      <c r="C6244" t="s">
        <v>40366</v>
      </c>
      <c r="D6244" t="s">
        <v>40241</v>
      </c>
      <c r="E6244" t="s">
        <v>40354</v>
      </c>
      <c r="F6244" t="s">
        <v>40361</v>
      </c>
      <c r="G6244" t="s">
        <v>40361</v>
      </c>
      <c r="H6244" t="s">
        <v>868</v>
      </c>
      <c r="I6244" t="s">
        <v>869</v>
      </c>
      <c r="J6244" t="str">
        <f>"9070067"</f>
        <v>9070067</v>
      </c>
      <c r="K6244">
        <v>2267031315</v>
      </c>
      <c r="L6244">
        <v>2267031315</v>
      </c>
      <c r="M6244" t="s">
        <v>41367</v>
      </c>
      <c r="O6244" t="s">
        <v>41368</v>
      </c>
      <c r="P6244">
        <v>32004</v>
      </c>
      <c r="Q6244" t="str">
        <f>"38.480000"</f>
        <v>38.480000</v>
      </c>
      <c r="R6244" t="str">
        <f>"22.584367"</f>
        <v>22.584367</v>
      </c>
      <c r="S6244" t="s">
        <v>26</v>
      </c>
    </row>
    <row r="6245" spans="1:19" x14ac:dyDescent="0.3">
      <c r="A6245" t="s">
        <v>40240</v>
      </c>
      <c r="B6245" t="s">
        <v>41254</v>
      </c>
      <c r="C6245" t="s">
        <v>41377</v>
      </c>
      <c r="D6245" t="s">
        <v>40241</v>
      </c>
      <c r="E6245" t="s">
        <v>40339</v>
      </c>
      <c r="F6245" t="s">
        <v>40339</v>
      </c>
      <c r="G6245" t="s">
        <v>40339</v>
      </c>
      <c r="H6245" t="s">
        <v>868</v>
      </c>
      <c r="I6245" t="s">
        <v>869</v>
      </c>
      <c r="J6245" t="str">
        <f>"9070081"</f>
        <v>9070081</v>
      </c>
      <c r="K6245">
        <v>2261032461</v>
      </c>
      <c r="L6245">
        <v>2261032554</v>
      </c>
      <c r="M6245" t="s">
        <v>41378</v>
      </c>
      <c r="N6245" t="s">
        <v>41325</v>
      </c>
      <c r="O6245" t="s">
        <v>16820</v>
      </c>
      <c r="P6245">
        <v>32300</v>
      </c>
      <c r="Q6245" t="str">
        <f>"38.492640"</f>
        <v>38.492640</v>
      </c>
      <c r="R6245" t="str">
        <f>"22.979291"</f>
        <v>22.979291</v>
      </c>
      <c r="S6245" t="s">
        <v>26</v>
      </c>
    </row>
    <row r="6246" spans="1:19" x14ac:dyDescent="0.3">
      <c r="A6246" t="s">
        <v>40240</v>
      </c>
      <c r="B6246" t="s">
        <v>41254</v>
      </c>
      <c r="C6246" t="s">
        <v>40288</v>
      </c>
      <c r="D6246" t="s">
        <v>40241</v>
      </c>
      <c r="E6246" t="s">
        <v>40242</v>
      </c>
      <c r="F6246" t="s">
        <v>40283</v>
      </c>
      <c r="G6246" t="s">
        <v>40283</v>
      </c>
      <c r="H6246" t="s">
        <v>868</v>
      </c>
      <c r="I6246" t="s">
        <v>869</v>
      </c>
      <c r="J6246" t="str">
        <f>"9070098"</f>
        <v>9070098</v>
      </c>
      <c r="K6246">
        <v>2261052340</v>
      </c>
      <c r="L6246">
        <v>2261052340</v>
      </c>
      <c r="M6246" t="s">
        <v>41379</v>
      </c>
      <c r="N6246" t="s">
        <v>40287</v>
      </c>
      <c r="O6246" t="s">
        <v>40287</v>
      </c>
      <c r="P6246">
        <v>32008</v>
      </c>
      <c r="Q6246" t="str">
        <f>"38.514985"</f>
        <v>38.514985</v>
      </c>
      <c r="R6246" t="str">
        <f>"22.733232"</f>
        <v>22.733232</v>
      </c>
      <c r="S6246" t="s">
        <v>26</v>
      </c>
    </row>
    <row r="6247" spans="1:19" x14ac:dyDescent="0.3">
      <c r="A6247" t="s">
        <v>40240</v>
      </c>
      <c r="B6247" t="s">
        <v>41254</v>
      </c>
      <c r="C6247" t="s">
        <v>41394</v>
      </c>
      <c r="D6247" t="s">
        <v>40241</v>
      </c>
      <c r="E6247" t="s">
        <v>40303</v>
      </c>
      <c r="F6247" t="s">
        <v>40425</v>
      </c>
      <c r="G6247" t="s">
        <v>41393</v>
      </c>
      <c r="H6247" t="s">
        <v>868</v>
      </c>
      <c r="I6247" t="s">
        <v>869</v>
      </c>
      <c r="J6247" t="str">
        <f>"9070040"</f>
        <v>9070040</v>
      </c>
      <c r="K6247">
        <v>2262091233</v>
      </c>
      <c r="L6247">
        <v>2262091233</v>
      </c>
      <c r="M6247" t="s">
        <v>41395</v>
      </c>
      <c r="O6247" t="s">
        <v>41396</v>
      </c>
      <c r="P6247">
        <v>32200</v>
      </c>
      <c r="Q6247" t="str">
        <f>"38.253750"</f>
        <v>38.253750</v>
      </c>
      <c r="R6247" t="str">
        <f>"23.183785"</f>
        <v>23.183785</v>
      </c>
      <c r="S6247" t="s">
        <v>26</v>
      </c>
    </row>
    <row r="6248" spans="1:19" x14ac:dyDescent="0.3">
      <c r="A6248" t="s">
        <v>40240</v>
      </c>
      <c r="B6248" t="s">
        <v>41254</v>
      </c>
      <c r="C6248" t="s">
        <v>40308</v>
      </c>
      <c r="D6248" t="s">
        <v>40241</v>
      </c>
      <c r="E6248" t="s">
        <v>40303</v>
      </c>
      <c r="F6248" t="s">
        <v>40303</v>
      </c>
      <c r="G6248" t="s">
        <v>40303</v>
      </c>
      <c r="H6248" t="s">
        <v>868</v>
      </c>
      <c r="I6248" t="s">
        <v>869</v>
      </c>
      <c r="J6248" t="str">
        <f>"9070003"</f>
        <v>9070003</v>
      </c>
      <c r="K6248">
        <v>2262029017</v>
      </c>
      <c r="L6248">
        <v>2262029017</v>
      </c>
      <c r="M6248" t="s">
        <v>41397</v>
      </c>
      <c r="N6248" t="s">
        <v>40306</v>
      </c>
      <c r="O6248" t="s">
        <v>41398</v>
      </c>
      <c r="P6248">
        <v>32200</v>
      </c>
      <c r="Q6248" t="str">
        <f>"38.318525"</f>
        <v>38.318525</v>
      </c>
      <c r="R6248" t="str">
        <f>"23.318358"</f>
        <v>23.318358</v>
      </c>
      <c r="S6248" t="s">
        <v>26</v>
      </c>
    </row>
    <row r="6249" spans="1:19" x14ac:dyDescent="0.3">
      <c r="A6249" t="s">
        <v>40240</v>
      </c>
      <c r="B6249" t="s">
        <v>41254</v>
      </c>
      <c r="C6249" t="s">
        <v>40481</v>
      </c>
      <c r="D6249" t="s">
        <v>40241</v>
      </c>
      <c r="E6249" t="s">
        <v>40242</v>
      </c>
      <c r="F6249" t="s">
        <v>40477</v>
      </c>
      <c r="G6249" t="s">
        <v>40477</v>
      </c>
      <c r="H6249" t="s">
        <v>868</v>
      </c>
      <c r="I6249" t="s">
        <v>869</v>
      </c>
      <c r="J6249" t="str">
        <f>"9070107"</f>
        <v>9070107</v>
      </c>
      <c r="K6249">
        <v>2267051443</v>
      </c>
      <c r="M6249" t="s">
        <v>41399</v>
      </c>
      <c r="O6249" t="s">
        <v>41400</v>
      </c>
      <c r="P6249">
        <v>32006</v>
      </c>
      <c r="Q6249" t="str">
        <f>"38.354152"</f>
        <v>38.354152</v>
      </c>
      <c r="R6249" t="str">
        <f>"22.786999"</f>
        <v>22.786999</v>
      </c>
      <c r="S6249" t="s">
        <v>26</v>
      </c>
    </row>
    <row r="6250" spans="1:19" x14ac:dyDescent="0.3">
      <c r="A6250" t="s">
        <v>40240</v>
      </c>
      <c r="B6250" t="s">
        <v>41254</v>
      </c>
      <c r="C6250" t="s">
        <v>40499</v>
      </c>
      <c r="D6250" t="s">
        <v>40241</v>
      </c>
      <c r="E6250" t="s">
        <v>40242</v>
      </c>
      <c r="F6250" t="s">
        <v>40494</v>
      </c>
      <c r="G6250" t="s">
        <v>40494</v>
      </c>
      <c r="H6250" t="s">
        <v>868</v>
      </c>
      <c r="I6250" t="s">
        <v>950</v>
      </c>
      <c r="J6250" t="str">
        <f>"9070123"</f>
        <v>9070123</v>
      </c>
      <c r="K6250">
        <v>2261095400</v>
      </c>
      <c r="L6250">
        <v>2261095400</v>
      </c>
      <c r="M6250" t="s">
        <v>41401</v>
      </c>
      <c r="N6250" t="s">
        <v>41402</v>
      </c>
      <c r="O6250" t="s">
        <v>41402</v>
      </c>
      <c r="P6250">
        <v>32100</v>
      </c>
      <c r="Q6250" t="str">
        <f>"38.496885"</f>
        <v>38.496885</v>
      </c>
      <c r="R6250" t="str">
        <f>"22.844490"</f>
        <v>22.844490</v>
      </c>
      <c r="S6250" t="s">
        <v>26</v>
      </c>
    </row>
    <row r="6251" spans="1:19" x14ac:dyDescent="0.3">
      <c r="A6251" t="s">
        <v>40240</v>
      </c>
      <c r="B6251" t="s">
        <v>41254</v>
      </c>
      <c r="C6251" t="s">
        <v>41404</v>
      </c>
      <c r="D6251" t="s">
        <v>40241</v>
      </c>
      <c r="E6251" t="s">
        <v>40332</v>
      </c>
      <c r="F6251" t="s">
        <v>40333</v>
      </c>
      <c r="G6251" t="s">
        <v>41403</v>
      </c>
      <c r="H6251" t="s">
        <v>868</v>
      </c>
      <c r="I6251" t="s">
        <v>950</v>
      </c>
      <c r="J6251" t="str">
        <f>"9070121"</f>
        <v>9070121</v>
      </c>
      <c r="K6251">
        <v>2268051378</v>
      </c>
      <c r="M6251" t="s">
        <v>41405</v>
      </c>
      <c r="N6251" t="s">
        <v>41406</v>
      </c>
      <c r="O6251" t="s">
        <v>41407</v>
      </c>
      <c r="P6251">
        <v>32100</v>
      </c>
      <c r="Q6251" t="str">
        <f>"38.385882"</f>
        <v>38.385882</v>
      </c>
      <c r="R6251" t="str">
        <f>"22.993994"</f>
        <v>22.993994</v>
      </c>
      <c r="S6251" t="s">
        <v>26</v>
      </c>
    </row>
    <row r="6252" spans="1:19" x14ac:dyDescent="0.3">
      <c r="A6252" t="s">
        <v>40240</v>
      </c>
      <c r="B6252" t="s">
        <v>41254</v>
      </c>
      <c r="C6252" t="s">
        <v>41408</v>
      </c>
      <c r="D6252" t="s">
        <v>40241</v>
      </c>
      <c r="E6252" t="s">
        <v>40242</v>
      </c>
      <c r="F6252" t="s">
        <v>25808</v>
      </c>
      <c r="G6252" t="s">
        <v>17334</v>
      </c>
      <c r="H6252" t="s">
        <v>868</v>
      </c>
      <c r="I6252" t="s">
        <v>950</v>
      </c>
      <c r="J6252" t="str">
        <f>"9070083"</f>
        <v>9070083</v>
      </c>
      <c r="K6252">
        <v>2261094207</v>
      </c>
      <c r="M6252" t="s">
        <v>41409</v>
      </c>
      <c r="N6252" t="s">
        <v>41410</v>
      </c>
      <c r="O6252" t="s">
        <v>8902</v>
      </c>
      <c r="P6252">
        <v>32100</v>
      </c>
      <c r="Q6252" t="str">
        <f>"38.354740"</f>
        <v>38.354740</v>
      </c>
      <c r="R6252" t="str">
        <f>"22.914538"</f>
        <v>22.914538</v>
      </c>
      <c r="S6252" t="s">
        <v>26</v>
      </c>
    </row>
    <row r="6253" spans="1:19" x14ac:dyDescent="0.3">
      <c r="A6253" t="s">
        <v>40240</v>
      </c>
      <c r="B6253" t="s">
        <v>41254</v>
      </c>
      <c r="C6253" t="s">
        <v>40469</v>
      </c>
      <c r="D6253" t="s">
        <v>40241</v>
      </c>
      <c r="E6253" t="s">
        <v>40354</v>
      </c>
      <c r="F6253" t="s">
        <v>40464</v>
      </c>
      <c r="G6253" t="s">
        <v>40464</v>
      </c>
      <c r="H6253" t="s">
        <v>868</v>
      </c>
      <c r="I6253" t="s">
        <v>869</v>
      </c>
      <c r="J6253" t="str">
        <f>"9070097"</f>
        <v>9070097</v>
      </c>
      <c r="K6253">
        <v>2267041289</v>
      </c>
      <c r="L6253">
        <v>2267041289</v>
      </c>
      <c r="M6253" t="s">
        <v>41411</v>
      </c>
      <c r="N6253" t="s">
        <v>40468</v>
      </c>
      <c r="O6253" t="s">
        <v>40468</v>
      </c>
      <c r="P6253">
        <v>32012</v>
      </c>
      <c r="Q6253" t="str">
        <f>"38.376165"</f>
        <v>38.376165</v>
      </c>
      <c r="R6253" t="str">
        <f>"22.628462"</f>
        <v>22.628462</v>
      </c>
      <c r="S6253" t="s">
        <v>26</v>
      </c>
    </row>
    <row r="6254" spans="1:19" x14ac:dyDescent="0.3">
      <c r="A6254" t="s">
        <v>40240</v>
      </c>
      <c r="B6254" t="s">
        <v>41254</v>
      </c>
      <c r="C6254" t="s">
        <v>40383</v>
      </c>
      <c r="D6254" t="s">
        <v>40241</v>
      </c>
      <c r="E6254" t="s">
        <v>40354</v>
      </c>
      <c r="F6254" t="s">
        <v>40355</v>
      </c>
      <c r="G6254" t="s">
        <v>40355</v>
      </c>
      <c r="H6254" t="s">
        <v>868</v>
      </c>
      <c r="I6254" t="s">
        <v>869</v>
      </c>
      <c r="J6254" t="str">
        <f>"9070070"</f>
        <v>9070070</v>
      </c>
      <c r="K6254">
        <v>2267022207</v>
      </c>
      <c r="L6254">
        <v>2267022207</v>
      </c>
      <c r="M6254" t="s">
        <v>41412</v>
      </c>
      <c r="N6254" t="s">
        <v>41413</v>
      </c>
      <c r="O6254" t="s">
        <v>41413</v>
      </c>
      <c r="P6254">
        <v>32005</v>
      </c>
      <c r="Q6254" t="str">
        <f>"38.429814"</f>
        <v>38.429814</v>
      </c>
      <c r="R6254" t="str">
        <f>"22.666810"</f>
        <v>22.666810</v>
      </c>
      <c r="S6254" t="s">
        <v>26</v>
      </c>
    </row>
    <row r="6255" spans="1:19" x14ac:dyDescent="0.3">
      <c r="A6255" t="s">
        <v>40240</v>
      </c>
      <c r="B6255" t="s">
        <v>41254</v>
      </c>
      <c r="C6255" t="s">
        <v>40360</v>
      </c>
      <c r="D6255" t="s">
        <v>40241</v>
      </c>
      <c r="E6255" t="s">
        <v>40354</v>
      </c>
      <c r="F6255" t="s">
        <v>40355</v>
      </c>
      <c r="G6255" t="s">
        <v>40355</v>
      </c>
      <c r="H6255" t="s">
        <v>868</v>
      </c>
      <c r="I6255" t="s">
        <v>869</v>
      </c>
      <c r="J6255" t="str">
        <f>"9070068"</f>
        <v>9070068</v>
      </c>
      <c r="K6255">
        <v>2267041306</v>
      </c>
      <c r="L6255">
        <v>2267041306</v>
      </c>
      <c r="M6255" t="s">
        <v>41417</v>
      </c>
      <c r="N6255" t="s">
        <v>41418</v>
      </c>
      <c r="O6255" t="s">
        <v>41419</v>
      </c>
      <c r="P6255">
        <v>32003</v>
      </c>
      <c r="Q6255" t="str">
        <f>"38.387280"</f>
        <v>38.387280</v>
      </c>
      <c r="R6255" t="str">
        <f>"22.649440"</f>
        <v>22.649440</v>
      </c>
      <c r="S6255" t="s">
        <v>26</v>
      </c>
    </row>
    <row r="6256" spans="1:19" x14ac:dyDescent="0.3">
      <c r="A6256" t="s">
        <v>40240</v>
      </c>
      <c r="B6256" t="s">
        <v>41254</v>
      </c>
      <c r="C6256" t="s">
        <v>41446</v>
      </c>
      <c r="D6256" t="s">
        <v>40241</v>
      </c>
      <c r="E6256" t="s">
        <v>40242</v>
      </c>
      <c r="F6256" t="s">
        <v>40242</v>
      </c>
      <c r="G6256" t="s">
        <v>40242</v>
      </c>
      <c r="H6256" t="s">
        <v>868</v>
      </c>
      <c r="I6256" t="s">
        <v>1157</v>
      </c>
      <c r="J6256" t="str">
        <f>"9070285"</f>
        <v>9070285</v>
      </c>
      <c r="K6256">
        <v>2261027003</v>
      </c>
      <c r="L6256">
        <v>2261027003</v>
      </c>
      <c r="M6256" t="s">
        <v>41447</v>
      </c>
      <c r="N6256" t="s">
        <v>40281</v>
      </c>
      <c r="O6256" t="s">
        <v>41448</v>
      </c>
      <c r="P6256">
        <v>32100</v>
      </c>
      <c r="Q6256" t="str">
        <f>"38.437889"</f>
        <v>38.437889</v>
      </c>
      <c r="R6256" t="str">
        <f>"22.880153"</f>
        <v>22.880153</v>
      </c>
      <c r="S6256" t="s">
        <v>26</v>
      </c>
    </row>
    <row r="6257" spans="1:19" x14ac:dyDescent="0.3">
      <c r="A6257" t="s">
        <v>40240</v>
      </c>
      <c r="B6257" t="s">
        <v>41254</v>
      </c>
      <c r="C6257" t="s">
        <v>40450</v>
      </c>
      <c r="D6257" t="s">
        <v>40241</v>
      </c>
      <c r="E6257" t="s">
        <v>40242</v>
      </c>
      <c r="F6257" t="s">
        <v>40242</v>
      </c>
      <c r="G6257" t="s">
        <v>40242</v>
      </c>
      <c r="H6257" t="s">
        <v>868</v>
      </c>
      <c r="I6257" t="s">
        <v>869</v>
      </c>
      <c r="J6257" t="str">
        <f>"9070073"</f>
        <v>9070073</v>
      </c>
      <c r="K6257">
        <v>2261029285</v>
      </c>
      <c r="M6257" t="s">
        <v>41452</v>
      </c>
      <c r="N6257" t="s">
        <v>40281</v>
      </c>
      <c r="O6257" t="s">
        <v>41448</v>
      </c>
      <c r="P6257">
        <v>32131</v>
      </c>
      <c r="Q6257" t="str">
        <f>"38.437934"</f>
        <v>38.437934</v>
      </c>
      <c r="R6257" t="str">
        <f>"22.880093"</f>
        <v>22.880093</v>
      </c>
      <c r="S6257" t="s">
        <v>26</v>
      </c>
    </row>
    <row r="6258" spans="1:19" x14ac:dyDescent="0.3">
      <c r="A6258" t="s">
        <v>40240</v>
      </c>
      <c r="B6258" t="s">
        <v>41254</v>
      </c>
      <c r="C6258" t="s">
        <v>41453</v>
      </c>
      <c r="D6258" t="s">
        <v>40241</v>
      </c>
      <c r="E6258" t="s">
        <v>40242</v>
      </c>
      <c r="F6258" t="s">
        <v>40242</v>
      </c>
      <c r="G6258" t="s">
        <v>40242</v>
      </c>
      <c r="H6258" t="s">
        <v>868</v>
      </c>
      <c r="I6258" t="s">
        <v>869</v>
      </c>
      <c r="J6258" t="str">
        <f>"9070074"</f>
        <v>9070074</v>
      </c>
      <c r="K6258">
        <v>2261029410</v>
      </c>
      <c r="L6258">
        <v>2261029410</v>
      </c>
      <c r="M6258" t="s">
        <v>41454</v>
      </c>
      <c r="N6258" t="s">
        <v>40281</v>
      </c>
      <c r="O6258" t="s">
        <v>41455</v>
      </c>
      <c r="P6258">
        <v>32131</v>
      </c>
      <c r="Q6258" t="str">
        <f>"38.434580"</f>
        <v>38.434580</v>
      </c>
      <c r="R6258" t="str">
        <f>"22.875659"</f>
        <v>22.875659</v>
      </c>
      <c r="S6258" t="s">
        <v>26</v>
      </c>
    </row>
    <row r="6259" spans="1:19" x14ac:dyDescent="0.3">
      <c r="A6259" t="s">
        <v>40240</v>
      </c>
      <c r="B6259" t="s">
        <v>41254</v>
      </c>
      <c r="C6259" t="s">
        <v>40410</v>
      </c>
      <c r="D6259" t="s">
        <v>40241</v>
      </c>
      <c r="E6259" t="s">
        <v>40242</v>
      </c>
      <c r="F6259" t="s">
        <v>40242</v>
      </c>
      <c r="G6259" t="s">
        <v>40242</v>
      </c>
      <c r="H6259" t="s">
        <v>868</v>
      </c>
      <c r="I6259" t="s">
        <v>869</v>
      </c>
      <c r="J6259" t="str">
        <f>"9070263"</f>
        <v>9070263</v>
      </c>
      <c r="K6259">
        <v>2261024273</v>
      </c>
      <c r="L6259">
        <v>2261024273</v>
      </c>
      <c r="M6259" t="s">
        <v>41458</v>
      </c>
      <c r="N6259" t="s">
        <v>40281</v>
      </c>
      <c r="O6259" t="s">
        <v>41459</v>
      </c>
      <c r="P6259">
        <v>32100</v>
      </c>
      <c r="Q6259" t="str">
        <f>"38.441865"</f>
        <v>38.441865</v>
      </c>
      <c r="R6259" t="str">
        <f>"22.888938"</f>
        <v>22.888938</v>
      </c>
      <c r="S6259" t="s">
        <v>26</v>
      </c>
    </row>
    <row r="6260" spans="1:19" x14ac:dyDescent="0.3">
      <c r="A6260" t="s">
        <v>40240</v>
      </c>
      <c r="B6260" t="s">
        <v>41254</v>
      </c>
      <c r="C6260" t="s">
        <v>40282</v>
      </c>
      <c r="D6260" t="s">
        <v>40241</v>
      </c>
      <c r="E6260" t="s">
        <v>40242</v>
      </c>
      <c r="F6260" t="s">
        <v>40242</v>
      </c>
      <c r="G6260" t="s">
        <v>40242</v>
      </c>
      <c r="H6260" t="s">
        <v>868</v>
      </c>
      <c r="I6260" t="s">
        <v>869</v>
      </c>
      <c r="J6260" t="str">
        <f>"9070266"</f>
        <v>9070266</v>
      </c>
      <c r="K6260">
        <v>2261028959</v>
      </c>
      <c r="L6260">
        <v>2261088061</v>
      </c>
      <c r="M6260" t="s">
        <v>41462</v>
      </c>
      <c r="N6260" t="s">
        <v>40281</v>
      </c>
      <c r="O6260" t="s">
        <v>41463</v>
      </c>
      <c r="P6260">
        <v>32131</v>
      </c>
      <c r="Q6260" t="str">
        <f>"38.439701"</f>
        <v>38.439701</v>
      </c>
      <c r="R6260" t="str">
        <f>"22.865480"</f>
        <v>22.865480</v>
      </c>
      <c r="S6260" t="s">
        <v>26</v>
      </c>
    </row>
    <row r="6261" spans="1:19" x14ac:dyDescent="0.3">
      <c r="A6261" t="s">
        <v>40240</v>
      </c>
      <c r="B6261" t="s">
        <v>41254</v>
      </c>
      <c r="C6261" t="s">
        <v>40338</v>
      </c>
      <c r="D6261" t="s">
        <v>40241</v>
      </c>
      <c r="E6261" t="s">
        <v>40332</v>
      </c>
      <c r="F6261" t="s">
        <v>40333</v>
      </c>
      <c r="G6261" t="s">
        <v>40333</v>
      </c>
      <c r="H6261" t="s">
        <v>868</v>
      </c>
      <c r="I6261" t="s">
        <v>869</v>
      </c>
      <c r="J6261" t="str">
        <f>"9070092"</f>
        <v>9070092</v>
      </c>
      <c r="K6261">
        <v>2268022275</v>
      </c>
      <c r="L6261">
        <v>2268022275</v>
      </c>
      <c r="M6261" t="s">
        <v>41470</v>
      </c>
      <c r="N6261" t="s">
        <v>40336</v>
      </c>
      <c r="O6261" t="s">
        <v>40336</v>
      </c>
      <c r="P6261">
        <v>32001</v>
      </c>
      <c r="Q6261" t="str">
        <f>"38.374142"</f>
        <v>38.374142</v>
      </c>
      <c r="R6261" t="str">
        <f>"23.106001"</f>
        <v>23.106001</v>
      </c>
      <c r="S6261" t="s">
        <v>26</v>
      </c>
    </row>
    <row r="6262" spans="1:19" x14ac:dyDescent="0.3">
      <c r="A6262" t="s">
        <v>40240</v>
      </c>
      <c r="B6262" t="s">
        <v>41254</v>
      </c>
      <c r="C6262" t="s">
        <v>41471</v>
      </c>
      <c r="D6262" t="s">
        <v>40241</v>
      </c>
      <c r="E6262" t="s">
        <v>40332</v>
      </c>
      <c r="F6262" t="s">
        <v>40348</v>
      </c>
      <c r="G6262" t="s">
        <v>40349</v>
      </c>
      <c r="H6262" t="s">
        <v>868</v>
      </c>
      <c r="I6262" t="s">
        <v>869</v>
      </c>
      <c r="J6262" t="str">
        <f>"9070027"</f>
        <v>9070027</v>
      </c>
      <c r="K6262">
        <v>2262065296</v>
      </c>
      <c r="L6262">
        <v>2262065296</v>
      </c>
      <c r="M6262" t="s">
        <v>41472</v>
      </c>
      <c r="N6262" t="s">
        <v>40352</v>
      </c>
      <c r="O6262" t="s">
        <v>40352</v>
      </c>
      <c r="P6262">
        <v>32001</v>
      </c>
      <c r="Q6262" t="str">
        <f>"38.325641"</f>
        <v>38.325641</v>
      </c>
      <c r="R6262" t="str">
        <f>"23.140113"</f>
        <v>23.140113</v>
      </c>
      <c r="S6262" t="s">
        <v>26</v>
      </c>
    </row>
    <row r="6263" spans="1:19" x14ac:dyDescent="0.3">
      <c r="A6263" t="s">
        <v>40240</v>
      </c>
      <c r="B6263" t="s">
        <v>41254</v>
      </c>
      <c r="C6263" t="s">
        <v>41475</v>
      </c>
      <c r="D6263" t="s">
        <v>40241</v>
      </c>
      <c r="E6263" t="s">
        <v>40289</v>
      </c>
      <c r="F6263" t="s">
        <v>40297</v>
      </c>
      <c r="G6263" t="s">
        <v>40297</v>
      </c>
      <c r="H6263" t="s">
        <v>868</v>
      </c>
      <c r="I6263" t="s">
        <v>869</v>
      </c>
      <c r="J6263" t="str">
        <f>"9520909"</f>
        <v>9520909</v>
      </c>
      <c r="K6263">
        <v>2262034504</v>
      </c>
      <c r="L6263">
        <v>2262034504</v>
      </c>
      <c r="M6263" t="s">
        <v>41476</v>
      </c>
      <c r="N6263" t="s">
        <v>41477</v>
      </c>
      <c r="O6263" t="s">
        <v>41478</v>
      </c>
      <c r="P6263">
        <v>32009</v>
      </c>
      <c r="Q6263" t="str">
        <f>"38.338869"</f>
        <v>38.338869</v>
      </c>
      <c r="R6263" t="str">
        <f>"23.649763"</f>
        <v>23.649763</v>
      </c>
      <c r="S6263" t="s">
        <v>26</v>
      </c>
    </row>
    <row r="6264" spans="1:19" x14ac:dyDescent="0.3">
      <c r="A6264" t="s">
        <v>40240</v>
      </c>
      <c r="B6264" t="s">
        <v>41254</v>
      </c>
      <c r="C6264" t="s">
        <v>40322</v>
      </c>
      <c r="D6264" t="s">
        <v>40241</v>
      </c>
      <c r="E6264" t="s">
        <v>40303</v>
      </c>
      <c r="F6264" t="s">
        <v>40303</v>
      </c>
      <c r="G6264" t="s">
        <v>40303</v>
      </c>
      <c r="H6264" t="s">
        <v>868</v>
      </c>
      <c r="I6264" t="s">
        <v>869</v>
      </c>
      <c r="J6264" t="str">
        <f>"9070009"</f>
        <v>9070009</v>
      </c>
      <c r="K6264">
        <v>2262027013</v>
      </c>
      <c r="L6264">
        <v>2262089227</v>
      </c>
      <c r="M6264" t="s">
        <v>41482</v>
      </c>
      <c r="N6264" t="s">
        <v>40306</v>
      </c>
      <c r="O6264" t="s">
        <v>12109</v>
      </c>
      <c r="P6264">
        <v>32200</v>
      </c>
      <c r="Q6264" t="str">
        <f>"38.324093"</f>
        <v>38.324093</v>
      </c>
      <c r="R6264" t="str">
        <f>"23.327759"</f>
        <v>23.327759</v>
      </c>
      <c r="S6264" t="s">
        <v>26</v>
      </c>
    </row>
    <row r="6265" spans="1:19" x14ac:dyDescent="0.3">
      <c r="A6265" t="s">
        <v>40240</v>
      </c>
      <c r="B6265" t="s">
        <v>41254</v>
      </c>
      <c r="C6265" t="s">
        <v>41483</v>
      </c>
      <c r="D6265" t="s">
        <v>40241</v>
      </c>
      <c r="E6265" t="s">
        <v>40289</v>
      </c>
      <c r="F6265" t="s">
        <v>40289</v>
      </c>
      <c r="G6265" t="s">
        <v>40289</v>
      </c>
      <c r="H6265" t="s">
        <v>868</v>
      </c>
      <c r="I6265" t="s">
        <v>950</v>
      </c>
      <c r="J6265" t="str">
        <f>"9070061"</f>
        <v>9070061</v>
      </c>
      <c r="K6265">
        <v>2262055362</v>
      </c>
      <c r="L6265">
        <v>2262055362</v>
      </c>
      <c r="M6265" t="s">
        <v>41484</v>
      </c>
      <c r="N6265" t="s">
        <v>41437</v>
      </c>
      <c r="O6265" t="s">
        <v>41437</v>
      </c>
      <c r="P6265">
        <v>32009</v>
      </c>
      <c r="Q6265" t="str">
        <f>"38.327062"</f>
        <v>38.327062</v>
      </c>
      <c r="R6265" t="str">
        <f>"23.540618"</f>
        <v>23.540618</v>
      </c>
      <c r="S6265" t="s">
        <v>26</v>
      </c>
    </row>
    <row r="6266" spans="1:19" x14ac:dyDescent="0.3">
      <c r="A6266" t="s">
        <v>40240</v>
      </c>
      <c r="B6266" t="s">
        <v>41254</v>
      </c>
      <c r="C6266" t="s">
        <v>41485</v>
      </c>
      <c r="D6266" t="s">
        <v>40241</v>
      </c>
      <c r="E6266" t="s">
        <v>40289</v>
      </c>
      <c r="F6266" t="s">
        <v>40297</v>
      </c>
      <c r="G6266" t="s">
        <v>40297</v>
      </c>
      <c r="H6266" t="s">
        <v>868</v>
      </c>
      <c r="I6266" t="s">
        <v>950</v>
      </c>
      <c r="J6266" t="str">
        <f>"9070058"</f>
        <v>9070058</v>
      </c>
      <c r="K6266">
        <v>2262058007</v>
      </c>
      <c r="L6266">
        <v>2262058007</v>
      </c>
      <c r="M6266" t="s">
        <v>41486</v>
      </c>
      <c r="N6266" t="s">
        <v>17961</v>
      </c>
      <c r="O6266" t="s">
        <v>41487</v>
      </c>
      <c r="P6266">
        <v>32009</v>
      </c>
      <c r="Q6266" t="str">
        <f>"38.324074"</f>
        <v>38.324074</v>
      </c>
      <c r="R6266" t="str">
        <f>"23.611799"</f>
        <v>23.611799</v>
      </c>
      <c r="S6266" t="s">
        <v>26</v>
      </c>
    </row>
    <row r="6267" spans="1:19" x14ac:dyDescent="0.3">
      <c r="A6267" t="s">
        <v>40240</v>
      </c>
      <c r="B6267" t="s">
        <v>41254</v>
      </c>
      <c r="C6267" t="s">
        <v>40431</v>
      </c>
      <c r="D6267" t="s">
        <v>40241</v>
      </c>
      <c r="E6267" t="s">
        <v>40303</v>
      </c>
      <c r="F6267" t="s">
        <v>40425</v>
      </c>
      <c r="G6267" t="s">
        <v>40426</v>
      </c>
      <c r="H6267" t="s">
        <v>868</v>
      </c>
      <c r="I6267" t="s">
        <v>869</v>
      </c>
      <c r="J6267" t="str">
        <f>"9070031"</f>
        <v>9070031</v>
      </c>
      <c r="K6267">
        <v>2262098277</v>
      </c>
      <c r="L6267">
        <v>2262098277</v>
      </c>
      <c r="M6267" t="s">
        <v>41488</v>
      </c>
      <c r="O6267" t="s">
        <v>40430</v>
      </c>
      <c r="P6267">
        <v>32200</v>
      </c>
      <c r="Q6267" t="str">
        <f>"38.235513"</f>
        <v>38.235513</v>
      </c>
      <c r="R6267" t="str">
        <f>"23.217073"</f>
        <v>23.217073</v>
      </c>
      <c r="S6267" t="s">
        <v>26</v>
      </c>
    </row>
    <row r="6268" spans="1:19" x14ac:dyDescent="0.3">
      <c r="A6268" t="s">
        <v>40240</v>
      </c>
      <c r="B6268" t="s">
        <v>41254</v>
      </c>
      <c r="C6268" t="s">
        <v>40331</v>
      </c>
      <c r="D6268" t="s">
        <v>40241</v>
      </c>
      <c r="E6268" t="s">
        <v>40289</v>
      </c>
      <c r="F6268" t="s">
        <v>40289</v>
      </c>
      <c r="G6268" t="s">
        <v>40327</v>
      </c>
      <c r="H6268" t="s">
        <v>868</v>
      </c>
      <c r="I6268" t="s">
        <v>869</v>
      </c>
      <c r="J6268" t="str">
        <f>"9070017"</f>
        <v>9070017</v>
      </c>
      <c r="K6268">
        <v>2262095383</v>
      </c>
      <c r="L6268">
        <v>2262095383</v>
      </c>
      <c r="M6268" t="s">
        <v>41489</v>
      </c>
      <c r="N6268" t="s">
        <v>41422</v>
      </c>
      <c r="O6268" t="s">
        <v>41422</v>
      </c>
      <c r="P6268">
        <v>32200</v>
      </c>
      <c r="Q6268" t="str">
        <f>"38.299320"</f>
        <v>38.299320</v>
      </c>
      <c r="R6268" t="str">
        <f>"23.499943"</f>
        <v>23.499943</v>
      </c>
      <c r="S6268" t="s">
        <v>26</v>
      </c>
    </row>
    <row r="6269" spans="1:19" x14ac:dyDescent="0.3">
      <c r="A6269" t="s">
        <v>40240</v>
      </c>
      <c r="B6269" t="s">
        <v>41254</v>
      </c>
      <c r="C6269" t="s">
        <v>41491</v>
      </c>
      <c r="D6269" t="s">
        <v>40241</v>
      </c>
      <c r="E6269" t="s">
        <v>40339</v>
      </c>
      <c r="F6269" t="s">
        <v>40384</v>
      </c>
      <c r="G6269" t="s">
        <v>41490</v>
      </c>
      <c r="H6269" t="s">
        <v>868</v>
      </c>
      <c r="I6269" t="s">
        <v>950</v>
      </c>
      <c r="J6269" t="str">
        <f>"9070035"</f>
        <v>9070035</v>
      </c>
      <c r="K6269">
        <v>2268071436</v>
      </c>
      <c r="L6269">
        <v>2268071436</v>
      </c>
      <c r="M6269" t="s">
        <v>41492</v>
      </c>
      <c r="N6269" t="s">
        <v>41493</v>
      </c>
      <c r="O6269" t="s">
        <v>41493</v>
      </c>
      <c r="P6269">
        <v>32200</v>
      </c>
      <c r="Q6269" t="str">
        <f>"38.475691"</f>
        <v>38.475691</v>
      </c>
      <c r="R6269" t="str">
        <f>"23.236567"</f>
        <v>23.236567</v>
      </c>
      <c r="S6269" t="s">
        <v>26</v>
      </c>
    </row>
    <row r="6270" spans="1:19" x14ac:dyDescent="0.3">
      <c r="A6270" t="s">
        <v>40240</v>
      </c>
      <c r="B6270" t="s">
        <v>41254</v>
      </c>
      <c r="C6270" t="s">
        <v>41517</v>
      </c>
      <c r="D6270" t="s">
        <v>40241</v>
      </c>
      <c r="E6270" t="s">
        <v>40303</v>
      </c>
      <c r="F6270" t="s">
        <v>40370</v>
      </c>
      <c r="G6270" t="s">
        <v>40370</v>
      </c>
      <c r="H6270" t="s">
        <v>868</v>
      </c>
      <c r="I6270" t="s">
        <v>869</v>
      </c>
      <c r="J6270" t="str">
        <f>"9070019"</f>
        <v>9070019</v>
      </c>
      <c r="K6270">
        <v>2262061535</v>
      </c>
      <c r="L6270">
        <v>2262061535</v>
      </c>
      <c r="M6270" t="s">
        <v>41518</v>
      </c>
      <c r="O6270" t="s">
        <v>40486</v>
      </c>
      <c r="P6270">
        <v>32002</v>
      </c>
      <c r="Q6270" t="str">
        <f>"38.319771"</f>
        <v>38.319771</v>
      </c>
      <c r="R6270" t="str">
        <f>"23.179385"</f>
        <v>23.179385</v>
      </c>
      <c r="S6270" t="s">
        <v>26</v>
      </c>
    </row>
    <row r="6271" spans="1:19" x14ac:dyDescent="0.3">
      <c r="A6271" t="s">
        <v>40240</v>
      </c>
      <c r="B6271" t="s">
        <v>41254</v>
      </c>
      <c r="C6271" t="s">
        <v>41519</v>
      </c>
      <c r="D6271" t="s">
        <v>40241</v>
      </c>
      <c r="E6271" t="s">
        <v>40332</v>
      </c>
      <c r="F6271" t="s">
        <v>40333</v>
      </c>
      <c r="G6271" t="s">
        <v>40333</v>
      </c>
      <c r="H6271" t="s">
        <v>868</v>
      </c>
      <c r="I6271" t="s">
        <v>869</v>
      </c>
      <c r="J6271" t="str">
        <f>"9070093"</f>
        <v>9070093</v>
      </c>
      <c r="K6271">
        <v>2268022284</v>
      </c>
      <c r="L6271">
        <v>2268022284</v>
      </c>
      <c r="M6271" t="s">
        <v>41520</v>
      </c>
      <c r="N6271" t="s">
        <v>40336</v>
      </c>
      <c r="O6271" t="s">
        <v>40036</v>
      </c>
      <c r="P6271">
        <v>32001</v>
      </c>
      <c r="Q6271" t="str">
        <f>"38.372253"</f>
        <v>38.372253</v>
      </c>
      <c r="R6271" t="str">
        <f>"23.094022"</f>
        <v>23.094022</v>
      </c>
      <c r="S6271" t="s">
        <v>26</v>
      </c>
    </row>
    <row r="6272" spans="1:19" x14ac:dyDescent="0.3">
      <c r="A6272" t="s">
        <v>40240</v>
      </c>
      <c r="B6272" t="s">
        <v>41254</v>
      </c>
      <c r="C6272" t="s">
        <v>40374</v>
      </c>
      <c r="D6272" t="s">
        <v>40241</v>
      </c>
      <c r="E6272" t="s">
        <v>40303</v>
      </c>
      <c r="F6272" t="s">
        <v>40370</v>
      </c>
      <c r="G6272" t="s">
        <v>40370</v>
      </c>
      <c r="H6272" t="s">
        <v>868</v>
      </c>
      <c r="I6272" t="s">
        <v>950</v>
      </c>
      <c r="J6272" t="str">
        <f>"9070293"</f>
        <v>9070293</v>
      </c>
      <c r="K6272">
        <v>2262061658</v>
      </c>
      <c r="L6272">
        <v>2262061658</v>
      </c>
      <c r="M6272" t="s">
        <v>41521</v>
      </c>
      <c r="N6272" t="s">
        <v>40370</v>
      </c>
      <c r="O6272" t="s">
        <v>40486</v>
      </c>
      <c r="P6272">
        <v>32200</v>
      </c>
      <c r="Q6272" t="str">
        <f>"38.314476"</f>
        <v>38.314476</v>
      </c>
      <c r="R6272" t="str">
        <f>"23.173946"</f>
        <v>23.173946</v>
      </c>
      <c r="S6272" t="s">
        <v>26</v>
      </c>
    </row>
    <row r="6273" spans="1:19" x14ac:dyDescent="0.3">
      <c r="A6273" t="s">
        <v>40240</v>
      </c>
      <c r="B6273" t="s">
        <v>41254</v>
      </c>
      <c r="C6273" t="s">
        <v>41522</v>
      </c>
      <c r="D6273" t="s">
        <v>40241</v>
      </c>
      <c r="E6273" t="s">
        <v>40303</v>
      </c>
      <c r="F6273" t="s">
        <v>40425</v>
      </c>
      <c r="G6273" t="s">
        <v>40425</v>
      </c>
      <c r="H6273" t="s">
        <v>868</v>
      </c>
      <c r="I6273" t="s">
        <v>869</v>
      </c>
      <c r="J6273" t="str">
        <f>"9070054"</f>
        <v>9070054</v>
      </c>
      <c r="K6273">
        <v>2262097286</v>
      </c>
      <c r="L6273">
        <v>2262097286</v>
      </c>
      <c r="M6273" t="s">
        <v>41523</v>
      </c>
      <c r="N6273" t="s">
        <v>41524</v>
      </c>
      <c r="O6273" t="s">
        <v>41524</v>
      </c>
      <c r="P6273">
        <v>32200</v>
      </c>
      <c r="Q6273" t="str">
        <f>"38.212880"</f>
        <v>38.212880</v>
      </c>
      <c r="R6273" t="str">
        <f>"23.271733"</f>
        <v>23.271733</v>
      </c>
      <c r="S6273" t="s">
        <v>26</v>
      </c>
    </row>
    <row r="6274" spans="1:19" x14ac:dyDescent="0.3">
      <c r="A6274" t="s">
        <v>40240</v>
      </c>
      <c r="B6274" t="s">
        <v>41254</v>
      </c>
      <c r="C6274" t="s">
        <v>41525</v>
      </c>
      <c r="D6274" t="s">
        <v>40241</v>
      </c>
      <c r="E6274" t="s">
        <v>40289</v>
      </c>
      <c r="F6274" t="s">
        <v>40297</v>
      </c>
      <c r="G6274" t="s">
        <v>40297</v>
      </c>
      <c r="H6274" t="s">
        <v>868</v>
      </c>
      <c r="I6274" t="s">
        <v>869</v>
      </c>
      <c r="J6274" t="str">
        <f>"9070290"</f>
        <v>9070290</v>
      </c>
      <c r="K6274">
        <v>2262058547</v>
      </c>
      <c r="L6274">
        <v>2262058547</v>
      </c>
      <c r="M6274" t="s">
        <v>41526</v>
      </c>
      <c r="N6274" t="s">
        <v>40472</v>
      </c>
      <c r="O6274" t="s">
        <v>41527</v>
      </c>
      <c r="P6274">
        <v>32009</v>
      </c>
      <c r="Q6274" t="str">
        <f>"38.342580"</f>
        <v>38.342580</v>
      </c>
      <c r="R6274" t="str">
        <f>"23.581567"</f>
        <v>23.581567</v>
      </c>
      <c r="S6274" t="s">
        <v>26</v>
      </c>
    </row>
    <row r="6275" spans="1:19" x14ac:dyDescent="0.3">
      <c r="A6275" t="s">
        <v>40240</v>
      </c>
      <c r="B6275" t="s">
        <v>41254</v>
      </c>
      <c r="C6275" t="s">
        <v>40302</v>
      </c>
      <c r="D6275" t="s">
        <v>40241</v>
      </c>
      <c r="E6275" t="s">
        <v>40289</v>
      </c>
      <c r="F6275" t="s">
        <v>40297</v>
      </c>
      <c r="G6275" t="s">
        <v>40297</v>
      </c>
      <c r="H6275" t="s">
        <v>868</v>
      </c>
      <c r="I6275" t="s">
        <v>869</v>
      </c>
      <c r="J6275" t="str">
        <f>"9070299"</f>
        <v>9070299</v>
      </c>
      <c r="K6275">
        <v>2262059344</v>
      </c>
      <c r="L6275">
        <v>2262059344</v>
      </c>
      <c r="M6275" t="s">
        <v>41528</v>
      </c>
      <c r="N6275" t="s">
        <v>40472</v>
      </c>
      <c r="O6275" t="s">
        <v>41386</v>
      </c>
      <c r="P6275">
        <v>32009</v>
      </c>
      <c r="Q6275" t="str">
        <f>"38.345139"</f>
        <v>38.345139</v>
      </c>
      <c r="R6275" t="str">
        <f>"23.574935"</f>
        <v>23.574935</v>
      </c>
      <c r="S6275" t="s">
        <v>26</v>
      </c>
    </row>
    <row r="6276" spans="1:19" x14ac:dyDescent="0.3">
      <c r="A6276" t="s">
        <v>40240</v>
      </c>
      <c r="B6276" t="s">
        <v>41254</v>
      </c>
      <c r="C6276" t="s">
        <v>40389</v>
      </c>
      <c r="D6276" t="s">
        <v>40241</v>
      </c>
      <c r="E6276" t="s">
        <v>40339</v>
      </c>
      <c r="F6276" t="s">
        <v>40384</v>
      </c>
      <c r="G6276" t="s">
        <v>40385</v>
      </c>
      <c r="H6276" t="s">
        <v>868</v>
      </c>
      <c r="I6276" t="s">
        <v>869</v>
      </c>
      <c r="J6276" t="str">
        <f>"9070014"</f>
        <v>9070014</v>
      </c>
      <c r="K6276">
        <v>2268031294</v>
      </c>
      <c r="L6276">
        <v>2268031294</v>
      </c>
      <c r="M6276" t="s">
        <v>41529</v>
      </c>
      <c r="N6276" t="s">
        <v>41371</v>
      </c>
      <c r="O6276" t="s">
        <v>41371</v>
      </c>
      <c r="P6276">
        <v>32001</v>
      </c>
      <c r="Q6276" t="str">
        <f>"38.458451"</f>
        <v>38.458451</v>
      </c>
      <c r="R6276" t="str">
        <f>"23.219939"</f>
        <v>23.219939</v>
      </c>
      <c r="S6276" t="s">
        <v>26</v>
      </c>
    </row>
    <row r="6277" spans="1:19" x14ac:dyDescent="0.3">
      <c r="A6277" t="s">
        <v>40240</v>
      </c>
      <c r="B6277" t="s">
        <v>41254</v>
      </c>
      <c r="C6277" t="s">
        <v>40435</v>
      </c>
      <c r="D6277" t="s">
        <v>40241</v>
      </c>
      <c r="E6277" t="s">
        <v>40303</v>
      </c>
      <c r="F6277" t="s">
        <v>40303</v>
      </c>
      <c r="G6277" t="s">
        <v>40303</v>
      </c>
      <c r="H6277" t="s">
        <v>868</v>
      </c>
      <c r="I6277" t="s">
        <v>869</v>
      </c>
      <c r="J6277" t="str">
        <f>"9521013"</f>
        <v>9521013</v>
      </c>
      <c r="K6277">
        <v>2262021414</v>
      </c>
      <c r="L6277">
        <v>2262021414</v>
      </c>
      <c r="M6277" t="s">
        <v>41530</v>
      </c>
      <c r="N6277" t="s">
        <v>40306</v>
      </c>
      <c r="O6277" t="s">
        <v>41531</v>
      </c>
      <c r="P6277">
        <v>32200</v>
      </c>
      <c r="Q6277" t="str">
        <f>"38.325858"</f>
        <v>38.325858</v>
      </c>
      <c r="R6277" t="str">
        <f>"23.325016"</f>
        <v>23.325016</v>
      </c>
      <c r="S6277" t="s">
        <v>26</v>
      </c>
    </row>
    <row r="6278" spans="1:19" x14ac:dyDescent="0.3">
      <c r="A6278" t="s">
        <v>40240</v>
      </c>
      <c r="B6278" t="s">
        <v>41254</v>
      </c>
      <c r="C6278" t="s">
        <v>40442</v>
      </c>
      <c r="D6278" t="s">
        <v>40241</v>
      </c>
      <c r="E6278" t="s">
        <v>40303</v>
      </c>
      <c r="F6278" t="s">
        <v>40436</v>
      </c>
      <c r="G6278" t="s">
        <v>40437</v>
      </c>
      <c r="H6278" t="s">
        <v>868</v>
      </c>
      <c r="I6278" t="s">
        <v>869</v>
      </c>
      <c r="J6278" t="str">
        <f>"9070036"</f>
        <v>9070036</v>
      </c>
      <c r="K6278">
        <v>2264022220</v>
      </c>
      <c r="L6278">
        <v>2264022220</v>
      </c>
      <c r="M6278" t="s">
        <v>41532</v>
      </c>
      <c r="N6278" t="s">
        <v>40441</v>
      </c>
      <c r="O6278" t="s">
        <v>40441</v>
      </c>
      <c r="P6278">
        <v>32010</v>
      </c>
      <c r="Q6278" t="str">
        <f>"38.251330"</f>
        <v>38.251330</v>
      </c>
      <c r="R6278" t="str">
        <f>"22.982675"</f>
        <v>22.982675</v>
      </c>
      <c r="S6278" t="s">
        <v>26</v>
      </c>
    </row>
    <row r="6279" spans="1:19" x14ac:dyDescent="0.3">
      <c r="A6279" t="s">
        <v>40240</v>
      </c>
      <c r="B6279" t="s">
        <v>41254</v>
      </c>
      <c r="C6279" t="s">
        <v>40296</v>
      </c>
      <c r="D6279" t="s">
        <v>40241</v>
      </c>
      <c r="E6279" t="s">
        <v>40289</v>
      </c>
      <c r="F6279" t="s">
        <v>40290</v>
      </c>
      <c r="G6279" t="s">
        <v>40290</v>
      </c>
      <c r="H6279" t="s">
        <v>868</v>
      </c>
      <c r="I6279" t="s">
        <v>869</v>
      </c>
      <c r="J6279" t="str">
        <f>"9070051"</f>
        <v>9070051</v>
      </c>
      <c r="K6279">
        <v>2262031331</v>
      </c>
      <c r="L6279">
        <v>2262031331</v>
      </c>
      <c r="M6279" t="s">
        <v>41541</v>
      </c>
      <c r="N6279" t="s">
        <v>41542</v>
      </c>
      <c r="O6279" t="s">
        <v>41543</v>
      </c>
      <c r="P6279">
        <v>32011</v>
      </c>
      <c r="Q6279" t="str">
        <f>"38.306549"</f>
        <v>38.306549</v>
      </c>
      <c r="R6279" t="str">
        <f>"23.641628"</f>
        <v>23.641628</v>
      </c>
      <c r="S6279" t="s">
        <v>26</v>
      </c>
    </row>
    <row r="6280" spans="1:19" x14ac:dyDescent="0.3">
      <c r="A6280" t="s">
        <v>40240</v>
      </c>
      <c r="B6280" t="s">
        <v>41254</v>
      </c>
      <c r="C6280" t="s">
        <v>41547</v>
      </c>
      <c r="D6280" t="s">
        <v>40241</v>
      </c>
      <c r="E6280" t="s">
        <v>40303</v>
      </c>
      <c r="F6280" t="s">
        <v>40303</v>
      </c>
      <c r="G6280" t="s">
        <v>41426</v>
      </c>
      <c r="H6280" t="s">
        <v>868</v>
      </c>
      <c r="I6280" t="s">
        <v>950</v>
      </c>
      <c r="J6280" t="str">
        <f>"9070062"</f>
        <v>9070062</v>
      </c>
      <c r="K6280">
        <v>2262071134</v>
      </c>
      <c r="M6280" t="s">
        <v>41548</v>
      </c>
      <c r="N6280" t="s">
        <v>40306</v>
      </c>
      <c r="O6280" t="s">
        <v>41549</v>
      </c>
      <c r="P6280">
        <v>32200</v>
      </c>
      <c r="Q6280" t="str">
        <f>"38.389529"</f>
        <v>38.389529</v>
      </c>
      <c r="R6280" t="str">
        <f>"23.395285"</f>
        <v>23.395285</v>
      </c>
      <c r="S6280" t="s">
        <v>26</v>
      </c>
    </row>
    <row r="6281" spans="1:19" x14ac:dyDescent="0.3">
      <c r="A6281" t="s">
        <v>40240</v>
      </c>
      <c r="B6281" t="s">
        <v>41254</v>
      </c>
      <c r="C6281" t="s">
        <v>40347</v>
      </c>
      <c r="D6281" t="s">
        <v>40241</v>
      </c>
      <c r="E6281" t="s">
        <v>40303</v>
      </c>
      <c r="F6281" t="s">
        <v>40303</v>
      </c>
      <c r="G6281" t="s">
        <v>40303</v>
      </c>
      <c r="H6281" t="s">
        <v>868</v>
      </c>
      <c r="I6281" t="s">
        <v>869</v>
      </c>
      <c r="J6281" t="str">
        <f>"9070005"</f>
        <v>9070005</v>
      </c>
      <c r="K6281">
        <v>2262029034</v>
      </c>
      <c r="L6281">
        <v>2262089225</v>
      </c>
      <c r="M6281" t="s">
        <v>41550</v>
      </c>
      <c r="N6281" t="s">
        <v>41280</v>
      </c>
      <c r="O6281" t="s">
        <v>41551</v>
      </c>
      <c r="P6281">
        <v>32200</v>
      </c>
      <c r="Q6281" t="str">
        <f>"38.318438"</f>
        <v>38.318438</v>
      </c>
      <c r="R6281" t="str">
        <f>"23.313178"</f>
        <v>23.313178</v>
      </c>
      <c r="S6281" t="s">
        <v>26</v>
      </c>
    </row>
    <row r="6282" spans="1:19" x14ac:dyDescent="0.3">
      <c r="A6282" t="s">
        <v>40240</v>
      </c>
      <c r="B6282" t="s">
        <v>41254</v>
      </c>
      <c r="C6282" t="s">
        <v>41557</v>
      </c>
      <c r="D6282" t="s">
        <v>40241</v>
      </c>
      <c r="E6282" t="s">
        <v>40289</v>
      </c>
      <c r="F6282" t="s">
        <v>40289</v>
      </c>
      <c r="G6282" t="s">
        <v>5563</v>
      </c>
      <c r="H6282" t="s">
        <v>868</v>
      </c>
      <c r="I6282" t="s">
        <v>950</v>
      </c>
      <c r="J6282" t="str">
        <f>"9070029"</f>
        <v>9070029</v>
      </c>
      <c r="K6282">
        <v>2262094040</v>
      </c>
      <c r="L6282">
        <v>2262094040</v>
      </c>
      <c r="M6282" t="s">
        <v>41558</v>
      </c>
      <c r="N6282" t="s">
        <v>5567</v>
      </c>
      <c r="O6282" t="s">
        <v>5567</v>
      </c>
      <c r="P6282">
        <v>32200</v>
      </c>
      <c r="Q6282" t="str">
        <f>"38.311306"</f>
        <v>38.311306</v>
      </c>
      <c r="R6282" t="str">
        <f>"23.442727"</f>
        <v>23.442727</v>
      </c>
      <c r="S6282" t="s">
        <v>26</v>
      </c>
    </row>
    <row r="6283" spans="1:19" x14ac:dyDescent="0.3">
      <c r="A6283" t="s">
        <v>40240</v>
      </c>
      <c r="B6283" t="s">
        <v>41254</v>
      </c>
      <c r="C6283" t="s">
        <v>41559</v>
      </c>
      <c r="D6283" t="s">
        <v>40241</v>
      </c>
      <c r="E6283" t="s">
        <v>40339</v>
      </c>
      <c r="F6283" t="s">
        <v>40384</v>
      </c>
      <c r="G6283" t="s">
        <v>16867</v>
      </c>
      <c r="H6283" t="s">
        <v>868</v>
      </c>
      <c r="I6283" t="s">
        <v>869</v>
      </c>
      <c r="J6283" t="str">
        <f>"9070032"</f>
        <v>9070032</v>
      </c>
      <c r="K6283">
        <v>2268041259</v>
      </c>
      <c r="L6283">
        <v>2268041104</v>
      </c>
      <c r="M6283" t="s">
        <v>41560</v>
      </c>
      <c r="N6283" t="s">
        <v>16870</v>
      </c>
      <c r="O6283" t="s">
        <v>16870</v>
      </c>
      <c r="P6283">
        <v>32200</v>
      </c>
      <c r="Q6283" t="str">
        <f>"38.492290"</f>
        <v>38.492290</v>
      </c>
      <c r="R6283" t="str">
        <f>"23.158889"</f>
        <v>23.158889</v>
      </c>
      <c r="S6283" t="s">
        <v>26</v>
      </c>
    </row>
    <row r="6284" spans="1:19" x14ac:dyDescent="0.3">
      <c r="A6284" t="s">
        <v>40240</v>
      </c>
      <c r="B6284" t="s">
        <v>41254</v>
      </c>
      <c r="C6284" t="s">
        <v>41561</v>
      </c>
      <c r="D6284" t="s">
        <v>40241</v>
      </c>
      <c r="E6284" t="s">
        <v>40289</v>
      </c>
      <c r="F6284" t="s">
        <v>40290</v>
      </c>
      <c r="G6284" t="s">
        <v>15717</v>
      </c>
      <c r="H6284" t="s">
        <v>868</v>
      </c>
      <c r="I6284" t="s">
        <v>869</v>
      </c>
      <c r="J6284" t="str">
        <f>"9070013"</f>
        <v>9070013</v>
      </c>
      <c r="K6284">
        <v>2262037484</v>
      </c>
      <c r="L6284">
        <v>2262037484</v>
      </c>
      <c r="M6284" t="s">
        <v>41562</v>
      </c>
      <c r="N6284" t="s">
        <v>41563</v>
      </c>
      <c r="O6284" t="s">
        <v>15719</v>
      </c>
      <c r="P6284">
        <v>32009</v>
      </c>
      <c r="Q6284" t="str">
        <f>"38.277181"</f>
        <v>38.277181</v>
      </c>
      <c r="R6284" t="str">
        <f>"23.588011"</f>
        <v>23.588011</v>
      </c>
      <c r="S6284" t="s">
        <v>26</v>
      </c>
    </row>
    <row r="6285" spans="1:19" x14ac:dyDescent="0.3">
      <c r="A6285" t="s">
        <v>40240</v>
      </c>
      <c r="B6285" t="s">
        <v>41254</v>
      </c>
      <c r="C6285" t="s">
        <v>40405</v>
      </c>
      <c r="D6285" t="s">
        <v>40241</v>
      </c>
      <c r="E6285" t="s">
        <v>40242</v>
      </c>
      <c r="F6285" t="s">
        <v>25808</v>
      </c>
      <c r="G6285" t="s">
        <v>1872</v>
      </c>
      <c r="H6285" t="s">
        <v>868</v>
      </c>
      <c r="I6285" t="s">
        <v>869</v>
      </c>
      <c r="J6285" t="str">
        <f>"9070085"</f>
        <v>9070085</v>
      </c>
      <c r="K6285">
        <v>2261043235</v>
      </c>
      <c r="L6285">
        <v>2261049033</v>
      </c>
      <c r="M6285" t="s">
        <v>41584</v>
      </c>
      <c r="N6285" t="s">
        <v>12409</v>
      </c>
      <c r="O6285" t="s">
        <v>12409</v>
      </c>
      <c r="P6285">
        <v>32007</v>
      </c>
      <c r="Q6285" t="str">
        <f>"38.392911"</f>
        <v>38.392911</v>
      </c>
      <c r="R6285" t="str">
        <f>"22.934151"</f>
        <v>22.934151</v>
      </c>
      <c r="S6285" t="s">
        <v>26</v>
      </c>
    </row>
    <row r="6286" spans="1:19" x14ac:dyDescent="0.3">
      <c r="A6286" t="s">
        <v>40240</v>
      </c>
      <c r="B6286" t="s">
        <v>41254</v>
      </c>
      <c r="C6286" t="s">
        <v>41585</v>
      </c>
      <c r="D6286" t="s">
        <v>40241</v>
      </c>
      <c r="E6286" t="s">
        <v>40339</v>
      </c>
      <c r="F6286" t="s">
        <v>40339</v>
      </c>
      <c r="G6286" t="s">
        <v>3295</v>
      </c>
      <c r="H6286" t="s">
        <v>868</v>
      </c>
      <c r="I6286" t="s">
        <v>869</v>
      </c>
      <c r="J6286" t="str">
        <f>"9070086"</f>
        <v>9070086</v>
      </c>
      <c r="K6286">
        <v>2261097220</v>
      </c>
      <c r="L6286">
        <v>2261097220</v>
      </c>
      <c r="M6286" t="s">
        <v>41586</v>
      </c>
      <c r="O6286" t="s">
        <v>10669</v>
      </c>
      <c r="P6286">
        <v>32131</v>
      </c>
      <c r="Q6286" t="str">
        <f>"38.445931"</f>
        <v>38.445931</v>
      </c>
      <c r="R6286" t="str">
        <f>"22.999587"</f>
        <v>22.999587</v>
      </c>
      <c r="S6286" t="s">
        <v>26</v>
      </c>
    </row>
    <row r="6287" spans="1:19" x14ac:dyDescent="0.3">
      <c r="A6287" t="s">
        <v>40240</v>
      </c>
      <c r="B6287" t="s">
        <v>41254</v>
      </c>
      <c r="C6287" t="s">
        <v>41592</v>
      </c>
      <c r="D6287" t="s">
        <v>40241</v>
      </c>
      <c r="E6287" t="s">
        <v>40303</v>
      </c>
      <c r="F6287" t="s">
        <v>40303</v>
      </c>
      <c r="G6287" t="s">
        <v>41363</v>
      </c>
      <c r="H6287" t="s">
        <v>868</v>
      </c>
      <c r="I6287" t="s">
        <v>869</v>
      </c>
      <c r="J6287" t="str">
        <f>"9521693"</f>
        <v>9521693</v>
      </c>
      <c r="K6287">
        <v>2262071918</v>
      </c>
      <c r="L6287">
        <v>2262071918</v>
      </c>
      <c r="M6287" t="s">
        <v>41593</v>
      </c>
      <c r="N6287" t="s">
        <v>41594</v>
      </c>
      <c r="O6287" t="s">
        <v>41595</v>
      </c>
      <c r="P6287">
        <v>32200</v>
      </c>
      <c r="Q6287" t="str">
        <f>"38.371706"</f>
        <v>38.371706</v>
      </c>
      <c r="R6287" t="str">
        <f>"23.463780"</f>
        <v>23.463780</v>
      </c>
      <c r="S6287" t="s">
        <v>26</v>
      </c>
    </row>
    <row r="6288" spans="1:19" x14ac:dyDescent="0.3">
      <c r="A6288" t="s">
        <v>40240</v>
      </c>
      <c r="B6288" t="s">
        <v>41596</v>
      </c>
      <c r="C6288" t="s">
        <v>41613</v>
      </c>
      <c r="D6288" t="s">
        <v>40247</v>
      </c>
      <c r="E6288" t="s">
        <v>40248</v>
      </c>
      <c r="F6288" t="s">
        <v>40514</v>
      </c>
      <c r="G6288" t="s">
        <v>41612</v>
      </c>
      <c r="H6288" t="s">
        <v>868</v>
      </c>
      <c r="I6288" t="s">
        <v>869</v>
      </c>
      <c r="J6288" t="str">
        <f>"9120283"</f>
        <v>9120283</v>
      </c>
      <c r="K6288">
        <v>2221053134</v>
      </c>
      <c r="L6288">
        <v>2221053134</v>
      </c>
      <c r="M6288" t="s">
        <v>41614</v>
      </c>
      <c r="O6288" t="s">
        <v>41615</v>
      </c>
      <c r="P6288">
        <v>34100</v>
      </c>
      <c r="Q6288" t="str">
        <f>"38.441399"</f>
        <v>38.441399</v>
      </c>
      <c r="R6288" t="str">
        <f>"23.681636"</f>
        <v>23.681636</v>
      </c>
      <c r="S6288" t="s">
        <v>26</v>
      </c>
    </row>
    <row r="6289" spans="1:19" x14ac:dyDescent="0.3">
      <c r="A6289" t="s">
        <v>40240</v>
      </c>
      <c r="B6289" t="s">
        <v>41596</v>
      </c>
      <c r="C6289" t="s">
        <v>41622</v>
      </c>
      <c r="D6289" t="s">
        <v>40247</v>
      </c>
      <c r="E6289" t="s">
        <v>40248</v>
      </c>
      <c r="F6289" t="s">
        <v>40248</v>
      </c>
      <c r="G6289" t="s">
        <v>40248</v>
      </c>
      <c r="H6289" t="s">
        <v>868</v>
      </c>
      <c r="I6289" t="s">
        <v>869</v>
      </c>
      <c r="J6289" t="str">
        <f>"9120225"</f>
        <v>9120225</v>
      </c>
      <c r="K6289">
        <v>2221088840</v>
      </c>
      <c r="L6289">
        <v>2221088840</v>
      </c>
      <c r="M6289" t="s">
        <v>41623</v>
      </c>
      <c r="N6289" t="s">
        <v>40536</v>
      </c>
      <c r="O6289" t="s">
        <v>41624</v>
      </c>
      <c r="P6289">
        <v>34100</v>
      </c>
      <c r="Q6289" t="str">
        <f>"38.467123"</f>
        <v>38.467123</v>
      </c>
      <c r="R6289" t="str">
        <f>"23.603924"</f>
        <v>23.603924</v>
      </c>
      <c r="S6289" t="s">
        <v>26</v>
      </c>
    </row>
    <row r="6290" spans="1:19" x14ac:dyDescent="0.3">
      <c r="A6290" t="s">
        <v>40240</v>
      </c>
      <c r="B6290" t="s">
        <v>41596</v>
      </c>
      <c r="C6290" t="s">
        <v>41625</v>
      </c>
      <c r="D6290" t="s">
        <v>40247</v>
      </c>
      <c r="E6290" t="s">
        <v>40248</v>
      </c>
      <c r="F6290" t="s">
        <v>40248</v>
      </c>
      <c r="G6290" t="s">
        <v>40248</v>
      </c>
      <c r="H6290" t="s">
        <v>868</v>
      </c>
      <c r="I6290" t="s">
        <v>869</v>
      </c>
      <c r="J6290" t="str">
        <f>"9120321"</f>
        <v>9120321</v>
      </c>
      <c r="K6290">
        <v>2221023655</v>
      </c>
      <c r="L6290">
        <v>2221023655</v>
      </c>
      <c r="M6290" t="s">
        <v>41626</v>
      </c>
      <c r="N6290" t="s">
        <v>41627</v>
      </c>
      <c r="O6290" t="s">
        <v>41628</v>
      </c>
      <c r="P6290">
        <v>34132</v>
      </c>
      <c r="Q6290" t="str">
        <f>"38.467127"</f>
        <v>38.467127</v>
      </c>
      <c r="R6290" t="str">
        <f>"23.618601"</f>
        <v>23.618601</v>
      </c>
      <c r="S6290" t="s">
        <v>26</v>
      </c>
    </row>
    <row r="6291" spans="1:19" x14ac:dyDescent="0.3">
      <c r="A6291" t="s">
        <v>40240</v>
      </c>
      <c r="B6291" t="s">
        <v>41596</v>
      </c>
      <c r="C6291" t="s">
        <v>40520</v>
      </c>
      <c r="D6291" t="s">
        <v>40247</v>
      </c>
      <c r="E6291" t="s">
        <v>40248</v>
      </c>
      <c r="F6291" t="s">
        <v>40514</v>
      </c>
      <c r="G6291" t="s">
        <v>16068</v>
      </c>
      <c r="H6291" t="s">
        <v>868</v>
      </c>
      <c r="I6291" t="s">
        <v>869</v>
      </c>
      <c r="J6291" t="str">
        <f>"9120244"</f>
        <v>9120244</v>
      </c>
      <c r="K6291">
        <v>2221052852</v>
      </c>
      <c r="L6291">
        <v>2221052852</v>
      </c>
      <c r="M6291" t="s">
        <v>41629</v>
      </c>
      <c r="N6291" t="s">
        <v>16071</v>
      </c>
      <c r="O6291" t="s">
        <v>41630</v>
      </c>
      <c r="P6291">
        <v>34002</v>
      </c>
      <c r="Q6291" t="str">
        <f>"38.425465"</f>
        <v>38.425465</v>
      </c>
      <c r="R6291" t="str">
        <f>"23.668367"</f>
        <v>23.668367</v>
      </c>
      <c r="S6291" t="s">
        <v>26</v>
      </c>
    </row>
    <row r="6292" spans="1:19" x14ac:dyDescent="0.3">
      <c r="A6292" t="s">
        <v>40240</v>
      </c>
      <c r="B6292" t="s">
        <v>41596</v>
      </c>
      <c r="C6292" t="s">
        <v>41631</v>
      </c>
      <c r="D6292" t="s">
        <v>40247</v>
      </c>
      <c r="E6292" t="s">
        <v>40248</v>
      </c>
      <c r="F6292" t="s">
        <v>40514</v>
      </c>
      <c r="G6292" t="s">
        <v>16068</v>
      </c>
      <c r="H6292" t="s">
        <v>868</v>
      </c>
      <c r="I6292" t="s">
        <v>869</v>
      </c>
      <c r="J6292" t="str">
        <f>"9120306"</f>
        <v>9120306</v>
      </c>
      <c r="K6292">
        <v>2221052133</v>
      </c>
      <c r="L6292">
        <v>2221052133</v>
      </c>
      <c r="M6292" t="s">
        <v>41632</v>
      </c>
      <c r="N6292" t="s">
        <v>41633</v>
      </c>
      <c r="O6292" t="s">
        <v>41634</v>
      </c>
      <c r="P6292">
        <v>34002</v>
      </c>
      <c r="Q6292" t="str">
        <f>"38.427771"</f>
        <v>38.427771</v>
      </c>
      <c r="R6292" t="str">
        <f>"23.666103"</f>
        <v>23.666103</v>
      </c>
      <c r="S6292" t="s">
        <v>26</v>
      </c>
    </row>
    <row r="6293" spans="1:19" x14ac:dyDescent="0.3">
      <c r="A6293" t="s">
        <v>40240</v>
      </c>
      <c r="B6293" t="s">
        <v>41596</v>
      </c>
      <c r="C6293" t="s">
        <v>41635</v>
      </c>
      <c r="D6293" t="s">
        <v>40247</v>
      </c>
      <c r="E6293" t="s">
        <v>40248</v>
      </c>
      <c r="F6293" t="s">
        <v>40514</v>
      </c>
      <c r="G6293" t="s">
        <v>1969</v>
      </c>
      <c r="H6293" t="s">
        <v>868</v>
      </c>
      <c r="I6293" t="s">
        <v>869</v>
      </c>
      <c r="J6293" t="str">
        <f>"9120239"</f>
        <v>9120239</v>
      </c>
      <c r="K6293">
        <v>2221053137</v>
      </c>
      <c r="L6293">
        <v>2221053137</v>
      </c>
      <c r="M6293" t="s">
        <v>41636</v>
      </c>
      <c r="N6293" t="s">
        <v>41637</v>
      </c>
      <c r="O6293" t="s">
        <v>41638</v>
      </c>
      <c r="P6293">
        <v>34100</v>
      </c>
      <c r="Q6293" t="str">
        <f>"38.419998"</f>
        <v>38.419998</v>
      </c>
      <c r="R6293" t="str">
        <f>"23.649222"</f>
        <v>23.649222</v>
      </c>
      <c r="S6293" t="s">
        <v>26</v>
      </c>
    </row>
    <row r="6294" spans="1:19" x14ac:dyDescent="0.3">
      <c r="A6294" t="s">
        <v>40240</v>
      </c>
      <c r="B6294" t="s">
        <v>41596</v>
      </c>
      <c r="C6294" t="s">
        <v>41639</v>
      </c>
      <c r="D6294" t="s">
        <v>40247</v>
      </c>
      <c r="E6294" t="s">
        <v>40248</v>
      </c>
      <c r="F6294" t="s">
        <v>40514</v>
      </c>
      <c r="G6294" t="s">
        <v>16068</v>
      </c>
      <c r="H6294" t="s">
        <v>868</v>
      </c>
      <c r="I6294" t="s">
        <v>869</v>
      </c>
      <c r="J6294" t="str">
        <f>"9120410"</f>
        <v>9120410</v>
      </c>
      <c r="K6294">
        <v>2221054126</v>
      </c>
      <c r="L6294">
        <v>2221054126</v>
      </c>
      <c r="M6294" t="s">
        <v>41640</v>
      </c>
      <c r="N6294" t="s">
        <v>41641</v>
      </c>
      <c r="O6294" t="s">
        <v>41642</v>
      </c>
      <c r="P6294">
        <v>34002</v>
      </c>
      <c r="Q6294" t="str">
        <f>"38.420852"</f>
        <v>38.420852</v>
      </c>
      <c r="R6294" t="str">
        <f>"23.670465"</f>
        <v>23.670465</v>
      </c>
      <c r="S6294" t="s">
        <v>26</v>
      </c>
    </row>
    <row r="6295" spans="1:19" x14ac:dyDescent="0.3">
      <c r="A6295" t="s">
        <v>40240</v>
      </c>
      <c r="B6295" t="s">
        <v>41596</v>
      </c>
      <c r="C6295" t="s">
        <v>40813</v>
      </c>
      <c r="D6295" t="s">
        <v>40247</v>
      </c>
      <c r="E6295" t="s">
        <v>40248</v>
      </c>
      <c r="F6295" t="s">
        <v>40596</v>
      </c>
      <c r="G6295" t="s">
        <v>40822</v>
      </c>
      <c r="H6295" t="s">
        <v>868</v>
      </c>
      <c r="I6295" t="s">
        <v>869</v>
      </c>
      <c r="J6295" t="str">
        <f>"9120316"</f>
        <v>9120316</v>
      </c>
      <c r="K6295">
        <v>2221031007</v>
      </c>
      <c r="M6295" t="s">
        <v>41643</v>
      </c>
      <c r="N6295" t="s">
        <v>41644</v>
      </c>
      <c r="O6295" t="s">
        <v>41644</v>
      </c>
      <c r="P6295">
        <v>34100</v>
      </c>
      <c r="Q6295" t="str">
        <f>"38.389824"</f>
        <v>38.389824</v>
      </c>
      <c r="R6295" t="str">
        <f>"23.594532"</f>
        <v>23.594532</v>
      </c>
      <c r="S6295" t="s">
        <v>26</v>
      </c>
    </row>
    <row r="6296" spans="1:19" x14ac:dyDescent="0.3">
      <c r="A6296" t="s">
        <v>40240</v>
      </c>
      <c r="B6296" t="s">
        <v>41596</v>
      </c>
      <c r="C6296" t="s">
        <v>41646</v>
      </c>
      <c r="D6296" t="s">
        <v>40247</v>
      </c>
      <c r="E6296" t="s">
        <v>40248</v>
      </c>
      <c r="F6296" t="s">
        <v>40514</v>
      </c>
      <c r="G6296" t="s">
        <v>41645</v>
      </c>
      <c r="H6296" t="s">
        <v>868</v>
      </c>
      <c r="I6296" t="s">
        <v>869</v>
      </c>
      <c r="J6296" t="str">
        <f>"9120242"</f>
        <v>9120242</v>
      </c>
      <c r="K6296">
        <v>2221052971</v>
      </c>
      <c r="L6296">
        <v>2221052971</v>
      </c>
      <c r="M6296" t="s">
        <v>41647</v>
      </c>
      <c r="N6296" t="s">
        <v>41648</v>
      </c>
      <c r="O6296" t="s">
        <v>41649</v>
      </c>
      <c r="P6296">
        <v>34100</v>
      </c>
      <c r="Q6296" t="str">
        <f>"38.450945"</f>
        <v>38.450945</v>
      </c>
      <c r="R6296" t="str">
        <f>"23.684169"</f>
        <v>23.684169</v>
      </c>
      <c r="S6296" t="s">
        <v>26</v>
      </c>
    </row>
    <row r="6297" spans="1:19" x14ac:dyDescent="0.3">
      <c r="A6297" t="s">
        <v>40240</v>
      </c>
      <c r="B6297" t="s">
        <v>41596</v>
      </c>
      <c r="C6297" t="s">
        <v>41650</v>
      </c>
      <c r="D6297" t="s">
        <v>40247</v>
      </c>
      <c r="E6297" t="s">
        <v>40566</v>
      </c>
      <c r="F6297" t="s">
        <v>40682</v>
      </c>
      <c r="G6297" t="s">
        <v>15659</v>
      </c>
      <c r="H6297" t="s">
        <v>868</v>
      </c>
      <c r="I6297" t="s">
        <v>950</v>
      </c>
      <c r="J6297" t="str">
        <f>"9120032"</f>
        <v>9120032</v>
      </c>
      <c r="K6297">
        <v>2226042088</v>
      </c>
      <c r="L6297">
        <v>2226042088</v>
      </c>
      <c r="M6297" t="s">
        <v>41651</v>
      </c>
      <c r="N6297" t="s">
        <v>41652</v>
      </c>
      <c r="O6297" t="s">
        <v>41653</v>
      </c>
      <c r="P6297">
        <v>34200</v>
      </c>
      <c r="Q6297" t="str">
        <f>"39.003659"</f>
        <v>39.003659</v>
      </c>
      <c r="R6297" t="str">
        <f>"23.330610"</f>
        <v>23.330610</v>
      </c>
      <c r="S6297" t="s">
        <v>26</v>
      </c>
    </row>
    <row r="6298" spans="1:19" x14ac:dyDescent="0.3">
      <c r="A6298" t="s">
        <v>40240</v>
      </c>
      <c r="B6298" t="s">
        <v>41596</v>
      </c>
      <c r="C6298" t="s">
        <v>40719</v>
      </c>
      <c r="D6298" t="s">
        <v>40247</v>
      </c>
      <c r="E6298" t="s">
        <v>40539</v>
      </c>
      <c r="F6298" t="s">
        <v>40558</v>
      </c>
      <c r="G6298" t="s">
        <v>40714</v>
      </c>
      <c r="H6298" t="s">
        <v>868</v>
      </c>
      <c r="I6298" t="s">
        <v>869</v>
      </c>
      <c r="J6298" t="str">
        <f>"9120074"</f>
        <v>9120074</v>
      </c>
      <c r="K6298">
        <v>2227041267</v>
      </c>
      <c r="L6298">
        <v>2227041269</v>
      </c>
      <c r="M6298" t="s">
        <v>41654</v>
      </c>
      <c r="N6298" t="s">
        <v>40718</v>
      </c>
      <c r="O6298" t="s">
        <v>40718</v>
      </c>
      <c r="P6298">
        <v>34004</v>
      </c>
      <c r="Q6298" t="str">
        <f>"38.735773"</f>
        <v>38.735773</v>
      </c>
      <c r="R6298" t="str">
        <f>"23.492323"</f>
        <v>23.492323</v>
      </c>
      <c r="S6298" t="s">
        <v>26</v>
      </c>
    </row>
    <row r="6299" spans="1:19" x14ac:dyDescent="0.3">
      <c r="A6299" t="s">
        <v>40240</v>
      </c>
      <c r="B6299" t="s">
        <v>41596</v>
      </c>
      <c r="C6299" t="s">
        <v>41655</v>
      </c>
      <c r="D6299" t="s">
        <v>40247</v>
      </c>
      <c r="E6299" t="s">
        <v>40248</v>
      </c>
      <c r="F6299" t="s">
        <v>40248</v>
      </c>
      <c r="G6299" t="s">
        <v>40248</v>
      </c>
      <c r="H6299" t="s">
        <v>868</v>
      </c>
      <c r="I6299" t="s">
        <v>869</v>
      </c>
      <c r="J6299" t="str">
        <f>"9120230"</f>
        <v>9120230</v>
      </c>
      <c r="K6299">
        <v>2221086505</v>
      </c>
      <c r="L6299">
        <v>2221086505</v>
      </c>
      <c r="M6299" t="s">
        <v>41656</v>
      </c>
      <c r="N6299" t="s">
        <v>40536</v>
      </c>
      <c r="O6299" t="s">
        <v>41657</v>
      </c>
      <c r="P6299">
        <v>34132</v>
      </c>
      <c r="Q6299" t="str">
        <f>"38.465433"</f>
        <v>38.465433</v>
      </c>
      <c r="R6299" t="str">
        <f>"23.600249"</f>
        <v>23.600249</v>
      </c>
      <c r="S6299" t="s">
        <v>26</v>
      </c>
    </row>
    <row r="6300" spans="1:19" x14ac:dyDescent="0.3">
      <c r="A6300" t="s">
        <v>40240</v>
      </c>
      <c r="B6300" t="s">
        <v>41596</v>
      </c>
      <c r="C6300" t="s">
        <v>40533</v>
      </c>
      <c r="D6300" t="s">
        <v>40247</v>
      </c>
      <c r="E6300" t="s">
        <v>40526</v>
      </c>
      <c r="F6300" t="s">
        <v>40527</v>
      </c>
      <c r="G6300" t="s">
        <v>40528</v>
      </c>
      <c r="H6300" t="s">
        <v>868</v>
      </c>
      <c r="I6300" t="s">
        <v>869</v>
      </c>
      <c r="J6300" t="str">
        <f>"9120427"</f>
        <v>9120427</v>
      </c>
      <c r="K6300">
        <v>2228023644</v>
      </c>
      <c r="L6300">
        <v>228029016</v>
      </c>
      <c r="M6300" t="s">
        <v>41658</v>
      </c>
      <c r="N6300" t="s">
        <v>41659</v>
      </c>
      <c r="O6300" t="s">
        <v>41660</v>
      </c>
      <c r="P6300">
        <v>34400</v>
      </c>
      <c r="Q6300" t="str">
        <f>"38.576680"</f>
        <v>38.576680</v>
      </c>
      <c r="R6300" t="str">
        <f>"23.634055"</f>
        <v>23.634055</v>
      </c>
      <c r="S6300" t="s">
        <v>26</v>
      </c>
    </row>
    <row r="6301" spans="1:19" x14ac:dyDescent="0.3">
      <c r="A6301" t="s">
        <v>40240</v>
      </c>
      <c r="B6301" t="s">
        <v>41596</v>
      </c>
      <c r="C6301" t="s">
        <v>40546</v>
      </c>
      <c r="D6301" t="s">
        <v>40247</v>
      </c>
      <c r="E6301" t="s">
        <v>40539</v>
      </c>
      <c r="F6301" t="s">
        <v>40540</v>
      </c>
      <c r="G6301" t="s">
        <v>40541</v>
      </c>
      <c r="H6301" t="s">
        <v>868</v>
      </c>
      <c r="I6301" t="s">
        <v>950</v>
      </c>
      <c r="J6301" t="str">
        <f>"9120051"</f>
        <v>9120051</v>
      </c>
      <c r="K6301">
        <v>2227061258</v>
      </c>
      <c r="L6301">
        <v>2227061258</v>
      </c>
      <c r="M6301" t="s">
        <v>41661</v>
      </c>
      <c r="N6301" t="s">
        <v>40545</v>
      </c>
      <c r="O6301" t="s">
        <v>40545</v>
      </c>
      <c r="P6301">
        <v>34010</v>
      </c>
      <c r="Q6301" t="str">
        <f>"38.857536"</f>
        <v>38.857536</v>
      </c>
      <c r="R6301" t="str">
        <f>"23.398158"</f>
        <v>23.398158</v>
      </c>
      <c r="S6301" t="s">
        <v>26</v>
      </c>
    </row>
    <row r="6302" spans="1:19" x14ac:dyDescent="0.3">
      <c r="A6302" t="s">
        <v>40240</v>
      </c>
      <c r="B6302" t="s">
        <v>41596</v>
      </c>
      <c r="C6302" t="s">
        <v>41662</v>
      </c>
      <c r="D6302" t="s">
        <v>40247</v>
      </c>
      <c r="E6302" t="s">
        <v>40248</v>
      </c>
      <c r="F6302" t="s">
        <v>40514</v>
      </c>
      <c r="G6302" t="s">
        <v>13918</v>
      </c>
      <c r="H6302" t="s">
        <v>868</v>
      </c>
      <c r="I6302" t="s">
        <v>869</v>
      </c>
      <c r="J6302" t="str">
        <f>"9120264"</f>
        <v>9120264</v>
      </c>
      <c r="K6302">
        <v>2221055255</v>
      </c>
      <c r="L6302">
        <v>2221054689</v>
      </c>
      <c r="M6302" t="s">
        <v>41663</v>
      </c>
      <c r="N6302" t="s">
        <v>41664</v>
      </c>
      <c r="O6302" t="s">
        <v>41664</v>
      </c>
      <c r="P6302">
        <v>34100</v>
      </c>
      <c r="Q6302" t="str">
        <f>"38.440766"</f>
        <v>38.440766</v>
      </c>
      <c r="R6302" t="str">
        <f>"23.646508"</f>
        <v>23.646508</v>
      </c>
      <c r="S6302" t="s">
        <v>26</v>
      </c>
    </row>
    <row r="6303" spans="1:19" x14ac:dyDescent="0.3">
      <c r="A6303" t="s">
        <v>40240</v>
      </c>
      <c r="B6303" t="s">
        <v>41596</v>
      </c>
      <c r="C6303" t="s">
        <v>41666</v>
      </c>
      <c r="D6303" t="s">
        <v>40247</v>
      </c>
      <c r="E6303" t="s">
        <v>40526</v>
      </c>
      <c r="F6303" t="s">
        <v>40527</v>
      </c>
      <c r="G6303" t="s">
        <v>41665</v>
      </c>
      <c r="H6303" t="s">
        <v>868</v>
      </c>
      <c r="I6303" t="s">
        <v>869</v>
      </c>
      <c r="J6303" t="str">
        <f>"9120282"</f>
        <v>9120282</v>
      </c>
      <c r="K6303">
        <v>2228096355</v>
      </c>
      <c r="L6303">
        <v>2228096355</v>
      </c>
      <c r="M6303" t="s">
        <v>41667</v>
      </c>
      <c r="N6303" t="s">
        <v>41668</v>
      </c>
      <c r="O6303" t="s">
        <v>41668</v>
      </c>
      <c r="P6303">
        <v>34400</v>
      </c>
      <c r="Q6303" t="str">
        <f>"38.581732"</f>
        <v>38.581732</v>
      </c>
      <c r="R6303" t="str">
        <f>"23.714571"</f>
        <v>23.714571</v>
      </c>
      <c r="S6303" t="s">
        <v>26</v>
      </c>
    </row>
    <row r="6304" spans="1:19" x14ac:dyDescent="0.3">
      <c r="A6304" t="s">
        <v>40240</v>
      </c>
      <c r="B6304" t="s">
        <v>41596</v>
      </c>
      <c r="C6304" t="s">
        <v>40571</v>
      </c>
      <c r="D6304" t="s">
        <v>40247</v>
      </c>
      <c r="E6304" t="s">
        <v>40566</v>
      </c>
      <c r="F6304" t="s">
        <v>40567</v>
      </c>
      <c r="G6304" t="s">
        <v>40567</v>
      </c>
      <c r="H6304" t="s">
        <v>868</v>
      </c>
      <c r="I6304" t="s">
        <v>869</v>
      </c>
      <c r="J6304" t="str">
        <f>"9120003"</f>
        <v>9120003</v>
      </c>
      <c r="K6304">
        <v>2226052461</v>
      </c>
      <c r="L6304">
        <v>2226054894</v>
      </c>
      <c r="M6304" t="s">
        <v>41672</v>
      </c>
      <c r="N6304" t="s">
        <v>40570</v>
      </c>
      <c r="O6304" t="s">
        <v>41673</v>
      </c>
      <c r="P6304">
        <v>34200</v>
      </c>
      <c r="Q6304" t="str">
        <f>"38.950653"</f>
        <v>38.950653</v>
      </c>
      <c r="R6304" t="str">
        <f>"23.148188"</f>
        <v>23.148188</v>
      </c>
      <c r="S6304" t="s">
        <v>26</v>
      </c>
    </row>
    <row r="6305" spans="1:19" x14ac:dyDescent="0.3">
      <c r="A6305" t="s">
        <v>40240</v>
      </c>
      <c r="B6305" t="s">
        <v>41596</v>
      </c>
      <c r="C6305" t="s">
        <v>40726</v>
      </c>
      <c r="D6305" t="s">
        <v>40247</v>
      </c>
      <c r="E6305" t="s">
        <v>40248</v>
      </c>
      <c r="F6305" t="s">
        <v>40514</v>
      </c>
      <c r="G6305" t="s">
        <v>40757</v>
      </c>
      <c r="H6305" t="s">
        <v>868</v>
      </c>
      <c r="I6305" t="s">
        <v>869</v>
      </c>
      <c r="J6305" t="str">
        <f>"9120269"</f>
        <v>9120269</v>
      </c>
      <c r="K6305">
        <v>2221028437</v>
      </c>
      <c r="L6305">
        <v>2221028437</v>
      </c>
      <c r="M6305" t="s">
        <v>41674</v>
      </c>
      <c r="N6305" t="s">
        <v>40760</v>
      </c>
      <c r="O6305" t="s">
        <v>41675</v>
      </c>
      <c r="P6305">
        <v>34100</v>
      </c>
      <c r="Q6305" t="str">
        <f>"38.470607"</f>
        <v>38.470607</v>
      </c>
      <c r="R6305" t="str">
        <f>"23.608977"</f>
        <v>23.608977</v>
      </c>
      <c r="S6305" t="s">
        <v>26</v>
      </c>
    </row>
    <row r="6306" spans="1:19" x14ac:dyDescent="0.3">
      <c r="A6306" t="s">
        <v>40240</v>
      </c>
      <c r="B6306" t="s">
        <v>41596</v>
      </c>
      <c r="C6306" t="s">
        <v>41676</v>
      </c>
      <c r="D6306" t="s">
        <v>40247</v>
      </c>
      <c r="E6306" t="s">
        <v>40248</v>
      </c>
      <c r="F6306" t="s">
        <v>40248</v>
      </c>
      <c r="G6306" t="s">
        <v>40248</v>
      </c>
      <c r="H6306" t="s">
        <v>868</v>
      </c>
      <c r="I6306" t="s">
        <v>869</v>
      </c>
      <c r="J6306" t="str">
        <f>"9120209"</f>
        <v>9120209</v>
      </c>
      <c r="K6306">
        <v>2221092322</v>
      </c>
      <c r="L6306">
        <v>2221092322</v>
      </c>
      <c r="M6306" t="s">
        <v>41677</v>
      </c>
      <c r="N6306" t="s">
        <v>41627</v>
      </c>
      <c r="O6306" t="s">
        <v>3005</v>
      </c>
      <c r="P6306">
        <v>34100</v>
      </c>
      <c r="Q6306" t="str">
        <f>"38.465539"</f>
        <v>38.465539</v>
      </c>
      <c r="R6306" t="str">
        <f>"23.655024"</f>
        <v>23.655024</v>
      </c>
      <c r="S6306" t="s">
        <v>26</v>
      </c>
    </row>
    <row r="6307" spans="1:19" x14ac:dyDescent="0.3">
      <c r="A6307" t="s">
        <v>40240</v>
      </c>
      <c r="B6307" t="s">
        <v>41596</v>
      </c>
      <c r="C6307" t="s">
        <v>40557</v>
      </c>
      <c r="D6307" t="s">
        <v>40247</v>
      </c>
      <c r="E6307" t="s">
        <v>40248</v>
      </c>
      <c r="F6307" t="s">
        <v>40248</v>
      </c>
      <c r="G6307" t="s">
        <v>40248</v>
      </c>
      <c r="H6307" t="s">
        <v>868</v>
      </c>
      <c r="I6307" t="s">
        <v>869</v>
      </c>
      <c r="J6307" t="str">
        <f>"9120434"</f>
        <v>9120434</v>
      </c>
      <c r="K6307">
        <v>2221086216</v>
      </c>
      <c r="L6307">
        <v>2221060372</v>
      </c>
      <c r="M6307" t="s">
        <v>41678</v>
      </c>
      <c r="N6307" t="s">
        <v>40536</v>
      </c>
      <c r="O6307" t="s">
        <v>41679</v>
      </c>
      <c r="P6307">
        <v>34100</v>
      </c>
      <c r="Q6307" t="str">
        <f>"38.456958"</f>
        <v>38.456958</v>
      </c>
      <c r="R6307" t="str">
        <f>"23.599544"</f>
        <v>23.599544</v>
      </c>
      <c r="S6307" t="s">
        <v>26</v>
      </c>
    </row>
    <row r="6308" spans="1:19" x14ac:dyDescent="0.3">
      <c r="A6308" t="s">
        <v>40240</v>
      </c>
      <c r="B6308" t="s">
        <v>41596</v>
      </c>
      <c r="C6308" t="s">
        <v>41684</v>
      </c>
      <c r="D6308" t="s">
        <v>40247</v>
      </c>
      <c r="E6308" t="s">
        <v>40589</v>
      </c>
      <c r="F6308" t="s">
        <v>40748</v>
      </c>
      <c r="G6308" t="s">
        <v>41683</v>
      </c>
      <c r="H6308" t="s">
        <v>868</v>
      </c>
      <c r="I6308" t="s">
        <v>950</v>
      </c>
      <c r="J6308" t="str">
        <f>"9120166"</f>
        <v>9120166</v>
      </c>
      <c r="K6308">
        <v>2223053141</v>
      </c>
      <c r="L6308">
        <v>2223053141</v>
      </c>
      <c r="M6308" t="s">
        <v>41685</v>
      </c>
      <c r="N6308" t="s">
        <v>41686</v>
      </c>
      <c r="O6308" t="s">
        <v>41686</v>
      </c>
      <c r="P6308">
        <v>34017</v>
      </c>
      <c r="Q6308" t="str">
        <f>"38.303219"</f>
        <v>38.303219</v>
      </c>
      <c r="R6308" t="str">
        <f>"24.190603"</f>
        <v>24.190603</v>
      </c>
      <c r="S6308" t="s">
        <v>26</v>
      </c>
    </row>
    <row r="6309" spans="1:19" x14ac:dyDescent="0.3">
      <c r="A6309" t="s">
        <v>40240</v>
      </c>
      <c r="B6309" t="s">
        <v>41596</v>
      </c>
      <c r="C6309" t="s">
        <v>41695</v>
      </c>
      <c r="D6309" t="s">
        <v>40247</v>
      </c>
      <c r="E6309" t="s">
        <v>40248</v>
      </c>
      <c r="F6309" t="s">
        <v>40248</v>
      </c>
      <c r="G6309" t="s">
        <v>40248</v>
      </c>
      <c r="H6309" t="s">
        <v>868</v>
      </c>
      <c r="I6309" t="s">
        <v>869</v>
      </c>
      <c r="J6309" t="str">
        <f>"9120409"</f>
        <v>9120409</v>
      </c>
      <c r="K6309">
        <v>2221092645</v>
      </c>
      <c r="L6309">
        <v>2221092645</v>
      </c>
      <c r="M6309" t="s">
        <v>41696</v>
      </c>
      <c r="N6309" t="s">
        <v>40536</v>
      </c>
      <c r="O6309" t="s">
        <v>41697</v>
      </c>
      <c r="P6309">
        <v>34100</v>
      </c>
      <c r="Q6309" t="str">
        <f>"38.462481"</f>
        <v>38.462481</v>
      </c>
      <c r="R6309" t="str">
        <f>"23.643466"</f>
        <v>23.643466</v>
      </c>
      <c r="S6309" t="s">
        <v>26</v>
      </c>
    </row>
    <row r="6310" spans="1:19" x14ac:dyDescent="0.3">
      <c r="A6310" t="s">
        <v>40240</v>
      </c>
      <c r="B6310" t="s">
        <v>41596</v>
      </c>
      <c r="C6310" t="s">
        <v>41699</v>
      </c>
      <c r="D6310" t="s">
        <v>40247</v>
      </c>
      <c r="E6310" t="s">
        <v>40566</v>
      </c>
      <c r="F6310" t="s">
        <v>40682</v>
      </c>
      <c r="G6310" t="s">
        <v>41698</v>
      </c>
      <c r="H6310" t="s">
        <v>868</v>
      </c>
      <c r="I6310" t="s">
        <v>950</v>
      </c>
      <c r="J6310" t="str">
        <f>"9120022"</f>
        <v>9120022</v>
      </c>
      <c r="K6310">
        <v>2226041425</v>
      </c>
      <c r="L6310">
        <v>2226041425</v>
      </c>
      <c r="M6310" t="s">
        <v>41700</v>
      </c>
      <c r="N6310" t="s">
        <v>41701</v>
      </c>
      <c r="O6310" t="s">
        <v>41701</v>
      </c>
      <c r="P6310">
        <v>34200</v>
      </c>
      <c r="Q6310" t="str">
        <f>"39.002208"</f>
        <v>39.002208</v>
      </c>
      <c r="R6310" t="str">
        <f>"23.202366"</f>
        <v>23.202366</v>
      </c>
      <c r="S6310" t="s">
        <v>26</v>
      </c>
    </row>
    <row r="6311" spans="1:19" x14ac:dyDescent="0.3">
      <c r="A6311" t="s">
        <v>40240</v>
      </c>
      <c r="B6311" t="s">
        <v>41596</v>
      </c>
      <c r="C6311" t="s">
        <v>40662</v>
      </c>
      <c r="D6311" t="s">
        <v>40247</v>
      </c>
      <c r="E6311" t="s">
        <v>40526</v>
      </c>
      <c r="F6311" t="s">
        <v>40527</v>
      </c>
      <c r="G6311" t="s">
        <v>40528</v>
      </c>
      <c r="H6311" t="s">
        <v>868</v>
      </c>
      <c r="I6311" t="s">
        <v>869</v>
      </c>
      <c r="J6311" t="str">
        <f>"9120234"</f>
        <v>9120234</v>
      </c>
      <c r="K6311">
        <v>2228022528</v>
      </c>
      <c r="L6311">
        <v>2228029083</v>
      </c>
      <c r="M6311" t="s">
        <v>41702</v>
      </c>
      <c r="N6311" t="s">
        <v>40660</v>
      </c>
      <c r="O6311" t="s">
        <v>41703</v>
      </c>
      <c r="P6311">
        <v>34400</v>
      </c>
      <c r="Q6311" t="str">
        <f>"38.576903"</f>
        <v>38.576903</v>
      </c>
      <c r="R6311" t="str">
        <f>"23.643496"</f>
        <v>23.643496</v>
      </c>
      <c r="S6311" t="s">
        <v>26</v>
      </c>
    </row>
    <row r="6312" spans="1:19" x14ac:dyDescent="0.3">
      <c r="A6312" t="s">
        <v>40240</v>
      </c>
      <c r="B6312" t="s">
        <v>41596</v>
      </c>
      <c r="C6312" t="s">
        <v>41704</v>
      </c>
      <c r="D6312" t="s">
        <v>40247</v>
      </c>
      <c r="E6312" t="s">
        <v>40566</v>
      </c>
      <c r="F6312" t="s">
        <v>40682</v>
      </c>
      <c r="G6312" t="s">
        <v>40682</v>
      </c>
      <c r="H6312" t="s">
        <v>868</v>
      </c>
      <c r="I6312" t="s">
        <v>869</v>
      </c>
      <c r="J6312" t="str">
        <f>"9120021"</f>
        <v>9120021</v>
      </c>
      <c r="K6312">
        <v>2226041355</v>
      </c>
      <c r="L6312">
        <v>2226041355</v>
      </c>
      <c r="M6312" t="s">
        <v>41705</v>
      </c>
      <c r="N6312" t="s">
        <v>41706</v>
      </c>
      <c r="O6312" t="s">
        <v>41706</v>
      </c>
      <c r="P6312">
        <v>34200</v>
      </c>
      <c r="Q6312" t="str">
        <f>"39.007312"</f>
        <v>39.007312</v>
      </c>
      <c r="R6312" t="str">
        <f>"23.211930"</f>
        <v>23.211930</v>
      </c>
      <c r="S6312" t="s">
        <v>26</v>
      </c>
    </row>
    <row r="6313" spans="1:19" x14ac:dyDescent="0.3">
      <c r="A6313" t="s">
        <v>40240</v>
      </c>
      <c r="B6313" t="s">
        <v>41596</v>
      </c>
      <c r="C6313" t="s">
        <v>40818</v>
      </c>
      <c r="D6313" t="s">
        <v>40247</v>
      </c>
      <c r="E6313" t="s">
        <v>40248</v>
      </c>
      <c r="F6313" t="s">
        <v>40809</v>
      </c>
      <c r="G6313" t="s">
        <v>2808</v>
      </c>
      <c r="H6313" t="s">
        <v>868</v>
      </c>
      <c r="I6313" t="s">
        <v>869</v>
      </c>
      <c r="J6313" t="str">
        <f>"9120311"</f>
        <v>9120311</v>
      </c>
      <c r="K6313">
        <v>2221098215</v>
      </c>
      <c r="L6313">
        <v>2221097131</v>
      </c>
      <c r="M6313" t="s">
        <v>41707</v>
      </c>
      <c r="N6313" t="s">
        <v>40829</v>
      </c>
      <c r="O6313" t="s">
        <v>41708</v>
      </c>
      <c r="P6313">
        <v>34100</v>
      </c>
      <c r="Q6313" t="str">
        <f>"38.483925"</f>
        <v>38.483925</v>
      </c>
      <c r="R6313" t="str">
        <f>"23.551058"</f>
        <v>23.551058</v>
      </c>
      <c r="S6313" t="s">
        <v>26</v>
      </c>
    </row>
    <row r="6314" spans="1:19" x14ac:dyDescent="0.3">
      <c r="A6314" t="s">
        <v>40240</v>
      </c>
      <c r="B6314" t="s">
        <v>41596</v>
      </c>
      <c r="C6314" t="s">
        <v>41711</v>
      </c>
      <c r="D6314" t="s">
        <v>40247</v>
      </c>
      <c r="E6314" t="s">
        <v>40506</v>
      </c>
      <c r="F6314" t="s">
        <v>41709</v>
      </c>
      <c r="G6314" t="s">
        <v>41710</v>
      </c>
      <c r="H6314" t="s">
        <v>868</v>
      </c>
      <c r="I6314" t="s">
        <v>950</v>
      </c>
      <c r="J6314" t="str">
        <f>"9120106"</f>
        <v>9120106</v>
      </c>
      <c r="K6314">
        <v>2224025779</v>
      </c>
      <c r="M6314" t="s">
        <v>41712</v>
      </c>
      <c r="N6314" t="s">
        <v>41713</v>
      </c>
      <c r="O6314" t="s">
        <v>41713</v>
      </c>
      <c r="P6314">
        <v>34001</v>
      </c>
      <c r="Q6314" t="str">
        <f>"38.068972"</f>
        <v>38.068972</v>
      </c>
      <c r="R6314" t="str">
        <f>"24.538288"</f>
        <v>24.538288</v>
      </c>
      <c r="S6314" t="s">
        <v>57</v>
      </c>
    </row>
    <row r="6315" spans="1:19" x14ac:dyDescent="0.3">
      <c r="A6315" t="s">
        <v>40240</v>
      </c>
      <c r="B6315" t="s">
        <v>41596</v>
      </c>
      <c r="C6315" t="s">
        <v>41717</v>
      </c>
      <c r="D6315" t="s">
        <v>40247</v>
      </c>
      <c r="E6315" t="s">
        <v>40566</v>
      </c>
      <c r="F6315" t="s">
        <v>40567</v>
      </c>
      <c r="G6315" t="s">
        <v>41716</v>
      </c>
      <c r="H6315" t="s">
        <v>868</v>
      </c>
      <c r="I6315" t="s">
        <v>950</v>
      </c>
      <c r="J6315" t="str">
        <f>"9120037"</f>
        <v>9120037</v>
      </c>
      <c r="K6315">
        <v>2226047333</v>
      </c>
      <c r="L6315">
        <v>2226047333</v>
      </c>
      <c r="M6315" t="s">
        <v>41718</v>
      </c>
      <c r="N6315" t="s">
        <v>41719</v>
      </c>
      <c r="O6315" t="s">
        <v>41719</v>
      </c>
      <c r="P6315">
        <v>34200</v>
      </c>
      <c r="Q6315" t="str">
        <f>"38.928535"</f>
        <v>38.928535</v>
      </c>
      <c r="R6315" t="str">
        <f>"23.283634"</f>
        <v>23.283634</v>
      </c>
      <c r="S6315" t="s">
        <v>57</v>
      </c>
    </row>
    <row r="6316" spans="1:19" x14ac:dyDescent="0.3">
      <c r="A6316" t="s">
        <v>40240</v>
      </c>
      <c r="B6316" t="s">
        <v>41596</v>
      </c>
      <c r="C6316" t="s">
        <v>41720</v>
      </c>
      <c r="D6316" t="s">
        <v>40247</v>
      </c>
      <c r="E6316" t="s">
        <v>22629</v>
      </c>
      <c r="F6316" t="s">
        <v>22629</v>
      </c>
      <c r="G6316" t="s">
        <v>22629</v>
      </c>
      <c r="H6316" t="s">
        <v>868</v>
      </c>
      <c r="I6316" t="s">
        <v>950</v>
      </c>
      <c r="J6316" t="str">
        <f>"9120250"</f>
        <v>9120250</v>
      </c>
      <c r="K6316">
        <v>2229068671</v>
      </c>
      <c r="L6316">
        <v>2229068671</v>
      </c>
      <c r="M6316" t="s">
        <v>41721</v>
      </c>
      <c r="N6316" t="s">
        <v>41722</v>
      </c>
      <c r="O6316" t="s">
        <v>41722</v>
      </c>
      <c r="P6316">
        <v>34008</v>
      </c>
      <c r="Q6316" t="str">
        <f>"38.405948"</f>
        <v>38.405948</v>
      </c>
      <c r="R6316" t="str">
        <f>"23.746253"</f>
        <v>23.746253</v>
      </c>
      <c r="S6316" t="s">
        <v>26</v>
      </c>
    </row>
    <row r="6317" spans="1:19" x14ac:dyDescent="0.3">
      <c r="A6317" t="s">
        <v>40240</v>
      </c>
      <c r="B6317" t="s">
        <v>41596</v>
      </c>
      <c r="C6317" t="s">
        <v>40651</v>
      </c>
      <c r="D6317" t="s">
        <v>40247</v>
      </c>
      <c r="E6317" t="s">
        <v>40248</v>
      </c>
      <c r="F6317" t="s">
        <v>40248</v>
      </c>
      <c r="G6317" t="s">
        <v>40248</v>
      </c>
      <c r="H6317" t="s">
        <v>868</v>
      </c>
      <c r="I6317" t="s">
        <v>869</v>
      </c>
      <c r="J6317" t="str">
        <f>"9120433"</f>
        <v>9120433</v>
      </c>
      <c r="K6317">
        <v>2221082213</v>
      </c>
      <c r="L6317">
        <v>2221023394</v>
      </c>
      <c r="M6317" t="s">
        <v>41723</v>
      </c>
      <c r="N6317" t="s">
        <v>40536</v>
      </c>
      <c r="O6317" t="s">
        <v>41724</v>
      </c>
      <c r="P6317">
        <v>34100</v>
      </c>
      <c r="Q6317" t="str">
        <f>"38.465934"</f>
        <v>38.465934</v>
      </c>
      <c r="R6317" t="str">
        <f>"23.605546"</f>
        <v>23.605546</v>
      </c>
      <c r="S6317" t="s">
        <v>26</v>
      </c>
    </row>
    <row r="6318" spans="1:19" x14ac:dyDescent="0.3">
      <c r="A6318" t="s">
        <v>40240</v>
      </c>
      <c r="B6318" t="s">
        <v>41596</v>
      </c>
      <c r="C6318" t="s">
        <v>41737</v>
      </c>
      <c r="D6318" t="s">
        <v>40247</v>
      </c>
      <c r="E6318" t="s">
        <v>40248</v>
      </c>
      <c r="F6318" t="s">
        <v>40249</v>
      </c>
      <c r="G6318" t="s">
        <v>40249</v>
      </c>
      <c r="H6318" t="s">
        <v>868</v>
      </c>
      <c r="I6318" t="s">
        <v>869</v>
      </c>
      <c r="J6318" t="str">
        <f>"9120421"</f>
        <v>9120421</v>
      </c>
      <c r="K6318">
        <v>2221043331</v>
      </c>
      <c r="L6318">
        <v>2221061639</v>
      </c>
      <c r="M6318" t="s">
        <v>41738</v>
      </c>
      <c r="N6318" t="s">
        <v>40252</v>
      </c>
      <c r="O6318" t="s">
        <v>41739</v>
      </c>
      <c r="P6318">
        <v>34600</v>
      </c>
      <c r="Q6318" t="str">
        <f>"38.521515"</f>
        <v>38.521515</v>
      </c>
      <c r="R6318" t="str">
        <f>"23.634864"</f>
        <v>23.634864</v>
      </c>
      <c r="S6318" t="s">
        <v>26</v>
      </c>
    </row>
    <row r="6319" spans="1:19" x14ac:dyDescent="0.3">
      <c r="A6319" t="s">
        <v>40240</v>
      </c>
      <c r="B6319" t="s">
        <v>41596</v>
      </c>
      <c r="C6319" t="s">
        <v>41741</v>
      </c>
      <c r="D6319" t="s">
        <v>40247</v>
      </c>
      <c r="E6319" t="s">
        <v>40566</v>
      </c>
      <c r="F6319" t="s">
        <v>41740</v>
      </c>
      <c r="G6319" t="s">
        <v>32115</v>
      </c>
      <c r="H6319" t="s">
        <v>868</v>
      </c>
      <c r="I6319" t="s">
        <v>950</v>
      </c>
      <c r="J6319" t="str">
        <f>"9120045"</f>
        <v>9120045</v>
      </c>
      <c r="K6319">
        <v>2226071469</v>
      </c>
      <c r="M6319" t="s">
        <v>41742</v>
      </c>
      <c r="N6319" t="s">
        <v>41743</v>
      </c>
      <c r="O6319" t="s">
        <v>32118</v>
      </c>
      <c r="P6319">
        <v>34012</v>
      </c>
      <c r="Q6319" t="str">
        <f>"38.919015"</f>
        <v>38.919015</v>
      </c>
      <c r="R6319" t="str">
        <f>"23.110786"</f>
        <v>23.110786</v>
      </c>
      <c r="S6319" t="s">
        <v>26</v>
      </c>
    </row>
    <row r="6320" spans="1:19" x14ac:dyDescent="0.3">
      <c r="A6320" t="s">
        <v>40240</v>
      </c>
      <c r="B6320" t="s">
        <v>41596</v>
      </c>
      <c r="C6320" t="s">
        <v>41744</v>
      </c>
      <c r="D6320" t="s">
        <v>40247</v>
      </c>
      <c r="E6320" t="s">
        <v>40248</v>
      </c>
      <c r="F6320" t="s">
        <v>40248</v>
      </c>
      <c r="G6320" t="s">
        <v>40248</v>
      </c>
      <c r="H6320" t="s">
        <v>868</v>
      </c>
      <c r="I6320" t="s">
        <v>869</v>
      </c>
      <c r="J6320" t="str">
        <f>"9120232"</f>
        <v>9120232</v>
      </c>
      <c r="K6320">
        <v>2221023200</v>
      </c>
      <c r="L6320">
        <v>2221023200</v>
      </c>
      <c r="M6320" t="s">
        <v>41745</v>
      </c>
      <c r="N6320" t="s">
        <v>40536</v>
      </c>
      <c r="O6320" t="s">
        <v>41746</v>
      </c>
      <c r="P6320">
        <v>34100</v>
      </c>
      <c r="Q6320" t="str">
        <f>"38.469631"</f>
        <v>38.469631</v>
      </c>
      <c r="R6320" t="str">
        <f>"23.588022"</f>
        <v>23.588022</v>
      </c>
      <c r="S6320" t="s">
        <v>26</v>
      </c>
    </row>
    <row r="6321" spans="1:19" x14ac:dyDescent="0.3">
      <c r="A6321" t="s">
        <v>40240</v>
      </c>
      <c r="B6321" t="s">
        <v>41596</v>
      </c>
      <c r="C6321" t="s">
        <v>41747</v>
      </c>
      <c r="D6321" t="s">
        <v>40247</v>
      </c>
      <c r="E6321" t="s">
        <v>40248</v>
      </c>
      <c r="F6321" t="s">
        <v>40248</v>
      </c>
      <c r="G6321" t="s">
        <v>40248</v>
      </c>
      <c r="H6321" t="s">
        <v>868</v>
      </c>
      <c r="I6321" t="s">
        <v>869</v>
      </c>
      <c r="J6321" t="str">
        <f>"9120214"</f>
        <v>9120214</v>
      </c>
      <c r="K6321">
        <v>2221023180</v>
      </c>
      <c r="L6321">
        <v>2221074613</v>
      </c>
      <c r="M6321" t="s">
        <v>41748</v>
      </c>
      <c r="N6321" t="s">
        <v>40536</v>
      </c>
      <c r="O6321" t="s">
        <v>41736</v>
      </c>
      <c r="P6321">
        <v>34132</v>
      </c>
      <c r="Q6321" t="str">
        <f>"38.462689"</f>
        <v>38.462689</v>
      </c>
      <c r="R6321" t="str">
        <f>"23.610746"</f>
        <v>23.610746</v>
      </c>
      <c r="S6321" t="s">
        <v>26</v>
      </c>
    </row>
    <row r="6322" spans="1:19" x14ac:dyDescent="0.3">
      <c r="A6322" t="s">
        <v>40240</v>
      </c>
      <c r="B6322" t="s">
        <v>41596</v>
      </c>
      <c r="C6322" t="s">
        <v>41750</v>
      </c>
      <c r="D6322" t="s">
        <v>40247</v>
      </c>
      <c r="E6322" t="s">
        <v>40566</v>
      </c>
      <c r="F6322" t="s">
        <v>40682</v>
      </c>
      <c r="G6322" t="s">
        <v>41749</v>
      </c>
      <c r="H6322" t="s">
        <v>868</v>
      </c>
      <c r="I6322" t="s">
        <v>950</v>
      </c>
      <c r="J6322" t="str">
        <f>"9120016"</f>
        <v>9120016</v>
      </c>
      <c r="K6322">
        <v>2226055650</v>
      </c>
      <c r="M6322" t="s">
        <v>41751</v>
      </c>
      <c r="N6322" t="s">
        <v>41752</v>
      </c>
      <c r="O6322" t="s">
        <v>41753</v>
      </c>
      <c r="P6322">
        <v>34200</v>
      </c>
      <c r="Q6322" t="str">
        <f>"38.960226"</f>
        <v>38.960226</v>
      </c>
      <c r="R6322" t="str">
        <f>"23.292890"</f>
        <v>23.292890</v>
      </c>
      <c r="S6322" t="s">
        <v>57</v>
      </c>
    </row>
    <row r="6323" spans="1:19" x14ac:dyDescent="0.3">
      <c r="A6323" t="s">
        <v>40240</v>
      </c>
      <c r="B6323" t="s">
        <v>41596</v>
      </c>
      <c r="C6323" t="s">
        <v>40678</v>
      </c>
      <c r="D6323" t="s">
        <v>40247</v>
      </c>
      <c r="E6323" t="s">
        <v>40566</v>
      </c>
      <c r="F6323" t="s">
        <v>41762</v>
      </c>
      <c r="G6323" t="s">
        <v>41762</v>
      </c>
      <c r="H6323" t="s">
        <v>868</v>
      </c>
      <c r="I6323" t="s">
        <v>869</v>
      </c>
      <c r="J6323" t="str">
        <f>"9120038"</f>
        <v>9120038</v>
      </c>
      <c r="K6323">
        <v>2226033270</v>
      </c>
      <c r="L6323">
        <v>2226033129</v>
      </c>
      <c r="M6323" t="s">
        <v>41763</v>
      </c>
      <c r="N6323" t="s">
        <v>41764</v>
      </c>
      <c r="O6323" t="s">
        <v>41764</v>
      </c>
      <c r="P6323">
        <v>34300</v>
      </c>
      <c r="Q6323" t="str">
        <f>"38.838988"</f>
        <v>38.838988</v>
      </c>
      <c r="R6323" t="str">
        <f>"22.886296"</f>
        <v>22.886296</v>
      </c>
      <c r="S6323" t="s">
        <v>26</v>
      </c>
    </row>
    <row r="6324" spans="1:19" x14ac:dyDescent="0.3">
      <c r="A6324" t="s">
        <v>40240</v>
      </c>
      <c r="B6324" t="s">
        <v>41596</v>
      </c>
      <c r="C6324" t="s">
        <v>41766</v>
      </c>
      <c r="D6324" t="s">
        <v>40247</v>
      </c>
      <c r="E6324" t="s">
        <v>40526</v>
      </c>
      <c r="F6324" t="s">
        <v>40527</v>
      </c>
      <c r="G6324" t="s">
        <v>41765</v>
      </c>
      <c r="H6324" t="s">
        <v>868</v>
      </c>
      <c r="I6324" t="s">
        <v>869</v>
      </c>
      <c r="J6324" t="str">
        <f>"9120255"</f>
        <v>9120255</v>
      </c>
      <c r="K6324">
        <v>2228022792</v>
      </c>
      <c r="L6324">
        <v>2228022792</v>
      </c>
      <c r="M6324" t="s">
        <v>41767</v>
      </c>
      <c r="N6324" t="s">
        <v>41768</v>
      </c>
      <c r="O6324" t="s">
        <v>41768</v>
      </c>
      <c r="P6324">
        <v>34400</v>
      </c>
      <c r="Q6324" t="str">
        <f>"38.568780"</f>
        <v>38.568780</v>
      </c>
      <c r="R6324" t="str">
        <f>"23.630810"</f>
        <v>23.630810</v>
      </c>
      <c r="S6324" t="s">
        <v>26</v>
      </c>
    </row>
    <row r="6325" spans="1:19" x14ac:dyDescent="0.3">
      <c r="A6325" t="s">
        <v>40240</v>
      </c>
      <c r="B6325" t="s">
        <v>41596</v>
      </c>
      <c r="C6325" t="s">
        <v>41772</v>
      </c>
      <c r="D6325" t="s">
        <v>40247</v>
      </c>
      <c r="E6325" t="s">
        <v>40248</v>
      </c>
      <c r="F6325" t="s">
        <v>40249</v>
      </c>
      <c r="G6325" t="s">
        <v>40249</v>
      </c>
      <c r="H6325" t="s">
        <v>868</v>
      </c>
      <c r="I6325" t="s">
        <v>869</v>
      </c>
      <c r="J6325" t="str">
        <f>"9120450"</f>
        <v>9120450</v>
      </c>
      <c r="K6325">
        <v>2221044102</v>
      </c>
      <c r="L6325">
        <v>2221061693</v>
      </c>
      <c r="M6325" t="s">
        <v>41773</v>
      </c>
      <c r="N6325" t="s">
        <v>41774</v>
      </c>
      <c r="O6325" t="s">
        <v>41775</v>
      </c>
      <c r="P6325">
        <v>34600</v>
      </c>
      <c r="Q6325" t="str">
        <f>"38.515977"</f>
        <v>38.515977</v>
      </c>
      <c r="R6325" t="str">
        <f>"23.641673"</f>
        <v>23.641673</v>
      </c>
      <c r="S6325" t="s">
        <v>26</v>
      </c>
    </row>
    <row r="6326" spans="1:19" x14ac:dyDescent="0.3">
      <c r="A6326" t="s">
        <v>40240</v>
      </c>
      <c r="B6326" t="s">
        <v>41596</v>
      </c>
      <c r="C6326" t="s">
        <v>40744</v>
      </c>
      <c r="D6326" t="s">
        <v>40247</v>
      </c>
      <c r="E6326" t="s">
        <v>40506</v>
      </c>
      <c r="F6326" t="s">
        <v>40739</v>
      </c>
      <c r="G6326" t="s">
        <v>40739</v>
      </c>
      <c r="H6326" t="s">
        <v>868</v>
      </c>
      <c r="I6326" t="s">
        <v>869</v>
      </c>
      <c r="J6326" t="str">
        <f>"9120107"</f>
        <v>9120107</v>
      </c>
      <c r="K6326">
        <v>2224031587</v>
      </c>
      <c r="L6326">
        <v>2224031587</v>
      </c>
      <c r="M6326" t="s">
        <v>41788</v>
      </c>
      <c r="N6326" t="s">
        <v>40743</v>
      </c>
      <c r="O6326" t="s">
        <v>40743</v>
      </c>
      <c r="P6326">
        <v>34013</v>
      </c>
      <c r="Q6326" t="str">
        <f>"38.049152"</f>
        <v>38.049152</v>
      </c>
      <c r="R6326" t="str">
        <f>"24.321740"</f>
        <v>24.321740</v>
      </c>
      <c r="S6326" t="s">
        <v>26</v>
      </c>
    </row>
    <row r="6327" spans="1:19" x14ac:dyDescent="0.3">
      <c r="A6327" t="s">
        <v>40240</v>
      </c>
      <c r="B6327" t="s">
        <v>41596</v>
      </c>
      <c r="C6327" t="s">
        <v>41800</v>
      </c>
      <c r="D6327" t="s">
        <v>40247</v>
      </c>
      <c r="E6327" t="s">
        <v>40566</v>
      </c>
      <c r="F6327" t="s">
        <v>40567</v>
      </c>
      <c r="G6327" t="s">
        <v>40567</v>
      </c>
      <c r="H6327" t="s">
        <v>868</v>
      </c>
      <c r="I6327" t="s">
        <v>950</v>
      </c>
      <c r="J6327" t="str">
        <f>"9120007"</f>
        <v>9120007</v>
      </c>
      <c r="K6327">
        <v>2226052737</v>
      </c>
      <c r="L6327">
        <v>2226052737</v>
      </c>
      <c r="M6327" t="s">
        <v>41801</v>
      </c>
      <c r="N6327" t="s">
        <v>41802</v>
      </c>
      <c r="O6327" t="s">
        <v>41802</v>
      </c>
      <c r="P6327">
        <v>34200</v>
      </c>
      <c r="Q6327" t="str">
        <f>"38.989137"</f>
        <v>38.989137</v>
      </c>
      <c r="R6327" t="str">
        <f>"23.253078"</f>
        <v>23.253078</v>
      </c>
      <c r="S6327" t="s">
        <v>26</v>
      </c>
    </row>
    <row r="6328" spans="1:19" x14ac:dyDescent="0.3">
      <c r="A6328" t="s">
        <v>40240</v>
      </c>
      <c r="B6328" t="s">
        <v>41596</v>
      </c>
      <c r="C6328" t="s">
        <v>41804</v>
      </c>
      <c r="D6328" t="s">
        <v>40247</v>
      </c>
      <c r="E6328" t="s">
        <v>40526</v>
      </c>
      <c r="F6328" t="s">
        <v>40527</v>
      </c>
      <c r="G6328" t="s">
        <v>41803</v>
      </c>
      <c r="H6328" t="s">
        <v>868</v>
      </c>
      <c r="I6328" t="s">
        <v>869</v>
      </c>
      <c r="J6328" t="str">
        <f>"9120275"</f>
        <v>9120275</v>
      </c>
      <c r="K6328">
        <v>2228031012</v>
      </c>
      <c r="L6328">
        <v>2228031012</v>
      </c>
      <c r="M6328" t="s">
        <v>41805</v>
      </c>
      <c r="N6328" t="s">
        <v>41806</v>
      </c>
      <c r="O6328" t="s">
        <v>41806</v>
      </c>
      <c r="P6328">
        <v>34400</v>
      </c>
      <c r="Q6328" t="str">
        <f>"38.594013"</f>
        <v>38.594013</v>
      </c>
      <c r="R6328" t="str">
        <f>"23.544035"</f>
        <v>23.544035</v>
      </c>
      <c r="S6328" t="s">
        <v>26</v>
      </c>
    </row>
    <row r="6329" spans="1:19" x14ac:dyDescent="0.3">
      <c r="A6329" t="s">
        <v>40240</v>
      </c>
      <c r="B6329" t="s">
        <v>41596</v>
      </c>
      <c r="C6329" t="s">
        <v>41818</v>
      </c>
      <c r="D6329" t="s">
        <v>40247</v>
      </c>
      <c r="E6329" t="s">
        <v>40539</v>
      </c>
      <c r="F6329" t="s">
        <v>40558</v>
      </c>
      <c r="G6329" t="s">
        <v>41817</v>
      </c>
      <c r="H6329" t="s">
        <v>868</v>
      </c>
      <c r="I6329" t="s">
        <v>869</v>
      </c>
      <c r="J6329" t="str">
        <f>"9120064"</f>
        <v>9120064</v>
      </c>
      <c r="K6329">
        <v>2227022444</v>
      </c>
      <c r="L6329">
        <v>2227022436</v>
      </c>
      <c r="M6329" t="s">
        <v>41819</v>
      </c>
      <c r="N6329" t="s">
        <v>41820</v>
      </c>
      <c r="O6329" t="s">
        <v>40563</v>
      </c>
      <c r="P6329">
        <v>34004</v>
      </c>
      <c r="Q6329" t="str">
        <f>"38.811286"</f>
        <v>38.811286</v>
      </c>
      <c r="R6329" t="str">
        <f>"23.446999"</f>
        <v>23.446999</v>
      </c>
      <c r="S6329" t="s">
        <v>26</v>
      </c>
    </row>
    <row r="6330" spans="1:19" x14ac:dyDescent="0.3">
      <c r="A6330" t="s">
        <v>40240</v>
      </c>
      <c r="B6330" t="s">
        <v>41596</v>
      </c>
      <c r="C6330" t="s">
        <v>41828</v>
      </c>
      <c r="D6330" t="s">
        <v>40247</v>
      </c>
      <c r="E6330" t="s">
        <v>40248</v>
      </c>
      <c r="F6330" t="s">
        <v>40249</v>
      </c>
      <c r="G6330" t="s">
        <v>40249</v>
      </c>
      <c r="H6330" t="s">
        <v>868</v>
      </c>
      <c r="I6330" t="s">
        <v>950</v>
      </c>
      <c r="J6330" t="str">
        <f>"9120267"</f>
        <v>9120267</v>
      </c>
      <c r="K6330">
        <v>2221042381</v>
      </c>
      <c r="L6330">
        <v>2221042381</v>
      </c>
      <c r="M6330" t="s">
        <v>41829</v>
      </c>
      <c r="N6330" t="s">
        <v>41671</v>
      </c>
      <c r="O6330" t="s">
        <v>41671</v>
      </c>
      <c r="P6330">
        <v>34600</v>
      </c>
      <c r="Q6330" t="str">
        <f>"38.523747"</f>
        <v>38.523747</v>
      </c>
      <c r="R6330" t="str">
        <f>"23.652710"</f>
        <v>23.652710</v>
      </c>
      <c r="S6330" t="s">
        <v>26</v>
      </c>
    </row>
    <row r="6331" spans="1:19" x14ac:dyDescent="0.3">
      <c r="A6331" t="s">
        <v>40240</v>
      </c>
      <c r="B6331" t="s">
        <v>41596</v>
      </c>
      <c r="C6331" t="s">
        <v>41832</v>
      </c>
      <c r="D6331" t="s">
        <v>40247</v>
      </c>
      <c r="E6331" t="s">
        <v>40526</v>
      </c>
      <c r="F6331" t="s">
        <v>40762</v>
      </c>
      <c r="G6331" t="s">
        <v>41779</v>
      </c>
      <c r="H6331" t="s">
        <v>868</v>
      </c>
      <c r="I6331" t="s">
        <v>950</v>
      </c>
      <c r="J6331" t="str">
        <f>"9120263"</f>
        <v>9120263</v>
      </c>
      <c r="K6331">
        <v>2221094282</v>
      </c>
      <c r="L6331">
        <v>2221094282</v>
      </c>
      <c r="M6331" t="s">
        <v>41833</v>
      </c>
      <c r="N6331" t="s">
        <v>41782</v>
      </c>
      <c r="O6331" t="s">
        <v>41782</v>
      </c>
      <c r="P6331">
        <v>34014</v>
      </c>
      <c r="Q6331" t="str">
        <f>"38.520313"</f>
        <v>38.520313</v>
      </c>
      <c r="R6331" t="str">
        <f>"23.836615"</f>
        <v>23.836615</v>
      </c>
      <c r="S6331" t="s">
        <v>26</v>
      </c>
    </row>
    <row r="6332" spans="1:19" x14ac:dyDescent="0.3">
      <c r="A6332" t="s">
        <v>40240</v>
      </c>
      <c r="B6332" t="s">
        <v>41596</v>
      </c>
      <c r="C6332" t="s">
        <v>41834</v>
      </c>
      <c r="D6332" t="s">
        <v>40247</v>
      </c>
      <c r="E6332" t="s">
        <v>40566</v>
      </c>
      <c r="F6332" t="s">
        <v>40582</v>
      </c>
      <c r="G6332" t="s">
        <v>41807</v>
      </c>
      <c r="H6332" t="s">
        <v>868</v>
      </c>
      <c r="I6332" t="s">
        <v>869</v>
      </c>
      <c r="J6332" t="str">
        <f>"9120018"</f>
        <v>9120018</v>
      </c>
      <c r="K6332">
        <v>2226031244</v>
      </c>
      <c r="L6332">
        <v>2226031244</v>
      </c>
      <c r="M6332" t="s">
        <v>41835</v>
      </c>
      <c r="N6332" t="s">
        <v>41836</v>
      </c>
      <c r="P6332">
        <v>34300</v>
      </c>
      <c r="Q6332" t="str">
        <f>"38.904198"</f>
        <v>38.904198</v>
      </c>
      <c r="R6332" t="str">
        <f>"23.060482"</f>
        <v>23.060482</v>
      </c>
      <c r="S6332" t="s">
        <v>26</v>
      </c>
    </row>
    <row r="6333" spans="1:19" x14ac:dyDescent="0.3">
      <c r="A6333" t="s">
        <v>40240</v>
      </c>
      <c r="B6333" t="s">
        <v>41596</v>
      </c>
      <c r="C6333" t="s">
        <v>41838</v>
      </c>
      <c r="D6333" t="s">
        <v>40247</v>
      </c>
      <c r="E6333" t="s">
        <v>40539</v>
      </c>
      <c r="F6333" t="s">
        <v>40617</v>
      </c>
      <c r="G6333" t="s">
        <v>41837</v>
      </c>
      <c r="H6333" t="s">
        <v>868</v>
      </c>
      <c r="I6333" t="s">
        <v>869</v>
      </c>
      <c r="J6333" t="str">
        <f>"9120077"</f>
        <v>9120077</v>
      </c>
      <c r="K6333">
        <v>2227071209</v>
      </c>
      <c r="L6333">
        <v>2227071210</v>
      </c>
      <c r="M6333" t="s">
        <v>41839</v>
      </c>
      <c r="N6333" t="s">
        <v>41840</v>
      </c>
      <c r="O6333" t="s">
        <v>41840</v>
      </c>
      <c r="P6333">
        <v>34005</v>
      </c>
      <c r="Q6333" t="str">
        <f>"38.813457"</f>
        <v>38.813457</v>
      </c>
      <c r="R6333" t="str">
        <f>"23.227318"</f>
        <v>23.227318</v>
      </c>
      <c r="S6333" t="s">
        <v>26</v>
      </c>
    </row>
    <row r="6334" spans="1:19" x14ac:dyDescent="0.3">
      <c r="A6334" t="s">
        <v>40240</v>
      </c>
      <c r="B6334" t="s">
        <v>41596</v>
      </c>
      <c r="C6334" t="s">
        <v>41846</v>
      </c>
      <c r="D6334" t="s">
        <v>40247</v>
      </c>
      <c r="E6334" t="s">
        <v>40526</v>
      </c>
      <c r="F6334" t="s">
        <v>40762</v>
      </c>
      <c r="G6334" t="s">
        <v>41845</v>
      </c>
      <c r="H6334" t="s">
        <v>868</v>
      </c>
      <c r="I6334" t="s">
        <v>950</v>
      </c>
      <c r="J6334" t="str">
        <f>"9120276"</f>
        <v>9120276</v>
      </c>
      <c r="K6334">
        <v>2221095425</v>
      </c>
      <c r="L6334">
        <v>2221095425</v>
      </c>
      <c r="M6334" t="s">
        <v>41847</v>
      </c>
      <c r="N6334" t="s">
        <v>41848</v>
      </c>
      <c r="P6334">
        <v>34014</v>
      </c>
      <c r="Q6334" t="str">
        <f>"38.513532"</f>
        <v>38.513532</v>
      </c>
      <c r="R6334" t="str">
        <f>"23.780467"</f>
        <v>23.780467</v>
      </c>
      <c r="S6334" t="s">
        <v>26</v>
      </c>
    </row>
    <row r="6335" spans="1:19" x14ac:dyDescent="0.3">
      <c r="A6335" t="s">
        <v>40240</v>
      </c>
      <c r="B6335" t="s">
        <v>41596</v>
      </c>
      <c r="C6335" t="s">
        <v>40779</v>
      </c>
      <c r="D6335" t="s">
        <v>40247</v>
      </c>
      <c r="E6335" t="s">
        <v>40526</v>
      </c>
      <c r="F6335" t="s">
        <v>40762</v>
      </c>
      <c r="G6335" t="s">
        <v>41851</v>
      </c>
      <c r="H6335" t="s">
        <v>868</v>
      </c>
      <c r="I6335" t="s">
        <v>950</v>
      </c>
      <c r="J6335" t="str">
        <f>"9120281"</f>
        <v>9120281</v>
      </c>
      <c r="K6335">
        <v>2228025035</v>
      </c>
      <c r="L6335">
        <v>2228025035</v>
      </c>
      <c r="M6335" t="s">
        <v>41852</v>
      </c>
      <c r="N6335" t="s">
        <v>41853</v>
      </c>
      <c r="O6335" t="s">
        <v>41853</v>
      </c>
      <c r="P6335">
        <v>34014</v>
      </c>
      <c r="Q6335" t="str">
        <f>"38.542677"</f>
        <v>38.542677</v>
      </c>
      <c r="R6335" t="str">
        <f>"23.765330"</f>
        <v>23.765330</v>
      </c>
      <c r="S6335" t="s">
        <v>26</v>
      </c>
    </row>
    <row r="6336" spans="1:19" x14ac:dyDescent="0.3">
      <c r="A6336" t="s">
        <v>40240</v>
      </c>
      <c r="B6336" t="s">
        <v>41596</v>
      </c>
      <c r="C6336" t="s">
        <v>40767</v>
      </c>
      <c r="D6336" t="s">
        <v>40247</v>
      </c>
      <c r="E6336" t="s">
        <v>40526</v>
      </c>
      <c r="F6336" t="s">
        <v>40762</v>
      </c>
      <c r="G6336" t="s">
        <v>40763</v>
      </c>
      <c r="H6336" t="s">
        <v>868</v>
      </c>
      <c r="I6336" t="s">
        <v>950</v>
      </c>
      <c r="J6336" t="str">
        <f>"9120278"</f>
        <v>9120278</v>
      </c>
      <c r="K6336">
        <v>2228051223</v>
      </c>
      <c r="L6336">
        <v>2228051223</v>
      </c>
      <c r="M6336" t="s">
        <v>41856</v>
      </c>
      <c r="N6336" t="s">
        <v>41857</v>
      </c>
      <c r="O6336" t="s">
        <v>41858</v>
      </c>
      <c r="P6336">
        <v>34014</v>
      </c>
      <c r="Q6336" t="str">
        <f>"38.568961"</f>
        <v>38.568961</v>
      </c>
      <c r="R6336" t="str">
        <f>"23.821486"</f>
        <v>23.821486</v>
      </c>
      <c r="S6336" t="s">
        <v>26</v>
      </c>
    </row>
    <row r="6337" spans="1:19" x14ac:dyDescent="0.3">
      <c r="A6337" t="s">
        <v>40240</v>
      </c>
      <c r="B6337" t="s">
        <v>41596</v>
      </c>
      <c r="C6337" t="s">
        <v>41864</v>
      </c>
      <c r="D6337" t="s">
        <v>40247</v>
      </c>
      <c r="E6337" t="s">
        <v>40506</v>
      </c>
      <c r="F6337" t="s">
        <v>41709</v>
      </c>
      <c r="G6337" t="s">
        <v>41863</v>
      </c>
      <c r="H6337" t="s">
        <v>868</v>
      </c>
      <c r="I6337" t="s">
        <v>950</v>
      </c>
      <c r="J6337" t="str">
        <f>"9120091"</f>
        <v>9120091</v>
      </c>
      <c r="K6337">
        <v>2224029066</v>
      </c>
      <c r="M6337" t="s">
        <v>41865</v>
      </c>
      <c r="N6337" t="s">
        <v>41866</v>
      </c>
      <c r="O6337" t="s">
        <v>41866</v>
      </c>
      <c r="P6337">
        <v>34001</v>
      </c>
      <c r="Q6337" t="str">
        <f>"38.108730"</f>
        <v>38.108730</v>
      </c>
      <c r="R6337" t="str">
        <f>"24.555062"</f>
        <v>24.555062</v>
      </c>
      <c r="S6337" t="s">
        <v>57</v>
      </c>
    </row>
    <row r="6338" spans="1:19" x14ac:dyDescent="0.3">
      <c r="A6338" t="s">
        <v>40240</v>
      </c>
      <c r="B6338" t="s">
        <v>41596</v>
      </c>
      <c r="C6338" t="s">
        <v>41867</v>
      </c>
      <c r="D6338" t="s">
        <v>40247</v>
      </c>
      <c r="E6338" t="s">
        <v>40566</v>
      </c>
      <c r="F6338" t="s">
        <v>40582</v>
      </c>
      <c r="G6338" t="s">
        <v>40583</v>
      </c>
      <c r="H6338" t="s">
        <v>868</v>
      </c>
      <c r="I6338" t="s">
        <v>869</v>
      </c>
      <c r="J6338" t="str">
        <f>"9120008"</f>
        <v>9120008</v>
      </c>
      <c r="K6338">
        <v>2226022763</v>
      </c>
      <c r="L6338">
        <v>2226022474</v>
      </c>
      <c r="M6338" t="s">
        <v>41868</v>
      </c>
      <c r="N6338" t="s">
        <v>41869</v>
      </c>
      <c r="O6338" t="s">
        <v>41869</v>
      </c>
      <c r="P6338">
        <v>34300</v>
      </c>
      <c r="Q6338" t="str">
        <f>"38.876919"</f>
        <v>38.876919</v>
      </c>
      <c r="R6338" t="str">
        <f>"23.047666"</f>
        <v>23.047666</v>
      </c>
      <c r="S6338" t="s">
        <v>26</v>
      </c>
    </row>
    <row r="6339" spans="1:19" x14ac:dyDescent="0.3">
      <c r="A6339" t="s">
        <v>40240</v>
      </c>
      <c r="B6339" t="s">
        <v>41596</v>
      </c>
      <c r="C6339" t="s">
        <v>41876</v>
      </c>
      <c r="D6339" t="s">
        <v>40247</v>
      </c>
      <c r="E6339" t="s">
        <v>40526</v>
      </c>
      <c r="F6339" t="s">
        <v>40762</v>
      </c>
      <c r="G6339" t="s">
        <v>41875</v>
      </c>
      <c r="H6339" t="s">
        <v>868</v>
      </c>
      <c r="I6339" t="s">
        <v>950</v>
      </c>
      <c r="J6339" t="str">
        <f>"9120274"</f>
        <v>9120274</v>
      </c>
      <c r="K6339">
        <v>2221043242</v>
      </c>
      <c r="L6339">
        <v>2221043242</v>
      </c>
      <c r="M6339" t="s">
        <v>41877</v>
      </c>
      <c r="N6339" t="s">
        <v>41878</v>
      </c>
      <c r="O6339" t="s">
        <v>41878</v>
      </c>
      <c r="P6339">
        <v>34014</v>
      </c>
      <c r="Q6339" t="str">
        <f>"38.526923"</f>
        <v>38.526923</v>
      </c>
      <c r="R6339" t="str">
        <f>"23.721966"</f>
        <v>23.721966</v>
      </c>
      <c r="S6339" t="s">
        <v>26</v>
      </c>
    </row>
    <row r="6340" spans="1:19" x14ac:dyDescent="0.3">
      <c r="A6340" t="s">
        <v>40240</v>
      </c>
      <c r="B6340" t="s">
        <v>41596</v>
      </c>
      <c r="C6340" t="s">
        <v>41879</v>
      </c>
      <c r="D6340" t="s">
        <v>40247</v>
      </c>
      <c r="E6340" t="s">
        <v>40248</v>
      </c>
      <c r="F6340" t="s">
        <v>40809</v>
      </c>
      <c r="G6340" t="s">
        <v>41783</v>
      </c>
      <c r="H6340" t="s">
        <v>868</v>
      </c>
      <c r="I6340" t="s">
        <v>869</v>
      </c>
      <c r="J6340" t="str">
        <f>"9120313"</f>
        <v>9120313</v>
      </c>
      <c r="K6340">
        <v>2221096229</v>
      </c>
      <c r="L6340">
        <v>2221096229</v>
      </c>
      <c r="M6340" t="s">
        <v>41880</v>
      </c>
      <c r="N6340" t="s">
        <v>41881</v>
      </c>
      <c r="O6340" t="s">
        <v>41882</v>
      </c>
      <c r="P6340">
        <v>34100</v>
      </c>
      <c r="Q6340" t="str">
        <f>"38.480389"</f>
        <v>38.480389</v>
      </c>
      <c r="R6340" t="str">
        <f>"23.447305"</f>
        <v>23.447305</v>
      </c>
      <c r="S6340" t="s">
        <v>26</v>
      </c>
    </row>
    <row r="6341" spans="1:19" x14ac:dyDescent="0.3">
      <c r="A6341" t="s">
        <v>40240</v>
      </c>
      <c r="B6341" t="s">
        <v>41596</v>
      </c>
      <c r="C6341" t="s">
        <v>40616</v>
      </c>
      <c r="D6341" t="s">
        <v>40247</v>
      </c>
      <c r="E6341" t="s">
        <v>22629</v>
      </c>
      <c r="F6341" t="s">
        <v>40610</v>
      </c>
      <c r="G6341" t="s">
        <v>40611</v>
      </c>
      <c r="H6341" t="s">
        <v>868</v>
      </c>
      <c r="I6341" t="s">
        <v>869</v>
      </c>
      <c r="J6341" t="str">
        <f>"9120201"</f>
        <v>9120201</v>
      </c>
      <c r="K6341">
        <v>2229036201</v>
      </c>
      <c r="L6341">
        <v>2229038400</v>
      </c>
      <c r="M6341" t="s">
        <v>41883</v>
      </c>
      <c r="N6341" t="s">
        <v>41884</v>
      </c>
      <c r="O6341" t="s">
        <v>41885</v>
      </c>
      <c r="P6341">
        <v>34006</v>
      </c>
      <c r="Q6341" t="str">
        <f>"38.391340"</f>
        <v>38.391340</v>
      </c>
      <c r="R6341" t="str">
        <f>"23.887188"</f>
        <v>23.887188</v>
      </c>
      <c r="S6341" t="s">
        <v>26</v>
      </c>
    </row>
    <row r="6342" spans="1:19" x14ac:dyDescent="0.3">
      <c r="A6342" t="s">
        <v>40240</v>
      </c>
      <c r="B6342" t="s">
        <v>41596</v>
      </c>
      <c r="C6342" t="s">
        <v>41886</v>
      </c>
      <c r="D6342" t="s">
        <v>40247</v>
      </c>
      <c r="E6342" t="s">
        <v>22629</v>
      </c>
      <c r="F6342" t="s">
        <v>22629</v>
      </c>
      <c r="G6342" t="s">
        <v>22629</v>
      </c>
      <c r="H6342" t="s">
        <v>868</v>
      </c>
      <c r="I6342" t="s">
        <v>869</v>
      </c>
      <c r="J6342" t="str">
        <f>"9120249"</f>
        <v>9120249</v>
      </c>
      <c r="K6342">
        <v>2229064463</v>
      </c>
      <c r="L6342">
        <v>2229064463</v>
      </c>
      <c r="M6342" t="s">
        <v>41887</v>
      </c>
      <c r="N6342" t="s">
        <v>22632</v>
      </c>
      <c r="O6342" t="s">
        <v>41888</v>
      </c>
      <c r="P6342">
        <v>34008</v>
      </c>
      <c r="Q6342" t="str">
        <f>"38.391519"</f>
        <v>38.391519</v>
      </c>
      <c r="R6342" t="str">
        <f>"23.794779"</f>
        <v>23.794779</v>
      </c>
      <c r="S6342" t="s">
        <v>26</v>
      </c>
    </row>
    <row r="6343" spans="1:19" x14ac:dyDescent="0.3">
      <c r="A6343" t="s">
        <v>40240</v>
      </c>
      <c r="B6343" t="s">
        <v>41596</v>
      </c>
      <c r="C6343" t="s">
        <v>40707</v>
      </c>
      <c r="D6343" t="s">
        <v>40247</v>
      </c>
      <c r="E6343" t="s">
        <v>40526</v>
      </c>
      <c r="F6343" t="s">
        <v>40527</v>
      </c>
      <c r="G6343" t="s">
        <v>40702</v>
      </c>
      <c r="H6343" t="s">
        <v>868</v>
      </c>
      <c r="I6343" t="s">
        <v>869</v>
      </c>
      <c r="J6343" t="str">
        <f>"9120259"</f>
        <v>9120259</v>
      </c>
      <c r="K6343">
        <v>2228071425</v>
      </c>
      <c r="L6343">
        <v>2228071425</v>
      </c>
      <c r="M6343" t="s">
        <v>41889</v>
      </c>
      <c r="N6343" t="s">
        <v>40705</v>
      </c>
      <c r="O6343" t="s">
        <v>40705</v>
      </c>
      <c r="P6343">
        <v>34400</v>
      </c>
      <c r="Q6343" t="str">
        <f>"38.607367"</f>
        <v>38.607367</v>
      </c>
      <c r="R6343" t="str">
        <f>"23.744687"</f>
        <v>23.744687</v>
      </c>
      <c r="S6343" t="s">
        <v>26</v>
      </c>
    </row>
    <row r="6344" spans="1:19" x14ac:dyDescent="0.3">
      <c r="A6344" t="s">
        <v>40240</v>
      </c>
      <c r="B6344" t="s">
        <v>41596</v>
      </c>
      <c r="C6344" t="s">
        <v>40601</v>
      </c>
      <c r="D6344" t="s">
        <v>40247</v>
      </c>
      <c r="E6344" t="s">
        <v>40248</v>
      </c>
      <c r="F6344" t="s">
        <v>40596</v>
      </c>
      <c r="G6344" t="s">
        <v>12041</v>
      </c>
      <c r="H6344" t="s">
        <v>868</v>
      </c>
      <c r="I6344" t="s">
        <v>869</v>
      </c>
      <c r="J6344" t="str">
        <f>"9120309"</f>
        <v>9120309</v>
      </c>
      <c r="K6344">
        <v>2221031238</v>
      </c>
      <c r="L6344">
        <v>2221031238</v>
      </c>
      <c r="M6344" t="s">
        <v>41896</v>
      </c>
      <c r="N6344" t="s">
        <v>41897</v>
      </c>
      <c r="O6344" t="s">
        <v>40756</v>
      </c>
      <c r="P6344">
        <v>34100</v>
      </c>
      <c r="Q6344" t="str">
        <f>"38.405043"</f>
        <v>38.405043</v>
      </c>
      <c r="R6344" t="str">
        <f>"23.604364"</f>
        <v>23.604364</v>
      </c>
      <c r="S6344" t="s">
        <v>26</v>
      </c>
    </row>
    <row r="6345" spans="1:19" x14ac:dyDescent="0.3">
      <c r="A6345" t="s">
        <v>40240</v>
      </c>
      <c r="B6345" t="s">
        <v>41596</v>
      </c>
      <c r="C6345" t="s">
        <v>41899</v>
      </c>
      <c r="D6345" t="s">
        <v>40247</v>
      </c>
      <c r="E6345" t="s">
        <v>40248</v>
      </c>
      <c r="F6345" t="s">
        <v>40596</v>
      </c>
      <c r="G6345" t="s">
        <v>41898</v>
      </c>
      <c r="H6345" t="s">
        <v>868</v>
      </c>
      <c r="I6345" t="s">
        <v>869</v>
      </c>
      <c r="J6345" t="str">
        <f>"9120314"</f>
        <v>9120314</v>
      </c>
      <c r="K6345">
        <v>2221031442</v>
      </c>
      <c r="L6345">
        <v>2221031442</v>
      </c>
      <c r="M6345" t="s">
        <v>41900</v>
      </c>
      <c r="N6345" t="s">
        <v>41901</v>
      </c>
      <c r="O6345" t="s">
        <v>41901</v>
      </c>
      <c r="P6345">
        <v>34100</v>
      </c>
      <c r="Q6345" t="str">
        <f>"38.385050"</f>
        <v>38.385050</v>
      </c>
      <c r="R6345" t="str">
        <f>"23.629604"</f>
        <v>23.629604</v>
      </c>
      <c r="S6345" t="s">
        <v>26</v>
      </c>
    </row>
    <row r="6346" spans="1:19" x14ac:dyDescent="0.3">
      <c r="A6346" t="s">
        <v>40240</v>
      </c>
      <c r="B6346" t="s">
        <v>41596</v>
      </c>
      <c r="C6346" t="s">
        <v>41902</v>
      </c>
      <c r="D6346" t="s">
        <v>40247</v>
      </c>
      <c r="E6346" t="s">
        <v>40248</v>
      </c>
      <c r="F6346" t="s">
        <v>40248</v>
      </c>
      <c r="G6346" t="s">
        <v>40248</v>
      </c>
      <c r="H6346" t="s">
        <v>868</v>
      </c>
      <c r="I6346" t="s">
        <v>869</v>
      </c>
      <c r="J6346" t="str">
        <f>"9120213"</f>
        <v>9120213</v>
      </c>
      <c r="K6346">
        <v>2221023032</v>
      </c>
      <c r="L6346">
        <v>2221023032</v>
      </c>
      <c r="M6346" t="s">
        <v>41903</v>
      </c>
      <c r="N6346" t="s">
        <v>40536</v>
      </c>
      <c r="O6346" t="s">
        <v>41904</v>
      </c>
      <c r="P6346">
        <v>34133</v>
      </c>
      <c r="Q6346" t="str">
        <f>"38.461297"</f>
        <v>38.461297</v>
      </c>
      <c r="R6346" t="str">
        <f>"23.590831"</f>
        <v>23.590831</v>
      </c>
      <c r="S6346" t="s">
        <v>26</v>
      </c>
    </row>
    <row r="6347" spans="1:19" x14ac:dyDescent="0.3">
      <c r="A6347" t="s">
        <v>40240</v>
      </c>
      <c r="B6347" t="s">
        <v>41596</v>
      </c>
      <c r="C6347" t="s">
        <v>40538</v>
      </c>
      <c r="D6347" t="s">
        <v>40247</v>
      </c>
      <c r="E6347" t="s">
        <v>40248</v>
      </c>
      <c r="F6347" t="s">
        <v>40248</v>
      </c>
      <c r="G6347" t="s">
        <v>40248</v>
      </c>
      <c r="H6347" t="s">
        <v>868</v>
      </c>
      <c r="I6347" t="s">
        <v>869</v>
      </c>
      <c r="J6347" t="str">
        <f>"9120220"</f>
        <v>9120220</v>
      </c>
      <c r="K6347">
        <v>2221022176</v>
      </c>
      <c r="L6347">
        <v>2221022176</v>
      </c>
      <c r="M6347" t="s">
        <v>41905</v>
      </c>
      <c r="N6347" t="s">
        <v>40536</v>
      </c>
      <c r="O6347" t="s">
        <v>41906</v>
      </c>
      <c r="P6347">
        <v>34100</v>
      </c>
      <c r="Q6347" t="str">
        <f>"38.459557"</f>
        <v>38.459557</v>
      </c>
      <c r="R6347" t="str">
        <f>"23.600898"</f>
        <v>23.600898</v>
      </c>
      <c r="S6347" t="s">
        <v>26</v>
      </c>
    </row>
    <row r="6348" spans="1:19" x14ac:dyDescent="0.3">
      <c r="A6348" t="s">
        <v>40240</v>
      </c>
      <c r="B6348" t="s">
        <v>41596</v>
      </c>
      <c r="C6348" t="s">
        <v>40643</v>
      </c>
      <c r="D6348" t="s">
        <v>40247</v>
      </c>
      <c r="E6348" t="s">
        <v>40248</v>
      </c>
      <c r="F6348" t="s">
        <v>40248</v>
      </c>
      <c r="G6348" t="s">
        <v>40248</v>
      </c>
      <c r="H6348" t="s">
        <v>868</v>
      </c>
      <c r="I6348" t="s">
        <v>869</v>
      </c>
      <c r="J6348" t="str">
        <f>"9120224"</f>
        <v>9120224</v>
      </c>
      <c r="K6348">
        <v>2221024133</v>
      </c>
      <c r="L6348">
        <v>2221089308</v>
      </c>
      <c r="M6348" t="s">
        <v>41907</v>
      </c>
      <c r="N6348" t="s">
        <v>40536</v>
      </c>
      <c r="O6348" t="s">
        <v>41850</v>
      </c>
      <c r="P6348">
        <v>34132</v>
      </c>
      <c r="Q6348" t="str">
        <f>"38.466038"</f>
        <v>38.466038</v>
      </c>
      <c r="R6348" t="str">
        <f>"23.597470"</f>
        <v>23.597470</v>
      </c>
      <c r="S6348" t="s">
        <v>26</v>
      </c>
    </row>
    <row r="6349" spans="1:19" x14ac:dyDescent="0.3">
      <c r="A6349" t="s">
        <v>40240</v>
      </c>
      <c r="B6349" t="s">
        <v>41596</v>
      </c>
      <c r="C6349" t="s">
        <v>41908</v>
      </c>
      <c r="D6349" t="s">
        <v>40247</v>
      </c>
      <c r="E6349" t="s">
        <v>40248</v>
      </c>
      <c r="F6349" t="s">
        <v>40248</v>
      </c>
      <c r="G6349" t="s">
        <v>40248</v>
      </c>
      <c r="H6349" t="s">
        <v>868</v>
      </c>
      <c r="I6349" t="s">
        <v>869</v>
      </c>
      <c r="J6349" t="str">
        <f>"9120227"</f>
        <v>9120227</v>
      </c>
      <c r="K6349">
        <v>2221023345</v>
      </c>
      <c r="L6349">
        <v>2221023345</v>
      </c>
      <c r="M6349" t="s">
        <v>41909</v>
      </c>
      <c r="N6349" t="s">
        <v>40536</v>
      </c>
      <c r="O6349" t="s">
        <v>41910</v>
      </c>
      <c r="P6349">
        <v>34100</v>
      </c>
      <c r="Q6349" t="str">
        <f>"38.462514"</f>
        <v>38.462514</v>
      </c>
      <c r="R6349" t="str">
        <f>"23.601516"</f>
        <v>23.601516</v>
      </c>
      <c r="S6349" t="s">
        <v>26</v>
      </c>
    </row>
    <row r="6350" spans="1:19" x14ac:dyDescent="0.3">
      <c r="A6350" t="s">
        <v>40240</v>
      </c>
      <c r="B6350" t="s">
        <v>41596</v>
      </c>
      <c r="C6350" t="s">
        <v>41911</v>
      </c>
      <c r="D6350" t="s">
        <v>40247</v>
      </c>
      <c r="E6350" t="s">
        <v>40248</v>
      </c>
      <c r="F6350" t="s">
        <v>40248</v>
      </c>
      <c r="G6350" t="s">
        <v>40248</v>
      </c>
      <c r="H6350" t="s">
        <v>868</v>
      </c>
      <c r="I6350" t="s">
        <v>869</v>
      </c>
      <c r="J6350" t="str">
        <f>"9120215"</f>
        <v>9120215</v>
      </c>
      <c r="K6350">
        <v>2221024808</v>
      </c>
      <c r="L6350">
        <v>2221024808</v>
      </c>
      <c r="M6350" t="s">
        <v>41912</v>
      </c>
      <c r="N6350" t="s">
        <v>40536</v>
      </c>
      <c r="O6350" t="s">
        <v>41913</v>
      </c>
      <c r="P6350">
        <v>34100</v>
      </c>
      <c r="Q6350" t="str">
        <f>"38.461519"</f>
        <v>38.461519</v>
      </c>
      <c r="R6350" t="str">
        <f>"23.609808"</f>
        <v>23.609808</v>
      </c>
      <c r="S6350" t="s">
        <v>26</v>
      </c>
    </row>
    <row r="6351" spans="1:19" x14ac:dyDescent="0.3">
      <c r="A6351" t="s">
        <v>40240</v>
      </c>
      <c r="B6351" t="s">
        <v>41596</v>
      </c>
      <c r="C6351" t="s">
        <v>41914</v>
      </c>
      <c r="D6351" t="s">
        <v>40247</v>
      </c>
      <c r="E6351" t="s">
        <v>40248</v>
      </c>
      <c r="F6351" t="s">
        <v>40248</v>
      </c>
      <c r="G6351" t="s">
        <v>40248</v>
      </c>
      <c r="H6351" t="s">
        <v>868</v>
      </c>
      <c r="I6351" t="s">
        <v>869</v>
      </c>
      <c r="J6351" t="str">
        <f>"9120217"</f>
        <v>9120217</v>
      </c>
      <c r="K6351">
        <v>2221027122</v>
      </c>
      <c r="L6351">
        <v>2221027122</v>
      </c>
      <c r="M6351" t="s">
        <v>41915</v>
      </c>
      <c r="N6351" t="s">
        <v>40536</v>
      </c>
      <c r="O6351" t="s">
        <v>41916</v>
      </c>
      <c r="P6351">
        <v>34100</v>
      </c>
      <c r="Q6351" t="str">
        <f>"38.450281"</f>
        <v>38.450281</v>
      </c>
      <c r="R6351" t="str">
        <f>"23.590574"</f>
        <v>23.590574</v>
      </c>
      <c r="S6351" t="s">
        <v>26</v>
      </c>
    </row>
    <row r="6352" spans="1:19" x14ac:dyDescent="0.3">
      <c r="A6352" t="s">
        <v>40240</v>
      </c>
      <c r="B6352" t="s">
        <v>41596</v>
      </c>
      <c r="C6352" t="s">
        <v>41917</v>
      </c>
      <c r="D6352" t="s">
        <v>40247</v>
      </c>
      <c r="E6352" t="s">
        <v>40248</v>
      </c>
      <c r="F6352" t="s">
        <v>40248</v>
      </c>
      <c r="G6352" t="s">
        <v>40248</v>
      </c>
      <c r="H6352" t="s">
        <v>868</v>
      </c>
      <c r="I6352" t="s">
        <v>869</v>
      </c>
      <c r="J6352" t="str">
        <f>"9120218"</f>
        <v>9120218</v>
      </c>
      <c r="K6352">
        <v>2221025628</v>
      </c>
      <c r="L6352">
        <v>2221025628</v>
      </c>
      <c r="M6352" t="s">
        <v>41918</v>
      </c>
      <c r="N6352" t="s">
        <v>40536</v>
      </c>
      <c r="O6352" t="s">
        <v>41919</v>
      </c>
      <c r="P6352">
        <v>34100</v>
      </c>
      <c r="Q6352" t="str">
        <f>"38.463368"</f>
        <v>38.463368</v>
      </c>
      <c r="R6352" t="str">
        <f>"23.584697"</f>
        <v>23.584697</v>
      </c>
      <c r="S6352" t="s">
        <v>26</v>
      </c>
    </row>
    <row r="6353" spans="1:19" x14ac:dyDescent="0.3">
      <c r="A6353" t="s">
        <v>40240</v>
      </c>
      <c r="B6353" t="s">
        <v>41596</v>
      </c>
      <c r="C6353" t="s">
        <v>41920</v>
      </c>
      <c r="D6353" t="s">
        <v>40247</v>
      </c>
      <c r="E6353" t="s">
        <v>40248</v>
      </c>
      <c r="F6353" t="s">
        <v>40248</v>
      </c>
      <c r="G6353" t="s">
        <v>40248</v>
      </c>
      <c r="H6353" t="s">
        <v>868</v>
      </c>
      <c r="I6353" t="s">
        <v>869</v>
      </c>
      <c r="J6353" t="str">
        <f>"9120399"</f>
        <v>9120399</v>
      </c>
      <c r="K6353">
        <v>2221021068</v>
      </c>
      <c r="L6353">
        <v>2221021068</v>
      </c>
      <c r="M6353" t="s">
        <v>41921</v>
      </c>
      <c r="N6353" t="s">
        <v>40536</v>
      </c>
      <c r="O6353" t="s">
        <v>41922</v>
      </c>
      <c r="P6353">
        <v>34100</v>
      </c>
      <c r="Q6353" t="str">
        <f>"38.464313"</f>
        <v>38.464313</v>
      </c>
      <c r="R6353" t="str">
        <f>"23.594363"</f>
        <v>23.594363</v>
      </c>
      <c r="S6353" t="s">
        <v>26</v>
      </c>
    </row>
    <row r="6354" spans="1:19" x14ac:dyDescent="0.3">
      <c r="A6354" t="s">
        <v>40240</v>
      </c>
      <c r="B6354" t="s">
        <v>41596</v>
      </c>
      <c r="C6354" t="s">
        <v>40628</v>
      </c>
      <c r="D6354" t="s">
        <v>40247</v>
      </c>
      <c r="E6354" t="s">
        <v>40248</v>
      </c>
      <c r="F6354" t="s">
        <v>40248</v>
      </c>
      <c r="G6354" t="s">
        <v>40248</v>
      </c>
      <c r="H6354" t="s">
        <v>868</v>
      </c>
      <c r="I6354" t="s">
        <v>869</v>
      </c>
      <c r="J6354" t="str">
        <f>"9120400"</f>
        <v>9120400</v>
      </c>
      <c r="K6354">
        <v>2221023101</v>
      </c>
      <c r="L6354">
        <v>2221023101</v>
      </c>
      <c r="M6354" t="s">
        <v>41923</v>
      </c>
      <c r="N6354" t="s">
        <v>40536</v>
      </c>
      <c r="O6354" t="s">
        <v>41924</v>
      </c>
      <c r="P6354">
        <v>34100</v>
      </c>
      <c r="Q6354" t="str">
        <f>"38.471566"</f>
        <v>38.471566</v>
      </c>
      <c r="R6354" t="str">
        <f>"23.583004"</f>
        <v>23.583004</v>
      </c>
      <c r="S6354" t="s">
        <v>26</v>
      </c>
    </row>
    <row r="6355" spans="1:19" x14ac:dyDescent="0.3">
      <c r="A6355" t="s">
        <v>40240</v>
      </c>
      <c r="B6355" t="s">
        <v>41596</v>
      </c>
      <c r="C6355" t="s">
        <v>40761</v>
      </c>
      <c r="D6355" t="s">
        <v>40247</v>
      </c>
      <c r="E6355" t="s">
        <v>40248</v>
      </c>
      <c r="F6355" t="s">
        <v>40596</v>
      </c>
      <c r="G6355" t="s">
        <v>41928</v>
      </c>
      <c r="H6355" t="s">
        <v>868</v>
      </c>
      <c r="I6355" t="s">
        <v>869</v>
      </c>
      <c r="J6355" t="str">
        <f>"9120315"</f>
        <v>9120315</v>
      </c>
      <c r="K6355">
        <v>2221031359</v>
      </c>
      <c r="L6355">
        <v>2221031359</v>
      </c>
      <c r="M6355" t="s">
        <v>41971</v>
      </c>
      <c r="N6355" t="s">
        <v>41972</v>
      </c>
      <c r="O6355" t="s">
        <v>41973</v>
      </c>
      <c r="P6355">
        <v>34100</v>
      </c>
      <c r="Q6355" t="str">
        <f>"38.425889"</f>
        <v>38.425889</v>
      </c>
      <c r="R6355" t="str">
        <f>"23.640736"</f>
        <v>23.640736</v>
      </c>
      <c r="S6355" t="s">
        <v>26</v>
      </c>
    </row>
    <row r="6356" spans="1:19" x14ac:dyDescent="0.3">
      <c r="A6356" t="s">
        <v>40240</v>
      </c>
      <c r="B6356" t="s">
        <v>41596</v>
      </c>
      <c r="C6356" t="s">
        <v>41977</v>
      </c>
      <c r="D6356" t="s">
        <v>40247</v>
      </c>
      <c r="E6356" t="s">
        <v>40248</v>
      </c>
      <c r="F6356" t="s">
        <v>40248</v>
      </c>
      <c r="G6356" t="s">
        <v>40248</v>
      </c>
      <c r="H6356" t="s">
        <v>868</v>
      </c>
      <c r="I6356" t="s">
        <v>869</v>
      </c>
      <c r="J6356" t="str">
        <f>"9120210"</f>
        <v>9120210</v>
      </c>
      <c r="K6356">
        <v>2221092244</v>
      </c>
      <c r="M6356" t="s">
        <v>41978</v>
      </c>
      <c r="N6356" t="s">
        <v>40536</v>
      </c>
      <c r="O6356" t="s">
        <v>41979</v>
      </c>
      <c r="P6356">
        <v>34100</v>
      </c>
      <c r="Q6356" t="str">
        <f>"38.472916"</f>
        <v>38.472916</v>
      </c>
      <c r="R6356" t="str">
        <f>"23.638274"</f>
        <v>23.638274</v>
      </c>
      <c r="S6356" t="s">
        <v>26</v>
      </c>
    </row>
    <row r="6357" spans="1:19" x14ac:dyDescent="0.3">
      <c r="A6357" t="s">
        <v>40240</v>
      </c>
      <c r="B6357" t="s">
        <v>41596</v>
      </c>
      <c r="C6357" t="s">
        <v>40588</v>
      </c>
      <c r="D6357" t="s">
        <v>40247</v>
      </c>
      <c r="E6357" t="s">
        <v>40566</v>
      </c>
      <c r="F6357" t="s">
        <v>40582</v>
      </c>
      <c r="G6357" t="s">
        <v>40583</v>
      </c>
      <c r="H6357" t="s">
        <v>868</v>
      </c>
      <c r="I6357" t="s">
        <v>869</v>
      </c>
      <c r="J6357" t="str">
        <f>"9120013"</f>
        <v>9120013</v>
      </c>
      <c r="K6357">
        <v>2226022446</v>
      </c>
      <c r="L6357">
        <v>2226060686</v>
      </c>
      <c r="M6357" t="s">
        <v>42022</v>
      </c>
      <c r="N6357" t="s">
        <v>42023</v>
      </c>
      <c r="O6357" t="s">
        <v>42024</v>
      </c>
      <c r="P6357">
        <v>34300</v>
      </c>
      <c r="Q6357" t="str">
        <f>"38.853679"</f>
        <v>38.853679</v>
      </c>
      <c r="R6357" t="str">
        <f>"23.047966"</f>
        <v>23.047966</v>
      </c>
      <c r="S6357" t="s">
        <v>26</v>
      </c>
    </row>
    <row r="6358" spans="1:19" x14ac:dyDescent="0.3">
      <c r="A6358" t="s">
        <v>40240</v>
      </c>
      <c r="B6358" t="s">
        <v>41596</v>
      </c>
      <c r="C6358" t="s">
        <v>42033</v>
      </c>
      <c r="D6358" t="s">
        <v>40247</v>
      </c>
      <c r="E6358" t="s">
        <v>40248</v>
      </c>
      <c r="F6358" t="s">
        <v>40248</v>
      </c>
      <c r="G6358" t="s">
        <v>40248</v>
      </c>
      <c r="H6358" t="s">
        <v>868</v>
      </c>
      <c r="I6358" t="s">
        <v>869</v>
      </c>
      <c r="J6358" t="str">
        <f>"9120221"</f>
        <v>9120221</v>
      </c>
      <c r="K6358">
        <v>2221022943</v>
      </c>
      <c r="L6358">
        <v>2221022943</v>
      </c>
      <c r="M6358" t="s">
        <v>42034</v>
      </c>
      <c r="N6358" t="s">
        <v>40536</v>
      </c>
      <c r="O6358" t="s">
        <v>42035</v>
      </c>
      <c r="P6358">
        <v>34100</v>
      </c>
      <c r="Q6358" t="str">
        <f>"38.466909"</f>
        <v>38.466909</v>
      </c>
      <c r="R6358" t="str">
        <f>"23.593719"</f>
        <v>23.593719</v>
      </c>
      <c r="S6358" t="s">
        <v>26</v>
      </c>
    </row>
    <row r="6359" spans="1:19" x14ac:dyDescent="0.3">
      <c r="A6359" t="s">
        <v>40240</v>
      </c>
      <c r="B6359" t="s">
        <v>41596</v>
      </c>
      <c r="C6359" t="s">
        <v>42045</v>
      </c>
      <c r="D6359" t="s">
        <v>40247</v>
      </c>
      <c r="E6359" t="s">
        <v>40506</v>
      </c>
      <c r="F6359" t="s">
        <v>40739</v>
      </c>
      <c r="G6359" t="s">
        <v>3295</v>
      </c>
      <c r="H6359" t="s">
        <v>868</v>
      </c>
      <c r="I6359" t="s">
        <v>950</v>
      </c>
      <c r="J6359" t="str">
        <f>"9120086"</f>
        <v>9120086</v>
      </c>
      <c r="K6359">
        <v>2224071377</v>
      </c>
      <c r="L6359">
        <v>2224071377</v>
      </c>
      <c r="M6359" t="s">
        <v>42046</v>
      </c>
      <c r="N6359" t="s">
        <v>3472</v>
      </c>
      <c r="O6359" t="s">
        <v>3472</v>
      </c>
      <c r="P6359">
        <v>34013</v>
      </c>
      <c r="Q6359" t="str">
        <f>"38.108587"</f>
        <v>38.108587</v>
      </c>
      <c r="R6359" t="str">
        <f>"24.439144"</f>
        <v>24.439144</v>
      </c>
      <c r="S6359" t="s">
        <v>57</v>
      </c>
    </row>
    <row r="6360" spans="1:19" x14ac:dyDescent="0.3">
      <c r="A6360" t="s">
        <v>40240</v>
      </c>
      <c r="B6360" t="s">
        <v>41596</v>
      </c>
      <c r="C6360" t="s">
        <v>42063</v>
      </c>
      <c r="D6360" t="s">
        <v>40247</v>
      </c>
      <c r="E6360" t="s">
        <v>40506</v>
      </c>
      <c r="F6360" t="s">
        <v>40506</v>
      </c>
      <c r="G6360" t="s">
        <v>40506</v>
      </c>
      <c r="H6360" t="s">
        <v>868</v>
      </c>
      <c r="I6360" t="s">
        <v>869</v>
      </c>
      <c r="J6360" t="str">
        <f>"9120449"</f>
        <v>9120449</v>
      </c>
      <c r="K6360">
        <v>2224022320</v>
      </c>
      <c r="L6360">
        <v>2224022320</v>
      </c>
      <c r="M6360" t="s">
        <v>42064</v>
      </c>
      <c r="N6360" t="s">
        <v>40551</v>
      </c>
      <c r="O6360" t="s">
        <v>42065</v>
      </c>
      <c r="P6360">
        <v>34001</v>
      </c>
      <c r="Q6360" t="str">
        <f>"38.013234"</f>
        <v>38.013234</v>
      </c>
      <c r="R6360" t="str">
        <f>"24.421824"</f>
        <v>24.421824</v>
      </c>
      <c r="S6360" t="s">
        <v>26</v>
      </c>
    </row>
    <row r="6361" spans="1:19" x14ac:dyDescent="0.3">
      <c r="A6361" t="s">
        <v>40240</v>
      </c>
      <c r="B6361" t="s">
        <v>41596</v>
      </c>
      <c r="C6361" t="s">
        <v>42066</v>
      </c>
      <c r="D6361" t="s">
        <v>40247</v>
      </c>
      <c r="E6361" t="s">
        <v>40566</v>
      </c>
      <c r="F6361" t="s">
        <v>40567</v>
      </c>
      <c r="G6361" t="s">
        <v>40567</v>
      </c>
      <c r="H6361" t="s">
        <v>868</v>
      </c>
      <c r="I6361" t="s">
        <v>869</v>
      </c>
      <c r="J6361" t="str">
        <f>"9120004"</f>
        <v>9120004</v>
      </c>
      <c r="K6361">
        <v>2226052472</v>
      </c>
      <c r="L6361">
        <v>2226055845</v>
      </c>
      <c r="M6361" t="s">
        <v>42067</v>
      </c>
      <c r="N6361" t="s">
        <v>40570</v>
      </c>
      <c r="O6361" t="s">
        <v>40570</v>
      </c>
      <c r="P6361">
        <v>34200</v>
      </c>
      <c r="Q6361" t="str">
        <f>"38.958611"</f>
        <v>38.958611</v>
      </c>
      <c r="R6361" t="str">
        <f>"23.145140"</f>
        <v>23.145140</v>
      </c>
      <c r="S6361" t="s">
        <v>26</v>
      </c>
    </row>
    <row r="6362" spans="1:19" x14ac:dyDescent="0.3">
      <c r="A6362" t="s">
        <v>40240</v>
      </c>
      <c r="B6362" t="s">
        <v>41596</v>
      </c>
      <c r="C6362" t="s">
        <v>42073</v>
      </c>
      <c r="D6362" t="s">
        <v>40247</v>
      </c>
      <c r="E6362" t="s">
        <v>40506</v>
      </c>
      <c r="F6362" t="s">
        <v>40739</v>
      </c>
      <c r="G6362" t="s">
        <v>42072</v>
      </c>
      <c r="H6362" t="s">
        <v>868</v>
      </c>
      <c r="I6362" t="s">
        <v>950</v>
      </c>
      <c r="J6362" t="str">
        <f>"9120122"</f>
        <v>9120122</v>
      </c>
      <c r="K6362">
        <v>2224031611</v>
      </c>
      <c r="M6362" t="s">
        <v>42074</v>
      </c>
      <c r="N6362" t="s">
        <v>42072</v>
      </c>
      <c r="O6362" t="s">
        <v>42075</v>
      </c>
      <c r="P6362">
        <v>34013</v>
      </c>
      <c r="Q6362" t="str">
        <f>"38.122120"</f>
        <v>38.122120</v>
      </c>
      <c r="R6362" t="str">
        <f>"24.311628"</f>
        <v>24.311628</v>
      </c>
      <c r="S6362" t="s">
        <v>26</v>
      </c>
    </row>
    <row r="6363" spans="1:19" x14ac:dyDescent="0.3">
      <c r="A6363" t="s">
        <v>40240</v>
      </c>
      <c r="B6363" t="s">
        <v>41596</v>
      </c>
      <c r="C6363" t="s">
        <v>40553</v>
      </c>
      <c r="D6363" t="s">
        <v>40247</v>
      </c>
      <c r="E6363" t="s">
        <v>40506</v>
      </c>
      <c r="F6363" t="s">
        <v>40506</v>
      </c>
      <c r="G6363" t="s">
        <v>40506</v>
      </c>
      <c r="H6363" t="s">
        <v>868</v>
      </c>
      <c r="I6363" t="s">
        <v>869</v>
      </c>
      <c r="J6363" t="str">
        <f>"9120085"</f>
        <v>9120085</v>
      </c>
      <c r="K6363">
        <v>2224022363</v>
      </c>
      <c r="L6363">
        <v>2224022363</v>
      </c>
      <c r="M6363" t="s">
        <v>42076</v>
      </c>
      <c r="N6363" t="s">
        <v>40551</v>
      </c>
      <c r="O6363" t="s">
        <v>42077</v>
      </c>
      <c r="P6363">
        <v>34001</v>
      </c>
      <c r="Q6363" t="str">
        <f>"38.016948"</f>
        <v>38.016948</v>
      </c>
      <c r="R6363" t="str">
        <f>"24.419064"</f>
        <v>24.419064</v>
      </c>
      <c r="S6363" t="s">
        <v>26</v>
      </c>
    </row>
    <row r="6364" spans="1:19" x14ac:dyDescent="0.3">
      <c r="A6364" t="s">
        <v>40240</v>
      </c>
      <c r="B6364" t="s">
        <v>41596</v>
      </c>
      <c r="C6364" t="s">
        <v>42078</v>
      </c>
      <c r="D6364" t="s">
        <v>40247</v>
      </c>
      <c r="E6364" t="s">
        <v>40526</v>
      </c>
      <c r="F6364" t="s">
        <v>40527</v>
      </c>
      <c r="G6364" t="s">
        <v>40528</v>
      </c>
      <c r="H6364" t="s">
        <v>868</v>
      </c>
      <c r="I6364" t="s">
        <v>869</v>
      </c>
      <c r="J6364" t="str">
        <f>"9120235"</f>
        <v>9120235</v>
      </c>
      <c r="K6364">
        <v>2228022793</v>
      </c>
      <c r="L6364">
        <v>2228029082</v>
      </c>
      <c r="M6364" t="s">
        <v>42079</v>
      </c>
      <c r="N6364" t="s">
        <v>40660</v>
      </c>
      <c r="O6364" t="s">
        <v>42080</v>
      </c>
      <c r="P6364">
        <v>34400</v>
      </c>
      <c r="Q6364" t="str">
        <f>"38.572810"</f>
        <v>38.572810</v>
      </c>
      <c r="R6364" t="str">
        <f>"23.615024"</f>
        <v>23.615024</v>
      </c>
      <c r="S6364" t="s">
        <v>26</v>
      </c>
    </row>
    <row r="6365" spans="1:19" x14ac:dyDescent="0.3">
      <c r="A6365" t="s">
        <v>40240</v>
      </c>
      <c r="B6365" t="s">
        <v>41596</v>
      </c>
      <c r="C6365" t="s">
        <v>42087</v>
      </c>
      <c r="D6365" t="s">
        <v>40247</v>
      </c>
      <c r="E6365" t="s">
        <v>40248</v>
      </c>
      <c r="F6365" t="s">
        <v>40248</v>
      </c>
      <c r="G6365" t="s">
        <v>40248</v>
      </c>
      <c r="H6365" t="s">
        <v>868</v>
      </c>
      <c r="I6365" t="s">
        <v>869</v>
      </c>
      <c r="J6365" t="str">
        <f>"9120216"</f>
        <v>9120216</v>
      </c>
      <c r="K6365">
        <v>2221083896</v>
      </c>
      <c r="L6365">
        <v>2221083896</v>
      </c>
      <c r="M6365" t="s">
        <v>42088</v>
      </c>
      <c r="N6365" t="s">
        <v>40536</v>
      </c>
      <c r="O6365" t="s">
        <v>42089</v>
      </c>
      <c r="P6365">
        <v>34132</v>
      </c>
      <c r="Q6365" t="str">
        <f>"38.473008"</f>
        <v>38.473008</v>
      </c>
      <c r="R6365" t="str">
        <f>"23.604094"</f>
        <v>23.604094</v>
      </c>
      <c r="S6365" t="s">
        <v>26</v>
      </c>
    </row>
    <row r="6366" spans="1:19" x14ac:dyDescent="0.3">
      <c r="A6366" t="s">
        <v>40240</v>
      </c>
      <c r="B6366" t="s">
        <v>41596</v>
      </c>
      <c r="C6366" t="s">
        <v>42095</v>
      </c>
      <c r="D6366" t="s">
        <v>40247</v>
      </c>
      <c r="E6366" t="s">
        <v>40506</v>
      </c>
      <c r="F6366" t="s">
        <v>40507</v>
      </c>
      <c r="G6366" t="s">
        <v>42094</v>
      </c>
      <c r="H6366" t="s">
        <v>868</v>
      </c>
      <c r="I6366" t="s">
        <v>950</v>
      </c>
      <c r="J6366" t="str">
        <f>"9120145"</f>
        <v>9120145</v>
      </c>
      <c r="K6366">
        <v>2223053011</v>
      </c>
      <c r="L6366">
        <v>2223053011</v>
      </c>
      <c r="M6366" t="s">
        <v>42096</v>
      </c>
      <c r="N6366" t="s">
        <v>42097</v>
      </c>
      <c r="O6366" t="s">
        <v>42097</v>
      </c>
      <c r="P6366">
        <v>34015</v>
      </c>
      <c r="Q6366" t="str">
        <f>"38.272103"</f>
        <v>38.272103</v>
      </c>
      <c r="R6366" t="str">
        <f>"24.191353"</f>
        <v>24.191353</v>
      </c>
      <c r="S6366" t="s">
        <v>26</v>
      </c>
    </row>
    <row r="6367" spans="1:19" x14ac:dyDescent="0.3">
      <c r="A6367" t="s">
        <v>40240</v>
      </c>
      <c r="B6367" t="s">
        <v>41596</v>
      </c>
      <c r="C6367" t="s">
        <v>42099</v>
      </c>
      <c r="D6367" t="s">
        <v>40247</v>
      </c>
      <c r="E6367" t="s">
        <v>40589</v>
      </c>
      <c r="F6367" t="s">
        <v>40748</v>
      </c>
      <c r="G6367" t="s">
        <v>42098</v>
      </c>
      <c r="H6367" t="s">
        <v>868</v>
      </c>
      <c r="I6367" t="s">
        <v>950</v>
      </c>
      <c r="J6367" t="str">
        <f>"9120174"</f>
        <v>9120174</v>
      </c>
      <c r="K6367">
        <v>2223051243</v>
      </c>
      <c r="L6367">
        <v>2223051243</v>
      </c>
      <c r="M6367" t="s">
        <v>42100</v>
      </c>
      <c r="N6367" t="s">
        <v>21771</v>
      </c>
      <c r="O6367" t="s">
        <v>21771</v>
      </c>
      <c r="P6367">
        <v>34017</v>
      </c>
      <c r="Q6367" t="str">
        <f>"38.367520"</f>
        <v>38.367520</v>
      </c>
      <c r="R6367" t="str">
        <f>"24.183984"</f>
        <v>24.183984</v>
      </c>
      <c r="S6367" t="s">
        <v>26</v>
      </c>
    </row>
    <row r="6368" spans="1:19" x14ac:dyDescent="0.3">
      <c r="A6368" t="s">
        <v>40240</v>
      </c>
      <c r="B6368" t="s">
        <v>41596</v>
      </c>
      <c r="C6368" t="s">
        <v>40639</v>
      </c>
      <c r="D6368" t="s">
        <v>40247</v>
      </c>
      <c r="E6368" t="s">
        <v>40248</v>
      </c>
      <c r="F6368" t="s">
        <v>40249</v>
      </c>
      <c r="G6368" t="s">
        <v>40249</v>
      </c>
      <c r="H6368" t="s">
        <v>868</v>
      </c>
      <c r="I6368" t="s">
        <v>869</v>
      </c>
      <c r="J6368" t="str">
        <f>"9120265"</f>
        <v>9120265</v>
      </c>
      <c r="K6368">
        <v>2221042301</v>
      </c>
      <c r="L6368">
        <v>2221042301</v>
      </c>
      <c r="M6368" t="s">
        <v>42101</v>
      </c>
      <c r="N6368" t="s">
        <v>42102</v>
      </c>
      <c r="O6368" t="s">
        <v>42103</v>
      </c>
      <c r="P6368">
        <v>34600</v>
      </c>
      <c r="Q6368" t="str">
        <f>"38.509510"</f>
        <v>38.509510</v>
      </c>
      <c r="R6368" t="str">
        <f>"23.639653"</f>
        <v>23.639653</v>
      </c>
      <c r="S6368" t="s">
        <v>26</v>
      </c>
    </row>
    <row r="6369" spans="1:19" x14ac:dyDescent="0.3">
      <c r="A6369" t="s">
        <v>40240</v>
      </c>
      <c r="B6369" t="s">
        <v>41596</v>
      </c>
      <c r="C6369" t="s">
        <v>42107</v>
      </c>
      <c r="D6369" t="s">
        <v>40247</v>
      </c>
      <c r="E6369" t="s">
        <v>40506</v>
      </c>
      <c r="F6369" t="s">
        <v>40739</v>
      </c>
      <c r="G6369" t="s">
        <v>42106</v>
      </c>
      <c r="H6369" t="s">
        <v>868</v>
      </c>
      <c r="I6369" t="s">
        <v>950</v>
      </c>
      <c r="J6369" t="str">
        <f>"9120099"</f>
        <v>9120099</v>
      </c>
      <c r="K6369">
        <v>2224071306</v>
      </c>
      <c r="L6369">
        <v>2224071306</v>
      </c>
      <c r="M6369" t="s">
        <v>42108</v>
      </c>
      <c r="N6369" t="s">
        <v>42106</v>
      </c>
      <c r="O6369" t="s">
        <v>42106</v>
      </c>
      <c r="P6369">
        <v>34001</v>
      </c>
      <c r="Q6369" t="str">
        <f>"38.128259"</f>
        <v>38.128259</v>
      </c>
      <c r="R6369" t="str">
        <f>"24.491793"</f>
        <v>24.491793</v>
      </c>
      <c r="S6369" t="s">
        <v>57</v>
      </c>
    </row>
    <row r="6370" spans="1:19" x14ac:dyDescent="0.3">
      <c r="A6370" t="s">
        <v>40240</v>
      </c>
      <c r="B6370" t="s">
        <v>41596</v>
      </c>
      <c r="C6370" t="s">
        <v>42109</v>
      </c>
      <c r="D6370" t="s">
        <v>40247</v>
      </c>
      <c r="E6370" t="s">
        <v>40248</v>
      </c>
      <c r="F6370" t="s">
        <v>40249</v>
      </c>
      <c r="G6370" t="s">
        <v>40249</v>
      </c>
      <c r="H6370" t="s">
        <v>868</v>
      </c>
      <c r="I6370" t="s">
        <v>869</v>
      </c>
      <c r="J6370" t="str">
        <f>"9120266"</f>
        <v>9120266</v>
      </c>
      <c r="K6370">
        <v>2221042382</v>
      </c>
      <c r="L6370">
        <v>2221061817</v>
      </c>
      <c r="M6370" t="s">
        <v>42110</v>
      </c>
      <c r="N6370" t="s">
        <v>40252</v>
      </c>
      <c r="O6370" t="s">
        <v>42111</v>
      </c>
      <c r="P6370">
        <v>34600</v>
      </c>
      <c r="Q6370" t="str">
        <f>"38.517508"</f>
        <v>38.517508</v>
      </c>
      <c r="R6370" t="str">
        <f>"23.633103"</f>
        <v>23.633103</v>
      </c>
      <c r="S6370" t="s">
        <v>26</v>
      </c>
    </row>
    <row r="6371" spans="1:19" x14ac:dyDescent="0.3">
      <c r="A6371" t="s">
        <v>40240</v>
      </c>
      <c r="B6371" t="s">
        <v>41596</v>
      </c>
      <c r="C6371" t="s">
        <v>40575</v>
      </c>
      <c r="D6371" t="s">
        <v>40247</v>
      </c>
      <c r="E6371" t="s">
        <v>40248</v>
      </c>
      <c r="F6371" t="s">
        <v>40248</v>
      </c>
      <c r="G6371" t="s">
        <v>40248</v>
      </c>
      <c r="H6371" t="s">
        <v>868</v>
      </c>
      <c r="I6371" t="s">
        <v>869</v>
      </c>
      <c r="J6371" t="str">
        <f>"9120211"</f>
        <v>9120211</v>
      </c>
      <c r="K6371">
        <v>2221043581</v>
      </c>
      <c r="L6371">
        <v>2221043581</v>
      </c>
      <c r="M6371" t="s">
        <v>42112</v>
      </c>
      <c r="N6371" t="s">
        <v>40536</v>
      </c>
      <c r="O6371" t="s">
        <v>42113</v>
      </c>
      <c r="P6371">
        <v>34100</v>
      </c>
      <c r="Q6371" t="str">
        <f>"38.489861"</f>
        <v>38.489861</v>
      </c>
      <c r="R6371" t="str">
        <f>"23.632395"</f>
        <v>23.632395</v>
      </c>
      <c r="S6371" t="s">
        <v>26</v>
      </c>
    </row>
    <row r="6372" spans="1:19" x14ac:dyDescent="0.3">
      <c r="A6372" t="s">
        <v>40240</v>
      </c>
      <c r="B6372" t="s">
        <v>41596</v>
      </c>
      <c r="C6372" t="s">
        <v>40624</v>
      </c>
      <c r="D6372" t="s">
        <v>40247</v>
      </c>
      <c r="E6372" t="s">
        <v>22629</v>
      </c>
      <c r="F6372" t="s">
        <v>22629</v>
      </c>
      <c r="G6372" t="s">
        <v>22629</v>
      </c>
      <c r="H6372" t="s">
        <v>868</v>
      </c>
      <c r="I6372" t="s">
        <v>869</v>
      </c>
      <c r="J6372" t="str">
        <f>"9120463"</f>
        <v>9120463</v>
      </c>
      <c r="K6372">
        <v>2229060463</v>
      </c>
      <c r="L6372">
        <v>2229060463</v>
      </c>
      <c r="M6372" t="s">
        <v>42114</v>
      </c>
      <c r="N6372" t="s">
        <v>22632</v>
      </c>
      <c r="O6372" t="s">
        <v>42115</v>
      </c>
      <c r="P6372">
        <v>34008</v>
      </c>
      <c r="Q6372" t="str">
        <f>"38.394784"</f>
        <v>38.394784</v>
      </c>
      <c r="R6372" t="str">
        <f>"23.788014"</f>
        <v>23.788014</v>
      </c>
      <c r="S6372" t="s">
        <v>26</v>
      </c>
    </row>
    <row r="6373" spans="1:19" x14ac:dyDescent="0.3">
      <c r="A6373" t="s">
        <v>40240</v>
      </c>
      <c r="B6373" t="s">
        <v>41596</v>
      </c>
      <c r="C6373" t="s">
        <v>42117</v>
      </c>
      <c r="D6373" t="s">
        <v>40247</v>
      </c>
      <c r="E6373" t="s">
        <v>40539</v>
      </c>
      <c r="F6373" t="s">
        <v>40617</v>
      </c>
      <c r="G6373" t="s">
        <v>42116</v>
      </c>
      <c r="H6373" t="s">
        <v>868</v>
      </c>
      <c r="I6373" t="s">
        <v>950</v>
      </c>
      <c r="J6373" t="str">
        <f>"9120062"</f>
        <v>9120062</v>
      </c>
      <c r="K6373">
        <v>2227092000</v>
      </c>
      <c r="L6373">
        <v>2227092000</v>
      </c>
      <c r="M6373" t="s">
        <v>42118</v>
      </c>
      <c r="O6373" t="s">
        <v>42119</v>
      </c>
      <c r="P6373">
        <v>34005</v>
      </c>
      <c r="Q6373" t="str">
        <f>"38.812863"</f>
        <v>38.812863</v>
      </c>
      <c r="R6373" t="str">
        <f>"23.368510"</f>
        <v>23.368510</v>
      </c>
      <c r="S6373" t="s">
        <v>26</v>
      </c>
    </row>
    <row r="6374" spans="1:19" x14ac:dyDescent="0.3">
      <c r="A6374" t="s">
        <v>40240</v>
      </c>
      <c r="B6374" t="s">
        <v>41596</v>
      </c>
      <c r="C6374" t="s">
        <v>42124</v>
      </c>
      <c r="D6374" t="s">
        <v>40247</v>
      </c>
      <c r="E6374" t="s">
        <v>40248</v>
      </c>
      <c r="F6374" t="s">
        <v>40248</v>
      </c>
      <c r="G6374" t="s">
        <v>40248</v>
      </c>
      <c r="H6374" t="s">
        <v>868</v>
      </c>
      <c r="I6374" t="s">
        <v>869</v>
      </c>
      <c r="J6374" t="str">
        <f>"9120426"</f>
        <v>9120426</v>
      </c>
      <c r="K6374">
        <v>2221043240</v>
      </c>
      <c r="L6374">
        <v>2221061715</v>
      </c>
      <c r="M6374" t="s">
        <v>42125</v>
      </c>
      <c r="N6374" t="s">
        <v>40536</v>
      </c>
      <c r="O6374" t="s">
        <v>42126</v>
      </c>
      <c r="P6374">
        <v>34100</v>
      </c>
      <c r="Q6374" t="str">
        <f>"38.497277"</f>
        <v>38.497277</v>
      </c>
      <c r="R6374" t="str">
        <f>"23.640473"</f>
        <v>23.640473</v>
      </c>
      <c r="S6374" t="s">
        <v>26</v>
      </c>
    </row>
    <row r="6375" spans="1:19" x14ac:dyDescent="0.3">
      <c r="A6375" t="s">
        <v>40240</v>
      </c>
      <c r="B6375" t="s">
        <v>41596</v>
      </c>
      <c r="C6375" t="s">
        <v>42127</v>
      </c>
      <c r="D6375" t="s">
        <v>40247</v>
      </c>
      <c r="E6375" t="s">
        <v>40589</v>
      </c>
      <c r="F6375" t="s">
        <v>40748</v>
      </c>
      <c r="G6375" t="s">
        <v>42090</v>
      </c>
      <c r="H6375" t="s">
        <v>868</v>
      </c>
      <c r="I6375" t="s">
        <v>950</v>
      </c>
      <c r="J6375" t="str">
        <f>"9120149"</f>
        <v>9120149</v>
      </c>
      <c r="K6375">
        <v>2223055276</v>
      </c>
      <c r="L6375">
        <v>2223055276</v>
      </c>
      <c r="M6375" t="s">
        <v>42128</v>
      </c>
      <c r="N6375" t="s">
        <v>42093</v>
      </c>
      <c r="O6375" t="s">
        <v>42093</v>
      </c>
      <c r="P6375">
        <v>34017</v>
      </c>
      <c r="Q6375" t="str">
        <f>"38.308769"</f>
        <v>38.308769</v>
      </c>
      <c r="R6375" t="str">
        <f>"24.149366"</f>
        <v>24.149366</v>
      </c>
      <c r="S6375" t="s">
        <v>26</v>
      </c>
    </row>
    <row r="6376" spans="1:19" x14ac:dyDescent="0.3">
      <c r="A6376" t="s">
        <v>40240</v>
      </c>
      <c r="B6376" t="s">
        <v>41596</v>
      </c>
      <c r="C6376" t="s">
        <v>42129</v>
      </c>
      <c r="D6376" t="s">
        <v>40247</v>
      </c>
      <c r="E6376" t="s">
        <v>40589</v>
      </c>
      <c r="F6376" t="s">
        <v>40667</v>
      </c>
      <c r="G6376" t="s">
        <v>40668</v>
      </c>
      <c r="H6376" t="s">
        <v>868</v>
      </c>
      <c r="I6376" t="s">
        <v>869</v>
      </c>
      <c r="J6376" t="str">
        <f>"9120142"</f>
        <v>9120142</v>
      </c>
      <c r="K6376">
        <v>2223022713</v>
      </c>
      <c r="L6376">
        <v>2223024100</v>
      </c>
      <c r="M6376" t="s">
        <v>42130</v>
      </c>
      <c r="N6376" t="s">
        <v>42131</v>
      </c>
      <c r="O6376" t="s">
        <v>42132</v>
      </c>
      <c r="P6376">
        <v>34500</v>
      </c>
      <c r="Q6376" t="str">
        <f>"38.397131"</f>
        <v>38.397131</v>
      </c>
      <c r="R6376" t="str">
        <f>"24.046556"</f>
        <v>24.046556</v>
      </c>
      <c r="S6376" t="s">
        <v>26</v>
      </c>
    </row>
    <row r="6377" spans="1:19" x14ac:dyDescent="0.3">
      <c r="A6377" t="s">
        <v>40240</v>
      </c>
      <c r="B6377" t="s">
        <v>41596</v>
      </c>
      <c r="C6377" t="s">
        <v>42134</v>
      </c>
      <c r="D6377" t="s">
        <v>40247</v>
      </c>
      <c r="E6377" t="s">
        <v>40589</v>
      </c>
      <c r="F6377" t="s">
        <v>3213</v>
      </c>
      <c r="G6377" t="s">
        <v>42133</v>
      </c>
      <c r="H6377" t="s">
        <v>868</v>
      </c>
      <c r="I6377" t="s">
        <v>950</v>
      </c>
      <c r="J6377" t="str">
        <f>"9120205"</f>
        <v>9120205</v>
      </c>
      <c r="K6377">
        <v>2228025246</v>
      </c>
      <c r="M6377" t="s">
        <v>42135</v>
      </c>
      <c r="N6377" t="s">
        <v>42136</v>
      </c>
      <c r="O6377" t="s">
        <v>42137</v>
      </c>
      <c r="P6377">
        <v>34014</v>
      </c>
      <c r="Q6377" t="str">
        <f>"38.542677"</f>
        <v>38.542677</v>
      </c>
      <c r="R6377" t="str">
        <f>"23.765330"</f>
        <v>23.765330</v>
      </c>
      <c r="S6377" t="s">
        <v>57</v>
      </c>
    </row>
    <row r="6378" spans="1:19" x14ac:dyDescent="0.3">
      <c r="A6378" t="s">
        <v>40240</v>
      </c>
      <c r="B6378" t="s">
        <v>41596</v>
      </c>
      <c r="C6378" t="s">
        <v>42139</v>
      </c>
      <c r="D6378" t="s">
        <v>40247</v>
      </c>
      <c r="E6378" t="s">
        <v>40248</v>
      </c>
      <c r="F6378" t="s">
        <v>40248</v>
      </c>
      <c r="G6378" t="s">
        <v>40248</v>
      </c>
      <c r="H6378" t="s">
        <v>868</v>
      </c>
      <c r="I6378" t="s">
        <v>869</v>
      </c>
      <c r="J6378" t="str">
        <f>"9120231"</f>
        <v>9120231</v>
      </c>
      <c r="K6378">
        <v>2221023290</v>
      </c>
      <c r="L6378">
        <v>2221024543</v>
      </c>
      <c r="M6378" t="s">
        <v>42140</v>
      </c>
      <c r="N6378" t="s">
        <v>40536</v>
      </c>
      <c r="O6378" t="s">
        <v>42141</v>
      </c>
      <c r="P6378">
        <v>34100</v>
      </c>
      <c r="Q6378" t="str">
        <f>"38.487168"</f>
        <v>38.487168</v>
      </c>
      <c r="R6378" t="str">
        <f>"23.625230"</f>
        <v>23.625230</v>
      </c>
      <c r="S6378" t="s">
        <v>26</v>
      </c>
    </row>
    <row r="6379" spans="1:19" x14ac:dyDescent="0.3">
      <c r="A6379" t="s">
        <v>40240</v>
      </c>
      <c r="B6379" t="s">
        <v>41596</v>
      </c>
      <c r="C6379" t="s">
        <v>42142</v>
      </c>
      <c r="D6379" t="s">
        <v>40247</v>
      </c>
      <c r="E6379" t="s">
        <v>40248</v>
      </c>
      <c r="F6379" t="s">
        <v>40248</v>
      </c>
      <c r="G6379" t="s">
        <v>40248</v>
      </c>
      <c r="H6379" t="s">
        <v>868</v>
      </c>
      <c r="I6379" t="s">
        <v>869</v>
      </c>
      <c r="J6379" t="str">
        <f>"9120407"</f>
        <v>9120407</v>
      </c>
      <c r="K6379">
        <v>2221037796</v>
      </c>
      <c r="L6379">
        <v>2221037796</v>
      </c>
      <c r="M6379" t="s">
        <v>42143</v>
      </c>
      <c r="N6379" t="s">
        <v>40536</v>
      </c>
      <c r="O6379" t="s">
        <v>42144</v>
      </c>
      <c r="P6379">
        <v>34132</v>
      </c>
      <c r="Q6379" t="str">
        <f>"38.472396"</f>
        <v>38.472396</v>
      </c>
      <c r="R6379" t="str">
        <f>"23.576448"</f>
        <v>23.576448</v>
      </c>
      <c r="S6379" t="s">
        <v>26</v>
      </c>
    </row>
    <row r="6380" spans="1:19" x14ac:dyDescent="0.3">
      <c r="A6380" t="s">
        <v>40240</v>
      </c>
      <c r="B6380" t="s">
        <v>41596</v>
      </c>
      <c r="C6380" t="s">
        <v>42145</v>
      </c>
      <c r="D6380" t="s">
        <v>40247</v>
      </c>
      <c r="E6380" t="s">
        <v>40248</v>
      </c>
      <c r="F6380" t="s">
        <v>40248</v>
      </c>
      <c r="G6380" t="s">
        <v>40248</v>
      </c>
      <c r="H6380" t="s">
        <v>868</v>
      </c>
      <c r="I6380" t="s">
        <v>1157</v>
      </c>
      <c r="J6380" t="str">
        <f>"9120305"</f>
        <v>9120305</v>
      </c>
      <c r="K6380">
        <v>2221083296</v>
      </c>
      <c r="L6380">
        <v>2221083296</v>
      </c>
      <c r="M6380" t="s">
        <v>42146</v>
      </c>
      <c r="N6380" t="s">
        <v>40536</v>
      </c>
      <c r="O6380" t="s">
        <v>42147</v>
      </c>
      <c r="P6380">
        <v>34100</v>
      </c>
      <c r="Q6380" t="str">
        <f>"38.461921"</f>
        <v>38.461921</v>
      </c>
      <c r="R6380" t="str">
        <f>"23.597831"</f>
        <v>23.597831</v>
      </c>
      <c r="S6380" t="s">
        <v>26</v>
      </c>
    </row>
    <row r="6381" spans="1:19" x14ac:dyDescent="0.3">
      <c r="A6381" t="s">
        <v>40240</v>
      </c>
      <c r="B6381" t="s">
        <v>41596</v>
      </c>
      <c r="C6381" t="s">
        <v>42148</v>
      </c>
      <c r="D6381" t="s">
        <v>40247</v>
      </c>
      <c r="E6381" t="s">
        <v>40248</v>
      </c>
      <c r="F6381" t="s">
        <v>40248</v>
      </c>
      <c r="G6381" t="s">
        <v>40248</v>
      </c>
      <c r="H6381" t="s">
        <v>868</v>
      </c>
      <c r="I6381" t="s">
        <v>1157</v>
      </c>
      <c r="J6381" t="str">
        <f>"9120413"</f>
        <v>9120413</v>
      </c>
      <c r="K6381">
        <v>2221079820</v>
      </c>
      <c r="L6381">
        <v>2221079820</v>
      </c>
      <c r="M6381" t="s">
        <v>42149</v>
      </c>
      <c r="N6381" t="s">
        <v>40536</v>
      </c>
      <c r="O6381" t="s">
        <v>42150</v>
      </c>
      <c r="P6381">
        <v>34100</v>
      </c>
      <c r="Q6381" t="str">
        <f>"38.464525"</f>
        <v>38.464525</v>
      </c>
      <c r="R6381" t="str">
        <f>"23.605070"</f>
        <v>23.605070</v>
      </c>
      <c r="S6381" t="s">
        <v>26</v>
      </c>
    </row>
    <row r="6382" spans="1:19" x14ac:dyDescent="0.3">
      <c r="A6382" t="s">
        <v>40240</v>
      </c>
      <c r="B6382" t="s">
        <v>41596</v>
      </c>
      <c r="C6382" t="s">
        <v>41687</v>
      </c>
      <c r="D6382" t="s">
        <v>40247</v>
      </c>
      <c r="E6382" t="s">
        <v>40506</v>
      </c>
      <c r="F6382" t="s">
        <v>40507</v>
      </c>
      <c r="G6382" t="s">
        <v>42151</v>
      </c>
      <c r="H6382" t="s">
        <v>868</v>
      </c>
      <c r="I6382" t="s">
        <v>869</v>
      </c>
      <c r="J6382" t="str">
        <f>"9120114"</f>
        <v>9120114</v>
      </c>
      <c r="K6382">
        <v>2224041240</v>
      </c>
      <c r="L6382">
        <v>2224041240</v>
      </c>
      <c r="M6382" t="s">
        <v>42155</v>
      </c>
      <c r="N6382" t="s">
        <v>42154</v>
      </c>
      <c r="O6382" t="s">
        <v>42154</v>
      </c>
      <c r="P6382">
        <v>34015</v>
      </c>
      <c r="Q6382" t="str">
        <f>"38.181304"</f>
        <v>38.181304</v>
      </c>
      <c r="R6382" t="str">
        <f>"24.208860"</f>
        <v>24.208860</v>
      </c>
      <c r="S6382" t="s">
        <v>26</v>
      </c>
    </row>
    <row r="6383" spans="1:19" x14ac:dyDescent="0.3">
      <c r="A6383" t="s">
        <v>40240</v>
      </c>
      <c r="B6383" t="s">
        <v>41596</v>
      </c>
      <c r="C6383" t="s">
        <v>40513</v>
      </c>
      <c r="D6383" t="s">
        <v>40247</v>
      </c>
      <c r="E6383" t="s">
        <v>40506</v>
      </c>
      <c r="F6383" t="s">
        <v>40507</v>
      </c>
      <c r="G6383" t="s">
        <v>40508</v>
      </c>
      <c r="H6383" t="s">
        <v>868</v>
      </c>
      <c r="I6383" t="s">
        <v>950</v>
      </c>
      <c r="J6383" t="str">
        <f>"9120125"</f>
        <v>9120125</v>
      </c>
      <c r="K6383">
        <v>2224051106</v>
      </c>
      <c r="L6383">
        <v>2224051106</v>
      </c>
      <c r="M6383" t="s">
        <v>42156</v>
      </c>
      <c r="N6383" t="s">
        <v>40508</v>
      </c>
      <c r="O6383" t="s">
        <v>41771</v>
      </c>
      <c r="P6383">
        <v>34015</v>
      </c>
      <c r="Q6383" t="str">
        <f>"38.157833"</f>
        <v>38.157833</v>
      </c>
      <c r="R6383" t="str">
        <f>"24.239186"</f>
        <v>24.239186</v>
      </c>
      <c r="S6383" t="s">
        <v>26</v>
      </c>
    </row>
    <row r="6384" spans="1:19" x14ac:dyDescent="0.3">
      <c r="A6384" t="s">
        <v>40240</v>
      </c>
      <c r="B6384" t="s">
        <v>41596</v>
      </c>
      <c r="C6384" t="s">
        <v>40698</v>
      </c>
      <c r="D6384" t="s">
        <v>40247</v>
      </c>
      <c r="E6384" t="s">
        <v>22629</v>
      </c>
      <c r="F6384" t="s">
        <v>40610</v>
      </c>
      <c r="G6384" t="s">
        <v>40694</v>
      </c>
      <c r="H6384" t="s">
        <v>868</v>
      </c>
      <c r="I6384" t="s">
        <v>869</v>
      </c>
      <c r="J6384" t="str">
        <f>"9120203"</f>
        <v>9120203</v>
      </c>
      <c r="K6384">
        <v>2229091241</v>
      </c>
      <c r="L6384">
        <v>2229091241</v>
      </c>
      <c r="M6384" t="s">
        <v>42162</v>
      </c>
      <c r="N6384" t="s">
        <v>40697</v>
      </c>
      <c r="O6384" t="s">
        <v>40697</v>
      </c>
      <c r="P6384">
        <v>34006</v>
      </c>
      <c r="Q6384" t="str">
        <f>"38.438239"</f>
        <v>38.438239</v>
      </c>
      <c r="R6384" t="str">
        <f>"23.885026"</f>
        <v>23.885026</v>
      </c>
      <c r="S6384" t="s">
        <v>26</v>
      </c>
    </row>
    <row r="6385" spans="1:19" x14ac:dyDescent="0.3">
      <c r="A6385" t="s">
        <v>40240</v>
      </c>
      <c r="B6385" t="s">
        <v>41596</v>
      </c>
      <c r="C6385" t="s">
        <v>40565</v>
      </c>
      <c r="D6385" t="s">
        <v>40247</v>
      </c>
      <c r="E6385" t="s">
        <v>40539</v>
      </c>
      <c r="F6385" t="s">
        <v>40558</v>
      </c>
      <c r="G6385" t="s">
        <v>40559</v>
      </c>
      <c r="H6385" t="s">
        <v>868</v>
      </c>
      <c r="I6385" t="s">
        <v>869</v>
      </c>
      <c r="J6385" t="str">
        <f>"9520742"</f>
        <v>9520742</v>
      </c>
      <c r="K6385">
        <v>2227022430</v>
      </c>
      <c r="L6385">
        <v>2227022432</v>
      </c>
      <c r="M6385" t="s">
        <v>42172</v>
      </c>
      <c r="N6385" t="s">
        <v>40563</v>
      </c>
      <c r="O6385" t="s">
        <v>40563</v>
      </c>
      <c r="P6385">
        <v>34004</v>
      </c>
      <c r="Q6385" t="str">
        <f>"38.796230"</f>
        <v>38.796230</v>
      </c>
      <c r="R6385" t="str">
        <f>"23.476295"</f>
        <v>23.476295</v>
      </c>
      <c r="S6385" t="s">
        <v>26</v>
      </c>
    </row>
    <row r="6386" spans="1:19" x14ac:dyDescent="0.3">
      <c r="A6386" t="s">
        <v>40240</v>
      </c>
      <c r="B6386" t="s">
        <v>41596</v>
      </c>
      <c r="C6386" t="s">
        <v>42199</v>
      </c>
      <c r="D6386" t="s">
        <v>40247</v>
      </c>
      <c r="E6386" t="s">
        <v>40526</v>
      </c>
      <c r="F6386" t="s">
        <v>40527</v>
      </c>
      <c r="G6386" t="s">
        <v>41691</v>
      </c>
      <c r="H6386" t="s">
        <v>868</v>
      </c>
      <c r="I6386" t="s">
        <v>950</v>
      </c>
      <c r="J6386" t="str">
        <f>"9120270"</f>
        <v>9120270</v>
      </c>
      <c r="K6386">
        <v>2228031234</v>
      </c>
      <c r="L6386">
        <v>2228031234</v>
      </c>
      <c r="M6386" t="s">
        <v>42200</v>
      </c>
      <c r="N6386" t="s">
        <v>41694</v>
      </c>
      <c r="O6386" t="s">
        <v>41694</v>
      </c>
      <c r="P6386">
        <v>34400</v>
      </c>
      <c r="Q6386" t="str">
        <f>"38.614901"</f>
        <v>38.614901</v>
      </c>
      <c r="R6386" t="str">
        <f>"23.532687"</f>
        <v>23.532687</v>
      </c>
      <c r="S6386" t="s">
        <v>26</v>
      </c>
    </row>
    <row r="6387" spans="1:19" x14ac:dyDescent="0.3">
      <c r="A6387" t="s">
        <v>40240</v>
      </c>
      <c r="B6387" t="s">
        <v>41596</v>
      </c>
      <c r="C6387" t="s">
        <v>42138</v>
      </c>
      <c r="D6387" t="s">
        <v>40247</v>
      </c>
      <c r="E6387" t="s">
        <v>40589</v>
      </c>
      <c r="F6387" t="s">
        <v>3213</v>
      </c>
      <c r="G6387" t="s">
        <v>3213</v>
      </c>
      <c r="H6387" t="s">
        <v>868</v>
      </c>
      <c r="I6387" t="s">
        <v>869</v>
      </c>
      <c r="J6387" t="str">
        <f>"9120478"</f>
        <v>9120478</v>
      </c>
      <c r="K6387">
        <v>2222022419</v>
      </c>
      <c r="L6387">
        <v>2222022419</v>
      </c>
      <c r="M6387" t="s">
        <v>42201</v>
      </c>
      <c r="N6387" t="s">
        <v>3213</v>
      </c>
      <c r="O6387" t="s">
        <v>2905</v>
      </c>
      <c r="P6387">
        <v>34003</v>
      </c>
      <c r="Q6387" t="str">
        <f>"38.636329"</f>
        <v>38.636329</v>
      </c>
      <c r="R6387" t="str">
        <f>"24.100281"</f>
        <v>24.100281</v>
      </c>
      <c r="S6387" t="s">
        <v>26</v>
      </c>
    </row>
    <row r="6388" spans="1:19" x14ac:dyDescent="0.3">
      <c r="A6388" t="s">
        <v>40240</v>
      </c>
      <c r="B6388" t="s">
        <v>41596</v>
      </c>
      <c r="C6388" t="s">
        <v>40606</v>
      </c>
      <c r="D6388" t="s">
        <v>40247</v>
      </c>
      <c r="E6388" t="s">
        <v>40589</v>
      </c>
      <c r="F6388" t="s">
        <v>3213</v>
      </c>
      <c r="G6388" t="s">
        <v>3213</v>
      </c>
      <c r="H6388" t="s">
        <v>868</v>
      </c>
      <c r="I6388" t="s">
        <v>869</v>
      </c>
      <c r="J6388" t="str">
        <f>"9120127"</f>
        <v>9120127</v>
      </c>
      <c r="K6388">
        <v>2222022419</v>
      </c>
      <c r="L6388">
        <v>2222022419</v>
      </c>
      <c r="M6388" t="s">
        <v>42202</v>
      </c>
      <c r="N6388" t="s">
        <v>2905</v>
      </c>
      <c r="O6388" t="s">
        <v>42203</v>
      </c>
      <c r="P6388">
        <v>34003</v>
      </c>
      <c r="Q6388" t="str">
        <f>"38.633903"</f>
        <v>38.633903</v>
      </c>
      <c r="R6388" t="str">
        <f>"24.107003"</f>
        <v>24.107003</v>
      </c>
      <c r="S6388" t="s">
        <v>26</v>
      </c>
    </row>
    <row r="6389" spans="1:19" x14ac:dyDescent="0.3">
      <c r="A6389" t="s">
        <v>40240</v>
      </c>
      <c r="B6389" t="s">
        <v>41596</v>
      </c>
      <c r="C6389" t="s">
        <v>42205</v>
      </c>
      <c r="D6389" t="s">
        <v>40247</v>
      </c>
      <c r="E6389" t="s">
        <v>40589</v>
      </c>
      <c r="F6389" t="s">
        <v>4068</v>
      </c>
      <c r="G6389" t="s">
        <v>42204</v>
      </c>
      <c r="H6389" t="s">
        <v>868</v>
      </c>
      <c r="I6389" t="s">
        <v>950</v>
      </c>
      <c r="J6389" t="str">
        <f>"9120156"</f>
        <v>9120156</v>
      </c>
      <c r="K6389">
        <v>2223041250</v>
      </c>
      <c r="L6389">
        <v>2223041250</v>
      </c>
      <c r="M6389" t="s">
        <v>42206</v>
      </c>
      <c r="N6389" t="s">
        <v>25952</v>
      </c>
      <c r="O6389" t="s">
        <v>25952</v>
      </c>
      <c r="P6389">
        <v>34009</v>
      </c>
      <c r="Q6389" t="str">
        <f>"38.470851"</f>
        <v>38.470851</v>
      </c>
      <c r="R6389" t="str">
        <f>"24.151244"</f>
        <v>24.151244</v>
      </c>
      <c r="S6389" t="s">
        <v>26</v>
      </c>
    </row>
    <row r="6390" spans="1:19" x14ac:dyDescent="0.3">
      <c r="A6390" t="s">
        <v>40240</v>
      </c>
      <c r="B6390" t="s">
        <v>41596</v>
      </c>
      <c r="C6390" t="s">
        <v>42209</v>
      </c>
      <c r="D6390" t="s">
        <v>40247</v>
      </c>
      <c r="E6390" t="s">
        <v>40566</v>
      </c>
      <c r="F6390" t="s">
        <v>40682</v>
      </c>
      <c r="G6390" t="s">
        <v>25317</v>
      </c>
      <c r="H6390" t="s">
        <v>868</v>
      </c>
      <c r="I6390" t="s">
        <v>950</v>
      </c>
      <c r="J6390" t="str">
        <f>"9120023"</f>
        <v>9120023</v>
      </c>
      <c r="K6390">
        <v>2226043218</v>
      </c>
      <c r="L6390">
        <v>2226043218</v>
      </c>
      <c r="M6390" t="s">
        <v>42210</v>
      </c>
      <c r="N6390" t="s">
        <v>25317</v>
      </c>
      <c r="O6390" t="s">
        <v>42211</v>
      </c>
      <c r="P6390">
        <v>34200</v>
      </c>
      <c r="Q6390" t="str">
        <f>"38.965790"</f>
        <v>38.965790</v>
      </c>
      <c r="R6390" t="str">
        <f>"23.358077"</f>
        <v>23.358077</v>
      </c>
      <c r="S6390" t="s">
        <v>26</v>
      </c>
    </row>
    <row r="6391" spans="1:19" x14ac:dyDescent="0.3">
      <c r="A6391" t="s">
        <v>40240</v>
      </c>
      <c r="B6391" t="s">
        <v>41596</v>
      </c>
      <c r="C6391" t="s">
        <v>42217</v>
      </c>
      <c r="D6391" t="s">
        <v>40247</v>
      </c>
      <c r="E6391" t="s">
        <v>40566</v>
      </c>
      <c r="F6391" t="s">
        <v>40582</v>
      </c>
      <c r="G6391" t="s">
        <v>42216</v>
      </c>
      <c r="H6391" t="s">
        <v>868</v>
      </c>
      <c r="I6391" t="s">
        <v>950</v>
      </c>
      <c r="J6391" t="str">
        <f>"9120010"</f>
        <v>9120010</v>
      </c>
      <c r="K6391">
        <v>2226032283</v>
      </c>
      <c r="L6391">
        <v>2226032440</v>
      </c>
      <c r="M6391" t="s">
        <v>42218</v>
      </c>
      <c r="N6391" t="s">
        <v>42219</v>
      </c>
      <c r="O6391" t="s">
        <v>42220</v>
      </c>
      <c r="P6391">
        <v>34300</v>
      </c>
      <c r="Q6391" t="str">
        <f>"38.864999"</f>
        <v>38.864999</v>
      </c>
      <c r="R6391" t="str">
        <f>"22.974419"</f>
        <v>22.974419</v>
      </c>
      <c r="S6391" t="s">
        <v>26</v>
      </c>
    </row>
    <row r="6392" spans="1:19" x14ac:dyDescent="0.3">
      <c r="A6392" t="s">
        <v>40240</v>
      </c>
      <c r="B6392" t="s">
        <v>41596</v>
      </c>
      <c r="C6392" t="s">
        <v>40802</v>
      </c>
      <c r="D6392" t="s">
        <v>40247</v>
      </c>
      <c r="E6392" t="s">
        <v>40566</v>
      </c>
      <c r="F6392" t="s">
        <v>41740</v>
      </c>
      <c r="G6392" t="s">
        <v>41740</v>
      </c>
      <c r="H6392" t="s">
        <v>868</v>
      </c>
      <c r="I6392" t="s">
        <v>869</v>
      </c>
      <c r="J6392" t="str">
        <f>"9120046"</f>
        <v>9120046</v>
      </c>
      <c r="K6392">
        <v>2226071282</v>
      </c>
      <c r="L6392">
        <v>2226072696</v>
      </c>
      <c r="M6392" t="s">
        <v>42231</v>
      </c>
      <c r="N6392" t="s">
        <v>42232</v>
      </c>
      <c r="O6392" t="s">
        <v>42233</v>
      </c>
      <c r="P6392">
        <v>34012</v>
      </c>
      <c r="Q6392" t="str">
        <f>"38.946636"</f>
        <v>38.946636</v>
      </c>
      <c r="R6392" t="str">
        <f>"23.087895"</f>
        <v>23.087895</v>
      </c>
      <c r="S6392" t="s">
        <v>26</v>
      </c>
    </row>
    <row r="6393" spans="1:19" x14ac:dyDescent="0.3">
      <c r="A6393" t="s">
        <v>40240</v>
      </c>
      <c r="B6393" t="s">
        <v>41596</v>
      </c>
      <c r="C6393" t="s">
        <v>42236</v>
      </c>
      <c r="D6393" t="s">
        <v>40247</v>
      </c>
      <c r="E6393" t="s">
        <v>40589</v>
      </c>
      <c r="F6393" t="s">
        <v>40667</v>
      </c>
      <c r="G6393" t="s">
        <v>14943</v>
      </c>
      <c r="H6393" t="s">
        <v>868</v>
      </c>
      <c r="I6393" t="s">
        <v>950</v>
      </c>
      <c r="J6393" t="str">
        <f>"9120136"</f>
        <v>9120136</v>
      </c>
      <c r="K6393">
        <v>2223081484</v>
      </c>
      <c r="L6393">
        <v>2223081484</v>
      </c>
      <c r="M6393" t="s">
        <v>42237</v>
      </c>
      <c r="N6393" t="s">
        <v>39646</v>
      </c>
      <c r="O6393" t="s">
        <v>19973</v>
      </c>
      <c r="P6393">
        <v>34500</v>
      </c>
      <c r="Q6393" t="str">
        <f>"38.453276"</f>
        <v>38.453276</v>
      </c>
      <c r="R6393" t="str">
        <f>"23.998067"</f>
        <v>23.998067</v>
      </c>
      <c r="S6393" t="s">
        <v>26</v>
      </c>
    </row>
    <row r="6394" spans="1:19" x14ac:dyDescent="0.3">
      <c r="A6394" t="s">
        <v>40240</v>
      </c>
      <c r="B6394" t="s">
        <v>41596</v>
      </c>
      <c r="C6394" t="s">
        <v>42238</v>
      </c>
      <c r="D6394" t="s">
        <v>40247</v>
      </c>
      <c r="E6394" t="s">
        <v>40589</v>
      </c>
      <c r="F6394" t="s">
        <v>40748</v>
      </c>
      <c r="G6394" t="s">
        <v>42178</v>
      </c>
      <c r="H6394" t="s">
        <v>868</v>
      </c>
      <c r="I6394" t="s">
        <v>869</v>
      </c>
      <c r="J6394" t="str">
        <f>"9120163"</f>
        <v>9120163</v>
      </c>
      <c r="K6394">
        <v>2223091260</v>
      </c>
      <c r="L6394">
        <v>2223091260</v>
      </c>
      <c r="M6394" t="s">
        <v>42239</v>
      </c>
      <c r="N6394" t="s">
        <v>42181</v>
      </c>
      <c r="O6394" t="s">
        <v>42181</v>
      </c>
      <c r="P6394">
        <v>34500</v>
      </c>
      <c r="Q6394" t="str">
        <f>"38.375656"</f>
        <v>38.375656</v>
      </c>
      <c r="R6394" t="str">
        <f>"24.124820"</f>
        <v>24.124820</v>
      </c>
      <c r="S6394" t="s">
        <v>26</v>
      </c>
    </row>
    <row r="6395" spans="1:19" x14ac:dyDescent="0.3">
      <c r="A6395" t="s">
        <v>40240</v>
      </c>
      <c r="B6395" t="s">
        <v>41596</v>
      </c>
      <c r="C6395" t="s">
        <v>40634</v>
      </c>
      <c r="D6395" t="s">
        <v>40247</v>
      </c>
      <c r="E6395" t="s">
        <v>40589</v>
      </c>
      <c r="F6395" t="s">
        <v>40629</v>
      </c>
      <c r="G6395" t="s">
        <v>40629</v>
      </c>
      <c r="H6395" t="s">
        <v>868</v>
      </c>
      <c r="I6395" t="s">
        <v>869</v>
      </c>
      <c r="J6395" t="str">
        <f>"9120173"</f>
        <v>9120173</v>
      </c>
      <c r="K6395">
        <v>2222058338</v>
      </c>
      <c r="L6395">
        <v>2222029519</v>
      </c>
      <c r="M6395" t="s">
        <v>42240</v>
      </c>
      <c r="N6395" t="s">
        <v>40791</v>
      </c>
      <c r="O6395" t="s">
        <v>40791</v>
      </c>
      <c r="P6395">
        <v>34003</v>
      </c>
      <c r="Q6395" t="str">
        <f>"38.567364"</f>
        <v>38.567364</v>
      </c>
      <c r="R6395" t="str">
        <f>"24.063913"</f>
        <v>24.063913</v>
      </c>
      <c r="S6395" t="s">
        <v>26</v>
      </c>
    </row>
    <row r="6396" spans="1:19" x14ac:dyDescent="0.3">
      <c r="A6396" t="s">
        <v>40240</v>
      </c>
      <c r="B6396" t="s">
        <v>41596</v>
      </c>
      <c r="C6396" t="s">
        <v>40595</v>
      </c>
      <c r="D6396" t="s">
        <v>40247</v>
      </c>
      <c r="E6396" t="s">
        <v>40589</v>
      </c>
      <c r="F6396" t="s">
        <v>4068</v>
      </c>
      <c r="G6396" t="s">
        <v>40590</v>
      </c>
      <c r="H6396" t="s">
        <v>868</v>
      </c>
      <c r="I6396" t="s">
        <v>869</v>
      </c>
      <c r="J6396" t="str">
        <f>"9120151"</f>
        <v>9120151</v>
      </c>
      <c r="K6396">
        <v>2223031318</v>
      </c>
      <c r="L6396">
        <v>2223031318</v>
      </c>
      <c r="M6396" t="s">
        <v>42241</v>
      </c>
      <c r="N6396" t="s">
        <v>40593</v>
      </c>
      <c r="O6396" t="s">
        <v>41759</v>
      </c>
      <c r="P6396">
        <v>34009</v>
      </c>
      <c r="Q6396" t="str">
        <f>"38.504795"</f>
        <v>38.504795</v>
      </c>
      <c r="R6396" t="str">
        <f>"24.122259"</f>
        <v>24.122259</v>
      </c>
      <c r="S6396" t="s">
        <v>26</v>
      </c>
    </row>
    <row r="6397" spans="1:19" x14ac:dyDescent="0.3">
      <c r="A6397" t="s">
        <v>40240</v>
      </c>
      <c r="B6397" t="s">
        <v>41596</v>
      </c>
      <c r="C6397" t="s">
        <v>40753</v>
      </c>
      <c r="D6397" t="s">
        <v>40247</v>
      </c>
      <c r="E6397" t="s">
        <v>40589</v>
      </c>
      <c r="F6397" t="s">
        <v>40748</v>
      </c>
      <c r="G6397" t="s">
        <v>40749</v>
      </c>
      <c r="H6397" t="s">
        <v>868</v>
      </c>
      <c r="I6397" t="s">
        <v>869</v>
      </c>
      <c r="J6397" t="str">
        <f>"9120176"</f>
        <v>9120176</v>
      </c>
      <c r="K6397">
        <v>2223051350</v>
      </c>
      <c r="L6397">
        <v>2223051350</v>
      </c>
      <c r="M6397" t="s">
        <v>42242</v>
      </c>
      <c r="N6397" t="s">
        <v>40752</v>
      </c>
      <c r="O6397" t="s">
        <v>42243</v>
      </c>
      <c r="P6397">
        <v>34017</v>
      </c>
      <c r="Q6397" t="str">
        <f>"38.399734"</f>
        <v>38.399734</v>
      </c>
      <c r="R6397" t="str">
        <f>"24.132229"</f>
        <v>24.132229</v>
      </c>
      <c r="S6397" t="s">
        <v>26</v>
      </c>
    </row>
    <row r="6398" spans="1:19" x14ac:dyDescent="0.3">
      <c r="A6398" t="s">
        <v>40240</v>
      </c>
      <c r="B6398" t="s">
        <v>41596</v>
      </c>
      <c r="C6398" t="s">
        <v>42244</v>
      </c>
      <c r="D6398" t="s">
        <v>40247</v>
      </c>
      <c r="E6398" t="s">
        <v>40589</v>
      </c>
      <c r="F6398" t="s">
        <v>4068</v>
      </c>
      <c r="G6398" t="s">
        <v>42168</v>
      </c>
      <c r="H6398" t="s">
        <v>868</v>
      </c>
      <c r="I6398" t="s">
        <v>950</v>
      </c>
      <c r="J6398" t="str">
        <f>"9120188"</f>
        <v>9120188</v>
      </c>
      <c r="K6398">
        <v>2223034229</v>
      </c>
      <c r="L6398">
        <v>2223034229</v>
      </c>
      <c r="M6398" t="s">
        <v>42245</v>
      </c>
      <c r="N6398" t="s">
        <v>42171</v>
      </c>
      <c r="O6398" t="s">
        <v>42246</v>
      </c>
      <c r="P6398">
        <v>34009</v>
      </c>
      <c r="Q6398" t="str">
        <f>"38.524010"</f>
        <v>38.524010</v>
      </c>
      <c r="R6398" t="str">
        <f>"24.162504"</f>
        <v>24.162504</v>
      </c>
      <c r="S6398" t="s">
        <v>57</v>
      </c>
    </row>
    <row r="6399" spans="1:19" x14ac:dyDescent="0.3">
      <c r="A6399" t="s">
        <v>40240</v>
      </c>
      <c r="B6399" t="s">
        <v>41596</v>
      </c>
      <c r="C6399" t="s">
        <v>42248</v>
      </c>
      <c r="D6399" t="s">
        <v>40247</v>
      </c>
      <c r="E6399" t="s">
        <v>40589</v>
      </c>
      <c r="F6399" t="s">
        <v>40748</v>
      </c>
      <c r="G6399" t="s">
        <v>42247</v>
      </c>
      <c r="H6399" t="s">
        <v>868</v>
      </c>
      <c r="I6399" t="s">
        <v>950</v>
      </c>
      <c r="J6399" t="str">
        <f>"9120192"</f>
        <v>9120192</v>
      </c>
      <c r="K6399">
        <v>2223058434</v>
      </c>
      <c r="L6399">
        <v>2223058434</v>
      </c>
      <c r="M6399" t="s">
        <v>42249</v>
      </c>
      <c r="N6399" t="s">
        <v>42250</v>
      </c>
      <c r="O6399" t="s">
        <v>23427</v>
      </c>
      <c r="P6399">
        <v>34017</v>
      </c>
      <c r="Q6399" t="str">
        <f>"38.412247"</f>
        <v>38.412247</v>
      </c>
      <c r="R6399" t="str">
        <f>"24.194446"</f>
        <v>24.194446</v>
      </c>
      <c r="S6399" t="s">
        <v>26</v>
      </c>
    </row>
    <row r="6400" spans="1:19" x14ac:dyDescent="0.3">
      <c r="A6400" t="s">
        <v>40240</v>
      </c>
      <c r="B6400" t="s">
        <v>41596</v>
      </c>
      <c r="C6400" t="s">
        <v>42251</v>
      </c>
      <c r="D6400" t="s">
        <v>40247</v>
      </c>
      <c r="E6400" t="s">
        <v>40589</v>
      </c>
      <c r="F6400" t="s">
        <v>40629</v>
      </c>
      <c r="G6400" t="s">
        <v>42163</v>
      </c>
      <c r="H6400" t="s">
        <v>868</v>
      </c>
      <c r="I6400" t="s">
        <v>950</v>
      </c>
      <c r="J6400" t="str">
        <f>"9120182"</f>
        <v>9120182</v>
      </c>
      <c r="K6400">
        <v>2223035235</v>
      </c>
      <c r="L6400">
        <v>2223035235</v>
      </c>
      <c r="M6400" t="s">
        <v>42252</v>
      </c>
      <c r="O6400" t="s">
        <v>42253</v>
      </c>
      <c r="P6400">
        <v>34009</v>
      </c>
      <c r="Q6400" t="str">
        <f>"38.543572"</f>
        <v>38.543572</v>
      </c>
      <c r="R6400" t="str">
        <f>"24.073190"</f>
        <v>24.073190</v>
      </c>
      <c r="S6400" t="s">
        <v>26</v>
      </c>
    </row>
    <row r="6401" spans="1:19" x14ac:dyDescent="0.3">
      <c r="A6401" t="s">
        <v>40240</v>
      </c>
      <c r="B6401" t="s">
        <v>41596</v>
      </c>
      <c r="C6401" t="s">
        <v>40621</v>
      </c>
      <c r="D6401" t="s">
        <v>40247</v>
      </c>
      <c r="E6401" t="s">
        <v>40539</v>
      </c>
      <c r="F6401" t="s">
        <v>40617</v>
      </c>
      <c r="G6401" t="s">
        <v>40564</v>
      </c>
      <c r="H6401" t="s">
        <v>868</v>
      </c>
      <c r="I6401" t="s">
        <v>869</v>
      </c>
      <c r="J6401" t="str">
        <f>"9120047"</f>
        <v>9120047</v>
      </c>
      <c r="K6401">
        <v>2227031481</v>
      </c>
      <c r="L6401">
        <v>2227032151</v>
      </c>
      <c r="M6401" t="s">
        <v>42254</v>
      </c>
      <c r="N6401" t="s">
        <v>40690</v>
      </c>
      <c r="O6401" t="s">
        <v>40690</v>
      </c>
      <c r="P6401">
        <v>34005</v>
      </c>
      <c r="Q6401" t="str">
        <f>"38.766514"</f>
        <v>38.766514</v>
      </c>
      <c r="R6401" t="str">
        <f>"23.318914"</f>
        <v>23.318914</v>
      </c>
      <c r="S6401" t="s">
        <v>26</v>
      </c>
    </row>
    <row r="6402" spans="1:19" x14ac:dyDescent="0.3">
      <c r="A6402" t="s">
        <v>40240</v>
      </c>
      <c r="B6402" t="s">
        <v>41596</v>
      </c>
      <c r="C6402" t="s">
        <v>42255</v>
      </c>
      <c r="D6402" t="s">
        <v>40247</v>
      </c>
      <c r="E6402" t="s">
        <v>40589</v>
      </c>
      <c r="F6402" t="s">
        <v>3213</v>
      </c>
      <c r="G6402" t="s">
        <v>42173</v>
      </c>
      <c r="H6402" t="s">
        <v>868</v>
      </c>
      <c r="I6402" t="s">
        <v>950</v>
      </c>
      <c r="J6402" t="str">
        <f>"9120159"</f>
        <v>9120159</v>
      </c>
      <c r="K6402">
        <v>2222031433</v>
      </c>
      <c r="L6402">
        <v>2222029650</v>
      </c>
      <c r="M6402" t="s">
        <v>42256</v>
      </c>
      <c r="N6402" t="s">
        <v>42257</v>
      </c>
      <c r="O6402" t="s">
        <v>42257</v>
      </c>
      <c r="P6402">
        <v>34003</v>
      </c>
      <c r="Q6402" t="str">
        <f>"38.632520"</f>
        <v>38.632520</v>
      </c>
      <c r="R6402" t="str">
        <f>"24.055779"</f>
        <v>24.055779</v>
      </c>
      <c r="S6402" t="s">
        <v>26</v>
      </c>
    </row>
    <row r="6403" spans="1:19" x14ac:dyDescent="0.3">
      <c r="A6403" t="s">
        <v>40240</v>
      </c>
      <c r="B6403" t="s">
        <v>41596</v>
      </c>
      <c r="C6403" t="s">
        <v>42258</v>
      </c>
      <c r="D6403" t="s">
        <v>40247</v>
      </c>
      <c r="E6403" t="s">
        <v>40589</v>
      </c>
      <c r="F6403" t="s">
        <v>40748</v>
      </c>
      <c r="G6403" t="s">
        <v>42068</v>
      </c>
      <c r="H6403" t="s">
        <v>868</v>
      </c>
      <c r="I6403" t="s">
        <v>950</v>
      </c>
      <c r="J6403" t="str">
        <f>"9120157"</f>
        <v>9120157</v>
      </c>
      <c r="K6403">
        <v>2223091272</v>
      </c>
      <c r="L6403">
        <v>2223091272</v>
      </c>
      <c r="M6403" t="s">
        <v>42259</v>
      </c>
      <c r="O6403" t="s">
        <v>42071</v>
      </c>
      <c r="P6403">
        <v>34500</v>
      </c>
      <c r="Q6403" t="str">
        <f>"38.390851"</f>
        <v>38.390851</v>
      </c>
      <c r="R6403" t="str">
        <f>"24.089817"</f>
        <v>24.089817</v>
      </c>
      <c r="S6403" t="s">
        <v>26</v>
      </c>
    </row>
    <row r="6404" spans="1:19" x14ac:dyDescent="0.3">
      <c r="A6404" t="s">
        <v>40240</v>
      </c>
      <c r="B6404" t="s">
        <v>41596</v>
      </c>
      <c r="C6404" t="s">
        <v>40673</v>
      </c>
      <c r="D6404" t="s">
        <v>40247</v>
      </c>
      <c r="E6404" t="s">
        <v>40589</v>
      </c>
      <c r="F6404" t="s">
        <v>40667</v>
      </c>
      <c r="G6404" t="s">
        <v>40668</v>
      </c>
      <c r="H6404" t="s">
        <v>868</v>
      </c>
      <c r="I6404" t="s">
        <v>869</v>
      </c>
      <c r="J6404" t="str">
        <f>"9120140"</f>
        <v>9120140</v>
      </c>
      <c r="K6404">
        <v>2223022265</v>
      </c>
      <c r="L6404">
        <v>2223022521</v>
      </c>
      <c r="M6404" t="s">
        <v>42260</v>
      </c>
      <c r="N6404" t="s">
        <v>42131</v>
      </c>
      <c r="O6404" t="s">
        <v>42261</v>
      </c>
      <c r="P6404">
        <v>34500</v>
      </c>
      <c r="Q6404" t="str">
        <f>"38.407409"</f>
        <v>38.407409</v>
      </c>
      <c r="R6404" t="str">
        <f>"24.037963"</f>
        <v>24.037963</v>
      </c>
      <c r="S6404" t="s">
        <v>26</v>
      </c>
    </row>
    <row r="6405" spans="1:19" x14ac:dyDescent="0.3">
      <c r="A6405" t="s">
        <v>40240</v>
      </c>
      <c r="B6405" t="s">
        <v>41596</v>
      </c>
      <c r="C6405" t="s">
        <v>40525</v>
      </c>
      <c r="D6405" t="s">
        <v>40247</v>
      </c>
      <c r="E6405" t="s">
        <v>40521</v>
      </c>
      <c r="F6405" t="s">
        <v>40521</v>
      </c>
      <c r="G6405" t="s">
        <v>40521</v>
      </c>
      <c r="H6405" t="s">
        <v>868</v>
      </c>
      <c r="I6405" t="s">
        <v>869</v>
      </c>
      <c r="J6405" t="str">
        <f>"9120132"</f>
        <v>9120132</v>
      </c>
      <c r="K6405">
        <v>2222091353</v>
      </c>
      <c r="L6405">
        <v>2222093290</v>
      </c>
      <c r="M6405" t="s">
        <v>42262</v>
      </c>
      <c r="N6405" t="s">
        <v>40524</v>
      </c>
      <c r="O6405" t="s">
        <v>40524</v>
      </c>
      <c r="P6405">
        <v>34007</v>
      </c>
      <c r="Q6405" t="str">
        <f>"38.902798"</f>
        <v>38.902798</v>
      </c>
      <c r="R6405" t="str">
        <f>"24.563530"</f>
        <v>24.563530</v>
      </c>
      <c r="S6405" t="s">
        <v>57</v>
      </c>
    </row>
    <row r="6406" spans="1:19" x14ac:dyDescent="0.3">
      <c r="A6406" t="s">
        <v>40240</v>
      </c>
      <c r="B6406" t="s">
        <v>41596</v>
      </c>
      <c r="C6406" t="s">
        <v>42263</v>
      </c>
      <c r="D6406" t="s">
        <v>40247</v>
      </c>
      <c r="E6406" t="s">
        <v>40589</v>
      </c>
      <c r="F6406" t="s">
        <v>40667</v>
      </c>
      <c r="G6406" t="s">
        <v>40668</v>
      </c>
      <c r="H6406" t="s">
        <v>868</v>
      </c>
      <c r="I6406" t="s">
        <v>869</v>
      </c>
      <c r="J6406" t="str">
        <f>"9120141"</f>
        <v>9120141</v>
      </c>
      <c r="K6406">
        <v>2223025315</v>
      </c>
      <c r="M6406" t="s">
        <v>42264</v>
      </c>
      <c r="N6406" t="s">
        <v>40671</v>
      </c>
      <c r="O6406" t="s">
        <v>42265</v>
      </c>
      <c r="P6406">
        <v>34500</v>
      </c>
      <c r="Q6406" t="str">
        <f>"38.411626"</f>
        <v>38.411626</v>
      </c>
      <c r="R6406" t="str">
        <f>"24.042828"</f>
        <v>24.042828</v>
      </c>
      <c r="S6406" t="s">
        <v>26</v>
      </c>
    </row>
    <row r="6407" spans="1:19" x14ac:dyDescent="0.3">
      <c r="A6407" t="s">
        <v>40240</v>
      </c>
      <c r="B6407" t="s">
        <v>41596</v>
      </c>
      <c r="C6407" t="s">
        <v>42268</v>
      </c>
      <c r="D6407" t="s">
        <v>40247</v>
      </c>
      <c r="E6407" t="s">
        <v>40539</v>
      </c>
      <c r="F6407" t="s">
        <v>40558</v>
      </c>
      <c r="G6407" t="s">
        <v>41841</v>
      </c>
      <c r="H6407" t="s">
        <v>868</v>
      </c>
      <c r="I6407" t="s">
        <v>950</v>
      </c>
      <c r="J6407" t="str">
        <f>"9120072"</f>
        <v>9120072</v>
      </c>
      <c r="K6407">
        <v>2227091012</v>
      </c>
      <c r="L6407">
        <v>2227091012</v>
      </c>
      <c r="M6407" t="s">
        <v>42269</v>
      </c>
      <c r="N6407" t="s">
        <v>41841</v>
      </c>
      <c r="O6407" t="s">
        <v>41844</v>
      </c>
      <c r="P6407">
        <v>34004</v>
      </c>
      <c r="Q6407" t="str">
        <f>"38.755826"</f>
        <v>38.755826</v>
      </c>
      <c r="R6407" t="str">
        <f>"23.577954"</f>
        <v>23.577954</v>
      </c>
      <c r="S6407" t="s">
        <v>26</v>
      </c>
    </row>
    <row r="6408" spans="1:19" x14ac:dyDescent="0.3">
      <c r="A6408" t="s">
        <v>40240</v>
      </c>
      <c r="B6408" t="s">
        <v>41596</v>
      </c>
      <c r="C6408" t="s">
        <v>42283</v>
      </c>
      <c r="D6408" t="s">
        <v>40247</v>
      </c>
      <c r="E6408" t="s">
        <v>40248</v>
      </c>
      <c r="F6408" t="s">
        <v>40248</v>
      </c>
      <c r="G6408" t="s">
        <v>40248</v>
      </c>
      <c r="H6408" t="s">
        <v>868</v>
      </c>
      <c r="I6408" t="s">
        <v>869</v>
      </c>
      <c r="J6408" t="str">
        <f>"9120384"</f>
        <v>9120384</v>
      </c>
      <c r="K6408">
        <v>2221083219</v>
      </c>
      <c r="L6408">
        <v>2221083219</v>
      </c>
      <c r="M6408" t="s">
        <v>42284</v>
      </c>
      <c r="N6408" t="s">
        <v>40536</v>
      </c>
      <c r="O6408" t="s">
        <v>42285</v>
      </c>
      <c r="P6408">
        <v>34100</v>
      </c>
      <c r="Q6408" t="str">
        <f>"38.470793"</f>
        <v>38.470793</v>
      </c>
      <c r="R6408" t="str">
        <f>"23.606823"</f>
        <v>23.606823</v>
      </c>
      <c r="S6408" t="s">
        <v>26</v>
      </c>
    </row>
    <row r="6409" spans="1:19" x14ac:dyDescent="0.3">
      <c r="A6409" t="s">
        <v>40240</v>
      </c>
      <c r="B6409" t="s">
        <v>41596</v>
      </c>
      <c r="C6409" t="s">
        <v>42289</v>
      </c>
      <c r="D6409" t="s">
        <v>40247</v>
      </c>
      <c r="E6409" t="s">
        <v>40589</v>
      </c>
      <c r="F6409" t="s">
        <v>3213</v>
      </c>
      <c r="G6409" t="s">
        <v>42277</v>
      </c>
      <c r="H6409" t="s">
        <v>868</v>
      </c>
      <c r="I6409" t="s">
        <v>869</v>
      </c>
      <c r="J6409" t="str">
        <f>"9120184"</f>
        <v>9120184</v>
      </c>
      <c r="K6409">
        <v>2222046294</v>
      </c>
      <c r="L6409">
        <v>2222046294</v>
      </c>
      <c r="M6409" t="s">
        <v>42290</v>
      </c>
      <c r="N6409" t="s">
        <v>42280</v>
      </c>
      <c r="O6409" t="s">
        <v>42280</v>
      </c>
      <c r="P6409">
        <v>34003</v>
      </c>
      <c r="Q6409" t="str">
        <f>"38.578094"</f>
        <v>38.578094</v>
      </c>
      <c r="R6409" t="str">
        <f>"24.111072"</f>
        <v>24.111072</v>
      </c>
      <c r="S6409" t="s">
        <v>26</v>
      </c>
    </row>
    <row r="6410" spans="1:19" x14ac:dyDescent="0.3">
      <c r="A6410" t="s">
        <v>40240</v>
      </c>
      <c r="B6410" t="s">
        <v>41596</v>
      </c>
      <c r="C6410" t="s">
        <v>42308</v>
      </c>
      <c r="D6410" t="s">
        <v>40247</v>
      </c>
      <c r="E6410" t="s">
        <v>40539</v>
      </c>
      <c r="F6410" t="s">
        <v>40617</v>
      </c>
      <c r="G6410" t="s">
        <v>34810</v>
      </c>
      <c r="H6410" t="s">
        <v>868</v>
      </c>
      <c r="I6410" t="s">
        <v>950</v>
      </c>
      <c r="J6410" t="str">
        <f>"9120079"</f>
        <v>9120079</v>
      </c>
      <c r="K6410">
        <v>2227092264</v>
      </c>
      <c r="L6410">
        <v>2227092264</v>
      </c>
      <c r="M6410" t="s">
        <v>42309</v>
      </c>
      <c r="N6410" t="s">
        <v>34813</v>
      </c>
      <c r="O6410" t="s">
        <v>34810</v>
      </c>
      <c r="P6410">
        <v>34005</v>
      </c>
      <c r="Q6410" t="str">
        <f>"38.832106"</f>
        <v>38.832106</v>
      </c>
      <c r="R6410" t="str">
        <f>"23.363562"</f>
        <v>23.363562</v>
      </c>
      <c r="S6410" t="s">
        <v>26</v>
      </c>
    </row>
    <row r="6411" spans="1:19" x14ac:dyDescent="0.3">
      <c r="A6411" t="s">
        <v>40240</v>
      </c>
      <c r="B6411" t="s">
        <v>41596</v>
      </c>
      <c r="C6411" t="s">
        <v>40687</v>
      </c>
      <c r="D6411" t="s">
        <v>40247</v>
      </c>
      <c r="E6411" t="s">
        <v>40566</v>
      </c>
      <c r="F6411" t="s">
        <v>40682</v>
      </c>
      <c r="G6411" t="s">
        <v>32519</v>
      </c>
      <c r="H6411" t="s">
        <v>868</v>
      </c>
      <c r="I6411" t="s">
        <v>950</v>
      </c>
      <c r="J6411" t="str">
        <f>"9120031"</f>
        <v>9120031</v>
      </c>
      <c r="K6411">
        <v>2226041452</v>
      </c>
      <c r="L6411">
        <v>2226041452</v>
      </c>
      <c r="M6411" t="s">
        <v>42316</v>
      </c>
      <c r="N6411" t="s">
        <v>34047</v>
      </c>
      <c r="O6411" t="s">
        <v>34047</v>
      </c>
      <c r="P6411">
        <v>34200</v>
      </c>
      <c r="Q6411" t="str">
        <f>"39.003920"</f>
        <v>39.003920</v>
      </c>
      <c r="R6411" t="str">
        <f>"23.246272"</f>
        <v>23.246272</v>
      </c>
      <c r="S6411" t="s">
        <v>26</v>
      </c>
    </row>
    <row r="6412" spans="1:19" x14ac:dyDescent="0.3">
      <c r="A6412" t="s">
        <v>40240</v>
      </c>
      <c r="B6412" t="s">
        <v>41596</v>
      </c>
      <c r="C6412" t="s">
        <v>42318</v>
      </c>
      <c r="D6412" t="s">
        <v>40247</v>
      </c>
      <c r="E6412" t="s">
        <v>40539</v>
      </c>
      <c r="F6412" t="s">
        <v>40540</v>
      </c>
      <c r="G6412" t="s">
        <v>42317</v>
      </c>
      <c r="H6412" t="s">
        <v>868</v>
      </c>
      <c r="I6412" t="s">
        <v>950</v>
      </c>
      <c r="J6412" t="str">
        <f>"9120060"</f>
        <v>9120060</v>
      </c>
      <c r="K6412">
        <v>2227098281</v>
      </c>
      <c r="L6412">
        <v>2227098281</v>
      </c>
      <c r="M6412" t="s">
        <v>42319</v>
      </c>
      <c r="N6412" t="s">
        <v>3008</v>
      </c>
      <c r="O6412" t="s">
        <v>3008</v>
      </c>
      <c r="P6412">
        <v>34010</v>
      </c>
      <c r="Q6412" t="str">
        <f>"38.910762"</f>
        <v>38.910762</v>
      </c>
      <c r="R6412" t="str">
        <f>"23.325400"</f>
        <v>23.325400</v>
      </c>
      <c r="S6412" t="s">
        <v>57</v>
      </c>
    </row>
    <row r="6413" spans="1:19" x14ac:dyDescent="0.3">
      <c r="A6413" t="s">
        <v>40240</v>
      </c>
      <c r="B6413" t="s">
        <v>41596</v>
      </c>
      <c r="C6413" t="s">
        <v>30743</v>
      </c>
      <c r="D6413" t="s">
        <v>40247</v>
      </c>
      <c r="E6413" t="s">
        <v>40589</v>
      </c>
      <c r="F6413" t="s">
        <v>40667</v>
      </c>
      <c r="G6413" t="s">
        <v>30491</v>
      </c>
      <c r="H6413" t="s">
        <v>868</v>
      </c>
      <c r="I6413" t="s">
        <v>950</v>
      </c>
      <c r="J6413" t="str">
        <f>"9120137"</f>
        <v>9120137</v>
      </c>
      <c r="K6413">
        <v>2223081283</v>
      </c>
      <c r="L6413">
        <v>2223022283</v>
      </c>
      <c r="M6413" t="s">
        <v>42328</v>
      </c>
      <c r="N6413" t="s">
        <v>30494</v>
      </c>
      <c r="O6413" t="s">
        <v>42329</v>
      </c>
      <c r="P6413">
        <v>34500</v>
      </c>
      <c r="Q6413" t="str">
        <f>"38.441026"</f>
        <v>38.441026</v>
      </c>
      <c r="R6413" t="str">
        <f>"24.022523"</f>
        <v>24.022523</v>
      </c>
      <c r="S6413" t="s">
        <v>26</v>
      </c>
    </row>
    <row r="6414" spans="1:19" x14ac:dyDescent="0.3">
      <c r="A6414" t="s">
        <v>40240</v>
      </c>
      <c r="B6414" t="s">
        <v>41596</v>
      </c>
      <c r="C6414" t="s">
        <v>42330</v>
      </c>
      <c r="D6414" t="s">
        <v>40247</v>
      </c>
      <c r="E6414" t="s">
        <v>40589</v>
      </c>
      <c r="F6414" t="s">
        <v>4068</v>
      </c>
      <c r="G6414" t="s">
        <v>13744</v>
      </c>
      <c r="H6414" t="s">
        <v>868</v>
      </c>
      <c r="I6414" t="s">
        <v>950</v>
      </c>
      <c r="J6414" t="str">
        <f>"9120183"</f>
        <v>9120183</v>
      </c>
      <c r="K6414">
        <v>2223041203</v>
      </c>
      <c r="L6414">
        <v>2223041203</v>
      </c>
      <c r="M6414" t="s">
        <v>42331</v>
      </c>
      <c r="N6414" t="s">
        <v>13748</v>
      </c>
      <c r="O6414" t="s">
        <v>13748</v>
      </c>
      <c r="P6414">
        <v>34009</v>
      </c>
      <c r="Q6414" t="str">
        <f>"38.451255"</f>
        <v>38.451255</v>
      </c>
      <c r="R6414" t="str">
        <f>"24.112102"</f>
        <v>24.112102</v>
      </c>
      <c r="S6414" t="s">
        <v>26</v>
      </c>
    </row>
    <row r="6415" spans="1:19" x14ac:dyDescent="0.3">
      <c r="A6415" t="s">
        <v>40240</v>
      </c>
      <c r="B6415" t="s">
        <v>41596</v>
      </c>
      <c r="C6415" t="s">
        <v>42332</v>
      </c>
      <c r="D6415" t="s">
        <v>40247</v>
      </c>
      <c r="E6415" t="s">
        <v>40589</v>
      </c>
      <c r="F6415" t="s">
        <v>40667</v>
      </c>
      <c r="G6415" t="s">
        <v>40668</v>
      </c>
      <c r="H6415" t="s">
        <v>868</v>
      </c>
      <c r="I6415" t="s">
        <v>1157</v>
      </c>
      <c r="J6415" t="str">
        <f>"9521393"</f>
        <v>9521393</v>
      </c>
      <c r="K6415">
        <v>2223091501</v>
      </c>
      <c r="M6415" t="s">
        <v>42333</v>
      </c>
      <c r="N6415" t="s">
        <v>42334</v>
      </c>
      <c r="O6415" t="s">
        <v>42335</v>
      </c>
      <c r="P6415">
        <v>34500</v>
      </c>
      <c r="Q6415" t="str">
        <f>"38.407373"</f>
        <v>38.407373</v>
      </c>
      <c r="R6415" t="str">
        <f>"24.104167"</f>
        <v>24.104167</v>
      </c>
      <c r="S6415" t="s">
        <v>26</v>
      </c>
    </row>
    <row r="6416" spans="1:19" x14ac:dyDescent="0.3">
      <c r="A6416" t="s">
        <v>40240</v>
      </c>
      <c r="B6416" t="s">
        <v>41596</v>
      </c>
      <c r="C6416" t="s">
        <v>42339</v>
      </c>
      <c r="D6416" t="s">
        <v>40247</v>
      </c>
      <c r="E6416" t="s">
        <v>40589</v>
      </c>
      <c r="F6416" t="s">
        <v>3213</v>
      </c>
      <c r="G6416" t="s">
        <v>3213</v>
      </c>
      <c r="H6416" t="s">
        <v>868</v>
      </c>
      <c r="I6416" t="s">
        <v>1157</v>
      </c>
      <c r="J6416" t="str">
        <f>"9521563"</f>
        <v>9521563</v>
      </c>
      <c r="N6416" t="s">
        <v>2905</v>
      </c>
      <c r="O6416" t="s">
        <v>2905</v>
      </c>
      <c r="P6416">
        <v>0</v>
      </c>
      <c r="Q6416" t="str">
        <f>""</f>
        <v/>
      </c>
      <c r="R6416" t="str">
        <f>""</f>
        <v/>
      </c>
      <c r="S6416" t="s">
        <v>26</v>
      </c>
    </row>
    <row r="6417" spans="1:19" x14ac:dyDescent="0.3">
      <c r="A6417" t="s">
        <v>40240</v>
      </c>
      <c r="B6417" t="s">
        <v>41596</v>
      </c>
      <c r="C6417" t="s">
        <v>42345</v>
      </c>
      <c r="D6417" t="s">
        <v>40247</v>
      </c>
      <c r="E6417" t="s">
        <v>40526</v>
      </c>
      <c r="F6417" t="s">
        <v>40762</v>
      </c>
      <c r="G6417" t="s">
        <v>41963</v>
      </c>
      <c r="H6417" t="s">
        <v>868</v>
      </c>
      <c r="I6417" t="s">
        <v>869</v>
      </c>
      <c r="J6417" t="str">
        <f>"9521619"</f>
        <v>9521619</v>
      </c>
      <c r="K6417">
        <v>2228071167</v>
      </c>
      <c r="L6417">
        <v>2228071167</v>
      </c>
      <c r="M6417" t="s">
        <v>42346</v>
      </c>
      <c r="N6417" t="s">
        <v>41966</v>
      </c>
      <c r="O6417" t="s">
        <v>41966</v>
      </c>
      <c r="P6417">
        <v>34014</v>
      </c>
      <c r="Q6417" t="str">
        <f>"38.542677"</f>
        <v>38.542677</v>
      </c>
      <c r="R6417" t="str">
        <f>"23.765330"</f>
        <v>23.765330</v>
      </c>
      <c r="S6417" t="s">
        <v>26</v>
      </c>
    </row>
    <row r="6418" spans="1:19" x14ac:dyDescent="0.3">
      <c r="A6418" t="s">
        <v>40240</v>
      </c>
      <c r="B6418" t="s">
        <v>41596</v>
      </c>
      <c r="C6418" t="s">
        <v>42349</v>
      </c>
      <c r="D6418" t="s">
        <v>40247</v>
      </c>
      <c r="E6418" t="s">
        <v>40566</v>
      </c>
      <c r="F6418" t="s">
        <v>41740</v>
      </c>
      <c r="G6418" t="s">
        <v>42347</v>
      </c>
      <c r="H6418" t="s">
        <v>868</v>
      </c>
      <c r="I6418" t="s">
        <v>1157</v>
      </c>
      <c r="J6418" t="str">
        <f>"9521684"</f>
        <v>9521684</v>
      </c>
      <c r="K6418">
        <v>2226071415</v>
      </c>
      <c r="M6418" t="s">
        <v>42350</v>
      </c>
      <c r="N6418" t="s">
        <v>42351</v>
      </c>
      <c r="O6418" t="s">
        <v>42352</v>
      </c>
      <c r="P6418">
        <v>34012</v>
      </c>
      <c r="Q6418" t="str">
        <f>"38.939191"</f>
        <v>38.939191</v>
      </c>
      <c r="R6418" t="str">
        <f>"23.091150"</f>
        <v>23.091150</v>
      </c>
      <c r="S6418" t="s">
        <v>26</v>
      </c>
    </row>
    <row r="6419" spans="1:19" x14ac:dyDescent="0.3">
      <c r="A6419" t="s">
        <v>40240</v>
      </c>
      <c r="B6419" t="s">
        <v>42353</v>
      </c>
      <c r="C6419" t="s">
        <v>42354</v>
      </c>
      <c r="D6419" t="s">
        <v>40254</v>
      </c>
      <c r="E6419" t="s">
        <v>40842</v>
      </c>
      <c r="F6419" t="s">
        <v>40849</v>
      </c>
      <c r="G6419" t="s">
        <v>1684</v>
      </c>
      <c r="H6419" t="s">
        <v>868</v>
      </c>
      <c r="I6419" t="s">
        <v>950</v>
      </c>
      <c r="J6419" t="str">
        <f>"9130101"</f>
        <v>9130101</v>
      </c>
      <c r="K6419">
        <v>2237095510</v>
      </c>
      <c r="L6419">
        <v>2237095510</v>
      </c>
      <c r="M6419" t="s">
        <v>42355</v>
      </c>
      <c r="N6419" t="s">
        <v>42356</v>
      </c>
      <c r="O6419" t="s">
        <v>42357</v>
      </c>
      <c r="P6419">
        <v>36071</v>
      </c>
      <c r="Q6419" t="str">
        <f>"38.903307"</f>
        <v>38.903307</v>
      </c>
      <c r="R6419" t="str">
        <f>"21.600976"</f>
        <v>21.600976</v>
      </c>
      <c r="S6419" t="s">
        <v>57</v>
      </c>
    </row>
    <row r="6420" spans="1:19" x14ac:dyDescent="0.3">
      <c r="A6420" t="s">
        <v>40240</v>
      </c>
      <c r="B6420" t="s">
        <v>42353</v>
      </c>
      <c r="C6420" t="s">
        <v>40874</v>
      </c>
      <c r="D6420" t="s">
        <v>40254</v>
      </c>
      <c r="E6420" t="s">
        <v>40842</v>
      </c>
      <c r="F6420" t="s">
        <v>40869</v>
      </c>
      <c r="G6420" t="s">
        <v>40870</v>
      </c>
      <c r="H6420" t="s">
        <v>868</v>
      </c>
      <c r="I6420" t="s">
        <v>950</v>
      </c>
      <c r="J6420" t="str">
        <f>"9130028"</f>
        <v>9130028</v>
      </c>
      <c r="K6420">
        <v>2237031330</v>
      </c>
      <c r="L6420">
        <v>2237031330</v>
      </c>
      <c r="M6420" t="s">
        <v>42358</v>
      </c>
      <c r="N6420" t="s">
        <v>42359</v>
      </c>
      <c r="O6420" t="s">
        <v>42359</v>
      </c>
      <c r="P6420">
        <v>36071</v>
      </c>
      <c r="Q6420" t="str">
        <f>"38.999068"</f>
        <v>38.999068</v>
      </c>
      <c r="R6420" t="str">
        <f>"21.616590"</f>
        <v>21.616590</v>
      </c>
      <c r="S6420" t="s">
        <v>57</v>
      </c>
    </row>
    <row r="6421" spans="1:19" x14ac:dyDescent="0.3">
      <c r="A6421" t="s">
        <v>40240</v>
      </c>
      <c r="B6421" t="s">
        <v>42353</v>
      </c>
      <c r="C6421" t="s">
        <v>42367</v>
      </c>
      <c r="D6421" t="s">
        <v>40254</v>
      </c>
      <c r="E6421" t="s">
        <v>40255</v>
      </c>
      <c r="F6421" t="s">
        <v>40255</v>
      </c>
      <c r="G6421" t="s">
        <v>40255</v>
      </c>
      <c r="H6421" t="s">
        <v>868</v>
      </c>
      <c r="I6421" t="s">
        <v>869</v>
      </c>
      <c r="J6421" t="str">
        <f>"9130148"</f>
        <v>9130148</v>
      </c>
      <c r="K6421">
        <v>2237024225</v>
      </c>
      <c r="L6421">
        <v>2237024225</v>
      </c>
      <c r="M6421" t="s">
        <v>42368</v>
      </c>
      <c r="N6421" t="s">
        <v>40258</v>
      </c>
      <c r="O6421" t="s">
        <v>42369</v>
      </c>
      <c r="P6421">
        <v>36100</v>
      </c>
      <c r="Q6421" t="str">
        <f>"38.907601"</f>
        <v>38.907601</v>
      </c>
      <c r="R6421" t="str">
        <f>"21.793876"</f>
        <v>21.793876</v>
      </c>
      <c r="S6421" t="s">
        <v>26</v>
      </c>
    </row>
    <row r="6422" spans="1:19" x14ac:dyDescent="0.3">
      <c r="A6422" t="s">
        <v>40240</v>
      </c>
      <c r="B6422" t="s">
        <v>42353</v>
      </c>
      <c r="C6422" t="s">
        <v>42371</v>
      </c>
      <c r="D6422" t="s">
        <v>40254</v>
      </c>
      <c r="E6422" t="s">
        <v>40255</v>
      </c>
      <c r="F6422" t="s">
        <v>40836</v>
      </c>
      <c r="G6422" t="s">
        <v>42370</v>
      </c>
      <c r="H6422" t="s">
        <v>868</v>
      </c>
      <c r="I6422" t="s">
        <v>950</v>
      </c>
      <c r="J6422" t="str">
        <f>"9130033"</f>
        <v>9130033</v>
      </c>
      <c r="K6422">
        <v>2237051146</v>
      </c>
      <c r="L6422">
        <v>2237051146</v>
      </c>
      <c r="M6422" t="s">
        <v>42372</v>
      </c>
      <c r="N6422" t="s">
        <v>42373</v>
      </c>
      <c r="O6422" t="s">
        <v>42374</v>
      </c>
      <c r="P6422">
        <v>36080</v>
      </c>
      <c r="Q6422" t="str">
        <f>"39.088350"</f>
        <v>39.088350</v>
      </c>
      <c r="R6422" t="str">
        <f>"21.825627"</f>
        <v>21.825627</v>
      </c>
      <c r="S6422" t="s">
        <v>57</v>
      </c>
    </row>
    <row r="6423" spans="1:19" x14ac:dyDescent="0.3">
      <c r="A6423" t="s">
        <v>40240</v>
      </c>
      <c r="B6423" t="s">
        <v>42353</v>
      </c>
      <c r="C6423" t="s">
        <v>42379</v>
      </c>
      <c r="D6423" t="s">
        <v>40254</v>
      </c>
      <c r="E6423" t="s">
        <v>40842</v>
      </c>
      <c r="F6423" t="s">
        <v>40843</v>
      </c>
      <c r="G6423" t="s">
        <v>42378</v>
      </c>
      <c r="H6423" t="s">
        <v>868</v>
      </c>
      <c r="I6423" t="s">
        <v>950</v>
      </c>
      <c r="J6423" t="str">
        <f>"9130071"</f>
        <v>9130071</v>
      </c>
      <c r="K6423">
        <v>2237061589</v>
      </c>
      <c r="L6423">
        <v>2237061589</v>
      </c>
      <c r="M6423" t="s">
        <v>42380</v>
      </c>
      <c r="N6423" t="s">
        <v>42381</v>
      </c>
      <c r="O6423" t="s">
        <v>42382</v>
      </c>
      <c r="P6423">
        <v>36072</v>
      </c>
      <c r="Q6423" t="str">
        <f>"39.067919"</f>
        <v>39.067919</v>
      </c>
      <c r="R6423" t="str">
        <f>"21.471550"</f>
        <v>21.471550</v>
      </c>
      <c r="S6423" t="s">
        <v>57</v>
      </c>
    </row>
    <row r="6424" spans="1:19" x14ac:dyDescent="0.3">
      <c r="A6424" t="s">
        <v>40240</v>
      </c>
      <c r="B6424" t="s">
        <v>42353</v>
      </c>
      <c r="C6424" t="s">
        <v>40868</v>
      </c>
      <c r="D6424" t="s">
        <v>40254</v>
      </c>
      <c r="E6424" t="s">
        <v>40842</v>
      </c>
      <c r="F6424" t="s">
        <v>40862</v>
      </c>
      <c r="G6424" t="s">
        <v>40863</v>
      </c>
      <c r="H6424" t="s">
        <v>868</v>
      </c>
      <c r="I6424" t="s">
        <v>950</v>
      </c>
      <c r="J6424" t="str">
        <f>"9130054"</f>
        <v>9130054</v>
      </c>
      <c r="K6424">
        <v>2237097241</v>
      </c>
      <c r="L6424">
        <v>2237097241</v>
      </c>
      <c r="M6424" t="s">
        <v>42385</v>
      </c>
      <c r="N6424" t="s">
        <v>42386</v>
      </c>
      <c r="O6424" t="s">
        <v>40867</v>
      </c>
      <c r="P6424">
        <v>36070</v>
      </c>
      <c r="Q6424" t="str">
        <f>"39.149152"</f>
        <v>39.149152</v>
      </c>
      <c r="R6424" t="str">
        <f>"21.480521"</f>
        <v>21.480521</v>
      </c>
      <c r="S6424" t="s">
        <v>57</v>
      </c>
    </row>
    <row r="6425" spans="1:19" x14ac:dyDescent="0.3">
      <c r="A6425" t="s">
        <v>40240</v>
      </c>
      <c r="B6425" t="s">
        <v>42353</v>
      </c>
      <c r="C6425" t="s">
        <v>40848</v>
      </c>
      <c r="D6425" t="s">
        <v>40254</v>
      </c>
      <c r="E6425" t="s">
        <v>40842</v>
      </c>
      <c r="F6425" t="s">
        <v>40843</v>
      </c>
      <c r="G6425" t="s">
        <v>40844</v>
      </c>
      <c r="H6425" t="s">
        <v>868</v>
      </c>
      <c r="I6425" t="s">
        <v>950</v>
      </c>
      <c r="J6425" t="str">
        <f>"9130017"</f>
        <v>9130017</v>
      </c>
      <c r="K6425">
        <v>2237061254</v>
      </c>
      <c r="L6425">
        <v>2237061254</v>
      </c>
      <c r="M6425" t="s">
        <v>42390</v>
      </c>
      <c r="N6425" t="s">
        <v>42391</v>
      </c>
      <c r="O6425" t="s">
        <v>40847</v>
      </c>
      <c r="P6425">
        <v>36072</v>
      </c>
      <c r="Q6425" t="str">
        <f>"39.100190"</f>
        <v>39.100190</v>
      </c>
      <c r="R6425" t="str">
        <f>"21.510957"</f>
        <v>21.510957</v>
      </c>
      <c r="S6425" t="s">
        <v>57</v>
      </c>
    </row>
    <row r="6426" spans="1:19" x14ac:dyDescent="0.3">
      <c r="A6426" t="s">
        <v>40240</v>
      </c>
      <c r="B6426" t="s">
        <v>42353</v>
      </c>
      <c r="C6426" t="s">
        <v>42392</v>
      </c>
      <c r="D6426" t="s">
        <v>40254</v>
      </c>
      <c r="E6426" t="s">
        <v>40842</v>
      </c>
      <c r="F6426" t="s">
        <v>40849</v>
      </c>
      <c r="G6426" t="s">
        <v>40880</v>
      </c>
      <c r="H6426" t="s">
        <v>868</v>
      </c>
      <c r="I6426" t="s">
        <v>950</v>
      </c>
      <c r="J6426" t="str">
        <f>"9130099"</f>
        <v>9130099</v>
      </c>
      <c r="K6426">
        <v>2237095853</v>
      </c>
      <c r="L6426">
        <v>2237095853</v>
      </c>
      <c r="M6426" t="s">
        <v>42393</v>
      </c>
      <c r="N6426" t="s">
        <v>42394</v>
      </c>
      <c r="O6426" t="s">
        <v>40883</v>
      </c>
      <c r="P6426">
        <v>36072</v>
      </c>
      <c r="Q6426" t="str">
        <f>"39.043258"</f>
        <v>39.043258</v>
      </c>
      <c r="R6426" t="str">
        <f>"21.561587"</f>
        <v>21.561587</v>
      </c>
      <c r="S6426" t="s">
        <v>57</v>
      </c>
    </row>
    <row r="6427" spans="1:19" x14ac:dyDescent="0.3">
      <c r="A6427" t="s">
        <v>40240</v>
      </c>
      <c r="B6427" t="s">
        <v>42353</v>
      </c>
      <c r="C6427" t="s">
        <v>40887</v>
      </c>
      <c r="D6427" t="s">
        <v>40254</v>
      </c>
      <c r="E6427" t="s">
        <v>40255</v>
      </c>
      <c r="F6427" t="s">
        <v>40255</v>
      </c>
      <c r="G6427" t="s">
        <v>40255</v>
      </c>
      <c r="H6427" t="s">
        <v>868</v>
      </c>
      <c r="I6427" t="s">
        <v>869</v>
      </c>
      <c r="J6427" t="str">
        <f>"9130127"</f>
        <v>9130127</v>
      </c>
      <c r="K6427">
        <v>2237022693</v>
      </c>
      <c r="L6427">
        <v>2237022693</v>
      </c>
      <c r="M6427" t="s">
        <v>42395</v>
      </c>
      <c r="N6427" t="s">
        <v>42396</v>
      </c>
      <c r="O6427" t="s">
        <v>42397</v>
      </c>
      <c r="P6427">
        <v>36100</v>
      </c>
      <c r="Q6427" t="str">
        <f>"38.911053"</f>
        <v>38.911053</v>
      </c>
      <c r="R6427" t="str">
        <f>"21.808907"</f>
        <v>21.808907</v>
      </c>
      <c r="S6427" t="s">
        <v>26</v>
      </c>
    </row>
    <row r="6428" spans="1:19" x14ac:dyDescent="0.3">
      <c r="A6428" t="s">
        <v>40240</v>
      </c>
      <c r="B6428" t="s">
        <v>42353</v>
      </c>
      <c r="C6428" t="s">
        <v>42409</v>
      </c>
      <c r="D6428" t="s">
        <v>40254</v>
      </c>
      <c r="E6428" t="s">
        <v>40842</v>
      </c>
      <c r="F6428" t="s">
        <v>40862</v>
      </c>
      <c r="G6428" t="s">
        <v>42362</v>
      </c>
      <c r="H6428" t="s">
        <v>868</v>
      </c>
      <c r="I6428" t="s">
        <v>950</v>
      </c>
      <c r="J6428" t="str">
        <f>"9130122"</f>
        <v>9130122</v>
      </c>
      <c r="K6428">
        <v>2237061704</v>
      </c>
      <c r="L6428">
        <v>2237061704</v>
      </c>
      <c r="M6428" t="s">
        <v>42410</v>
      </c>
      <c r="N6428" t="s">
        <v>42411</v>
      </c>
      <c r="O6428" t="s">
        <v>42412</v>
      </c>
      <c r="P6428">
        <v>36070</v>
      </c>
      <c r="Q6428" t="str">
        <f>"39.133512"</f>
        <v>39.133512</v>
      </c>
      <c r="R6428" t="str">
        <f>"21.423855"</f>
        <v>21.423855</v>
      </c>
      <c r="S6428" t="s">
        <v>57</v>
      </c>
    </row>
    <row r="6429" spans="1:19" x14ac:dyDescent="0.3">
      <c r="A6429" t="s">
        <v>40240</v>
      </c>
      <c r="B6429" t="s">
        <v>42353</v>
      </c>
      <c r="C6429" t="s">
        <v>42416</v>
      </c>
      <c r="D6429" t="s">
        <v>40254</v>
      </c>
      <c r="E6429" t="s">
        <v>40255</v>
      </c>
      <c r="F6429" t="s">
        <v>1782</v>
      </c>
      <c r="G6429" t="s">
        <v>35947</v>
      </c>
      <c r="H6429" t="s">
        <v>868</v>
      </c>
      <c r="I6429" t="s">
        <v>950</v>
      </c>
      <c r="J6429" t="str">
        <f>"9130094"</f>
        <v>9130094</v>
      </c>
      <c r="K6429">
        <v>2237041296</v>
      </c>
      <c r="L6429">
        <v>2237041296</v>
      </c>
      <c r="M6429" t="s">
        <v>42417</v>
      </c>
      <c r="N6429" t="s">
        <v>35947</v>
      </c>
      <c r="O6429" t="s">
        <v>42416</v>
      </c>
      <c r="P6429">
        <v>36100</v>
      </c>
      <c r="Q6429" t="str">
        <f>"38.827807"</f>
        <v>38.827807</v>
      </c>
      <c r="R6429" t="str">
        <f>"21.741152"</f>
        <v>21.741152</v>
      </c>
      <c r="S6429" t="s">
        <v>26</v>
      </c>
    </row>
    <row r="6430" spans="1:19" x14ac:dyDescent="0.3">
      <c r="A6430" t="s">
        <v>40240</v>
      </c>
      <c r="B6430" t="s">
        <v>42353</v>
      </c>
      <c r="C6430" t="s">
        <v>40841</v>
      </c>
      <c r="D6430" t="s">
        <v>40254</v>
      </c>
      <c r="E6430" t="s">
        <v>40255</v>
      </c>
      <c r="F6430" t="s">
        <v>40836</v>
      </c>
      <c r="G6430" t="s">
        <v>40837</v>
      </c>
      <c r="H6430" t="s">
        <v>868</v>
      </c>
      <c r="I6430" t="s">
        <v>950</v>
      </c>
      <c r="J6430" t="str">
        <f>"9130060"</f>
        <v>9130060</v>
      </c>
      <c r="K6430">
        <v>2237051210</v>
      </c>
      <c r="L6430">
        <v>2237051210</v>
      </c>
      <c r="M6430" t="s">
        <v>42423</v>
      </c>
      <c r="N6430" t="s">
        <v>40837</v>
      </c>
      <c r="O6430" t="s">
        <v>40840</v>
      </c>
      <c r="P6430">
        <v>36080</v>
      </c>
      <c r="Q6430" t="str">
        <f>"39.060919"</f>
        <v>39.060919</v>
      </c>
      <c r="R6430" t="str">
        <f>"21.876387"</f>
        <v>21.876387</v>
      </c>
      <c r="S6430" t="s">
        <v>57</v>
      </c>
    </row>
    <row r="6431" spans="1:19" x14ac:dyDescent="0.3">
      <c r="A6431" t="s">
        <v>40240</v>
      </c>
      <c r="B6431" t="s">
        <v>42353</v>
      </c>
      <c r="C6431" t="s">
        <v>40858</v>
      </c>
      <c r="D6431" t="s">
        <v>40254</v>
      </c>
      <c r="E6431" t="s">
        <v>40255</v>
      </c>
      <c r="F6431" t="s">
        <v>40255</v>
      </c>
      <c r="G6431" t="s">
        <v>40255</v>
      </c>
      <c r="H6431" t="s">
        <v>868</v>
      </c>
      <c r="I6431" t="s">
        <v>869</v>
      </c>
      <c r="J6431" t="str">
        <f>"9130003"</f>
        <v>9130003</v>
      </c>
      <c r="K6431">
        <v>2237022266</v>
      </c>
      <c r="L6431">
        <v>2237022266</v>
      </c>
      <c r="M6431" t="s">
        <v>42427</v>
      </c>
      <c r="N6431" t="s">
        <v>42396</v>
      </c>
      <c r="O6431" t="s">
        <v>42428</v>
      </c>
      <c r="P6431">
        <v>36100</v>
      </c>
      <c r="Q6431" t="str">
        <f>"38.919532"</f>
        <v>38.919532</v>
      </c>
      <c r="R6431" t="str">
        <f>"21.788883"</f>
        <v>21.788883</v>
      </c>
      <c r="S6431" t="s">
        <v>26</v>
      </c>
    </row>
    <row r="6432" spans="1:19" x14ac:dyDescent="0.3">
      <c r="A6432" t="s">
        <v>40240</v>
      </c>
      <c r="B6432" t="s">
        <v>42353</v>
      </c>
      <c r="C6432" t="s">
        <v>40861</v>
      </c>
      <c r="D6432" t="s">
        <v>40254</v>
      </c>
      <c r="E6432" t="s">
        <v>40255</v>
      </c>
      <c r="F6432" t="s">
        <v>40255</v>
      </c>
      <c r="G6432" t="s">
        <v>40255</v>
      </c>
      <c r="H6432" t="s">
        <v>868</v>
      </c>
      <c r="I6432" t="s">
        <v>869</v>
      </c>
      <c r="J6432" t="str">
        <f>"9130064"</f>
        <v>9130064</v>
      </c>
      <c r="K6432">
        <v>2237022777</v>
      </c>
      <c r="L6432">
        <v>2237022777</v>
      </c>
      <c r="M6432" t="s">
        <v>42429</v>
      </c>
      <c r="N6432" t="s">
        <v>40258</v>
      </c>
      <c r="O6432" t="s">
        <v>42426</v>
      </c>
      <c r="P6432">
        <v>36100</v>
      </c>
      <c r="Q6432" t="str">
        <f>"38.912433"</f>
        <v>38.912433</v>
      </c>
      <c r="R6432" t="str">
        <f>"21.793376"</f>
        <v>21.793376</v>
      </c>
      <c r="S6432" t="s">
        <v>26</v>
      </c>
    </row>
    <row r="6433" spans="1:19" x14ac:dyDescent="0.3">
      <c r="A6433" t="s">
        <v>40240</v>
      </c>
      <c r="B6433" t="s">
        <v>42353</v>
      </c>
      <c r="C6433" t="s">
        <v>40854</v>
      </c>
      <c r="D6433" t="s">
        <v>40254</v>
      </c>
      <c r="E6433" t="s">
        <v>40842</v>
      </c>
      <c r="F6433" t="s">
        <v>40849</v>
      </c>
      <c r="G6433" t="s">
        <v>40850</v>
      </c>
      <c r="H6433" t="s">
        <v>868</v>
      </c>
      <c r="I6433" t="s">
        <v>950</v>
      </c>
      <c r="J6433" t="str">
        <f>"9130080"</f>
        <v>9130080</v>
      </c>
      <c r="K6433">
        <v>2237095275</v>
      </c>
      <c r="L6433">
        <v>2237095275</v>
      </c>
      <c r="M6433" t="s">
        <v>42430</v>
      </c>
      <c r="N6433" t="s">
        <v>40853</v>
      </c>
      <c r="O6433" t="s">
        <v>42389</v>
      </c>
      <c r="P6433">
        <v>36071</v>
      </c>
      <c r="Q6433" t="str">
        <f>"38.956876"</f>
        <v>38.956876</v>
      </c>
      <c r="R6433" t="str">
        <f>"21.603910"</f>
        <v>21.603910</v>
      </c>
      <c r="S6433" t="s">
        <v>57</v>
      </c>
    </row>
    <row r="6434" spans="1:19" x14ac:dyDescent="0.3">
      <c r="A6434" t="s">
        <v>40240</v>
      </c>
      <c r="B6434" t="s">
        <v>42353</v>
      </c>
      <c r="C6434" t="s">
        <v>42431</v>
      </c>
      <c r="D6434" t="s">
        <v>40254</v>
      </c>
      <c r="E6434" t="s">
        <v>40842</v>
      </c>
      <c r="F6434" t="s">
        <v>40842</v>
      </c>
      <c r="G6434" t="s">
        <v>40842</v>
      </c>
      <c r="H6434" t="s">
        <v>868</v>
      </c>
      <c r="I6434" t="s">
        <v>950</v>
      </c>
      <c r="J6434" t="str">
        <f>"9130009"</f>
        <v>9130009</v>
      </c>
      <c r="K6434">
        <v>2237093235</v>
      </c>
      <c r="L6434">
        <v>2237093235</v>
      </c>
      <c r="M6434" t="s">
        <v>42432</v>
      </c>
      <c r="N6434" t="s">
        <v>42433</v>
      </c>
      <c r="O6434" t="s">
        <v>42434</v>
      </c>
      <c r="P6434">
        <v>36073</v>
      </c>
      <c r="Q6434" t="str">
        <f>"39.138120"</f>
        <v>39.138120</v>
      </c>
      <c r="R6434" t="str">
        <f>"21.649380"</f>
        <v>21.649380</v>
      </c>
      <c r="S6434" t="s">
        <v>57</v>
      </c>
    </row>
    <row r="6435" spans="1:19" x14ac:dyDescent="0.3">
      <c r="A6435" t="s">
        <v>40240</v>
      </c>
      <c r="B6435" t="s">
        <v>42353</v>
      </c>
      <c r="C6435" t="s">
        <v>42436</v>
      </c>
      <c r="D6435" t="s">
        <v>40254</v>
      </c>
      <c r="E6435" t="s">
        <v>40255</v>
      </c>
      <c r="F6435" t="s">
        <v>40255</v>
      </c>
      <c r="G6435" t="s">
        <v>42435</v>
      </c>
      <c r="H6435" t="s">
        <v>868</v>
      </c>
      <c r="I6435" t="s">
        <v>950</v>
      </c>
      <c r="J6435" t="str">
        <f>"9130055"</f>
        <v>9130055</v>
      </c>
      <c r="K6435">
        <v>2237031177</v>
      </c>
      <c r="L6435">
        <v>2237031177</v>
      </c>
      <c r="M6435" t="s">
        <v>42437</v>
      </c>
      <c r="N6435" t="s">
        <v>42438</v>
      </c>
      <c r="O6435" t="s">
        <v>42438</v>
      </c>
      <c r="P6435">
        <v>36100</v>
      </c>
      <c r="Q6435" t="str">
        <f>"38.973401"</f>
        <v>38.973401</v>
      </c>
      <c r="R6435" t="str">
        <f>"21.731844"</f>
        <v>21.731844</v>
      </c>
      <c r="S6435" t="s">
        <v>57</v>
      </c>
    </row>
    <row r="6436" spans="1:19" x14ac:dyDescent="0.3">
      <c r="A6436" t="s">
        <v>40240</v>
      </c>
      <c r="B6436" t="s">
        <v>42353</v>
      </c>
      <c r="C6436" t="s">
        <v>42439</v>
      </c>
      <c r="D6436" t="s">
        <v>40254</v>
      </c>
      <c r="E6436" t="s">
        <v>40255</v>
      </c>
      <c r="F6436" t="s">
        <v>40255</v>
      </c>
      <c r="G6436" t="s">
        <v>40255</v>
      </c>
      <c r="H6436" t="s">
        <v>868</v>
      </c>
      <c r="I6436" t="s">
        <v>1157</v>
      </c>
      <c r="J6436" t="str">
        <f>"9521392"</f>
        <v>9521392</v>
      </c>
      <c r="K6436">
        <v>2237024495</v>
      </c>
      <c r="L6436">
        <v>2237023746</v>
      </c>
      <c r="M6436" t="s">
        <v>42440</v>
      </c>
      <c r="N6436" t="s">
        <v>40255</v>
      </c>
      <c r="O6436" t="s">
        <v>42441</v>
      </c>
      <c r="P6436">
        <v>36100</v>
      </c>
      <c r="Q6436" t="str">
        <f>"38.910755"</f>
        <v>38.910755</v>
      </c>
      <c r="R6436" t="str">
        <f>"21.809240"</f>
        <v>21.809240</v>
      </c>
      <c r="S6436" t="s">
        <v>26</v>
      </c>
    </row>
    <row r="6437" spans="1:19" x14ac:dyDescent="0.3">
      <c r="A6437" t="s">
        <v>40240</v>
      </c>
      <c r="B6437" t="s">
        <v>42353</v>
      </c>
      <c r="C6437" t="s">
        <v>42442</v>
      </c>
      <c r="D6437" t="s">
        <v>40254</v>
      </c>
      <c r="E6437" t="s">
        <v>40842</v>
      </c>
      <c r="F6437" t="s">
        <v>40869</v>
      </c>
      <c r="G6437" t="s">
        <v>3469</v>
      </c>
      <c r="H6437" t="s">
        <v>868</v>
      </c>
      <c r="I6437" t="s">
        <v>950</v>
      </c>
      <c r="J6437" t="str">
        <f>"9130063"</f>
        <v>9130063</v>
      </c>
      <c r="K6437">
        <v>2237031357</v>
      </c>
      <c r="M6437" t="s">
        <v>42443</v>
      </c>
      <c r="O6437" t="s">
        <v>3549</v>
      </c>
      <c r="Q6437" t="str">
        <f>"39.074208"</f>
        <v>39.074208</v>
      </c>
      <c r="R6437" t="str">
        <f>"21.824312"</f>
        <v>21.824312</v>
      </c>
      <c r="S6437" t="s">
        <v>57</v>
      </c>
    </row>
    <row r="6438" spans="1:19" x14ac:dyDescent="0.3">
      <c r="A6438" t="s">
        <v>40240</v>
      </c>
      <c r="B6438" t="s">
        <v>42448</v>
      </c>
      <c r="C6438" t="s">
        <v>41031</v>
      </c>
      <c r="D6438" t="s">
        <v>40260</v>
      </c>
      <c r="E6438" t="s">
        <v>41003</v>
      </c>
      <c r="F6438" t="s">
        <v>41003</v>
      </c>
      <c r="G6438" t="s">
        <v>41003</v>
      </c>
      <c r="H6438" t="s">
        <v>868</v>
      </c>
      <c r="I6438" t="s">
        <v>869</v>
      </c>
      <c r="J6438" t="str">
        <f>"9460024"</f>
        <v>9460024</v>
      </c>
      <c r="K6438">
        <v>2235022200</v>
      </c>
      <c r="L6438">
        <v>2235022200</v>
      </c>
      <c r="M6438" t="s">
        <v>42449</v>
      </c>
      <c r="N6438" t="s">
        <v>42450</v>
      </c>
      <c r="O6438" t="s">
        <v>42451</v>
      </c>
      <c r="P6438">
        <v>35008</v>
      </c>
      <c r="Q6438" t="str">
        <f>"38.775968"</f>
        <v>38.775968</v>
      </c>
      <c r="R6438" t="str">
        <f>"22.785869"</f>
        <v>22.785869</v>
      </c>
      <c r="S6438" t="s">
        <v>26</v>
      </c>
    </row>
    <row r="6439" spans="1:19" x14ac:dyDescent="0.3">
      <c r="A6439" t="s">
        <v>40240</v>
      </c>
      <c r="B6439" t="s">
        <v>42448</v>
      </c>
      <c r="C6439" t="s">
        <v>42457</v>
      </c>
      <c r="D6439" t="s">
        <v>40260</v>
      </c>
      <c r="E6439" t="s">
        <v>40261</v>
      </c>
      <c r="F6439" t="s">
        <v>40261</v>
      </c>
      <c r="G6439" t="s">
        <v>40261</v>
      </c>
      <c r="H6439" t="s">
        <v>868</v>
      </c>
      <c r="I6439" t="s">
        <v>869</v>
      </c>
      <c r="J6439" t="str">
        <f>"9460091"</f>
        <v>9460091</v>
      </c>
      <c r="K6439">
        <v>2231022052</v>
      </c>
      <c r="L6439">
        <v>2231035960</v>
      </c>
      <c r="M6439" t="s">
        <v>42458</v>
      </c>
      <c r="N6439" t="s">
        <v>40264</v>
      </c>
      <c r="O6439" t="s">
        <v>42459</v>
      </c>
      <c r="P6439">
        <v>35100</v>
      </c>
      <c r="Q6439" t="str">
        <f>"38.900842"</f>
        <v>38.900842</v>
      </c>
      <c r="R6439" t="str">
        <f>"22.430011"</f>
        <v>22.430011</v>
      </c>
      <c r="S6439" t="s">
        <v>26</v>
      </c>
    </row>
    <row r="6440" spans="1:19" x14ac:dyDescent="0.3">
      <c r="A6440" t="s">
        <v>40240</v>
      </c>
      <c r="B6440" t="s">
        <v>42448</v>
      </c>
      <c r="C6440" t="s">
        <v>42460</v>
      </c>
      <c r="D6440" t="s">
        <v>40260</v>
      </c>
      <c r="E6440" t="s">
        <v>40261</v>
      </c>
      <c r="F6440" t="s">
        <v>40261</v>
      </c>
      <c r="G6440" t="s">
        <v>40261</v>
      </c>
      <c r="H6440" t="s">
        <v>868</v>
      </c>
      <c r="I6440" t="s">
        <v>869</v>
      </c>
      <c r="J6440" t="str">
        <f>"9460137"</f>
        <v>9460137</v>
      </c>
      <c r="K6440">
        <v>2231025548</v>
      </c>
      <c r="L6440">
        <v>2231025548</v>
      </c>
      <c r="M6440" t="s">
        <v>42461</v>
      </c>
      <c r="N6440" t="s">
        <v>40264</v>
      </c>
      <c r="O6440" t="s">
        <v>42462</v>
      </c>
      <c r="P6440">
        <v>35100</v>
      </c>
      <c r="Q6440" t="str">
        <f>"38.897550"</f>
        <v>38.897550</v>
      </c>
      <c r="R6440" t="str">
        <f>"22.435053"</f>
        <v>22.435053</v>
      </c>
      <c r="S6440" t="s">
        <v>26</v>
      </c>
    </row>
    <row r="6441" spans="1:19" x14ac:dyDescent="0.3">
      <c r="A6441" t="s">
        <v>40240</v>
      </c>
      <c r="B6441" t="s">
        <v>42448</v>
      </c>
      <c r="C6441" t="s">
        <v>42464</v>
      </c>
      <c r="D6441" t="s">
        <v>40260</v>
      </c>
      <c r="E6441" t="s">
        <v>40261</v>
      </c>
      <c r="F6441" t="s">
        <v>40261</v>
      </c>
      <c r="G6441" t="s">
        <v>40261</v>
      </c>
      <c r="H6441" t="s">
        <v>868</v>
      </c>
      <c r="I6441" t="s">
        <v>1157</v>
      </c>
      <c r="J6441" t="str">
        <f>"9460312"</f>
        <v>9460312</v>
      </c>
      <c r="K6441">
        <v>2231021743</v>
      </c>
      <c r="L6441">
        <v>2231021743</v>
      </c>
      <c r="M6441" t="s">
        <v>42465</v>
      </c>
      <c r="N6441" t="s">
        <v>40264</v>
      </c>
      <c r="O6441" t="s">
        <v>42466</v>
      </c>
      <c r="P6441">
        <v>35132</v>
      </c>
      <c r="Q6441" t="str">
        <f>"38.890067"</f>
        <v>38.890067</v>
      </c>
      <c r="R6441" t="str">
        <f>"22.421673"</f>
        <v>22.421673</v>
      </c>
      <c r="S6441" t="s">
        <v>26</v>
      </c>
    </row>
    <row r="6442" spans="1:19" x14ac:dyDescent="0.3">
      <c r="A6442" t="s">
        <v>40240</v>
      </c>
      <c r="B6442" t="s">
        <v>42448</v>
      </c>
      <c r="C6442" t="s">
        <v>42467</v>
      </c>
      <c r="D6442" t="s">
        <v>40260</v>
      </c>
      <c r="E6442" t="s">
        <v>40261</v>
      </c>
      <c r="F6442" t="s">
        <v>40261</v>
      </c>
      <c r="G6442" t="s">
        <v>40261</v>
      </c>
      <c r="H6442" t="s">
        <v>868</v>
      </c>
      <c r="I6442" t="s">
        <v>869</v>
      </c>
      <c r="J6442" t="str">
        <f>"9460140"</f>
        <v>9460140</v>
      </c>
      <c r="K6442">
        <v>2231024824</v>
      </c>
      <c r="L6442">
        <v>2231025523</v>
      </c>
      <c r="M6442" t="s">
        <v>42468</v>
      </c>
      <c r="N6442" t="s">
        <v>40264</v>
      </c>
      <c r="O6442" t="s">
        <v>42463</v>
      </c>
      <c r="P6442">
        <v>35132</v>
      </c>
      <c r="Q6442" t="str">
        <f>"38.897354"</f>
        <v>38.897354</v>
      </c>
      <c r="R6442" t="str">
        <f>"22.435262"</f>
        <v>22.435262</v>
      </c>
      <c r="S6442" t="s">
        <v>26</v>
      </c>
    </row>
    <row r="6443" spans="1:19" x14ac:dyDescent="0.3">
      <c r="A6443" t="s">
        <v>40240</v>
      </c>
      <c r="B6443" t="s">
        <v>42448</v>
      </c>
      <c r="C6443" t="s">
        <v>41164</v>
      </c>
      <c r="D6443" t="s">
        <v>40260</v>
      </c>
      <c r="E6443" t="s">
        <v>40261</v>
      </c>
      <c r="F6443" t="s">
        <v>40261</v>
      </c>
      <c r="G6443" t="s">
        <v>40261</v>
      </c>
      <c r="H6443" t="s">
        <v>868</v>
      </c>
      <c r="I6443" t="s">
        <v>869</v>
      </c>
      <c r="J6443" t="str">
        <f>"9460139"</f>
        <v>9460139</v>
      </c>
      <c r="K6443">
        <v>2231026334</v>
      </c>
      <c r="L6443">
        <v>2231026334</v>
      </c>
      <c r="M6443" t="s">
        <v>42469</v>
      </c>
      <c r="N6443" t="s">
        <v>40264</v>
      </c>
      <c r="O6443" t="s">
        <v>42470</v>
      </c>
      <c r="P6443">
        <v>35132</v>
      </c>
      <c r="Q6443" t="str">
        <f>"38.890380"</f>
        <v>38.890380</v>
      </c>
      <c r="R6443" t="str">
        <f>"22.421444"</f>
        <v>22.421444</v>
      </c>
      <c r="S6443" t="s">
        <v>26</v>
      </c>
    </row>
    <row r="6444" spans="1:19" x14ac:dyDescent="0.3">
      <c r="A6444" t="s">
        <v>40240</v>
      </c>
      <c r="B6444" t="s">
        <v>42448</v>
      </c>
      <c r="C6444" t="s">
        <v>40936</v>
      </c>
      <c r="D6444" t="s">
        <v>40260</v>
      </c>
      <c r="E6444" t="s">
        <v>40261</v>
      </c>
      <c r="F6444" t="s">
        <v>40261</v>
      </c>
      <c r="G6444" t="s">
        <v>30138</v>
      </c>
      <c r="H6444" t="s">
        <v>868</v>
      </c>
      <c r="I6444" t="s">
        <v>869</v>
      </c>
      <c r="J6444" t="str">
        <f>"9460125"</f>
        <v>9460125</v>
      </c>
      <c r="K6444">
        <v>2231033307</v>
      </c>
      <c r="L6444">
        <v>2231033307</v>
      </c>
      <c r="M6444" t="s">
        <v>42471</v>
      </c>
      <c r="N6444" t="s">
        <v>42472</v>
      </c>
      <c r="O6444" t="s">
        <v>42473</v>
      </c>
      <c r="P6444">
        <v>35100</v>
      </c>
      <c r="Q6444" t="str">
        <f>"38.894479"</f>
        <v>38.894479</v>
      </c>
      <c r="R6444" t="str">
        <f>"22.472483"</f>
        <v>22.472483</v>
      </c>
      <c r="S6444" t="s">
        <v>26</v>
      </c>
    </row>
    <row r="6445" spans="1:19" x14ac:dyDescent="0.3">
      <c r="A6445" t="s">
        <v>40240</v>
      </c>
      <c r="B6445" t="s">
        <v>42448</v>
      </c>
      <c r="C6445" t="s">
        <v>42475</v>
      </c>
      <c r="D6445" t="s">
        <v>40260</v>
      </c>
      <c r="E6445" t="s">
        <v>40922</v>
      </c>
      <c r="F6445" t="s">
        <v>40928</v>
      </c>
      <c r="G6445" t="s">
        <v>42474</v>
      </c>
      <c r="H6445" t="s">
        <v>868</v>
      </c>
      <c r="I6445" t="s">
        <v>869</v>
      </c>
      <c r="J6445" t="str">
        <f>"9460053"</f>
        <v>9460053</v>
      </c>
      <c r="K6445">
        <v>2233092233</v>
      </c>
      <c r="L6445">
        <v>2233092233</v>
      </c>
      <c r="M6445" t="s">
        <v>42476</v>
      </c>
      <c r="N6445" t="s">
        <v>42477</v>
      </c>
      <c r="O6445" t="s">
        <v>42478</v>
      </c>
      <c r="P6445">
        <v>35200</v>
      </c>
      <c r="Q6445" t="str">
        <f>"38.619282"</f>
        <v>38.619282</v>
      </c>
      <c r="R6445" t="str">
        <f>"23.121997"</f>
        <v>23.121997</v>
      </c>
      <c r="S6445" t="s">
        <v>26</v>
      </c>
    </row>
    <row r="6446" spans="1:19" x14ac:dyDescent="0.3">
      <c r="A6446" t="s">
        <v>40240</v>
      </c>
      <c r="B6446" t="s">
        <v>42448</v>
      </c>
      <c r="C6446" t="s">
        <v>42479</v>
      </c>
      <c r="D6446" t="s">
        <v>40260</v>
      </c>
      <c r="E6446" t="s">
        <v>40261</v>
      </c>
      <c r="F6446" t="s">
        <v>40261</v>
      </c>
      <c r="G6446" t="s">
        <v>21878</v>
      </c>
      <c r="H6446" t="s">
        <v>868</v>
      </c>
      <c r="I6446" t="s">
        <v>869</v>
      </c>
      <c r="J6446" t="str">
        <f>"9460214"</f>
        <v>9460214</v>
      </c>
      <c r="K6446">
        <v>2231061226</v>
      </c>
      <c r="L6446">
        <v>2231061226</v>
      </c>
      <c r="M6446" t="s">
        <v>42480</v>
      </c>
      <c r="N6446" t="s">
        <v>40264</v>
      </c>
      <c r="O6446" t="s">
        <v>42481</v>
      </c>
      <c r="P6446">
        <v>35100</v>
      </c>
      <c r="Q6446" t="str">
        <f>"38.899741"</f>
        <v>38.899741</v>
      </c>
      <c r="R6446" t="str">
        <f>"22.370053"</f>
        <v>22.370053</v>
      </c>
      <c r="S6446" t="s">
        <v>26</v>
      </c>
    </row>
    <row r="6447" spans="1:19" x14ac:dyDescent="0.3">
      <c r="A6447" t="s">
        <v>40240</v>
      </c>
      <c r="B6447" t="s">
        <v>42448</v>
      </c>
      <c r="C6447" t="s">
        <v>41108</v>
      </c>
      <c r="D6447" t="s">
        <v>40260</v>
      </c>
      <c r="E6447" t="s">
        <v>40922</v>
      </c>
      <c r="F6447" t="s">
        <v>40989</v>
      </c>
      <c r="G6447" t="s">
        <v>41103</v>
      </c>
      <c r="H6447" t="s">
        <v>868</v>
      </c>
      <c r="I6447" t="s">
        <v>869</v>
      </c>
      <c r="J6447" t="str">
        <f>"9460432"</f>
        <v>9460432</v>
      </c>
      <c r="K6447">
        <v>2233041150</v>
      </c>
      <c r="L6447">
        <v>2233041346</v>
      </c>
      <c r="M6447" t="s">
        <v>42486</v>
      </c>
      <c r="N6447" t="s">
        <v>41106</v>
      </c>
      <c r="O6447" t="s">
        <v>42487</v>
      </c>
      <c r="P6447">
        <v>35012</v>
      </c>
      <c r="Q6447" t="str">
        <f>"38.565633"</f>
        <v>38.565633</v>
      </c>
      <c r="R6447" t="str">
        <f>"23.286174"</f>
        <v>23.286174</v>
      </c>
      <c r="S6447" t="s">
        <v>26</v>
      </c>
    </row>
    <row r="6448" spans="1:19" x14ac:dyDescent="0.3">
      <c r="A6448" t="s">
        <v>40240</v>
      </c>
      <c r="B6448" t="s">
        <v>42448</v>
      </c>
      <c r="C6448" t="s">
        <v>40903</v>
      </c>
      <c r="D6448" t="s">
        <v>40260</v>
      </c>
      <c r="E6448" t="s">
        <v>40897</v>
      </c>
      <c r="F6448" t="s">
        <v>40898</v>
      </c>
      <c r="G6448" t="s">
        <v>40898</v>
      </c>
      <c r="H6448" t="s">
        <v>868</v>
      </c>
      <c r="I6448" t="s">
        <v>869</v>
      </c>
      <c r="J6448" t="str">
        <f>"9460001"</f>
        <v>9460001</v>
      </c>
      <c r="K6448">
        <v>2234022295</v>
      </c>
      <c r="L6448">
        <v>2234022295</v>
      </c>
      <c r="M6448" t="s">
        <v>42488</v>
      </c>
      <c r="N6448" t="s">
        <v>40898</v>
      </c>
      <c r="O6448" t="s">
        <v>42489</v>
      </c>
      <c r="P6448">
        <v>35002</v>
      </c>
      <c r="Q6448" t="str">
        <f>"38.639421"</f>
        <v>38.639421</v>
      </c>
      <c r="R6448" t="str">
        <f>"22.589210"</f>
        <v>22.589210</v>
      </c>
      <c r="S6448" t="s">
        <v>26</v>
      </c>
    </row>
    <row r="6449" spans="1:19" x14ac:dyDescent="0.3">
      <c r="A6449" t="s">
        <v>40240</v>
      </c>
      <c r="B6449" t="s">
        <v>42448</v>
      </c>
      <c r="C6449" t="s">
        <v>41037</v>
      </c>
      <c r="D6449" t="s">
        <v>40260</v>
      </c>
      <c r="E6449" t="s">
        <v>41032</v>
      </c>
      <c r="F6449" t="s">
        <v>41032</v>
      </c>
      <c r="G6449" t="s">
        <v>41032</v>
      </c>
      <c r="H6449" t="s">
        <v>868</v>
      </c>
      <c r="I6449" t="s">
        <v>869</v>
      </c>
      <c r="J6449" t="str">
        <f>"9460055"</f>
        <v>9460055</v>
      </c>
      <c r="K6449">
        <v>2232022568</v>
      </c>
      <c r="L6449">
        <v>2232022568</v>
      </c>
      <c r="M6449" t="s">
        <v>42490</v>
      </c>
      <c r="N6449" t="s">
        <v>41036</v>
      </c>
      <c r="O6449" t="s">
        <v>41035</v>
      </c>
      <c r="P6449">
        <v>35010</v>
      </c>
      <c r="Q6449" t="str">
        <f>"39.126951"</f>
        <v>39.126951</v>
      </c>
      <c r="R6449" t="str">
        <f>"22.303286"</f>
        <v>22.303286</v>
      </c>
      <c r="S6449" t="s">
        <v>26</v>
      </c>
    </row>
    <row r="6450" spans="1:19" x14ac:dyDescent="0.3">
      <c r="A6450" t="s">
        <v>40240</v>
      </c>
      <c r="B6450" t="s">
        <v>42448</v>
      </c>
      <c r="C6450" t="s">
        <v>42491</v>
      </c>
      <c r="D6450" t="s">
        <v>40260</v>
      </c>
      <c r="E6450" t="s">
        <v>40261</v>
      </c>
      <c r="F6450" t="s">
        <v>40261</v>
      </c>
      <c r="G6450" t="s">
        <v>40261</v>
      </c>
      <c r="H6450" t="s">
        <v>868</v>
      </c>
      <c r="I6450" t="s">
        <v>869</v>
      </c>
      <c r="J6450" t="str">
        <f>"9460086"</f>
        <v>9460086</v>
      </c>
      <c r="K6450">
        <v>2231026370</v>
      </c>
      <c r="L6450">
        <v>2231026370</v>
      </c>
      <c r="M6450" t="s">
        <v>42492</v>
      </c>
      <c r="N6450" t="s">
        <v>40264</v>
      </c>
      <c r="O6450" t="s">
        <v>42493</v>
      </c>
      <c r="P6450">
        <v>35131</v>
      </c>
      <c r="Q6450" t="str">
        <f>"38.916790"</f>
        <v>38.916790</v>
      </c>
      <c r="R6450" t="str">
        <f>"22.428545"</f>
        <v>22.428545</v>
      </c>
      <c r="S6450" t="s">
        <v>26</v>
      </c>
    </row>
    <row r="6451" spans="1:19" x14ac:dyDescent="0.3">
      <c r="A6451" t="s">
        <v>40240</v>
      </c>
      <c r="B6451" t="s">
        <v>42448</v>
      </c>
      <c r="C6451" t="s">
        <v>42495</v>
      </c>
      <c r="D6451" t="s">
        <v>40260</v>
      </c>
      <c r="E6451" t="s">
        <v>40261</v>
      </c>
      <c r="F6451" t="s">
        <v>40261</v>
      </c>
      <c r="G6451" t="s">
        <v>42494</v>
      </c>
      <c r="H6451" t="s">
        <v>868</v>
      </c>
      <c r="I6451" t="s">
        <v>950</v>
      </c>
      <c r="J6451" t="str">
        <f>"9460212"</f>
        <v>9460212</v>
      </c>
      <c r="K6451">
        <v>2231096567</v>
      </c>
      <c r="L6451">
        <v>2231096567</v>
      </c>
      <c r="M6451" t="s">
        <v>42496</v>
      </c>
      <c r="N6451" t="s">
        <v>42497</v>
      </c>
      <c r="O6451" t="s">
        <v>42497</v>
      </c>
      <c r="P6451">
        <v>35100</v>
      </c>
      <c r="Q6451" t="str">
        <f>"38.882695"</f>
        <v>38.882695</v>
      </c>
      <c r="R6451" t="str">
        <f>"22.417563"</f>
        <v>22.417563</v>
      </c>
      <c r="S6451" t="s">
        <v>26</v>
      </c>
    </row>
    <row r="6452" spans="1:19" x14ac:dyDescent="0.3">
      <c r="A6452" t="s">
        <v>40240</v>
      </c>
      <c r="B6452" t="s">
        <v>42448</v>
      </c>
      <c r="C6452" t="s">
        <v>41053</v>
      </c>
      <c r="D6452" t="s">
        <v>40260</v>
      </c>
      <c r="E6452" t="s">
        <v>41038</v>
      </c>
      <c r="F6452" t="s">
        <v>41038</v>
      </c>
      <c r="G6452" t="s">
        <v>41038</v>
      </c>
      <c r="H6452" t="s">
        <v>868</v>
      </c>
      <c r="I6452" t="s">
        <v>869</v>
      </c>
      <c r="J6452" t="str">
        <f>"9460094"</f>
        <v>9460094</v>
      </c>
      <c r="K6452">
        <v>2238022384</v>
      </c>
      <c r="L6452">
        <v>2238022384</v>
      </c>
      <c r="M6452" t="s">
        <v>42498</v>
      </c>
      <c r="N6452" t="s">
        <v>41051</v>
      </c>
      <c r="O6452" t="s">
        <v>42499</v>
      </c>
      <c r="P6452">
        <v>35300</v>
      </c>
      <c r="Q6452" t="str">
        <f>"38.913450"</f>
        <v>38.913450</v>
      </c>
      <c r="R6452" t="str">
        <f>"22.624110"</f>
        <v>22.624110</v>
      </c>
      <c r="S6452" t="s">
        <v>26</v>
      </c>
    </row>
    <row r="6453" spans="1:19" x14ac:dyDescent="0.3">
      <c r="A6453" t="s">
        <v>40240</v>
      </c>
      <c r="B6453" t="s">
        <v>42448</v>
      </c>
      <c r="C6453" t="s">
        <v>41067</v>
      </c>
      <c r="D6453" t="s">
        <v>40260</v>
      </c>
      <c r="E6453" t="s">
        <v>40261</v>
      </c>
      <c r="F6453" t="s">
        <v>40261</v>
      </c>
      <c r="G6453" t="s">
        <v>40261</v>
      </c>
      <c r="H6453" t="s">
        <v>868</v>
      </c>
      <c r="I6453" t="s">
        <v>869</v>
      </c>
      <c r="J6453" t="str">
        <f>"9460090"</f>
        <v>9460090</v>
      </c>
      <c r="K6453">
        <v>2231026766</v>
      </c>
      <c r="L6453">
        <v>2231026766</v>
      </c>
      <c r="M6453" t="s">
        <v>42500</v>
      </c>
      <c r="N6453" t="s">
        <v>40264</v>
      </c>
      <c r="O6453" t="s">
        <v>42501</v>
      </c>
      <c r="P6453">
        <v>35100</v>
      </c>
      <c r="Q6453" t="str">
        <f>"38.905025"</f>
        <v>38.905025</v>
      </c>
      <c r="R6453" t="str">
        <f>"22.430679"</f>
        <v>22.430679</v>
      </c>
      <c r="S6453" t="s">
        <v>26</v>
      </c>
    </row>
    <row r="6454" spans="1:19" x14ac:dyDescent="0.3">
      <c r="A6454" t="s">
        <v>40240</v>
      </c>
      <c r="B6454" t="s">
        <v>42448</v>
      </c>
      <c r="C6454" t="s">
        <v>42502</v>
      </c>
      <c r="D6454" t="s">
        <v>40260</v>
      </c>
      <c r="E6454" t="s">
        <v>40261</v>
      </c>
      <c r="F6454" t="s">
        <v>40261</v>
      </c>
      <c r="G6454" t="s">
        <v>40261</v>
      </c>
      <c r="H6454" t="s">
        <v>868</v>
      </c>
      <c r="I6454" t="s">
        <v>869</v>
      </c>
      <c r="J6454" t="str">
        <f>"9460092"</f>
        <v>9460092</v>
      </c>
      <c r="K6454">
        <v>2231025308</v>
      </c>
      <c r="L6454">
        <v>2231025308</v>
      </c>
      <c r="M6454" t="s">
        <v>42503</v>
      </c>
      <c r="N6454" t="s">
        <v>40264</v>
      </c>
      <c r="O6454" t="s">
        <v>42504</v>
      </c>
      <c r="P6454">
        <v>35100</v>
      </c>
      <c r="Q6454" t="str">
        <f>"38.901843"</f>
        <v>38.901843</v>
      </c>
      <c r="R6454" t="str">
        <f>"22.455521"</f>
        <v>22.455521</v>
      </c>
      <c r="S6454" t="s">
        <v>26</v>
      </c>
    </row>
    <row r="6455" spans="1:19" x14ac:dyDescent="0.3">
      <c r="A6455" t="s">
        <v>40240</v>
      </c>
      <c r="B6455" t="s">
        <v>42448</v>
      </c>
      <c r="C6455" t="s">
        <v>41133</v>
      </c>
      <c r="D6455" t="s">
        <v>40260</v>
      </c>
      <c r="E6455" t="s">
        <v>40261</v>
      </c>
      <c r="F6455" t="s">
        <v>41128</v>
      </c>
      <c r="G6455" t="s">
        <v>41128</v>
      </c>
      <c r="H6455" t="s">
        <v>868</v>
      </c>
      <c r="I6455" t="s">
        <v>869</v>
      </c>
      <c r="J6455" t="str">
        <f>"9460110"</f>
        <v>9460110</v>
      </c>
      <c r="K6455">
        <v>2231079137</v>
      </c>
      <c r="L6455">
        <v>2231079181</v>
      </c>
      <c r="M6455" t="s">
        <v>42505</v>
      </c>
      <c r="N6455" t="s">
        <v>42506</v>
      </c>
      <c r="O6455" t="s">
        <v>42507</v>
      </c>
      <c r="P6455">
        <v>35100</v>
      </c>
      <c r="Q6455" t="str">
        <f>"38.919222"</f>
        <v>38.919222</v>
      </c>
      <c r="R6455" t="str">
        <f>"22.303104"</f>
        <v>22.303104</v>
      </c>
      <c r="S6455" t="s">
        <v>26</v>
      </c>
    </row>
    <row r="6456" spans="1:19" x14ac:dyDescent="0.3">
      <c r="A6456" t="s">
        <v>40240</v>
      </c>
      <c r="B6456" t="s">
        <v>42448</v>
      </c>
      <c r="C6456" t="s">
        <v>42508</v>
      </c>
      <c r="D6456" t="s">
        <v>40260</v>
      </c>
      <c r="E6456" t="s">
        <v>40261</v>
      </c>
      <c r="F6456" t="s">
        <v>40261</v>
      </c>
      <c r="G6456" t="s">
        <v>40261</v>
      </c>
      <c r="H6456" t="s">
        <v>868</v>
      </c>
      <c r="I6456" t="s">
        <v>869</v>
      </c>
      <c r="J6456" t="str">
        <f>"9460408"</f>
        <v>9460408</v>
      </c>
      <c r="K6456">
        <v>2231052719</v>
      </c>
      <c r="L6456">
        <v>2231052719</v>
      </c>
      <c r="M6456" t="s">
        <v>42509</v>
      </c>
      <c r="N6456" t="s">
        <v>40264</v>
      </c>
      <c r="O6456" t="s">
        <v>42510</v>
      </c>
      <c r="P6456">
        <v>35100</v>
      </c>
      <c r="Q6456" t="str">
        <f>"38.895973"</f>
        <v>38.895973</v>
      </c>
      <c r="R6456" t="str">
        <f>"22.434900"</f>
        <v>22.434900</v>
      </c>
      <c r="S6456" t="s">
        <v>26</v>
      </c>
    </row>
    <row r="6457" spans="1:19" x14ac:dyDescent="0.3">
      <c r="A6457" t="s">
        <v>40240</v>
      </c>
      <c r="B6457" t="s">
        <v>42448</v>
      </c>
      <c r="C6457" t="s">
        <v>41044</v>
      </c>
      <c r="D6457" t="s">
        <v>40260</v>
      </c>
      <c r="E6457" t="s">
        <v>41038</v>
      </c>
      <c r="F6457" t="s">
        <v>41039</v>
      </c>
      <c r="G6457" t="s">
        <v>41039</v>
      </c>
      <c r="H6457" t="s">
        <v>868</v>
      </c>
      <c r="I6457" t="s">
        <v>869</v>
      </c>
      <c r="J6457" t="str">
        <f>"9460119"</f>
        <v>9460119</v>
      </c>
      <c r="K6457">
        <v>2238051377</v>
      </c>
      <c r="L6457">
        <v>2238051377</v>
      </c>
      <c r="M6457" t="s">
        <v>42519</v>
      </c>
      <c r="N6457" t="s">
        <v>41043</v>
      </c>
      <c r="O6457" t="s">
        <v>41042</v>
      </c>
      <c r="P6457">
        <v>35013</v>
      </c>
      <c r="Q6457" t="str">
        <f>"38.944368"</f>
        <v>38.944368</v>
      </c>
      <c r="R6457" t="str">
        <f>"22.837569"</f>
        <v>22.837569</v>
      </c>
      <c r="S6457" t="s">
        <v>26</v>
      </c>
    </row>
    <row r="6458" spans="1:19" x14ac:dyDescent="0.3">
      <c r="A6458" t="s">
        <v>40240</v>
      </c>
      <c r="B6458" t="s">
        <v>42448</v>
      </c>
      <c r="C6458" t="s">
        <v>40995</v>
      </c>
      <c r="D6458" t="s">
        <v>40260</v>
      </c>
      <c r="E6458" t="s">
        <v>40922</v>
      </c>
      <c r="F6458" t="s">
        <v>40989</v>
      </c>
      <c r="G6458" t="s">
        <v>40990</v>
      </c>
      <c r="H6458" t="s">
        <v>868</v>
      </c>
      <c r="I6458" t="s">
        <v>869</v>
      </c>
      <c r="J6458" t="str">
        <f>"9460040"</f>
        <v>9460040</v>
      </c>
      <c r="K6458">
        <v>2233061210</v>
      </c>
      <c r="L6458">
        <v>2233061210</v>
      </c>
      <c r="M6458" t="s">
        <v>42520</v>
      </c>
      <c r="N6458" t="s">
        <v>41076</v>
      </c>
      <c r="O6458" t="s">
        <v>42521</v>
      </c>
      <c r="P6458">
        <v>35005</v>
      </c>
      <c r="Q6458" t="str">
        <f>"38.565830"</f>
        <v>38.565830</v>
      </c>
      <c r="R6458" t="str">
        <f>"23.212281"</f>
        <v>23.212281</v>
      </c>
      <c r="S6458" t="s">
        <v>26</v>
      </c>
    </row>
    <row r="6459" spans="1:19" x14ac:dyDescent="0.3">
      <c r="A6459" t="s">
        <v>40240</v>
      </c>
      <c r="B6459" t="s">
        <v>42448</v>
      </c>
      <c r="C6459" t="s">
        <v>41117</v>
      </c>
      <c r="D6459" t="s">
        <v>40260</v>
      </c>
      <c r="E6459" t="s">
        <v>40922</v>
      </c>
      <c r="F6459" t="s">
        <v>40923</v>
      </c>
      <c r="G6459" t="s">
        <v>40923</v>
      </c>
      <c r="H6459" t="s">
        <v>868</v>
      </c>
      <c r="I6459" t="s">
        <v>869</v>
      </c>
      <c r="J6459" t="str">
        <f>"9460038"</f>
        <v>9460038</v>
      </c>
      <c r="K6459">
        <v>2233051048</v>
      </c>
      <c r="L6459">
        <v>2233051720</v>
      </c>
      <c r="M6459" t="s">
        <v>42522</v>
      </c>
      <c r="N6459" t="s">
        <v>42523</v>
      </c>
      <c r="O6459" t="s">
        <v>42524</v>
      </c>
      <c r="P6459">
        <v>35001</v>
      </c>
      <c r="Q6459" t="str">
        <f>"38.622339"</f>
        <v>38.622339</v>
      </c>
      <c r="R6459" t="str">
        <f>"23.232880"</f>
        <v>23.232880</v>
      </c>
      <c r="S6459" t="s">
        <v>26</v>
      </c>
    </row>
    <row r="6460" spans="1:19" x14ac:dyDescent="0.3">
      <c r="A6460" t="s">
        <v>40240</v>
      </c>
      <c r="B6460" t="s">
        <v>42448</v>
      </c>
      <c r="C6460" t="s">
        <v>42526</v>
      </c>
      <c r="D6460" t="s">
        <v>40260</v>
      </c>
      <c r="E6460" t="s">
        <v>40904</v>
      </c>
      <c r="F6460" t="s">
        <v>42525</v>
      </c>
      <c r="G6460" t="s">
        <v>42525</v>
      </c>
      <c r="H6460" t="s">
        <v>868</v>
      </c>
      <c r="I6460" t="s">
        <v>950</v>
      </c>
      <c r="J6460" t="str">
        <f>"9460208"</f>
        <v>9460208</v>
      </c>
      <c r="K6460">
        <v>2236091246</v>
      </c>
      <c r="L6460">
        <v>2236091246</v>
      </c>
      <c r="M6460" t="s">
        <v>42527</v>
      </c>
      <c r="N6460" t="s">
        <v>42528</v>
      </c>
      <c r="O6460" t="s">
        <v>42529</v>
      </c>
      <c r="P6460">
        <v>35017</v>
      </c>
      <c r="Q6460" t="str">
        <f>"38.909642"</f>
        <v>38.909642</v>
      </c>
      <c r="R6460" t="str">
        <f>"21.915917"</f>
        <v>21.915917</v>
      </c>
      <c r="S6460" t="s">
        <v>26</v>
      </c>
    </row>
    <row r="6461" spans="1:19" x14ac:dyDescent="0.3">
      <c r="A6461" t="s">
        <v>40240</v>
      </c>
      <c r="B6461" t="s">
        <v>42448</v>
      </c>
      <c r="C6461" t="s">
        <v>42531</v>
      </c>
      <c r="D6461" t="s">
        <v>40260</v>
      </c>
      <c r="E6461" t="s">
        <v>40922</v>
      </c>
      <c r="F6461" t="s">
        <v>41010</v>
      </c>
      <c r="G6461" t="s">
        <v>42530</v>
      </c>
      <c r="H6461" t="s">
        <v>868</v>
      </c>
      <c r="I6461" t="s">
        <v>950</v>
      </c>
      <c r="J6461" t="str">
        <f>"9460015"</f>
        <v>9460015</v>
      </c>
      <c r="K6461">
        <v>2233091231</v>
      </c>
      <c r="L6461">
        <v>2233091211</v>
      </c>
      <c r="M6461" t="s">
        <v>42532</v>
      </c>
      <c r="N6461" t="s">
        <v>42530</v>
      </c>
      <c r="O6461" t="s">
        <v>42533</v>
      </c>
      <c r="P6461">
        <v>35200</v>
      </c>
      <c r="Q6461" t="str">
        <f>"38.744283"</f>
        <v>38.744283</v>
      </c>
      <c r="R6461" t="str">
        <f>"23.031180"</f>
        <v>23.031180</v>
      </c>
      <c r="S6461" t="s">
        <v>26</v>
      </c>
    </row>
    <row r="6462" spans="1:19" x14ac:dyDescent="0.3">
      <c r="A6462" t="s">
        <v>40240</v>
      </c>
      <c r="B6462" t="s">
        <v>42448</v>
      </c>
      <c r="C6462" t="s">
        <v>40929</v>
      </c>
      <c r="D6462" t="s">
        <v>40260</v>
      </c>
      <c r="E6462" t="s">
        <v>40922</v>
      </c>
      <c r="F6462" t="s">
        <v>40923</v>
      </c>
      <c r="G6462" t="s">
        <v>40923</v>
      </c>
      <c r="H6462" t="s">
        <v>868</v>
      </c>
      <c r="I6462" t="s">
        <v>869</v>
      </c>
      <c r="J6462" t="str">
        <f>"9521022"</f>
        <v>9521022</v>
      </c>
      <c r="K6462">
        <v>2233051011</v>
      </c>
      <c r="L6462">
        <v>2233089627</v>
      </c>
      <c r="M6462" t="s">
        <v>42534</v>
      </c>
      <c r="N6462" t="s">
        <v>40927</v>
      </c>
      <c r="O6462" t="s">
        <v>42535</v>
      </c>
      <c r="P6462">
        <v>35001</v>
      </c>
      <c r="Q6462" t="str">
        <f>"38.620416"</f>
        <v>38.620416</v>
      </c>
      <c r="R6462" t="str">
        <f>"23.233947"</f>
        <v>23.233947</v>
      </c>
      <c r="S6462" t="s">
        <v>26</v>
      </c>
    </row>
    <row r="6463" spans="1:19" x14ac:dyDescent="0.3">
      <c r="A6463" t="s">
        <v>40240</v>
      </c>
      <c r="B6463" t="s">
        <v>42448</v>
      </c>
      <c r="C6463" t="s">
        <v>41125</v>
      </c>
      <c r="D6463" t="s">
        <v>40260</v>
      </c>
      <c r="E6463" t="s">
        <v>40261</v>
      </c>
      <c r="F6463" t="s">
        <v>40261</v>
      </c>
      <c r="G6463" t="s">
        <v>40261</v>
      </c>
      <c r="H6463" t="s">
        <v>868</v>
      </c>
      <c r="I6463" t="s">
        <v>869</v>
      </c>
      <c r="J6463" t="str">
        <f>"9460087"</f>
        <v>9460087</v>
      </c>
      <c r="K6463">
        <v>2231026317</v>
      </c>
      <c r="L6463">
        <v>2231026317</v>
      </c>
      <c r="M6463" t="s">
        <v>42536</v>
      </c>
      <c r="N6463" t="s">
        <v>42537</v>
      </c>
      <c r="O6463" t="s">
        <v>42538</v>
      </c>
      <c r="P6463">
        <v>35132</v>
      </c>
      <c r="Q6463" t="str">
        <f>"38.898659"</f>
        <v>38.898659</v>
      </c>
      <c r="R6463" t="str">
        <f>"22.424753"</f>
        <v>22.424753</v>
      </c>
      <c r="S6463" t="s">
        <v>26</v>
      </c>
    </row>
    <row r="6464" spans="1:19" x14ac:dyDescent="0.3">
      <c r="A6464" t="s">
        <v>40240</v>
      </c>
      <c r="B6464" t="s">
        <v>42448</v>
      </c>
      <c r="C6464" t="s">
        <v>41023</v>
      </c>
      <c r="D6464" t="s">
        <v>40260</v>
      </c>
      <c r="E6464" t="s">
        <v>40897</v>
      </c>
      <c r="F6464" t="s">
        <v>41017</v>
      </c>
      <c r="G6464" t="s">
        <v>41018</v>
      </c>
      <c r="H6464" t="s">
        <v>868</v>
      </c>
      <c r="I6464" t="s">
        <v>869</v>
      </c>
      <c r="J6464" t="str">
        <f>"9460026"</f>
        <v>9460026</v>
      </c>
      <c r="K6464">
        <v>2234049354</v>
      </c>
      <c r="L6464">
        <v>2234049354</v>
      </c>
      <c r="M6464" t="s">
        <v>42544</v>
      </c>
      <c r="N6464" t="s">
        <v>41022</v>
      </c>
      <c r="O6464" t="s">
        <v>41022</v>
      </c>
      <c r="P6464">
        <v>35015</v>
      </c>
      <c r="Q6464" t="str">
        <f>"38.609900"</f>
        <v>38.609900</v>
      </c>
      <c r="R6464" t="str">
        <f>"22.709917"</f>
        <v>22.709917</v>
      </c>
      <c r="S6464" t="s">
        <v>26</v>
      </c>
    </row>
    <row r="6465" spans="1:19" x14ac:dyDescent="0.3">
      <c r="A6465" t="s">
        <v>40240</v>
      </c>
      <c r="B6465" t="s">
        <v>42448</v>
      </c>
      <c r="C6465" t="s">
        <v>41009</v>
      </c>
      <c r="D6465" t="s">
        <v>40260</v>
      </c>
      <c r="E6465" t="s">
        <v>41003</v>
      </c>
      <c r="F6465" t="s">
        <v>41004</v>
      </c>
      <c r="G6465" t="s">
        <v>41004</v>
      </c>
      <c r="H6465" t="s">
        <v>868</v>
      </c>
      <c r="I6465" t="s">
        <v>869</v>
      </c>
      <c r="J6465" t="str">
        <f>"9460044"</f>
        <v>9460044</v>
      </c>
      <c r="K6465">
        <v>2235051229</v>
      </c>
      <c r="L6465">
        <v>2235051229</v>
      </c>
      <c r="M6465" t="s">
        <v>42550</v>
      </c>
      <c r="N6465" t="s">
        <v>42551</v>
      </c>
      <c r="O6465" t="s">
        <v>42552</v>
      </c>
      <c r="P6465">
        <v>35009</v>
      </c>
      <c r="Q6465" t="str">
        <f>"38.810248"</f>
        <v>38.810248</v>
      </c>
      <c r="R6465" t="str">
        <f>"22.642111"</f>
        <v>22.642111</v>
      </c>
      <c r="S6465" t="s">
        <v>26</v>
      </c>
    </row>
    <row r="6466" spans="1:19" x14ac:dyDescent="0.3">
      <c r="A6466" t="s">
        <v>40240</v>
      </c>
      <c r="B6466" t="s">
        <v>42448</v>
      </c>
      <c r="C6466" t="s">
        <v>42556</v>
      </c>
      <c r="D6466" t="s">
        <v>40260</v>
      </c>
      <c r="E6466" t="s">
        <v>41032</v>
      </c>
      <c r="F6466" t="s">
        <v>41140</v>
      </c>
      <c r="G6466" t="s">
        <v>41141</v>
      </c>
      <c r="H6466" t="s">
        <v>868</v>
      </c>
      <c r="I6466" t="s">
        <v>869</v>
      </c>
      <c r="J6466" t="str">
        <f>"9460075"</f>
        <v>9460075</v>
      </c>
      <c r="K6466">
        <v>2232071207</v>
      </c>
      <c r="L6466">
        <v>2232071207</v>
      </c>
      <c r="M6466" t="s">
        <v>42557</v>
      </c>
      <c r="N6466" t="s">
        <v>42558</v>
      </c>
      <c r="O6466" t="s">
        <v>2648</v>
      </c>
      <c r="P6466">
        <v>35010</v>
      </c>
      <c r="Q6466" t="str">
        <f>"39.242080"</f>
        <v>39.242080</v>
      </c>
      <c r="R6466" t="str">
        <f>"22.274720"</f>
        <v>22.274720</v>
      </c>
      <c r="S6466" t="s">
        <v>26</v>
      </c>
    </row>
    <row r="6467" spans="1:19" x14ac:dyDescent="0.3">
      <c r="A6467" t="s">
        <v>40240</v>
      </c>
      <c r="B6467" t="s">
        <v>42448</v>
      </c>
      <c r="C6467" t="s">
        <v>40967</v>
      </c>
      <c r="D6467" t="s">
        <v>40260</v>
      </c>
      <c r="E6467" t="s">
        <v>40261</v>
      </c>
      <c r="F6467" t="s">
        <v>40261</v>
      </c>
      <c r="G6467" t="s">
        <v>40261</v>
      </c>
      <c r="H6467" t="s">
        <v>868</v>
      </c>
      <c r="I6467" t="s">
        <v>869</v>
      </c>
      <c r="J6467" t="str">
        <f>"9460135"</f>
        <v>9460135</v>
      </c>
      <c r="K6467">
        <v>2231024011</v>
      </c>
      <c r="L6467">
        <v>2231067658</v>
      </c>
      <c r="M6467" t="s">
        <v>42559</v>
      </c>
      <c r="N6467" t="s">
        <v>40264</v>
      </c>
      <c r="O6467" t="s">
        <v>42560</v>
      </c>
      <c r="P6467">
        <v>35133</v>
      </c>
      <c r="Q6467" t="str">
        <f>"38.894088"</f>
        <v>38.894088</v>
      </c>
      <c r="R6467" t="str">
        <f>"22.448206"</f>
        <v>22.448206</v>
      </c>
      <c r="S6467" t="s">
        <v>26</v>
      </c>
    </row>
    <row r="6468" spans="1:19" x14ac:dyDescent="0.3">
      <c r="A6468" t="s">
        <v>40240</v>
      </c>
      <c r="B6468" t="s">
        <v>42448</v>
      </c>
      <c r="C6468" t="s">
        <v>42564</v>
      </c>
      <c r="D6468" t="s">
        <v>40260</v>
      </c>
      <c r="E6468" t="s">
        <v>41032</v>
      </c>
      <c r="F6468" t="s">
        <v>41140</v>
      </c>
      <c r="G6468" t="s">
        <v>42563</v>
      </c>
      <c r="H6468" t="s">
        <v>868</v>
      </c>
      <c r="I6468" t="s">
        <v>950</v>
      </c>
      <c r="J6468" t="str">
        <f>"9460065"</f>
        <v>9460065</v>
      </c>
      <c r="K6468">
        <v>2232094255</v>
      </c>
      <c r="L6468">
        <v>2232094255</v>
      </c>
      <c r="M6468" t="s">
        <v>42565</v>
      </c>
      <c r="N6468" t="s">
        <v>42566</v>
      </c>
      <c r="O6468" t="s">
        <v>42567</v>
      </c>
      <c r="P6468">
        <v>35010</v>
      </c>
      <c r="Q6468" t="str">
        <f>"39.155585"</f>
        <v>39.155585</v>
      </c>
      <c r="R6468" t="str">
        <f>"22.197300"</f>
        <v>22.197300</v>
      </c>
      <c r="S6468" t="s">
        <v>26</v>
      </c>
    </row>
    <row r="6469" spans="1:19" x14ac:dyDescent="0.3">
      <c r="A6469" t="s">
        <v>40240</v>
      </c>
      <c r="B6469" t="s">
        <v>42448</v>
      </c>
      <c r="C6469" t="s">
        <v>40949</v>
      </c>
      <c r="D6469" t="s">
        <v>40260</v>
      </c>
      <c r="E6469" t="s">
        <v>40922</v>
      </c>
      <c r="F6469" t="s">
        <v>40928</v>
      </c>
      <c r="G6469" t="s">
        <v>40928</v>
      </c>
      <c r="H6469" t="s">
        <v>868</v>
      </c>
      <c r="I6469" t="s">
        <v>869</v>
      </c>
      <c r="J6469" t="str">
        <f>"9460004"</f>
        <v>9460004</v>
      </c>
      <c r="K6469">
        <v>2233022366</v>
      </c>
      <c r="L6469">
        <v>2233089188</v>
      </c>
      <c r="M6469" t="s">
        <v>42571</v>
      </c>
      <c r="N6469" t="s">
        <v>40947</v>
      </c>
      <c r="O6469" t="s">
        <v>42572</v>
      </c>
      <c r="P6469">
        <v>35200</v>
      </c>
      <c r="Q6469" t="str">
        <f>"38.655938"</f>
        <v>38.655938</v>
      </c>
      <c r="R6469" t="str">
        <f>"23.002083"</f>
        <v>23.002083</v>
      </c>
      <c r="S6469" t="s">
        <v>26</v>
      </c>
    </row>
    <row r="6470" spans="1:19" x14ac:dyDescent="0.3">
      <c r="A6470" t="s">
        <v>40240</v>
      </c>
      <c r="B6470" t="s">
        <v>42448</v>
      </c>
      <c r="C6470" t="s">
        <v>42581</v>
      </c>
      <c r="D6470" t="s">
        <v>40260</v>
      </c>
      <c r="E6470" t="s">
        <v>40261</v>
      </c>
      <c r="F6470" t="s">
        <v>40261</v>
      </c>
      <c r="G6470" t="s">
        <v>40261</v>
      </c>
      <c r="H6470" t="s">
        <v>868</v>
      </c>
      <c r="I6470" t="s">
        <v>869</v>
      </c>
      <c r="J6470" t="str">
        <f>"9460088"</f>
        <v>9460088</v>
      </c>
      <c r="K6470">
        <v>2231024412</v>
      </c>
      <c r="L6470">
        <v>2231024412</v>
      </c>
      <c r="M6470" t="s">
        <v>42582</v>
      </c>
      <c r="N6470" t="s">
        <v>42537</v>
      </c>
      <c r="O6470" t="s">
        <v>42583</v>
      </c>
      <c r="P6470">
        <v>35131</v>
      </c>
      <c r="Q6470" t="str">
        <f>"38.907654"</f>
        <v>38.907654</v>
      </c>
      <c r="R6470" t="str">
        <f>"22.428548"</f>
        <v>22.428548</v>
      </c>
      <c r="S6470" t="s">
        <v>26</v>
      </c>
    </row>
    <row r="6471" spans="1:19" x14ac:dyDescent="0.3">
      <c r="A6471" t="s">
        <v>40240</v>
      </c>
      <c r="B6471" t="s">
        <v>42448</v>
      </c>
      <c r="C6471" t="s">
        <v>40896</v>
      </c>
      <c r="D6471" t="s">
        <v>40260</v>
      </c>
      <c r="E6471" t="s">
        <v>40261</v>
      </c>
      <c r="F6471" t="s">
        <v>40261</v>
      </c>
      <c r="G6471" t="s">
        <v>40261</v>
      </c>
      <c r="H6471" t="s">
        <v>868</v>
      </c>
      <c r="I6471" t="s">
        <v>869</v>
      </c>
      <c r="J6471" t="str">
        <f>"9460247"</f>
        <v>9460247</v>
      </c>
      <c r="K6471">
        <v>2231023811</v>
      </c>
      <c r="L6471">
        <v>2231023811</v>
      </c>
      <c r="M6471" t="s">
        <v>42584</v>
      </c>
      <c r="N6471" t="s">
        <v>40264</v>
      </c>
      <c r="O6471" t="s">
        <v>42585</v>
      </c>
      <c r="P6471">
        <v>35100</v>
      </c>
      <c r="Q6471" t="str">
        <f>"38.900626"</f>
        <v>38.900626</v>
      </c>
      <c r="R6471" t="str">
        <f>"22.439754"</f>
        <v>22.439754</v>
      </c>
      <c r="S6471" t="s">
        <v>26</v>
      </c>
    </row>
    <row r="6472" spans="1:19" x14ac:dyDescent="0.3">
      <c r="A6472" t="s">
        <v>40240</v>
      </c>
      <c r="B6472" t="s">
        <v>42448</v>
      </c>
      <c r="C6472" t="s">
        <v>41063</v>
      </c>
      <c r="D6472" t="s">
        <v>40260</v>
      </c>
      <c r="E6472" t="s">
        <v>41038</v>
      </c>
      <c r="F6472" t="s">
        <v>41038</v>
      </c>
      <c r="G6472" t="s">
        <v>41038</v>
      </c>
      <c r="H6472" t="s">
        <v>868</v>
      </c>
      <c r="I6472" t="s">
        <v>869</v>
      </c>
      <c r="J6472" t="str">
        <f>"9460095"</f>
        <v>9460095</v>
      </c>
      <c r="K6472">
        <v>2238022532</v>
      </c>
      <c r="L6472">
        <v>2238022532</v>
      </c>
      <c r="M6472" t="s">
        <v>42596</v>
      </c>
      <c r="N6472" t="s">
        <v>41051</v>
      </c>
      <c r="O6472" t="s">
        <v>42597</v>
      </c>
      <c r="P6472">
        <v>35300</v>
      </c>
      <c r="Q6472" t="str">
        <f>"38.912926"</f>
        <v>38.912926</v>
      </c>
      <c r="R6472" t="str">
        <f>"22.602985"</f>
        <v>22.602985</v>
      </c>
      <c r="S6472" t="s">
        <v>26</v>
      </c>
    </row>
    <row r="6473" spans="1:19" x14ac:dyDescent="0.3">
      <c r="A6473" t="s">
        <v>40240</v>
      </c>
      <c r="B6473" t="s">
        <v>42448</v>
      </c>
      <c r="C6473" t="s">
        <v>42616</v>
      </c>
      <c r="D6473" t="s">
        <v>40260</v>
      </c>
      <c r="E6473" t="s">
        <v>41038</v>
      </c>
      <c r="F6473" t="s">
        <v>41151</v>
      </c>
      <c r="G6473" t="s">
        <v>12709</v>
      </c>
      <c r="H6473" t="s">
        <v>868</v>
      </c>
      <c r="I6473" t="s">
        <v>869</v>
      </c>
      <c r="J6473" t="str">
        <f>"9460124"</f>
        <v>9460124</v>
      </c>
      <c r="K6473">
        <v>2238031407</v>
      </c>
      <c r="L6473">
        <v>2238031407</v>
      </c>
      <c r="M6473" t="s">
        <v>42617</v>
      </c>
      <c r="N6473" t="s">
        <v>41155</v>
      </c>
      <c r="O6473" t="s">
        <v>42618</v>
      </c>
      <c r="P6473">
        <v>35300</v>
      </c>
      <c r="Q6473" t="str">
        <f>"38.888886"</f>
        <v>38.888886</v>
      </c>
      <c r="R6473" t="str">
        <f>"22.783143"</f>
        <v>22.783143</v>
      </c>
      <c r="S6473" t="s">
        <v>26</v>
      </c>
    </row>
    <row r="6474" spans="1:19" x14ac:dyDescent="0.3">
      <c r="A6474" t="s">
        <v>40240</v>
      </c>
      <c r="B6474" t="s">
        <v>42448</v>
      </c>
      <c r="C6474" t="s">
        <v>42619</v>
      </c>
      <c r="D6474" t="s">
        <v>40260</v>
      </c>
      <c r="E6474" t="s">
        <v>41038</v>
      </c>
      <c r="F6474" t="s">
        <v>41151</v>
      </c>
      <c r="G6474" t="s">
        <v>31629</v>
      </c>
      <c r="H6474" t="s">
        <v>868</v>
      </c>
      <c r="I6474" t="s">
        <v>869</v>
      </c>
      <c r="J6474" t="str">
        <f>"9460132"</f>
        <v>9460132</v>
      </c>
      <c r="K6474">
        <v>2238041042</v>
      </c>
      <c r="L6474">
        <v>2238041042</v>
      </c>
      <c r="M6474" t="s">
        <v>42620</v>
      </c>
      <c r="N6474" t="s">
        <v>42621</v>
      </c>
      <c r="O6474" t="s">
        <v>42622</v>
      </c>
      <c r="P6474">
        <v>35300</v>
      </c>
      <c r="Q6474" t="str">
        <f>"38.892556"</f>
        <v>38.892556</v>
      </c>
      <c r="R6474" t="str">
        <f>"22.730650"</f>
        <v>22.730650</v>
      </c>
      <c r="S6474" t="s">
        <v>26</v>
      </c>
    </row>
    <row r="6475" spans="1:19" x14ac:dyDescent="0.3">
      <c r="A6475" t="s">
        <v>40240</v>
      </c>
      <c r="B6475" t="s">
        <v>42448</v>
      </c>
      <c r="C6475" t="s">
        <v>42632</v>
      </c>
      <c r="D6475" t="s">
        <v>40260</v>
      </c>
      <c r="E6475" t="s">
        <v>40922</v>
      </c>
      <c r="F6475" t="s">
        <v>40928</v>
      </c>
      <c r="G6475" t="s">
        <v>42631</v>
      </c>
      <c r="H6475" t="s">
        <v>868</v>
      </c>
      <c r="I6475" t="s">
        <v>950</v>
      </c>
      <c r="J6475" t="str">
        <f>"9460019"</f>
        <v>9460019</v>
      </c>
      <c r="K6475">
        <v>2233095369</v>
      </c>
      <c r="L6475">
        <v>2233095369</v>
      </c>
      <c r="M6475" t="s">
        <v>42633</v>
      </c>
      <c r="N6475" t="s">
        <v>42634</v>
      </c>
      <c r="O6475" t="s">
        <v>42635</v>
      </c>
      <c r="P6475">
        <v>35200</v>
      </c>
      <c r="Q6475" t="str">
        <f>"38.588811"</f>
        <v>38.588811</v>
      </c>
      <c r="R6475" t="str">
        <f>"22.943106"</f>
        <v>22.943106</v>
      </c>
      <c r="S6475" t="s">
        <v>26</v>
      </c>
    </row>
    <row r="6476" spans="1:19" x14ac:dyDescent="0.3">
      <c r="A6476" t="s">
        <v>40240</v>
      </c>
      <c r="B6476" t="s">
        <v>42448</v>
      </c>
      <c r="C6476" t="s">
        <v>42662</v>
      </c>
      <c r="D6476" t="s">
        <v>40260</v>
      </c>
      <c r="E6476" t="s">
        <v>40261</v>
      </c>
      <c r="F6476" t="s">
        <v>40261</v>
      </c>
      <c r="G6476" t="s">
        <v>40261</v>
      </c>
      <c r="H6476" t="s">
        <v>868</v>
      </c>
      <c r="I6476" t="s">
        <v>869</v>
      </c>
      <c r="J6476" t="str">
        <f>"9460136"</f>
        <v>9460136</v>
      </c>
      <c r="K6476">
        <v>2231024454</v>
      </c>
      <c r="L6476">
        <v>2231024454</v>
      </c>
      <c r="M6476" t="s">
        <v>42663</v>
      </c>
      <c r="N6476" t="s">
        <v>42537</v>
      </c>
      <c r="O6476" t="s">
        <v>42664</v>
      </c>
      <c r="P6476">
        <v>35132</v>
      </c>
      <c r="Q6476" t="str">
        <f>"38.890549"</f>
        <v>38.890549</v>
      </c>
      <c r="R6476" t="str">
        <f>"22.432552"</f>
        <v>22.432552</v>
      </c>
      <c r="S6476" t="s">
        <v>26</v>
      </c>
    </row>
    <row r="6477" spans="1:19" x14ac:dyDescent="0.3">
      <c r="A6477" t="s">
        <v>40240</v>
      </c>
      <c r="B6477" t="s">
        <v>42448</v>
      </c>
      <c r="C6477" t="s">
        <v>41159</v>
      </c>
      <c r="D6477" t="s">
        <v>40260</v>
      </c>
      <c r="E6477" t="s">
        <v>40261</v>
      </c>
      <c r="F6477" t="s">
        <v>40261</v>
      </c>
      <c r="G6477" t="s">
        <v>40261</v>
      </c>
      <c r="H6477" t="s">
        <v>868</v>
      </c>
      <c r="I6477" t="s">
        <v>869</v>
      </c>
      <c r="J6477" t="str">
        <f>"9520690"</f>
        <v>9520690</v>
      </c>
      <c r="K6477">
        <v>2231045979</v>
      </c>
      <c r="L6477">
        <v>2231045979</v>
      </c>
      <c r="M6477" t="s">
        <v>42668</v>
      </c>
      <c r="N6477" t="s">
        <v>40264</v>
      </c>
      <c r="O6477" t="s">
        <v>42664</v>
      </c>
      <c r="P6477">
        <v>35132</v>
      </c>
      <c r="Q6477" t="str">
        <f>"38.890791"</f>
        <v>38.890791</v>
      </c>
      <c r="R6477" t="str">
        <f>"22.432466"</f>
        <v>22.432466</v>
      </c>
      <c r="S6477" t="s">
        <v>26</v>
      </c>
    </row>
    <row r="6478" spans="1:19" x14ac:dyDescent="0.3">
      <c r="A6478" t="s">
        <v>40240</v>
      </c>
      <c r="B6478" t="s">
        <v>42448</v>
      </c>
      <c r="C6478" t="s">
        <v>41139</v>
      </c>
      <c r="D6478" t="s">
        <v>40260</v>
      </c>
      <c r="E6478" t="s">
        <v>41003</v>
      </c>
      <c r="F6478" t="s">
        <v>13393</v>
      </c>
      <c r="G6478" t="s">
        <v>41134</v>
      </c>
      <c r="H6478" t="s">
        <v>868</v>
      </c>
      <c r="I6478" t="s">
        <v>869</v>
      </c>
      <c r="J6478" t="str">
        <f>"9460009"</f>
        <v>9460009</v>
      </c>
      <c r="K6478">
        <v>2235031641</v>
      </c>
      <c r="L6478">
        <v>2235031641</v>
      </c>
      <c r="M6478" t="s">
        <v>42683</v>
      </c>
      <c r="N6478" t="s">
        <v>13396</v>
      </c>
      <c r="O6478" t="s">
        <v>42684</v>
      </c>
      <c r="P6478">
        <v>35006</v>
      </c>
      <c r="Q6478" t="str">
        <f>"38.757214"</f>
        <v>38.757214</v>
      </c>
      <c r="R6478" t="str">
        <f>"22.858162"</f>
        <v>22.858162</v>
      </c>
      <c r="S6478" t="s">
        <v>26</v>
      </c>
    </row>
    <row r="6479" spans="1:19" x14ac:dyDescent="0.3">
      <c r="A6479" t="s">
        <v>40240</v>
      </c>
      <c r="B6479" t="s">
        <v>42448</v>
      </c>
      <c r="C6479" t="s">
        <v>41057</v>
      </c>
      <c r="D6479" t="s">
        <v>40260</v>
      </c>
      <c r="E6479" t="s">
        <v>40261</v>
      </c>
      <c r="F6479" t="s">
        <v>40261</v>
      </c>
      <c r="G6479" t="s">
        <v>40261</v>
      </c>
      <c r="H6479" t="s">
        <v>868</v>
      </c>
      <c r="I6479" t="s">
        <v>869</v>
      </c>
      <c r="J6479" t="str">
        <f>"9460093"</f>
        <v>9460093</v>
      </c>
      <c r="K6479">
        <v>2231026312</v>
      </c>
      <c r="L6479">
        <v>2231026312</v>
      </c>
      <c r="M6479" t="s">
        <v>42691</v>
      </c>
      <c r="N6479" t="s">
        <v>42537</v>
      </c>
      <c r="O6479" t="s">
        <v>42692</v>
      </c>
      <c r="P6479">
        <v>35132</v>
      </c>
      <c r="Q6479" t="str">
        <f>"38.890487"</f>
        <v>38.890487</v>
      </c>
      <c r="R6479" t="str">
        <f>"22.409050"</f>
        <v>22.409050</v>
      </c>
      <c r="S6479" t="s">
        <v>26</v>
      </c>
    </row>
    <row r="6480" spans="1:19" x14ac:dyDescent="0.3">
      <c r="A6480" t="s">
        <v>40240</v>
      </c>
      <c r="B6480" t="s">
        <v>42448</v>
      </c>
      <c r="C6480" t="s">
        <v>42694</v>
      </c>
      <c r="D6480" t="s">
        <v>40260</v>
      </c>
      <c r="E6480" t="s">
        <v>41038</v>
      </c>
      <c r="F6480" t="s">
        <v>41039</v>
      </c>
      <c r="G6480" t="s">
        <v>42693</v>
      </c>
      <c r="H6480" t="s">
        <v>868</v>
      </c>
      <c r="I6480" t="s">
        <v>950</v>
      </c>
      <c r="J6480" t="str">
        <f>"9460105"</f>
        <v>9460105</v>
      </c>
      <c r="K6480">
        <v>2238061244</v>
      </c>
      <c r="L6480">
        <v>2238061244</v>
      </c>
      <c r="M6480" t="s">
        <v>42695</v>
      </c>
      <c r="N6480" t="s">
        <v>42696</v>
      </c>
      <c r="O6480" t="s">
        <v>42697</v>
      </c>
      <c r="P6480">
        <v>35013</v>
      </c>
      <c r="Q6480" t="str">
        <f>"38.952825"</f>
        <v>38.952825</v>
      </c>
      <c r="R6480" t="str">
        <f>"22.965543"</f>
        <v>22.965543</v>
      </c>
      <c r="S6480" t="s">
        <v>26</v>
      </c>
    </row>
    <row r="6481" spans="1:19" x14ac:dyDescent="0.3">
      <c r="A6481" t="s">
        <v>40240</v>
      </c>
      <c r="B6481" t="s">
        <v>42448</v>
      </c>
      <c r="C6481" t="s">
        <v>42709</v>
      </c>
      <c r="D6481" t="s">
        <v>40260</v>
      </c>
      <c r="E6481" t="s">
        <v>41003</v>
      </c>
      <c r="F6481" t="s">
        <v>41003</v>
      </c>
      <c r="G6481" t="s">
        <v>42606</v>
      </c>
      <c r="H6481" t="s">
        <v>868</v>
      </c>
      <c r="I6481" t="s">
        <v>950</v>
      </c>
      <c r="J6481" t="str">
        <f>"9460049"</f>
        <v>9460049</v>
      </c>
      <c r="K6481">
        <v>2235061266</v>
      </c>
      <c r="L6481">
        <v>2235061266</v>
      </c>
      <c r="M6481" t="s">
        <v>42710</v>
      </c>
      <c r="N6481" t="s">
        <v>42606</v>
      </c>
      <c r="O6481" t="s">
        <v>42711</v>
      </c>
      <c r="P6481">
        <v>35009</v>
      </c>
      <c r="Q6481" t="str">
        <f>"38.815151"</f>
        <v>38.815151</v>
      </c>
      <c r="R6481" t="str">
        <f>"22.670169"</f>
        <v>22.670169</v>
      </c>
      <c r="S6481" t="s">
        <v>26</v>
      </c>
    </row>
    <row r="6482" spans="1:19" x14ac:dyDescent="0.3">
      <c r="A6482" t="s">
        <v>40240</v>
      </c>
      <c r="B6482" t="s">
        <v>42448</v>
      </c>
      <c r="C6482" t="s">
        <v>41083</v>
      </c>
      <c r="D6482" t="s">
        <v>40260</v>
      </c>
      <c r="E6482" t="s">
        <v>40261</v>
      </c>
      <c r="F6482" t="s">
        <v>40261</v>
      </c>
      <c r="G6482" t="s">
        <v>41078</v>
      </c>
      <c r="H6482" t="s">
        <v>868</v>
      </c>
      <c r="I6482" t="s">
        <v>869</v>
      </c>
      <c r="J6482" t="str">
        <f>"9460126"</f>
        <v>9460126</v>
      </c>
      <c r="K6482">
        <v>2231022859</v>
      </c>
      <c r="L6482">
        <v>2231024062</v>
      </c>
      <c r="M6482" t="s">
        <v>42720</v>
      </c>
      <c r="N6482" t="s">
        <v>41082</v>
      </c>
      <c r="O6482" t="s">
        <v>42721</v>
      </c>
      <c r="P6482">
        <v>35132</v>
      </c>
      <c r="Q6482" t="str">
        <f>"38.886053"</f>
        <v>38.886053</v>
      </c>
      <c r="R6482" t="str">
        <f>"22.462891"</f>
        <v>22.462891</v>
      </c>
      <c r="S6482" t="s">
        <v>26</v>
      </c>
    </row>
    <row r="6483" spans="1:19" x14ac:dyDescent="0.3">
      <c r="A6483" t="s">
        <v>40240</v>
      </c>
      <c r="B6483" t="s">
        <v>42448</v>
      </c>
      <c r="C6483" t="s">
        <v>42729</v>
      </c>
      <c r="D6483" t="s">
        <v>40260</v>
      </c>
      <c r="E6483" t="s">
        <v>40922</v>
      </c>
      <c r="F6483" t="s">
        <v>40928</v>
      </c>
      <c r="G6483" t="s">
        <v>40928</v>
      </c>
      <c r="H6483" t="s">
        <v>868</v>
      </c>
      <c r="I6483" t="s">
        <v>869</v>
      </c>
      <c r="J6483" t="str">
        <f>"9460005"</f>
        <v>9460005</v>
      </c>
      <c r="K6483">
        <v>2233022432</v>
      </c>
      <c r="L6483">
        <v>2233023953</v>
      </c>
      <c r="M6483" t="s">
        <v>42730</v>
      </c>
      <c r="N6483" t="s">
        <v>40947</v>
      </c>
      <c r="O6483" t="s">
        <v>42731</v>
      </c>
      <c r="P6483">
        <v>35200</v>
      </c>
      <c r="Q6483" t="str">
        <f>"38.656777"</f>
        <v>38.656777</v>
      </c>
      <c r="R6483" t="str">
        <f>"22.990018"</f>
        <v>22.990018</v>
      </c>
      <c r="S6483" t="s">
        <v>26</v>
      </c>
    </row>
    <row r="6484" spans="1:19" x14ac:dyDescent="0.3">
      <c r="A6484" t="s">
        <v>40240</v>
      </c>
      <c r="B6484" t="s">
        <v>42448</v>
      </c>
      <c r="C6484" t="s">
        <v>40944</v>
      </c>
      <c r="D6484" t="s">
        <v>40260</v>
      </c>
      <c r="E6484" t="s">
        <v>40261</v>
      </c>
      <c r="F6484" t="s">
        <v>40261</v>
      </c>
      <c r="G6484" t="s">
        <v>40261</v>
      </c>
      <c r="H6484" t="s">
        <v>868</v>
      </c>
      <c r="I6484" t="s">
        <v>869</v>
      </c>
      <c r="J6484" t="str">
        <f>"9460089"</f>
        <v>9460089</v>
      </c>
      <c r="K6484">
        <v>2231026783</v>
      </c>
      <c r="L6484">
        <v>2231026783</v>
      </c>
      <c r="M6484" t="s">
        <v>42753</v>
      </c>
      <c r="N6484" t="s">
        <v>40264</v>
      </c>
      <c r="O6484" t="s">
        <v>42516</v>
      </c>
      <c r="P6484">
        <v>35131</v>
      </c>
      <c r="Q6484" t="str">
        <f>"38.916892"</f>
        <v>38.916892</v>
      </c>
      <c r="R6484" t="str">
        <f>"22.428048"</f>
        <v>22.428048</v>
      </c>
      <c r="S6484" t="s">
        <v>26</v>
      </c>
    </row>
    <row r="6485" spans="1:19" x14ac:dyDescent="0.3">
      <c r="A6485" t="s">
        <v>40240</v>
      </c>
      <c r="B6485" t="s">
        <v>42448</v>
      </c>
      <c r="C6485" t="s">
        <v>41016</v>
      </c>
      <c r="D6485" t="s">
        <v>40260</v>
      </c>
      <c r="E6485" t="s">
        <v>40922</v>
      </c>
      <c r="F6485" t="s">
        <v>41010</v>
      </c>
      <c r="G6485" t="s">
        <v>41011</v>
      </c>
      <c r="H6485" t="s">
        <v>868</v>
      </c>
      <c r="I6485" t="s">
        <v>869</v>
      </c>
      <c r="J6485" t="str">
        <f>"9460033"</f>
        <v>9460033</v>
      </c>
      <c r="K6485">
        <v>2233031295</v>
      </c>
      <c r="L6485">
        <v>2233031255</v>
      </c>
      <c r="M6485" t="s">
        <v>42754</v>
      </c>
      <c r="N6485" t="s">
        <v>41014</v>
      </c>
      <c r="O6485" t="s">
        <v>41150</v>
      </c>
      <c r="P6485">
        <v>35007</v>
      </c>
      <c r="Q6485" t="str">
        <f>"38.723398"</f>
        <v>38.723398</v>
      </c>
      <c r="R6485" t="str">
        <f>"23.046882"</f>
        <v>23.046882</v>
      </c>
      <c r="S6485" t="s">
        <v>26</v>
      </c>
    </row>
    <row r="6486" spans="1:19" x14ac:dyDescent="0.3">
      <c r="A6486" t="s">
        <v>40240</v>
      </c>
      <c r="B6486" t="s">
        <v>42448</v>
      </c>
      <c r="C6486" t="s">
        <v>42772</v>
      </c>
      <c r="D6486" t="s">
        <v>40260</v>
      </c>
      <c r="E6486" t="s">
        <v>41003</v>
      </c>
      <c r="F6486" t="s">
        <v>41003</v>
      </c>
      <c r="G6486" t="s">
        <v>13853</v>
      </c>
      <c r="H6486" t="s">
        <v>868</v>
      </c>
      <c r="I6486" t="s">
        <v>869</v>
      </c>
      <c r="J6486" t="str">
        <f>"9460021"</f>
        <v>9460021</v>
      </c>
      <c r="K6486">
        <v>2235041320</v>
      </c>
      <c r="L6486">
        <v>2235041320</v>
      </c>
      <c r="M6486" t="s">
        <v>42773</v>
      </c>
      <c r="N6486" t="s">
        <v>13856</v>
      </c>
      <c r="O6486" t="s">
        <v>13856</v>
      </c>
      <c r="P6486">
        <v>35009</v>
      </c>
      <c r="Q6486" t="str">
        <f>"38.789640"</f>
        <v>38.789640</v>
      </c>
      <c r="R6486" t="str">
        <f>"22.723266"</f>
        <v>22.723266</v>
      </c>
      <c r="S6486" t="s">
        <v>26</v>
      </c>
    </row>
    <row r="6487" spans="1:19" x14ac:dyDescent="0.3">
      <c r="A6487" t="s">
        <v>40240</v>
      </c>
      <c r="B6487" t="s">
        <v>42448</v>
      </c>
      <c r="C6487" t="s">
        <v>40971</v>
      </c>
      <c r="D6487" t="s">
        <v>40260</v>
      </c>
      <c r="E6487" t="s">
        <v>40261</v>
      </c>
      <c r="F6487" t="s">
        <v>40261</v>
      </c>
      <c r="G6487" t="s">
        <v>40261</v>
      </c>
      <c r="H6487" t="s">
        <v>868</v>
      </c>
      <c r="I6487" t="s">
        <v>869</v>
      </c>
      <c r="J6487" t="str">
        <f>"9460215"</f>
        <v>9460215</v>
      </c>
      <c r="K6487">
        <v>2231023814</v>
      </c>
      <c r="L6487">
        <v>2231023814</v>
      </c>
      <c r="M6487" t="s">
        <v>42777</v>
      </c>
      <c r="N6487" t="s">
        <v>40264</v>
      </c>
      <c r="O6487" t="s">
        <v>42778</v>
      </c>
      <c r="P6487">
        <v>35131</v>
      </c>
      <c r="Q6487" t="str">
        <f>"38.911900"</f>
        <v>38.911900</v>
      </c>
      <c r="R6487" t="str">
        <f>"22.428314"</f>
        <v>22.428314</v>
      </c>
      <c r="S6487" t="s">
        <v>26</v>
      </c>
    </row>
    <row r="6488" spans="1:19" x14ac:dyDescent="0.3">
      <c r="A6488" t="s">
        <v>40240</v>
      </c>
      <c r="B6488" t="s">
        <v>42448</v>
      </c>
      <c r="C6488" t="s">
        <v>40915</v>
      </c>
      <c r="D6488" t="s">
        <v>40260</v>
      </c>
      <c r="E6488" t="s">
        <v>40897</v>
      </c>
      <c r="F6488" t="s">
        <v>40910</v>
      </c>
      <c r="G6488" t="s">
        <v>40910</v>
      </c>
      <c r="H6488" t="s">
        <v>868</v>
      </c>
      <c r="I6488" t="s">
        <v>869</v>
      </c>
      <c r="J6488" t="str">
        <f>"9460018"</f>
        <v>9460018</v>
      </c>
      <c r="K6488">
        <v>2234031392</v>
      </c>
      <c r="L6488">
        <v>2234031392</v>
      </c>
      <c r="M6488" t="s">
        <v>42782</v>
      </c>
      <c r="N6488" t="s">
        <v>42783</v>
      </c>
      <c r="O6488" t="s">
        <v>41001</v>
      </c>
      <c r="P6488">
        <v>35004</v>
      </c>
      <c r="Q6488" t="str">
        <f>"38.627861"</f>
        <v>38.627861</v>
      </c>
      <c r="R6488" t="str">
        <f>"22.766034"</f>
        <v>22.766034</v>
      </c>
      <c r="S6488" t="s">
        <v>26</v>
      </c>
    </row>
    <row r="6489" spans="1:19" x14ac:dyDescent="0.3">
      <c r="A6489" t="s">
        <v>40240</v>
      </c>
      <c r="B6489" t="s">
        <v>42448</v>
      </c>
      <c r="C6489" t="s">
        <v>40921</v>
      </c>
      <c r="D6489" t="s">
        <v>40260</v>
      </c>
      <c r="E6489" t="s">
        <v>40261</v>
      </c>
      <c r="F6489" t="s">
        <v>40916</v>
      </c>
      <c r="G6489" t="s">
        <v>31139</v>
      </c>
      <c r="H6489" t="s">
        <v>868</v>
      </c>
      <c r="I6489" t="s">
        <v>869</v>
      </c>
      <c r="J6489" t="str">
        <f>"9460185"</f>
        <v>9460185</v>
      </c>
      <c r="K6489">
        <v>2231081408</v>
      </c>
      <c r="L6489">
        <v>2231081408</v>
      </c>
      <c r="M6489" t="s">
        <v>42784</v>
      </c>
      <c r="N6489" t="s">
        <v>42785</v>
      </c>
      <c r="O6489" t="s">
        <v>40920</v>
      </c>
      <c r="P6489">
        <v>35100</v>
      </c>
      <c r="Q6489" t="str">
        <f>"38.827397"</f>
        <v>38.827397</v>
      </c>
      <c r="R6489" t="str">
        <f>"22.443816"</f>
        <v>22.443816</v>
      </c>
      <c r="S6489" t="s">
        <v>26</v>
      </c>
    </row>
    <row r="6490" spans="1:19" x14ac:dyDescent="0.3">
      <c r="A6490" t="s">
        <v>40240</v>
      </c>
      <c r="B6490" t="s">
        <v>42448</v>
      </c>
      <c r="C6490" t="s">
        <v>42790</v>
      </c>
      <c r="D6490" t="s">
        <v>40260</v>
      </c>
      <c r="E6490" t="s">
        <v>40261</v>
      </c>
      <c r="F6490" t="s">
        <v>40261</v>
      </c>
      <c r="G6490" t="s">
        <v>40261</v>
      </c>
      <c r="H6490" t="s">
        <v>868</v>
      </c>
      <c r="I6490" t="s">
        <v>869</v>
      </c>
      <c r="J6490" t="str">
        <f>"9521023"</f>
        <v>9521023</v>
      </c>
      <c r="K6490">
        <v>2231022795</v>
      </c>
      <c r="L6490">
        <v>2231022795</v>
      </c>
      <c r="M6490" t="s">
        <v>42791</v>
      </c>
      <c r="N6490" t="s">
        <v>40264</v>
      </c>
      <c r="O6490" t="s">
        <v>42792</v>
      </c>
      <c r="P6490">
        <v>35131</v>
      </c>
      <c r="Q6490" t="str">
        <f>"38.918465"</f>
        <v>38.918465</v>
      </c>
      <c r="R6490" t="str">
        <f>"22.425780"</f>
        <v>22.425780</v>
      </c>
      <c r="S6490" t="s">
        <v>26</v>
      </c>
    </row>
    <row r="6491" spans="1:19" x14ac:dyDescent="0.3">
      <c r="A6491" t="s">
        <v>40240</v>
      </c>
      <c r="B6491" t="s">
        <v>42448</v>
      </c>
      <c r="C6491" t="s">
        <v>40940</v>
      </c>
      <c r="D6491" t="s">
        <v>40260</v>
      </c>
      <c r="E6491" t="s">
        <v>40904</v>
      </c>
      <c r="F6491" t="s">
        <v>40904</v>
      </c>
      <c r="G6491" t="s">
        <v>40904</v>
      </c>
      <c r="H6491" t="s">
        <v>868</v>
      </c>
      <c r="I6491" t="s">
        <v>869</v>
      </c>
      <c r="J6491" t="str">
        <f>"9460176"</f>
        <v>9460176</v>
      </c>
      <c r="K6491">
        <v>2236022213</v>
      </c>
      <c r="L6491">
        <v>2236023919</v>
      </c>
      <c r="M6491" t="s">
        <v>42801</v>
      </c>
      <c r="N6491" t="s">
        <v>40958</v>
      </c>
      <c r="O6491" t="s">
        <v>40939</v>
      </c>
      <c r="P6491">
        <v>35011</v>
      </c>
      <c r="Q6491" t="str">
        <f>"38.941571"</f>
        <v>38.941571</v>
      </c>
      <c r="R6491" t="str">
        <f>"22.115364"</f>
        <v>22.115364</v>
      </c>
      <c r="S6491" t="s">
        <v>26</v>
      </c>
    </row>
    <row r="6492" spans="1:19" x14ac:dyDescent="0.3">
      <c r="A6492" t="s">
        <v>40240</v>
      </c>
      <c r="B6492" t="s">
        <v>42448</v>
      </c>
      <c r="C6492" t="s">
        <v>42802</v>
      </c>
      <c r="D6492" t="s">
        <v>40260</v>
      </c>
      <c r="E6492" t="s">
        <v>40261</v>
      </c>
      <c r="F6492" t="s">
        <v>40261</v>
      </c>
      <c r="G6492" t="s">
        <v>40261</v>
      </c>
      <c r="H6492" t="s">
        <v>868</v>
      </c>
      <c r="I6492" t="s">
        <v>869</v>
      </c>
      <c r="J6492" t="str">
        <f>"9460274"</f>
        <v>9460274</v>
      </c>
      <c r="K6492">
        <v>2231069013</v>
      </c>
      <c r="L6492">
        <v>2231069013</v>
      </c>
      <c r="M6492" t="s">
        <v>42803</v>
      </c>
      <c r="N6492" t="s">
        <v>40264</v>
      </c>
      <c r="O6492" t="s">
        <v>42804</v>
      </c>
      <c r="P6492">
        <v>35100</v>
      </c>
      <c r="Q6492" t="str">
        <f>"38.923819"</f>
        <v>38.923819</v>
      </c>
      <c r="R6492" t="str">
        <f>"22.411124"</f>
        <v>22.411124</v>
      </c>
      <c r="S6492" t="s">
        <v>26</v>
      </c>
    </row>
    <row r="6493" spans="1:19" x14ac:dyDescent="0.3">
      <c r="A6493" t="s">
        <v>40240</v>
      </c>
      <c r="B6493" t="s">
        <v>42448</v>
      </c>
      <c r="C6493" t="s">
        <v>42805</v>
      </c>
      <c r="D6493" t="s">
        <v>40260</v>
      </c>
      <c r="E6493" t="s">
        <v>40261</v>
      </c>
      <c r="F6493" t="s">
        <v>40261</v>
      </c>
      <c r="G6493" t="s">
        <v>42545</v>
      </c>
      <c r="H6493" t="s">
        <v>868</v>
      </c>
      <c r="I6493" t="s">
        <v>869</v>
      </c>
      <c r="J6493" t="str">
        <f>"9460146"</f>
        <v>9460146</v>
      </c>
      <c r="K6493">
        <v>2231093310</v>
      </c>
      <c r="L6493">
        <v>2231093058</v>
      </c>
      <c r="M6493" t="s">
        <v>42806</v>
      </c>
      <c r="N6493" t="s">
        <v>42807</v>
      </c>
      <c r="O6493" t="s">
        <v>42807</v>
      </c>
      <c r="P6493">
        <v>35014</v>
      </c>
      <c r="Q6493" t="str">
        <f>"38.895523"</f>
        <v>38.895523</v>
      </c>
      <c r="R6493" t="str">
        <f>"22.441170"</f>
        <v>22.441170</v>
      </c>
      <c r="S6493" t="s">
        <v>26</v>
      </c>
    </row>
    <row r="6494" spans="1:19" x14ac:dyDescent="0.3">
      <c r="A6494" t="s">
        <v>40240</v>
      </c>
      <c r="B6494" t="s">
        <v>42448</v>
      </c>
      <c r="C6494" t="s">
        <v>40909</v>
      </c>
      <c r="D6494" t="s">
        <v>40260</v>
      </c>
      <c r="E6494" t="s">
        <v>40904</v>
      </c>
      <c r="F6494" t="s">
        <v>40905</v>
      </c>
      <c r="G6494" t="s">
        <v>40905</v>
      </c>
      <c r="H6494" t="s">
        <v>868</v>
      </c>
      <c r="I6494" t="s">
        <v>869</v>
      </c>
      <c r="J6494" t="str">
        <f>"9460204"</f>
        <v>9460204</v>
      </c>
      <c r="K6494">
        <v>2236044494</v>
      </c>
      <c r="M6494" t="s">
        <v>42808</v>
      </c>
      <c r="N6494" t="s">
        <v>42809</v>
      </c>
      <c r="O6494" t="s">
        <v>42810</v>
      </c>
      <c r="P6494">
        <v>35003</v>
      </c>
      <c r="Q6494" t="str">
        <f>"38.909501"</f>
        <v>38.909501</v>
      </c>
      <c r="R6494" t="str">
        <f>"22.125662"</f>
        <v>22.125662</v>
      </c>
      <c r="S6494" t="s">
        <v>26</v>
      </c>
    </row>
    <row r="6495" spans="1:19" x14ac:dyDescent="0.3">
      <c r="A6495" t="s">
        <v>40240</v>
      </c>
      <c r="B6495" t="s">
        <v>42448</v>
      </c>
      <c r="C6495" t="s">
        <v>42811</v>
      </c>
      <c r="D6495" t="s">
        <v>40260</v>
      </c>
      <c r="E6495" t="s">
        <v>40904</v>
      </c>
      <c r="F6495" t="s">
        <v>40905</v>
      </c>
      <c r="G6495" t="s">
        <v>24003</v>
      </c>
      <c r="H6495" t="s">
        <v>868</v>
      </c>
      <c r="I6495" t="s">
        <v>950</v>
      </c>
      <c r="J6495" t="str">
        <f>"9460174"</f>
        <v>9460174</v>
      </c>
      <c r="K6495">
        <v>2236092666</v>
      </c>
      <c r="L6495">
        <v>2236092666</v>
      </c>
      <c r="M6495" t="s">
        <v>42812</v>
      </c>
      <c r="N6495" t="s">
        <v>24006</v>
      </c>
      <c r="O6495" t="s">
        <v>42813</v>
      </c>
      <c r="P6495">
        <v>35003</v>
      </c>
      <c r="Q6495" t="str">
        <f>"38.908660"</f>
        <v>38.908660</v>
      </c>
      <c r="R6495" t="str">
        <f>"21.997503"</f>
        <v>21.997503</v>
      </c>
      <c r="S6495" t="s">
        <v>26</v>
      </c>
    </row>
    <row r="6496" spans="1:19" x14ac:dyDescent="0.3">
      <c r="A6496" t="s">
        <v>40240</v>
      </c>
      <c r="B6496" t="s">
        <v>42448</v>
      </c>
      <c r="C6496" t="s">
        <v>42815</v>
      </c>
      <c r="D6496" t="s">
        <v>40260</v>
      </c>
      <c r="E6496" t="s">
        <v>40261</v>
      </c>
      <c r="F6496" t="s">
        <v>40975</v>
      </c>
      <c r="G6496" t="s">
        <v>42814</v>
      </c>
      <c r="H6496" t="s">
        <v>868</v>
      </c>
      <c r="I6496" t="s">
        <v>869</v>
      </c>
      <c r="J6496" t="str">
        <f>"9460170"</f>
        <v>9460170</v>
      </c>
      <c r="K6496">
        <v>2231096351</v>
      </c>
      <c r="L6496">
        <v>2231096351</v>
      </c>
      <c r="M6496" t="s">
        <v>42816</v>
      </c>
      <c r="N6496" t="s">
        <v>42817</v>
      </c>
      <c r="O6496" t="s">
        <v>42818</v>
      </c>
      <c r="P6496">
        <v>35100</v>
      </c>
      <c r="Q6496" t="str">
        <f>"38.866978"</f>
        <v>38.866978</v>
      </c>
      <c r="R6496" t="str">
        <f>"22.350743"</f>
        <v>22.350743</v>
      </c>
      <c r="S6496" t="s">
        <v>26</v>
      </c>
    </row>
    <row r="6497" spans="1:19" x14ac:dyDescent="0.3">
      <c r="A6497" t="s">
        <v>40240</v>
      </c>
      <c r="B6497" t="s">
        <v>42448</v>
      </c>
      <c r="C6497" t="s">
        <v>42819</v>
      </c>
      <c r="D6497" t="s">
        <v>40260</v>
      </c>
      <c r="E6497" t="s">
        <v>40261</v>
      </c>
      <c r="F6497" t="s">
        <v>40261</v>
      </c>
      <c r="G6497" t="s">
        <v>152</v>
      </c>
      <c r="H6497" t="s">
        <v>868</v>
      </c>
      <c r="I6497" t="s">
        <v>869</v>
      </c>
      <c r="J6497" t="str">
        <f>"9460127"</f>
        <v>9460127</v>
      </c>
      <c r="K6497">
        <v>2231033392</v>
      </c>
      <c r="L6497">
        <v>2231033392</v>
      </c>
      <c r="M6497" t="s">
        <v>42820</v>
      </c>
      <c r="N6497" t="s">
        <v>40264</v>
      </c>
      <c r="O6497" t="s">
        <v>42703</v>
      </c>
      <c r="P6497">
        <v>35100</v>
      </c>
      <c r="Q6497" t="str">
        <f>"38.900835"</f>
        <v>38.900835</v>
      </c>
      <c r="R6497" t="str">
        <f>"22.489951"</f>
        <v>22.489951</v>
      </c>
      <c r="S6497" t="s">
        <v>26</v>
      </c>
    </row>
    <row r="6498" spans="1:19" x14ac:dyDescent="0.3">
      <c r="A6498" t="s">
        <v>40240</v>
      </c>
      <c r="B6498" t="s">
        <v>42448</v>
      </c>
      <c r="C6498" t="s">
        <v>41121</v>
      </c>
      <c r="D6498" t="s">
        <v>40260</v>
      </c>
      <c r="E6498" t="s">
        <v>40261</v>
      </c>
      <c r="F6498" t="s">
        <v>40261</v>
      </c>
      <c r="G6498" t="s">
        <v>40261</v>
      </c>
      <c r="H6498" t="s">
        <v>868</v>
      </c>
      <c r="I6498" t="s">
        <v>869</v>
      </c>
      <c r="J6498" t="str">
        <f>"9460138"</f>
        <v>9460138</v>
      </c>
      <c r="K6498">
        <v>2231024433</v>
      </c>
      <c r="L6498">
        <v>2231024474</v>
      </c>
      <c r="M6498" t="s">
        <v>42821</v>
      </c>
      <c r="N6498" t="s">
        <v>40264</v>
      </c>
      <c r="O6498" t="s">
        <v>42822</v>
      </c>
      <c r="P6498">
        <v>35100</v>
      </c>
      <c r="Q6498" t="str">
        <f>"38.888346"</f>
        <v>38.888346</v>
      </c>
      <c r="R6498" t="str">
        <f>"22.435306"</f>
        <v>22.435306</v>
      </c>
      <c r="S6498" t="s">
        <v>26</v>
      </c>
    </row>
    <row r="6499" spans="1:19" x14ac:dyDescent="0.3">
      <c r="A6499" t="s">
        <v>40240</v>
      </c>
      <c r="B6499" t="s">
        <v>42448</v>
      </c>
      <c r="C6499" t="s">
        <v>40980</v>
      </c>
      <c r="D6499" t="s">
        <v>40260</v>
      </c>
      <c r="E6499" t="s">
        <v>40261</v>
      </c>
      <c r="F6499" t="s">
        <v>40975</v>
      </c>
      <c r="G6499" t="s">
        <v>42601</v>
      </c>
      <c r="H6499" t="s">
        <v>868</v>
      </c>
      <c r="I6499" t="s">
        <v>869</v>
      </c>
      <c r="J6499" t="str">
        <f>"9460210"</f>
        <v>9460210</v>
      </c>
      <c r="K6499">
        <v>2231059116</v>
      </c>
      <c r="L6499">
        <v>2231059121</v>
      </c>
      <c r="M6499" t="s">
        <v>42823</v>
      </c>
      <c r="N6499" t="s">
        <v>42824</v>
      </c>
      <c r="O6499" t="s">
        <v>42605</v>
      </c>
      <c r="P6499">
        <v>35016</v>
      </c>
      <c r="Q6499" t="str">
        <f>"38.893284"</f>
        <v>38.893284</v>
      </c>
      <c r="R6499" t="str">
        <f>"22.276422"</f>
        <v>22.276422</v>
      </c>
      <c r="S6499" t="s">
        <v>26</v>
      </c>
    </row>
    <row r="6500" spans="1:19" x14ac:dyDescent="0.3">
      <c r="A6500" t="s">
        <v>40240</v>
      </c>
      <c r="B6500" t="s">
        <v>42448</v>
      </c>
      <c r="C6500" t="s">
        <v>42825</v>
      </c>
      <c r="D6500" t="s">
        <v>40260</v>
      </c>
      <c r="E6500" t="s">
        <v>40904</v>
      </c>
      <c r="F6500" t="s">
        <v>40905</v>
      </c>
      <c r="G6500" t="s">
        <v>40905</v>
      </c>
      <c r="H6500" t="s">
        <v>868</v>
      </c>
      <c r="I6500" t="s">
        <v>869</v>
      </c>
      <c r="J6500" t="str">
        <f>"9460205"</f>
        <v>9460205</v>
      </c>
      <c r="K6500">
        <v>2236045051</v>
      </c>
      <c r="L6500">
        <v>2236045051</v>
      </c>
      <c r="M6500" t="s">
        <v>42826</v>
      </c>
      <c r="N6500" t="s">
        <v>42809</v>
      </c>
      <c r="O6500" t="s">
        <v>42661</v>
      </c>
      <c r="P6500">
        <v>35003</v>
      </c>
      <c r="Q6500" t="str">
        <f>"38.905867"</f>
        <v>38.905867</v>
      </c>
      <c r="R6500" t="str">
        <f>"22.128817"</f>
        <v>22.128817</v>
      </c>
      <c r="S6500" t="s">
        <v>26</v>
      </c>
    </row>
    <row r="6501" spans="1:19" x14ac:dyDescent="0.3">
      <c r="A6501" t="s">
        <v>40240</v>
      </c>
      <c r="B6501" t="s">
        <v>42448</v>
      </c>
      <c r="C6501" t="s">
        <v>41100</v>
      </c>
      <c r="D6501" t="s">
        <v>40260</v>
      </c>
      <c r="E6501" t="s">
        <v>41032</v>
      </c>
      <c r="F6501" t="s">
        <v>41094</v>
      </c>
      <c r="G6501" t="s">
        <v>41095</v>
      </c>
      <c r="H6501" t="s">
        <v>868</v>
      </c>
      <c r="I6501" t="s">
        <v>869</v>
      </c>
      <c r="J6501" t="str">
        <f>"9460077"</f>
        <v>9460077</v>
      </c>
      <c r="K6501">
        <v>6947185962</v>
      </c>
      <c r="L6501">
        <v>2232031242</v>
      </c>
      <c r="M6501" t="s">
        <v>42827</v>
      </c>
      <c r="N6501" t="s">
        <v>41099</v>
      </c>
      <c r="O6501" t="s">
        <v>42828</v>
      </c>
      <c r="P6501">
        <v>35010</v>
      </c>
      <c r="Q6501" t="str">
        <f>"39.100805"</f>
        <v>39.100805</v>
      </c>
      <c r="R6501" t="str">
        <f>"22.266654"</f>
        <v>22.266654</v>
      </c>
      <c r="S6501" t="s">
        <v>26</v>
      </c>
    </row>
    <row r="6502" spans="1:19" x14ac:dyDescent="0.3">
      <c r="A6502" t="s">
        <v>40240</v>
      </c>
      <c r="B6502" t="s">
        <v>42448</v>
      </c>
      <c r="C6502" t="s">
        <v>42838</v>
      </c>
      <c r="D6502" t="s">
        <v>40260</v>
      </c>
      <c r="E6502" t="s">
        <v>40922</v>
      </c>
      <c r="F6502" t="s">
        <v>40928</v>
      </c>
      <c r="G6502" t="s">
        <v>40928</v>
      </c>
      <c r="H6502" t="s">
        <v>868</v>
      </c>
      <c r="I6502" t="s">
        <v>1157</v>
      </c>
      <c r="J6502" t="str">
        <f>"9521036"</f>
        <v>9521036</v>
      </c>
      <c r="K6502">
        <v>2233022432</v>
      </c>
      <c r="L6502">
        <v>2233023953</v>
      </c>
      <c r="M6502" t="s">
        <v>42839</v>
      </c>
      <c r="N6502" t="s">
        <v>40947</v>
      </c>
      <c r="O6502" t="s">
        <v>42840</v>
      </c>
      <c r="P6502">
        <v>35200</v>
      </c>
      <c r="Q6502" t="str">
        <f>"38.656592"</f>
        <v>38.656592</v>
      </c>
      <c r="R6502" t="str">
        <f>"22.989916"</f>
        <v>22.989916</v>
      </c>
      <c r="S6502" t="s">
        <v>26</v>
      </c>
    </row>
    <row r="6503" spans="1:19" x14ac:dyDescent="0.3">
      <c r="A6503" t="s">
        <v>40240</v>
      </c>
      <c r="B6503" t="s">
        <v>42448</v>
      </c>
      <c r="C6503" t="s">
        <v>42844</v>
      </c>
      <c r="D6503" t="s">
        <v>40260</v>
      </c>
      <c r="E6503" t="s">
        <v>40904</v>
      </c>
      <c r="F6503" t="s">
        <v>40904</v>
      </c>
      <c r="G6503" t="s">
        <v>19876</v>
      </c>
      <c r="H6503" t="s">
        <v>868</v>
      </c>
      <c r="I6503" t="s">
        <v>950</v>
      </c>
      <c r="J6503" t="str">
        <f>"9460109"</f>
        <v>9460109</v>
      </c>
      <c r="K6503">
        <v>2236051228</v>
      </c>
      <c r="L6503">
        <v>2236051228</v>
      </c>
      <c r="M6503" t="s">
        <v>42845</v>
      </c>
      <c r="N6503" t="s">
        <v>19879</v>
      </c>
      <c r="O6503" t="s">
        <v>42846</v>
      </c>
      <c r="P6503">
        <v>35011</v>
      </c>
      <c r="Q6503" t="str">
        <f>"38.946057"</f>
        <v>38.946057</v>
      </c>
      <c r="R6503" t="str">
        <f>"22.202103"</f>
        <v>22.202103</v>
      </c>
      <c r="S6503" t="s">
        <v>26</v>
      </c>
    </row>
    <row r="6504" spans="1:19" x14ac:dyDescent="0.3">
      <c r="A6504" t="s">
        <v>40240</v>
      </c>
      <c r="B6504" t="s">
        <v>42448</v>
      </c>
      <c r="C6504" t="s">
        <v>42849</v>
      </c>
      <c r="D6504" t="s">
        <v>40260</v>
      </c>
      <c r="E6504" t="s">
        <v>40904</v>
      </c>
      <c r="F6504" t="s">
        <v>42847</v>
      </c>
      <c r="G6504" t="s">
        <v>42848</v>
      </c>
      <c r="H6504" t="s">
        <v>868</v>
      </c>
      <c r="I6504" t="s">
        <v>950</v>
      </c>
      <c r="J6504" t="str">
        <f>"9460141"</f>
        <v>9460141</v>
      </c>
      <c r="K6504">
        <v>2236031292</v>
      </c>
      <c r="L6504">
        <v>2236031292</v>
      </c>
      <c r="M6504" t="s">
        <v>42850</v>
      </c>
      <c r="N6504" t="s">
        <v>12409</v>
      </c>
      <c r="O6504" t="s">
        <v>12409</v>
      </c>
      <c r="P6504">
        <v>35017</v>
      </c>
      <c r="Q6504" t="str">
        <f>"38.945259"</f>
        <v>38.945259</v>
      </c>
      <c r="R6504" t="str">
        <f>"21.958891"</f>
        <v>21.958891</v>
      </c>
      <c r="S6504" t="s">
        <v>26</v>
      </c>
    </row>
    <row r="6505" spans="1:19" x14ac:dyDescent="0.3">
      <c r="A6505" t="s">
        <v>40240</v>
      </c>
      <c r="B6505" t="s">
        <v>42855</v>
      </c>
      <c r="C6505" t="s">
        <v>41192</v>
      </c>
      <c r="D6505" t="s">
        <v>40266</v>
      </c>
      <c r="E6505" t="s">
        <v>40267</v>
      </c>
      <c r="F6505" t="s">
        <v>40268</v>
      </c>
      <c r="G6505" t="s">
        <v>40268</v>
      </c>
      <c r="H6505" t="s">
        <v>868</v>
      </c>
      <c r="I6505" t="s">
        <v>869</v>
      </c>
      <c r="J6505" t="str">
        <f>"9480052"</f>
        <v>9480052</v>
      </c>
      <c r="K6505">
        <v>2265028392</v>
      </c>
      <c r="M6505" t="s">
        <v>42869</v>
      </c>
      <c r="N6505" t="s">
        <v>40271</v>
      </c>
      <c r="O6505" t="s">
        <v>42870</v>
      </c>
      <c r="P6505">
        <v>33100</v>
      </c>
      <c r="Q6505" t="str">
        <f>"38.528328"</f>
        <v>38.528328</v>
      </c>
      <c r="R6505" t="str">
        <f>"22.379179"</f>
        <v>22.379179</v>
      </c>
      <c r="S6505" t="s">
        <v>26</v>
      </c>
    </row>
    <row r="6506" spans="1:19" x14ac:dyDescent="0.3">
      <c r="A6506" t="s">
        <v>40240</v>
      </c>
      <c r="B6506" t="s">
        <v>42855</v>
      </c>
      <c r="C6506" t="s">
        <v>41188</v>
      </c>
      <c r="D6506" t="s">
        <v>40266</v>
      </c>
      <c r="E6506" t="s">
        <v>40267</v>
      </c>
      <c r="F6506" t="s">
        <v>41183</v>
      </c>
      <c r="G6506" t="s">
        <v>41183</v>
      </c>
      <c r="H6506" t="s">
        <v>868</v>
      </c>
      <c r="I6506" t="s">
        <v>869</v>
      </c>
      <c r="J6506" t="str">
        <f>"9480064"</f>
        <v>9480064</v>
      </c>
      <c r="K6506">
        <v>2265041362</v>
      </c>
      <c r="L6506">
        <v>2265041362</v>
      </c>
      <c r="M6506" t="s">
        <v>42871</v>
      </c>
      <c r="N6506" t="s">
        <v>42872</v>
      </c>
      <c r="O6506" t="s">
        <v>42873</v>
      </c>
      <c r="P6506">
        <v>33200</v>
      </c>
      <c r="Q6506" t="str">
        <f>"38.375045"</f>
        <v>38.375045</v>
      </c>
      <c r="R6506" t="str">
        <f>"22.380951"</f>
        <v>22.380951</v>
      </c>
      <c r="S6506" t="s">
        <v>26</v>
      </c>
    </row>
    <row r="6507" spans="1:19" x14ac:dyDescent="0.3">
      <c r="A6507" t="s">
        <v>40240</v>
      </c>
      <c r="B6507" t="s">
        <v>42855</v>
      </c>
      <c r="C6507" t="s">
        <v>41208</v>
      </c>
      <c r="D6507" t="s">
        <v>40266</v>
      </c>
      <c r="E6507" t="s">
        <v>40267</v>
      </c>
      <c r="F6507" t="s">
        <v>40267</v>
      </c>
      <c r="G6507" t="s">
        <v>40267</v>
      </c>
      <c r="H6507" t="s">
        <v>868</v>
      </c>
      <c r="I6507" t="s">
        <v>869</v>
      </c>
      <c r="J6507" t="str">
        <f>"9480056"</f>
        <v>9480056</v>
      </c>
      <c r="K6507">
        <v>2265082350</v>
      </c>
      <c r="L6507">
        <v>2265083259</v>
      </c>
      <c r="M6507" t="s">
        <v>42874</v>
      </c>
      <c r="N6507" t="s">
        <v>42875</v>
      </c>
      <c r="O6507" t="s">
        <v>42876</v>
      </c>
      <c r="P6507">
        <v>33054</v>
      </c>
      <c r="Q6507" t="str">
        <f>"38.479787"</f>
        <v>38.479787</v>
      </c>
      <c r="R6507" t="str">
        <f>"22.494586"</f>
        <v>22.494586</v>
      </c>
      <c r="S6507" t="s">
        <v>26</v>
      </c>
    </row>
    <row r="6508" spans="1:19" x14ac:dyDescent="0.3">
      <c r="A6508" t="s">
        <v>40240</v>
      </c>
      <c r="B6508" t="s">
        <v>42855</v>
      </c>
      <c r="C6508" t="s">
        <v>41215</v>
      </c>
      <c r="D6508" t="s">
        <v>40266</v>
      </c>
      <c r="E6508" t="s">
        <v>40267</v>
      </c>
      <c r="F6508" t="s">
        <v>41209</v>
      </c>
      <c r="G6508" t="s">
        <v>41210</v>
      </c>
      <c r="H6508" t="s">
        <v>868</v>
      </c>
      <c r="I6508" t="s">
        <v>869</v>
      </c>
      <c r="J6508" t="str">
        <f>"9480067"</f>
        <v>9480067</v>
      </c>
      <c r="K6508">
        <v>2265051296</v>
      </c>
      <c r="L6508">
        <v>2265051296</v>
      </c>
      <c r="M6508" t="s">
        <v>42877</v>
      </c>
      <c r="N6508" t="s">
        <v>42878</v>
      </c>
      <c r="O6508" t="s">
        <v>42879</v>
      </c>
      <c r="P6508">
        <v>33050</v>
      </c>
      <c r="Q6508" t="str">
        <f>"38.417011"</f>
        <v>38.417011</v>
      </c>
      <c r="R6508" t="str">
        <f>"22.527361"</f>
        <v>22.527361</v>
      </c>
      <c r="S6508" t="s">
        <v>26</v>
      </c>
    </row>
    <row r="6509" spans="1:19" x14ac:dyDescent="0.3">
      <c r="A6509" t="s">
        <v>40240</v>
      </c>
      <c r="B6509" t="s">
        <v>42855</v>
      </c>
      <c r="C6509" t="s">
        <v>42881</v>
      </c>
      <c r="D6509" t="s">
        <v>40266</v>
      </c>
      <c r="E6509" t="s">
        <v>40267</v>
      </c>
      <c r="F6509" t="s">
        <v>40267</v>
      </c>
      <c r="G6509" t="s">
        <v>42880</v>
      </c>
      <c r="H6509" t="s">
        <v>868</v>
      </c>
      <c r="I6509" t="s">
        <v>950</v>
      </c>
      <c r="J6509" t="str">
        <f>"9480086"</f>
        <v>9480086</v>
      </c>
      <c r="K6509">
        <v>2265082575</v>
      </c>
      <c r="L6509">
        <v>2265082805</v>
      </c>
      <c r="M6509" t="s">
        <v>42882</v>
      </c>
      <c r="N6509" t="s">
        <v>42883</v>
      </c>
      <c r="O6509" t="s">
        <v>42883</v>
      </c>
      <c r="P6509">
        <v>33055</v>
      </c>
      <c r="Q6509" t="str">
        <f>"38.472940"</f>
        <v>38.472940</v>
      </c>
      <c r="R6509" t="str">
        <f>"22.469198"</f>
        <v>22.469198</v>
      </c>
      <c r="S6509" t="s">
        <v>26</v>
      </c>
    </row>
    <row r="6510" spans="1:19" x14ac:dyDescent="0.3">
      <c r="A6510" t="s">
        <v>40240</v>
      </c>
      <c r="B6510" t="s">
        <v>42855</v>
      </c>
      <c r="C6510" t="s">
        <v>41182</v>
      </c>
      <c r="D6510" t="s">
        <v>40266</v>
      </c>
      <c r="E6510" t="s">
        <v>40267</v>
      </c>
      <c r="F6510" t="s">
        <v>41178</v>
      </c>
      <c r="G6510" t="s">
        <v>41178</v>
      </c>
      <c r="H6510" t="s">
        <v>868</v>
      </c>
      <c r="I6510" t="s">
        <v>869</v>
      </c>
      <c r="J6510" t="str">
        <f>"9480065"</f>
        <v>9480065</v>
      </c>
      <c r="K6510">
        <v>2265091442</v>
      </c>
      <c r="L6510">
        <v>2265091442</v>
      </c>
      <c r="M6510" t="s">
        <v>42884</v>
      </c>
      <c r="N6510" t="s">
        <v>41181</v>
      </c>
      <c r="O6510" t="s">
        <v>41181</v>
      </c>
      <c r="P6510">
        <v>33057</v>
      </c>
      <c r="Q6510" t="str">
        <f>"38.674634"</f>
        <v>38.674634</v>
      </c>
      <c r="R6510" t="str">
        <f>"22.430959"</f>
        <v>22.430959</v>
      </c>
      <c r="S6510" t="s">
        <v>26</v>
      </c>
    </row>
    <row r="6511" spans="1:19" x14ac:dyDescent="0.3">
      <c r="A6511" t="s">
        <v>40240</v>
      </c>
      <c r="B6511" t="s">
        <v>42855</v>
      </c>
      <c r="C6511" t="s">
        <v>41233</v>
      </c>
      <c r="D6511" t="s">
        <v>40266</v>
      </c>
      <c r="E6511" t="s">
        <v>41166</v>
      </c>
      <c r="F6511" t="s">
        <v>41227</v>
      </c>
      <c r="G6511" t="s">
        <v>41228</v>
      </c>
      <c r="H6511" t="s">
        <v>868</v>
      </c>
      <c r="I6511" t="s">
        <v>869</v>
      </c>
      <c r="J6511" t="str">
        <f>"9480010"</f>
        <v>9480010</v>
      </c>
      <c r="K6511">
        <v>2266031314</v>
      </c>
      <c r="M6511" t="s">
        <v>42885</v>
      </c>
      <c r="O6511" t="s">
        <v>41232</v>
      </c>
      <c r="P6511">
        <v>33058</v>
      </c>
      <c r="Q6511" t="str">
        <f>"38.359230"</f>
        <v>38.359230</v>
      </c>
      <c r="R6511" t="str">
        <f>"22.227686"</f>
        <v>22.227686</v>
      </c>
      <c r="S6511" t="s">
        <v>26</v>
      </c>
    </row>
    <row r="6512" spans="1:19" x14ac:dyDescent="0.3">
      <c r="A6512" t="s">
        <v>40240</v>
      </c>
      <c r="B6512" t="s">
        <v>42855</v>
      </c>
      <c r="C6512" t="s">
        <v>42887</v>
      </c>
      <c r="D6512" t="s">
        <v>40266</v>
      </c>
      <c r="E6512" t="s">
        <v>41166</v>
      </c>
      <c r="F6512" t="s">
        <v>41167</v>
      </c>
      <c r="G6512" t="s">
        <v>42886</v>
      </c>
      <c r="H6512" t="s">
        <v>868</v>
      </c>
      <c r="I6512" t="s">
        <v>950</v>
      </c>
      <c r="J6512" t="str">
        <f>"9480032"</f>
        <v>9480032</v>
      </c>
      <c r="K6512">
        <v>2634091142</v>
      </c>
      <c r="L6512">
        <v>2634091142</v>
      </c>
      <c r="M6512" t="s">
        <v>42888</v>
      </c>
      <c r="N6512" t="s">
        <v>42889</v>
      </c>
      <c r="O6512" t="s">
        <v>42889</v>
      </c>
      <c r="P6512">
        <v>33056</v>
      </c>
      <c r="Q6512" t="str">
        <f>"38.392393"</f>
        <v>38.392393</v>
      </c>
      <c r="R6512" t="str">
        <f>"22.014020"</f>
        <v>22.014020</v>
      </c>
      <c r="S6512" t="s">
        <v>26</v>
      </c>
    </row>
    <row r="6513" spans="1:19" x14ac:dyDescent="0.3">
      <c r="A6513" t="s">
        <v>40240</v>
      </c>
      <c r="B6513" t="s">
        <v>42855</v>
      </c>
      <c r="C6513" t="s">
        <v>42890</v>
      </c>
      <c r="D6513" t="s">
        <v>40266</v>
      </c>
      <c r="E6513" t="s">
        <v>40267</v>
      </c>
      <c r="F6513" t="s">
        <v>42856</v>
      </c>
      <c r="G6513" t="s">
        <v>30267</v>
      </c>
      <c r="H6513" t="s">
        <v>868</v>
      </c>
      <c r="I6513" t="s">
        <v>950</v>
      </c>
      <c r="J6513" t="str">
        <f>"9480070"</f>
        <v>9480070</v>
      </c>
      <c r="K6513">
        <v>2234061314</v>
      </c>
      <c r="L6513">
        <v>2234061314</v>
      </c>
      <c r="M6513" t="s">
        <v>42891</v>
      </c>
      <c r="N6513" t="s">
        <v>30267</v>
      </c>
      <c r="O6513" t="s">
        <v>30270</v>
      </c>
      <c r="P6513">
        <v>33057</v>
      </c>
      <c r="Q6513" t="str">
        <f>"38.598811"</f>
        <v>38.598811</v>
      </c>
      <c r="R6513" t="str">
        <f>"22.494739"</f>
        <v>22.494739</v>
      </c>
      <c r="S6513" t="s">
        <v>57</v>
      </c>
    </row>
    <row r="6514" spans="1:19" x14ac:dyDescent="0.3">
      <c r="A6514" t="s">
        <v>40240</v>
      </c>
      <c r="B6514" t="s">
        <v>42855</v>
      </c>
      <c r="C6514" t="s">
        <v>41247</v>
      </c>
      <c r="D6514" t="s">
        <v>40266</v>
      </c>
      <c r="E6514" t="s">
        <v>40267</v>
      </c>
      <c r="F6514" t="s">
        <v>40268</v>
      </c>
      <c r="G6514" t="s">
        <v>40268</v>
      </c>
      <c r="H6514" t="s">
        <v>868</v>
      </c>
      <c r="I6514" t="s">
        <v>869</v>
      </c>
      <c r="J6514" t="str">
        <f>"9480124"</f>
        <v>9480124</v>
      </c>
      <c r="K6514">
        <v>2265029550</v>
      </c>
      <c r="L6514">
        <v>2265072556</v>
      </c>
      <c r="M6514" t="s">
        <v>42892</v>
      </c>
      <c r="N6514" t="s">
        <v>40271</v>
      </c>
      <c r="O6514" t="s">
        <v>42893</v>
      </c>
      <c r="P6514">
        <v>33100</v>
      </c>
      <c r="Q6514" t="str">
        <f>"38.524381"</f>
        <v>38.524381</v>
      </c>
      <c r="R6514" t="str">
        <f>"22.373383"</f>
        <v>22.373383</v>
      </c>
      <c r="S6514" t="s">
        <v>26</v>
      </c>
    </row>
    <row r="6515" spans="1:19" x14ac:dyDescent="0.3">
      <c r="A6515" t="s">
        <v>40240</v>
      </c>
      <c r="B6515" t="s">
        <v>42855</v>
      </c>
      <c r="C6515" t="s">
        <v>41240</v>
      </c>
      <c r="D6515" t="s">
        <v>40266</v>
      </c>
      <c r="E6515" t="s">
        <v>40267</v>
      </c>
      <c r="F6515" t="s">
        <v>18740</v>
      </c>
      <c r="G6515" t="s">
        <v>18740</v>
      </c>
      <c r="H6515" t="s">
        <v>868</v>
      </c>
      <c r="I6515" t="s">
        <v>869</v>
      </c>
      <c r="J6515" t="str">
        <f>"9480109"</f>
        <v>9480109</v>
      </c>
      <c r="K6515">
        <v>2265033126</v>
      </c>
      <c r="L6515">
        <v>2265033126</v>
      </c>
      <c r="M6515" t="s">
        <v>42894</v>
      </c>
      <c r="N6515" t="s">
        <v>18742</v>
      </c>
      <c r="O6515" t="s">
        <v>42895</v>
      </c>
      <c r="P6515">
        <v>33200</v>
      </c>
      <c r="Q6515" t="str">
        <f>"38.436955"</f>
        <v>38.436955</v>
      </c>
      <c r="R6515" t="str">
        <f>"22.422428"</f>
        <v>22.422428</v>
      </c>
      <c r="S6515" t="s">
        <v>26</v>
      </c>
    </row>
    <row r="6516" spans="1:19" x14ac:dyDescent="0.3">
      <c r="A6516" t="s">
        <v>40240</v>
      </c>
      <c r="B6516" t="s">
        <v>42855</v>
      </c>
      <c r="C6516" t="s">
        <v>41177</v>
      </c>
      <c r="D6516" t="s">
        <v>40266</v>
      </c>
      <c r="E6516" t="s">
        <v>40267</v>
      </c>
      <c r="F6516" t="s">
        <v>40268</v>
      </c>
      <c r="G6516" t="s">
        <v>40268</v>
      </c>
      <c r="H6516" t="s">
        <v>868</v>
      </c>
      <c r="I6516" t="s">
        <v>869</v>
      </c>
      <c r="J6516" t="str">
        <f>"9480096"</f>
        <v>9480096</v>
      </c>
      <c r="K6516">
        <v>2265029150</v>
      </c>
      <c r="L6516">
        <v>2265029150</v>
      </c>
      <c r="M6516" t="s">
        <v>42911</v>
      </c>
      <c r="N6516" t="s">
        <v>40271</v>
      </c>
      <c r="O6516" t="s">
        <v>42912</v>
      </c>
      <c r="P6516">
        <v>33100</v>
      </c>
      <c r="Q6516" t="str">
        <f>"38.527291"</f>
        <v>38.527291</v>
      </c>
      <c r="R6516" t="str">
        <f>"22.378286"</f>
        <v>22.378286</v>
      </c>
      <c r="S6516" t="s">
        <v>26</v>
      </c>
    </row>
    <row r="6517" spans="1:19" x14ac:dyDescent="0.3">
      <c r="A6517" t="s">
        <v>40240</v>
      </c>
      <c r="B6517" t="s">
        <v>42855</v>
      </c>
      <c r="C6517" t="s">
        <v>42913</v>
      </c>
      <c r="D6517" t="s">
        <v>40266</v>
      </c>
      <c r="E6517" t="s">
        <v>40267</v>
      </c>
      <c r="F6517" t="s">
        <v>18740</v>
      </c>
      <c r="G6517" t="s">
        <v>18740</v>
      </c>
      <c r="H6517" t="s">
        <v>868</v>
      </c>
      <c r="I6517" t="s">
        <v>869</v>
      </c>
      <c r="J6517" t="str">
        <f>"9480071"</f>
        <v>9480071</v>
      </c>
      <c r="K6517">
        <v>2265032290</v>
      </c>
      <c r="L6517">
        <v>2265033290</v>
      </c>
      <c r="M6517" t="s">
        <v>42914</v>
      </c>
      <c r="N6517" t="s">
        <v>18742</v>
      </c>
      <c r="O6517" t="s">
        <v>42915</v>
      </c>
      <c r="P6517">
        <v>33200</v>
      </c>
      <c r="Q6517" t="str">
        <f>"38.431413"</f>
        <v>38.431413</v>
      </c>
      <c r="R6517" t="str">
        <f>"22.430063"</f>
        <v>22.430063</v>
      </c>
      <c r="S6517" t="s">
        <v>26</v>
      </c>
    </row>
    <row r="6518" spans="1:19" x14ac:dyDescent="0.3">
      <c r="A6518" t="s">
        <v>40240</v>
      </c>
      <c r="B6518" t="s">
        <v>42855</v>
      </c>
      <c r="C6518" t="s">
        <v>41173</v>
      </c>
      <c r="D6518" t="s">
        <v>40266</v>
      </c>
      <c r="E6518" t="s">
        <v>41166</v>
      </c>
      <c r="F6518" t="s">
        <v>41167</v>
      </c>
      <c r="G6518" t="s">
        <v>41167</v>
      </c>
      <c r="H6518" t="s">
        <v>868</v>
      </c>
      <c r="I6518" t="s">
        <v>869</v>
      </c>
      <c r="J6518" t="str">
        <f>"9480011"</f>
        <v>9480011</v>
      </c>
      <c r="K6518">
        <v>2634051261</v>
      </c>
      <c r="L6518">
        <v>2634051261</v>
      </c>
      <c r="M6518" t="s">
        <v>42919</v>
      </c>
      <c r="N6518" t="s">
        <v>41167</v>
      </c>
      <c r="O6518" t="s">
        <v>42920</v>
      </c>
      <c r="P6518">
        <v>33056</v>
      </c>
      <c r="Q6518" t="str">
        <f>"38.420419"</f>
        <v>38.420419</v>
      </c>
      <c r="R6518" t="str">
        <f>"21.932298"</f>
        <v>21.932298</v>
      </c>
      <c r="S6518" t="s">
        <v>26</v>
      </c>
    </row>
    <row r="6519" spans="1:19" x14ac:dyDescent="0.3">
      <c r="A6519" t="s">
        <v>40240</v>
      </c>
      <c r="B6519" t="s">
        <v>42855</v>
      </c>
      <c r="C6519" t="s">
        <v>42930</v>
      </c>
      <c r="D6519" t="s">
        <v>40266</v>
      </c>
      <c r="E6519" t="s">
        <v>41166</v>
      </c>
      <c r="F6519" t="s">
        <v>41167</v>
      </c>
      <c r="G6519" t="s">
        <v>42926</v>
      </c>
      <c r="H6519" t="s">
        <v>868</v>
      </c>
      <c r="I6519" t="s">
        <v>950</v>
      </c>
      <c r="J6519" t="str">
        <f>"9480029"</f>
        <v>9480029</v>
      </c>
      <c r="K6519">
        <v>2634071001</v>
      </c>
      <c r="L6519">
        <v>2634071001</v>
      </c>
      <c r="M6519" t="s">
        <v>42931</v>
      </c>
      <c r="N6519" t="s">
        <v>42929</v>
      </c>
      <c r="O6519" t="s">
        <v>42929</v>
      </c>
      <c r="P6519">
        <v>33056</v>
      </c>
      <c r="Q6519" t="str">
        <f>"38.395946"</f>
        <v>38.395946</v>
      </c>
      <c r="R6519" t="str">
        <f>"21.876651"</f>
        <v>21.876651</v>
      </c>
      <c r="S6519" t="s">
        <v>26</v>
      </c>
    </row>
    <row r="6520" spans="1:19" x14ac:dyDescent="0.3">
      <c r="A6520" t="s">
        <v>40240</v>
      </c>
      <c r="B6520" t="s">
        <v>42855</v>
      </c>
      <c r="C6520" t="s">
        <v>41198</v>
      </c>
      <c r="D6520" t="s">
        <v>40266</v>
      </c>
      <c r="E6520" t="s">
        <v>41166</v>
      </c>
      <c r="F6520" t="s">
        <v>41193</v>
      </c>
      <c r="G6520" t="s">
        <v>41193</v>
      </c>
      <c r="H6520" t="s">
        <v>868</v>
      </c>
      <c r="I6520" t="s">
        <v>869</v>
      </c>
      <c r="J6520" t="str">
        <f>"9480027"</f>
        <v>9480027</v>
      </c>
      <c r="K6520">
        <v>2266022036</v>
      </c>
      <c r="L6520">
        <v>266022036</v>
      </c>
      <c r="M6520" t="s">
        <v>42932</v>
      </c>
      <c r="N6520" t="s">
        <v>42933</v>
      </c>
      <c r="O6520" t="s">
        <v>42933</v>
      </c>
      <c r="P6520">
        <v>33053</v>
      </c>
      <c r="Q6520" t="str">
        <f>"38.528149"</f>
        <v>38.528149</v>
      </c>
      <c r="R6520" t="str">
        <f>"22.201304"</f>
        <v>22.201304</v>
      </c>
      <c r="S6520" t="s">
        <v>26</v>
      </c>
    </row>
    <row r="6521" spans="1:19" x14ac:dyDescent="0.3">
      <c r="A6521" t="s">
        <v>40240</v>
      </c>
      <c r="B6521" t="s">
        <v>42855</v>
      </c>
      <c r="C6521" t="s">
        <v>42936</v>
      </c>
      <c r="D6521" t="s">
        <v>40266</v>
      </c>
      <c r="E6521" t="s">
        <v>40267</v>
      </c>
      <c r="F6521" t="s">
        <v>42856</v>
      </c>
      <c r="G6521" t="s">
        <v>19492</v>
      </c>
      <c r="H6521" t="s">
        <v>868</v>
      </c>
      <c r="I6521" t="s">
        <v>869</v>
      </c>
      <c r="J6521" t="str">
        <f>"9480082"</f>
        <v>9480082</v>
      </c>
      <c r="K6521">
        <v>2234051238</v>
      </c>
      <c r="L6521">
        <v>2234051238</v>
      </c>
      <c r="M6521" t="s">
        <v>42937</v>
      </c>
      <c r="N6521" t="s">
        <v>42859</v>
      </c>
      <c r="O6521" t="s">
        <v>42859</v>
      </c>
      <c r="P6521">
        <v>33051</v>
      </c>
      <c r="Q6521" t="str">
        <f>"38.641195"</f>
        <v>38.641195</v>
      </c>
      <c r="R6521" t="str">
        <f>"22.527663"</f>
        <v>22.527663</v>
      </c>
      <c r="S6521" t="s">
        <v>26</v>
      </c>
    </row>
    <row r="6522" spans="1:19" x14ac:dyDescent="0.3">
      <c r="A6522" t="s">
        <v>40240</v>
      </c>
      <c r="B6522" t="s">
        <v>42855</v>
      </c>
      <c r="C6522" t="s">
        <v>42955</v>
      </c>
      <c r="D6522" t="s">
        <v>40266</v>
      </c>
      <c r="E6522" t="s">
        <v>41166</v>
      </c>
      <c r="F6522" t="s">
        <v>41193</v>
      </c>
      <c r="G6522" t="s">
        <v>42954</v>
      </c>
      <c r="H6522" t="s">
        <v>868</v>
      </c>
      <c r="I6522" t="s">
        <v>950</v>
      </c>
      <c r="J6522" t="str">
        <f>"9480008"</f>
        <v>9480008</v>
      </c>
      <c r="K6522">
        <v>2266053011</v>
      </c>
      <c r="L6522">
        <v>2266053011</v>
      </c>
      <c r="M6522" t="s">
        <v>42956</v>
      </c>
      <c r="N6522" t="s">
        <v>42957</v>
      </c>
      <c r="O6522" t="s">
        <v>42958</v>
      </c>
      <c r="P6522">
        <v>33053</v>
      </c>
      <c r="Q6522" t="str">
        <f>"38.596365"</f>
        <v>38.596365</v>
      </c>
      <c r="R6522" t="str">
        <f>"22.119960"</f>
        <v>22.119960</v>
      </c>
      <c r="S6522" t="s">
        <v>57</v>
      </c>
    </row>
    <row r="6523" spans="1:19" x14ac:dyDescent="0.3">
      <c r="A6523" t="s">
        <v>40240</v>
      </c>
      <c r="B6523" t="s">
        <v>42855</v>
      </c>
      <c r="C6523" t="s">
        <v>42959</v>
      </c>
      <c r="D6523" t="s">
        <v>40266</v>
      </c>
      <c r="E6523" t="s">
        <v>40267</v>
      </c>
      <c r="F6523" t="s">
        <v>40268</v>
      </c>
      <c r="G6523" t="s">
        <v>40268</v>
      </c>
      <c r="H6523" t="s">
        <v>868</v>
      </c>
      <c r="I6523" t="s">
        <v>869</v>
      </c>
      <c r="J6523" t="str">
        <f>"9480054"</f>
        <v>9480054</v>
      </c>
      <c r="K6523">
        <v>2265028394</v>
      </c>
      <c r="L6523">
        <v>2265028394</v>
      </c>
      <c r="M6523" t="s">
        <v>42960</v>
      </c>
      <c r="N6523" t="s">
        <v>40271</v>
      </c>
      <c r="O6523" t="s">
        <v>42961</v>
      </c>
      <c r="P6523">
        <v>33100</v>
      </c>
      <c r="Q6523" t="str">
        <f>"38.530406"</f>
        <v>38.530406</v>
      </c>
      <c r="R6523" t="str">
        <f>"22.376905"</f>
        <v>22.376905</v>
      </c>
      <c r="S6523" t="s">
        <v>26</v>
      </c>
    </row>
    <row r="6524" spans="1:19" x14ac:dyDescent="0.3">
      <c r="A6524" t="s">
        <v>40240</v>
      </c>
      <c r="B6524" t="s">
        <v>42855</v>
      </c>
      <c r="C6524" t="s">
        <v>42962</v>
      </c>
      <c r="D6524" t="s">
        <v>40266</v>
      </c>
      <c r="E6524" t="s">
        <v>40267</v>
      </c>
      <c r="F6524" t="s">
        <v>40268</v>
      </c>
      <c r="G6524" t="s">
        <v>40268</v>
      </c>
      <c r="H6524" t="s">
        <v>868</v>
      </c>
      <c r="I6524" t="s">
        <v>1157</v>
      </c>
      <c r="J6524" t="str">
        <f>"9480120"</f>
        <v>9480120</v>
      </c>
      <c r="K6524">
        <v>2265079330</v>
      </c>
      <c r="L6524">
        <v>2265079330</v>
      </c>
      <c r="M6524" t="s">
        <v>42963</v>
      </c>
      <c r="N6524" t="s">
        <v>40271</v>
      </c>
      <c r="O6524" t="s">
        <v>42964</v>
      </c>
      <c r="P6524">
        <v>33100</v>
      </c>
      <c r="Q6524" t="str">
        <f>"38.528113"</f>
        <v>38.528113</v>
      </c>
      <c r="R6524" t="str">
        <f>"22.379684"</f>
        <v>22.379684</v>
      </c>
      <c r="S6524" t="s">
        <v>26</v>
      </c>
    </row>
    <row r="6525" spans="1:19" x14ac:dyDescent="0.3">
      <c r="A6525" t="s">
        <v>40240</v>
      </c>
      <c r="B6525" t="s">
        <v>42855</v>
      </c>
      <c r="C6525" t="s">
        <v>42965</v>
      </c>
      <c r="D6525" t="s">
        <v>40266</v>
      </c>
      <c r="E6525" t="s">
        <v>41166</v>
      </c>
      <c r="F6525" t="s">
        <v>41227</v>
      </c>
      <c r="G6525" t="s">
        <v>4017</v>
      </c>
      <c r="H6525" t="s">
        <v>868</v>
      </c>
      <c r="I6525" t="s">
        <v>950</v>
      </c>
      <c r="J6525" t="str">
        <f>"9480006"</f>
        <v>9480006</v>
      </c>
      <c r="K6525">
        <v>2266071079</v>
      </c>
      <c r="L6525">
        <v>2266071079</v>
      </c>
      <c r="M6525" t="s">
        <v>42966</v>
      </c>
      <c r="N6525" t="s">
        <v>4017</v>
      </c>
      <c r="O6525" t="s">
        <v>5578</v>
      </c>
      <c r="P6525">
        <v>33058</v>
      </c>
      <c r="Q6525" t="str">
        <f>"38.380219"</f>
        <v>38.380219</v>
      </c>
      <c r="R6525" t="str">
        <f>"22.077033"</f>
        <v>22.077033</v>
      </c>
      <c r="S6525" t="s">
        <v>26</v>
      </c>
    </row>
    <row r="6526" spans="1:19" x14ac:dyDescent="0.3">
      <c r="A6526" t="s">
        <v>40240</v>
      </c>
      <c r="B6526" t="s">
        <v>42855</v>
      </c>
      <c r="C6526" t="s">
        <v>42967</v>
      </c>
      <c r="D6526" t="s">
        <v>40266</v>
      </c>
      <c r="E6526" t="s">
        <v>40267</v>
      </c>
      <c r="F6526" t="s">
        <v>18740</v>
      </c>
      <c r="G6526" t="s">
        <v>42902</v>
      </c>
      <c r="H6526" t="s">
        <v>868</v>
      </c>
      <c r="I6526" t="s">
        <v>869</v>
      </c>
      <c r="J6526" t="str">
        <f>"9480076"</f>
        <v>9480076</v>
      </c>
      <c r="K6526">
        <v>2265032913</v>
      </c>
      <c r="L6526">
        <v>2265032913</v>
      </c>
      <c r="M6526" t="s">
        <v>42968</v>
      </c>
      <c r="N6526" t="s">
        <v>2217</v>
      </c>
      <c r="O6526" t="s">
        <v>42969</v>
      </c>
      <c r="P6526">
        <v>33200</v>
      </c>
      <c r="Q6526" t="str">
        <f>"38.429442"</f>
        <v>38.429442</v>
      </c>
      <c r="R6526" t="str">
        <f>"22.445022"</f>
        <v>22.445022</v>
      </c>
      <c r="S6526" t="s">
        <v>26</v>
      </c>
    </row>
    <row r="6527" spans="1:19" x14ac:dyDescent="0.3">
      <c r="A6527" t="s">
        <v>43021</v>
      </c>
      <c r="B6527" t="s">
        <v>43025</v>
      </c>
      <c r="C6527" t="s">
        <v>43027</v>
      </c>
      <c r="H6527" t="s">
        <v>868</v>
      </c>
      <c r="I6527" t="s">
        <v>43026</v>
      </c>
      <c r="J6527" t="str">
        <f>"7720016"</f>
        <v>7720016</v>
      </c>
      <c r="Q6527" t="str">
        <f>""</f>
        <v/>
      </c>
      <c r="R6527" t="str">
        <f>""</f>
        <v/>
      </c>
      <c r="S6527" t="s">
        <v>26</v>
      </c>
    </row>
    <row r="6528" spans="1:19" x14ac:dyDescent="0.3">
      <c r="A6528" t="s">
        <v>43021</v>
      </c>
      <c r="B6528" t="s">
        <v>43025</v>
      </c>
      <c r="C6528" t="s">
        <v>43028</v>
      </c>
      <c r="H6528" t="s">
        <v>868</v>
      </c>
      <c r="I6528" t="s">
        <v>43026</v>
      </c>
      <c r="J6528" t="str">
        <f>"7720017"</f>
        <v>7720017</v>
      </c>
      <c r="Q6528" t="str">
        <f>""</f>
        <v/>
      </c>
      <c r="R6528" t="str">
        <f>""</f>
        <v/>
      </c>
      <c r="S6528" t="s">
        <v>26</v>
      </c>
    </row>
    <row r="6529" spans="1:19" x14ac:dyDescent="0.3">
      <c r="A6529" t="s">
        <v>43021</v>
      </c>
      <c r="B6529" t="s">
        <v>43033</v>
      </c>
      <c r="C6529" t="s">
        <v>43034</v>
      </c>
      <c r="H6529" t="s">
        <v>868</v>
      </c>
      <c r="I6529" t="s">
        <v>43026</v>
      </c>
      <c r="J6529" t="str">
        <f>"7720003"</f>
        <v>7720003</v>
      </c>
      <c r="Q6529" t="str">
        <f>""</f>
        <v/>
      </c>
      <c r="R6529" t="str">
        <f>""</f>
        <v/>
      </c>
      <c r="S6529" t="s">
        <v>26</v>
      </c>
    </row>
    <row r="6530" spans="1:19" x14ac:dyDescent="0.3">
      <c r="A6530" t="s">
        <v>43021</v>
      </c>
      <c r="B6530" t="s">
        <v>43033</v>
      </c>
      <c r="C6530" t="s">
        <v>43035</v>
      </c>
      <c r="H6530" t="s">
        <v>868</v>
      </c>
      <c r="I6530" t="s">
        <v>43026</v>
      </c>
      <c r="J6530" t="str">
        <f>"7720020"</f>
        <v>7720020</v>
      </c>
      <c r="Q6530" t="str">
        <f>""</f>
        <v/>
      </c>
      <c r="R6530" t="str">
        <f>""</f>
        <v/>
      </c>
      <c r="S6530" t="s">
        <v>26</v>
      </c>
    </row>
    <row r="6531" spans="1:19" x14ac:dyDescent="0.3">
      <c r="A6531" t="s">
        <v>43021</v>
      </c>
      <c r="B6531" t="s">
        <v>43033</v>
      </c>
      <c r="C6531" t="s">
        <v>43036</v>
      </c>
      <c r="H6531" t="s">
        <v>868</v>
      </c>
      <c r="I6531" t="s">
        <v>43026</v>
      </c>
      <c r="J6531" t="str">
        <f>"7720004"</f>
        <v>7720004</v>
      </c>
      <c r="Q6531" t="str">
        <f>""</f>
        <v/>
      </c>
      <c r="R6531" t="str">
        <f>""</f>
        <v/>
      </c>
      <c r="S6531" t="s">
        <v>26</v>
      </c>
    </row>
    <row r="6532" spans="1:19" x14ac:dyDescent="0.3">
      <c r="A6532" t="s">
        <v>43021</v>
      </c>
      <c r="B6532" t="s">
        <v>43042</v>
      </c>
      <c r="C6532" t="s">
        <v>43043</v>
      </c>
      <c r="H6532" t="s">
        <v>868</v>
      </c>
      <c r="I6532" t="s">
        <v>43026</v>
      </c>
      <c r="J6532" t="str">
        <f>"7720002"</f>
        <v>7720002</v>
      </c>
      <c r="K6532" t="s">
        <v>43044</v>
      </c>
      <c r="L6532">
        <v>6339783</v>
      </c>
      <c r="M6532" t="s">
        <v>43045</v>
      </c>
      <c r="O6532" t="s">
        <v>43046</v>
      </c>
      <c r="Q6532" t="str">
        <f>""</f>
        <v/>
      </c>
      <c r="R6532" t="str">
        <f>""</f>
        <v/>
      </c>
      <c r="S6532" t="s">
        <v>26</v>
      </c>
    </row>
    <row r="6533" spans="1:19" x14ac:dyDescent="0.3">
      <c r="A6533" t="s">
        <v>43021</v>
      </c>
      <c r="B6533" t="s">
        <v>43042</v>
      </c>
      <c r="C6533" t="s">
        <v>43047</v>
      </c>
      <c r="H6533" t="s">
        <v>868</v>
      </c>
      <c r="I6533" t="s">
        <v>43026</v>
      </c>
      <c r="J6533" t="str">
        <f>"7720001"</f>
        <v>7720001</v>
      </c>
      <c r="Q6533" t="str">
        <f>""</f>
        <v/>
      </c>
      <c r="R6533" t="str">
        <f>""</f>
        <v/>
      </c>
      <c r="S6533" t="s">
        <v>26</v>
      </c>
    </row>
    <row r="6534" spans="1:19" x14ac:dyDescent="0.3">
      <c r="A6534" t="s">
        <v>43021</v>
      </c>
      <c r="B6534" t="s">
        <v>43051</v>
      </c>
      <c r="C6534" t="s">
        <v>43052</v>
      </c>
      <c r="H6534" t="s">
        <v>868</v>
      </c>
      <c r="I6534" t="s">
        <v>43026</v>
      </c>
      <c r="J6534" t="str">
        <f>"7720018"</f>
        <v>7720018</v>
      </c>
      <c r="Q6534" t="str">
        <f>""</f>
        <v/>
      </c>
      <c r="R6534" t="str">
        <f>""</f>
        <v/>
      </c>
      <c r="S6534" t="s">
        <v>26</v>
      </c>
    </row>
    <row r="6535" spans="1:19" x14ac:dyDescent="0.3">
      <c r="A6535" t="s">
        <v>43021</v>
      </c>
      <c r="B6535" t="s">
        <v>43055</v>
      </c>
      <c r="C6535" t="s">
        <v>43056</v>
      </c>
      <c r="H6535" t="s">
        <v>868</v>
      </c>
      <c r="I6535" t="s">
        <v>43026</v>
      </c>
      <c r="J6535" t="str">
        <f>"7720019"</f>
        <v>7720019</v>
      </c>
      <c r="Q6535" t="str">
        <f>""</f>
        <v/>
      </c>
      <c r="R6535" t="str">
        <f>""</f>
        <v/>
      </c>
      <c r="S6535" t="s">
        <v>26</v>
      </c>
    </row>
    <row r="6536" spans="1:19" x14ac:dyDescent="0.3">
      <c r="A6536" t="s">
        <v>43021</v>
      </c>
      <c r="B6536" t="s">
        <v>43059</v>
      </c>
      <c r="C6536" t="s">
        <v>43060</v>
      </c>
      <c r="H6536" t="s">
        <v>868</v>
      </c>
      <c r="I6536" t="s">
        <v>43026</v>
      </c>
      <c r="J6536" t="str">
        <f>"7720005"</f>
        <v>7720005</v>
      </c>
      <c r="Q6536" t="str">
        <f>""</f>
        <v/>
      </c>
      <c r="R6536" t="str">
        <f>""</f>
        <v/>
      </c>
      <c r="S6536" t="s">
        <v>26</v>
      </c>
    </row>
    <row r="6537" spans="1:19" x14ac:dyDescent="0.3">
      <c r="A6537" t="s">
        <v>43021</v>
      </c>
      <c r="B6537" t="s">
        <v>43059</v>
      </c>
      <c r="C6537" t="s">
        <v>43061</v>
      </c>
      <c r="H6537" t="s">
        <v>868</v>
      </c>
      <c r="I6537" t="s">
        <v>43026</v>
      </c>
      <c r="J6537" t="str">
        <f>"7720006"</f>
        <v>7720006</v>
      </c>
      <c r="Q6537" t="str">
        <f>""</f>
        <v/>
      </c>
      <c r="R6537" t="str">
        <f>""</f>
        <v/>
      </c>
      <c r="S6537" t="s">
        <v>26</v>
      </c>
    </row>
    <row r="6538" spans="1:19" x14ac:dyDescent="0.3">
      <c r="A6538" t="s">
        <v>43021</v>
      </c>
      <c r="B6538" t="s">
        <v>43059</v>
      </c>
      <c r="C6538" t="s">
        <v>43062</v>
      </c>
      <c r="H6538" t="s">
        <v>868</v>
      </c>
      <c r="I6538" t="s">
        <v>43026</v>
      </c>
      <c r="J6538" t="str">
        <f>"7720007"</f>
        <v>7720007</v>
      </c>
      <c r="Q6538" t="str">
        <f>""</f>
        <v/>
      </c>
      <c r="R6538" t="str">
        <f>""</f>
        <v/>
      </c>
      <c r="S6538" t="s">
        <v>26</v>
      </c>
    </row>
    <row r="6539" spans="1:19" x14ac:dyDescent="0.3">
      <c r="A6539" t="s">
        <v>43021</v>
      </c>
      <c r="B6539" t="s">
        <v>43059</v>
      </c>
      <c r="C6539" t="s">
        <v>43063</v>
      </c>
      <c r="H6539" t="s">
        <v>868</v>
      </c>
      <c r="I6539" t="s">
        <v>43026</v>
      </c>
      <c r="J6539" t="str">
        <f>"7720008"</f>
        <v>7720008</v>
      </c>
      <c r="Q6539" t="str">
        <f>""</f>
        <v/>
      </c>
      <c r="R6539" t="str">
        <f>""</f>
        <v/>
      </c>
      <c r="S6539" t="s">
        <v>26</v>
      </c>
    </row>
    <row r="6540" spans="1:19" x14ac:dyDescent="0.3">
      <c r="A6540" t="s">
        <v>43021</v>
      </c>
      <c r="B6540" t="s">
        <v>43059</v>
      </c>
      <c r="C6540" t="s">
        <v>43064</v>
      </c>
      <c r="H6540" t="s">
        <v>868</v>
      </c>
      <c r="I6540" t="s">
        <v>43026</v>
      </c>
      <c r="J6540" t="str">
        <f>"7720009"</f>
        <v>7720009</v>
      </c>
      <c r="Q6540" t="str">
        <f>""</f>
        <v/>
      </c>
      <c r="R6540" t="str">
        <f>""</f>
        <v/>
      </c>
      <c r="S6540" t="s">
        <v>26</v>
      </c>
    </row>
    <row r="6541" spans="1:19" x14ac:dyDescent="0.3">
      <c r="A6541" t="s">
        <v>43021</v>
      </c>
      <c r="B6541" t="s">
        <v>43059</v>
      </c>
      <c r="C6541" t="s">
        <v>43065</v>
      </c>
      <c r="H6541" t="s">
        <v>868</v>
      </c>
      <c r="I6541" t="s">
        <v>43026</v>
      </c>
      <c r="J6541" t="str">
        <f>"7720010"</f>
        <v>7720010</v>
      </c>
      <c r="Q6541" t="str">
        <f>""</f>
        <v/>
      </c>
      <c r="R6541" t="str">
        <f>""</f>
        <v/>
      </c>
      <c r="S6541" t="s">
        <v>26</v>
      </c>
    </row>
    <row r="6542" spans="1:19" x14ac:dyDescent="0.3">
      <c r="A6542" t="s">
        <v>43021</v>
      </c>
      <c r="B6542" t="s">
        <v>43072</v>
      </c>
      <c r="C6542" t="s">
        <v>43073</v>
      </c>
      <c r="H6542" t="s">
        <v>868</v>
      </c>
      <c r="I6542" t="s">
        <v>43026</v>
      </c>
      <c r="J6542" t="str">
        <f>"7720011"</f>
        <v>7720011</v>
      </c>
      <c r="Q6542" t="str">
        <f>""</f>
        <v/>
      </c>
      <c r="R6542" t="str">
        <f>""</f>
        <v/>
      </c>
      <c r="S6542" t="s">
        <v>26</v>
      </c>
    </row>
    <row r="6543" spans="1:19" x14ac:dyDescent="0.3">
      <c r="A6543" t="s">
        <v>43021</v>
      </c>
      <c r="B6543" t="s">
        <v>43072</v>
      </c>
      <c r="C6543" t="s">
        <v>43074</v>
      </c>
      <c r="H6543" t="s">
        <v>868</v>
      </c>
      <c r="I6543" t="s">
        <v>43026</v>
      </c>
      <c r="J6543" t="str">
        <f>"7720012"</f>
        <v>7720012</v>
      </c>
      <c r="Q6543" t="str">
        <f>""</f>
        <v/>
      </c>
      <c r="R6543" t="str">
        <f>""</f>
        <v/>
      </c>
      <c r="S6543" t="s">
        <v>26</v>
      </c>
    </row>
    <row r="6544" spans="1:19" x14ac:dyDescent="0.3">
      <c r="A6544" t="s">
        <v>43021</v>
      </c>
      <c r="B6544" t="s">
        <v>43072</v>
      </c>
      <c r="C6544" t="s">
        <v>43075</v>
      </c>
      <c r="H6544" t="s">
        <v>868</v>
      </c>
      <c r="I6544" t="s">
        <v>43026</v>
      </c>
      <c r="J6544" t="str">
        <f>"7720013"</f>
        <v>7720013</v>
      </c>
      <c r="Q6544" t="str">
        <f>""</f>
        <v/>
      </c>
      <c r="R6544" t="str">
        <f>""</f>
        <v/>
      </c>
      <c r="S6544" t="s">
        <v>26</v>
      </c>
    </row>
    <row r="6545" spans="1:19" x14ac:dyDescent="0.3">
      <c r="A6545" t="s">
        <v>43021</v>
      </c>
      <c r="B6545" t="s">
        <v>43072</v>
      </c>
      <c r="C6545" t="s">
        <v>43076</v>
      </c>
      <c r="H6545" t="s">
        <v>868</v>
      </c>
      <c r="I6545" t="s">
        <v>43026</v>
      </c>
      <c r="J6545" t="str">
        <f>"7720014"</f>
        <v>7720014</v>
      </c>
      <c r="Q6545" t="str">
        <f>""</f>
        <v/>
      </c>
      <c r="R6545" t="str">
        <f>""</f>
        <v/>
      </c>
      <c r="S6545" t="s">
        <v>26</v>
      </c>
    </row>
    <row r="6546" spans="1:19" x14ac:dyDescent="0.3">
      <c r="A6546" t="s">
        <v>43021</v>
      </c>
      <c r="B6546" t="s">
        <v>43082</v>
      </c>
      <c r="C6546" t="s">
        <v>43083</v>
      </c>
      <c r="H6546" t="s">
        <v>868</v>
      </c>
      <c r="I6546" t="s">
        <v>43026</v>
      </c>
      <c r="J6546" t="str">
        <f>"7720015"</f>
        <v>7720015</v>
      </c>
      <c r="Q6546" t="str">
        <f>""</f>
        <v/>
      </c>
      <c r="R6546" t="str">
        <f>""</f>
        <v/>
      </c>
      <c r="S6546" t="s">
        <v>26</v>
      </c>
    </row>
    <row r="6547" spans="1:19" x14ac:dyDescent="0.3">
      <c r="A6547" t="s">
        <v>19</v>
      </c>
      <c r="B6547" t="s">
        <v>49</v>
      </c>
      <c r="C6547" t="s">
        <v>74</v>
      </c>
      <c r="D6547" t="s">
        <v>21</v>
      </c>
      <c r="E6547" t="s">
        <v>21</v>
      </c>
      <c r="F6547" t="s">
        <v>21</v>
      </c>
      <c r="G6547" t="s">
        <v>21</v>
      </c>
      <c r="H6547" t="s">
        <v>72</v>
      </c>
      <c r="I6547" t="s">
        <v>73</v>
      </c>
      <c r="J6547" t="str">
        <f>"0941001"</f>
        <v>0941001</v>
      </c>
      <c r="K6547">
        <v>2521095800</v>
      </c>
      <c r="L6547">
        <v>2521095800</v>
      </c>
      <c r="M6547" t="s">
        <v>75</v>
      </c>
      <c r="N6547" t="s">
        <v>24</v>
      </c>
      <c r="O6547" t="s">
        <v>76</v>
      </c>
      <c r="P6547">
        <v>66100</v>
      </c>
      <c r="Q6547" t="str">
        <f>"41.136595"</f>
        <v>41.136595</v>
      </c>
      <c r="R6547" t="str">
        <f>"24.147462"</f>
        <v>24.147462</v>
      </c>
      <c r="S6547" t="s">
        <v>26</v>
      </c>
    </row>
    <row r="6548" spans="1:19" x14ac:dyDescent="0.3">
      <c r="A6548" t="s">
        <v>19</v>
      </c>
      <c r="B6548" t="s">
        <v>202</v>
      </c>
      <c r="C6548" t="s">
        <v>231</v>
      </c>
      <c r="D6548" t="s">
        <v>27</v>
      </c>
      <c r="E6548" t="s">
        <v>28</v>
      </c>
      <c r="F6548" t="s">
        <v>28</v>
      </c>
      <c r="G6548" t="s">
        <v>28</v>
      </c>
      <c r="H6548" t="s">
        <v>72</v>
      </c>
      <c r="I6548" t="s">
        <v>73</v>
      </c>
      <c r="J6548" t="str">
        <f>"1141001"</f>
        <v>1141001</v>
      </c>
      <c r="K6548">
        <v>2551029845</v>
      </c>
      <c r="L6548">
        <v>2551023108</v>
      </c>
      <c r="M6548" t="s">
        <v>232</v>
      </c>
      <c r="N6548" t="s">
        <v>31</v>
      </c>
      <c r="O6548" t="s">
        <v>233</v>
      </c>
      <c r="P6548">
        <v>68100</v>
      </c>
      <c r="Q6548" t="str">
        <f>"40.867722"</f>
        <v>40.867722</v>
      </c>
      <c r="R6548" t="str">
        <f>"25.869767"</f>
        <v>25.869767</v>
      </c>
      <c r="S6548" t="s">
        <v>26</v>
      </c>
    </row>
    <row r="6549" spans="1:19" x14ac:dyDescent="0.3">
      <c r="A6549" t="s">
        <v>19</v>
      </c>
      <c r="B6549" t="s">
        <v>202</v>
      </c>
      <c r="C6549" t="s">
        <v>234</v>
      </c>
      <c r="D6549" t="s">
        <v>27</v>
      </c>
      <c r="E6549" t="s">
        <v>221</v>
      </c>
      <c r="F6549" t="s">
        <v>221</v>
      </c>
      <c r="G6549" t="s">
        <v>221</v>
      </c>
      <c r="H6549" t="s">
        <v>72</v>
      </c>
      <c r="I6549" t="s">
        <v>73</v>
      </c>
      <c r="J6549" t="str">
        <f>"1141002"</f>
        <v>1141002</v>
      </c>
      <c r="K6549">
        <v>2552081920</v>
      </c>
      <c r="L6549">
        <v>2552081920</v>
      </c>
      <c r="M6549" t="s">
        <v>235</v>
      </c>
      <c r="N6549" t="s">
        <v>224</v>
      </c>
      <c r="O6549" t="s">
        <v>236</v>
      </c>
      <c r="P6549">
        <v>68200</v>
      </c>
      <c r="Q6549" t="str">
        <f>"41.490714"</f>
        <v>41.490714</v>
      </c>
      <c r="R6549" t="str">
        <f>"26.534030"</f>
        <v>26.534030</v>
      </c>
      <c r="S6549" t="s">
        <v>26</v>
      </c>
    </row>
    <row r="6550" spans="1:19" x14ac:dyDescent="0.3">
      <c r="A6550" t="s">
        <v>19</v>
      </c>
      <c r="B6550" t="s">
        <v>410</v>
      </c>
      <c r="C6550" t="s">
        <v>436</v>
      </c>
      <c r="D6550" t="s">
        <v>33</v>
      </c>
      <c r="E6550" t="s">
        <v>33</v>
      </c>
      <c r="F6550" t="s">
        <v>33</v>
      </c>
      <c r="G6550" t="s">
        <v>435</v>
      </c>
      <c r="H6550" t="s">
        <v>72</v>
      </c>
      <c r="I6550" t="s">
        <v>73</v>
      </c>
      <c r="J6550" t="str">
        <f>"2141001"</f>
        <v>2141001</v>
      </c>
      <c r="K6550">
        <v>2510316201</v>
      </c>
      <c r="L6550">
        <v>2510316201</v>
      </c>
      <c r="M6550" t="s">
        <v>437</v>
      </c>
      <c r="N6550" t="s">
        <v>36</v>
      </c>
      <c r="O6550" t="s">
        <v>438</v>
      </c>
      <c r="P6550">
        <v>64006</v>
      </c>
      <c r="Q6550" t="str">
        <f>"40.962995"</f>
        <v>40.962995</v>
      </c>
      <c r="R6550" t="str">
        <f>"24.511851"</f>
        <v>24.511851</v>
      </c>
      <c r="S6550" t="s">
        <v>26</v>
      </c>
    </row>
    <row r="6551" spans="1:19" x14ac:dyDescent="0.3">
      <c r="A6551" t="s">
        <v>19</v>
      </c>
      <c r="B6551" t="s">
        <v>593</v>
      </c>
      <c r="C6551" t="s">
        <v>617</v>
      </c>
      <c r="D6551" t="s">
        <v>38</v>
      </c>
      <c r="E6551" t="s">
        <v>604</v>
      </c>
      <c r="F6551" t="s">
        <v>605</v>
      </c>
      <c r="G6551" t="s">
        <v>616</v>
      </c>
      <c r="H6551" t="s">
        <v>72</v>
      </c>
      <c r="I6551" t="s">
        <v>73</v>
      </c>
      <c r="J6551" t="str">
        <f>"3741001"</f>
        <v>3741001</v>
      </c>
      <c r="K6551">
        <v>2541081315</v>
      </c>
      <c r="L6551">
        <v>2541081315</v>
      </c>
      <c r="M6551" t="s">
        <v>618</v>
      </c>
      <c r="N6551" t="s">
        <v>619</v>
      </c>
      <c r="O6551" t="s">
        <v>619</v>
      </c>
      <c r="P6551">
        <v>67140</v>
      </c>
      <c r="Q6551" t="str">
        <f>"41.057278"</f>
        <v>41.057278</v>
      </c>
      <c r="R6551" t="str">
        <f>"24.960166"</f>
        <v>24.960166</v>
      </c>
      <c r="S6551" t="s">
        <v>26</v>
      </c>
    </row>
    <row r="6552" spans="1:19" x14ac:dyDescent="0.3">
      <c r="A6552" t="s">
        <v>19</v>
      </c>
      <c r="B6552" t="s">
        <v>740</v>
      </c>
      <c r="C6552" t="s">
        <v>845</v>
      </c>
      <c r="D6552" t="s">
        <v>43</v>
      </c>
      <c r="E6552" t="s">
        <v>44</v>
      </c>
      <c r="F6552" t="s">
        <v>44</v>
      </c>
      <c r="G6552" t="s">
        <v>44</v>
      </c>
      <c r="H6552" t="s">
        <v>72</v>
      </c>
      <c r="I6552" t="s">
        <v>73</v>
      </c>
      <c r="J6552" t="str">
        <f>"4241001"</f>
        <v>4241001</v>
      </c>
      <c r="K6552">
        <v>2531070458</v>
      </c>
      <c r="L6552">
        <v>2531070458</v>
      </c>
      <c r="M6552" t="s">
        <v>846</v>
      </c>
      <c r="N6552" t="s">
        <v>44</v>
      </c>
      <c r="O6552" t="s">
        <v>847</v>
      </c>
      <c r="P6552">
        <v>69100</v>
      </c>
      <c r="Q6552" t="str">
        <f>"41.116484"</f>
        <v>41.116484</v>
      </c>
      <c r="R6552" t="str">
        <f>"25.360705"</f>
        <v>25.360705</v>
      </c>
      <c r="S6552" t="s">
        <v>26</v>
      </c>
    </row>
    <row r="6553" spans="1:19" x14ac:dyDescent="0.3">
      <c r="A6553" t="s">
        <v>3237</v>
      </c>
      <c r="B6553" t="s">
        <v>3307</v>
      </c>
      <c r="C6553" t="s">
        <v>3377</v>
      </c>
      <c r="D6553" t="s">
        <v>3238</v>
      </c>
      <c r="E6553" t="s">
        <v>3239</v>
      </c>
      <c r="F6553" t="s">
        <v>3239</v>
      </c>
      <c r="G6553" t="s">
        <v>3340</v>
      </c>
      <c r="H6553" t="s">
        <v>72</v>
      </c>
      <c r="I6553" t="s">
        <v>73</v>
      </c>
      <c r="J6553" t="str">
        <f>"0541001"</f>
        <v>0541001</v>
      </c>
      <c r="K6553">
        <v>2106410532</v>
      </c>
      <c r="L6553">
        <v>2106410532</v>
      </c>
      <c r="M6553" t="s">
        <v>3378</v>
      </c>
      <c r="N6553" t="s">
        <v>3379</v>
      </c>
      <c r="O6553" t="s">
        <v>3380</v>
      </c>
      <c r="P6553">
        <v>11521</v>
      </c>
      <c r="Q6553" t="str">
        <f>"37.986184"</f>
        <v>37.986184</v>
      </c>
      <c r="R6553" t="str">
        <f>"23.760324"</f>
        <v>23.760324</v>
      </c>
      <c r="S6553" t="s">
        <v>26</v>
      </c>
    </row>
    <row r="6554" spans="1:19" x14ac:dyDescent="0.3">
      <c r="A6554" t="s">
        <v>3237</v>
      </c>
      <c r="B6554" t="s">
        <v>3307</v>
      </c>
      <c r="C6554" t="s">
        <v>3995</v>
      </c>
      <c r="D6554" t="s">
        <v>3238</v>
      </c>
      <c r="E6554" t="s">
        <v>3239</v>
      </c>
      <c r="F6554" t="s">
        <v>3239</v>
      </c>
      <c r="G6554" t="s">
        <v>3240</v>
      </c>
      <c r="H6554" t="s">
        <v>72</v>
      </c>
      <c r="I6554" t="s">
        <v>73</v>
      </c>
      <c r="J6554" t="str">
        <f>"0525000"</f>
        <v>0525000</v>
      </c>
      <c r="Q6554" t="str">
        <f>""</f>
        <v/>
      </c>
      <c r="R6554" t="str">
        <f>""</f>
        <v/>
      </c>
      <c r="S6554" t="s">
        <v>26</v>
      </c>
    </row>
    <row r="6555" spans="1:19" x14ac:dyDescent="0.3">
      <c r="A6555" t="s">
        <v>3237</v>
      </c>
      <c r="B6555" t="s">
        <v>3996</v>
      </c>
      <c r="C6555" t="s">
        <v>4055</v>
      </c>
      <c r="D6555" t="s">
        <v>3262</v>
      </c>
      <c r="E6555" t="s">
        <v>4019</v>
      </c>
      <c r="F6555" t="s">
        <v>4054</v>
      </c>
      <c r="G6555" t="s">
        <v>4054</v>
      </c>
      <c r="H6555" t="s">
        <v>72</v>
      </c>
      <c r="I6555" t="s">
        <v>73</v>
      </c>
      <c r="J6555" t="str">
        <f>"0541008"</f>
        <v>0541008</v>
      </c>
      <c r="K6555">
        <v>2294098211</v>
      </c>
      <c r="L6555">
        <v>2294098240</v>
      </c>
      <c r="M6555" t="s">
        <v>4056</v>
      </c>
      <c r="N6555" t="s">
        <v>4057</v>
      </c>
      <c r="O6555" t="s">
        <v>4058</v>
      </c>
      <c r="P6555">
        <v>19005</v>
      </c>
      <c r="Q6555" t="str">
        <f>"38.073522"</f>
        <v>38.073522</v>
      </c>
      <c r="R6555" t="str">
        <f>"23.981975"</f>
        <v>23.981975</v>
      </c>
      <c r="S6555" t="s">
        <v>26</v>
      </c>
    </row>
    <row r="6556" spans="1:19" x14ac:dyDescent="0.3">
      <c r="A6556" t="s">
        <v>3237</v>
      </c>
      <c r="B6556" t="s">
        <v>3996</v>
      </c>
      <c r="C6556" t="s">
        <v>4062</v>
      </c>
      <c r="D6556" t="s">
        <v>3262</v>
      </c>
      <c r="E6556" t="s">
        <v>4060</v>
      </c>
      <c r="F6556" t="s">
        <v>4061</v>
      </c>
      <c r="G6556" t="s">
        <v>4061</v>
      </c>
      <c r="H6556" t="s">
        <v>72</v>
      </c>
      <c r="I6556" t="s">
        <v>73</v>
      </c>
      <c r="J6556" t="str">
        <f>"0541009"</f>
        <v>0541009</v>
      </c>
      <c r="K6556">
        <v>2294033605</v>
      </c>
      <c r="L6556">
        <v>2294039185</v>
      </c>
      <c r="M6556" t="s">
        <v>4063</v>
      </c>
      <c r="N6556" t="s">
        <v>4064</v>
      </c>
      <c r="O6556" t="s">
        <v>4065</v>
      </c>
      <c r="P6556">
        <v>19009</v>
      </c>
      <c r="Q6556" t="str">
        <f>"38.027438"</f>
        <v>38.027438</v>
      </c>
      <c r="R6556" t="str">
        <f>"23.972132"</f>
        <v>23.972132</v>
      </c>
      <c r="S6556" t="s">
        <v>26</v>
      </c>
    </row>
    <row r="6557" spans="1:19" x14ac:dyDescent="0.3">
      <c r="A6557" t="s">
        <v>3237</v>
      </c>
      <c r="B6557" t="s">
        <v>3996</v>
      </c>
      <c r="C6557" t="s">
        <v>4584</v>
      </c>
      <c r="D6557" t="s">
        <v>3262</v>
      </c>
      <c r="E6557" t="s">
        <v>4067</v>
      </c>
      <c r="F6557" t="s">
        <v>4262</v>
      </c>
      <c r="G6557" t="s">
        <v>4067</v>
      </c>
      <c r="H6557" t="s">
        <v>72</v>
      </c>
      <c r="I6557" t="s">
        <v>73</v>
      </c>
      <c r="J6557" t="str">
        <f>"0525001"</f>
        <v>0525001</v>
      </c>
      <c r="Q6557" t="str">
        <f>""</f>
        <v/>
      </c>
      <c r="R6557" t="str">
        <f>""</f>
        <v/>
      </c>
      <c r="S6557" t="s">
        <v>26</v>
      </c>
    </row>
    <row r="6558" spans="1:19" x14ac:dyDescent="0.3">
      <c r="A6558" t="s">
        <v>3237</v>
      </c>
      <c r="B6558" t="s">
        <v>4585</v>
      </c>
      <c r="C6558" t="s">
        <v>5042</v>
      </c>
      <c r="D6558" t="s">
        <v>3245</v>
      </c>
      <c r="E6558" t="s">
        <v>4618</v>
      </c>
      <c r="F6558" t="s">
        <v>4618</v>
      </c>
      <c r="G6558" t="s">
        <v>4618</v>
      </c>
      <c r="H6558" t="s">
        <v>72</v>
      </c>
      <c r="I6558" t="s">
        <v>73</v>
      </c>
      <c r="J6558" t="str">
        <f>"0541003"</f>
        <v>0541003</v>
      </c>
      <c r="K6558">
        <v>2102717345</v>
      </c>
      <c r="L6558">
        <v>2102717337</v>
      </c>
      <c r="M6558" t="s">
        <v>5043</v>
      </c>
      <c r="N6558" t="s">
        <v>4621</v>
      </c>
      <c r="O6558" t="s">
        <v>5044</v>
      </c>
      <c r="P6558">
        <v>14122</v>
      </c>
      <c r="Q6558" t="str">
        <f>"38.054530"</f>
        <v>38.054530</v>
      </c>
      <c r="R6558" t="str">
        <f>"23.771648"</f>
        <v>23.771648</v>
      </c>
      <c r="S6558" t="s">
        <v>26</v>
      </c>
    </row>
    <row r="6559" spans="1:19" x14ac:dyDescent="0.3">
      <c r="A6559" t="s">
        <v>3237</v>
      </c>
      <c r="B6559" t="s">
        <v>5080</v>
      </c>
      <c r="C6559" t="s">
        <v>5105</v>
      </c>
      <c r="D6559" t="s">
        <v>3251</v>
      </c>
      <c r="E6559" t="s">
        <v>3252</v>
      </c>
      <c r="F6559" t="s">
        <v>3252</v>
      </c>
      <c r="G6559" t="s">
        <v>3252</v>
      </c>
      <c r="H6559" t="s">
        <v>72</v>
      </c>
      <c r="I6559" t="s">
        <v>73</v>
      </c>
      <c r="J6559" t="str">
        <f>"0541005"</f>
        <v>0541005</v>
      </c>
      <c r="K6559">
        <v>2105625733</v>
      </c>
      <c r="L6559">
        <v>2105625733</v>
      </c>
      <c r="M6559" t="s">
        <v>5106</v>
      </c>
      <c r="N6559" t="s">
        <v>3252</v>
      </c>
      <c r="O6559" t="s">
        <v>5107</v>
      </c>
      <c r="P6559">
        <v>12241</v>
      </c>
      <c r="Q6559" t="str">
        <f>"37.980443"</f>
        <v>37.980443</v>
      </c>
      <c r="R6559" t="str">
        <f>"23.672938"</f>
        <v>23.672938</v>
      </c>
      <c r="S6559" t="s">
        <v>26</v>
      </c>
    </row>
    <row r="6560" spans="1:19" x14ac:dyDescent="0.3">
      <c r="A6560" t="s">
        <v>3237</v>
      </c>
      <c r="B6560" t="s">
        <v>5080</v>
      </c>
      <c r="C6560" t="s">
        <v>5109</v>
      </c>
      <c r="D6560" t="s">
        <v>3251</v>
      </c>
      <c r="E6560" t="s">
        <v>3252</v>
      </c>
      <c r="F6560" t="s">
        <v>3252</v>
      </c>
      <c r="G6560" t="s">
        <v>3252</v>
      </c>
      <c r="H6560" t="s">
        <v>72</v>
      </c>
      <c r="I6560" t="s">
        <v>73</v>
      </c>
      <c r="J6560" t="str">
        <f>"0541004"</f>
        <v>0541004</v>
      </c>
      <c r="K6560">
        <v>2105619550</v>
      </c>
      <c r="L6560">
        <v>2105619550</v>
      </c>
      <c r="M6560" t="s">
        <v>5110</v>
      </c>
      <c r="N6560" t="s">
        <v>3252</v>
      </c>
      <c r="O6560" t="s">
        <v>5111</v>
      </c>
      <c r="P6560">
        <v>12244</v>
      </c>
      <c r="Q6560" t="str">
        <f>"37.983897"</f>
        <v>37.983897</v>
      </c>
      <c r="R6560" t="str">
        <f>"23.668466"</f>
        <v>23.668466</v>
      </c>
      <c r="S6560" t="s">
        <v>26</v>
      </c>
    </row>
    <row r="6561" spans="1:19" x14ac:dyDescent="0.3">
      <c r="A6561" t="s">
        <v>3237</v>
      </c>
      <c r="B6561" t="s">
        <v>5562</v>
      </c>
      <c r="C6561" t="s">
        <v>5989</v>
      </c>
      <c r="D6561" t="s">
        <v>3256</v>
      </c>
      <c r="E6561" t="s">
        <v>3295</v>
      </c>
      <c r="F6561" t="s">
        <v>3295</v>
      </c>
      <c r="G6561" t="s">
        <v>3295</v>
      </c>
      <c r="H6561" t="s">
        <v>72</v>
      </c>
      <c r="I6561" t="s">
        <v>73</v>
      </c>
      <c r="J6561" t="str">
        <f>"0541006"</f>
        <v>0541006</v>
      </c>
      <c r="K6561">
        <v>2109845234</v>
      </c>
      <c r="L6561">
        <v>2109422555</v>
      </c>
      <c r="M6561" t="s">
        <v>5990</v>
      </c>
      <c r="N6561" t="s">
        <v>3472</v>
      </c>
      <c r="O6561" t="s">
        <v>5991</v>
      </c>
      <c r="P6561">
        <v>17342</v>
      </c>
      <c r="Q6561" t="str">
        <f>"37.922127"</f>
        <v>37.922127</v>
      </c>
      <c r="R6561" t="str">
        <f>"23.728180"</f>
        <v>23.728180</v>
      </c>
      <c r="S6561" t="s">
        <v>26</v>
      </c>
    </row>
    <row r="6562" spans="1:19" x14ac:dyDescent="0.3">
      <c r="A6562" t="s">
        <v>3237</v>
      </c>
      <c r="B6562" t="s">
        <v>5562</v>
      </c>
      <c r="C6562" t="s">
        <v>5994</v>
      </c>
      <c r="D6562" t="s">
        <v>3256</v>
      </c>
      <c r="E6562" t="s">
        <v>5563</v>
      </c>
      <c r="F6562" t="s">
        <v>5563</v>
      </c>
      <c r="G6562" t="s">
        <v>5611</v>
      </c>
      <c r="H6562" t="s">
        <v>72</v>
      </c>
      <c r="I6562" t="s">
        <v>73</v>
      </c>
      <c r="J6562" t="str">
        <f>"0559002"</f>
        <v>0559002</v>
      </c>
      <c r="K6562">
        <v>2155651859</v>
      </c>
      <c r="L6562">
        <v>2155651859</v>
      </c>
      <c r="M6562" t="s">
        <v>5995</v>
      </c>
      <c r="N6562" t="s">
        <v>5996</v>
      </c>
      <c r="O6562" t="s">
        <v>5997</v>
      </c>
      <c r="P6562">
        <v>17672</v>
      </c>
      <c r="Q6562" t="str">
        <f>"37.952539"</f>
        <v>37.952539</v>
      </c>
      <c r="R6562" t="str">
        <f>"23.707799"</f>
        <v>23.707799</v>
      </c>
      <c r="S6562" t="s">
        <v>26</v>
      </c>
    </row>
    <row r="6563" spans="1:19" x14ac:dyDescent="0.3">
      <c r="A6563" t="s">
        <v>3237</v>
      </c>
      <c r="B6563" t="s">
        <v>5998</v>
      </c>
      <c r="C6563" t="s">
        <v>6175</v>
      </c>
      <c r="D6563" t="s">
        <v>3268</v>
      </c>
      <c r="E6563" t="s">
        <v>3269</v>
      </c>
      <c r="F6563" t="s">
        <v>3270</v>
      </c>
      <c r="G6563" t="s">
        <v>3270</v>
      </c>
      <c r="H6563" t="s">
        <v>72</v>
      </c>
      <c r="I6563" t="s">
        <v>73</v>
      </c>
      <c r="J6563" t="str">
        <f>"0541010"</f>
        <v>0541010</v>
      </c>
      <c r="K6563">
        <v>2105543704</v>
      </c>
      <c r="L6563">
        <v>2105549881</v>
      </c>
      <c r="M6563" t="s">
        <v>6176</v>
      </c>
      <c r="N6563" t="s">
        <v>3273</v>
      </c>
      <c r="O6563" t="s">
        <v>6177</v>
      </c>
      <c r="P6563">
        <v>19200</v>
      </c>
      <c r="Q6563" t="str">
        <f>"38.066611"</f>
        <v>38.066611</v>
      </c>
      <c r="R6563" t="str">
        <f>"23.531581"</f>
        <v>23.531581</v>
      </c>
      <c r="S6563" t="s">
        <v>26</v>
      </c>
    </row>
    <row r="6564" spans="1:19" x14ac:dyDescent="0.3">
      <c r="A6564" t="s">
        <v>3237</v>
      </c>
      <c r="B6564" t="s">
        <v>6192</v>
      </c>
      <c r="C6564" t="s">
        <v>6262</v>
      </c>
      <c r="D6564" t="s">
        <v>3275</v>
      </c>
      <c r="E6564" t="s">
        <v>3275</v>
      </c>
      <c r="F6564" t="s">
        <v>3275</v>
      </c>
      <c r="G6564" t="s">
        <v>6261</v>
      </c>
      <c r="H6564" t="s">
        <v>72</v>
      </c>
      <c r="I6564" t="s">
        <v>73</v>
      </c>
      <c r="J6564" t="str">
        <f>"0541020"</f>
        <v>0541020</v>
      </c>
      <c r="K6564">
        <v>2104614691</v>
      </c>
      <c r="L6564">
        <v>2104614694</v>
      </c>
      <c r="M6564" t="s">
        <v>6263</v>
      </c>
      <c r="N6564" t="s">
        <v>3279</v>
      </c>
      <c r="O6564" t="s">
        <v>6264</v>
      </c>
      <c r="P6564">
        <v>18541</v>
      </c>
      <c r="Q6564" t="str">
        <f>"37.951379"</f>
        <v>37.951379</v>
      </c>
      <c r="R6564" t="str">
        <f>"23.659543"</f>
        <v>23.659543</v>
      </c>
      <c r="S6564" t="s">
        <v>26</v>
      </c>
    </row>
    <row r="6565" spans="1:19" x14ac:dyDescent="0.3">
      <c r="A6565" t="s">
        <v>3237</v>
      </c>
      <c r="B6565" t="s">
        <v>6192</v>
      </c>
      <c r="C6565" t="s">
        <v>6718</v>
      </c>
      <c r="D6565" t="s">
        <v>6222</v>
      </c>
      <c r="E6565" t="s">
        <v>6231</v>
      </c>
      <c r="F6565" t="s">
        <v>6238</v>
      </c>
      <c r="G6565" t="s">
        <v>6337</v>
      </c>
      <c r="H6565" t="s">
        <v>72</v>
      </c>
      <c r="I6565" t="s">
        <v>73</v>
      </c>
      <c r="J6565" t="str">
        <f>"0541025"</f>
        <v>0541025</v>
      </c>
      <c r="K6565">
        <v>2298042469</v>
      </c>
      <c r="L6565">
        <v>2298042469</v>
      </c>
      <c r="M6565" t="s">
        <v>6719</v>
      </c>
      <c r="N6565" t="s">
        <v>6242</v>
      </c>
      <c r="O6565" t="s">
        <v>6242</v>
      </c>
      <c r="P6565">
        <v>18020</v>
      </c>
      <c r="Q6565" t="str">
        <f>"37.498551"</f>
        <v>37.498551</v>
      </c>
      <c r="R6565" t="str">
        <f>"23.423316"</f>
        <v>23.423316</v>
      </c>
      <c r="S6565" t="s">
        <v>26</v>
      </c>
    </row>
    <row r="6566" spans="1:19" x14ac:dyDescent="0.3">
      <c r="A6566" t="s">
        <v>3237</v>
      </c>
      <c r="B6566" t="s">
        <v>6192</v>
      </c>
      <c r="C6566" t="s">
        <v>6720</v>
      </c>
      <c r="D6566" t="s">
        <v>3275</v>
      </c>
      <c r="E6566" t="s">
        <v>3275</v>
      </c>
      <c r="F6566" t="s">
        <v>3275</v>
      </c>
      <c r="G6566" t="s">
        <v>6261</v>
      </c>
      <c r="H6566" t="s">
        <v>72</v>
      </c>
      <c r="I6566" t="s">
        <v>73</v>
      </c>
      <c r="J6566" t="str">
        <f>"0559001"</f>
        <v>0559001</v>
      </c>
      <c r="K6566">
        <v>2104206007</v>
      </c>
      <c r="L6566">
        <v>2104206008</v>
      </c>
      <c r="M6566" t="s">
        <v>6721</v>
      </c>
      <c r="N6566" t="s">
        <v>3279</v>
      </c>
      <c r="O6566" t="s">
        <v>6722</v>
      </c>
      <c r="P6566">
        <v>18542</v>
      </c>
      <c r="Q6566" t="str">
        <f>"37.959124"</f>
        <v>37.959124</v>
      </c>
      <c r="R6566" t="str">
        <f>"23.656627"</f>
        <v>23.656627</v>
      </c>
      <c r="S6566" t="s">
        <v>26</v>
      </c>
    </row>
    <row r="6567" spans="1:19" x14ac:dyDescent="0.3">
      <c r="A6567" t="s">
        <v>12435</v>
      </c>
      <c r="B6567" t="s">
        <v>12460</v>
      </c>
      <c r="C6567" t="s">
        <v>12484</v>
      </c>
      <c r="D6567" t="s">
        <v>12436</v>
      </c>
      <c r="E6567" t="s">
        <v>12437</v>
      </c>
      <c r="F6567" t="s">
        <v>12437</v>
      </c>
      <c r="G6567" t="s">
        <v>12437</v>
      </c>
      <c r="H6567" t="s">
        <v>72</v>
      </c>
      <c r="I6567" t="s">
        <v>73</v>
      </c>
      <c r="J6567" t="str">
        <f>"3341001"</f>
        <v>3341001</v>
      </c>
      <c r="K6567">
        <v>2251046766</v>
      </c>
      <c r="L6567">
        <v>2251046766</v>
      </c>
      <c r="M6567" t="s">
        <v>12485</v>
      </c>
      <c r="N6567" t="s">
        <v>12486</v>
      </c>
      <c r="O6567" t="s">
        <v>12487</v>
      </c>
      <c r="P6567">
        <v>81100</v>
      </c>
      <c r="Q6567" t="str">
        <f>"39.097991"</f>
        <v>39.097991</v>
      </c>
      <c r="R6567" t="str">
        <f>"26.547132"</f>
        <v>26.547132</v>
      </c>
      <c r="S6567" t="s">
        <v>26</v>
      </c>
    </row>
    <row r="6568" spans="1:19" x14ac:dyDescent="0.3">
      <c r="A6568" t="s">
        <v>12435</v>
      </c>
      <c r="B6568" t="s">
        <v>12460</v>
      </c>
      <c r="C6568" t="s">
        <v>12681</v>
      </c>
      <c r="D6568" t="s">
        <v>12453</v>
      </c>
      <c r="E6568" t="s">
        <v>12453</v>
      </c>
      <c r="F6568" t="s">
        <v>12523</v>
      </c>
      <c r="G6568" t="s">
        <v>12680</v>
      </c>
      <c r="H6568" t="s">
        <v>72</v>
      </c>
      <c r="I6568" t="s">
        <v>73</v>
      </c>
      <c r="J6568" t="str">
        <f>"3341002"</f>
        <v>3341002</v>
      </c>
      <c r="K6568">
        <v>2254041735</v>
      </c>
      <c r="L6568">
        <v>2254041735</v>
      </c>
      <c r="M6568" t="s">
        <v>12682</v>
      </c>
      <c r="N6568" t="s">
        <v>12683</v>
      </c>
      <c r="O6568" t="s">
        <v>12684</v>
      </c>
      <c r="P6568">
        <v>81401</v>
      </c>
      <c r="Q6568" t="str">
        <f>"39.923511"</f>
        <v>39.923511</v>
      </c>
      <c r="R6568" t="str">
        <f>"25.299812"</f>
        <v>25.299812</v>
      </c>
      <c r="S6568" t="s">
        <v>57</v>
      </c>
    </row>
    <row r="6569" spans="1:19" x14ac:dyDescent="0.3">
      <c r="A6569" t="s">
        <v>12435</v>
      </c>
      <c r="B6569" t="s">
        <v>12698</v>
      </c>
      <c r="C6569" t="s">
        <v>12728</v>
      </c>
      <c r="D6569" t="s">
        <v>12442</v>
      </c>
      <c r="E6569" t="s">
        <v>12443</v>
      </c>
      <c r="F6569" t="s">
        <v>12041</v>
      </c>
      <c r="G6569" t="s">
        <v>12727</v>
      </c>
      <c r="H6569" t="s">
        <v>72</v>
      </c>
      <c r="I6569" t="s">
        <v>73</v>
      </c>
      <c r="J6569" t="str">
        <f>"4341001"</f>
        <v>4341001</v>
      </c>
      <c r="K6569">
        <v>2273087494</v>
      </c>
      <c r="L6569">
        <v>2273087495</v>
      </c>
      <c r="M6569" t="s">
        <v>12729</v>
      </c>
      <c r="N6569" t="s">
        <v>12446</v>
      </c>
      <c r="O6569" t="s">
        <v>12730</v>
      </c>
      <c r="P6569">
        <v>83100</v>
      </c>
      <c r="Q6569" t="str">
        <f>"37.744390"</f>
        <v>37.744390</v>
      </c>
      <c r="R6569" t="str">
        <f>"26.971799"</f>
        <v>26.971799</v>
      </c>
      <c r="S6569" t="s">
        <v>26</v>
      </c>
    </row>
    <row r="6570" spans="1:19" x14ac:dyDescent="0.3">
      <c r="A6570" t="s">
        <v>12435</v>
      </c>
      <c r="B6570" t="s">
        <v>12698</v>
      </c>
      <c r="C6570" t="s">
        <v>12797</v>
      </c>
      <c r="D6570" t="s">
        <v>12699</v>
      </c>
      <c r="E6570" t="s">
        <v>12699</v>
      </c>
      <c r="F6570" t="s">
        <v>12747</v>
      </c>
      <c r="G6570" t="s">
        <v>12747</v>
      </c>
      <c r="H6570" t="s">
        <v>72</v>
      </c>
      <c r="I6570" t="s">
        <v>73</v>
      </c>
      <c r="J6570" t="str">
        <f>"4359001"</f>
        <v>4359001</v>
      </c>
      <c r="K6570">
        <v>2275032235</v>
      </c>
      <c r="M6570" t="s">
        <v>12798</v>
      </c>
      <c r="N6570" t="s">
        <v>12777</v>
      </c>
      <c r="O6570" t="s">
        <v>12777</v>
      </c>
      <c r="P6570">
        <v>83302</v>
      </c>
      <c r="Q6570" t="str">
        <f>"37.625029"</f>
        <v>37.625029</v>
      </c>
      <c r="R6570" t="str">
        <f>"26.193370"</f>
        <v>26.193370</v>
      </c>
      <c r="S6570" t="s">
        <v>57</v>
      </c>
    </row>
    <row r="6571" spans="1:19" x14ac:dyDescent="0.3">
      <c r="A6571" t="s">
        <v>12435</v>
      </c>
      <c r="B6571" t="s">
        <v>12801</v>
      </c>
      <c r="C6571" t="s">
        <v>12858</v>
      </c>
      <c r="D6571" t="s">
        <v>12448</v>
      </c>
      <c r="E6571" t="s">
        <v>12448</v>
      </c>
      <c r="F6571" t="s">
        <v>12448</v>
      </c>
      <c r="G6571" t="s">
        <v>12448</v>
      </c>
      <c r="H6571" t="s">
        <v>72</v>
      </c>
      <c r="I6571" t="s">
        <v>73</v>
      </c>
      <c r="J6571" t="str">
        <f>"5141001"</f>
        <v>5141001</v>
      </c>
      <c r="K6571">
        <v>2271022729</v>
      </c>
      <c r="L6571">
        <v>2271022729</v>
      </c>
      <c r="M6571" t="s">
        <v>12859</v>
      </c>
      <c r="N6571" t="s">
        <v>12451</v>
      </c>
      <c r="O6571" t="s">
        <v>12860</v>
      </c>
      <c r="P6571">
        <v>82132</v>
      </c>
      <c r="Q6571" t="str">
        <f>"38.393749"</f>
        <v>38.393749</v>
      </c>
      <c r="R6571" t="str">
        <f>"26.130641"</f>
        <v>26.130641</v>
      </c>
      <c r="S6571" t="s">
        <v>26</v>
      </c>
    </row>
    <row r="6572" spans="1:19" x14ac:dyDescent="0.3">
      <c r="A6572" t="s">
        <v>13791</v>
      </c>
      <c r="B6572" t="s">
        <v>13812</v>
      </c>
      <c r="C6572" t="s">
        <v>14151</v>
      </c>
      <c r="D6572" t="s">
        <v>13792</v>
      </c>
      <c r="E6572" t="s">
        <v>13888</v>
      </c>
      <c r="F6572" t="s">
        <v>13889</v>
      </c>
      <c r="G6572" t="s">
        <v>13889</v>
      </c>
      <c r="H6572" t="s">
        <v>72</v>
      </c>
      <c r="I6572" t="s">
        <v>73</v>
      </c>
      <c r="J6572" t="str">
        <f>"0141002"</f>
        <v>0141002</v>
      </c>
      <c r="K6572">
        <v>2634022061</v>
      </c>
      <c r="L6572">
        <v>2634022061</v>
      </c>
      <c r="M6572" t="s">
        <v>14152</v>
      </c>
      <c r="N6572" t="s">
        <v>13892</v>
      </c>
      <c r="O6572" t="s">
        <v>14153</v>
      </c>
      <c r="P6572">
        <v>30300</v>
      </c>
      <c r="Q6572" t="str">
        <f>"38.391849"</f>
        <v>38.391849</v>
      </c>
      <c r="R6572" t="str">
        <f>"21.821408"</f>
        <v>21.821408</v>
      </c>
      <c r="S6572" t="s">
        <v>26</v>
      </c>
    </row>
    <row r="6573" spans="1:19" x14ac:dyDescent="0.3">
      <c r="A6573" t="s">
        <v>13791</v>
      </c>
      <c r="B6573" t="s">
        <v>13812</v>
      </c>
      <c r="C6573" t="s">
        <v>14154</v>
      </c>
      <c r="D6573" t="s">
        <v>13792</v>
      </c>
      <c r="E6573" t="s">
        <v>13851</v>
      </c>
      <c r="F6573" t="s">
        <v>11666</v>
      </c>
      <c r="G6573" t="s">
        <v>11666</v>
      </c>
      <c r="H6573" t="s">
        <v>72</v>
      </c>
      <c r="I6573" t="s">
        <v>73</v>
      </c>
      <c r="J6573" t="str">
        <f>"0141001"</f>
        <v>0141001</v>
      </c>
      <c r="K6573">
        <v>2641031521</v>
      </c>
      <c r="L6573">
        <v>2641091894</v>
      </c>
      <c r="M6573" t="s">
        <v>14155</v>
      </c>
      <c r="N6573" t="s">
        <v>13885</v>
      </c>
      <c r="O6573" t="s">
        <v>14156</v>
      </c>
      <c r="P6573">
        <v>30100</v>
      </c>
      <c r="Q6573" t="str">
        <f>"38.664505"</f>
        <v>38.664505</v>
      </c>
      <c r="R6573" t="str">
        <f>"21.373279"</f>
        <v>21.373279</v>
      </c>
      <c r="S6573" t="s">
        <v>26</v>
      </c>
    </row>
    <row r="6574" spans="1:19" x14ac:dyDescent="0.3">
      <c r="A6574" t="s">
        <v>13791</v>
      </c>
      <c r="B6574" t="s">
        <v>14180</v>
      </c>
      <c r="C6574" t="s">
        <v>14218</v>
      </c>
      <c r="D6574" t="s">
        <v>13798</v>
      </c>
      <c r="E6574" t="s">
        <v>13799</v>
      </c>
      <c r="F6574" t="s">
        <v>13799</v>
      </c>
      <c r="G6574" t="s">
        <v>13800</v>
      </c>
      <c r="H6574" t="s">
        <v>72</v>
      </c>
      <c r="I6574" t="s">
        <v>73</v>
      </c>
      <c r="J6574" t="str">
        <f>"0641001"</f>
        <v>0641001</v>
      </c>
      <c r="K6574">
        <v>2610341401</v>
      </c>
      <c r="L6574">
        <v>2610341401</v>
      </c>
      <c r="M6574" t="s">
        <v>14219</v>
      </c>
      <c r="N6574" t="s">
        <v>14220</v>
      </c>
      <c r="O6574" t="s">
        <v>14221</v>
      </c>
      <c r="P6574">
        <v>26443</v>
      </c>
      <c r="Q6574" t="str">
        <f>"38.283197"</f>
        <v>38.283197</v>
      </c>
      <c r="R6574" t="str">
        <f>"21.782173"</f>
        <v>21.782173</v>
      </c>
      <c r="S6574" t="s">
        <v>26</v>
      </c>
    </row>
    <row r="6575" spans="1:19" x14ac:dyDescent="0.3">
      <c r="A6575" t="s">
        <v>13791</v>
      </c>
      <c r="B6575" t="s">
        <v>14180</v>
      </c>
      <c r="C6575" t="s">
        <v>14640</v>
      </c>
      <c r="D6575" t="s">
        <v>13798</v>
      </c>
      <c r="E6575" t="s">
        <v>14181</v>
      </c>
      <c r="F6575" t="s">
        <v>14182</v>
      </c>
      <c r="G6575" t="s">
        <v>14182</v>
      </c>
      <c r="H6575" t="s">
        <v>72</v>
      </c>
      <c r="I6575" t="s">
        <v>73</v>
      </c>
      <c r="J6575" t="str">
        <f>"0659001"</f>
        <v>0659001</v>
      </c>
      <c r="K6575">
        <v>2691027987</v>
      </c>
      <c r="L6575">
        <v>2691027987</v>
      </c>
      <c r="M6575" t="s">
        <v>14641</v>
      </c>
      <c r="N6575" t="s">
        <v>14642</v>
      </c>
      <c r="O6575" t="s">
        <v>14643</v>
      </c>
      <c r="P6575">
        <v>25100</v>
      </c>
      <c r="Q6575" t="str">
        <f>"38.249343"</f>
        <v>38.249343</v>
      </c>
      <c r="R6575" t="str">
        <f>"22.072452"</f>
        <v>22.072452</v>
      </c>
      <c r="S6575" t="s">
        <v>26</v>
      </c>
    </row>
    <row r="6576" spans="1:19" x14ac:dyDescent="0.3">
      <c r="A6576" t="s">
        <v>13791</v>
      </c>
      <c r="B6576" t="s">
        <v>14644</v>
      </c>
      <c r="C6576" t="s">
        <v>14939</v>
      </c>
      <c r="D6576" t="s">
        <v>13805</v>
      </c>
      <c r="E6576" t="s">
        <v>1210</v>
      </c>
      <c r="F6576" t="s">
        <v>1210</v>
      </c>
      <c r="G6576" t="s">
        <v>14938</v>
      </c>
      <c r="H6576" t="s">
        <v>72</v>
      </c>
      <c r="I6576" t="s">
        <v>73</v>
      </c>
      <c r="J6576" t="str">
        <f>"1541001"</f>
        <v>1541001</v>
      </c>
      <c r="K6576">
        <v>2621025874</v>
      </c>
      <c r="L6576">
        <v>2621022709</v>
      </c>
      <c r="M6576" t="s">
        <v>14940</v>
      </c>
      <c r="N6576" t="s">
        <v>14941</v>
      </c>
      <c r="O6576" t="s">
        <v>14942</v>
      </c>
      <c r="P6576">
        <v>27100</v>
      </c>
      <c r="Q6576" t="str">
        <f>"37.685879"</f>
        <v>37.685879</v>
      </c>
      <c r="R6576" t="str">
        <f>"21.386385"</f>
        <v>21.386385</v>
      </c>
      <c r="S6576" t="s">
        <v>26</v>
      </c>
    </row>
    <row r="6577" spans="1:19" x14ac:dyDescent="0.3">
      <c r="A6577" t="s">
        <v>17244</v>
      </c>
      <c r="B6577" t="s">
        <v>17266</v>
      </c>
      <c r="C6577" t="s">
        <v>17306</v>
      </c>
      <c r="D6577" t="s">
        <v>17245</v>
      </c>
      <c r="E6577" t="s">
        <v>17245</v>
      </c>
      <c r="F6577" t="s">
        <v>17245</v>
      </c>
      <c r="G6577" t="s">
        <v>17245</v>
      </c>
      <c r="H6577" t="s">
        <v>72</v>
      </c>
      <c r="I6577" t="s">
        <v>73</v>
      </c>
      <c r="J6577" t="str">
        <f>"0841001"</f>
        <v>0841001</v>
      </c>
      <c r="K6577">
        <v>2462087172</v>
      </c>
      <c r="L6577">
        <v>2462087173</v>
      </c>
      <c r="M6577" t="s">
        <v>17307</v>
      </c>
      <c r="N6577" t="s">
        <v>17248</v>
      </c>
      <c r="O6577" t="s">
        <v>17308</v>
      </c>
      <c r="P6577">
        <v>51100</v>
      </c>
      <c r="Q6577" t="str">
        <f>"40.086849"</f>
        <v>40.086849</v>
      </c>
      <c r="R6577" t="str">
        <f>"21.438617"</f>
        <v>21.438617</v>
      </c>
      <c r="S6577" t="s">
        <v>26</v>
      </c>
    </row>
    <row r="6578" spans="1:19" x14ac:dyDescent="0.3">
      <c r="A6578" t="s">
        <v>17244</v>
      </c>
      <c r="B6578" t="s">
        <v>17317</v>
      </c>
      <c r="C6578" t="s">
        <v>17403</v>
      </c>
      <c r="D6578" t="s">
        <v>17250</v>
      </c>
      <c r="E6578" t="s">
        <v>17328</v>
      </c>
      <c r="F6578" t="s">
        <v>17328</v>
      </c>
      <c r="G6578" t="s">
        <v>17328</v>
      </c>
      <c r="H6578" t="s">
        <v>72</v>
      </c>
      <c r="I6578" t="s">
        <v>73</v>
      </c>
      <c r="J6578" t="str">
        <f>"2341001"</f>
        <v>2341001</v>
      </c>
      <c r="K6578">
        <v>2467042168</v>
      </c>
      <c r="L6578">
        <v>2467042168</v>
      </c>
      <c r="M6578" t="s">
        <v>17404</v>
      </c>
      <c r="N6578" t="s">
        <v>17331</v>
      </c>
      <c r="O6578" t="s">
        <v>17405</v>
      </c>
      <c r="P6578">
        <v>52200</v>
      </c>
      <c r="Q6578" t="str">
        <f>"40.445199"</f>
        <v>40.445199</v>
      </c>
      <c r="R6578" t="str">
        <f>"21.271784"</f>
        <v>21.271784</v>
      </c>
      <c r="S6578" t="s">
        <v>26</v>
      </c>
    </row>
    <row r="6579" spans="1:19" x14ac:dyDescent="0.3">
      <c r="A6579" t="s">
        <v>17244</v>
      </c>
      <c r="B6579" t="s">
        <v>17433</v>
      </c>
      <c r="C6579" t="s">
        <v>17664</v>
      </c>
      <c r="D6579" t="s">
        <v>17255</v>
      </c>
      <c r="E6579" t="s">
        <v>17255</v>
      </c>
      <c r="F6579" t="s">
        <v>17255</v>
      </c>
      <c r="G6579" t="s">
        <v>17255</v>
      </c>
      <c r="H6579" t="s">
        <v>72</v>
      </c>
      <c r="I6579" t="s">
        <v>73</v>
      </c>
      <c r="J6579" t="str">
        <f>"2741001"</f>
        <v>2741001</v>
      </c>
      <c r="K6579">
        <v>2461023918</v>
      </c>
      <c r="L6579">
        <v>2461023918</v>
      </c>
      <c r="M6579" t="s">
        <v>17665</v>
      </c>
      <c r="N6579" t="s">
        <v>17255</v>
      </c>
      <c r="O6579" t="s">
        <v>17666</v>
      </c>
      <c r="P6579">
        <v>50100</v>
      </c>
      <c r="Q6579" t="str">
        <f>"40.325343"</f>
        <v>40.325343</v>
      </c>
      <c r="R6579" t="str">
        <f>"21.737679"</f>
        <v>21.737679</v>
      </c>
      <c r="S6579" t="s">
        <v>26</v>
      </c>
    </row>
    <row r="6580" spans="1:19" x14ac:dyDescent="0.3">
      <c r="A6580" t="s">
        <v>17244</v>
      </c>
      <c r="B6580" t="s">
        <v>17433</v>
      </c>
      <c r="C6580" t="s">
        <v>17668</v>
      </c>
      <c r="D6580" t="s">
        <v>17255</v>
      </c>
      <c r="E6580" t="s">
        <v>17488</v>
      </c>
      <c r="F6580" t="s">
        <v>17489</v>
      </c>
      <c r="G6580" t="s">
        <v>17411</v>
      </c>
      <c r="H6580" t="s">
        <v>72</v>
      </c>
      <c r="I6580" t="s">
        <v>73</v>
      </c>
      <c r="J6580" t="str">
        <f>"2741002"</f>
        <v>2741002</v>
      </c>
      <c r="K6580">
        <v>2463077414</v>
      </c>
      <c r="L6580">
        <v>2463077414</v>
      </c>
      <c r="M6580" t="s">
        <v>17669</v>
      </c>
      <c r="N6580" t="s">
        <v>17414</v>
      </c>
      <c r="O6580" t="s">
        <v>17670</v>
      </c>
      <c r="P6580">
        <v>50200</v>
      </c>
      <c r="Q6580" t="str">
        <f>"40.555068"</f>
        <v>40.555068</v>
      </c>
      <c r="R6580" t="str">
        <f>"21.722039"</f>
        <v>21.722039</v>
      </c>
      <c r="S6580" t="s">
        <v>26</v>
      </c>
    </row>
    <row r="6581" spans="1:19" x14ac:dyDescent="0.3">
      <c r="A6581" t="s">
        <v>17244</v>
      </c>
      <c r="B6581" t="s">
        <v>17681</v>
      </c>
      <c r="C6581" t="s">
        <v>17779</v>
      </c>
      <c r="D6581" t="s">
        <v>17260</v>
      </c>
      <c r="E6581" t="s">
        <v>17260</v>
      </c>
      <c r="F6581" t="s">
        <v>17260</v>
      </c>
      <c r="G6581" t="s">
        <v>17261</v>
      </c>
      <c r="H6581" t="s">
        <v>72</v>
      </c>
      <c r="I6581" t="s">
        <v>73</v>
      </c>
      <c r="J6581" t="str">
        <f>"4741001"</f>
        <v>4741001</v>
      </c>
      <c r="K6581">
        <v>2385044665</v>
      </c>
      <c r="L6581">
        <v>2385044295</v>
      </c>
      <c r="M6581" t="s">
        <v>17780</v>
      </c>
      <c r="N6581" t="s">
        <v>17264</v>
      </c>
      <c r="O6581" t="s">
        <v>17708</v>
      </c>
      <c r="P6581">
        <v>53100</v>
      </c>
      <c r="Q6581" t="str">
        <f>"40.803701"</f>
        <v>40.803701</v>
      </c>
      <c r="R6581" t="str">
        <f>"21.421772"</f>
        <v>21.421772</v>
      </c>
      <c r="S6581" t="s">
        <v>26</v>
      </c>
    </row>
    <row r="6582" spans="1:19" x14ac:dyDescent="0.3">
      <c r="A6582" t="s">
        <v>18804</v>
      </c>
      <c r="B6582" t="s">
        <v>18830</v>
      </c>
      <c r="C6582" t="s">
        <v>18838</v>
      </c>
      <c r="D6582" t="s">
        <v>18805</v>
      </c>
      <c r="E6582" t="s">
        <v>18806</v>
      </c>
      <c r="F6582" t="s">
        <v>18806</v>
      </c>
      <c r="G6582" t="s">
        <v>18806</v>
      </c>
      <c r="H6582" t="s">
        <v>72</v>
      </c>
      <c r="I6582" t="s">
        <v>73</v>
      </c>
      <c r="J6582" t="str">
        <f>"0441001"</f>
        <v>0441001</v>
      </c>
      <c r="K6582">
        <v>2681027146</v>
      </c>
      <c r="L6582">
        <v>2681027146</v>
      </c>
      <c r="M6582" t="s">
        <v>18839</v>
      </c>
      <c r="N6582" t="s">
        <v>18809</v>
      </c>
      <c r="O6582" t="s">
        <v>18840</v>
      </c>
      <c r="P6582">
        <v>47100</v>
      </c>
      <c r="Q6582" t="str">
        <f>"39.136238"</f>
        <v>39.136238</v>
      </c>
      <c r="R6582" t="str">
        <f>"20.996035"</f>
        <v>20.996035</v>
      </c>
      <c r="S6582" t="s">
        <v>26</v>
      </c>
    </row>
    <row r="6583" spans="1:19" x14ac:dyDescent="0.3">
      <c r="A6583" t="s">
        <v>18804</v>
      </c>
      <c r="B6583" t="s">
        <v>18964</v>
      </c>
      <c r="C6583" t="s">
        <v>19054</v>
      </c>
      <c r="D6583" t="s">
        <v>18811</v>
      </c>
      <c r="E6583" t="s">
        <v>16264</v>
      </c>
      <c r="F6583" t="s">
        <v>18976</v>
      </c>
      <c r="G6583" t="s">
        <v>18976</v>
      </c>
      <c r="H6583" t="s">
        <v>72</v>
      </c>
      <c r="I6583" t="s">
        <v>73</v>
      </c>
      <c r="J6583" t="str">
        <f>"1841001"</f>
        <v>1841001</v>
      </c>
      <c r="K6583">
        <v>2666024960</v>
      </c>
      <c r="L6583">
        <v>2666024960</v>
      </c>
      <c r="M6583" t="s">
        <v>19055</v>
      </c>
      <c r="N6583" t="s">
        <v>19056</v>
      </c>
      <c r="O6583" t="s">
        <v>18979</v>
      </c>
      <c r="P6583">
        <v>46200</v>
      </c>
      <c r="Q6583" t="str">
        <f>"39.466643"</f>
        <v>39.466643</v>
      </c>
      <c r="R6583" t="str">
        <f>"20.510836"</f>
        <v>20.510836</v>
      </c>
      <c r="S6583" t="s">
        <v>26</v>
      </c>
    </row>
    <row r="6584" spans="1:19" x14ac:dyDescent="0.3">
      <c r="A6584" t="s">
        <v>18804</v>
      </c>
      <c r="B6584" t="s">
        <v>19060</v>
      </c>
      <c r="C6584" t="s">
        <v>19097</v>
      </c>
      <c r="D6584" t="s">
        <v>18818</v>
      </c>
      <c r="E6584" t="s">
        <v>18819</v>
      </c>
      <c r="F6584" t="s">
        <v>18819</v>
      </c>
      <c r="G6584" t="s">
        <v>18819</v>
      </c>
      <c r="H6584" t="s">
        <v>72</v>
      </c>
      <c r="I6584" t="s">
        <v>73</v>
      </c>
      <c r="J6584" t="str">
        <f>"2041001"</f>
        <v>2041001</v>
      </c>
      <c r="K6584">
        <v>2651073171</v>
      </c>
      <c r="L6584">
        <v>2651073171</v>
      </c>
      <c r="M6584" t="s">
        <v>19098</v>
      </c>
      <c r="N6584" t="s">
        <v>18822</v>
      </c>
      <c r="O6584" t="s">
        <v>19099</v>
      </c>
      <c r="P6584">
        <v>45500</v>
      </c>
      <c r="Q6584" t="str">
        <f>"39.671533"</f>
        <v>39.671533</v>
      </c>
      <c r="R6584" t="str">
        <f>"20.816998"</f>
        <v>20.816998</v>
      </c>
      <c r="S6584" t="s">
        <v>26</v>
      </c>
    </row>
    <row r="6585" spans="1:19" x14ac:dyDescent="0.3">
      <c r="A6585" t="s">
        <v>18804</v>
      </c>
      <c r="B6585" t="s">
        <v>19325</v>
      </c>
      <c r="C6585" t="s">
        <v>19417</v>
      </c>
      <c r="D6585" t="s">
        <v>18824</v>
      </c>
      <c r="E6585" t="s">
        <v>18825</v>
      </c>
      <c r="F6585" t="s">
        <v>19415</v>
      </c>
      <c r="G6585" t="s">
        <v>19416</v>
      </c>
      <c r="H6585" t="s">
        <v>72</v>
      </c>
      <c r="I6585" t="s">
        <v>73</v>
      </c>
      <c r="J6585" t="str">
        <f>"4041001"</f>
        <v>4041001</v>
      </c>
      <c r="K6585">
        <v>2682052091</v>
      </c>
      <c r="L6585">
        <v>2682052104</v>
      </c>
      <c r="M6585" t="s">
        <v>19418</v>
      </c>
      <c r="N6585" t="s">
        <v>19419</v>
      </c>
      <c r="O6585" t="s">
        <v>19419</v>
      </c>
      <c r="P6585">
        <v>48100</v>
      </c>
      <c r="Q6585" t="str">
        <f>"39.088604"</f>
        <v>39.088604</v>
      </c>
      <c r="R6585" t="str">
        <f>"20.742614"</f>
        <v>20.742614</v>
      </c>
      <c r="S6585" t="s">
        <v>26</v>
      </c>
    </row>
    <row r="6586" spans="1:19" x14ac:dyDescent="0.3">
      <c r="A6586" t="s">
        <v>20660</v>
      </c>
      <c r="B6586" t="s">
        <v>20686</v>
      </c>
      <c r="C6586" t="s">
        <v>20820</v>
      </c>
      <c r="D6586" t="s">
        <v>20661</v>
      </c>
      <c r="E6586" t="s">
        <v>20687</v>
      </c>
      <c r="F6586" t="s">
        <v>20687</v>
      </c>
      <c r="G6586" t="s">
        <v>20687</v>
      </c>
      <c r="H6586" t="s">
        <v>72</v>
      </c>
      <c r="I6586" t="s">
        <v>73</v>
      </c>
      <c r="J6586" t="str">
        <f>"2241001"</f>
        <v>2241001</v>
      </c>
      <c r="K6586">
        <v>2443023047</v>
      </c>
      <c r="L6586">
        <v>2443023047</v>
      </c>
      <c r="M6586" t="s">
        <v>20821</v>
      </c>
      <c r="N6586" t="s">
        <v>20822</v>
      </c>
      <c r="O6586" t="s">
        <v>20823</v>
      </c>
      <c r="P6586">
        <v>43300</v>
      </c>
      <c r="Q6586" t="str">
        <f>"39.324597"</f>
        <v>39.324597</v>
      </c>
      <c r="R6586" t="str">
        <f>"22.106383"</f>
        <v>22.106383</v>
      </c>
      <c r="S6586" t="s">
        <v>26</v>
      </c>
    </row>
    <row r="6587" spans="1:19" x14ac:dyDescent="0.3">
      <c r="A6587" t="s">
        <v>20660</v>
      </c>
      <c r="B6587" t="s">
        <v>20830</v>
      </c>
      <c r="C6587" t="s">
        <v>21124</v>
      </c>
      <c r="D6587" t="s">
        <v>20667</v>
      </c>
      <c r="E6587" t="s">
        <v>20668</v>
      </c>
      <c r="F6587" t="s">
        <v>20668</v>
      </c>
      <c r="G6587" t="s">
        <v>20881</v>
      </c>
      <c r="H6587" t="s">
        <v>72</v>
      </c>
      <c r="I6587" t="s">
        <v>73</v>
      </c>
      <c r="J6587" t="str">
        <f>"3141001"</f>
        <v>3141001</v>
      </c>
      <c r="K6587">
        <v>2410555383</v>
      </c>
      <c r="L6587">
        <v>2410555383</v>
      </c>
      <c r="M6587" t="s">
        <v>21125</v>
      </c>
      <c r="N6587" t="s">
        <v>20667</v>
      </c>
      <c r="O6587" t="s">
        <v>21126</v>
      </c>
      <c r="Q6587" t="str">
        <f>"39.522403"</f>
        <v>39.522403</v>
      </c>
      <c r="R6587" t="str">
        <f>"22.366384"</f>
        <v>22.366384</v>
      </c>
      <c r="S6587" t="s">
        <v>26</v>
      </c>
    </row>
    <row r="6588" spans="1:19" x14ac:dyDescent="0.3">
      <c r="A6588" t="s">
        <v>20660</v>
      </c>
      <c r="B6588" t="s">
        <v>21192</v>
      </c>
      <c r="C6588" t="s">
        <v>21265</v>
      </c>
      <c r="D6588" t="s">
        <v>20674</v>
      </c>
      <c r="E6588" t="s">
        <v>20675</v>
      </c>
      <c r="F6588" t="s">
        <v>3246</v>
      </c>
      <c r="G6588" t="s">
        <v>3246</v>
      </c>
      <c r="H6588" t="s">
        <v>72</v>
      </c>
      <c r="I6588" t="s">
        <v>73</v>
      </c>
      <c r="J6588" t="str">
        <f>"3541001"</f>
        <v>3541001</v>
      </c>
      <c r="K6588">
        <v>2421081961</v>
      </c>
      <c r="L6588">
        <v>2421081969</v>
      </c>
      <c r="M6588" t="s">
        <v>21266</v>
      </c>
      <c r="N6588" t="s">
        <v>21267</v>
      </c>
      <c r="O6588" t="s">
        <v>21268</v>
      </c>
      <c r="P6588">
        <v>38446</v>
      </c>
      <c r="Q6588" t="str">
        <f>"39.388161"</f>
        <v>39.388161</v>
      </c>
      <c r="R6588" t="str">
        <f>"22.938907"</f>
        <v>22.938907</v>
      </c>
      <c r="S6588" t="s">
        <v>26</v>
      </c>
    </row>
    <row r="6589" spans="1:19" x14ac:dyDescent="0.3">
      <c r="A6589" t="s">
        <v>20660</v>
      </c>
      <c r="B6589" t="s">
        <v>21192</v>
      </c>
      <c r="C6589" t="s">
        <v>21491</v>
      </c>
      <c r="D6589" t="s">
        <v>20674</v>
      </c>
      <c r="E6589" t="s">
        <v>21193</v>
      </c>
      <c r="F6589" t="s">
        <v>21193</v>
      </c>
      <c r="G6589" t="s">
        <v>21193</v>
      </c>
      <c r="H6589" t="s">
        <v>72</v>
      </c>
      <c r="I6589" t="s">
        <v>73</v>
      </c>
      <c r="J6589" t="str">
        <f>"3541002"</f>
        <v>3541002</v>
      </c>
      <c r="K6589">
        <v>2422022412</v>
      </c>
      <c r="L6589">
        <v>2422022412</v>
      </c>
      <c r="M6589" t="s">
        <v>21492</v>
      </c>
      <c r="N6589" t="s">
        <v>21493</v>
      </c>
      <c r="O6589" t="s">
        <v>21494</v>
      </c>
      <c r="P6589">
        <v>37100</v>
      </c>
      <c r="Q6589" t="str">
        <f>"39.177228"</f>
        <v>39.177228</v>
      </c>
      <c r="R6589" t="str">
        <f>"22.761145"</f>
        <v>22.761145</v>
      </c>
      <c r="S6589" t="s">
        <v>26</v>
      </c>
    </row>
    <row r="6590" spans="1:19" x14ac:dyDescent="0.3">
      <c r="A6590" t="s">
        <v>20660</v>
      </c>
      <c r="B6590" t="s">
        <v>21501</v>
      </c>
      <c r="C6590" t="s">
        <v>21663</v>
      </c>
      <c r="D6590" t="s">
        <v>20680</v>
      </c>
      <c r="E6590" t="s">
        <v>20681</v>
      </c>
      <c r="F6590" t="s">
        <v>21628</v>
      </c>
      <c r="G6590" t="s">
        <v>21662</v>
      </c>
      <c r="H6590" t="s">
        <v>72</v>
      </c>
      <c r="I6590" t="s">
        <v>73</v>
      </c>
      <c r="J6590" t="str">
        <f>"4541001"</f>
        <v>4541001</v>
      </c>
      <c r="K6590">
        <v>2431085369</v>
      </c>
      <c r="L6590">
        <v>2431085369</v>
      </c>
      <c r="M6590" t="s">
        <v>21664</v>
      </c>
      <c r="N6590" t="s">
        <v>21665</v>
      </c>
      <c r="O6590" t="s">
        <v>21665</v>
      </c>
      <c r="P6590">
        <v>42100</v>
      </c>
      <c r="Q6590" t="str">
        <f>"39.528064"</f>
        <v>39.528064</v>
      </c>
      <c r="R6590" t="str">
        <f>"21.771284"</f>
        <v>21.771284</v>
      </c>
      <c r="S6590" t="s">
        <v>26</v>
      </c>
    </row>
    <row r="6591" spans="1:19" x14ac:dyDescent="0.3">
      <c r="A6591" t="s">
        <v>23985</v>
      </c>
      <c r="B6591" t="s">
        <v>24008</v>
      </c>
      <c r="C6591" t="s">
        <v>24065</v>
      </c>
      <c r="D6591" t="s">
        <v>8088</v>
      </c>
      <c r="E6591" t="s">
        <v>8088</v>
      </c>
      <c r="F6591" t="s">
        <v>23986</v>
      </c>
      <c r="G6591" t="s">
        <v>23986</v>
      </c>
      <c r="H6591" t="s">
        <v>72</v>
      </c>
      <c r="I6591" t="s">
        <v>73</v>
      </c>
      <c r="J6591" t="str">
        <f>"1441001"</f>
        <v>1441001</v>
      </c>
      <c r="K6591">
        <v>2695023549</v>
      </c>
      <c r="L6591">
        <v>2695024186</v>
      </c>
      <c r="M6591" t="s">
        <v>24066</v>
      </c>
      <c r="N6591" t="s">
        <v>23989</v>
      </c>
      <c r="O6591" t="s">
        <v>24067</v>
      </c>
      <c r="P6591">
        <v>29100</v>
      </c>
      <c r="Q6591" t="str">
        <f>"37.796452"</f>
        <v>37.796452</v>
      </c>
      <c r="R6591" t="str">
        <f>"20.892230"</f>
        <v>20.892230</v>
      </c>
      <c r="S6591" t="s">
        <v>26</v>
      </c>
    </row>
    <row r="6592" spans="1:19" x14ac:dyDescent="0.3">
      <c r="A6592" t="s">
        <v>23985</v>
      </c>
      <c r="B6592" t="s">
        <v>24070</v>
      </c>
      <c r="C6592" t="s">
        <v>24108</v>
      </c>
      <c r="D6592" t="s">
        <v>20006</v>
      </c>
      <c r="E6592" t="s">
        <v>23991</v>
      </c>
      <c r="F6592" t="s">
        <v>23992</v>
      </c>
      <c r="G6592" t="s">
        <v>23992</v>
      </c>
      <c r="H6592" t="s">
        <v>72</v>
      </c>
      <c r="I6592" t="s">
        <v>73</v>
      </c>
      <c r="J6592" t="str">
        <f>"2441001"</f>
        <v>2441001</v>
      </c>
      <c r="K6592">
        <v>2661081829</v>
      </c>
      <c r="L6592">
        <v>2661081665</v>
      </c>
      <c r="M6592" t="s">
        <v>24109</v>
      </c>
      <c r="N6592" t="s">
        <v>23995</v>
      </c>
      <c r="O6592" t="s">
        <v>24110</v>
      </c>
      <c r="P6592">
        <v>49100</v>
      </c>
      <c r="Q6592" t="str">
        <f>"39.597803"</f>
        <v>39.597803</v>
      </c>
      <c r="R6592" t="str">
        <f>"19.893626"</f>
        <v>19.893626</v>
      </c>
      <c r="S6592" t="s">
        <v>26</v>
      </c>
    </row>
    <row r="6593" spans="1:19" x14ac:dyDescent="0.3">
      <c r="A6593" t="s">
        <v>23985</v>
      </c>
      <c r="B6593" t="s">
        <v>24238</v>
      </c>
      <c r="C6593" t="s">
        <v>24251</v>
      </c>
      <c r="D6593" t="s">
        <v>1150</v>
      </c>
      <c r="E6593" t="s">
        <v>23997</v>
      </c>
      <c r="F6593" t="s">
        <v>23997</v>
      </c>
      <c r="G6593" t="s">
        <v>23997</v>
      </c>
      <c r="H6593" t="s">
        <v>72</v>
      </c>
      <c r="I6593" t="s">
        <v>73</v>
      </c>
      <c r="J6593" t="str">
        <f>"2541001"</f>
        <v>2541001</v>
      </c>
      <c r="K6593">
        <v>2671084008</v>
      </c>
      <c r="L6593">
        <v>2671084428</v>
      </c>
      <c r="M6593" t="s">
        <v>24252</v>
      </c>
      <c r="N6593" t="s">
        <v>24253</v>
      </c>
      <c r="O6593" t="s">
        <v>24254</v>
      </c>
      <c r="P6593">
        <v>28100</v>
      </c>
      <c r="Q6593" t="str">
        <f>"38.222162"</f>
        <v>38.222162</v>
      </c>
      <c r="R6593" t="str">
        <f>"20.515233"</f>
        <v>20.515233</v>
      </c>
      <c r="S6593" t="s">
        <v>26</v>
      </c>
    </row>
    <row r="6594" spans="1:19" x14ac:dyDescent="0.3">
      <c r="A6594" t="s">
        <v>23985</v>
      </c>
      <c r="B6594" t="s">
        <v>24343</v>
      </c>
      <c r="C6594" t="s">
        <v>24389</v>
      </c>
      <c r="D6594" t="s">
        <v>24002</v>
      </c>
      <c r="E6594" t="s">
        <v>24002</v>
      </c>
      <c r="F6594" t="s">
        <v>24003</v>
      </c>
      <c r="G6594" t="s">
        <v>24003</v>
      </c>
      <c r="H6594" t="s">
        <v>72</v>
      </c>
      <c r="I6594" t="s">
        <v>73</v>
      </c>
      <c r="J6594" t="str">
        <f>"3441010"</f>
        <v>3441010</v>
      </c>
      <c r="K6594">
        <v>2645024176</v>
      </c>
      <c r="L6594">
        <v>2645024176</v>
      </c>
      <c r="M6594" t="s">
        <v>24390</v>
      </c>
      <c r="N6594" t="s">
        <v>24006</v>
      </c>
      <c r="O6594" t="s">
        <v>24391</v>
      </c>
      <c r="P6594">
        <v>31100</v>
      </c>
      <c r="Q6594" t="str">
        <f>"38.832564"</f>
        <v>38.832564</v>
      </c>
      <c r="R6594" t="str">
        <f>"20.703617"</f>
        <v>20.703617</v>
      </c>
      <c r="S6594" t="s">
        <v>26</v>
      </c>
    </row>
    <row r="6595" spans="1:19" x14ac:dyDescent="0.3">
      <c r="A6595" t="s">
        <v>25190</v>
      </c>
      <c r="B6595" t="s">
        <v>25243</v>
      </c>
      <c r="C6595" t="s">
        <v>25694</v>
      </c>
      <c r="D6595" t="s">
        <v>25197</v>
      </c>
      <c r="E6595" t="s">
        <v>25197</v>
      </c>
      <c r="F6595" t="s">
        <v>25197</v>
      </c>
      <c r="G6595" t="s">
        <v>25283</v>
      </c>
      <c r="H6595" t="s">
        <v>72</v>
      </c>
      <c r="I6595" t="s">
        <v>73</v>
      </c>
      <c r="J6595" t="str">
        <f>"1941003"</f>
        <v>1941003</v>
      </c>
      <c r="K6595">
        <v>2310968544</v>
      </c>
      <c r="L6595">
        <v>2310924937</v>
      </c>
      <c r="M6595" t="s">
        <v>25695</v>
      </c>
      <c r="N6595" t="s">
        <v>25247</v>
      </c>
      <c r="O6595" t="s">
        <v>25696</v>
      </c>
      <c r="P6595">
        <v>54352</v>
      </c>
      <c r="Q6595" t="str">
        <f>"40.612177"</f>
        <v>40.612177</v>
      </c>
      <c r="R6595" t="str">
        <f>"22.980099"</f>
        <v>22.980099</v>
      </c>
      <c r="S6595" t="s">
        <v>26</v>
      </c>
    </row>
    <row r="6596" spans="1:19" x14ac:dyDescent="0.3">
      <c r="A6596" t="s">
        <v>25190</v>
      </c>
      <c r="B6596" t="s">
        <v>25243</v>
      </c>
      <c r="C6596" t="s">
        <v>25699</v>
      </c>
      <c r="D6596" t="s">
        <v>25197</v>
      </c>
      <c r="E6596" t="s">
        <v>25198</v>
      </c>
      <c r="F6596" t="s">
        <v>25198</v>
      </c>
      <c r="G6596" t="s">
        <v>25198</v>
      </c>
      <c r="H6596" t="s">
        <v>72</v>
      </c>
      <c r="I6596" t="s">
        <v>73</v>
      </c>
      <c r="J6596" t="str">
        <f>"1941002"</f>
        <v>1941002</v>
      </c>
      <c r="K6596">
        <v>2310486255</v>
      </c>
      <c r="L6596">
        <v>2310489681</v>
      </c>
      <c r="M6596" t="s">
        <v>25700</v>
      </c>
      <c r="N6596" t="s">
        <v>25201</v>
      </c>
      <c r="O6596" t="s">
        <v>25701</v>
      </c>
      <c r="P6596">
        <v>57001</v>
      </c>
      <c r="Q6596" t="str">
        <f>"40.549045"</f>
        <v>40.549045</v>
      </c>
      <c r="R6596" t="str">
        <f>"23.019430"</f>
        <v>23.019430</v>
      </c>
      <c r="S6596" t="s">
        <v>26</v>
      </c>
    </row>
    <row r="6597" spans="1:19" x14ac:dyDescent="0.3">
      <c r="A6597" t="s">
        <v>25190</v>
      </c>
      <c r="B6597" t="s">
        <v>25243</v>
      </c>
      <c r="C6597" t="s">
        <v>25702</v>
      </c>
      <c r="D6597" t="s">
        <v>25197</v>
      </c>
      <c r="E6597" t="s">
        <v>25264</v>
      </c>
      <c r="F6597" t="s">
        <v>25265</v>
      </c>
      <c r="G6597" t="s">
        <v>25265</v>
      </c>
      <c r="H6597" t="s">
        <v>72</v>
      </c>
      <c r="I6597" t="s">
        <v>73</v>
      </c>
      <c r="J6597" t="str">
        <f>"1941001"</f>
        <v>1941001</v>
      </c>
      <c r="K6597">
        <v>2310332014</v>
      </c>
      <c r="L6597">
        <v>2310332014</v>
      </c>
      <c r="M6597" t="s">
        <v>25703</v>
      </c>
      <c r="N6597" t="s">
        <v>25704</v>
      </c>
      <c r="O6597" t="s">
        <v>25499</v>
      </c>
      <c r="P6597">
        <v>55236</v>
      </c>
      <c r="Q6597" t="str">
        <f>"40.597723"</f>
        <v>40.597723</v>
      </c>
      <c r="R6597" t="str">
        <f>"23.048086"</f>
        <v>23.048086</v>
      </c>
      <c r="S6597" t="s">
        <v>26</v>
      </c>
    </row>
    <row r="6598" spans="1:19" x14ac:dyDescent="0.3">
      <c r="A6598" t="s">
        <v>25190</v>
      </c>
      <c r="B6598" t="s">
        <v>25243</v>
      </c>
      <c r="C6598" t="s">
        <v>25728</v>
      </c>
      <c r="D6598" t="s">
        <v>25197</v>
      </c>
      <c r="E6598" t="s">
        <v>25264</v>
      </c>
      <c r="F6598" t="s">
        <v>25265</v>
      </c>
      <c r="G6598" t="s">
        <v>25265</v>
      </c>
      <c r="H6598" t="s">
        <v>72</v>
      </c>
      <c r="I6598" t="s">
        <v>73</v>
      </c>
      <c r="J6598" t="str">
        <f>"1941007"</f>
        <v>1941007</v>
      </c>
      <c r="K6598">
        <v>2310945707</v>
      </c>
      <c r="L6598">
        <v>2310945714</v>
      </c>
      <c r="M6598" t="s">
        <v>25729</v>
      </c>
      <c r="N6598" t="s">
        <v>25730</v>
      </c>
      <c r="O6598" t="s">
        <v>25731</v>
      </c>
      <c r="P6598">
        <v>54352</v>
      </c>
      <c r="Q6598" t="str">
        <f>"40.607383"</f>
        <v>40.607383</v>
      </c>
      <c r="R6598" t="str">
        <f>"22.998295"</f>
        <v>22.998295</v>
      </c>
      <c r="S6598" t="s">
        <v>26</v>
      </c>
    </row>
    <row r="6599" spans="1:19" x14ac:dyDescent="0.3">
      <c r="A6599" t="s">
        <v>25190</v>
      </c>
      <c r="B6599" t="s">
        <v>25764</v>
      </c>
      <c r="C6599" t="s">
        <v>25828</v>
      </c>
      <c r="D6599" t="s">
        <v>25197</v>
      </c>
      <c r="E6599" t="s">
        <v>25826</v>
      </c>
      <c r="F6599" t="s">
        <v>25827</v>
      </c>
      <c r="G6599" t="s">
        <v>25827</v>
      </c>
      <c r="H6599" t="s">
        <v>72</v>
      </c>
      <c r="I6599" t="s">
        <v>73</v>
      </c>
      <c r="J6599" t="str">
        <f>"1941005"</f>
        <v>1941005</v>
      </c>
      <c r="K6599">
        <v>2310559564</v>
      </c>
      <c r="L6599">
        <v>2310559565</v>
      </c>
      <c r="M6599" t="s">
        <v>25829</v>
      </c>
      <c r="N6599" t="s">
        <v>25830</v>
      </c>
      <c r="O6599" t="s">
        <v>25831</v>
      </c>
      <c r="P6599">
        <v>56334</v>
      </c>
      <c r="Q6599" t="str">
        <f>"40.667667"</f>
        <v>40.667667</v>
      </c>
      <c r="R6599" t="str">
        <f>"22.897538"</f>
        <v>22.897538</v>
      </c>
      <c r="S6599" t="s">
        <v>26</v>
      </c>
    </row>
    <row r="6600" spans="1:19" x14ac:dyDescent="0.3">
      <c r="A6600" t="s">
        <v>25190</v>
      </c>
      <c r="B6600" t="s">
        <v>25764</v>
      </c>
      <c r="C6600" t="s">
        <v>26355</v>
      </c>
      <c r="D6600" t="s">
        <v>25197</v>
      </c>
      <c r="E6600" t="s">
        <v>25203</v>
      </c>
      <c r="F6600" t="s">
        <v>595</v>
      </c>
      <c r="G6600" t="s">
        <v>595</v>
      </c>
      <c r="H6600" t="s">
        <v>72</v>
      </c>
      <c r="I6600" t="s">
        <v>73</v>
      </c>
      <c r="J6600" t="str">
        <f>"1941006"</f>
        <v>1941006</v>
      </c>
      <c r="K6600">
        <v>2310587086</v>
      </c>
      <c r="L6600">
        <v>2310587087</v>
      </c>
      <c r="M6600" t="s">
        <v>26356</v>
      </c>
      <c r="N6600" t="s">
        <v>25984</v>
      </c>
      <c r="O6600" t="s">
        <v>26357</v>
      </c>
      <c r="P6600">
        <v>56430</v>
      </c>
      <c r="Q6600" t="str">
        <f>"40.664427"</f>
        <v>40.664427</v>
      </c>
      <c r="R6600" t="str">
        <f>"22.984245"</f>
        <v>22.984245</v>
      </c>
      <c r="S6600" t="s">
        <v>26</v>
      </c>
    </row>
    <row r="6601" spans="1:19" x14ac:dyDescent="0.3">
      <c r="A6601" t="s">
        <v>25190</v>
      </c>
      <c r="B6601" t="s">
        <v>25764</v>
      </c>
      <c r="C6601" t="s">
        <v>26397</v>
      </c>
      <c r="D6601" t="s">
        <v>25197</v>
      </c>
      <c r="E6601" t="s">
        <v>25815</v>
      </c>
      <c r="F6601" t="s">
        <v>60</v>
      </c>
      <c r="G6601" t="s">
        <v>60</v>
      </c>
      <c r="H6601" t="s">
        <v>72</v>
      </c>
      <c r="I6601" t="s">
        <v>73</v>
      </c>
      <c r="J6601" t="str">
        <f>"1925000"</f>
        <v>1925000</v>
      </c>
      <c r="K6601">
        <v>2310578010</v>
      </c>
      <c r="M6601" t="s">
        <v>26398</v>
      </c>
      <c r="N6601" t="s">
        <v>26399</v>
      </c>
      <c r="O6601" t="s">
        <v>26400</v>
      </c>
      <c r="P6601">
        <v>57003</v>
      </c>
      <c r="Q6601" t="str">
        <f>"40.716181"</f>
        <v>40.716181</v>
      </c>
      <c r="R6601" t="str">
        <f>"22.737579"</f>
        <v>22.737579</v>
      </c>
      <c r="S6601" t="s">
        <v>26</v>
      </c>
    </row>
    <row r="6602" spans="1:19" x14ac:dyDescent="0.3">
      <c r="A6602" t="s">
        <v>25190</v>
      </c>
      <c r="B6602" t="s">
        <v>26402</v>
      </c>
      <c r="C6602" t="s">
        <v>26502</v>
      </c>
      <c r="D6602" t="s">
        <v>25191</v>
      </c>
      <c r="E6602" t="s">
        <v>26414</v>
      </c>
      <c r="F6602" t="s">
        <v>26414</v>
      </c>
      <c r="G6602" t="s">
        <v>26414</v>
      </c>
      <c r="H6602" t="s">
        <v>72</v>
      </c>
      <c r="I6602" t="s">
        <v>73</v>
      </c>
      <c r="J6602" t="str">
        <f>"1641003"</f>
        <v>1641003</v>
      </c>
      <c r="K6602">
        <v>2333022787</v>
      </c>
      <c r="L6602">
        <v>2333024172</v>
      </c>
      <c r="M6602" t="s">
        <v>26503</v>
      </c>
      <c r="N6602" t="s">
        <v>26504</v>
      </c>
      <c r="O6602" t="s">
        <v>26505</v>
      </c>
      <c r="P6602">
        <v>59300</v>
      </c>
      <c r="Q6602" t="str">
        <f>"40.625738"</f>
        <v>40.625738</v>
      </c>
      <c r="R6602" t="str">
        <f>"22.448072"</f>
        <v>22.448072</v>
      </c>
      <c r="S6602" t="s">
        <v>26</v>
      </c>
    </row>
    <row r="6603" spans="1:19" x14ac:dyDescent="0.3">
      <c r="A6603" t="s">
        <v>25190</v>
      </c>
      <c r="B6603" t="s">
        <v>26402</v>
      </c>
      <c r="C6603" t="s">
        <v>26562</v>
      </c>
      <c r="D6603" t="s">
        <v>25191</v>
      </c>
      <c r="E6603" t="s">
        <v>26403</v>
      </c>
      <c r="F6603" t="s">
        <v>26403</v>
      </c>
      <c r="G6603" t="s">
        <v>26404</v>
      </c>
      <c r="H6603" t="s">
        <v>72</v>
      </c>
      <c r="I6603" t="s">
        <v>73</v>
      </c>
      <c r="J6603" t="str">
        <f>"1641002"</f>
        <v>1641002</v>
      </c>
      <c r="K6603">
        <v>2332028151</v>
      </c>
      <c r="L6603">
        <v>2332028151</v>
      </c>
      <c r="M6603" t="s">
        <v>26563</v>
      </c>
      <c r="N6603" t="s">
        <v>26407</v>
      </c>
      <c r="O6603" t="s">
        <v>26564</v>
      </c>
      <c r="P6603">
        <v>59200</v>
      </c>
      <c r="Q6603" t="str">
        <f>"40.625415"</f>
        <v>40.625415</v>
      </c>
      <c r="R6603" t="str">
        <f>"22.058158"</f>
        <v>22.058158</v>
      </c>
      <c r="S6603" t="s">
        <v>26</v>
      </c>
    </row>
    <row r="6604" spans="1:19" x14ac:dyDescent="0.3">
      <c r="A6604" t="s">
        <v>25190</v>
      </c>
      <c r="B6604" t="s">
        <v>26402</v>
      </c>
      <c r="C6604" t="s">
        <v>26574</v>
      </c>
      <c r="D6604" t="s">
        <v>25191</v>
      </c>
      <c r="E6604" t="s">
        <v>25192</v>
      </c>
      <c r="F6604" t="s">
        <v>25192</v>
      </c>
      <c r="G6604" t="s">
        <v>25192</v>
      </c>
      <c r="H6604" t="s">
        <v>72</v>
      </c>
      <c r="I6604" t="s">
        <v>73</v>
      </c>
      <c r="J6604" t="str">
        <f>"1641001"</f>
        <v>1641001</v>
      </c>
      <c r="K6604">
        <v>2331071833</v>
      </c>
      <c r="L6604">
        <v>2331071833</v>
      </c>
      <c r="M6604" t="s">
        <v>26575</v>
      </c>
      <c r="N6604" t="s">
        <v>25195</v>
      </c>
      <c r="O6604" t="s">
        <v>26576</v>
      </c>
      <c r="P6604">
        <v>59132</v>
      </c>
      <c r="Q6604" t="str">
        <f>"40.563425"</f>
        <v>40.563425</v>
      </c>
      <c r="R6604" t="str">
        <f>"22.208695"</f>
        <v>22.208695</v>
      </c>
      <c r="S6604" t="s">
        <v>26</v>
      </c>
    </row>
    <row r="6605" spans="1:19" x14ac:dyDescent="0.3">
      <c r="A6605" t="s">
        <v>25190</v>
      </c>
      <c r="B6605" t="s">
        <v>26583</v>
      </c>
      <c r="C6605" t="s">
        <v>26714</v>
      </c>
      <c r="D6605" t="s">
        <v>25207</v>
      </c>
      <c r="E6605" t="s">
        <v>25207</v>
      </c>
      <c r="F6605" t="s">
        <v>25207</v>
      </c>
      <c r="G6605" t="s">
        <v>25207</v>
      </c>
      <c r="H6605" t="s">
        <v>72</v>
      </c>
      <c r="I6605" t="s">
        <v>73</v>
      </c>
      <c r="J6605" t="str">
        <f>"2641001"</f>
        <v>2641001</v>
      </c>
      <c r="K6605">
        <v>2341075340</v>
      </c>
      <c r="L6605">
        <v>2341075341</v>
      </c>
      <c r="M6605" t="s">
        <v>26715</v>
      </c>
      <c r="N6605" t="s">
        <v>25207</v>
      </c>
      <c r="O6605" t="s">
        <v>26716</v>
      </c>
      <c r="P6605">
        <v>61100</v>
      </c>
      <c r="Q6605" t="str">
        <f>"40.993707"</f>
        <v>40.993707</v>
      </c>
      <c r="R6605" t="str">
        <f>"22.875367"</f>
        <v>22.875367</v>
      </c>
      <c r="S6605" t="s">
        <v>26</v>
      </c>
    </row>
    <row r="6606" spans="1:19" x14ac:dyDescent="0.3">
      <c r="A6606" t="s">
        <v>25190</v>
      </c>
      <c r="B6606" t="s">
        <v>26726</v>
      </c>
      <c r="C6606" t="s">
        <v>26901</v>
      </c>
      <c r="D6606" t="s">
        <v>25211</v>
      </c>
      <c r="E6606" t="s">
        <v>25211</v>
      </c>
      <c r="F6606" t="s">
        <v>26731</v>
      </c>
      <c r="G6606" t="s">
        <v>26731</v>
      </c>
      <c r="H6606" t="s">
        <v>72</v>
      </c>
      <c r="I6606" t="s">
        <v>73</v>
      </c>
      <c r="J6606" t="str">
        <f>"3841001"</f>
        <v>3841001</v>
      </c>
      <c r="K6606">
        <v>2382081452</v>
      </c>
      <c r="L6606">
        <v>2382081452</v>
      </c>
      <c r="M6606" t="s">
        <v>26902</v>
      </c>
      <c r="N6606" t="s">
        <v>26731</v>
      </c>
      <c r="O6606" t="s">
        <v>26903</v>
      </c>
      <c r="P6606">
        <v>58100</v>
      </c>
      <c r="Q6606" t="str">
        <f>"40.790834"</f>
        <v>40.790834</v>
      </c>
      <c r="R6606" t="str">
        <f>"22.419842"</f>
        <v>22.419842</v>
      </c>
      <c r="S6606" t="s">
        <v>26</v>
      </c>
    </row>
    <row r="6607" spans="1:19" x14ac:dyDescent="0.3">
      <c r="A6607" t="s">
        <v>25190</v>
      </c>
      <c r="B6607" t="s">
        <v>26726</v>
      </c>
      <c r="C6607" t="s">
        <v>26908</v>
      </c>
      <c r="D6607" t="s">
        <v>25211</v>
      </c>
      <c r="E6607" t="s">
        <v>25212</v>
      </c>
      <c r="F6607" t="s">
        <v>25212</v>
      </c>
      <c r="G6607" t="s">
        <v>25213</v>
      </c>
      <c r="H6607" t="s">
        <v>72</v>
      </c>
      <c r="I6607" t="s">
        <v>73</v>
      </c>
      <c r="J6607" t="str">
        <f>"3841002"</f>
        <v>3841002</v>
      </c>
      <c r="K6607">
        <v>2381028780</v>
      </c>
      <c r="L6607">
        <v>2381028780</v>
      </c>
      <c r="M6607" t="s">
        <v>26909</v>
      </c>
      <c r="N6607" t="s">
        <v>25212</v>
      </c>
      <c r="O6607" t="s">
        <v>26910</v>
      </c>
      <c r="P6607">
        <v>58200</v>
      </c>
      <c r="Q6607" t="str">
        <f>"40.803880"</f>
        <v>40.803880</v>
      </c>
      <c r="R6607" t="str">
        <f>"22.047524"</f>
        <v>22.047524</v>
      </c>
      <c r="S6607" t="s">
        <v>26</v>
      </c>
    </row>
    <row r="6608" spans="1:19" x14ac:dyDescent="0.3">
      <c r="A6608" t="s">
        <v>25190</v>
      </c>
      <c r="B6608" t="s">
        <v>26726</v>
      </c>
      <c r="C6608" t="s">
        <v>26932</v>
      </c>
      <c r="D6608" t="s">
        <v>25211</v>
      </c>
      <c r="E6608" t="s">
        <v>26753</v>
      </c>
      <c r="F6608" t="s">
        <v>26775</v>
      </c>
      <c r="G6608" t="s">
        <v>26775</v>
      </c>
      <c r="H6608" t="s">
        <v>72</v>
      </c>
      <c r="I6608" t="s">
        <v>73</v>
      </c>
      <c r="J6608" t="str">
        <f>"3859001"</f>
        <v>3859001</v>
      </c>
      <c r="K6608">
        <v>2384022215</v>
      </c>
      <c r="M6608" t="s">
        <v>26933</v>
      </c>
      <c r="N6608" t="s">
        <v>26778</v>
      </c>
      <c r="O6608" t="s">
        <v>26934</v>
      </c>
      <c r="P6608">
        <v>58400</v>
      </c>
      <c r="Q6608" t="str">
        <f>"40.969826"</f>
        <v>40.969826</v>
      </c>
      <c r="R6608" t="str">
        <f>"22.056600"</f>
        <v>22.056600</v>
      </c>
      <c r="S6608" t="s">
        <v>26</v>
      </c>
    </row>
    <row r="6609" spans="1:19" x14ac:dyDescent="0.3">
      <c r="A6609" t="s">
        <v>25190</v>
      </c>
      <c r="B6609" t="s">
        <v>26935</v>
      </c>
      <c r="C6609" t="s">
        <v>27085</v>
      </c>
      <c r="D6609" t="s">
        <v>25218</v>
      </c>
      <c r="E6609" t="s">
        <v>25219</v>
      </c>
      <c r="F6609" t="s">
        <v>25219</v>
      </c>
      <c r="G6609" t="s">
        <v>25219</v>
      </c>
      <c r="H6609" t="s">
        <v>72</v>
      </c>
      <c r="I6609" t="s">
        <v>73</v>
      </c>
      <c r="J6609" t="str">
        <f>"3941001"</f>
        <v>3941001</v>
      </c>
      <c r="K6609">
        <v>2351079532</v>
      </c>
      <c r="L6609">
        <v>2351079538</v>
      </c>
      <c r="M6609" t="s">
        <v>27086</v>
      </c>
      <c r="N6609" t="s">
        <v>26959</v>
      </c>
      <c r="O6609" t="s">
        <v>27087</v>
      </c>
      <c r="P6609">
        <v>60100</v>
      </c>
      <c r="Q6609" t="str">
        <f>"40.283998"</f>
        <v>40.283998</v>
      </c>
      <c r="R6609" t="str">
        <f>"22.471433"</f>
        <v>22.471433</v>
      </c>
      <c r="S6609" t="s">
        <v>26</v>
      </c>
    </row>
    <row r="6610" spans="1:19" x14ac:dyDescent="0.3">
      <c r="A6610" t="s">
        <v>25190</v>
      </c>
      <c r="B6610" t="s">
        <v>27105</v>
      </c>
      <c r="C6610" t="s">
        <v>27362</v>
      </c>
      <c r="D6610" t="s">
        <v>25224</v>
      </c>
      <c r="E6610" t="s">
        <v>25224</v>
      </c>
      <c r="F6610" t="s">
        <v>25224</v>
      </c>
      <c r="G6610" t="s">
        <v>25224</v>
      </c>
      <c r="H6610" t="s">
        <v>72</v>
      </c>
      <c r="I6610" t="s">
        <v>73</v>
      </c>
      <c r="J6610" t="str">
        <f>"4441001"</f>
        <v>4441001</v>
      </c>
      <c r="K6610">
        <v>2321098081</v>
      </c>
      <c r="L6610">
        <v>2321098082</v>
      </c>
      <c r="M6610" t="s">
        <v>27363</v>
      </c>
      <c r="N6610" t="s">
        <v>25227</v>
      </c>
      <c r="O6610" t="s">
        <v>27364</v>
      </c>
      <c r="P6610">
        <v>62100</v>
      </c>
      <c r="Q6610" t="str">
        <f>"41.089165"</f>
        <v>41.089165</v>
      </c>
      <c r="R6610" t="str">
        <f>"23.586122"</f>
        <v>23.586122</v>
      </c>
      <c r="S6610" t="s">
        <v>26</v>
      </c>
    </row>
    <row r="6611" spans="1:19" x14ac:dyDescent="0.3">
      <c r="A6611" t="s">
        <v>25190</v>
      </c>
      <c r="B6611" t="s">
        <v>27386</v>
      </c>
      <c r="C6611" t="s">
        <v>27555</v>
      </c>
      <c r="D6611" t="s">
        <v>25229</v>
      </c>
      <c r="E6611" t="s">
        <v>25230</v>
      </c>
      <c r="F6611" t="s">
        <v>25230</v>
      </c>
      <c r="G6611" t="s">
        <v>25230</v>
      </c>
      <c r="H6611" t="s">
        <v>72</v>
      </c>
      <c r="I6611" t="s">
        <v>73</v>
      </c>
      <c r="J6611" t="str">
        <f>"4941001"</f>
        <v>4941001</v>
      </c>
      <c r="K6611">
        <v>2371023424</v>
      </c>
      <c r="L6611">
        <v>2371022132</v>
      </c>
      <c r="M6611" t="s">
        <v>27556</v>
      </c>
      <c r="N6611" t="s">
        <v>25233</v>
      </c>
      <c r="O6611" t="s">
        <v>27557</v>
      </c>
      <c r="P6611">
        <v>63100</v>
      </c>
      <c r="Q6611" t="str">
        <f>"40.379772"</f>
        <v>40.379772</v>
      </c>
      <c r="R6611" t="str">
        <f>"23.438357"</f>
        <v>23.438357</v>
      </c>
      <c r="S6611" t="s">
        <v>26</v>
      </c>
    </row>
    <row r="6612" spans="1:19" x14ac:dyDescent="0.3">
      <c r="A6612" t="s">
        <v>25190</v>
      </c>
      <c r="B6612" t="s">
        <v>27386</v>
      </c>
      <c r="C6612" t="s">
        <v>27571</v>
      </c>
      <c r="D6612" t="s">
        <v>25229</v>
      </c>
      <c r="E6612" t="s">
        <v>27394</v>
      </c>
      <c r="F6612" t="s">
        <v>27447</v>
      </c>
      <c r="G6612" t="s">
        <v>27570</v>
      </c>
      <c r="H6612" t="s">
        <v>72</v>
      </c>
      <c r="I6612" t="s">
        <v>73</v>
      </c>
      <c r="J6612" t="str">
        <f>"4941002"</f>
        <v>4941002</v>
      </c>
      <c r="K6612">
        <v>2373042637</v>
      </c>
      <c r="L6612">
        <v>2373043246</v>
      </c>
      <c r="M6612" t="s">
        <v>27572</v>
      </c>
      <c r="N6612" t="s">
        <v>27573</v>
      </c>
      <c r="O6612" t="s">
        <v>27574</v>
      </c>
      <c r="P6612">
        <v>63200</v>
      </c>
      <c r="Q6612" t="str">
        <f>"40.196415"</f>
        <v>40.196415</v>
      </c>
      <c r="R6612" t="str">
        <f>"23.326963"</f>
        <v>23.326963</v>
      </c>
      <c r="S6612" t="s">
        <v>26</v>
      </c>
    </row>
    <row r="6613" spans="1:19" x14ac:dyDescent="0.3">
      <c r="A6613" t="s">
        <v>32470</v>
      </c>
      <c r="B6613" t="s">
        <v>32491</v>
      </c>
      <c r="C6613" t="s">
        <v>32883</v>
      </c>
      <c r="D6613" t="s">
        <v>4618</v>
      </c>
      <c r="E6613" t="s">
        <v>4618</v>
      </c>
      <c r="F6613" t="s">
        <v>4618</v>
      </c>
      <c r="G6613" t="s">
        <v>32514</v>
      </c>
      <c r="H6613" t="s">
        <v>72</v>
      </c>
      <c r="I6613" t="s">
        <v>73</v>
      </c>
      <c r="J6613" t="str">
        <f>"1741001"</f>
        <v>1741001</v>
      </c>
      <c r="K6613">
        <v>2810360436</v>
      </c>
      <c r="L6613">
        <v>2810260963</v>
      </c>
      <c r="M6613" t="s">
        <v>32884</v>
      </c>
      <c r="N6613" t="s">
        <v>28925</v>
      </c>
      <c r="O6613" t="s">
        <v>32885</v>
      </c>
      <c r="P6613">
        <v>71410</v>
      </c>
      <c r="Q6613" t="str">
        <f>"35.318358"</f>
        <v>35.318358</v>
      </c>
      <c r="R6613" t="str">
        <f>"25.114565"</f>
        <v>25.114565</v>
      </c>
      <c r="S6613" t="s">
        <v>26</v>
      </c>
    </row>
    <row r="6614" spans="1:19" x14ac:dyDescent="0.3">
      <c r="A6614" t="s">
        <v>32470</v>
      </c>
      <c r="B6614" t="s">
        <v>32491</v>
      </c>
      <c r="C6614" t="s">
        <v>32898</v>
      </c>
      <c r="D6614" t="s">
        <v>4618</v>
      </c>
      <c r="E6614" t="s">
        <v>32584</v>
      </c>
      <c r="F6614" t="s">
        <v>32585</v>
      </c>
      <c r="G6614" t="s">
        <v>32585</v>
      </c>
      <c r="H6614" t="s">
        <v>72</v>
      </c>
      <c r="I6614" t="s">
        <v>73</v>
      </c>
      <c r="J6614" t="str">
        <f>"1759011"</f>
        <v>1759011</v>
      </c>
      <c r="K6614">
        <v>2892051103</v>
      </c>
      <c r="L6614">
        <v>2892052203</v>
      </c>
      <c r="M6614" t="s">
        <v>32899</v>
      </c>
      <c r="N6614" t="s">
        <v>32589</v>
      </c>
      <c r="O6614" t="s">
        <v>32589</v>
      </c>
      <c r="P6614">
        <v>70200</v>
      </c>
      <c r="Q6614" t="str">
        <f>"35.072932"</f>
        <v>35.072932</v>
      </c>
      <c r="R6614" t="str">
        <f>"24.768621"</f>
        <v>24.768621</v>
      </c>
      <c r="S6614" t="s">
        <v>26</v>
      </c>
    </row>
    <row r="6615" spans="1:19" x14ac:dyDescent="0.3">
      <c r="A6615" t="s">
        <v>32470</v>
      </c>
      <c r="B6615" t="s">
        <v>32904</v>
      </c>
      <c r="C6615" t="s">
        <v>32995</v>
      </c>
      <c r="D6615" t="s">
        <v>32475</v>
      </c>
      <c r="E6615" t="s">
        <v>32917</v>
      </c>
      <c r="F6615" t="s">
        <v>32917</v>
      </c>
      <c r="G6615" t="s">
        <v>32917</v>
      </c>
      <c r="H6615" t="s">
        <v>72</v>
      </c>
      <c r="I6615" t="s">
        <v>73</v>
      </c>
      <c r="J6615" t="str">
        <f>"3241001"</f>
        <v>3241001</v>
      </c>
      <c r="K6615">
        <v>2842026374</v>
      </c>
      <c r="L6615">
        <v>2842028825</v>
      </c>
      <c r="M6615" t="s">
        <v>32996</v>
      </c>
      <c r="N6615" t="s">
        <v>32976</v>
      </c>
      <c r="O6615" t="s">
        <v>32997</v>
      </c>
      <c r="P6615">
        <v>72200</v>
      </c>
      <c r="Q6615" t="str">
        <f>"35.013159"</f>
        <v>35.013159</v>
      </c>
      <c r="R6615" t="str">
        <f>"25.749677"</f>
        <v>25.749677</v>
      </c>
      <c r="S6615" t="s">
        <v>26</v>
      </c>
    </row>
    <row r="6616" spans="1:19" x14ac:dyDescent="0.3">
      <c r="A6616" t="s">
        <v>32470</v>
      </c>
      <c r="B6616" t="s">
        <v>32904</v>
      </c>
      <c r="C6616" t="s">
        <v>33021</v>
      </c>
      <c r="D6616" t="s">
        <v>32475</v>
      </c>
      <c r="E6616" t="s">
        <v>1969</v>
      </c>
      <c r="F6616" t="s">
        <v>1969</v>
      </c>
      <c r="G6616" t="s">
        <v>1969</v>
      </c>
      <c r="H6616" t="s">
        <v>72</v>
      </c>
      <c r="I6616" t="s">
        <v>73</v>
      </c>
      <c r="J6616" t="str">
        <f>"3241002"</f>
        <v>3241002</v>
      </c>
      <c r="K6616">
        <v>2841083053</v>
      </c>
      <c r="L6616">
        <v>2841083053</v>
      </c>
      <c r="M6616" t="s">
        <v>33022</v>
      </c>
      <c r="N6616" t="s">
        <v>14960</v>
      </c>
      <c r="O6616" t="s">
        <v>32994</v>
      </c>
      <c r="P6616">
        <v>72100</v>
      </c>
      <c r="Q6616" t="str">
        <f>"35.200187"</f>
        <v>35.200187</v>
      </c>
      <c r="R6616" t="str">
        <f>"25.707369"</f>
        <v>25.707369</v>
      </c>
      <c r="S6616" t="s">
        <v>26</v>
      </c>
    </row>
    <row r="6617" spans="1:19" x14ac:dyDescent="0.3">
      <c r="A6617" t="s">
        <v>32470</v>
      </c>
      <c r="B6617" t="s">
        <v>32904</v>
      </c>
      <c r="C6617" t="s">
        <v>33026</v>
      </c>
      <c r="D6617" t="s">
        <v>32475</v>
      </c>
      <c r="E6617" t="s">
        <v>32905</v>
      </c>
      <c r="F6617" t="s">
        <v>32905</v>
      </c>
      <c r="G6617" t="s">
        <v>32905</v>
      </c>
      <c r="H6617" t="s">
        <v>72</v>
      </c>
      <c r="I6617" t="s">
        <v>73</v>
      </c>
      <c r="J6617" t="str">
        <f>"3241010"</f>
        <v>3241010</v>
      </c>
      <c r="K6617">
        <v>2843029465</v>
      </c>
      <c r="L6617">
        <v>2843029465</v>
      </c>
      <c r="M6617" t="s">
        <v>33027</v>
      </c>
      <c r="N6617" t="s">
        <v>32961</v>
      </c>
      <c r="O6617" t="s">
        <v>33028</v>
      </c>
      <c r="P6617">
        <v>72300</v>
      </c>
      <c r="Q6617" t="str">
        <f>"35.208650"</f>
        <v>35.208650</v>
      </c>
      <c r="R6617" t="str">
        <f>"26.105233"</f>
        <v>26.105233</v>
      </c>
      <c r="S6617" t="s">
        <v>26</v>
      </c>
    </row>
    <row r="6618" spans="1:19" x14ac:dyDescent="0.3">
      <c r="A6618" t="s">
        <v>32470</v>
      </c>
      <c r="B6618" t="s">
        <v>33044</v>
      </c>
      <c r="C6618" t="s">
        <v>33167</v>
      </c>
      <c r="D6618" t="s">
        <v>32480</v>
      </c>
      <c r="E6618" t="s">
        <v>32481</v>
      </c>
      <c r="F6618" t="s">
        <v>32481</v>
      </c>
      <c r="G6618" t="s">
        <v>32481</v>
      </c>
      <c r="H6618" t="s">
        <v>72</v>
      </c>
      <c r="I6618" t="s">
        <v>73</v>
      </c>
      <c r="J6618" t="str">
        <f>"4141010"</f>
        <v>4141010</v>
      </c>
      <c r="K6618">
        <v>2831035068</v>
      </c>
      <c r="L6618">
        <v>2831035068</v>
      </c>
      <c r="M6618" t="s">
        <v>33168</v>
      </c>
      <c r="N6618" t="s">
        <v>32484</v>
      </c>
      <c r="O6618" t="s">
        <v>33169</v>
      </c>
      <c r="P6618">
        <v>74100</v>
      </c>
      <c r="Q6618" t="str">
        <f>"35.364475"</f>
        <v>35.364475</v>
      </c>
      <c r="R6618" t="str">
        <f>"24.511544"</f>
        <v>24.511544</v>
      </c>
      <c r="S6618" t="s">
        <v>26</v>
      </c>
    </row>
    <row r="6619" spans="1:19" x14ac:dyDescent="0.3">
      <c r="A6619" t="s">
        <v>32470</v>
      </c>
      <c r="B6619" t="s">
        <v>33207</v>
      </c>
      <c r="C6619" t="s">
        <v>33224</v>
      </c>
      <c r="D6619" t="s">
        <v>32486</v>
      </c>
      <c r="E6619" t="s">
        <v>32486</v>
      </c>
      <c r="F6619" t="s">
        <v>32486</v>
      </c>
      <c r="G6619" t="s">
        <v>32486</v>
      </c>
      <c r="H6619" t="s">
        <v>72</v>
      </c>
      <c r="I6619" t="s">
        <v>73</v>
      </c>
      <c r="J6619" t="str">
        <f>"5041001"</f>
        <v>5041001</v>
      </c>
      <c r="K6619">
        <v>2821052100</v>
      </c>
      <c r="L6619">
        <v>2821052104</v>
      </c>
      <c r="M6619" t="s">
        <v>33225</v>
      </c>
      <c r="N6619" t="s">
        <v>32489</v>
      </c>
      <c r="O6619" t="s">
        <v>33226</v>
      </c>
      <c r="P6619">
        <v>73100</v>
      </c>
      <c r="Q6619" t="str">
        <f>"35.522526"</f>
        <v>35.522526</v>
      </c>
      <c r="R6619" t="str">
        <f>"24.059395"</f>
        <v>24.059395</v>
      </c>
      <c r="S6619" t="s">
        <v>26</v>
      </c>
    </row>
    <row r="6620" spans="1:19" x14ac:dyDescent="0.3">
      <c r="A6620" t="s">
        <v>32470</v>
      </c>
      <c r="B6620" t="s">
        <v>33207</v>
      </c>
      <c r="C6620" t="s">
        <v>33411</v>
      </c>
      <c r="D6620" t="s">
        <v>32486</v>
      </c>
      <c r="E6620" t="s">
        <v>33301</v>
      </c>
      <c r="F6620" t="s">
        <v>33301</v>
      </c>
      <c r="G6620" t="s">
        <v>33301</v>
      </c>
      <c r="H6620" t="s">
        <v>72</v>
      </c>
      <c r="I6620" t="s">
        <v>73</v>
      </c>
      <c r="J6620" t="str">
        <f>"5059001"</f>
        <v>5059001</v>
      </c>
      <c r="K6620">
        <v>2822041102</v>
      </c>
      <c r="L6620">
        <v>2822041102</v>
      </c>
      <c r="M6620" t="s">
        <v>33412</v>
      </c>
      <c r="N6620" t="s">
        <v>33413</v>
      </c>
      <c r="O6620" t="s">
        <v>33414</v>
      </c>
      <c r="P6620">
        <v>73400</v>
      </c>
      <c r="Q6620" t="str">
        <f>"35.497185"</f>
        <v>35.497185</v>
      </c>
      <c r="R6620" t="str">
        <f>"23.654195"</f>
        <v>23.654195</v>
      </c>
      <c r="S6620" t="s">
        <v>26</v>
      </c>
    </row>
    <row r="6621" spans="1:19" x14ac:dyDescent="0.3">
      <c r="A6621" t="s">
        <v>35638</v>
      </c>
      <c r="B6621" t="s">
        <v>35670</v>
      </c>
      <c r="C6621" t="s">
        <v>35701</v>
      </c>
      <c r="D6621" t="s">
        <v>35639</v>
      </c>
      <c r="E6621" t="s">
        <v>35639</v>
      </c>
      <c r="F6621" t="s">
        <v>35639</v>
      </c>
      <c r="G6621" t="s">
        <v>35639</v>
      </c>
      <c r="H6621" t="s">
        <v>72</v>
      </c>
      <c r="I6621" t="s">
        <v>73</v>
      </c>
      <c r="J6621" t="str">
        <f>"1041001"</f>
        <v>1041001</v>
      </c>
      <c r="K6621">
        <v>2241036828</v>
      </c>
      <c r="L6621">
        <v>2241078672</v>
      </c>
      <c r="M6621" t="s">
        <v>35702</v>
      </c>
      <c r="N6621" t="s">
        <v>35703</v>
      </c>
      <c r="O6621" t="s">
        <v>35704</v>
      </c>
      <c r="P6621">
        <v>85132</v>
      </c>
      <c r="Q6621" t="str">
        <f>"36.434636"</f>
        <v>36.434636</v>
      </c>
      <c r="R6621" t="str">
        <f>"28.235226"</f>
        <v>28.235226</v>
      </c>
      <c r="S6621" t="s">
        <v>26</v>
      </c>
    </row>
    <row r="6622" spans="1:19" x14ac:dyDescent="0.3">
      <c r="A6622" t="s">
        <v>35638</v>
      </c>
      <c r="B6622" t="s">
        <v>35670</v>
      </c>
      <c r="C6622" t="s">
        <v>35996</v>
      </c>
      <c r="D6622" t="s">
        <v>35651</v>
      </c>
      <c r="E6622" t="s">
        <v>35652</v>
      </c>
      <c r="F6622" t="s">
        <v>35652</v>
      </c>
      <c r="G6622" t="s">
        <v>35652</v>
      </c>
      <c r="H6622" t="s">
        <v>72</v>
      </c>
      <c r="I6622" t="s">
        <v>73</v>
      </c>
      <c r="J6622" t="str">
        <f>"1041002"</f>
        <v>1041002</v>
      </c>
      <c r="K6622">
        <v>2243059118</v>
      </c>
      <c r="L6622">
        <v>2243059118</v>
      </c>
      <c r="M6622" t="s">
        <v>35997</v>
      </c>
      <c r="N6622" t="s">
        <v>35673</v>
      </c>
      <c r="O6622" t="s">
        <v>35998</v>
      </c>
      <c r="P6622">
        <v>85200</v>
      </c>
      <c r="Q6622" t="str">
        <f>"36.957307"</f>
        <v>36.957307</v>
      </c>
      <c r="R6622" t="str">
        <f>"26.971658"</f>
        <v>26.971658</v>
      </c>
      <c r="S6622" t="s">
        <v>26</v>
      </c>
    </row>
    <row r="6623" spans="1:19" x14ac:dyDescent="0.3">
      <c r="A6623" t="s">
        <v>35638</v>
      </c>
      <c r="B6623" t="s">
        <v>35670</v>
      </c>
      <c r="C6623" t="s">
        <v>36009</v>
      </c>
      <c r="D6623" t="s">
        <v>35657</v>
      </c>
      <c r="E6623" t="s">
        <v>35657</v>
      </c>
      <c r="F6623" t="s">
        <v>35657</v>
      </c>
      <c r="G6623" t="s">
        <v>35657</v>
      </c>
      <c r="H6623" t="s">
        <v>72</v>
      </c>
      <c r="I6623" t="s">
        <v>73</v>
      </c>
      <c r="J6623" t="str">
        <f>"1041003"</f>
        <v>1041003</v>
      </c>
      <c r="K6623">
        <v>2242020598</v>
      </c>
      <c r="L6623">
        <v>2242024992</v>
      </c>
      <c r="M6623" t="s">
        <v>36010</v>
      </c>
      <c r="N6623" t="s">
        <v>36011</v>
      </c>
      <c r="O6623" t="s">
        <v>36012</v>
      </c>
      <c r="P6623">
        <v>85300</v>
      </c>
      <c r="Q6623" t="str">
        <f>"36.881914"</f>
        <v>36.881914</v>
      </c>
      <c r="R6623" t="str">
        <f>"27.273401"</f>
        <v>27.273401</v>
      </c>
      <c r="S6623" t="s">
        <v>26</v>
      </c>
    </row>
    <row r="6624" spans="1:19" x14ac:dyDescent="0.3">
      <c r="A6624" t="s">
        <v>35638</v>
      </c>
      <c r="B6624" t="s">
        <v>36020</v>
      </c>
      <c r="C6624" t="s">
        <v>36080</v>
      </c>
      <c r="D6624" t="s">
        <v>4806</v>
      </c>
      <c r="E6624" t="s">
        <v>35664</v>
      </c>
      <c r="F6624" t="s">
        <v>4806</v>
      </c>
      <c r="G6624" t="s">
        <v>4806</v>
      </c>
      <c r="H6624" t="s">
        <v>72</v>
      </c>
      <c r="I6624" t="s">
        <v>73</v>
      </c>
      <c r="J6624" t="str">
        <f>"2941005"</f>
        <v>2941005</v>
      </c>
      <c r="K6624">
        <v>2285025769</v>
      </c>
      <c r="L6624">
        <v>2285025769</v>
      </c>
      <c r="M6624" t="s">
        <v>36081</v>
      </c>
      <c r="N6624" t="s">
        <v>36077</v>
      </c>
      <c r="O6624" t="s">
        <v>36082</v>
      </c>
      <c r="P6624">
        <v>84300</v>
      </c>
      <c r="Q6624" t="str">
        <f>"37.102425"</f>
        <v>37.102425</v>
      </c>
      <c r="R6624" t="str">
        <f>"25.378626"</f>
        <v>25.378626</v>
      </c>
      <c r="S6624" t="s">
        <v>26</v>
      </c>
    </row>
    <row r="6625" spans="1:19" x14ac:dyDescent="0.3">
      <c r="A6625" t="s">
        <v>35638</v>
      </c>
      <c r="B6625" t="s">
        <v>36020</v>
      </c>
      <c r="C6625" t="s">
        <v>36283</v>
      </c>
      <c r="D6625" t="s">
        <v>35644</v>
      </c>
      <c r="E6625" t="s">
        <v>35645</v>
      </c>
      <c r="F6625" t="s">
        <v>35646</v>
      </c>
      <c r="G6625" t="s">
        <v>35646</v>
      </c>
      <c r="H6625" t="s">
        <v>72</v>
      </c>
      <c r="I6625" t="s">
        <v>73</v>
      </c>
      <c r="J6625" t="str">
        <f>"2941001"</f>
        <v>2941001</v>
      </c>
      <c r="K6625">
        <v>2281081200</v>
      </c>
      <c r="L6625">
        <v>2281081192</v>
      </c>
      <c r="M6625" t="s">
        <v>36284</v>
      </c>
      <c r="N6625" t="s">
        <v>35649</v>
      </c>
      <c r="O6625" t="s">
        <v>36285</v>
      </c>
      <c r="P6625">
        <v>84100</v>
      </c>
      <c r="Q6625" t="str">
        <f>"37.447520"</f>
        <v>37.447520</v>
      </c>
      <c r="R6625" t="str">
        <f>"24.936979"</f>
        <v>24.936979</v>
      </c>
      <c r="S6625" t="s">
        <v>26</v>
      </c>
    </row>
    <row r="6626" spans="1:19" x14ac:dyDescent="0.3">
      <c r="A6626" t="s">
        <v>35638</v>
      </c>
      <c r="B6626" t="s">
        <v>36020</v>
      </c>
      <c r="C6626" t="s">
        <v>36315</v>
      </c>
      <c r="D6626" t="s">
        <v>36021</v>
      </c>
      <c r="E6626" t="s">
        <v>36021</v>
      </c>
      <c r="F6626" t="s">
        <v>36021</v>
      </c>
      <c r="G6626" t="s">
        <v>36021</v>
      </c>
      <c r="H6626" t="s">
        <v>72</v>
      </c>
      <c r="I6626" t="s">
        <v>73</v>
      </c>
      <c r="J6626" t="str">
        <f>"2959001"</f>
        <v>2959001</v>
      </c>
      <c r="K6626">
        <v>2286032052</v>
      </c>
      <c r="M6626" t="s">
        <v>36316</v>
      </c>
      <c r="N6626" t="s">
        <v>36050</v>
      </c>
      <c r="O6626" t="s">
        <v>36317</v>
      </c>
      <c r="P6626">
        <v>84700</v>
      </c>
      <c r="Q6626" t="str">
        <f>"36.399088"</f>
        <v>36.399088</v>
      </c>
      <c r="R6626" t="str">
        <f>"25.447727"</f>
        <v>25.447727</v>
      </c>
      <c r="S6626" t="s">
        <v>26</v>
      </c>
    </row>
    <row r="6627" spans="1:19" x14ac:dyDescent="0.3">
      <c r="A6627" t="s">
        <v>37529</v>
      </c>
      <c r="B6627" t="s">
        <v>37564</v>
      </c>
      <c r="C6627" t="s">
        <v>37575</v>
      </c>
      <c r="D6627" t="s">
        <v>37530</v>
      </c>
      <c r="E6627" t="s">
        <v>37572</v>
      </c>
      <c r="F6627" t="s">
        <v>37573</v>
      </c>
      <c r="G6627" t="s">
        <v>37574</v>
      </c>
      <c r="H6627" t="s">
        <v>72</v>
      </c>
      <c r="I6627" t="s">
        <v>73</v>
      </c>
      <c r="J6627" t="str">
        <f>"0241001"</f>
        <v>0241001</v>
      </c>
      <c r="K6627">
        <v>2751068125</v>
      </c>
      <c r="L6627">
        <v>2751068125</v>
      </c>
      <c r="M6627" t="s">
        <v>37576</v>
      </c>
      <c r="N6627" t="s">
        <v>37577</v>
      </c>
      <c r="O6627" t="s">
        <v>37578</v>
      </c>
      <c r="P6627">
        <v>21200</v>
      </c>
      <c r="Q6627" t="str">
        <f>"37.635678"</f>
        <v>37.635678</v>
      </c>
      <c r="R6627" t="str">
        <f>"22.765721"</f>
        <v>22.765721</v>
      </c>
      <c r="S6627" t="s">
        <v>26</v>
      </c>
    </row>
    <row r="6628" spans="1:19" x14ac:dyDescent="0.3">
      <c r="A6628" t="s">
        <v>37529</v>
      </c>
      <c r="B6628" t="s">
        <v>37564</v>
      </c>
      <c r="C6628" t="s">
        <v>37698</v>
      </c>
      <c r="D6628" t="s">
        <v>37530</v>
      </c>
      <c r="E6628" t="s">
        <v>37565</v>
      </c>
      <c r="F6628" t="s">
        <v>37566</v>
      </c>
      <c r="G6628" t="s">
        <v>37566</v>
      </c>
      <c r="H6628" t="s">
        <v>72</v>
      </c>
      <c r="I6628" t="s">
        <v>73</v>
      </c>
      <c r="J6628" t="str">
        <f>"0225000"</f>
        <v>0225000</v>
      </c>
      <c r="K6628">
        <v>2754029548</v>
      </c>
      <c r="M6628" t="s">
        <v>37699</v>
      </c>
      <c r="N6628" t="s">
        <v>37700</v>
      </c>
      <c r="O6628" t="s">
        <v>37701</v>
      </c>
      <c r="Q6628" t="str">
        <f>"37.383242"</f>
        <v>37.383242</v>
      </c>
      <c r="R6628" t="str">
        <f>"23.150960"</f>
        <v>23.150960</v>
      </c>
      <c r="S6628" t="s">
        <v>26</v>
      </c>
    </row>
    <row r="6629" spans="1:19" x14ac:dyDescent="0.3">
      <c r="A6629" t="s">
        <v>37529</v>
      </c>
      <c r="B6629" t="s">
        <v>37702</v>
      </c>
      <c r="C6629" t="s">
        <v>37713</v>
      </c>
      <c r="D6629" t="s">
        <v>37537</v>
      </c>
      <c r="E6629" t="s">
        <v>37538</v>
      </c>
      <c r="F6629" t="s">
        <v>37711</v>
      </c>
      <c r="G6629" t="s">
        <v>37712</v>
      </c>
      <c r="H6629" t="s">
        <v>72</v>
      </c>
      <c r="I6629" t="s">
        <v>73</v>
      </c>
      <c r="J6629" t="str">
        <f>"0341001"</f>
        <v>0341001</v>
      </c>
      <c r="K6629">
        <v>2710243429</v>
      </c>
      <c r="L6629">
        <v>2710243429</v>
      </c>
      <c r="M6629" t="s">
        <v>37714</v>
      </c>
      <c r="N6629" t="s">
        <v>37715</v>
      </c>
      <c r="O6629" t="s">
        <v>37712</v>
      </c>
      <c r="P6629">
        <v>22100</v>
      </c>
      <c r="Q6629" t="str">
        <f>"37.615228"</f>
        <v>37.615228</v>
      </c>
      <c r="R6629" t="str">
        <f>"22.348445"</f>
        <v>22.348445</v>
      </c>
      <c r="S6629" t="s">
        <v>26</v>
      </c>
    </row>
    <row r="6630" spans="1:19" x14ac:dyDescent="0.3">
      <c r="A6630" t="s">
        <v>37529</v>
      </c>
      <c r="B6630" t="s">
        <v>37702</v>
      </c>
      <c r="C6630" t="s">
        <v>37833</v>
      </c>
      <c r="D6630" t="s">
        <v>37537</v>
      </c>
      <c r="E6630" t="s">
        <v>37753</v>
      </c>
      <c r="F6630" t="s">
        <v>37754</v>
      </c>
      <c r="G6630" t="s">
        <v>37754</v>
      </c>
      <c r="H6630" t="s">
        <v>72</v>
      </c>
      <c r="I6630" t="s">
        <v>73</v>
      </c>
      <c r="J6630" t="str">
        <f>"0341002"</f>
        <v>0341002</v>
      </c>
      <c r="K6630">
        <v>2757029131</v>
      </c>
      <c r="L6630">
        <v>2757029132</v>
      </c>
      <c r="M6630" t="s">
        <v>37834</v>
      </c>
      <c r="N6630" t="s">
        <v>37757</v>
      </c>
      <c r="O6630" t="s">
        <v>2648</v>
      </c>
      <c r="P6630">
        <v>22300</v>
      </c>
      <c r="Q6630" t="str">
        <f>""</f>
        <v/>
      </c>
      <c r="R6630" t="str">
        <f>""</f>
        <v/>
      </c>
      <c r="S6630" t="s">
        <v>26</v>
      </c>
    </row>
    <row r="6631" spans="1:19" x14ac:dyDescent="0.3">
      <c r="A6631" t="s">
        <v>37529</v>
      </c>
      <c r="B6631" t="s">
        <v>37844</v>
      </c>
      <c r="C6631" t="s">
        <v>38062</v>
      </c>
      <c r="D6631" t="s">
        <v>37544</v>
      </c>
      <c r="E6631" t="s">
        <v>37845</v>
      </c>
      <c r="F6631" t="s">
        <v>37846</v>
      </c>
      <c r="G6631" t="s">
        <v>37953</v>
      </c>
      <c r="H6631" t="s">
        <v>72</v>
      </c>
      <c r="I6631" t="s">
        <v>73</v>
      </c>
      <c r="J6631" t="str">
        <f>"2841001"</f>
        <v>2841001</v>
      </c>
      <c r="K6631">
        <v>2741030932</v>
      </c>
      <c r="L6631">
        <v>2741030933</v>
      </c>
      <c r="M6631" t="s">
        <v>38063</v>
      </c>
      <c r="N6631" t="s">
        <v>37855</v>
      </c>
      <c r="O6631" t="s">
        <v>38064</v>
      </c>
      <c r="P6631">
        <v>20010</v>
      </c>
      <c r="Q6631" t="str">
        <f>"37.905018"</f>
        <v>37.905018</v>
      </c>
      <c r="R6631" t="str">
        <f>"23.000962"</f>
        <v>23.000962</v>
      </c>
      <c r="S6631" t="s">
        <v>26</v>
      </c>
    </row>
    <row r="6632" spans="1:19" x14ac:dyDescent="0.3">
      <c r="A6632" t="s">
        <v>37529</v>
      </c>
      <c r="B6632" t="s">
        <v>38077</v>
      </c>
      <c r="C6632" t="s">
        <v>38084</v>
      </c>
      <c r="D6632" t="s">
        <v>37551</v>
      </c>
      <c r="E6632" t="s">
        <v>37552</v>
      </c>
      <c r="F6632" t="s">
        <v>37553</v>
      </c>
      <c r="G6632" t="s">
        <v>37552</v>
      </c>
      <c r="H6632" t="s">
        <v>72</v>
      </c>
      <c r="I6632" t="s">
        <v>73</v>
      </c>
      <c r="J6632" t="str">
        <f>"3041001"</f>
        <v>3041001</v>
      </c>
      <c r="K6632">
        <v>2731089502</v>
      </c>
      <c r="L6632">
        <v>2731021052</v>
      </c>
      <c r="M6632" t="s">
        <v>38085</v>
      </c>
      <c r="N6632" t="s">
        <v>38086</v>
      </c>
      <c r="O6632" t="s">
        <v>38087</v>
      </c>
      <c r="P6632">
        <v>23100</v>
      </c>
      <c r="Q6632" t="str">
        <f>"37.115319"</f>
        <v>37.115319</v>
      </c>
      <c r="R6632" t="str">
        <f>"22.405502"</f>
        <v>22.405502</v>
      </c>
      <c r="S6632" t="s">
        <v>26</v>
      </c>
    </row>
    <row r="6633" spans="1:19" x14ac:dyDescent="0.3">
      <c r="A6633" t="s">
        <v>37529</v>
      </c>
      <c r="B6633" t="s">
        <v>38077</v>
      </c>
      <c r="C6633" t="s">
        <v>38243</v>
      </c>
      <c r="D6633" t="s">
        <v>37551</v>
      </c>
      <c r="E6633" t="s">
        <v>38097</v>
      </c>
      <c r="F6633" t="s">
        <v>24992</v>
      </c>
      <c r="G6633" t="s">
        <v>5087</v>
      </c>
      <c r="H6633" t="s">
        <v>72</v>
      </c>
      <c r="I6633" t="s">
        <v>73</v>
      </c>
      <c r="J6633" t="str">
        <f>"3059001"</f>
        <v>3059001</v>
      </c>
      <c r="K6633">
        <v>2735029223</v>
      </c>
      <c r="M6633" t="s">
        <v>38244</v>
      </c>
      <c r="N6633" t="s">
        <v>38151</v>
      </c>
      <c r="O6633" t="s">
        <v>5102</v>
      </c>
      <c r="P6633">
        <v>23051</v>
      </c>
      <c r="Q6633" t="str">
        <f>"36.869526"</f>
        <v>36.869526</v>
      </c>
      <c r="R6633" t="str">
        <f>"22.676902"</f>
        <v>22.676902</v>
      </c>
      <c r="S6633" t="s">
        <v>26</v>
      </c>
    </row>
    <row r="6634" spans="1:19" x14ac:dyDescent="0.3">
      <c r="A6634" t="s">
        <v>37529</v>
      </c>
      <c r="B6634" t="s">
        <v>38247</v>
      </c>
      <c r="C6634" t="s">
        <v>38305</v>
      </c>
      <c r="D6634" t="s">
        <v>37558</v>
      </c>
      <c r="E6634" t="s">
        <v>37559</v>
      </c>
      <c r="F6634" t="s">
        <v>37559</v>
      </c>
      <c r="G6634" t="s">
        <v>37559</v>
      </c>
      <c r="H6634" t="s">
        <v>72</v>
      </c>
      <c r="I6634" t="s">
        <v>73</v>
      </c>
      <c r="J6634" t="str">
        <f>"3641001"</f>
        <v>3641001</v>
      </c>
      <c r="K6634">
        <v>2721085023</v>
      </c>
      <c r="L6634">
        <v>2721085099</v>
      </c>
      <c r="M6634" t="s">
        <v>38306</v>
      </c>
      <c r="N6634" t="s">
        <v>37562</v>
      </c>
      <c r="O6634" t="s">
        <v>38307</v>
      </c>
      <c r="P6634">
        <v>24100</v>
      </c>
      <c r="Q6634" t="str">
        <f>"37.037677"</f>
        <v>37.037677</v>
      </c>
      <c r="R6634" t="str">
        <f>"22.083671"</f>
        <v>22.083671</v>
      </c>
      <c r="S6634" t="s">
        <v>26</v>
      </c>
    </row>
    <row r="6635" spans="1:19" x14ac:dyDescent="0.3">
      <c r="A6635" t="s">
        <v>37529</v>
      </c>
      <c r="B6635" t="s">
        <v>38247</v>
      </c>
      <c r="C6635" t="s">
        <v>38501</v>
      </c>
      <c r="D6635" t="s">
        <v>37558</v>
      </c>
      <c r="E6635" t="s">
        <v>38286</v>
      </c>
      <c r="F6635" t="s">
        <v>38287</v>
      </c>
      <c r="G6635" t="s">
        <v>38287</v>
      </c>
      <c r="H6635" t="s">
        <v>72</v>
      </c>
      <c r="I6635" t="s">
        <v>73</v>
      </c>
      <c r="J6635" t="str">
        <f>"3641002"</f>
        <v>3641002</v>
      </c>
      <c r="K6635">
        <v>2761033988</v>
      </c>
      <c r="L6635">
        <v>2761033988</v>
      </c>
      <c r="M6635" t="s">
        <v>38502</v>
      </c>
      <c r="N6635" t="s">
        <v>38497</v>
      </c>
      <c r="O6635" t="s">
        <v>38503</v>
      </c>
      <c r="P6635">
        <v>24300</v>
      </c>
      <c r="Q6635" t="str">
        <f>"37.155716"</f>
        <v>37.155716</v>
      </c>
      <c r="R6635" t="str">
        <f>"21.579630"</f>
        <v>21.579630</v>
      </c>
      <c r="S6635" t="s">
        <v>26</v>
      </c>
    </row>
    <row r="6636" spans="1:19" x14ac:dyDescent="0.3">
      <c r="A6636" t="s">
        <v>40240</v>
      </c>
      <c r="B6636" t="s">
        <v>40273</v>
      </c>
      <c r="C6636" t="s">
        <v>40491</v>
      </c>
      <c r="D6636" t="s">
        <v>40241</v>
      </c>
      <c r="E6636" t="s">
        <v>40303</v>
      </c>
      <c r="F6636" t="s">
        <v>40425</v>
      </c>
      <c r="G6636" t="s">
        <v>40490</v>
      </c>
      <c r="H6636" t="s">
        <v>72</v>
      </c>
      <c r="I6636" t="s">
        <v>73</v>
      </c>
      <c r="J6636" t="str">
        <f>"0741001"</f>
        <v>0741001</v>
      </c>
      <c r="K6636">
        <v>2262023645</v>
      </c>
      <c r="L6636">
        <v>2262089213</v>
      </c>
      <c r="M6636" t="s">
        <v>40492</v>
      </c>
      <c r="N6636" t="s">
        <v>40306</v>
      </c>
      <c r="O6636" t="s">
        <v>40493</v>
      </c>
      <c r="P6636">
        <v>32200</v>
      </c>
      <c r="Q6636" t="str">
        <f>"38.278756"</f>
        <v>38.278756</v>
      </c>
      <c r="R6636" t="str">
        <f>"23.268920"</f>
        <v>23.268920</v>
      </c>
      <c r="S6636" t="s">
        <v>26</v>
      </c>
    </row>
    <row r="6637" spans="1:19" x14ac:dyDescent="0.3">
      <c r="A6637" t="s">
        <v>40240</v>
      </c>
      <c r="B6637" t="s">
        <v>40273</v>
      </c>
      <c r="C6637" t="s">
        <v>40495</v>
      </c>
      <c r="D6637" t="s">
        <v>40241</v>
      </c>
      <c r="E6637" t="s">
        <v>40242</v>
      </c>
      <c r="F6637" t="s">
        <v>40494</v>
      </c>
      <c r="G6637" t="s">
        <v>40494</v>
      </c>
      <c r="H6637" t="s">
        <v>72</v>
      </c>
      <c r="I6637" t="s">
        <v>73</v>
      </c>
      <c r="J6637" t="str">
        <f>"0741002"</f>
        <v>0741002</v>
      </c>
      <c r="K6637">
        <v>2261095466</v>
      </c>
      <c r="L6637">
        <v>2261095466</v>
      </c>
      <c r="M6637" t="s">
        <v>40496</v>
      </c>
      <c r="N6637" t="s">
        <v>40497</v>
      </c>
      <c r="O6637" t="s">
        <v>40498</v>
      </c>
      <c r="P6637">
        <v>32131</v>
      </c>
      <c r="Q6637" t="str">
        <f>"38.497033"</f>
        <v>38.497033</v>
      </c>
      <c r="R6637" t="str">
        <f>"22.849570"</f>
        <v>22.849570</v>
      </c>
      <c r="S6637" t="s">
        <v>26</v>
      </c>
    </row>
    <row r="6638" spans="1:19" x14ac:dyDescent="0.3">
      <c r="A6638" t="s">
        <v>40240</v>
      </c>
      <c r="B6638" t="s">
        <v>40505</v>
      </c>
      <c r="C6638" t="s">
        <v>40806</v>
      </c>
      <c r="D6638" t="s">
        <v>40247</v>
      </c>
      <c r="E6638" t="s">
        <v>40248</v>
      </c>
      <c r="F6638" t="s">
        <v>40248</v>
      </c>
      <c r="G6638" t="s">
        <v>40248</v>
      </c>
      <c r="H6638" t="s">
        <v>72</v>
      </c>
      <c r="I6638" t="s">
        <v>73</v>
      </c>
      <c r="J6638" t="str">
        <f>"1241001"</f>
        <v>1241001</v>
      </c>
      <c r="K6638">
        <v>2221044580</v>
      </c>
      <c r="L6638">
        <v>2221044581</v>
      </c>
      <c r="M6638" t="s">
        <v>40807</v>
      </c>
      <c r="N6638" t="s">
        <v>40536</v>
      </c>
      <c r="O6638" t="s">
        <v>40808</v>
      </c>
      <c r="P6638">
        <v>34100</v>
      </c>
      <c r="Q6638" t="str">
        <f>"38.410923"</f>
        <v>38.410923</v>
      </c>
      <c r="R6638" t="str">
        <f>"23.549041"</f>
        <v>23.549041</v>
      </c>
      <c r="S6638" t="s">
        <v>26</v>
      </c>
    </row>
    <row r="6639" spans="1:19" x14ac:dyDescent="0.3">
      <c r="A6639" t="s">
        <v>40240</v>
      </c>
      <c r="B6639" t="s">
        <v>40505</v>
      </c>
      <c r="C6639" t="s">
        <v>40831</v>
      </c>
      <c r="D6639" t="s">
        <v>40247</v>
      </c>
      <c r="E6639" t="s">
        <v>40566</v>
      </c>
      <c r="F6639" t="s">
        <v>40567</v>
      </c>
      <c r="G6639" t="s">
        <v>40830</v>
      </c>
      <c r="H6639" t="s">
        <v>72</v>
      </c>
      <c r="I6639" t="s">
        <v>73</v>
      </c>
      <c r="J6639" t="str">
        <f>"1259001"</f>
        <v>1259001</v>
      </c>
      <c r="K6639">
        <v>2226056152</v>
      </c>
      <c r="L6639">
        <v>2226056152</v>
      </c>
      <c r="M6639" t="s">
        <v>40832</v>
      </c>
      <c r="N6639" t="s">
        <v>40833</v>
      </c>
      <c r="O6639" t="s">
        <v>40834</v>
      </c>
      <c r="P6639">
        <v>34200</v>
      </c>
      <c r="Q6639" t="str">
        <f>"38.931966"</f>
        <v>38.931966</v>
      </c>
      <c r="R6639" t="str">
        <f>"23.173943"</f>
        <v>23.173943</v>
      </c>
      <c r="S6639" t="s">
        <v>26</v>
      </c>
    </row>
    <row r="6640" spans="1:19" x14ac:dyDescent="0.3">
      <c r="A6640" t="s">
        <v>40240</v>
      </c>
      <c r="B6640" t="s">
        <v>40835</v>
      </c>
      <c r="C6640" t="s">
        <v>40884</v>
      </c>
      <c r="D6640" t="s">
        <v>40254</v>
      </c>
      <c r="E6640" t="s">
        <v>40255</v>
      </c>
      <c r="F6640" t="s">
        <v>40255</v>
      </c>
      <c r="G6640" t="s">
        <v>40255</v>
      </c>
      <c r="H6640" t="s">
        <v>72</v>
      </c>
      <c r="I6640" t="s">
        <v>73</v>
      </c>
      <c r="J6640" t="str">
        <f>"1341001"</f>
        <v>1341001</v>
      </c>
      <c r="K6640">
        <v>2237080122</v>
      </c>
      <c r="L6640">
        <v>2237080122</v>
      </c>
      <c r="M6640" t="s">
        <v>40885</v>
      </c>
      <c r="N6640" t="s">
        <v>40255</v>
      </c>
      <c r="O6640" t="s">
        <v>40886</v>
      </c>
      <c r="P6640">
        <v>36100</v>
      </c>
      <c r="Q6640" t="str">
        <f>"38.912918"</f>
        <v>38.912918</v>
      </c>
      <c r="R6640" t="str">
        <f>"21.809172"</f>
        <v>21.809172</v>
      </c>
      <c r="S6640" t="s">
        <v>26</v>
      </c>
    </row>
    <row r="6641" spans="1:19" x14ac:dyDescent="0.3">
      <c r="A6641" t="s">
        <v>40240</v>
      </c>
      <c r="B6641" t="s">
        <v>40891</v>
      </c>
      <c r="C6641" t="s">
        <v>40933</v>
      </c>
      <c r="D6641" t="s">
        <v>40260</v>
      </c>
      <c r="E6641" t="s">
        <v>40261</v>
      </c>
      <c r="F6641" t="s">
        <v>40261</v>
      </c>
      <c r="G6641" t="s">
        <v>40261</v>
      </c>
      <c r="H6641" t="s">
        <v>72</v>
      </c>
      <c r="I6641" t="s">
        <v>73</v>
      </c>
      <c r="J6641" t="str">
        <f>"4641001"</f>
        <v>4641001</v>
      </c>
      <c r="K6641">
        <v>2231096325</v>
      </c>
      <c r="L6641">
        <v>2231096325</v>
      </c>
      <c r="M6641" t="s">
        <v>40934</v>
      </c>
      <c r="N6641" t="s">
        <v>40264</v>
      </c>
      <c r="O6641" t="s">
        <v>40935</v>
      </c>
      <c r="P6641">
        <v>35100</v>
      </c>
      <c r="Q6641" t="str">
        <f>"38.890532"</f>
        <v>38.890532</v>
      </c>
      <c r="R6641" t="str">
        <f>"22.431543"</f>
        <v>22.431543</v>
      </c>
      <c r="S6641" t="s">
        <v>26</v>
      </c>
    </row>
    <row r="6642" spans="1:19" x14ac:dyDescent="0.3">
      <c r="A6642" t="s">
        <v>40240</v>
      </c>
      <c r="B6642" t="s">
        <v>41165</v>
      </c>
      <c r="C6642" t="s">
        <v>41244</v>
      </c>
      <c r="D6642" t="s">
        <v>40266</v>
      </c>
      <c r="E6642" t="s">
        <v>40267</v>
      </c>
      <c r="F6642" t="s">
        <v>40268</v>
      </c>
      <c r="G6642" t="s">
        <v>40268</v>
      </c>
      <c r="H6642" t="s">
        <v>72</v>
      </c>
      <c r="I6642" t="s">
        <v>73</v>
      </c>
      <c r="J6642" t="str">
        <f>"4841001"</f>
        <v>4841001</v>
      </c>
      <c r="K6642">
        <v>2265079011</v>
      </c>
      <c r="L6642">
        <v>2265079011</v>
      </c>
      <c r="M6642" t="s">
        <v>41245</v>
      </c>
      <c r="N6642" t="s">
        <v>41172</v>
      </c>
      <c r="O6642" t="s">
        <v>41246</v>
      </c>
      <c r="P6642">
        <v>33100</v>
      </c>
      <c r="Q6642" t="str">
        <f>"38.525352"</f>
        <v>38.525352</v>
      </c>
      <c r="R6642" t="str">
        <f>"22.376247"</f>
        <v>22.376247</v>
      </c>
      <c r="S6642" t="s">
        <v>26</v>
      </c>
    </row>
    <row r="6643" spans="1:19" x14ac:dyDescent="0.3">
      <c r="A6643" t="s">
        <v>19</v>
      </c>
      <c r="B6643" t="s">
        <v>49</v>
      </c>
      <c r="C6643" t="s">
        <v>80</v>
      </c>
      <c r="D6643" t="s">
        <v>21</v>
      </c>
      <c r="E6643" t="s">
        <v>59</v>
      </c>
      <c r="F6643" t="s">
        <v>59</v>
      </c>
      <c r="G6643" t="s">
        <v>59</v>
      </c>
      <c r="H6643" t="s">
        <v>78</v>
      </c>
      <c r="I6643" t="s">
        <v>79</v>
      </c>
      <c r="J6643" t="str">
        <f>"0940050"</f>
        <v>0940050</v>
      </c>
      <c r="K6643">
        <v>2521067410</v>
      </c>
      <c r="L6643">
        <v>2521069161</v>
      </c>
      <c r="M6643" t="s">
        <v>81</v>
      </c>
      <c r="N6643" t="s">
        <v>59</v>
      </c>
      <c r="O6643" t="s">
        <v>82</v>
      </c>
      <c r="P6643">
        <v>66300</v>
      </c>
      <c r="Q6643" t="str">
        <f>"41.098860"</f>
        <v>41.098860</v>
      </c>
      <c r="R6643" t="str">
        <f>"24.226933"</f>
        <v>24.226933</v>
      </c>
      <c r="S6643" t="s">
        <v>26</v>
      </c>
    </row>
    <row r="6644" spans="1:19" x14ac:dyDescent="0.3">
      <c r="A6644" t="s">
        <v>19</v>
      </c>
      <c r="B6644" t="s">
        <v>49</v>
      </c>
      <c r="C6644" t="s">
        <v>84</v>
      </c>
      <c r="D6644" t="s">
        <v>21</v>
      </c>
      <c r="E6644" t="s">
        <v>66</v>
      </c>
      <c r="F6644" t="s">
        <v>66</v>
      </c>
      <c r="G6644" t="s">
        <v>66</v>
      </c>
      <c r="H6644" t="s">
        <v>78</v>
      </c>
      <c r="I6644" t="s">
        <v>79</v>
      </c>
      <c r="J6644" t="str">
        <f>"0940060"</f>
        <v>0940060</v>
      </c>
      <c r="K6644">
        <v>2522022488</v>
      </c>
      <c r="L6644">
        <v>2522022411</v>
      </c>
      <c r="M6644" t="s">
        <v>85</v>
      </c>
      <c r="N6644" t="s">
        <v>86</v>
      </c>
      <c r="O6644" t="s">
        <v>87</v>
      </c>
      <c r="P6644">
        <v>66200</v>
      </c>
      <c r="Q6644" t="str">
        <f>"41.181670"</f>
        <v>41.181670</v>
      </c>
      <c r="R6644" t="str">
        <f>"23.976454"</f>
        <v>23.976454</v>
      </c>
      <c r="S6644" t="s">
        <v>26</v>
      </c>
    </row>
    <row r="6645" spans="1:19" x14ac:dyDescent="0.3">
      <c r="A6645" t="s">
        <v>19</v>
      </c>
      <c r="B6645" t="s">
        <v>49</v>
      </c>
      <c r="C6645" t="s">
        <v>95</v>
      </c>
      <c r="D6645" t="s">
        <v>21</v>
      </c>
      <c r="E6645" t="s">
        <v>50</v>
      </c>
      <c r="F6645" t="s">
        <v>50</v>
      </c>
      <c r="G6645" t="s">
        <v>50</v>
      </c>
      <c r="H6645" t="s">
        <v>78</v>
      </c>
      <c r="I6645" t="s">
        <v>79</v>
      </c>
      <c r="J6645" t="str">
        <f>"0940065"</f>
        <v>0940065</v>
      </c>
      <c r="K6645">
        <v>2523022202</v>
      </c>
      <c r="M6645" t="s">
        <v>96</v>
      </c>
      <c r="N6645" t="s">
        <v>56</v>
      </c>
      <c r="O6645" t="s">
        <v>56</v>
      </c>
      <c r="P6645">
        <v>66033</v>
      </c>
      <c r="Q6645" t="str">
        <f>"41.340835"</f>
        <v>41.340835</v>
      </c>
      <c r="R6645" t="str">
        <f>"23.866531"</f>
        <v>23.866531</v>
      </c>
      <c r="S6645" t="s">
        <v>26</v>
      </c>
    </row>
    <row r="6646" spans="1:19" x14ac:dyDescent="0.3">
      <c r="A6646" t="s">
        <v>19</v>
      </c>
      <c r="B6646" t="s">
        <v>49</v>
      </c>
      <c r="C6646" t="s">
        <v>116</v>
      </c>
      <c r="D6646" t="s">
        <v>21</v>
      </c>
      <c r="E6646" t="s">
        <v>21</v>
      </c>
      <c r="F6646" t="s">
        <v>21</v>
      </c>
      <c r="G6646" t="s">
        <v>21</v>
      </c>
      <c r="H6646" t="s">
        <v>78</v>
      </c>
      <c r="I6646" t="s">
        <v>79</v>
      </c>
      <c r="J6646" t="str">
        <f>"0940040"</f>
        <v>0940040</v>
      </c>
      <c r="K6646">
        <v>2521022223</v>
      </c>
      <c r="L6646">
        <v>2521027781</v>
      </c>
      <c r="M6646" t="s">
        <v>117</v>
      </c>
      <c r="N6646" t="s">
        <v>24</v>
      </c>
      <c r="O6646" t="s">
        <v>118</v>
      </c>
      <c r="P6646">
        <v>66132</v>
      </c>
      <c r="Q6646" t="str">
        <f>"41.148454"</f>
        <v>41.148454</v>
      </c>
      <c r="R6646" t="str">
        <f>"24.155187"</f>
        <v>24.155187</v>
      </c>
      <c r="S6646" t="s">
        <v>26</v>
      </c>
    </row>
    <row r="6647" spans="1:19" x14ac:dyDescent="0.3">
      <c r="A6647" t="s">
        <v>19</v>
      </c>
      <c r="B6647" t="s">
        <v>49</v>
      </c>
      <c r="C6647" t="s">
        <v>133</v>
      </c>
      <c r="D6647" t="s">
        <v>21</v>
      </c>
      <c r="E6647" t="s">
        <v>21</v>
      </c>
      <c r="F6647" t="s">
        <v>21</v>
      </c>
      <c r="G6647" t="s">
        <v>21</v>
      </c>
      <c r="H6647" t="s">
        <v>78</v>
      </c>
      <c r="I6647" t="s">
        <v>132</v>
      </c>
      <c r="J6647" t="str">
        <f>"0940035"</f>
        <v>0940035</v>
      </c>
      <c r="K6647">
        <v>2521057428</v>
      </c>
      <c r="L6647">
        <v>2521057428</v>
      </c>
      <c r="M6647" t="s">
        <v>134</v>
      </c>
      <c r="N6647" t="s">
        <v>24</v>
      </c>
      <c r="O6647" t="s">
        <v>135</v>
      </c>
      <c r="P6647">
        <v>66132</v>
      </c>
      <c r="Q6647" t="str">
        <f>"41.147701"</f>
        <v>41.147701</v>
      </c>
      <c r="R6647" t="str">
        <f>"24.154835"</f>
        <v>24.154835</v>
      </c>
      <c r="S6647" t="s">
        <v>26</v>
      </c>
    </row>
    <row r="6648" spans="1:19" x14ac:dyDescent="0.3">
      <c r="A6648" t="s">
        <v>19</v>
      </c>
      <c r="B6648" t="s">
        <v>49</v>
      </c>
      <c r="C6648" t="s">
        <v>188</v>
      </c>
      <c r="D6648" t="s">
        <v>21</v>
      </c>
      <c r="E6648" t="s">
        <v>21</v>
      </c>
      <c r="F6648" t="s">
        <v>21</v>
      </c>
      <c r="G6648" t="s">
        <v>21</v>
      </c>
      <c r="H6648" t="s">
        <v>78</v>
      </c>
      <c r="I6648" t="s">
        <v>79</v>
      </c>
      <c r="J6648" t="str">
        <f>"0940030"</f>
        <v>0940030</v>
      </c>
      <c r="K6648">
        <v>2521022888</v>
      </c>
      <c r="L6648">
        <v>2521055216</v>
      </c>
      <c r="M6648" t="s">
        <v>189</v>
      </c>
      <c r="N6648" t="s">
        <v>24</v>
      </c>
      <c r="O6648" t="s">
        <v>118</v>
      </c>
      <c r="P6648">
        <v>66132</v>
      </c>
      <c r="Q6648" t="str">
        <f>"41.148305"</f>
        <v>41.148305</v>
      </c>
      <c r="R6648" t="str">
        <f>"24.154766"</f>
        <v>24.154766</v>
      </c>
      <c r="S6648" t="s">
        <v>26</v>
      </c>
    </row>
    <row r="6649" spans="1:19" x14ac:dyDescent="0.3">
      <c r="A6649" t="s">
        <v>19</v>
      </c>
      <c r="B6649" t="s">
        <v>202</v>
      </c>
      <c r="C6649" t="s">
        <v>217</v>
      </c>
      <c r="D6649" t="s">
        <v>27</v>
      </c>
      <c r="E6649" t="s">
        <v>28</v>
      </c>
      <c r="F6649" t="s">
        <v>28</v>
      </c>
      <c r="G6649" t="s">
        <v>28</v>
      </c>
      <c r="H6649" t="s">
        <v>78</v>
      </c>
      <c r="I6649" t="s">
        <v>132</v>
      </c>
      <c r="J6649" t="str">
        <f>"1150080"</f>
        <v>1150080</v>
      </c>
      <c r="K6649">
        <v>2551083932</v>
      </c>
      <c r="L6649">
        <v>2551083932</v>
      </c>
      <c r="M6649" t="s">
        <v>218</v>
      </c>
      <c r="N6649" t="s">
        <v>31</v>
      </c>
      <c r="O6649" t="s">
        <v>219</v>
      </c>
      <c r="P6649">
        <v>68100</v>
      </c>
      <c r="Q6649" t="str">
        <f>"40.847768"</f>
        <v>40.847768</v>
      </c>
      <c r="R6649" t="str">
        <f>"25.863249"</f>
        <v>25.863249</v>
      </c>
      <c r="S6649" t="s">
        <v>26</v>
      </c>
    </row>
    <row r="6650" spans="1:19" x14ac:dyDescent="0.3">
      <c r="A6650" t="s">
        <v>19</v>
      </c>
      <c r="B6650" t="s">
        <v>202</v>
      </c>
      <c r="C6650" t="s">
        <v>238</v>
      </c>
      <c r="D6650" t="s">
        <v>27</v>
      </c>
      <c r="E6650" t="s">
        <v>221</v>
      </c>
      <c r="F6650" t="s">
        <v>221</v>
      </c>
      <c r="G6650" t="s">
        <v>221</v>
      </c>
      <c r="H6650" t="s">
        <v>78</v>
      </c>
      <c r="I6650" t="s">
        <v>79</v>
      </c>
      <c r="J6650" t="str">
        <f>"1140080"</f>
        <v>1140080</v>
      </c>
      <c r="K6650">
        <v>2552029431</v>
      </c>
      <c r="L6650">
        <v>2552027334</v>
      </c>
      <c r="M6650" t="s">
        <v>239</v>
      </c>
      <c r="N6650" t="s">
        <v>240</v>
      </c>
      <c r="O6650" t="s">
        <v>241</v>
      </c>
      <c r="P6650">
        <v>68200</v>
      </c>
      <c r="Q6650" t="str">
        <f>"41.497697"</f>
        <v>41.497697</v>
      </c>
      <c r="R6650" t="str">
        <f>"26.513837"</f>
        <v>26.513837</v>
      </c>
      <c r="S6650" t="s">
        <v>26</v>
      </c>
    </row>
    <row r="6651" spans="1:19" x14ac:dyDescent="0.3">
      <c r="A6651" t="s">
        <v>19</v>
      </c>
      <c r="B6651" t="s">
        <v>202</v>
      </c>
      <c r="C6651" t="s">
        <v>243</v>
      </c>
      <c r="D6651" t="s">
        <v>27</v>
      </c>
      <c r="E6651" t="s">
        <v>28</v>
      </c>
      <c r="F6651" t="s">
        <v>28</v>
      </c>
      <c r="G6651" t="s">
        <v>28</v>
      </c>
      <c r="H6651" t="s">
        <v>78</v>
      </c>
      <c r="I6651" t="s">
        <v>79</v>
      </c>
      <c r="J6651" t="str">
        <f>"1140060"</f>
        <v>1140060</v>
      </c>
      <c r="K6651">
        <v>2551026088</v>
      </c>
      <c r="L6651">
        <v>2551032646</v>
      </c>
      <c r="M6651" t="s">
        <v>244</v>
      </c>
      <c r="N6651" t="s">
        <v>31</v>
      </c>
      <c r="O6651" t="s">
        <v>219</v>
      </c>
      <c r="P6651">
        <v>68131</v>
      </c>
      <c r="Q6651" t="str">
        <f>"40.847944"</f>
        <v>40.847944</v>
      </c>
      <c r="R6651" t="str">
        <f>"25.862820"</f>
        <v>25.862820</v>
      </c>
      <c r="S6651" t="s">
        <v>26</v>
      </c>
    </row>
    <row r="6652" spans="1:19" x14ac:dyDescent="0.3">
      <c r="A6652" t="s">
        <v>19</v>
      </c>
      <c r="B6652" t="s">
        <v>202</v>
      </c>
      <c r="C6652" t="s">
        <v>245</v>
      </c>
      <c r="D6652" t="s">
        <v>27</v>
      </c>
      <c r="E6652" t="s">
        <v>28</v>
      </c>
      <c r="F6652" t="s">
        <v>28</v>
      </c>
      <c r="G6652" t="s">
        <v>28</v>
      </c>
      <c r="H6652" t="s">
        <v>78</v>
      </c>
      <c r="I6652" t="s">
        <v>79</v>
      </c>
      <c r="J6652" t="str">
        <f>"1150070"</f>
        <v>1150070</v>
      </c>
      <c r="K6652">
        <v>2551026343</v>
      </c>
      <c r="L6652">
        <v>2551026638</v>
      </c>
      <c r="M6652" t="s">
        <v>246</v>
      </c>
      <c r="N6652" t="s">
        <v>31</v>
      </c>
      <c r="O6652" t="s">
        <v>247</v>
      </c>
      <c r="P6652">
        <v>68100</v>
      </c>
      <c r="Q6652" t="str">
        <f>"40.857318"</f>
        <v>40.857318</v>
      </c>
      <c r="R6652" t="str">
        <f>"25.865510"</f>
        <v>25.865510</v>
      </c>
      <c r="S6652" t="s">
        <v>26</v>
      </c>
    </row>
    <row r="6653" spans="1:19" x14ac:dyDescent="0.3">
      <c r="A6653" t="s">
        <v>19</v>
      </c>
      <c r="B6653" t="s">
        <v>202</v>
      </c>
      <c r="C6653" t="s">
        <v>249</v>
      </c>
      <c r="D6653" t="s">
        <v>27</v>
      </c>
      <c r="E6653" t="s">
        <v>248</v>
      </c>
      <c r="F6653" t="s">
        <v>248</v>
      </c>
      <c r="G6653" t="s">
        <v>248</v>
      </c>
      <c r="H6653" t="s">
        <v>78</v>
      </c>
      <c r="I6653" t="s">
        <v>79</v>
      </c>
      <c r="J6653" t="str">
        <f>"1140090"</f>
        <v>1140090</v>
      </c>
      <c r="K6653">
        <v>2553022942</v>
      </c>
      <c r="L6653">
        <v>2553022942</v>
      </c>
      <c r="M6653" t="s">
        <v>250</v>
      </c>
      <c r="N6653" t="s">
        <v>251</v>
      </c>
      <c r="O6653" t="s">
        <v>252</v>
      </c>
      <c r="P6653">
        <v>68300</v>
      </c>
      <c r="Q6653" t="str">
        <f>"41.353142"</f>
        <v>41.353142</v>
      </c>
      <c r="R6653" t="str">
        <f>"26.494176"</f>
        <v>26.494176</v>
      </c>
      <c r="S6653" t="s">
        <v>26</v>
      </c>
    </row>
    <row r="6654" spans="1:19" x14ac:dyDescent="0.3">
      <c r="A6654" t="s">
        <v>19</v>
      </c>
      <c r="B6654" t="s">
        <v>202</v>
      </c>
      <c r="C6654" t="s">
        <v>396</v>
      </c>
      <c r="D6654" t="s">
        <v>27</v>
      </c>
      <c r="E6654" t="s">
        <v>221</v>
      </c>
      <c r="F6654" t="s">
        <v>221</v>
      </c>
      <c r="G6654" t="s">
        <v>221</v>
      </c>
      <c r="H6654" t="s">
        <v>78</v>
      </c>
      <c r="I6654" t="s">
        <v>132</v>
      </c>
      <c r="J6654" t="str">
        <f>"1140085"</f>
        <v>1140085</v>
      </c>
      <c r="K6654">
        <v>2552025801</v>
      </c>
      <c r="L6654">
        <v>2552025851</v>
      </c>
      <c r="M6654" t="s">
        <v>397</v>
      </c>
      <c r="N6654" t="s">
        <v>224</v>
      </c>
      <c r="O6654" t="s">
        <v>241</v>
      </c>
      <c r="P6654">
        <v>68200</v>
      </c>
      <c r="Q6654" t="str">
        <f>"41.498083"</f>
        <v>41.498083</v>
      </c>
      <c r="R6654" t="str">
        <f>"26.513505"</f>
        <v>26.513505</v>
      </c>
      <c r="S6654" t="s">
        <v>26</v>
      </c>
    </row>
    <row r="6655" spans="1:19" x14ac:dyDescent="0.3">
      <c r="A6655" t="s">
        <v>19</v>
      </c>
      <c r="B6655" t="s">
        <v>202</v>
      </c>
      <c r="C6655" t="s">
        <v>406</v>
      </c>
      <c r="D6655" t="s">
        <v>27</v>
      </c>
      <c r="E6655" t="s">
        <v>28</v>
      </c>
      <c r="F6655" t="s">
        <v>28</v>
      </c>
      <c r="G6655" t="s">
        <v>28</v>
      </c>
      <c r="H6655" t="s">
        <v>78</v>
      </c>
      <c r="I6655" t="s">
        <v>79</v>
      </c>
      <c r="J6655" t="str">
        <f>"1141000"</f>
        <v>1141000</v>
      </c>
      <c r="K6655">
        <v>2551022616</v>
      </c>
      <c r="M6655" t="s">
        <v>407</v>
      </c>
      <c r="N6655" t="s">
        <v>31</v>
      </c>
      <c r="O6655" t="s">
        <v>256</v>
      </c>
      <c r="P6655">
        <v>68131</v>
      </c>
      <c r="Q6655" t="str">
        <f>"40.852254"</f>
        <v>40.852254</v>
      </c>
      <c r="R6655" t="str">
        <f>"25.867227"</f>
        <v>25.867227</v>
      </c>
      <c r="S6655" t="s">
        <v>26</v>
      </c>
    </row>
    <row r="6656" spans="1:19" x14ac:dyDescent="0.3">
      <c r="A6656" t="s">
        <v>19</v>
      </c>
      <c r="B6656" t="s">
        <v>410</v>
      </c>
      <c r="C6656" t="s">
        <v>441</v>
      </c>
      <c r="D6656" t="s">
        <v>33</v>
      </c>
      <c r="E6656" t="s">
        <v>33</v>
      </c>
      <c r="F6656" t="s">
        <v>33</v>
      </c>
      <c r="G6656" t="s">
        <v>33</v>
      </c>
      <c r="H6656" t="s">
        <v>78</v>
      </c>
      <c r="I6656" t="s">
        <v>132</v>
      </c>
      <c r="J6656" t="str">
        <f>"2140070"</f>
        <v>2140070</v>
      </c>
      <c r="K6656">
        <v>2510837789</v>
      </c>
      <c r="L6656">
        <v>2510837653</v>
      </c>
      <c r="M6656" t="s">
        <v>442</v>
      </c>
      <c r="N6656" t="s">
        <v>36</v>
      </c>
      <c r="O6656" t="s">
        <v>443</v>
      </c>
      <c r="P6656">
        <v>65201</v>
      </c>
      <c r="Q6656" t="str">
        <f>"40.944642"</f>
        <v>40.944642</v>
      </c>
      <c r="R6656" t="str">
        <f>"24.425418"</f>
        <v>24.425418</v>
      </c>
      <c r="S6656" t="s">
        <v>26</v>
      </c>
    </row>
    <row r="6657" spans="1:19" x14ac:dyDescent="0.3">
      <c r="A6657" t="s">
        <v>19</v>
      </c>
      <c r="B6657" t="s">
        <v>410</v>
      </c>
      <c r="C6657" t="s">
        <v>541</v>
      </c>
      <c r="D6657" t="s">
        <v>33</v>
      </c>
      <c r="E6657" t="s">
        <v>469</v>
      </c>
      <c r="F6657" t="s">
        <v>470</v>
      </c>
      <c r="G6657" t="s">
        <v>470</v>
      </c>
      <c r="H6657" t="s">
        <v>78</v>
      </c>
      <c r="I6657" t="s">
        <v>79</v>
      </c>
      <c r="J6657" t="str">
        <f>"2140100"</f>
        <v>2140100</v>
      </c>
      <c r="K6657">
        <v>2591022626</v>
      </c>
      <c r="L6657">
        <v>2591025430</v>
      </c>
      <c r="M6657" t="s">
        <v>542</v>
      </c>
      <c r="N6657" t="s">
        <v>543</v>
      </c>
      <c r="O6657" t="s">
        <v>544</v>
      </c>
      <c r="P6657">
        <v>64200</v>
      </c>
      <c r="Q6657" t="str">
        <f>"40.983314"</f>
        <v>40.983314</v>
      </c>
      <c r="R6657" t="str">
        <f>"24.702469"</f>
        <v>24.702469</v>
      </c>
      <c r="S6657" t="s">
        <v>26</v>
      </c>
    </row>
    <row r="6658" spans="1:19" x14ac:dyDescent="0.3">
      <c r="A6658" t="s">
        <v>19</v>
      </c>
      <c r="B6658" t="s">
        <v>410</v>
      </c>
      <c r="C6658" t="s">
        <v>563</v>
      </c>
      <c r="D6658" t="s">
        <v>33</v>
      </c>
      <c r="E6658" t="s">
        <v>33</v>
      </c>
      <c r="F6658" t="s">
        <v>33</v>
      </c>
      <c r="G6658" t="s">
        <v>33</v>
      </c>
      <c r="H6658" t="s">
        <v>78</v>
      </c>
      <c r="I6658" t="s">
        <v>79</v>
      </c>
      <c r="J6658" t="str">
        <f>"2140060"</f>
        <v>2140060</v>
      </c>
      <c r="K6658">
        <v>2510228307</v>
      </c>
      <c r="L6658">
        <v>2510222300</v>
      </c>
      <c r="M6658" t="s">
        <v>564</v>
      </c>
      <c r="N6658" t="s">
        <v>36</v>
      </c>
      <c r="O6658" t="s">
        <v>510</v>
      </c>
      <c r="P6658">
        <v>65201</v>
      </c>
      <c r="Q6658" t="str">
        <f>"40.944543"</f>
        <v>40.944543</v>
      </c>
      <c r="R6658" t="str">
        <f>"24.424971"</f>
        <v>24.424971</v>
      </c>
      <c r="S6658" t="s">
        <v>26</v>
      </c>
    </row>
    <row r="6659" spans="1:19" x14ac:dyDescent="0.3">
      <c r="A6659" t="s">
        <v>19</v>
      </c>
      <c r="B6659" t="s">
        <v>410</v>
      </c>
      <c r="C6659" t="s">
        <v>572</v>
      </c>
      <c r="D6659" t="s">
        <v>33</v>
      </c>
      <c r="E6659" t="s">
        <v>411</v>
      </c>
      <c r="F6659" t="s">
        <v>461</v>
      </c>
      <c r="G6659" t="s">
        <v>461</v>
      </c>
      <c r="H6659" t="s">
        <v>78</v>
      </c>
      <c r="I6659" t="s">
        <v>79</v>
      </c>
      <c r="J6659" t="str">
        <f>"2140080"</f>
        <v>2140080</v>
      </c>
      <c r="K6659">
        <v>2592022310</v>
      </c>
      <c r="L6659">
        <v>2592024586</v>
      </c>
      <c r="M6659" t="s">
        <v>573</v>
      </c>
      <c r="N6659" t="s">
        <v>574</v>
      </c>
      <c r="O6659" t="s">
        <v>575</v>
      </c>
      <c r="P6659">
        <v>64100</v>
      </c>
      <c r="Q6659" t="str">
        <f>"40.913983"</f>
        <v>40.913983</v>
      </c>
      <c r="R6659" t="str">
        <f>"24.251281"</f>
        <v>24.251281</v>
      </c>
      <c r="S6659" t="s">
        <v>26</v>
      </c>
    </row>
    <row r="6660" spans="1:19" x14ac:dyDescent="0.3">
      <c r="A6660" t="s">
        <v>19</v>
      </c>
      <c r="B6660" t="s">
        <v>410</v>
      </c>
      <c r="C6660" t="s">
        <v>577</v>
      </c>
      <c r="D6660" t="s">
        <v>33</v>
      </c>
      <c r="E6660" t="s">
        <v>33</v>
      </c>
      <c r="F6660" t="s">
        <v>33</v>
      </c>
      <c r="G6660" t="s">
        <v>33</v>
      </c>
      <c r="H6660" t="s">
        <v>78</v>
      </c>
      <c r="I6660" t="s">
        <v>79</v>
      </c>
      <c r="J6660" t="str">
        <f>"2150095"</f>
        <v>2150095</v>
      </c>
      <c r="K6660">
        <v>2510837901</v>
      </c>
      <c r="L6660">
        <v>2510837900</v>
      </c>
      <c r="M6660" t="s">
        <v>578</v>
      </c>
      <c r="N6660" t="s">
        <v>36</v>
      </c>
      <c r="O6660" t="s">
        <v>579</v>
      </c>
      <c r="P6660">
        <v>65403</v>
      </c>
      <c r="Q6660" t="str">
        <f>"40.944039"</f>
        <v>40.944039</v>
      </c>
      <c r="R6660" t="str">
        <f>"24.402611"</f>
        <v>24.402611</v>
      </c>
      <c r="S6660" t="s">
        <v>26</v>
      </c>
    </row>
    <row r="6661" spans="1:19" x14ac:dyDescent="0.3">
      <c r="A6661" t="s">
        <v>19</v>
      </c>
      <c r="B6661" t="s">
        <v>593</v>
      </c>
      <c r="C6661" t="s">
        <v>611</v>
      </c>
      <c r="D6661" t="s">
        <v>38</v>
      </c>
      <c r="E6661" t="s">
        <v>38</v>
      </c>
      <c r="F6661" t="s">
        <v>38</v>
      </c>
      <c r="G6661" t="s">
        <v>38</v>
      </c>
      <c r="H6661" t="s">
        <v>78</v>
      </c>
      <c r="I6661" t="s">
        <v>79</v>
      </c>
      <c r="J6661" t="str">
        <f>"3740040"</f>
        <v>3740040</v>
      </c>
      <c r="K6661">
        <v>2541064964</v>
      </c>
      <c r="L6661">
        <v>2541084682</v>
      </c>
      <c r="M6661" t="s">
        <v>612</v>
      </c>
      <c r="N6661" t="s">
        <v>41</v>
      </c>
      <c r="O6661" t="s">
        <v>613</v>
      </c>
      <c r="P6661">
        <v>67100</v>
      </c>
      <c r="Q6661" t="str">
        <f>"41.124801"</f>
        <v>41.124801</v>
      </c>
      <c r="R6661" t="str">
        <f>"24.879354"</f>
        <v>24.879354</v>
      </c>
      <c r="S6661" t="s">
        <v>26</v>
      </c>
    </row>
    <row r="6662" spans="1:19" x14ac:dyDescent="0.3">
      <c r="A6662" t="s">
        <v>19</v>
      </c>
      <c r="B6662" t="s">
        <v>593</v>
      </c>
      <c r="C6662" t="s">
        <v>639</v>
      </c>
      <c r="D6662" t="s">
        <v>38</v>
      </c>
      <c r="E6662" t="s">
        <v>638</v>
      </c>
      <c r="F6662" t="s">
        <v>638</v>
      </c>
      <c r="G6662" t="s">
        <v>638</v>
      </c>
      <c r="H6662" t="s">
        <v>78</v>
      </c>
      <c r="I6662" t="s">
        <v>79</v>
      </c>
      <c r="J6662" t="str">
        <f>"3740050"</f>
        <v>3740050</v>
      </c>
      <c r="K6662">
        <v>2544024420</v>
      </c>
      <c r="L6662">
        <v>2544024437</v>
      </c>
      <c r="M6662" t="s">
        <v>640</v>
      </c>
      <c r="N6662" t="s">
        <v>641</v>
      </c>
      <c r="O6662" t="s">
        <v>641</v>
      </c>
      <c r="P6662">
        <v>67300</v>
      </c>
      <c r="Q6662" t="str">
        <f>"41.258946"</f>
        <v>41.258946</v>
      </c>
      <c r="R6662" t="str">
        <f>"24.929317"</f>
        <v>24.929317</v>
      </c>
      <c r="S6662" t="s">
        <v>26</v>
      </c>
    </row>
    <row r="6663" spans="1:19" x14ac:dyDescent="0.3">
      <c r="A6663" t="s">
        <v>19</v>
      </c>
      <c r="B6663" t="s">
        <v>593</v>
      </c>
      <c r="C6663" t="s">
        <v>643</v>
      </c>
      <c r="D6663" t="s">
        <v>38</v>
      </c>
      <c r="E6663" t="s">
        <v>38</v>
      </c>
      <c r="F6663" t="s">
        <v>38</v>
      </c>
      <c r="G6663" t="s">
        <v>38</v>
      </c>
      <c r="H6663" t="s">
        <v>78</v>
      </c>
      <c r="I6663" t="s">
        <v>79</v>
      </c>
      <c r="J6663" t="str">
        <f>"3740045"</f>
        <v>3740045</v>
      </c>
      <c r="K6663">
        <v>2541027276</v>
      </c>
      <c r="L6663">
        <v>2541020390</v>
      </c>
      <c r="M6663" t="s">
        <v>644</v>
      </c>
      <c r="N6663" t="s">
        <v>41</v>
      </c>
      <c r="O6663" t="s">
        <v>602</v>
      </c>
      <c r="P6663">
        <v>67100</v>
      </c>
      <c r="Q6663" t="str">
        <f>"41.133451"</f>
        <v>41.133451</v>
      </c>
      <c r="R6663" t="str">
        <f>"24.893706"</f>
        <v>24.893706</v>
      </c>
      <c r="S6663" t="s">
        <v>26</v>
      </c>
    </row>
    <row r="6664" spans="1:19" x14ac:dyDescent="0.3">
      <c r="A6664" t="s">
        <v>19</v>
      </c>
      <c r="B6664" t="s">
        <v>593</v>
      </c>
      <c r="C6664" t="s">
        <v>733</v>
      </c>
      <c r="D6664" t="s">
        <v>38</v>
      </c>
      <c r="E6664" t="s">
        <v>38</v>
      </c>
      <c r="F6664" t="s">
        <v>38</v>
      </c>
      <c r="G6664" t="s">
        <v>38</v>
      </c>
      <c r="H6664" t="s">
        <v>78</v>
      </c>
      <c r="I6664" t="s">
        <v>132</v>
      </c>
      <c r="J6664" t="str">
        <f>"3740060"</f>
        <v>3740060</v>
      </c>
      <c r="K6664">
        <v>2541083994</v>
      </c>
      <c r="L6664">
        <v>2541083994</v>
      </c>
      <c r="M6664" t="s">
        <v>734</v>
      </c>
      <c r="N6664" t="s">
        <v>41</v>
      </c>
      <c r="O6664" t="s">
        <v>602</v>
      </c>
      <c r="P6664">
        <v>67132</v>
      </c>
      <c r="Q6664" t="str">
        <f>"41.133492"</f>
        <v>41.133492</v>
      </c>
      <c r="R6664" t="str">
        <f>"24.893621"</f>
        <v>24.893621</v>
      </c>
      <c r="S6664" t="s">
        <v>26</v>
      </c>
    </row>
    <row r="6665" spans="1:19" x14ac:dyDescent="0.3">
      <c r="A6665" t="s">
        <v>19</v>
      </c>
      <c r="B6665" t="s">
        <v>740</v>
      </c>
      <c r="C6665" t="s">
        <v>754</v>
      </c>
      <c r="D6665" t="s">
        <v>43</v>
      </c>
      <c r="E6665" t="s">
        <v>44</v>
      </c>
      <c r="F6665" t="s">
        <v>44</v>
      </c>
      <c r="G6665" t="s">
        <v>44</v>
      </c>
      <c r="H6665" t="s">
        <v>78</v>
      </c>
      <c r="I6665" t="s">
        <v>79</v>
      </c>
      <c r="J6665" t="str">
        <f>"4250040"</f>
        <v>4250040</v>
      </c>
      <c r="K6665">
        <v>2531027158</v>
      </c>
      <c r="L6665">
        <v>2531081629</v>
      </c>
      <c r="M6665" t="s">
        <v>755</v>
      </c>
      <c r="N6665" t="s">
        <v>756</v>
      </c>
      <c r="O6665" t="s">
        <v>757</v>
      </c>
      <c r="P6665">
        <v>69100</v>
      </c>
      <c r="Q6665" t="str">
        <f>"41.121629"</f>
        <v>41.121629</v>
      </c>
      <c r="R6665" t="str">
        <f>"25.389462"</f>
        <v>25.389462</v>
      </c>
      <c r="S6665" t="s">
        <v>26</v>
      </c>
    </row>
    <row r="6666" spans="1:19" x14ac:dyDescent="0.3">
      <c r="A6666" t="s">
        <v>19</v>
      </c>
      <c r="B6666" t="s">
        <v>740</v>
      </c>
      <c r="C6666" t="s">
        <v>759</v>
      </c>
      <c r="D6666" t="s">
        <v>43</v>
      </c>
      <c r="E6666" t="s">
        <v>44</v>
      </c>
      <c r="F6666" t="s">
        <v>44</v>
      </c>
      <c r="G6666" t="s">
        <v>44</v>
      </c>
      <c r="H6666" t="s">
        <v>78</v>
      </c>
      <c r="I6666" t="s">
        <v>79</v>
      </c>
      <c r="J6666" t="str">
        <f>"4240030"</f>
        <v>4240030</v>
      </c>
      <c r="K6666">
        <v>2531027160</v>
      </c>
      <c r="L6666">
        <v>2531025584</v>
      </c>
      <c r="M6666" t="s">
        <v>760</v>
      </c>
      <c r="N6666" t="s">
        <v>47</v>
      </c>
      <c r="O6666" t="s">
        <v>758</v>
      </c>
      <c r="P6666">
        <v>69100</v>
      </c>
      <c r="Q6666" t="str">
        <f>"41.105600"</f>
        <v>41.105600</v>
      </c>
      <c r="R6666" t="str">
        <f>"25.420550"</f>
        <v>25.420550</v>
      </c>
      <c r="S6666" t="s">
        <v>26</v>
      </c>
    </row>
    <row r="6667" spans="1:19" x14ac:dyDescent="0.3">
      <c r="A6667" t="s">
        <v>19</v>
      </c>
      <c r="B6667" t="s">
        <v>740</v>
      </c>
      <c r="C6667" t="s">
        <v>843</v>
      </c>
      <c r="D6667" t="s">
        <v>43</v>
      </c>
      <c r="E6667" t="s">
        <v>44</v>
      </c>
      <c r="F6667" t="s">
        <v>44</v>
      </c>
      <c r="G6667" t="s">
        <v>44</v>
      </c>
      <c r="H6667" t="s">
        <v>78</v>
      </c>
      <c r="I6667" t="s">
        <v>132</v>
      </c>
      <c r="J6667" t="str">
        <f>"4250045"</f>
        <v>4250045</v>
      </c>
      <c r="K6667">
        <v>2531084160</v>
      </c>
      <c r="L6667">
        <v>2531084162</v>
      </c>
      <c r="M6667" t="s">
        <v>844</v>
      </c>
      <c r="N6667" t="s">
        <v>47</v>
      </c>
      <c r="O6667" t="s">
        <v>758</v>
      </c>
      <c r="P6667">
        <v>69100</v>
      </c>
      <c r="Q6667" t="str">
        <f>"41.105691"</f>
        <v>41.105691</v>
      </c>
      <c r="R6667" t="str">
        <f>"25.420549"</f>
        <v>25.420549</v>
      </c>
      <c r="S6667" t="s">
        <v>26</v>
      </c>
    </row>
    <row r="6668" spans="1:19" x14ac:dyDescent="0.3">
      <c r="A6668" t="s">
        <v>3237</v>
      </c>
      <c r="B6668" t="s">
        <v>3307</v>
      </c>
      <c r="C6668" t="s">
        <v>3368</v>
      </c>
      <c r="D6668" t="s">
        <v>3238</v>
      </c>
      <c r="E6668" t="s">
        <v>3239</v>
      </c>
      <c r="F6668" t="s">
        <v>3239</v>
      </c>
      <c r="G6668" t="s">
        <v>3346</v>
      </c>
      <c r="H6668" t="s">
        <v>78</v>
      </c>
      <c r="I6668" t="s">
        <v>79</v>
      </c>
      <c r="J6668" t="str">
        <f>"0540190"</f>
        <v>0540190</v>
      </c>
      <c r="K6668">
        <v>2102114078</v>
      </c>
      <c r="L6668">
        <v>2102114750</v>
      </c>
      <c r="M6668" t="s">
        <v>3369</v>
      </c>
      <c r="N6668" t="s">
        <v>3325</v>
      </c>
      <c r="O6668" t="s">
        <v>3370</v>
      </c>
      <c r="P6668">
        <v>11144</v>
      </c>
      <c r="Q6668" t="str">
        <f>"38.020913"</f>
        <v>38.020913</v>
      </c>
      <c r="R6668" t="str">
        <f>"23.734585"</f>
        <v>23.734585</v>
      </c>
      <c r="S6668" t="s">
        <v>26</v>
      </c>
    </row>
    <row r="6669" spans="1:19" x14ac:dyDescent="0.3">
      <c r="A6669" t="s">
        <v>3237</v>
      </c>
      <c r="B6669" t="s">
        <v>3307</v>
      </c>
      <c r="C6669" t="s">
        <v>3372</v>
      </c>
      <c r="D6669" t="s">
        <v>3238</v>
      </c>
      <c r="E6669" t="s">
        <v>3239</v>
      </c>
      <c r="F6669" t="s">
        <v>3239</v>
      </c>
      <c r="G6669" t="s">
        <v>3240</v>
      </c>
      <c r="H6669" t="s">
        <v>78</v>
      </c>
      <c r="I6669" t="s">
        <v>132</v>
      </c>
      <c r="J6669" t="str">
        <f>"0540191"</f>
        <v>0540191</v>
      </c>
      <c r="K6669">
        <v>2114119553</v>
      </c>
      <c r="L6669">
        <v>2103303295</v>
      </c>
      <c r="M6669" t="s">
        <v>3373</v>
      </c>
      <c r="N6669" t="s">
        <v>3374</v>
      </c>
      <c r="O6669" t="s">
        <v>3375</v>
      </c>
      <c r="P6669">
        <v>10682</v>
      </c>
      <c r="Q6669" t="str">
        <f>"37.986027"</f>
        <v>37.986027</v>
      </c>
      <c r="R6669" t="str">
        <f>"23.733019"</f>
        <v>23.733019</v>
      </c>
      <c r="S6669" t="s">
        <v>26</v>
      </c>
    </row>
    <row r="6670" spans="1:19" x14ac:dyDescent="0.3">
      <c r="A6670" t="s">
        <v>3237</v>
      </c>
      <c r="B6670" t="s">
        <v>3307</v>
      </c>
      <c r="C6670" t="s">
        <v>3390</v>
      </c>
      <c r="D6670" t="s">
        <v>3238</v>
      </c>
      <c r="E6670" t="s">
        <v>3317</v>
      </c>
      <c r="F6670" t="s">
        <v>3317</v>
      </c>
      <c r="G6670" t="s">
        <v>3317</v>
      </c>
      <c r="H6670" t="s">
        <v>78</v>
      </c>
      <c r="I6670" t="s">
        <v>79</v>
      </c>
      <c r="J6670" t="str">
        <f>"0540010"</f>
        <v>0540010</v>
      </c>
      <c r="K6670">
        <v>2107799241</v>
      </c>
      <c r="L6670">
        <v>2107706946</v>
      </c>
      <c r="M6670" t="s">
        <v>3391</v>
      </c>
      <c r="N6670" t="s">
        <v>3317</v>
      </c>
      <c r="O6670" t="s">
        <v>3392</v>
      </c>
      <c r="P6670">
        <v>15773</v>
      </c>
      <c r="Q6670" t="str">
        <f>"37.972695"</f>
        <v>37.972695</v>
      </c>
      <c r="R6670" t="str">
        <f>"23.781920"</f>
        <v>23.781920</v>
      </c>
      <c r="S6670" t="s">
        <v>26</v>
      </c>
    </row>
    <row r="6671" spans="1:19" x14ac:dyDescent="0.3">
      <c r="A6671" t="s">
        <v>3237</v>
      </c>
      <c r="B6671" t="s">
        <v>3307</v>
      </c>
      <c r="C6671" t="s">
        <v>3393</v>
      </c>
      <c r="D6671" t="s">
        <v>3238</v>
      </c>
      <c r="E6671" t="s">
        <v>3239</v>
      </c>
      <c r="F6671" t="s">
        <v>3239</v>
      </c>
      <c r="G6671" t="s">
        <v>3340</v>
      </c>
      <c r="H6671" t="s">
        <v>78</v>
      </c>
      <c r="I6671" t="s">
        <v>79</v>
      </c>
      <c r="J6671" t="str">
        <f>"0540200"</f>
        <v>0540200</v>
      </c>
      <c r="K6671">
        <v>2106430137</v>
      </c>
      <c r="L6671">
        <v>2106467677</v>
      </c>
      <c r="M6671" t="s">
        <v>3394</v>
      </c>
      <c r="N6671" t="s">
        <v>3284</v>
      </c>
      <c r="O6671" t="s">
        <v>3395</v>
      </c>
      <c r="P6671">
        <v>11527</v>
      </c>
      <c r="Q6671" t="str">
        <f>"37.981939"</f>
        <v>37.981939</v>
      </c>
      <c r="R6671" t="str">
        <f>"23.758828"</f>
        <v>23.758828</v>
      </c>
      <c r="S6671" t="s">
        <v>26</v>
      </c>
    </row>
    <row r="6672" spans="1:19" x14ac:dyDescent="0.3">
      <c r="A6672" t="s">
        <v>3237</v>
      </c>
      <c r="B6672" t="s">
        <v>3307</v>
      </c>
      <c r="C6672" t="s">
        <v>3406</v>
      </c>
      <c r="D6672" t="s">
        <v>3238</v>
      </c>
      <c r="E6672" t="s">
        <v>3404</v>
      </c>
      <c r="F6672" t="s">
        <v>3405</v>
      </c>
      <c r="G6672" t="s">
        <v>3405</v>
      </c>
      <c r="H6672" t="s">
        <v>78</v>
      </c>
      <c r="I6672" t="s">
        <v>132</v>
      </c>
      <c r="J6672" t="str">
        <f>"0540732"</f>
        <v>0540732</v>
      </c>
      <c r="K6672">
        <v>2102512240</v>
      </c>
      <c r="L6672">
        <v>2102513165</v>
      </c>
      <c r="M6672" t="s">
        <v>3407</v>
      </c>
      <c r="N6672" t="s">
        <v>3408</v>
      </c>
      <c r="O6672" t="s">
        <v>3409</v>
      </c>
      <c r="P6672">
        <v>14342</v>
      </c>
      <c r="Q6672" t="str">
        <f>"38.049001"</f>
        <v>38.049001</v>
      </c>
      <c r="R6672" t="str">
        <f>"23.742096"</f>
        <v>23.742096</v>
      </c>
      <c r="S6672" t="s">
        <v>26</v>
      </c>
    </row>
    <row r="6673" spans="1:19" x14ac:dyDescent="0.3">
      <c r="A6673" t="s">
        <v>3237</v>
      </c>
      <c r="B6673" t="s">
        <v>3307</v>
      </c>
      <c r="C6673" t="s">
        <v>3412</v>
      </c>
      <c r="D6673" t="s">
        <v>3238</v>
      </c>
      <c r="E6673" t="s">
        <v>3239</v>
      </c>
      <c r="F6673" t="s">
        <v>3239</v>
      </c>
      <c r="G6673" t="s">
        <v>3322</v>
      </c>
      <c r="H6673" t="s">
        <v>78</v>
      </c>
      <c r="I6673" t="s">
        <v>79</v>
      </c>
      <c r="J6673" t="str">
        <f>"0540670"</f>
        <v>0540670</v>
      </c>
      <c r="K6673">
        <v>2105221158</v>
      </c>
      <c r="L6673">
        <v>2105203905</v>
      </c>
      <c r="M6673" t="s">
        <v>3413</v>
      </c>
      <c r="N6673" t="s">
        <v>3325</v>
      </c>
      <c r="O6673" t="s">
        <v>3414</v>
      </c>
      <c r="P6673">
        <v>10436</v>
      </c>
      <c r="Q6673" t="str">
        <f>"37.984397"</f>
        <v>37.984397</v>
      </c>
      <c r="R6673" t="str">
        <f>"23.718535"</f>
        <v>23.718535</v>
      </c>
      <c r="S6673" t="s">
        <v>26</v>
      </c>
    </row>
    <row r="6674" spans="1:19" x14ac:dyDescent="0.3">
      <c r="A6674" t="s">
        <v>3237</v>
      </c>
      <c r="B6674" t="s">
        <v>3307</v>
      </c>
      <c r="C6674" t="s">
        <v>3416</v>
      </c>
      <c r="D6674" t="s">
        <v>3238</v>
      </c>
      <c r="E6674" t="s">
        <v>3239</v>
      </c>
      <c r="F6674" t="s">
        <v>3239</v>
      </c>
      <c r="G6674" t="s">
        <v>3340</v>
      </c>
      <c r="H6674" t="s">
        <v>78</v>
      </c>
      <c r="I6674" t="s">
        <v>132</v>
      </c>
      <c r="J6674" t="str">
        <f>"0540204"</f>
        <v>0540204</v>
      </c>
      <c r="K6674">
        <v>2106440260</v>
      </c>
      <c r="L6674">
        <v>2106470637</v>
      </c>
      <c r="M6674" t="s">
        <v>3417</v>
      </c>
      <c r="N6674" t="s">
        <v>3284</v>
      </c>
      <c r="O6674" t="s">
        <v>3418</v>
      </c>
      <c r="P6674">
        <v>11527</v>
      </c>
      <c r="Q6674" t="str">
        <f>"37.982125"</f>
        <v>37.982125</v>
      </c>
      <c r="R6674" t="str">
        <f>"23.758742"</f>
        <v>23.758742</v>
      </c>
      <c r="S6674" t="s">
        <v>26</v>
      </c>
    </row>
    <row r="6675" spans="1:19" x14ac:dyDescent="0.3">
      <c r="A6675" t="s">
        <v>3237</v>
      </c>
      <c r="B6675" t="s">
        <v>3307</v>
      </c>
      <c r="C6675" t="s">
        <v>3444</v>
      </c>
      <c r="D6675" t="s">
        <v>3238</v>
      </c>
      <c r="E6675" t="s">
        <v>3443</v>
      </c>
      <c r="F6675" t="s">
        <v>3443</v>
      </c>
      <c r="G6675" t="s">
        <v>3443</v>
      </c>
      <c r="H6675" t="s">
        <v>78</v>
      </c>
      <c r="I6675" t="s">
        <v>79</v>
      </c>
      <c r="J6675" t="str">
        <f>"0540710"</f>
        <v>0540710</v>
      </c>
      <c r="K6675">
        <v>2102023180</v>
      </c>
      <c r="L6675">
        <v>2102116511</v>
      </c>
      <c r="M6675" t="s">
        <v>3445</v>
      </c>
      <c r="N6675" t="s">
        <v>3446</v>
      </c>
      <c r="O6675" t="s">
        <v>3447</v>
      </c>
      <c r="P6675">
        <v>11141</v>
      </c>
      <c r="Q6675" t="str">
        <f>"38.014166"</f>
        <v>38.014166</v>
      </c>
      <c r="R6675" t="str">
        <f>"23.740367"</f>
        <v>23.740367</v>
      </c>
      <c r="S6675" t="s">
        <v>26</v>
      </c>
    </row>
    <row r="6676" spans="1:19" x14ac:dyDescent="0.3">
      <c r="A6676" t="s">
        <v>3237</v>
      </c>
      <c r="B6676" t="s">
        <v>3307</v>
      </c>
      <c r="C6676" t="s">
        <v>3491</v>
      </c>
      <c r="D6676" t="s">
        <v>3238</v>
      </c>
      <c r="E6676" t="s">
        <v>3239</v>
      </c>
      <c r="F6676" t="s">
        <v>3239</v>
      </c>
      <c r="G6676" t="s">
        <v>3382</v>
      </c>
      <c r="H6676" t="s">
        <v>78</v>
      </c>
      <c r="I6676" t="s">
        <v>79</v>
      </c>
      <c r="J6676" t="str">
        <f>"0540695"</f>
        <v>0540695</v>
      </c>
      <c r="K6676">
        <v>2105121399</v>
      </c>
      <c r="L6676">
        <v>2105147244</v>
      </c>
      <c r="M6676" t="s">
        <v>3492</v>
      </c>
      <c r="N6676" t="s">
        <v>3284</v>
      </c>
      <c r="O6676" t="s">
        <v>3493</v>
      </c>
      <c r="P6676">
        <v>10442</v>
      </c>
      <c r="Q6676" t="str">
        <f>"37.993030"</f>
        <v>37.993030</v>
      </c>
      <c r="R6676" t="str">
        <f>"23.706892"</f>
        <v>23.706892</v>
      </c>
      <c r="S6676" t="s">
        <v>26</v>
      </c>
    </row>
    <row r="6677" spans="1:19" x14ac:dyDescent="0.3">
      <c r="A6677" t="s">
        <v>3237</v>
      </c>
      <c r="B6677" t="s">
        <v>3307</v>
      </c>
      <c r="C6677" t="s">
        <v>3547</v>
      </c>
      <c r="D6677" t="s">
        <v>3238</v>
      </c>
      <c r="E6677" t="s">
        <v>3468</v>
      </c>
      <c r="F6677" t="s">
        <v>3469</v>
      </c>
      <c r="G6677" t="s">
        <v>3469</v>
      </c>
      <c r="H6677" t="s">
        <v>78</v>
      </c>
      <c r="I6677" t="s">
        <v>79</v>
      </c>
      <c r="J6677" t="str">
        <f>"0540241"</f>
        <v>0540241</v>
      </c>
      <c r="K6677">
        <v>2109027376</v>
      </c>
      <c r="L6677">
        <v>2109027296</v>
      </c>
      <c r="M6677" t="s">
        <v>3548</v>
      </c>
      <c r="N6677" t="s">
        <v>3549</v>
      </c>
      <c r="O6677" t="s">
        <v>3550</v>
      </c>
      <c r="P6677">
        <v>17234</v>
      </c>
      <c r="Q6677" t="str">
        <f>"37.953121"</f>
        <v>37.953121</v>
      </c>
      <c r="R6677" t="str">
        <f>"23.727688"</f>
        <v>23.727688</v>
      </c>
      <c r="S6677" t="s">
        <v>26</v>
      </c>
    </row>
    <row r="6678" spans="1:19" x14ac:dyDescent="0.3">
      <c r="A6678" t="s">
        <v>3237</v>
      </c>
      <c r="B6678" t="s">
        <v>3307</v>
      </c>
      <c r="C6678" t="s">
        <v>3551</v>
      </c>
      <c r="D6678" t="s">
        <v>3238</v>
      </c>
      <c r="E6678" t="s">
        <v>3239</v>
      </c>
      <c r="F6678" t="s">
        <v>3239</v>
      </c>
      <c r="G6678" t="s">
        <v>3281</v>
      </c>
      <c r="H6678" t="s">
        <v>78</v>
      </c>
      <c r="I6678" t="s">
        <v>79</v>
      </c>
      <c r="J6678" t="str">
        <f>"0540752"</f>
        <v>0540752</v>
      </c>
      <c r="K6678">
        <v>2107524865</v>
      </c>
      <c r="L6678">
        <v>2107524865</v>
      </c>
      <c r="M6678" t="s">
        <v>3552</v>
      </c>
      <c r="N6678" t="s">
        <v>3284</v>
      </c>
      <c r="O6678" t="s">
        <v>3553</v>
      </c>
      <c r="P6678">
        <v>11633</v>
      </c>
      <c r="Q6678" t="str">
        <f>"37.967341"</f>
        <v>37.967341</v>
      </c>
      <c r="R6678" t="str">
        <f>"23.751480"</f>
        <v>23.751480</v>
      </c>
      <c r="S6678" t="s">
        <v>26</v>
      </c>
    </row>
    <row r="6679" spans="1:19" x14ac:dyDescent="0.3">
      <c r="A6679" t="s">
        <v>3237</v>
      </c>
      <c r="B6679" t="s">
        <v>3307</v>
      </c>
      <c r="C6679" t="s">
        <v>3587</v>
      </c>
      <c r="D6679" t="s">
        <v>3238</v>
      </c>
      <c r="E6679" t="s">
        <v>3468</v>
      </c>
      <c r="F6679" t="s">
        <v>3541</v>
      </c>
      <c r="G6679" t="s">
        <v>3541</v>
      </c>
      <c r="H6679" t="s">
        <v>78</v>
      </c>
      <c r="I6679" t="s">
        <v>79</v>
      </c>
      <c r="J6679" t="str">
        <f>"0540750"</f>
        <v>0540750</v>
      </c>
      <c r="K6679">
        <v>2107629281</v>
      </c>
      <c r="L6679">
        <v>2107629200</v>
      </c>
      <c r="M6679" t="s">
        <v>3588</v>
      </c>
      <c r="N6679" t="s">
        <v>3589</v>
      </c>
      <c r="O6679" t="s">
        <v>3590</v>
      </c>
      <c r="P6679">
        <v>17237</v>
      </c>
      <c r="Q6679" t="str">
        <f>"37.955525"</f>
        <v>37.955525</v>
      </c>
      <c r="R6679" t="str">
        <f>"23.749038"</f>
        <v>23.749038</v>
      </c>
      <c r="S6679" t="s">
        <v>26</v>
      </c>
    </row>
    <row r="6680" spans="1:19" x14ac:dyDescent="0.3">
      <c r="A6680" t="s">
        <v>3237</v>
      </c>
      <c r="B6680" t="s">
        <v>3307</v>
      </c>
      <c r="C6680" t="s">
        <v>3606</v>
      </c>
      <c r="D6680" t="s">
        <v>3238</v>
      </c>
      <c r="E6680" t="s">
        <v>3358</v>
      </c>
      <c r="F6680" t="s">
        <v>3358</v>
      </c>
      <c r="G6680" t="s">
        <v>3358</v>
      </c>
      <c r="H6680" t="s">
        <v>78</v>
      </c>
      <c r="I6680" t="s">
        <v>79</v>
      </c>
      <c r="J6680" t="str">
        <f>"0540751"</f>
        <v>0540751</v>
      </c>
      <c r="K6680">
        <v>2107669943</v>
      </c>
      <c r="L6680">
        <v>2107669733</v>
      </c>
      <c r="M6680" t="s">
        <v>3607</v>
      </c>
      <c r="N6680" t="s">
        <v>3361</v>
      </c>
      <c r="O6680" t="s">
        <v>3608</v>
      </c>
      <c r="P6680">
        <v>16121</v>
      </c>
      <c r="Q6680" t="str">
        <f>"37.965806"</f>
        <v>37.965806</v>
      </c>
      <c r="R6680" t="str">
        <f>"23.757789"</f>
        <v>23.757789</v>
      </c>
      <c r="S6680" t="s">
        <v>26</v>
      </c>
    </row>
    <row r="6681" spans="1:19" x14ac:dyDescent="0.3">
      <c r="A6681" t="s">
        <v>3237</v>
      </c>
      <c r="B6681" t="s">
        <v>3307</v>
      </c>
      <c r="C6681" t="s">
        <v>3610</v>
      </c>
      <c r="D6681" t="s">
        <v>3238</v>
      </c>
      <c r="E6681" t="s">
        <v>3239</v>
      </c>
      <c r="F6681" t="s">
        <v>3239</v>
      </c>
      <c r="G6681" t="s">
        <v>3240</v>
      </c>
      <c r="H6681" t="s">
        <v>78</v>
      </c>
      <c r="I6681" t="s">
        <v>79</v>
      </c>
      <c r="J6681" t="str">
        <f>"0540671"</f>
        <v>0540671</v>
      </c>
      <c r="K6681">
        <v>2103809228</v>
      </c>
      <c r="L6681">
        <v>2103632255</v>
      </c>
      <c r="M6681" t="s">
        <v>3611</v>
      </c>
      <c r="N6681" t="s">
        <v>3284</v>
      </c>
      <c r="O6681" t="s">
        <v>3612</v>
      </c>
      <c r="P6681">
        <v>10672</v>
      </c>
      <c r="Q6681" t="str">
        <f>"37.982755"</f>
        <v>37.982755</v>
      </c>
      <c r="R6681" t="str">
        <f>"23.739965"</f>
        <v>23.739965</v>
      </c>
      <c r="S6681" t="s">
        <v>26</v>
      </c>
    </row>
    <row r="6682" spans="1:19" x14ac:dyDescent="0.3">
      <c r="A6682" t="s">
        <v>3237</v>
      </c>
      <c r="B6682" t="s">
        <v>3307</v>
      </c>
      <c r="C6682" t="s">
        <v>3626</v>
      </c>
      <c r="D6682" t="s">
        <v>3238</v>
      </c>
      <c r="E6682" t="s">
        <v>3443</v>
      </c>
      <c r="F6682" t="s">
        <v>3443</v>
      </c>
      <c r="G6682" t="s">
        <v>3443</v>
      </c>
      <c r="H6682" t="s">
        <v>78</v>
      </c>
      <c r="I6682" t="s">
        <v>79</v>
      </c>
      <c r="J6682" t="str">
        <f>"0540711"</f>
        <v>0540711</v>
      </c>
      <c r="K6682">
        <v>2102288340</v>
      </c>
      <c r="L6682">
        <v>2102288340</v>
      </c>
      <c r="M6682" t="s">
        <v>3627</v>
      </c>
      <c r="N6682" t="s">
        <v>3446</v>
      </c>
      <c r="O6682" t="s">
        <v>3628</v>
      </c>
      <c r="P6682">
        <v>11141</v>
      </c>
      <c r="Q6682" t="str">
        <f>"38.013961"</f>
        <v>38.013961</v>
      </c>
      <c r="R6682" t="str">
        <f>"23.740624"</f>
        <v>23.740624</v>
      </c>
      <c r="S6682" t="s">
        <v>26</v>
      </c>
    </row>
    <row r="6683" spans="1:19" x14ac:dyDescent="0.3">
      <c r="A6683" t="s">
        <v>3237</v>
      </c>
      <c r="B6683" t="s">
        <v>3307</v>
      </c>
      <c r="C6683" t="s">
        <v>3726</v>
      </c>
      <c r="D6683" t="s">
        <v>3238</v>
      </c>
      <c r="E6683" t="s">
        <v>3432</v>
      </c>
      <c r="F6683" t="s">
        <v>3432</v>
      </c>
      <c r="G6683" t="s">
        <v>3432</v>
      </c>
      <c r="H6683" t="s">
        <v>78</v>
      </c>
      <c r="I6683" t="s">
        <v>79</v>
      </c>
      <c r="J6683" t="str">
        <f>"0540351"</f>
        <v>0540351</v>
      </c>
      <c r="K6683">
        <v>2109935763</v>
      </c>
      <c r="L6683">
        <v>2109922615</v>
      </c>
      <c r="M6683" t="s">
        <v>3727</v>
      </c>
      <c r="N6683" t="s">
        <v>3435</v>
      </c>
      <c r="O6683" t="s">
        <v>3728</v>
      </c>
      <c r="P6683">
        <v>16341</v>
      </c>
      <c r="Q6683" t="str">
        <f>"37.923155"</f>
        <v>37.923155</v>
      </c>
      <c r="R6683" t="str">
        <f>"23.744616"</f>
        <v>23.744616</v>
      </c>
      <c r="S6683" t="s">
        <v>26</v>
      </c>
    </row>
    <row r="6684" spans="1:19" x14ac:dyDescent="0.3">
      <c r="A6684" t="s">
        <v>3237</v>
      </c>
      <c r="B6684" t="s">
        <v>3307</v>
      </c>
      <c r="C6684" t="s">
        <v>3938</v>
      </c>
      <c r="D6684" t="s">
        <v>3238</v>
      </c>
      <c r="E6684" t="s">
        <v>3404</v>
      </c>
      <c r="F6684" t="s">
        <v>3405</v>
      </c>
      <c r="G6684" t="s">
        <v>3405</v>
      </c>
      <c r="H6684" t="s">
        <v>78</v>
      </c>
      <c r="I6684" t="s">
        <v>79</v>
      </c>
      <c r="J6684" t="str">
        <f>"0540731"</f>
        <v>0540731</v>
      </c>
      <c r="K6684">
        <v>2102517219</v>
      </c>
      <c r="L6684">
        <v>2102584840</v>
      </c>
      <c r="M6684" t="s">
        <v>3939</v>
      </c>
      <c r="N6684" t="s">
        <v>3408</v>
      </c>
      <c r="O6684" t="s">
        <v>3940</v>
      </c>
      <c r="P6684">
        <v>14342</v>
      </c>
      <c r="Q6684" t="str">
        <f>"38.048701"</f>
        <v>38.048701</v>
      </c>
      <c r="R6684" t="str">
        <f>"23.742273"</f>
        <v>23.742273</v>
      </c>
      <c r="S6684" t="s">
        <v>26</v>
      </c>
    </row>
    <row r="6685" spans="1:19" x14ac:dyDescent="0.3">
      <c r="A6685" t="s">
        <v>3237</v>
      </c>
      <c r="B6685" t="s">
        <v>3307</v>
      </c>
      <c r="C6685" t="s">
        <v>3949</v>
      </c>
      <c r="D6685" t="s">
        <v>3238</v>
      </c>
      <c r="E6685" t="s">
        <v>3404</v>
      </c>
      <c r="F6685" t="s">
        <v>3405</v>
      </c>
      <c r="G6685" t="s">
        <v>3405</v>
      </c>
      <c r="H6685" t="s">
        <v>78</v>
      </c>
      <c r="I6685" t="s">
        <v>79</v>
      </c>
      <c r="J6685" t="str">
        <f>"0540730"</f>
        <v>0540730</v>
      </c>
      <c r="K6685">
        <v>2102513616</v>
      </c>
      <c r="L6685">
        <v>2102513616</v>
      </c>
      <c r="M6685" t="s">
        <v>3950</v>
      </c>
      <c r="N6685" t="s">
        <v>3408</v>
      </c>
      <c r="O6685" t="s">
        <v>3863</v>
      </c>
      <c r="P6685">
        <v>14342</v>
      </c>
      <c r="Q6685" t="str">
        <f>"38.049425"</f>
        <v>38.049425</v>
      </c>
      <c r="R6685" t="str">
        <f>"23.742934"</f>
        <v>23.742934</v>
      </c>
      <c r="S6685" t="s">
        <v>26</v>
      </c>
    </row>
    <row r="6686" spans="1:19" x14ac:dyDescent="0.3">
      <c r="A6686" t="s">
        <v>3237</v>
      </c>
      <c r="B6686" t="s">
        <v>3307</v>
      </c>
      <c r="C6686" t="s">
        <v>3963</v>
      </c>
      <c r="D6686" t="s">
        <v>3238</v>
      </c>
      <c r="E6686" t="s">
        <v>3239</v>
      </c>
      <c r="F6686" t="s">
        <v>3239</v>
      </c>
      <c r="G6686" t="s">
        <v>3382</v>
      </c>
      <c r="H6686" t="s">
        <v>78</v>
      </c>
      <c r="I6686" t="s">
        <v>79</v>
      </c>
      <c r="J6686" t="str">
        <f>"0540690"</f>
        <v>0540690</v>
      </c>
      <c r="K6686">
        <v>2105145108</v>
      </c>
      <c r="L6686">
        <v>2105157386</v>
      </c>
      <c r="M6686" t="s">
        <v>3964</v>
      </c>
      <c r="N6686" t="s">
        <v>3284</v>
      </c>
      <c r="O6686" t="s">
        <v>3493</v>
      </c>
      <c r="P6686">
        <v>10442</v>
      </c>
      <c r="Q6686" t="str">
        <f>"37.993030"</f>
        <v>37.993030</v>
      </c>
      <c r="R6686" t="str">
        <f>"23.706892"</f>
        <v>23.706892</v>
      </c>
      <c r="S6686" t="s">
        <v>26</v>
      </c>
    </row>
    <row r="6687" spans="1:19" x14ac:dyDescent="0.3">
      <c r="A6687" t="s">
        <v>3237</v>
      </c>
      <c r="B6687" t="s">
        <v>3307</v>
      </c>
      <c r="C6687" t="s">
        <v>3987</v>
      </c>
      <c r="D6687" t="s">
        <v>3238</v>
      </c>
      <c r="E6687" t="s">
        <v>3239</v>
      </c>
      <c r="F6687" t="s">
        <v>3239</v>
      </c>
      <c r="G6687" t="s">
        <v>3240</v>
      </c>
      <c r="H6687" t="s">
        <v>78</v>
      </c>
      <c r="I6687" t="s">
        <v>79</v>
      </c>
      <c r="J6687" t="str">
        <f>"testepl"</f>
        <v>testepl</v>
      </c>
      <c r="O6687" t="s">
        <v>3988</v>
      </c>
      <c r="Q6687" t="str">
        <f>"38.255100"</f>
        <v>38.255100</v>
      </c>
      <c r="R6687" t="str">
        <f>"21.747522"</f>
        <v>21.747522</v>
      </c>
      <c r="S6687" t="s">
        <v>26</v>
      </c>
    </row>
    <row r="6688" spans="1:19" x14ac:dyDescent="0.3">
      <c r="A6688" t="s">
        <v>3237</v>
      </c>
      <c r="B6688" t="s">
        <v>3996</v>
      </c>
      <c r="C6688" t="s">
        <v>4089</v>
      </c>
      <c r="D6688" t="s">
        <v>3262</v>
      </c>
      <c r="E6688" t="s">
        <v>4043</v>
      </c>
      <c r="F6688" t="s">
        <v>4088</v>
      </c>
      <c r="G6688" t="s">
        <v>4088</v>
      </c>
      <c r="H6688" t="s">
        <v>78</v>
      </c>
      <c r="I6688" t="s">
        <v>79</v>
      </c>
      <c r="J6688" t="str">
        <f>"0540209"</f>
        <v>0540209</v>
      </c>
      <c r="K6688">
        <v>2106221003</v>
      </c>
      <c r="L6688">
        <v>2106215009</v>
      </c>
      <c r="M6688" t="s">
        <v>4090</v>
      </c>
      <c r="N6688" t="s">
        <v>4091</v>
      </c>
      <c r="O6688" t="s">
        <v>4092</v>
      </c>
      <c r="P6688">
        <v>14575</v>
      </c>
      <c r="Q6688" t="str">
        <f>"38.121982"</f>
        <v>38.121982</v>
      </c>
      <c r="R6688" t="str">
        <f>"23.864746"</f>
        <v>23.864746</v>
      </c>
      <c r="S6688" t="s">
        <v>26</v>
      </c>
    </row>
    <row r="6689" spans="1:19" x14ac:dyDescent="0.3">
      <c r="A6689" t="s">
        <v>3237</v>
      </c>
      <c r="B6689" t="s">
        <v>3996</v>
      </c>
      <c r="C6689" t="s">
        <v>4095</v>
      </c>
      <c r="D6689" t="s">
        <v>3262</v>
      </c>
      <c r="E6689" t="s">
        <v>4067</v>
      </c>
      <c r="F6689" t="s">
        <v>4094</v>
      </c>
      <c r="G6689" t="s">
        <v>4094</v>
      </c>
      <c r="H6689" t="s">
        <v>78</v>
      </c>
      <c r="I6689" t="s">
        <v>79</v>
      </c>
      <c r="J6689" t="str">
        <f>"0540963"</f>
        <v>0540963</v>
      </c>
      <c r="K6689">
        <v>2295032871</v>
      </c>
      <c r="L6689">
        <v>2295032871</v>
      </c>
      <c r="M6689" t="s">
        <v>4096</v>
      </c>
      <c r="N6689" t="s">
        <v>4097</v>
      </c>
      <c r="O6689" t="s">
        <v>4098</v>
      </c>
      <c r="P6689">
        <v>19015</v>
      </c>
      <c r="Q6689" t="str">
        <f>"38.319752"</f>
        <v>38.319752</v>
      </c>
      <c r="R6689" t="str">
        <f>"23.809790"</f>
        <v>23.809790</v>
      </c>
      <c r="S6689" t="s">
        <v>26</v>
      </c>
    </row>
    <row r="6690" spans="1:19" x14ac:dyDescent="0.3">
      <c r="A6690" t="s">
        <v>3237</v>
      </c>
      <c r="B6690" t="s">
        <v>3996</v>
      </c>
      <c r="C6690" t="s">
        <v>4113</v>
      </c>
      <c r="D6690" t="s">
        <v>3262</v>
      </c>
      <c r="E6690" t="s">
        <v>4011</v>
      </c>
      <c r="F6690" t="s">
        <v>4112</v>
      </c>
      <c r="G6690" t="s">
        <v>4112</v>
      </c>
      <c r="H6690" t="s">
        <v>78</v>
      </c>
      <c r="I6690" t="s">
        <v>79</v>
      </c>
      <c r="J6690" t="str">
        <f>"0540886"</f>
        <v>0540886</v>
      </c>
      <c r="K6690">
        <v>2108973394</v>
      </c>
      <c r="L6690">
        <v>2108974138</v>
      </c>
      <c r="M6690" t="s">
        <v>4114</v>
      </c>
      <c r="N6690" t="s">
        <v>4115</v>
      </c>
      <c r="O6690" t="s">
        <v>4116</v>
      </c>
      <c r="P6690">
        <v>16672</v>
      </c>
      <c r="Q6690" t="str">
        <f>"37.830642"</f>
        <v>37.830642</v>
      </c>
      <c r="R6690" t="str">
        <f>"23.805419"</f>
        <v>23.805419</v>
      </c>
      <c r="S6690" t="s">
        <v>26</v>
      </c>
    </row>
    <row r="6691" spans="1:19" x14ac:dyDescent="0.3">
      <c r="A6691" t="s">
        <v>3237</v>
      </c>
      <c r="B6691" t="s">
        <v>3996</v>
      </c>
      <c r="C6691" t="s">
        <v>4135</v>
      </c>
      <c r="D6691" t="s">
        <v>3262</v>
      </c>
      <c r="E6691" t="s">
        <v>3298</v>
      </c>
      <c r="F6691" t="s">
        <v>3298</v>
      </c>
      <c r="G6691" t="s">
        <v>3298</v>
      </c>
      <c r="H6691" t="s">
        <v>78</v>
      </c>
      <c r="I6691" t="s">
        <v>79</v>
      </c>
      <c r="J6691" t="str">
        <f>"0540203"</f>
        <v>0540203</v>
      </c>
      <c r="K6691">
        <v>2102404888</v>
      </c>
      <c r="L6691">
        <v>2102409636</v>
      </c>
      <c r="M6691" t="s">
        <v>4136</v>
      </c>
      <c r="N6691" t="s">
        <v>4028</v>
      </c>
      <c r="O6691" t="s">
        <v>4106</v>
      </c>
      <c r="P6691">
        <v>13678</v>
      </c>
      <c r="Q6691" t="str">
        <f>"38.099987"</f>
        <v>38.099987</v>
      </c>
      <c r="R6691" t="str">
        <f>"23.741831"</f>
        <v>23.741831</v>
      </c>
      <c r="S6691" t="s">
        <v>26</v>
      </c>
    </row>
    <row r="6692" spans="1:19" x14ac:dyDescent="0.3">
      <c r="A6692" t="s">
        <v>3237</v>
      </c>
      <c r="B6692" t="s">
        <v>3996</v>
      </c>
      <c r="C6692" t="s">
        <v>4198</v>
      </c>
      <c r="D6692" t="s">
        <v>3262</v>
      </c>
      <c r="E6692" t="s">
        <v>3263</v>
      </c>
      <c r="F6692" t="s">
        <v>3263</v>
      </c>
      <c r="G6692" t="s">
        <v>3263</v>
      </c>
      <c r="H6692" t="s">
        <v>78</v>
      </c>
      <c r="I6692" t="s">
        <v>132</v>
      </c>
      <c r="J6692" t="str">
        <f>"0550970"</f>
        <v>0550970</v>
      </c>
      <c r="K6692">
        <v>2106624267</v>
      </c>
      <c r="L6692">
        <v>2106620230</v>
      </c>
      <c r="M6692" t="s">
        <v>4199</v>
      </c>
      <c r="N6692" t="s">
        <v>3266</v>
      </c>
      <c r="O6692" t="s">
        <v>4200</v>
      </c>
      <c r="P6692">
        <v>19400</v>
      </c>
      <c r="Q6692" t="str">
        <f>"37.895493"</f>
        <v>37.895493</v>
      </c>
      <c r="R6692" t="str">
        <f>"23.869784"</f>
        <v>23.869784</v>
      </c>
      <c r="S6692" t="s">
        <v>26</v>
      </c>
    </row>
    <row r="6693" spans="1:19" x14ac:dyDescent="0.3">
      <c r="A6693" t="s">
        <v>3237</v>
      </c>
      <c r="B6693" t="s">
        <v>3996</v>
      </c>
      <c r="C6693" t="s">
        <v>4213</v>
      </c>
      <c r="D6693" t="s">
        <v>3262</v>
      </c>
      <c r="E6693" t="s">
        <v>3298</v>
      </c>
      <c r="F6693" t="s">
        <v>3298</v>
      </c>
      <c r="G6693" t="s">
        <v>3298</v>
      </c>
      <c r="H6693" t="s">
        <v>78</v>
      </c>
      <c r="I6693" t="s">
        <v>79</v>
      </c>
      <c r="J6693" t="str">
        <f>"0540206"</f>
        <v>0540206</v>
      </c>
      <c r="K6693">
        <v>2102400400</v>
      </c>
      <c r="L6693">
        <v>2102400400</v>
      </c>
      <c r="M6693" t="s">
        <v>4214</v>
      </c>
      <c r="N6693" t="s">
        <v>3298</v>
      </c>
      <c r="O6693" t="s">
        <v>4110</v>
      </c>
      <c r="P6693">
        <v>13674</v>
      </c>
      <c r="Q6693" t="str">
        <f>"38.089467"</f>
        <v>38.089467</v>
      </c>
      <c r="R6693" t="str">
        <f>"23.727419"</f>
        <v>23.727419</v>
      </c>
      <c r="S6693" t="s">
        <v>26</v>
      </c>
    </row>
    <row r="6694" spans="1:19" x14ac:dyDescent="0.3">
      <c r="A6694" t="s">
        <v>3237</v>
      </c>
      <c r="B6694" t="s">
        <v>3996</v>
      </c>
      <c r="C6694" t="s">
        <v>4226</v>
      </c>
      <c r="D6694" t="s">
        <v>3262</v>
      </c>
      <c r="E6694" t="s">
        <v>3298</v>
      </c>
      <c r="F6694" t="s">
        <v>3298</v>
      </c>
      <c r="G6694" t="s">
        <v>3298</v>
      </c>
      <c r="H6694" t="s">
        <v>78</v>
      </c>
      <c r="I6694" t="s">
        <v>132</v>
      </c>
      <c r="J6694" t="str">
        <f>"0540207"</f>
        <v>0540207</v>
      </c>
      <c r="K6694">
        <v>2102468194</v>
      </c>
      <c r="L6694">
        <v>2102409379</v>
      </c>
      <c r="M6694" t="s">
        <v>4227</v>
      </c>
      <c r="N6694" t="s">
        <v>3298</v>
      </c>
      <c r="O6694" t="s">
        <v>4228</v>
      </c>
      <c r="P6694">
        <v>13674</v>
      </c>
      <c r="Q6694" t="str">
        <f>"38.089491"</f>
        <v>38.089491</v>
      </c>
      <c r="R6694" t="str">
        <f>"23.726712"</f>
        <v>23.726712</v>
      </c>
      <c r="S6694" t="s">
        <v>26</v>
      </c>
    </row>
    <row r="6695" spans="1:19" x14ac:dyDescent="0.3">
      <c r="A6695" t="s">
        <v>3237</v>
      </c>
      <c r="B6695" t="s">
        <v>3996</v>
      </c>
      <c r="C6695" t="s">
        <v>4234</v>
      </c>
      <c r="D6695" t="s">
        <v>3262</v>
      </c>
      <c r="E6695" t="s">
        <v>4031</v>
      </c>
      <c r="F6695" t="s">
        <v>4031</v>
      </c>
      <c r="G6695" t="s">
        <v>4031</v>
      </c>
      <c r="H6695" t="s">
        <v>78</v>
      </c>
      <c r="I6695" t="s">
        <v>79</v>
      </c>
      <c r="J6695" t="str">
        <f>"0540961"</f>
        <v>0540961</v>
      </c>
      <c r="K6695">
        <v>2292069138</v>
      </c>
      <c r="L6695">
        <v>2292022623</v>
      </c>
      <c r="M6695" t="s">
        <v>4235</v>
      </c>
      <c r="N6695" t="s">
        <v>4236</v>
      </c>
      <c r="O6695" t="s">
        <v>4237</v>
      </c>
      <c r="P6695">
        <v>19500</v>
      </c>
      <c r="Q6695" t="str">
        <f>"37.719431"</f>
        <v>37.719431</v>
      </c>
      <c r="R6695" t="str">
        <f>"24.055903"</f>
        <v>24.055903</v>
      </c>
      <c r="S6695" t="s">
        <v>26</v>
      </c>
    </row>
    <row r="6696" spans="1:19" x14ac:dyDescent="0.3">
      <c r="A6696" t="s">
        <v>3237</v>
      </c>
      <c r="B6696" t="s">
        <v>3996</v>
      </c>
      <c r="C6696" t="s">
        <v>4277</v>
      </c>
      <c r="D6696" t="s">
        <v>3262</v>
      </c>
      <c r="E6696" t="s">
        <v>4060</v>
      </c>
      <c r="F6696" t="s">
        <v>4061</v>
      </c>
      <c r="G6696" t="s">
        <v>4061</v>
      </c>
      <c r="H6696" t="s">
        <v>78</v>
      </c>
      <c r="I6696" t="s">
        <v>79</v>
      </c>
      <c r="J6696" t="str">
        <f>"0540962"</f>
        <v>0540962</v>
      </c>
      <c r="K6696">
        <v>2294032910</v>
      </c>
      <c r="L6696">
        <v>2294032130</v>
      </c>
      <c r="M6696" t="s">
        <v>4278</v>
      </c>
      <c r="N6696" t="s">
        <v>4064</v>
      </c>
      <c r="O6696" t="s">
        <v>4279</v>
      </c>
      <c r="P6696">
        <v>19009</v>
      </c>
      <c r="Q6696" t="str">
        <f>"38.023882"</f>
        <v>38.023882</v>
      </c>
      <c r="R6696" t="str">
        <f>"23.982585"</f>
        <v>23.982585</v>
      </c>
      <c r="S6696" t="s">
        <v>26</v>
      </c>
    </row>
    <row r="6697" spans="1:19" x14ac:dyDescent="0.3">
      <c r="A6697" t="s">
        <v>3237</v>
      </c>
      <c r="B6697" t="s">
        <v>3996</v>
      </c>
      <c r="C6697" t="s">
        <v>4301</v>
      </c>
      <c r="D6697" t="s">
        <v>3262</v>
      </c>
      <c r="E6697" t="s">
        <v>3298</v>
      </c>
      <c r="F6697" t="s">
        <v>3298</v>
      </c>
      <c r="G6697" t="s">
        <v>3298</v>
      </c>
      <c r="H6697" t="s">
        <v>78</v>
      </c>
      <c r="I6697" t="s">
        <v>132</v>
      </c>
      <c r="J6697" t="str">
        <f>"0550343"</f>
        <v>0550343</v>
      </c>
      <c r="K6697">
        <v>2102407569</v>
      </c>
      <c r="L6697">
        <v>2102463250</v>
      </c>
      <c r="M6697" t="s">
        <v>4302</v>
      </c>
      <c r="N6697" t="s">
        <v>4028</v>
      </c>
      <c r="O6697" t="s">
        <v>4303</v>
      </c>
      <c r="P6697">
        <v>13671</v>
      </c>
      <c r="Q6697" t="str">
        <f>"38.099942"</f>
        <v>38.099942</v>
      </c>
      <c r="R6697" t="str">
        <f>"23.741903"</f>
        <v>23.741903</v>
      </c>
      <c r="S6697" t="s">
        <v>26</v>
      </c>
    </row>
    <row r="6698" spans="1:19" x14ac:dyDescent="0.3">
      <c r="A6698" t="s">
        <v>3237</v>
      </c>
      <c r="B6698" t="s">
        <v>3996</v>
      </c>
      <c r="C6698" t="s">
        <v>4428</v>
      </c>
      <c r="D6698" t="s">
        <v>3262</v>
      </c>
      <c r="E6698" t="s">
        <v>3263</v>
      </c>
      <c r="F6698" t="s">
        <v>3263</v>
      </c>
      <c r="G6698" t="s">
        <v>3263</v>
      </c>
      <c r="H6698" t="s">
        <v>78</v>
      </c>
      <c r="I6698" t="s">
        <v>79</v>
      </c>
      <c r="J6698" t="str">
        <f>"0540960"</f>
        <v>0540960</v>
      </c>
      <c r="K6698">
        <v>2106624661</v>
      </c>
      <c r="L6698">
        <v>2106625340</v>
      </c>
      <c r="M6698" t="s">
        <v>4429</v>
      </c>
      <c r="N6698" t="s">
        <v>3266</v>
      </c>
      <c r="O6698" t="s">
        <v>4200</v>
      </c>
      <c r="P6698">
        <v>19441</v>
      </c>
      <c r="Q6698" t="str">
        <f>"37.895781"</f>
        <v>37.895781</v>
      </c>
      <c r="R6698" t="str">
        <f>"23.869762"</f>
        <v>23.869762</v>
      </c>
      <c r="S6698" t="s">
        <v>26</v>
      </c>
    </row>
    <row r="6699" spans="1:19" x14ac:dyDescent="0.3">
      <c r="A6699" t="s">
        <v>3237</v>
      </c>
      <c r="B6699" t="s">
        <v>3996</v>
      </c>
      <c r="C6699" t="s">
        <v>4559</v>
      </c>
      <c r="D6699" t="s">
        <v>3262</v>
      </c>
      <c r="E6699" t="s">
        <v>3298</v>
      </c>
      <c r="F6699" t="s">
        <v>3298</v>
      </c>
      <c r="G6699" t="s">
        <v>3298</v>
      </c>
      <c r="H6699" t="s">
        <v>78</v>
      </c>
      <c r="I6699" t="s">
        <v>79</v>
      </c>
      <c r="J6699" t="str">
        <f>"0552002"</f>
        <v>0552002</v>
      </c>
      <c r="K6699">
        <v>2102448602</v>
      </c>
      <c r="L6699">
        <v>2102448606</v>
      </c>
      <c r="M6699" t="s">
        <v>4560</v>
      </c>
      <c r="N6699" t="s">
        <v>4342</v>
      </c>
      <c r="O6699" t="s">
        <v>4561</v>
      </c>
      <c r="P6699">
        <v>13674</v>
      </c>
      <c r="Q6699" t="str">
        <f>"38.085224"</f>
        <v>38.085224</v>
      </c>
      <c r="R6699" t="str">
        <f>"23.738099"</f>
        <v>23.738099</v>
      </c>
      <c r="S6699" t="s">
        <v>26</v>
      </c>
    </row>
    <row r="6700" spans="1:19" x14ac:dyDescent="0.3">
      <c r="A6700" t="s">
        <v>3237</v>
      </c>
      <c r="B6700" t="s">
        <v>3996</v>
      </c>
      <c r="C6700" t="s">
        <v>4563</v>
      </c>
      <c r="D6700" t="s">
        <v>3262</v>
      </c>
      <c r="E6700" t="s">
        <v>4060</v>
      </c>
      <c r="F6700" t="s">
        <v>4061</v>
      </c>
      <c r="G6700" t="s">
        <v>4061</v>
      </c>
      <c r="H6700" t="s">
        <v>78</v>
      </c>
      <c r="I6700" t="s">
        <v>132</v>
      </c>
      <c r="J6700" t="str">
        <f>"0553001"</f>
        <v>0553001</v>
      </c>
      <c r="K6700">
        <v>2294039055</v>
      </c>
      <c r="L6700">
        <v>2294039085</v>
      </c>
      <c r="M6700" t="s">
        <v>4564</v>
      </c>
      <c r="N6700" t="s">
        <v>4565</v>
      </c>
      <c r="O6700" t="s">
        <v>4566</v>
      </c>
      <c r="P6700">
        <v>19009</v>
      </c>
      <c r="Q6700" t="str">
        <f>"38.023848"</f>
        <v>38.023848</v>
      </c>
      <c r="R6700" t="str">
        <f>"23.982596"</f>
        <v>23.982596</v>
      </c>
      <c r="S6700" t="s">
        <v>26</v>
      </c>
    </row>
    <row r="6701" spans="1:19" x14ac:dyDescent="0.3">
      <c r="A6701" t="s">
        <v>3237</v>
      </c>
      <c r="B6701" t="s">
        <v>4585</v>
      </c>
      <c r="C6701" t="s">
        <v>4659</v>
      </c>
      <c r="D6701" t="s">
        <v>3245</v>
      </c>
      <c r="E6701" t="s">
        <v>4591</v>
      </c>
      <c r="F6701" t="s">
        <v>4591</v>
      </c>
      <c r="G6701" t="s">
        <v>4591</v>
      </c>
      <c r="H6701" t="s">
        <v>78</v>
      </c>
      <c r="I6701" t="s">
        <v>79</v>
      </c>
      <c r="J6701" t="str">
        <f>"0540770"</f>
        <v>0540770</v>
      </c>
      <c r="K6701">
        <v>2108019007</v>
      </c>
      <c r="L6701">
        <v>2167002122</v>
      </c>
      <c r="M6701" t="s">
        <v>4660</v>
      </c>
      <c r="N6701" t="s">
        <v>4600</v>
      </c>
      <c r="O6701" t="s">
        <v>4661</v>
      </c>
      <c r="P6701">
        <v>14562</v>
      </c>
      <c r="Q6701" t="str">
        <f>"38.064507"</f>
        <v>38.064507</v>
      </c>
      <c r="R6701" t="str">
        <f>"23.812928"</f>
        <v>23.812928</v>
      </c>
      <c r="S6701" t="s">
        <v>26</v>
      </c>
    </row>
    <row r="6702" spans="1:19" x14ac:dyDescent="0.3">
      <c r="A6702" t="s">
        <v>3237</v>
      </c>
      <c r="B6702" t="s">
        <v>4585</v>
      </c>
      <c r="C6702" t="s">
        <v>4663</v>
      </c>
      <c r="D6702" t="s">
        <v>3245</v>
      </c>
      <c r="E6702" t="s">
        <v>4649</v>
      </c>
      <c r="F6702" t="s">
        <v>4649</v>
      </c>
      <c r="G6702" t="s">
        <v>4649</v>
      </c>
      <c r="H6702" t="s">
        <v>78</v>
      </c>
      <c r="I6702" t="s">
        <v>79</v>
      </c>
      <c r="J6702" t="str">
        <f>"0540201"</f>
        <v>0540201</v>
      </c>
      <c r="K6702">
        <v>2106827182</v>
      </c>
      <c r="L6702">
        <v>2106832674</v>
      </c>
      <c r="M6702" t="s">
        <v>4664</v>
      </c>
      <c r="N6702" t="s">
        <v>4652</v>
      </c>
      <c r="O6702" t="s">
        <v>4653</v>
      </c>
      <c r="P6702">
        <v>15233</v>
      </c>
      <c r="Q6702" t="str">
        <f>"38.031465"</f>
        <v>38.031465</v>
      </c>
      <c r="R6702" t="str">
        <f>"23.796021"</f>
        <v>23.796021</v>
      </c>
      <c r="S6702" t="s">
        <v>26</v>
      </c>
    </row>
    <row r="6703" spans="1:19" x14ac:dyDescent="0.3">
      <c r="A6703" t="s">
        <v>3237</v>
      </c>
      <c r="B6703" t="s">
        <v>4585</v>
      </c>
      <c r="C6703" t="s">
        <v>4665</v>
      </c>
      <c r="D6703" t="s">
        <v>3245</v>
      </c>
      <c r="E6703" t="s">
        <v>4591</v>
      </c>
      <c r="F6703" t="s">
        <v>4591</v>
      </c>
      <c r="G6703" t="s">
        <v>4591</v>
      </c>
      <c r="H6703" t="s">
        <v>78</v>
      </c>
      <c r="I6703" t="s">
        <v>79</v>
      </c>
      <c r="J6703" t="str">
        <f>"0540771"</f>
        <v>0540771</v>
      </c>
      <c r="K6703">
        <v>2102826167</v>
      </c>
      <c r="L6703">
        <v>2169001101</v>
      </c>
      <c r="M6703" t="s">
        <v>4666</v>
      </c>
      <c r="N6703" t="s">
        <v>4595</v>
      </c>
      <c r="O6703" t="s">
        <v>4667</v>
      </c>
      <c r="P6703">
        <v>15123</v>
      </c>
      <c r="Q6703" t="str">
        <f>"38.043329"</f>
        <v>38.043329</v>
      </c>
      <c r="R6703" t="str">
        <f>"23.787670"</f>
        <v>23.787670</v>
      </c>
      <c r="S6703" t="s">
        <v>26</v>
      </c>
    </row>
    <row r="6704" spans="1:19" x14ac:dyDescent="0.3">
      <c r="A6704" t="s">
        <v>3237</v>
      </c>
      <c r="B6704" t="s">
        <v>4585</v>
      </c>
      <c r="C6704" t="s">
        <v>4676</v>
      </c>
      <c r="D6704" t="s">
        <v>3245</v>
      </c>
      <c r="E6704" t="s">
        <v>4649</v>
      </c>
      <c r="F6704" t="s">
        <v>4649</v>
      </c>
      <c r="G6704" t="s">
        <v>4649</v>
      </c>
      <c r="H6704" t="s">
        <v>78</v>
      </c>
      <c r="I6704" t="s">
        <v>132</v>
      </c>
      <c r="J6704" t="str">
        <f>"0550831"</f>
        <v>0550831</v>
      </c>
      <c r="K6704">
        <v>2106827182</v>
      </c>
      <c r="L6704">
        <v>2106890397</v>
      </c>
      <c r="M6704" t="s">
        <v>4677</v>
      </c>
      <c r="N6704" t="s">
        <v>4652</v>
      </c>
      <c r="O6704" t="s">
        <v>4653</v>
      </c>
      <c r="P6704">
        <v>15233</v>
      </c>
      <c r="Q6704" t="str">
        <f>"38.031550"</f>
        <v>38.031550</v>
      </c>
      <c r="R6704" t="str">
        <f>"23.795678"</f>
        <v>23.795678</v>
      </c>
      <c r="S6704" t="s">
        <v>26</v>
      </c>
    </row>
    <row r="6705" spans="1:19" x14ac:dyDescent="0.3">
      <c r="A6705" t="s">
        <v>3237</v>
      </c>
      <c r="B6705" t="s">
        <v>4585</v>
      </c>
      <c r="C6705" t="s">
        <v>4691</v>
      </c>
      <c r="D6705" t="s">
        <v>3245</v>
      </c>
      <c r="E6705" t="s">
        <v>152</v>
      </c>
      <c r="F6705" t="s">
        <v>152</v>
      </c>
      <c r="G6705" t="s">
        <v>152</v>
      </c>
      <c r="H6705" t="s">
        <v>78</v>
      </c>
      <c r="I6705" t="s">
        <v>79</v>
      </c>
      <c r="J6705" t="str">
        <f>"0540820"</f>
        <v>0540820</v>
      </c>
      <c r="K6705">
        <v>2106897641</v>
      </c>
      <c r="L6705">
        <v>2106857771</v>
      </c>
      <c r="M6705" t="s">
        <v>4692</v>
      </c>
      <c r="N6705" t="s">
        <v>4693</v>
      </c>
      <c r="O6705" t="s">
        <v>4694</v>
      </c>
      <c r="P6705">
        <v>15341</v>
      </c>
      <c r="Q6705" t="str">
        <f>"38.006273"</f>
        <v>38.006273</v>
      </c>
      <c r="R6705" t="str">
        <f>"23.811446"</f>
        <v>23.811446</v>
      </c>
      <c r="S6705" t="s">
        <v>26</v>
      </c>
    </row>
    <row r="6706" spans="1:19" x14ac:dyDescent="0.3">
      <c r="A6706" t="s">
        <v>3237</v>
      </c>
      <c r="B6706" t="s">
        <v>4585</v>
      </c>
      <c r="C6706" t="s">
        <v>4731</v>
      </c>
      <c r="D6706" t="s">
        <v>3245</v>
      </c>
      <c r="E6706" t="s">
        <v>4591</v>
      </c>
      <c r="F6706" t="s">
        <v>4591</v>
      </c>
      <c r="G6706" t="s">
        <v>4591</v>
      </c>
      <c r="H6706" t="s">
        <v>78</v>
      </c>
      <c r="I6706" t="s">
        <v>79</v>
      </c>
      <c r="J6706" t="str">
        <f>"0540780"</f>
        <v>0540780</v>
      </c>
      <c r="K6706">
        <v>2102821050</v>
      </c>
      <c r="L6706">
        <v>2102821050</v>
      </c>
      <c r="M6706" t="s">
        <v>4732</v>
      </c>
      <c r="N6706" t="s">
        <v>4733</v>
      </c>
      <c r="O6706" t="s">
        <v>4734</v>
      </c>
      <c r="P6706">
        <v>15123</v>
      </c>
      <c r="Q6706" t="str">
        <f>"38.043937"</f>
        <v>38.043937</v>
      </c>
      <c r="R6706" t="str">
        <f>"23.787852"</f>
        <v>23.787852</v>
      </c>
      <c r="S6706" t="s">
        <v>26</v>
      </c>
    </row>
    <row r="6707" spans="1:19" x14ac:dyDescent="0.3">
      <c r="A6707" t="s">
        <v>3237</v>
      </c>
      <c r="B6707" t="s">
        <v>4585</v>
      </c>
      <c r="C6707" t="s">
        <v>4800</v>
      </c>
      <c r="D6707" t="s">
        <v>3245</v>
      </c>
      <c r="E6707" t="s">
        <v>4649</v>
      </c>
      <c r="F6707" t="s">
        <v>4649</v>
      </c>
      <c r="G6707" t="s">
        <v>4649</v>
      </c>
      <c r="H6707" t="s">
        <v>78</v>
      </c>
      <c r="I6707" t="s">
        <v>79</v>
      </c>
      <c r="J6707" t="str">
        <f>"0540821"</f>
        <v>0540821</v>
      </c>
      <c r="K6707">
        <v>2106830333</v>
      </c>
      <c r="L6707">
        <v>2106858069</v>
      </c>
      <c r="M6707" t="s">
        <v>4801</v>
      </c>
      <c r="N6707" t="s">
        <v>4652</v>
      </c>
      <c r="O6707" t="s">
        <v>4802</v>
      </c>
      <c r="P6707">
        <v>15232</v>
      </c>
      <c r="Q6707" t="str">
        <f>"38.017539"</f>
        <v>38.017539</v>
      </c>
      <c r="R6707" t="str">
        <f>"23.809988"</f>
        <v>23.809988</v>
      </c>
      <c r="S6707" t="s">
        <v>26</v>
      </c>
    </row>
    <row r="6708" spans="1:19" x14ac:dyDescent="0.3">
      <c r="A6708" t="s">
        <v>3237</v>
      </c>
      <c r="B6708" t="s">
        <v>4585</v>
      </c>
      <c r="C6708" t="s">
        <v>4984</v>
      </c>
      <c r="D6708" t="s">
        <v>3245</v>
      </c>
      <c r="E6708" t="s">
        <v>3246</v>
      </c>
      <c r="F6708" t="s">
        <v>3246</v>
      </c>
      <c r="G6708" t="s">
        <v>3246</v>
      </c>
      <c r="H6708" t="s">
        <v>78</v>
      </c>
      <c r="I6708" t="s">
        <v>132</v>
      </c>
      <c r="J6708" t="str">
        <f>"0550795"</f>
        <v>0550795</v>
      </c>
      <c r="K6708">
        <v>2102711921</v>
      </c>
      <c r="L6708">
        <v>2102711921</v>
      </c>
      <c r="M6708" t="s">
        <v>4985</v>
      </c>
      <c r="N6708" t="s">
        <v>3410</v>
      </c>
      <c r="O6708" t="s">
        <v>4986</v>
      </c>
      <c r="P6708">
        <v>14232</v>
      </c>
      <c r="Q6708" t="str">
        <f>"38.035084"</f>
        <v>38.035084</v>
      </c>
      <c r="R6708" t="str">
        <f>"23.753095"</f>
        <v>23.753095</v>
      </c>
      <c r="S6708" t="s">
        <v>26</v>
      </c>
    </row>
    <row r="6709" spans="1:19" x14ac:dyDescent="0.3">
      <c r="A6709" t="s">
        <v>3237</v>
      </c>
      <c r="B6709" t="s">
        <v>4585</v>
      </c>
      <c r="C6709" t="s">
        <v>5012</v>
      </c>
      <c r="D6709" t="s">
        <v>3245</v>
      </c>
      <c r="E6709" t="s">
        <v>152</v>
      </c>
      <c r="F6709" t="s">
        <v>152</v>
      </c>
      <c r="G6709" t="s">
        <v>152</v>
      </c>
      <c r="H6709" t="s">
        <v>78</v>
      </c>
      <c r="I6709" t="s">
        <v>79</v>
      </c>
      <c r="J6709" t="str">
        <f>"0540202"</f>
        <v>0540202</v>
      </c>
      <c r="K6709">
        <v>2106523968</v>
      </c>
      <c r="L6709">
        <v>2106540439</v>
      </c>
      <c r="M6709" t="s">
        <v>5013</v>
      </c>
      <c r="N6709" t="s">
        <v>5014</v>
      </c>
      <c r="O6709" t="s">
        <v>5015</v>
      </c>
      <c r="P6709">
        <v>15341</v>
      </c>
      <c r="Q6709" t="str">
        <f>"38.007489"</f>
        <v>38.007489</v>
      </c>
      <c r="R6709" t="str">
        <f>"23.810354"</f>
        <v>23.810354</v>
      </c>
      <c r="S6709" t="s">
        <v>26</v>
      </c>
    </row>
    <row r="6710" spans="1:19" x14ac:dyDescent="0.3">
      <c r="A6710" t="s">
        <v>3237</v>
      </c>
      <c r="B6710" t="s">
        <v>4585</v>
      </c>
      <c r="C6710" t="s">
        <v>5066</v>
      </c>
      <c r="D6710" t="s">
        <v>3245</v>
      </c>
      <c r="E6710" t="s">
        <v>3246</v>
      </c>
      <c r="F6710" t="s">
        <v>3246</v>
      </c>
      <c r="G6710" t="s">
        <v>3246</v>
      </c>
      <c r="H6710" t="s">
        <v>78</v>
      </c>
      <c r="I6710" t="s">
        <v>79</v>
      </c>
      <c r="J6710" t="str">
        <f>"0540790"</f>
        <v>0540790</v>
      </c>
      <c r="K6710">
        <v>2102779984</v>
      </c>
      <c r="L6710">
        <v>2102779984</v>
      </c>
      <c r="M6710" t="s">
        <v>5067</v>
      </c>
      <c r="N6710" t="s">
        <v>3249</v>
      </c>
      <c r="O6710" t="s">
        <v>5068</v>
      </c>
      <c r="P6710">
        <v>14231</v>
      </c>
      <c r="Q6710" t="str">
        <f>"38.036950"</f>
        <v>38.036950</v>
      </c>
      <c r="R6710" t="str">
        <f>"23.747414"</f>
        <v>23.747414</v>
      </c>
      <c r="S6710" t="s">
        <v>26</v>
      </c>
    </row>
    <row r="6711" spans="1:19" x14ac:dyDescent="0.3">
      <c r="A6711" t="s">
        <v>3237</v>
      </c>
      <c r="B6711" t="s">
        <v>4585</v>
      </c>
      <c r="C6711" t="s">
        <v>5073</v>
      </c>
      <c r="D6711" t="s">
        <v>3245</v>
      </c>
      <c r="E6711" t="s">
        <v>4591</v>
      </c>
      <c r="F6711" t="s">
        <v>4591</v>
      </c>
      <c r="G6711" t="s">
        <v>4591</v>
      </c>
      <c r="H6711" t="s">
        <v>78</v>
      </c>
      <c r="I6711" t="s">
        <v>79</v>
      </c>
      <c r="J6711" t="str">
        <f>"0552001"</f>
        <v>0552001</v>
      </c>
      <c r="K6711">
        <v>2102820313</v>
      </c>
      <c r="L6711">
        <v>2102820313</v>
      </c>
      <c r="M6711" t="s">
        <v>5074</v>
      </c>
      <c r="N6711" t="s">
        <v>5075</v>
      </c>
      <c r="O6711" t="s">
        <v>4668</v>
      </c>
      <c r="P6711">
        <v>15123</v>
      </c>
      <c r="Q6711" t="str">
        <f>"38.043268"</f>
        <v>38.043268</v>
      </c>
      <c r="R6711" t="str">
        <f>"23.787744"</f>
        <v>23.787744</v>
      </c>
      <c r="S6711" t="s">
        <v>26</v>
      </c>
    </row>
    <row r="6712" spans="1:19" x14ac:dyDescent="0.3">
      <c r="A6712" t="s">
        <v>3237</v>
      </c>
      <c r="B6712" t="s">
        <v>5080</v>
      </c>
      <c r="C6712" t="s">
        <v>5117</v>
      </c>
      <c r="D6712" t="s">
        <v>3251</v>
      </c>
      <c r="E6712" t="s">
        <v>5087</v>
      </c>
      <c r="F6712" t="s">
        <v>5087</v>
      </c>
      <c r="G6712" t="s">
        <v>5116</v>
      </c>
      <c r="H6712" t="s">
        <v>78</v>
      </c>
      <c r="I6712" t="s">
        <v>132</v>
      </c>
      <c r="J6712" t="str">
        <f>"0540055"</f>
        <v>0540055</v>
      </c>
      <c r="K6712">
        <v>2105755801</v>
      </c>
      <c r="L6712">
        <v>2105785446</v>
      </c>
      <c r="M6712" t="s">
        <v>5118</v>
      </c>
      <c r="N6712" t="s">
        <v>5102</v>
      </c>
      <c r="O6712" t="s">
        <v>5119</v>
      </c>
      <c r="P6712">
        <v>12132</v>
      </c>
      <c r="Q6712" t="str">
        <f>"38.007653"</f>
        <v>38.007653</v>
      </c>
      <c r="R6712" t="str">
        <f>"23.701599"</f>
        <v>23.701599</v>
      </c>
      <c r="S6712" t="s">
        <v>26</v>
      </c>
    </row>
    <row r="6713" spans="1:19" x14ac:dyDescent="0.3">
      <c r="A6713" t="s">
        <v>3237</v>
      </c>
      <c r="B6713" t="s">
        <v>5080</v>
      </c>
      <c r="C6713" t="s">
        <v>5128</v>
      </c>
      <c r="D6713" t="s">
        <v>3251</v>
      </c>
      <c r="E6713" t="s">
        <v>5121</v>
      </c>
      <c r="F6713" t="s">
        <v>5127</v>
      </c>
      <c r="G6713" t="s">
        <v>5127</v>
      </c>
      <c r="H6713" t="s">
        <v>78</v>
      </c>
      <c r="I6713" t="s">
        <v>79</v>
      </c>
      <c r="J6713" t="str">
        <f>"0540864"</f>
        <v>0540864</v>
      </c>
      <c r="K6713">
        <v>2102389601</v>
      </c>
      <c r="L6713">
        <v>2102320742</v>
      </c>
      <c r="M6713" t="s">
        <v>5129</v>
      </c>
      <c r="N6713" t="s">
        <v>5130</v>
      </c>
      <c r="O6713" t="s">
        <v>5131</v>
      </c>
      <c r="P6713">
        <v>13451</v>
      </c>
      <c r="Q6713" t="str">
        <f>"38.055903"</f>
        <v>38.055903</v>
      </c>
      <c r="R6713" t="str">
        <f>"23.706047"</f>
        <v>23.706047</v>
      </c>
      <c r="S6713" t="s">
        <v>26</v>
      </c>
    </row>
    <row r="6714" spans="1:19" x14ac:dyDescent="0.3">
      <c r="A6714" t="s">
        <v>3237</v>
      </c>
      <c r="B6714" t="s">
        <v>5080</v>
      </c>
      <c r="C6714" t="s">
        <v>5137</v>
      </c>
      <c r="D6714" t="s">
        <v>3251</v>
      </c>
      <c r="E6714" t="s">
        <v>3290</v>
      </c>
      <c r="F6714" t="s">
        <v>3290</v>
      </c>
      <c r="G6714" t="s">
        <v>3290</v>
      </c>
      <c r="H6714" t="s">
        <v>78</v>
      </c>
      <c r="I6714" t="s">
        <v>79</v>
      </c>
      <c r="J6714" t="str">
        <f>"0540545"</f>
        <v>0540545</v>
      </c>
      <c r="K6714">
        <v>2102611632</v>
      </c>
      <c r="L6714">
        <v>2102628332</v>
      </c>
      <c r="M6714" t="s">
        <v>5138</v>
      </c>
      <c r="N6714" t="s">
        <v>3293</v>
      </c>
      <c r="O6714" t="s">
        <v>5139</v>
      </c>
      <c r="P6714">
        <v>13122</v>
      </c>
      <c r="Q6714" t="str">
        <f>"38.036941"</f>
        <v>38.036941</v>
      </c>
      <c r="R6714" t="str">
        <f>"23.715345"</f>
        <v>23.715345</v>
      </c>
      <c r="S6714" t="s">
        <v>26</v>
      </c>
    </row>
    <row r="6715" spans="1:19" x14ac:dyDescent="0.3">
      <c r="A6715" t="s">
        <v>3237</v>
      </c>
      <c r="B6715" t="s">
        <v>5080</v>
      </c>
      <c r="C6715" t="s">
        <v>5141</v>
      </c>
      <c r="D6715" t="s">
        <v>3251</v>
      </c>
      <c r="E6715" t="s">
        <v>3252</v>
      </c>
      <c r="F6715" t="s">
        <v>3252</v>
      </c>
      <c r="G6715" t="s">
        <v>3252</v>
      </c>
      <c r="H6715" t="s">
        <v>78</v>
      </c>
      <c r="I6715" t="s">
        <v>79</v>
      </c>
      <c r="J6715" t="str">
        <f>"0540371"</f>
        <v>0540371</v>
      </c>
      <c r="K6715">
        <v>2105452195</v>
      </c>
      <c r="L6715">
        <v>2105440065</v>
      </c>
      <c r="M6715" t="s">
        <v>5142</v>
      </c>
      <c r="N6715" t="s">
        <v>3252</v>
      </c>
      <c r="O6715" t="s">
        <v>5143</v>
      </c>
      <c r="P6715">
        <v>12241</v>
      </c>
      <c r="Q6715" t="str">
        <f>"37.977689"</f>
        <v>37.977689</v>
      </c>
      <c r="R6715" t="str">
        <f>"23.670180"</f>
        <v>23.670180</v>
      </c>
      <c r="S6715" t="s">
        <v>26</v>
      </c>
    </row>
    <row r="6716" spans="1:19" x14ac:dyDescent="0.3">
      <c r="A6716" t="s">
        <v>3237</v>
      </c>
      <c r="B6716" t="s">
        <v>5080</v>
      </c>
      <c r="C6716" t="s">
        <v>5151</v>
      </c>
      <c r="D6716" t="s">
        <v>3251</v>
      </c>
      <c r="E6716" t="s">
        <v>3290</v>
      </c>
      <c r="F6716" t="s">
        <v>3290</v>
      </c>
      <c r="G6716" t="s">
        <v>3290</v>
      </c>
      <c r="H6716" t="s">
        <v>78</v>
      </c>
      <c r="I6716" t="s">
        <v>79</v>
      </c>
      <c r="J6716" t="str">
        <f>"0540540"</f>
        <v>0540540</v>
      </c>
      <c r="K6716">
        <v>2102614559</v>
      </c>
      <c r="L6716">
        <v>2102614559</v>
      </c>
      <c r="M6716" t="s">
        <v>5152</v>
      </c>
      <c r="N6716" t="s">
        <v>3293</v>
      </c>
      <c r="O6716" t="s">
        <v>5153</v>
      </c>
      <c r="P6716">
        <v>13122</v>
      </c>
      <c r="Q6716" t="str">
        <f>"38.037169"</f>
        <v>38.037169</v>
      </c>
      <c r="R6716" t="str">
        <f>"23.715648"</f>
        <v>23.715648</v>
      </c>
      <c r="S6716" t="s">
        <v>26</v>
      </c>
    </row>
    <row r="6717" spans="1:19" x14ac:dyDescent="0.3">
      <c r="A6717" t="s">
        <v>3237</v>
      </c>
      <c r="B6717" t="s">
        <v>5080</v>
      </c>
      <c r="C6717" t="s">
        <v>5157</v>
      </c>
      <c r="D6717" t="s">
        <v>3251</v>
      </c>
      <c r="E6717" t="s">
        <v>5121</v>
      </c>
      <c r="F6717" t="s">
        <v>5085</v>
      </c>
      <c r="G6717" t="s">
        <v>5085</v>
      </c>
      <c r="H6717" t="s">
        <v>78</v>
      </c>
      <c r="I6717" t="s">
        <v>79</v>
      </c>
      <c r="J6717" t="str">
        <f>"0540860"</f>
        <v>0540860</v>
      </c>
      <c r="K6717">
        <v>2108542210</v>
      </c>
      <c r="M6717" t="s">
        <v>5158</v>
      </c>
      <c r="N6717" t="s">
        <v>5159</v>
      </c>
      <c r="O6717" t="s">
        <v>5160</v>
      </c>
      <c r="P6717">
        <v>13561</v>
      </c>
      <c r="Q6717" t="str">
        <f>"38.016505"</f>
        <v>38.016505</v>
      </c>
      <c r="R6717" t="str">
        <f>"23.713424"</f>
        <v>23.713424</v>
      </c>
      <c r="S6717" t="s">
        <v>26</v>
      </c>
    </row>
    <row r="6718" spans="1:19" x14ac:dyDescent="0.3">
      <c r="A6718" t="s">
        <v>3237</v>
      </c>
      <c r="B6718" t="s">
        <v>5080</v>
      </c>
      <c r="C6718" t="s">
        <v>5168</v>
      </c>
      <c r="D6718" t="s">
        <v>3251</v>
      </c>
      <c r="E6718" t="s">
        <v>5121</v>
      </c>
      <c r="F6718" t="s">
        <v>5085</v>
      </c>
      <c r="G6718" t="s">
        <v>5085</v>
      </c>
      <c r="H6718" t="s">
        <v>78</v>
      </c>
      <c r="I6718" t="s">
        <v>132</v>
      </c>
      <c r="J6718" t="str">
        <f>"0550870"</f>
        <v>0550870</v>
      </c>
      <c r="K6718">
        <v>2108542207</v>
      </c>
      <c r="L6718">
        <v>2108542801</v>
      </c>
      <c r="M6718" t="s">
        <v>5169</v>
      </c>
      <c r="N6718" t="s">
        <v>5159</v>
      </c>
      <c r="O6718" t="s">
        <v>5170</v>
      </c>
      <c r="P6718">
        <v>13561</v>
      </c>
      <c r="Q6718" t="str">
        <f>"38.016428"</f>
        <v>38.016428</v>
      </c>
      <c r="R6718" t="str">
        <f>"23.713607"</f>
        <v>23.713607</v>
      </c>
      <c r="S6718" t="s">
        <v>26</v>
      </c>
    </row>
    <row r="6719" spans="1:19" x14ac:dyDescent="0.3">
      <c r="A6719" t="s">
        <v>3237</v>
      </c>
      <c r="B6719" t="s">
        <v>5080</v>
      </c>
      <c r="C6719" t="s">
        <v>5201</v>
      </c>
      <c r="D6719" t="s">
        <v>3251</v>
      </c>
      <c r="E6719" t="s">
        <v>5199</v>
      </c>
      <c r="F6719" t="s">
        <v>5200</v>
      </c>
      <c r="G6719" t="s">
        <v>5200</v>
      </c>
      <c r="H6719" t="s">
        <v>78</v>
      </c>
      <c r="I6719" t="s">
        <v>79</v>
      </c>
      <c r="J6719" t="str">
        <f>"0540062"</f>
        <v>0540062</v>
      </c>
      <c r="K6719">
        <v>2105779948</v>
      </c>
      <c r="L6719">
        <v>2105779613</v>
      </c>
      <c r="M6719" t="s">
        <v>5202</v>
      </c>
      <c r="N6719" t="s">
        <v>5203</v>
      </c>
      <c r="O6719" t="s">
        <v>5204</v>
      </c>
      <c r="P6719">
        <v>12461</v>
      </c>
      <c r="Q6719" t="str">
        <f>"38.017290"</f>
        <v>38.017290</v>
      </c>
      <c r="R6719" t="str">
        <f>"23.669393"</f>
        <v>23.669393</v>
      </c>
      <c r="S6719" t="s">
        <v>26</v>
      </c>
    </row>
    <row r="6720" spans="1:19" x14ac:dyDescent="0.3">
      <c r="A6720" t="s">
        <v>3237</v>
      </c>
      <c r="B6720" t="s">
        <v>5080</v>
      </c>
      <c r="C6720" t="s">
        <v>5312</v>
      </c>
      <c r="D6720" t="s">
        <v>3251</v>
      </c>
      <c r="E6720" t="s">
        <v>5087</v>
      </c>
      <c r="F6720" t="s">
        <v>5087</v>
      </c>
      <c r="G6720" t="s">
        <v>5116</v>
      </c>
      <c r="H6720" t="s">
        <v>78</v>
      </c>
      <c r="I6720" t="s">
        <v>132</v>
      </c>
      <c r="J6720" t="str">
        <f>"0550055"</f>
        <v>0550055</v>
      </c>
      <c r="K6720">
        <v>2105740154</v>
      </c>
      <c r="L6720">
        <v>2105785449</v>
      </c>
      <c r="M6720" t="s">
        <v>5313</v>
      </c>
      <c r="N6720" t="s">
        <v>5087</v>
      </c>
      <c r="O6720" t="s">
        <v>5314</v>
      </c>
      <c r="P6720">
        <v>12132</v>
      </c>
      <c r="Q6720" t="str">
        <f>"38.012639"</f>
        <v>38.012639</v>
      </c>
      <c r="R6720" t="str">
        <f>"23.705164"</f>
        <v>23.705164</v>
      </c>
      <c r="S6720" t="s">
        <v>26</v>
      </c>
    </row>
    <row r="6721" spans="1:19" x14ac:dyDescent="0.3">
      <c r="A6721" t="s">
        <v>3237</v>
      </c>
      <c r="B6721" t="s">
        <v>5080</v>
      </c>
      <c r="C6721" t="s">
        <v>5488</v>
      </c>
      <c r="D6721" t="s">
        <v>3251</v>
      </c>
      <c r="E6721" t="s">
        <v>5171</v>
      </c>
      <c r="F6721" t="s">
        <v>5171</v>
      </c>
      <c r="G6721" t="s">
        <v>5171</v>
      </c>
      <c r="H6721" t="s">
        <v>78</v>
      </c>
      <c r="I6721" t="s">
        <v>79</v>
      </c>
      <c r="J6721" t="str">
        <f>"0540220"</f>
        <v>0540220</v>
      </c>
      <c r="K6721">
        <v>2105012314</v>
      </c>
      <c r="L6721">
        <v>2105012314</v>
      </c>
      <c r="M6721" t="s">
        <v>5489</v>
      </c>
      <c r="N6721" t="s">
        <v>5174</v>
      </c>
      <c r="O6721" t="s">
        <v>5189</v>
      </c>
      <c r="P6721">
        <v>13231</v>
      </c>
      <c r="Q6721" t="str">
        <f>"38.039847"</f>
        <v>38.039847</v>
      </c>
      <c r="R6721" t="str">
        <f>"23.693391"</f>
        <v>23.693391</v>
      </c>
      <c r="S6721" t="s">
        <v>26</v>
      </c>
    </row>
    <row r="6722" spans="1:19" x14ac:dyDescent="0.3">
      <c r="A6722" t="s">
        <v>3237</v>
      </c>
      <c r="B6722" t="s">
        <v>5080</v>
      </c>
      <c r="C6722" t="s">
        <v>5498</v>
      </c>
      <c r="D6722" t="s">
        <v>3251</v>
      </c>
      <c r="E6722" t="s">
        <v>5087</v>
      </c>
      <c r="F6722" t="s">
        <v>5087</v>
      </c>
      <c r="G6722" t="s">
        <v>5116</v>
      </c>
      <c r="H6722" t="s">
        <v>78</v>
      </c>
      <c r="I6722" t="s">
        <v>79</v>
      </c>
      <c r="J6722" t="str">
        <f>"0540057"</f>
        <v>0540057</v>
      </c>
      <c r="K6722">
        <v>2105782223</v>
      </c>
      <c r="L6722">
        <v>2105782223</v>
      </c>
      <c r="M6722" t="s">
        <v>5499</v>
      </c>
      <c r="N6722" t="s">
        <v>5102</v>
      </c>
      <c r="O6722" t="s">
        <v>5500</v>
      </c>
      <c r="P6722">
        <v>12132</v>
      </c>
      <c r="Q6722" t="str">
        <f>"38.004060"</f>
        <v>38.004060</v>
      </c>
      <c r="R6722" t="str">
        <f>"23.703942"</f>
        <v>23.703942</v>
      </c>
      <c r="S6722" t="s">
        <v>26</v>
      </c>
    </row>
    <row r="6723" spans="1:19" x14ac:dyDescent="0.3">
      <c r="A6723" t="s">
        <v>3237</v>
      </c>
      <c r="B6723" t="s">
        <v>5080</v>
      </c>
      <c r="C6723" t="s">
        <v>5531</v>
      </c>
      <c r="D6723" t="s">
        <v>3251</v>
      </c>
      <c r="E6723" t="s">
        <v>3252</v>
      </c>
      <c r="F6723" t="s">
        <v>3252</v>
      </c>
      <c r="G6723" t="s">
        <v>3252</v>
      </c>
      <c r="H6723" t="s">
        <v>78</v>
      </c>
      <c r="I6723" t="s">
        <v>79</v>
      </c>
      <c r="J6723" t="str">
        <f>"0540372"</f>
        <v>0540372</v>
      </c>
      <c r="K6723">
        <v>2105452194</v>
      </c>
      <c r="L6723">
        <v>2105699984</v>
      </c>
      <c r="M6723" t="s">
        <v>5532</v>
      </c>
      <c r="N6723" t="s">
        <v>3252</v>
      </c>
      <c r="O6723" t="s">
        <v>5533</v>
      </c>
      <c r="P6723">
        <v>12241</v>
      </c>
      <c r="Q6723" t="str">
        <f>"37.978154"</f>
        <v>37.978154</v>
      </c>
      <c r="R6723" t="str">
        <f>"23.670636"</f>
        <v>23.670636</v>
      </c>
      <c r="S6723" t="s">
        <v>26</v>
      </c>
    </row>
    <row r="6724" spans="1:19" x14ac:dyDescent="0.3">
      <c r="A6724" t="s">
        <v>3237</v>
      </c>
      <c r="B6724" t="s">
        <v>5080</v>
      </c>
      <c r="C6724" t="s">
        <v>5543</v>
      </c>
      <c r="D6724" t="s">
        <v>3251</v>
      </c>
      <c r="E6724" t="s">
        <v>3252</v>
      </c>
      <c r="F6724" t="s">
        <v>3252</v>
      </c>
      <c r="G6724" t="s">
        <v>3252</v>
      </c>
      <c r="H6724" t="s">
        <v>78</v>
      </c>
      <c r="I6724" t="s">
        <v>132</v>
      </c>
      <c r="J6724" t="str">
        <f>"0540375"</f>
        <v>0540375</v>
      </c>
      <c r="K6724">
        <v>2105699597</v>
      </c>
      <c r="L6724">
        <v>2105699557</v>
      </c>
      <c r="M6724" t="s">
        <v>5544</v>
      </c>
      <c r="N6724" t="s">
        <v>3252</v>
      </c>
      <c r="O6724" t="s">
        <v>5545</v>
      </c>
      <c r="P6724">
        <v>12241</v>
      </c>
      <c r="Q6724" t="str">
        <f>"37.977532"</f>
        <v>37.977532</v>
      </c>
      <c r="R6724" t="str">
        <f>"23.670335"</f>
        <v>23.670335</v>
      </c>
      <c r="S6724" t="s">
        <v>26</v>
      </c>
    </row>
    <row r="6725" spans="1:19" x14ac:dyDescent="0.3">
      <c r="A6725" t="s">
        <v>3237</v>
      </c>
      <c r="B6725" t="s">
        <v>5080</v>
      </c>
      <c r="C6725" t="s">
        <v>5546</v>
      </c>
      <c r="D6725" t="s">
        <v>3251</v>
      </c>
      <c r="E6725" t="s">
        <v>5087</v>
      </c>
      <c r="F6725" t="s">
        <v>5087</v>
      </c>
      <c r="G6725" t="s">
        <v>5116</v>
      </c>
      <c r="H6725" t="s">
        <v>78</v>
      </c>
      <c r="I6725" t="s">
        <v>79</v>
      </c>
      <c r="J6725" t="str">
        <f>"0540050"</f>
        <v>0540050</v>
      </c>
      <c r="K6725">
        <v>2105744842</v>
      </c>
      <c r="L6725">
        <v>2105760840</v>
      </c>
      <c r="M6725" t="s">
        <v>5547</v>
      </c>
      <c r="N6725" t="s">
        <v>5102</v>
      </c>
      <c r="O6725" t="s">
        <v>5548</v>
      </c>
      <c r="P6725">
        <v>12133</v>
      </c>
      <c r="Q6725" t="str">
        <f>"38.011874"</f>
        <v>38.011874</v>
      </c>
      <c r="R6725" t="str">
        <f>"23.712427"</f>
        <v>23.712427</v>
      </c>
      <c r="S6725" t="s">
        <v>26</v>
      </c>
    </row>
    <row r="6726" spans="1:19" x14ac:dyDescent="0.3">
      <c r="A6726" t="s">
        <v>3237</v>
      </c>
      <c r="B6726" t="s">
        <v>5080</v>
      </c>
      <c r="C6726" t="s">
        <v>5549</v>
      </c>
      <c r="D6726" t="s">
        <v>3251</v>
      </c>
      <c r="E6726" t="s">
        <v>5087</v>
      </c>
      <c r="F6726" t="s">
        <v>5087</v>
      </c>
      <c r="G6726" t="s">
        <v>5088</v>
      </c>
      <c r="H6726" t="s">
        <v>78</v>
      </c>
      <c r="I6726" t="s">
        <v>79</v>
      </c>
      <c r="J6726" t="str">
        <f>"0540051"</f>
        <v>0540051</v>
      </c>
      <c r="K6726">
        <v>2105061820</v>
      </c>
      <c r="L6726">
        <v>2105061821</v>
      </c>
      <c r="M6726" t="s">
        <v>5550</v>
      </c>
      <c r="N6726" t="s">
        <v>5087</v>
      </c>
      <c r="O6726" t="s">
        <v>5551</v>
      </c>
      <c r="P6726">
        <v>12137</v>
      </c>
      <c r="Q6726" t="str">
        <f>"38.030399"</f>
        <v>38.030399</v>
      </c>
      <c r="R6726" t="str">
        <f>"23.677573"</f>
        <v>23.677573</v>
      </c>
      <c r="S6726" t="s">
        <v>26</v>
      </c>
    </row>
    <row r="6727" spans="1:19" x14ac:dyDescent="0.3">
      <c r="A6727" t="s">
        <v>3237</v>
      </c>
      <c r="B6727" t="s">
        <v>5562</v>
      </c>
      <c r="C6727" t="s">
        <v>5606</v>
      </c>
      <c r="D6727" t="s">
        <v>3256</v>
      </c>
      <c r="E6727" t="s">
        <v>5586</v>
      </c>
      <c r="F6727" t="s">
        <v>5586</v>
      </c>
      <c r="G6727" t="s">
        <v>5586</v>
      </c>
      <c r="H6727" t="s">
        <v>78</v>
      </c>
      <c r="I6727" t="s">
        <v>79</v>
      </c>
      <c r="J6727" t="str">
        <f>"0540840"</f>
        <v>0540840</v>
      </c>
      <c r="K6727">
        <v>2109346375</v>
      </c>
      <c r="L6727">
        <v>2109352221</v>
      </c>
      <c r="M6727" t="s">
        <v>5607</v>
      </c>
      <c r="N6727" t="s">
        <v>3260</v>
      </c>
      <c r="O6727" t="s">
        <v>5594</v>
      </c>
      <c r="P6727">
        <v>17122</v>
      </c>
      <c r="Q6727" t="str">
        <f>"37.937381"</f>
        <v>37.937381</v>
      </c>
      <c r="R6727" t="str">
        <f>"23.707148"</f>
        <v>23.707148</v>
      </c>
      <c r="S6727" t="s">
        <v>26</v>
      </c>
    </row>
    <row r="6728" spans="1:19" x14ac:dyDescent="0.3">
      <c r="A6728" t="s">
        <v>3237</v>
      </c>
      <c r="B6728" t="s">
        <v>5562</v>
      </c>
      <c r="C6728" t="s">
        <v>5608</v>
      </c>
      <c r="D6728" t="s">
        <v>3256</v>
      </c>
      <c r="E6728" t="s">
        <v>5586</v>
      </c>
      <c r="F6728" t="s">
        <v>5586</v>
      </c>
      <c r="G6728" t="s">
        <v>5586</v>
      </c>
      <c r="H6728" t="s">
        <v>78</v>
      </c>
      <c r="I6728" t="s">
        <v>79</v>
      </c>
      <c r="J6728" t="str">
        <f>"0540845"</f>
        <v>0540845</v>
      </c>
      <c r="K6728">
        <v>2109310340</v>
      </c>
      <c r="L6728">
        <v>2109310340</v>
      </c>
      <c r="M6728" t="s">
        <v>5609</v>
      </c>
      <c r="N6728" t="s">
        <v>3260</v>
      </c>
      <c r="O6728" t="s">
        <v>5594</v>
      </c>
      <c r="P6728">
        <v>17122</v>
      </c>
      <c r="Q6728" t="str">
        <f>"37.937584"</f>
        <v>37.937584</v>
      </c>
      <c r="R6728" t="str">
        <f>"23.706848"</f>
        <v>23.706848</v>
      </c>
      <c r="S6728" t="s">
        <v>26</v>
      </c>
    </row>
    <row r="6729" spans="1:19" x14ac:dyDescent="0.3">
      <c r="A6729" t="s">
        <v>3237</v>
      </c>
      <c r="B6729" t="s">
        <v>5562</v>
      </c>
      <c r="C6729" t="s">
        <v>5642</v>
      </c>
      <c r="D6729" t="s">
        <v>3256</v>
      </c>
      <c r="E6729" t="s">
        <v>4017</v>
      </c>
      <c r="F6729" t="s">
        <v>4017</v>
      </c>
      <c r="G6729" t="s">
        <v>4017</v>
      </c>
      <c r="H6729" t="s">
        <v>78</v>
      </c>
      <c r="I6729" t="s">
        <v>79</v>
      </c>
      <c r="J6729" t="str">
        <f>"0540795"</f>
        <v>0540795</v>
      </c>
      <c r="K6729">
        <v>2109633475</v>
      </c>
      <c r="L6729">
        <v>2109629121</v>
      </c>
      <c r="M6729" t="s">
        <v>5643</v>
      </c>
      <c r="N6729" t="s">
        <v>5578</v>
      </c>
      <c r="O6729" t="s">
        <v>5644</v>
      </c>
      <c r="P6729">
        <v>16674</v>
      </c>
      <c r="Q6729" t="str">
        <f>"37.869822"</f>
        <v>37.869822</v>
      </c>
      <c r="R6729" t="str">
        <f>"23.764314"</f>
        <v>23.764314</v>
      </c>
      <c r="S6729" t="s">
        <v>26</v>
      </c>
    </row>
    <row r="6730" spans="1:19" x14ac:dyDescent="0.3">
      <c r="A6730" t="s">
        <v>3237</v>
      </c>
      <c r="B6730" t="s">
        <v>5562</v>
      </c>
      <c r="C6730" t="s">
        <v>5658</v>
      </c>
      <c r="D6730" t="s">
        <v>3256</v>
      </c>
      <c r="E6730" t="s">
        <v>5656</v>
      </c>
      <c r="F6730" t="s">
        <v>5657</v>
      </c>
      <c r="G6730" t="s">
        <v>5657</v>
      </c>
      <c r="H6730" t="s">
        <v>78</v>
      </c>
      <c r="I6730" t="s">
        <v>132</v>
      </c>
      <c r="J6730" t="str">
        <f>"0540240"</f>
        <v>0540240</v>
      </c>
      <c r="K6730">
        <v>2103464920</v>
      </c>
      <c r="L6730">
        <v>2103464920</v>
      </c>
      <c r="M6730" t="s">
        <v>5659</v>
      </c>
      <c r="N6730" t="s">
        <v>5660</v>
      </c>
      <c r="O6730" t="s">
        <v>5661</v>
      </c>
      <c r="P6730">
        <v>17778</v>
      </c>
      <c r="Q6730" t="str">
        <f>"37.970055"</f>
        <v>37.970055</v>
      </c>
      <c r="R6730" t="str">
        <f>"23.694864"</f>
        <v>23.694864</v>
      </c>
      <c r="S6730" t="s">
        <v>26</v>
      </c>
    </row>
    <row r="6731" spans="1:19" x14ac:dyDescent="0.3">
      <c r="A6731" t="s">
        <v>3237</v>
      </c>
      <c r="B6731" t="s">
        <v>5562</v>
      </c>
      <c r="C6731" t="s">
        <v>5742</v>
      </c>
      <c r="D6731" t="s">
        <v>3256</v>
      </c>
      <c r="E6731" t="s">
        <v>5656</v>
      </c>
      <c r="F6731" t="s">
        <v>5657</v>
      </c>
      <c r="G6731" t="s">
        <v>5657</v>
      </c>
      <c r="H6731" t="s">
        <v>78</v>
      </c>
      <c r="I6731" t="s">
        <v>79</v>
      </c>
      <c r="J6731" t="str">
        <f>"0550251"</f>
        <v>0550251</v>
      </c>
      <c r="K6731">
        <v>2103416791</v>
      </c>
      <c r="L6731">
        <v>2103416791</v>
      </c>
      <c r="M6731" t="s">
        <v>5743</v>
      </c>
      <c r="N6731" t="s">
        <v>5660</v>
      </c>
      <c r="O6731" t="s">
        <v>5661</v>
      </c>
      <c r="P6731">
        <v>17778</v>
      </c>
      <c r="Q6731" t="str">
        <f>"37.970166"</f>
        <v>37.970166</v>
      </c>
      <c r="R6731" t="str">
        <f>"23.694977"</f>
        <v>23.694977</v>
      </c>
      <c r="S6731" t="s">
        <v>26</v>
      </c>
    </row>
    <row r="6732" spans="1:19" x14ac:dyDescent="0.3">
      <c r="A6732" t="s">
        <v>3237</v>
      </c>
      <c r="B6732" t="s">
        <v>5562</v>
      </c>
      <c r="C6732" t="s">
        <v>5815</v>
      </c>
      <c r="D6732" t="s">
        <v>3256</v>
      </c>
      <c r="E6732" t="s">
        <v>5599</v>
      </c>
      <c r="F6732" t="s">
        <v>5726</v>
      </c>
      <c r="G6732" t="s">
        <v>5726</v>
      </c>
      <c r="H6732" t="s">
        <v>78</v>
      </c>
      <c r="I6732" t="s">
        <v>79</v>
      </c>
      <c r="J6732" t="str">
        <f>"0540885"</f>
        <v>0540885</v>
      </c>
      <c r="K6732">
        <v>2109647900</v>
      </c>
      <c r="L6732">
        <v>2109624874</v>
      </c>
      <c r="M6732" t="s">
        <v>5816</v>
      </c>
      <c r="N6732" t="s">
        <v>5817</v>
      </c>
      <c r="O6732" t="s">
        <v>5818</v>
      </c>
      <c r="P6732">
        <v>16777</v>
      </c>
      <c r="Q6732" t="str">
        <f>"37.891644"</f>
        <v>37.891644</v>
      </c>
      <c r="R6732" t="str">
        <f>"23.746884"</f>
        <v>23.746884</v>
      </c>
      <c r="S6732" t="s">
        <v>26</v>
      </c>
    </row>
    <row r="6733" spans="1:19" x14ac:dyDescent="0.3">
      <c r="A6733" t="s">
        <v>3237</v>
      </c>
      <c r="B6733" t="s">
        <v>5562</v>
      </c>
      <c r="C6733" t="s">
        <v>5848</v>
      </c>
      <c r="D6733" t="s">
        <v>3256</v>
      </c>
      <c r="E6733" t="s">
        <v>3295</v>
      </c>
      <c r="F6733" t="s">
        <v>3295</v>
      </c>
      <c r="G6733" t="s">
        <v>3295</v>
      </c>
      <c r="H6733" t="s">
        <v>78</v>
      </c>
      <c r="I6733" t="s">
        <v>132</v>
      </c>
      <c r="J6733" t="str">
        <f>"0550321"</f>
        <v>0550321</v>
      </c>
      <c r="K6733">
        <v>2109855031</v>
      </c>
      <c r="L6733">
        <v>2109844519</v>
      </c>
      <c r="M6733" t="s">
        <v>5849</v>
      </c>
      <c r="N6733" t="s">
        <v>3472</v>
      </c>
      <c r="O6733" t="s">
        <v>5850</v>
      </c>
      <c r="P6733">
        <v>17342</v>
      </c>
      <c r="Q6733" t="str">
        <f>"37.922764"</f>
        <v>37.922764</v>
      </c>
      <c r="R6733" t="str">
        <f>"23.728279"</f>
        <v>23.728279</v>
      </c>
      <c r="S6733" t="s">
        <v>26</v>
      </c>
    </row>
    <row r="6734" spans="1:19" x14ac:dyDescent="0.3">
      <c r="A6734" t="s">
        <v>3237</v>
      </c>
      <c r="B6734" t="s">
        <v>5562</v>
      </c>
      <c r="C6734" t="s">
        <v>5965</v>
      </c>
      <c r="D6734" t="s">
        <v>3256</v>
      </c>
      <c r="E6734" t="s">
        <v>5599</v>
      </c>
      <c r="F6734" t="s">
        <v>5600</v>
      </c>
      <c r="G6734" t="s">
        <v>5601</v>
      </c>
      <c r="H6734" t="s">
        <v>78</v>
      </c>
      <c r="I6734" t="s">
        <v>79</v>
      </c>
      <c r="J6734" t="str">
        <f>"0540280"</f>
        <v>0540280</v>
      </c>
      <c r="K6734">
        <v>2109635236</v>
      </c>
      <c r="L6734">
        <v>2109635959</v>
      </c>
      <c r="M6734" t="s">
        <v>5966</v>
      </c>
      <c r="N6734" t="s">
        <v>1038</v>
      </c>
      <c r="O6734" t="s">
        <v>5967</v>
      </c>
      <c r="P6734">
        <v>16452</v>
      </c>
      <c r="Q6734" t="str">
        <f>"37.896234"</f>
        <v>37.896234</v>
      </c>
      <c r="R6734" t="str">
        <f>"23.756964"</f>
        <v>23.756964</v>
      </c>
      <c r="S6734" t="s">
        <v>26</v>
      </c>
    </row>
    <row r="6735" spans="1:19" x14ac:dyDescent="0.3">
      <c r="A6735" t="s">
        <v>3237</v>
      </c>
      <c r="B6735" t="s">
        <v>5562</v>
      </c>
      <c r="C6735" t="s">
        <v>5968</v>
      </c>
      <c r="D6735" t="s">
        <v>3256</v>
      </c>
      <c r="E6735" t="s">
        <v>3257</v>
      </c>
      <c r="F6735" t="s">
        <v>3257</v>
      </c>
      <c r="G6735" t="s">
        <v>3257</v>
      </c>
      <c r="H6735" t="s">
        <v>78</v>
      </c>
      <c r="I6735" t="s">
        <v>79</v>
      </c>
      <c r="J6735" t="str">
        <f>"0540210"</f>
        <v>0540210</v>
      </c>
      <c r="K6735">
        <v>2109941322</v>
      </c>
      <c r="L6735">
        <v>2109940760</v>
      </c>
      <c r="M6735" t="s">
        <v>5969</v>
      </c>
      <c r="N6735" t="s">
        <v>3257</v>
      </c>
      <c r="O6735" t="s">
        <v>5970</v>
      </c>
      <c r="P6735">
        <v>17456</v>
      </c>
      <c r="Q6735" t="str">
        <f>"37.927609"</f>
        <v>37.927609</v>
      </c>
      <c r="R6735" t="str">
        <f>"23.742021"</f>
        <v>23.742021</v>
      </c>
      <c r="S6735" t="s">
        <v>26</v>
      </c>
    </row>
    <row r="6736" spans="1:19" x14ac:dyDescent="0.3">
      <c r="A6736" t="s">
        <v>3237</v>
      </c>
      <c r="B6736" t="s">
        <v>5562</v>
      </c>
      <c r="C6736" t="s">
        <v>5971</v>
      </c>
      <c r="D6736" t="s">
        <v>3256</v>
      </c>
      <c r="E6736" t="s">
        <v>3295</v>
      </c>
      <c r="F6736" t="s">
        <v>3295</v>
      </c>
      <c r="G6736" t="s">
        <v>3295</v>
      </c>
      <c r="H6736" t="s">
        <v>78</v>
      </c>
      <c r="I6736" t="s">
        <v>79</v>
      </c>
      <c r="J6736" t="str">
        <f>"0540211"</f>
        <v>0540211</v>
      </c>
      <c r="K6736">
        <v>2109884484</v>
      </c>
      <c r="L6736">
        <v>2109837516</v>
      </c>
      <c r="M6736" t="s">
        <v>5972</v>
      </c>
      <c r="N6736" t="s">
        <v>3472</v>
      </c>
      <c r="O6736" t="s">
        <v>5973</v>
      </c>
      <c r="P6736">
        <v>17342</v>
      </c>
      <c r="Q6736" t="str">
        <f>"37.922524"</f>
        <v>37.922524</v>
      </c>
      <c r="R6736" t="str">
        <f>"23.728763"</f>
        <v>23.728763</v>
      </c>
      <c r="S6736" t="s">
        <v>26</v>
      </c>
    </row>
    <row r="6737" spans="1:19" x14ac:dyDescent="0.3">
      <c r="A6737" t="s">
        <v>3237</v>
      </c>
      <c r="B6737" t="s">
        <v>5998</v>
      </c>
      <c r="C6737" t="s">
        <v>6029</v>
      </c>
      <c r="D6737" t="s">
        <v>3268</v>
      </c>
      <c r="E6737" t="s">
        <v>6028</v>
      </c>
      <c r="F6737" t="s">
        <v>6028</v>
      </c>
      <c r="G6737" t="s">
        <v>6028</v>
      </c>
      <c r="H6737" t="s">
        <v>78</v>
      </c>
      <c r="I6737" t="s">
        <v>79</v>
      </c>
      <c r="J6737" t="str">
        <f>"0540945"</f>
        <v>0540945</v>
      </c>
      <c r="K6737">
        <v>2105579908</v>
      </c>
      <c r="L6737">
        <v>2105579914</v>
      </c>
      <c r="M6737" t="s">
        <v>6030</v>
      </c>
      <c r="N6737" t="s">
        <v>6031</v>
      </c>
      <c r="O6737" t="s">
        <v>6032</v>
      </c>
      <c r="P6737">
        <v>19300</v>
      </c>
      <c r="Q6737" t="str">
        <f>"38.062406"</f>
        <v>38.062406</v>
      </c>
      <c r="R6737" t="str">
        <f>"23.586182"</f>
        <v>23.586182</v>
      </c>
      <c r="S6737" t="s">
        <v>26</v>
      </c>
    </row>
    <row r="6738" spans="1:19" x14ac:dyDescent="0.3">
      <c r="A6738" t="s">
        <v>3237</v>
      </c>
      <c r="B6738" t="s">
        <v>5998</v>
      </c>
      <c r="C6738" t="s">
        <v>6044</v>
      </c>
      <c r="D6738" t="s">
        <v>3268</v>
      </c>
      <c r="E6738" t="s">
        <v>6017</v>
      </c>
      <c r="F6738" t="s">
        <v>6017</v>
      </c>
      <c r="G6738" t="s">
        <v>6017</v>
      </c>
      <c r="H6738" t="s">
        <v>78</v>
      </c>
      <c r="I6738" t="s">
        <v>79</v>
      </c>
      <c r="J6738" t="str">
        <f>"0540940"</f>
        <v>0540940</v>
      </c>
      <c r="K6738">
        <v>2296022350</v>
      </c>
      <c r="L6738">
        <v>2296022390</v>
      </c>
      <c r="M6738" t="s">
        <v>6045</v>
      </c>
      <c r="N6738" t="s">
        <v>6046</v>
      </c>
      <c r="O6738" t="s">
        <v>6047</v>
      </c>
      <c r="P6738">
        <v>19100</v>
      </c>
      <c r="Q6738" t="str">
        <f>"37.997939"</f>
        <v>37.997939</v>
      </c>
      <c r="R6738" t="str">
        <f>"23.348328"</f>
        <v>23.348328</v>
      </c>
      <c r="S6738" t="s">
        <v>26</v>
      </c>
    </row>
    <row r="6739" spans="1:19" x14ac:dyDescent="0.3">
      <c r="A6739" t="s">
        <v>3237</v>
      </c>
      <c r="B6739" t="s">
        <v>5998</v>
      </c>
      <c r="C6739" t="s">
        <v>6069</v>
      </c>
      <c r="D6739" t="s">
        <v>3268</v>
      </c>
      <c r="E6739" t="s">
        <v>5999</v>
      </c>
      <c r="F6739" t="s">
        <v>5999</v>
      </c>
      <c r="G6739" t="s">
        <v>5999</v>
      </c>
      <c r="H6739" t="s">
        <v>78</v>
      </c>
      <c r="I6739" t="s">
        <v>79</v>
      </c>
      <c r="J6739" t="str">
        <f>"0540865"</f>
        <v>0540865</v>
      </c>
      <c r="K6739">
        <v>2102473009</v>
      </c>
      <c r="L6739">
        <v>2102484059</v>
      </c>
      <c r="M6739" t="s">
        <v>6070</v>
      </c>
      <c r="N6739" t="s">
        <v>6041</v>
      </c>
      <c r="O6739" t="s">
        <v>6071</v>
      </c>
      <c r="P6739">
        <v>13341</v>
      </c>
      <c r="Q6739" t="str">
        <f>"38.082121"</f>
        <v>38.082121</v>
      </c>
      <c r="R6739" t="str">
        <f>"23.690751"</f>
        <v>23.690751</v>
      </c>
      <c r="S6739" t="s">
        <v>26</v>
      </c>
    </row>
    <row r="6740" spans="1:19" x14ac:dyDescent="0.3">
      <c r="A6740" t="s">
        <v>3237</v>
      </c>
      <c r="B6740" t="s">
        <v>5998</v>
      </c>
      <c r="C6740" t="s">
        <v>6072</v>
      </c>
      <c r="D6740" t="s">
        <v>3268</v>
      </c>
      <c r="E6740" t="s">
        <v>3269</v>
      </c>
      <c r="F6740" t="s">
        <v>3270</v>
      </c>
      <c r="G6740" t="s">
        <v>3270</v>
      </c>
      <c r="H6740" t="s">
        <v>78</v>
      </c>
      <c r="I6740" t="s">
        <v>79</v>
      </c>
      <c r="J6740" t="str">
        <f>"0540401"</f>
        <v>0540401</v>
      </c>
      <c r="K6740">
        <v>2105561460</v>
      </c>
      <c r="L6740">
        <v>2105561956</v>
      </c>
      <c r="M6740" t="s">
        <v>6073</v>
      </c>
      <c r="N6740" t="s">
        <v>3269</v>
      </c>
      <c r="O6740" t="s">
        <v>6074</v>
      </c>
      <c r="P6740">
        <v>19200</v>
      </c>
      <c r="Q6740" t="str">
        <f>"38.048828"</f>
        <v>38.048828</v>
      </c>
      <c r="R6740" t="str">
        <f>"23.547130"</f>
        <v>23.547130</v>
      </c>
      <c r="S6740" t="s">
        <v>26</v>
      </c>
    </row>
    <row r="6741" spans="1:19" x14ac:dyDescent="0.3">
      <c r="A6741" t="s">
        <v>3237</v>
      </c>
      <c r="B6741" t="s">
        <v>5998</v>
      </c>
      <c r="C6741" t="s">
        <v>6131</v>
      </c>
      <c r="D6741" t="s">
        <v>3268</v>
      </c>
      <c r="E6741" t="s">
        <v>3269</v>
      </c>
      <c r="F6741" t="s">
        <v>3270</v>
      </c>
      <c r="G6741" t="s">
        <v>3270</v>
      </c>
      <c r="H6741" t="s">
        <v>78</v>
      </c>
      <c r="I6741" t="s">
        <v>79</v>
      </c>
      <c r="J6741" t="str">
        <f>"0550411"</f>
        <v>0550411</v>
      </c>
      <c r="K6741">
        <v>2105561693</v>
      </c>
      <c r="L6741">
        <v>2105543443</v>
      </c>
      <c r="M6741" t="s">
        <v>6132</v>
      </c>
      <c r="N6741" t="s">
        <v>3273</v>
      </c>
      <c r="O6741" t="s">
        <v>6074</v>
      </c>
      <c r="P6741">
        <v>19200</v>
      </c>
      <c r="Q6741" t="str">
        <f>"38.049530"</f>
        <v>38.049530</v>
      </c>
      <c r="R6741" t="str">
        <f>"23.547660"</f>
        <v>23.547660</v>
      </c>
      <c r="S6741" t="s">
        <v>26</v>
      </c>
    </row>
    <row r="6742" spans="1:19" x14ac:dyDescent="0.3">
      <c r="A6742" t="s">
        <v>3237</v>
      </c>
      <c r="B6742" t="s">
        <v>6192</v>
      </c>
      <c r="C6742" t="s">
        <v>6239</v>
      </c>
      <c r="D6742" t="s">
        <v>6222</v>
      </c>
      <c r="E6742" t="s">
        <v>6231</v>
      </c>
      <c r="F6742" t="s">
        <v>6238</v>
      </c>
      <c r="G6742" t="s">
        <v>6238</v>
      </c>
      <c r="H6742" t="s">
        <v>78</v>
      </c>
      <c r="I6742" t="s">
        <v>79</v>
      </c>
      <c r="J6742" t="str">
        <f>"0540850"</f>
        <v>0540850</v>
      </c>
      <c r="K6742">
        <v>2298042315</v>
      </c>
      <c r="L6742">
        <v>2298042315</v>
      </c>
      <c r="M6742" t="s">
        <v>6240</v>
      </c>
      <c r="N6742" t="s">
        <v>6241</v>
      </c>
      <c r="O6742" t="s">
        <v>6242</v>
      </c>
      <c r="P6742">
        <v>18020</v>
      </c>
      <c r="Q6742" t="str">
        <f>"37.497350"</f>
        <v>37.497350</v>
      </c>
      <c r="R6742" t="str">
        <f>"23.437457"</f>
        <v>23.437457</v>
      </c>
      <c r="S6742" t="s">
        <v>26</v>
      </c>
    </row>
    <row r="6743" spans="1:19" x14ac:dyDescent="0.3">
      <c r="A6743" t="s">
        <v>3237</v>
      </c>
      <c r="B6743" t="s">
        <v>6192</v>
      </c>
      <c r="C6743" t="s">
        <v>6257</v>
      </c>
      <c r="D6743" t="s">
        <v>3275</v>
      </c>
      <c r="E6743" t="s">
        <v>6212</v>
      </c>
      <c r="F6743" t="s">
        <v>6256</v>
      </c>
      <c r="G6743" t="s">
        <v>6256</v>
      </c>
      <c r="H6743" t="s">
        <v>78</v>
      </c>
      <c r="I6743" t="s">
        <v>79</v>
      </c>
      <c r="J6743" t="str">
        <f>"0552004"</f>
        <v>0552004</v>
      </c>
      <c r="K6743">
        <v>2104007044</v>
      </c>
      <c r="L6743">
        <v>2104007044</v>
      </c>
      <c r="M6743" t="s">
        <v>6258</v>
      </c>
      <c r="N6743" t="s">
        <v>6259</v>
      </c>
      <c r="O6743" t="s">
        <v>6260</v>
      </c>
      <c r="P6743">
        <v>18758</v>
      </c>
      <c r="Q6743" t="str">
        <f>"37.968392"</f>
        <v>37.968392</v>
      </c>
      <c r="R6743" t="str">
        <f>"23.610025"</f>
        <v>23.610025</v>
      </c>
      <c r="S6743" t="s">
        <v>26</v>
      </c>
    </row>
    <row r="6744" spans="1:19" x14ac:dyDescent="0.3">
      <c r="A6744" t="s">
        <v>3237</v>
      </c>
      <c r="B6744" t="s">
        <v>6192</v>
      </c>
      <c r="C6744" t="s">
        <v>6273</v>
      </c>
      <c r="D6744" t="s">
        <v>3275</v>
      </c>
      <c r="E6744" t="s">
        <v>6266</v>
      </c>
      <c r="F6744" t="s">
        <v>6267</v>
      </c>
      <c r="G6744" t="s">
        <v>6267</v>
      </c>
      <c r="H6744" t="s">
        <v>78</v>
      </c>
      <c r="I6744" t="s">
        <v>79</v>
      </c>
      <c r="J6744" t="str">
        <f>"0550912"</f>
        <v>0550912</v>
      </c>
      <c r="K6744">
        <v>2104811414</v>
      </c>
      <c r="L6744">
        <v>2104811414</v>
      </c>
      <c r="M6744" t="s">
        <v>6274</v>
      </c>
      <c r="N6744" t="s">
        <v>6275</v>
      </c>
      <c r="O6744" t="s">
        <v>6276</v>
      </c>
      <c r="P6744">
        <v>18233</v>
      </c>
      <c r="Q6744" t="str">
        <f>"37.957958"</f>
        <v>37.957958</v>
      </c>
      <c r="R6744" t="str">
        <f>"23.670525"</f>
        <v>23.670525</v>
      </c>
      <c r="S6744" t="s">
        <v>26</v>
      </c>
    </row>
    <row r="6745" spans="1:19" x14ac:dyDescent="0.3">
      <c r="A6745" t="s">
        <v>3237</v>
      </c>
      <c r="B6745" t="s">
        <v>6192</v>
      </c>
      <c r="C6745" t="s">
        <v>6281</v>
      </c>
      <c r="D6745" t="s">
        <v>6222</v>
      </c>
      <c r="E6745" t="s">
        <v>6280</v>
      </c>
      <c r="F6745" t="s">
        <v>6280</v>
      </c>
      <c r="G6745" t="s">
        <v>6280</v>
      </c>
      <c r="H6745" t="s">
        <v>78</v>
      </c>
      <c r="I6745" t="s">
        <v>79</v>
      </c>
      <c r="J6745" t="str">
        <f>"0540290"</f>
        <v>0540290</v>
      </c>
      <c r="K6745">
        <v>2297027519</v>
      </c>
      <c r="L6745">
        <v>2297027519</v>
      </c>
      <c r="M6745" t="s">
        <v>6282</v>
      </c>
      <c r="N6745" t="s">
        <v>6283</v>
      </c>
      <c r="O6745" t="s">
        <v>6284</v>
      </c>
      <c r="P6745">
        <v>18010</v>
      </c>
      <c r="Q6745" t="str">
        <f>"37.740983"</f>
        <v>37.740983</v>
      </c>
      <c r="R6745" t="str">
        <f>"23.434838"</f>
        <v>23.434838</v>
      </c>
      <c r="S6745" t="s">
        <v>26</v>
      </c>
    </row>
    <row r="6746" spans="1:19" x14ac:dyDescent="0.3">
      <c r="A6746" t="s">
        <v>3237</v>
      </c>
      <c r="B6746" t="s">
        <v>6192</v>
      </c>
      <c r="C6746" t="s">
        <v>6295</v>
      </c>
      <c r="D6746" t="s">
        <v>3275</v>
      </c>
      <c r="E6746" t="s">
        <v>6212</v>
      </c>
      <c r="F6746" t="s">
        <v>6213</v>
      </c>
      <c r="G6746" t="s">
        <v>6213</v>
      </c>
      <c r="H6746" t="s">
        <v>78</v>
      </c>
      <c r="I6746" t="s">
        <v>132</v>
      </c>
      <c r="J6746" t="str">
        <f>"0550930"</f>
        <v>0550930</v>
      </c>
      <c r="K6746">
        <v>2104318877</v>
      </c>
      <c r="L6746">
        <v>2104318877</v>
      </c>
      <c r="M6746" t="s">
        <v>6296</v>
      </c>
      <c r="N6746" t="s">
        <v>6216</v>
      </c>
      <c r="O6746" t="s">
        <v>6297</v>
      </c>
      <c r="P6746">
        <v>18648</v>
      </c>
      <c r="Q6746" t="str">
        <f>"37.950619"</f>
        <v>37.950619</v>
      </c>
      <c r="R6746" t="str">
        <f>"23.619950"</f>
        <v>23.619950</v>
      </c>
      <c r="S6746" t="s">
        <v>26</v>
      </c>
    </row>
    <row r="6747" spans="1:19" x14ac:dyDescent="0.3">
      <c r="A6747" t="s">
        <v>3237</v>
      </c>
      <c r="B6747" t="s">
        <v>6192</v>
      </c>
      <c r="C6747" t="s">
        <v>6312</v>
      </c>
      <c r="D6747" t="s">
        <v>3275</v>
      </c>
      <c r="E6747" t="s">
        <v>3275</v>
      </c>
      <c r="F6747" t="s">
        <v>3275</v>
      </c>
      <c r="G6747" t="s">
        <v>6193</v>
      </c>
      <c r="H6747" t="s">
        <v>78</v>
      </c>
      <c r="I6747" t="s">
        <v>132</v>
      </c>
      <c r="J6747" t="str">
        <f>"0550990"</f>
        <v>0550990</v>
      </c>
      <c r="K6747">
        <v>2104610024</v>
      </c>
      <c r="L6747">
        <v>2104610024</v>
      </c>
      <c r="M6747" t="s">
        <v>6313</v>
      </c>
      <c r="N6747" t="s">
        <v>3279</v>
      </c>
      <c r="O6747" t="s">
        <v>6314</v>
      </c>
      <c r="P6747">
        <v>18545</v>
      </c>
      <c r="Q6747" t="str">
        <f>"37.953846"</f>
        <v>37.953846</v>
      </c>
      <c r="R6747" t="str">
        <f>"23.640870"</f>
        <v>23.640870</v>
      </c>
      <c r="S6747" t="s">
        <v>26</v>
      </c>
    </row>
    <row r="6748" spans="1:19" x14ac:dyDescent="0.3">
      <c r="A6748" t="s">
        <v>3237</v>
      </c>
      <c r="B6748" t="s">
        <v>6192</v>
      </c>
      <c r="C6748" t="s">
        <v>6387</v>
      </c>
      <c r="D6748" t="s">
        <v>6222</v>
      </c>
      <c r="E6748" t="s">
        <v>6223</v>
      </c>
      <c r="F6748" t="s">
        <v>6229</v>
      </c>
      <c r="G6748" t="s">
        <v>6223</v>
      </c>
      <c r="H6748" t="s">
        <v>78</v>
      </c>
      <c r="I6748" t="s">
        <v>79</v>
      </c>
      <c r="J6748" t="str">
        <f>"0540400"</f>
        <v>0540400</v>
      </c>
      <c r="K6748">
        <v>2104658444</v>
      </c>
      <c r="L6748">
        <v>2104658444</v>
      </c>
      <c r="M6748" t="s">
        <v>6388</v>
      </c>
      <c r="N6748" t="s">
        <v>6389</v>
      </c>
      <c r="O6748" t="s">
        <v>6380</v>
      </c>
      <c r="P6748">
        <v>18900</v>
      </c>
      <c r="Q6748" t="str">
        <f>"37.969344"</f>
        <v>37.969344</v>
      </c>
      <c r="R6748" t="str">
        <f>"23.501732"</f>
        <v>23.501732</v>
      </c>
      <c r="S6748" t="s">
        <v>26</v>
      </c>
    </row>
    <row r="6749" spans="1:19" x14ac:dyDescent="0.3">
      <c r="A6749" t="s">
        <v>3237</v>
      </c>
      <c r="B6749" t="s">
        <v>6192</v>
      </c>
      <c r="C6749" t="s">
        <v>6418</v>
      </c>
      <c r="D6749" t="s">
        <v>3275</v>
      </c>
      <c r="E6749" t="s">
        <v>3275</v>
      </c>
      <c r="F6749" t="s">
        <v>3275</v>
      </c>
      <c r="G6749" t="s">
        <v>6290</v>
      </c>
      <c r="H6749" t="s">
        <v>78</v>
      </c>
      <c r="I6749" t="s">
        <v>79</v>
      </c>
      <c r="J6749" t="str">
        <f>"0550891"</f>
        <v>0550891</v>
      </c>
      <c r="K6749">
        <v>2104178868</v>
      </c>
      <c r="L6749">
        <v>2104221085</v>
      </c>
      <c r="M6749" t="s">
        <v>6419</v>
      </c>
      <c r="N6749" t="s">
        <v>6200</v>
      </c>
      <c r="O6749" t="s">
        <v>6332</v>
      </c>
      <c r="P6749">
        <v>18531</v>
      </c>
      <c r="Q6749" t="str">
        <f>"37.947284"</f>
        <v>37.947284</v>
      </c>
      <c r="R6749" t="str">
        <f>"23.649481"</f>
        <v>23.649481</v>
      </c>
      <c r="S6749" t="s">
        <v>26</v>
      </c>
    </row>
    <row r="6750" spans="1:19" x14ac:dyDescent="0.3">
      <c r="A6750" t="s">
        <v>3237</v>
      </c>
      <c r="B6750" t="s">
        <v>6192</v>
      </c>
      <c r="C6750" t="s">
        <v>6438</v>
      </c>
      <c r="D6750" t="s">
        <v>3275</v>
      </c>
      <c r="E6750" t="s">
        <v>3303</v>
      </c>
      <c r="F6750" t="s">
        <v>3303</v>
      </c>
      <c r="G6750" t="s">
        <v>3303</v>
      </c>
      <c r="H6750" t="s">
        <v>78</v>
      </c>
      <c r="I6750" t="s">
        <v>79</v>
      </c>
      <c r="J6750" t="str">
        <f>"0540260"</f>
        <v>0540260</v>
      </c>
      <c r="K6750">
        <v>2104974600</v>
      </c>
      <c r="L6750">
        <v>2104946117</v>
      </c>
      <c r="M6750" t="s">
        <v>6439</v>
      </c>
      <c r="N6750" t="s">
        <v>6249</v>
      </c>
      <c r="O6750" t="s">
        <v>6440</v>
      </c>
      <c r="P6750">
        <v>18122</v>
      </c>
      <c r="Q6750" t="str">
        <f>"37.987140"</f>
        <v>37.987140</v>
      </c>
      <c r="R6750" t="str">
        <f>"23.642578"</f>
        <v>23.642578</v>
      </c>
      <c r="S6750" t="s">
        <v>26</v>
      </c>
    </row>
    <row r="6751" spans="1:19" x14ac:dyDescent="0.3">
      <c r="A6751" t="s">
        <v>3237</v>
      </c>
      <c r="B6751" t="s">
        <v>6192</v>
      </c>
      <c r="C6751" t="s">
        <v>6450</v>
      </c>
      <c r="D6751" t="s">
        <v>3275</v>
      </c>
      <c r="E6751" t="s">
        <v>3275</v>
      </c>
      <c r="F6751" t="s">
        <v>3275</v>
      </c>
      <c r="G6751" t="s">
        <v>6193</v>
      </c>
      <c r="H6751" t="s">
        <v>78</v>
      </c>
      <c r="I6751" t="s">
        <v>79</v>
      </c>
      <c r="J6751" t="str">
        <f>"0540900"</f>
        <v>0540900</v>
      </c>
      <c r="K6751">
        <v>2104910225</v>
      </c>
      <c r="L6751">
        <v>2104910225</v>
      </c>
      <c r="M6751" t="s">
        <v>6451</v>
      </c>
      <c r="N6751" t="s">
        <v>3279</v>
      </c>
      <c r="O6751" t="s">
        <v>6452</v>
      </c>
      <c r="P6751">
        <v>18545</v>
      </c>
      <c r="Q6751" t="str">
        <f>"37.953655"</f>
        <v>37.953655</v>
      </c>
      <c r="R6751" t="str">
        <f>"23.641104"</f>
        <v>23.641104</v>
      </c>
      <c r="S6751" t="s">
        <v>26</v>
      </c>
    </row>
    <row r="6752" spans="1:19" x14ac:dyDescent="0.3">
      <c r="A6752" t="s">
        <v>3237</v>
      </c>
      <c r="B6752" t="s">
        <v>6192</v>
      </c>
      <c r="C6752" t="s">
        <v>6453</v>
      </c>
      <c r="D6752" t="s">
        <v>3275</v>
      </c>
      <c r="E6752" t="s">
        <v>3275</v>
      </c>
      <c r="F6752" t="s">
        <v>3275</v>
      </c>
      <c r="G6752" t="s">
        <v>6261</v>
      </c>
      <c r="H6752" t="s">
        <v>78</v>
      </c>
      <c r="I6752" t="s">
        <v>79</v>
      </c>
      <c r="J6752" t="str">
        <f>"0540880"</f>
        <v>0540880</v>
      </c>
      <c r="K6752">
        <v>2104824277</v>
      </c>
      <c r="L6752">
        <v>2104824277</v>
      </c>
      <c r="M6752" t="s">
        <v>6454</v>
      </c>
      <c r="N6752" t="s">
        <v>6200</v>
      </c>
      <c r="O6752" t="s">
        <v>6455</v>
      </c>
      <c r="P6752">
        <v>18541</v>
      </c>
      <c r="Q6752" t="str">
        <f>"37.951870"</f>
        <v>37.951870</v>
      </c>
      <c r="R6752" t="str">
        <f>"23.663753"</f>
        <v>23.663753</v>
      </c>
      <c r="S6752" t="s">
        <v>26</v>
      </c>
    </row>
    <row r="6753" spans="1:19" x14ac:dyDescent="0.3">
      <c r="A6753" t="s">
        <v>3237</v>
      </c>
      <c r="B6753" t="s">
        <v>6192</v>
      </c>
      <c r="C6753" t="s">
        <v>6465</v>
      </c>
      <c r="D6753" t="s">
        <v>3275</v>
      </c>
      <c r="E6753" t="s">
        <v>6212</v>
      </c>
      <c r="F6753" t="s">
        <v>6213</v>
      </c>
      <c r="G6753" t="s">
        <v>6213</v>
      </c>
      <c r="H6753" t="s">
        <v>78</v>
      </c>
      <c r="I6753" t="s">
        <v>79</v>
      </c>
      <c r="J6753" t="str">
        <f>"0540920"</f>
        <v>0540920</v>
      </c>
      <c r="K6753">
        <v>2104320799</v>
      </c>
      <c r="L6753">
        <v>2104320799</v>
      </c>
      <c r="M6753" t="s">
        <v>6466</v>
      </c>
      <c r="N6753" t="s">
        <v>6216</v>
      </c>
      <c r="O6753" t="s">
        <v>6297</v>
      </c>
      <c r="P6753">
        <v>18648</v>
      </c>
      <c r="Q6753" t="str">
        <f>"37.950793"</f>
        <v>37.950793</v>
      </c>
      <c r="R6753" t="str">
        <f>"23.619595"</f>
        <v>23.619595</v>
      </c>
      <c r="S6753" t="s">
        <v>26</v>
      </c>
    </row>
    <row r="6754" spans="1:19" x14ac:dyDescent="0.3">
      <c r="A6754" t="s">
        <v>3237</v>
      </c>
      <c r="B6754" t="s">
        <v>6192</v>
      </c>
      <c r="C6754" t="s">
        <v>6467</v>
      </c>
      <c r="D6754" t="s">
        <v>3275</v>
      </c>
      <c r="E6754" t="s">
        <v>3275</v>
      </c>
      <c r="F6754" t="s">
        <v>3275</v>
      </c>
      <c r="G6754" t="s">
        <v>6261</v>
      </c>
      <c r="H6754" t="s">
        <v>78</v>
      </c>
      <c r="I6754" t="s">
        <v>132</v>
      </c>
      <c r="J6754" t="str">
        <f>"0540980"</f>
        <v>0540980</v>
      </c>
      <c r="K6754">
        <v>2104836820</v>
      </c>
      <c r="L6754">
        <v>2104823172</v>
      </c>
      <c r="M6754" t="s">
        <v>6468</v>
      </c>
      <c r="N6754" t="s">
        <v>3279</v>
      </c>
      <c r="O6754" t="s">
        <v>6469</v>
      </c>
      <c r="P6754">
        <v>18541</v>
      </c>
      <c r="Q6754" t="str">
        <f>"37.951702"</f>
        <v>37.951702</v>
      </c>
      <c r="R6754" t="str">
        <f>"23.663818"</f>
        <v>23.663818</v>
      </c>
      <c r="S6754" t="s">
        <v>26</v>
      </c>
    </row>
    <row r="6755" spans="1:19" x14ac:dyDescent="0.3">
      <c r="A6755" t="s">
        <v>3237</v>
      </c>
      <c r="B6755" t="s">
        <v>6192</v>
      </c>
      <c r="C6755" t="s">
        <v>6683</v>
      </c>
      <c r="D6755" t="s">
        <v>3275</v>
      </c>
      <c r="E6755" t="s">
        <v>6203</v>
      </c>
      <c r="F6755" t="s">
        <v>6203</v>
      </c>
      <c r="G6755" t="s">
        <v>6203</v>
      </c>
      <c r="H6755" t="s">
        <v>78</v>
      </c>
      <c r="I6755" t="s">
        <v>79</v>
      </c>
      <c r="J6755" t="str">
        <f>"0540921"</f>
        <v>0540921</v>
      </c>
      <c r="K6755">
        <v>2104010180</v>
      </c>
      <c r="L6755">
        <v>2104010162</v>
      </c>
      <c r="M6755" t="s">
        <v>6684</v>
      </c>
      <c r="N6755" t="s">
        <v>6203</v>
      </c>
      <c r="O6755" t="s">
        <v>6685</v>
      </c>
      <c r="P6755">
        <v>18863</v>
      </c>
      <c r="Q6755" t="str">
        <f>"37.962010"</f>
        <v>37.962010</v>
      </c>
      <c r="R6755" t="str">
        <f>"23.599525"</f>
        <v>23.599525</v>
      </c>
      <c r="S6755" t="s">
        <v>26</v>
      </c>
    </row>
    <row r="6756" spans="1:19" x14ac:dyDescent="0.3">
      <c r="A6756" t="s">
        <v>3237</v>
      </c>
      <c r="B6756" t="s">
        <v>6192</v>
      </c>
      <c r="C6756" t="s">
        <v>6689</v>
      </c>
      <c r="D6756" t="s">
        <v>3275</v>
      </c>
      <c r="E6756" t="s">
        <v>6266</v>
      </c>
      <c r="F6756" t="s">
        <v>5431</v>
      </c>
      <c r="G6756" t="s">
        <v>5431</v>
      </c>
      <c r="H6756" t="s">
        <v>78</v>
      </c>
      <c r="I6756" t="s">
        <v>79</v>
      </c>
      <c r="J6756" t="str">
        <f>"0540990"</f>
        <v>0540990</v>
      </c>
      <c r="K6756">
        <v>2104929037</v>
      </c>
      <c r="L6756">
        <v>2104256097</v>
      </c>
      <c r="M6756" t="s">
        <v>6690</v>
      </c>
      <c r="N6756" t="s">
        <v>6352</v>
      </c>
      <c r="O6756" t="s">
        <v>6444</v>
      </c>
      <c r="P6756">
        <v>18450</v>
      </c>
      <c r="Q6756" t="str">
        <f>"37.963666"</f>
        <v>37.963666</v>
      </c>
      <c r="R6756" t="str">
        <f>"23.644863"</f>
        <v>23.644863</v>
      </c>
      <c r="S6756" t="s">
        <v>26</v>
      </c>
    </row>
    <row r="6757" spans="1:19" x14ac:dyDescent="0.3">
      <c r="A6757" t="s">
        <v>3237</v>
      </c>
      <c r="B6757" t="s">
        <v>6192</v>
      </c>
      <c r="C6757" t="s">
        <v>6699</v>
      </c>
      <c r="D6757" t="s">
        <v>3275</v>
      </c>
      <c r="E6757" t="s">
        <v>3275</v>
      </c>
      <c r="F6757" t="s">
        <v>3275</v>
      </c>
      <c r="G6757" t="s">
        <v>6290</v>
      </c>
      <c r="H6757" t="s">
        <v>78</v>
      </c>
      <c r="I6757" t="s">
        <v>79</v>
      </c>
      <c r="J6757" t="str">
        <f>"0550915"</f>
        <v>0550915</v>
      </c>
      <c r="K6757">
        <v>2104126431</v>
      </c>
      <c r="L6757">
        <v>2104124973</v>
      </c>
      <c r="M6757" t="s">
        <v>6700</v>
      </c>
      <c r="N6757" t="s">
        <v>3279</v>
      </c>
      <c r="O6757" t="s">
        <v>6701</v>
      </c>
      <c r="P6757">
        <v>18533</v>
      </c>
      <c r="Q6757" t="str">
        <f>"37.946547"</f>
        <v>37.946547</v>
      </c>
      <c r="R6757" t="str">
        <f>"23.656761"</f>
        <v>23.656761</v>
      </c>
      <c r="S6757" t="s">
        <v>26</v>
      </c>
    </row>
    <row r="6758" spans="1:19" x14ac:dyDescent="0.3">
      <c r="A6758" t="s">
        <v>3237</v>
      </c>
      <c r="B6758" t="s">
        <v>6192</v>
      </c>
      <c r="C6758" t="s">
        <v>6726</v>
      </c>
      <c r="D6758" t="s">
        <v>6222</v>
      </c>
      <c r="E6758" t="s">
        <v>6223</v>
      </c>
      <c r="F6758" t="s">
        <v>6229</v>
      </c>
      <c r="G6758" t="s">
        <v>6223</v>
      </c>
      <c r="H6758" t="s">
        <v>78</v>
      </c>
      <c r="I6758" t="s">
        <v>132</v>
      </c>
      <c r="J6758" t="str">
        <f>"0553002"</f>
        <v>0553002</v>
      </c>
      <c r="K6758">
        <v>2104651239</v>
      </c>
      <c r="L6758">
        <v>2104651239</v>
      </c>
      <c r="M6758" t="s">
        <v>6727</v>
      </c>
      <c r="N6758" t="s">
        <v>6389</v>
      </c>
      <c r="O6758" t="s">
        <v>6380</v>
      </c>
      <c r="P6758">
        <v>18900</v>
      </c>
      <c r="Q6758" t="str">
        <f>"37.969249"</f>
        <v>37.969249</v>
      </c>
      <c r="R6758" t="str">
        <f>"23.501161"</f>
        <v>23.501161</v>
      </c>
      <c r="S6758" t="s">
        <v>26</v>
      </c>
    </row>
    <row r="6759" spans="1:19" x14ac:dyDescent="0.3">
      <c r="A6759" t="s">
        <v>3237</v>
      </c>
      <c r="B6759" t="s">
        <v>6192</v>
      </c>
      <c r="C6759" t="s">
        <v>6728</v>
      </c>
      <c r="D6759" t="s">
        <v>3275</v>
      </c>
      <c r="E6759" t="s">
        <v>3275</v>
      </c>
      <c r="F6759" t="s">
        <v>3275</v>
      </c>
      <c r="G6759" t="s">
        <v>6193</v>
      </c>
      <c r="H6759" t="s">
        <v>78</v>
      </c>
      <c r="I6759" t="s">
        <v>79</v>
      </c>
      <c r="J6759" t="str">
        <f>"0552003"</f>
        <v>0552003</v>
      </c>
      <c r="K6759">
        <v>2104612516</v>
      </c>
      <c r="L6759">
        <v>2104612579</v>
      </c>
      <c r="M6759" t="s">
        <v>6729</v>
      </c>
      <c r="N6759" t="s">
        <v>3279</v>
      </c>
      <c r="O6759" t="s">
        <v>6730</v>
      </c>
      <c r="P6759">
        <v>18546</v>
      </c>
      <c r="Q6759" t="str">
        <f>"37.963268"</f>
        <v>37.963268</v>
      </c>
      <c r="R6759" t="str">
        <f>"23.628904"</f>
        <v>23.628904</v>
      </c>
      <c r="S6759" t="s">
        <v>26</v>
      </c>
    </row>
    <row r="6760" spans="1:19" x14ac:dyDescent="0.3">
      <c r="A6760" t="s">
        <v>12435</v>
      </c>
      <c r="B6760" t="s">
        <v>12460</v>
      </c>
      <c r="C6760" t="s">
        <v>12502</v>
      </c>
      <c r="D6760" t="s">
        <v>12436</v>
      </c>
      <c r="E6760" t="s">
        <v>12437</v>
      </c>
      <c r="F6760" t="s">
        <v>12500</v>
      </c>
      <c r="G6760" t="s">
        <v>12501</v>
      </c>
      <c r="H6760" t="s">
        <v>78</v>
      </c>
      <c r="I6760" t="s">
        <v>79</v>
      </c>
      <c r="J6760" t="str">
        <f>"3340062"</f>
        <v>3340062</v>
      </c>
      <c r="K6760">
        <v>2251084323</v>
      </c>
      <c r="L6760">
        <v>2251084323</v>
      </c>
      <c r="M6760" t="s">
        <v>12503</v>
      </c>
      <c r="N6760" t="s">
        <v>12500</v>
      </c>
      <c r="O6760" t="s">
        <v>12504</v>
      </c>
      <c r="P6760">
        <v>81106</v>
      </c>
      <c r="Q6760" t="str">
        <f>"39.040360"</f>
        <v>39.040360</v>
      </c>
      <c r="R6760" t="str">
        <f>"26.454861"</f>
        <v>26.454861</v>
      </c>
      <c r="S6760" t="s">
        <v>26</v>
      </c>
    </row>
    <row r="6761" spans="1:19" x14ac:dyDescent="0.3">
      <c r="A6761" t="s">
        <v>12435</v>
      </c>
      <c r="B6761" t="s">
        <v>12460</v>
      </c>
      <c r="C6761" t="s">
        <v>12516</v>
      </c>
      <c r="D6761" t="s">
        <v>12436</v>
      </c>
      <c r="E6761" t="s">
        <v>12437</v>
      </c>
      <c r="F6761" t="s">
        <v>12515</v>
      </c>
      <c r="G6761" t="s">
        <v>12515</v>
      </c>
      <c r="H6761" t="s">
        <v>78</v>
      </c>
      <c r="I6761" t="s">
        <v>79</v>
      </c>
      <c r="J6761" t="str">
        <f>"3340063"</f>
        <v>3340063</v>
      </c>
      <c r="K6761">
        <v>2252032284</v>
      </c>
      <c r="L6761">
        <v>2252032284</v>
      </c>
      <c r="M6761" t="s">
        <v>12517</v>
      </c>
      <c r="N6761" t="s">
        <v>12518</v>
      </c>
      <c r="O6761" t="s">
        <v>12518</v>
      </c>
      <c r="P6761">
        <v>81200</v>
      </c>
      <c r="Q6761" t="str">
        <f>"38.977499"</f>
        <v>38.977499</v>
      </c>
      <c r="R6761" t="str">
        <f>"26.369417"</f>
        <v>26.369417</v>
      </c>
      <c r="S6761" t="s">
        <v>26</v>
      </c>
    </row>
    <row r="6762" spans="1:19" x14ac:dyDescent="0.3">
      <c r="A6762" t="s">
        <v>12435</v>
      </c>
      <c r="B6762" t="s">
        <v>12460</v>
      </c>
      <c r="C6762" t="s">
        <v>12520</v>
      </c>
      <c r="D6762" t="s">
        <v>12436</v>
      </c>
      <c r="E6762" t="s">
        <v>12437</v>
      </c>
      <c r="F6762" t="s">
        <v>12437</v>
      </c>
      <c r="G6762" t="s">
        <v>12437</v>
      </c>
      <c r="H6762" t="s">
        <v>78</v>
      </c>
      <c r="I6762" t="s">
        <v>132</v>
      </c>
      <c r="J6762" t="str">
        <f>"3350055"</f>
        <v>3350055</v>
      </c>
      <c r="K6762">
        <v>2251047721</v>
      </c>
      <c r="L6762">
        <v>2251047721</v>
      </c>
      <c r="M6762" t="s">
        <v>12521</v>
      </c>
      <c r="N6762" t="s">
        <v>12440</v>
      </c>
      <c r="O6762" t="s">
        <v>12522</v>
      </c>
      <c r="P6762">
        <v>81100</v>
      </c>
      <c r="Q6762" t="str">
        <f>"39.097547"</f>
        <v>39.097547</v>
      </c>
      <c r="R6762" t="str">
        <f>"26.546188"</f>
        <v>26.546188</v>
      </c>
      <c r="S6762" t="s">
        <v>26</v>
      </c>
    </row>
    <row r="6763" spans="1:19" x14ac:dyDescent="0.3">
      <c r="A6763" t="s">
        <v>12435</v>
      </c>
      <c r="B6763" t="s">
        <v>12460</v>
      </c>
      <c r="C6763" t="s">
        <v>12533</v>
      </c>
      <c r="D6763" t="s">
        <v>12436</v>
      </c>
      <c r="E6763" t="s">
        <v>12465</v>
      </c>
      <c r="F6763" t="s">
        <v>11983</v>
      </c>
      <c r="G6763" t="s">
        <v>11983</v>
      </c>
      <c r="H6763" t="s">
        <v>78</v>
      </c>
      <c r="I6763" t="s">
        <v>79</v>
      </c>
      <c r="J6763" t="str">
        <f>"3340041"</f>
        <v>3340041</v>
      </c>
      <c r="K6763">
        <v>2253029070</v>
      </c>
      <c r="L6763">
        <v>2253022239</v>
      </c>
      <c r="M6763" t="s">
        <v>12534</v>
      </c>
      <c r="N6763" t="s">
        <v>12535</v>
      </c>
      <c r="O6763" t="s">
        <v>12536</v>
      </c>
      <c r="P6763">
        <v>81107</v>
      </c>
      <c r="Q6763" t="str">
        <f>"39.236118"</f>
        <v>39.236118</v>
      </c>
      <c r="R6763" t="str">
        <f>"26.205299"</f>
        <v>26.205299</v>
      </c>
      <c r="S6763" t="s">
        <v>26</v>
      </c>
    </row>
    <row r="6764" spans="1:19" x14ac:dyDescent="0.3">
      <c r="A6764" t="s">
        <v>12435</v>
      </c>
      <c r="B6764" t="s">
        <v>12460</v>
      </c>
      <c r="C6764" t="s">
        <v>12557</v>
      </c>
      <c r="D6764" t="s">
        <v>12453</v>
      </c>
      <c r="E6764" t="s">
        <v>12453</v>
      </c>
      <c r="F6764" t="s">
        <v>12523</v>
      </c>
      <c r="G6764" t="s">
        <v>12523</v>
      </c>
      <c r="H6764" t="s">
        <v>78</v>
      </c>
      <c r="I6764" t="s">
        <v>79</v>
      </c>
      <c r="J6764" t="str">
        <f>"3340061"</f>
        <v>3340061</v>
      </c>
      <c r="K6764">
        <v>2254071351</v>
      </c>
      <c r="L6764">
        <v>2254071740</v>
      </c>
      <c r="M6764" t="s">
        <v>12558</v>
      </c>
      <c r="N6764" t="s">
        <v>12559</v>
      </c>
      <c r="O6764" t="s">
        <v>12560</v>
      </c>
      <c r="P6764">
        <v>81401</v>
      </c>
      <c r="Q6764" t="str">
        <f>"39.873782"</f>
        <v>39.873782</v>
      </c>
      <c r="R6764" t="str">
        <f>"25.274744"</f>
        <v>25.274744</v>
      </c>
      <c r="S6764" t="s">
        <v>57</v>
      </c>
    </row>
    <row r="6765" spans="1:19" x14ac:dyDescent="0.3">
      <c r="A6765" t="s">
        <v>12435</v>
      </c>
      <c r="B6765" t="s">
        <v>12460</v>
      </c>
      <c r="C6765" t="s">
        <v>12561</v>
      </c>
      <c r="D6765" t="s">
        <v>12453</v>
      </c>
      <c r="E6765" t="s">
        <v>12453</v>
      </c>
      <c r="F6765" t="s">
        <v>12454</v>
      </c>
      <c r="G6765" t="s">
        <v>12455</v>
      </c>
      <c r="H6765" t="s">
        <v>78</v>
      </c>
      <c r="I6765" t="s">
        <v>79</v>
      </c>
      <c r="J6765" t="str">
        <f>"3340060"</f>
        <v>3340060</v>
      </c>
      <c r="K6765">
        <v>2254023212</v>
      </c>
      <c r="L6765">
        <v>2254023212</v>
      </c>
      <c r="M6765" t="s">
        <v>12562</v>
      </c>
      <c r="N6765" t="s">
        <v>12563</v>
      </c>
      <c r="O6765" t="s">
        <v>12483</v>
      </c>
      <c r="P6765">
        <v>81400</v>
      </c>
      <c r="Q6765" t="str">
        <f>"39.877461"</f>
        <v>39.877461</v>
      </c>
      <c r="R6765" t="str">
        <f>"25.063938"</f>
        <v>25.063938</v>
      </c>
      <c r="S6765" t="s">
        <v>57</v>
      </c>
    </row>
    <row r="6766" spans="1:19" x14ac:dyDescent="0.3">
      <c r="A6766" t="s">
        <v>12435</v>
      </c>
      <c r="B6766" t="s">
        <v>12460</v>
      </c>
      <c r="C6766" t="s">
        <v>12671</v>
      </c>
      <c r="D6766" t="s">
        <v>12436</v>
      </c>
      <c r="E6766" t="s">
        <v>12437</v>
      </c>
      <c r="F6766" t="s">
        <v>12437</v>
      </c>
      <c r="G6766" t="s">
        <v>12437</v>
      </c>
      <c r="H6766" t="s">
        <v>78</v>
      </c>
      <c r="I6766" t="s">
        <v>79</v>
      </c>
      <c r="J6766" t="str">
        <f>"3340045"</f>
        <v>3340045</v>
      </c>
      <c r="K6766">
        <v>2251022455</v>
      </c>
      <c r="L6766">
        <v>2251046723</v>
      </c>
      <c r="M6766" t="s">
        <v>12672</v>
      </c>
      <c r="N6766" t="s">
        <v>12440</v>
      </c>
      <c r="O6766" t="s">
        <v>12522</v>
      </c>
      <c r="P6766">
        <v>81132</v>
      </c>
      <c r="Q6766" t="str">
        <f>"39.098072"</f>
        <v>39.098072</v>
      </c>
      <c r="R6766" t="str">
        <f>"26.546083"</f>
        <v>26.546083</v>
      </c>
      <c r="S6766" t="s">
        <v>26</v>
      </c>
    </row>
    <row r="6767" spans="1:19" x14ac:dyDescent="0.3">
      <c r="A6767" t="s">
        <v>12435</v>
      </c>
      <c r="B6767" t="s">
        <v>12460</v>
      </c>
      <c r="C6767" t="s">
        <v>12686</v>
      </c>
      <c r="D6767" t="s">
        <v>12436</v>
      </c>
      <c r="E6767" t="s">
        <v>12437</v>
      </c>
      <c r="F6767" t="s">
        <v>12437</v>
      </c>
      <c r="G6767" t="s">
        <v>12437</v>
      </c>
      <c r="H6767" t="s">
        <v>78</v>
      </c>
      <c r="I6767" t="s">
        <v>79</v>
      </c>
      <c r="J6767" t="str">
        <f>"3340040"</f>
        <v>3340040</v>
      </c>
      <c r="K6767">
        <v>2251025982</v>
      </c>
      <c r="L6767">
        <v>2251023672</v>
      </c>
      <c r="M6767" t="s">
        <v>12687</v>
      </c>
      <c r="N6767" t="s">
        <v>12440</v>
      </c>
      <c r="O6767" t="s">
        <v>12522</v>
      </c>
      <c r="P6767">
        <v>81132</v>
      </c>
      <c r="Q6767" t="str">
        <f>"39.097664"</f>
        <v>39.097664</v>
      </c>
      <c r="R6767" t="str">
        <f>"26.546263"</f>
        <v>26.546263</v>
      </c>
      <c r="S6767" t="s">
        <v>26</v>
      </c>
    </row>
    <row r="6768" spans="1:19" x14ac:dyDescent="0.3">
      <c r="A6768" t="s">
        <v>12435</v>
      </c>
      <c r="B6768" t="s">
        <v>12460</v>
      </c>
      <c r="C6768" t="s">
        <v>12696</v>
      </c>
      <c r="D6768" t="s">
        <v>12436</v>
      </c>
      <c r="E6768" t="s">
        <v>12465</v>
      </c>
      <c r="F6768" t="s">
        <v>11983</v>
      </c>
      <c r="G6768" t="s">
        <v>11983</v>
      </c>
      <c r="H6768" t="s">
        <v>78</v>
      </c>
      <c r="I6768" t="s">
        <v>132</v>
      </c>
      <c r="J6768" t="str">
        <f>"3342000"</f>
        <v>3342000</v>
      </c>
      <c r="K6768">
        <v>2253025237</v>
      </c>
      <c r="M6768" t="s">
        <v>12697</v>
      </c>
      <c r="N6768" t="s">
        <v>12536</v>
      </c>
      <c r="O6768" t="s">
        <v>12535</v>
      </c>
      <c r="P6768">
        <v>81107</v>
      </c>
      <c r="Q6768" t="str">
        <f>"39.236184"</f>
        <v>39.236184</v>
      </c>
      <c r="R6768" t="str">
        <f>"26.205385"</f>
        <v>26.205385</v>
      </c>
      <c r="S6768" t="s">
        <v>26</v>
      </c>
    </row>
    <row r="6769" spans="1:19" x14ac:dyDescent="0.3">
      <c r="A6769" t="s">
        <v>12435</v>
      </c>
      <c r="B6769" t="s">
        <v>12698</v>
      </c>
      <c r="C6769" t="s">
        <v>12737</v>
      </c>
      <c r="D6769" t="s">
        <v>12442</v>
      </c>
      <c r="E6769" t="s">
        <v>12720</v>
      </c>
      <c r="F6769" t="s">
        <v>12736</v>
      </c>
      <c r="G6769" t="s">
        <v>12736</v>
      </c>
      <c r="H6769" t="s">
        <v>78</v>
      </c>
      <c r="I6769" t="s">
        <v>79</v>
      </c>
      <c r="J6769" t="str">
        <f>"4340035"</f>
        <v>4340035</v>
      </c>
      <c r="K6769">
        <v>2273035690</v>
      </c>
      <c r="L6769">
        <v>2273035690</v>
      </c>
      <c r="M6769" t="s">
        <v>12738</v>
      </c>
      <c r="N6769" t="s">
        <v>12739</v>
      </c>
      <c r="O6769" t="s">
        <v>12740</v>
      </c>
      <c r="P6769">
        <v>83200</v>
      </c>
      <c r="Q6769" t="str">
        <f>"37.793318"</f>
        <v>37.793318</v>
      </c>
      <c r="R6769" t="str">
        <f>"26.708411"</f>
        <v>26.708411</v>
      </c>
      <c r="S6769" t="s">
        <v>26</v>
      </c>
    </row>
    <row r="6770" spans="1:19" x14ac:dyDescent="0.3">
      <c r="A6770" t="s">
        <v>12435</v>
      </c>
      <c r="B6770" t="s">
        <v>12698</v>
      </c>
      <c r="C6770" t="s">
        <v>12775</v>
      </c>
      <c r="D6770" t="s">
        <v>12699</v>
      </c>
      <c r="E6770" t="s">
        <v>12699</v>
      </c>
      <c r="F6770" t="s">
        <v>12747</v>
      </c>
      <c r="G6770" t="s">
        <v>12747</v>
      </c>
      <c r="H6770" t="s">
        <v>78</v>
      </c>
      <c r="I6770" t="s">
        <v>79</v>
      </c>
      <c r="J6770" t="str">
        <f>"4350045"</f>
        <v>4350045</v>
      </c>
      <c r="K6770">
        <v>2275061329</v>
      </c>
      <c r="L6770">
        <v>2275061329</v>
      </c>
      <c r="M6770" t="s">
        <v>12776</v>
      </c>
      <c r="N6770" t="s">
        <v>12752</v>
      </c>
      <c r="O6770" t="s">
        <v>12777</v>
      </c>
      <c r="P6770">
        <v>83302</v>
      </c>
      <c r="Q6770" t="str">
        <f>"37.624694"</f>
        <v>37.624694</v>
      </c>
      <c r="R6770" t="str">
        <f>"26.194376"</f>
        <v>26.194376</v>
      </c>
      <c r="S6770" t="s">
        <v>57</v>
      </c>
    </row>
    <row r="6771" spans="1:19" x14ac:dyDescent="0.3">
      <c r="A6771" t="s">
        <v>12435</v>
      </c>
      <c r="B6771" t="s">
        <v>12698</v>
      </c>
      <c r="C6771" t="s">
        <v>12782</v>
      </c>
      <c r="D6771" t="s">
        <v>12442</v>
      </c>
      <c r="E6771" t="s">
        <v>12443</v>
      </c>
      <c r="F6771" t="s">
        <v>12041</v>
      </c>
      <c r="G6771" t="s">
        <v>12727</v>
      </c>
      <c r="H6771" t="s">
        <v>78</v>
      </c>
      <c r="I6771" t="s">
        <v>79</v>
      </c>
      <c r="J6771" t="str">
        <f>"4350040"</f>
        <v>4350040</v>
      </c>
      <c r="K6771">
        <v>2273028477</v>
      </c>
      <c r="L6771">
        <v>2273028477</v>
      </c>
      <c r="M6771" t="s">
        <v>12783</v>
      </c>
      <c r="N6771" t="s">
        <v>12446</v>
      </c>
      <c r="O6771" t="s">
        <v>12784</v>
      </c>
      <c r="P6771">
        <v>83100</v>
      </c>
      <c r="Q6771" t="str">
        <f>"37.749443"</f>
        <v>37.749443</v>
      </c>
      <c r="R6771" t="str">
        <f>"26.978503"</f>
        <v>26.978503</v>
      </c>
      <c r="S6771" t="s">
        <v>26</v>
      </c>
    </row>
    <row r="6772" spans="1:19" x14ac:dyDescent="0.3">
      <c r="A6772" t="s">
        <v>12435</v>
      </c>
      <c r="B6772" t="s">
        <v>12698</v>
      </c>
      <c r="C6772" t="s">
        <v>12790</v>
      </c>
      <c r="D6772" t="s">
        <v>12442</v>
      </c>
      <c r="E6772" t="s">
        <v>12443</v>
      </c>
      <c r="F6772" t="s">
        <v>12041</v>
      </c>
      <c r="G6772" t="s">
        <v>12041</v>
      </c>
      <c r="H6772" t="s">
        <v>78</v>
      </c>
      <c r="I6772" t="s">
        <v>132</v>
      </c>
      <c r="J6772" t="str">
        <f>"4350065"</f>
        <v>4350065</v>
      </c>
      <c r="K6772">
        <v>2273028339</v>
      </c>
      <c r="L6772">
        <v>2273028339</v>
      </c>
      <c r="M6772" t="s">
        <v>12791</v>
      </c>
      <c r="N6772" t="s">
        <v>12792</v>
      </c>
      <c r="O6772" t="s">
        <v>12756</v>
      </c>
      <c r="P6772">
        <v>83100</v>
      </c>
      <c r="Q6772" t="str">
        <f>"37.749476"</f>
        <v>37.749476</v>
      </c>
      <c r="R6772" t="str">
        <f>"26.978530"</f>
        <v>26.978530</v>
      </c>
      <c r="S6772" t="s">
        <v>26</v>
      </c>
    </row>
    <row r="6773" spans="1:19" x14ac:dyDescent="0.3">
      <c r="A6773" t="s">
        <v>12435</v>
      </c>
      <c r="B6773" t="s">
        <v>12801</v>
      </c>
      <c r="C6773" t="s">
        <v>12817</v>
      </c>
      <c r="D6773" t="s">
        <v>12448</v>
      </c>
      <c r="E6773" t="s">
        <v>12816</v>
      </c>
      <c r="F6773" t="s">
        <v>12816</v>
      </c>
      <c r="G6773" t="s">
        <v>12816</v>
      </c>
      <c r="H6773" t="s">
        <v>78</v>
      </c>
      <c r="I6773" t="s">
        <v>79</v>
      </c>
      <c r="J6773" t="str">
        <f>"5140070"</f>
        <v>5140070</v>
      </c>
      <c r="K6773">
        <v>2271055205</v>
      </c>
      <c r="L6773">
        <v>2271055716</v>
      </c>
      <c r="M6773" t="s">
        <v>12818</v>
      </c>
      <c r="N6773" t="s">
        <v>12819</v>
      </c>
      <c r="O6773" t="s">
        <v>12820</v>
      </c>
      <c r="P6773">
        <v>82101</v>
      </c>
      <c r="Q6773" t="str">
        <f>"38.515485"</f>
        <v>38.515485</v>
      </c>
      <c r="R6773" t="str">
        <f>"26.215246"</f>
        <v>26.215246</v>
      </c>
      <c r="S6773" t="s">
        <v>57</v>
      </c>
    </row>
    <row r="6774" spans="1:19" x14ac:dyDescent="0.3">
      <c r="A6774" t="s">
        <v>12435</v>
      </c>
      <c r="B6774" t="s">
        <v>12801</v>
      </c>
      <c r="C6774" t="s">
        <v>12823</v>
      </c>
      <c r="D6774" t="s">
        <v>12448</v>
      </c>
      <c r="E6774" t="s">
        <v>12448</v>
      </c>
      <c r="F6774" t="s">
        <v>12822</v>
      </c>
      <c r="G6774" t="s">
        <v>12822</v>
      </c>
      <c r="H6774" t="s">
        <v>78</v>
      </c>
      <c r="I6774" t="s">
        <v>79</v>
      </c>
      <c r="J6774" t="str">
        <f>"5140060"</f>
        <v>5140060</v>
      </c>
      <c r="K6774">
        <v>2272081001</v>
      </c>
      <c r="L6774">
        <v>2272022881</v>
      </c>
      <c r="M6774" t="s">
        <v>12824</v>
      </c>
      <c r="N6774" t="s">
        <v>12822</v>
      </c>
      <c r="O6774" t="s">
        <v>12825</v>
      </c>
      <c r="P6774">
        <v>82300</v>
      </c>
      <c r="Q6774" t="str">
        <f>"38.540027"</f>
        <v>38.540027</v>
      </c>
      <c r="R6774" t="str">
        <f>"26.112146"</f>
        <v>26.112146</v>
      </c>
      <c r="S6774" t="s">
        <v>26</v>
      </c>
    </row>
    <row r="6775" spans="1:19" x14ac:dyDescent="0.3">
      <c r="A6775" t="s">
        <v>12435</v>
      </c>
      <c r="B6775" t="s">
        <v>12801</v>
      </c>
      <c r="C6775" t="s">
        <v>12829</v>
      </c>
      <c r="D6775" t="s">
        <v>12448</v>
      </c>
      <c r="E6775" t="s">
        <v>12448</v>
      </c>
      <c r="F6775" t="s">
        <v>12827</v>
      </c>
      <c r="G6775" t="s">
        <v>12828</v>
      </c>
      <c r="H6775" t="s">
        <v>78</v>
      </c>
      <c r="I6775" t="s">
        <v>79</v>
      </c>
      <c r="J6775" t="str">
        <f>"5140050"</f>
        <v>5140050</v>
      </c>
      <c r="K6775">
        <v>2271093043</v>
      </c>
      <c r="M6775" t="s">
        <v>12830</v>
      </c>
      <c r="N6775" t="s">
        <v>12831</v>
      </c>
      <c r="O6775" t="s">
        <v>12832</v>
      </c>
      <c r="P6775">
        <v>82200</v>
      </c>
      <c r="Q6775" t="str">
        <f>"38.405707"</f>
        <v>38.405707</v>
      </c>
      <c r="R6775" t="str">
        <f>"26.133589"</f>
        <v>26.133589</v>
      </c>
      <c r="S6775" t="s">
        <v>26</v>
      </c>
    </row>
    <row r="6776" spans="1:19" x14ac:dyDescent="0.3">
      <c r="A6776" t="s">
        <v>12435</v>
      </c>
      <c r="B6776" t="s">
        <v>12801</v>
      </c>
      <c r="C6776" t="s">
        <v>12835</v>
      </c>
      <c r="D6776" t="s">
        <v>12448</v>
      </c>
      <c r="E6776" t="s">
        <v>12448</v>
      </c>
      <c r="F6776" t="s">
        <v>12448</v>
      </c>
      <c r="G6776" t="s">
        <v>12448</v>
      </c>
      <c r="H6776" t="s">
        <v>78</v>
      </c>
      <c r="I6776" t="s">
        <v>79</v>
      </c>
      <c r="J6776" t="str">
        <f>"5140030"</f>
        <v>5140030</v>
      </c>
      <c r="K6776">
        <v>2271028822</v>
      </c>
      <c r="L6776">
        <v>2271028822</v>
      </c>
      <c r="M6776" t="s">
        <v>12836</v>
      </c>
      <c r="N6776" t="s">
        <v>12448</v>
      </c>
      <c r="O6776" t="s">
        <v>12833</v>
      </c>
      <c r="P6776">
        <v>82100</v>
      </c>
      <c r="Q6776" t="str">
        <f>"38.365789"</f>
        <v>38.365789</v>
      </c>
      <c r="R6776" t="str">
        <f>"26.139973"</f>
        <v>26.139973</v>
      </c>
      <c r="S6776" t="s">
        <v>26</v>
      </c>
    </row>
    <row r="6777" spans="1:19" x14ac:dyDescent="0.3">
      <c r="A6777" t="s">
        <v>12435</v>
      </c>
      <c r="B6777" t="s">
        <v>12801</v>
      </c>
      <c r="C6777" t="s">
        <v>12915</v>
      </c>
      <c r="D6777" t="s">
        <v>12448</v>
      </c>
      <c r="E6777" t="s">
        <v>12448</v>
      </c>
      <c r="F6777" t="s">
        <v>12448</v>
      </c>
      <c r="G6777" t="s">
        <v>12448</v>
      </c>
      <c r="H6777" t="s">
        <v>78</v>
      </c>
      <c r="I6777" t="s">
        <v>132</v>
      </c>
      <c r="J6777" t="str">
        <f>"5153001"</f>
        <v>5153001</v>
      </c>
      <c r="K6777">
        <v>2271022970</v>
      </c>
      <c r="L6777">
        <v>2271029566</v>
      </c>
      <c r="M6777" t="s">
        <v>12916</v>
      </c>
      <c r="N6777" t="s">
        <v>12451</v>
      </c>
      <c r="O6777" t="s">
        <v>12833</v>
      </c>
      <c r="P6777">
        <v>82132</v>
      </c>
      <c r="Q6777" t="str">
        <f>"38.365578"</f>
        <v>38.365578</v>
      </c>
      <c r="R6777" t="str">
        <f>"26.140102"</f>
        <v>26.140102</v>
      </c>
      <c r="S6777" t="s">
        <v>26</v>
      </c>
    </row>
    <row r="6778" spans="1:19" x14ac:dyDescent="0.3">
      <c r="A6778" t="s">
        <v>13791</v>
      </c>
      <c r="B6778" t="s">
        <v>13812</v>
      </c>
      <c r="C6778" t="s">
        <v>13839</v>
      </c>
      <c r="D6778" t="s">
        <v>13792</v>
      </c>
      <c r="E6778" t="s">
        <v>13836</v>
      </c>
      <c r="F6778" t="s">
        <v>13837</v>
      </c>
      <c r="G6778" t="s">
        <v>13838</v>
      </c>
      <c r="H6778" t="s">
        <v>78</v>
      </c>
      <c r="I6778" t="s">
        <v>79</v>
      </c>
      <c r="J6778" t="str">
        <f>"0140180"</f>
        <v>0140180</v>
      </c>
      <c r="K6778">
        <v>2643023011</v>
      </c>
      <c r="L6778">
        <v>2643023011</v>
      </c>
      <c r="M6778" t="s">
        <v>13840</v>
      </c>
      <c r="N6778" t="s">
        <v>13841</v>
      </c>
      <c r="O6778" t="s">
        <v>13842</v>
      </c>
      <c r="P6778">
        <v>30002</v>
      </c>
      <c r="Q6778" t="str">
        <f>"38.915206"</f>
        <v>38.915206</v>
      </c>
      <c r="R6778" t="str">
        <f>"20.885546"</f>
        <v>20.885546</v>
      </c>
      <c r="S6778" t="s">
        <v>26</v>
      </c>
    </row>
    <row r="6779" spans="1:19" x14ac:dyDescent="0.3">
      <c r="A6779" t="s">
        <v>13791</v>
      </c>
      <c r="B6779" t="s">
        <v>13812</v>
      </c>
      <c r="C6779" t="s">
        <v>13846</v>
      </c>
      <c r="D6779" t="s">
        <v>13792</v>
      </c>
      <c r="E6779" t="s">
        <v>13793</v>
      </c>
      <c r="F6779" t="s">
        <v>13828</v>
      </c>
      <c r="G6779" t="s">
        <v>13845</v>
      </c>
      <c r="H6779" t="s">
        <v>78</v>
      </c>
      <c r="I6779" t="s">
        <v>79</v>
      </c>
      <c r="J6779" t="str">
        <f>"0150152"</f>
        <v>0150152</v>
      </c>
      <c r="K6779">
        <v>2632092760</v>
      </c>
      <c r="L6779">
        <v>2632092760</v>
      </c>
      <c r="M6779" t="s">
        <v>13847</v>
      </c>
      <c r="N6779" t="s">
        <v>13848</v>
      </c>
      <c r="O6779" t="s">
        <v>13849</v>
      </c>
      <c r="P6779">
        <v>30007</v>
      </c>
      <c r="Q6779" t="str">
        <f>"38.412522"</f>
        <v>38.412522</v>
      </c>
      <c r="R6779" t="str">
        <f>"21.252790"</f>
        <v>21.252790</v>
      </c>
      <c r="S6779" t="s">
        <v>26</v>
      </c>
    </row>
    <row r="6780" spans="1:19" x14ac:dyDescent="0.3">
      <c r="A6780" t="s">
        <v>13791</v>
      </c>
      <c r="B6780" t="s">
        <v>13812</v>
      </c>
      <c r="C6780" t="s">
        <v>13854</v>
      </c>
      <c r="D6780" t="s">
        <v>13792</v>
      </c>
      <c r="E6780" t="s">
        <v>13851</v>
      </c>
      <c r="F6780" t="s">
        <v>13852</v>
      </c>
      <c r="G6780" t="s">
        <v>13853</v>
      </c>
      <c r="H6780" t="s">
        <v>78</v>
      </c>
      <c r="I6780" t="s">
        <v>79</v>
      </c>
      <c r="J6780" t="str">
        <f>"0140170"</f>
        <v>0140170</v>
      </c>
      <c r="K6780">
        <v>2641063100</v>
      </c>
      <c r="L6780">
        <v>2641062521</v>
      </c>
      <c r="M6780" t="s">
        <v>13855</v>
      </c>
      <c r="N6780" t="s">
        <v>13856</v>
      </c>
      <c r="O6780" t="s">
        <v>13857</v>
      </c>
      <c r="P6780">
        <v>30005</v>
      </c>
      <c r="Q6780" t="str">
        <f>"38.603939"</f>
        <v>38.603939</v>
      </c>
      <c r="R6780" t="str">
        <f>"21.483599"</f>
        <v>21.483599</v>
      </c>
      <c r="S6780" t="s">
        <v>26</v>
      </c>
    </row>
    <row r="6781" spans="1:19" x14ac:dyDescent="0.3">
      <c r="A6781" t="s">
        <v>13791</v>
      </c>
      <c r="B6781" t="s">
        <v>13812</v>
      </c>
      <c r="C6781" t="s">
        <v>13866</v>
      </c>
      <c r="D6781" t="s">
        <v>13792</v>
      </c>
      <c r="E6781" t="s">
        <v>8765</v>
      </c>
      <c r="F6781" t="s">
        <v>8765</v>
      </c>
      <c r="G6781" t="s">
        <v>8765</v>
      </c>
      <c r="H6781" t="s">
        <v>78</v>
      </c>
      <c r="I6781" t="s">
        <v>79</v>
      </c>
      <c r="J6781" t="str">
        <f>"0140105"</f>
        <v>0140105</v>
      </c>
      <c r="K6781">
        <v>2642022023</v>
      </c>
      <c r="L6781">
        <v>2642022451</v>
      </c>
      <c r="M6781" t="s">
        <v>13867</v>
      </c>
      <c r="N6781" t="s">
        <v>13868</v>
      </c>
      <c r="O6781" t="s">
        <v>13869</v>
      </c>
      <c r="P6781">
        <v>30500</v>
      </c>
      <c r="Q6781" t="str">
        <f>"38.849347"</f>
        <v>38.849347</v>
      </c>
      <c r="R6781" t="str">
        <f>"21.163553"</f>
        <v>21.163553</v>
      </c>
      <c r="S6781" t="s">
        <v>26</v>
      </c>
    </row>
    <row r="6782" spans="1:19" x14ac:dyDescent="0.3">
      <c r="A6782" t="s">
        <v>13791</v>
      </c>
      <c r="B6782" t="s">
        <v>13812</v>
      </c>
      <c r="C6782" t="s">
        <v>13873</v>
      </c>
      <c r="D6782" t="s">
        <v>13792</v>
      </c>
      <c r="E6782" t="s">
        <v>13851</v>
      </c>
      <c r="F6782" t="s">
        <v>13871</v>
      </c>
      <c r="G6782" t="s">
        <v>13872</v>
      </c>
      <c r="H6782" t="s">
        <v>78</v>
      </c>
      <c r="I6782" t="s">
        <v>79</v>
      </c>
      <c r="J6782" t="str">
        <f>"0140160"</f>
        <v>0140160</v>
      </c>
      <c r="K6782">
        <v>2635022500</v>
      </c>
      <c r="L6782">
        <v>2635022500</v>
      </c>
      <c r="M6782" t="s">
        <v>13874</v>
      </c>
      <c r="N6782" t="s">
        <v>13875</v>
      </c>
      <c r="O6782" t="s">
        <v>13876</v>
      </c>
      <c r="P6782">
        <v>30011</v>
      </c>
      <c r="Q6782" t="str">
        <f>"38.530370"</f>
        <v>38.530370</v>
      </c>
      <c r="R6782" t="str">
        <f>"21.414920"</f>
        <v>21.414920</v>
      </c>
      <c r="S6782" t="s">
        <v>26</v>
      </c>
    </row>
    <row r="6783" spans="1:19" x14ac:dyDescent="0.3">
      <c r="A6783" t="s">
        <v>13791</v>
      </c>
      <c r="B6783" t="s">
        <v>13812</v>
      </c>
      <c r="C6783" t="s">
        <v>13883</v>
      </c>
      <c r="D6783" t="s">
        <v>13792</v>
      </c>
      <c r="E6783" t="s">
        <v>13851</v>
      </c>
      <c r="F6783" t="s">
        <v>13851</v>
      </c>
      <c r="G6783" t="s">
        <v>13851</v>
      </c>
      <c r="H6783" t="s">
        <v>78</v>
      </c>
      <c r="I6783" t="s">
        <v>79</v>
      </c>
      <c r="J6783" t="str">
        <f>"0140100"</f>
        <v>0140100</v>
      </c>
      <c r="K6783">
        <v>2641031096</v>
      </c>
      <c r="L6783">
        <v>2641048106</v>
      </c>
      <c r="M6783" t="s">
        <v>13884</v>
      </c>
      <c r="N6783" t="s">
        <v>13885</v>
      </c>
      <c r="O6783" t="s">
        <v>13886</v>
      </c>
      <c r="P6783">
        <v>30027</v>
      </c>
      <c r="Q6783" t="str">
        <f>"38.637305"</f>
        <v>38.637305</v>
      </c>
      <c r="R6783" t="str">
        <f>"21.390681"</f>
        <v>21.390681</v>
      </c>
      <c r="S6783" t="s">
        <v>26</v>
      </c>
    </row>
    <row r="6784" spans="1:19" x14ac:dyDescent="0.3">
      <c r="A6784" t="s">
        <v>13791</v>
      </c>
      <c r="B6784" t="s">
        <v>13812</v>
      </c>
      <c r="C6784" t="s">
        <v>13895</v>
      </c>
      <c r="D6784" t="s">
        <v>13792</v>
      </c>
      <c r="E6784" t="s">
        <v>13793</v>
      </c>
      <c r="F6784" t="s">
        <v>13793</v>
      </c>
      <c r="G6784" t="s">
        <v>3986</v>
      </c>
      <c r="H6784" t="s">
        <v>78</v>
      </c>
      <c r="I6784" t="s">
        <v>79</v>
      </c>
      <c r="J6784" t="str">
        <f>"0140140"</f>
        <v>0140140</v>
      </c>
      <c r="K6784">
        <v>2631028776</v>
      </c>
      <c r="L6784">
        <v>2631025458</v>
      </c>
      <c r="M6784" t="s">
        <v>13896</v>
      </c>
      <c r="N6784" t="s">
        <v>13796</v>
      </c>
      <c r="O6784" t="s">
        <v>13897</v>
      </c>
      <c r="P6784">
        <v>30200</v>
      </c>
      <c r="Q6784" t="str">
        <f>"38.367827"</f>
        <v>38.367827</v>
      </c>
      <c r="R6784" t="str">
        <f>"21.437015"</f>
        <v>21.437015</v>
      </c>
      <c r="S6784" t="s">
        <v>26</v>
      </c>
    </row>
    <row r="6785" spans="1:19" x14ac:dyDescent="0.3">
      <c r="A6785" t="s">
        <v>13791</v>
      </c>
      <c r="B6785" t="s">
        <v>13812</v>
      </c>
      <c r="C6785" t="s">
        <v>13958</v>
      </c>
      <c r="D6785" t="s">
        <v>13792</v>
      </c>
      <c r="E6785" t="s">
        <v>13888</v>
      </c>
      <c r="F6785" t="s">
        <v>13889</v>
      </c>
      <c r="G6785" t="s">
        <v>13889</v>
      </c>
      <c r="H6785" t="s">
        <v>78</v>
      </c>
      <c r="I6785" t="s">
        <v>79</v>
      </c>
      <c r="J6785" t="str">
        <f>"0140120"</f>
        <v>0140120</v>
      </c>
      <c r="K6785">
        <v>2634028833</v>
      </c>
      <c r="L6785">
        <v>2634028833</v>
      </c>
      <c r="M6785" t="s">
        <v>13959</v>
      </c>
      <c r="N6785" t="s">
        <v>13892</v>
      </c>
      <c r="O6785" t="s">
        <v>13960</v>
      </c>
      <c r="P6785">
        <v>30300</v>
      </c>
      <c r="Q6785" t="str">
        <f>"38.392046"</f>
        <v>38.392046</v>
      </c>
      <c r="R6785" t="str">
        <f>"21.822580"</f>
        <v>21.822580</v>
      </c>
      <c r="S6785" t="s">
        <v>26</v>
      </c>
    </row>
    <row r="6786" spans="1:19" x14ac:dyDescent="0.3">
      <c r="A6786" t="s">
        <v>13791</v>
      </c>
      <c r="B6786" t="s">
        <v>13812</v>
      </c>
      <c r="C6786" t="s">
        <v>14011</v>
      </c>
      <c r="D6786" t="s">
        <v>13792</v>
      </c>
      <c r="E6786" t="s">
        <v>13851</v>
      </c>
      <c r="F6786" t="s">
        <v>13851</v>
      </c>
      <c r="G6786" t="s">
        <v>13851</v>
      </c>
      <c r="H6786" t="s">
        <v>78</v>
      </c>
      <c r="I6786" t="s">
        <v>79</v>
      </c>
      <c r="J6786" t="str">
        <f>"0140102"</f>
        <v>0140102</v>
      </c>
      <c r="K6786">
        <v>2641049642</v>
      </c>
      <c r="L6786">
        <v>2641049642</v>
      </c>
      <c r="M6786" t="s">
        <v>14012</v>
      </c>
      <c r="N6786" t="s">
        <v>13885</v>
      </c>
      <c r="O6786" t="s">
        <v>14013</v>
      </c>
      <c r="P6786">
        <v>30100</v>
      </c>
      <c r="Q6786" t="str">
        <f>"38.624027"</f>
        <v>38.624027</v>
      </c>
      <c r="R6786" t="str">
        <f>"21.389988"</f>
        <v>21.389988</v>
      </c>
      <c r="S6786" t="s">
        <v>26</v>
      </c>
    </row>
    <row r="6787" spans="1:19" x14ac:dyDescent="0.3">
      <c r="A6787" t="s">
        <v>13791</v>
      </c>
      <c r="B6787" t="s">
        <v>13812</v>
      </c>
      <c r="C6787" t="s">
        <v>14171</v>
      </c>
      <c r="D6787" t="s">
        <v>13792</v>
      </c>
      <c r="E6787" t="s">
        <v>13851</v>
      </c>
      <c r="F6787" t="s">
        <v>13851</v>
      </c>
      <c r="G6787" t="s">
        <v>13851</v>
      </c>
      <c r="H6787" t="s">
        <v>78</v>
      </c>
      <c r="I6787" t="s">
        <v>132</v>
      </c>
      <c r="J6787" t="str">
        <f>"0153001"</f>
        <v>0153001</v>
      </c>
      <c r="K6787">
        <v>2641024887</v>
      </c>
      <c r="L6787">
        <v>2641024887</v>
      </c>
      <c r="M6787" t="s">
        <v>14172</v>
      </c>
      <c r="N6787" t="s">
        <v>3984</v>
      </c>
      <c r="O6787" t="s">
        <v>14173</v>
      </c>
      <c r="P6787">
        <v>30027</v>
      </c>
      <c r="Q6787" t="str">
        <f>"38.637027"</f>
        <v>38.637027</v>
      </c>
      <c r="R6787" t="str">
        <f>"21.390319"</f>
        <v>21.390319</v>
      </c>
      <c r="S6787" t="s">
        <v>26</v>
      </c>
    </row>
    <row r="6788" spans="1:19" x14ac:dyDescent="0.3">
      <c r="A6788" t="s">
        <v>13791</v>
      </c>
      <c r="B6788" t="s">
        <v>14180</v>
      </c>
      <c r="C6788" t="s">
        <v>14213</v>
      </c>
      <c r="D6788" t="s">
        <v>13798</v>
      </c>
      <c r="E6788" t="s">
        <v>13799</v>
      </c>
      <c r="F6788" t="s">
        <v>14212</v>
      </c>
      <c r="G6788" t="s">
        <v>14212</v>
      </c>
      <c r="H6788" t="s">
        <v>78</v>
      </c>
      <c r="I6788" t="s">
        <v>79</v>
      </c>
      <c r="J6788" t="str">
        <f>"0640090"</f>
        <v>0640090</v>
      </c>
      <c r="K6788">
        <v>2610522859</v>
      </c>
      <c r="L6788">
        <v>2610529786</v>
      </c>
      <c r="M6788" t="s">
        <v>14214</v>
      </c>
      <c r="N6788" t="s">
        <v>14215</v>
      </c>
      <c r="O6788" t="s">
        <v>14216</v>
      </c>
      <c r="P6788">
        <v>26500</v>
      </c>
      <c r="Q6788" t="str">
        <f>"38.193343"</f>
        <v>38.193343</v>
      </c>
      <c r="R6788" t="str">
        <f>"21.712714"</f>
        <v>21.712714</v>
      </c>
      <c r="S6788" t="s">
        <v>26</v>
      </c>
    </row>
    <row r="6789" spans="1:19" x14ac:dyDescent="0.3">
      <c r="A6789" t="s">
        <v>13791</v>
      </c>
      <c r="B6789" t="s">
        <v>14180</v>
      </c>
      <c r="C6789" t="s">
        <v>14237</v>
      </c>
      <c r="D6789" t="s">
        <v>13798</v>
      </c>
      <c r="E6789" t="s">
        <v>13799</v>
      </c>
      <c r="F6789" t="s">
        <v>13799</v>
      </c>
      <c r="G6789" t="s">
        <v>14236</v>
      </c>
      <c r="H6789" t="s">
        <v>78</v>
      </c>
      <c r="I6789" t="s">
        <v>132</v>
      </c>
      <c r="J6789" t="str">
        <f>"0640082"</f>
        <v>0640082</v>
      </c>
      <c r="K6789">
        <v>2610346887</v>
      </c>
      <c r="L6789">
        <v>2610346887</v>
      </c>
      <c r="M6789" t="s">
        <v>14238</v>
      </c>
      <c r="N6789" t="s">
        <v>13803</v>
      </c>
      <c r="O6789" t="s">
        <v>14239</v>
      </c>
      <c r="P6789">
        <v>26333</v>
      </c>
      <c r="Q6789" t="str">
        <f>"38.232186"</f>
        <v>38.232186</v>
      </c>
      <c r="R6789" t="str">
        <f>"21.735665"</f>
        <v>21.735665</v>
      </c>
      <c r="S6789" t="s">
        <v>26</v>
      </c>
    </row>
    <row r="6790" spans="1:19" x14ac:dyDescent="0.3">
      <c r="A6790" t="s">
        <v>13791</v>
      </c>
      <c r="B6790" t="s">
        <v>14180</v>
      </c>
      <c r="C6790" t="s">
        <v>14242</v>
      </c>
      <c r="D6790" t="s">
        <v>13798</v>
      </c>
      <c r="E6790" t="s">
        <v>13799</v>
      </c>
      <c r="F6790" t="s">
        <v>13799</v>
      </c>
      <c r="G6790" t="s">
        <v>14241</v>
      </c>
      <c r="H6790" t="s">
        <v>78</v>
      </c>
      <c r="I6790" t="s">
        <v>79</v>
      </c>
      <c r="J6790" t="str">
        <f>"0640080"</f>
        <v>0640080</v>
      </c>
      <c r="K6790">
        <v>2610643156</v>
      </c>
      <c r="L6790">
        <v>2610643137</v>
      </c>
      <c r="M6790" t="s">
        <v>14243</v>
      </c>
      <c r="N6790" t="s">
        <v>13803</v>
      </c>
      <c r="O6790" t="s">
        <v>14244</v>
      </c>
      <c r="P6790">
        <v>26335</v>
      </c>
      <c r="Q6790" t="str">
        <f>"38.218205"</f>
        <v>38.218205</v>
      </c>
      <c r="R6790" t="str">
        <f>"21.753785"</f>
        <v>21.753785</v>
      </c>
      <c r="S6790" t="s">
        <v>26</v>
      </c>
    </row>
    <row r="6791" spans="1:19" x14ac:dyDescent="0.3">
      <c r="A6791" t="s">
        <v>13791</v>
      </c>
      <c r="B6791" t="s">
        <v>14180</v>
      </c>
      <c r="C6791" t="s">
        <v>14246</v>
      </c>
      <c r="D6791" t="s">
        <v>13798</v>
      </c>
      <c r="E6791" t="s">
        <v>13799</v>
      </c>
      <c r="F6791" t="s">
        <v>13799</v>
      </c>
      <c r="G6791" t="s">
        <v>14241</v>
      </c>
      <c r="H6791" t="s">
        <v>78</v>
      </c>
      <c r="I6791" t="s">
        <v>79</v>
      </c>
      <c r="J6791" t="str">
        <f>"0640088"</f>
        <v>0640088</v>
      </c>
      <c r="K6791">
        <v>2610643118</v>
      </c>
      <c r="L6791">
        <v>2610643125</v>
      </c>
      <c r="M6791" t="s">
        <v>14247</v>
      </c>
      <c r="N6791" t="s">
        <v>13803</v>
      </c>
      <c r="O6791" t="s">
        <v>14248</v>
      </c>
      <c r="P6791">
        <v>26335</v>
      </c>
      <c r="Q6791" t="str">
        <f>"38.217398"</f>
        <v>38.217398</v>
      </c>
      <c r="R6791" t="str">
        <f>"21.754743"</f>
        <v>21.754743</v>
      </c>
      <c r="S6791" t="s">
        <v>26</v>
      </c>
    </row>
    <row r="6792" spans="1:19" x14ac:dyDescent="0.3">
      <c r="A6792" t="s">
        <v>13791</v>
      </c>
      <c r="B6792" t="s">
        <v>14180</v>
      </c>
      <c r="C6792" t="s">
        <v>14249</v>
      </c>
      <c r="D6792" t="s">
        <v>13798</v>
      </c>
      <c r="E6792" t="s">
        <v>14223</v>
      </c>
      <c r="F6792" t="s">
        <v>14223</v>
      </c>
      <c r="G6792" t="s">
        <v>14223</v>
      </c>
      <c r="H6792" t="s">
        <v>78</v>
      </c>
      <c r="I6792" t="s">
        <v>79</v>
      </c>
      <c r="J6792" t="str">
        <f>"0640095"</f>
        <v>0640095</v>
      </c>
      <c r="K6792">
        <v>2692023839</v>
      </c>
      <c r="L6792">
        <v>2692023019</v>
      </c>
      <c r="M6792" t="s">
        <v>14250</v>
      </c>
      <c r="N6792" t="s">
        <v>14226</v>
      </c>
      <c r="O6792" t="s">
        <v>14228</v>
      </c>
      <c r="P6792">
        <v>25001</v>
      </c>
      <c r="Q6792" t="str">
        <f>"38.033452"</f>
        <v>38.033452</v>
      </c>
      <c r="R6792" t="str">
        <f>"22.112662"</f>
        <v>22.112662</v>
      </c>
      <c r="S6792" t="s">
        <v>26</v>
      </c>
    </row>
    <row r="6793" spans="1:19" x14ac:dyDescent="0.3">
      <c r="A6793" t="s">
        <v>13791</v>
      </c>
      <c r="B6793" t="s">
        <v>14180</v>
      </c>
      <c r="C6793" t="s">
        <v>14257</v>
      </c>
      <c r="D6793" t="s">
        <v>13798</v>
      </c>
      <c r="E6793" t="s">
        <v>13799</v>
      </c>
      <c r="F6793" t="s">
        <v>13799</v>
      </c>
      <c r="G6793" t="s">
        <v>13809</v>
      </c>
      <c r="H6793" t="s">
        <v>78</v>
      </c>
      <c r="I6793" t="s">
        <v>79</v>
      </c>
      <c r="J6793" t="str">
        <f>"0640087"</f>
        <v>0640087</v>
      </c>
      <c r="K6793">
        <v>2610454881</v>
      </c>
      <c r="L6793">
        <v>2610432149</v>
      </c>
      <c r="M6793" t="s">
        <v>14258</v>
      </c>
      <c r="N6793" t="s">
        <v>13803</v>
      </c>
      <c r="O6793" t="s">
        <v>14259</v>
      </c>
      <c r="P6793">
        <v>26223</v>
      </c>
      <c r="Q6793" t="str">
        <f>"38.255212"</f>
        <v>38.255212</v>
      </c>
      <c r="R6793" t="str">
        <f>"21.747560"</f>
        <v>21.747560</v>
      </c>
      <c r="S6793" t="s">
        <v>26</v>
      </c>
    </row>
    <row r="6794" spans="1:19" x14ac:dyDescent="0.3">
      <c r="A6794" t="s">
        <v>13791</v>
      </c>
      <c r="B6794" t="s">
        <v>14180</v>
      </c>
      <c r="C6794" t="s">
        <v>14313</v>
      </c>
      <c r="D6794" t="s">
        <v>13798</v>
      </c>
      <c r="E6794" t="s">
        <v>14181</v>
      </c>
      <c r="F6794" t="s">
        <v>14182</v>
      </c>
      <c r="G6794" t="s">
        <v>14182</v>
      </c>
      <c r="H6794" t="s">
        <v>78</v>
      </c>
      <c r="I6794" t="s">
        <v>79</v>
      </c>
      <c r="J6794" t="str">
        <f>"0640100"</f>
        <v>0640100</v>
      </c>
      <c r="K6794">
        <v>2691023917</v>
      </c>
      <c r="L6794">
        <v>2691061454</v>
      </c>
      <c r="M6794" t="s">
        <v>14314</v>
      </c>
      <c r="N6794" t="s">
        <v>14185</v>
      </c>
      <c r="O6794" t="s">
        <v>14315</v>
      </c>
      <c r="P6794">
        <v>25100</v>
      </c>
      <c r="Q6794" t="str">
        <f>"38.249669"</f>
        <v>38.249669</v>
      </c>
      <c r="R6794" t="str">
        <f>"22.098986"</f>
        <v>22.098986</v>
      </c>
      <c r="S6794" t="s">
        <v>26</v>
      </c>
    </row>
    <row r="6795" spans="1:19" x14ac:dyDescent="0.3">
      <c r="A6795" t="s">
        <v>13791</v>
      </c>
      <c r="B6795" t="s">
        <v>14180</v>
      </c>
      <c r="C6795" t="s">
        <v>14344</v>
      </c>
      <c r="D6795" t="s">
        <v>13798</v>
      </c>
      <c r="E6795" t="s">
        <v>14200</v>
      </c>
      <c r="F6795" t="s">
        <v>2699</v>
      </c>
      <c r="G6795" t="s">
        <v>14291</v>
      </c>
      <c r="H6795" t="s">
        <v>78</v>
      </c>
      <c r="I6795" t="s">
        <v>79</v>
      </c>
      <c r="J6795" t="str">
        <f>"0640050"</f>
        <v>0640050</v>
      </c>
      <c r="K6795">
        <v>2693025687</v>
      </c>
      <c r="L6795">
        <v>2693024910</v>
      </c>
      <c r="M6795" t="s">
        <v>14345</v>
      </c>
      <c r="N6795" t="s">
        <v>14346</v>
      </c>
      <c r="O6795" t="s">
        <v>14347</v>
      </c>
      <c r="P6795">
        <v>25200</v>
      </c>
      <c r="Q6795" t="str">
        <f>"38.140842"</f>
        <v>38.140842</v>
      </c>
      <c r="R6795" t="str">
        <f>"21.544830"</f>
        <v>21.544830</v>
      </c>
      <c r="S6795" t="s">
        <v>26</v>
      </c>
    </row>
    <row r="6796" spans="1:19" x14ac:dyDescent="0.3">
      <c r="A6796" t="s">
        <v>13791</v>
      </c>
      <c r="B6796" t="s">
        <v>14180</v>
      </c>
      <c r="C6796" t="s">
        <v>14566</v>
      </c>
      <c r="D6796" t="s">
        <v>13798</v>
      </c>
      <c r="E6796" t="s">
        <v>13799</v>
      </c>
      <c r="F6796" t="s">
        <v>13799</v>
      </c>
      <c r="G6796" t="s">
        <v>13809</v>
      </c>
      <c r="H6796" t="s">
        <v>78</v>
      </c>
      <c r="I6796" t="s">
        <v>132</v>
      </c>
      <c r="J6796" t="str">
        <f>"0640086"</f>
        <v>0640086</v>
      </c>
      <c r="K6796">
        <v>2610436622</v>
      </c>
      <c r="L6796">
        <v>2610436622</v>
      </c>
      <c r="M6796" t="s">
        <v>14567</v>
      </c>
      <c r="N6796" t="s">
        <v>13803</v>
      </c>
      <c r="O6796" t="s">
        <v>14568</v>
      </c>
      <c r="P6796">
        <v>26223</v>
      </c>
      <c r="Q6796" t="str">
        <f>"38.254648"</f>
        <v>38.254648</v>
      </c>
      <c r="R6796" t="str">
        <f>"21.747441"</f>
        <v>21.747441</v>
      </c>
      <c r="S6796" t="s">
        <v>26</v>
      </c>
    </row>
    <row r="6797" spans="1:19" x14ac:dyDescent="0.3">
      <c r="A6797" t="s">
        <v>13791</v>
      </c>
      <c r="B6797" t="s">
        <v>14180</v>
      </c>
      <c r="C6797" t="s">
        <v>14582</v>
      </c>
      <c r="D6797" t="s">
        <v>13798</v>
      </c>
      <c r="E6797" t="s">
        <v>13799</v>
      </c>
      <c r="F6797" t="s">
        <v>13799</v>
      </c>
      <c r="G6797" t="s">
        <v>14241</v>
      </c>
      <c r="H6797" t="s">
        <v>78</v>
      </c>
      <c r="I6797" t="s">
        <v>132</v>
      </c>
      <c r="J6797" t="str">
        <f>"0650090"</f>
        <v>0650090</v>
      </c>
      <c r="K6797">
        <v>2610643109</v>
      </c>
      <c r="L6797">
        <v>2610643137</v>
      </c>
      <c r="M6797" t="s">
        <v>14583</v>
      </c>
      <c r="N6797" t="s">
        <v>13803</v>
      </c>
      <c r="O6797" t="s">
        <v>14584</v>
      </c>
      <c r="P6797">
        <v>26335</v>
      </c>
      <c r="Q6797" t="str">
        <f>"38.218332"</f>
        <v>38.218332</v>
      </c>
      <c r="R6797" t="str">
        <f>"21.753882"</f>
        <v>21.753882</v>
      </c>
      <c r="S6797" t="s">
        <v>26</v>
      </c>
    </row>
    <row r="6798" spans="1:19" x14ac:dyDescent="0.3">
      <c r="A6798" t="s">
        <v>13791</v>
      </c>
      <c r="B6798" t="s">
        <v>14180</v>
      </c>
      <c r="C6798" t="s">
        <v>14596</v>
      </c>
      <c r="D6798" t="s">
        <v>13798</v>
      </c>
      <c r="E6798" t="s">
        <v>13799</v>
      </c>
      <c r="F6798" t="s">
        <v>13799</v>
      </c>
      <c r="G6798" t="s">
        <v>13809</v>
      </c>
      <c r="H6798" t="s">
        <v>78</v>
      </c>
      <c r="I6798" t="s">
        <v>79</v>
      </c>
      <c r="J6798" t="str">
        <f>"0640081"</f>
        <v>0640081</v>
      </c>
      <c r="K6798">
        <v>2610461721</v>
      </c>
      <c r="L6798">
        <v>2610461721</v>
      </c>
      <c r="M6798" t="s">
        <v>14597</v>
      </c>
      <c r="N6798" t="s">
        <v>13803</v>
      </c>
      <c r="O6798" t="s">
        <v>14568</v>
      </c>
      <c r="P6798">
        <v>26223</v>
      </c>
      <c r="Q6798" t="str">
        <f>"38.254559"</f>
        <v>38.254559</v>
      </c>
      <c r="R6798" t="str">
        <f>"21.747388"</f>
        <v>21.747388</v>
      </c>
      <c r="S6798" t="s">
        <v>26</v>
      </c>
    </row>
    <row r="6799" spans="1:19" x14ac:dyDescent="0.3">
      <c r="A6799" t="s">
        <v>13791</v>
      </c>
      <c r="B6799" t="s">
        <v>14180</v>
      </c>
      <c r="C6799" t="s">
        <v>14616</v>
      </c>
      <c r="D6799" t="s">
        <v>13798</v>
      </c>
      <c r="E6799" t="s">
        <v>13799</v>
      </c>
      <c r="F6799" t="s">
        <v>13799</v>
      </c>
      <c r="G6799" t="s">
        <v>13800</v>
      </c>
      <c r="H6799" t="s">
        <v>78</v>
      </c>
      <c r="I6799" t="s">
        <v>79</v>
      </c>
      <c r="J6799" t="str">
        <f>"0640085"</f>
        <v>0640085</v>
      </c>
      <c r="K6799">
        <v>2610438103</v>
      </c>
      <c r="L6799">
        <v>2610428141</v>
      </c>
      <c r="M6799" t="s">
        <v>14617</v>
      </c>
      <c r="N6799" t="s">
        <v>13803</v>
      </c>
      <c r="O6799" t="s">
        <v>14210</v>
      </c>
      <c r="P6799">
        <v>26442</v>
      </c>
      <c r="Q6799" t="str">
        <f>"38.275350"</f>
        <v>38.275350</v>
      </c>
      <c r="R6799" t="str">
        <f>"21.757112"</f>
        <v>21.757112</v>
      </c>
      <c r="S6799" t="s">
        <v>26</v>
      </c>
    </row>
    <row r="6800" spans="1:19" x14ac:dyDescent="0.3">
      <c r="A6800" t="s">
        <v>13791</v>
      </c>
      <c r="B6800" t="s">
        <v>14180</v>
      </c>
      <c r="C6800" t="s">
        <v>14618</v>
      </c>
      <c r="D6800" t="s">
        <v>13798</v>
      </c>
      <c r="E6800" t="s">
        <v>14181</v>
      </c>
      <c r="F6800" t="s">
        <v>14182</v>
      </c>
      <c r="G6800" t="s">
        <v>14182</v>
      </c>
      <c r="H6800" t="s">
        <v>78</v>
      </c>
      <c r="I6800" t="s">
        <v>132</v>
      </c>
      <c r="J6800" t="str">
        <f>"0640105"</f>
        <v>0640105</v>
      </c>
      <c r="K6800">
        <v>2691025552</v>
      </c>
      <c r="L6800">
        <v>2691025552</v>
      </c>
      <c r="M6800" t="s">
        <v>14619</v>
      </c>
      <c r="N6800" t="s">
        <v>14185</v>
      </c>
      <c r="O6800" t="s">
        <v>14315</v>
      </c>
      <c r="P6800">
        <v>25100</v>
      </c>
      <c r="Q6800" t="str">
        <f>"38.250026"</f>
        <v>38.250026</v>
      </c>
      <c r="R6800" t="str">
        <f>"22.098947"</f>
        <v>22.098947</v>
      </c>
      <c r="S6800" t="s">
        <v>26</v>
      </c>
    </row>
    <row r="6801" spans="1:19" x14ac:dyDescent="0.3">
      <c r="A6801" t="s">
        <v>13791</v>
      </c>
      <c r="B6801" t="s">
        <v>14644</v>
      </c>
      <c r="C6801" t="s">
        <v>14711</v>
      </c>
      <c r="D6801" t="s">
        <v>13805</v>
      </c>
      <c r="E6801" t="s">
        <v>14709</v>
      </c>
      <c r="F6801" t="s">
        <v>14710</v>
      </c>
      <c r="G6801" t="s">
        <v>14710</v>
      </c>
      <c r="H6801" t="s">
        <v>78</v>
      </c>
      <c r="I6801" t="s">
        <v>79</v>
      </c>
      <c r="J6801" t="str">
        <f>"1540075"</f>
        <v>1540075</v>
      </c>
      <c r="K6801">
        <v>2622021093</v>
      </c>
      <c r="L6801">
        <v>2622038083</v>
      </c>
      <c r="M6801" t="s">
        <v>14712</v>
      </c>
      <c r="N6801" t="s">
        <v>14713</v>
      </c>
      <c r="O6801" t="s">
        <v>14714</v>
      </c>
      <c r="P6801">
        <v>27200</v>
      </c>
      <c r="Q6801" t="str">
        <f>"37.809381"</f>
        <v>37.809381</v>
      </c>
      <c r="R6801" t="str">
        <f>"21.334052"</f>
        <v>21.334052</v>
      </c>
      <c r="S6801" t="s">
        <v>26</v>
      </c>
    </row>
    <row r="6802" spans="1:19" x14ac:dyDescent="0.3">
      <c r="A6802" t="s">
        <v>13791</v>
      </c>
      <c r="B6802" t="s">
        <v>14644</v>
      </c>
      <c r="C6802" t="s">
        <v>14716</v>
      </c>
      <c r="D6802" t="s">
        <v>13805</v>
      </c>
      <c r="E6802" t="s">
        <v>1210</v>
      </c>
      <c r="F6802" t="s">
        <v>1210</v>
      </c>
      <c r="G6802" t="s">
        <v>1210</v>
      </c>
      <c r="H6802" t="s">
        <v>78</v>
      </c>
      <c r="I6802" t="s">
        <v>79</v>
      </c>
      <c r="J6802" t="str">
        <f>"1540052"</f>
        <v>1540052</v>
      </c>
      <c r="K6802">
        <v>2621020088</v>
      </c>
      <c r="L6802">
        <v>2621020489</v>
      </c>
      <c r="M6802" t="s">
        <v>14717</v>
      </c>
      <c r="N6802" t="s">
        <v>14718</v>
      </c>
      <c r="O6802" t="s">
        <v>14719</v>
      </c>
      <c r="P6802">
        <v>27131</v>
      </c>
      <c r="Q6802" t="str">
        <f>"37.668913"</f>
        <v>37.668913</v>
      </c>
      <c r="R6802" t="str">
        <f>"21.426434"</f>
        <v>21.426434</v>
      </c>
      <c r="S6802" t="s">
        <v>26</v>
      </c>
    </row>
    <row r="6803" spans="1:19" x14ac:dyDescent="0.3">
      <c r="A6803" t="s">
        <v>13791</v>
      </c>
      <c r="B6803" t="s">
        <v>14644</v>
      </c>
      <c r="C6803" t="s">
        <v>14721</v>
      </c>
      <c r="D6803" t="s">
        <v>13805</v>
      </c>
      <c r="E6803" t="s">
        <v>14709</v>
      </c>
      <c r="F6803" t="s">
        <v>14710</v>
      </c>
      <c r="G6803" t="s">
        <v>14710</v>
      </c>
      <c r="H6803" t="s">
        <v>78</v>
      </c>
      <c r="I6803" t="s">
        <v>79</v>
      </c>
      <c r="J6803" t="str">
        <f>"1540070"</f>
        <v>1540070</v>
      </c>
      <c r="K6803">
        <v>2622022426</v>
      </c>
      <c r="L6803">
        <v>2622027268</v>
      </c>
      <c r="M6803" t="s">
        <v>14722</v>
      </c>
      <c r="N6803" t="s">
        <v>14713</v>
      </c>
      <c r="O6803" t="s">
        <v>14714</v>
      </c>
      <c r="P6803">
        <v>27200</v>
      </c>
      <c r="Q6803" t="str">
        <f>"37.807754"</f>
        <v>37.807754</v>
      </c>
      <c r="R6803" t="str">
        <f>"21.335393"</f>
        <v>21.335393</v>
      </c>
      <c r="S6803" t="s">
        <v>26</v>
      </c>
    </row>
    <row r="6804" spans="1:19" x14ac:dyDescent="0.3">
      <c r="A6804" t="s">
        <v>13791</v>
      </c>
      <c r="B6804" t="s">
        <v>14644</v>
      </c>
      <c r="C6804" t="s">
        <v>14728</v>
      </c>
      <c r="D6804" t="s">
        <v>13805</v>
      </c>
      <c r="E6804" t="s">
        <v>1210</v>
      </c>
      <c r="F6804" t="s">
        <v>1210</v>
      </c>
      <c r="G6804" t="s">
        <v>1210</v>
      </c>
      <c r="H6804" t="s">
        <v>78</v>
      </c>
      <c r="I6804" t="s">
        <v>79</v>
      </c>
      <c r="J6804" t="str">
        <f>"1540050"</f>
        <v>1540050</v>
      </c>
      <c r="K6804">
        <v>2621034713</v>
      </c>
      <c r="L6804">
        <v>2621025190</v>
      </c>
      <c r="M6804" t="s">
        <v>14729</v>
      </c>
      <c r="N6804" t="s">
        <v>1211</v>
      </c>
      <c r="O6804" t="s">
        <v>14730</v>
      </c>
      <c r="P6804">
        <v>27131</v>
      </c>
      <c r="Q6804" t="str">
        <f>"37.656614"</f>
        <v>37.656614</v>
      </c>
      <c r="R6804" t="str">
        <f>"21.464746"</f>
        <v>21.464746</v>
      </c>
      <c r="S6804" t="s">
        <v>26</v>
      </c>
    </row>
    <row r="6805" spans="1:19" x14ac:dyDescent="0.3">
      <c r="A6805" t="s">
        <v>13791</v>
      </c>
      <c r="B6805" t="s">
        <v>14644</v>
      </c>
      <c r="C6805" t="s">
        <v>14769</v>
      </c>
      <c r="D6805" t="s">
        <v>13805</v>
      </c>
      <c r="E6805" t="s">
        <v>14660</v>
      </c>
      <c r="F6805" t="s">
        <v>14661</v>
      </c>
      <c r="G6805" t="s">
        <v>14667</v>
      </c>
      <c r="H6805" t="s">
        <v>78</v>
      </c>
      <c r="I6805" t="s">
        <v>79</v>
      </c>
      <c r="J6805" t="str">
        <f>"1540051"</f>
        <v>1540051</v>
      </c>
      <c r="K6805">
        <v>2625022231</v>
      </c>
      <c r="L6805">
        <v>2625022901</v>
      </c>
      <c r="M6805" t="s">
        <v>14770</v>
      </c>
      <c r="N6805" t="s">
        <v>14762</v>
      </c>
      <c r="O6805" t="s">
        <v>14771</v>
      </c>
      <c r="P6805">
        <v>27055</v>
      </c>
      <c r="Q6805" t="str">
        <f>"37.592709"</f>
        <v>37.592709</v>
      </c>
      <c r="R6805" t="str">
        <f>"21.626228"</f>
        <v>21.626228</v>
      </c>
      <c r="S6805" t="s">
        <v>26</v>
      </c>
    </row>
    <row r="6806" spans="1:19" x14ac:dyDescent="0.3">
      <c r="A6806" t="s">
        <v>13791</v>
      </c>
      <c r="B6806" t="s">
        <v>14644</v>
      </c>
      <c r="C6806" t="s">
        <v>14936</v>
      </c>
      <c r="D6806" t="s">
        <v>13805</v>
      </c>
      <c r="E6806" t="s">
        <v>14651</v>
      </c>
      <c r="F6806" t="s">
        <v>14748</v>
      </c>
      <c r="G6806" t="s">
        <v>14748</v>
      </c>
      <c r="H6806" t="s">
        <v>78</v>
      </c>
      <c r="I6806" t="s">
        <v>79</v>
      </c>
      <c r="J6806" t="str">
        <f>"1540053"</f>
        <v>1540053</v>
      </c>
      <c r="K6806">
        <v>2623022861</v>
      </c>
      <c r="L6806">
        <v>2623029104</v>
      </c>
      <c r="M6806" t="s">
        <v>14937</v>
      </c>
      <c r="N6806" t="s">
        <v>14748</v>
      </c>
      <c r="O6806" t="s">
        <v>14751</v>
      </c>
      <c r="P6806">
        <v>27053</v>
      </c>
      <c r="Q6806" t="str">
        <f>"37.940931"</f>
        <v>37.940931</v>
      </c>
      <c r="R6806" t="str">
        <f>"21.260863"</f>
        <v>21.260863</v>
      </c>
      <c r="S6806" t="s">
        <v>26</v>
      </c>
    </row>
    <row r="6807" spans="1:19" x14ac:dyDescent="0.3">
      <c r="A6807" t="s">
        <v>17244</v>
      </c>
      <c r="B6807" t="s">
        <v>17266</v>
      </c>
      <c r="C6807" t="s">
        <v>17273</v>
      </c>
      <c r="D6807" t="s">
        <v>17245</v>
      </c>
      <c r="E6807" t="s">
        <v>17245</v>
      </c>
      <c r="F6807" t="s">
        <v>17245</v>
      </c>
      <c r="G6807" t="s">
        <v>17245</v>
      </c>
      <c r="H6807" t="s">
        <v>78</v>
      </c>
      <c r="I6807" t="s">
        <v>79</v>
      </c>
      <c r="J6807" t="str">
        <f>"0840030"</f>
        <v>0840030</v>
      </c>
      <c r="K6807">
        <v>2462022936</v>
      </c>
      <c r="L6807">
        <v>2462022572</v>
      </c>
      <c r="M6807" t="s">
        <v>17274</v>
      </c>
      <c r="N6807" t="s">
        <v>17248</v>
      </c>
      <c r="O6807" t="s">
        <v>17275</v>
      </c>
      <c r="P6807">
        <v>51100</v>
      </c>
      <c r="Q6807" t="str">
        <f>"40.089130"</f>
        <v>40.089130</v>
      </c>
      <c r="R6807" t="str">
        <f>"21.445234"</f>
        <v>21.445234</v>
      </c>
      <c r="S6807" t="s">
        <v>26</v>
      </c>
    </row>
    <row r="6808" spans="1:19" x14ac:dyDescent="0.3">
      <c r="A6808" t="s">
        <v>17244</v>
      </c>
      <c r="B6808" t="s">
        <v>17266</v>
      </c>
      <c r="C6808" t="s">
        <v>17285</v>
      </c>
      <c r="D6808" t="s">
        <v>17245</v>
      </c>
      <c r="E6808" t="s">
        <v>17267</v>
      </c>
      <c r="F6808" t="s">
        <v>17267</v>
      </c>
      <c r="G6808" t="s">
        <v>17267</v>
      </c>
      <c r="H6808" t="s">
        <v>78</v>
      </c>
      <c r="I6808" t="s">
        <v>79</v>
      </c>
      <c r="J6808" t="str">
        <f>"0840010"</f>
        <v>0840010</v>
      </c>
      <c r="K6808">
        <v>2462032756</v>
      </c>
      <c r="L6808">
        <v>2462032756</v>
      </c>
      <c r="M6808" t="s">
        <v>17286</v>
      </c>
      <c r="N6808" t="s">
        <v>17271</v>
      </c>
      <c r="O6808" t="s">
        <v>17270</v>
      </c>
      <c r="P6808">
        <v>51200</v>
      </c>
      <c r="Q6808" t="str">
        <f>"39.925703"</f>
        <v>39.925703</v>
      </c>
      <c r="R6808" t="str">
        <f>"21.810143"</f>
        <v>21.810143</v>
      </c>
      <c r="S6808" t="s">
        <v>26</v>
      </c>
    </row>
    <row r="6809" spans="1:19" x14ac:dyDescent="0.3">
      <c r="A6809" t="s">
        <v>17244</v>
      </c>
      <c r="B6809" t="s">
        <v>17266</v>
      </c>
      <c r="C6809" t="s">
        <v>17313</v>
      </c>
      <c r="D6809" t="s">
        <v>17245</v>
      </c>
      <c r="E6809" t="s">
        <v>17245</v>
      </c>
      <c r="F6809" t="s">
        <v>17245</v>
      </c>
      <c r="G6809" t="s">
        <v>17245</v>
      </c>
      <c r="H6809" t="s">
        <v>78</v>
      </c>
      <c r="I6809" t="s">
        <v>132</v>
      </c>
      <c r="J6809" t="str">
        <f>"0842000"</f>
        <v>0842000</v>
      </c>
      <c r="K6809">
        <v>2462181048</v>
      </c>
      <c r="L6809">
        <v>2462181047</v>
      </c>
      <c r="M6809" t="s">
        <v>17314</v>
      </c>
      <c r="N6809" t="s">
        <v>17315</v>
      </c>
      <c r="O6809" t="s">
        <v>17316</v>
      </c>
      <c r="P6809">
        <v>51100</v>
      </c>
      <c r="Q6809" t="str">
        <f>"40.089664"</f>
        <v>40.089664</v>
      </c>
      <c r="R6809" t="str">
        <f>"21.445212"</f>
        <v>21.445212</v>
      </c>
      <c r="S6809" t="s">
        <v>26</v>
      </c>
    </row>
    <row r="6810" spans="1:19" x14ac:dyDescent="0.3">
      <c r="A6810" t="s">
        <v>17244</v>
      </c>
      <c r="B6810" t="s">
        <v>17317</v>
      </c>
      <c r="C6810" t="s">
        <v>17343</v>
      </c>
      <c r="D6810" t="s">
        <v>17250</v>
      </c>
      <c r="E6810" t="s">
        <v>17250</v>
      </c>
      <c r="F6810" t="s">
        <v>17250</v>
      </c>
      <c r="G6810" t="s">
        <v>17250</v>
      </c>
      <c r="H6810" t="s">
        <v>78</v>
      </c>
      <c r="I6810" t="s">
        <v>79</v>
      </c>
      <c r="J6810" t="str">
        <f>"2340030"</f>
        <v>2340030</v>
      </c>
      <c r="K6810">
        <v>2467028206</v>
      </c>
      <c r="L6810">
        <v>2467024592</v>
      </c>
      <c r="M6810" t="s">
        <v>17344</v>
      </c>
      <c r="N6810" t="s">
        <v>17253</v>
      </c>
      <c r="O6810" t="s">
        <v>11247</v>
      </c>
      <c r="P6810">
        <v>52100</v>
      </c>
      <c r="Q6810" t="str">
        <f>"40.543529"</f>
        <v>40.543529</v>
      </c>
      <c r="R6810" t="str">
        <f>"21.263419"</f>
        <v>21.263419</v>
      </c>
      <c r="S6810" t="s">
        <v>26</v>
      </c>
    </row>
    <row r="6811" spans="1:19" x14ac:dyDescent="0.3">
      <c r="A6811" t="s">
        <v>17244</v>
      </c>
      <c r="B6811" t="s">
        <v>17317</v>
      </c>
      <c r="C6811" t="s">
        <v>17360</v>
      </c>
      <c r="D6811" t="s">
        <v>17250</v>
      </c>
      <c r="E6811" t="s">
        <v>17328</v>
      </c>
      <c r="F6811" t="s">
        <v>17328</v>
      </c>
      <c r="G6811" t="s">
        <v>17328</v>
      </c>
      <c r="H6811" t="s">
        <v>78</v>
      </c>
      <c r="I6811" t="s">
        <v>79</v>
      </c>
      <c r="J6811" t="str">
        <f>"2340035"</f>
        <v>2340035</v>
      </c>
      <c r="K6811">
        <v>2467044612</v>
      </c>
      <c r="L6811">
        <v>2467042618</v>
      </c>
      <c r="M6811" t="s">
        <v>17361</v>
      </c>
      <c r="N6811" t="s">
        <v>17331</v>
      </c>
      <c r="O6811" t="s">
        <v>17362</v>
      </c>
      <c r="P6811">
        <v>52200</v>
      </c>
      <c r="Q6811" t="str">
        <f>"40.448199"</f>
        <v>40.448199</v>
      </c>
      <c r="R6811" t="str">
        <f>"21.265615"</f>
        <v>21.265615</v>
      </c>
      <c r="S6811" t="s">
        <v>26</v>
      </c>
    </row>
    <row r="6812" spans="1:19" x14ac:dyDescent="0.3">
      <c r="A6812" t="s">
        <v>17244</v>
      </c>
      <c r="B6812" t="s">
        <v>17317</v>
      </c>
      <c r="C6812" t="s">
        <v>17431</v>
      </c>
      <c r="D6812" t="s">
        <v>17250</v>
      </c>
      <c r="E6812" t="s">
        <v>17250</v>
      </c>
      <c r="F6812" t="s">
        <v>17250</v>
      </c>
      <c r="G6812" t="s">
        <v>17250</v>
      </c>
      <c r="H6812" t="s">
        <v>78</v>
      </c>
      <c r="I6812" t="s">
        <v>132</v>
      </c>
      <c r="J6812" t="str">
        <f>"2342000"</f>
        <v>2342000</v>
      </c>
      <c r="K6812">
        <v>2467028338</v>
      </c>
      <c r="L6812">
        <v>2467028338</v>
      </c>
      <c r="M6812" t="s">
        <v>17432</v>
      </c>
      <c r="N6812" t="s">
        <v>17253</v>
      </c>
      <c r="O6812" t="s">
        <v>11247</v>
      </c>
      <c r="P6812">
        <v>52100</v>
      </c>
      <c r="Q6812" t="str">
        <f>"40.543286"</f>
        <v>40.543286</v>
      </c>
      <c r="R6812" t="str">
        <f>"21.263301"</f>
        <v>21.263301</v>
      </c>
      <c r="S6812" t="s">
        <v>26</v>
      </c>
    </row>
    <row r="6813" spans="1:19" x14ac:dyDescent="0.3">
      <c r="A6813" t="s">
        <v>17244</v>
      </c>
      <c r="B6813" t="s">
        <v>17433</v>
      </c>
      <c r="C6813" t="s">
        <v>17468</v>
      </c>
      <c r="D6813" t="s">
        <v>17255</v>
      </c>
      <c r="E6813" t="s">
        <v>17434</v>
      </c>
      <c r="F6813" t="s">
        <v>17466</v>
      </c>
      <c r="G6813" t="s">
        <v>17467</v>
      </c>
      <c r="H6813" t="s">
        <v>78</v>
      </c>
      <c r="I6813" t="s">
        <v>79</v>
      </c>
      <c r="J6813" t="str">
        <f>"2740101"</f>
        <v>2740101</v>
      </c>
      <c r="K6813">
        <v>2465021311</v>
      </c>
      <c r="L6813">
        <v>2465021311</v>
      </c>
      <c r="M6813" t="s">
        <v>17469</v>
      </c>
      <c r="N6813" t="s">
        <v>17470</v>
      </c>
      <c r="O6813" t="s">
        <v>17471</v>
      </c>
      <c r="P6813">
        <v>50300</v>
      </c>
      <c r="Q6813" t="str">
        <f>"40.262171"</f>
        <v>40.262171</v>
      </c>
      <c r="R6813" t="str">
        <f>"21.550925"</f>
        <v>21.550925</v>
      </c>
      <c r="S6813" t="s">
        <v>26</v>
      </c>
    </row>
    <row r="6814" spans="1:19" x14ac:dyDescent="0.3">
      <c r="A6814" t="s">
        <v>17244</v>
      </c>
      <c r="B6814" t="s">
        <v>17433</v>
      </c>
      <c r="C6814" t="s">
        <v>17473</v>
      </c>
      <c r="D6814" t="s">
        <v>17255</v>
      </c>
      <c r="E6814" t="s">
        <v>17460</v>
      </c>
      <c r="F6814" t="s">
        <v>17460</v>
      </c>
      <c r="G6814" t="s">
        <v>17460</v>
      </c>
      <c r="H6814" t="s">
        <v>78</v>
      </c>
      <c r="I6814" t="s">
        <v>79</v>
      </c>
      <c r="J6814" t="str">
        <f>"2740070"</f>
        <v>2740070</v>
      </c>
      <c r="K6814">
        <v>2464021518</v>
      </c>
      <c r="L6814">
        <v>2464021445</v>
      </c>
      <c r="M6814" t="s">
        <v>17474</v>
      </c>
      <c r="N6814" t="s">
        <v>17475</v>
      </c>
      <c r="O6814" t="s">
        <v>17476</v>
      </c>
      <c r="P6814">
        <v>50500</v>
      </c>
      <c r="Q6814" t="str">
        <f>"40.187397"</f>
        <v>40.187397</v>
      </c>
      <c r="R6814" t="str">
        <f>"22.008507"</f>
        <v>22.008507</v>
      </c>
      <c r="S6814" t="s">
        <v>26</v>
      </c>
    </row>
    <row r="6815" spans="1:19" x14ac:dyDescent="0.3">
      <c r="A6815" t="s">
        <v>17244</v>
      </c>
      <c r="B6815" t="s">
        <v>17433</v>
      </c>
      <c r="C6815" t="s">
        <v>17481</v>
      </c>
      <c r="D6815" t="s">
        <v>17255</v>
      </c>
      <c r="E6815" t="s">
        <v>17255</v>
      </c>
      <c r="F6815" t="s">
        <v>17255</v>
      </c>
      <c r="G6815" t="s">
        <v>17255</v>
      </c>
      <c r="H6815" t="s">
        <v>78</v>
      </c>
      <c r="I6815" t="s">
        <v>132</v>
      </c>
      <c r="J6815" t="str">
        <f>"2750081"</f>
        <v>2750081</v>
      </c>
      <c r="K6815">
        <v>2461039806</v>
      </c>
      <c r="L6815">
        <v>2461021852</v>
      </c>
      <c r="M6815" t="s">
        <v>17482</v>
      </c>
      <c r="N6815" t="s">
        <v>17258</v>
      </c>
      <c r="O6815" t="s">
        <v>17483</v>
      </c>
      <c r="P6815">
        <v>50100</v>
      </c>
      <c r="Q6815" t="str">
        <f>"40.302110"</f>
        <v>40.302110</v>
      </c>
      <c r="R6815" t="str">
        <f>"21.803050"</f>
        <v>21.803050</v>
      </c>
      <c r="S6815" t="s">
        <v>26</v>
      </c>
    </row>
    <row r="6816" spans="1:19" x14ac:dyDescent="0.3">
      <c r="A6816" t="s">
        <v>17244</v>
      </c>
      <c r="B6816" t="s">
        <v>17433</v>
      </c>
      <c r="C6816" t="s">
        <v>17485</v>
      </c>
      <c r="D6816" t="s">
        <v>17255</v>
      </c>
      <c r="E6816" t="s">
        <v>17255</v>
      </c>
      <c r="F6816" t="s">
        <v>17255</v>
      </c>
      <c r="G6816" t="s">
        <v>17255</v>
      </c>
      <c r="H6816" t="s">
        <v>78</v>
      </c>
      <c r="I6816" t="s">
        <v>79</v>
      </c>
      <c r="J6816" t="str">
        <f>"2740080"</f>
        <v>2740080</v>
      </c>
      <c r="K6816">
        <v>2461031765</v>
      </c>
      <c r="L6816">
        <v>2461021082</v>
      </c>
      <c r="M6816" t="s">
        <v>17486</v>
      </c>
      <c r="N6816" t="s">
        <v>17258</v>
      </c>
      <c r="O6816" t="s">
        <v>17487</v>
      </c>
      <c r="P6816">
        <v>50100</v>
      </c>
      <c r="Q6816" t="str">
        <f>"40.302531"</f>
        <v>40.302531</v>
      </c>
      <c r="R6816" t="str">
        <f>"21.803238"</f>
        <v>21.803238</v>
      </c>
      <c r="S6816" t="s">
        <v>26</v>
      </c>
    </row>
    <row r="6817" spans="1:19" x14ac:dyDescent="0.3">
      <c r="A6817" t="s">
        <v>17244</v>
      </c>
      <c r="B6817" t="s">
        <v>17433</v>
      </c>
      <c r="C6817" t="s">
        <v>17491</v>
      </c>
      <c r="D6817" t="s">
        <v>17255</v>
      </c>
      <c r="E6817" t="s">
        <v>17488</v>
      </c>
      <c r="F6817" t="s">
        <v>17489</v>
      </c>
      <c r="G6817" t="s">
        <v>17490</v>
      </c>
      <c r="H6817" t="s">
        <v>78</v>
      </c>
      <c r="I6817" t="s">
        <v>79</v>
      </c>
      <c r="J6817" t="str">
        <f>"2740105"</f>
        <v>2740105</v>
      </c>
      <c r="K6817">
        <v>2463025511</v>
      </c>
      <c r="L6817">
        <v>2463082234</v>
      </c>
      <c r="M6817" t="s">
        <v>17492</v>
      </c>
      <c r="N6817" t="s">
        <v>17493</v>
      </c>
      <c r="O6817" t="s">
        <v>17494</v>
      </c>
      <c r="P6817">
        <v>50200</v>
      </c>
      <c r="Q6817" t="str">
        <f>"40.509488"</f>
        <v>40.509488</v>
      </c>
      <c r="R6817" t="str">
        <f>"21.681861"</f>
        <v>21.681861</v>
      </c>
      <c r="S6817" t="s">
        <v>26</v>
      </c>
    </row>
    <row r="6818" spans="1:19" x14ac:dyDescent="0.3">
      <c r="A6818" t="s">
        <v>17244</v>
      </c>
      <c r="B6818" t="s">
        <v>17433</v>
      </c>
      <c r="C6818" t="s">
        <v>17518</v>
      </c>
      <c r="D6818" t="s">
        <v>17255</v>
      </c>
      <c r="E6818" t="s">
        <v>17255</v>
      </c>
      <c r="F6818" t="s">
        <v>17255</v>
      </c>
      <c r="G6818" t="s">
        <v>17255</v>
      </c>
      <c r="H6818" t="s">
        <v>78</v>
      </c>
      <c r="I6818" t="s">
        <v>79</v>
      </c>
      <c r="J6818" t="str">
        <f>"2740090"</f>
        <v>2740090</v>
      </c>
      <c r="K6818">
        <v>2461026994</v>
      </c>
      <c r="L6818">
        <v>2461032588</v>
      </c>
      <c r="M6818" t="s">
        <v>17519</v>
      </c>
      <c r="N6818" t="s">
        <v>17255</v>
      </c>
      <c r="O6818" t="s">
        <v>17520</v>
      </c>
      <c r="P6818">
        <v>50100</v>
      </c>
      <c r="Q6818" t="str">
        <f>"40.296480"</f>
        <v>40.296480</v>
      </c>
      <c r="R6818" t="str">
        <f>"21.798716"</f>
        <v>21.798716</v>
      </c>
      <c r="S6818" t="s">
        <v>26</v>
      </c>
    </row>
    <row r="6819" spans="1:19" x14ac:dyDescent="0.3">
      <c r="A6819" t="s">
        <v>17244</v>
      </c>
      <c r="B6819" t="s">
        <v>17433</v>
      </c>
      <c r="C6819" t="s">
        <v>17524</v>
      </c>
      <c r="D6819" t="s">
        <v>17255</v>
      </c>
      <c r="E6819" t="s">
        <v>17488</v>
      </c>
      <c r="F6819" t="s">
        <v>17489</v>
      </c>
      <c r="G6819" t="s">
        <v>17490</v>
      </c>
      <c r="H6819" t="s">
        <v>78</v>
      </c>
      <c r="I6819" t="s">
        <v>132</v>
      </c>
      <c r="J6819" t="str">
        <f>"2750110"</f>
        <v>2750110</v>
      </c>
      <c r="K6819">
        <v>2463023110</v>
      </c>
      <c r="L6819">
        <v>2463023110</v>
      </c>
      <c r="M6819" t="s">
        <v>17525</v>
      </c>
      <c r="N6819" t="s">
        <v>17526</v>
      </c>
      <c r="O6819" t="s">
        <v>17527</v>
      </c>
      <c r="P6819">
        <v>50200</v>
      </c>
      <c r="Q6819" t="str">
        <f>"40.510729"</f>
        <v>40.510729</v>
      </c>
      <c r="R6819" t="str">
        <f>"21.665570"</f>
        <v>21.665570</v>
      </c>
      <c r="S6819" t="s">
        <v>26</v>
      </c>
    </row>
    <row r="6820" spans="1:19" x14ac:dyDescent="0.3">
      <c r="A6820" t="s">
        <v>17244</v>
      </c>
      <c r="B6820" t="s">
        <v>17433</v>
      </c>
      <c r="C6820" t="s">
        <v>17534</v>
      </c>
      <c r="D6820" t="s">
        <v>17255</v>
      </c>
      <c r="E6820" t="s">
        <v>17488</v>
      </c>
      <c r="F6820" t="s">
        <v>17489</v>
      </c>
      <c r="G6820" t="s">
        <v>17490</v>
      </c>
      <c r="H6820" t="s">
        <v>78</v>
      </c>
      <c r="I6820" t="s">
        <v>79</v>
      </c>
      <c r="J6820" t="str">
        <f>"2740100"</f>
        <v>2740100</v>
      </c>
      <c r="K6820">
        <v>2463024307</v>
      </c>
      <c r="L6820">
        <v>2463028899</v>
      </c>
      <c r="M6820" t="s">
        <v>17535</v>
      </c>
      <c r="N6820" t="s">
        <v>17493</v>
      </c>
      <c r="O6820" t="s">
        <v>17536</v>
      </c>
      <c r="P6820">
        <v>50200</v>
      </c>
      <c r="Q6820" t="str">
        <f>"40.509380"</f>
        <v>40.509380</v>
      </c>
      <c r="R6820" t="str">
        <f>"21.671809"</f>
        <v>21.671809</v>
      </c>
      <c r="S6820" t="s">
        <v>26</v>
      </c>
    </row>
    <row r="6821" spans="1:19" x14ac:dyDescent="0.3">
      <c r="A6821" t="s">
        <v>17244</v>
      </c>
      <c r="B6821" t="s">
        <v>17681</v>
      </c>
      <c r="C6821" t="s">
        <v>17693</v>
      </c>
      <c r="D6821" t="s">
        <v>17260</v>
      </c>
      <c r="E6821" t="s">
        <v>17260</v>
      </c>
      <c r="F6821" t="s">
        <v>17260</v>
      </c>
      <c r="G6821" t="s">
        <v>17261</v>
      </c>
      <c r="H6821" t="s">
        <v>78</v>
      </c>
      <c r="I6821" t="s">
        <v>79</v>
      </c>
      <c r="J6821" t="str">
        <f>"4740050"</f>
        <v>4740050</v>
      </c>
      <c r="K6821">
        <v>2385046137</v>
      </c>
      <c r="L6821">
        <v>2385044295</v>
      </c>
      <c r="M6821" t="s">
        <v>17694</v>
      </c>
      <c r="N6821" t="s">
        <v>17264</v>
      </c>
      <c r="O6821" t="s">
        <v>17695</v>
      </c>
      <c r="P6821">
        <v>53100</v>
      </c>
      <c r="Q6821" t="str">
        <f>"40.803989"</f>
        <v>40.803989</v>
      </c>
      <c r="R6821" t="str">
        <f>"21.422157"</f>
        <v>21.422157</v>
      </c>
      <c r="S6821" t="s">
        <v>26</v>
      </c>
    </row>
    <row r="6822" spans="1:19" x14ac:dyDescent="0.3">
      <c r="A6822" t="s">
        <v>17244</v>
      </c>
      <c r="B6822" t="s">
        <v>17681</v>
      </c>
      <c r="C6822" t="s">
        <v>17702</v>
      </c>
      <c r="D6822" t="s">
        <v>17260</v>
      </c>
      <c r="E6822" t="s">
        <v>17701</v>
      </c>
      <c r="F6822" t="s">
        <v>17701</v>
      </c>
      <c r="G6822" t="s">
        <v>17701</v>
      </c>
      <c r="H6822" t="s">
        <v>78</v>
      </c>
      <c r="I6822" t="s">
        <v>79</v>
      </c>
      <c r="J6822" t="str">
        <f>"4740051"</f>
        <v>4740051</v>
      </c>
      <c r="K6822">
        <v>2386022984</v>
      </c>
      <c r="L6822">
        <v>2386022984</v>
      </c>
      <c r="M6822" t="s">
        <v>17703</v>
      </c>
      <c r="N6822" t="s">
        <v>17704</v>
      </c>
      <c r="O6822" t="s">
        <v>2072</v>
      </c>
      <c r="P6822">
        <v>53200</v>
      </c>
      <c r="Q6822" t="str">
        <f>"40.697065"</f>
        <v>40.697065</v>
      </c>
      <c r="R6822" t="str">
        <f>"21.678687"</f>
        <v>21.678687</v>
      </c>
      <c r="S6822" t="s">
        <v>26</v>
      </c>
    </row>
    <row r="6823" spans="1:19" x14ac:dyDescent="0.3">
      <c r="A6823" t="s">
        <v>17244</v>
      </c>
      <c r="B6823" t="s">
        <v>17681</v>
      </c>
      <c r="C6823" t="s">
        <v>17781</v>
      </c>
      <c r="D6823" t="s">
        <v>17260</v>
      </c>
      <c r="E6823" t="s">
        <v>17260</v>
      </c>
      <c r="F6823" t="s">
        <v>17260</v>
      </c>
      <c r="G6823" t="s">
        <v>17261</v>
      </c>
      <c r="H6823" t="s">
        <v>78</v>
      </c>
      <c r="I6823" t="s">
        <v>132</v>
      </c>
      <c r="J6823" t="str">
        <f>"4753001"</f>
        <v>4753001</v>
      </c>
      <c r="K6823">
        <v>2385044733</v>
      </c>
      <c r="L6823">
        <v>2385044733</v>
      </c>
      <c r="M6823" t="s">
        <v>17782</v>
      </c>
      <c r="N6823" t="s">
        <v>17264</v>
      </c>
      <c r="O6823" t="s">
        <v>17783</v>
      </c>
      <c r="P6823">
        <v>53100</v>
      </c>
      <c r="Q6823" t="str">
        <f>"40.803948"</f>
        <v>40.803948</v>
      </c>
      <c r="R6823" t="str">
        <f>"21.421986"</f>
        <v>21.421986</v>
      </c>
      <c r="S6823" t="s">
        <v>26</v>
      </c>
    </row>
    <row r="6824" spans="1:19" x14ac:dyDescent="0.3">
      <c r="A6824" t="s">
        <v>18804</v>
      </c>
      <c r="B6824" t="s">
        <v>18830</v>
      </c>
      <c r="C6824" t="s">
        <v>18842</v>
      </c>
      <c r="D6824" t="s">
        <v>18805</v>
      </c>
      <c r="E6824" t="s">
        <v>18806</v>
      </c>
      <c r="F6824" t="s">
        <v>18806</v>
      </c>
      <c r="G6824" t="s">
        <v>18806</v>
      </c>
      <c r="H6824" t="s">
        <v>78</v>
      </c>
      <c r="I6824" t="s">
        <v>132</v>
      </c>
      <c r="J6824" t="str">
        <f>"0440025"</f>
        <v>0440025</v>
      </c>
      <c r="K6824">
        <v>2681021312</v>
      </c>
      <c r="L6824">
        <v>2681021312</v>
      </c>
      <c r="M6824" t="s">
        <v>18843</v>
      </c>
      <c r="N6824" t="s">
        <v>18809</v>
      </c>
      <c r="O6824" t="s">
        <v>18844</v>
      </c>
      <c r="P6824">
        <v>47132</v>
      </c>
      <c r="Q6824" t="str">
        <f>"39.154232"</f>
        <v>39.154232</v>
      </c>
      <c r="R6824" t="str">
        <f>"20.997447"</f>
        <v>20.997447</v>
      </c>
      <c r="S6824" t="s">
        <v>26</v>
      </c>
    </row>
    <row r="6825" spans="1:19" x14ac:dyDescent="0.3">
      <c r="A6825" t="s">
        <v>18804</v>
      </c>
      <c r="B6825" t="s">
        <v>18830</v>
      </c>
      <c r="C6825" t="s">
        <v>18853</v>
      </c>
      <c r="D6825" t="s">
        <v>18805</v>
      </c>
      <c r="E6825" t="s">
        <v>18806</v>
      </c>
      <c r="F6825" t="s">
        <v>18806</v>
      </c>
      <c r="G6825" t="s">
        <v>18806</v>
      </c>
      <c r="H6825" t="s">
        <v>78</v>
      </c>
      <c r="I6825" t="s">
        <v>79</v>
      </c>
      <c r="J6825" t="str">
        <f>"0440030"</f>
        <v>0440030</v>
      </c>
      <c r="K6825">
        <v>2681022901</v>
      </c>
      <c r="L6825">
        <v>2681022901</v>
      </c>
      <c r="M6825" t="s">
        <v>18854</v>
      </c>
      <c r="N6825" t="s">
        <v>18809</v>
      </c>
      <c r="O6825" t="s">
        <v>18855</v>
      </c>
      <c r="P6825">
        <v>47100</v>
      </c>
      <c r="Q6825" t="str">
        <f>"39.154107"</f>
        <v>39.154107</v>
      </c>
      <c r="R6825" t="str">
        <f>"20.997354"</f>
        <v>20.997354</v>
      </c>
      <c r="S6825" t="s">
        <v>26</v>
      </c>
    </row>
    <row r="6826" spans="1:19" x14ac:dyDescent="0.3">
      <c r="A6826" t="s">
        <v>18804</v>
      </c>
      <c r="B6826" t="s">
        <v>18964</v>
      </c>
      <c r="C6826" t="s">
        <v>18977</v>
      </c>
      <c r="D6826" t="s">
        <v>18811</v>
      </c>
      <c r="E6826" t="s">
        <v>16264</v>
      </c>
      <c r="F6826" t="s">
        <v>18976</v>
      </c>
      <c r="G6826" t="s">
        <v>18976</v>
      </c>
      <c r="H6826" t="s">
        <v>78</v>
      </c>
      <c r="I6826" t="s">
        <v>79</v>
      </c>
      <c r="J6826" t="str">
        <f>"1840035"</f>
        <v>1840035</v>
      </c>
      <c r="K6826">
        <v>2666023780</v>
      </c>
      <c r="L6826">
        <v>2666023780</v>
      </c>
      <c r="M6826" t="s">
        <v>18978</v>
      </c>
      <c r="N6826" t="s">
        <v>18979</v>
      </c>
      <c r="O6826" t="s">
        <v>18979</v>
      </c>
      <c r="P6826">
        <v>46200</v>
      </c>
      <c r="Q6826" t="str">
        <f>"39.462315"</f>
        <v>39.462315</v>
      </c>
      <c r="R6826" t="str">
        <f>"20.510311"</f>
        <v>20.510311</v>
      </c>
      <c r="S6826" t="s">
        <v>26</v>
      </c>
    </row>
    <row r="6827" spans="1:19" x14ac:dyDescent="0.3">
      <c r="A6827" t="s">
        <v>18804</v>
      </c>
      <c r="B6827" t="s">
        <v>18964</v>
      </c>
      <c r="C6827" t="s">
        <v>19005</v>
      </c>
      <c r="D6827" t="s">
        <v>18811</v>
      </c>
      <c r="E6827" t="s">
        <v>18812</v>
      </c>
      <c r="F6827" t="s">
        <v>18813</v>
      </c>
      <c r="G6827" t="s">
        <v>18812</v>
      </c>
      <c r="H6827" t="s">
        <v>78</v>
      </c>
      <c r="I6827" t="s">
        <v>79</v>
      </c>
      <c r="J6827" t="str">
        <f>"1840030"</f>
        <v>1840030</v>
      </c>
      <c r="K6827">
        <v>2665023521</v>
      </c>
      <c r="L6827">
        <v>2665028719</v>
      </c>
      <c r="M6827" t="s">
        <v>19006</v>
      </c>
      <c r="N6827" t="s">
        <v>18816</v>
      </c>
      <c r="O6827" t="s">
        <v>19007</v>
      </c>
      <c r="P6827">
        <v>46100</v>
      </c>
      <c r="Q6827" t="str">
        <f>"39.513052"</f>
        <v>39.513052</v>
      </c>
      <c r="R6827" t="str">
        <f>"20.258348"</f>
        <v>20.258348</v>
      </c>
      <c r="S6827" t="s">
        <v>26</v>
      </c>
    </row>
    <row r="6828" spans="1:19" x14ac:dyDescent="0.3">
      <c r="A6828" t="s">
        <v>18804</v>
      </c>
      <c r="B6828" t="s">
        <v>18964</v>
      </c>
      <c r="C6828" t="s">
        <v>19047</v>
      </c>
      <c r="D6828" t="s">
        <v>18811</v>
      </c>
      <c r="E6828" t="s">
        <v>18981</v>
      </c>
      <c r="F6828" t="s">
        <v>18981</v>
      </c>
      <c r="G6828" t="s">
        <v>18981</v>
      </c>
      <c r="H6828" t="s">
        <v>78</v>
      </c>
      <c r="I6828" t="s">
        <v>79</v>
      </c>
      <c r="J6828" t="str">
        <f>"1840040"</f>
        <v>1840040</v>
      </c>
      <c r="K6828">
        <v>2664022257</v>
      </c>
      <c r="L6828">
        <v>2664022257</v>
      </c>
      <c r="M6828" t="s">
        <v>19048</v>
      </c>
      <c r="N6828" t="s">
        <v>18985</v>
      </c>
      <c r="O6828" t="s">
        <v>19049</v>
      </c>
      <c r="P6828">
        <v>46300</v>
      </c>
      <c r="Q6828" t="str">
        <f>"39.602345"</f>
        <v>39.602345</v>
      </c>
      <c r="R6828" t="str">
        <f>"20.305581"</f>
        <v>20.305581</v>
      </c>
      <c r="S6828" t="s">
        <v>26</v>
      </c>
    </row>
    <row r="6829" spans="1:19" x14ac:dyDescent="0.3">
      <c r="A6829" t="s">
        <v>18804</v>
      </c>
      <c r="B6829" t="s">
        <v>19060</v>
      </c>
      <c r="C6829" t="s">
        <v>19089</v>
      </c>
      <c r="D6829" t="s">
        <v>18818</v>
      </c>
      <c r="E6829" t="s">
        <v>18819</v>
      </c>
      <c r="F6829" t="s">
        <v>18819</v>
      </c>
      <c r="G6829" t="s">
        <v>18819</v>
      </c>
      <c r="H6829" t="s">
        <v>78</v>
      </c>
      <c r="I6829" t="s">
        <v>132</v>
      </c>
      <c r="J6829" t="str">
        <f>"2040041"</f>
        <v>2040041</v>
      </c>
      <c r="K6829">
        <v>2651043126</v>
      </c>
      <c r="L6829">
        <v>2651043126</v>
      </c>
      <c r="M6829" t="s">
        <v>19090</v>
      </c>
      <c r="N6829" t="s">
        <v>19091</v>
      </c>
      <c r="O6829" t="s">
        <v>19092</v>
      </c>
      <c r="P6829">
        <v>45332</v>
      </c>
      <c r="Q6829" t="str">
        <f>"39.649375"</f>
        <v>39.649375</v>
      </c>
      <c r="R6829" t="str">
        <f>"20.844976"</f>
        <v>20.844976</v>
      </c>
      <c r="S6829" t="s">
        <v>26</v>
      </c>
    </row>
    <row r="6830" spans="1:19" x14ac:dyDescent="0.3">
      <c r="A6830" t="s">
        <v>18804</v>
      </c>
      <c r="B6830" t="s">
        <v>19060</v>
      </c>
      <c r="C6830" t="s">
        <v>19094</v>
      </c>
      <c r="D6830" t="s">
        <v>18818</v>
      </c>
      <c r="E6830" t="s">
        <v>18819</v>
      </c>
      <c r="F6830" t="s">
        <v>18819</v>
      </c>
      <c r="G6830" t="s">
        <v>18819</v>
      </c>
      <c r="H6830" t="s">
        <v>78</v>
      </c>
      <c r="I6830" t="s">
        <v>79</v>
      </c>
      <c r="J6830" t="str">
        <f>"2040042"</f>
        <v>2040042</v>
      </c>
      <c r="K6830">
        <v>2651043128</v>
      </c>
      <c r="L6830">
        <v>2651043248</v>
      </c>
      <c r="M6830" t="s">
        <v>19095</v>
      </c>
      <c r="N6830" t="s">
        <v>18822</v>
      </c>
      <c r="O6830" t="s">
        <v>19096</v>
      </c>
      <c r="P6830">
        <v>45332</v>
      </c>
      <c r="Q6830" t="str">
        <f>"39.649444"</f>
        <v>39.649444</v>
      </c>
      <c r="R6830" t="str">
        <f>"20.845072"</f>
        <v>20.845072</v>
      </c>
      <c r="S6830" t="s">
        <v>26</v>
      </c>
    </row>
    <row r="6831" spans="1:19" x14ac:dyDescent="0.3">
      <c r="A6831" t="s">
        <v>18804</v>
      </c>
      <c r="B6831" t="s">
        <v>19060</v>
      </c>
      <c r="C6831" t="s">
        <v>19107</v>
      </c>
      <c r="D6831" t="s">
        <v>18818</v>
      </c>
      <c r="E6831" t="s">
        <v>19105</v>
      </c>
      <c r="F6831" t="s">
        <v>19105</v>
      </c>
      <c r="G6831" t="s">
        <v>19106</v>
      </c>
      <c r="H6831" t="s">
        <v>78</v>
      </c>
      <c r="I6831" t="s">
        <v>79</v>
      </c>
      <c r="J6831" t="str">
        <f>"2040070"</f>
        <v>2040070</v>
      </c>
      <c r="K6831">
        <v>2655022496</v>
      </c>
      <c r="L6831">
        <v>2655022496</v>
      </c>
      <c r="M6831" t="s">
        <v>19108</v>
      </c>
      <c r="O6831" t="s">
        <v>19109</v>
      </c>
      <c r="P6831">
        <v>44100</v>
      </c>
      <c r="Q6831" t="str">
        <f>"40.047300"</f>
        <v>40.047300</v>
      </c>
      <c r="R6831" t="str">
        <f>"20.744233"</f>
        <v>20.744233</v>
      </c>
      <c r="S6831" t="s">
        <v>26</v>
      </c>
    </row>
    <row r="6832" spans="1:19" x14ac:dyDescent="0.3">
      <c r="A6832" t="s">
        <v>18804</v>
      </c>
      <c r="B6832" t="s">
        <v>19060</v>
      </c>
      <c r="C6832" t="s">
        <v>19118</v>
      </c>
      <c r="D6832" t="s">
        <v>18818</v>
      </c>
      <c r="E6832" t="s">
        <v>18819</v>
      </c>
      <c r="F6832" t="s">
        <v>18819</v>
      </c>
      <c r="G6832" t="s">
        <v>18819</v>
      </c>
      <c r="H6832" t="s">
        <v>78</v>
      </c>
      <c r="I6832" t="s">
        <v>79</v>
      </c>
      <c r="J6832" t="str">
        <f>"2050056"</f>
        <v>2050056</v>
      </c>
      <c r="K6832">
        <v>2651043127</v>
      </c>
      <c r="L6832">
        <v>2651043127</v>
      </c>
      <c r="M6832" t="s">
        <v>19119</v>
      </c>
      <c r="N6832" t="s">
        <v>18822</v>
      </c>
      <c r="O6832" t="s">
        <v>19120</v>
      </c>
      <c r="P6832">
        <v>45332</v>
      </c>
      <c r="Q6832" t="str">
        <f>"39.651909"</f>
        <v>39.651909</v>
      </c>
      <c r="R6832" t="str">
        <f>"20.844634"</f>
        <v>20.844634</v>
      </c>
      <c r="S6832" t="s">
        <v>26</v>
      </c>
    </row>
    <row r="6833" spans="1:19" x14ac:dyDescent="0.3">
      <c r="A6833" t="s">
        <v>18804</v>
      </c>
      <c r="B6833" t="s">
        <v>19060</v>
      </c>
      <c r="C6833" t="s">
        <v>19125</v>
      </c>
      <c r="D6833" t="s">
        <v>18818</v>
      </c>
      <c r="E6833" t="s">
        <v>18819</v>
      </c>
      <c r="F6833" t="s">
        <v>18819</v>
      </c>
      <c r="G6833" t="s">
        <v>18819</v>
      </c>
      <c r="H6833" t="s">
        <v>78</v>
      </c>
      <c r="I6833" t="s">
        <v>79</v>
      </c>
      <c r="J6833" t="str">
        <f>"2040040"</f>
        <v>2040040</v>
      </c>
      <c r="K6833">
        <v>2651043955</v>
      </c>
      <c r="L6833">
        <v>2651042220</v>
      </c>
      <c r="M6833" t="s">
        <v>19126</v>
      </c>
      <c r="N6833" t="s">
        <v>18822</v>
      </c>
      <c r="O6833" t="s">
        <v>19127</v>
      </c>
      <c r="P6833">
        <v>45221</v>
      </c>
      <c r="Q6833" t="str">
        <f>"39.648884"</f>
        <v>39.648884</v>
      </c>
      <c r="R6833" t="str">
        <f>"20.850235"</f>
        <v>20.850235</v>
      </c>
      <c r="S6833" t="s">
        <v>26</v>
      </c>
    </row>
    <row r="6834" spans="1:19" x14ac:dyDescent="0.3">
      <c r="A6834" t="s">
        <v>18804</v>
      </c>
      <c r="B6834" t="s">
        <v>19060</v>
      </c>
      <c r="C6834" t="s">
        <v>19129</v>
      </c>
      <c r="D6834" t="s">
        <v>18818</v>
      </c>
      <c r="E6834" t="s">
        <v>19073</v>
      </c>
      <c r="F6834" t="s">
        <v>19073</v>
      </c>
      <c r="G6834" t="s">
        <v>19073</v>
      </c>
      <c r="H6834" t="s">
        <v>78</v>
      </c>
      <c r="I6834" t="s">
        <v>79</v>
      </c>
      <c r="J6834" t="str">
        <f>"2040045"</f>
        <v>2040045</v>
      </c>
      <c r="K6834">
        <v>2656041229</v>
      </c>
      <c r="L6834">
        <v>2656041967</v>
      </c>
      <c r="M6834" t="s">
        <v>19130</v>
      </c>
      <c r="N6834" t="s">
        <v>19076</v>
      </c>
      <c r="O6834" t="s">
        <v>19081</v>
      </c>
      <c r="P6834">
        <v>44200</v>
      </c>
      <c r="Q6834" t="str">
        <f>"39.774735"</f>
        <v>39.774735</v>
      </c>
      <c r="R6834" t="str">
        <f>"21.180766"</f>
        <v>21.180766</v>
      </c>
      <c r="S6834" t="s">
        <v>26</v>
      </c>
    </row>
    <row r="6835" spans="1:19" x14ac:dyDescent="0.3">
      <c r="A6835" t="s">
        <v>18804</v>
      </c>
      <c r="B6835" t="s">
        <v>19060</v>
      </c>
      <c r="C6835" t="s">
        <v>19149</v>
      </c>
      <c r="D6835" t="s">
        <v>18818</v>
      </c>
      <c r="E6835" t="s">
        <v>19111</v>
      </c>
      <c r="F6835" t="s">
        <v>19138</v>
      </c>
      <c r="G6835" t="s">
        <v>19148</v>
      </c>
      <c r="H6835" t="s">
        <v>78</v>
      </c>
      <c r="I6835" t="s">
        <v>79</v>
      </c>
      <c r="J6835" t="str">
        <f>"2040050"</f>
        <v>2040050</v>
      </c>
      <c r="K6835">
        <v>2651060679</v>
      </c>
      <c r="L6835">
        <v>2651060679</v>
      </c>
      <c r="M6835" t="s">
        <v>19150</v>
      </c>
      <c r="N6835" t="s">
        <v>19151</v>
      </c>
      <c r="O6835" t="s">
        <v>19152</v>
      </c>
      <c r="P6835">
        <v>45500</v>
      </c>
      <c r="Q6835" t="str">
        <f>"39.739111"</f>
        <v>39.739111</v>
      </c>
      <c r="R6835" t="str">
        <f>"20.763728"</f>
        <v>20.763728</v>
      </c>
      <c r="S6835" t="s">
        <v>26</v>
      </c>
    </row>
    <row r="6836" spans="1:19" x14ac:dyDescent="0.3">
      <c r="A6836" t="s">
        <v>18804</v>
      </c>
      <c r="B6836" t="s">
        <v>19325</v>
      </c>
      <c r="C6836" t="s">
        <v>19352</v>
      </c>
      <c r="D6836" t="s">
        <v>18824</v>
      </c>
      <c r="E6836" t="s">
        <v>19331</v>
      </c>
      <c r="F6836" t="s">
        <v>2777</v>
      </c>
      <c r="G6836" t="s">
        <v>19337</v>
      </c>
      <c r="H6836" t="s">
        <v>78</v>
      </c>
      <c r="I6836" t="s">
        <v>79</v>
      </c>
      <c r="J6836" t="str">
        <f>"4040060"</f>
        <v>4040060</v>
      </c>
      <c r="K6836">
        <v>2684022620</v>
      </c>
      <c r="L6836">
        <v>2684022620</v>
      </c>
      <c r="M6836" t="s">
        <v>19353</v>
      </c>
      <c r="N6836" t="s">
        <v>19354</v>
      </c>
      <c r="O6836" t="s">
        <v>19355</v>
      </c>
      <c r="P6836">
        <v>48062</v>
      </c>
      <c r="Q6836" t="str">
        <f>"39.224905"</f>
        <v>39.224905</v>
      </c>
      <c r="R6836" t="str">
        <f>"20.601127"</f>
        <v>20.601127</v>
      </c>
      <c r="S6836" t="s">
        <v>26</v>
      </c>
    </row>
    <row r="6837" spans="1:19" x14ac:dyDescent="0.3">
      <c r="A6837" t="s">
        <v>18804</v>
      </c>
      <c r="B6837" t="s">
        <v>19325</v>
      </c>
      <c r="C6837" t="s">
        <v>19376</v>
      </c>
      <c r="D6837" t="s">
        <v>18824</v>
      </c>
      <c r="E6837" t="s">
        <v>19357</v>
      </c>
      <c r="F6837" t="s">
        <v>19366</v>
      </c>
      <c r="G6837" t="s">
        <v>19366</v>
      </c>
      <c r="H6837" t="s">
        <v>78</v>
      </c>
      <c r="I6837" t="s">
        <v>79</v>
      </c>
      <c r="J6837" t="str">
        <f>"4040050"</f>
        <v>4040050</v>
      </c>
      <c r="K6837">
        <v>2683023598</v>
      </c>
      <c r="L6837">
        <v>2683023598</v>
      </c>
      <c r="M6837" t="s">
        <v>19377</v>
      </c>
      <c r="N6837" t="s">
        <v>19378</v>
      </c>
      <c r="O6837" t="s">
        <v>19379</v>
      </c>
      <c r="P6837">
        <v>48200</v>
      </c>
      <c r="Q6837" t="str">
        <f>"39.201018"</f>
        <v>39.201018</v>
      </c>
      <c r="R6837" t="str">
        <f>"20.887458"</f>
        <v>20.887458</v>
      </c>
      <c r="S6837" t="s">
        <v>26</v>
      </c>
    </row>
    <row r="6838" spans="1:19" x14ac:dyDescent="0.3">
      <c r="A6838" t="s">
        <v>18804</v>
      </c>
      <c r="B6838" t="s">
        <v>19325</v>
      </c>
      <c r="C6838" t="s">
        <v>19381</v>
      </c>
      <c r="D6838" t="s">
        <v>18824</v>
      </c>
      <c r="E6838" t="s">
        <v>18825</v>
      </c>
      <c r="F6838" t="s">
        <v>18825</v>
      </c>
      <c r="G6838" t="s">
        <v>18825</v>
      </c>
      <c r="H6838" t="s">
        <v>78</v>
      </c>
      <c r="I6838" t="s">
        <v>79</v>
      </c>
      <c r="J6838" t="str">
        <f>"4040030"</f>
        <v>4040030</v>
      </c>
      <c r="K6838">
        <v>2682028910</v>
      </c>
      <c r="L6838">
        <v>2682089065</v>
      </c>
      <c r="M6838" t="s">
        <v>19382</v>
      </c>
      <c r="N6838" t="s">
        <v>18828</v>
      </c>
      <c r="O6838" t="s">
        <v>19350</v>
      </c>
      <c r="P6838">
        <v>48100</v>
      </c>
      <c r="Q6838" t="str">
        <f>"38.976074"</f>
        <v>38.976074</v>
      </c>
      <c r="R6838" t="str">
        <f>"20.743548"</f>
        <v>20.743548</v>
      </c>
      <c r="S6838" t="s">
        <v>26</v>
      </c>
    </row>
    <row r="6839" spans="1:19" x14ac:dyDescent="0.3">
      <c r="A6839" t="s">
        <v>18804</v>
      </c>
      <c r="B6839" t="s">
        <v>19325</v>
      </c>
      <c r="C6839" t="s">
        <v>19428</v>
      </c>
      <c r="D6839" t="s">
        <v>18824</v>
      </c>
      <c r="E6839" t="s">
        <v>18825</v>
      </c>
      <c r="F6839" t="s">
        <v>18825</v>
      </c>
      <c r="G6839" t="s">
        <v>18825</v>
      </c>
      <c r="H6839" t="s">
        <v>78</v>
      </c>
      <c r="I6839" t="s">
        <v>132</v>
      </c>
      <c r="J6839" t="str">
        <f>"4053001"</f>
        <v>4053001</v>
      </c>
      <c r="K6839">
        <v>2682022881</v>
      </c>
      <c r="L6839">
        <v>2682022881</v>
      </c>
      <c r="M6839" t="s">
        <v>19429</v>
      </c>
      <c r="N6839" t="s">
        <v>18828</v>
      </c>
      <c r="O6839" t="s">
        <v>19350</v>
      </c>
      <c r="P6839">
        <v>48100</v>
      </c>
      <c r="Q6839" t="str">
        <f>"38.976078"</f>
        <v>38.976078</v>
      </c>
      <c r="R6839" t="str">
        <f>"20.743714"</f>
        <v>20.743714</v>
      </c>
      <c r="S6839" t="s">
        <v>26</v>
      </c>
    </row>
    <row r="6840" spans="1:19" x14ac:dyDescent="0.3">
      <c r="A6840" t="s">
        <v>20660</v>
      </c>
      <c r="B6840" t="s">
        <v>20686</v>
      </c>
      <c r="C6840" t="s">
        <v>20701</v>
      </c>
      <c r="D6840" t="s">
        <v>20661</v>
      </c>
      <c r="E6840" t="s">
        <v>20700</v>
      </c>
      <c r="F6840" t="s">
        <v>20700</v>
      </c>
      <c r="G6840" t="s">
        <v>20700</v>
      </c>
      <c r="H6840" t="s">
        <v>78</v>
      </c>
      <c r="I6840" t="s">
        <v>79</v>
      </c>
      <c r="J6840" t="str">
        <f>"2240062"</f>
        <v>2240062</v>
      </c>
      <c r="K6840">
        <v>2444024373</v>
      </c>
      <c r="L6840">
        <v>2444024373</v>
      </c>
      <c r="M6840" t="s">
        <v>20702</v>
      </c>
      <c r="N6840" t="s">
        <v>20703</v>
      </c>
      <c r="O6840" t="s">
        <v>20704</v>
      </c>
      <c r="P6840">
        <v>43200</v>
      </c>
      <c r="Q6840" t="str">
        <f>"39.463354"</f>
        <v>39.463354</v>
      </c>
      <c r="R6840" t="str">
        <f>"22.085603"</f>
        <v>22.085603</v>
      </c>
      <c r="S6840" t="s">
        <v>26</v>
      </c>
    </row>
    <row r="6841" spans="1:19" x14ac:dyDescent="0.3">
      <c r="A6841" t="s">
        <v>20660</v>
      </c>
      <c r="B6841" t="s">
        <v>20686</v>
      </c>
      <c r="C6841" t="s">
        <v>20706</v>
      </c>
      <c r="D6841" t="s">
        <v>20661</v>
      </c>
      <c r="E6841" t="s">
        <v>20687</v>
      </c>
      <c r="F6841" t="s">
        <v>20687</v>
      </c>
      <c r="G6841" t="s">
        <v>20687</v>
      </c>
      <c r="H6841" t="s">
        <v>78</v>
      </c>
      <c r="I6841" t="s">
        <v>79</v>
      </c>
      <c r="J6841" t="str">
        <f>"2240061"</f>
        <v>2240061</v>
      </c>
      <c r="K6841">
        <v>2443023579</v>
      </c>
      <c r="L6841">
        <v>2443023579</v>
      </c>
      <c r="M6841" t="s">
        <v>20707</v>
      </c>
      <c r="N6841" t="s">
        <v>20687</v>
      </c>
      <c r="O6841" t="s">
        <v>20708</v>
      </c>
      <c r="P6841">
        <v>43300</v>
      </c>
      <c r="Q6841" t="str">
        <f>"39.324676"</f>
        <v>39.324676</v>
      </c>
      <c r="R6841" t="str">
        <f>"22.105877"</f>
        <v>22.105877</v>
      </c>
      <c r="S6841" t="s">
        <v>26</v>
      </c>
    </row>
    <row r="6842" spans="1:19" x14ac:dyDescent="0.3">
      <c r="A6842" t="s">
        <v>20660</v>
      </c>
      <c r="B6842" t="s">
        <v>20686</v>
      </c>
      <c r="C6842" t="s">
        <v>20734</v>
      </c>
      <c r="D6842" t="s">
        <v>20661</v>
      </c>
      <c r="E6842" t="s">
        <v>17000</v>
      </c>
      <c r="F6842" t="s">
        <v>17000</v>
      </c>
      <c r="G6842" t="s">
        <v>17000</v>
      </c>
      <c r="H6842" t="s">
        <v>78</v>
      </c>
      <c r="I6842" t="s">
        <v>79</v>
      </c>
      <c r="J6842" t="str">
        <f>"2240063"</f>
        <v>2240063</v>
      </c>
      <c r="K6842">
        <v>2445041693</v>
      </c>
      <c r="L6842">
        <v>2445041693</v>
      </c>
      <c r="M6842" t="s">
        <v>20735</v>
      </c>
      <c r="N6842" t="s">
        <v>17000</v>
      </c>
      <c r="O6842" t="s">
        <v>17128</v>
      </c>
      <c r="P6842">
        <v>43060</v>
      </c>
      <c r="Q6842" t="str">
        <f>"39.429819"</f>
        <v>39.429819</v>
      </c>
      <c r="R6842" t="str">
        <f>"21.662135"</f>
        <v>21.662135</v>
      </c>
      <c r="S6842" t="s">
        <v>26</v>
      </c>
    </row>
    <row r="6843" spans="1:19" x14ac:dyDescent="0.3">
      <c r="A6843" t="s">
        <v>20660</v>
      </c>
      <c r="B6843" t="s">
        <v>20686</v>
      </c>
      <c r="C6843" t="s">
        <v>20745</v>
      </c>
      <c r="D6843" t="s">
        <v>20661</v>
      </c>
      <c r="E6843" t="s">
        <v>20661</v>
      </c>
      <c r="F6843" t="s">
        <v>20661</v>
      </c>
      <c r="G6843" t="s">
        <v>20662</v>
      </c>
      <c r="H6843" t="s">
        <v>78</v>
      </c>
      <c r="I6843" t="s">
        <v>79</v>
      </c>
      <c r="J6843" t="str">
        <f>"2250075"</f>
        <v>2250075</v>
      </c>
      <c r="K6843">
        <v>2441079629</v>
      </c>
      <c r="L6843">
        <v>2441079782</v>
      </c>
      <c r="M6843" t="s">
        <v>20746</v>
      </c>
      <c r="N6843" t="s">
        <v>20665</v>
      </c>
      <c r="O6843" t="s">
        <v>20747</v>
      </c>
      <c r="P6843">
        <v>43131</v>
      </c>
      <c r="Q6843" t="str">
        <f>"39.376461"</f>
        <v>39.376461</v>
      </c>
      <c r="R6843" t="str">
        <f>"21.908352"</f>
        <v>21.908352</v>
      </c>
      <c r="S6843" t="s">
        <v>26</v>
      </c>
    </row>
    <row r="6844" spans="1:19" x14ac:dyDescent="0.3">
      <c r="A6844" t="s">
        <v>20660</v>
      </c>
      <c r="B6844" t="s">
        <v>20686</v>
      </c>
      <c r="C6844" t="s">
        <v>20817</v>
      </c>
      <c r="D6844" t="s">
        <v>20661</v>
      </c>
      <c r="E6844" t="s">
        <v>20661</v>
      </c>
      <c r="F6844" t="s">
        <v>20661</v>
      </c>
      <c r="G6844" t="s">
        <v>20662</v>
      </c>
      <c r="H6844" t="s">
        <v>78</v>
      </c>
      <c r="I6844" t="s">
        <v>79</v>
      </c>
      <c r="J6844" t="str">
        <f>"2240060"</f>
        <v>2240060</v>
      </c>
      <c r="K6844">
        <v>2441027793</v>
      </c>
      <c r="L6844">
        <v>2441073422</v>
      </c>
      <c r="M6844" t="s">
        <v>20818</v>
      </c>
      <c r="N6844" t="s">
        <v>20665</v>
      </c>
      <c r="O6844" t="s">
        <v>20819</v>
      </c>
      <c r="P6844">
        <v>43131</v>
      </c>
      <c r="Q6844" t="str">
        <f>"39.375068"</f>
        <v>39.375068</v>
      </c>
      <c r="R6844" t="str">
        <f>"21.908592"</f>
        <v>21.908592</v>
      </c>
      <c r="S6844" t="s">
        <v>26</v>
      </c>
    </row>
    <row r="6845" spans="1:19" x14ac:dyDescent="0.3">
      <c r="A6845" t="s">
        <v>20660</v>
      </c>
      <c r="B6845" t="s">
        <v>20686</v>
      </c>
      <c r="C6845" t="s">
        <v>20825</v>
      </c>
      <c r="D6845" t="s">
        <v>20661</v>
      </c>
      <c r="E6845" t="s">
        <v>20661</v>
      </c>
      <c r="F6845" t="s">
        <v>20661</v>
      </c>
      <c r="G6845" t="s">
        <v>20662</v>
      </c>
      <c r="H6845" t="s">
        <v>78</v>
      </c>
      <c r="I6845" t="s">
        <v>132</v>
      </c>
      <c r="J6845" t="str">
        <f>"2250080"</f>
        <v>2250080</v>
      </c>
      <c r="K6845">
        <v>2441020643</v>
      </c>
      <c r="L6845">
        <v>2441020643</v>
      </c>
      <c r="M6845" t="s">
        <v>20826</v>
      </c>
      <c r="N6845" t="s">
        <v>20665</v>
      </c>
      <c r="O6845" t="s">
        <v>20827</v>
      </c>
      <c r="P6845">
        <v>43131</v>
      </c>
      <c r="Q6845" t="str">
        <f>"39.375121"</f>
        <v>39.375121</v>
      </c>
      <c r="R6845" t="str">
        <f>"21.907892"</f>
        <v>21.907892</v>
      </c>
      <c r="S6845" t="s">
        <v>26</v>
      </c>
    </row>
    <row r="6846" spans="1:19" x14ac:dyDescent="0.3">
      <c r="A6846" t="s">
        <v>20660</v>
      </c>
      <c r="B6846" t="s">
        <v>20830</v>
      </c>
      <c r="C6846" t="s">
        <v>20866</v>
      </c>
      <c r="D6846" t="s">
        <v>20667</v>
      </c>
      <c r="E6846" t="s">
        <v>20668</v>
      </c>
      <c r="F6846" t="s">
        <v>20668</v>
      </c>
      <c r="G6846" t="s">
        <v>20669</v>
      </c>
      <c r="H6846" t="s">
        <v>78</v>
      </c>
      <c r="I6846" t="s">
        <v>132</v>
      </c>
      <c r="J6846" t="str">
        <f>"3150130"</f>
        <v>3150130</v>
      </c>
      <c r="K6846">
        <v>2410622550</v>
      </c>
      <c r="L6846">
        <v>2410622550</v>
      </c>
      <c r="M6846" t="s">
        <v>20867</v>
      </c>
      <c r="N6846" t="s">
        <v>20672</v>
      </c>
      <c r="O6846" t="s">
        <v>20868</v>
      </c>
      <c r="P6846">
        <v>41335</v>
      </c>
      <c r="Q6846" t="str">
        <f>"39.612028"</f>
        <v>39.612028</v>
      </c>
      <c r="R6846" t="str">
        <f>"22.397670"</f>
        <v>22.397670</v>
      </c>
      <c r="S6846" t="s">
        <v>26</v>
      </c>
    </row>
    <row r="6847" spans="1:19" x14ac:dyDescent="0.3">
      <c r="A6847" t="s">
        <v>20660</v>
      </c>
      <c r="B6847" t="s">
        <v>20830</v>
      </c>
      <c r="C6847" t="s">
        <v>20876</v>
      </c>
      <c r="D6847" t="s">
        <v>20667</v>
      </c>
      <c r="E6847" t="s">
        <v>20875</v>
      </c>
      <c r="F6847" t="s">
        <v>20875</v>
      </c>
      <c r="G6847" t="s">
        <v>20875</v>
      </c>
      <c r="H6847" t="s">
        <v>78</v>
      </c>
      <c r="I6847" t="s">
        <v>79</v>
      </c>
      <c r="J6847" t="str">
        <f>"3140130"</f>
        <v>3140130</v>
      </c>
      <c r="K6847">
        <v>2491023755</v>
      </c>
      <c r="L6847">
        <v>2491026620</v>
      </c>
      <c r="M6847" t="s">
        <v>20877</v>
      </c>
      <c r="N6847" t="s">
        <v>20878</v>
      </c>
      <c r="O6847" t="s">
        <v>20879</v>
      </c>
      <c r="P6847">
        <v>40300</v>
      </c>
      <c r="Q6847" t="str">
        <f>"39.297105"</f>
        <v>39.297105</v>
      </c>
      <c r="R6847" t="str">
        <f>"22.371623"</f>
        <v>22.371623</v>
      </c>
      <c r="S6847" t="s">
        <v>26</v>
      </c>
    </row>
    <row r="6848" spans="1:19" x14ac:dyDescent="0.3">
      <c r="A6848" t="s">
        <v>20660</v>
      </c>
      <c r="B6848" t="s">
        <v>20830</v>
      </c>
      <c r="C6848" t="s">
        <v>20882</v>
      </c>
      <c r="D6848" t="s">
        <v>20667</v>
      </c>
      <c r="E6848" t="s">
        <v>20668</v>
      </c>
      <c r="F6848" t="s">
        <v>20668</v>
      </c>
      <c r="G6848" t="s">
        <v>20881</v>
      </c>
      <c r="H6848" t="s">
        <v>78</v>
      </c>
      <c r="I6848" t="s">
        <v>79</v>
      </c>
      <c r="J6848" t="str">
        <f>"3140110"</f>
        <v>3140110</v>
      </c>
      <c r="K6848">
        <v>2410615961</v>
      </c>
      <c r="L6848">
        <v>2410626462</v>
      </c>
      <c r="M6848" t="s">
        <v>20883</v>
      </c>
      <c r="N6848" t="s">
        <v>20672</v>
      </c>
      <c r="O6848" t="s">
        <v>20884</v>
      </c>
      <c r="P6848">
        <v>41335</v>
      </c>
      <c r="Q6848" t="str">
        <f>"39.611987"</f>
        <v>39.611987</v>
      </c>
      <c r="R6848" t="str">
        <f>"22.397134"</f>
        <v>22.397134</v>
      </c>
      <c r="S6848" t="s">
        <v>26</v>
      </c>
    </row>
    <row r="6849" spans="1:19" x14ac:dyDescent="0.3">
      <c r="A6849" t="s">
        <v>20660</v>
      </c>
      <c r="B6849" t="s">
        <v>20830</v>
      </c>
      <c r="C6849" t="s">
        <v>20930</v>
      </c>
      <c r="D6849" t="s">
        <v>20667</v>
      </c>
      <c r="E6849" t="s">
        <v>20668</v>
      </c>
      <c r="F6849" t="s">
        <v>20668</v>
      </c>
      <c r="G6849" t="s">
        <v>20881</v>
      </c>
      <c r="H6849" t="s">
        <v>78</v>
      </c>
      <c r="I6849" t="s">
        <v>79</v>
      </c>
      <c r="J6849" t="str">
        <f>"3150135"</f>
        <v>3150135</v>
      </c>
      <c r="K6849">
        <v>2410670290</v>
      </c>
      <c r="L6849">
        <v>2410670291</v>
      </c>
      <c r="M6849" t="s">
        <v>20931</v>
      </c>
      <c r="N6849" t="s">
        <v>20667</v>
      </c>
      <c r="O6849" t="s">
        <v>20932</v>
      </c>
      <c r="P6849">
        <v>41335</v>
      </c>
      <c r="Q6849" t="str">
        <f>"39.617359"</f>
        <v>39.617359</v>
      </c>
      <c r="R6849" t="str">
        <f>"22.419699"</f>
        <v>22.419699</v>
      </c>
      <c r="S6849" t="s">
        <v>26</v>
      </c>
    </row>
    <row r="6850" spans="1:19" x14ac:dyDescent="0.3">
      <c r="A6850" t="s">
        <v>20660</v>
      </c>
      <c r="B6850" t="s">
        <v>20830</v>
      </c>
      <c r="C6850" t="s">
        <v>21121</v>
      </c>
      <c r="D6850" t="s">
        <v>20667</v>
      </c>
      <c r="E6850" t="s">
        <v>20859</v>
      </c>
      <c r="F6850" t="s">
        <v>20859</v>
      </c>
      <c r="G6850" t="s">
        <v>20961</v>
      </c>
      <c r="H6850" t="s">
        <v>78</v>
      </c>
      <c r="I6850" t="s">
        <v>79</v>
      </c>
      <c r="J6850" t="str">
        <f>"3140150"</f>
        <v>3140150</v>
      </c>
      <c r="K6850">
        <v>2493023336</v>
      </c>
      <c r="L6850">
        <v>2493025336</v>
      </c>
      <c r="M6850" t="s">
        <v>21122</v>
      </c>
      <c r="N6850" t="s">
        <v>20859</v>
      </c>
      <c r="O6850" t="s">
        <v>21123</v>
      </c>
      <c r="P6850">
        <v>40200</v>
      </c>
      <c r="Q6850" t="str">
        <f>"39.892917"</f>
        <v>39.892917</v>
      </c>
      <c r="R6850" t="str">
        <f>"22.181382"</f>
        <v>22.181382</v>
      </c>
      <c r="S6850" t="s">
        <v>26</v>
      </c>
    </row>
    <row r="6851" spans="1:19" x14ac:dyDescent="0.3">
      <c r="A6851" t="s">
        <v>20660</v>
      </c>
      <c r="B6851" t="s">
        <v>20830</v>
      </c>
      <c r="C6851" t="s">
        <v>21140</v>
      </c>
      <c r="D6851" t="s">
        <v>20667</v>
      </c>
      <c r="E6851" t="s">
        <v>20668</v>
      </c>
      <c r="F6851" t="s">
        <v>20668</v>
      </c>
      <c r="G6851" t="s">
        <v>20942</v>
      </c>
      <c r="H6851" t="s">
        <v>78</v>
      </c>
      <c r="I6851" t="s">
        <v>132</v>
      </c>
      <c r="J6851" t="str">
        <f>"3140121"</f>
        <v>3140121</v>
      </c>
      <c r="K6851">
        <v>2410236182</v>
      </c>
      <c r="L6851">
        <v>2410236182</v>
      </c>
      <c r="M6851" t="s">
        <v>21141</v>
      </c>
      <c r="N6851" t="s">
        <v>20672</v>
      </c>
      <c r="O6851" t="s">
        <v>21142</v>
      </c>
      <c r="P6851">
        <v>41223</v>
      </c>
      <c r="Q6851" t="str">
        <f>"39.632884"</f>
        <v>39.632884</v>
      </c>
      <c r="R6851" t="str">
        <f>"22.424614"</f>
        <v>22.424614</v>
      </c>
      <c r="S6851" t="s">
        <v>26</v>
      </c>
    </row>
    <row r="6852" spans="1:19" x14ac:dyDescent="0.3">
      <c r="A6852" t="s">
        <v>20660</v>
      </c>
      <c r="B6852" t="s">
        <v>20830</v>
      </c>
      <c r="C6852" t="s">
        <v>21143</v>
      </c>
      <c r="D6852" t="s">
        <v>20667</v>
      </c>
      <c r="E6852" t="s">
        <v>4424</v>
      </c>
      <c r="F6852" t="s">
        <v>4424</v>
      </c>
      <c r="G6852" t="s">
        <v>4424</v>
      </c>
      <c r="H6852" t="s">
        <v>78</v>
      </c>
      <c r="I6852" t="s">
        <v>79</v>
      </c>
      <c r="J6852" t="str">
        <f>"3140152"</f>
        <v>3140152</v>
      </c>
      <c r="K6852">
        <v>2494023007</v>
      </c>
      <c r="M6852" t="s">
        <v>21144</v>
      </c>
      <c r="N6852" t="s">
        <v>21145</v>
      </c>
      <c r="O6852" t="s">
        <v>21146</v>
      </c>
      <c r="P6852">
        <v>40003</v>
      </c>
      <c r="Q6852" t="str">
        <f>"39.716062"</f>
        <v>39.716062</v>
      </c>
      <c r="R6852" t="str">
        <f>"22.761722"</f>
        <v>22.761722</v>
      </c>
      <c r="S6852" t="s">
        <v>26</v>
      </c>
    </row>
    <row r="6853" spans="1:19" x14ac:dyDescent="0.3">
      <c r="A6853" t="s">
        <v>20660</v>
      </c>
      <c r="B6853" t="s">
        <v>20830</v>
      </c>
      <c r="C6853" t="s">
        <v>21156</v>
      </c>
      <c r="D6853" t="s">
        <v>20667</v>
      </c>
      <c r="E6853" t="s">
        <v>20909</v>
      </c>
      <c r="F6853" t="s">
        <v>20909</v>
      </c>
      <c r="G6853" t="s">
        <v>20909</v>
      </c>
      <c r="H6853" t="s">
        <v>78</v>
      </c>
      <c r="I6853" t="s">
        <v>79</v>
      </c>
      <c r="J6853" t="str">
        <f>"3140151"</f>
        <v>3140151</v>
      </c>
      <c r="K6853">
        <v>2492022195</v>
      </c>
      <c r="L6853">
        <v>2492022419</v>
      </c>
      <c r="M6853" t="s">
        <v>21157</v>
      </c>
      <c r="N6853" t="s">
        <v>20977</v>
      </c>
      <c r="O6853" t="s">
        <v>21158</v>
      </c>
      <c r="P6853">
        <v>40100</v>
      </c>
      <c r="Q6853" t="str">
        <f>"39.735683"</f>
        <v>39.735683</v>
      </c>
      <c r="R6853" t="str">
        <f>"22.276311"</f>
        <v>22.276311</v>
      </c>
      <c r="S6853" t="s">
        <v>26</v>
      </c>
    </row>
    <row r="6854" spans="1:19" x14ac:dyDescent="0.3">
      <c r="A6854" t="s">
        <v>20660</v>
      </c>
      <c r="B6854" t="s">
        <v>20830</v>
      </c>
      <c r="C6854" t="s">
        <v>21160</v>
      </c>
      <c r="D6854" t="s">
        <v>20667</v>
      </c>
      <c r="E6854" t="s">
        <v>20668</v>
      </c>
      <c r="F6854" t="s">
        <v>20668</v>
      </c>
      <c r="G6854" t="s">
        <v>20669</v>
      </c>
      <c r="H6854" t="s">
        <v>78</v>
      </c>
      <c r="I6854" t="s">
        <v>79</v>
      </c>
      <c r="J6854" t="str">
        <f>"3140120"</f>
        <v>3140120</v>
      </c>
      <c r="K6854">
        <v>2410618628</v>
      </c>
      <c r="L6854">
        <v>2410555188</v>
      </c>
      <c r="M6854" t="s">
        <v>21161</v>
      </c>
      <c r="N6854" t="s">
        <v>20667</v>
      </c>
      <c r="O6854" t="s">
        <v>20868</v>
      </c>
      <c r="P6854">
        <v>41335</v>
      </c>
      <c r="Q6854" t="str">
        <f>"39.612061"</f>
        <v>39.612061</v>
      </c>
      <c r="R6854" t="str">
        <f>"22.397145"</f>
        <v>22.397145</v>
      </c>
      <c r="S6854" t="s">
        <v>26</v>
      </c>
    </row>
    <row r="6855" spans="1:19" x14ac:dyDescent="0.3">
      <c r="A6855" t="s">
        <v>20660</v>
      </c>
      <c r="B6855" t="s">
        <v>20830</v>
      </c>
      <c r="C6855" t="s">
        <v>21165</v>
      </c>
      <c r="D6855" t="s">
        <v>20667</v>
      </c>
      <c r="E6855" t="s">
        <v>20668</v>
      </c>
      <c r="F6855" t="s">
        <v>20668</v>
      </c>
      <c r="G6855" t="s">
        <v>20942</v>
      </c>
      <c r="H6855" t="s">
        <v>78</v>
      </c>
      <c r="I6855" t="s">
        <v>79</v>
      </c>
      <c r="J6855" t="str">
        <f>"3140122"</f>
        <v>3140122</v>
      </c>
      <c r="K6855">
        <v>2410571275</v>
      </c>
      <c r="L6855">
        <v>2410572039</v>
      </c>
      <c r="M6855" t="s">
        <v>21166</v>
      </c>
      <c r="N6855" t="s">
        <v>20672</v>
      </c>
      <c r="O6855" t="s">
        <v>21149</v>
      </c>
      <c r="P6855">
        <v>41336</v>
      </c>
      <c r="Q6855" t="str">
        <f>"39.627725"</f>
        <v>39.627725</v>
      </c>
      <c r="R6855" t="str">
        <f>"22.449933"</f>
        <v>22.449933</v>
      </c>
      <c r="S6855" t="s">
        <v>26</v>
      </c>
    </row>
    <row r="6856" spans="1:19" x14ac:dyDescent="0.3">
      <c r="A6856" t="s">
        <v>20660</v>
      </c>
      <c r="B6856" t="s">
        <v>21192</v>
      </c>
      <c r="C6856" t="s">
        <v>21252</v>
      </c>
      <c r="D6856" t="s">
        <v>20674</v>
      </c>
      <c r="E6856" t="s">
        <v>21250</v>
      </c>
      <c r="F6856" t="s">
        <v>203</v>
      </c>
      <c r="G6856" t="s">
        <v>21251</v>
      </c>
      <c r="H6856" t="s">
        <v>78</v>
      </c>
      <c r="I6856" t="s">
        <v>79</v>
      </c>
      <c r="J6856" t="str">
        <f>"3540020"</f>
        <v>3540020</v>
      </c>
      <c r="K6856">
        <v>2425023235</v>
      </c>
      <c r="L6856">
        <v>2425023246</v>
      </c>
      <c r="M6856" t="s">
        <v>21253</v>
      </c>
      <c r="N6856" t="s">
        <v>21254</v>
      </c>
      <c r="O6856" t="s">
        <v>21255</v>
      </c>
      <c r="P6856">
        <v>37500</v>
      </c>
      <c r="Q6856" t="str">
        <f>"39.377340"</f>
        <v>39.377340</v>
      </c>
      <c r="R6856" t="str">
        <f>"22.744488"</f>
        <v>22.744488</v>
      </c>
      <c r="S6856" t="s">
        <v>26</v>
      </c>
    </row>
    <row r="6857" spans="1:19" x14ac:dyDescent="0.3">
      <c r="A6857" t="s">
        <v>20660</v>
      </c>
      <c r="B6857" t="s">
        <v>21192</v>
      </c>
      <c r="C6857" t="s">
        <v>21257</v>
      </c>
      <c r="D6857" t="s">
        <v>20674</v>
      </c>
      <c r="E6857" t="s">
        <v>20675</v>
      </c>
      <c r="F6857" t="s">
        <v>20675</v>
      </c>
      <c r="G6857" t="s">
        <v>20675</v>
      </c>
      <c r="H6857" t="s">
        <v>78</v>
      </c>
      <c r="I6857" t="s">
        <v>132</v>
      </c>
      <c r="J6857" t="str">
        <f>"3550070"</f>
        <v>3550070</v>
      </c>
      <c r="K6857">
        <v>2421060443</v>
      </c>
      <c r="L6857">
        <v>2421068423</v>
      </c>
      <c r="M6857" t="s">
        <v>21258</v>
      </c>
      <c r="N6857" t="s">
        <v>5069</v>
      </c>
      <c r="O6857" t="s">
        <v>21259</v>
      </c>
      <c r="P6857">
        <v>38446</v>
      </c>
      <c r="Q6857" t="str">
        <f>"39.391776"</f>
        <v>39.391776</v>
      </c>
      <c r="R6857" t="str">
        <f>"22.943787"</f>
        <v>22.943787</v>
      </c>
      <c r="S6857" t="s">
        <v>26</v>
      </c>
    </row>
    <row r="6858" spans="1:19" x14ac:dyDescent="0.3">
      <c r="A6858" t="s">
        <v>20660</v>
      </c>
      <c r="B6858" t="s">
        <v>21192</v>
      </c>
      <c r="C6858" t="s">
        <v>21273</v>
      </c>
      <c r="D6858" t="s">
        <v>20674</v>
      </c>
      <c r="E6858" t="s">
        <v>20675</v>
      </c>
      <c r="F6858" t="s">
        <v>20675</v>
      </c>
      <c r="G6858" t="s">
        <v>20675</v>
      </c>
      <c r="H6858" t="s">
        <v>78</v>
      </c>
      <c r="I6858" t="s">
        <v>79</v>
      </c>
      <c r="J6858" t="str">
        <f>"3540050"</f>
        <v>3540050</v>
      </c>
      <c r="K6858">
        <v>2421030933</v>
      </c>
      <c r="L6858">
        <v>2421030933</v>
      </c>
      <c r="M6858" t="s">
        <v>21274</v>
      </c>
      <c r="N6858" t="s">
        <v>20678</v>
      </c>
      <c r="O6858" t="s">
        <v>21275</v>
      </c>
      <c r="P6858">
        <v>38221</v>
      </c>
      <c r="Q6858" t="str">
        <f>"39.357494"</f>
        <v>39.357494</v>
      </c>
      <c r="R6858" t="str">
        <f>"22.954423"</f>
        <v>22.954423</v>
      </c>
      <c r="S6858" t="s">
        <v>26</v>
      </c>
    </row>
    <row r="6859" spans="1:19" x14ac:dyDescent="0.3">
      <c r="A6859" t="s">
        <v>20660</v>
      </c>
      <c r="B6859" t="s">
        <v>21192</v>
      </c>
      <c r="C6859" t="s">
        <v>21277</v>
      </c>
      <c r="D6859" t="s">
        <v>20674</v>
      </c>
      <c r="E6859" t="s">
        <v>20675</v>
      </c>
      <c r="F6859" t="s">
        <v>20675</v>
      </c>
      <c r="G6859" t="s">
        <v>20675</v>
      </c>
      <c r="H6859" t="s">
        <v>78</v>
      </c>
      <c r="I6859" t="s">
        <v>132</v>
      </c>
      <c r="J6859" t="str">
        <f>"3540080"</f>
        <v>3540080</v>
      </c>
      <c r="K6859">
        <v>2421038211</v>
      </c>
      <c r="L6859">
        <v>2421038211</v>
      </c>
      <c r="M6859" t="s">
        <v>21278</v>
      </c>
      <c r="N6859" t="s">
        <v>20678</v>
      </c>
      <c r="O6859" t="s">
        <v>21279</v>
      </c>
      <c r="P6859">
        <v>38221</v>
      </c>
      <c r="Q6859" t="str">
        <f>"39.357814"</f>
        <v>39.357814</v>
      </c>
      <c r="R6859" t="str">
        <f>"22.954256"</f>
        <v>22.954256</v>
      </c>
      <c r="S6859" t="s">
        <v>26</v>
      </c>
    </row>
    <row r="6860" spans="1:19" x14ac:dyDescent="0.3">
      <c r="A6860" t="s">
        <v>20660</v>
      </c>
      <c r="B6860" t="s">
        <v>21192</v>
      </c>
      <c r="C6860" t="s">
        <v>21280</v>
      </c>
      <c r="D6860" t="s">
        <v>20674</v>
      </c>
      <c r="E6860" t="s">
        <v>21193</v>
      </c>
      <c r="F6860" t="s">
        <v>21193</v>
      </c>
      <c r="G6860" t="s">
        <v>21193</v>
      </c>
      <c r="H6860" t="s">
        <v>78</v>
      </c>
      <c r="I6860" t="s">
        <v>79</v>
      </c>
      <c r="J6860" t="str">
        <f>"3540010"</f>
        <v>3540010</v>
      </c>
      <c r="K6860">
        <v>2422023700</v>
      </c>
      <c r="L6860">
        <v>2422024757</v>
      </c>
      <c r="M6860" t="s">
        <v>21281</v>
      </c>
      <c r="N6860" t="s">
        <v>21193</v>
      </c>
      <c r="O6860" t="s">
        <v>21282</v>
      </c>
      <c r="P6860">
        <v>37100</v>
      </c>
      <c r="Q6860" t="str">
        <f>"39.177405"</f>
        <v>39.177405</v>
      </c>
      <c r="R6860" t="str">
        <f>"22.762549"</f>
        <v>22.762549</v>
      </c>
      <c r="S6860" t="s">
        <v>26</v>
      </c>
    </row>
    <row r="6861" spans="1:19" x14ac:dyDescent="0.3">
      <c r="A6861" t="s">
        <v>20660</v>
      </c>
      <c r="B6861" t="s">
        <v>21192</v>
      </c>
      <c r="C6861" t="s">
        <v>21286</v>
      </c>
      <c r="D6861" t="s">
        <v>20674</v>
      </c>
      <c r="E6861" t="s">
        <v>20675</v>
      </c>
      <c r="F6861" t="s">
        <v>3246</v>
      </c>
      <c r="G6861" t="s">
        <v>3246</v>
      </c>
      <c r="H6861" t="s">
        <v>78</v>
      </c>
      <c r="I6861" t="s">
        <v>79</v>
      </c>
      <c r="J6861" t="str">
        <f>"3540060"</f>
        <v>3540060</v>
      </c>
      <c r="K6861">
        <v>2421085929</v>
      </c>
      <c r="L6861">
        <v>2421085931</v>
      </c>
      <c r="M6861" t="s">
        <v>21287</v>
      </c>
      <c r="N6861" t="s">
        <v>21288</v>
      </c>
      <c r="O6861" t="s">
        <v>21289</v>
      </c>
      <c r="P6861">
        <v>38446</v>
      </c>
      <c r="Q6861" t="str">
        <f>"39.392133"</f>
        <v>39.392133</v>
      </c>
      <c r="R6861" t="str">
        <f>"22.943890"</f>
        <v>22.943890</v>
      </c>
      <c r="S6861" t="s">
        <v>26</v>
      </c>
    </row>
    <row r="6862" spans="1:19" x14ac:dyDescent="0.3">
      <c r="A6862" t="s">
        <v>20660</v>
      </c>
      <c r="B6862" t="s">
        <v>21192</v>
      </c>
      <c r="C6862" t="s">
        <v>21290</v>
      </c>
      <c r="D6862" t="s">
        <v>21210</v>
      </c>
      <c r="E6862" t="s">
        <v>13139</v>
      </c>
      <c r="F6862" t="s">
        <v>13139</v>
      </c>
      <c r="G6862" t="s">
        <v>13139</v>
      </c>
      <c r="H6862" t="s">
        <v>78</v>
      </c>
      <c r="I6862" t="s">
        <v>79</v>
      </c>
      <c r="J6862" t="str">
        <f>"3540025"</f>
        <v>3540025</v>
      </c>
      <c r="K6862">
        <v>2424033950</v>
      </c>
      <c r="L6862">
        <v>2424033950</v>
      </c>
      <c r="M6862" t="s">
        <v>21291</v>
      </c>
      <c r="N6862" t="s">
        <v>21292</v>
      </c>
      <c r="O6862" t="s">
        <v>21292</v>
      </c>
      <c r="P6862">
        <v>37003</v>
      </c>
      <c r="Q6862" t="str">
        <f>"39.120748"</f>
        <v>39.120748</v>
      </c>
      <c r="R6862" t="str">
        <f>"23.740379"</f>
        <v>23.740379</v>
      </c>
      <c r="S6862" t="s">
        <v>57</v>
      </c>
    </row>
    <row r="6863" spans="1:19" x14ac:dyDescent="0.3">
      <c r="A6863" t="s">
        <v>20660</v>
      </c>
      <c r="B6863" t="s">
        <v>21192</v>
      </c>
      <c r="C6863" t="s">
        <v>21294</v>
      </c>
      <c r="D6863" t="s">
        <v>20674</v>
      </c>
      <c r="E6863" t="s">
        <v>20675</v>
      </c>
      <c r="F6863" t="s">
        <v>20675</v>
      </c>
      <c r="G6863" t="s">
        <v>20675</v>
      </c>
      <c r="H6863" t="s">
        <v>78</v>
      </c>
      <c r="I6863" t="s">
        <v>79</v>
      </c>
      <c r="J6863" t="str">
        <f>"3540055"</f>
        <v>3540055</v>
      </c>
      <c r="K6863">
        <v>2421057299</v>
      </c>
      <c r="L6863">
        <v>2421058299</v>
      </c>
      <c r="M6863" t="s">
        <v>21295</v>
      </c>
      <c r="N6863" t="s">
        <v>20678</v>
      </c>
      <c r="O6863" t="s">
        <v>21296</v>
      </c>
      <c r="P6863">
        <v>38333</v>
      </c>
      <c r="Q6863" t="str">
        <f>"39.373442"</f>
        <v>39.373442</v>
      </c>
      <c r="R6863" t="str">
        <f>"22.953274"</f>
        <v>22.953274</v>
      </c>
      <c r="S6863" t="s">
        <v>26</v>
      </c>
    </row>
    <row r="6864" spans="1:19" x14ac:dyDescent="0.3">
      <c r="A6864" t="s">
        <v>20660</v>
      </c>
      <c r="B6864" t="s">
        <v>21192</v>
      </c>
      <c r="C6864" t="s">
        <v>21298</v>
      </c>
      <c r="D6864" t="s">
        <v>20674</v>
      </c>
      <c r="E6864" t="s">
        <v>20675</v>
      </c>
      <c r="F6864" t="s">
        <v>21217</v>
      </c>
      <c r="G6864" t="s">
        <v>21217</v>
      </c>
      <c r="H6864" t="s">
        <v>78</v>
      </c>
      <c r="I6864" t="s">
        <v>79</v>
      </c>
      <c r="J6864" t="str">
        <f>"3540015"</f>
        <v>3540015</v>
      </c>
      <c r="K6864">
        <v>2428091097</v>
      </c>
      <c r="L6864">
        <v>2428091097</v>
      </c>
      <c r="M6864" t="s">
        <v>21299</v>
      </c>
      <c r="N6864" t="s">
        <v>21300</v>
      </c>
      <c r="O6864" t="s">
        <v>21301</v>
      </c>
      <c r="P6864">
        <v>37300</v>
      </c>
      <c r="Q6864" t="str">
        <f>"39.337742"</f>
        <v>39.337742</v>
      </c>
      <c r="R6864" t="str">
        <f>"23.017702"</f>
        <v>23.017702</v>
      </c>
      <c r="S6864" t="s">
        <v>26</v>
      </c>
    </row>
    <row r="6865" spans="1:19" x14ac:dyDescent="0.3">
      <c r="A6865" t="s">
        <v>20660</v>
      </c>
      <c r="B6865" t="s">
        <v>21192</v>
      </c>
      <c r="C6865" t="s">
        <v>21377</v>
      </c>
      <c r="D6865" t="s">
        <v>20674</v>
      </c>
      <c r="E6865" t="s">
        <v>20675</v>
      </c>
      <c r="F6865" t="s">
        <v>3246</v>
      </c>
      <c r="G6865" t="s">
        <v>3246</v>
      </c>
      <c r="H6865" t="s">
        <v>78</v>
      </c>
      <c r="I6865" t="s">
        <v>79</v>
      </c>
      <c r="J6865" t="str">
        <f>"3540070"</f>
        <v>3540070</v>
      </c>
      <c r="K6865">
        <v>2421084030</v>
      </c>
      <c r="L6865">
        <v>2421084030</v>
      </c>
      <c r="M6865" t="s">
        <v>21378</v>
      </c>
      <c r="N6865" t="s">
        <v>3249</v>
      </c>
      <c r="O6865" t="s">
        <v>21379</v>
      </c>
      <c r="P6865">
        <v>38446</v>
      </c>
      <c r="Q6865" t="str">
        <f>"39.382871"</f>
        <v>39.382871</v>
      </c>
      <c r="R6865" t="str">
        <f>"22.934160"</f>
        <v>22.934160</v>
      </c>
      <c r="S6865" t="s">
        <v>26</v>
      </c>
    </row>
    <row r="6866" spans="1:19" x14ac:dyDescent="0.3">
      <c r="A6866" t="s">
        <v>20660</v>
      </c>
      <c r="B6866" t="s">
        <v>21192</v>
      </c>
      <c r="C6866" t="s">
        <v>21495</v>
      </c>
      <c r="D6866" t="s">
        <v>20674</v>
      </c>
      <c r="E6866" t="s">
        <v>21199</v>
      </c>
      <c r="F6866" t="s">
        <v>21332</v>
      </c>
      <c r="G6866" t="s">
        <v>21332</v>
      </c>
      <c r="H6866" t="s">
        <v>78</v>
      </c>
      <c r="I6866" t="s">
        <v>79</v>
      </c>
      <c r="J6866" t="str">
        <f>"3541000"</f>
        <v>3541000</v>
      </c>
      <c r="K6866">
        <v>2423054469</v>
      </c>
      <c r="L6866">
        <v>2423054469</v>
      </c>
      <c r="M6866" t="s">
        <v>21496</v>
      </c>
      <c r="N6866" t="s">
        <v>21497</v>
      </c>
      <c r="O6866" t="s">
        <v>21336</v>
      </c>
      <c r="P6866">
        <v>37006</v>
      </c>
      <c r="Q6866" t="str">
        <f>"39.226397"</f>
        <v>39.226397</v>
      </c>
      <c r="R6866" t="str">
        <f>"23.222258"</f>
        <v>23.222258</v>
      </c>
      <c r="S6866" t="s">
        <v>26</v>
      </c>
    </row>
    <row r="6867" spans="1:19" x14ac:dyDescent="0.3">
      <c r="A6867" t="s">
        <v>20660</v>
      </c>
      <c r="B6867" t="s">
        <v>21192</v>
      </c>
      <c r="C6867" t="s">
        <v>21498</v>
      </c>
      <c r="D6867" t="s">
        <v>21210</v>
      </c>
      <c r="E6867" t="s">
        <v>21211</v>
      </c>
      <c r="F6867" t="s">
        <v>21211</v>
      </c>
      <c r="G6867" t="s">
        <v>21211</v>
      </c>
      <c r="H6867" t="s">
        <v>78</v>
      </c>
      <c r="I6867" t="s">
        <v>79</v>
      </c>
      <c r="J6867" t="str">
        <f>"3541003"</f>
        <v>3541003</v>
      </c>
      <c r="K6867">
        <v>2427029687</v>
      </c>
      <c r="M6867" t="s">
        <v>21499</v>
      </c>
      <c r="O6867" t="s">
        <v>21500</v>
      </c>
      <c r="P6867">
        <v>37002</v>
      </c>
      <c r="Q6867" t="str">
        <f>"39.164786"</f>
        <v>39.164786</v>
      </c>
      <c r="R6867" t="str">
        <f>"23.489496"</f>
        <v>23.489496</v>
      </c>
      <c r="S6867" t="s">
        <v>26</v>
      </c>
    </row>
    <row r="6868" spans="1:19" x14ac:dyDescent="0.3">
      <c r="A6868" t="s">
        <v>20660</v>
      </c>
      <c r="B6868" t="s">
        <v>21501</v>
      </c>
      <c r="C6868" t="s">
        <v>21528</v>
      </c>
      <c r="D6868" t="s">
        <v>20680</v>
      </c>
      <c r="E6868" t="s">
        <v>20681</v>
      </c>
      <c r="F6868" t="s">
        <v>20681</v>
      </c>
      <c r="G6868" t="s">
        <v>20681</v>
      </c>
      <c r="H6868" t="s">
        <v>78</v>
      </c>
      <c r="I6868" t="s">
        <v>132</v>
      </c>
      <c r="J6868" t="str">
        <f>"4550060"</f>
        <v>4550060</v>
      </c>
      <c r="K6868">
        <v>2431026483</v>
      </c>
      <c r="L6868">
        <v>2431076623</v>
      </c>
      <c r="M6868" t="s">
        <v>21529</v>
      </c>
      <c r="N6868" t="s">
        <v>20684</v>
      </c>
      <c r="O6868" t="s">
        <v>21522</v>
      </c>
      <c r="P6868">
        <v>42132</v>
      </c>
      <c r="Q6868" t="str">
        <f>"39.563599"</f>
        <v>39.563599</v>
      </c>
      <c r="R6868" t="str">
        <f>"21.776558"</f>
        <v>21.776558</v>
      </c>
      <c r="S6868" t="s">
        <v>26</v>
      </c>
    </row>
    <row r="6869" spans="1:19" x14ac:dyDescent="0.3">
      <c r="A6869" t="s">
        <v>20660</v>
      </c>
      <c r="B6869" t="s">
        <v>21501</v>
      </c>
      <c r="C6869" t="s">
        <v>21532</v>
      </c>
      <c r="D6869" t="s">
        <v>20680</v>
      </c>
      <c r="E6869" t="s">
        <v>21531</v>
      </c>
      <c r="F6869" t="s">
        <v>21531</v>
      </c>
      <c r="G6869" t="s">
        <v>21531</v>
      </c>
      <c r="H6869" t="s">
        <v>78</v>
      </c>
      <c r="I6869" t="s">
        <v>79</v>
      </c>
      <c r="J6869" t="str">
        <f>"4540070"</f>
        <v>4540070</v>
      </c>
      <c r="K6869">
        <v>2434022540</v>
      </c>
      <c r="L6869">
        <v>2434022543</v>
      </c>
      <c r="M6869" t="s">
        <v>21533</v>
      </c>
      <c r="N6869" t="s">
        <v>21534</v>
      </c>
      <c r="O6869" t="s">
        <v>21534</v>
      </c>
      <c r="P6869">
        <v>42032</v>
      </c>
      <c r="Q6869" t="str">
        <f>"39.459324"</f>
        <v>39.459324</v>
      </c>
      <c r="R6869" t="str">
        <f>"21.623645"</f>
        <v>21.623645</v>
      </c>
      <c r="S6869" t="s">
        <v>26</v>
      </c>
    </row>
    <row r="6870" spans="1:19" x14ac:dyDescent="0.3">
      <c r="A6870" t="s">
        <v>20660</v>
      </c>
      <c r="B6870" t="s">
        <v>21501</v>
      </c>
      <c r="C6870" t="s">
        <v>21536</v>
      </c>
      <c r="D6870" t="s">
        <v>20680</v>
      </c>
      <c r="E6870" t="s">
        <v>21502</v>
      </c>
      <c r="F6870" t="s">
        <v>21502</v>
      </c>
      <c r="G6870" t="s">
        <v>21514</v>
      </c>
      <c r="H6870" t="s">
        <v>78</v>
      </c>
      <c r="I6870" t="s">
        <v>79</v>
      </c>
      <c r="J6870" t="str">
        <f>"4540065"</f>
        <v>4540065</v>
      </c>
      <c r="K6870">
        <v>2433022673</v>
      </c>
      <c r="L6870">
        <v>2433022023</v>
      </c>
      <c r="M6870" t="s">
        <v>21537</v>
      </c>
      <c r="N6870" t="s">
        <v>21538</v>
      </c>
      <c r="O6870" t="s">
        <v>21539</v>
      </c>
      <c r="P6870">
        <v>42031</v>
      </c>
      <c r="Q6870" t="str">
        <f>"39.591529"</f>
        <v>39.591529</v>
      </c>
      <c r="R6870" t="str">
        <f>"22.063794"</f>
        <v>22.063794</v>
      </c>
      <c r="S6870" t="s">
        <v>26</v>
      </c>
    </row>
    <row r="6871" spans="1:19" x14ac:dyDescent="0.3">
      <c r="A6871" t="s">
        <v>20660</v>
      </c>
      <c r="B6871" t="s">
        <v>21501</v>
      </c>
      <c r="C6871" t="s">
        <v>21546</v>
      </c>
      <c r="D6871" t="s">
        <v>20680</v>
      </c>
      <c r="E6871" t="s">
        <v>20681</v>
      </c>
      <c r="F6871" t="s">
        <v>20681</v>
      </c>
      <c r="G6871" t="s">
        <v>20681</v>
      </c>
      <c r="H6871" t="s">
        <v>78</v>
      </c>
      <c r="I6871" t="s">
        <v>79</v>
      </c>
      <c r="J6871" t="str">
        <f>"4540055"</f>
        <v>4540055</v>
      </c>
      <c r="K6871">
        <v>2431025299</v>
      </c>
      <c r="L6871">
        <v>2431037508</v>
      </c>
      <c r="M6871" t="s">
        <v>21547</v>
      </c>
      <c r="N6871" t="s">
        <v>20684</v>
      </c>
      <c r="O6871" t="s">
        <v>21548</v>
      </c>
      <c r="P6871">
        <v>42100</v>
      </c>
      <c r="Q6871" t="str">
        <f>"39.558215"</f>
        <v>39.558215</v>
      </c>
      <c r="R6871" t="str">
        <f>"21.749340"</f>
        <v>21.749340</v>
      </c>
      <c r="S6871" t="s">
        <v>26</v>
      </c>
    </row>
    <row r="6872" spans="1:19" x14ac:dyDescent="0.3">
      <c r="A6872" t="s">
        <v>20660</v>
      </c>
      <c r="B6872" t="s">
        <v>21501</v>
      </c>
      <c r="C6872" t="s">
        <v>21601</v>
      </c>
      <c r="D6872" t="s">
        <v>20680</v>
      </c>
      <c r="E6872" t="s">
        <v>20681</v>
      </c>
      <c r="F6872" t="s">
        <v>20681</v>
      </c>
      <c r="G6872" t="s">
        <v>20681</v>
      </c>
      <c r="H6872" t="s">
        <v>78</v>
      </c>
      <c r="I6872" t="s">
        <v>79</v>
      </c>
      <c r="J6872" t="str">
        <f>"4540050"</f>
        <v>4540050</v>
      </c>
      <c r="K6872">
        <v>2431028977</v>
      </c>
      <c r="L6872">
        <v>2431028964</v>
      </c>
      <c r="M6872" t="s">
        <v>21602</v>
      </c>
      <c r="N6872" t="s">
        <v>20684</v>
      </c>
      <c r="O6872" t="s">
        <v>21522</v>
      </c>
      <c r="P6872">
        <v>42132</v>
      </c>
      <c r="Q6872" t="str">
        <f>"39.563698"</f>
        <v>39.563698</v>
      </c>
      <c r="R6872" t="str">
        <f>"21.776547"</f>
        <v>21.776547</v>
      </c>
      <c r="S6872" t="s">
        <v>26</v>
      </c>
    </row>
    <row r="6873" spans="1:19" x14ac:dyDescent="0.3">
      <c r="A6873" t="s">
        <v>20660</v>
      </c>
      <c r="B6873" t="s">
        <v>21501</v>
      </c>
      <c r="C6873" t="s">
        <v>21637</v>
      </c>
      <c r="D6873" t="s">
        <v>20680</v>
      </c>
      <c r="E6873" t="s">
        <v>21508</v>
      </c>
      <c r="F6873" t="s">
        <v>21508</v>
      </c>
      <c r="G6873" t="s">
        <v>21580</v>
      </c>
      <c r="H6873" t="s">
        <v>78</v>
      </c>
      <c r="I6873" t="s">
        <v>79</v>
      </c>
      <c r="J6873" t="str">
        <f>"4540060"</f>
        <v>4540060</v>
      </c>
      <c r="K6873">
        <v>2432023474</v>
      </c>
      <c r="L6873">
        <v>2432079065</v>
      </c>
      <c r="M6873" t="s">
        <v>21638</v>
      </c>
      <c r="N6873" t="s">
        <v>21583</v>
      </c>
      <c r="O6873" t="s">
        <v>21639</v>
      </c>
      <c r="P6873">
        <v>42200</v>
      </c>
      <c r="Q6873" t="str">
        <f>"39.701522"</f>
        <v>39.701522</v>
      </c>
      <c r="R6873" t="str">
        <f>"21.622865"</f>
        <v>21.622865</v>
      </c>
      <c r="S6873" t="s">
        <v>26</v>
      </c>
    </row>
    <row r="6874" spans="1:19" x14ac:dyDescent="0.3">
      <c r="A6874" t="s">
        <v>23985</v>
      </c>
      <c r="B6874" t="s">
        <v>24008</v>
      </c>
      <c r="C6874" t="s">
        <v>24014</v>
      </c>
      <c r="D6874" t="s">
        <v>8088</v>
      </c>
      <c r="E6874" t="s">
        <v>8088</v>
      </c>
      <c r="F6874" t="s">
        <v>24013</v>
      </c>
      <c r="G6874" t="s">
        <v>12715</v>
      </c>
      <c r="H6874" t="s">
        <v>78</v>
      </c>
      <c r="I6874" t="s">
        <v>79</v>
      </c>
      <c r="J6874" t="str">
        <f>"1440030"</f>
        <v>1440030</v>
      </c>
      <c r="K6874">
        <v>2695061000</v>
      </c>
      <c r="L6874">
        <v>2695061000</v>
      </c>
      <c r="M6874" t="s">
        <v>24015</v>
      </c>
      <c r="N6874" t="s">
        <v>23989</v>
      </c>
      <c r="O6874" t="s">
        <v>13518</v>
      </c>
      <c r="P6874">
        <v>29100</v>
      </c>
      <c r="Q6874" t="str">
        <f>"37.785081"</f>
        <v>37.785081</v>
      </c>
      <c r="R6874" t="str">
        <f>"20.834238"</f>
        <v>20.834238</v>
      </c>
      <c r="S6874" t="s">
        <v>26</v>
      </c>
    </row>
    <row r="6875" spans="1:19" x14ac:dyDescent="0.3">
      <c r="A6875" t="s">
        <v>23985</v>
      </c>
      <c r="B6875" t="s">
        <v>24070</v>
      </c>
      <c r="C6875" t="s">
        <v>24118</v>
      </c>
      <c r="D6875" t="s">
        <v>20006</v>
      </c>
      <c r="E6875" t="s">
        <v>23991</v>
      </c>
      <c r="F6875" t="s">
        <v>24112</v>
      </c>
      <c r="G6875" t="s">
        <v>24113</v>
      </c>
      <c r="H6875" t="s">
        <v>78</v>
      </c>
      <c r="I6875" t="s">
        <v>79</v>
      </c>
      <c r="J6875" t="str">
        <f>"2440050"</f>
        <v>2440050</v>
      </c>
      <c r="K6875">
        <v>2661091910</v>
      </c>
      <c r="M6875" t="s">
        <v>24119</v>
      </c>
      <c r="N6875" t="s">
        <v>24113</v>
      </c>
      <c r="O6875" t="s">
        <v>24120</v>
      </c>
      <c r="P6875">
        <v>49083</v>
      </c>
      <c r="Q6875" t="str">
        <f>"39.662352"</f>
        <v>39.662352</v>
      </c>
      <c r="R6875" t="str">
        <f>"19.842558"</f>
        <v>19.842558</v>
      </c>
      <c r="S6875" t="s">
        <v>26</v>
      </c>
    </row>
    <row r="6876" spans="1:19" x14ac:dyDescent="0.3">
      <c r="A6876" t="s">
        <v>23985</v>
      </c>
      <c r="B6876" t="s">
        <v>24070</v>
      </c>
      <c r="C6876" t="s">
        <v>24121</v>
      </c>
      <c r="D6876" t="s">
        <v>20006</v>
      </c>
      <c r="E6876" t="s">
        <v>23991</v>
      </c>
      <c r="F6876" t="s">
        <v>23992</v>
      </c>
      <c r="G6876" t="s">
        <v>23992</v>
      </c>
      <c r="H6876" t="s">
        <v>78</v>
      </c>
      <c r="I6876" t="s">
        <v>79</v>
      </c>
      <c r="J6876" t="str">
        <f>"2440040"</f>
        <v>2440040</v>
      </c>
      <c r="K6876">
        <v>2661026633</v>
      </c>
      <c r="L6876">
        <v>2661080623</v>
      </c>
      <c r="M6876" t="s">
        <v>24122</v>
      </c>
      <c r="N6876" t="s">
        <v>20006</v>
      </c>
      <c r="O6876" t="s">
        <v>24123</v>
      </c>
      <c r="P6876">
        <v>49100</v>
      </c>
      <c r="Q6876" t="str">
        <f>"39.613884"</f>
        <v>39.613884</v>
      </c>
      <c r="R6876" t="str">
        <f>"19.915682"</f>
        <v>19.915682</v>
      </c>
      <c r="S6876" t="s">
        <v>26</v>
      </c>
    </row>
    <row r="6877" spans="1:19" x14ac:dyDescent="0.3">
      <c r="A6877" t="s">
        <v>23985</v>
      </c>
      <c r="B6877" t="s">
        <v>24070</v>
      </c>
      <c r="C6877" t="s">
        <v>24125</v>
      </c>
      <c r="D6877" t="s">
        <v>20006</v>
      </c>
      <c r="E6877" t="s">
        <v>23991</v>
      </c>
      <c r="F6877" t="s">
        <v>23992</v>
      </c>
      <c r="G6877" t="s">
        <v>23992</v>
      </c>
      <c r="H6877" t="s">
        <v>78</v>
      </c>
      <c r="I6877" t="s">
        <v>79</v>
      </c>
      <c r="J6877" t="str">
        <f>"2440030"</f>
        <v>2440030</v>
      </c>
      <c r="K6877">
        <v>2661035211</v>
      </c>
      <c r="M6877" t="s">
        <v>24126</v>
      </c>
      <c r="N6877" t="s">
        <v>23995</v>
      </c>
      <c r="O6877" t="s">
        <v>24127</v>
      </c>
      <c r="P6877">
        <v>49100</v>
      </c>
      <c r="Q6877" t="str">
        <f>"39.624378"</f>
        <v>39.624378</v>
      </c>
      <c r="R6877" t="str">
        <f>"19.909356"</f>
        <v>19.909356</v>
      </c>
      <c r="S6877" t="s">
        <v>26</v>
      </c>
    </row>
    <row r="6878" spans="1:19" x14ac:dyDescent="0.3">
      <c r="A6878" t="s">
        <v>23985</v>
      </c>
      <c r="B6878" t="s">
        <v>24070</v>
      </c>
      <c r="C6878" t="s">
        <v>24231</v>
      </c>
      <c r="D6878" t="s">
        <v>20006</v>
      </c>
      <c r="E6878" t="s">
        <v>23991</v>
      </c>
      <c r="F6878" t="s">
        <v>23992</v>
      </c>
      <c r="G6878" t="s">
        <v>23992</v>
      </c>
      <c r="H6878" t="s">
        <v>78</v>
      </c>
      <c r="I6878" t="s">
        <v>132</v>
      </c>
      <c r="J6878" t="str">
        <f>"2440045"</f>
        <v>2440045</v>
      </c>
      <c r="K6878">
        <v>2661027260</v>
      </c>
      <c r="L6878">
        <v>2661027260</v>
      </c>
      <c r="M6878" t="s">
        <v>24232</v>
      </c>
      <c r="N6878" t="s">
        <v>23995</v>
      </c>
      <c r="O6878" t="s">
        <v>24127</v>
      </c>
      <c r="P6878">
        <v>49100</v>
      </c>
      <c r="Q6878" t="str">
        <f>"39.624063"</f>
        <v>39.624063</v>
      </c>
      <c r="R6878" t="str">
        <f>"19.909496"</f>
        <v>19.909496</v>
      </c>
      <c r="S6878" t="s">
        <v>26</v>
      </c>
    </row>
    <row r="6879" spans="1:19" x14ac:dyDescent="0.3">
      <c r="A6879" t="s">
        <v>23985</v>
      </c>
      <c r="B6879" t="s">
        <v>24238</v>
      </c>
      <c r="C6879" t="s">
        <v>24258</v>
      </c>
      <c r="D6879" t="s">
        <v>1150</v>
      </c>
      <c r="E6879" t="s">
        <v>24256</v>
      </c>
      <c r="F6879" t="s">
        <v>24257</v>
      </c>
      <c r="G6879" t="s">
        <v>24256</v>
      </c>
      <c r="H6879" t="s">
        <v>78</v>
      </c>
      <c r="I6879" t="s">
        <v>79</v>
      </c>
      <c r="J6879" t="str">
        <f>"2540030"</f>
        <v>2540030</v>
      </c>
      <c r="K6879">
        <v>2671091504</v>
      </c>
      <c r="L6879">
        <v>2671091234</v>
      </c>
      <c r="M6879" t="s">
        <v>24259</v>
      </c>
      <c r="N6879" t="s">
        <v>24260</v>
      </c>
      <c r="O6879" t="s">
        <v>24261</v>
      </c>
      <c r="P6879">
        <v>28200</v>
      </c>
      <c r="Q6879" t="str">
        <f>"38.208147"</f>
        <v>38.208147</v>
      </c>
      <c r="R6879" t="str">
        <f>"20.434937"</f>
        <v>20.434937</v>
      </c>
      <c r="S6879" t="s">
        <v>26</v>
      </c>
    </row>
    <row r="6880" spans="1:19" x14ac:dyDescent="0.3">
      <c r="A6880" t="s">
        <v>23985</v>
      </c>
      <c r="B6880" t="s">
        <v>24238</v>
      </c>
      <c r="C6880" t="s">
        <v>24269</v>
      </c>
      <c r="D6880" t="s">
        <v>1150</v>
      </c>
      <c r="E6880" t="s">
        <v>23997</v>
      </c>
      <c r="F6880" t="s">
        <v>23997</v>
      </c>
      <c r="G6880" t="s">
        <v>23997</v>
      </c>
      <c r="H6880" t="s">
        <v>78</v>
      </c>
      <c r="I6880" t="s">
        <v>79</v>
      </c>
      <c r="J6880" t="str">
        <f>"2540040"</f>
        <v>2540040</v>
      </c>
      <c r="K6880">
        <v>2671026984</v>
      </c>
      <c r="L6880">
        <v>2671029214</v>
      </c>
      <c r="M6880" t="s">
        <v>24270</v>
      </c>
      <c r="N6880" t="s">
        <v>23997</v>
      </c>
      <c r="O6880" t="s">
        <v>24271</v>
      </c>
      <c r="P6880">
        <v>28100</v>
      </c>
      <c r="Q6880" t="str">
        <f>"38.165983"</f>
        <v>38.165983</v>
      </c>
      <c r="R6880" t="str">
        <f>"20.481851"</f>
        <v>20.481851</v>
      </c>
      <c r="S6880" t="s">
        <v>26</v>
      </c>
    </row>
    <row r="6881" spans="1:19" x14ac:dyDescent="0.3">
      <c r="A6881" t="s">
        <v>23985</v>
      </c>
      <c r="B6881" t="s">
        <v>24238</v>
      </c>
      <c r="C6881" t="s">
        <v>24311</v>
      </c>
      <c r="D6881" t="s">
        <v>24239</v>
      </c>
      <c r="E6881" t="s">
        <v>24239</v>
      </c>
      <c r="F6881" t="s">
        <v>24239</v>
      </c>
      <c r="G6881" t="s">
        <v>24239</v>
      </c>
      <c r="H6881" t="s">
        <v>78</v>
      </c>
      <c r="I6881" t="s">
        <v>79</v>
      </c>
      <c r="J6881" t="str">
        <f>"2540020"</f>
        <v>2540020</v>
      </c>
      <c r="K6881">
        <v>2674032207</v>
      </c>
      <c r="L6881">
        <v>2674033578</v>
      </c>
      <c r="M6881" t="s">
        <v>24312</v>
      </c>
      <c r="N6881" t="s">
        <v>24242</v>
      </c>
      <c r="O6881" t="s">
        <v>24310</v>
      </c>
      <c r="P6881">
        <v>28300</v>
      </c>
      <c r="Q6881" t="str">
        <f>"38.362608"</f>
        <v>38.362608</v>
      </c>
      <c r="R6881" t="str">
        <f>"20.721266"</f>
        <v>20.721266</v>
      </c>
      <c r="S6881" t="s">
        <v>57</v>
      </c>
    </row>
    <row r="6882" spans="1:19" x14ac:dyDescent="0.3">
      <c r="A6882" t="s">
        <v>23985</v>
      </c>
      <c r="B6882" t="s">
        <v>24343</v>
      </c>
      <c r="C6882" t="s">
        <v>24354</v>
      </c>
      <c r="D6882" t="s">
        <v>24002</v>
      </c>
      <c r="E6882" t="s">
        <v>24002</v>
      </c>
      <c r="F6882" t="s">
        <v>24003</v>
      </c>
      <c r="G6882" t="s">
        <v>24003</v>
      </c>
      <c r="H6882" t="s">
        <v>78</v>
      </c>
      <c r="I6882" t="s">
        <v>79</v>
      </c>
      <c r="J6882" t="str">
        <f>"3440030"</f>
        <v>3440030</v>
      </c>
      <c r="K6882">
        <v>2645023320</v>
      </c>
      <c r="L6882">
        <v>2645029493</v>
      </c>
      <c r="M6882" t="s">
        <v>24355</v>
      </c>
      <c r="N6882" t="s">
        <v>24006</v>
      </c>
      <c r="O6882" t="s">
        <v>24356</v>
      </c>
      <c r="P6882">
        <v>31100</v>
      </c>
      <c r="Q6882" t="str">
        <f>"38.827826"</f>
        <v>38.827826</v>
      </c>
      <c r="R6882" t="str">
        <f>"20.709902"</f>
        <v>20.709902</v>
      </c>
      <c r="S6882" t="s">
        <v>26</v>
      </c>
    </row>
    <row r="6883" spans="1:19" x14ac:dyDescent="0.3">
      <c r="A6883" t="s">
        <v>23985</v>
      </c>
      <c r="B6883" t="s">
        <v>24343</v>
      </c>
      <c r="C6883" t="s">
        <v>24393</v>
      </c>
      <c r="D6883" t="s">
        <v>24002</v>
      </c>
      <c r="E6883" t="s">
        <v>24002</v>
      </c>
      <c r="F6883" t="s">
        <v>24003</v>
      </c>
      <c r="G6883" t="s">
        <v>24003</v>
      </c>
      <c r="H6883" t="s">
        <v>78</v>
      </c>
      <c r="I6883" t="s">
        <v>132</v>
      </c>
      <c r="J6883" t="str">
        <f>"3453001"</f>
        <v>3453001</v>
      </c>
      <c r="K6883">
        <v>2645023320</v>
      </c>
      <c r="L6883">
        <v>2645029492</v>
      </c>
      <c r="M6883" t="s">
        <v>24394</v>
      </c>
      <c r="N6883" t="s">
        <v>24006</v>
      </c>
      <c r="O6883" t="s">
        <v>24395</v>
      </c>
      <c r="P6883">
        <v>31100</v>
      </c>
      <c r="Q6883" t="str">
        <f>"38.827541"</f>
        <v>38.827541</v>
      </c>
      <c r="R6883" t="str">
        <f>"20.709838"</f>
        <v>20.709838</v>
      </c>
      <c r="S6883" t="s">
        <v>26</v>
      </c>
    </row>
    <row r="6884" spans="1:19" x14ac:dyDescent="0.3">
      <c r="A6884" t="s">
        <v>25190</v>
      </c>
      <c r="B6884" t="s">
        <v>25243</v>
      </c>
      <c r="C6884" t="s">
        <v>25288</v>
      </c>
      <c r="D6884" t="s">
        <v>25197</v>
      </c>
      <c r="E6884" t="s">
        <v>25197</v>
      </c>
      <c r="F6884" t="s">
        <v>25197</v>
      </c>
      <c r="G6884" t="s">
        <v>25283</v>
      </c>
      <c r="H6884" t="s">
        <v>78</v>
      </c>
      <c r="I6884" t="s">
        <v>79</v>
      </c>
      <c r="J6884" t="str">
        <f>"1950220"</f>
        <v>1950220</v>
      </c>
      <c r="K6884">
        <v>2310889923</v>
      </c>
      <c r="L6884">
        <v>2310889924</v>
      </c>
      <c r="M6884" t="s">
        <v>25289</v>
      </c>
      <c r="N6884" t="s">
        <v>25247</v>
      </c>
      <c r="O6884" t="s">
        <v>25290</v>
      </c>
      <c r="P6884">
        <v>54639</v>
      </c>
      <c r="Q6884" t="str">
        <f>"40.617364"</f>
        <v>40.617364</v>
      </c>
      <c r="R6884" t="str">
        <f>"22.961903"</f>
        <v>22.961903</v>
      </c>
      <c r="S6884" t="s">
        <v>26</v>
      </c>
    </row>
    <row r="6885" spans="1:19" x14ac:dyDescent="0.3">
      <c r="A6885" t="s">
        <v>25190</v>
      </c>
      <c r="B6885" t="s">
        <v>25243</v>
      </c>
      <c r="C6885" t="s">
        <v>25308</v>
      </c>
      <c r="D6885" t="s">
        <v>25197</v>
      </c>
      <c r="E6885" t="s">
        <v>25293</v>
      </c>
      <c r="F6885" t="s">
        <v>25294</v>
      </c>
      <c r="G6885" t="s">
        <v>25294</v>
      </c>
      <c r="H6885" t="s">
        <v>78</v>
      </c>
      <c r="I6885" t="s">
        <v>79</v>
      </c>
      <c r="J6885" t="str">
        <f>"1940380"</f>
        <v>1940380</v>
      </c>
      <c r="K6885">
        <v>2392041406</v>
      </c>
      <c r="L6885">
        <v>2392041406</v>
      </c>
      <c r="M6885" t="s">
        <v>25309</v>
      </c>
      <c r="N6885" t="s">
        <v>25297</v>
      </c>
      <c r="O6885" t="s">
        <v>25298</v>
      </c>
      <c r="P6885">
        <v>57500</v>
      </c>
      <c r="Q6885" t="str">
        <f>"40.422864"</f>
        <v>40.422864</v>
      </c>
      <c r="R6885" t="str">
        <f>"22.934850"</f>
        <v>22.934850</v>
      </c>
      <c r="S6885" t="s">
        <v>26</v>
      </c>
    </row>
    <row r="6886" spans="1:19" x14ac:dyDescent="0.3">
      <c r="A6886" t="s">
        <v>25190</v>
      </c>
      <c r="B6886" t="s">
        <v>25243</v>
      </c>
      <c r="C6886" t="s">
        <v>25310</v>
      </c>
      <c r="D6886" t="s">
        <v>25197</v>
      </c>
      <c r="E6886" t="s">
        <v>25197</v>
      </c>
      <c r="F6886" t="s">
        <v>25197</v>
      </c>
      <c r="G6886" t="s">
        <v>25283</v>
      </c>
      <c r="H6886" t="s">
        <v>78</v>
      </c>
      <c r="I6886" t="s">
        <v>132</v>
      </c>
      <c r="J6886" t="str">
        <f>"1940320"</f>
        <v>1940320</v>
      </c>
      <c r="K6886">
        <v>2310889910</v>
      </c>
      <c r="L6886">
        <v>2310889911</v>
      </c>
      <c r="M6886" t="s">
        <v>25311</v>
      </c>
      <c r="N6886" t="s">
        <v>25247</v>
      </c>
      <c r="O6886" t="s">
        <v>25312</v>
      </c>
      <c r="P6886">
        <v>54639</v>
      </c>
      <c r="Q6886" t="str">
        <f>"40.602667"</f>
        <v>40.602667</v>
      </c>
      <c r="R6886" t="str">
        <f>"22.969112"</f>
        <v>22.969112</v>
      </c>
      <c r="S6886" t="s">
        <v>26</v>
      </c>
    </row>
    <row r="6887" spans="1:19" x14ac:dyDescent="0.3">
      <c r="A6887" t="s">
        <v>25190</v>
      </c>
      <c r="B6887" t="s">
        <v>25243</v>
      </c>
      <c r="C6887" t="s">
        <v>25358</v>
      </c>
      <c r="D6887" t="s">
        <v>25197</v>
      </c>
      <c r="E6887" t="s">
        <v>25197</v>
      </c>
      <c r="F6887" t="s">
        <v>25197</v>
      </c>
      <c r="G6887" t="s">
        <v>25283</v>
      </c>
      <c r="H6887" t="s">
        <v>78</v>
      </c>
      <c r="I6887" t="s">
        <v>79</v>
      </c>
      <c r="J6887" t="str">
        <f>"1940410"</f>
        <v>1940410</v>
      </c>
      <c r="K6887">
        <v>2310889913</v>
      </c>
      <c r="L6887">
        <v>2310889914</v>
      </c>
      <c r="M6887" t="s">
        <v>25359</v>
      </c>
      <c r="N6887" t="s">
        <v>25197</v>
      </c>
      <c r="O6887" t="s">
        <v>25312</v>
      </c>
      <c r="P6887">
        <v>54639</v>
      </c>
      <c r="Q6887" t="str">
        <f>"40.616901"</f>
        <v>40.616901</v>
      </c>
      <c r="R6887" t="str">
        <f>"22.960566"</f>
        <v>22.960566</v>
      </c>
      <c r="S6887" t="s">
        <v>26</v>
      </c>
    </row>
    <row r="6888" spans="1:19" x14ac:dyDescent="0.3">
      <c r="A6888" t="s">
        <v>25190</v>
      </c>
      <c r="B6888" t="s">
        <v>25243</v>
      </c>
      <c r="C6888" t="s">
        <v>25382</v>
      </c>
      <c r="D6888" t="s">
        <v>25197</v>
      </c>
      <c r="E6888" t="s">
        <v>25197</v>
      </c>
      <c r="F6888" t="s">
        <v>25197</v>
      </c>
      <c r="G6888" t="s">
        <v>25283</v>
      </c>
      <c r="H6888" t="s">
        <v>78</v>
      </c>
      <c r="I6888" t="s">
        <v>132</v>
      </c>
      <c r="J6888" t="str">
        <f>"1950230"</f>
        <v>1950230</v>
      </c>
      <c r="K6888">
        <v>2310889930</v>
      </c>
      <c r="L6888">
        <v>2310889932</v>
      </c>
      <c r="M6888" t="s">
        <v>25383</v>
      </c>
      <c r="N6888" t="s">
        <v>25197</v>
      </c>
      <c r="O6888" t="s">
        <v>25290</v>
      </c>
      <c r="P6888">
        <v>54639</v>
      </c>
      <c r="Q6888" t="str">
        <f>"40.617907"</f>
        <v>40.617907</v>
      </c>
      <c r="R6888" t="str">
        <f>"22.961542"</f>
        <v>22.961542</v>
      </c>
      <c r="S6888" t="s">
        <v>26</v>
      </c>
    </row>
    <row r="6889" spans="1:19" x14ac:dyDescent="0.3">
      <c r="A6889" t="s">
        <v>25190</v>
      </c>
      <c r="B6889" t="s">
        <v>25243</v>
      </c>
      <c r="C6889" t="s">
        <v>25459</v>
      </c>
      <c r="D6889" t="s">
        <v>25197</v>
      </c>
      <c r="E6889" t="s">
        <v>25197</v>
      </c>
      <c r="F6889" t="s">
        <v>25197</v>
      </c>
      <c r="G6889" t="s">
        <v>25235</v>
      </c>
      <c r="H6889" t="s">
        <v>78</v>
      </c>
      <c r="I6889" t="s">
        <v>132</v>
      </c>
      <c r="J6889" t="str">
        <f>"1950232"</f>
        <v>1950232</v>
      </c>
      <c r="K6889">
        <v>2310537692</v>
      </c>
      <c r="L6889">
        <v>2310521300</v>
      </c>
      <c r="M6889" t="s">
        <v>25460</v>
      </c>
      <c r="N6889" t="s">
        <v>25461</v>
      </c>
      <c r="O6889" t="s">
        <v>25462</v>
      </c>
      <c r="P6889">
        <v>54627</v>
      </c>
      <c r="Q6889" t="str">
        <f>"40.648809"</f>
        <v>40.648809</v>
      </c>
      <c r="R6889" t="str">
        <f>"22.919117"</f>
        <v>22.919117</v>
      </c>
      <c r="S6889" t="s">
        <v>26</v>
      </c>
    </row>
    <row r="6890" spans="1:19" x14ac:dyDescent="0.3">
      <c r="A6890" t="s">
        <v>25190</v>
      </c>
      <c r="B6890" t="s">
        <v>25243</v>
      </c>
      <c r="C6890" t="s">
        <v>25463</v>
      </c>
      <c r="D6890" t="s">
        <v>25197</v>
      </c>
      <c r="E6890" t="s">
        <v>25198</v>
      </c>
      <c r="F6890" t="s">
        <v>25317</v>
      </c>
      <c r="G6890" t="s">
        <v>25317</v>
      </c>
      <c r="H6890" t="s">
        <v>78</v>
      </c>
      <c r="I6890" t="s">
        <v>79</v>
      </c>
      <c r="J6890" t="str">
        <f>"1940355"</f>
        <v>1940355</v>
      </c>
      <c r="K6890">
        <v>2396024027</v>
      </c>
      <c r="L6890">
        <v>2396023875</v>
      </c>
      <c r="M6890" t="s">
        <v>25464</v>
      </c>
      <c r="N6890" t="s">
        <v>25465</v>
      </c>
      <c r="O6890" t="s">
        <v>25466</v>
      </c>
      <c r="P6890">
        <v>57006</v>
      </c>
      <c r="Q6890" t="str">
        <f>"40.482578"</f>
        <v>40.482578</v>
      </c>
      <c r="R6890" t="str">
        <f>"23.121524"</f>
        <v>23.121524</v>
      </c>
      <c r="S6890" t="s">
        <v>26</v>
      </c>
    </row>
    <row r="6891" spans="1:19" x14ac:dyDescent="0.3">
      <c r="A6891" t="s">
        <v>25190</v>
      </c>
      <c r="B6891" t="s">
        <v>25243</v>
      </c>
      <c r="C6891" t="s">
        <v>25491</v>
      </c>
      <c r="D6891" t="s">
        <v>25197</v>
      </c>
      <c r="E6891" t="s">
        <v>25197</v>
      </c>
      <c r="F6891" t="s">
        <v>25197</v>
      </c>
      <c r="G6891" t="s">
        <v>25255</v>
      </c>
      <c r="H6891" t="s">
        <v>78</v>
      </c>
      <c r="I6891" t="s">
        <v>79</v>
      </c>
      <c r="J6891" t="str">
        <f>"1940220"</f>
        <v>1940220</v>
      </c>
      <c r="K6891">
        <v>2310546231</v>
      </c>
      <c r="L6891">
        <v>2310544645</v>
      </c>
      <c r="M6891" t="s">
        <v>25492</v>
      </c>
      <c r="N6891" t="s">
        <v>25197</v>
      </c>
      <c r="O6891" t="s">
        <v>25493</v>
      </c>
      <c r="P6891">
        <v>54626</v>
      </c>
      <c r="Q6891" t="str">
        <f>"40.637918"</f>
        <v>40.637918</v>
      </c>
      <c r="R6891" t="str">
        <f>"22.935325"</f>
        <v>22.935325</v>
      </c>
      <c r="S6891" t="s">
        <v>26</v>
      </c>
    </row>
    <row r="6892" spans="1:19" x14ac:dyDescent="0.3">
      <c r="A6892" t="s">
        <v>25190</v>
      </c>
      <c r="B6892" t="s">
        <v>25243</v>
      </c>
      <c r="C6892" t="s">
        <v>25513</v>
      </c>
      <c r="D6892" t="s">
        <v>25197</v>
      </c>
      <c r="E6892" t="s">
        <v>25299</v>
      </c>
      <c r="F6892" t="s">
        <v>25299</v>
      </c>
      <c r="G6892" t="s">
        <v>25299</v>
      </c>
      <c r="H6892" t="s">
        <v>78</v>
      </c>
      <c r="I6892" t="s">
        <v>79</v>
      </c>
      <c r="J6892" t="str">
        <f>"1940350"</f>
        <v>1940350</v>
      </c>
      <c r="K6892">
        <v>2310471065</v>
      </c>
      <c r="L6892">
        <v>2310475286</v>
      </c>
      <c r="M6892" t="s">
        <v>25514</v>
      </c>
      <c r="N6892" t="s">
        <v>25331</v>
      </c>
      <c r="O6892" t="s">
        <v>25515</v>
      </c>
      <c r="P6892">
        <v>55134</v>
      </c>
      <c r="Q6892" t="str">
        <f>"40.575134"</f>
        <v>40.575134</v>
      </c>
      <c r="R6892" t="str">
        <f>"22.967605"</f>
        <v>22.967605</v>
      </c>
      <c r="S6892" t="s">
        <v>26</v>
      </c>
    </row>
    <row r="6893" spans="1:19" x14ac:dyDescent="0.3">
      <c r="A6893" t="s">
        <v>25190</v>
      </c>
      <c r="B6893" t="s">
        <v>25243</v>
      </c>
      <c r="C6893" t="s">
        <v>25517</v>
      </c>
      <c r="D6893" t="s">
        <v>25197</v>
      </c>
      <c r="E6893" t="s">
        <v>25197</v>
      </c>
      <c r="F6893" t="s">
        <v>25197</v>
      </c>
      <c r="G6893" t="s">
        <v>25235</v>
      </c>
      <c r="H6893" t="s">
        <v>78</v>
      </c>
      <c r="I6893" t="s">
        <v>79</v>
      </c>
      <c r="J6893" t="str">
        <f>"1950240"</f>
        <v>1950240</v>
      </c>
      <c r="K6893">
        <v>2310542970</v>
      </c>
      <c r="L6893">
        <v>2310515889</v>
      </c>
      <c r="M6893" t="s">
        <v>25518</v>
      </c>
      <c r="N6893" t="s">
        <v>25247</v>
      </c>
      <c r="O6893" t="s">
        <v>25462</v>
      </c>
      <c r="P6893">
        <v>54627</v>
      </c>
      <c r="Q6893" t="str">
        <f>"40.648809"</f>
        <v>40.648809</v>
      </c>
      <c r="R6893" t="str">
        <f>"22.919117"</f>
        <v>22.919117</v>
      </c>
      <c r="S6893" t="s">
        <v>26</v>
      </c>
    </row>
    <row r="6894" spans="1:19" x14ac:dyDescent="0.3">
      <c r="A6894" t="s">
        <v>25190</v>
      </c>
      <c r="B6894" t="s">
        <v>25243</v>
      </c>
      <c r="C6894" t="s">
        <v>25574</v>
      </c>
      <c r="D6894" t="s">
        <v>25197</v>
      </c>
      <c r="E6894" t="s">
        <v>25197</v>
      </c>
      <c r="F6894" t="s">
        <v>25197</v>
      </c>
      <c r="G6894" t="s">
        <v>25283</v>
      </c>
      <c r="H6894" t="s">
        <v>78</v>
      </c>
      <c r="I6894" t="s">
        <v>79</v>
      </c>
      <c r="J6894" t="str">
        <f>"1940411"</f>
        <v>1940411</v>
      </c>
      <c r="K6894">
        <v>2310889916</v>
      </c>
      <c r="L6894">
        <v>2310889917</v>
      </c>
      <c r="M6894" t="s">
        <v>25575</v>
      </c>
      <c r="N6894" t="s">
        <v>25197</v>
      </c>
      <c r="O6894" t="s">
        <v>25312</v>
      </c>
      <c r="P6894">
        <v>54639</v>
      </c>
      <c r="Q6894" t="str">
        <f>"40.617035"</f>
        <v>40.617035</v>
      </c>
      <c r="R6894" t="str">
        <f>"22.960551"</f>
        <v>22.960551</v>
      </c>
      <c r="S6894" t="s">
        <v>26</v>
      </c>
    </row>
    <row r="6895" spans="1:19" x14ac:dyDescent="0.3">
      <c r="A6895" t="s">
        <v>25190</v>
      </c>
      <c r="B6895" t="s">
        <v>25243</v>
      </c>
      <c r="C6895" t="s">
        <v>25650</v>
      </c>
      <c r="D6895" t="s">
        <v>25197</v>
      </c>
      <c r="E6895" t="s">
        <v>25197</v>
      </c>
      <c r="F6895" t="s">
        <v>25197</v>
      </c>
      <c r="G6895" t="s">
        <v>25235</v>
      </c>
      <c r="H6895" t="s">
        <v>78</v>
      </c>
      <c r="I6895" t="s">
        <v>132</v>
      </c>
      <c r="J6895" t="str">
        <f>"1940232"</f>
        <v>1940232</v>
      </c>
      <c r="K6895">
        <v>2310539003</v>
      </c>
      <c r="L6895">
        <v>2310548376</v>
      </c>
      <c r="M6895" t="s">
        <v>25651</v>
      </c>
      <c r="N6895" t="s">
        <v>25247</v>
      </c>
      <c r="O6895" t="s">
        <v>25462</v>
      </c>
      <c r="P6895">
        <v>54627</v>
      </c>
      <c r="Q6895" t="str">
        <f>"40.648809"</f>
        <v>40.648809</v>
      </c>
      <c r="R6895" t="str">
        <f>"22.919117"</f>
        <v>22.919117</v>
      </c>
      <c r="S6895" t="s">
        <v>26</v>
      </c>
    </row>
    <row r="6896" spans="1:19" x14ac:dyDescent="0.3">
      <c r="A6896" t="s">
        <v>25190</v>
      </c>
      <c r="B6896" t="s">
        <v>25243</v>
      </c>
      <c r="C6896" t="s">
        <v>25756</v>
      </c>
      <c r="D6896" t="s">
        <v>25197</v>
      </c>
      <c r="E6896" t="s">
        <v>25299</v>
      </c>
      <c r="F6896" t="s">
        <v>25299</v>
      </c>
      <c r="G6896" t="s">
        <v>25299</v>
      </c>
      <c r="H6896" t="s">
        <v>78</v>
      </c>
      <c r="I6896" t="s">
        <v>132</v>
      </c>
      <c r="J6896" t="str">
        <f>"1953001"</f>
        <v>1953001</v>
      </c>
      <c r="K6896">
        <v>2310480113</v>
      </c>
      <c r="L6896">
        <v>2310472977</v>
      </c>
      <c r="M6896" t="s">
        <v>25757</v>
      </c>
      <c r="N6896" t="s">
        <v>25331</v>
      </c>
      <c r="O6896" t="s">
        <v>25515</v>
      </c>
      <c r="P6896">
        <v>55134</v>
      </c>
      <c r="Q6896" t="str">
        <f>"40.575033"</f>
        <v>40.575033</v>
      </c>
      <c r="R6896" t="str">
        <f>"22.968068"</f>
        <v>22.968068</v>
      </c>
      <c r="S6896" t="s">
        <v>26</v>
      </c>
    </row>
    <row r="6897" spans="1:19" x14ac:dyDescent="0.3">
      <c r="A6897" t="s">
        <v>25190</v>
      </c>
      <c r="B6897" t="s">
        <v>25764</v>
      </c>
      <c r="C6897" t="s">
        <v>25853</v>
      </c>
      <c r="D6897" t="s">
        <v>25197</v>
      </c>
      <c r="E6897" t="s">
        <v>25790</v>
      </c>
      <c r="F6897" t="s">
        <v>25851</v>
      </c>
      <c r="G6897" t="s">
        <v>25852</v>
      </c>
      <c r="H6897" t="s">
        <v>78</v>
      </c>
      <c r="I6897" t="s">
        <v>79</v>
      </c>
      <c r="J6897" t="str">
        <f>"1950418"</f>
        <v>1950418</v>
      </c>
      <c r="K6897">
        <v>2310798422</v>
      </c>
      <c r="L6897">
        <v>2310798422</v>
      </c>
      <c r="M6897" t="s">
        <v>25854</v>
      </c>
      <c r="N6897" t="s">
        <v>25855</v>
      </c>
      <c r="O6897" t="s">
        <v>25856</v>
      </c>
      <c r="P6897">
        <v>57400</v>
      </c>
      <c r="Q6897" t="str">
        <f>"40.665404"</f>
        <v>40.665404</v>
      </c>
      <c r="R6897" t="str">
        <f>"22.801175"</f>
        <v>22.801175</v>
      </c>
      <c r="S6897" t="s">
        <v>26</v>
      </c>
    </row>
    <row r="6898" spans="1:19" x14ac:dyDescent="0.3">
      <c r="A6898" t="s">
        <v>25190</v>
      </c>
      <c r="B6898" t="s">
        <v>25764</v>
      </c>
      <c r="C6898" t="s">
        <v>25860</v>
      </c>
      <c r="D6898" t="s">
        <v>25197</v>
      </c>
      <c r="E6898" t="s">
        <v>25765</v>
      </c>
      <c r="F6898" t="s">
        <v>21848</v>
      </c>
      <c r="G6898" t="s">
        <v>21878</v>
      </c>
      <c r="H6898" t="s">
        <v>78</v>
      </c>
      <c r="I6898" t="s">
        <v>79</v>
      </c>
      <c r="J6898" t="str">
        <f>"1940010"</f>
        <v>1940010</v>
      </c>
      <c r="K6898">
        <v>2397065660</v>
      </c>
      <c r="L6898">
        <v>2397065870</v>
      </c>
      <c r="M6898" t="s">
        <v>25861</v>
      </c>
      <c r="N6898" t="s">
        <v>21881</v>
      </c>
      <c r="O6898" t="s">
        <v>25862</v>
      </c>
      <c r="P6898">
        <v>57014</v>
      </c>
      <c r="Q6898" t="str">
        <f>"40.664185"</f>
        <v>40.664185</v>
      </c>
      <c r="R6898" t="str">
        <f>"23.696099"</f>
        <v>23.696099</v>
      </c>
      <c r="S6898" t="s">
        <v>26</v>
      </c>
    </row>
    <row r="6899" spans="1:19" x14ac:dyDescent="0.3">
      <c r="A6899" t="s">
        <v>25190</v>
      </c>
      <c r="B6899" t="s">
        <v>25764</v>
      </c>
      <c r="C6899" t="s">
        <v>25869</v>
      </c>
      <c r="D6899" t="s">
        <v>25197</v>
      </c>
      <c r="E6899" t="s">
        <v>25815</v>
      </c>
      <c r="F6899" t="s">
        <v>60</v>
      </c>
      <c r="G6899" t="s">
        <v>60</v>
      </c>
      <c r="H6899" t="s">
        <v>78</v>
      </c>
      <c r="I6899" t="s">
        <v>79</v>
      </c>
      <c r="J6899" t="str">
        <f>"1940246"</f>
        <v>1940246</v>
      </c>
      <c r="K6899">
        <v>2310702634</v>
      </c>
      <c r="L6899">
        <v>2310702694</v>
      </c>
      <c r="M6899" t="s">
        <v>25870</v>
      </c>
      <c r="N6899" t="s">
        <v>60</v>
      </c>
      <c r="O6899" t="s">
        <v>25871</v>
      </c>
      <c r="P6899">
        <v>57003</v>
      </c>
      <c r="Q6899" t="str">
        <f>"40.709754"</f>
        <v>40.709754</v>
      </c>
      <c r="R6899" t="str">
        <f>"22.738573"</f>
        <v>22.738573</v>
      </c>
      <c r="S6899" t="s">
        <v>26</v>
      </c>
    </row>
    <row r="6900" spans="1:19" x14ac:dyDescent="0.3">
      <c r="A6900" t="s">
        <v>25190</v>
      </c>
      <c r="B6900" t="s">
        <v>25764</v>
      </c>
      <c r="C6900" t="s">
        <v>25874</v>
      </c>
      <c r="D6900" t="s">
        <v>25197</v>
      </c>
      <c r="E6900" t="s">
        <v>25873</v>
      </c>
      <c r="F6900" t="s">
        <v>17906</v>
      </c>
      <c r="G6900" t="s">
        <v>17906</v>
      </c>
      <c r="H6900" t="s">
        <v>78</v>
      </c>
      <c r="I6900" t="s">
        <v>79</v>
      </c>
      <c r="J6900" t="str">
        <f>"1950410"</f>
        <v>1950410</v>
      </c>
      <c r="K6900">
        <v>2310729160</v>
      </c>
      <c r="L6900">
        <v>2310747383</v>
      </c>
      <c r="M6900" t="s">
        <v>25875</v>
      </c>
      <c r="N6900" t="s">
        <v>3379</v>
      </c>
      <c r="O6900" t="s">
        <v>25876</v>
      </c>
      <c r="P6900">
        <v>56121</v>
      </c>
      <c r="Q6900" t="str">
        <f>"40.658634"</f>
        <v>40.658634</v>
      </c>
      <c r="R6900" t="str">
        <f>"22.921712"</f>
        <v>22.921712</v>
      </c>
      <c r="S6900" t="s">
        <v>26</v>
      </c>
    </row>
    <row r="6901" spans="1:19" x14ac:dyDescent="0.3">
      <c r="A6901" t="s">
        <v>25190</v>
      </c>
      <c r="B6901" t="s">
        <v>25764</v>
      </c>
      <c r="C6901" t="s">
        <v>25891</v>
      </c>
      <c r="D6901" t="s">
        <v>25197</v>
      </c>
      <c r="E6901" t="s">
        <v>25889</v>
      </c>
      <c r="F6901" t="s">
        <v>25890</v>
      </c>
      <c r="G6901" t="s">
        <v>25890</v>
      </c>
      <c r="H6901" t="s">
        <v>78</v>
      </c>
      <c r="I6901" t="s">
        <v>79</v>
      </c>
      <c r="J6901" t="str">
        <f>"1940245"</f>
        <v>1940245</v>
      </c>
      <c r="K6901">
        <v>2310658619</v>
      </c>
      <c r="L6901">
        <v>2310587707</v>
      </c>
      <c r="M6901" t="s">
        <v>25892</v>
      </c>
      <c r="N6901" t="s">
        <v>25893</v>
      </c>
      <c r="O6901" t="s">
        <v>25894</v>
      </c>
      <c r="P6901">
        <v>56533</v>
      </c>
      <c r="Q6901" t="str">
        <f>"40.657074"</f>
        <v>40.657074</v>
      </c>
      <c r="R6901" t="str">
        <f>"22.943228"</f>
        <v>22.943228</v>
      </c>
      <c r="S6901" t="s">
        <v>26</v>
      </c>
    </row>
    <row r="6902" spans="1:19" x14ac:dyDescent="0.3">
      <c r="A6902" t="s">
        <v>25190</v>
      </c>
      <c r="B6902" t="s">
        <v>25764</v>
      </c>
      <c r="C6902" t="s">
        <v>25909</v>
      </c>
      <c r="D6902" t="s">
        <v>25197</v>
      </c>
      <c r="E6902" t="s">
        <v>25203</v>
      </c>
      <c r="F6902" t="s">
        <v>25784</v>
      </c>
      <c r="G6902" t="s">
        <v>25784</v>
      </c>
      <c r="H6902" t="s">
        <v>78</v>
      </c>
      <c r="I6902" t="s">
        <v>79</v>
      </c>
      <c r="J6902" t="str">
        <f>"1950415"</f>
        <v>1950415</v>
      </c>
      <c r="K6902">
        <v>2310587104</v>
      </c>
      <c r="L6902">
        <v>2310587104</v>
      </c>
      <c r="M6902" t="s">
        <v>25910</v>
      </c>
      <c r="N6902" t="s">
        <v>25911</v>
      </c>
      <c r="O6902" t="s">
        <v>25912</v>
      </c>
      <c r="P6902">
        <v>56533</v>
      </c>
      <c r="Q6902" t="str">
        <f>"40.666950"</f>
        <v>40.666950</v>
      </c>
      <c r="R6902" t="str">
        <f>"22.953649"</f>
        <v>22.953649</v>
      </c>
      <c r="S6902" t="s">
        <v>26</v>
      </c>
    </row>
    <row r="6903" spans="1:19" x14ac:dyDescent="0.3">
      <c r="A6903" t="s">
        <v>25190</v>
      </c>
      <c r="B6903" t="s">
        <v>25764</v>
      </c>
      <c r="C6903" t="s">
        <v>25938</v>
      </c>
      <c r="D6903" t="s">
        <v>25197</v>
      </c>
      <c r="E6903" t="s">
        <v>25815</v>
      </c>
      <c r="F6903" t="s">
        <v>25864</v>
      </c>
      <c r="G6903" t="s">
        <v>25864</v>
      </c>
      <c r="H6903" t="s">
        <v>78</v>
      </c>
      <c r="I6903" t="s">
        <v>79</v>
      </c>
      <c r="J6903" t="str">
        <f>"1940370"</f>
        <v>1940370</v>
      </c>
      <c r="K6903">
        <v>2391051107</v>
      </c>
      <c r="L6903">
        <v>2391053340</v>
      </c>
      <c r="M6903" t="s">
        <v>25939</v>
      </c>
      <c r="N6903" t="s">
        <v>25940</v>
      </c>
      <c r="O6903" t="s">
        <v>25941</v>
      </c>
      <c r="P6903">
        <v>57100</v>
      </c>
      <c r="Q6903" t="str">
        <f>"40.786376"</f>
        <v>40.786376</v>
      </c>
      <c r="R6903" t="str">
        <f>"22.575443"</f>
        <v>22.575443</v>
      </c>
      <c r="S6903" t="s">
        <v>26</v>
      </c>
    </row>
    <row r="6904" spans="1:19" x14ac:dyDescent="0.3">
      <c r="A6904" t="s">
        <v>25190</v>
      </c>
      <c r="B6904" t="s">
        <v>25764</v>
      </c>
      <c r="C6904" t="s">
        <v>25942</v>
      </c>
      <c r="D6904" t="s">
        <v>25197</v>
      </c>
      <c r="E6904" t="s">
        <v>25203</v>
      </c>
      <c r="F6904" t="s">
        <v>595</v>
      </c>
      <c r="G6904" t="s">
        <v>595</v>
      </c>
      <c r="H6904" t="s">
        <v>78</v>
      </c>
      <c r="I6904" t="s">
        <v>79</v>
      </c>
      <c r="J6904" t="str">
        <f>"1940390"</f>
        <v>1940390</v>
      </c>
      <c r="K6904">
        <v>2310641672</v>
      </c>
      <c r="L6904">
        <v>2310655522</v>
      </c>
      <c r="M6904" t="s">
        <v>25943</v>
      </c>
      <c r="N6904" t="s">
        <v>2473</v>
      </c>
      <c r="O6904" t="s">
        <v>25944</v>
      </c>
      <c r="P6904">
        <v>56430</v>
      </c>
      <c r="Q6904" t="str">
        <f>"40.657296"</f>
        <v>40.657296</v>
      </c>
      <c r="R6904" t="str">
        <f>"22.931072"</f>
        <v>22.931072</v>
      </c>
      <c r="S6904" t="s">
        <v>26</v>
      </c>
    </row>
    <row r="6905" spans="1:19" x14ac:dyDescent="0.3">
      <c r="A6905" t="s">
        <v>25190</v>
      </c>
      <c r="B6905" t="s">
        <v>25764</v>
      </c>
      <c r="C6905" t="s">
        <v>25946</v>
      </c>
      <c r="D6905" t="s">
        <v>25197</v>
      </c>
      <c r="E6905" t="s">
        <v>25790</v>
      </c>
      <c r="F6905" t="s">
        <v>25896</v>
      </c>
      <c r="G6905" t="s">
        <v>25896</v>
      </c>
      <c r="H6905" t="s">
        <v>78</v>
      </c>
      <c r="I6905" t="s">
        <v>79</v>
      </c>
      <c r="J6905" t="str">
        <f>"1940247"</f>
        <v>1940247</v>
      </c>
      <c r="K6905">
        <v>2310792698</v>
      </c>
      <c r="L6905">
        <v>2310792698</v>
      </c>
      <c r="M6905" t="s">
        <v>25947</v>
      </c>
      <c r="N6905" t="s">
        <v>25900</v>
      </c>
      <c r="O6905" t="s">
        <v>25948</v>
      </c>
      <c r="P6905">
        <v>57300</v>
      </c>
      <c r="Q6905" t="str">
        <f>"40.628166"</f>
        <v>40.628166</v>
      </c>
      <c r="R6905" t="str">
        <f>"22.732446"</f>
        <v>22.732446</v>
      </c>
      <c r="S6905" t="s">
        <v>26</v>
      </c>
    </row>
    <row r="6906" spans="1:19" x14ac:dyDescent="0.3">
      <c r="A6906" t="s">
        <v>25190</v>
      </c>
      <c r="B6906" t="s">
        <v>25764</v>
      </c>
      <c r="C6906" t="s">
        <v>25950</v>
      </c>
      <c r="D6906" t="s">
        <v>25197</v>
      </c>
      <c r="E6906" t="s">
        <v>25889</v>
      </c>
      <c r="F6906" t="s">
        <v>25924</v>
      </c>
      <c r="G6906" t="s">
        <v>25924</v>
      </c>
      <c r="H6906" t="s">
        <v>78</v>
      </c>
      <c r="I6906" t="s">
        <v>79</v>
      </c>
      <c r="J6906" t="str">
        <f>"1940391"</f>
        <v>1940391</v>
      </c>
      <c r="K6906">
        <v>2310624751</v>
      </c>
      <c r="L6906">
        <v>2310624751</v>
      </c>
      <c r="M6906" t="s">
        <v>25951</v>
      </c>
      <c r="N6906" t="s">
        <v>25952</v>
      </c>
      <c r="O6906" t="s">
        <v>25953</v>
      </c>
      <c r="P6906">
        <v>56626</v>
      </c>
      <c r="Q6906" t="str">
        <f>"40.653442"</f>
        <v>40.653442</v>
      </c>
      <c r="R6906" t="str">
        <f>"22.959781"</f>
        <v>22.959781</v>
      </c>
      <c r="S6906" t="s">
        <v>26</v>
      </c>
    </row>
    <row r="6907" spans="1:19" x14ac:dyDescent="0.3">
      <c r="A6907" t="s">
        <v>25190</v>
      </c>
      <c r="B6907" t="s">
        <v>25764</v>
      </c>
      <c r="C6907" t="s">
        <v>25979</v>
      </c>
      <c r="D6907" t="s">
        <v>25197</v>
      </c>
      <c r="E6907" t="s">
        <v>25826</v>
      </c>
      <c r="F6907" t="s">
        <v>25833</v>
      </c>
      <c r="G6907" t="s">
        <v>25833</v>
      </c>
      <c r="H6907" t="s">
        <v>78</v>
      </c>
      <c r="I6907" t="s">
        <v>79</v>
      </c>
      <c r="J6907" t="str">
        <f>"1940400"</f>
        <v>1940400</v>
      </c>
      <c r="K6907">
        <v>2310768012</v>
      </c>
      <c r="L6907">
        <v>2310768012</v>
      </c>
      <c r="M6907" t="s">
        <v>25980</v>
      </c>
      <c r="N6907" t="s">
        <v>25833</v>
      </c>
      <c r="O6907" t="s">
        <v>25981</v>
      </c>
      <c r="P6907">
        <v>56224</v>
      </c>
      <c r="Q6907" t="str">
        <f>"40.675834"</f>
        <v>40.675834</v>
      </c>
      <c r="R6907" t="str">
        <f>"22.910546"</f>
        <v>22.910546</v>
      </c>
      <c r="S6907" t="s">
        <v>26</v>
      </c>
    </row>
    <row r="6908" spans="1:19" x14ac:dyDescent="0.3">
      <c r="A6908" t="s">
        <v>25190</v>
      </c>
      <c r="B6908" t="s">
        <v>25764</v>
      </c>
      <c r="C6908" t="s">
        <v>25998</v>
      </c>
      <c r="D6908" t="s">
        <v>25197</v>
      </c>
      <c r="E6908" t="s">
        <v>25826</v>
      </c>
      <c r="F6908" t="s">
        <v>25833</v>
      </c>
      <c r="G6908" t="s">
        <v>25833</v>
      </c>
      <c r="H6908" t="s">
        <v>78</v>
      </c>
      <c r="I6908" t="s">
        <v>132</v>
      </c>
      <c r="J6908" t="str">
        <f>"1950405"</f>
        <v>1950405</v>
      </c>
      <c r="K6908">
        <v>2310758985</v>
      </c>
      <c r="L6908">
        <v>2310758153</v>
      </c>
      <c r="M6908" t="s">
        <v>25999</v>
      </c>
      <c r="N6908" t="s">
        <v>26000</v>
      </c>
      <c r="O6908" t="s">
        <v>26001</v>
      </c>
      <c r="P6908">
        <v>56224</v>
      </c>
      <c r="Q6908" t="str">
        <f>"40.675739"</f>
        <v>40.675739</v>
      </c>
      <c r="R6908" t="str">
        <f>"22.910423"</f>
        <v>22.910423</v>
      </c>
      <c r="S6908" t="s">
        <v>26</v>
      </c>
    </row>
    <row r="6909" spans="1:19" x14ac:dyDescent="0.3">
      <c r="A6909" t="s">
        <v>25190</v>
      </c>
      <c r="B6909" t="s">
        <v>25764</v>
      </c>
      <c r="C6909" t="s">
        <v>26022</v>
      </c>
      <c r="D6909" t="s">
        <v>25197</v>
      </c>
      <c r="E6909" t="s">
        <v>25826</v>
      </c>
      <c r="F6909" t="s">
        <v>25833</v>
      </c>
      <c r="G6909" t="s">
        <v>25833</v>
      </c>
      <c r="H6909" t="s">
        <v>78</v>
      </c>
      <c r="I6909" t="s">
        <v>79</v>
      </c>
      <c r="J6909" t="str">
        <f>"1940405"</f>
        <v>1940405</v>
      </c>
      <c r="K6909">
        <v>2310707071</v>
      </c>
      <c r="L6909">
        <v>2310757424</v>
      </c>
      <c r="M6909" t="s">
        <v>26023</v>
      </c>
      <c r="N6909" t="s">
        <v>26010</v>
      </c>
      <c r="O6909" t="s">
        <v>26024</v>
      </c>
      <c r="P6909">
        <v>56224</v>
      </c>
      <c r="Q6909" t="str">
        <f>"40.675612"</f>
        <v>40.675612</v>
      </c>
      <c r="R6909" t="str">
        <f>"22.910771"</f>
        <v>22.910771</v>
      </c>
      <c r="S6909" t="s">
        <v>26</v>
      </c>
    </row>
    <row r="6910" spans="1:19" x14ac:dyDescent="0.3">
      <c r="A6910" t="s">
        <v>25190</v>
      </c>
      <c r="B6910" t="s">
        <v>25764</v>
      </c>
      <c r="C6910" t="s">
        <v>26025</v>
      </c>
      <c r="D6910" t="s">
        <v>25197</v>
      </c>
      <c r="E6910" t="s">
        <v>25203</v>
      </c>
      <c r="F6910" t="s">
        <v>595</v>
      </c>
      <c r="G6910" t="s">
        <v>595</v>
      </c>
      <c r="H6910" t="s">
        <v>78</v>
      </c>
      <c r="I6910" t="s">
        <v>79</v>
      </c>
      <c r="J6910" t="str">
        <f>"1940250"</f>
        <v>1940250</v>
      </c>
      <c r="K6910">
        <v>2310653039</v>
      </c>
      <c r="L6910">
        <v>2310641670</v>
      </c>
      <c r="M6910" t="s">
        <v>26026</v>
      </c>
      <c r="N6910" t="s">
        <v>2473</v>
      </c>
      <c r="O6910" t="s">
        <v>26027</v>
      </c>
      <c r="P6910">
        <v>56430</v>
      </c>
      <c r="Q6910" t="str">
        <f>"40.657681"</f>
        <v>40.657681</v>
      </c>
      <c r="R6910" t="str">
        <f>"22.930094"</f>
        <v>22.930094</v>
      </c>
      <c r="S6910" t="s">
        <v>26</v>
      </c>
    </row>
    <row r="6911" spans="1:19" x14ac:dyDescent="0.3">
      <c r="A6911" t="s">
        <v>25190</v>
      </c>
      <c r="B6911" t="s">
        <v>25764</v>
      </c>
      <c r="C6911" t="s">
        <v>26053</v>
      </c>
      <c r="D6911" t="s">
        <v>25197</v>
      </c>
      <c r="E6911" t="s">
        <v>13689</v>
      </c>
      <c r="F6911" t="s">
        <v>13689</v>
      </c>
      <c r="G6911" t="s">
        <v>13689</v>
      </c>
      <c r="H6911" t="s">
        <v>78</v>
      </c>
      <c r="I6911" t="s">
        <v>79</v>
      </c>
      <c r="J6911" t="str">
        <f>"1940360"</f>
        <v>1940360</v>
      </c>
      <c r="K6911">
        <v>2394024240</v>
      </c>
      <c r="L6911">
        <v>2394024770</v>
      </c>
      <c r="M6911" t="s">
        <v>26054</v>
      </c>
      <c r="N6911" t="s">
        <v>13689</v>
      </c>
      <c r="O6911" t="s">
        <v>26055</v>
      </c>
      <c r="P6911">
        <v>57200</v>
      </c>
      <c r="Q6911" t="str">
        <f>"40.756141"</f>
        <v>40.756141</v>
      </c>
      <c r="R6911" t="str">
        <f>"23.077566"</f>
        <v>23.077566</v>
      </c>
      <c r="S6911" t="s">
        <v>26</v>
      </c>
    </row>
    <row r="6912" spans="1:19" x14ac:dyDescent="0.3">
      <c r="A6912" t="s">
        <v>25190</v>
      </c>
      <c r="B6912" t="s">
        <v>25764</v>
      </c>
      <c r="C6912" t="s">
        <v>26152</v>
      </c>
      <c r="D6912" t="s">
        <v>25197</v>
      </c>
      <c r="E6912" t="s">
        <v>25826</v>
      </c>
      <c r="F6912" t="s">
        <v>25827</v>
      </c>
      <c r="G6912" t="s">
        <v>25827</v>
      </c>
      <c r="H6912" t="s">
        <v>78</v>
      </c>
      <c r="I6912" t="s">
        <v>79</v>
      </c>
      <c r="J6912" t="str">
        <f>"1950420"</f>
        <v>1950420</v>
      </c>
      <c r="K6912">
        <v>2310763668</v>
      </c>
      <c r="L6912">
        <v>2310763287</v>
      </c>
      <c r="M6912" t="s">
        <v>26153</v>
      </c>
      <c r="N6912" t="s">
        <v>26154</v>
      </c>
      <c r="O6912" t="s">
        <v>26155</v>
      </c>
      <c r="P6912">
        <v>56334</v>
      </c>
      <c r="Q6912" t="str">
        <f>"40.667240"</f>
        <v>40.667240</v>
      </c>
      <c r="R6912" t="str">
        <f>"22.900995"</f>
        <v>22.900995</v>
      </c>
      <c r="S6912" t="s">
        <v>26</v>
      </c>
    </row>
    <row r="6913" spans="1:19" x14ac:dyDescent="0.3">
      <c r="A6913" t="s">
        <v>25190</v>
      </c>
      <c r="B6913" t="s">
        <v>25764</v>
      </c>
      <c r="C6913" t="s">
        <v>26337</v>
      </c>
      <c r="D6913" t="s">
        <v>25197</v>
      </c>
      <c r="E6913" t="s">
        <v>25203</v>
      </c>
      <c r="F6913" t="s">
        <v>595</v>
      </c>
      <c r="G6913" t="s">
        <v>595</v>
      </c>
      <c r="H6913" t="s">
        <v>78</v>
      </c>
      <c r="I6913" t="s">
        <v>132</v>
      </c>
      <c r="J6913" t="str">
        <f>"1940260"</f>
        <v>1940260</v>
      </c>
      <c r="K6913">
        <v>2310587631</v>
      </c>
      <c r="L6913">
        <v>2310587631</v>
      </c>
      <c r="M6913" t="s">
        <v>26338</v>
      </c>
      <c r="N6913" t="s">
        <v>25984</v>
      </c>
      <c r="O6913" t="s">
        <v>25944</v>
      </c>
      <c r="P6913">
        <v>56430</v>
      </c>
      <c r="Q6913" t="str">
        <f>"40.657711"</f>
        <v>40.657711</v>
      </c>
      <c r="R6913" t="str">
        <f>"22.930438"</f>
        <v>22.930438</v>
      </c>
      <c r="S6913" t="s">
        <v>26</v>
      </c>
    </row>
    <row r="6914" spans="1:19" x14ac:dyDescent="0.3">
      <c r="A6914" t="s">
        <v>25190</v>
      </c>
      <c r="B6914" t="s">
        <v>26402</v>
      </c>
      <c r="C6914" t="s">
        <v>26428</v>
      </c>
      <c r="D6914" t="s">
        <v>25191</v>
      </c>
      <c r="E6914" t="s">
        <v>26403</v>
      </c>
      <c r="F6914" t="s">
        <v>26403</v>
      </c>
      <c r="G6914" t="s">
        <v>26404</v>
      </c>
      <c r="H6914" t="s">
        <v>78</v>
      </c>
      <c r="I6914" t="s">
        <v>79</v>
      </c>
      <c r="J6914" t="str">
        <f>"1640080"</f>
        <v>1640080</v>
      </c>
      <c r="K6914">
        <v>2332028620</v>
      </c>
      <c r="M6914" t="s">
        <v>26429</v>
      </c>
      <c r="N6914" t="s">
        <v>26407</v>
      </c>
      <c r="O6914" t="s">
        <v>1969</v>
      </c>
      <c r="P6914">
        <v>59200</v>
      </c>
      <c r="Q6914" t="str">
        <f>"40.625320"</f>
        <v>40.625320</v>
      </c>
      <c r="R6914" t="str">
        <f>"22.056846"</f>
        <v>22.056846</v>
      </c>
      <c r="S6914" t="s">
        <v>26</v>
      </c>
    </row>
    <row r="6915" spans="1:19" x14ac:dyDescent="0.3">
      <c r="A6915" t="s">
        <v>25190</v>
      </c>
      <c r="B6915" t="s">
        <v>26402</v>
      </c>
      <c r="C6915" t="s">
        <v>26431</v>
      </c>
      <c r="D6915" t="s">
        <v>25191</v>
      </c>
      <c r="E6915" t="s">
        <v>25192</v>
      </c>
      <c r="F6915" t="s">
        <v>25192</v>
      </c>
      <c r="G6915" t="s">
        <v>25192</v>
      </c>
      <c r="H6915" t="s">
        <v>78</v>
      </c>
      <c r="I6915" t="s">
        <v>132</v>
      </c>
      <c r="J6915" t="str">
        <f>"1640050"</f>
        <v>1640050</v>
      </c>
      <c r="K6915">
        <v>2331077527</v>
      </c>
      <c r="L6915">
        <v>2331077527</v>
      </c>
      <c r="M6915" t="s">
        <v>26432</v>
      </c>
      <c r="N6915" t="s">
        <v>25195</v>
      </c>
      <c r="O6915" t="s">
        <v>26433</v>
      </c>
      <c r="P6915">
        <v>59131</v>
      </c>
      <c r="Q6915" t="str">
        <f>"40.541755"</f>
        <v>40.541755</v>
      </c>
      <c r="R6915" t="str">
        <f>"22.200713"</f>
        <v>22.200713</v>
      </c>
      <c r="S6915" t="s">
        <v>26</v>
      </c>
    </row>
    <row r="6916" spans="1:19" x14ac:dyDescent="0.3">
      <c r="A6916" t="s">
        <v>25190</v>
      </c>
      <c r="B6916" t="s">
        <v>26402</v>
      </c>
      <c r="C6916" t="s">
        <v>26435</v>
      </c>
      <c r="D6916" t="s">
        <v>25191</v>
      </c>
      <c r="E6916" t="s">
        <v>25192</v>
      </c>
      <c r="F6916" t="s">
        <v>25192</v>
      </c>
      <c r="G6916" t="s">
        <v>25192</v>
      </c>
      <c r="H6916" t="s">
        <v>78</v>
      </c>
      <c r="I6916" t="s">
        <v>79</v>
      </c>
      <c r="J6916" t="str">
        <f>"1640060"</f>
        <v>1640060</v>
      </c>
      <c r="K6916">
        <v>2331029511</v>
      </c>
      <c r="L6916">
        <v>2331021549</v>
      </c>
      <c r="M6916" t="s">
        <v>26436</v>
      </c>
      <c r="N6916" t="s">
        <v>25195</v>
      </c>
      <c r="O6916" t="s">
        <v>26433</v>
      </c>
      <c r="P6916">
        <v>59131</v>
      </c>
      <c r="Q6916" t="str">
        <f>"40.541943"</f>
        <v>40.541943</v>
      </c>
      <c r="R6916" t="str">
        <f>"22.199812"</f>
        <v>22.199812</v>
      </c>
      <c r="S6916" t="s">
        <v>26</v>
      </c>
    </row>
    <row r="6917" spans="1:19" x14ac:dyDescent="0.3">
      <c r="A6917" t="s">
        <v>25190</v>
      </c>
      <c r="B6917" t="s">
        <v>26402</v>
      </c>
      <c r="C6917" t="s">
        <v>26447</v>
      </c>
      <c r="D6917" t="s">
        <v>25191</v>
      </c>
      <c r="E6917" t="s">
        <v>26414</v>
      </c>
      <c r="F6917" t="s">
        <v>26414</v>
      </c>
      <c r="G6917" t="s">
        <v>26414</v>
      </c>
      <c r="H6917" t="s">
        <v>78</v>
      </c>
      <c r="I6917" t="s">
        <v>79</v>
      </c>
      <c r="J6917" t="str">
        <f>"1640081"</f>
        <v>1640081</v>
      </c>
      <c r="K6917">
        <v>2333026729</v>
      </c>
      <c r="L6917">
        <v>2333026760</v>
      </c>
      <c r="M6917" t="s">
        <v>26448</v>
      </c>
      <c r="N6917" t="s">
        <v>26414</v>
      </c>
      <c r="O6917" t="s">
        <v>26449</v>
      </c>
      <c r="P6917">
        <v>59300</v>
      </c>
      <c r="Q6917" t="str">
        <f>"40.618945"</f>
        <v>40.618945</v>
      </c>
      <c r="R6917" t="str">
        <f>"22.443757"</f>
        <v>22.443757</v>
      </c>
      <c r="S6917" t="s">
        <v>26</v>
      </c>
    </row>
    <row r="6918" spans="1:19" x14ac:dyDescent="0.3">
      <c r="A6918" t="s">
        <v>25190</v>
      </c>
      <c r="B6918" t="s">
        <v>26583</v>
      </c>
      <c r="C6918" t="s">
        <v>26628</v>
      </c>
      <c r="D6918" t="s">
        <v>25207</v>
      </c>
      <c r="E6918" t="s">
        <v>25207</v>
      </c>
      <c r="F6918" t="s">
        <v>25207</v>
      </c>
      <c r="G6918" t="s">
        <v>25207</v>
      </c>
      <c r="H6918" t="s">
        <v>78</v>
      </c>
      <c r="I6918" t="s">
        <v>79</v>
      </c>
      <c r="J6918" t="str">
        <f>"2640060"</f>
        <v>2640060</v>
      </c>
      <c r="K6918">
        <v>2341023227</v>
      </c>
      <c r="M6918" t="s">
        <v>26629</v>
      </c>
      <c r="N6918" t="s">
        <v>25207</v>
      </c>
      <c r="O6918" t="s">
        <v>26630</v>
      </c>
      <c r="P6918">
        <v>61100</v>
      </c>
      <c r="Q6918" t="str">
        <f>"40.990481"</f>
        <v>40.990481</v>
      </c>
      <c r="R6918" t="str">
        <f>"22.884165"</f>
        <v>22.884165</v>
      </c>
      <c r="S6918" t="s">
        <v>26</v>
      </c>
    </row>
    <row r="6919" spans="1:19" x14ac:dyDescent="0.3">
      <c r="A6919" t="s">
        <v>25190</v>
      </c>
      <c r="B6919" t="s">
        <v>26583</v>
      </c>
      <c r="C6919" t="s">
        <v>26651</v>
      </c>
      <c r="D6919" t="s">
        <v>25207</v>
      </c>
      <c r="E6919" t="s">
        <v>26604</v>
      </c>
      <c r="F6919" t="s">
        <v>26605</v>
      </c>
      <c r="G6919" t="s">
        <v>26606</v>
      </c>
      <c r="H6919" t="s">
        <v>78</v>
      </c>
      <c r="I6919" t="s">
        <v>79</v>
      </c>
      <c r="J6919" t="str">
        <f>"2640070"</f>
        <v>2640070</v>
      </c>
      <c r="K6919">
        <v>2343031659</v>
      </c>
      <c r="L6919">
        <v>2343032732</v>
      </c>
      <c r="M6919" t="s">
        <v>26652</v>
      </c>
      <c r="N6919" t="s">
        <v>26653</v>
      </c>
      <c r="O6919" t="s">
        <v>26654</v>
      </c>
      <c r="P6919">
        <v>61400</v>
      </c>
      <c r="Q6919" t="str">
        <f>"40.990180"</f>
        <v>40.990180</v>
      </c>
      <c r="R6919" t="str">
        <f>"22.549693"</f>
        <v>22.549693</v>
      </c>
      <c r="S6919" t="s">
        <v>26</v>
      </c>
    </row>
    <row r="6920" spans="1:19" x14ac:dyDescent="0.3">
      <c r="A6920" t="s">
        <v>25190</v>
      </c>
      <c r="B6920" t="s">
        <v>26583</v>
      </c>
      <c r="C6920" t="s">
        <v>26705</v>
      </c>
      <c r="D6920" t="s">
        <v>25207</v>
      </c>
      <c r="E6920" t="s">
        <v>25207</v>
      </c>
      <c r="F6920" t="s">
        <v>25207</v>
      </c>
      <c r="G6920" t="s">
        <v>25207</v>
      </c>
      <c r="H6920" t="s">
        <v>78</v>
      </c>
      <c r="I6920" t="s">
        <v>79</v>
      </c>
      <c r="J6920" t="str">
        <f>"2640065"</f>
        <v>2640065</v>
      </c>
      <c r="K6920">
        <v>2341028798</v>
      </c>
      <c r="L6920">
        <v>2341028255</v>
      </c>
      <c r="M6920" t="s">
        <v>26706</v>
      </c>
      <c r="N6920" t="s">
        <v>25207</v>
      </c>
      <c r="O6920" t="s">
        <v>26707</v>
      </c>
      <c r="P6920">
        <v>61100</v>
      </c>
      <c r="Q6920" t="str">
        <f>"40.998369"</f>
        <v>40.998369</v>
      </c>
      <c r="R6920" t="str">
        <f>"22.864783"</f>
        <v>22.864783</v>
      </c>
      <c r="S6920" t="s">
        <v>26</v>
      </c>
    </row>
    <row r="6921" spans="1:19" x14ac:dyDescent="0.3">
      <c r="A6921" t="s">
        <v>25190</v>
      </c>
      <c r="B6921" t="s">
        <v>26726</v>
      </c>
      <c r="C6921" t="s">
        <v>26743</v>
      </c>
      <c r="D6921" t="s">
        <v>25211</v>
      </c>
      <c r="E6921" t="s">
        <v>25211</v>
      </c>
      <c r="F6921" t="s">
        <v>21739</v>
      </c>
      <c r="G6921" t="s">
        <v>21739</v>
      </c>
      <c r="H6921" t="s">
        <v>78</v>
      </c>
      <c r="I6921" t="s">
        <v>79</v>
      </c>
      <c r="J6921" t="str">
        <f>"3840135"</f>
        <v>3840135</v>
      </c>
      <c r="K6921">
        <v>2382081643</v>
      </c>
      <c r="L6921">
        <v>2382081643</v>
      </c>
      <c r="M6921" t="s">
        <v>26744</v>
      </c>
      <c r="N6921" t="s">
        <v>21742</v>
      </c>
      <c r="O6921" t="s">
        <v>26745</v>
      </c>
      <c r="P6921">
        <v>58300</v>
      </c>
      <c r="Q6921" t="str">
        <f>"40.692105"</f>
        <v>40.692105</v>
      </c>
      <c r="R6921" t="str">
        <f>"22.301040"</f>
        <v>22.301040</v>
      </c>
      <c r="S6921" t="s">
        <v>26</v>
      </c>
    </row>
    <row r="6922" spans="1:19" x14ac:dyDescent="0.3">
      <c r="A6922" t="s">
        <v>25190</v>
      </c>
      <c r="B6922" t="s">
        <v>26726</v>
      </c>
      <c r="C6922" t="s">
        <v>26799</v>
      </c>
      <c r="D6922" t="s">
        <v>25211</v>
      </c>
      <c r="E6922" t="s">
        <v>25211</v>
      </c>
      <c r="F6922" t="s">
        <v>26731</v>
      </c>
      <c r="G6922" t="s">
        <v>26731</v>
      </c>
      <c r="H6922" t="s">
        <v>78</v>
      </c>
      <c r="I6922" t="s">
        <v>79</v>
      </c>
      <c r="J6922" t="str">
        <f>"3840115"</f>
        <v>3840115</v>
      </c>
      <c r="K6922">
        <v>2382029730</v>
      </c>
      <c r="L6922">
        <v>2382084046</v>
      </c>
      <c r="M6922" t="s">
        <v>26800</v>
      </c>
      <c r="N6922" t="s">
        <v>26772</v>
      </c>
      <c r="O6922" t="s">
        <v>26741</v>
      </c>
      <c r="P6922">
        <v>58100</v>
      </c>
      <c r="Q6922" t="str">
        <f>"40.810001"</f>
        <v>40.810001</v>
      </c>
      <c r="R6922" t="str">
        <f>"22.417967"</f>
        <v>22.417967</v>
      </c>
      <c r="S6922" t="s">
        <v>26</v>
      </c>
    </row>
    <row r="6923" spans="1:19" x14ac:dyDescent="0.3">
      <c r="A6923" t="s">
        <v>25190</v>
      </c>
      <c r="B6923" t="s">
        <v>26726</v>
      </c>
      <c r="C6923" t="s">
        <v>26806</v>
      </c>
      <c r="D6923" t="s">
        <v>25211</v>
      </c>
      <c r="E6923" t="s">
        <v>25212</v>
      </c>
      <c r="F6923" t="s">
        <v>25212</v>
      </c>
      <c r="G6923" t="s">
        <v>25213</v>
      </c>
      <c r="H6923" t="s">
        <v>78</v>
      </c>
      <c r="I6923" t="s">
        <v>79</v>
      </c>
      <c r="J6923" t="str">
        <f>"3840070"</f>
        <v>3840070</v>
      </c>
      <c r="K6923">
        <v>2381023686</v>
      </c>
      <c r="L6923">
        <v>2381020626</v>
      </c>
      <c r="M6923" t="s">
        <v>26807</v>
      </c>
      <c r="N6923" t="s">
        <v>25216</v>
      </c>
      <c r="O6923" t="s">
        <v>26808</v>
      </c>
      <c r="P6923">
        <v>58200</v>
      </c>
      <c r="Q6923" t="str">
        <f>"40.805283"</f>
        <v>40.805283</v>
      </c>
      <c r="R6923" t="str">
        <f>"22.040091"</f>
        <v>22.040091</v>
      </c>
      <c r="S6923" t="s">
        <v>26</v>
      </c>
    </row>
    <row r="6924" spans="1:19" x14ac:dyDescent="0.3">
      <c r="A6924" t="s">
        <v>25190</v>
      </c>
      <c r="B6924" t="s">
        <v>26726</v>
      </c>
      <c r="C6924" t="s">
        <v>26892</v>
      </c>
      <c r="D6924" t="s">
        <v>25211</v>
      </c>
      <c r="E6924" t="s">
        <v>25211</v>
      </c>
      <c r="F6924" t="s">
        <v>26731</v>
      </c>
      <c r="G6924" t="s">
        <v>26731</v>
      </c>
      <c r="H6924" t="s">
        <v>78</v>
      </c>
      <c r="I6924" t="s">
        <v>79</v>
      </c>
      <c r="J6924" t="str">
        <f>"3840110"</f>
        <v>3840110</v>
      </c>
      <c r="K6924">
        <v>2382028078</v>
      </c>
      <c r="L6924">
        <v>2382022524</v>
      </c>
      <c r="M6924" t="s">
        <v>26893</v>
      </c>
      <c r="N6924" t="s">
        <v>26772</v>
      </c>
      <c r="O6924" t="s">
        <v>26741</v>
      </c>
      <c r="P6924">
        <v>58100</v>
      </c>
      <c r="Q6924" t="str">
        <f>"40.809574"</f>
        <v>40.809574</v>
      </c>
      <c r="R6924" t="str">
        <f>"22.418747"</f>
        <v>22.418747</v>
      </c>
      <c r="S6924" t="s">
        <v>26</v>
      </c>
    </row>
    <row r="6925" spans="1:19" x14ac:dyDescent="0.3">
      <c r="A6925" t="s">
        <v>25190</v>
      </c>
      <c r="B6925" t="s">
        <v>26726</v>
      </c>
      <c r="C6925" t="s">
        <v>26898</v>
      </c>
      <c r="D6925" t="s">
        <v>25211</v>
      </c>
      <c r="E6925" t="s">
        <v>26753</v>
      </c>
      <c r="F6925" t="s">
        <v>26775</v>
      </c>
      <c r="G6925" t="s">
        <v>26775</v>
      </c>
      <c r="H6925" t="s">
        <v>78</v>
      </c>
      <c r="I6925" t="s">
        <v>79</v>
      </c>
      <c r="J6925" t="str">
        <f>"3840130"</f>
        <v>3840130</v>
      </c>
      <c r="K6925">
        <v>2384022486</v>
      </c>
      <c r="L6925">
        <v>2384022483</v>
      </c>
      <c r="M6925" t="s">
        <v>26899</v>
      </c>
      <c r="N6925" t="s">
        <v>26778</v>
      </c>
      <c r="O6925" t="s">
        <v>26900</v>
      </c>
      <c r="P6925">
        <v>58400</v>
      </c>
      <c r="Q6925" t="str">
        <f>"40.975815"</f>
        <v>40.975815</v>
      </c>
      <c r="R6925" t="str">
        <f>"22.065892"</f>
        <v>22.065892</v>
      </c>
      <c r="S6925" t="s">
        <v>26</v>
      </c>
    </row>
    <row r="6926" spans="1:19" x14ac:dyDescent="0.3">
      <c r="A6926" t="s">
        <v>25190</v>
      </c>
      <c r="B6926" t="s">
        <v>26726</v>
      </c>
      <c r="C6926" t="s">
        <v>26917</v>
      </c>
      <c r="D6926" t="s">
        <v>25211</v>
      </c>
      <c r="E6926" t="s">
        <v>25211</v>
      </c>
      <c r="F6926" t="s">
        <v>26731</v>
      </c>
      <c r="G6926" t="s">
        <v>26731</v>
      </c>
      <c r="H6926" t="s">
        <v>78</v>
      </c>
      <c r="I6926" t="s">
        <v>132</v>
      </c>
      <c r="J6926" t="str">
        <f>"3840120"</f>
        <v>3840120</v>
      </c>
      <c r="K6926">
        <v>2382025291</v>
      </c>
      <c r="L6926">
        <v>2382025291</v>
      </c>
      <c r="M6926" t="s">
        <v>26918</v>
      </c>
      <c r="N6926" t="s">
        <v>26772</v>
      </c>
      <c r="O6926" t="s">
        <v>26741</v>
      </c>
      <c r="P6926">
        <v>58100</v>
      </c>
      <c r="Q6926" t="str">
        <f>"40.810016"</f>
        <v>40.810016</v>
      </c>
      <c r="R6926" t="str">
        <f>"22.418771"</f>
        <v>22.418771</v>
      </c>
      <c r="S6926" t="s">
        <v>26</v>
      </c>
    </row>
    <row r="6927" spans="1:19" x14ac:dyDescent="0.3">
      <c r="A6927" t="s">
        <v>25190</v>
      </c>
      <c r="B6927" t="s">
        <v>26726</v>
      </c>
      <c r="C6927" t="s">
        <v>26919</v>
      </c>
      <c r="D6927" t="s">
        <v>25211</v>
      </c>
      <c r="E6927" t="s">
        <v>26753</v>
      </c>
      <c r="F6927" t="s">
        <v>26775</v>
      </c>
      <c r="G6927" t="s">
        <v>26775</v>
      </c>
      <c r="H6927" t="s">
        <v>78</v>
      </c>
      <c r="I6927" t="s">
        <v>132</v>
      </c>
      <c r="J6927" t="str">
        <f>"3850130"</f>
        <v>3850130</v>
      </c>
      <c r="K6927">
        <v>2384021740</v>
      </c>
      <c r="L6927">
        <v>2384021740</v>
      </c>
      <c r="M6927" t="s">
        <v>26920</v>
      </c>
      <c r="N6927" t="s">
        <v>26778</v>
      </c>
      <c r="O6927" t="s">
        <v>26921</v>
      </c>
      <c r="P6927">
        <v>58400</v>
      </c>
      <c r="Q6927" t="str">
        <f>"40.976010"</f>
        <v>40.976010</v>
      </c>
      <c r="R6927" t="str">
        <f>"22.064976"</f>
        <v>22.064976</v>
      </c>
      <c r="S6927" t="s">
        <v>26</v>
      </c>
    </row>
    <row r="6928" spans="1:19" x14ac:dyDescent="0.3">
      <c r="A6928" t="s">
        <v>25190</v>
      </c>
      <c r="B6928" t="s">
        <v>26935</v>
      </c>
      <c r="C6928" t="s">
        <v>26972</v>
      </c>
      <c r="D6928" t="s">
        <v>25218</v>
      </c>
      <c r="E6928" t="s">
        <v>26949</v>
      </c>
      <c r="F6928" t="s">
        <v>26955</v>
      </c>
      <c r="G6928" t="s">
        <v>26955</v>
      </c>
      <c r="H6928" t="s">
        <v>78</v>
      </c>
      <c r="I6928" t="s">
        <v>79</v>
      </c>
      <c r="J6928" t="str">
        <f>"3940051"</f>
        <v>3940051</v>
      </c>
      <c r="K6928">
        <v>2353022641</v>
      </c>
      <c r="L6928">
        <v>2353022321</v>
      </c>
      <c r="M6928" t="s">
        <v>26973</v>
      </c>
      <c r="O6928" t="s">
        <v>26974</v>
      </c>
      <c r="P6928">
        <v>60300</v>
      </c>
      <c r="Q6928" t="str">
        <f>"40.505735"</f>
        <v>40.505735</v>
      </c>
      <c r="R6928" t="str">
        <f>"22.542612"</f>
        <v>22.542612</v>
      </c>
      <c r="S6928" t="s">
        <v>26</v>
      </c>
    </row>
    <row r="6929" spans="1:19" x14ac:dyDescent="0.3">
      <c r="A6929" t="s">
        <v>25190</v>
      </c>
      <c r="B6929" t="s">
        <v>26935</v>
      </c>
      <c r="C6929" t="s">
        <v>26987</v>
      </c>
      <c r="D6929" t="s">
        <v>25218</v>
      </c>
      <c r="E6929" t="s">
        <v>25219</v>
      </c>
      <c r="F6929" t="s">
        <v>25219</v>
      </c>
      <c r="G6929" t="s">
        <v>25219</v>
      </c>
      <c r="H6929" t="s">
        <v>78</v>
      </c>
      <c r="I6929" t="s">
        <v>132</v>
      </c>
      <c r="J6929" t="str">
        <f>"3940055"</f>
        <v>3940055</v>
      </c>
      <c r="K6929">
        <v>2351047985</v>
      </c>
      <c r="L6929">
        <v>2351047201</v>
      </c>
      <c r="M6929" t="s">
        <v>26988</v>
      </c>
      <c r="N6929" t="s">
        <v>26959</v>
      </c>
      <c r="O6929" t="s">
        <v>26989</v>
      </c>
      <c r="P6929">
        <v>60132</v>
      </c>
      <c r="Q6929" t="str">
        <f>"40.260102"</f>
        <v>40.260102</v>
      </c>
      <c r="R6929" t="str">
        <f>"22.507908"</f>
        <v>22.507908</v>
      </c>
      <c r="S6929" t="s">
        <v>26</v>
      </c>
    </row>
    <row r="6930" spans="1:19" x14ac:dyDescent="0.3">
      <c r="A6930" t="s">
        <v>25190</v>
      </c>
      <c r="B6930" t="s">
        <v>26935</v>
      </c>
      <c r="C6930" t="s">
        <v>26990</v>
      </c>
      <c r="D6930" t="s">
        <v>25218</v>
      </c>
      <c r="E6930" t="s">
        <v>25219</v>
      </c>
      <c r="F6930" t="s">
        <v>25219</v>
      </c>
      <c r="G6930" t="s">
        <v>25219</v>
      </c>
      <c r="H6930" t="s">
        <v>78</v>
      </c>
      <c r="I6930" t="s">
        <v>79</v>
      </c>
      <c r="J6930" t="str">
        <f>"3940050"</f>
        <v>3940050</v>
      </c>
      <c r="K6930">
        <v>2351024957</v>
      </c>
      <c r="L6930">
        <v>2351037872</v>
      </c>
      <c r="M6930" t="s">
        <v>26991</v>
      </c>
      <c r="N6930" t="s">
        <v>26969</v>
      </c>
      <c r="O6930" t="s">
        <v>26992</v>
      </c>
      <c r="P6930">
        <v>60100</v>
      </c>
      <c r="Q6930" t="str">
        <f>"40.260103"</f>
        <v>40.260103</v>
      </c>
      <c r="R6930" t="str">
        <f>"22.508063"</f>
        <v>22.508063</v>
      </c>
      <c r="S6930" t="s">
        <v>26</v>
      </c>
    </row>
    <row r="6931" spans="1:19" x14ac:dyDescent="0.3">
      <c r="A6931" t="s">
        <v>25190</v>
      </c>
      <c r="B6931" t="s">
        <v>26935</v>
      </c>
      <c r="C6931" t="s">
        <v>27004</v>
      </c>
      <c r="D6931" t="s">
        <v>25218</v>
      </c>
      <c r="E6931" t="s">
        <v>25219</v>
      </c>
      <c r="F6931" t="s">
        <v>25219</v>
      </c>
      <c r="G6931" t="s">
        <v>25219</v>
      </c>
      <c r="H6931" t="s">
        <v>78</v>
      </c>
      <c r="I6931" t="s">
        <v>79</v>
      </c>
      <c r="J6931" t="str">
        <f>"3940052"</f>
        <v>3940052</v>
      </c>
      <c r="K6931">
        <v>2351045650</v>
      </c>
      <c r="L6931">
        <v>2351045678</v>
      </c>
      <c r="M6931" t="s">
        <v>27005</v>
      </c>
      <c r="N6931" t="s">
        <v>26969</v>
      </c>
      <c r="O6931" t="s">
        <v>27006</v>
      </c>
      <c r="P6931">
        <v>60100</v>
      </c>
      <c r="Q6931" t="str">
        <f>"40.284119"</f>
        <v>40.284119</v>
      </c>
      <c r="R6931" t="str">
        <f>"22.470840"</f>
        <v>22.470840</v>
      </c>
      <c r="S6931" t="s">
        <v>26</v>
      </c>
    </row>
    <row r="6932" spans="1:19" x14ac:dyDescent="0.3">
      <c r="A6932" t="s">
        <v>25190</v>
      </c>
      <c r="B6932" t="s">
        <v>27105</v>
      </c>
      <c r="C6932" t="s">
        <v>27155</v>
      </c>
      <c r="D6932" t="s">
        <v>25224</v>
      </c>
      <c r="E6932" t="s">
        <v>25224</v>
      </c>
      <c r="F6932" t="s">
        <v>25224</v>
      </c>
      <c r="G6932" t="s">
        <v>25224</v>
      </c>
      <c r="H6932" t="s">
        <v>78</v>
      </c>
      <c r="I6932" t="s">
        <v>79</v>
      </c>
      <c r="J6932" t="str">
        <f>"4440090"</f>
        <v>4440090</v>
      </c>
      <c r="K6932">
        <v>2321050760</v>
      </c>
      <c r="L6932">
        <v>2321039703</v>
      </c>
      <c r="M6932" t="s">
        <v>27156</v>
      </c>
      <c r="N6932" t="s">
        <v>25224</v>
      </c>
      <c r="O6932" t="s">
        <v>27157</v>
      </c>
      <c r="P6932">
        <v>62100</v>
      </c>
      <c r="Q6932" t="str">
        <f>"41.089911"</f>
        <v>41.089911</v>
      </c>
      <c r="R6932" t="str">
        <f>"23.521301"</f>
        <v>23.521301</v>
      </c>
      <c r="S6932" t="s">
        <v>26</v>
      </c>
    </row>
    <row r="6933" spans="1:19" x14ac:dyDescent="0.3">
      <c r="A6933" t="s">
        <v>25190</v>
      </c>
      <c r="B6933" t="s">
        <v>27105</v>
      </c>
      <c r="C6933" t="s">
        <v>27160</v>
      </c>
      <c r="D6933" t="s">
        <v>25224</v>
      </c>
      <c r="E6933" t="s">
        <v>27106</v>
      </c>
      <c r="F6933" t="s">
        <v>27118</v>
      </c>
      <c r="G6933" t="s">
        <v>4330</v>
      </c>
      <c r="H6933" t="s">
        <v>78</v>
      </c>
      <c r="I6933" t="s">
        <v>79</v>
      </c>
      <c r="J6933" t="str">
        <f>"4440130"</f>
        <v>4440130</v>
      </c>
      <c r="K6933">
        <v>2327022020</v>
      </c>
      <c r="L6933">
        <v>2327022020</v>
      </c>
      <c r="M6933" t="s">
        <v>27161</v>
      </c>
      <c r="N6933" t="s">
        <v>8752</v>
      </c>
      <c r="O6933" t="s">
        <v>8752</v>
      </c>
      <c r="P6933">
        <v>62053</v>
      </c>
      <c r="Q6933" t="str">
        <f>"41.261009"</f>
        <v>41.261009</v>
      </c>
      <c r="R6933" t="str">
        <f>"23.000842"</f>
        <v>23.000842</v>
      </c>
      <c r="S6933" t="s">
        <v>26</v>
      </c>
    </row>
    <row r="6934" spans="1:19" x14ac:dyDescent="0.3">
      <c r="A6934" t="s">
        <v>25190</v>
      </c>
      <c r="B6934" t="s">
        <v>27105</v>
      </c>
      <c r="C6934" t="s">
        <v>27164</v>
      </c>
      <c r="D6934" t="s">
        <v>25224</v>
      </c>
      <c r="E6934" t="s">
        <v>27163</v>
      </c>
      <c r="F6934" t="s">
        <v>27163</v>
      </c>
      <c r="G6934" t="s">
        <v>27163</v>
      </c>
      <c r="H6934" t="s">
        <v>78</v>
      </c>
      <c r="I6934" t="s">
        <v>79</v>
      </c>
      <c r="J6934" t="str">
        <f>"4440110"</f>
        <v>4440110</v>
      </c>
      <c r="K6934">
        <v>2324022540</v>
      </c>
      <c r="L6934">
        <v>2324022515</v>
      </c>
      <c r="M6934" t="s">
        <v>27165</v>
      </c>
      <c r="N6934" t="s">
        <v>27166</v>
      </c>
      <c r="O6934" t="s">
        <v>27166</v>
      </c>
      <c r="P6934">
        <v>62042</v>
      </c>
      <c r="Q6934" t="str">
        <f>"41.028042"</f>
        <v>41.028042</v>
      </c>
      <c r="R6934" t="str">
        <f>"23.829441"</f>
        <v>23.829441</v>
      </c>
      <c r="S6934" t="s">
        <v>26</v>
      </c>
    </row>
    <row r="6935" spans="1:19" x14ac:dyDescent="0.3">
      <c r="A6935" t="s">
        <v>25190</v>
      </c>
      <c r="B6935" t="s">
        <v>27105</v>
      </c>
      <c r="C6935" t="s">
        <v>27188</v>
      </c>
      <c r="D6935" t="s">
        <v>25224</v>
      </c>
      <c r="E6935" t="s">
        <v>27181</v>
      </c>
      <c r="F6935" t="s">
        <v>27182</v>
      </c>
      <c r="G6935" t="s">
        <v>27182</v>
      </c>
      <c r="H6935" t="s">
        <v>78</v>
      </c>
      <c r="I6935" t="s">
        <v>79</v>
      </c>
      <c r="J6935" t="str">
        <f>"4440100"</f>
        <v>4440100</v>
      </c>
      <c r="K6935">
        <v>2322020000</v>
      </c>
      <c r="L6935">
        <v>2322020003</v>
      </c>
      <c r="M6935" t="s">
        <v>27189</v>
      </c>
      <c r="N6935" t="s">
        <v>27190</v>
      </c>
      <c r="O6935" t="s">
        <v>27186</v>
      </c>
      <c r="P6935">
        <v>62200</v>
      </c>
      <c r="Q6935" t="str">
        <f>"40.908532"</f>
        <v>40.908532</v>
      </c>
      <c r="R6935" t="str">
        <f>"23.503068"</f>
        <v>23.503068</v>
      </c>
      <c r="S6935" t="s">
        <v>26</v>
      </c>
    </row>
    <row r="6936" spans="1:19" x14ac:dyDescent="0.3">
      <c r="A6936" t="s">
        <v>25190</v>
      </c>
      <c r="B6936" t="s">
        <v>27105</v>
      </c>
      <c r="C6936" t="s">
        <v>27196</v>
      </c>
      <c r="D6936" t="s">
        <v>25224</v>
      </c>
      <c r="E6936" t="s">
        <v>27106</v>
      </c>
      <c r="F6936" t="s">
        <v>27111</v>
      </c>
      <c r="G6936" t="s">
        <v>27111</v>
      </c>
      <c r="H6936" t="s">
        <v>78</v>
      </c>
      <c r="I6936" t="s">
        <v>79</v>
      </c>
      <c r="J6936" t="str">
        <f>"4440120"</f>
        <v>4440120</v>
      </c>
      <c r="K6936">
        <v>2323022730</v>
      </c>
      <c r="L6936">
        <v>2323028206</v>
      </c>
      <c r="M6936" t="s">
        <v>27197</v>
      </c>
      <c r="N6936" t="s">
        <v>27198</v>
      </c>
      <c r="O6936" t="s">
        <v>27199</v>
      </c>
      <c r="P6936">
        <v>62300</v>
      </c>
      <c r="Q6936" t="str">
        <f>"41.215702"</f>
        <v>41.215702</v>
      </c>
      <c r="R6936" t="str">
        <f>"23.390891"</f>
        <v>23.390891</v>
      </c>
      <c r="S6936" t="s">
        <v>26</v>
      </c>
    </row>
    <row r="6937" spans="1:19" x14ac:dyDescent="0.3">
      <c r="A6937" t="s">
        <v>25190</v>
      </c>
      <c r="B6937" t="s">
        <v>27105</v>
      </c>
      <c r="C6937" t="s">
        <v>27232</v>
      </c>
      <c r="D6937" t="s">
        <v>25224</v>
      </c>
      <c r="E6937" t="s">
        <v>25224</v>
      </c>
      <c r="F6937" t="s">
        <v>25224</v>
      </c>
      <c r="G6937" t="s">
        <v>25224</v>
      </c>
      <c r="H6937" t="s">
        <v>78</v>
      </c>
      <c r="I6937" t="s">
        <v>132</v>
      </c>
      <c r="J6937" t="str">
        <f>"4450135"</f>
        <v>4450135</v>
      </c>
      <c r="K6937">
        <v>2321050762</v>
      </c>
      <c r="L6937">
        <v>2321098672</v>
      </c>
      <c r="M6937" t="s">
        <v>27233</v>
      </c>
      <c r="N6937" t="s">
        <v>25227</v>
      </c>
      <c r="O6937" t="s">
        <v>27234</v>
      </c>
      <c r="P6937">
        <v>62100</v>
      </c>
      <c r="Q6937" t="str">
        <f>"41.089547"</f>
        <v>41.089547</v>
      </c>
      <c r="R6937" t="str">
        <f>"23.521484"</f>
        <v>23.521484</v>
      </c>
      <c r="S6937" t="s">
        <v>26</v>
      </c>
    </row>
    <row r="6938" spans="1:19" x14ac:dyDescent="0.3">
      <c r="A6938" t="s">
        <v>25190</v>
      </c>
      <c r="B6938" t="s">
        <v>27105</v>
      </c>
      <c r="C6938" t="s">
        <v>27319</v>
      </c>
      <c r="D6938" t="s">
        <v>25224</v>
      </c>
      <c r="E6938" t="s">
        <v>25224</v>
      </c>
      <c r="F6938" t="s">
        <v>25224</v>
      </c>
      <c r="G6938" t="s">
        <v>25224</v>
      </c>
      <c r="H6938" t="s">
        <v>78</v>
      </c>
      <c r="I6938" t="s">
        <v>79</v>
      </c>
      <c r="J6938" t="str">
        <f>"4440092"</f>
        <v>4440092</v>
      </c>
      <c r="K6938">
        <v>2321039906</v>
      </c>
      <c r="L6938">
        <v>2321039907</v>
      </c>
      <c r="M6938" t="s">
        <v>27320</v>
      </c>
      <c r="N6938" t="s">
        <v>25227</v>
      </c>
      <c r="O6938" t="s">
        <v>27158</v>
      </c>
      <c r="P6938">
        <v>62125</v>
      </c>
      <c r="Q6938" t="str">
        <f>"41.078244"</f>
        <v>41.078244</v>
      </c>
      <c r="R6938" t="str">
        <f>"23.539747"</f>
        <v>23.539747</v>
      </c>
      <c r="S6938" t="s">
        <v>26</v>
      </c>
    </row>
    <row r="6939" spans="1:19" x14ac:dyDescent="0.3">
      <c r="A6939" t="s">
        <v>25190</v>
      </c>
      <c r="B6939" t="s">
        <v>27105</v>
      </c>
      <c r="C6939" t="s">
        <v>27378</v>
      </c>
      <c r="D6939" t="s">
        <v>25224</v>
      </c>
      <c r="E6939" t="s">
        <v>18832</v>
      </c>
      <c r="F6939" t="s">
        <v>18832</v>
      </c>
      <c r="G6939" t="s">
        <v>18832</v>
      </c>
      <c r="H6939" t="s">
        <v>78</v>
      </c>
      <c r="I6939" t="s">
        <v>79</v>
      </c>
      <c r="J6939" t="str">
        <f>"4450140"</f>
        <v>4450140</v>
      </c>
      <c r="K6939">
        <v>2325025817</v>
      </c>
      <c r="L6939">
        <v>2325025819</v>
      </c>
      <c r="M6939" t="s">
        <v>27379</v>
      </c>
      <c r="O6939" t="s">
        <v>27115</v>
      </c>
      <c r="P6939">
        <v>62400</v>
      </c>
      <c r="Q6939" t="str">
        <f>"41.188678"</f>
        <v>41.188678</v>
      </c>
      <c r="R6939" t="str">
        <f>"23.282045"</f>
        <v>23.282045</v>
      </c>
      <c r="S6939" t="s">
        <v>26</v>
      </c>
    </row>
    <row r="6940" spans="1:19" x14ac:dyDescent="0.3">
      <c r="A6940" t="s">
        <v>25190</v>
      </c>
      <c r="B6940" t="s">
        <v>27386</v>
      </c>
      <c r="C6940" t="s">
        <v>27411</v>
      </c>
      <c r="D6940" t="s">
        <v>25229</v>
      </c>
      <c r="E6940" t="s">
        <v>25230</v>
      </c>
      <c r="F6940" t="s">
        <v>25230</v>
      </c>
      <c r="G6940" t="s">
        <v>25230</v>
      </c>
      <c r="H6940" t="s">
        <v>78</v>
      </c>
      <c r="I6940" t="s">
        <v>79</v>
      </c>
      <c r="J6940" t="str">
        <f>"4940070"</f>
        <v>4940070</v>
      </c>
      <c r="K6940">
        <v>2371022941</v>
      </c>
      <c r="L6940">
        <v>2371023285</v>
      </c>
      <c r="M6940" t="s">
        <v>27412</v>
      </c>
      <c r="N6940" t="s">
        <v>27413</v>
      </c>
      <c r="O6940" t="s">
        <v>21316</v>
      </c>
      <c r="P6940">
        <v>63100</v>
      </c>
      <c r="Q6940" t="str">
        <f>"40.381989"</f>
        <v>40.381989</v>
      </c>
      <c r="R6940" t="str">
        <f>"23.439093"</f>
        <v>23.439093</v>
      </c>
      <c r="S6940" t="s">
        <v>26</v>
      </c>
    </row>
    <row r="6941" spans="1:19" x14ac:dyDescent="0.3">
      <c r="A6941" t="s">
        <v>25190</v>
      </c>
      <c r="B6941" t="s">
        <v>27386</v>
      </c>
      <c r="C6941" t="s">
        <v>27417</v>
      </c>
      <c r="D6941" t="s">
        <v>25229</v>
      </c>
      <c r="E6941" t="s">
        <v>27415</v>
      </c>
      <c r="F6941" t="s">
        <v>27415</v>
      </c>
      <c r="G6941" t="s">
        <v>27416</v>
      </c>
      <c r="H6941" t="s">
        <v>78</v>
      </c>
      <c r="I6941" t="s">
        <v>79</v>
      </c>
      <c r="J6941" t="str">
        <f>"4940130"</f>
        <v>4940130</v>
      </c>
      <c r="K6941">
        <v>2374023980</v>
      </c>
      <c r="L6941">
        <v>2374023980</v>
      </c>
      <c r="M6941" t="s">
        <v>27418</v>
      </c>
      <c r="N6941" t="s">
        <v>27419</v>
      </c>
      <c r="O6941" t="s">
        <v>27420</v>
      </c>
      <c r="P6941">
        <v>63077</v>
      </c>
      <c r="Q6941" t="str">
        <f>"40.046323"</f>
        <v>40.046323</v>
      </c>
      <c r="R6941" t="str">
        <f>"23.411100"</f>
        <v>23.411100</v>
      </c>
      <c r="S6941" t="s">
        <v>26</v>
      </c>
    </row>
    <row r="6942" spans="1:19" x14ac:dyDescent="0.3">
      <c r="A6942" t="s">
        <v>25190</v>
      </c>
      <c r="B6942" t="s">
        <v>27386</v>
      </c>
      <c r="C6942" t="s">
        <v>27426</v>
      </c>
      <c r="D6942" t="s">
        <v>25229</v>
      </c>
      <c r="E6942" t="s">
        <v>27387</v>
      </c>
      <c r="F6942" t="s">
        <v>27387</v>
      </c>
      <c r="G6942" t="s">
        <v>27425</v>
      </c>
      <c r="H6942" t="s">
        <v>78</v>
      </c>
      <c r="I6942" t="s">
        <v>79</v>
      </c>
      <c r="J6942" t="str">
        <f>"4940135"</f>
        <v>4940135</v>
      </c>
      <c r="K6942">
        <v>2375023733</v>
      </c>
      <c r="L6942">
        <v>2375023733</v>
      </c>
      <c r="M6942" t="s">
        <v>27427</v>
      </c>
      <c r="N6942" t="s">
        <v>27425</v>
      </c>
      <c r="O6942" t="s">
        <v>27428</v>
      </c>
      <c r="P6942">
        <v>63088</v>
      </c>
      <c r="Q6942" t="str">
        <f>"40.212752"</f>
        <v>40.212752</v>
      </c>
      <c r="R6942" t="str">
        <f>"23.691233"</f>
        <v>23.691233</v>
      </c>
      <c r="S6942" t="s">
        <v>26</v>
      </c>
    </row>
    <row r="6943" spans="1:19" x14ac:dyDescent="0.3">
      <c r="A6943" t="s">
        <v>25190</v>
      </c>
      <c r="B6943" t="s">
        <v>27386</v>
      </c>
      <c r="C6943" t="s">
        <v>27431</v>
      </c>
      <c r="D6943" t="s">
        <v>25229</v>
      </c>
      <c r="E6943" t="s">
        <v>27403</v>
      </c>
      <c r="F6943" t="s">
        <v>27430</v>
      </c>
      <c r="G6943" t="s">
        <v>27430</v>
      </c>
      <c r="H6943" t="s">
        <v>78</v>
      </c>
      <c r="I6943" t="s">
        <v>79</v>
      </c>
      <c r="J6943" t="str">
        <f>"4940120"</f>
        <v>4940120</v>
      </c>
      <c r="K6943">
        <v>2372022340</v>
      </c>
      <c r="L6943">
        <v>2372022340</v>
      </c>
      <c r="M6943" t="s">
        <v>27432</v>
      </c>
      <c r="N6943" t="s">
        <v>27433</v>
      </c>
      <c r="O6943" t="s">
        <v>27434</v>
      </c>
      <c r="P6943">
        <v>63074</v>
      </c>
      <c r="Q6943" t="str">
        <f>"40.486950"</f>
        <v>40.486950</v>
      </c>
      <c r="R6943" t="str">
        <f>"23.598485"</f>
        <v>23.598485</v>
      </c>
      <c r="S6943" t="s">
        <v>26</v>
      </c>
    </row>
    <row r="6944" spans="1:19" x14ac:dyDescent="0.3">
      <c r="A6944" t="s">
        <v>25190</v>
      </c>
      <c r="B6944" t="s">
        <v>27386</v>
      </c>
      <c r="C6944" t="s">
        <v>27482</v>
      </c>
      <c r="D6944" t="s">
        <v>25229</v>
      </c>
      <c r="E6944" t="s">
        <v>27394</v>
      </c>
      <c r="F6944" t="s">
        <v>27447</v>
      </c>
      <c r="G6944" t="s">
        <v>27401</v>
      </c>
      <c r="H6944" t="s">
        <v>78</v>
      </c>
      <c r="I6944" t="s">
        <v>79</v>
      </c>
      <c r="J6944" t="str">
        <f>"4940110"</f>
        <v>4940110</v>
      </c>
      <c r="K6944">
        <v>2373021322</v>
      </c>
      <c r="L6944">
        <v>2373065076</v>
      </c>
      <c r="M6944" t="s">
        <v>27483</v>
      </c>
      <c r="N6944" t="s">
        <v>27484</v>
      </c>
      <c r="O6944" t="s">
        <v>27485</v>
      </c>
      <c r="P6944">
        <v>63200</v>
      </c>
      <c r="Q6944" t="str">
        <f>"40.242374"</f>
        <v>40.242374</v>
      </c>
      <c r="R6944" t="str">
        <f>"23.279059"</f>
        <v>23.279059</v>
      </c>
      <c r="S6944" t="s">
        <v>26</v>
      </c>
    </row>
    <row r="6945" spans="1:19" x14ac:dyDescent="0.3">
      <c r="A6945" t="s">
        <v>25190</v>
      </c>
      <c r="B6945" t="s">
        <v>27386</v>
      </c>
      <c r="C6945" t="s">
        <v>27583</v>
      </c>
      <c r="D6945" t="s">
        <v>25229</v>
      </c>
      <c r="E6945" t="s">
        <v>27394</v>
      </c>
      <c r="F6945" t="s">
        <v>27447</v>
      </c>
      <c r="G6945" t="s">
        <v>27401</v>
      </c>
      <c r="H6945" t="s">
        <v>78</v>
      </c>
      <c r="I6945" t="s">
        <v>132</v>
      </c>
      <c r="J6945" t="str">
        <f>"4953001"</f>
        <v>4953001</v>
      </c>
      <c r="K6945">
        <v>2373065406</v>
      </c>
      <c r="L6945">
        <v>2373065407</v>
      </c>
      <c r="M6945" t="s">
        <v>27584</v>
      </c>
      <c r="N6945" t="s">
        <v>27585</v>
      </c>
      <c r="O6945" t="s">
        <v>27586</v>
      </c>
      <c r="P6945">
        <v>63200</v>
      </c>
      <c r="Q6945" t="str">
        <f>"40.243223"</f>
        <v>40.243223</v>
      </c>
      <c r="R6945" t="str">
        <f>"23.281110"</f>
        <v>23.281110</v>
      </c>
      <c r="S6945" t="s">
        <v>26</v>
      </c>
    </row>
    <row r="6946" spans="1:19" x14ac:dyDescent="0.3">
      <c r="A6946" t="s">
        <v>32470</v>
      </c>
      <c r="B6946" t="s">
        <v>32491</v>
      </c>
      <c r="C6946" t="s">
        <v>32538</v>
      </c>
      <c r="D6946" t="s">
        <v>4618</v>
      </c>
      <c r="E6946" t="s">
        <v>4618</v>
      </c>
      <c r="F6946" t="s">
        <v>4618</v>
      </c>
      <c r="G6946" t="s">
        <v>32537</v>
      </c>
      <c r="H6946" t="s">
        <v>78</v>
      </c>
      <c r="I6946" t="s">
        <v>79</v>
      </c>
      <c r="J6946" t="str">
        <f>"1750080"</f>
        <v>1750080</v>
      </c>
      <c r="K6946">
        <v>2810234444</v>
      </c>
      <c r="L6946">
        <v>2810212555</v>
      </c>
      <c r="M6946" t="s">
        <v>32539</v>
      </c>
      <c r="N6946" t="s">
        <v>4618</v>
      </c>
      <c r="O6946" t="s">
        <v>32540</v>
      </c>
      <c r="P6946">
        <v>71307</v>
      </c>
      <c r="Q6946" t="str">
        <f>"35.327162"</f>
        <v>35.327162</v>
      </c>
      <c r="R6946" t="str">
        <f>"25.144554"</f>
        <v>25.144554</v>
      </c>
      <c r="S6946" t="s">
        <v>26</v>
      </c>
    </row>
    <row r="6947" spans="1:19" x14ac:dyDescent="0.3">
      <c r="A6947" t="s">
        <v>32470</v>
      </c>
      <c r="B6947" t="s">
        <v>32491</v>
      </c>
      <c r="C6947" t="s">
        <v>32542</v>
      </c>
      <c r="D6947" t="s">
        <v>4618</v>
      </c>
      <c r="E6947" t="s">
        <v>4618</v>
      </c>
      <c r="F6947" t="s">
        <v>4618</v>
      </c>
      <c r="G6947" t="s">
        <v>32537</v>
      </c>
      <c r="H6947" t="s">
        <v>78</v>
      </c>
      <c r="I6947" t="s">
        <v>79</v>
      </c>
      <c r="J6947" t="str">
        <f>"1740070"</f>
        <v>1740070</v>
      </c>
      <c r="K6947">
        <v>2810324880</v>
      </c>
      <c r="L6947">
        <v>2810237020</v>
      </c>
      <c r="M6947" t="s">
        <v>32543</v>
      </c>
      <c r="N6947" t="s">
        <v>28925</v>
      </c>
      <c r="O6947" t="s">
        <v>32544</v>
      </c>
      <c r="P6947">
        <v>71307</v>
      </c>
      <c r="Q6947" t="str">
        <f>"35.326431"</f>
        <v>35.326431</v>
      </c>
      <c r="R6947" t="str">
        <f>"25.143902"</f>
        <v>25.143902</v>
      </c>
      <c r="S6947" t="s">
        <v>26</v>
      </c>
    </row>
    <row r="6948" spans="1:19" x14ac:dyDescent="0.3">
      <c r="A6948" t="s">
        <v>32470</v>
      </c>
      <c r="B6948" t="s">
        <v>32491</v>
      </c>
      <c r="C6948" t="s">
        <v>32551</v>
      </c>
      <c r="D6948" t="s">
        <v>4618</v>
      </c>
      <c r="E6948" t="s">
        <v>32549</v>
      </c>
      <c r="F6948" t="s">
        <v>32550</v>
      </c>
      <c r="G6948" t="s">
        <v>32550</v>
      </c>
      <c r="H6948" t="s">
        <v>78</v>
      </c>
      <c r="I6948" t="s">
        <v>79</v>
      </c>
      <c r="J6948" t="str">
        <f>"1740310"</f>
        <v>1740310</v>
      </c>
      <c r="K6948">
        <v>2891024228</v>
      </c>
      <c r="L6948">
        <v>2891024228</v>
      </c>
      <c r="M6948" t="s">
        <v>32552</v>
      </c>
      <c r="N6948" t="s">
        <v>32553</v>
      </c>
      <c r="O6948" t="s">
        <v>32553</v>
      </c>
      <c r="P6948">
        <v>70300</v>
      </c>
      <c r="Q6948" t="str">
        <f>"35.155623"</f>
        <v>35.155623</v>
      </c>
      <c r="R6948" t="str">
        <f>"25.268920"</f>
        <v>25.268920</v>
      </c>
      <c r="S6948" t="s">
        <v>26</v>
      </c>
    </row>
    <row r="6949" spans="1:19" x14ac:dyDescent="0.3">
      <c r="A6949" t="s">
        <v>32470</v>
      </c>
      <c r="B6949" t="s">
        <v>32491</v>
      </c>
      <c r="C6949" t="s">
        <v>32558</v>
      </c>
      <c r="D6949" t="s">
        <v>4618</v>
      </c>
      <c r="E6949" t="s">
        <v>4618</v>
      </c>
      <c r="F6949" t="s">
        <v>4618</v>
      </c>
      <c r="G6949" t="s">
        <v>32514</v>
      </c>
      <c r="H6949" t="s">
        <v>78</v>
      </c>
      <c r="I6949" t="s">
        <v>79</v>
      </c>
      <c r="J6949" t="str">
        <f>"1740210"</f>
        <v>1740210</v>
      </c>
      <c r="K6949">
        <v>2810318130</v>
      </c>
      <c r="L6949">
        <v>2810313342</v>
      </c>
      <c r="M6949" t="s">
        <v>32559</v>
      </c>
      <c r="N6949" t="s">
        <v>28925</v>
      </c>
      <c r="O6949" t="s">
        <v>32560</v>
      </c>
      <c r="P6949">
        <v>71303</v>
      </c>
      <c r="Q6949" t="str">
        <f>"35.336589"</f>
        <v>35.336589</v>
      </c>
      <c r="R6949" t="str">
        <f>"25.117431"</f>
        <v>25.117431</v>
      </c>
      <c r="S6949" t="s">
        <v>26</v>
      </c>
    </row>
    <row r="6950" spans="1:19" x14ac:dyDescent="0.3">
      <c r="A6950" t="s">
        <v>32470</v>
      </c>
      <c r="B6950" t="s">
        <v>32491</v>
      </c>
      <c r="C6950" t="s">
        <v>32562</v>
      </c>
      <c r="D6950" t="s">
        <v>4618</v>
      </c>
      <c r="E6950" t="s">
        <v>4618</v>
      </c>
      <c r="F6950" t="s">
        <v>4618</v>
      </c>
      <c r="G6950" t="s">
        <v>32537</v>
      </c>
      <c r="H6950" t="s">
        <v>78</v>
      </c>
      <c r="I6950" t="s">
        <v>79</v>
      </c>
      <c r="J6950" t="str">
        <f>"1740100"</f>
        <v>1740100</v>
      </c>
      <c r="K6950">
        <v>2810360741</v>
      </c>
      <c r="L6950">
        <v>2810323357</v>
      </c>
      <c r="M6950" t="s">
        <v>32563</v>
      </c>
      <c r="N6950" t="s">
        <v>4618</v>
      </c>
      <c r="O6950" t="s">
        <v>32564</v>
      </c>
      <c r="P6950">
        <v>71409</v>
      </c>
      <c r="Q6950" t="str">
        <f>"35.307880"</f>
        <v>35.307880</v>
      </c>
      <c r="R6950" t="str">
        <f>"25.149030"</f>
        <v>25.149030</v>
      </c>
      <c r="S6950" t="s">
        <v>26</v>
      </c>
    </row>
    <row r="6951" spans="1:19" x14ac:dyDescent="0.3">
      <c r="A6951" t="s">
        <v>32470</v>
      </c>
      <c r="B6951" t="s">
        <v>32491</v>
      </c>
      <c r="C6951" t="s">
        <v>32678</v>
      </c>
      <c r="D6951" t="s">
        <v>4618</v>
      </c>
      <c r="E6951" t="s">
        <v>4618</v>
      </c>
      <c r="F6951" t="s">
        <v>4618</v>
      </c>
      <c r="G6951" t="s">
        <v>32537</v>
      </c>
      <c r="H6951" t="s">
        <v>78</v>
      </c>
      <c r="I6951" t="s">
        <v>132</v>
      </c>
      <c r="J6951" t="str">
        <f>"1740200"</f>
        <v>1740200</v>
      </c>
      <c r="K6951">
        <v>2810320770</v>
      </c>
      <c r="L6951">
        <v>2810320770</v>
      </c>
      <c r="M6951" t="s">
        <v>32679</v>
      </c>
      <c r="N6951" t="s">
        <v>28925</v>
      </c>
      <c r="O6951" t="s">
        <v>32680</v>
      </c>
      <c r="P6951">
        <v>71307</v>
      </c>
      <c r="Q6951" t="str">
        <f>"35.325099"</f>
        <v>35.325099</v>
      </c>
      <c r="R6951" t="str">
        <f>"25.142004"</f>
        <v>25.142004</v>
      </c>
      <c r="S6951" t="s">
        <v>26</v>
      </c>
    </row>
    <row r="6952" spans="1:19" x14ac:dyDescent="0.3">
      <c r="A6952" t="s">
        <v>32470</v>
      </c>
      <c r="B6952" t="s">
        <v>32491</v>
      </c>
      <c r="C6952" t="s">
        <v>32711</v>
      </c>
      <c r="D6952" t="s">
        <v>4618</v>
      </c>
      <c r="E6952" t="s">
        <v>4618</v>
      </c>
      <c r="F6952" t="s">
        <v>32623</v>
      </c>
      <c r="G6952" t="s">
        <v>32623</v>
      </c>
      <c r="H6952" t="s">
        <v>78</v>
      </c>
      <c r="I6952" t="s">
        <v>79</v>
      </c>
      <c r="J6952" t="str">
        <f>"1740080"</f>
        <v>1740080</v>
      </c>
      <c r="K6952">
        <v>2810220433</v>
      </c>
      <c r="L6952">
        <v>2810220435</v>
      </c>
      <c r="M6952" t="s">
        <v>32712</v>
      </c>
      <c r="N6952" t="s">
        <v>28925</v>
      </c>
      <c r="O6952" t="s">
        <v>32713</v>
      </c>
      <c r="P6952">
        <v>71601</v>
      </c>
      <c r="Q6952" t="str">
        <f>"35.339532"</f>
        <v>35.339532</v>
      </c>
      <c r="R6952" t="str">
        <f>"25.162092"</f>
        <v>25.162092</v>
      </c>
      <c r="S6952" t="s">
        <v>26</v>
      </c>
    </row>
    <row r="6953" spans="1:19" x14ac:dyDescent="0.3">
      <c r="A6953" t="s">
        <v>32470</v>
      </c>
      <c r="B6953" t="s">
        <v>32491</v>
      </c>
      <c r="C6953" t="s">
        <v>32855</v>
      </c>
      <c r="D6953" t="s">
        <v>4618</v>
      </c>
      <c r="E6953" t="s">
        <v>32584</v>
      </c>
      <c r="F6953" t="s">
        <v>32616</v>
      </c>
      <c r="G6953" t="s">
        <v>32616</v>
      </c>
      <c r="H6953" t="s">
        <v>78</v>
      </c>
      <c r="I6953" t="s">
        <v>79</v>
      </c>
      <c r="J6953" t="str">
        <f>"1740300"</f>
        <v>1740300</v>
      </c>
      <c r="K6953">
        <v>2892022100</v>
      </c>
      <c r="L6953">
        <v>2892022100</v>
      </c>
      <c r="M6953" t="s">
        <v>32856</v>
      </c>
      <c r="N6953" t="s">
        <v>32857</v>
      </c>
      <c r="O6953" t="s">
        <v>32857</v>
      </c>
      <c r="P6953">
        <v>70400</v>
      </c>
      <c r="Q6953" t="str">
        <f>"35.050794"</f>
        <v>35.050794</v>
      </c>
      <c r="R6953" t="str">
        <f>"24.857373"</f>
        <v>24.857373</v>
      </c>
      <c r="S6953" t="s">
        <v>26</v>
      </c>
    </row>
    <row r="6954" spans="1:19" x14ac:dyDescent="0.3">
      <c r="A6954" t="s">
        <v>32470</v>
      </c>
      <c r="B6954" t="s">
        <v>32904</v>
      </c>
      <c r="C6954" t="s">
        <v>32944</v>
      </c>
      <c r="D6954" t="s">
        <v>32475</v>
      </c>
      <c r="E6954" t="s">
        <v>1969</v>
      </c>
      <c r="F6954" t="s">
        <v>1969</v>
      </c>
      <c r="G6954" t="s">
        <v>1969</v>
      </c>
      <c r="H6954" t="s">
        <v>78</v>
      </c>
      <c r="I6954" t="s">
        <v>79</v>
      </c>
      <c r="J6954" t="str">
        <f>"3240077"</f>
        <v>3240077</v>
      </c>
      <c r="K6954">
        <v>2841025978</v>
      </c>
      <c r="L6954">
        <v>2841025978</v>
      </c>
      <c r="M6954" t="s">
        <v>32945</v>
      </c>
      <c r="N6954" t="s">
        <v>14960</v>
      </c>
      <c r="O6954" t="s">
        <v>32946</v>
      </c>
      <c r="P6954">
        <v>72100</v>
      </c>
      <c r="Q6954" t="str">
        <f>"35.200549"</f>
        <v>35.200549</v>
      </c>
      <c r="R6954" t="str">
        <f>"25.707789"</f>
        <v>25.707789</v>
      </c>
      <c r="S6954" t="s">
        <v>26</v>
      </c>
    </row>
    <row r="6955" spans="1:19" x14ac:dyDescent="0.3">
      <c r="A6955" t="s">
        <v>32470</v>
      </c>
      <c r="B6955" t="s">
        <v>32904</v>
      </c>
      <c r="C6955" t="s">
        <v>32959</v>
      </c>
      <c r="D6955" t="s">
        <v>32475</v>
      </c>
      <c r="E6955" t="s">
        <v>32905</v>
      </c>
      <c r="F6955" t="s">
        <v>32905</v>
      </c>
      <c r="G6955" t="s">
        <v>32905</v>
      </c>
      <c r="H6955" t="s">
        <v>78</v>
      </c>
      <c r="I6955" t="s">
        <v>79</v>
      </c>
      <c r="J6955" t="str">
        <f>"3240020"</f>
        <v>3240020</v>
      </c>
      <c r="K6955">
        <v>2843028570</v>
      </c>
      <c r="L6955">
        <v>2843028570</v>
      </c>
      <c r="M6955" t="s">
        <v>32960</v>
      </c>
      <c r="N6955" t="s">
        <v>32961</v>
      </c>
      <c r="O6955" t="s">
        <v>32962</v>
      </c>
      <c r="P6955">
        <v>72300</v>
      </c>
      <c r="Q6955" t="str">
        <f>"35.194553"</f>
        <v>35.194553</v>
      </c>
      <c r="R6955" t="str">
        <f>"26.103452"</f>
        <v>26.103452</v>
      </c>
      <c r="S6955" t="s">
        <v>26</v>
      </c>
    </row>
    <row r="6956" spans="1:19" x14ac:dyDescent="0.3">
      <c r="A6956" t="s">
        <v>32470</v>
      </c>
      <c r="B6956" t="s">
        <v>32904</v>
      </c>
      <c r="C6956" t="s">
        <v>32974</v>
      </c>
      <c r="D6956" t="s">
        <v>32475</v>
      </c>
      <c r="E6956" t="s">
        <v>32917</v>
      </c>
      <c r="F6956" t="s">
        <v>32917</v>
      </c>
      <c r="G6956" t="s">
        <v>32917</v>
      </c>
      <c r="H6956" t="s">
        <v>78</v>
      </c>
      <c r="I6956" t="s">
        <v>79</v>
      </c>
      <c r="J6956" t="str">
        <f>"3240120"</f>
        <v>3240120</v>
      </c>
      <c r="K6956">
        <v>2842028667</v>
      </c>
      <c r="L6956">
        <v>2842028533</v>
      </c>
      <c r="M6956" t="s">
        <v>32975</v>
      </c>
      <c r="N6956" t="s">
        <v>32976</v>
      </c>
      <c r="O6956" t="s">
        <v>32977</v>
      </c>
      <c r="P6956">
        <v>72200</v>
      </c>
      <c r="Q6956" t="str">
        <f>"35.010792"</f>
        <v>35.010792</v>
      </c>
      <c r="R6956" t="str">
        <f>"25.745747"</f>
        <v>25.745747</v>
      </c>
      <c r="S6956" t="s">
        <v>26</v>
      </c>
    </row>
    <row r="6957" spans="1:19" x14ac:dyDescent="0.3">
      <c r="A6957" t="s">
        <v>32470</v>
      </c>
      <c r="B6957" t="s">
        <v>32904</v>
      </c>
      <c r="C6957" t="s">
        <v>33016</v>
      </c>
      <c r="D6957" t="s">
        <v>32475</v>
      </c>
      <c r="E6957" t="s">
        <v>1969</v>
      </c>
      <c r="F6957" t="s">
        <v>11666</v>
      </c>
      <c r="G6957" t="s">
        <v>25890</v>
      </c>
      <c r="H6957" t="s">
        <v>78</v>
      </c>
      <c r="I6957" t="s">
        <v>79</v>
      </c>
      <c r="J6957" t="str">
        <f>"3240070"</f>
        <v>3240070</v>
      </c>
      <c r="K6957">
        <v>2841032545</v>
      </c>
      <c r="L6957">
        <v>2841032395</v>
      </c>
      <c r="M6957" t="s">
        <v>33017</v>
      </c>
      <c r="N6957" t="s">
        <v>33018</v>
      </c>
      <c r="O6957" t="s">
        <v>33019</v>
      </c>
      <c r="P6957">
        <v>72400</v>
      </c>
      <c r="Q6957" t="str">
        <f>"35.259386"</f>
        <v>35.259386</v>
      </c>
      <c r="R6957" t="str">
        <f>"25.597065"</f>
        <v>25.597065</v>
      </c>
      <c r="S6957" t="s">
        <v>26</v>
      </c>
    </row>
    <row r="6958" spans="1:19" x14ac:dyDescent="0.3">
      <c r="A6958" t="s">
        <v>32470</v>
      </c>
      <c r="B6958" t="s">
        <v>32904</v>
      </c>
      <c r="C6958" t="s">
        <v>33023</v>
      </c>
      <c r="D6958" t="s">
        <v>32475</v>
      </c>
      <c r="E6958" t="s">
        <v>32917</v>
      </c>
      <c r="F6958" t="s">
        <v>32917</v>
      </c>
      <c r="G6958" t="s">
        <v>32917</v>
      </c>
      <c r="H6958" t="s">
        <v>78</v>
      </c>
      <c r="I6958" t="s">
        <v>132</v>
      </c>
      <c r="J6958" t="str">
        <f>"3240125"</f>
        <v>3240125</v>
      </c>
      <c r="K6958">
        <v>2842024905</v>
      </c>
      <c r="L6958">
        <v>2842024465</v>
      </c>
      <c r="M6958" t="s">
        <v>33024</v>
      </c>
      <c r="N6958" t="s">
        <v>32976</v>
      </c>
      <c r="O6958" t="s">
        <v>33025</v>
      </c>
      <c r="P6958">
        <v>72200</v>
      </c>
      <c r="Q6958" t="str">
        <f>"35.010870"</f>
        <v>35.010870</v>
      </c>
      <c r="R6958" t="str">
        <f>"25.745576"</f>
        <v>25.745576</v>
      </c>
      <c r="S6958" t="s">
        <v>26</v>
      </c>
    </row>
    <row r="6959" spans="1:19" x14ac:dyDescent="0.3">
      <c r="A6959" t="s">
        <v>32470</v>
      </c>
      <c r="B6959" t="s">
        <v>33044</v>
      </c>
      <c r="C6959" t="s">
        <v>33091</v>
      </c>
      <c r="D6959" t="s">
        <v>32480</v>
      </c>
      <c r="E6959" t="s">
        <v>32481</v>
      </c>
      <c r="F6959" t="s">
        <v>32481</v>
      </c>
      <c r="G6959" t="s">
        <v>32481</v>
      </c>
      <c r="H6959" t="s">
        <v>78</v>
      </c>
      <c r="I6959" t="s">
        <v>79</v>
      </c>
      <c r="J6959" t="str">
        <f>"4150040"</f>
        <v>4150040</v>
      </c>
      <c r="K6959">
        <v>2831029048</v>
      </c>
      <c r="L6959">
        <v>2831029048</v>
      </c>
      <c r="M6959" t="s">
        <v>33092</v>
      </c>
      <c r="N6959" t="s">
        <v>32484</v>
      </c>
      <c r="O6959" t="s">
        <v>33093</v>
      </c>
      <c r="P6959">
        <v>74133</v>
      </c>
      <c r="Q6959" t="str">
        <f>"35.365850"</f>
        <v>35.365850</v>
      </c>
      <c r="R6959" t="str">
        <f>"24.501745"</f>
        <v>24.501745</v>
      </c>
      <c r="S6959" t="s">
        <v>26</v>
      </c>
    </row>
    <row r="6960" spans="1:19" x14ac:dyDescent="0.3">
      <c r="A6960" t="s">
        <v>32470</v>
      </c>
      <c r="B6960" t="s">
        <v>33044</v>
      </c>
      <c r="C6960" t="s">
        <v>33170</v>
      </c>
      <c r="D6960" t="s">
        <v>32480</v>
      </c>
      <c r="E6960" t="s">
        <v>995</v>
      </c>
      <c r="F6960" t="s">
        <v>33146</v>
      </c>
      <c r="G6960" t="s">
        <v>33147</v>
      </c>
      <c r="H6960" t="s">
        <v>78</v>
      </c>
      <c r="I6960" t="s">
        <v>79</v>
      </c>
      <c r="J6960" t="str">
        <f>"4140035"</f>
        <v>4140035</v>
      </c>
      <c r="K6960">
        <v>2834041440</v>
      </c>
      <c r="L6960">
        <v>2834041440</v>
      </c>
      <c r="M6960" t="s">
        <v>33171</v>
      </c>
      <c r="N6960" t="s">
        <v>33172</v>
      </c>
      <c r="O6960" t="s">
        <v>33151</v>
      </c>
      <c r="P6960">
        <v>74052</v>
      </c>
      <c r="Q6960" t="str">
        <f>"35.343739"</f>
        <v>35.343739</v>
      </c>
      <c r="R6960" t="str">
        <f>"24.783485"</f>
        <v>24.783485</v>
      </c>
      <c r="S6960" t="s">
        <v>26</v>
      </c>
    </row>
    <row r="6961" spans="1:19" x14ac:dyDescent="0.3">
      <c r="A6961" t="s">
        <v>32470</v>
      </c>
      <c r="B6961" t="s">
        <v>33044</v>
      </c>
      <c r="C6961" t="s">
        <v>33180</v>
      </c>
      <c r="D6961" t="s">
        <v>32480</v>
      </c>
      <c r="E6961" t="s">
        <v>32481</v>
      </c>
      <c r="F6961" t="s">
        <v>32481</v>
      </c>
      <c r="G6961" t="s">
        <v>32481</v>
      </c>
      <c r="H6961" t="s">
        <v>78</v>
      </c>
      <c r="I6961" t="s">
        <v>132</v>
      </c>
      <c r="J6961" t="str">
        <f>"4150045"</f>
        <v>4150045</v>
      </c>
      <c r="K6961">
        <v>2831022248</v>
      </c>
      <c r="M6961" t="s">
        <v>33181</v>
      </c>
      <c r="N6961" t="s">
        <v>32480</v>
      </c>
      <c r="O6961" t="s">
        <v>33182</v>
      </c>
      <c r="P6961">
        <v>74100</v>
      </c>
      <c r="Q6961" t="str">
        <f>"35.327571"</f>
        <v>35.327571</v>
      </c>
      <c r="R6961" t="str">
        <f>"24.500504"</f>
        <v>24.500504</v>
      </c>
      <c r="S6961" t="s">
        <v>26</v>
      </c>
    </row>
    <row r="6962" spans="1:19" x14ac:dyDescent="0.3">
      <c r="A6962" t="s">
        <v>32470</v>
      </c>
      <c r="B6962" t="s">
        <v>33044</v>
      </c>
      <c r="C6962" t="s">
        <v>33197</v>
      </c>
      <c r="D6962" t="s">
        <v>32480</v>
      </c>
      <c r="E6962" t="s">
        <v>32481</v>
      </c>
      <c r="F6962" t="s">
        <v>32481</v>
      </c>
      <c r="G6962" t="s">
        <v>32481</v>
      </c>
      <c r="H6962" t="s">
        <v>78</v>
      </c>
      <c r="I6962" t="s">
        <v>79</v>
      </c>
      <c r="J6962" t="str">
        <f>"4152001"</f>
        <v>4152001</v>
      </c>
      <c r="K6962">
        <v>2831024375</v>
      </c>
      <c r="L6962">
        <v>2831024375</v>
      </c>
      <c r="M6962" t="s">
        <v>33198</v>
      </c>
      <c r="N6962" t="s">
        <v>32484</v>
      </c>
      <c r="O6962" t="s">
        <v>33199</v>
      </c>
      <c r="P6962">
        <v>74100</v>
      </c>
      <c r="Q6962" t="str">
        <f>"35.364369"</f>
        <v>35.364369</v>
      </c>
      <c r="R6962" t="str">
        <f>"24.445799"</f>
        <v>24.445799</v>
      </c>
      <c r="S6962" t="s">
        <v>26</v>
      </c>
    </row>
    <row r="6963" spans="1:19" x14ac:dyDescent="0.3">
      <c r="A6963" t="s">
        <v>32470</v>
      </c>
      <c r="B6963" t="s">
        <v>33207</v>
      </c>
      <c r="C6963" t="s">
        <v>33234</v>
      </c>
      <c r="D6963" t="s">
        <v>32486</v>
      </c>
      <c r="E6963" t="s">
        <v>33231</v>
      </c>
      <c r="F6963" t="s">
        <v>33232</v>
      </c>
      <c r="G6963" t="s">
        <v>33233</v>
      </c>
      <c r="H6963" t="s">
        <v>78</v>
      </c>
      <c r="I6963" t="s">
        <v>79</v>
      </c>
      <c r="J6963" t="str">
        <f>"5040105"</f>
        <v>5040105</v>
      </c>
      <c r="K6963">
        <v>2825051703</v>
      </c>
      <c r="L6963">
        <v>2825051271</v>
      </c>
      <c r="M6963" t="s">
        <v>33235</v>
      </c>
      <c r="N6963" t="s">
        <v>33236</v>
      </c>
      <c r="O6963" t="s">
        <v>33237</v>
      </c>
      <c r="P6963">
        <v>73007</v>
      </c>
      <c r="Q6963" t="str">
        <f>"35.369653"</f>
        <v>35.369653</v>
      </c>
      <c r="R6963" t="str">
        <f>"24.191432"</f>
        <v>24.191432</v>
      </c>
      <c r="S6963" t="s">
        <v>26</v>
      </c>
    </row>
    <row r="6964" spans="1:19" x14ac:dyDescent="0.3">
      <c r="A6964" t="s">
        <v>32470</v>
      </c>
      <c r="B6964" t="s">
        <v>33207</v>
      </c>
      <c r="C6964" t="s">
        <v>33241</v>
      </c>
      <c r="D6964" t="s">
        <v>32486</v>
      </c>
      <c r="E6964" t="s">
        <v>33218</v>
      </c>
      <c r="F6964" t="s">
        <v>33239</v>
      </c>
      <c r="G6964" t="s">
        <v>33240</v>
      </c>
      <c r="H6964" t="s">
        <v>78</v>
      </c>
      <c r="I6964" t="s">
        <v>79</v>
      </c>
      <c r="J6964" t="str">
        <f>"5050065"</f>
        <v>5050065</v>
      </c>
      <c r="K6964">
        <v>2823022234</v>
      </c>
      <c r="L6964">
        <v>2823022234</v>
      </c>
      <c r="M6964" t="s">
        <v>33242</v>
      </c>
      <c r="N6964" t="s">
        <v>33243</v>
      </c>
      <c r="O6964" t="s">
        <v>33244</v>
      </c>
      <c r="P6964">
        <v>73004</v>
      </c>
      <c r="Q6964" t="str">
        <f>"35.328448"</f>
        <v>35.328448</v>
      </c>
      <c r="R6964" t="str">
        <f>"23.745292"</f>
        <v>23.745292</v>
      </c>
      <c r="S6964" t="s">
        <v>57</v>
      </c>
    </row>
    <row r="6965" spans="1:19" x14ac:dyDescent="0.3">
      <c r="A6965" t="s">
        <v>32470</v>
      </c>
      <c r="B6965" t="s">
        <v>33207</v>
      </c>
      <c r="C6965" t="s">
        <v>33246</v>
      </c>
      <c r="D6965" t="s">
        <v>32486</v>
      </c>
      <c r="E6965" t="s">
        <v>32486</v>
      </c>
      <c r="F6965" t="s">
        <v>32486</v>
      </c>
      <c r="G6965" t="s">
        <v>32486</v>
      </c>
      <c r="H6965" t="s">
        <v>78</v>
      </c>
      <c r="I6965" t="s">
        <v>79</v>
      </c>
      <c r="J6965" t="str">
        <f>"5040050"</f>
        <v>5040050</v>
      </c>
      <c r="K6965">
        <v>2821043147</v>
      </c>
      <c r="M6965" t="s">
        <v>33247</v>
      </c>
      <c r="N6965" t="s">
        <v>32489</v>
      </c>
      <c r="O6965" t="s">
        <v>28777</v>
      </c>
      <c r="P6965">
        <v>73100</v>
      </c>
      <c r="Q6965" t="str">
        <f>"35.512652"</f>
        <v>35.512652</v>
      </c>
      <c r="R6965" t="str">
        <f>"24.026342"</f>
        <v>24.026342</v>
      </c>
      <c r="S6965" t="s">
        <v>26</v>
      </c>
    </row>
    <row r="6966" spans="1:19" x14ac:dyDescent="0.3">
      <c r="A6966" t="s">
        <v>32470</v>
      </c>
      <c r="B6966" t="s">
        <v>33207</v>
      </c>
      <c r="C6966" t="s">
        <v>33249</v>
      </c>
      <c r="D6966" t="s">
        <v>32486</v>
      </c>
      <c r="E6966" t="s">
        <v>32486</v>
      </c>
      <c r="F6966" t="s">
        <v>32486</v>
      </c>
      <c r="G6966" t="s">
        <v>32486</v>
      </c>
      <c r="H6966" t="s">
        <v>78</v>
      </c>
      <c r="I6966" t="s">
        <v>79</v>
      </c>
      <c r="J6966" t="str">
        <f>"5050060"</f>
        <v>5050060</v>
      </c>
      <c r="K6966">
        <v>2821091515</v>
      </c>
      <c r="M6966" t="s">
        <v>33250</v>
      </c>
      <c r="N6966" t="s">
        <v>32486</v>
      </c>
      <c r="O6966" t="s">
        <v>33251</v>
      </c>
      <c r="P6966">
        <v>73135</v>
      </c>
      <c r="Q6966" t="str">
        <f>"35.511256"</f>
        <v>35.511256</v>
      </c>
      <c r="R6966" t="str">
        <f>"24.018814"</f>
        <v>24.018814</v>
      </c>
      <c r="S6966" t="s">
        <v>26</v>
      </c>
    </row>
    <row r="6967" spans="1:19" x14ac:dyDescent="0.3">
      <c r="A6967" t="s">
        <v>32470</v>
      </c>
      <c r="B6967" t="s">
        <v>33207</v>
      </c>
      <c r="C6967" t="s">
        <v>33254</v>
      </c>
      <c r="D6967" t="s">
        <v>32486</v>
      </c>
      <c r="E6967" t="s">
        <v>32486</v>
      </c>
      <c r="F6967" t="s">
        <v>13933</v>
      </c>
      <c r="G6967" t="s">
        <v>33253</v>
      </c>
      <c r="H6967" t="s">
        <v>78</v>
      </c>
      <c r="I6967" t="s">
        <v>79</v>
      </c>
      <c r="J6967" t="str">
        <f>"5040080"</f>
        <v>5040080</v>
      </c>
      <c r="K6967">
        <v>2821093155</v>
      </c>
      <c r="M6967" t="s">
        <v>33255</v>
      </c>
      <c r="N6967" t="s">
        <v>33256</v>
      </c>
      <c r="O6967" t="s">
        <v>33257</v>
      </c>
      <c r="P6967">
        <v>73300</v>
      </c>
      <c r="Q6967" t="str">
        <f>"35.483576"</f>
        <v>35.483576</v>
      </c>
      <c r="R6967" t="str">
        <f>"24.016976"</f>
        <v>24.016976</v>
      </c>
      <c r="S6967" t="s">
        <v>26</v>
      </c>
    </row>
    <row r="6968" spans="1:19" x14ac:dyDescent="0.3">
      <c r="A6968" t="s">
        <v>32470</v>
      </c>
      <c r="B6968" t="s">
        <v>33207</v>
      </c>
      <c r="C6968" t="s">
        <v>33379</v>
      </c>
      <c r="D6968" t="s">
        <v>32486</v>
      </c>
      <c r="E6968" t="s">
        <v>32486</v>
      </c>
      <c r="F6968" t="s">
        <v>33268</v>
      </c>
      <c r="G6968" t="s">
        <v>33269</v>
      </c>
      <c r="H6968" t="s">
        <v>78</v>
      </c>
      <c r="I6968" t="s">
        <v>79</v>
      </c>
      <c r="J6968" t="str">
        <f>"5040100"</f>
        <v>5040100</v>
      </c>
      <c r="K6968">
        <v>2821058998</v>
      </c>
      <c r="L6968">
        <v>2821058993</v>
      </c>
      <c r="M6968" t="s">
        <v>33380</v>
      </c>
      <c r="N6968" t="s">
        <v>33381</v>
      </c>
      <c r="O6968" t="s">
        <v>33382</v>
      </c>
      <c r="P6968">
        <v>73100</v>
      </c>
      <c r="Q6968" t="str">
        <f>"35.523193"</f>
        <v>35.523193</v>
      </c>
      <c r="R6968" t="str">
        <f>"24.061622"</f>
        <v>24.061622</v>
      </c>
      <c r="S6968" t="s">
        <v>26</v>
      </c>
    </row>
    <row r="6969" spans="1:19" x14ac:dyDescent="0.3">
      <c r="A6969" t="s">
        <v>32470</v>
      </c>
      <c r="B6969" t="s">
        <v>33207</v>
      </c>
      <c r="C6969" t="s">
        <v>33387</v>
      </c>
      <c r="D6969" t="s">
        <v>32486</v>
      </c>
      <c r="E6969" t="s">
        <v>33301</v>
      </c>
      <c r="F6969" t="s">
        <v>33301</v>
      </c>
      <c r="G6969" t="s">
        <v>33301</v>
      </c>
      <c r="H6969" t="s">
        <v>78</v>
      </c>
      <c r="I6969" t="s">
        <v>79</v>
      </c>
      <c r="J6969" t="str">
        <f>"5040090"</f>
        <v>5040090</v>
      </c>
      <c r="K6969">
        <v>2822022275</v>
      </c>
      <c r="L6969">
        <v>2822022210</v>
      </c>
      <c r="M6969" t="s">
        <v>33388</v>
      </c>
      <c r="N6969" t="s">
        <v>33304</v>
      </c>
      <c r="O6969" t="s">
        <v>33370</v>
      </c>
      <c r="P6969">
        <v>73400</v>
      </c>
      <c r="Q6969" t="str">
        <f>"35.491281"</f>
        <v>35.491281</v>
      </c>
      <c r="R6969" t="str">
        <f>"23.666352"</f>
        <v>23.666352</v>
      </c>
      <c r="S6969" t="s">
        <v>26</v>
      </c>
    </row>
    <row r="6970" spans="1:19" x14ac:dyDescent="0.3">
      <c r="A6970" t="s">
        <v>32470</v>
      </c>
      <c r="B6970" t="s">
        <v>33207</v>
      </c>
      <c r="C6970" t="s">
        <v>33407</v>
      </c>
      <c r="D6970" t="s">
        <v>32486</v>
      </c>
      <c r="E6970" t="s">
        <v>32486</v>
      </c>
      <c r="F6970" t="s">
        <v>32486</v>
      </c>
      <c r="G6970" t="s">
        <v>32486</v>
      </c>
      <c r="H6970" t="s">
        <v>78</v>
      </c>
      <c r="I6970" t="s">
        <v>132</v>
      </c>
      <c r="J6970" t="str">
        <f>"5040055"</f>
        <v>5040055</v>
      </c>
      <c r="K6970">
        <v>2821036404</v>
      </c>
      <c r="L6970">
        <v>2821036404</v>
      </c>
      <c r="M6970" t="s">
        <v>33408</v>
      </c>
      <c r="N6970" t="s">
        <v>32489</v>
      </c>
      <c r="O6970" t="s">
        <v>33251</v>
      </c>
      <c r="P6970">
        <v>73135</v>
      </c>
      <c r="Q6970" t="str">
        <f>"35.511230"</f>
        <v>35.511230</v>
      </c>
      <c r="R6970" t="str">
        <f>"24.018845"</f>
        <v>24.018845</v>
      </c>
      <c r="S6970" t="s">
        <v>26</v>
      </c>
    </row>
    <row r="6971" spans="1:19" x14ac:dyDescent="0.3">
      <c r="A6971" t="s">
        <v>32470</v>
      </c>
      <c r="B6971" t="s">
        <v>33207</v>
      </c>
      <c r="C6971" t="s">
        <v>33418</v>
      </c>
      <c r="D6971" t="s">
        <v>32486</v>
      </c>
      <c r="E6971" t="s">
        <v>20356</v>
      </c>
      <c r="F6971" t="s">
        <v>20356</v>
      </c>
      <c r="G6971" t="s">
        <v>20356</v>
      </c>
      <c r="H6971" t="s">
        <v>78</v>
      </c>
      <c r="I6971" t="s">
        <v>132</v>
      </c>
      <c r="J6971" t="str">
        <f>"5053001"</f>
        <v>5053001</v>
      </c>
      <c r="K6971">
        <v>6974739285</v>
      </c>
      <c r="M6971" t="s">
        <v>33419</v>
      </c>
      <c r="N6971" t="s">
        <v>33347</v>
      </c>
      <c r="O6971" t="s">
        <v>33420</v>
      </c>
      <c r="P6971">
        <v>73014</v>
      </c>
      <c r="Q6971" t="str">
        <f>"35.507867"</f>
        <v>35.507867</v>
      </c>
      <c r="R6971" t="str">
        <f>"23.894166"</f>
        <v>23.894166</v>
      </c>
      <c r="S6971" t="s">
        <v>26</v>
      </c>
    </row>
    <row r="6972" spans="1:19" x14ac:dyDescent="0.3">
      <c r="A6972" t="s">
        <v>35638</v>
      </c>
      <c r="B6972" t="s">
        <v>35670</v>
      </c>
      <c r="C6972" t="s">
        <v>35707</v>
      </c>
      <c r="D6972" t="s">
        <v>35639</v>
      </c>
      <c r="E6972" t="s">
        <v>35706</v>
      </c>
      <c r="F6972" t="s">
        <v>35706</v>
      </c>
      <c r="G6972" t="s">
        <v>35706</v>
      </c>
      <c r="H6972" t="s">
        <v>78</v>
      </c>
      <c r="I6972" t="s">
        <v>79</v>
      </c>
      <c r="J6972" t="str">
        <f>"1040062"</f>
        <v>1040062</v>
      </c>
      <c r="K6972">
        <v>2246071718</v>
      </c>
      <c r="L6972">
        <v>2246071718</v>
      </c>
      <c r="M6972" t="s">
        <v>35708</v>
      </c>
      <c r="N6972" t="s">
        <v>35706</v>
      </c>
      <c r="O6972" t="s">
        <v>35709</v>
      </c>
      <c r="P6972">
        <v>85600</v>
      </c>
      <c r="Q6972" t="str">
        <f>"36.603239"</f>
        <v>36.603239</v>
      </c>
      <c r="R6972" t="str">
        <f>"27.842581"</f>
        <v>27.842581</v>
      </c>
      <c r="S6972" t="s">
        <v>57</v>
      </c>
    </row>
    <row r="6973" spans="1:19" x14ac:dyDescent="0.3">
      <c r="A6973" t="s">
        <v>35638</v>
      </c>
      <c r="B6973" t="s">
        <v>35670</v>
      </c>
      <c r="C6973" t="s">
        <v>35723</v>
      </c>
      <c r="D6973" t="s">
        <v>35639</v>
      </c>
      <c r="E6973" t="s">
        <v>35639</v>
      </c>
      <c r="F6973" t="s">
        <v>35721</v>
      </c>
      <c r="G6973" t="s">
        <v>35722</v>
      </c>
      <c r="H6973" t="s">
        <v>78</v>
      </c>
      <c r="I6973" t="s">
        <v>79</v>
      </c>
      <c r="J6973" t="str">
        <f>"1040055"</f>
        <v>1040055</v>
      </c>
      <c r="K6973">
        <v>2241081460</v>
      </c>
      <c r="L6973">
        <v>2241098124</v>
      </c>
      <c r="M6973" t="s">
        <v>35724</v>
      </c>
      <c r="N6973" t="s">
        <v>35725</v>
      </c>
      <c r="O6973" t="s">
        <v>35726</v>
      </c>
      <c r="P6973">
        <v>85106</v>
      </c>
      <c r="Q6973" t="str">
        <f>"36.400913"</f>
        <v>36.400913</v>
      </c>
      <c r="R6973" t="str">
        <f>"28.081547"</f>
        <v>28.081547</v>
      </c>
      <c r="S6973" t="s">
        <v>26</v>
      </c>
    </row>
    <row r="6974" spans="1:19" x14ac:dyDescent="0.3">
      <c r="A6974" t="s">
        <v>35638</v>
      </c>
      <c r="B6974" t="s">
        <v>35670</v>
      </c>
      <c r="C6974" t="s">
        <v>35730</v>
      </c>
      <c r="D6974" t="s">
        <v>35651</v>
      </c>
      <c r="E6974" t="s">
        <v>35729</v>
      </c>
      <c r="F6974" t="s">
        <v>35729</v>
      </c>
      <c r="G6974" t="s">
        <v>35729</v>
      </c>
      <c r="H6974" t="s">
        <v>78</v>
      </c>
      <c r="I6974" t="s">
        <v>79</v>
      </c>
      <c r="J6974" t="str">
        <f>"1040065"</f>
        <v>1040065</v>
      </c>
      <c r="K6974">
        <v>2247023840</v>
      </c>
      <c r="L6974">
        <v>2247023820</v>
      </c>
      <c r="M6974" t="s">
        <v>35731</v>
      </c>
      <c r="N6974" t="s">
        <v>35732</v>
      </c>
      <c r="O6974" t="s">
        <v>35733</v>
      </c>
      <c r="P6974">
        <v>85400</v>
      </c>
      <c r="Q6974" t="str">
        <f>"37.130770"</f>
        <v>37.130770</v>
      </c>
      <c r="R6974" t="str">
        <f>"26.850144"</f>
        <v>26.850144</v>
      </c>
      <c r="S6974" t="s">
        <v>57</v>
      </c>
    </row>
    <row r="6975" spans="1:19" x14ac:dyDescent="0.3">
      <c r="A6975" t="s">
        <v>35638</v>
      </c>
      <c r="B6975" t="s">
        <v>35670</v>
      </c>
      <c r="C6975" t="s">
        <v>35742</v>
      </c>
      <c r="D6975" t="s">
        <v>35639</v>
      </c>
      <c r="E6975" t="s">
        <v>35639</v>
      </c>
      <c r="F6975" t="s">
        <v>35639</v>
      </c>
      <c r="G6975" t="s">
        <v>35639</v>
      </c>
      <c r="H6975" t="s">
        <v>78</v>
      </c>
      <c r="I6975" t="s">
        <v>79</v>
      </c>
      <c r="J6975" t="str">
        <f>"1040045"</f>
        <v>1040045</v>
      </c>
      <c r="K6975">
        <v>2241061424</v>
      </c>
      <c r="L6975">
        <v>2241061463</v>
      </c>
      <c r="M6975" t="s">
        <v>35743</v>
      </c>
      <c r="N6975" t="s">
        <v>35703</v>
      </c>
      <c r="O6975" t="s">
        <v>35744</v>
      </c>
      <c r="P6975">
        <v>85133</v>
      </c>
      <c r="Q6975" t="str">
        <f>"36.414542"</f>
        <v>36.414542</v>
      </c>
      <c r="R6975" t="str">
        <f>"28.190141"</f>
        <v>28.190141</v>
      </c>
      <c r="S6975" t="s">
        <v>26</v>
      </c>
    </row>
    <row r="6976" spans="1:19" x14ac:dyDescent="0.3">
      <c r="A6976" t="s">
        <v>35638</v>
      </c>
      <c r="B6976" t="s">
        <v>35670</v>
      </c>
      <c r="C6976" t="s">
        <v>35878</v>
      </c>
      <c r="D6976" t="s">
        <v>35639</v>
      </c>
      <c r="E6976" t="s">
        <v>35639</v>
      </c>
      <c r="F6976" t="s">
        <v>35639</v>
      </c>
      <c r="G6976" t="s">
        <v>35639</v>
      </c>
      <c r="H6976" t="s">
        <v>78</v>
      </c>
      <c r="I6976" t="s">
        <v>79</v>
      </c>
      <c r="J6976" t="str">
        <f>"1040040"</f>
        <v>1040040</v>
      </c>
      <c r="K6976">
        <v>2241021545</v>
      </c>
      <c r="L6976">
        <v>2241077201</v>
      </c>
      <c r="M6976" t="s">
        <v>35879</v>
      </c>
      <c r="N6976" t="s">
        <v>35639</v>
      </c>
      <c r="O6976" t="s">
        <v>35880</v>
      </c>
      <c r="P6976">
        <v>85132</v>
      </c>
      <c r="Q6976" t="str">
        <f>"36.430146"</f>
        <v>36.430146</v>
      </c>
      <c r="R6976" t="str">
        <f>"28.231933"</f>
        <v>28.231933</v>
      </c>
      <c r="S6976" t="s">
        <v>26</v>
      </c>
    </row>
    <row r="6977" spans="1:19" x14ac:dyDescent="0.3">
      <c r="A6977" t="s">
        <v>35638</v>
      </c>
      <c r="B6977" t="s">
        <v>35670</v>
      </c>
      <c r="C6977" t="s">
        <v>35978</v>
      </c>
      <c r="D6977" t="s">
        <v>35689</v>
      </c>
      <c r="E6977" t="s">
        <v>35689</v>
      </c>
      <c r="F6977" t="s">
        <v>35689</v>
      </c>
      <c r="G6977" t="s">
        <v>35689</v>
      </c>
      <c r="H6977" t="s">
        <v>78</v>
      </c>
      <c r="I6977" t="s">
        <v>79</v>
      </c>
      <c r="J6977" t="str">
        <f>"1040063"</f>
        <v>1040063</v>
      </c>
      <c r="K6977">
        <v>2245022880</v>
      </c>
      <c r="L6977">
        <v>2245022880</v>
      </c>
      <c r="M6977" t="s">
        <v>35979</v>
      </c>
      <c r="N6977" t="s">
        <v>35754</v>
      </c>
      <c r="O6977" t="s">
        <v>35897</v>
      </c>
      <c r="P6977">
        <v>85700</v>
      </c>
      <c r="Q6977" t="str">
        <f>"35.507544"</f>
        <v>35.507544</v>
      </c>
      <c r="R6977" t="str">
        <f>"27.214436"</f>
        <v>27.214436</v>
      </c>
      <c r="S6977" t="s">
        <v>57</v>
      </c>
    </row>
    <row r="6978" spans="1:19" x14ac:dyDescent="0.3">
      <c r="A6978" t="s">
        <v>35638</v>
      </c>
      <c r="B6978" t="s">
        <v>35670</v>
      </c>
      <c r="C6978" t="s">
        <v>35980</v>
      </c>
      <c r="D6978" t="s">
        <v>35639</v>
      </c>
      <c r="E6978" t="s">
        <v>35639</v>
      </c>
      <c r="F6978" t="s">
        <v>29736</v>
      </c>
      <c r="G6978" t="s">
        <v>29736</v>
      </c>
      <c r="H6978" t="s">
        <v>78</v>
      </c>
      <c r="I6978" t="s">
        <v>79</v>
      </c>
      <c r="J6978" t="str">
        <f>"1040070"</f>
        <v>1040070</v>
      </c>
      <c r="K6978">
        <v>2244022327</v>
      </c>
      <c r="L6978">
        <v>2244029073</v>
      </c>
      <c r="M6978" t="s">
        <v>35981</v>
      </c>
      <c r="N6978" t="s">
        <v>35982</v>
      </c>
      <c r="O6978" t="s">
        <v>35983</v>
      </c>
      <c r="P6978">
        <v>85102</v>
      </c>
      <c r="Q6978" t="str">
        <f>"36.215857"</f>
        <v>36.215857</v>
      </c>
      <c r="R6978" t="str">
        <f>"28.116758"</f>
        <v>28.116758</v>
      </c>
      <c r="S6978" t="s">
        <v>26</v>
      </c>
    </row>
    <row r="6979" spans="1:19" x14ac:dyDescent="0.3">
      <c r="A6979" t="s">
        <v>35638</v>
      </c>
      <c r="B6979" t="s">
        <v>35670</v>
      </c>
      <c r="C6979" t="s">
        <v>35986</v>
      </c>
      <c r="D6979" t="s">
        <v>35651</v>
      </c>
      <c r="E6979" t="s">
        <v>35652</v>
      </c>
      <c r="F6979" t="s">
        <v>35652</v>
      </c>
      <c r="G6979" t="s">
        <v>35652</v>
      </c>
      <c r="H6979" t="s">
        <v>78</v>
      </c>
      <c r="I6979" t="s">
        <v>79</v>
      </c>
      <c r="J6979" t="str">
        <f>"1040061"</f>
        <v>1040061</v>
      </c>
      <c r="K6979">
        <v>2243029600</v>
      </c>
      <c r="L6979">
        <v>2243050897</v>
      </c>
      <c r="M6979" t="s">
        <v>35987</v>
      </c>
      <c r="N6979" t="s">
        <v>35673</v>
      </c>
      <c r="O6979" t="s">
        <v>35988</v>
      </c>
      <c r="P6979">
        <v>85200</v>
      </c>
      <c r="Q6979" t="str">
        <f>"36.958704"</f>
        <v>36.958704</v>
      </c>
      <c r="R6979" t="str">
        <f>"26.963879"</f>
        <v>26.963879</v>
      </c>
      <c r="S6979" t="s">
        <v>26</v>
      </c>
    </row>
    <row r="6980" spans="1:19" x14ac:dyDescent="0.3">
      <c r="A6980" t="s">
        <v>35638</v>
      </c>
      <c r="B6980" t="s">
        <v>35670</v>
      </c>
      <c r="C6980" t="s">
        <v>35989</v>
      </c>
      <c r="D6980" t="s">
        <v>35657</v>
      </c>
      <c r="E6980" t="s">
        <v>35657</v>
      </c>
      <c r="F6980" t="s">
        <v>35657</v>
      </c>
      <c r="G6980" t="s">
        <v>35657</v>
      </c>
      <c r="H6980" t="s">
        <v>78</v>
      </c>
      <c r="I6980" t="s">
        <v>79</v>
      </c>
      <c r="J6980" t="str">
        <f>"1040050"</f>
        <v>1040050</v>
      </c>
      <c r="K6980">
        <v>2242021883</v>
      </c>
      <c r="L6980">
        <v>2242048695</v>
      </c>
      <c r="M6980" t="s">
        <v>35990</v>
      </c>
      <c r="N6980" t="s">
        <v>35718</v>
      </c>
      <c r="O6980" t="s">
        <v>35991</v>
      </c>
      <c r="P6980">
        <v>85300</v>
      </c>
      <c r="Q6980" t="str">
        <f>"36.900489"</f>
        <v>36.900489</v>
      </c>
      <c r="R6980" t="str">
        <f>"27.280664"</f>
        <v>27.280664</v>
      </c>
      <c r="S6980" t="s">
        <v>26</v>
      </c>
    </row>
    <row r="6981" spans="1:19" x14ac:dyDescent="0.3">
      <c r="A6981" t="s">
        <v>35638</v>
      </c>
      <c r="B6981" t="s">
        <v>35670</v>
      </c>
      <c r="C6981" t="s">
        <v>35992</v>
      </c>
      <c r="D6981" t="s">
        <v>35651</v>
      </c>
      <c r="E6981" t="s">
        <v>35762</v>
      </c>
      <c r="F6981" t="s">
        <v>35762</v>
      </c>
      <c r="G6981" t="s">
        <v>35762</v>
      </c>
      <c r="H6981" t="s">
        <v>78</v>
      </c>
      <c r="I6981" t="s">
        <v>79</v>
      </c>
      <c r="J6981" t="str">
        <f>"1040075"</f>
        <v>1040075</v>
      </c>
      <c r="K6981">
        <v>2247033253</v>
      </c>
      <c r="L6981">
        <v>2247033253</v>
      </c>
      <c r="M6981" t="s">
        <v>35993</v>
      </c>
      <c r="N6981" t="s">
        <v>35765</v>
      </c>
      <c r="O6981" t="s">
        <v>35766</v>
      </c>
      <c r="P6981">
        <v>85500</v>
      </c>
      <c r="Q6981" t="str">
        <f>"37.315684"</f>
        <v>37.315684</v>
      </c>
      <c r="R6981" t="str">
        <f>"26.540425"</f>
        <v>26.540425</v>
      </c>
      <c r="S6981" t="s">
        <v>57</v>
      </c>
    </row>
    <row r="6982" spans="1:19" x14ac:dyDescent="0.3">
      <c r="A6982" t="s">
        <v>35638</v>
      </c>
      <c r="B6982" t="s">
        <v>35670</v>
      </c>
      <c r="C6982" t="s">
        <v>36006</v>
      </c>
      <c r="D6982" t="s">
        <v>35639</v>
      </c>
      <c r="E6982" t="s">
        <v>35639</v>
      </c>
      <c r="F6982" t="s">
        <v>35639</v>
      </c>
      <c r="G6982" t="s">
        <v>35639</v>
      </c>
      <c r="H6982" t="s">
        <v>78</v>
      </c>
      <c r="I6982" t="s">
        <v>132</v>
      </c>
      <c r="J6982" t="str">
        <f>"1050055"</f>
        <v>1050055</v>
      </c>
      <c r="K6982">
        <v>2241077715</v>
      </c>
      <c r="L6982">
        <v>2241077715</v>
      </c>
      <c r="M6982" t="s">
        <v>36007</v>
      </c>
      <c r="N6982" t="s">
        <v>35703</v>
      </c>
      <c r="O6982" t="s">
        <v>36008</v>
      </c>
      <c r="P6982">
        <v>85100</v>
      </c>
      <c r="Q6982" t="str">
        <f>"36.430013"</f>
        <v>36.430013</v>
      </c>
      <c r="R6982" t="str">
        <f>"28.232214"</f>
        <v>28.232214</v>
      </c>
      <c r="S6982" t="s">
        <v>26</v>
      </c>
    </row>
    <row r="6983" spans="1:19" x14ac:dyDescent="0.3">
      <c r="A6983" t="s">
        <v>35638</v>
      </c>
      <c r="B6983" t="s">
        <v>36020</v>
      </c>
      <c r="C6983" t="s">
        <v>36059</v>
      </c>
      <c r="D6983" t="s">
        <v>36057</v>
      </c>
      <c r="E6983" t="s">
        <v>36057</v>
      </c>
      <c r="F6983" t="s">
        <v>36057</v>
      </c>
      <c r="G6983" t="s">
        <v>36058</v>
      </c>
      <c r="H6983" t="s">
        <v>78</v>
      </c>
      <c r="I6983" t="s">
        <v>79</v>
      </c>
      <c r="J6983" t="str">
        <f>"2940052"</f>
        <v>2940052</v>
      </c>
      <c r="K6983">
        <v>2289028131</v>
      </c>
      <c r="L6983">
        <v>2289028131</v>
      </c>
      <c r="M6983" t="s">
        <v>36060</v>
      </c>
      <c r="N6983" t="s">
        <v>36061</v>
      </c>
      <c r="O6983" t="s">
        <v>36062</v>
      </c>
      <c r="P6983">
        <v>84600</v>
      </c>
      <c r="Q6983" t="str">
        <f>"37.442499"</f>
        <v>37.442499</v>
      </c>
      <c r="R6983" t="str">
        <f>"25.337544"</f>
        <v>25.337544</v>
      </c>
      <c r="S6983" t="s">
        <v>26</v>
      </c>
    </row>
    <row r="6984" spans="1:19" x14ac:dyDescent="0.3">
      <c r="A6984" t="s">
        <v>35638</v>
      </c>
      <c r="B6984" t="s">
        <v>36020</v>
      </c>
      <c r="C6984" t="s">
        <v>36067</v>
      </c>
      <c r="D6984" t="s">
        <v>36064</v>
      </c>
      <c r="E6984" t="s">
        <v>36065</v>
      </c>
      <c r="F6984" t="s">
        <v>36065</v>
      </c>
      <c r="G6984" t="s">
        <v>36066</v>
      </c>
      <c r="H6984" t="s">
        <v>78</v>
      </c>
      <c r="I6984" t="s">
        <v>79</v>
      </c>
      <c r="J6984" t="str">
        <f>"2940054"</f>
        <v>2940054</v>
      </c>
      <c r="K6984">
        <v>2288022070</v>
      </c>
      <c r="L6984">
        <v>2288022070</v>
      </c>
      <c r="M6984" t="s">
        <v>36068</v>
      </c>
      <c r="N6984" t="s">
        <v>36069</v>
      </c>
      <c r="O6984" t="s">
        <v>36070</v>
      </c>
      <c r="P6984">
        <v>84002</v>
      </c>
      <c r="Q6984" t="str">
        <f>"37.637428"</f>
        <v>37.637428</v>
      </c>
      <c r="R6984" t="str">
        <f>"24.340255"</f>
        <v>24.340255</v>
      </c>
      <c r="S6984" t="s">
        <v>26</v>
      </c>
    </row>
    <row r="6985" spans="1:19" x14ac:dyDescent="0.3">
      <c r="A6985" t="s">
        <v>35638</v>
      </c>
      <c r="B6985" t="s">
        <v>36020</v>
      </c>
      <c r="C6985" t="s">
        <v>36085</v>
      </c>
      <c r="D6985" t="s">
        <v>36028</v>
      </c>
      <c r="E6985" t="s">
        <v>36084</v>
      </c>
      <c r="F6985" t="s">
        <v>36084</v>
      </c>
      <c r="G6985" t="s">
        <v>25777</v>
      </c>
      <c r="H6985" t="s">
        <v>78</v>
      </c>
      <c r="I6985" t="s">
        <v>79</v>
      </c>
      <c r="J6985" t="str">
        <f>"2940060"</f>
        <v>2940060</v>
      </c>
      <c r="K6985">
        <v>2284033912</v>
      </c>
      <c r="L6985">
        <v>2284033912</v>
      </c>
      <c r="M6985" t="s">
        <v>36086</v>
      </c>
      <c r="N6985" t="s">
        <v>36087</v>
      </c>
      <c r="O6985" t="s">
        <v>36088</v>
      </c>
      <c r="P6985">
        <v>84003</v>
      </c>
      <c r="Q6985" t="str">
        <f>"36.969756"</f>
        <v>36.969756</v>
      </c>
      <c r="R6985" t="str">
        <f>"24.725211"</f>
        <v>24.725211</v>
      </c>
      <c r="S6985" t="s">
        <v>57</v>
      </c>
    </row>
    <row r="6986" spans="1:19" x14ac:dyDescent="0.3">
      <c r="A6986" t="s">
        <v>35638</v>
      </c>
      <c r="B6986" t="s">
        <v>36020</v>
      </c>
      <c r="C6986" t="s">
        <v>36091</v>
      </c>
      <c r="D6986" t="s">
        <v>4806</v>
      </c>
      <c r="E6986" t="s">
        <v>36090</v>
      </c>
      <c r="F6986" t="s">
        <v>36090</v>
      </c>
      <c r="G6986" t="s">
        <v>36090</v>
      </c>
      <c r="H6986" t="s">
        <v>78</v>
      </c>
      <c r="I6986" t="s">
        <v>79</v>
      </c>
      <c r="J6986" t="str">
        <f>"2940058"</f>
        <v>2940058</v>
      </c>
      <c r="K6986">
        <v>2285074230</v>
      </c>
      <c r="L6986">
        <v>2285074230</v>
      </c>
      <c r="M6986" t="s">
        <v>36092</v>
      </c>
      <c r="N6986" t="s">
        <v>36093</v>
      </c>
      <c r="O6986" t="s">
        <v>36093</v>
      </c>
      <c r="P6986">
        <v>84008</v>
      </c>
      <c r="Q6986" t="str">
        <f>"36.832239"</f>
        <v>36.832239</v>
      </c>
      <c r="R6986" t="str">
        <f>"25.900507"</f>
        <v>25.900507</v>
      </c>
      <c r="S6986" t="s">
        <v>57</v>
      </c>
    </row>
    <row r="6987" spans="1:19" x14ac:dyDescent="0.3">
      <c r="A6987" t="s">
        <v>35638</v>
      </c>
      <c r="B6987" t="s">
        <v>36020</v>
      </c>
      <c r="C6987" t="s">
        <v>36096</v>
      </c>
      <c r="D6987" t="s">
        <v>36095</v>
      </c>
      <c r="E6987" t="s">
        <v>36095</v>
      </c>
      <c r="F6987" t="s">
        <v>36095</v>
      </c>
      <c r="G6987" t="s">
        <v>36095</v>
      </c>
      <c r="H6987" t="s">
        <v>78</v>
      </c>
      <c r="I6987" t="s">
        <v>79</v>
      </c>
      <c r="J6987" t="str">
        <f>"2940110"</f>
        <v>2940110</v>
      </c>
      <c r="K6987">
        <v>2282023693</v>
      </c>
      <c r="L6987">
        <v>2282023693</v>
      </c>
      <c r="M6987" t="s">
        <v>36097</v>
      </c>
      <c r="N6987" t="s">
        <v>36098</v>
      </c>
      <c r="O6987" t="s">
        <v>36099</v>
      </c>
      <c r="P6987">
        <v>84500</v>
      </c>
      <c r="Q6987" t="str">
        <f>"37.835049"</f>
        <v>37.835049</v>
      </c>
      <c r="R6987" t="str">
        <f>"24.933450"</f>
        <v>24.933450</v>
      </c>
      <c r="S6987" t="s">
        <v>26</v>
      </c>
    </row>
    <row r="6988" spans="1:19" x14ac:dyDescent="0.3">
      <c r="A6988" t="s">
        <v>35638</v>
      </c>
      <c r="B6988" t="s">
        <v>36020</v>
      </c>
      <c r="C6988" t="s">
        <v>36103</v>
      </c>
      <c r="D6988" t="s">
        <v>36021</v>
      </c>
      <c r="E6988" t="s">
        <v>36102</v>
      </c>
      <c r="F6988" t="s">
        <v>36102</v>
      </c>
      <c r="G6988" t="s">
        <v>36102</v>
      </c>
      <c r="H6988" t="s">
        <v>78</v>
      </c>
      <c r="I6988" t="s">
        <v>79</v>
      </c>
      <c r="J6988" t="str">
        <f>"2940059"</f>
        <v>2940059</v>
      </c>
      <c r="K6988">
        <v>2286092532</v>
      </c>
      <c r="L6988">
        <v>2286028354</v>
      </c>
      <c r="M6988" t="s">
        <v>36104</v>
      </c>
      <c r="N6988" t="s">
        <v>36105</v>
      </c>
      <c r="P6988">
        <v>84001</v>
      </c>
      <c r="Q6988" t="str">
        <f>"36.723845"</f>
        <v>36.723845</v>
      </c>
      <c r="R6988" t="str">
        <f>"25.278378"</f>
        <v>25.278378</v>
      </c>
      <c r="S6988" t="s">
        <v>57</v>
      </c>
    </row>
    <row r="6989" spans="1:19" x14ac:dyDescent="0.3">
      <c r="A6989" t="s">
        <v>35638</v>
      </c>
      <c r="B6989" t="s">
        <v>36020</v>
      </c>
      <c r="C6989" t="s">
        <v>36115</v>
      </c>
      <c r="D6989" t="s">
        <v>36028</v>
      </c>
      <c r="E6989" t="s">
        <v>36028</v>
      </c>
      <c r="F6989" t="s">
        <v>36028</v>
      </c>
      <c r="G6989" t="s">
        <v>36028</v>
      </c>
      <c r="H6989" t="s">
        <v>78</v>
      </c>
      <c r="I6989" t="s">
        <v>79</v>
      </c>
      <c r="J6989" t="str">
        <f>"2950082"</f>
        <v>2950082</v>
      </c>
      <c r="K6989">
        <v>2287022533</v>
      </c>
      <c r="L6989">
        <v>2287022533</v>
      </c>
      <c r="M6989" t="s">
        <v>36116</v>
      </c>
      <c r="N6989" t="s">
        <v>36117</v>
      </c>
      <c r="O6989" t="s">
        <v>36118</v>
      </c>
      <c r="P6989">
        <v>84800</v>
      </c>
      <c r="Q6989" t="str">
        <f>"36.741283"</f>
        <v>36.741283</v>
      </c>
      <c r="R6989" t="str">
        <f>"24.426882"</f>
        <v>24.426882</v>
      </c>
      <c r="S6989" t="s">
        <v>57</v>
      </c>
    </row>
    <row r="6990" spans="1:19" x14ac:dyDescent="0.3">
      <c r="A6990" t="s">
        <v>35638</v>
      </c>
      <c r="B6990" t="s">
        <v>36020</v>
      </c>
      <c r="C6990" t="s">
        <v>36120</v>
      </c>
      <c r="D6990" t="s">
        <v>36021</v>
      </c>
      <c r="E6990" t="s">
        <v>36021</v>
      </c>
      <c r="F6990" t="s">
        <v>36021</v>
      </c>
      <c r="G6990" t="s">
        <v>36021</v>
      </c>
      <c r="H6990" t="s">
        <v>78</v>
      </c>
      <c r="I6990" t="s">
        <v>79</v>
      </c>
      <c r="J6990" t="str">
        <f>"2940080"</f>
        <v>2940080</v>
      </c>
      <c r="K6990">
        <v>2286023920</v>
      </c>
      <c r="L6990">
        <v>2286021322</v>
      </c>
      <c r="M6990" t="s">
        <v>36121</v>
      </c>
      <c r="N6990" t="s">
        <v>36122</v>
      </c>
      <c r="O6990" t="s">
        <v>36123</v>
      </c>
      <c r="P6990">
        <v>84701</v>
      </c>
      <c r="Q6990" t="str">
        <f>"36.386714"</f>
        <v>36.386714</v>
      </c>
      <c r="R6990" t="str">
        <f>"25.438335"</f>
        <v>25.438335</v>
      </c>
      <c r="S6990" t="s">
        <v>26</v>
      </c>
    </row>
    <row r="6991" spans="1:19" x14ac:dyDescent="0.3">
      <c r="A6991" t="s">
        <v>35638</v>
      </c>
      <c r="B6991" t="s">
        <v>36020</v>
      </c>
      <c r="C6991" t="s">
        <v>36125</v>
      </c>
      <c r="D6991" t="s">
        <v>36041</v>
      </c>
      <c r="E6991" t="s">
        <v>36041</v>
      </c>
      <c r="F6991" t="s">
        <v>36041</v>
      </c>
      <c r="G6991" t="s">
        <v>36041</v>
      </c>
      <c r="H6991" t="s">
        <v>78</v>
      </c>
      <c r="I6991" t="s">
        <v>79</v>
      </c>
      <c r="J6991" t="str">
        <f>"2940070"</f>
        <v>2940070</v>
      </c>
      <c r="K6991">
        <v>2283023338</v>
      </c>
      <c r="L6991">
        <v>2283023338</v>
      </c>
      <c r="M6991" t="s">
        <v>36126</v>
      </c>
      <c r="N6991" t="s">
        <v>36044</v>
      </c>
      <c r="O6991" t="s">
        <v>36127</v>
      </c>
      <c r="P6991">
        <v>84200</v>
      </c>
      <c r="Q6991" t="str">
        <f>"37.539159"</f>
        <v>37.539159</v>
      </c>
      <c r="R6991" t="str">
        <f>"25.167945"</f>
        <v>25.167945</v>
      </c>
      <c r="S6991" t="s">
        <v>26</v>
      </c>
    </row>
    <row r="6992" spans="1:19" x14ac:dyDescent="0.3">
      <c r="A6992" t="s">
        <v>35638</v>
      </c>
      <c r="B6992" t="s">
        <v>36020</v>
      </c>
      <c r="C6992" t="s">
        <v>36129</v>
      </c>
      <c r="D6992" t="s">
        <v>35644</v>
      </c>
      <c r="E6992" t="s">
        <v>35645</v>
      </c>
      <c r="F6992" t="s">
        <v>35646</v>
      </c>
      <c r="G6992" t="s">
        <v>36128</v>
      </c>
      <c r="H6992" t="s">
        <v>78</v>
      </c>
      <c r="I6992" t="s">
        <v>79</v>
      </c>
      <c r="J6992" t="str">
        <f>"2940050"</f>
        <v>2940050</v>
      </c>
      <c r="K6992">
        <v>2281087835</v>
      </c>
      <c r="L6992">
        <v>2281087835</v>
      </c>
      <c r="M6992" t="s">
        <v>36130</v>
      </c>
      <c r="N6992" t="s">
        <v>35649</v>
      </c>
      <c r="O6992" t="s">
        <v>36131</v>
      </c>
      <c r="P6992">
        <v>84100</v>
      </c>
      <c r="Q6992" t="str">
        <f>"37.424647"</f>
        <v>37.424647</v>
      </c>
      <c r="R6992" t="str">
        <f>"24.937032"</f>
        <v>24.937032</v>
      </c>
      <c r="S6992" t="s">
        <v>26</v>
      </c>
    </row>
    <row r="6993" spans="1:19" x14ac:dyDescent="0.3">
      <c r="A6993" t="s">
        <v>35638</v>
      </c>
      <c r="B6993" t="s">
        <v>36020</v>
      </c>
      <c r="C6993" t="s">
        <v>36134</v>
      </c>
      <c r="D6993" t="s">
        <v>36133</v>
      </c>
      <c r="E6993" t="s">
        <v>36133</v>
      </c>
      <c r="F6993" t="s">
        <v>36133</v>
      </c>
      <c r="G6993" t="s">
        <v>36133</v>
      </c>
      <c r="H6993" t="s">
        <v>78</v>
      </c>
      <c r="I6993" t="s">
        <v>79</v>
      </c>
      <c r="J6993" t="str">
        <f>"2940115"</f>
        <v>2940115</v>
      </c>
      <c r="K6993">
        <v>2284024124</v>
      </c>
      <c r="L6993">
        <v>2284025137</v>
      </c>
      <c r="M6993" t="s">
        <v>36135</v>
      </c>
      <c r="N6993" t="s">
        <v>36136</v>
      </c>
      <c r="O6993" t="s">
        <v>36137</v>
      </c>
      <c r="P6993">
        <v>84400</v>
      </c>
      <c r="Q6993" t="str">
        <f>"37.092499"</f>
        <v>37.092499</v>
      </c>
      <c r="R6993" t="str">
        <f>"25.162246"</f>
        <v>25.162246</v>
      </c>
      <c r="S6993" t="s">
        <v>26</v>
      </c>
    </row>
    <row r="6994" spans="1:19" x14ac:dyDescent="0.3">
      <c r="A6994" t="s">
        <v>35638</v>
      </c>
      <c r="B6994" t="s">
        <v>36020</v>
      </c>
      <c r="C6994" t="s">
        <v>36286</v>
      </c>
      <c r="D6994" t="s">
        <v>4806</v>
      </c>
      <c r="E6994" t="s">
        <v>35664</v>
      </c>
      <c r="F6994" t="s">
        <v>36073</v>
      </c>
      <c r="G6994" t="s">
        <v>36074</v>
      </c>
      <c r="H6994" t="s">
        <v>78</v>
      </c>
      <c r="I6994" t="s">
        <v>79</v>
      </c>
      <c r="J6994" t="str">
        <f>"2950090"</f>
        <v>2950090</v>
      </c>
      <c r="K6994">
        <v>2285032900</v>
      </c>
      <c r="L6994">
        <v>2285031324</v>
      </c>
      <c r="M6994" t="s">
        <v>36287</v>
      </c>
      <c r="N6994" t="s">
        <v>4806</v>
      </c>
      <c r="O6994" t="s">
        <v>36078</v>
      </c>
      <c r="P6994">
        <v>84302</v>
      </c>
      <c r="Q6994" t="str">
        <f>"37.057969"</f>
        <v>37.057969</v>
      </c>
      <c r="R6994" t="str">
        <f>"25.496105"</f>
        <v>25.496105</v>
      </c>
      <c r="S6994" t="s">
        <v>26</v>
      </c>
    </row>
    <row r="6995" spans="1:19" x14ac:dyDescent="0.3">
      <c r="A6995" t="s">
        <v>35638</v>
      </c>
      <c r="B6995" t="s">
        <v>36020</v>
      </c>
      <c r="C6995" t="s">
        <v>36310</v>
      </c>
      <c r="D6995" t="s">
        <v>35644</v>
      </c>
      <c r="E6995" t="s">
        <v>35645</v>
      </c>
      <c r="F6995" t="s">
        <v>35646</v>
      </c>
      <c r="G6995" t="s">
        <v>36128</v>
      </c>
      <c r="H6995" t="s">
        <v>78</v>
      </c>
      <c r="I6995" t="s">
        <v>132</v>
      </c>
      <c r="J6995" t="str">
        <f>"2950200"</f>
        <v>2950200</v>
      </c>
      <c r="K6995">
        <v>2281082602</v>
      </c>
      <c r="L6995">
        <v>2281088002</v>
      </c>
      <c r="M6995" t="s">
        <v>36311</v>
      </c>
      <c r="N6995" t="s">
        <v>35649</v>
      </c>
      <c r="O6995" t="s">
        <v>36150</v>
      </c>
      <c r="P6995">
        <v>84100</v>
      </c>
      <c r="Q6995" t="str">
        <f>"37.424257"</f>
        <v>37.424257</v>
      </c>
      <c r="R6995" t="str">
        <f>"24.937323"</f>
        <v>24.937323</v>
      </c>
      <c r="S6995" t="s">
        <v>26</v>
      </c>
    </row>
    <row r="6996" spans="1:19" x14ac:dyDescent="0.3">
      <c r="A6996" t="s">
        <v>35638</v>
      </c>
      <c r="B6996" t="s">
        <v>36020</v>
      </c>
      <c r="C6996" t="s">
        <v>36312</v>
      </c>
      <c r="D6996" t="s">
        <v>36021</v>
      </c>
      <c r="E6996" t="s">
        <v>36021</v>
      </c>
      <c r="F6996" t="s">
        <v>36021</v>
      </c>
      <c r="G6996" t="s">
        <v>36021</v>
      </c>
      <c r="H6996" t="s">
        <v>78</v>
      </c>
      <c r="I6996" t="s">
        <v>132</v>
      </c>
      <c r="J6996" t="str">
        <f>"2953001"</f>
        <v>2953001</v>
      </c>
      <c r="K6996">
        <v>2286083131</v>
      </c>
      <c r="L6996">
        <v>2286083131</v>
      </c>
      <c r="M6996" t="s">
        <v>36313</v>
      </c>
      <c r="N6996" t="s">
        <v>36314</v>
      </c>
      <c r="O6996" t="s">
        <v>1211</v>
      </c>
      <c r="P6996">
        <v>84701</v>
      </c>
      <c r="Q6996" t="str">
        <f>"36.386664"</f>
        <v>36.386664</v>
      </c>
      <c r="R6996" t="str">
        <f>"25.438256"</f>
        <v>25.438256</v>
      </c>
      <c r="S6996" t="s">
        <v>26</v>
      </c>
    </row>
    <row r="6997" spans="1:19" x14ac:dyDescent="0.3">
      <c r="A6997" t="s">
        <v>35638</v>
      </c>
      <c r="B6997" t="s">
        <v>36020</v>
      </c>
      <c r="C6997" t="s">
        <v>36325</v>
      </c>
      <c r="D6997" t="s">
        <v>4806</v>
      </c>
      <c r="E6997" t="s">
        <v>35664</v>
      </c>
      <c r="F6997" t="s">
        <v>36073</v>
      </c>
      <c r="G6997" t="s">
        <v>36074</v>
      </c>
      <c r="H6997" t="s">
        <v>78</v>
      </c>
      <c r="I6997" t="s">
        <v>132</v>
      </c>
      <c r="J6997" t="str">
        <f>"2942000"</f>
        <v>2942000</v>
      </c>
      <c r="M6997" t="s">
        <v>36326</v>
      </c>
      <c r="N6997" t="s">
        <v>36327</v>
      </c>
      <c r="O6997" t="s">
        <v>36328</v>
      </c>
      <c r="Q6997" t="str">
        <f>"37.057789"</f>
        <v>37.057789</v>
      </c>
      <c r="R6997" t="str">
        <f>"25.495729"</f>
        <v>25.495729</v>
      </c>
      <c r="S6997" t="s">
        <v>26</v>
      </c>
    </row>
    <row r="6998" spans="1:19" x14ac:dyDescent="0.3">
      <c r="A6998" t="s">
        <v>37529</v>
      </c>
      <c r="B6998" t="s">
        <v>37564</v>
      </c>
      <c r="C6998" t="s">
        <v>37580</v>
      </c>
      <c r="D6998" t="s">
        <v>37530</v>
      </c>
      <c r="E6998" t="s">
        <v>37572</v>
      </c>
      <c r="F6998" t="s">
        <v>37573</v>
      </c>
      <c r="G6998" t="s">
        <v>37573</v>
      </c>
      <c r="H6998" t="s">
        <v>78</v>
      </c>
      <c r="I6998" t="s">
        <v>79</v>
      </c>
      <c r="J6998" t="str">
        <f>"0240010"</f>
        <v>0240010</v>
      </c>
      <c r="K6998">
        <v>2751066186</v>
      </c>
      <c r="L6998">
        <v>2751066186</v>
      </c>
      <c r="M6998" t="s">
        <v>37581</v>
      </c>
      <c r="N6998" t="s">
        <v>37577</v>
      </c>
      <c r="O6998" t="s">
        <v>37582</v>
      </c>
      <c r="P6998">
        <v>21200</v>
      </c>
      <c r="Q6998" t="str">
        <f>"37.624363"</f>
        <v>37.624363</v>
      </c>
      <c r="R6998" t="str">
        <f>"22.748905"</f>
        <v>22.748905</v>
      </c>
      <c r="S6998" t="s">
        <v>26</v>
      </c>
    </row>
    <row r="6999" spans="1:19" x14ac:dyDescent="0.3">
      <c r="A6999" t="s">
        <v>37529</v>
      </c>
      <c r="B6999" t="s">
        <v>37564</v>
      </c>
      <c r="C6999" t="s">
        <v>37612</v>
      </c>
      <c r="D6999" t="s">
        <v>37530</v>
      </c>
      <c r="E6999" t="s">
        <v>37531</v>
      </c>
      <c r="F6999" t="s">
        <v>37532</v>
      </c>
      <c r="G6999" t="s">
        <v>37611</v>
      </c>
      <c r="H6999" t="s">
        <v>78</v>
      </c>
      <c r="I6999" t="s">
        <v>79</v>
      </c>
      <c r="J6999" t="str">
        <f>"0240030"</f>
        <v>0240030</v>
      </c>
      <c r="K6999">
        <v>2752021881</v>
      </c>
      <c r="L6999">
        <v>2752029485</v>
      </c>
      <c r="M6999" t="s">
        <v>37613</v>
      </c>
      <c r="N6999" t="s">
        <v>37594</v>
      </c>
      <c r="O6999" t="s">
        <v>37614</v>
      </c>
      <c r="P6999">
        <v>21100</v>
      </c>
      <c r="Q6999" t="str">
        <f>"37.571782"</f>
        <v>37.571782</v>
      </c>
      <c r="R6999" t="str">
        <f>"22.829737"</f>
        <v>22.829737</v>
      </c>
      <c r="S6999" t="s">
        <v>26</v>
      </c>
    </row>
    <row r="7000" spans="1:19" x14ac:dyDescent="0.3">
      <c r="A7000" t="s">
        <v>37529</v>
      </c>
      <c r="B7000" t="s">
        <v>37564</v>
      </c>
      <c r="C7000" t="s">
        <v>37626</v>
      </c>
      <c r="D7000" t="s">
        <v>37530</v>
      </c>
      <c r="E7000" t="s">
        <v>37565</v>
      </c>
      <c r="F7000" t="s">
        <v>37570</v>
      </c>
      <c r="G7000" t="s">
        <v>37570</v>
      </c>
      <c r="H7000" t="s">
        <v>78</v>
      </c>
      <c r="I7000" t="s">
        <v>79</v>
      </c>
      <c r="J7000" t="str">
        <f>"0240020"</f>
        <v>0240020</v>
      </c>
      <c r="K7000">
        <v>2754021286</v>
      </c>
      <c r="M7000" t="s">
        <v>37627</v>
      </c>
      <c r="N7000" t="s">
        <v>37628</v>
      </c>
      <c r="O7000" t="s">
        <v>15025</v>
      </c>
      <c r="P7000">
        <v>21300</v>
      </c>
      <c r="Q7000" t="str">
        <f>"37.373242"</f>
        <v>37.373242</v>
      </c>
      <c r="R7000" t="str">
        <f>"23.161937"</f>
        <v>23.161937</v>
      </c>
      <c r="S7000" t="s">
        <v>26</v>
      </c>
    </row>
    <row r="7001" spans="1:19" x14ac:dyDescent="0.3">
      <c r="A7001" t="s">
        <v>37529</v>
      </c>
      <c r="B7001" t="s">
        <v>37702</v>
      </c>
      <c r="C7001" t="s">
        <v>37719</v>
      </c>
      <c r="D7001" t="s">
        <v>37537</v>
      </c>
      <c r="E7001" t="s">
        <v>37717</v>
      </c>
      <c r="F7001" t="s">
        <v>37717</v>
      </c>
      <c r="G7001" t="s">
        <v>37718</v>
      </c>
      <c r="H7001" t="s">
        <v>78</v>
      </c>
      <c r="I7001" t="s">
        <v>79</v>
      </c>
      <c r="J7001" t="str">
        <f>"0340085"</f>
        <v>0340085</v>
      </c>
      <c r="K7001">
        <v>2791022685</v>
      </c>
      <c r="L7001">
        <v>2791022562</v>
      </c>
      <c r="M7001" t="s">
        <v>37720</v>
      </c>
      <c r="N7001" t="s">
        <v>37721</v>
      </c>
      <c r="O7001" t="s">
        <v>37722</v>
      </c>
      <c r="P7001">
        <v>22200</v>
      </c>
      <c r="Q7001" t="str">
        <f>"37.401700"</f>
        <v>37.401700</v>
      </c>
      <c r="R7001" t="str">
        <f>"22.142536"</f>
        <v>22.142536</v>
      </c>
      <c r="S7001" t="s">
        <v>26</v>
      </c>
    </row>
    <row r="7002" spans="1:19" x14ac:dyDescent="0.3">
      <c r="A7002" t="s">
        <v>37529</v>
      </c>
      <c r="B7002" t="s">
        <v>37702</v>
      </c>
      <c r="C7002" t="s">
        <v>37728</v>
      </c>
      <c r="D7002" t="s">
        <v>37537</v>
      </c>
      <c r="E7002" t="s">
        <v>37726</v>
      </c>
      <c r="F7002" t="s">
        <v>37726</v>
      </c>
      <c r="G7002" t="s">
        <v>37727</v>
      </c>
      <c r="H7002" t="s">
        <v>78</v>
      </c>
      <c r="I7002" t="s">
        <v>79</v>
      </c>
      <c r="J7002" t="str">
        <f>"0340070"</f>
        <v>0340070</v>
      </c>
      <c r="K7002">
        <v>2755022266</v>
      </c>
      <c r="L7002">
        <v>2755022266</v>
      </c>
      <c r="M7002" t="s">
        <v>37729</v>
      </c>
      <c r="N7002" t="s">
        <v>37730</v>
      </c>
      <c r="O7002" t="s">
        <v>37730</v>
      </c>
      <c r="P7002">
        <v>22001</v>
      </c>
      <c r="Q7002" t="str">
        <f>"37.410265"</f>
        <v>37.410265</v>
      </c>
      <c r="R7002" t="str">
        <f>"22.718534"</f>
        <v>22.718534</v>
      </c>
      <c r="S7002" t="s">
        <v>26</v>
      </c>
    </row>
    <row r="7003" spans="1:19" x14ac:dyDescent="0.3">
      <c r="A7003" t="s">
        <v>37529</v>
      </c>
      <c r="B7003" t="s">
        <v>37702</v>
      </c>
      <c r="C7003" t="s">
        <v>37755</v>
      </c>
      <c r="D7003" t="s">
        <v>37537</v>
      </c>
      <c r="E7003" t="s">
        <v>37753</v>
      </c>
      <c r="F7003" t="s">
        <v>37754</v>
      </c>
      <c r="G7003" t="s">
        <v>37754</v>
      </c>
      <c r="H7003" t="s">
        <v>78</v>
      </c>
      <c r="I7003" t="s">
        <v>79</v>
      </c>
      <c r="J7003" t="str">
        <f>"0340080"</f>
        <v>0340080</v>
      </c>
      <c r="K7003">
        <v>2757022321</v>
      </c>
      <c r="L7003">
        <v>2757022321</v>
      </c>
      <c r="M7003" t="s">
        <v>37756</v>
      </c>
      <c r="N7003" t="s">
        <v>37757</v>
      </c>
      <c r="O7003" t="s">
        <v>37758</v>
      </c>
      <c r="P7003">
        <v>22300</v>
      </c>
      <c r="Q7003" t="str">
        <f>"37.161963"</f>
        <v>37.161963</v>
      </c>
      <c r="R7003" t="str">
        <f>"22.861768"</f>
        <v>22.861768</v>
      </c>
      <c r="S7003" t="s">
        <v>26</v>
      </c>
    </row>
    <row r="7004" spans="1:19" x14ac:dyDescent="0.3">
      <c r="A7004" t="s">
        <v>37529</v>
      </c>
      <c r="B7004" t="s">
        <v>37702</v>
      </c>
      <c r="C7004" t="s">
        <v>37771</v>
      </c>
      <c r="D7004" t="s">
        <v>37537</v>
      </c>
      <c r="E7004" t="s">
        <v>37538</v>
      </c>
      <c r="F7004" t="s">
        <v>37538</v>
      </c>
      <c r="G7004" t="s">
        <v>37539</v>
      </c>
      <c r="H7004" t="s">
        <v>78</v>
      </c>
      <c r="I7004" t="s">
        <v>132</v>
      </c>
      <c r="J7004" t="str">
        <f>"0350075"</f>
        <v>0350075</v>
      </c>
      <c r="K7004">
        <v>2710221928</v>
      </c>
      <c r="L7004">
        <v>2710221928</v>
      </c>
      <c r="M7004" t="s">
        <v>37772</v>
      </c>
      <c r="N7004" t="s">
        <v>37542</v>
      </c>
      <c r="O7004" t="s">
        <v>37773</v>
      </c>
      <c r="P7004">
        <v>22100</v>
      </c>
      <c r="Q7004" t="str">
        <f>"37.499788"</f>
        <v>37.499788</v>
      </c>
      <c r="R7004" t="str">
        <f>"22.380868"</f>
        <v>22.380868</v>
      </c>
      <c r="S7004" t="s">
        <v>26</v>
      </c>
    </row>
    <row r="7005" spans="1:19" x14ac:dyDescent="0.3">
      <c r="A7005" t="s">
        <v>37529</v>
      </c>
      <c r="B7005" t="s">
        <v>37702</v>
      </c>
      <c r="C7005" t="s">
        <v>37796</v>
      </c>
      <c r="D7005" t="s">
        <v>37537</v>
      </c>
      <c r="E7005" t="s">
        <v>37538</v>
      </c>
      <c r="F7005" t="s">
        <v>37538</v>
      </c>
      <c r="G7005" t="s">
        <v>37539</v>
      </c>
      <c r="H7005" t="s">
        <v>78</v>
      </c>
      <c r="I7005" t="s">
        <v>79</v>
      </c>
      <c r="J7005" t="str">
        <f>"0340060"</f>
        <v>0340060</v>
      </c>
      <c r="K7005">
        <v>2710227893</v>
      </c>
      <c r="L7005">
        <v>2710231380</v>
      </c>
      <c r="M7005" t="s">
        <v>37797</v>
      </c>
      <c r="N7005" t="s">
        <v>37542</v>
      </c>
      <c r="O7005" t="s">
        <v>37773</v>
      </c>
      <c r="P7005">
        <v>22132</v>
      </c>
      <c r="Q7005" t="str">
        <f>"37.499922"</f>
        <v>37.499922</v>
      </c>
      <c r="R7005" t="str">
        <f>"22.381120"</f>
        <v>22.381120</v>
      </c>
      <c r="S7005" t="s">
        <v>26</v>
      </c>
    </row>
    <row r="7006" spans="1:19" x14ac:dyDescent="0.3">
      <c r="A7006" t="s">
        <v>37529</v>
      </c>
      <c r="B7006" t="s">
        <v>37702</v>
      </c>
      <c r="C7006" t="s">
        <v>37839</v>
      </c>
      <c r="D7006" t="s">
        <v>37537</v>
      </c>
      <c r="E7006" t="s">
        <v>37760</v>
      </c>
      <c r="F7006" t="s">
        <v>37837</v>
      </c>
      <c r="G7006" t="s">
        <v>37838</v>
      </c>
      <c r="H7006" t="s">
        <v>78</v>
      </c>
      <c r="I7006" t="s">
        <v>79</v>
      </c>
      <c r="J7006" t="str">
        <f>"0341000"</f>
        <v>0341000</v>
      </c>
      <c r="K7006">
        <v>2795081227</v>
      </c>
      <c r="L7006">
        <v>2795081227</v>
      </c>
      <c r="M7006" t="s">
        <v>37840</v>
      </c>
      <c r="N7006" t="s">
        <v>37841</v>
      </c>
      <c r="O7006" t="s">
        <v>37841</v>
      </c>
      <c r="P7006">
        <v>22007</v>
      </c>
      <c r="Q7006" t="str">
        <f>"37.554684"</f>
        <v>37.554684</v>
      </c>
      <c r="R7006" t="str">
        <f>"22.082189"</f>
        <v>22.082189</v>
      </c>
      <c r="S7006" t="s">
        <v>26</v>
      </c>
    </row>
    <row r="7007" spans="1:19" x14ac:dyDescent="0.3">
      <c r="A7007" t="s">
        <v>37529</v>
      </c>
      <c r="B7007" t="s">
        <v>37844</v>
      </c>
      <c r="C7007" t="s">
        <v>37870</v>
      </c>
      <c r="D7007" t="s">
        <v>37544</v>
      </c>
      <c r="E7007" t="s">
        <v>37869</v>
      </c>
      <c r="F7007" t="s">
        <v>37869</v>
      </c>
      <c r="G7007" t="s">
        <v>37869</v>
      </c>
      <c r="H7007" t="s">
        <v>78</v>
      </c>
      <c r="I7007" t="s">
        <v>79</v>
      </c>
      <c r="J7007" t="str">
        <f>"2840030"</f>
        <v>2840030</v>
      </c>
      <c r="K7007">
        <v>2746023284</v>
      </c>
      <c r="L7007">
        <v>2746023284</v>
      </c>
      <c r="M7007" t="s">
        <v>37871</v>
      </c>
      <c r="N7007" t="s">
        <v>37872</v>
      </c>
      <c r="O7007" t="s">
        <v>37873</v>
      </c>
      <c r="P7007">
        <v>20500</v>
      </c>
      <c r="Q7007" t="str">
        <f>"37.810803"</f>
        <v>37.810803</v>
      </c>
      <c r="R7007" t="str">
        <f>"22.657833"</f>
        <v>22.657833</v>
      </c>
      <c r="S7007" t="s">
        <v>26</v>
      </c>
    </row>
    <row r="7008" spans="1:19" x14ac:dyDescent="0.3">
      <c r="A7008" t="s">
        <v>37529</v>
      </c>
      <c r="B7008" t="s">
        <v>37844</v>
      </c>
      <c r="C7008" t="s">
        <v>37877</v>
      </c>
      <c r="D7008" t="s">
        <v>37544</v>
      </c>
      <c r="E7008" t="s">
        <v>37875</v>
      </c>
      <c r="F7008" t="s">
        <v>37876</v>
      </c>
      <c r="G7008" t="s">
        <v>37876</v>
      </c>
      <c r="H7008" t="s">
        <v>78</v>
      </c>
      <c r="I7008" t="s">
        <v>79</v>
      </c>
      <c r="J7008" t="str">
        <f>"2840075"</f>
        <v>2840075</v>
      </c>
      <c r="K7008">
        <v>2743026286</v>
      </c>
      <c r="L7008">
        <v>2743029081</v>
      </c>
      <c r="M7008" t="s">
        <v>37878</v>
      </c>
      <c r="N7008" t="s">
        <v>37879</v>
      </c>
      <c r="O7008" t="s">
        <v>37880</v>
      </c>
      <c r="P7008">
        <v>20400</v>
      </c>
      <c r="Q7008" t="str">
        <f>"38.076681"</f>
        <v>38.076681</v>
      </c>
      <c r="R7008" t="str">
        <f>"22.622280"</f>
        <v>22.622280</v>
      </c>
      <c r="S7008" t="s">
        <v>26</v>
      </c>
    </row>
    <row r="7009" spans="1:19" x14ac:dyDescent="0.3">
      <c r="A7009" t="s">
        <v>37529</v>
      </c>
      <c r="B7009" t="s">
        <v>37844</v>
      </c>
      <c r="C7009" t="s">
        <v>37910</v>
      </c>
      <c r="D7009" t="s">
        <v>37544</v>
      </c>
      <c r="E7009" t="s">
        <v>37545</v>
      </c>
      <c r="F7009" t="s">
        <v>37545</v>
      </c>
      <c r="G7009" t="s">
        <v>37546</v>
      </c>
      <c r="H7009" t="s">
        <v>78</v>
      </c>
      <c r="I7009" t="s">
        <v>132</v>
      </c>
      <c r="J7009" t="str">
        <f>"2840055"</f>
        <v>2840055</v>
      </c>
      <c r="K7009">
        <v>2741085420</v>
      </c>
      <c r="L7009">
        <v>2741085420</v>
      </c>
      <c r="M7009" t="s">
        <v>37911</v>
      </c>
      <c r="N7009" t="s">
        <v>37855</v>
      </c>
      <c r="O7009" t="s">
        <v>37909</v>
      </c>
      <c r="P7009">
        <v>20100</v>
      </c>
      <c r="Q7009" t="str">
        <f>"37.933263"</f>
        <v>37.933263</v>
      </c>
      <c r="R7009" t="str">
        <f>"22.928586"</f>
        <v>22.928586</v>
      </c>
      <c r="S7009" t="s">
        <v>26</v>
      </c>
    </row>
    <row r="7010" spans="1:19" x14ac:dyDescent="0.3">
      <c r="A7010" t="s">
        <v>37529</v>
      </c>
      <c r="B7010" t="s">
        <v>37844</v>
      </c>
      <c r="C7010" t="s">
        <v>37924</v>
      </c>
      <c r="D7010" t="s">
        <v>37544</v>
      </c>
      <c r="E7010" t="s">
        <v>37922</v>
      </c>
      <c r="F7010" t="s">
        <v>37922</v>
      </c>
      <c r="G7010" t="s">
        <v>37923</v>
      </c>
      <c r="H7010" t="s">
        <v>78</v>
      </c>
      <c r="I7010" t="s">
        <v>79</v>
      </c>
      <c r="J7010" t="str">
        <f>"2840070"</f>
        <v>2840070</v>
      </c>
      <c r="K7010">
        <v>2742023719</v>
      </c>
      <c r="L7010">
        <v>2742020064</v>
      </c>
      <c r="M7010" t="s">
        <v>37925</v>
      </c>
      <c r="N7010" t="s">
        <v>37926</v>
      </c>
      <c r="O7010" t="s">
        <v>37927</v>
      </c>
      <c r="P7010">
        <v>20200</v>
      </c>
      <c r="Q7010" t="str">
        <f>"38.012811"</f>
        <v>38.012811</v>
      </c>
      <c r="R7010" t="str">
        <f>"22.739148"</f>
        <v>22.739148</v>
      </c>
      <c r="S7010" t="s">
        <v>26</v>
      </c>
    </row>
    <row r="7011" spans="1:19" x14ac:dyDescent="0.3">
      <c r="A7011" t="s">
        <v>37529</v>
      </c>
      <c r="B7011" t="s">
        <v>37844</v>
      </c>
      <c r="C7011" t="s">
        <v>38003</v>
      </c>
      <c r="D7011" t="s">
        <v>37544</v>
      </c>
      <c r="E7011" t="s">
        <v>37545</v>
      </c>
      <c r="F7011" t="s">
        <v>37545</v>
      </c>
      <c r="G7011" t="s">
        <v>37546</v>
      </c>
      <c r="H7011" t="s">
        <v>78</v>
      </c>
      <c r="I7011" t="s">
        <v>79</v>
      </c>
      <c r="J7011" t="str">
        <f>"2840020"</f>
        <v>2840020</v>
      </c>
      <c r="K7011">
        <v>2741083808</v>
      </c>
      <c r="L7011">
        <v>2741020406</v>
      </c>
      <c r="M7011" t="s">
        <v>38004</v>
      </c>
      <c r="N7011" t="s">
        <v>37546</v>
      </c>
      <c r="O7011" t="s">
        <v>38005</v>
      </c>
      <c r="P7011">
        <v>20100</v>
      </c>
      <c r="Q7011" t="str">
        <f>"37.940028"</f>
        <v>37.940028</v>
      </c>
      <c r="R7011" t="str">
        <f>"22.928041"</f>
        <v>22.928041</v>
      </c>
      <c r="S7011" t="s">
        <v>26</v>
      </c>
    </row>
    <row r="7012" spans="1:19" x14ac:dyDescent="0.3">
      <c r="A7012" t="s">
        <v>37529</v>
      </c>
      <c r="B7012" t="s">
        <v>37844</v>
      </c>
      <c r="C7012" t="s">
        <v>38046</v>
      </c>
      <c r="D7012" t="s">
        <v>37544</v>
      </c>
      <c r="E7012" t="s">
        <v>37845</v>
      </c>
      <c r="F7012" t="s">
        <v>37846</v>
      </c>
      <c r="G7012" t="s">
        <v>37953</v>
      </c>
      <c r="H7012" t="s">
        <v>78</v>
      </c>
      <c r="I7012" t="s">
        <v>79</v>
      </c>
      <c r="J7012" t="str">
        <f>"2840040"</f>
        <v>2840040</v>
      </c>
      <c r="K7012">
        <v>2741085408</v>
      </c>
      <c r="L7012">
        <v>2741085408</v>
      </c>
      <c r="M7012" t="s">
        <v>38047</v>
      </c>
      <c r="N7012" t="s">
        <v>30857</v>
      </c>
      <c r="O7012" t="s">
        <v>38048</v>
      </c>
      <c r="P7012">
        <v>20100</v>
      </c>
      <c r="Q7012" t="str">
        <f>"37.921285"</f>
        <v>37.921285</v>
      </c>
      <c r="R7012" t="str">
        <f>"22.976411"</f>
        <v>22.976411</v>
      </c>
      <c r="S7012" t="s">
        <v>26</v>
      </c>
    </row>
    <row r="7013" spans="1:19" x14ac:dyDescent="0.3">
      <c r="A7013" t="s">
        <v>37529</v>
      </c>
      <c r="B7013" t="s">
        <v>37844</v>
      </c>
      <c r="C7013" t="s">
        <v>38056</v>
      </c>
      <c r="D7013" t="s">
        <v>37544</v>
      </c>
      <c r="E7013" t="s">
        <v>37845</v>
      </c>
      <c r="F7013" t="s">
        <v>37846</v>
      </c>
      <c r="G7013" t="s">
        <v>37953</v>
      </c>
      <c r="H7013" t="s">
        <v>78</v>
      </c>
      <c r="I7013" t="s">
        <v>79</v>
      </c>
      <c r="J7013" t="str">
        <f>"2840050"</f>
        <v>2840050</v>
      </c>
      <c r="K7013">
        <v>2741080711</v>
      </c>
      <c r="L7013">
        <v>2741028103</v>
      </c>
      <c r="M7013" t="s">
        <v>38057</v>
      </c>
      <c r="N7013" t="s">
        <v>30857</v>
      </c>
      <c r="O7013" t="s">
        <v>38058</v>
      </c>
      <c r="P7013">
        <v>20100</v>
      </c>
      <c r="Q7013" t="str">
        <f>"37.920549"</f>
        <v>37.920549</v>
      </c>
      <c r="R7013" t="str">
        <f>"22.976878"</f>
        <v>22.976878</v>
      </c>
      <c r="S7013" t="s">
        <v>26</v>
      </c>
    </row>
    <row r="7014" spans="1:19" x14ac:dyDescent="0.3">
      <c r="A7014" t="s">
        <v>37529</v>
      </c>
      <c r="B7014" t="s">
        <v>38077</v>
      </c>
      <c r="C7014" t="s">
        <v>38092</v>
      </c>
      <c r="D7014" t="s">
        <v>37551</v>
      </c>
      <c r="E7014" t="s">
        <v>38089</v>
      </c>
      <c r="F7014" t="s">
        <v>38090</v>
      </c>
      <c r="G7014" t="s">
        <v>38091</v>
      </c>
      <c r="H7014" t="s">
        <v>78</v>
      </c>
      <c r="I7014" t="s">
        <v>79</v>
      </c>
      <c r="J7014" t="str">
        <f>"3040065"</f>
        <v>3040065</v>
      </c>
      <c r="K7014">
        <v>2733091170</v>
      </c>
      <c r="L7014">
        <v>2733091170</v>
      </c>
      <c r="M7014" t="s">
        <v>38093</v>
      </c>
      <c r="N7014" t="s">
        <v>38094</v>
      </c>
      <c r="O7014" t="s">
        <v>38095</v>
      </c>
      <c r="P7014">
        <v>23200</v>
      </c>
      <c r="Q7014" t="str">
        <f>"36.796369"</f>
        <v>36.796369</v>
      </c>
      <c r="R7014" t="str">
        <f>"22.512264"</f>
        <v>22.512264</v>
      </c>
      <c r="S7014" t="s">
        <v>26</v>
      </c>
    </row>
    <row r="7015" spans="1:19" x14ac:dyDescent="0.3">
      <c r="A7015" t="s">
        <v>37529</v>
      </c>
      <c r="B7015" t="s">
        <v>38077</v>
      </c>
      <c r="C7015" t="s">
        <v>38104</v>
      </c>
      <c r="D7015" t="s">
        <v>37551</v>
      </c>
      <c r="E7015" t="s">
        <v>38078</v>
      </c>
      <c r="F7015" t="s">
        <v>38103</v>
      </c>
      <c r="G7015" t="s">
        <v>25890</v>
      </c>
      <c r="H7015" t="s">
        <v>78</v>
      </c>
      <c r="I7015" t="s">
        <v>79</v>
      </c>
      <c r="J7015" t="str">
        <f>"3040070"</f>
        <v>3040070</v>
      </c>
      <c r="K7015">
        <v>2734023553</v>
      </c>
      <c r="L7015">
        <v>2734023555</v>
      </c>
      <c r="M7015" t="s">
        <v>38105</v>
      </c>
      <c r="N7015" t="s">
        <v>38106</v>
      </c>
      <c r="O7015" t="s">
        <v>38107</v>
      </c>
      <c r="P7015">
        <v>23053</v>
      </c>
      <c r="Q7015" t="str">
        <f>"36.520776"</f>
        <v>36.520776</v>
      </c>
      <c r="R7015" t="str">
        <f>"23.053935"</f>
        <v>23.053935</v>
      </c>
      <c r="S7015" t="s">
        <v>26</v>
      </c>
    </row>
    <row r="7016" spans="1:19" x14ac:dyDescent="0.3">
      <c r="A7016" t="s">
        <v>37529</v>
      </c>
      <c r="B7016" t="s">
        <v>38077</v>
      </c>
      <c r="C7016" t="s">
        <v>38117</v>
      </c>
      <c r="D7016" t="s">
        <v>37551</v>
      </c>
      <c r="E7016" t="s">
        <v>38078</v>
      </c>
      <c r="F7016" t="s">
        <v>38116</v>
      </c>
      <c r="G7016" t="s">
        <v>38116</v>
      </c>
      <c r="H7016" t="s">
        <v>78</v>
      </c>
      <c r="I7016" t="s">
        <v>79</v>
      </c>
      <c r="J7016" t="str">
        <f>"3040055"</f>
        <v>3040055</v>
      </c>
      <c r="K7016">
        <v>2732023760</v>
      </c>
      <c r="L7016">
        <v>2732023459</v>
      </c>
      <c r="M7016" t="s">
        <v>38118</v>
      </c>
      <c r="N7016" t="s">
        <v>38119</v>
      </c>
      <c r="O7016" t="s">
        <v>38120</v>
      </c>
      <c r="P7016">
        <v>23052</v>
      </c>
      <c r="Q7016" t="str">
        <f>"36.803192"</f>
        <v>36.803192</v>
      </c>
      <c r="R7016" t="str">
        <f>"22.861948"</f>
        <v>22.861948</v>
      </c>
      <c r="S7016" t="s">
        <v>26</v>
      </c>
    </row>
    <row r="7017" spans="1:19" x14ac:dyDescent="0.3">
      <c r="A7017" t="s">
        <v>37529</v>
      </c>
      <c r="B7017" t="s">
        <v>38077</v>
      </c>
      <c r="C7017" t="s">
        <v>38126</v>
      </c>
      <c r="D7017" t="s">
        <v>37551</v>
      </c>
      <c r="E7017" t="s">
        <v>37552</v>
      </c>
      <c r="F7017" t="s">
        <v>37553</v>
      </c>
      <c r="G7017" t="s">
        <v>37552</v>
      </c>
      <c r="H7017" t="s">
        <v>78</v>
      </c>
      <c r="I7017" t="s">
        <v>79</v>
      </c>
      <c r="J7017" t="str">
        <f>"3040050"</f>
        <v>3040050</v>
      </c>
      <c r="K7017">
        <v>2731024797</v>
      </c>
      <c r="L7017">
        <v>2731083039</v>
      </c>
      <c r="M7017" t="s">
        <v>38127</v>
      </c>
      <c r="N7017" t="s">
        <v>37556</v>
      </c>
      <c r="O7017" t="s">
        <v>38128</v>
      </c>
      <c r="P7017">
        <v>23100</v>
      </c>
      <c r="Q7017" t="str">
        <f>"37.066064"</f>
        <v>37.066064</v>
      </c>
      <c r="R7017" t="str">
        <f>"22.431890"</f>
        <v>22.431890</v>
      </c>
      <c r="S7017" t="s">
        <v>26</v>
      </c>
    </row>
    <row r="7018" spans="1:19" x14ac:dyDescent="0.3">
      <c r="A7018" t="s">
        <v>37529</v>
      </c>
      <c r="B7018" t="s">
        <v>38077</v>
      </c>
      <c r="C7018" t="s">
        <v>38245</v>
      </c>
      <c r="D7018" t="s">
        <v>37551</v>
      </c>
      <c r="E7018" t="s">
        <v>37552</v>
      </c>
      <c r="F7018" t="s">
        <v>37553</v>
      </c>
      <c r="G7018" t="s">
        <v>37552</v>
      </c>
      <c r="H7018" t="s">
        <v>78</v>
      </c>
      <c r="I7018" t="s">
        <v>132</v>
      </c>
      <c r="J7018" t="str">
        <f>"3053001"</f>
        <v>3053001</v>
      </c>
      <c r="K7018">
        <v>2731026679</v>
      </c>
      <c r="L7018">
        <v>2731026679</v>
      </c>
      <c r="M7018" t="s">
        <v>38246</v>
      </c>
      <c r="N7018" t="s">
        <v>37556</v>
      </c>
      <c r="O7018" t="s">
        <v>38128</v>
      </c>
      <c r="P7018">
        <v>23100</v>
      </c>
      <c r="Q7018" t="str">
        <f>"37.085729"</f>
        <v>37.085729</v>
      </c>
      <c r="R7018" t="str">
        <f>"22.407119"</f>
        <v>22.407119</v>
      </c>
      <c r="S7018" t="s">
        <v>26</v>
      </c>
    </row>
    <row r="7019" spans="1:19" x14ac:dyDescent="0.3">
      <c r="A7019" t="s">
        <v>37529</v>
      </c>
      <c r="B7019" t="s">
        <v>38247</v>
      </c>
      <c r="C7019" t="s">
        <v>38301</v>
      </c>
      <c r="D7019" t="s">
        <v>37558</v>
      </c>
      <c r="E7019" t="s">
        <v>37559</v>
      </c>
      <c r="F7019" t="s">
        <v>37559</v>
      </c>
      <c r="G7019" t="s">
        <v>37559</v>
      </c>
      <c r="H7019" t="s">
        <v>78</v>
      </c>
      <c r="I7019" t="s">
        <v>79</v>
      </c>
      <c r="J7019" t="str">
        <f>"3640050"</f>
        <v>3640050</v>
      </c>
      <c r="K7019">
        <v>2721021517</v>
      </c>
      <c r="L7019">
        <v>2721021517</v>
      </c>
      <c r="M7019" t="s">
        <v>38302</v>
      </c>
      <c r="N7019" t="s">
        <v>37562</v>
      </c>
      <c r="O7019" t="s">
        <v>38303</v>
      </c>
      <c r="P7019">
        <v>24100</v>
      </c>
      <c r="Q7019" t="str">
        <f>"37.027911"</f>
        <v>37.027911</v>
      </c>
      <c r="R7019" t="str">
        <f>"22.117896"</f>
        <v>22.117896</v>
      </c>
      <c r="S7019" t="s">
        <v>26</v>
      </c>
    </row>
    <row r="7020" spans="1:19" x14ac:dyDescent="0.3">
      <c r="A7020" t="s">
        <v>37529</v>
      </c>
      <c r="B7020" t="s">
        <v>38247</v>
      </c>
      <c r="C7020" t="s">
        <v>38309</v>
      </c>
      <c r="D7020" t="s">
        <v>37558</v>
      </c>
      <c r="E7020" t="s">
        <v>38260</v>
      </c>
      <c r="F7020" t="s">
        <v>38260</v>
      </c>
      <c r="G7020" t="s">
        <v>38260</v>
      </c>
      <c r="H7020" t="s">
        <v>78</v>
      </c>
      <c r="I7020" t="s">
        <v>79</v>
      </c>
      <c r="J7020" t="str">
        <f>"3640054"</f>
        <v>3640054</v>
      </c>
      <c r="K7020">
        <v>2722023151</v>
      </c>
      <c r="L7020">
        <v>2722023147</v>
      </c>
      <c r="M7020" t="s">
        <v>38310</v>
      </c>
      <c r="N7020" t="s">
        <v>38311</v>
      </c>
      <c r="O7020" t="s">
        <v>38278</v>
      </c>
      <c r="P7020">
        <v>24200</v>
      </c>
      <c r="Q7020" t="str">
        <f>"37.051194"</f>
        <v>37.051194</v>
      </c>
      <c r="R7020" t="str">
        <f>"22.004156"</f>
        <v>22.004156</v>
      </c>
      <c r="S7020" t="s">
        <v>26</v>
      </c>
    </row>
    <row r="7021" spans="1:19" x14ac:dyDescent="0.3">
      <c r="A7021" t="s">
        <v>37529</v>
      </c>
      <c r="B7021" t="s">
        <v>38247</v>
      </c>
      <c r="C7021" t="s">
        <v>38314</v>
      </c>
      <c r="D7021" t="s">
        <v>37558</v>
      </c>
      <c r="E7021" t="s">
        <v>38286</v>
      </c>
      <c r="F7021" t="s">
        <v>38313</v>
      </c>
      <c r="G7021" t="s">
        <v>38313</v>
      </c>
      <c r="H7021" t="s">
        <v>78</v>
      </c>
      <c r="I7021" t="s">
        <v>79</v>
      </c>
      <c r="J7021" t="str">
        <f>"3640070"</f>
        <v>3640070</v>
      </c>
      <c r="K7021">
        <v>2761022747</v>
      </c>
      <c r="L7021">
        <v>2761022048</v>
      </c>
      <c r="M7021" t="s">
        <v>38315</v>
      </c>
      <c r="N7021" t="s">
        <v>38316</v>
      </c>
      <c r="O7021" t="s">
        <v>38317</v>
      </c>
      <c r="P7021">
        <v>24500</v>
      </c>
      <c r="Q7021" t="str">
        <f>"37.247448"</f>
        <v>37.247448</v>
      </c>
      <c r="R7021" t="str">
        <f>"21.669240"</f>
        <v>21.669240</v>
      </c>
      <c r="S7021" t="s">
        <v>26</v>
      </c>
    </row>
    <row r="7022" spans="1:19" x14ac:dyDescent="0.3">
      <c r="A7022" t="s">
        <v>37529</v>
      </c>
      <c r="B7022" t="s">
        <v>38247</v>
      </c>
      <c r="C7022" t="s">
        <v>38327</v>
      </c>
      <c r="D7022" t="s">
        <v>37558</v>
      </c>
      <c r="E7022" t="s">
        <v>37559</v>
      </c>
      <c r="F7022" t="s">
        <v>37559</v>
      </c>
      <c r="G7022" t="s">
        <v>37559</v>
      </c>
      <c r="H7022" t="s">
        <v>78</v>
      </c>
      <c r="I7022" t="s">
        <v>79</v>
      </c>
      <c r="J7022" t="str">
        <f>"3640051"</f>
        <v>3640051</v>
      </c>
      <c r="K7022">
        <v>2721083084</v>
      </c>
      <c r="L7022">
        <v>2721083084</v>
      </c>
      <c r="M7022" t="s">
        <v>38328</v>
      </c>
      <c r="N7022" t="s">
        <v>37562</v>
      </c>
      <c r="O7022" t="s">
        <v>38303</v>
      </c>
      <c r="P7022">
        <v>24100</v>
      </c>
      <c r="Q7022" t="str">
        <f>"37.027954"</f>
        <v>37.027954</v>
      </c>
      <c r="R7022" t="str">
        <f>"22.117649"</f>
        <v>22.117649</v>
      </c>
      <c r="S7022" t="s">
        <v>26</v>
      </c>
    </row>
    <row r="7023" spans="1:19" x14ac:dyDescent="0.3">
      <c r="A7023" t="s">
        <v>37529</v>
      </c>
      <c r="B7023" t="s">
        <v>38247</v>
      </c>
      <c r="C7023" t="s">
        <v>38480</v>
      </c>
      <c r="D7023" t="s">
        <v>37558</v>
      </c>
      <c r="E7023" t="s">
        <v>37559</v>
      </c>
      <c r="F7023" t="s">
        <v>37559</v>
      </c>
      <c r="G7023" t="s">
        <v>37559</v>
      </c>
      <c r="H7023" t="s">
        <v>78</v>
      </c>
      <c r="I7023" t="s">
        <v>79</v>
      </c>
      <c r="J7023" t="str">
        <f>"3640053"</f>
        <v>3640053</v>
      </c>
      <c r="K7023">
        <v>2721095561</v>
      </c>
      <c r="L7023">
        <v>2721095526</v>
      </c>
      <c r="M7023" t="s">
        <v>38481</v>
      </c>
      <c r="N7023" t="s">
        <v>37559</v>
      </c>
      <c r="O7023" t="s">
        <v>38388</v>
      </c>
      <c r="P7023">
        <v>24100</v>
      </c>
      <c r="Q7023" t="str">
        <f>"37.042029"</f>
        <v>37.042029</v>
      </c>
      <c r="R7023" t="str">
        <f>"22.094217"</f>
        <v>22.094217</v>
      </c>
      <c r="S7023" t="s">
        <v>26</v>
      </c>
    </row>
    <row r="7024" spans="1:19" x14ac:dyDescent="0.3">
      <c r="A7024" t="s">
        <v>37529</v>
      </c>
      <c r="B7024" t="s">
        <v>38247</v>
      </c>
      <c r="C7024" t="s">
        <v>38504</v>
      </c>
      <c r="D7024" t="s">
        <v>37558</v>
      </c>
      <c r="E7024" t="s">
        <v>37559</v>
      </c>
      <c r="F7024" t="s">
        <v>37559</v>
      </c>
      <c r="G7024" t="s">
        <v>37559</v>
      </c>
      <c r="H7024" t="s">
        <v>78</v>
      </c>
      <c r="I7024" t="s">
        <v>132</v>
      </c>
      <c r="J7024" t="str">
        <f>"3653001"</f>
        <v>3653001</v>
      </c>
      <c r="K7024">
        <v>2721025807</v>
      </c>
      <c r="L7024">
        <v>2721025807</v>
      </c>
      <c r="M7024" t="s">
        <v>38505</v>
      </c>
      <c r="N7024" t="s">
        <v>38391</v>
      </c>
      <c r="O7024" t="s">
        <v>38312</v>
      </c>
      <c r="P7024">
        <v>24100</v>
      </c>
      <c r="Q7024" t="str">
        <f>"37.027440"</f>
        <v>37.027440</v>
      </c>
      <c r="R7024" t="str">
        <f>"22.117831"</f>
        <v>22.117831</v>
      </c>
      <c r="S7024" t="s">
        <v>26</v>
      </c>
    </row>
    <row r="7025" spans="1:19" x14ac:dyDescent="0.3">
      <c r="A7025" t="s">
        <v>40240</v>
      </c>
      <c r="B7025" t="s">
        <v>40273</v>
      </c>
      <c r="C7025" t="s">
        <v>40316</v>
      </c>
      <c r="D7025" t="s">
        <v>40241</v>
      </c>
      <c r="E7025" t="s">
        <v>40242</v>
      </c>
      <c r="F7025" t="s">
        <v>40242</v>
      </c>
      <c r="G7025" t="s">
        <v>40242</v>
      </c>
      <c r="H7025" t="s">
        <v>78</v>
      </c>
      <c r="I7025" t="s">
        <v>79</v>
      </c>
      <c r="J7025" t="str">
        <f>"0740060"</f>
        <v>0740060</v>
      </c>
      <c r="K7025">
        <v>2261028923</v>
      </c>
      <c r="L7025">
        <v>2261028298</v>
      </c>
      <c r="M7025" t="s">
        <v>40317</v>
      </c>
      <c r="N7025" t="s">
        <v>40281</v>
      </c>
      <c r="O7025" t="s">
        <v>40318</v>
      </c>
      <c r="P7025">
        <v>32131</v>
      </c>
      <c r="Q7025" t="str">
        <f>"38.440428"</f>
        <v>38.440428</v>
      </c>
      <c r="R7025" t="str">
        <f>"22.868940"</f>
        <v>22.868940</v>
      </c>
      <c r="S7025" t="s">
        <v>26</v>
      </c>
    </row>
    <row r="7026" spans="1:19" x14ac:dyDescent="0.3">
      <c r="A7026" t="s">
        <v>40240</v>
      </c>
      <c r="B7026" t="s">
        <v>40273</v>
      </c>
      <c r="C7026" t="s">
        <v>40319</v>
      </c>
      <c r="D7026" t="s">
        <v>40241</v>
      </c>
      <c r="E7026" t="s">
        <v>40303</v>
      </c>
      <c r="F7026" t="s">
        <v>40303</v>
      </c>
      <c r="G7026" t="s">
        <v>40303</v>
      </c>
      <c r="H7026" t="s">
        <v>78</v>
      </c>
      <c r="I7026" t="s">
        <v>79</v>
      </c>
      <c r="J7026" t="str">
        <f>"0740100"</f>
        <v>0740100</v>
      </c>
      <c r="K7026">
        <v>2262027893</v>
      </c>
      <c r="L7026">
        <v>2262027893</v>
      </c>
      <c r="M7026" t="s">
        <v>40320</v>
      </c>
      <c r="N7026" t="s">
        <v>40306</v>
      </c>
      <c r="O7026" t="s">
        <v>40321</v>
      </c>
      <c r="P7026">
        <v>32200</v>
      </c>
      <c r="Q7026" t="str">
        <f>"38.329778"</f>
        <v>38.329778</v>
      </c>
      <c r="R7026" t="str">
        <f>"23.336051"</f>
        <v>23.336051</v>
      </c>
      <c r="S7026" t="s">
        <v>26</v>
      </c>
    </row>
    <row r="7027" spans="1:19" x14ac:dyDescent="0.3">
      <c r="A7027" t="s">
        <v>40240</v>
      </c>
      <c r="B7027" t="s">
        <v>40273</v>
      </c>
      <c r="C7027" t="s">
        <v>40323</v>
      </c>
      <c r="D7027" t="s">
        <v>40241</v>
      </c>
      <c r="E7027" t="s">
        <v>40289</v>
      </c>
      <c r="F7027" t="s">
        <v>40297</v>
      </c>
      <c r="G7027" t="s">
        <v>40297</v>
      </c>
      <c r="H7027" t="s">
        <v>78</v>
      </c>
      <c r="I7027" t="s">
        <v>79</v>
      </c>
      <c r="J7027" t="str">
        <f>"0740105"</f>
        <v>0740105</v>
      </c>
      <c r="K7027">
        <v>2262058569</v>
      </c>
      <c r="L7027">
        <v>2262058569</v>
      </c>
      <c r="M7027" t="s">
        <v>40324</v>
      </c>
      <c r="N7027" t="s">
        <v>40325</v>
      </c>
      <c r="O7027" t="s">
        <v>40326</v>
      </c>
      <c r="P7027">
        <v>32009</v>
      </c>
      <c r="Q7027" t="str">
        <f>"38.351929"</f>
        <v>38.351929</v>
      </c>
      <c r="R7027" t="str">
        <f>"23.573395"</f>
        <v>23.573395</v>
      </c>
      <c r="S7027" t="s">
        <v>26</v>
      </c>
    </row>
    <row r="7028" spans="1:19" x14ac:dyDescent="0.3">
      <c r="A7028" t="s">
        <v>40240</v>
      </c>
      <c r="B7028" t="s">
        <v>40273</v>
      </c>
      <c r="C7028" t="s">
        <v>40411</v>
      </c>
      <c r="D7028" t="s">
        <v>40241</v>
      </c>
      <c r="E7028" t="s">
        <v>40332</v>
      </c>
      <c r="F7028" t="s">
        <v>40333</v>
      </c>
      <c r="G7028" t="s">
        <v>40333</v>
      </c>
      <c r="H7028" t="s">
        <v>78</v>
      </c>
      <c r="I7028" t="s">
        <v>132</v>
      </c>
      <c r="J7028" t="str">
        <f>"0740110"</f>
        <v>0740110</v>
      </c>
      <c r="K7028">
        <v>2268029160</v>
      </c>
      <c r="L7028">
        <v>2268029161</v>
      </c>
      <c r="M7028" t="s">
        <v>40412</v>
      </c>
      <c r="N7028" t="s">
        <v>40336</v>
      </c>
      <c r="O7028" t="s">
        <v>40413</v>
      </c>
      <c r="P7028">
        <v>32001</v>
      </c>
      <c r="Q7028" t="str">
        <f>"38.374377"</f>
        <v>38.374377</v>
      </c>
      <c r="R7028" t="str">
        <f>"23.105424"</f>
        <v>23.105424</v>
      </c>
      <c r="S7028" t="s">
        <v>26</v>
      </c>
    </row>
    <row r="7029" spans="1:19" x14ac:dyDescent="0.3">
      <c r="A7029" t="s">
        <v>40240</v>
      </c>
      <c r="B7029" t="s">
        <v>40273</v>
      </c>
      <c r="C7029" t="s">
        <v>40500</v>
      </c>
      <c r="D7029" t="s">
        <v>40241</v>
      </c>
      <c r="E7029" t="s">
        <v>40242</v>
      </c>
      <c r="F7029" t="s">
        <v>40242</v>
      </c>
      <c r="G7029" t="s">
        <v>40242</v>
      </c>
      <c r="H7029" t="s">
        <v>78</v>
      </c>
      <c r="I7029" t="s">
        <v>132</v>
      </c>
      <c r="J7029" t="str">
        <f>"0753001"</f>
        <v>0753001</v>
      </c>
      <c r="K7029">
        <v>2261028290</v>
      </c>
      <c r="L7029">
        <v>2261028290</v>
      </c>
      <c r="M7029" t="s">
        <v>40501</v>
      </c>
      <c r="N7029" t="s">
        <v>40281</v>
      </c>
      <c r="O7029" t="s">
        <v>40318</v>
      </c>
      <c r="P7029">
        <v>32131</v>
      </c>
      <c r="Q7029" t="str">
        <f>"38.440378"</f>
        <v>38.440378</v>
      </c>
      <c r="R7029" t="str">
        <f>"22.869119"</f>
        <v>22.869119</v>
      </c>
      <c r="S7029" t="s">
        <v>26</v>
      </c>
    </row>
    <row r="7030" spans="1:19" x14ac:dyDescent="0.3">
      <c r="A7030" t="s">
        <v>40240</v>
      </c>
      <c r="B7030" t="s">
        <v>40505</v>
      </c>
      <c r="C7030" t="s">
        <v>40549</v>
      </c>
      <c r="D7030" t="s">
        <v>40247</v>
      </c>
      <c r="E7030" t="s">
        <v>40506</v>
      </c>
      <c r="F7030" t="s">
        <v>40506</v>
      </c>
      <c r="G7030" t="s">
        <v>40506</v>
      </c>
      <c r="H7030" t="s">
        <v>78</v>
      </c>
      <c r="I7030" t="s">
        <v>79</v>
      </c>
      <c r="J7030" t="str">
        <f>"1240052"</f>
        <v>1240052</v>
      </c>
      <c r="K7030">
        <v>2224023240</v>
      </c>
      <c r="L7030">
        <v>2224023240</v>
      </c>
      <c r="M7030" t="s">
        <v>40550</v>
      </c>
      <c r="N7030" t="s">
        <v>40551</v>
      </c>
      <c r="O7030" t="s">
        <v>40552</v>
      </c>
      <c r="P7030">
        <v>34001</v>
      </c>
      <c r="Q7030" t="str">
        <f>"38.020688"</f>
        <v>38.020688</v>
      </c>
      <c r="R7030" t="str">
        <f>"24.422824"</f>
        <v>24.422824</v>
      </c>
      <c r="S7030" t="s">
        <v>26</v>
      </c>
    </row>
    <row r="7031" spans="1:19" x14ac:dyDescent="0.3">
      <c r="A7031" t="s">
        <v>40240</v>
      </c>
      <c r="B7031" t="s">
        <v>40505</v>
      </c>
      <c r="C7031" t="s">
        <v>40554</v>
      </c>
      <c r="D7031" t="s">
        <v>40247</v>
      </c>
      <c r="E7031" t="s">
        <v>40248</v>
      </c>
      <c r="F7031" t="s">
        <v>40248</v>
      </c>
      <c r="G7031" t="s">
        <v>40248</v>
      </c>
      <c r="H7031" t="s">
        <v>78</v>
      </c>
      <c r="I7031" t="s">
        <v>79</v>
      </c>
      <c r="J7031" t="str">
        <f>"1240060"</f>
        <v>1240060</v>
      </c>
      <c r="K7031">
        <v>2221078691</v>
      </c>
      <c r="L7031">
        <v>2221078691</v>
      </c>
      <c r="M7031" t="s">
        <v>40555</v>
      </c>
      <c r="N7031" t="s">
        <v>40536</v>
      </c>
      <c r="O7031" t="s">
        <v>40556</v>
      </c>
      <c r="P7031">
        <v>34133</v>
      </c>
      <c r="Q7031" t="str">
        <f>"38.457416"</f>
        <v>38.457416</v>
      </c>
      <c r="R7031" t="str">
        <f>"23.596534"</f>
        <v>23.596534</v>
      </c>
      <c r="S7031" t="s">
        <v>26</v>
      </c>
    </row>
    <row r="7032" spans="1:19" x14ac:dyDescent="0.3">
      <c r="A7032" t="s">
        <v>40240</v>
      </c>
      <c r="B7032" t="s">
        <v>40505</v>
      </c>
      <c r="C7032" t="s">
        <v>40560</v>
      </c>
      <c r="D7032" t="s">
        <v>40247</v>
      </c>
      <c r="E7032" t="s">
        <v>40539</v>
      </c>
      <c r="F7032" t="s">
        <v>40558</v>
      </c>
      <c r="G7032" t="s">
        <v>40559</v>
      </c>
      <c r="H7032" t="s">
        <v>78</v>
      </c>
      <c r="I7032" t="s">
        <v>79</v>
      </c>
      <c r="J7032" t="str">
        <f>"1240070"</f>
        <v>1240070</v>
      </c>
      <c r="K7032">
        <v>2227022605</v>
      </c>
      <c r="L7032">
        <v>2227022605</v>
      </c>
      <c r="M7032" t="s">
        <v>40561</v>
      </c>
      <c r="N7032" t="s">
        <v>40562</v>
      </c>
      <c r="O7032" t="s">
        <v>40563</v>
      </c>
      <c r="P7032">
        <v>34004</v>
      </c>
      <c r="Q7032" t="str">
        <f>"38.795778"</f>
        <v>38.795778</v>
      </c>
      <c r="R7032" t="str">
        <f>"23.479084"</f>
        <v>23.479084</v>
      </c>
      <c r="S7032" t="s">
        <v>26</v>
      </c>
    </row>
    <row r="7033" spans="1:19" x14ac:dyDescent="0.3">
      <c r="A7033" t="s">
        <v>40240</v>
      </c>
      <c r="B7033" t="s">
        <v>40505</v>
      </c>
      <c r="C7033" t="s">
        <v>40568</v>
      </c>
      <c r="D7033" t="s">
        <v>40247</v>
      </c>
      <c r="E7033" t="s">
        <v>40566</v>
      </c>
      <c r="F7033" t="s">
        <v>40567</v>
      </c>
      <c r="G7033" t="s">
        <v>40567</v>
      </c>
      <c r="H7033" t="s">
        <v>78</v>
      </c>
      <c r="I7033" t="s">
        <v>79</v>
      </c>
      <c r="J7033" t="str">
        <f>"1240051"</f>
        <v>1240051</v>
      </c>
      <c r="K7033">
        <v>2226053170</v>
      </c>
      <c r="L7033">
        <v>2226055605</v>
      </c>
      <c r="M7033" t="s">
        <v>40569</v>
      </c>
      <c r="N7033" t="s">
        <v>40570</v>
      </c>
      <c r="O7033" t="s">
        <v>40570</v>
      </c>
      <c r="P7033">
        <v>34200</v>
      </c>
      <c r="Q7033" t="str">
        <f>"38.949684"</f>
        <v>38.949684</v>
      </c>
      <c r="R7033" t="str">
        <f>"23.147972"</f>
        <v>23.147972</v>
      </c>
      <c r="S7033" t="s">
        <v>26</v>
      </c>
    </row>
    <row r="7034" spans="1:19" x14ac:dyDescent="0.3">
      <c r="A7034" t="s">
        <v>40240</v>
      </c>
      <c r="B7034" t="s">
        <v>40505</v>
      </c>
      <c r="C7034" t="s">
        <v>40576</v>
      </c>
      <c r="D7034" t="s">
        <v>40247</v>
      </c>
      <c r="E7034" t="s">
        <v>40248</v>
      </c>
      <c r="F7034" t="s">
        <v>40248</v>
      </c>
      <c r="G7034" t="s">
        <v>40248</v>
      </c>
      <c r="H7034" t="s">
        <v>78</v>
      </c>
      <c r="I7034" t="s">
        <v>132</v>
      </c>
      <c r="J7034" t="str">
        <f>"1240061"</f>
        <v>1240061</v>
      </c>
      <c r="K7034">
        <v>2221023143</v>
      </c>
      <c r="L7034">
        <v>2221023143</v>
      </c>
      <c r="M7034" t="s">
        <v>40577</v>
      </c>
      <c r="N7034" t="s">
        <v>40536</v>
      </c>
      <c r="O7034" t="s">
        <v>40578</v>
      </c>
      <c r="P7034">
        <v>34100</v>
      </c>
      <c r="Q7034" t="str">
        <f>"38.457760"</f>
        <v>38.457760</v>
      </c>
      <c r="R7034" t="str">
        <f>"23.596888"</f>
        <v>23.596888</v>
      </c>
      <c r="S7034" t="s">
        <v>26</v>
      </c>
    </row>
    <row r="7035" spans="1:19" x14ac:dyDescent="0.3">
      <c r="A7035" t="s">
        <v>40240</v>
      </c>
      <c r="B7035" t="s">
        <v>40505</v>
      </c>
      <c r="C7035" t="s">
        <v>40630</v>
      </c>
      <c r="D7035" t="s">
        <v>40247</v>
      </c>
      <c r="E7035" t="s">
        <v>40589</v>
      </c>
      <c r="F7035" t="s">
        <v>40629</v>
      </c>
      <c r="G7035" t="s">
        <v>40629</v>
      </c>
      <c r="H7035" t="s">
        <v>78</v>
      </c>
      <c r="I7035" t="s">
        <v>79</v>
      </c>
      <c r="J7035" t="str">
        <f>"1240087"</f>
        <v>1240087</v>
      </c>
      <c r="K7035">
        <v>2222058712</v>
      </c>
      <c r="L7035">
        <v>2222058712</v>
      </c>
      <c r="M7035" t="s">
        <v>40631</v>
      </c>
      <c r="N7035" t="s">
        <v>40632</v>
      </c>
      <c r="O7035" t="s">
        <v>40633</v>
      </c>
      <c r="P7035">
        <v>34016</v>
      </c>
      <c r="Q7035" t="str">
        <f>"38.569120"</f>
        <v>38.569120</v>
      </c>
      <c r="R7035" t="str">
        <f>"24.061535"</f>
        <v>24.061535</v>
      </c>
      <c r="S7035" t="s">
        <v>26</v>
      </c>
    </row>
    <row r="7036" spans="1:19" x14ac:dyDescent="0.3">
      <c r="A7036" t="s">
        <v>40240</v>
      </c>
      <c r="B7036" t="s">
        <v>40505</v>
      </c>
      <c r="C7036" t="s">
        <v>40656</v>
      </c>
      <c r="D7036" t="s">
        <v>40247</v>
      </c>
      <c r="E7036" t="s">
        <v>40248</v>
      </c>
      <c r="F7036" t="s">
        <v>40248</v>
      </c>
      <c r="G7036" t="s">
        <v>40248</v>
      </c>
      <c r="H7036" t="s">
        <v>78</v>
      </c>
      <c r="I7036" t="s">
        <v>79</v>
      </c>
      <c r="J7036" t="str">
        <f>"1240050"</f>
        <v>1240050</v>
      </c>
      <c r="K7036">
        <v>2221078690</v>
      </c>
      <c r="L7036">
        <v>2221027913</v>
      </c>
      <c r="M7036" t="s">
        <v>40657</v>
      </c>
      <c r="N7036" t="s">
        <v>40536</v>
      </c>
      <c r="O7036" t="s">
        <v>40578</v>
      </c>
      <c r="P7036">
        <v>34133</v>
      </c>
      <c r="Q7036" t="str">
        <f>"38.458004"</f>
        <v>38.458004</v>
      </c>
      <c r="R7036" t="str">
        <f>"23.597381"</f>
        <v>23.597381</v>
      </c>
      <c r="S7036" t="s">
        <v>26</v>
      </c>
    </row>
    <row r="7037" spans="1:19" x14ac:dyDescent="0.3">
      <c r="A7037" t="s">
        <v>40240</v>
      </c>
      <c r="B7037" t="s">
        <v>40505</v>
      </c>
      <c r="C7037" t="s">
        <v>40658</v>
      </c>
      <c r="D7037" t="s">
        <v>40247</v>
      </c>
      <c r="E7037" t="s">
        <v>40526</v>
      </c>
      <c r="F7037" t="s">
        <v>40527</v>
      </c>
      <c r="G7037" t="s">
        <v>40528</v>
      </c>
      <c r="H7037" t="s">
        <v>78</v>
      </c>
      <c r="I7037" t="s">
        <v>79</v>
      </c>
      <c r="J7037" t="str">
        <f>"1240086"</f>
        <v>1240086</v>
      </c>
      <c r="K7037">
        <v>2228025589</v>
      </c>
      <c r="L7037">
        <v>2228025589</v>
      </c>
      <c r="M7037" t="s">
        <v>40659</v>
      </c>
      <c r="N7037" t="s">
        <v>40660</v>
      </c>
      <c r="O7037" t="s">
        <v>40661</v>
      </c>
      <c r="P7037">
        <v>34400</v>
      </c>
      <c r="Q7037" t="str">
        <f>"38.573456"</f>
        <v>38.573456</v>
      </c>
      <c r="R7037" t="str">
        <f>"23.639674"</f>
        <v>23.639674</v>
      </c>
      <c r="S7037" t="s">
        <v>26</v>
      </c>
    </row>
    <row r="7038" spans="1:19" x14ac:dyDescent="0.3">
      <c r="A7038" t="s">
        <v>40240</v>
      </c>
      <c r="B7038" t="s">
        <v>40505</v>
      </c>
      <c r="C7038" t="s">
        <v>40819</v>
      </c>
      <c r="D7038" t="s">
        <v>40247</v>
      </c>
      <c r="E7038" t="s">
        <v>40589</v>
      </c>
      <c r="F7038" t="s">
        <v>40667</v>
      </c>
      <c r="G7038" t="s">
        <v>40668</v>
      </c>
      <c r="H7038" t="s">
        <v>78</v>
      </c>
      <c r="I7038" t="s">
        <v>79</v>
      </c>
      <c r="J7038" t="str">
        <f>"1240080"</f>
        <v>1240080</v>
      </c>
      <c r="K7038">
        <v>2223024553</v>
      </c>
      <c r="L7038">
        <v>2223024553</v>
      </c>
      <c r="M7038" t="s">
        <v>40820</v>
      </c>
      <c r="N7038" t="s">
        <v>40821</v>
      </c>
      <c r="O7038" t="s">
        <v>40701</v>
      </c>
      <c r="P7038">
        <v>34500</v>
      </c>
      <c r="Q7038" t="str">
        <f>"38.407973"</f>
        <v>38.407973</v>
      </c>
      <c r="R7038" t="str">
        <f>"24.025238"</f>
        <v>24.025238</v>
      </c>
      <c r="S7038" t="s">
        <v>26</v>
      </c>
    </row>
    <row r="7039" spans="1:19" x14ac:dyDescent="0.3">
      <c r="A7039" t="s">
        <v>40240</v>
      </c>
      <c r="B7039" t="s">
        <v>40835</v>
      </c>
      <c r="C7039" t="s">
        <v>40851</v>
      </c>
      <c r="D7039" t="s">
        <v>40254</v>
      </c>
      <c r="E7039" t="s">
        <v>40842</v>
      </c>
      <c r="F7039" t="s">
        <v>40849</v>
      </c>
      <c r="G7039" t="s">
        <v>40850</v>
      </c>
      <c r="H7039" t="s">
        <v>78</v>
      </c>
      <c r="I7039" t="s">
        <v>79</v>
      </c>
      <c r="J7039" t="str">
        <f>"1340030"</f>
        <v>1340030</v>
      </c>
      <c r="K7039">
        <v>2237094050</v>
      </c>
      <c r="L7039">
        <v>2237094050</v>
      </c>
      <c r="M7039" t="s">
        <v>40852</v>
      </c>
      <c r="N7039" t="s">
        <v>40853</v>
      </c>
      <c r="O7039" t="s">
        <v>40853</v>
      </c>
      <c r="P7039">
        <v>36071</v>
      </c>
      <c r="Q7039" t="str">
        <f>"38.959734"</f>
        <v>38.959734</v>
      </c>
      <c r="R7039" t="str">
        <f>"21.603760"</f>
        <v>21.603760</v>
      </c>
      <c r="S7039" t="s">
        <v>57</v>
      </c>
    </row>
    <row r="7040" spans="1:19" x14ac:dyDescent="0.3">
      <c r="A7040" t="s">
        <v>40240</v>
      </c>
      <c r="B7040" t="s">
        <v>40835</v>
      </c>
      <c r="C7040" t="s">
        <v>40855</v>
      </c>
      <c r="D7040" t="s">
        <v>40254</v>
      </c>
      <c r="E7040" t="s">
        <v>40255</v>
      </c>
      <c r="F7040" t="s">
        <v>40255</v>
      </c>
      <c r="G7040" t="s">
        <v>40255</v>
      </c>
      <c r="H7040" t="s">
        <v>78</v>
      </c>
      <c r="I7040" t="s">
        <v>79</v>
      </c>
      <c r="J7040" t="str">
        <f>"1350070"</f>
        <v>1350070</v>
      </c>
      <c r="K7040">
        <v>2237023130</v>
      </c>
      <c r="L7040">
        <v>2237023130</v>
      </c>
      <c r="M7040" t="s">
        <v>40856</v>
      </c>
      <c r="N7040" t="s">
        <v>40258</v>
      </c>
      <c r="O7040" t="s">
        <v>40857</v>
      </c>
      <c r="P7040">
        <v>36100</v>
      </c>
      <c r="Q7040" t="str">
        <f>"38.915273"</f>
        <v>38.915273</v>
      </c>
      <c r="R7040" t="str">
        <f>"21.788202"</f>
        <v>21.788202</v>
      </c>
      <c r="S7040" t="s">
        <v>26</v>
      </c>
    </row>
    <row r="7041" spans="1:19" x14ac:dyDescent="0.3">
      <c r="A7041" t="s">
        <v>40240</v>
      </c>
      <c r="B7041" t="s">
        <v>40891</v>
      </c>
      <c r="C7041" t="s">
        <v>40937</v>
      </c>
      <c r="D7041" t="s">
        <v>40260</v>
      </c>
      <c r="E7041" t="s">
        <v>40904</v>
      </c>
      <c r="F7041" t="s">
        <v>40904</v>
      </c>
      <c r="G7041" t="s">
        <v>40904</v>
      </c>
      <c r="H7041" t="s">
        <v>78</v>
      </c>
      <c r="I7041" t="s">
        <v>79</v>
      </c>
      <c r="J7041" t="str">
        <f>"4640010"</f>
        <v>4640010</v>
      </c>
      <c r="K7041">
        <v>2236022343</v>
      </c>
      <c r="L7041">
        <v>2236023875</v>
      </c>
      <c r="M7041" t="s">
        <v>40938</v>
      </c>
      <c r="N7041" t="s">
        <v>40939</v>
      </c>
      <c r="O7041" t="s">
        <v>11247</v>
      </c>
      <c r="P7041">
        <v>35011</v>
      </c>
      <c r="Q7041" t="str">
        <f>"38.952602"</f>
        <v>38.952602</v>
      </c>
      <c r="R7041" t="str">
        <f>"22.121463"</f>
        <v>22.121463</v>
      </c>
      <c r="S7041" t="s">
        <v>26</v>
      </c>
    </row>
    <row r="7042" spans="1:19" x14ac:dyDescent="0.3">
      <c r="A7042" t="s">
        <v>40240</v>
      </c>
      <c r="B7042" t="s">
        <v>40891</v>
      </c>
      <c r="C7042" t="s">
        <v>40941</v>
      </c>
      <c r="D7042" t="s">
        <v>40260</v>
      </c>
      <c r="E7042" t="s">
        <v>40261</v>
      </c>
      <c r="F7042" t="s">
        <v>40261</v>
      </c>
      <c r="G7042" t="s">
        <v>40261</v>
      </c>
      <c r="H7042" t="s">
        <v>78</v>
      </c>
      <c r="I7042" t="s">
        <v>132</v>
      </c>
      <c r="J7042" t="str">
        <f>"4640063"</f>
        <v>4640063</v>
      </c>
      <c r="K7042">
        <v>2231052110</v>
      </c>
      <c r="L7042">
        <v>2231052110</v>
      </c>
      <c r="M7042" t="s">
        <v>40942</v>
      </c>
      <c r="N7042" t="s">
        <v>40894</v>
      </c>
      <c r="O7042" t="s">
        <v>40943</v>
      </c>
      <c r="P7042">
        <v>35131</v>
      </c>
      <c r="Q7042" t="str">
        <f>"38.920894"</f>
        <v>38.920894</v>
      </c>
      <c r="R7042" t="str">
        <f>"22.423699"</f>
        <v>22.423699</v>
      </c>
      <c r="S7042" t="s">
        <v>26</v>
      </c>
    </row>
    <row r="7043" spans="1:19" x14ac:dyDescent="0.3">
      <c r="A7043" t="s">
        <v>40240</v>
      </c>
      <c r="B7043" t="s">
        <v>40891</v>
      </c>
      <c r="C7043" t="s">
        <v>40945</v>
      </c>
      <c r="D7043" t="s">
        <v>40260</v>
      </c>
      <c r="E7043" t="s">
        <v>40922</v>
      </c>
      <c r="F7043" t="s">
        <v>40928</v>
      </c>
      <c r="G7043" t="s">
        <v>40928</v>
      </c>
      <c r="H7043" t="s">
        <v>78</v>
      </c>
      <c r="I7043" t="s">
        <v>79</v>
      </c>
      <c r="J7043" t="str">
        <f>"4640061"</f>
        <v>4640061</v>
      </c>
      <c r="K7043">
        <v>2233022161</v>
      </c>
      <c r="L7043">
        <v>2233022326</v>
      </c>
      <c r="M7043" t="s">
        <v>40946</v>
      </c>
      <c r="N7043" t="s">
        <v>40947</v>
      </c>
      <c r="O7043" t="s">
        <v>40948</v>
      </c>
      <c r="P7043">
        <v>35200</v>
      </c>
      <c r="Q7043" t="str">
        <f>"38.653160"</f>
        <v>38.653160</v>
      </c>
      <c r="R7043" t="str">
        <f>"22.996637"</f>
        <v>22.996637</v>
      </c>
      <c r="S7043" t="s">
        <v>26</v>
      </c>
    </row>
    <row r="7044" spans="1:19" x14ac:dyDescent="0.3">
      <c r="A7044" t="s">
        <v>40240</v>
      </c>
      <c r="B7044" t="s">
        <v>40891</v>
      </c>
      <c r="C7044" t="s">
        <v>40950</v>
      </c>
      <c r="D7044" t="s">
        <v>40260</v>
      </c>
      <c r="E7044" t="s">
        <v>40261</v>
      </c>
      <c r="F7044" t="s">
        <v>40261</v>
      </c>
      <c r="G7044" t="s">
        <v>40261</v>
      </c>
      <c r="H7044" t="s">
        <v>78</v>
      </c>
      <c r="I7044" t="s">
        <v>79</v>
      </c>
      <c r="J7044" t="str">
        <f>"4640062"</f>
        <v>4640062</v>
      </c>
      <c r="K7044">
        <v>2231022715</v>
      </c>
      <c r="L7044">
        <v>2231026781</v>
      </c>
      <c r="M7044" t="s">
        <v>40951</v>
      </c>
      <c r="N7044" t="s">
        <v>40264</v>
      </c>
      <c r="O7044" t="s">
        <v>40952</v>
      </c>
      <c r="P7044">
        <v>35131</v>
      </c>
      <c r="Q7044" t="str">
        <f>"38.900073"</f>
        <v>38.900073</v>
      </c>
      <c r="R7044" t="str">
        <f>"22.436629"</f>
        <v>22.436629</v>
      </c>
      <c r="S7044" t="s">
        <v>26</v>
      </c>
    </row>
    <row r="7045" spans="1:19" x14ac:dyDescent="0.3">
      <c r="A7045" t="s">
        <v>40240</v>
      </c>
      <c r="B7045" t="s">
        <v>40891</v>
      </c>
      <c r="C7045" t="s">
        <v>40986</v>
      </c>
      <c r="D7045" t="s">
        <v>40260</v>
      </c>
      <c r="E7045" t="s">
        <v>40261</v>
      </c>
      <c r="F7045" t="s">
        <v>40261</v>
      </c>
      <c r="G7045" t="s">
        <v>40261</v>
      </c>
      <c r="H7045" t="s">
        <v>78</v>
      </c>
      <c r="I7045" t="s">
        <v>79</v>
      </c>
      <c r="J7045" t="str">
        <f>"4640060"</f>
        <v>4640060</v>
      </c>
      <c r="K7045">
        <v>2231027563</v>
      </c>
      <c r="L7045">
        <v>2231027563</v>
      </c>
      <c r="M7045" t="s">
        <v>40987</v>
      </c>
      <c r="N7045" t="s">
        <v>40264</v>
      </c>
      <c r="O7045" t="s">
        <v>40988</v>
      </c>
      <c r="P7045">
        <v>35100</v>
      </c>
      <c r="Q7045" t="str">
        <f>"38.920526"</f>
        <v>38.920526</v>
      </c>
      <c r="R7045" t="str">
        <f>"22.423613"</f>
        <v>22.423613</v>
      </c>
      <c r="S7045" t="s">
        <v>26</v>
      </c>
    </row>
    <row r="7046" spans="1:19" x14ac:dyDescent="0.3">
      <c r="A7046" t="s">
        <v>40240</v>
      </c>
      <c r="B7046" t="s">
        <v>41165</v>
      </c>
      <c r="C7046" t="s">
        <v>41174</v>
      </c>
      <c r="D7046" t="s">
        <v>40266</v>
      </c>
      <c r="E7046" t="s">
        <v>40267</v>
      </c>
      <c r="F7046" t="s">
        <v>40268</v>
      </c>
      <c r="G7046" t="s">
        <v>40268</v>
      </c>
      <c r="H7046" t="s">
        <v>78</v>
      </c>
      <c r="I7046" t="s">
        <v>79</v>
      </c>
      <c r="J7046" t="str">
        <f>"4850040"</f>
        <v>4850040</v>
      </c>
      <c r="K7046">
        <v>2265029679</v>
      </c>
      <c r="L7046">
        <v>2265029679</v>
      </c>
      <c r="M7046" t="s">
        <v>41175</v>
      </c>
      <c r="N7046" t="s">
        <v>40271</v>
      </c>
      <c r="O7046" t="s">
        <v>41176</v>
      </c>
      <c r="P7046">
        <v>33100</v>
      </c>
      <c r="Q7046" t="str">
        <f>"38.522709"</f>
        <v>38.522709</v>
      </c>
      <c r="R7046" t="str">
        <f>"22.384154"</f>
        <v>22.384154</v>
      </c>
      <c r="S7046" t="s">
        <v>26</v>
      </c>
    </row>
    <row r="7047" spans="1:19" x14ac:dyDescent="0.3">
      <c r="A7047" t="s">
        <v>42974</v>
      </c>
      <c r="C7047" t="s">
        <v>42975</v>
      </c>
      <c r="D7047" t="s">
        <v>3256</v>
      </c>
      <c r="E7047" t="s">
        <v>5563</v>
      </c>
      <c r="F7047" t="s">
        <v>5563</v>
      </c>
      <c r="G7047" t="s">
        <v>5611</v>
      </c>
      <c r="H7047" t="s">
        <v>78</v>
      </c>
      <c r="I7047" t="s">
        <v>79</v>
      </c>
      <c r="J7047" t="str">
        <f>"0540800"</f>
        <v>0540800</v>
      </c>
      <c r="K7047">
        <v>2104857654</v>
      </c>
      <c r="L7047">
        <v>2104857781</v>
      </c>
      <c r="M7047" t="s">
        <v>42976</v>
      </c>
      <c r="N7047" t="s">
        <v>5567</v>
      </c>
      <c r="O7047" t="s">
        <v>42977</v>
      </c>
      <c r="P7047">
        <v>17610</v>
      </c>
      <c r="Q7047" t="str">
        <f>"37.960562"</f>
        <v>37.960562</v>
      </c>
      <c r="R7047" t="str">
        <f>"23.696489"</f>
        <v>23.696489</v>
      </c>
      <c r="S7047" t="s">
        <v>26</v>
      </c>
    </row>
    <row r="7048" spans="1:19" x14ac:dyDescent="0.3">
      <c r="A7048" t="s">
        <v>42974</v>
      </c>
      <c r="C7048" t="s">
        <v>42979</v>
      </c>
      <c r="D7048" t="s">
        <v>3256</v>
      </c>
      <c r="E7048" t="s">
        <v>5563</v>
      </c>
      <c r="F7048" t="s">
        <v>5563</v>
      </c>
      <c r="G7048" t="s">
        <v>5633</v>
      </c>
      <c r="H7048" t="s">
        <v>78</v>
      </c>
      <c r="I7048" t="s">
        <v>79</v>
      </c>
      <c r="J7048" t="str">
        <f>"0540801"</f>
        <v>0540801</v>
      </c>
      <c r="K7048">
        <v>2104857632</v>
      </c>
      <c r="L7048">
        <v>2104857780</v>
      </c>
      <c r="M7048" t="s">
        <v>42980</v>
      </c>
      <c r="N7048" t="s">
        <v>5567</v>
      </c>
      <c r="O7048" t="s">
        <v>42978</v>
      </c>
      <c r="P7048">
        <v>17610</v>
      </c>
      <c r="Q7048" t="str">
        <f>"37.960055"</f>
        <v>37.960055</v>
      </c>
      <c r="R7048" t="str">
        <f>"23.695304"</f>
        <v>23.695304</v>
      </c>
      <c r="S7048" t="s">
        <v>26</v>
      </c>
    </row>
    <row r="7049" spans="1:19" x14ac:dyDescent="0.3">
      <c r="A7049" t="s">
        <v>42974</v>
      </c>
      <c r="C7049" t="s">
        <v>42981</v>
      </c>
      <c r="D7049" t="s">
        <v>3256</v>
      </c>
      <c r="E7049" t="s">
        <v>5563</v>
      </c>
      <c r="F7049" t="s">
        <v>5563</v>
      </c>
      <c r="G7049" t="s">
        <v>5611</v>
      </c>
      <c r="H7049" t="s">
        <v>78</v>
      </c>
      <c r="I7049" t="s">
        <v>79</v>
      </c>
      <c r="J7049" t="str">
        <f>"0540802"</f>
        <v>0540802</v>
      </c>
      <c r="K7049">
        <v>2104857644</v>
      </c>
      <c r="L7049">
        <v>2104857759</v>
      </c>
      <c r="M7049" t="s">
        <v>42982</v>
      </c>
      <c r="N7049" t="s">
        <v>5567</v>
      </c>
      <c r="O7049" t="s">
        <v>42977</v>
      </c>
      <c r="P7049">
        <v>17610</v>
      </c>
      <c r="Q7049" t="str">
        <f>"37.960690"</f>
        <v>37.960690</v>
      </c>
      <c r="R7049" t="str">
        <f>"23.696401"</f>
        <v>23.696401</v>
      </c>
      <c r="S7049" t="s">
        <v>26</v>
      </c>
    </row>
    <row r="7050" spans="1:19" x14ac:dyDescent="0.3">
      <c r="A7050" t="s">
        <v>42974</v>
      </c>
      <c r="C7050" t="s">
        <v>42983</v>
      </c>
      <c r="D7050" t="s">
        <v>3256</v>
      </c>
      <c r="E7050" t="s">
        <v>5563</v>
      </c>
      <c r="F7050" t="s">
        <v>5563</v>
      </c>
      <c r="G7050" t="s">
        <v>5611</v>
      </c>
      <c r="H7050" t="s">
        <v>78</v>
      </c>
      <c r="I7050" t="s">
        <v>79</v>
      </c>
      <c r="J7050" t="str">
        <f>"0550810"</f>
        <v>0550810</v>
      </c>
      <c r="K7050">
        <v>2104857682</v>
      </c>
      <c r="L7050">
        <v>2104857758</v>
      </c>
      <c r="M7050" t="s">
        <v>42984</v>
      </c>
      <c r="N7050" t="s">
        <v>5567</v>
      </c>
      <c r="O7050" t="s">
        <v>42977</v>
      </c>
      <c r="P7050">
        <v>17610</v>
      </c>
      <c r="Q7050" t="str">
        <f>"37.960055"</f>
        <v>37.960055</v>
      </c>
      <c r="R7050" t="str">
        <f>"23.695304"</f>
        <v>23.695304</v>
      </c>
      <c r="S7050" t="s">
        <v>26</v>
      </c>
    </row>
    <row r="7051" spans="1:19" x14ac:dyDescent="0.3">
      <c r="A7051" t="s">
        <v>19</v>
      </c>
      <c r="B7051" t="s">
        <v>49</v>
      </c>
      <c r="C7051" t="s">
        <v>99</v>
      </c>
      <c r="D7051" t="s">
        <v>21</v>
      </c>
      <c r="E7051" t="s">
        <v>21</v>
      </c>
      <c r="F7051" t="s">
        <v>21</v>
      </c>
      <c r="G7051" t="s">
        <v>21</v>
      </c>
      <c r="H7051" t="s">
        <v>97</v>
      </c>
      <c r="I7051" t="s">
        <v>98</v>
      </c>
      <c r="J7051" t="str">
        <f>"0951010"</f>
        <v>0951010</v>
      </c>
      <c r="K7051">
        <v>2521032482</v>
      </c>
      <c r="L7051">
        <v>2521032102</v>
      </c>
      <c r="M7051" t="s">
        <v>100</v>
      </c>
      <c r="N7051" t="s">
        <v>24</v>
      </c>
      <c r="O7051" t="s">
        <v>101</v>
      </c>
      <c r="P7051">
        <v>66131</v>
      </c>
      <c r="Q7051" t="str">
        <f>"41.156566"</f>
        <v>41.156566</v>
      </c>
      <c r="R7051" t="str">
        <f>"24.139368"</f>
        <v>24.139368</v>
      </c>
      <c r="S7051" t="s">
        <v>26</v>
      </c>
    </row>
    <row r="7052" spans="1:19" x14ac:dyDescent="0.3">
      <c r="A7052" t="s">
        <v>19</v>
      </c>
      <c r="B7052" t="s">
        <v>49</v>
      </c>
      <c r="C7052" t="s">
        <v>103</v>
      </c>
      <c r="D7052" t="s">
        <v>21</v>
      </c>
      <c r="E7052" t="s">
        <v>21</v>
      </c>
      <c r="F7052" t="s">
        <v>21</v>
      </c>
      <c r="G7052" t="s">
        <v>21</v>
      </c>
      <c r="H7052" t="s">
        <v>97</v>
      </c>
      <c r="I7052" t="s">
        <v>98</v>
      </c>
      <c r="J7052" t="str">
        <f>"0951020"</f>
        <v>0951020</v>
      </c>
      <c r="K7052">
        <v>2521032668</v>
      </c>
      <c r="L7052">
        <v>2521033678</v>
      </c>
      <c r="M7052" t="s">
        <v>104</v>
      </c>
      <c r="N7052" t="s">
        <v>24</v>
      </c>
      <c r="O7052" t="s">
        <v>105</v>
      </c>
      <c r="P7052">
        <v>66131</v>
      </c>
      <c r="Q7052" t="str">
        <f>"41.153012"</f>
        <v>41.153012</v>
      </c>
      <c r="R7052" t="str">
        <f>"24.133860"</f>
        <v>24.133860</v>
      </c>
      <c r="S7052" t="s">
        <v>26</v>
      </c>
    </row>
    <row r="7053" spans="1:19" x14ac:dyDescent="0.3">
      <c r="A7053" t="s">
        <v>19</v>
      </c>
      <c r="B7053" t="s">
        <v>49</v>
      </c>
      <c r="C7053" t="s">
        <v>107</v>
      </c>
      <c r="D7053" t="s">
        <v>21</v>
      </c>
      <c r="E7053" t="s">
        <v>66</v>
      </c>
      <c r="F7053" t="s">
        <v>66</v>
      </c>
      <c r="G7053" t="s">
        <v>66</v>
      </c>
      <c r="H7053" t="s">
        <v>97</v>
      </c>
      <c r="I7053" t="s">
        <v>98</v>
      </c>
      <c r="J7053" t="str">
        <f>"0954010"</f>
        <v>0954010</v>
      </c>
      <c r="K7053">
        <v>2522022000</v>
      </c>
      <c r="L7053">
        <v>2522022003</v>
      </c>
      <c r="M7053" t="s">
        <v>108</v>
      </c>
      <c r="N7053" t="s">
        <v>86</v>
      </c>
      <c r="O7053" t="s">
        <v>109</v>
      </c>
      <c r="P7053">
        <v>66200</v>
      </c>
      <c r="Q7053" t="str">
        <f>"41.181835"</f>
        <v>41.181835</v>
      </c>
      <c r="R7053" t="str">
        <f>"23.976302"</f>
        <v>23.976302</v>
      </c>
      <c r="S7053" t="s">
        <v>26</v>
      </c>
    </row>
    <row r="7054" spans="1:19" x14ac:dyDescent="0.3">
      <c r="A7054" t="s">
        <v>19</v>
      </c>
      <c r="B7054" t="s">
        <v>49</v>
      </c>
      <c r="C7054" t="s">
        <v>111</v>
      </c>
      <c r="D7054" t="s">
        <v>21</v>
      </c>
      <c r="E7054" t="s">
        <v>59</v>
      </c>
      <c r="F7054" t="s">
        <v>110</v>
      </c>
      <c r="G7054" t="s">
        <v>110</v>
      </c>
      <c r="H7054" t="s">
        <v>97</v>
      </c>
      <c r="I7054" t="s">
        <v>98</v>
      </c>
      <c r="J7054" t="str">
        <f>"0956010"</f>
        <v>0956010</v>
      </c>
      <c r="K7054">
        <v>2521051588</v>
      </c>
      <c r="M7054" t="s">
        <v>112</v>
      </c>
      <c r="N7054" t="s">
        <v>113</v>
      </c>
      <c r="O7054" t="s">
        <v>114</v>
      </c>
      <c r="P7054">
        <v>66031</v>
      </c>
      <c r="Q7054" t="str">
        <f>"41.046250"</f>
        <v>41.046250</v>
      </c>
      <c r="R7054" t="str">
        <f>"24.184785"</f>
        <v>24.184785</v>
      </c>
      <c r="S7054" t="s">
        <v>26</v>
      </c>
    </row>
    <row r="7055" spans="1:19" x14ac:dyDescent="0.3">
      <c r="A7055" t="s">
        <v>19</v>
      </c>
      <c r="B7055" t="s">
        <v>49</v>
      </c>
      <c r="C7055" t="s">
        <v>120</v>
      </c>
      <c r="D7055" t="s">
        <v>21</v>
      </c>
      <c r="E7055" t="s">
        <v>50</v>
      </c>
      <c r="F7055" t="s">
        <v>50</v>
      </c>
      <c r="G7055" t="s">
        <v>50</v>
      </c>
      <c r="H7055" t="s">
        <v>97</v>
      </c>
      <c r="I7055" t="s">
        <v>98</v>
      </c>
      <c r="J7055" t="str">
        <f>"0953010"</f>
        <v>0953010</v>
      </c>
      <c r="K7055">
        <v>2523022240</v>
      </c>
      <c r="L7055">
        <v>2523022240</v>
      </c>
      <c r="M7055" t="s">
        <v>121</v>
      </c>
      <c r="N7055" t="s">
        <v>122</v>
      </c>
      <c r="O7055" t="s">
        <v>56</v>
      </c>
      <c r="P7055">
        <v>66033</v>
      </c>
      <c r="Q7055" t="str">
        <f>"41.342253"</f>
        <v>41.342253</v>
      </c>
      <c r="R7055" t="str">
        <f>"23.868259"</f>
        <v>23.868259</v>
      </c>
      <c r="S7055" t="s">
        <v>26</v>
      </c>
    </row>
    <row r="7056" spans="1:19" x14ac:dyDescent="0.3">
      <c r="A7056" t="s">
        <v>19</v>
      </c>
      <c r="B7056" t="s">
        <v>49</v>
      </c>
      <c r="C7056" t="s">
        <v>123</v>
      </c>
      <c r="D7056" t="s">
        <v>21</v>
      </c>
      <c r="E7056" t="s">
        <v>59</v>
      </c>
      <c r="F7056" t="s">
        <v>59</v>
      </c>
      <c r="G7056" t="s">
        <v>59</v>
      </c>
      <c r="H7056" t="s">
        <v>97</v>
      </c>
      <c r="I7056" t="s">
        <v>98</v>
      </c>
      <c r="J7056" t="str">
        <f>"0951040"</f>
        <v>0951040</v>
      </c>
      <c r="K7056">
        <v>2521066905</v>
      </c>
      <c r="L7056">
        <v>2521068905</v>
      </c>
      <c r="M7056" t="s">
        <v>124</v>
      </c>
      <c r="N7056" t="s">
        <v>82</v>
      </c>
      <c r="O7056" t="s">
        <v>125</v>
      </c>
      <c r="P7056">
        <v>66300</v>
      </c>
      <c r="Q7056" t="str">
        <f>"41.098998"</f>
        <v>41.098998</v>
      </c>
      <c r="R7056" t="str">
        <f>"24.227576"</f>
        <v>24.227576</v>
      </c>
      <c r="S7056" t="s">
        <v>26</v>
      </c>
    </row>
    <row r="7057" spans="1:19" x14ac:dyDescent="0.3">
      <c r="A7057" t="s">
        <v>19</v>
      </c>
      <c r="B7057" t="s">
        <v>49</v>
      </c>
      <c r="C7057" t="s">
        <v>126</v>
      </c>
      <c r="D7057" t="s">
        <v>21</v>
      </c>
      <c r="E7057" t="s">
        <v>21</v>
      </c>
      <c r="F7057" t="s">
        <v>21</v>
      </c>
      <c r="G7057" t="s">
        <v>21</v>
      </c>
      <c r="H7057" t="s">
        <v>97</v>
      </c>
      <c r="I7057" t="s">
        <v>98</v>
      </c>
      <c r="J7057" t="str">
        <f>"0951009"</f>
        <v>0951009</v>
      </c>
      <c r="K7057">
        <v>2521048636</v>
      </c>
      <c r="L7057">
        <v>2521048689</v>
      </c>
      <c r="M7057" t="s">
        <v>127</v>
      </c>
      <c r="N7057" t="s">
        <v>24</v>
      </c>
      <c r="O7057" t="s">
        <v>128</v>
      </c>
      <c r="P7057">
        <v>66133</v>
      </c>
      <c r="Q7057" t="str">
        <f>"41.146323"</f>
        <v>41.146323</v>
      </c>
      <c r="R7057" t="str">
        <f>"24.155305"</f>
        <v>24.155305</v>
      </c>
      <c r="S7057" t="s">
        <v>26</v>
      </c>
    </row>
    <row r="7058" spans="1:19" x14ac:dyDescent="0.3">
      <c r="A7058" t="s">
        <v>19</v>
      </c>
      <c r="B7058" t="s">
        <v>49</v>
      </c>
      <c r="C7058" t="s">
        <v>130</v>
      </c>
      <c r="D7058" t="s">
        <v>21</v>
      </c>
      <c r="E7058" t="s">
        <v>21</v>
      </c>
      <c r="F7058" t="s">
        <v>21</v>
      </c>
      <c r="G7058" t="s">
        <v>21</v>
      </c>
      <c r="H7058" t="s">
        <v>97</v>
      </c>
      <c r="I7058" t="s">
        <v>98</v>
      </c>
      <c r="J7058" t="str">
        <f>"0951030"</f>
        <v>0951030</v>
      </c>
      <c r="K7058">
        <v>2521033673</v>
      </c>
      <c r="L7058">
        <v>2521055903</v>
      </c>
      <c r="M7058" t="s">
        <v>131</v>
      </c>
      <c r="N7058" t="s">
        <v>24</v>
      </c>
      <c r="O7058" t="s">
        <v>128</v>
      </c>
      <c r="P7058">
        <v>66133</v>
      </c>
      <c r="Q7058" t="str">
        <f>"41.146056"</f>
        <v>41.146056</v>
      </c>
      <c r="R7058" t="str">
        <f>"24.155155"</f>
        <v>24.155155</v>
      </c>
      <c r="S7058" t="s">
        <v>26</v>
      </c>
    </row>
    <row r="7059" spans="1:19" x14ac:dyDescent="0.3">
      <c r="A7059" t="s">
        <v>19</v>
      </c>
      <c r="B7059" t="s">
        <v>49</v>
      </c>
      <c r="C7059" t="s">
        <v>196</v>
      </c>
      <c r="D7059" t="s">
        <v>21</v>
      </c>
      <c r="E7059" t="s">
        <v>21</v>
      </c>
      <c r="F7059" t="s">
        <v>21</v>
      </c>
      <c r="G7059" t="s">
        <v>21</v>
      </c>
      <c r="H7059" t="s">
        <v>97</v>
      </c>
      <c r="I7059" t="s">
        <v>195</v>
      </c>
      <c r="J7059" t="str">
        <f>"0951066"</f>
        <v>0951066</v>
      </c>
      <c r="K7059">
        <v>2521046419</v>
      </c>
      <c r="L7059">
        <v>2521046420</v>
      </c>
      <c r="M7059" t="s">
        <v>197</v>
      </c>
      <c r="N7059" t="s">
        <v>24</v>
      </c>
      <c r="O7059" t="s">
        <v>198</v>
      </c>
      <c r="P7059">
        <v>66131</v>
      </c>
      <c r="Q7059" t="str">
        <f>"41.151946"</f>
        <v>41.151946</v>
      </c>
      <c r="R7059" t="str">
        <f>"24.134693"</f>
        <v>24.134693</v>
      </c>
      <c r="S7059" t="s">
        <v>26</v>
      </c>
    </row>
    <row r="7060" spans="1:19" x14ac:dyDescent="0.3">
      <c r="A7060" t="s">
        <v>19</v>
      </c>
      <c r="B7060" t="s">
        <v>202</v>
      </c>
      <c r="C7060" t="s">
        <v>204</v>
      </c>
      <c r="D7060" t="s">
        <v>27</v>
      </c>
      <c r="E7060" t="s">
        <v>28</v>
      </c>
      <c r="F7060" t="s">
        <v>203</v>
      </c>
      <c r="G7060" t="s">
        <v>203</v>
      </c>
      <c r="H7060" t="s">
        <v>97</v>
      </c>
      <c r="I7060" t="s">
        <v>98</v>
      </c>
      <c r="J7060" t="str">
        <f>"1157010"</f>
        <v>1157010</v>
      </c>
      <c r="K7060">
        <v>2555022225</v>
      </c>
      <c r="L7060">
        <v>2555024689</v>
      </c>
      <c r="M7060" t="s">
        <v>205</v>
      </c>
      <c r="N7060" t="s">
        <v>206</v>
      </c>
      <c r="O7060" t="s">
        <v>207</v>
      </c>
      <c r="P7060">
        <v>68500</v>
      </c>
      <c r="Q7060" t="str">
        <f>"40.892897"</f>
        <v>40.892897</v>
      </c>
      <c r="R7060" t="str">
        <f>"26.168643"</f>
        <v>26.168643</v>
      </c>
      <c r="S7060" t="s">
        <v>26</v>
      </c>
    </row>
    <row r="7061" spans="1:19" x14ac:dyDescent="0.3">
      <c r="A7061" t="s">
        <v>19</v>
      </c>
      <c r="B7061" t="s">
        <v>202</v>
      </c>
      <c r="C7061" t="s">
        <v>228</v>
      </c>
      <c r="D7061" t="s">
        <v>27</v>
      </c>
      <c r="E7061" t="s">
        <v>28</v>
      </c>
      <c r="F7061" t="s">
        <v>28</v>
      </c>
      <c r="G7061" t="s">
        <v>28</v>
      </c>
      <c r="H7061" t="s">
        <v>97</v>
      </c>
      <c r="I7061" t="s">
        <v>195</v>
      </c>
      <c r="J7061" t="str">
        <f>"1151005"</f>
        <v>1151005</v>
      </c>
      <c r="K7061">
        <v>2551082082</v>
      </c>
      <c r="L7061">
        <v>2551082082</v>
      </c>
      <c r="M7061" t="s">
        <v>229</v>
      </c>
      <c r="N7061" t="s">
        <v>31</v>
      </c>
      <c r="O7061" t="s">
        <v>230</v>
      </c>
      <c r="P7061">
        <v>68132</v>
      </c>
      <c r="Q7061" t="str">
        <f>"40.852266"</f>
        <v>40.852266</v>
      </c>
      <c r="R7061" t="str">
        <f>"25.871685"</f>
        <v>25.871685</v>
      </c>
      <c r="S7061" t="s">
        <v>26</v>
      </c>
    </row>
    <row r="7062" spans="1:19" x14ac:dyDescent="0.3">
      <c r="A7062" t="s">
        <v>19</v>
      </c>
      <c r="B7062" t="s">
        <v>202</v>
      </c>
      <c r="C7062" t="s">
        <v>254</v>
      </c>
      <c r="D7062" t="s">
        <v>27</v>
      </c>
      <c r="E7062" t="s">
        <v>28</v>
      </c>
      <c r="F7062" t="s">
        <v>28</v>
      </c>
      <c r="G7062" t="s">
        <v>28</v>
      </c>
      <c r="H7062" t="s">
        <v>97</v>
      </c>
      <c r="I7062" t="s">
        <v>98</v>
      </c>
      <c r="J7062" t="str">
        <f>"1151009"</f>
        <v>1151009</v>
      </c>
      <c r="K7062">
        <v>2551025101</v>
      </c>
      <c r="L7062">
        <v>2551028179</v>
      </c>
      <c r="M7062" t="s">
        <v>255</v>
      </c>
      <c r="N7062" t="s">
        <v>31</v>
      </c>
      <c r="O7062" t="s">
        <v>256</v>
      </c>
      <c r="P7062">
        <v>68131</v>
      </c>
      <c r="Q7062" t="str">
        <f>"40.852708"</f>
        <v>40.852708</v>
      </c>
      <c r="R7062" t="str">
        <f>"25.868392"</f>
        <v>25.868392</v>
      </c>
      <c r="S7062" t="s">
        <v>26</v>
      </c>
    </row>
    <row r="7063" spans="1:19" x14ac:dyDescent="0.3">
      <c r="A7063" t="s">
        <v>19</v>
      </c>
      <c r="B7063" t="s">
        <v>202</v>
      </c>
      <c r="C7063" t="s">
        <v>258</v>
      </c>
      <c r="D7063" t="s">
        <v>27</v>
      </c>
      <c r="E7063" t="s">
        <v>28</v>
      </c>
      <c r="F7063" t="s">
        <v>28</v>
      </c>
      <c r="G7063" t="s">
        <v>28</v>
      </c>
      <c r="H7063" t="s">
        <v>97</v>
      </c>
      <c r="I7063" t="s">
        <v>98</v>
      </c>
      <c r="J7063" t="str">
        <f>"1151001"</f>
        <v>1151001</v>
      </c>
      <c r="K7063">
        <v>2551024134</v>
      </c>
      <c r="L7063">
        <v>2551024371</v>
      </c>
      <c r="M7063" t="s">
        <v>259</v>
      </c>
      <c r="N7063" t="s">
        <v>28</v>
      </c>
      <c r="O7063" t="s">
        <v>260</v>
      </c>
      <c r="P7063">
        <v>68131</v>
      </c>
      <c r="Q7063" t="str">
        <f>"40.851579"</f>
        <v>40.851579</v>
      </c>
      <c r="R7063" t="str">
        <f>"25.867531"</f>
        <v>25.867531</v>
      </c>
      <c r="S7063" t="s">
        <v>26</v>
      </c>
    </row>
    <row r="7064" spans="1:19" x14ac:dyDescent="0.3">
      <c r="A7064" t="s">
        <v>19</v>
      </c>
      <c r="B7064" t="s">
        <v>202</v>
      </c>
      <c r="C7064" t="s">
        <v>261</v>
      </c>
      <c r="D7064" t="s">
        <v>27</v>
      </c>
      <c r="E7064" t="s">
        <v>28</v>
      </c>
      <c r="F7064" t="s">
        <v>28</v>
      </c>
      <c r="G7064" t="s">
        <v>28</v>
      </c>
      <c r="H7064" t="s">
        <v>97</v>
      </c>
      <c r="I7064" t="s">
        <v>98</v>
      </c>
      <c r="J7064" t="str">
        <f>"1190060"</f>
        <v>1190060</v>
      </c>
      <c r="K7064">
        <v>2551025754</v>
      </c>
      <c r="L7064">
        <v>2551083304</v>
      </c>
      <c r="M7064" t="s">
        <v>262</v>
      </c>
      <c r="N7064" t="s">
        <v>31</v>
      </c>
      <c r="O7064" t="s">
        <v>263</v>
      </c>
      <c r="P7064">
        <v>68131</v>
      </c>
      <c r="Q7064" t="str">
        <f>"40.851706"</f>
        <v>40.851706</v>
      </c>
      <c r="R7064" t="str">
        <f>"25.859251"</f>
        <v>25.859251</v>
      </c>
      <c r="S7064" t="s">
        <v>26</v>
      </c>
    </row>
    <row r="7065" spans="1:19" x14ac:dyDescent="0.3">
      <c r="A7065" t="s">
        <v>19</v>
      </c>
      <c r="B7065" t="s">
        <v>202</v>
      </c>
      <c r="C7065" t="s">
        <v>265</v>
      </c>
      <c r="D7065" t="s">
        <v>27</v>
      </c>
      <c r="E7065" t="s">
        <v>264</v>
      </c>
      <c r="F7065" t="s">
        <v>264</v>
      </c>
      <c r="G7065" t="s">
        <v>264</v>
      </c>
      <c r="H7065" t="s">
        <v>97</v>
      </c>
      <c r="I7065" t="s">
        <v>98</v>
      </c>
      <c r="J7065" t="str">
        <f>"1156010"</f>
        <v>1156010</v>
      </c>
      <c r="K7065">
        <v>2554022294</v>
      </c>
      <c r="L7065">
        <v>2554022294</v>
      </c>
      <c r="M7065" t="s">
        <v>266</v>
      </c>
      <c r="N7065" t="s">
        <v>267</v>
      </c>
      <c r="O7065" t="s">
        <v>268</v>
      </c>
      <c r="P7065">
        <v>68400</v>
      </c>
      <c r="Q7065" t="str">
        <f>"41.193266"</f>
        <v>41.193266</v>
      </c>
      <c r="R7065" t="str">
        <f>"26.307765"</f>
        <v>26.307765</v>
      </c>
      <c r="S7065" t="s">
        <v>26</v>
      </c>
    </row>
    <row r="7066" spans="1:19" x14ac:dyDescent="0.3">
      <c r="A7066" t="s">
        <v>19</v>
      </c>
      <c r="B7066" t="s">
        <v>202</v>
      </c>
      <c r="C7066" t="s">
        <v>270</v>
      </c>
      <c r="D7066" t="s">
        <v>27</v>
      </c>
      <c r="E7066" t="s">
        <v>221</v>
      </c>
      <c r="F7066" t="s">
        <v>221</v>
      </c>
      <c r="G7066" t="s">
        <v>221</v>
      </c>
      <c r="H7066" t="s">
        <v>97</v>
      </c>
      <c r="I7066" t="s">
        <v>98</v>
      </c>
      <c r="J7066" t="str">
        <f>"1154011"</f>
        <v>1154011</v>
      </c>
      <c r="K7066">
        <v>2552029408</v>
      </c>
      <c r="L7066">
        <v>2552081904</v>
      </c>
      <c r="M7066" t="s">
        <v>271</v>
      </c>
      <c r="N7066" t="s">
        <v>240</v>
      </c>
      <c r="O7066" t="s">
        <v>272</v>
      </c>
      <c r="P7066">
        <v>68200</v>
      </c>
      <c r="Q7066" t="str">
        <f>"41.493410"</f>
        <v>41.493410</v>
      </c>
      <c r="R7066" t="str">
        <f>"26.524976"</f>
        <v>26.524976</v>
      </c>
      <c r="S7066" t="s">
        <v>26</v>
      </c>
    </row>
    <row r="7067" spans="1:19" x14ac:dyDescent="0.3">
      <c r="A7067" t="s">
        <v>19</v>
      </c>
      <c r="B7067" t="s">
        <v>202</v>
      </c>
      <c r="C7067" t="s">
        <v>274</v>
      </c>
      <c r="D7067" t="s">
        <v>27</v>
      </c>
      <c r="E7067" t="s">
        <v>28</v>
      </c>
      <c r="F7067" t="s">
        <v>28</v>
      </c>
      <c r="G7067" t="s">
        <v>28</v>
      </c>
      <c r="H7067" t="s">
        <v>97</v>
      </c>
      <c r="I7067" t="s">
        <v>98</v>
      </c>
      <c r="J7067" t="str">
        <f>"1151010"</f>
        <v>1151010</v>
      </c>
      <c r="K7067">
        <v>2551026455</v>
      </c>
      <c r="L7067">
        <v>2551088512</v>
      </c>
      <c r="M7067" t="s">
        <v>275</v>
      </c>
      <c r="N7067" t="s">
        <v>31</v>
      </c>
      <c r="O7067" t="s">
        <v>276</v>
      </c>
      <c r="P7067">
        <v>68132</v>
      </c>
      <c r="Q7067" t="str">
        <f>"40.852432"</f>
        <v>40.852432</v>
      </c>
      <c r="R7067" t="str">
        <f>"25.873223"</f>
        <v>25.873223</v>
      </c>
      <c r="S7067" t="s">
        <v>26</v>
      </c>
    </row>
    <row r="7068" spans="1:19" x14ac:dyDescent="0.3">
      <c r="A7068" t="s">
        <v>19</v>
      </c>
      <c r="B7068" t="s">
        <v>202</v>
      </c>
      <c r="C7068" t="s">
        <v>279</v>
      </c>
      <c r="D7068" t="s">
        <v>27</v>
      </c>
      <c r="E7068" t="s">
        <v>221</v>
      </c>
      <c r="F7068" t="s">
        <v>277</v>
      </c>
      <c r="G7068" t="s">
        <v>278</v>
      </c>
      <c r="H7068" t="s">
        <v>97</v>
      </c>
      <c r="I7068" t="s">
        <v>98</v>
      </c>
      <c r="J7068" t="str">
        <f>"1153010"</f>
        <v>1153010</v>
      </c>
      <c r="K7068">
        <v>2556031237</v>
      </c>
      <c r="L7068">
        <v>2556031237</v>
      </c>
      <c r="M7068" t="s">
        <v>280</v>
      </c>
      <c r="N7068" t="s">
        <v>281</v>
      </c>
      <c r="O7068" t="s">
        <v>282</v>
      </c>
      <c r="P7068">
        <v>68008</v>
      </c>
      <c r="Q7068" t="str">
        <f>"41.702869"</f>
        <v>41.702869</v>
      </c>
      <c r="R7068" t="str">
        <f>"26.297713"</f>
        <v>26.297713</v>
      </c>
      <c r="S7068" t="s">
        <v>57</v>
      </c>
    </row>
    <row r="7069" spans="1:19" x14ac:dyDescent="0.3">
      <c r="A7069" t="s">
        <v>19</v>
      </c>
      <c r="B7069" t="s">
        <v>202</v>
      </c>
      <c r="C7069" t="s">
        <v>284</v>
      </c>
      <c r="D7069" t="s">
        <v>27</v>
      </c>
      <c r="E7069" t="s">
        <v>248</v>
      </c>
      <c r="F7069" t="s">
        <v>248</v>
      </c>
      <c r="G7069" t="s">
        <v>248</v>
      </c>
      <c r="H7069" t="s">
        <v>97</v>
      </c>
      <c r="I7069" t="s">
        <v>98</v>
      </c>
      <c r="J7069" t="str">
        <f>"1152010"</f>
        <v>1152010</v>
      </c>
      <c r="K7069">
        <v>2553023043</v>
      </c>
      <c r="L7069">
        <v>2553023043</v>
      </c>
      <c r="M7069" t="s">
        <v>285</v>
      </c>
      <c r="N7069" t="s">
        <v>286</v>
      </c>
      <c r="O7069" t="s">
        <v>287</v>
      </c>
      <c r="P7069">
        <v>68300</v>
      </c>
      <c r="Q7069" t="str">
        <f>"41.348735"</f>
        <v>41.348735</v>
      </c>
      <c r="R7069" t="str">
        <f>"26.497282"</f>
        <v>26.497282</v>
      </c>
      <c r="S7069" t="s">
        <v>26</v>
      </c>
    </row>
    <row r="7070" spans="1:19" x14ac:dyDescent="0.3">
      <c r="A7070" t="s">
        <v>19</v>
      </c>
      <c r="B7070" t="s">
        <v>202</v>
      </c>
      <c r="C7070" t="s">
        <v>290</v>
      </c>
      <c r="D7070" t="s">
        <v>27</v>
      </c>
      <c r="E7070" t="s">
        <v>289</v>
      </c>
      <c r="F7070" t="s">
        <v>289</v>
      </c>
      <c r="G7070" t="s">
        <v>289</v>
      </c>
      <c r="H7070" t="s">
        <v>97</v>
      </c>
      <c r="I7070" t="s">
        <v>98</v>
      </c>
      <c r="J7070" t="str">
        <f>"1155010"</f>
        <v>1155010</v>
      </c>
      <c r="K7070">
        <v>2551041611</v>
      </c>
      <c r="L7070">
        <v>2551041616</v>
      </c>
      <c r="M7070" t="s">
        <v>291</v>
      </c>
      <c r="N7070" t="s">
        <v>292</v>
      </c>
      <c r="O7070" t="s">
        <v>293</v>
      </c>
      <c r="P7070">
        <v>68002</v>
      </c>
      <c r="Q7070" t="str">
        <f>"40.473522"</f>
        <v>40.473522</v>
      </c>
      <c r="R7070" t="str">
        <f>"25.495665"</f>
        <v>25.495665</v>
      </c>
      <c r="S7070" t="s">
        <v>57</v>
      </c>
    </row>
    <row r="7071" spans="1:19" x14ac:dyDescent="0.3">
      <c r="A7071" t="s">
        <v>19</v>
      </c>
      <c r="B7071" t="s">
        <v>202</v>
      </c>
      <c r="C7071" t="s">
        <v>375</v>
      </c>
      <c r="D7071" t="s">
        <v>27</v>
      </c>
      <c r="E7071" t="s">
        <v>221</v>
      </c>
      <c r="F7071" t="s">
        <v>221</v>
      </c>
      <c r="G7071" t="s">
        <v>221</v>
      </c>
      <c r="H7071" t="s">
        <v>97</v>
      </c>
      <c r="I7071" t="s">
        <v>98</v>
      </c>
      <c r="J7071" t="str">
        <f>"1154010"</f>
        <v>1154010</v>
      </c>
      <c r="K7071">
        <v>2552029407</v>
      </c>
      <c r="L7071">
        <v>2552027971</v>
      </c>
      <c r="M7071" t="s">
        <v>376</v>
      </c>
      <c r="N7071" t="s">
        <v>224</v>
      </c>
      <c r="O7071" t="s">
        <v>299</v>
      </c>
      <c r="P7071">
        <v>68200</v>
      </c>
      <c r="Q7071" t="str">
        <f>"41.504168"</f>
        <v>41.504168</v>
      </c>
      <c r="R7071" t="str">
        <f>"26.523561"</f>
        <v>26.523561</v>
      </c>
      <c r="S7071" t="s">
        <v>26</v>
      </c>
    </row>
    <row r="7072" spans="1:19" x14ac:dyDescent="0.3">
      <c r="A7072" t="s">
        <v>19</v>
      </c>
      <c r="B7072" t="s">
        <v>202</v>
      </c>
      <c r="C7072" t="s">
        <v>380</v>
      </c>
      <c r="D7072" t="s">
        <v>27</v>
      </c>
      <c r="E7072" t="s">
        <v>221</v>
      </c>
      <c r="F7072" t="s">
        <v>312</v>
      </c>
      <c r="G7072" t="s">
        <v>356</v>
      </c>
      <c r="H7072" t="s">
        <v>97</v>
      </c>
      <c r="I7072" t="s">
        <v>98</v>
      </c>
      <c r="J7072" t="str">
        <f>"1158010"</f>
        <v>1158010</v>
      </c>
      <c r="K7072">
        <v>2552071200</v>
      </c>
      <c r="L7072">
        <v>2552071200</v>
      </c>
      <c r="M7072" t="s">
        <v>381</v>
      </c>
      <c r="N7072" t="s">
        <v>382</v>
      </c>
      <c r="O7072" t="s">
        <v>360</v>
      </c>
      <c r="P7072">
        <v>68001</v>
      </c>
      <c r="Q7072" t="str">
        <f>"41.575854"</f>
        <v>41.575854</v>
      </c>
      <c r="R7072" t="str">
        <f>"26.529963"</f>
        <v>26.529963</v>
      </c>
      <c r="S7072" t="s">
        <v>26</v>
      </c>
    </row>
    <row r="7073" spans="1:19" x14ac:dyDescent="0.3">
      <c r="A7073" t="s">
        <v>19</v>
      </c>
      <c r="B7073" t="s">
        <v>202</v>
      </c>
      <c r="C7073" t="s">
        <v>392</v>
      </c>
      <c r="D7073" t="s">
        <v>27</v>
      </c>
      <c r="E7073" t="s">
        <v>264</v>
      </c>
      <c r="F7073" t="s">
        <v>384</v>
      </c>
      <c r="G7073" t="s">
        <v>384</v>
      </c>
      <c r="H7073" t="s">
        <v>97</v>
      </c>
      <c r="I7073" t="s">
        <v>98</v>
      </c>
      <c r="J7073" t="str">
        <f>"1160010"</f>
        <v>1160010</v>
      </c>
      <c r="K7073">
        <v>2554041515</v>
      </c>
      <c r="L7073">
        <v>2554041530</v>
      </c>
      <c r="M7073" t="s">
        <v>393</v>
      </c>
      <c r="N7073" t="s">
        <v>387</v>
      </c>
      <c r="O7073" t="s">
        <v>387</v>
      </c>
      <c r="P7073">
        <v>68003</v>
      </c>
      <c r="Q7073" t="str">
        <f>"41.027512"</f>
        <v>41.027512</v>
      </c>
      <c r="R7073" t="str">
        <f>"26.288287"</f>
        <v>26.288287</v>
      </c>
      <c r="S7073" t="s">
        <v>26</v>
      </c>
    </row>
    <row r="7074" spans="1:19" x14ac:dyDescent="0.3">
      <c r="A7074" t="s">
        <v>19</v>
      </c>
      <c r="B7074" t="s">
        <v>202</v>
      </c>
      <c r="C7074" t="s">
        <v>394</v>
      </c>
      <c r="D7074" t="s">
        <v>27</v>
      </c>
      <c r="E7074" t="s">
        <v>221</v>
      </c>
      <c r="F7074" t="s">
        <v>221</v>
      </c>
      <c r="G7074" t="s">
        <v>221</v>
      </c>
      <c r="H7074" t="s">
        <v>97</v>
      </c>
      <c r="I7074" t="s">
        <v>195</v>
      </c>
      <c r="J7074" t="str">
        <f>"1154015"</f>
        <v>1154015</v>
      </c>
      <c r="K7074">
        <v>2552081797</v>
      </c>
      <c r="L7074">
        <v>2552081797</v>
      </c>
      <c r="M7074" t="s">
        <v>395</v>
      </c>
      <c r="N7074" t="s">
        <v>224</v>
      </c>
      <c r="O7074" t="s">
        <v>225</v>
      </c>
      <c r="P7074">
        <v>68200</v>
      </c>
      <c r="Q7074" t="str">
        <f>"41.496371"</f>
        <v>41.496371</v>
      </c>
      <c r="R7074" t="str">
        <f>"26.535125"</f>
        <v>26.535125</v>
      </c>
      <c r="S7074" t="s">
        <v>26</v>
      </c>
    </row>
    <row r="7075" spans="1:19" x14ac:dyDescent="0.3">
      <c r="A7075" t="s">
        <v>19</v>
      </c>
      <c r="B7075" t="s">
        <v>410</v>
      </c>
      <c r="C7075" t="s">
        <v>427</v>
      </c>
      <c r="D7075" t="s">
        <v>426</v>
      </c>
      <c r="E7075" t="s">
        <v>426</v>
      </c>
      <c r="F7075" t="s">
        <v>426</v>
      </c>
      <c r="G7075" t="s">
        <v>426</v>
      </c>
      <c r="H7075" t="s">
        <v>97</v>
      </c>
      <c r="I7075" t="s">
        <v>98</v>
      </c>
      <c r="J7075" t="str">
        <f>"2154010"</f>
        <v>2154010</v>
      </c>
      <c r="K7075">
        <v>2593022707</v>
      </c>
      <c r="L7075">
        <v>2593023707</v>
      </c>
      <c r="M7075" t="s">
        <v>428</v>
      </c>
      <c r="N7075" t="s">
        <v>429</v>
      </c>
      <c r="O7075" t="s">
        <v>430</v>
      </c>
      <c r="P7075">
        <v>64004</v>
      </c>
      <c r="Q7075" t="str">
        <f>"40.777037"</f>
        <v>40.777037</v>
      </c>
      <c r="R7075" t="str">
        <f>"24.702118"</f>
        <v>24.702118</v>
      </c>
      <c r="S7075" t="s">
        <v>26</v>
      </c>
    </row>
    <row r="7076" spans="1:19" x14ac:dyDescent="0.3">
      <c r="A7076" t="s">
        <v>19</v>
      </c>
      <c r="B7076" t="s">
        <v>410</v>
      </c>
      <c r="C7076" t="s">
        <v>446</v>
      </c>
      <c r="D7076" t="s">
        <v>426</v>
      </c>
      <c r="E7076" t="s">
        <v>426</v>
      </c>
      <c r="F7076" t="s">
        <v>426</v>
      </c>
      <c r="G7076" t="s">
        <v>445</v>
      </c>
      <c r="H7076" t="s">
        <v>97</v>
      </c>
      <c r="I7076" t="s">
        <v>98</v>
      </c>
      <c r="J7076" t="str">
        <f>"2158010"</f>
        <v>2158010</v>
      </c>
      <c r="K7076">
        <v>2593051584</v>
      </c>
      <c r="L7076">
        <v>2593053324</v>
      </c>
      <c r="M7076" t="s">
        <v>447</v>
      </c>
      <c r="N7076" t="s">
        <v>448</v>
      </c>
      <c r="O7076" t="s">
        <v>449</v>
      </c>
      <c r="P7076">
        <v>64002</v>
      </c>
      <c r="Q7076" t="str">
        <f>"40.631052"</f>
        <v>40.631052</v>
      </c>
      <c r="R7076" t="str">
        <f>"24.573155"</f>
        <v>24.573155</v>
      </c>
      <c r="S7076" t="s">
        <v>26</v>
      </c>
    </row>
    <row r="7077" spans="1:19" x14ac:dyDescent="0.3">
      <c r="A7077" t="s">
        <v>19</v>
      </c>
      <c r="B7077" t="s">
        <v>410</v>
      </c>
      <c r="C7077" t="s">
        <v>451</v>
      </c>
      <c r="D7077" t="s">
        <v>33</v>
      </c>
      <c r="E7077" t="s">
        <v>33</v>
      </c>
      <c r="F7077" t="s">
        <v>33</v>
      </c>
      <c r="G7077" t="s">
        <v>33</v>
      </c>
      <c r="H7077" t="s">
        <v>97</v>
      </c>
      <c r="I7077" t="s">
        <v>98</v>
      </c>
      <c r="J7077" t="str">
        <f>"2151030"</f>
        <v>2151030</v>
      </c>
      <c r="K7077">
        <v>2510244067</v>
      </c>
      <c r="L7077">
        <v>2510244067</v>
      </c>
      <c r="M7077" t="s">
        <v>452</v>
      </c>
      <c r="N7077" t="s">
        <v>36</v>
      </c>
      <c r="O7077" t="s">
        <v>453</v>
      </c>
      <c r="P7077">
        <v>65110</v>
      </c>
      <c r="Q7077" t="str">
        <f>"40.940414"</f>
        <v>40.940414</v>
      </c>
      <c r="R7077" t="str">
        <f>"24.372049"</f>
        <v>24.372049</v>
      </c>
      <c r="S7077" t="s">
        <v>26</v>
      </c>
    </row>
    <row r="7078" spans="1:19" x14ac:dyDescent="0.3">
      <c r="A7078" t="s">
        <v>19</v>
      </c>
      <c r="B7078" t="s">
        <v>410</v>
      </c>
      <c r="C7078" t="s">
        <v>457</v>
      </c>
      <c r="D7078" t="s">
        <v>33</v>
      </c>
      <c r="E7078" t="s">
        <v>411</v>
      </c>
      <c r="F7078" t="s">
        <v>455</v>
      </c>
      <c r="G7078" t="s">
        <v>456</v>
      </c>
      <c r="H7078" t="s">
        <v>97</v>
      </c>
      <c r="I7078" t="s">
        <v>98</v>
      </c>
      <c r="J7078" t="str">
        <f>"2160010"</f>
        <v>2160010</v>
      </c>
      <c r="K7078">
        <v>2594021963</v>
      </c>
      <c r="L7078">
        <v>2594021963</v>
      </c>
      <c r="M7078" t="s">
        <v>458</v>
      </c>
      <c r="N7078" t="s">
        <v>459</v>
      </c>
      <c r="O7078" t="s">
        <v>460</v>
      </c>
      <c r="P7078">
        <v>64007</v>
      </c>
      <c r="Q7078" t="str">
        <f>"40.839260"</f>
        <v>40.839260</v>
      </c>
      <c r="R7078" t="str">
        <f>"24.298213"</f>
        <v>24.298213</v>
      </c>
      <c r="S7078" t="s">
        <v>26</v>
      </c>
    </row>
    <row r="7079" spans="1:19" x14ac:dyDescent="0.3">
      <c r="A7079" t="s">
        <v>19</v>
      </c>
      <c r="B7079" t="s">
        <v>410</v>
      </c>
      <c r="C7079" t="s">
        <v>463</v>
      </c>
      <c r="D7079" t="s">
        <v>33</v>
      </c>
      <c r="E7079" t="s">
        <v>411</v>
      </c>
      <c r="F7079" t="s">
        <v>418</v>
      </c>
      <c r="G7079" t="s">
        <v>419</v>
      </c>
      <c r="H7079" t="s">
        <v>97</v>
      </c>
      <c r="I7079" t="s">
        <v>98</v>
      </c>
      <c r="J7079" t="str">
        <f>"2155010"</f>
        <v>2155010</v>
      </c>
      <c r="K7079">
        <v>2592044941</v>
      </c>
      <c r="L7079">
        <v>2592044441</v>
      </c>
      <c r="M7079" t="s">
        <v>464</v>
      </c>
      <c r="N7079" t="s">
        <v>419</v>
      </c>
      <c r="O7079" t="s">
        <v>424</v>
      </c>
      <c r="P7079">
        <v>64008</v>
      </c>
      <c r="Q7079" t="str">
        <f>"40.830965"</f>
        <v>40.830965</v>
      </c>
      <c r="R7079" t="str">
        <f>"24.025231"</f>
        <v>24.025231</v>
      </c>
      <c r="S7079" t="s">
        <v>26</v>
      </c>
    </row>
    <row r="7080" spans="1:19" x14ac:dyDescent="0.3">
      <c r="A7080" t="s">
        <v>19</v>
      </c>
      <c r="B7080" t="s">
        <v>410</v>
      </c>
      <c r="C7080" t="s">
        <v>465</v>
      </c>
      <c r="D7080" t="s">
        <v>33</v>
      </c>
      <c r="E7080" t="s">
        <v>411</v>
      </c>
      <c r="F7080" t="s">
        <v>461</v>
      </c>
      <c r="G7080" t="s">
        <v>461</v>
      </c>
      <c r="H7080" t="s">
        <v>97</v>
      </c>
      <c r="I7080" t="s">
        <v>98</v>
      </c>
      <c r="J7080" t="str">
        <f>"2152010"</f>
        <v>2152010</v>
      </c>
      <c r="K7080">
        <v>2592022336</v>
      </c>
      <c r="L7080">
        <v>2592022713</v>
      </c>
      <c r="M7080" t="s">
        <v>466</v>
      </c>
      <c r="N7080" t="s">
        <v>461</v>
      </c>
      <c r="O7080" t="s">
        <v>467</v>
      </c>
      <c r="P7080">
        <v>64100</v>
      </c>
      <c r="Q7080" t="str">
        <f>"40.920164"</f>
        <v>40.920164</v>
      </c>
      <c r="R7080" t="str">
        <f>"24.259478"</f>
        <v>24.259478</v>
      </c>
      <c r="S7080" t="s">
        <v>26</v>
      </c>
    </row>
    <row r="7081" spans="1:19" x14ac:dyDescent="0.3">
      <c r="A7081" t="s">
        <v>19</v>
      </c>
      <c r="B7081" t="s">
        <v>410</v>
      </c>
      <c r="C7081" t="s">
        <v>471</v>
      </c>
      <c r="D7081" t="s">
        <v>33</v>
      </c>
      <c r="E7081" t="s">
        <v>469</v>
      </c>
      <c r="F7081" t="s">
        <v>470</v>
      </c>
      <c r="G7081" t="s">
        <v>470</v>
      </c>
      <c r="H7081" t="s">
        <v>97</v>
      </c>
      <c r="I7081" t="s">
        <v>98</v>
      </c>
      <c r="J7081" t="str">
        <f>"2153010"</f>
        <v>2153010</v>
      </c>
      <c r="K7081">
        <v>2591024197</v>
      </c>
      <c r="L7081">
        <v>2591022021</v>
      </c>
      <c r="M7081" t="s">
        <v>472</v>
      </c>
      <c r="N7081" t="s">
        <v>470</v>
      </c>
      <c r="O7081" t="s">
        <v>473</v>
      </c>
      <c r="P7081">
        <v>64200</v>
      </c>
      <c r="Q7081" t="str">
        <f>"40.987845"</f>
        <v>40.987845</v>
      </c>
      <c r="R7081" t="str">
        <f>"24.704264"</f>
        <v>24.704264</v>
      </c>
      <c r="S7081" t="s">
        <v>26</v>
      </c>
    </row>
    <row r="7082" spans="1:19" x14ac:dyDescent="0.3">
      <c r="A7082" t="s">
        <v>19</v>
      </c>
      <c r="B7082" t="s">
        <v>410</v>
      </c>
      <c r="C7082" t="s">
        <v>475</v>
      </c>
      <c r="D7082" t="s">
        <v>33</v>
      </c>
      <c r="E7082" t="s">
        <v>411</v>
      </c>
      <c r="F7082" t="s">
        <v>411</v>
      </c>
      <c r="G7082" t="s">
        <v>412</v>
      </c>
      <c r="H7082" t="s">
        <v>97</v>
      </c>
      <c r="I7082" t="s">
        <v>98</v>
      </c>
      <c r="J7082" t="str">
        <f>"2156010"</f>
        <v>2156010</v>
      </c>
      <c r="K7082">
        <v>2592061218</v>
      </c>
      <c r="L7082">
        <v>2592062220</v>
      </c>
      <c r="M7082" t="s">
        <v>476</v>
      </c>
      <c r="N7082" t="s">
        <v>477</v>
      </c>
      <c r="O7082" t="s">
        <v>478</v>
      </c>
      <c r="P7082">
        <v>64001</v>
      </c>
      <c r="Q7082" t="str">
        <f>"40.972654"</f>
        <v>40.972654</v>
      </c>
      <c r="R7082" t="str">
        <f>"24.144135"</f>
        <v>24.144135</v>
      </c>
      <c r="S7082" t="s">
        <v>26</v>
      </c>
    </row>
    <row r="7083" spans="1:19" x14ac:dyDescent="0.3">
      <c r="A7083" t="s">
        <v>19</v>
      </c>
      <c r="B7083" t="s">
        <v>410</v>
      </c>
      <c r="C7083" t="s">
        <v>479</v>
      </c>
      <c r="D7083" t="s">
        <v>33</v>
      </c>
      <c r="E7083" t="s">
        <v>33</v>
      </c>
      <c r="F7083" t="s">
        <v>33</v>
      </c>
      <c r="G7083" t="s">
        <v>33</v>
      </c>
      <c r="H7083" t="s">
        <v>97</v>
      </c>
      <c r="I7083" t="s">
        <v>98</v>
      </c>
      <c r="J7083" t="str">
        <f>"2151011"</f>
        <v>2151011</v>
      </c>
      <c r="K7083">
        <v>2512512565</v>
      </c>
      <c r="L7083">
        <v>2512512564</v>
      </c>
      <c r="M7083" t="s">
        <v>480</v>
      </c>
      <c r="N7083" t="s">
        <v>36</v>
      </c>
      <c r="O7083" t="s">
        <v>481</v>
      </c>
      <c r="P7083">
        <v>65404</v>
      </c>
      <c r="Q7083" t="str">
        <f>"40.938373"</f>
        <v>40.938373</v>
      </c>
      <c r="R7083" t="str">
        <f>"24.388542"</f>
        <v>24.388542</v>
      </c>
      <c r="S7083" t="s">
        <v>26</v>
      </c>
    </row>
    <row r="7084" spans="1:19" x14ac:dyDescent="0.3">
      <c r="A7084" t="s">
        <v>19</v>
      </c>
      <c r="B7084" t="s">
        <v>410</v>
      </c>
      <c r="C7084" t="s">
        <v>483</v>
      </c>
      <c r="D7084" t="s">
        <v>33</v>
      </c>
      <c r="E7084" t="s">
        <v>33</v>
      </c>
      <c r="F7084" t="s">
        <v>33</v>
      </c>
      <c r="G7084" t="s">
        <v>33</v>
      </c>
      <c r="H7084" t="s">
        <v>97</v>
      </c>
      <c r="I7084" t="s">
        <v>98</v>
      </c>
      <c r="J7084" t="str">
        <f>"2151010"</f>
        <v>2151010</v>
      </c>
      <c r="K7084">
        <v>2510223523</v>
      </c>
      <c r="L7084">
        <v>2510223588</v>
      </c>
      <c r="M7084" t="s">
        <v>484</v>
      </c>
      <c r="N7084" t="s">
        <v>33</v>
      </c>
      <c r="O7084" t="s">
        <v>485</v>
      </c>
      <c r="P7084">
        <v>65302</v>
      </c>
      <c r="Q7084" t="str">
        <f>"40.943565"</f>
        <v>40.943565</v>
      </c>
      <c r="R7084" t="str">
        <f>"24.417784"</f>
        <v>24.417784</v>
      </c>
      <c r="S7084" t="s">
        <v>26</v>
      </c>
    </row>
    <row r="7085" spans="1:19" x14ac:dyDescent="0.3">
      <c r="A7085" t="s">
        <v>19</v>
      </c>
      <c r="B7085" t="s">
        <v>410</v>
      </c>
      <c r="C7085" t="s">
        <v>556</v>
      </c>
      <c r="D7085" t="s">
        <v>33</v>
      </c>
      <c r="E7085" t="s">
        <v>33</v>
      </c>
      <c r="F7085" t="s">
        <v>520</v>
      </c>
      <c r="G7085" t="s">
        <v>555</v>
      </c>
      <c r="H7085" t="s">
        <v>97</v>
      </c>
      <c r="I7085" t="s">
        <v>98</v>
      </c>
      <c r="J7085" t="str">
        <f>"2157010"</f>
        <v>2157010</v>
      </c>
      <c r="K7085">
        <v>2510516211</v>
      </c>
      <c r="L7085">
        <v>2510622812</v>
      </c>
      <c r="M7085" t="s">
        <v>557</v>
      </c>
      <c r="N7085" t="s">
        <v>558</v>
      </c>
      <c r="O7085" t="s">
        <v>559</v>
      </c>
      <c r="P7085">
        <v>64003</v>
      </c>
      <c r="Q7085" t="str">
        <f>"41.012795"</f>
        <v>41.012795</v>
      </c>
      <c r="R7085" t="str">
        <f>"24.295395"</f>
        <v>24.295395</v>
      </c>
      <c r="S7085" t="s">
        <v>26</v>
      </c>
    </row>
    <row r="7086" spans="1:19" x14ac:dyDescent="0.3">
      <c r="A7086" t="s">
        <v>19</v>
      </c>
      <c r="B7086" t="s">
        <v>410</v>
      </c>
      <c r="C7086" t="s">
        <v>581</v>
      </c>
      <c r="D7086" t="s">
        <v>33</v>
      </c>
      <c r="E7086" t="s">
        <v>33</v>
      </c>
      <c r="F7086" t="s">
        <v>33</v>
      </c>
      <c r="G7086" t="s">
        <v>33</v>
      </c>
      <c r="H7086" t="s">
        <v>97</v>
      </c>
      <c r="I7086" t="s">
        <v>98</v>
      </c>
      <c r="J7086" t="str">
        <f>"2151009"</f>
        <v>2151009</v>
      </c>
      <c r="K7086">
        <v>2512512560</v>
      </c>
      <c r="L7086">
        <v>2512517570</v>
      </c>
      <c r="M7086" t="s">
        <v>582</v>
      </c>
      <c r="N7086" t="s">
        <v>36</v>
      </c>
      <c r="O7086" t="s">
        <v>583</v>
      </c>
      <c r="P7086">
        <v>65403</v>
      </c>
      <c r="Q7086" t="str">
        <f>"40.935162"</f>
        <v>40.935162</v>
      </c>
      <c r="R7086" t="str">
        <f>"24.397648"</f>
        <v>24.397648</v>
      </c>
      <c r="S7086" t="s">
        <v>26</v>
      </c>
    </row>
    <row r="7087" spans="1:19" x14ac:dyDescent="0.3">
      <c r="A7087" t="s">
        <v>19</v>
      </c>
      <c r="B7087" t="s">
        <v>410</v>
      </c>
      <c r="C7087" t="s">
        <v>584</v>
      </c>
      <c r="D7087" t="s">
        <v>33</v>
      </c>
      <c r="E7087" t="s">
        <v>33</v>
      </c>
      <c r="F7087" t="s">
        <v>33</v>
      </c>
      <c r="G7087" t="s">
        <v>33</v>
      </c>
      <c r="H7087" t="s">
        <v>97</v>
      </c>
      <c r="I7087" t="s">
        <v>98</v>
      </c>
      <c r="J7087" t="str">
        <f>"2151020"</f>
        <v>2151020</v>
      </c>
      <c r="K7087">
        <v>2510230796</v>
      </c>
      <c r="L7087">
        <v>2510230786</v>
      </c>
      <c r="M7087" t="s">
        <v>585</v>
      </c>
      <c r="N7087" t="s">
        <v>36</v>
      </c>
      <c r="O7087" t="s">
        <v>579</v>
      </c>
      <c r="P7087">
        <v>65403</v>
      </c>
      <c r="Q7087" t="str">
        <f>"40.944808"</f>
        <v>40.944808</v>
      </c>
      <c r="R7087" t="str">
        <f>"24.402209"</f>
        <v>24.402209</v>
      </c>
      <c r="S7087" t="s">
        <v>26</v>
      </c>
    </row>
    <row r="7088" spans="1:19" x14ac:dyDescent="0.3">
      <c r="A7088" t="s">
        <v>19</v>
      </c>
      <c r="B7088" t="s">
        <v>593</v>
      </c>
      <c r="C7088" t="s">
        <v>600</v>
      </c>
      <c r="D7088" t="s">
        <v>38</v>
      </c>
      <c r="E7088" t="s">
        <v>38</v>
      </c>
      <c r="F7088" t="s">
        <v>38</v>
      </c>
      <c r="G7088" t="s">
        <v>38</v>
      </c>
      <c r="H7088" t="s">
        <v>97</v>
      </c>
      <c r="I7088" t="s">
        <v>195</v>
      </c>
      <c r="J7088" t="str">
        <f>"3751048"</f>
        <v>3751048</v>
      </c>
      <c r="K7088">
        <v>2541084663</v>
      </c>
      <c r="L7088">
        <v>2541084663</v>
      </c>
      <c r="M7088" t="s">
        <v>601</v>
      </c>
      <c r="N7088" t="s">
        <v>41</v>
      </c>
      <c r="O7088" t="s">
        <v>602</v>
      </c>
      <c r="P7088">
        <v>67131</v>
      </c>
      <c r="Q7088" t="str">
        <f>"41.133456"</f>
        <v>41.133456</v>
      </c>
      <c r="R7088" t="str">
        <f>"24.893405"</f>
        <v>24.893405</v>
      </c>
      <c r="S7088" t="s">
        <v>26</v>
      </c>
    </row>
    <row r="7089" spans="1:19" x14ac:dyDescent="0.3">
      <c r="A7089" t="s">
        <v>19</v>
      </c>
      <c r="B7089" t="s">
        <v>593</v>
      </c>
      <c r="C7089" t="s">
        <v>626</v>
      </c>
      <c r="D7089" t="s">
        <v>38</v>
      </c>
      <c r="E7089" t="s">
        <v>604</v>
      </c>
      <c r="F7089" t="s">
        <v>604</v>
      </c>
      <c r="G7089" t="s">
        <v>604</v>
      </c>
      <c r="H7089" t="s">
        <v>97</v>
      </c>
      <c r="I7089" t="s">
        <v>98</v>
      </c>
      <c r="J7089" t="str">
        <f>"3753010"</f>
        <v>3753010</v>
      </c>
      <c r="K7089">
        <v>2541051382</v>
      </c>
      <c r="L7089">
        <v>2541051482</v>
      </c>
      <c r="M7089" t="s">
        <v>627</v>
      </c>
      <c r="N7089" t="s">
        <v>628</v>
      </c>
      <c r="O7089" t="s">
        <v>629</v>
      </c>
      <c r="P7089">
        <v>67064</v>
      </c>
      <c r="Q7089" t="str">
        <f>"40.978804"</f>
        <v>40.978804</v>
      </c>
      <c r="R7089" t="str">
        <f>"24.951910"</f>
        <v>24.951910</v>
      </c>
      <c r="S7089" t="s">
        <v>26</v>
      </c>
    </row>
    <row r="7090" spans="1:19" x14ac:dyDescent="0.3">
      <c r="A7090" t="s">
        <v>19</v>
      </c>
      <c r="B7090" t="s">
        <v>593</v>
      </c>
      <c r="C7090" t="s">
        <v>631</v>
      </c>
      <c r="D7090" t="s">
        <v>38</v>
      </c>
      <c r="E7090" t="s">
        <v>38</v>
      </c>
      <c r="F7090" t="s">
        <v>38</v>
      </c>
      <c r="G7090" t="s">
        <v>38</v>
      </c>
      <c r="H7090" t="s">
        <v>97</v>
      </c>
      <c r="I7090" t="s">
        <v>98</v>
      </c>
      <c r="J7090" t="str">
        <f>"3751010"</f>
        <v>3751010</v>
      </c>
      <c r="K7090">
        <v>2541022162</v>
      </c>
      <c r="L7090">
        <v>2541083061</v>
      </c>
      <c r="M7090" t="s">
        <v>632</v>
      </c>
      <c r="N7090" t="s">
        <v>41</v>
      </c>
      <c r="O7090" t="s">
        <v>633</v>
      </c>
      <c r="P7090">
        <v>67100</v>
      </c>
      <c r="Q7090" t="str">
        <f>"41.132242"</f>
        <v>41.132242</v>
      </c>
      <c r="R7090" t="str">
        <f>"24.872286"</f>
        <v>24.872286</v>
      </c>
      <c r="S7090" t="s">
        <v>26</v>
      </c>
    </row>
    <row r="7091" spans="1:19" x14ac:dyDescent="0.3">
      <c r="A7091" t="s">
        <v>19</v>
      </c>
      <c r="B7091" t="s">
        <v>593</v>
      </c>
      <c r="C7091" t="s">
        <v>645</v>
      </c>
      <c r="D7091" t="s">
        <v>38</v>
      </c>
      <c r="E7091" t="s">
        <v>638</v>
      </c>
      <c r="F7091" t="s">
        <v>638</v>
      </c>
      <c r="G7091" t="s">
        <v>638</v>
      </c>
      <c r="H7091" t="s">
        <v>97</v>
      </c>
      <c r="I7091" t="s">
        <v>98</v>
      </c>
      <c r="J7091" t="str">
        <f>"3754090"</f>
        <v>3754090</v>
      </c>
      <c r="K7091">
        <v>2544022333</v>
      </c>
      <c r="L7091">
        <v>2544023222</v>
      </c>
      <c r="M7091" t="s">
        <v>646</v>
      </c>
      <c r="N7091" t="s">
        <v>647</v>
      </c>
      <c r="O7091" t="s">
        <v>641</v>
      </c>
      <c r="P7091">
        <v>67300</v>
      </c>
      <c r="Q7091" t="str">
        <f>"41.258808"</f>
        <v>41.258808</v>
      </c>
      <c r="R7091" t="str">
        <f>"24.929328"</f>
        <v>24.929328</v>
      </c>
      <c r="S7091" t="s">
        <v>26</v>
      </c>
    </row>
    <row r="7092" spans="1:19" x14ac:dyDescent="0.3">
      <c r="A7092" t="s">
        <v>19</v>
      </c>
      <c r="B7092" t="s">
        <v>593</v>
      </c>
      <c r="C7092" t="s">
        <v>648</v>
      </c>
      <c r="D7092" t="s">
        <v>38</v>
      </c>
      <c r="E7092" t="s">
        <v>38</v>
      </c>
      <c r="F7092" t="s">
        <v>38</v>
      </c>
      <c r="G7092" t="s">
        <v>38</v>
      </c>
      <c r="H7092" t="s">
        <v>97</v>
      </c>
      <c r="I7092" t="s">
        <v>98</v>
      </c>
      <c r="J7092" t="str">
        <f>"3790040"</f>
        <v>3790040</v>
      </c>
      <c r="K7092">
        <v>2541025535</v>
      </c>
      <c r="L7092">
        <v>2541066005</v>
      </c>
      <c r="M7092" t="s">
        <v>649</v>
      </c>
      <c r="N7092" t="s">
        <v>41</v>
      </c>
      <c r="O7092" t="s">
        <v>613</v>
      </c>
      <c r="P7092">
        <v>67100</v>
      </c>
      <c r="Q7092" t="str">
        <f>"41.124266"</f>
        <v>41.124266</v>
      </c>
      <c r="R7092" t="str">
        <f>"24.876560"</f>
        <v>24.876560</v>
      </c>
      <c r="S7092" t="s">
        <v>26</v>
      </c>
    </row>
    <row r="7093" spans="1:19" x14ac:dyDescent="0.3">
      <c r="A7093" t="s">
        <v>19</v>
      </c>
      <c r="B7093" t="s">
        <v>593</v>
      </c>
      <c r="C7093" t="s">
        <v>650</v>
      </c>
      <c r="D7093" t="s">
        <v>38</v>
      </c>
      <c r="E7093" t="s">
        <v>38</v>
      </c>
      <c r="F7093" t="s">
        <v>38</v>
      </c>
      <c r="G7093" t="s">
        <v>38</v>
      </c>
      <c r="H7093" t="s">
        <v>97</v>
      </c>
      <c r="I7093" t="s">
        <v>98</v>
      </c>
      <c r="J7093" t="str">
        <f>"3751020"</f>
        <v>3751020</v>
      </c>
      <c r="K7093">
        <v>2541083310</v>
      </c>
      <c r="L7093">
        <v>2541022447</v>
      </c>
      <c r="M7093" t="s">
        <v>651</v>
      </c>
      <c r="N7093" t="s">
        <v>41</v>
      </c>
      <c r="O7093" t="s">
        <v>652</v>
      </c>
      <c r="P7093">
        <v>67131</v>
      </c>
      <c r="Q7093" t="str">
        <f>"41.127629"</f>
        <v>41.127629</v>
      </c>
      <c r="R7093" t="str">
        <f>"24.888337"</f>
        <v>24.888337</v>
      </c>
      <c r="S7093" t="s">
        <v>26</v>
      </c>
    </row>
    <row r="7094" spans="1:19" x14ac:dyDescent="0.3">
      <c r="A7094" t="s">
        <v>19</v>
      </c>
      <c r="B7094" t="s">
        <v>593</v>
      </c>
      <c r="C7094" t="s">
        <v>691</v>
      </c>
      <c r="D7094" t="s">
        <v>38</v>
      </c>
      <c r="E7094" t="s">
        <v>38</v>
      </c>
      <c r="F7094" t="s">
        <v>38</v>
      </c>
      <c r="G7094" t="s">
        <v>38</v>
      </c>
      <c r="H7094" t="s">
        <v>97</v>
      </c>
      <c r="I7094" t="s">
        <v>98</v>
      </c>
      <c r="J7094" t="str">
        <f>"3751025"</f>
        <v>3751025</v>
      </c>
      <c r="K7094">
        <v>2541072992</v>
      </c>
      <c r="L7094">
        <v>2541072125</v>
      </c>
      <c r="M7094" t="s">
        <v>692</v>
      </c>
      <c r="N7094" t="s">
        <v>41</v>
      </c>
      <c r="O7094" t="s">
        <v>693</v>
      </c>
      <c r="P7094">
        <v>67132</v>
      </c>
      <c r="Q7094" t="str">
        <f>"41.142900"</f>
        <v>41.142900</v>
      </c>
      <c r="R7094" t="str">
        <f>"24.879582"</f>
        <v>24.879582</v>
      </c>
      <c r="S7094" t="s">
        <v>26</v>
      </c>
    </row>
    <row r="7095" spans="1:19" x14ac:dyDescent="0.3">
      <c r="A7095" t="s">
        <v>19</v>
      </c>
      <c r="B7095" t="s">
        <v>740</v>
      </c>
      <c r="C7095" t="s">
        <v>741</v>
      </c>
      <c r="D7095" t="s">
        <v>43</v>
      </c>
      <c r="E7095" t="s">
        <v>44</v>
      </c>
      <c r="F7095" t="s">
        <v>44</v>
      </c>
      <c r="G7095" t="s">
        <v>44</v>
      </c>
      <c r="H7095" t="s">
        <v>97</v>
      </c>
      <c r="I7095" t="s">
        <v>98</v>
      </c>
      <c r="J7095" t="str">
        <f>"4251009"</f>
        <v>4251009</v>
      </c>
      <c r="K7095">
        <v>2531037586</v>
      </c>
      <c r="L7095">
        <v>2531072093</v>
      </c>
      <c r="M7095" t="s">
        <v>742</v>
      </c>
      <c r="N7095" t="s">
        <v>743</v>
      </c>
      <c r="O7095" t="s">
        <v>744</v>
      </c>
      <c r="P7095">
        <v>69132</v>
      </c>
      <c r="Q7095" t="str">
        <f>"41.122342"</f>
        <v>41.122342</v>
      </c>
      <c r="R7095" t="str">
        <f>"25.397375"</f>
        <v>25.397375</v>
      </c>
      <c r="S7095" t="s">
        <v>26</v>
      </c>
    </row>
    <row r="7096" spans="1:19" x14ac:dyDescent="0.3">
      <c r="A7096" t="s">
        <v>19</v>
      </c>
      <c r="B7096" t="s">
        <v>740</v>
      </c>
      <c r="C7096" t="s">
        <v>749</v>
      </c>
      <c r="D7096" t="s">
        <v>43</v>
      </c>
      <c r="E7096" t="s">
        <v>746</v>
      </c>
      <c r="F7096" t="s">
        <v>747</v>
      </c>
      <c r="G7096" t="s">
        <v>748</v>
      </c>
      <c r="H7096" t="s">
        <v>97</v>
      </c>
      <c r="I7096" t="s">
        <v>98</v>
      </c>
      <c r="J7096" t="str">
        <f>"4254010"</f>
        <v>4254010</v>
      </c>
      <c r="K7096">
        <v>2533022206</v>
      </c>
      <c r="L7096">
        <v>2533022206</v>
      </c>
      <c r="M7096" t="s">
        <v>750</v>
      </c>
      <c r="N7096" t="s">
        <v>751</v>
      </c>
      <c r="O7096" t="s">
        <v>752</v>
      </c>
      <c r="P7096">
        <v>69400</v>
      </c>
      <c r="Q7096" t="str">
        <f>"40.972203"</f>
        <v>40.972203</v>
      </c>
      <c r="R7096" t="str">
        <f>"25.423148"</f>
        <v>25.423148</v>
      </c>
      <c r="S7096" t="s">
        <v>26</v>
      </c>
    </row>
    <row r="7097" spans="1:19" x14ac:dyDescent="0.3">
      <c r="A7097" t="s">
        <v>19</v>
      </c>
      <c r="B7097" t="s">
        <v>740</v>
      </c>
      <c r="C7097" t="s">
        <v>762</v>
      </c>
      <c r="D7097" t="s">
        <v>43</v>
      </c>
      <c r="E7097" t="s">
        <v>44</v>
      </c>
      <c r="F7097" t="s">
        <v>44</v>
      </c>
      <c r="G7097" t="s">
        <v>44</v>
      </c>
      <c r="H7097" t="s">
        <v>97</v>
      </c>
      <c r="I7097" t="s">
        <v>98</v>
      </c>
      <c r="J7097" t="str">
        <f>"4251020"</f>
        <v>4251020</v>
      </c>
      <c r="K7097">
        <v>2531022748</v>
      </c>
      <c r="L7097">
        <v>2531072225</v>
      </c>
      <c r="M7097" t="s">
        <v>763</v>
      </c>
      <c r="N7097" t="s">
        <v>756</v>
      </c>
      <c r="O7097" t="s">
        <v>764</v>
      </c>
      <c r="P7097">
        <v>69131</v>
      </c>
      <c r="Q7097" t="str">
        <f>"41.150896"</f>
        <v>41.150896</v>
      </c>
      <c r="R7097" t="str">
        <f>"25.425968"</f>
        <v>25.425968</v>
      </c>
      <c r="S7097" t="s">
        <v>26</v>
      </c>
    </row>
    <row r="7098" spans="1:19" x14ac:dyDescent="0.3">
      <c r="A7098" t="s">
        <v>19</v>
      </c>
      <c r="B7098" t="s">
        <v>740</v>
      </c>
      <c r="C7098" t="s">
        <v>768</v>
      </c>
      <c r="D7098" t="s">
        <v>43</v>
      </c>
      <c r="E7098" t="s">
        <v>44</v>
      </c>
      <c r="F7098" t="s">
        <v>44</v>
      </c>
      <c r="G7098" t="s">
        <v>44</v>
      </c>
      <c r="H7098" t="s">
        <v>97</v>
      </c>
      <c r="I7098" t="s">
        <v>98</v>
      </c>
      <c r="J7098" t="str">
        <f>"4251010"</f>
        <v>4251010</v>
      </c>
      <c r="K7098">
        <v>2531022527</v>
      </c>
      <c r="L7098">
        <v>2531022010</v>
      </c>
      <c r="M7098" t="s">
        <v>769</v>
      </c>
      <c r="N7098" t="s">
        <v>47</v>
      </c>
      <c r="O7098" t="s">
        <v>770</v>
      </c>
      <c r="P7098">
        <v>69100</v>
      </c>
      <c r="Q7098" t="str">
        <f>"41.122316"</f>
        <v>41.122316</v>
      </c>
      <c r="R7098" t="str">
        <f>"25.389474"</f>
        <v>25.389474</v>
      </c>
      <c r="S7098" t="s">
        <v>26</v>
      </c>
    </row>
    <row r="7099" spans="1:19" x14ac:dyDescent="0.3">
      <c r="A7099" t="s">
        <v>19</v>
      </c>
      <c r="B7099" t="s">
        <v>740</v>
      </c>
      <c r="C7099" t="s">
        <v>773</v>
      </c>
      <c r="D7099" t="s">
        <v>43</v>
      </c>
      <c r="E7099" t="s">
        <v>746</v>
      </c>
      <c r="F7099" t="s">
        <v>771</v>
      </c>
      <c r="G7099" t="s">
        <v>771</v>
      </c>
      <c r="H7099" t="s">
        <v>97</v>
      </c>
      <c r="I7099" t="s">
        <v>772</v>
      </c>
      <c r="J7099" t="str">
        <f>"4252010"</f>
        <v>4252010</v>
      </c>
      <c r="K7099">
        <v>2532022640</v>
      </c>
      <c r="L7099">
        <v>2532023710</v>
      </c>
      <c r="M7099" t="s">
        <v>774</v>
      </c>
      <c r="N7099" t="s">
        <v>775</v>
      </c>
      <c r="O7099" t="s">
        <v>776</v>
      </c>
      <c r="P7099">
        <v>69300</v>
      </c>
      <c r="Q7099" t="str">
        <f>"41.021616"</f>
        <v>41.021616</v>
      </c>
      <c r="R7099" t="str">
        <f>"25.703503"</f>
        <v>25.703503</v>
      </c>
      <c r="S7099" t="s">
        <v>26</v>
      </c>
    </row>
    <row r="7100" spans="1:19" x14ac:dyDescent="0.3">
      <c r="A7100" t="s">
        <v>19</v>
      </c>
      <c r="B7100" t="s">
        <v>740</v>
      </c>
      <c r="C7100" t="s">
        <v>779</v>
      </c>
      <c r="D7100" t="s">
        <v>43</v>
      </c>
      <c r="E7100" t="s">
        <v>778</v>
      </c>
      <c r="F7100" t="s">
        <v>778</v>
      </c>
      <c r="G7100" t="s">
        <v>778</v>
      </c>
      <c r="H7100" t="s">
        <v>97</v>
      </c>
      <c r="I7100" t="s">
        <v>98</v>
      </c>
      <c r="J7100" t="str">
        <f>"4253010"</f>
        <v>4253010</v>
      </c>
      <c r="K7100">
        <v>2534022156</v>
      </c>
      <c r="L7100">
        <v>2534022832</v>
      </c>
      <c r="M7100" t="s">
        <v>780</v>
      </c>
      <c r="N7100" t="s">
        <v>781</v>
      </c>
      <c r="O7100" t="s">
        <v>782</v>
      </c>
      <c r="P7100">
        <v>69200</v>
      </c>
      <c r="Q7100" t="str">
        <f>"41.124615"</f>
        <v>41.124615</v>
      </c>
      <c r="R7100" t="str">
        <f>"25.178226"</f>
        <v>25.178226</v>
      </c>
      <c r="S7100" t="s">
        <v>26</v>
      </c>
    </row>
    <row r="7101" spans="1:19" x14ac:dyDescent="0.3">
      <c r="A7101" t="s">
        <v>19</v>
      </c>
      <c r="B7101" t="s">
        <v>740</v>
      </c>
      <c r="C7101" t="s">
        <v>849</v>
      </c>
      <c r="D7101" t="s">
        <v>43</v>
      </c>
      <c r="E7101" t="s">
        <v>44</v>
      </c>
      <c r="F7101" t="s">
        <v>44</v>
      </c>
      <c r="G7101" t="s">
        <v>44</v>
      </c>
      <c r="H7101" t="s">
        <v>97</v>
      </c>
      <c r="I7101" t="s">
        <v>195</v>
      </c>
      <c r="J7101" t="str">
        <f>"4245001"</f>
        <v>4245001</v>
      </c>
      <c r="K7101">
        <v>2531081218</v>
      </c>
      <c r="L7101">
        <v>2531081218</v>
      </c>
      <c r="M7101" t="s">
        <v>850</v>
      </c>
      <c r="N7101" t="s">
        <v>47</v>
      </c>
      <c r="O7101" t="s">
        <v>744</v>
      </c>
      <c r="P7101">
        <v>69132</v>
      </c>
      <c r="Q7101" t="str">
        <f>"41.122463"</f>
        <v>41.122463</v>
      </c>
      <c r="R7101" t="str">
        <f>"25.397811"</f>
        <v>25.397811</v>
      </c>
      <c r="S7101" t="s">
        <v>26</v>
      </c>
    </row>
    <row r="7102" spans="1:19" x14ac:dyDescent="0.3">
      <c r="A7102" t="s">
        <v>3237</v>
      </c>
      <c r="B7102" t="s">
        <v>3307</v>
      </c>
      <c r="C7102" t="s">
        <v>3308</v>
      </c>
      <c r="D7102" t="s">
        <v>3238</v>
      </c>
      <c r="E7102" t="s">
        <v>3239</v>
      </c>
      <c r="F7102" t="s">
        <v>3239</v>
      </c>
      <c r="G7102" t="s">
        <v>3240</v>
      </c>
      <c r="H7102" t="s">
        <v>97</v>
      </c>
      <c r="I7102" t="s">
        <v>98</v>
      </c>
      <c r="J7102" t="str">
        <f>"0551070"</f>
        <v>0551070</v>
      </c>
      <c r="K7102">
        <v>2108838441</v>
      </c>
      <c r="L7102">
        <v>2108824839</v>
      </c>
      <c r="M7102" t="s">
        <v>3309</v>
      </c>
      <c r="N7102" t="s">
        <v>3284</v>
      </c>
      <c r="O7102" t="s">
        <v>3310</v>
      </c>
      <c r="P7102">
        <v>10438</v>
      </c>
      <c r="Q7102" t="str">
        <f>"37.990595"</f>
        <v>37.990595</v>
      </c>
      <c r="R7102" t="str">
        <f>"23.721489"</f>
        <v>23.721489</v>
      </c>
      <c r="S7102" t="s">
        <v>26</v>
      </c>
    </row>
    <row r="7103" spans="1:19" x14ac:dyDescent="0.3">
      <c r="A7103" t="s">
        <v>3237</v>
      </c>
      <c r="B7103" t="s">
        <v>3307</v>
      </c>
      <c r="C7103" t="s">
        <v>3328</v>
      </c>
      <c r="D7103" t="s">
        <v>3238</v>
      </c>
      <c r="E7103" t="s">
        <v>3317</v>
      </c>
      <c r="F7103" t="s">
        <v>3317</v>
      </c>
      <c r="G7103" t="s">
        <v>3317</v>
      </c>
      <c r="H7103" t="s">
        <v>97</v>
      </c>
      <c r="I7103" t="s">
        <v>98</v>
      </c>
      <c r="J7103" t="str">
        <f>"0551540"</f>
        <v>0551540</v>
      </c>
      <c r="K7103">
        <v>2107773542</v>
      </c>
      <c r="L7103">
        <v>2107755024</v>
      </c>
      <c r="M7103" t="s">
        <v>3329</v>
      </c>
      <c r="N7103" t="s">
        <v>3317</v>
      </c>
      <c r="O7103" t="s">
        <v>3330</v>
      </c>
      <c r="P7103">
        <v>15772</v>
      </c>
      <c r="Q7103" t="str">
        <f>"37.971520"</f>
        <v>37.971520</v>
      </c>
      <c r="R7103" t="str">
        <f>"23.779954"</f>
        <v>23.779954</v>
      </c>
      <c r="S7103" t="s">
        <v>26</v>
      </c>
    </row>
    <row r="7104" spans="1:19" x14ac:dyDescent="0.3">
      <c r="A7104" t="s">
        <v>3237</v>
      </c>
      <c r="B7104" t="s">
        <v>3307</v>
      </c>
      <c r="C7104" t="s">
        <v>3332</v>
      </c>
      <c r="D7104" t="s">
        <v>3238</v>
      </c>
      <c r="E7104" t="s">
        <v>3239</v>
      </c>
      <c r="F7104" t="s">
        <v>3239</v>
      </c>
      <c r="G7104" t="s">
        <v>3281</v>
      </c>
      <c r="H7104" t="s">
        <v>97</v>
      </c>
      <c r="I7104" t="s">
        <v>98</v>
      </c>
      <c r="J7104" t="str">
        <f>"0551200"</f>
        <v>0551200</v>
      </c>
      <c r="K7104">
        <v>2107018008</v>
      </c>
      <c r="L7104">
        <v>2107017959</v>
      </c>
      <c r="M7104" t="s">
        <v>3333</v>
      </c>
      <c r="N7104" t="s">
        <v>3284</v>
      </c>
      <c r="O7104" t="s">
        <v>3334</v>
      </c>
      <c r="P7104">
        <v>11636</v>
      </c>
      <c r="Q7104" t="str">
        <f>"37.964357"</f>
        <v>37.964357</v>
      </c>
      <c r="R7104" t="str">
        <f>"23.739858"</f>
        <v>23.739858</v>
      </c>
      <c r="S7104" t="s">
        <v>26</v>
      </c>
    </row>
    <row r="7105" spans="1:19" x14ac:dyDescent="0.3">
      <c r="A7105" t="s">
        <v>3237</v>
      </c>
      <c r="B7105" t="s">
        <v>3307</v>
      </c>
      <c r="C7105" t="s">
        <v>3336</v>
      </c>
      <c r="D7105" t="s">
        <v>3238</v>
      </c>
      <c r="E7105" t="s">
        <v>3239</v>
      </c>
      <c r="F7105" t="s">
        <v>3239</v>
      </c>
      <c r="G7105" t="s">
        <v>3240</v>
      </c>
      <c r="H7105" t="s">
        <v>97</v>
      </c>
      <c r="I7105" t="s">
        <v>98</v>
      </c>
      <c r="J7105" t="str">
        <f>"0551198"</f>
        <v>0551198</v>
      </c>
      <c r="K7105">
        <v>2108232578</v>
      </c>
      <c r="L7105">
        <v>2108232578</v>
      </c>
      <c r="M7105" t="s">
        <v>3337</v>
      </c>
      <c r="N7105" t="s">
        <v>3325</v>
      </c>
      <c r="O7105" t="s">
        <v>3338</v>
      </c>
      <c r="P7105">
        <v>10434</v>
      </c>
      <c r="Q7105" t="str">
        <f>"38.000693"</f>
        <v>38.000693</v>
      </c>
      <c r="R7105" t="str">
        <f>"23.728632"</f>
        <v>23.728632</v>
      </c>
      <c r="S7105" t="s">
        <v>26</v>
      </c>
    </row>
    <row r="7106" spans="1:19" x14ac:dyDescent="0.3">
      <c r="A7106" t="s">
        <v>3237</v>
      </c>
      <c r="B7106" t="s">
        <v>3307</v>
      </c>
      <c r="C7106" t="s">
        <v>3341</v>
      </c>
      <c r="D7106" t="s">
        <v>3238</v>
      </c>
      <c r="E7106" t="s">
        <v>3239</v>
      </c>
      <c r="F7106" t="s">
        <v>3239</v>
      </c>
      <c r="G7106" t="s">
        <v>3340</v>
      </c>
      <c r="H7106" t="s">
        <v>97</v>
      </c>
      <c r="I7106" t="s">
        <v>98</v>
      </c>
      <c r="J7106" t="str">
        <f>"0551190"</f>
        <v>0551190</v>
      </c>
      <c r="K7106">
        <v>2106911870</v>
      </c>
      <c r="L7106">
        <v>2106911870</v>
      </c>
      <c r="M7106" t="s">
        <v>3342</v>
      </c>
      <c r="N7106" t="s">
        <v>3284</v>
      </c>
      <c r="O7106" t="s">
        <v>3343</v>
      </c>
      <c r="P7106">
        <v>11524</v>
      </c>
      <c r="Q7106" t="str">
        <f>"37.993113"</f>
        <v>37.993113</v>
      </c>
      <c r="R7106" t="str">
        <f>"23.762891"</f>
        <v>23.762891</v>
      </c>
      <c r="S7106" t="s">
        <v>26</v>
      </c>
    </row>
    <row r="7107" spans="1:19" x14ac:dyDescent="0.3">
      <c r="A7107" t="s">
        <v>3237</v>
      </c>
      <c r="B7107" t="s">
        <v>3307</v>
      </c>
      <c r="C7107" t="s">
        <v>3347</v>
      </c>
      <c r="D7107" t="s">
        <v>3238</v>
      </c>
      <c r="E7107" t="s">
        <v>3239</v>
      </c>
      <c r="F7107" t="s">
        <v>3239</v>
      </c>
      <c r="G7107" t="s">
        <v>3346</v>
      </c>
      <c r="H7107" t="s">
        <v>97</v>
      </c>
      <c r="I7107" t="s">
        <v>98</v>
      </c>
      <c r="J7107" t="str">
        <f>"0551697"</f>
        <v>0551697</v>
      </c>
      <c r="K7107">
        <v>2102284300</v>
      </c>
      <c r="L7107">
        <v>2102284300</v>
      </c>
      <c r="M7107" t="s">
        <v>3348</v>
      </c>
      <c r="N7107" t="s">
        <v>3325</v>
      </c>
      <c r="O7107" t="s">
        <v>3349</v>
      </c>
      <c r="P7107">
        <v>11143</v>
      </c>
      <c r="Q7107" t="str">
        <f>"38.022088"</f>
        <v>38.022088</v>
      </c>
      <c r="R7107" t="str">
        <f>"23.729799"</f>
        <v>23.729799</v>
      </c>
      <c r="S7107" t="s">
        <v>26</v>
      </c>
    </row>
    <row r="7108" spans="1:19" x14ac:dyDescent="0.3">
      <c r="A7108" t="s">
        <v>3237</v>
      </c>
      <c r="B7108" t="s">
        <v>3307</v>
      </c>
      <c r="C7108" t="s">
        <v>3383</v>
      </c>
      <c r="D7108" t="s">
        <v>3238</v>
      </c>
      <c r="E7108" t="s">
        <v>3239</v>
      </c>
      <c r="F7108" t="s">
        <v>3239</v>
      </c>
      <c r="G7108" t="s">
        <v>3382</v>
      </c>
      <c r="H7108" t="s">
        <v>97</v>
      </c>
      <c r="I7108" t="s">
        <v>98</v>
      </c>
      <c r="J7108" t="str">
        <f>"0551074"</f>
        <v>0551074</v>
      </c>
      <c r="K7108">
        <v>2105147413</v>
      </c>
      <c r="L7108">
        <v>2105147402</v>
      </c>
      <c r="M7108" t="s">
        <v>3384</v>
      </c>
      <c r="N7108" t="s">
        <v>3284</v>
      </c>
      <c r="O7108" t="s">
        <v>3385</v>
      </c>
      <c r="P7108">
        <v>10443</v>
      </c>
      <c r="Q7108" t="str">
        <f>"38.003607"</f>
        <v>38.003607</v>
      </c>
      <c r="R7108" t="str">
        <f>"23.712315"</f>
        <v>23.712315</v>
      </c>
      <c r="S7108" t="s">
        <v>26</v>
      </c>
    </row>
    <row r="7109" spans="1:19" x14ac:dyDescent="0.3">
      <c r="A7109" t="s">
        <v>3237</v>
      </c>
      <c r="B7109" t="s">
        <v>3307</v>
      </c>
      <c r="C7109" t="s">
        <v>3396</v>
      </c>
      <c r="D7109" t="s">
        <v>3238</v>
      </c>
      <c r="E7109" t="s">
        <v>3239</v>
      </c>
      <c r="F7109" t="s">
        <v>3239</v>
      </c>
      <c r="G7109" t="s">
        <v>3312</v>
      </c>
      <c r="H7109" t="s">
        <v>97</v>
      </c>
      <c r="I7109" t="s">
        <v>98</v>
      </c>
      <c r="J7109" t="str">
        <f>"0551220"</f>
        <v>0551220</v>
      </c>
      <c r="K7109">
        <v>2108646567</v>
      </c>
      <c r="L7109">
        <v>2108610003</v>
      </c>
      <c r="M7109" t="s">
        <v>3397</v>
      </c>
      <c r="N7109" t="s">
        <v>3374</v>
      </c>
      <c r="O7109" t="s">
        <v>3398</v>
      </c>
      <c r="P7109">
        <v>11252</v>
      </c>
      <c r="Q7109" t="str">
        <f>"38.001869"</f>
        <v>38.001869</v>
      </c>
      <c r="R7109" t="str">
        <f>"23.731302"</f>
        <v>23.731302</v>
      </c>
      <c r="S7109" t="s">
        <v>26</v>
      </c>
    </row>
    <row r="7110" spans="1:19" x14ac:dyDescent="0.3">
      <c r="A7110" t="s">
        <v>3237</v>
      </c>
      <c r="B7110" t="s">
        <v>3307</v>
      </c>
      <c r="C7110" t="s">
        <v>3400</v>
      </c>
      <c r="D7110" t="s">
        <v>3238</v>
      </c>
      <c r="E7110" t="s">
        <v>3239</v>
      </c>
      <c r="F7110" t="s">
        <v>3239</v>
      </c>
      <c r="G7110" t="s">
        <v>3340</v>
      </c>
      <c r="H7110" t="s">
        <v>97</v>
      </c>
      <c r="I7110" t="s">
        <v>98</v>
      </c>
      <c r="J7110" t="str">
        <f>"0551380"</f>
        <v>0551380</v>
      </c>
      <c r="K7110">
        <v>2108825595</v>
      </c>
      <c r="L7110">
        <v>2108825588</v>
      </c>
      <c r="M7110" t="s">
        <v>3401</v>
      </c>
      <c r="N7110" t="s">
        <v>3284</v>
      </c>
      <c r="O7110" t="s">
        <v>3402</v>
      </c>
      <c r="P7110">
        <v>11362</v>
      </c>
      <c r="Q7110" t="str">
        <f>"37.996131"</f>
        <v>37.996131</v>
      </c>
      <c r="R7110" t="str">
        <f>"23.745206"</f>
        <v>23.745206</v>
      </c>
      <c r="S7110" t="s">
        <v>26</v>
      </c>
    </row>
    <row r="7111" spans="1:19" x14ac:dyDescent="0.3">
      <c r="A7111" t="s">
        <v>3237</v>
      </c>
      <c r="B7111" t="s">
        <v>3307</v>
      </c>
      <c r="C7111" t="s">
        <v>3419</v>
      </c>
      <c r="D7111" t="s">
        <v>3238</v>
      </c>
      <c r="E7111" t="s">
        <v>3239</v>
      </c>
      <c r="F7111" t="s">
        <v>3239</v>
      </c>
      <c r="G7111" t="s">
        <v>3281</v>
      </c>
      <c r="H7111" t="s">
        <v>97</v>
      </c>
      <c r="I7111" t="s">
        <v>195</v>
      </c>
      <c r="J7111" t="str">
        <f>"0551108"</f>
        <v>0551108</v>
      </c>
      <c r="K7111">
        <v>2109231260</v>
      </c>
      <c r="L7111">
        <v>2109231260</v>
      </c>
      <c r="M7111" t="s">
        <v>3420</v>
      </c>
      <c r="N7111" t="s">
        <v>3421</v>
      </c>
      <c r="O7111" t="s">
        <v>3422</v>
      </c>
      <c r="P7111">
        <v>11743</v>
      </c>
      <c r="Q7111" t="str">
        <f>"37.963761"</f>
        <v>37.963761</v>
      </c>
      <c r="R7111" t="str">
        <f>"23.732116"</f>
        <v>23.732116</v>
      </c>
      <c r="S7111" t="s">
        <v>26</v>
      </c>
    </row>
    <row r="7112" spans="1:19" x14ac:dyDescent="0.3">
      <c r="A7112" t="s">
        <v>3237</v>
      </c>
      <c r="B7112" t="s">
        <v>3307</v>
      </c>
      <c r="C7112" t="s">
        <v>3424</v>
      </c>
      <c r="D7112" t="s">
        <v>3238</v>
      </c>
      <c r="E7112" t="s">
        <v>3239</v>
      </c>
      <c r="F7112" t="s">
        <v>3239</v>
      </c>
      <c r="G7112" t="s">
        <v>3382</v>
      </c>
      <c r="H7112" t="s">
        <v>97</v>
      </c>
      <c r="I7112" t="s">
        <v>98</v>
      </c>
      <c r="J7112" t="str">
        <f>"0551111"</f>
        <v>0551111</v>
      </c>
      <c r="K7112">
        <v>2108329566</v>
      </c>
      <c r="L7112">
        <v>2108329566</v>
      </c>
      <c r="M7112" t="s">
        <v>3425</v>
      </c>
      <c r="N7112" t="s">
        <v>3284</v>
      </c>
      <c r="O7112" t="s">
        <v>3426</v>
      </c>
      <c r="P7112">
        <v>10445</v>
      </c>
      <c r="Q7112" t="str">
        <f>"38.008023"</f>
        <v>38.008023</v>
      </c>
      <c r="R7112" t="str">
        <f>"23.726657"</f>
        <v>23.726657</v>
      </c>
      <c r="S7112" t="s">
        <v>26</v>
      </c>
    </row>
    <row r="7113" spans="1:19" x14ac:dyDescent="0.3">
      <c r="A7113" t="s">
        <v>3237</v>
      </c>
      <c r="B7113" t="s">
        <v>3307</v>
      </c>
      <c r="C7113" t="s">
        <v>3428</v>
      </c>
      <c r="D7113" t="s">
        <v>3238</v>
      </c>
      <c r="E7113" t="s">
        <v>3239</v>
      </c>
      <c r="F7113" t="s">
        <v>3239</v>
      </c>
      <c r="G7113" t="s">
        <v>3240</v>
      </c>
      <c r="H7113" t="s">
        <v>97</v>
      </c>
      <c r="I7113" t="s">
        <v>98</v>
      </c>
      <c r="J7113" t="str">
        <f>"0551170"</f>
        <v>0551170</v>
      </c>
      <c r="K7113">
        <v>2109220028</v>
      </c>
      <c r="L7113">
        <v>2109220049</v>
      </c>
      <c r="M7113" t="s">
        <v>3429</v>
      </c>
      <c r="N7113" t="s">
        <v>3284</v>
      </c>
      <c r="O7113" t="s">
        <v>3430</v>
      </c>
      <c r="P7113">
        <v>11741</v>
      </c>
      <c r="Q7113" t="str">
        <f>"37.961640"</f>
        <v>37.961640</v>
      </c>
      <c r="R7113" t="str">
        <f>"23.720751"</f>
        <v>23.720751</v>
      </c>
      <c r="S7113" t="s">
        <v>26</v>
      </c>
    </row>
    <row r="7114" spans="1:19" x14ac:dyDescent="0.3">
      <c r="A7114" t="s">
        <v>3237</v>
      </c>
      <c r="B7114" t="s">
        <v>3307</v>
      </c>
      <c r="C7114" t="s">
        <v>3433</v>
      </c>
      <c r="D7114" t="s">
        <v>3238</v>
      </c>
      <c r="E7114" t="s">
        <v>3432</v>
      </c>
      <c r="F7114" t="s">
        <v>3432</v>
      </c>
      <c r="G7114" t="s">
        <v>3432</v>
      </c>
      <c r="H7114" t="s">
        <v>97</v>
      </c>
      <c r="I7114" t="s">
        <v>98</v>
      </c>
      <c r="J7114" t="str">
        <f>"0551610"</f>
        <v>0551610</v>
      </c>
      <c r="K7114">
        <v>2109917917</v>
      </c>
      <c r="L7114">
        <v>2109922214</v>
      </c>
      <c r="M7114" t="s">
        <v>3434</v>
      </c>
      <c r="N7114" t="s">
        <v>3435</v>
      </c>
      <c r="O7114" t="s">
        <v>3436</v>
      </c>
      <c r="P7114">
        <v>16343</v>
      </c>
      <c r="Q7114" t="str">
        <f>"37.935637"</f>
        <v>37.935637</v>
      </c>
      <c r="R7114" t="str">
        <f>"23.759851"</f>
        <v>23.759851</v>
      </c>
      <c r="S7114" t="s">
        <v>26</v>
      </c>
    </row>
    <row r="7115" spans="1:19" x14ac:dyDescent="0.3">
      <c r="A7115" t="s">
        <v>3237</v>
      </c>
      <c r="B7115" t="s">
        <v>3307</v>
      </c>
      <c r="C7115" t="s">
        <v>3439</v>
      </c>
      <c r="D7115" t="s">
        <v>3238</v>
      </c>
      <c r="E7115" t="s">
        <v>3239</v>
      </c>
      <c r="F7115" t="s">
        <v>3239</v>
      </c>
      <c r="G7115" t="s">
        <v>3312</v>
      </c>
      <c r="H7115" t="s">
        <v>97</v>
      </c>
      <c r="I7115" t="s">
        <v>98</v>
      </c>
      <c r="J7115" t="str">
        <f>"0551180"</f>
        <v>0551180</v>
      </c>
      <c r="K7115">
        <v>2108238552</v>
      </c>
      <c r="L7115">
        <v>2108238552</v>
      </c>
      <c r="M7115" t="s">
        <v>3440</v>
      </c>
      <c r="N7115" t="s">
        <v>3284</v>
      </c>
      <c r="O7115" t="s">
        <v>3441</v>
      </c>
      <c r="P7115">
        <v>11362</v>
      </c>
      <c r="Q7115" t="str">
        <f>"37.998398"</f>
        <v>37.998398</v>
      </c>
      <c r="R7115" t="str">
        <f>"23.738172"</f>
        <v>23.738172</v>
      </c>
      <c r="S7115" t="s">
        <v>26</v>
      </c>
    </row>
    <row r="7116" spans="1:19" x14ac:dyDescent="0.3">
      <c r="A7116" t="s">
        <v>3237</v>
      </c>
      <c r="B7116" t="s">
        <v>3307</v>
      </c>
      <c r="C7116" t="s">
        <v>3450</v>
      </c>
      <c r="D7116" t="s">
        <v>3238</v>
      </c>
      <c r="E7116" t="s">
        <v>3443</v>
      </c>
      <c r="F7116" t="s">
        <v>3443</v>
      </c>
      <c r="G7116" t="s">
        <v>3443</v>
      </c>
      <c r="H7116" t="s">
        <v>97</v>
      </c>
      <c r="I7116" t="s">
        <v>98</v>
      </c>
      <c r="J7116" t="str">
        <f>"0551404"</f>
        <v>0551404</v>
      </c>
      <c r="K7116">
        <v>2102019500</v>
      </c>
      <c r="L7116">
        <v>2102019500</v>
      </c>
      <c r="M7116" t="s">
        <v>3451</v>
      </c>
      <c r="N7116" t="s">
        <v>3446</v>
      </c>
      <c r="O7116" t="s">
        <v>3452</v>
      </c>
      <c r="P7116">
        <v>11141</v>
      </c>
      <c r="Q7116" t="str">
        <f>"38.013479"</f>
        <v>38.013479</v>
      </c>
      <c r="R7116" t="str">
        <f>"23.741071"</f>
        <v>23.741071</v>
      </c>
      <c r="S7116" t="s">
        <v>26</v>
      </c>
    </row>
    <row r="7117" spans="1:19" x14ac:dyDescent="0.3">
      <c r="A7117" t="s">
        <v>3237</v>
      </c>
      <c r="B7117" t="s">
        <v>3307</v>
      </c>
      <c r="C7117" t="s">
        <v>3454</v>
      </c>
      <c r="D7117" t="s">
        <v>3238</v>
      </c>
      <c r="E7117" t="s">
        <v>3239</v>
      </c>
      <c r="F7117" t="s">
        <v>3239</v>
      </c>
      <c r="G7117" t="s">
        <v>3240</v>
      </c>
      <c r="H7117" t="s">
        <v>97</v>
      </c>
      <c r="I7117" t="s">
        <v>98</v>
      </c>
      <c r="J7117" t="str">
        <f>"0551260"</f>
        <v>0551260</v>
      </c>
      <c r="K7117">
        <v>2107247387</v>
      </c>
      <c r="L7117">
        <v>2107210844</v>
      </c>
      <c r="M7117" t="s">
        <v>3455</v>
      </c>
      <c r="N7117" t="s">
        <v>3456</v>
      </c>
      <c r="O7117" t="s">
        <v>3457</v>
      </c>
      <c r="P7117">
        <v>10676</v>
      </c>
      <c r="Q7117" t="str">
        <f>"37.977813"</f>
        <v>37.977813</v>
      </c>
      <c r="R7117" t="str">
        <f>"23.746482"</f>
        <v>23.746482</v>
      </c>
      <c r="S7117" t="s">
        <v>26</v>
      </c>
    </row>
    <row r="7118" spans="1:19" x14ac:dyDescent="0.3">
      <c r="A7118" t="s">
        <v>3237</v>
      </c>
      <c r="B7118" t="s">
        <v>3307</v>
      </c>
      <c r="C7118" t="s">
        <v>3459</v>
      </c>
      <c r="D7118" t="s">
        <v>3238</v>
      </c>
      <c r="E7118" t="s">
        <v>3239</v>
      </c>
      <c r="F7118" t="s">
        <v>3239</v>
      </c>
      <c r="G7118" t="s">
        <v>3382</v>
      </c>
      <c r="H7118" t="s">
        <v>97</v>
      </c>
      <c r="I7118" t="s">
        <v>98</v>
      </c>
      <c r="J7118" t="str">
        <f>"0551072"</f>
        <v>0551072</v>
      </c>
      <c r="K7118">
        <v>2105127510</v>
      </c>
      <c r="L7118">
        <v>2105127510</v>
      </c>
      <c r="M7118" t="s">
        <v>3460</v>
      </c>
      <c r="N7118" t="s">
        <v>3461</v>
      </c>
      <c r="O7118" t="s">
        <v>3462</v>
      </c>
      <c r="P7118">
        <v>10444</v>
      </c>
      <c r="Q7118" t="str">
        <f>"37.994796"</f>
        <v>37.994796</v>
      </c>
      <c r="R7118" t="str">
        <f>"23.714706"</f>
        <v>23.714706</v>
      </c>
      <c r="S7118" t="s">
        <v>26</v>
      </c>
    </row>
    <row r="7119" spans="1:19" x14ac:dyDescent="0.3">
      <c r="A7119" t="s">
        <v>3237</v>
      </c>
      <c r="B7119" t="s">
        <v>3307</v>
      </c>
      <c r="C7119" t="s">
        <v>3464</v>
      </c>
      <c r="D7119" t="s">
        <v>3238</v>
      </c>
      <c r="E7119" t="s">
        <v>3239</v>
      </c>
      <c r="F7119" t="s">
        <v>3239</v>
      </c>
      <c r="G7119" t="s">
        <v>3382</v>
      </c>
      <c r="H7119" t="s">
        <v>97</v>
      </c>
      <c r="I7119" t="s">
        <v>98</v>
      </c>
      <c r="J7119" t="str">
        <f>"0551646"</f>
        <v>0551646</v>
      </c>
      <c r="K7119">
        <v>2105142640</v>
      </c>
      <c r="L7119">
        <v>2105130686</v>
      </c>
      <c r="M7119" t="s">
        <v>3465</v>
      </c>
      <c r="N7119" t="s">
        <v>3284</v>
      </c>
      <c r="O7119" t="s">
        <v>3466</v>
      </c>
      <c r="P7119">
        <v>10443</v>
      </c>
      <c r="Q7119" t="str">
        <f>"38.008776"</f>
        <v>38.008776</v>
      </c>
      <c r="R7119" t="str">
        <f>"23.717395"</f>
        <v>23.717395</v>
      </c>
      <c r="S7119" t="s">
        <v>26</v>
      </c>
    </row>
    <row r="7120" spans="1:19" x14ac:dyDescent="0.3">
      <c r="A7120" t="s">
        <v>3237</v>
      </c>
      <c r="B7120" t="s">
        <v>3307</v>
      </c>
      <c r="C7120" t="s">
        <v>3470</v>
      </c>
      <c r="D7120" t="s">
        <v>3238</v>
      </c>
      <c r="E7120" t="s">
        <v>3468</v>
      </c>
      <c r="F7120" t="s">
        <v>3469</v>
      </c>
      <c r="G7120" t="s">
        <v>3469</v>
      </c>
      <c r="H7120" t="s">
        <v>97</v>
      </c>
      <c r="I7120" t="s">
        <v>98</v>
      </c>
      <c r="J7120" t="str">
        <f>"0551525"</f>
        <v>0551525</v>
      </c>
      <c r="K7120">
        <v>2109711304</v>
      </c>
      <c r="L7120">
        <v>2109711304</v>
      </c>
      <c r="M7120" t="s">
        <v>3471</v>
      </c>
      <c r="N7120" t="s">
        <v>3472</v>
      </c>
      <c r="O7120" t="s">
        <v>3473</v>
      </c>
      <c r="P7120">
        <v>17341</v>
      </c>
      <c r="Q7120" t="str">
        <f>"37.945691"</f>
        <v>37.945691</v>
      </c>
      <c r="R7120" t="str">
        <f>"23.731148"</f>
        <v>23.731148</v>
      </c>
      <c r="S7120" t="s">
        <v>26</v>
      </c>
    </row>
    <row r="7121" spans="1:19" x14ac:dyDescent="0.3">
      <c r="A7121" t="s">
        <v>3237</v>
      </c>
      <c r="B7121" t="s">
        <v>3307</v>
      </c>
      <c r="C7121" t="s">
        <v>3475</v>
      </c>
      <c r="D7121" t="s">
        <v>3238</v>
      </c>
      <c r="E7121" t="s">
        <v>3239</v>
      </c>
      <c r="F7121" t="s">
        <v>3239</v>
      </c>
      <c r="G7121" t="s">
        <v>3322</v>
      </c>
      <c r="H7121" t="s">
        <v>97</v>
      </c>
      <c r="I7121" t="s">
        <v>98</v>
      </c>
      <c r="J7121" t="str">
        <f>"0551867"</f>
        <v>0551867</v>
      </c>
      <c r="K7121">
        <v>2103472575</v>
      </c>
      <c r="L7121">
        <v>2103468102</v>
      </c>
      <c r="M7121" t="s">
        <v>3476</v>
      </c>
      <c r="N7121" t="s">
        <v>3284</v>
      </c>
      <c r="O7121" t="s">
        <v>3477</v>
      </c>
      <c r="P7121">
        <v>11855</v>
      </c>
      <c r="Q7121" t="str">
        <f>"37.976549"</f>
        <v>37.976549</v>
      </c>
      <c r="R7121" t="str">
        <f>"23.703129"</f>
        <v>23.703129</v>
      </c>
      <c r="S7121" t="s">
        <v>26</v>
      </c>
    </row>
    <row r="7122" spans="1:19" x14ac:dyDescent="0.3">
      <c r="A7122" t="s">
        <v>3237</v>
      </c>
      <c r="B7122" t="s">
        <v>3307</v>
      </c>
      <c r="C7122" t="s">
        <v>3479</v>
      </c>
      <c r="D7122" t="s">
        <v>3238</v>
      </c>
      <c r="E7122" t="s">
        <v>3358</v>
      </c>
      <c r="F7122" t="s">
        <v>3358</v>
      </c>
      <c r="G7122" t="s">
        <v>3358</v>
      </c>
      <c r="H7122" t="s">
        <v>97</v>
      </c>
      <c r="I7122" t="s">
        <v>98</v>
      </c>
      <c r="J7122" t="str">
        <f>"0551637"</f>
        <v>0551637</v>
      </c>
      <c r="K7122">
        <v>2107645757</v>
      </c>
      <c r="L7122">
        <v>2107645757</v>
      </c>
      <c r="M7122" t="s">
        <v>3480</v>
      </c>
      <c r="N7122" t="s">
        <v>3361</v>
      </c>
      <c r="O7122" t="s">
        <v>3481</v>
      </c>
      <c r="P7122">
        <v>16121</v>
      </c>
      <c r="Q7122" t="str">
        <f>"37.964198"</f>
        <v>37.964198</v>
      </c>
      <c r="R7122" t="str">
        <f>"23.760483"</f>
        <v>23.760483</v>
      </c>
      <c r="S7122" t="s">
        <v>26</v>
      </c>
    </row>
    <row r="7123" spans="1:19" x14ac:dyDescent="0.3">
      <c r="A7123" t="s">
        <v>3237</v>
      </c>
      <c r="B7123" t="s">
        <v>3307</v>
      </c>
      <c r="C7123" t="s">
        <v>3482</v>
      </c>
      <c r="D7123" t="s">
        <v>3238</v>
      </c>
      <c r="E7123" t="s">
        <v>3239</v>
      </c>
      <c r="F7123" t="s">
        <v>3239</v>
      </c>
      <c r="G7123" t="s">
        <v>3346</v>
      </c>
      <c r="H7123" t="s">
        <v>97</v>
      </c>
      <c r="I7123" t="s">
        <v>98</v>
      </c>
      <c r="J7123" t="str">
        <f>"0551194"</f>
        <v>0551194</v>
      </c>
      <c r="K7123">
        <v>2108314832</v>
      </c>
      <c r="L7123">
        <v>2111822261</v>
      </c>
      <c r="M7123" t="s">
        <v>3483</v>
      </c>
      <c r="N7123" t="s">
        <v>3484</v>
      </c>
      <c r="O7123" t="s">
        <v>3485</v>
      </c>
      <c r="P7123">
        <v>11145</v>
      </c>
      <c r="Q7123" t="str">
        <f>"38.014965"</f>
        <v>38.014965</v>
      </c>
      <c r="R7123" t="str">
        <f>"23.724798"</f>
        <v>23.724798</v>
      </c>
      <c r="S7123" t="s">
        <v>26</v>
      </c>
    </row>
    <row r="7124" spans="1:19" x14ac:dyDescent="0.3">
      <c r="A7124" t="s">
        <v>3237</v>
      </c>
      <c r="B7124" t="s">
        <v>3307</v>
      </c>
      <c r="C7124" t="s">
        <v>3487</v>
      </c>
      <c r="D7124" t="s">
        <v>3238</v>
      </c>
      <c r="E7124" t="s">
        <v>3432</v>
      </c>
      <c r="F7124" t="s">
        <v>3432</v>
      </c>
      <c r="G7124" t="s">
        <v>3432</v>
      </c>
      <c r="H7124" t="s">
        <v>97</v>
      </c>
      <c r="I7124" t="s">
        <v>98</v>
      </c>
      <c r="J7124" t="str">
        <f>"0551628"</f>
        <v>0551628</v>
      </c>
      <c r="K7124">
        <v>2109707611</v>
      </c>
      <c r="L7124">
        <v>2109707611</v>
      </c>
      <c r="M7124" t="s">
        <v>3488</v>
      </c>
      <c r="N7124" t="s">
        <v>3435</v>
      </c>
      <c r="O7124" t="s">
        <v>3489</v>
      </c>
      <c r="P7124">
        <v>16345</v>
      </c>
      <c r="Q7124" t="str">
        <f>"37.942282"</f>
        <v>37.942282</v>
      </c>
      <c r="R7124" t="str">
        <f>"23.752676"</f>
        <v>23.752676</v>
      </c>
      <c r="S7124" t="s">
        <v>26</v>
      </c>
    </row>
    <row r="7125" spans="1:19" x14ac:dyDescent="0.3">
      <c r="A7125" t="s">
        <v>3237</v>
      </c>
      <c r="B7125" t="s">
        <v>3307</v>
      </c>
      <c r="C7125" t="s">
        <v>3494</v>
      </c>
      <c r="D7125" t="s">
        <v>3238</v>
      </c>
      <c r="E7125" t="s">
        <v>3239</v>
      </c>
      <c r="F7125" t="s">
        <v>3239</v>
      </c>
      <c r="G7125" t="s">
        <v>3346</v>
      </c>
      <c r="H7125" t="s">
        <v>97</v>
      </c>
      <c r="I7125" t="s">
        <v>98</v>
      </c>
      <c r="J7125" t="str">
        <f>"0551406"</f>
        <v>0551406</v>
      </c>
      <c r="K7125">
        <v>2102529015</v>
      </c>
      <c r="L7125">
        <v>2102529006</v>
      </c>
      <c r="M7125" t="s">
        <v>3495</v>
      </c>
      <c r="N7125" t="s">
        <v>3284</v>
      </c>
      <c r="O7125" t="s">
        <v>3496</v>
      </c>
      <c r="P7125">
        <v>11143</v>
      </c>
      <c r="Q7125" t="str">
        <f>"38.025632"</f>
        <v>38.025632</v>
      </c>
      <c r="R7125" t="str">
        <f>"23.738296"</f>
        <v>23.738296</v>
      </c>
      <c r="S7125" t="s">
        <v>26</v>
      </c>
    </row>
    <row r="7126" spans="1:19" x14ac:dyDescent="0.3">
      <c r="A7126" t="s">
        <v>3237</v>
      </c>
      <c r="B7126" t="s">
        <v>3307</v>
      </c>
      <c r="C7126" t="s">
        <v>3498</v>
      </c>
      <c r="D7126" t="s">
        <v>3238</v>
      </c>
      <c r="E7126" t="s">
        <v>3239</v>
      </c>
      <c r="F7126" t="s">
        <v>3239</v>
      </c>
      <c r="G7126" t="s">
        <v>3281</v>
      </c>
      <c r="H7126" t="s">
        <v>97</v>
      </c>
      <c r="I7126" t="s">
        <v>98</v>
      </c>
      <c r="J7126" t="str">
        <f>"0551361"</f>
        <v>0551361</v>
      </c>
      <c r="K7126">
        <v>2109027394</v>
      </c>
      <c r="L7126">
        <v>2109027088</v>
      </c>
      <c r="M7126" t="s">
        <v>3499</v>
      </c>
      <c r="N7126" t="s">
        <v>3284</v>
      </c>
      <c r="O7126" t="s">
        <v>3500</v>
      </c>
      <c r="P7126">
        <v>11744</v>
      </c>
      <c r="Q7126" t="str">
        <f>"37.953890"</f>
        <v>37.953890</v>
      </c>
      <c r="R7126" t="str">
        <f>"23.728102"</f>
        <v>23.728102</v>
      </c>
      <c r="S7126" t="s">
        <v>26</v>
      </c>
    </row>
    <row r="7127" spans="1:19" x14ac:dyDescent="0.3">
      <c r="A7127" t="s">
        <v>3237</v>
      </c>
      <c r="B7127" t="s">
        <v>3307</v>
      </c>
      <c r="C7127" t="s">
        <v>3502</v>
      </c>
      <c r="D7127" t="s">
        <v>3238</v>
      </c>
      <c r="E7127" t="s">
        <v>3317</v>
      </c>
      <c r="F7127" t="s">
        <v>3317</v>
      </c>
      <c r="G7127" t="s">
        <v>3317</v>
      </c>
      <c r="H7127" t="s">
        <v>97</v>
      </c>
      <c r="I7127" t="s">
        <v>98</v>
      </c>
      <c r="J7127" t="str">
        <f>"0551553"</f>
        <v>0551553</v>
      </c>
      <c r="K7127">
        <v>2107756110</v>
      </c>
      <c r="L7127">
        <v>2107785159</v>
      </c>
      <c r="M7127" t="s">
        <v>3503</v>
      </c>
      <c r="N7127" t="s">
        <v>3317</v>
      </c>
      <c r="O7127" t="s">
        <v>3504</v>
      </c>
      <c r="P7127">
        <v>15772</v>
      </c>
      <c r="Q7127" t="str">
        <f>"37.971461"</f>
        <v>37.971461</v>
      </c>
      <c r="R7127" t="str">
        <f>"23.767153"</f>
        <v>23.767153</v>
      </c>
      <c r="S7127" t="s">
        <v>26</v>
      </c>
    </row>
    <row r="7128" spans="1:19" x14ac:dyDescent="0.3">
      <c r="A7128" t="s">
        <v>3237</v>
      </c>
      <c r="B7128" t="s">
        <v>3307</v>
      </c>
      <c r="C7128" t="s">
        <v>3507</v>
      </c>
      <c r="D7128" t="s">
        <v>3238</v>
      </c>
      <c r="E7128" t="s">
        <v>3506</v>
      </c>
      <c r="F7128" t="s">
        <v>3506</v>
      </c>
      <c r="G7128" t="s">
        <v>3506</v>
      </c>
      <c r="H7128" t="s">
        <v>97</v>
      </c>
      <c r="I7128" t="s">
        <v>98</v>
      </c>
      <c r="J7128" t="str">
        <f>"0551490"</f>
        <v>0551490</v>
      </c>
      <c r="K7128">
        <v>2107661061</v>
      </c>
      <c r="L7128">
        <v>2107661823</v>
      </c>
      <c r="M7128" t="s">
        <v>3508</v>
      </c>
      <c r="N7128" t="s">
        <v>3509</v>
      </c>
      <c r="O7128" t="s">
        <v>3510</v>
      </c>
      <c r="P7128">
        <v>16231</v>
      </c>
      <c r="Q7128" t="str">
        <f>"37.961104"</f>
        <v>37.961104</v>
      </c>
      <c r="R7128" t="str">
        <f>"23.758829"</f>
        <v>23.758829</v>
      </c>
      <c r="S7128" t="s">
        <v>26</v>
      </c>
    </row>
    <row r="7129" spans="1:19" x14ac:dyDescent="0.3">
      <c r="A7129" t="s">
        <v>3237</v>
      </c>
      <c r="B7129" t="s">
        <v>3307</v>
      </c>
      <c r="C7129" t="s">
        <v>3511</v>
      </c>
      <c r="D7129" t="s">
        <v>3238</v>
      </c>
      <c r="E7129" t="s">
        <v>3239</v>
      </c>
      <c r="F7129" t="s">
        <v>3239</v>
      </c>
      <c r="G7129" t="s">
        <v>3281</v>
      </c>
      <c r="H7129" t="s">
        <v>97</v>
      </c>
      <c r="I7129" t="s">
        <v>98</v>
      </c>
      <c r="J7129" t="str">
        <f>"0551100"</f>
        <v>0551100</v>
      </c>
      <c r="K7129">
        <v>2107217885</v>
      </c>
      <c r="L7129">
        <v>2107217889</v>
      </c>
      <c r="M7129" t="s">
        <v>3512</v>
      </c>
      <c r="N7129" t="s">
        <v>3513</v>
      </c>
      <c r="O7129" t="s">
        <v>3514</v>
      </c>
      <c r="P7129">
        <v>11634</v>
      </c>
      <c r="Q7129" t="str">
        <f>"37.969220"</f>
        <v>37.969220</v>
      </c>
      <c r="R7129" t="str">
        <f>"23.747744"</f>
        <v>23.747744</v>
      </c>
      <c r="S7129" t="s">
        <v>26</v>
      </c>
    </row>
    <row r="7130" spans="1:19" x14ac:dyDescent="0.3">
      <c r="A7130" t="s">
        <v>3237</v>
      </c>
      <c r="B7130" t="s">
        <v>3307</v>
      </c>
      <c r="C7130" t="s">
        <v>3516</v>
      </c>
      <c r="D7130" t="s">
        <v>3238</v>
      </c>
      <c r="E7130" t="s">
        <v>3239</v>
      </c>
      <c r="F7130" t="s">
        <v>3239</v>
      </c>
      <c r="G7130" t="s">
        <v>3240</v>
      </c>
      <c r="H7130" t="s">
        <v>97</v>
      </c>
      <c r="I7130" t="s">
        <v>98</v>
      </c>
      <c r="J7130" t="str">
        <f>"0551331"</f>
        <v>0551331</v>
      </c>
      <c r="K7130">
        <v>2108812050</v>
      </c>
      <c r="L7130">
        <v>2105230458</v>
      </c>
      <c r="M7130" t="s">
        <v>3517</v>
      </c>
      <c r="N7130" t="s">
        <v>3284</v>
      </c>
      <c r="O7130" t="s">
        <v>3518</v>
      </c>
      <c r="P7130">
        <v>10438</v>
      </c>
      <c r="Q7130" t="str">
        <f>"37.990111"</f>
        <v>37.990111</v>
      </c>
      <c r="R7130" t="str">
        <f>"23.724264"</f>
        <v>23.724264</v>
      </c>
      <c r="S7130" t="s">
        <v>26</v>
      </c>
    </row>
    <row r="7131" spans="1:19" x14ac:dyDescent="0.3">
      <c r="A7131" t="s">
        <v>3237</v>
      </c>
      <c r="B7131" t="s">
        <v>3307</v>
      </c>
      <c r="C7131" t="s">
        <v>3520</v>
      </c>
      <c r="D7131" t="s">
        <v>3238</v>
      </c>
      <c r="E7131" t="s">
        <v>3443</v>
      </c>
      <c r="F7131" t="s">
        <v>3443</v>
      </c>
      <c r="G7131" t="s">
        <v>3443</v>
      </c>
      <c r="H7131" t="s">
        <v>97</v>
      </c>
      <c r="I7131" t="s">
        <v>98</v>
      </c>
      <c r="J7131" t="str">
        <f>"0551405"</f>
        <v>0551405</v>
      </c>
      <c r="K7131">
        <v>2102921777</v>
      </c>
      <c r="L7131">
        <v>2102222340</v>
      </c>
      <c r="M7131" t="s">
        <v>3521</v>
      </c>
      <c r="N7131" t="s">
        <v>3446</v>
      </c>
      <c r="O7131" t="s">
        <v>3522</v>
      </c>
      <c r="P7131">
        <v>11146</v>
      </c>
      <c r="Q7131" t="str">
        <f>"38.024516"</f>
        <v>38.024516</v>
      </c>
      <c r="R7131" t="str">
        <f>"23.757172"</f>
        <v>23.757172</v>
      </c>
      <c r="S7131" t="s">
        <v>26</v>
      </c>
    </row>
    <row r="7132" spans="1:19" x14ac:dyDescent="0.3">
      <c r="A7132" t="s">
        <v>3237</v>
      </c>
      <c r="B7132" t="s">
        <v>3307</v>
      </c>
      <c r="C7132" t="s">
        <v>3524</v>
      </c>
      <c r="D7132" t="s">
        <v>3238</v>
      </c>
      <c r="E7132" t="s">
        <v>3317</v>
      </c>
      <c r="F7132" t="s">
        <v>3317</v>
      </c>
      <c r="G7132" t="s">
        <v>3317</v>
      </c>
      <c r="H7132" t="s">
        <v>97</v>
      </c>
      <c r="I7132" t="s">
        <v>98</v>
      </c>
      <c r="J7132" t="str">
        <f>"0551550"</f>
        <v>0551550</v>
      </c>
      <c r="K7132">
        <v>2107776165</v>
      </c>
      <c r="L7132">
        <v>2107706815</v>
      </c>
      <c r="M7132" t="s">
        <v>3525</v>
      </c>
      <c r="N7132" t="s">
        <v>3317</v>
      </c>
      <c r="O7132" t="s">
        <v>3526</v>
      </c>
      <c r="P7132">
        <v>15773</v>
      </c>
      <c r="Q7132" t="str">
        <f>"37.978589"</f>
        <v>37.978589</v>
      </c>
      <c r="R7132" t="str">
        <f>"23.772445"</f>
        <v>23.772445</v>
      </c>
      <c r="S7132" t="s">
        <v>26</v>
      </c>
    </row>
    <row r="7133" spans="1:19" x14ac:dyDescent="0.3">
      <c r="A7133" t="s">
        <v>3237</v>
      </c>
      <c r="B7133" t="s">
        <v>3307</v>
      </c>
      <c r="C7133" t="s">
        <v>3528</v>
      </c>
      <c r="D7133" t="s">
        <v>3238</v>
      </c>
      <c r="E7133" t="s">
        <v>3358</v>
      </c>
      <c r="F7133" t="s">
        <v>3358</v>
      </c>
      <c r="G7133" t="s">
        <v>3358</v>
      </c>
      <c r="H7133" t="s">
        <v>97</v>
      </c>
      <c r="I7133" t="s">
        <v>98</v>
      </c>
      <c r="J7133" t="str">
        <f>"0551630"</f>
        <v>0551630</v>
      </c>
      <c r="K7133">
        <v>2107666391</v>
      </c>
      <c r="L7133">
        <v>2107608167</v>
      </c>
      <c r="M7133" t="s">
        <v>3529</v>
      </c>
      <c r="N7133" t="s">
        <v>3361</v>
      </c>
      <c r="O7133" t="s">
        <v>3367</v>
      </c>
      <c r="P7133">
        <v>16121</v>
      </c>
      <c r="Q7133" t="str">
        <f>"37.964103"</f>
        <v>37.964103</v>
      </c>
      <c r="R7133" t="str">
        <f>"23.759563"</f>
        <v>23.759563</v>
      </c>
      <c r="S7133" t="s">
        <v>26</v>
      </c>
    </row>
    <row r="7134" spans="1:19" x14ac:dyDescent="0.3">
      <c r="A7134" t="s">
        <v>3237</v>
      </c>
      <c r="B7134" t="s">
        <v>3307</v>
      </c>
      <c r="C7134" t="s">
        <v>3530</v>
      </c>
      <c r="D7134" t="s">
        <v>3238</v>
      </c>
      <c r="E7134" t="s">
        <v>3506</v>
      </c>
      <c r="F7134" t="s">
        <v>3506</v>
      </c>
      <c r="G7134" t="s">
        <v>3506</v>
      </c>
      <c r="H7134" t="s">
        <v>97</v>
      </c>
      <c r="I7134" t="s">
        <v>98</v>
      </c>
      <c r="J7134" t="str">
        <f>"0551506"</f>
        <v>0551506</v>
      </c>
      <c r="K7134">
        <v>2107656053</v>
      </c>
      <c r="L7134">
        <v>2107651502</v>
      </c>
      <c r="M7134" t="s">
        <v>3531</v>
      </c>
      <c r="N7134" t="s">
        <v>3532</v>
      </c>
      <c r="O7134" t="s">
        <v>3533</v>
      </c>
      <c r="P7134">
        <v>16233</v>
      </c>
      <c r="Q7134" t="str">
        <f>"37.947321"</f>
        <v>37.947321</v>
      </c>
      <c r="R7134" t="str">
        <f>"23.766919"</f>
        <v>23.766919</v>
      </c>
      <c r="S7134" t="s">
        <v>26</v>
      </c>
    </row>
    <row r="7135" spans="1:19" x14ac:dyDescent="0.3">
      <c r="A7135" t="s">
        <v>3237</v>
      </c>
      <c r="B7135" t="s">
        <v>3307</v>
      </c>
      <c r="C7135" t="s">
        <v>3535</v>
      </c>
      <c r="D7135" t="s">
        <v>3238</v>
      </c>
      <c r="E7135" t="s">
        <v>3239</v>
      </c>
      <c r="F7135" t="s">
        <v>3239</v>
      </c>
      <c r="G7135" t="s">
        <v>3281</v>
      </c>
      <c r="H7135" t="s">
        <v>97</v>
      </c>
      <c r="I7135" t="s">
        <v>98</v>
      </c>
      <c r="J7135" t="str">
        <f>"0551090"</f>
        <v>0551090</v>
      </c>
      <c r="K7135">
        <v>2109221057</v>
      </c>
      <c r="L7135">
        <v>2109221600</v>
      </c>
      <c r="M7135" t="s">
        <v>3536</v>
      </c>
      <c r="N7135" t="s">
        <v>3284</v>
      </c>
      <c r="O7135" t="s">
        <v>3537</v>
      </c>
      <c r="P7135">
        <v>11743</v>
      </c>
      <c r="Q7135" t="str">
        <f>"37.963755"</f>
        <v>37.963755</v>
      </c>
      <c r="R7135" t="str">
        <f>"23.732122"</f>
        <v>23.732122</v>
      </c>
      <c r="S7135" t="s">
        <v>26</v>
      </c>
    </row>
    <row r="7136" spans="1:19" x14ac:dyDescent="0.3">
      <c r="A7136" t="s">
        <v>3237</v>
      </c>
      <c r="B7136" t="s">
        <v>3307</v>
      </c>
      <c r="C7136" t="s">
        <v>3538</v>
      </c>
      <c r="D7136" t="s">
        <v>3238</v>
      </c>
      <c r="E7136" t="s">
        <v>3239</v>
      </c>
      <c r="F7136" t="s">
        <v>3239</v>
      </c>
      <c r="G7136" t="s">
        <v>3322</v>
      </c>
      <c r="H7136" t="s">
        <v>97</v>
      </c>
      <c r="I7136" t="s">
        <v>98</v>
      </c>
      <c r="J7136" t="str">
        <f>"0551120"</f>
        <v>0551120</v>
      </c>
      <c r="K7136">
        <v>2103464680</v>
      </c>
      <c r="L7136">
        <v>2103411548</v>
      </c>
      <c r="M7136" t="s">
        <v>3539</v>
      </c>
      <c r="N7136" t="s">
        <v>3325</v>
      </c>
      <c r="O7136" t="s">
        <v>3326</v>
      </c>
      <c r="P7136">
        <v>11851</v>
      </c>
      <c r="Q7136" t="str">
        <f>"37.973342"</f>
        <v>37.973342</v>
      </c>
      <c r="R7136" t="str">
        <f>"23.716327"</f>
        <v>23.716327</v>
      </c>
      <c r="S7136" t="s">
        <v>26</v>
      </c>
    </row>
    <row r="7137" spans="1:19" x14ac:dyDescent="0.3">
      <c r="A7137" t="s">
        <v>3237</v>
      </c>
      <c r="B7137" t="s">
        <v>3307</v>
      </c>
      <c r="C7137" t="s">
        <v>3542</v>
      </c>
      <c r="D7137" t="s">
        <v>3238</v>
      </c>
      <c r="E7137" t="s">
        <v>3468</v>
      </c>
      <c r="F7137" t="s">
        <v>3541</v>
      </c>
      <c r="G7137" t="s">
        <v>3541</v>
      </c>
      <c r="H7137" t="s">
        <v>97</v>
      </c>
      <c r="I7137" t="s">
        <v>98</v>
      </c>
      <c r="J7137" t="str">
        <f>"0551162"</f>
        <v>0551162</v>
      </c>
      <c r="K7137">
        <v>2109752439</v>
      </c>
      <c r="L7137">
        <v>2109735245</v>
      </c>
      <c r="M7137" t="s">
        <v>3543</v>
      </c>
      <c r="N7137" t="s">
        <v>3544</v>
      </c>
      <c r="O7137" t="s">
        <v>3545</v>
      </c>
      <c r="P7137">
        <v>17236</v>
      </c>
      <c r="Q7137" t="str">
        <f>"37.946882"</f>
        <v>37.946882</v>
      </c>
      <c r="R7137" t="str">
        <f>"23.747132"</f>
        <v>23.747132</v>
      </c>
      <c r="S7137" t="s">
        <v>26</v>
      </c>
    </row>
    <row r="7138" spans="1:19" x14ac:dyDescent="0.3">
      <c r="A7138" t="s">
        <v>3237</v>
      </c>
      <c r="B7138" t="s">
        <v>3307</v>
      </c>
      <c r="C7138" t="s">
        <v>3555</v>
      </c>
      <c r="D7138" t="s">
        <v>3238</v>
      </c>
      <c r="E7138" t="s">
        <v>3317</v>
      </c>
      <c r="F7138" t="s">
        <v>3317</v>
      </c>
      <c r="G7138" t="s">
        <v>3317</v>
      </c>
      <c r="H7138" t="s">
        <v>97</v>
      </c>
      <c r="I7138" t="s">
        <v>98</v>
      </c>
      <c r="J7138" t="str">
        <f>"0551551"</f>
        <v>0551551</v>
      </c>
      <c r="K7138">
        <v>2107705725</v>
      </c>
      <c r="L7138">
        <v>2107705725</v>
      </c>
      <c r="M7138" t="s">
        <v>3556</v>
      </c>
      <c r="N7138" t="s">
        <v>3317</v>
      </c>
      <c r="O7138" t="s">
        <v>3557</v>
      </c>
      <c r="P7138">
        <v>15772</v>
      </c>
      <c r="Q7138" t="str">
        <f>"37.971443"</f>
        <v>37.971443</v>
      </c>
      <c r="R7138" t="str">
        <f>"23.774216"</f>
        <v>23.774216</v>
      </c>
      <c r="S7138" t="s">
        <v>26</v>
      </c>
    </row>
    <row r="7139" spans="1:19" x14ac:dyDescent="0.3">
      <c r="A7139" t="s">
        <v>3237</v>
      </c>
      <c r="B7139" t="s">
        <v>3307</v>
      </c>
      <c r="C7139" t="s">
        <v>3559</v>
      </c>
      <c r="D7139" t="s">
        <v>3238</v>
      </c>
      <c r="E7139" t="s">
        <v>3506</v>
      </c>
      <c r="F7139" t="s">
        <v>3506</v>
      </c>
      <c r="G7139" t="s">
        <v>3506</v>
      </c>
      <c r="H7139" t="s">
        <v>97</v>
      </c>
      <c r="I7139" t="s">
        <v>98</v>
      </c>
      <c r="J7139" t="str">
        <f>"0551501"</f>
        <v>0551501</v>
      </c>
      <c r="K7139">
        <v>2107652077</v>
      </c>
      <c r="L7139">
        <v>2107662566</v>
      </c>
      <c r="M7139" t="s">
        <v>3560</v>
      </c>
      <c r="N7139" t="s">
        <v>3509</v>
      </c>
      <c r="O7139" t="s">
        <v>3561</v>
      </c>
      <c r="P7139">
        <v>16232</v>
      </c>
      <c r="Q7139" t="str">
        <f>"37.952354"</f>
        <v>37.952354</v>
      </c>
      <c r="R7139" t="str">
        <f>"23.757277"</f>
        <v>23.757277</v>
      </c>
      <c r="S7139" t="s">
        <v>26</v>
      </c>
    </row>
    <row r="7140" spans="1:19" x14ac:dyDescent="0.3">
      <c r="A7140" t="s">
        <v>3237</v>
      </c>
      <c r="B7140" t="s">
        <v>3307</v>
      </c>
      <c r="C7140" t="s">
        <v>3563</v>
      </c>
      <c r="D7140" t="s">
        <v>3238</v>
      </c>
      <c r="E7140" t="s">
        <v>3506</v>
      </c>
      <c r="F7140" t="s">
        <v>3506</v>
      </c>
      <c r="G7140" t="s">
        <v>3506</v>
      </c>
      <c r="H7140" t="s">
        <v>97</v>
      </c>
      <c r="I7140" t="s">
        <v>98</v>
      </c>
      <c r="J7140" t="str">
        <f>"0551503"</f>
        <v>0551503</v>
      </c>
      <c r="K7140">
        <v>2107643187</v>
      </c>
      <c r="L7140">
        <v>2107649008</v>
      </c>
      <c r="M7140" t="s">
        <v>3564</v>
      </c>
      <c r="N7140" t="s">
        <v>3509</v>
      </c>
      <c r="O7140" t="s">
        <v>3565</v>
      </c>
      <c r="P7140">
        <v>16232</v>
      </c>
      <c r="Q7140" t="str">
        <f>"37.953500"</f>
        <v>37.953500</v>
      </c>
      <c r="R7140" t="str">
        <f>"23.758335"</f>
        <v>23.758335</v>
      </c>
      <c r="S7140" t="s">
        <v>26</v>
      </c>
    </row>
    <row r="7141" spans="1:19" x14ac:dyDescent="0.3">
      <c r="A7141" t="s">
        <v>3237</v>
      </c>
      <c r="B7141" t="s">
        <v>3307</v>
      </c>
      <c r="C7141" t="s">
        <v>3566</v>
      </c>
      <c r="D7141" t="s">
        <v>3238</v>
      </c>
      <c r="E7141" t="s">
        <v>3404</v>
      </c>
      <c r="F7141" t="s">
        <v>3405</v>
      </c>
      <c r="G7141" t="s">
        <v>3405</v>
      </c>
      <c r="H7141" t="s">
        <v>97</v>
      </c>
      <c r="I7141" t="s">
        <v>98</v>
      </c>
      <c r="J7141" t="str">
        <f>"0551011"</f>
        <v>0551011</v>
      </c>
      <c r="K7141">
        <v>2102513455</v>
      </c>
      <c r="L7141">
        <v>2102586563</v>
      </c>
      <c r="M7141" t="s">
        <v>3567</v>
      </c>
      <c r="N7141" t="s">
        <v>3568</v>
      </c>
      <c r="O7141" t="s">
        <v>3569</v>
      </c>
      <c r="P7141">
        <v>14342</v>
      </c>
      <c r="Q7141" t="str">
        <f>"38.048694"</f>
        <v>38.048694</v>
      </c>
      <c r="R7141" t="str">
        <f>"23.741822"</f>
        <v>23.741822</v>
      </c>
      <c r="S7141" t="s">
        <v>26</v>
      </c>
    </row>
    <row r="7142" spans="1:19" x14ac:dyDescent="0.3">
      <c r="A7142" t="s">
        <v>3237</v>
      </c>
      <c r="B7142" t="s">
        <v>3307</v>
      </c>
      <c r="C7142" t="s">
        <v>3571</v>
      </c>
      <c r="D7142" t="s">
        <v>3238</v>
      </c>
      <c r="E7142" t="s">
        <v>3239</v>
      </c>
      <c r="F7142" t="s">
        <v>3239</v>
      </c>
      <c r="G7142" t="s">
        <v>3382</v>
      </c>
      <c r="H7142" t="s">
        <v>97</v>
      </c>
      <c r="I7142" t="s">
        <v>98</v>
      </c>
      <c r="J7142" t="str">
        <f>"0551310"</f>
        <v>0551310</v>
      </c>
      <c r="K7142">
        <v>2105139109</v>
      </c>
      <c r="L7142">
        <v>2105153287</v>
      </c>
      <c r="M7142" t="s">
        <v>3572</v>
      </c>
      <c r="N7142" t="s">
        <v>3284</v>
      </c>
      <c r="O7142" t="s">
        <v>3573</v>
      </c>
      <c r="P7142">
        <v>10441</v>
      </c>
      <c r="Q7142" t="str">
        <f>"37.987817"</f>
        <v>37.987817</v>
      </c>
      <c r="R7142" t="str">
        <f>"23.711811"</f>
        <v>23.711811</v>
      </c>
      <c r="S7142" t="s">
        <v>26</v>
      </c>
    </row>
    <row r="7143" spans="1:19" x14ac:dyDescent="0.3">
      <c r="A7143" t="s">
        <v>3237</v>
      </c>
      <c r="B7143" t="s">
        <v>3307</v>
      </c>
      <c r="C7143" t="s">
        <v>3575</v>
      </c>
      <c r="D7143" t="s">
        <v>3238</v>
      </c>
      <c r="E7143" t="s">
        <v>3239</v>
      </c>
      <c r="F7143" t="s">
        <v>3239</v>
      </c>
      <c r="G7143" t="s">
        <v>3340</v>
      </c>
      <c r="H7143" t="s">
        <v>97</v>
      </c>
      <c r="I7143" t="s">
        <v>98</v>
      </c>
      <c r="J7143" t="str">
        <f>"0551196"</f>
        <v>0551196</v>
      </c>
      <c r="K7143">
        <v>2106917117</v>
      </c>
      <c r="L7143">
        <v>2106917127</v>
      </c>
      <c r="M7143" t="s">
        <v>3576</v>
      </c>
      <c r="N7143" t="s">
        <v>3325</v>
      </c>
      <c r="O7143" t="s">
        <v>3577</v>
      </c>
      <c r="P7143">
        <v>11526</v>
      </c>
      <c r="Q7143" t="str">
        <f>"37.993272"</f>
        <v>37.993272</v>
      </c>
      <c r="R7143" t="str">
        <f>"23.770884"</f>
        <v>23.770884</v>
      </c>
      <c r="S7143" t="s">
        <v>26</v>
      </c>
    </row>
    <row r="7144" spans="1:19" x14ac:dyDescent="0.3">
      <c r="A7144" t="s">
        <v>3237</v>
      </c>
      <c r="B7144" t="s">
        <v>3307</v>
      </c>
      <c r="C7144" t="s">
        <v>3579</v>
      </c>
      <c r="D7144" t="s">
        <v>3238</v>
      </c>
      <c r="E7144" t="s">
        <v>3239</v>
      </c>
      <c r="F7144" t="s">
        <v>3239</v>
      </c>
      <c r="G7144" t="s">
        <v>3240</v>
      </c>
      <c r="H7144" t="s">
        <v>97</v>
      </c>
      <c r="I7144" t="s">
        <v>195</v>
      </c>
      <c r="J7144" t="str">
        <f>"0551058"</f>
        <v>0551058</v>
      </c>
      <c r="K7144">
        <v>2108846561</v>
      </c>
      <c r="M7144" t="s">
        <v>3580</v>
      </c>
      <c r="N7144" t="s">
        <v>3284</v>
      </c>
      <c r="O7144" t="s">
        <v>3581</v>
      </c>
      <c r="P7144">
        <v>10439</v>
      </c>
      <c r="Q7144" t="str">
        <f>"37.990407"</f>
        <v>37.990407</v>
      </c>
      <c r="R7144" t="str">
        <f>"23.721673"</f>
        <v>23.721673</v>
      </c>
      <c r="S7144" t="s">
        <v>26</v>
      </c>
    </row>
    <row r="7145" spans="1:19" x14ac:dyDescent="0.3">
      <c r="A7145" t="s">
        <v>3237</v>
      </c>
      <c r="B7145" t="s">
        <v>3307</v>
      </c>
      <c r="C7145" t="s">
        <v>3582</v>
      </c>
      <c r="D7145" t="s">
        <v>3238</v>
      </c>
      <c r="E7145" t="s">
        <v>3239</v>
      </c>
      <c r="F7145" t="s">
        <v>3239</v>
      </c>
      <c r="G7145" t="s">
        <v>3281</v>
      </c>
      <c r="H7145" t="s">
        <v>97</v>
      </c>
      <c r="I7145" t="s">
        <v>98</v>
      </c>
      <c r="J7145" t="str">
        <f>"0551160"</f>
        <v>0551160</v>
      </c>
      <c r="K7145">
        <v>2107624982</v>
      </c>
      <c r="L7145">
        <v>2107624982</v>
      </c>
      <c r="M7145" t="s">
        <v>3583</v>
      </c>
      <c r="N7145" t="s">
        <v>3584</v>
      </c>
      <c r="O7145" t="s">
        <v>3585</v>
      </c>
      <c r="P7145">
        <v>11632</v>
      </c>
      <c r="Q7145" t="str">
        <f>"37.957345"</f>
        <v>37.957345</v>
      </c>
      <c r="R7145" t="str">
        <f>"23.744225"</f>
        <v>23.744225</v>
      </c>
      <c r="S7145" t="s">
        <v>26</v>
      </c>
    </row>
    <row r="7146" spans="1:19" x14ac:dyDescent="0.3">
      <c r="A7146" t="s">
        <v>3237</v>
      </c>
      <c r="B7146" t="s">
        <v>3307</v>
      </c>
      <c r="C7146" t="s">
        <v>3592</v>
      </c>
      <c r="D7146" t="s">
        <v>3238</v>
      </c>
      <c r="E7146" t="s">
        <v>3239</v>
      </c>
      <c r="F7146" t="s">
        <v>3239</v>
      </c>
      <c r="G7146" t="s">
        <v>3312</v>
      </c>
      <c r="H7146" t="s">
        <v>97</v>
      </c>
      <c r="I7146" t="s">
        <v>98</v>
      </c>
      <c r="J7146" t="str">
        <f>"0551110"</f>
        <v>0551110</v>
      </c>
      <c r="K7146">
        <v>2108674196</v>
      </c>
      <c r="L7146">
        <v>2108673673</v>
      </c>
      <c r="M7146" t="s">
        <v>3593</v>
      </c>
      <c r="N7146" t="s">
        <v>3284</v>
      </c>
      <c r="O7146" t="s">
        <v>3315</v>
      </c>
      <c r="P7146">
        <v>11253</v>
      </c>
      <c r="Q7146" t="str">
        <f>"38.008862"</f>
        <v>38.008862</v>
      </c>
      <c r="R7146" t="str">
        <f>"23.732399"</f>
        <v>23.732399</v>
      </c>
      <c r="S7146" t="s">
        <v>26</v>
      </c>
    </row>
    <row r="7147" spans="1:19" x14ac:dyDescent="0.3">
      <c r="A7147" t="s">
        <v>3237</v>
      </c>
      <c r="B7147" t="s">
        <v>3307</v>
      </c>
      <c r="C7147" t="s">
        <v>3594</v>
      </c>
      <c r="D7147" t="s">
        <v>3238</v>
      </c>
      <c r="E7147" t="s">
        <v>3404</v>
      </c>
      <c r="F7147" t="s">
        <v>3405</v>
      </c>
      <c r="G7147" t="s">
        <v>3405</v>
      </c>
      <c r="H7147" t="s">
        <v>97</v>
      </c>
      <c r="I7147" t="s">
        <v>98</v>
      </c>
      <c r="J7147" t="str">
        <f>"0551680"</f>
        <v>0551680</v>
      </c>
      <c r="K7147">
        <v>2102510832</v>
      </c>
      <c r="L7147">
        <v>2102527904</v>
      </c>
      <c r="M7147" t="s">
        <v>3595</v>
      </c>
      <c r="N7147" t="s">
        <v>3405</v>
      </c>
      <c r="O7147" t="s">
        <v>3596</v>
      </c>
      <c r="P7147">
        <v>14341</v>
      </c>
      <c r="Q7147" t="str">
        <f>"38.036798"</f>
        <v>38.036798</v>
      </c>
      <c r="R7147" t="str">
        <f>"23.737510"</f>
        <v>23.737510</v>
      </c>
      <c r="S7147" t="s">
        <v>26</v>
      </c>
    </row>
    <row r="7148" spans="1:19" x14ac:dyDescent="0.3">
      <c r="A7148" t="s">
        <v>3237</v>
      </c>
      <c r="B7148" t="s">
        <v>3307</v>
      </c>
      <c r="C7148" t="s">
        <v>3598</v>
      </c>
      <c r="D7148" t="s">
        <v>3238</v>
      </c>
      <c r="E7148" t="s">
        <v>3468</v>
      </c>
      <c r="F7148" t="s">
        <v>3541</v>
      </c>
      <c r="G7148" t="s">
        <v>3541</v>
      </c>
      <c r="H7148" t="s">
        <v>97</v>
      </c>
      <c r="I7148" t="s">
        <v>98</v>
      </c>
      <c r="J7148" t="str">
        <f>"0551164"</f>
        <v>0551164</v>
      </c>
      <c r="K7148">
        <v>2107613375</v>
      </c>
      <c r="L7148">
        <v>2107625375</v>
      </c>
      <c r="M7148" t="s">
        <v>3599</v>
      </c>
      <c r="N7148" t="s">
        <v>3589</v>
      </c>
      <c r="O7148" t="s">
        <v>3600</v>
      </c>
      <c r="P7148">
        <v>17237</v>
      </c>
      <c r="Q7148" t="str">
        <f>"37.950631"</f>
        <v>37.950631</v>
      </c>
      <c r="R7148" t="str">
        <f>"23.753690"</f>
        <v>23.753690</v>
      </c>
      <c r="S7148" t="s">
        <v>26</v>
      </c>
    </row>
    <row r="7149" spans="1:19" x14ac:dyDescent="0.3">
      <c r="A7149" t="s">
        <v>3237</v>
      </c>
      <c r="B7149" t="s">
        <v>3307</v>
      </c>
      <c r="C7149" t="s">
        <v>3602</v>
      </c>
      <c r="D7149" t="s">
        <v>3238</v>
      </c>
      <c r="E7149" t="s">
        <v>3239</v>
      </c>
      <c r="F7149" t="s">
        <v>3239</v>
      </c>
      <c r="G7149" t="s">
        <v>3312</v>
      </c>
      <c r="H7149" t="s">
        <v>97</v>
      </c>
      <c r="I7149" t="s">
        <v>98</v>
      </c>
      <c r="J7149" t="str">
        <f>"0551390"</f>
        <v>0551390</v>
      </c>
      <c r="K7149">
        <v>2108640412</v>
      </c>
      <c r="L7149">
        <v>2108640412</v>
      </c>
      <c r="M7149" t="s">
        <v>3603</v>
      </c>
      <c r="N7149" t="s">
        <v>3461</v>
      </c>
      <c r="O7149" t="s">
        <v>3604</v>
      </c>
      <c r="P7149">
        <v>11364</v>
      </c>
      <c r="Q7149" t="str">
        <f>"38.004585"</f>
        <v>38.004585</v>
      </c>
      <c r="R7149" t="str">
        <f>"23.747281"</f>
        <v>23.747281</v>
      </c>
      <c r="S7149" t="s">
        <v>26</v>
      </c>
    </row>
    <row r="7150" spans="1:19" x14ac:dyDescent="0.3">
      <c r="A7150" t="s">
        <v>3237</v>
      </c>
      <c r="B7150" t="s">
        <v>3307</v>
      </c>
      <c r="C7150" t="s">
        <v>3614</v>
      </c>
      <c r="D7150" t="s">
        <v>3238</v>
      </c>
      <c r="E7150" t="s">
        <v>3468</v>
      </c>
      <c r="F7150" t="s">
        <v>3469</v>
      </c>
      <c r="G7150" t="s">
        <v>3469</v>
      </c>
      <c r="H7150" t="s">
        <v>97</v>
      </c>
      <c r="I7150" t="s">
        <v>98</v>
      </c>
      <c r="J7150" t="str">
        <f>"0551520"</f>
        <v>0551520</v>
      </c>
      <c r="K7150">
        <v>2109027409</v>
      </c>
      <c r="L7150">
        <v>2109027409</v>
      </c>
      <c r="M7150" t="s">
        <v>3615</v>
      </c>
      <c r="N7150" t="s">
        <v>3549</v>
      </c>
      <c r="O7150" t="s">
        <v>3550</v>
      </c>
      <c r="P7150">
        <v>17234</v>
      </c>
      <c r="Q7150" t="str">
        <f>"37.953464"</f>
        <v>37.953464</v>
      </c>
      <c r="R7150" t="str">
        <f>"23.727414"</f>
        <v>23.727414</v>
      </c>
      <c r="S7150" t="s">
        <v>26</v>
      </c>
    </row>
    <row r="7151" spans="1:19" x14ac:dyDescent="0.3">
      <c r="A7151" t="s">
        <v>3237</v>
      </c>
      <c r="B7151" t="s">
        <v>3307</v>
      </c>
      <c r="C7151" t="s">
        <v>3616</v>
      </c>
      <c r="D7151" t="s">
        <v>3238</v>
      </c>
      <c r="E7151" t="s">
        <v>3239</v>
      </c>
      <c r="F7151" t="s">
        <v>3239</v>
      </c>
      <c r="G7151" t="s">
        <v>3312</v>
      </c>
      <c r="H7151" t="s">
        <v>97</v>
      </c>
      <c r="I7151" t="s">
        <v>195</v>
      </c>
      <c r="J7151" t="str">
        <f>"0551420"</f>
        <v>0551420</v>
      </c>
      <c r="K7151">
        <v>2108676927</v>
      </c>
      <c r="L7151">
        <v>2111820452</v>
      </c>
      <c r="M7151" t="s">
        <v>3617</v>
      </c>
      <c r="N7151" t="s">
        <v>3284</v>
      </c>
      <c r="O7151" t="s">
        <v>3315</v>
      </c>
      <c r="P7151">
        <v>11253</v>
      </c>
      <c r="Q7151" t="str">
        <f>"38.008837"</f>
        <v>38.008837</v>
      </c>
      <c r="R7151" t="str">
        <f>"23.732399"</f>
        <v>23.732399</v>
      </c>
      <c r="S7151" t="s">
        <v>26</v>
      </c>
    </row>
    <row r="7152" spans="1:19" x14ac:dyDescent="0.3">
      <c r="A7152" t="s">
        <v>3237</v>
      </c>
      <c r="B7152" t="s">
        <v>3307</v>
      </c>
      <c r="C7152" t="s">
        <v>3618</v>
      </c>
      <c r="D7152" t="s">
        <v>3238</v>
      </c>
      <c r="E7152" t="s">
        <v>3432</v>
      </c>
      <c r="F7152" t="s">
        <v>3432</v>
      </c>
      <c r="G7152" t="s">
        <v>3432</v>
      </c>
      <c r="H7152" t="s">
        <v>97</v>
      </c>
      <c r="I7152" t="s">
        <v>98</v>
      </c>
      <c r="J7152" t="str">
        <f>"0551620"</f>
        <v>0551620</v>
      </c>
      <c r="K7152">
        <v>2109919554</v>
      </c>
      <c r="L7152">
        <v>2109919554</v>
      </c>
      <c r="M7152" t="s">
        <v>3619</v>
      </c>
      <c r="N7152" t="s">
        <v>3435</v>
      </c>
      <c r="O7152" t="s">
        <v>3620</v>
      </c>
      <c r="P7152">
        <v>16346</v>
      </c>
      <c r="Q7152" t="str">
        <f>"37.936385"</f>
        <v>37.936385</v>
      </c>
      <c r="R7152" t="str">
        <f>"23.752701"</f>
        <v>23.752701</v>
      </c>
      <c r="S7152" t="s">
        <v>26</v>
      </c>
    </row>
    <row r="7153" spans="1:19" x14ac:dyDescent="0.3">
      <c r="A7153" t="s">
        <v>3237</v>
      </c>
      <c r="B7153" t="s">
        <v>3307</v>
      </c>
      <c r="C7153" t="s">
        <v>3622</v>
      </c>
      <c r="D7153" t="s">
        <v>3238</v>
      </c>
      <c r="E7153" t="s">
        <v>3432</v>
      </c>
      <c r="F7153" t="s">
        <v>3432</v>
      </c>
      <c r="G7153" t="s">
        <v>3432</v>
      </c>
      <c r="H7153" t="s">
        <v>97</v>
      </c>
      <c r="I7153" t="s">
        <v>98</v>
      </c>
      <c r="J7153" t="str">
        <f>"0551621"</f>
        <v>0551621</v>
      </c>
      <c r="K7153">
        <v>2109942230</v>
      </c>
      <c r="L7153">
        <v>2109959050</v>
      </c>
      <c r="M7153" t="s">
        <v>3623</v>
      </c>
      <c r="N7153" t="s">
        <v>3435</v>
      </c>
      <c r="O7153" t="s">
        <v>3624</v>
      </c>
      <c r="P7153">
        <v>16342</v>
      </c>
      <c r="Q7153" t="str">
        <f>"37.920868"</f>
        <v>37.920868</v>
      </c>
      <c r="R7153" t="str">
        <f>"23.758593"</f>
        <v>23.758593</v>
      </c>
      <c r="S7153" t="s">
        <v>26</v>
      </c>
    </row>
    <row r="7154" spans="1:19" x14ac:dyDescent="0.3">
      <c r="A7154" t="s">
        <v>3237</v>
      </c>
      <c r="B7154" t="s">
        <v>3307</v>
      </c>
      <c r="C7154" t="s">
        <v>3629</v>
      </c>
      <c r="D7154" t="s">
        <v>3238</v>
      </c>
      <c r="E7154" t="s">
        <v>3239</v>
      </c>
      <c r="F7154" t="s">
        <v>3239</v>
      </c>
      <c r="G7154" t="s">
        <v>3346</v>
      </c>
      <c r="H7154" t="s">
        <v>97</v>
      </c>
      <c r="I7154" t="s">
        <v>98</v>
      </c>
      <c r="J7154" t="str">
        <f>"0551400"</f>
        <v>0551400</v>
      </c>
      <c r="K7154">
        <v>2102280867</v>
      </c>
      <c r="L7154">
        <v>2102232558</v>
      </c>
      <c r="M7154" t="s">
        <v>3630</v>
      </c>
      <c r="N7154" t="s">
        <v>3325</v>
      </c>
      <c r="O7154" t="s">
        <v>3448</v>
      </c>
      <c r="P7154">
        <v>11255</v>
      </c>
      <c r="Q7154" t="str">
        <f>"38.012819"</f>
        <v>38.012819</v>
      </c>
      <c r="R7154" t="str">
        <f>"23.739058"</f>
        <v>23.739058</v>
      </c>
      <c r="S7154" t="s">
        <v>26</v>
      </c>
    </row>
    <row r="7155" spans="1:19" x14ac:dyDescent="0.3">
      <c r="A7155" t="s">
        <v>3237</v>
      </c>
      <c r="B7155" t="s">
        <v>3307</v>
      </c>
      <c r="C7155" t="s">
        <v>3632</v>
      </c>
      <c r="D7155" t="s">
        <v>3238</v>
      </c>
      <c r="E7155" t="s">
        <v>3432</v>
      </c>
      <c r="F7155" t="s">
        <v>3432</v>
      </c>
      <c r="G7155" t="s">
        <v>3432</v>
      </c>
      <c r="H7155" t="s">
        <v>97</v>
      </c>
      <c r="I7155" t="s">
        <v>3631</v>
      </c>
      <c r="J7155" t="str">
        <f>"0551555"</f>
        <v>0551555</v>
      </c>
      <c r="K7155">
        <v>2109935714</v>
      </c>
      <c r="L7155">
        <v>2109964996</v>
      </c>
      <c r="M7155" t="s">
        <v>3633</v>
      </c>
      <c r="N7155" t="s">
        <v>3435</v>
      </c>
      <c r="O7155" t="s">
        <v>3634</v>
      </c>
      <c r="P7155">
        <v>16345</v>
      </c>
      <c r="Q7155" t="str">
        <f>"37.936806"</f>
        <v>37.936806</v>
      </c>
      <c r="R7155" t="str">
        <f>"23.755448"</f>
        <v>23.755448</v>
      </c>
      <c r="S7155" t="s">
        <v>26</v>
      </c>
    </row>
    <row r="7156" spans="1:19" x14ac:dyDescent="0.3">
      <c r="A7156" t="s">
        <v>3237</v>
      </c>
      <c r="B7156" t="s">
        <v>3307</v>
      </c>
      <c r="C7156" t="s">
        <v>3636</v>
      </c>
      <c r="D7156" t="s">
        <v>3238</v>
      </c>
      <c r="E7156" t="s">
        <v>3239</v>
      </c>
      <c r="F7156" t="s">
        <v>3239</v>
      </c>
      <c r="G7156" t="s">
        <v>3340</v>
      </c>
      <c r="H7156" t="s">
        <v>97</v>
      </c>
      <c r="I7156" t="s">
        <v>98</v>
      </c>
      <c r="J7156" t="str">
        <f>"0551230"</f>
        <v>0551230</v>
      </c>
      <c r="K7156">
        <v>2106436824</v>
      </c>
      <c r="L7156">
        <v>2106431900</v>
      </c>
      <c r="M7156" t="s">
        <v>3637</v>
      </c>
      <c r="N7156" t="s">
        <v>3284</v>
      </c>
      <c r="O7156" t="s">
        <v>3638</v>
      </c>
      <c r="P7156">
        <v>11472</v>
      </c>
      <c r="Q7156" t="str">
        <f>"37.988868"</f>
        <v>37.988868</v>
      </c>
      <c r="R7156" t="str">
        <f>"23.744792"</f>
        <v>23.744792</v>
      </c>
      <c r="S7156" t="s">
        <v>26</v>
      </c>
    </row>
    <row r="7157" spans="1:19" x14ac:dyDescent="0.3">
      <c r="A7157" t="s">
        <v>3237</v>
      </c>
      <c r="B7157" t="s">
        <v>3307</v>
      </c>
      <c r="C7157" t="s">
        <v>3641</v>
      </c>
      <c r="D7157" t="s">
        <v>3238</v>
      </c>
      <c r="E7157" t="s">
        <v>3239</v>
      </c>
      <c r="F7157" t="s">
        <v>3239</v>
      </c>
      <c r="G7157" t="s">
        <v>3340</v>
      </c>
      <c r="H7157" t="s">
        <v>97</v>
      </c>
      <c r="I7157" t="s">
        <v>3640</v>
      </c>
      <c r="J7157" t="str">
        <f>"0551010"</f>
        <v>0551010</v>
      </c>
      <c r="K7157">
        <v>2106436784</v>
      </c>
      <c r="L7157">
        <v>2106469834</v>
      </c>
      <c r="M7157" t="s">
        <v>3642</v>
      </c>
      <c r="N7157" t="s">
        <v>3284</v>
      </c>
      <c r="O7157" t="s">
        <v>3643</v>
      </c>
      <c r="P7157">
        <v>11521</v>
      </c>
      <c r="Q7157" t="str">
        <f>"37.985252"</f>
        <v>37.985252</v>
      </c>
      <c r="R7157" t="str">
        <f>"23.753868"</f>
        <v>23.753868</v>
      </c>
      <c r="S7157" t="s">
        <v>26</v>
      </c>
    </row>
    <row r="7158" spans="1:19" x14ac:dyDescent="0.3">
      <c r="A7158" t="s">
        <v>3237</v>
      </c>
      <c r="B7158" t="s">
        <v>3307</v>
      </c>
      <c r="C7158" t="s">
        <v>3648</v>
      </c>
      <c r="D7158" t="s">
        <v>3238</v>
      </c>
      <c r="E7158" t="s">
        <v>3239</v>
      </c>
      <c r="F7158" t="s">
        <v>3239</v>
      </c>
      <c r="G7158" t="s">
        <v>3346</v>
      </c>
      <c r="H7158" t="s">
        <v>97</v>
      </c>
      <c r="I7158" t="s">
        <v>98</v>
      </c>
      <c r="J7158" t="str">
        <f>"0551211"</f>
        <v>0551211</v>
      </c>
      <c r="K7158">
        <v>2102010952</v>
      </c>
      <c r="L7158">
        <v>2102284425</v>
      </c>
      <c r="M7158" t="s">
        <v>3649</v>
      </c>
      <c r="N7158" t="s">
        <v>3325</v>
      </c>
      <c r="O7158" t="s">
        <v>3650</v>
      </c>
      <c r="P7158">
        <v>11142</v>
      </c>
      <c r="Q7158" t="str">
        <f>"38.027047"</f>
        <v>38.027047</v>
      </c>
      <c r="R7158" t="str">
        <f>"23.744455"</f>
        <v>23.744455</v>
      </c>
      <c r="S7158" t="s">
        <v>26</v>
      </c>
    </row>
    <row r="7159" spans="1:19" x14ac:dyDescent="0.3">
      <c r="A7159" t="s">
        <v>3237</v>
      </c>
      <c r="B7159" t="s">
        <v>3307</v>
      </c>
      <c r="C7159" t="s">
        <v>3652</v>
      </c>
      <c r="D7159" t="s">
        <v>3238</v>
      </c>
      <c r="E7159" t="s">
        <v>3432</v>
      </c>
      <c r="F7159" t="s">
        <v>3432</v>
      </c>
      <c r="G7159" t="s">
        <v>3432</v>
      </c>
      <c r="H7159" t="s">
        <v>97</v>
      </c>
      <c r="I7159" t="s">
        <v>98</v>
      </c>
      <c r="J7159" t="str">
        <f>"0551012"</f>
        <v>0551012</v>
      </c>
      <c r="K7159">
        <v>2109915302</v>
      </c>
      <c r="L7159">
        <v>2109915302</v>
      </c>
      <c r="M7159" t="s">
        <v>3653</v>
      </c>
      <c r="N7159" t="s">
        <v>3435</v>
      </c>
      <c r="O7159" t="s">
        <v>3654</v>
      </c>
      <c r="P7159">
        <v>16341</v>
      </c>
      <c r="Q7159" t="str">
        <f>"37.919986"</f>
        <v>37.919986</v>
      </c>
      <c r="R7159" t="str">
        <f>"23.745989"</f>
        <v>23.745989</v>
      </c>
      <c r="S7159" t="s">
        <v>26</v>
      </c>
    </row>
    <row r="7160" spans="1:19" x14ac:dyDescent="0.3">
      <c r="A7160" t="s">
        <v>3237</v>
      </c>
      <c r="B7160" t="s">
        <v>3307</v>
      </c>
      <c r="C7160" t="s">
        <v>3655</v>
      </c>
      <c r="D7160" t="s">
        <v>3238</v>
      </c>
      <c r="E7160" t="s">
        <v>3239</v>
      </c>
      <c r="F7160" t="s">
        <v>3239</v>
      </c>
      <c r="G7160" t="s">
        <v>3322</v>
      </c>
      <c r="H7160" t="s">
        <v>97</v>
      </c>
      <c r="I7160" t="s">
        <v>98</v>
      </c>
      <c r="J7160" t="str">
        <f>"0551150"</f>
        <v>0551150</v>
      </c>
      <c r="K7160">
        <v>2103470930</v>
      </c>
      <c r="L7160">
        <v>2103470930</v>
      </c>
      <c r="M7160" t="s">
        <v>3656</v>
      </c>
      <c r="N7160" t="s">
        <v>3284</v>
      </c>
      <c r="O7160" t="s">
        <v>3657</v>
      </c>
      <c r="P7160">
        <v>11854</v>
      </c>
      <c r="Q7160" t="str">
        <f>"37.973728"</f>
        <v>37.973728</v>
      </c>
      <c r="R7160" t="str">
        <f>"23.711395"</f>
        <v>23.711395</v>
      </c>
      <c r="S7160" t="s">
        <v>26</v>
      </c>
    </row>
    <row r="7161" spans="1:19" x14ac:dyDescent="0.3">
      <c r="A7161" t="s">
        <v>3237</v>
      </c>
      <c r="B7161" t="s">
        <v>3307</v>
      </c>
      <c r="C7161" t="s">
        <v>3659</v>
      </c>
      <c r="D7161" t="s">
        <v>3238</v>
      </c>
      <c r="E7161" t="s">
        <v>3404</v>
      </c>
      <c r="F7161" t="s">
        <v>3658</v>
      </c>
      <c r="G7161" t="s">
        <v>3658</v>
      </c>
      <c r="H7161" t="s">
        <v>97</v>
      </c>
      <c r="I7161" t="s">
        <v>98</v>
      </c>
      <c r="J7161" t="str">
        <f>"0551686"</f>
        <v>0551686</v>
      </c>
      <c r="K7161">
        <v>2102518100</v>
      </c>
      <c r="L7161">
        <v>2102518100</v>
      </c>
      <c r="M7161" t="s">
        <v>3660</v>
      </c>
      <c r="N7161" t="s">
        <v>3661</v>
      </c>
      <c r="O7161" t="s">
        <v>3662</v>
      </c>
      <c r="P7161">
        <v>14343</v>
      </c>
      <c r="Q7161" t="str">
        <f>"38.025915"</f>
        <v>38.025915</v>
      </c>
      <c r="R7161" t="str">
        <f>"23.728270"</f>
        <v>23.728270</v>
      </c>
      <c r="S7161" t="s">
        <v>26</v>
      </c>
    </row>
    <row r="7162" spans="1:19" x14ac:dyDescent="0.3">
      <c r="A7162" t="s">
        <v>3237</v>
      </c>
      <c r="B7162" t="s">
        <v>3307</v>
      </c>
      <c r="C7162" t="s">
        <v>3898</v>
      </c>
      <c r="D7162" t="s">
        <v>3238</v>
      </c>
      <c r="E7162" t="s">
        <v>3239</v>
      </c>
      <c r="F7162" t="s">
        <v>3239</v>
      </c>
      <c r="G7162" t="s">
        <v>3312</v>
      </c>
      <c r="H7162" t="s">
        <v>97</v>
      </c>
      <c r="I7162" t="s">
        <v>98</v>
      </c>
      <c r="J7162" t="str">
        <f>"0551321"</f>
        <v>0551321</v>
      </c>
      <c r="K7162">
        <v>2108665119</v>
      </c>
      <c r="L7162">
        <v>2108613877</v>
      </c>
      <c r="M7162" t="s">
        <v>3899</v>
      </c>
      <c r="N7162" t="s">
        <v>3284</v>
      </c>
      <c r="O7162" t="s">
        <v>3900</v>
      </c>
      <c r="P7162">
        <v>11252</v>
      </c>
      <c r="Q7162" t="str">
        <f>"38.003438"</f>
        <v>38.003438</v>
      </c>
      <c r="R7162" t="str">
        <f>"23.733558"</f>
        <v>23.733558</v>
      </c>
      <c r="S7162" t="s">
        <v>26</v>
      </c>
    </row>
    <row r="7163" spans="1:19" x14ac:dyDescent="0.3">
      <c r="A7163" t="s">
        <v>3237</v>
      </c>
      <c r="B7163" t="s">
        <v>3307</v>
      </c>
      <c r="C7163" t="s">
        <v>3901</v>
      </c>
      <c r="D7163" t="s">
        <v>3238</v>
      </c>
      <c r="E7163" t="s">
        <v>3239</v>
      </c>
      <c r="F7163" t="s">
        <v>3239</v>
      </c>
      <c r="G7163" t="s">
        <v>3340</v>
      </c>
      <c r="H7163" t="s">
        <v>97</v>
      </c>
      <c r="I7163" t="s">
        <v>98</v>
      </c>
      <c r="J7163" t="str">
        <f>"0551132"</f>
        <v>0551132</v>
      </c>
      <c r="K7163">
        <v>2106427239</v>
      </c>
      <c r="L7163">
        <v>2106459079</v>
      </c>
      <c r="M7163" t="s">
        <v>3902</v>
      </c>
      <c r="N7163" t="s">
        <v>3284</v>
      </c>
      <c r="O7163" t="s">
        <v>3903</v>
      </c>
      <c r="P7163">
        <v>11522</v>
      </c>
      <c r="Q7163" t="str">
        <f>"37.994870"</f>
        <v>37.994870</v>
      </c>
      <c r="R7163" t="str">
        <f>"23.756259"</f>
        <v>23.756259</v>
      </c>
      <c r="S7163" t="s">
        <v>26</v>
      </c>
    </row>
    <row r="7164" spans="1:19" x14ac:dyDescent="0.3">
      <c r="A7164" t="s">
        <v>3237</v>
      </c>
      <c r="B7164" t="s">
        <v>3307</v>
      </c>
      <c r="C7164" t="s">
        <v>3911</v>
      </c>
      <c r="D7164" t="s">
        <v>3238</v>
      </c>
      <c r="E7164" t="s">
        <v>3404</v>
      </c>
      <c r="F7164" t="s">
        <v>3405</v>
      </c>
      <c r="G7164" t="s">
        <v>3405</v>
      </c>
      <c r="H7164" t="s">
        <v>97</v>
      </c>
      <c r="I7164" t="s">
        <v>98</v>
      </c>
      <c r="J7164" t="str">
        <f>"0551690"</f>
        <v>0551690</v>
      </c>
      <c r="K7164">
        <v>2102511036</v>
      </c>
      <c r="L7164">
        <v>2102511054</v>
      </c>
      <c r="M7164" t="s">
        <v>3912</v>
      </c>
      <c r="N7164" t="s">
        <v>3913</v>
      </c>
      <c r="O7164" t="s">
        <v>3914</v>
      </c>
      <c r="P7164">
        <v>14342</v>
      </c>
      <c r="Q7164" t="str">
        <f>"38.044694"</f>
        <v>38.044694</v>
      </c>
      <c r="R7164" t="str">
        <f>"23.738076"</f>
        <v>23.738076</v>
      </c>
      <c r="S7164" t="s">
        <v>26</v>
      </c>
    </row>
    <row r="7165" spans="1:19" x14ac:dyDescent="0.3">
      <c r="A7165" t="s">
        <v>3237</v>
      </c>
      <c r="B7165" t="s">
        <v>3307</v>
      </c>
      <c r="C7165" t="s">
        <v>3915</v>
      </c>
      <c r="D7165" t="s">
        <v>3238</v>
      </c>
      <c r="E7165" t="s">
        <v>3317</v>
      </c>
      <c r="F7165" t="s">
        <v>3317</v>
      </c>
      <c r="G7165" t="s">
        <v>3317</v>
      </c>
      <c r="H7165" t="s">
        <v>97</v>
      </c>
      <c r="I7165" t="s">
        <v>98</v>
      </c>
      <c r="J7165" t="str">
        <f>"0551552"</f>
        <v>0551552</v>
      </c>
      <c r="K7165">
        <v>2107487020</v>
      </c>
      <c r="L7165">
        <v>2107754960</v>
      </c>
      <c r="M7165" t="s">
        <v>3916</v>
      </c>
      <c r="N7165" t="s">
        <v>3317</v>
      </c>
      <c r="O7165" t="s">
        <v>3917</v>
      </c>
      <c r="P7165">
        <v>15773</v>
      </c>
      <c r="Q7165" t="str">
        <f>"37.983858"</f>
        <v>37.983858</v>
      </c>
      <c r="R7165" t="str">
        <f>"23.775997"</f>
        <v>23.775997</v>
      </c>
      <c r="S7165" t="s">
        <v>26</v>
      </c>
    </row>
    <row r="7166" spans="1:19" x14ac:dyDescent="0.3">
      <c r="A7166" t="s">
        <v>3237</v>
      </c>
      <c r="B7166" t="s">
        <v>3307</v>
      </c>
      <c r="C7166" t="s">
        <v>3918</v>
      </c>
      <c r="D7166" t="s">
        <v>3238</v>
      </c>
      <c r="E7166" t="s">
        <v>3443</v>
      </c>
      <c r="F7166" t="s">
        <v>3443</v>
      </c>
      <c r="G7166" t="s">
        <v>3443</v>
      </c>
      <c r="H7166" t="s">
        <v>97</v>
      </c>
      <c r="I7166" t="s">
        <v>98</v>
      </c>
      <c r="J7166" t="str">
        <f>"0551402"</f>
        <v>0551402</v>
      </c>
      <c r="K7166">
        <v>2102023850</v>
      </c>
      <c r="L7166">
        <v>2102235722</v>
      </c>
      <c r="M7166" t="s">
        <v>3919</v>
      </c>
      <c r="N7166" t="s">
        <v>3446</v>
      </c>
      <c r="O7166" t="s">
        <v>3452</v>
      </c>
      <c r="P7166">
        <v>11141</v>
      </c>
      <c r="Q7166" t="str">
        <f>"38.013407"</f>
        <v>38.013407</v>
      </c>
      <c r="R7166" t="str">
        <f>"23.742307"</f>
        <v>23.742307</v>
      </c>
      <c r="S7166" t="s">
        <v>26</v>
      </c>
    </row>
    <row r="7167" spans="1:19" x14ac:dyDescent="0.3">
      <c r="A7167" t="s">
        <v>3237</v>
      </c>
      <c r="B7167" t="s">
        <v>3307</v>
      </c>
      <c r="C7167" t="s">
        <v>3926</v>
      </c>
      <c r="D7167" t="s">
        <v>3238</v>
      </c>
      <c r="E7167" t="s">
        <v>3239</v>
      </c>
      <c r="F7167" t="s">
        <v>3239</v>
      </c>
      <c r="G7167" t="s">
        <v>3346</v>
      </c>
      <c r="H7167" t="s">
        <v>97</v>
      </c>
      <c r="I7167" t="s">
        <v>98</v>
      </c>
      <c r="J7167" t="str">
        <f>"0551210"</f>
        <v>0551210</v>
      </c>
      <c r="K7167">
        <v>2102021914</v>
      </c>
      <c r="L7167">
        <v>2102011235</v>
      </c>
      <c r="M7167" t="s">
        <v>3927</v>
      </c>
      <c r="N7167" t="s">
        <v>3461</v>
      </c>
      <c r="O7167" t="s">
        <v>3928</v>
      </c>
      <c r="P7167">
        <v>11144</v>
      </c>
      <c r="Q7167" t="str">
        <f>"38.021726"</f>
        <v>38.021726</v>
      </c>
      <c r="R7167" t="str">
        <f>"23.733798"</f>
        <v>23.733798</v>
      </c>
      <c r="S7167" t="s">
        <v>26</v>
      </c>
    </row>
    <row r="7168" spans="1:19" x14ac:dyDescent="0.3">
      <c r="A7168" t="s">
        <v>3237</v>
      </c>
      <c r="B7168" t="s">
        <v>3307</v>
      </c>
      <c r="C7168" t="s">
        <v>3929</v>
      </c>
      <c r="D7168" t="s">
        <v>3238</v>
      </c>
      <c r="E7168" t="s">
        <v>3239</v>
      </c>
      <c r="F7168" t="s">
        <v>3239</v>
      </c>
      <c r="G7168" t="s">
        <v>3340</v>
      </c>
      <c r="H7168" t="s">
        <v>97</v>
      </c>
      <c r="I7168" t="s">
        <v>98</v>
      </c>
      <c r="J7168" t="str">
        <f>"0551193"</f>
        <v>0551193</v>
      </c>
      <c r="K7168">
        <v>2106423478</v>
      </c>
      <c r="L7168">
        <v>2106451892</v>
      </c>
      <c r="M7168" t="s">
        <v>3930</v>
      </c>
      <c r="N7168" t="s">
        <v>3374</v>
      </c>
      <c r="O7168" t="s">
        <v>3931</v>
      </c>
      <c r="P7168">
        <v>11522</v>
      </c>
      <c r="Q7168" t="str">
        <f>"37.987828"</f>
        <v>37.987828</v>
      </c>
      <c r="R7168" t="str">
        <f>"23.757892"</f>
        <v>23.757892</v>
      </c>
      <c r="S7168" t="s">
        <v>26</v>
      </c>
    </row>
    <row r="7169" spans="1:19" x14ac:dyDescent="0.3">
      <c r="A7169" t="s">
        <v>3237</v>
      </c>
      <c r="B7169" t="s">
        <v>3307</v>
      </c>
      <c r="C7169" t="s">
        <v>3933</v>
      </c>
      <c r="D7169" t="s">
        <v>3238</v>
      </c>
      <c r="E7169" t="s">
        <v>3239</v>
      </c>
      <c r="F7169" t="s">
        <v>3239</v>
      </c>
      <c r="G7169" t="s">
        <v>3240</v>
      </c>
      <c r="H7169" t="s">
        <v>97</v>
      </c>
      <c r="I7169" t="s">
        <v>3640</v>
      </c>
      <c r="J7169" t="str">
        <f>"0551040"</f>
        <v>0551040</v>
      </c>
      <c r="K7169">
        <v>2103221687</v>
      </c>
      <c r="L7169">
        <v>2103313973</v>
      </c>
      <c r="M7169" t="s">
        <v>3934</v>
      </c>
      <c r="N7169" t="s">
        <v>3284</v>
      </c>
      <c r="O7169" t="s">
        <v>3935</v>
      </c>
      <c r="P7169">
        <v>10557</v>
      </c>
      <c r="Q7169" t="str">
        <f>"37.974385"</f>
        <v>37.974385</v>
      </c>
      <c r="R7169" t="str">
        <f>"23.731502"</f>
        <v>23.731502</v>
      </c>
      <c r="S7169" t="s">
        <v>26</v>
      </c>
    </row>
    <row r="7170" spans="1:19" x14ac:dyDescent="0.3">
      <c r="A7170" t="s">
        <v>3237</v>
      </c>
      <c r="B7170" t="s">
        <v>3307</v>
      </c>
      <c r="C7170" t="s">
        <v>3941</v>
      </c>
      <c r="D7170" t="s">
        <v>3238</v>
      </c>
      <c r="E7170" t="s">
        <v>3239</v>
      </c>
      <c r="F7170" t="s">
        <v>3239</v>
      </c>
      <c r="G7170" t="s">
        <v>3346</v>
      </c>
      <c r="H7170" t="s">
        <v>97</v>
      </c>
      <c r="I7170" t="s">
        <v>98</v>
      </c>
      <c r="J7170" t="str">
        <f>"0551181"</f>
        <v>0551181</v>
      </c>
      <c r="K7170">
        <v>2102020224</v>
      </c>
      <c r="L7170">
        <v>2102114500</v>
      </c>
      <c r="M7170" t="s">
        <v>3942</v>
      </c>
      <c r="N7170" t="s">
        <v>3325</v>
      </c>
      <c r="O7170" t="s">
        <v>3687</v>
      </c>
      <c r="P7170">
        <v>11255</v>
      </c>
      <c r="Q7170" t="str">
        <f>"38.012819"</f>
        <v>38.012819</v>
      </c>
      <c r="R7170" t="str">
        <f>"23.739058"</f>
        <v>23.739058</v>
      </c>
      <c r="S7170" t="s">
        <v>26</v>
      </c>
    </row>
    <row r="7171" spans="1:19" x14ac:dyDescent="0.3">
      <c r="A7171" t="s">
        <v>3237</v>
      </c>
      <c r="B7171" t="s">
        <v>3307</v>
      </c>
      <c r="C7171" t="s">
        <v>3946</v>
      </c>
      <c r="D7171" t="s">
        <v>3238</v>
      </c>
      <c r="E7171" t="s">
        <v>3443</v>
      </c>
      <c r="F7171" t="s">
        <v>3443</v>
      </c>
      <c r="G7171" t="s">
        <v>3443</v>
      </c>
      <c r="H7171" t="s">
        <v>97</v>
      </c>
      <c r="I7171" t="s">
        <v>98</v>
      </c>
      <c r="J7171" t="str">
        <f>"0551408"</f>
        <v>0551408</v>
      </c>
      <c r="K7171">
        <v>2102221000</v>
      </c>
      <c r="L7171">
        <v>2102221911</v>
      </c>
      <c r="M7171" t="s">
        <v>3947</v>
      </c>
      <c r="N7171" t="s">
        <v>3761</v>
      </c>
      <c r="O7171" t="s">
        <v>3948</v>
      </c>
      <c r="P7171">
        <v>11146</v>
      </c>
      <c r="Q7171" t="str">
        <f>"38.023956"</f>
        <v>38.023956</v>
      </c>
      <c r="R7171" t="str">
        <f>"23.758388"</f>
        <v>23.758388</v>
      </c>
      <c r="S7171" t="s">
        <v>26</v>
      </c>
    </row>
    <row r="7172" spans="1:19" x14ac:dyDescent="0.3">
      <c r="A7172" t="s">
        <v>3237</v>
      </c>
      <c r="B7172" t="s">
        <v>3307</v>
      </c>
      <c r="C7172" t="s">
        <v>3971</v>
      </c>
      <c r="D7172" t="s">
        <v>3238</v>
      </c>
      <c r="E7172" t="s">
        <v>3239</v>
      </c>
      <c r="F7172" t="s">
        <v>3239</v>
      </c>
      <c r="G7172" t="s">
        <v>3340</v>
      </c>
      <c r="H7172" t="s">
        <v>97</v>
      </c>
      <c r="I7172" t="s">
        <v>195</v>
      </c>
      <c r="J7172" t="str">
        <f>"0551430"</f>
        <v>0551430</v>
      </c>
      <c r="K7172">
        <v>2106422843</v>
      </c>
      <c r="L7172">
        <v>2106443133</v>
      </c>
      <c r="M7172" t="s">
        <v>3972</v>
      </c>
      <c r="N7172" t="s">
        <v>3325</v>
      </c>
      <c r="O7172" t="s">
        <v>3973</v>
      </c>
      <c r="P7172">
        <v>11521</v>
      </c>
      <c r="Q7172" t="str">
        <f>"37.984897"</f>
        <v>37.984897</v>
      </c>
      <c r="R7172" t="str">
        <f>"23.753750"</f>
        <v>23.753750</v>
      </c>
      <c r="S7172" t="s">
        <v>26</v>
      </c>
    </row>
    <row r="7173" spans="1:19" x14ac:dyDescent="0.3">
      <c r="A7173" t="s">
        <v>3237</v>
      </c>
      <c r="B7173" t="s">
        <v>3307</v>
      </c>
      <c r="C7173" t="s">
        <v>3983</v>
      </c>
      <c r="D7173" t="s">
        <v>3238</v>
      </c>
      <c r="E7173" t="s">
        <v>3239</v>
      </c>
      <c r="F7173" t="s">
        <v>3239</v>
      </c>
      <c r="G7173" t="s">
        <v>3240</v>
      </c>
      <c r="H7173" t="s">
        <v>97</v>
      </c>
      <c r="I7173" t="s">
        <v>98</v>
      </c>
      <c r="J7173" t="str">
        <f>"testlyk"</f>
        <v>testlyk</v>
      </c>
      <c r="K7173">
        <v>2641031936</v>
      </c>
      <c r="N7173" t="s">
        <v>3984</v>
      </c>
      <c r="O7173" t="s">
        <v>3985</v>
      </c>
      <c r="P7173">
        <v>30100</v>
      </c>
      <c r="Q7173" t="str">
        <f>"37.987719"</f>
        <v>37.987719</v>
      </c>
      <c r="R7173" t="str">
        <f>"23.760641"</f>
        <v>23.760641</v>
      </c>
      <c r="S7173" t="s">
        <v>26</v>
      </c>
    </row>
    <row r="7174" spans="1:19" x14ac:dyDescent="0.3">
      <c r="A7174" t="s">
        <v>3237</v>
      </c>
      <c r="B7174" t="s">
        <v>3996</v>
      </c>
      <c r="C7174" t="s">
        <v>4006</v>
      </c>
      <c r="D7174" t="s">
        <v>3262</v>
      </c>
      <c r="E7174" t="s">
        <v>3298</v>
      </c>
      <c r="F7174" t="s">
        <v>4005</v>
      </c>
      <c r="G7174" t="s">
        <v>4005</v>
      </c>
      <c r="H7174" t="s">
        <v>97</v>
      </c>
      <c r="I7174" t="s">
        <v>98</v>
      </c>
      <c r="J7174" t="str">
        <f>"0552079"</f>
        <v>0552079</v>
      </c>
      <c r="K7174">
        <v>2102432351</v>
      </c>
      <c r="M7174" t="s">
        <v>4007</v>
      </c>
      <c r="N7174" t="s">
        <v>4008</v>
      </c>
      <c r="O7174" t="s">
        <v>4009</v>
      </c>
      <c r="P7174">
        <v>13676</v>
      </c>
      <c r="Q7174" t="str">
        <f>"38.124468"</f>
        <v>38.124468</v>
      </c>
      <c r="R7174" t="str">
        <f>"23.762761"</f>
        <v>23.762761</v>
      </c>
      <c r="S7174" t="s">
        <v>26</v>
      </c>
    </row>
    <row r="7175" spans="1:19" x14ac:dyDescent="0.3">
      <c r="A7175" t="s">
        <v>3237</v>
      </c>
      <c r="B7175" t="s">
        <v>3996</v>
      </c>
      <c r="C7175" t="s">
        <v>4020</v>
      </c>
      <c r="D7175" t="s">
        <v>3262</v>
      </c>
      <c r="E7175" t="s">
        <v>4019</v>
      </c>
      <c r="F7175" t="s">
        <v>4019</v>
      </c>
      <c r="G7175" t="s">
        <v>4019</v>
      </c>
      <c r="H7175" t="s">
        <v>97</v>
      </c>
      <c r="I7175" t="s">
        <v>98</v>
      </c>
      <c r="J7175" t="str">
        <f>"0552050"</f>
        <v>0552050</v>
      </c>
      <c r="K7175">
        <v>2294066950</v>
      </c>
      <c r="L7175">
        <v>2294067960</v>
      </c>
      <c r="M7175" t="s">
        <v>4021</v>
      </c>
      <c r="N7175" t="s">
        <v>4022</v>
      </c>
      <c r="O7175" t="s">
        <v>4023</v>
      </c>
      <c r="P7175">
        <v>19007</v>
      </c>
      <c r="Q7175" t="str">
        <f>"38.152859"</f>
        <v>38.152859</v>
      </c>
      <c r="R7175" t="str">
        <f>"23.962282"</f>
        <v>23.962282</v>
      </c>
      <c r="S7175" t="s">
        <v>26</v>
      </c>
    </row>
    <row r="7176" spans="1:19" x14ac:dyDescent="0.3">
      <c r="A7176" t="s">
        <v>3237</v>
      </c>
      <c r="B7176" t="s">
        <v>3996</v>
      </c>
      <c r="C7176" t="s">
        <v>4026</v>
      </c>
      <c r="D7176" t="s">
        <v>3262</v>
      </c>
      <c r="E7176" t="s">
        <v>3298</v>
      </c>
      <c r="F7176" t="s">
        <v>3298</v>
      </c>
      <c r="G7176" t="s">
        <v>3298</v>
      </c>
      <c r="H7176" t="s">
        <v>97</v>
      </c>
      <c r="I7176" t="s">
        <v>98</v>
      </c>
      <c r="J7176" t="str">
        <f>"0552088"</f>
        <v>0552088</v>
      </c>
      <c r="K7176">
        <v>2102316400</v>
      </c>
      <c r="L7176">
        <v>2102316400</v>
      </c>
      <c r="M7176" t="s">
        <v>4027</v>
      </c>
      <c r="N7176" t="s">
        <v>4028</v>
      </c>
      <c r="O7176" t="s">
        <v>4029</v>
      </c>
      <c r="P7176">
        <v>13671</v>
      </c>
      <c r="Q7176" t="str">
        <f>"38.054341"</f>
        <v>38.054341</v>
      </c>
      <c r="R7176" t="str">
        <f>"23.734312"</f>
        <v>23.734312</v>
      </c>
      <c r="S7176" t="s">
        <v>26</v>
      </c>
    </row>
    <row r="7177" spans="1:19" x14ac:dyDescent="0.3">
      <c r="A7177" t="s">
        <v>3237</v>
      </c>
      <c r="B7177" t="s">
        <v>3996</v>
      </c>
      <c r="C7177" t="s">
        <v>4038</v>
      </c>
      <c r="D7177" t="s">
        <v>3262</v>
      </c>
      <c r="E7177" t="s">
        <v>4031</v>
      </c>
      <c r="F7177" t="s">
        <v>4037</v>
      </c>
      <c r="G7177" t="s">
        <v>4037</v>
      </c>
      <c r="H7177" t="s">
        <v>97</v>
      </c>
      <c r="I7177" t="s">
        <v>98</v>
      </c>
      <c r="J7177" t="str">
        <f>"0552060"</f>
        <v>0552060</v>
      </c>
      <c r="K7177">
        <v>2299069854</v>
      </c>
      <c r="L7177">
        <v>2299042580</v>
      </c>
      <c r="M7177" t="s">
        <v>4039</v>
      </c>
      <c r="N7177" t="s">
        <v>4040</v>
      </c>
      <c r="O7177" t="s">
        <v>4041</v>
      </c>
      <c r="P7177">
        <v>19001</v>
      </c>
      <c r="Q7177" t="str">
        <f>"37.805597"</f>
        <v>37.805597</v>
      </c>
      <c r="R7177" t="str">
        <f>"23.971634"</f>
        <v>23.971634</v>
      </c>
      <c r="S7177" t="s">
        <v>26</v>
      </c>
    </row>
    <row r="7178" spans="1:19" x14ac:dyDescent="0.3">
      <c r="A7178" t="s">
        <v>3237</v>
      </c>
      <c r="B7178" t="s">
        <v>3996</v>
      </c>
      <c r="C7178" t="s">
        <v>4120</v>
      </c>
      <c r="D7178" t="s">
        <v>3262</v>
      </c>
      <c r="E7178" t="s">
        <v>4118</v>
      </c>
      <c r="F7178" t="s">
        <v>4119</v>
      </c>
      <c r="G7178" t="s">
        <v>4119</v>
      </c>
      <c r="H7178" t="s">
        <v>97</v>
      </c>
      <c r="I7178" t="s">
        <v>98</v>
      </c>
      <c r="J7178" t="str">
        <f>"0552030"</f>
        <v>0552030</v>
      </c>
      <c r="K7178">
        <v>2106632307</v>
      </c>
      <c r="L7178">
        <v>2106632510</v>
      </c>
      <c r="M7178" t="s">
        <v>4121</v>
      </c>
      <c r="N7178" t="s">
        <v>4122</v>
      </c>
      <c r="O7178" t="s">
        <v>4123</v>
      </c>
      <c r="P7178">
        <v>19004</v>
      </c>
      <c r="Q7178" t="str">
        <f>"37.958618"</f>
        <v>37.958618</v>
      </c>
      <c r="R7178" t="str">
        <f>"23.916154"</f>
        <v>23.916154</v>
      </c>
      <c r="S7178" t="s">
        <v>26</v>
      </c>
    </row>
    <row r="7179" spans="1:19" x14ac:dyDescent="0.3">
      <c r="A7179" t="s">
        <v>3237</v>
      </c>
      <c r="B7179" t="s">
        <v>3996</v>
      </c>
      <c r="C7179" t="s">
        <v>4126</v>
      </c>
      <c r="D7179" t="s">
        <v>3262</v>
      </c>
      <c r="E7179" t="s">
        <v>4067</v>
      </c>
      <c r="F7179" t="s">
        <v>4125</v>
      </c>
      <c r="G7179" t="s">
        <v>4125</v>
      </c>
      <c r="H7179" t="s">
        <v>97</v>
      </c>
      <c r="I7179" t="s">
        <v>98</v>
      </c>
      <c r="J7179" t="str">
        <f>"0552051"</f>
        <v>0552051</v>
      </c>
      <c r="K7179">
        <v>2295052160</v>
      </c>
      <c r="L7179">
        <v>2295052160</v>
      </c>
      <c r="M7179" t="s">
        <v>4127</v>
      </c>
      <c r="N7179" t="s">
        <v>4128</v>
      </c>
      <c r="O7179" t="s">
        <v>4129</v>
      </c>
      <c r="P7179">
        <v>19014</v>
      </c>
      <c r="Q7179" t="str">
        <f>"38.215538"</f>
        <v>38.215538</v>
      </c>
      <c r="R7179" t="str">
        <f>"23.884283"</f>
        <v>23.884283</v>
      </c>
      <c r="S7179" t="s">
        <v>26</v>
      </c>
    </row>
    <row r="7180" spans="1:19" x14ac:dyDescent="0.3">
      <c r="A7180" t="s">
        <v>3237</v>
      </c>
      <c r="B7180" t="s">
        <v>3996</v>
      </c>
      <c r="C7180" t="s">
        <v>4131</v>
      </c>
      <c r="D7180" t="s">
        <v>3262</v>
      </c>
      <c r="E7180" t="s">
        <v>3298</v>
      </c>
      <c r="F7180" t="s">
        <v>3298</v>
      </c>
      <c r="G7180" t="s">
        <v>3298</v>
      </c>
      <c r="H7180" t="s">
        <v>97</v>
      </c>
      <c r="I7180" t="s">
        <v>98</v>
      </c>
      <c r="J7180" t="str">
        <f>"0552080"</f>
        <v>0552080</v>
      </c>
      <c r="K7180">
        <v>2102440083</v>
      </c>
      <c r="L7180">
        <v>2102469070</v>
      </c>
      <c r="M7180" t="s">
        <v>4132</v>
      </c>
      <c r="N7180" t="s">
        <v>4028</v>
      </c>
      <c r="O7180" t="s">
        <v>4133</v>
      </c>
      <c r="P7180">
        <v>13673</v>
      </c>
      <c r="Q7180" t="str">
        <f>"38.077240"</f>
        <v>38.077240</v>
      </c>
      <c r="R7180" t="str">
        <f>"23.745729"</f>
        <v>23.745729</v>
      </c>
      <c r="S7180" t="s">
        <v>26</v>
      </c>
    </row>
    <row r="7181" spans="1:19" x14ac:dyDescent="0.3">
      <c r="A7181" t="s">
        <v>3237</v>
      </c>
      <c r="B7181" t="s">
        <v>3996</v>
      </c>
      <c r="C7181" t="s">
        <v>4137</v>
      </c>
      <c r="D7181" t="s">
        <v>3262</v>
      </c>
      <c r="E7181" t="s">
        <v>4075</v>
      </c>
      <c r="F7181" t="s">
        <v>4075</v>
      </c>
      <c r="G7181" t="s">
        <v>4075</v>
      </c>
      <c r="H7181" t="s">
        <v>97</v>
      </c>
      <c r="I7181" t="s">
        <v>98</v>
      </c>
      <c r="J7181" t="str">
        <f>"0552020"</f>
        <v>0552020</v>
      </c>
      <c r="K7181">
        <v>2106646711</v>
      </c>
      <c r="L7181">
        <v>2106642378</v>
      </c>
      <c r="M7181" t="s">
        <v>4138</v>
      </c>
      <c r="N7181" t="s">
        <v>4139</v>
      </c>
      <c r="O7181" t="s">
        <v>4140</v>
      </c>
      <c r="P7181">
        <v>19002</v>
      </c>
      <c r="Q7181" t="str">
        <f>"37.950889"</f>
        <v>37.950889</v>
      </c>
      <c r="R7181" t="str">
        <f>"23.851325"</f>
        <v>23.851325</v>
      </c>
      <c r="S7181" t="s">
        <v>26</v>
      </c>
    </row>
    <row r="7182" spans="1:19" x14ac:dyDescent="0.3">
      <c r="A7182" t="s">
        <v>3237</v>
      </c>
      <c r="B7182" t="s">
        <v>3996</v>
      </c>
      <c r="C7182" t="s">
        <v>4142</v>
      </c>
      <c r="D7182" t="s">
        <v>3262</v>
      </c>
      <c r="E7182" t="s">
        <v>4011</v>
      </c>
      <c r="F7182" t="s">
        <v>4112</v>
      </c>
      <c r="G7182" t="s">
        <v>4112</v>
      </c>
      <c r="H7182" t="s">
        <v>97</v>
      </c>
      <c r="I7182" t="s">
        <v>98</v>
      </c>
      <c r="J7182" t="str">
        <f>"0552035"</f>
        <v>0552035</v>
      </c>
      <c r="K7182">
        <v>2108973251</v>
      </c>
      <c r="L7182">
        <v>2109653404</v>
      </c>
      <c r="M7182" t="s">
        <v>4143</v>
      </c>
      <c r="N7182" t="s">
        <v>4144</v>
      </c>
      <c r="O7182" t="s">
        <v>4145</v>
      </c>
      <c r="P7182">
        <v>16672</v>
      </c>
      <c r="Q7182" t="str">
        <f>"37.829117"</f>
        <v>37.829117</v>
      </c>
      <c r="R7182" t="str">
        <f>"23.805724"</f>
        <v>23.805724</v>
      </c>
      <c r="S7182" t="s">
        <v>26</v>
      </c>
    </row>
    <row r="7183" spans="1:19" x14ac:dyDescent="0.3">
      <c r="A7183" t="s">
        <v>3237</v>
      </c>
      <c r="B7183" t="s">
        <v>3996</v>
      </c>
      <c r="C7183" t="s">
        <v>4146</v>
      </c>
      <c r="D7183" t="s">
        <v>3262</v>
      </c>
      <c r="E7183" t="s">
        <v>4043</v>
      </c>
      <c r="F7183" t="s">
        <v>2808</v>
      </c>
      <c r="G7183" t="s">
        <v>2808</v>
      </c>
      <c r="H7183" t="s">
        <v>97</v>
      </c>
      <c r="I7183" t="s">
        <v>98</v>
      </c>
      <c r="J7183" t="str">
        <f>"0552046"</f>
        <v>0552046</v>
      </c>
      <c r="K7183">
        <v>2106211664</v>
      </c>
      <c r="L7183">
        <v>2106212404</v>
      </c>
      <c r="M7183" t="s">
        <v>4147</v>
      </c>
      <c r="N7183" t="s">
        <v>4148</v>
      </c>
      <c r="O7183" t="s">
        <v>4149</v>
      </c>
      <c r="P7183">
        <v>14578</v>
      </c>
      <c r="Q7183" t="str">
        <f>"38.118785"</f>
        <v>38.118785</v>
      </c>
      <c r="R7183" t="str">
        <f>"23.859626"</f>
        <v>23.859626</v>
      </c>
      <c r="S7183" t="s">
        <v>26</v>
      </c>
    </row>
    <row r="7184" spans="1:19" x14ac:dyDescent="0.3">
      <c r="A7184" t="s">
        <v>3237</v>
      </c>
      <c r="B7184" t="s">
        <v>3996</v>
      </c>
      <c r="C7184" t="s">
        <v>4151</v>
      </c>
      <c r="D7184" t="s">
        <v>3262</v>
      </c>
      <c r="E7184" t="s">
        <v>3298</v>
      </c>
      <c r="F7184" t="s">
        <v>3298</v>
      </c>
      <c r="G7184" t="s">
        <v>3298</v>
      </c>
      <c r="H7184" t="s">
        <v>97</v>
      </c>
      <c r="I7184" t="s">
        <v>98</v>
      </c>
      <c r="J7184" t="str">
        <f>"0552089"</f>
        <v>0552089</v>
      </c>
      <c r="K7184">
        <v>2102403166</v>
      </c>
      <c r="L7184">
        <v>2102465632</v>
      </c>
      <c r="M7184" t="s">
        <v>4152</v>
      </c>
      <c r="N7184" t="s">
        <v>4028</v>
      </c>
      <c r="O7184" t="s">
        <v>4153</v>
      </c>
      <c r="P7184">
        <v>13671</v>
      </c>
      <c r="Q7184" t="str">
        <f>"38.097553"</f>
        <v>38.097553</v>
      </c>
      <c r="R7184" t="str">
        <f>"23.727247"</f>
        <v>23.727247</v>
      </c>
      <c r="S7184" t="s">
        <v>26</v>
      </c>
    </row>
    <row r="7185" spans="1:19" x14ac:dyDescent="0.3">
      <c r="A7185" t="s">
        <v>3237</v>
      </c>
      <c r="B7185" t="s">
        <v>3996</v>
      </c>
      <c r="C7185" t="s">
        <v>4155</v>
      </c>
      <c r="D7185" t="s">
        <v>3262</v>
      </c>
      <c r="E7185" t="s">
        <v>4043</v>
      </c>
      <c r="F7185" t="s">
        <v>4043</v>
      </c>
      <c r="G7185" t="s">
        <v>4043</v>
      </c>
      <c r="H7185" t="s">
        <v>97</v>
      </c>
      <c r="I7185" t="s">
        <v>98</v>
      </c>
      <c r="J7185" t="str">
        <f>"0552048"</f>
        <v>0552048</v>
      </c>
      <c r="K7185">
        <v>2106210095</v>
      </c>
      <c r="L7185">
        <v>2106210095</v>
      </c>
      <c r="M7185" t="s">
        <v>4156</v>
      </c>
      <c r="N7185" t="s">
        <v>4157</v>
      </c>
      <c r="O7185" t="s">
        <v>4158</v>
      </c>
      <c r="P7185">
        <v>14576</v>
      </c>
      <c r="Q7185" t="str">
        <f>"38.098457"</f>
        <v>38.098457</v>
      </c>
      <c r="R7185" t="str">
        <f>"23.882686"</f>
        <v>23.882686</v>
      </c>
      <c r="S7185" t="s">
        <v>26</v>
      </c>
    </row>
    <row r="7186" spans="1:19" x14ac:dyDescent="0.3">
      <c r="A7186" t="s">
        <v>3237</v>
      </c>
      <c r="B7186" t="s">
        <v>3996</v>
      </c>
      <c r="C7186" t="s">
        <v>4161</v>
      </c>
      <c r="D7186" t="s">
        <v>3262</v>
      </c>
      <c r="E7186" t="s">
        <v>4011</v>
      </c>
      <c r="F7186" t="s">
        <v>4160</v>
      </c>
      <c r="G7186" t="s">
        <v>4160</v>
      </c>
      <c r="H7186" t="s">
        <v>97</v>
      </c>
      <c r="I7186" t="s">
        <v>98</v>
      </c>
      <c r="J7186" t="str">
        <f>"0551855"</f>
        <v>0551855</v>
      </c>
      <c r="K7186">
        <v>2108951627</v>
      </c>
      <c r="L7186">
        <v>2109659892</v>
      </c>
      <c r="M7186" t="s">
        <v>4162</v>
      </c>
      <c r="N7186" t="s">
        <v>4163</v>
      </c>
      <c r="O7186" t="s">
        <v>4164</v>
      </c>
      <c r="P7186">
        <v>16673</v>
      </c>
      <c r="Q7186" t="str">
        <f>"37.851974"</f>
        <v>37.851974</v>
      </c>
      <c r="R7186" t="str">
        <f>"23.768238"</f>
        <v>23.768238</v>
      </c>
      <c r="S7186" t="s">
        <v>26</v>
      </c>
    </row>
    <row r="7187" spans="1:19" x14ac:dyDescent="0.3">
      <c r="A7187" t="s">
        <v>3237</v>
      </c>
      <c r="B7187" t="s">
        <v>3996</v>
      </c>
      <c r="C7187" t="s">
        <v>4166</v>
      </c>
      <c r="D7187" t="s">
        <v>3262</v>
      </c>
      <c r="E7187" t="s">
        <v>4011</v>
      </c>
      <c r="F7187" t="s">
        <v>4012</v>
      </c>
      <c r="G7187" t="s">
        <v>4012</v>
      </c>
      <c r="H7187" t="s">
        <v>97</v>
      </c>
      <c r="I7187" t="s">
        <v>98</v>
      </c>
      <c r="J7187" t="str">
        <f>"0551857"</f>
        <v>0551857</v>
      </c>
      <c r="K7187">
        <v>2109670967</v>
      </c>
      <c r="L7187">
        <v>2109670968</v>
      </c>
      <c r="M7187" t="s">
        <v>4167</v>
      </c>
      <c r="N7187" t="s">
        <v>4168</v>
      </c>
      <c r="O7187" t="s">
        <v>4169</v>
      </c>
      <c r="P7187">
        <v>16671</v>
      </c>
      <c r="Q7187" t="str">
        <f>"37.820174"</f>
        <v>37.820174</v>
      </c>
      <c r="R7187" t="str">
        <f>"23.774708"</f>
        <v>23.774708</v>
      </c>
      <c r="S7187" t="s">
        <v>26</v>
      </c>
    </row>
    <row r="7188" spans="1:19" x14ac:dyDescent="0.3">
      <c r="A7188" t="s">
        <v>3237</v>
      </c>
      <c r="B7188" t="s">
        <v>3996</v>
      </c>
      <c r="C7188" t="s">
        <v>4170</v>
      </c>
      <c r="D7188" t="s">
        <v>3262</v>
      </c>
      <c r="E7188" t="s">
        <v>4024</v>
      </c>
      <c r="F7188" t="s">
        <v>2199</v>
      </c>
      <c r="G7188" t="s">
        <v>2199</v>
      </c>
      <c r="H7188" t="s">
        <v>97</v>
      </c>
      <c r="I7188" t="s">
        <v>98</v>
      </c>
      <c r="J7188" t="str">
        <f>"0552036"</f>
        <v>0552036</v>
      </c>
      <c r="K7188">
        <v>2106611041</v>
      </c>
      <c r="M7188" t="s">
        <v>4171</v>
      </c>
      <c r="N7188" t="s">
        <v>4172</v>
      </c>
      <c r="O7188" t="s">
        <v>4173</v>
      </c>
      <c r="P7188">
        <v>15344</v>
      </c>
      <c r="Q7188" t="str">
        <f>"38.018723"</f>
        <v>38.018723</v>
      </c>
      <c r="R7188" t="str">
        <f>"23.849889"</f>
        <v>23.849889</v>
      </c>
      <c r="S7188" t="s">
        <v>26</v>
      </c>
    </row>
    <row r="7189" spans="1:19" x14ac:dyDescent="0.3">
      <c r="A7189" t="s">
        <v>3237</v>
      </c>
      <c r="B7189" t="s">
        <v>3996</v>
      </c>
      <c r="C7189" t="s">
        <v>4175</v>
      </c>
      <c r="D7189" t="s">
        <v>3262</v>
      </c>
      <c r="E7189" t="s">
        <v>4019</v>
      </c>
      <c r="F7189" t="s">
        <v>4054</v>
      </c>
      <c r="G7189" t="s">
        <v>4054</v>
      </c>
      <c r="H7189" t="s">
        <v>97</v>
      </c>
      <c r="I7189" t="s">
        <v>98</v>
      </c>
      <c r="J7189" t="str">
        <f>"0552057"</f>
        <v>0552057</v>
      </c>
      <c r="K7189">
        <v>2294050444</v>
      </c>
      <c r="L7189">
        <v>2294050444</v>
      </c>
      <c r="M7189" t="s">
        <v>4176</v>
      </c>
      <c r="N7189" t="s">
        <v>4177</v>
      </c>
      <c r="O7189" t="s">
        <v>4178</v>
      </c>
      <c r="P7189">
        <v>19005</v>
      </c>
      <c r="Q7189" t="str">
        <f>"38.085793"</f>
        <v>38.085793</v>
      </c>
      <c r="R7189" t="str">
        <f>"23.973212"</f>
        <v>23.973212</v>
      </c>
      <c r="S7189" t="s">
        <v>26</v>
      </c>
    </row>
    <row r="7190" spans="1:19" x14ac:dyDescent="0.3">
      <c r="A7190" t="s">
        <v>3237</v>
      </c>
      <c r="B7190" t="s">
        <v>3996</v>
      </c>
      <c r="C7190" t="s">
        <v>4180</v>
      </c>
      <c r="D7190" t="s">
        <v>3262</v>
      </c>
      <c r="E7190" t="s">
        <v>4043</v>
      </c>
      <c r="F7190" t="s">
        <v>4179</v>
      </c>
      <c r="G7190" t="s">
        <v>4179</v>
      </c>
      <c r="H7190" t="s">
        <v>97</v>
      </c>
      <c r="I7190" t="s">
        <v>98</v>
      </c>
      <c r="J7190" t="str">
        <f>"0552045"</f>
        <v>0552045</v>
      </c>
      <c r="K7190">
        <v>2106216612</v>
      </c>
      <c r="L7190">
        <v>2106216612</v>
      </c>
      <c r="M7190" t="s">
        <v>4181</v>
      </c>
      <c r="N7190" t="s">
        <v>4182</v>
      </c>
      <c r="O7190" t="s">
        <v>4183</v>
      </c>
      <c r="P7190">
        <v>14569</v>
      </c>
      <c r="Q7190" t="str">
        <f>"38.130413"</f>
        <v>38.130413</v>
      </c>
      <c r="R7190" t="str">
        <f>"23.871171"</f>
        <v>23.871171</v>
      </c>
      <c r="S7190" t="s">
        <v>26</v>
      </c>
    </row>
    <row r="7191" spans="1:19" x14ac:dyDescent="0.3">
      <c r="A7191" t="s">
        <v>3237</v>
      </c>
      <c r="B7191" t="s">
        <v>3996</v>
      </c>
      <c r="C7191" t="s">
        <v>4185</v>
      </c>
      <c r="D7191" t="s">
        <v>3262</v>
      </c>
      <c r="E7191" t="s">
        <v>3263</v>
      </c>
      <c r="F7191" t="s">
        <v>3263</v>
      </c>
      <c r="G7191" t="s">
        <v>3263</v>
      </c>
      <c r="H7191" t="s">
        <v>97</v>
      </c>
      <c r="I7191" t="s">
        <v>98</v>
      </c>
      <c r="J7191" t="str">
        <f>"0552010"</f>
        <v>0552010</v>
      </c>
      <c r="K7191">
        <v>2106622282</v>
      </c>
      <c r="L7191">
        <v>2106627337</v>
      </c>
      <c r="M7191" t="s">
        <v>4186</v>
      </c>
      <c r="N7191" t="s">
        <v>3266</v>
      </c>
      <c r="O7191" t="s">
        <v>4187</v>
      </c>
      <c r="P7191">
        <v>19400</v>
      </c>
      <c r="Q7191" t="str">
        <f>"37.901196"</f>
        <v>37.901196</v>
      </c>
      <c r="R7191" t="str">
        <f>"23.869944"</f>
        <v>23.869944</v>
      </c>
      <c r="S7191" t="s">
        <v>26</v>
      </c>
    </row>
    <row r="7192" spans="1:19" x14ac:dyDescent="0.3">
      <c r="A7192" t="s">
        <v>3237</v>
      </c>
      <c r="B7192" t="s">
        <v>3996</v>
      </c>
      <c r="C7192" t="s">
        <v>4189</v>
      </c>
      <c r="D7192" t="s">
        <v>3262</v>
      </c>
      <c r="E7192" t="s">
        <v>4043</v>
      </c>
      <c r="F7192" t="s">
        <v>4073</v>
      </c>
      <c r="G7192" t="s">
        <v>4073</v>
      </c>
      <c r="H7192" t="s">
        <v>97</v>
      </c>
      <c r="I7192" t="s">
        <v>98</v>
      </c>
      <c r="J7192" t="str">
        <f>"0552047"</f>
        <v>0552047</v>
      </c>
      <c r="K7192">
        <v>2106217600</v>
      </c>
      <c r="L7192">
        <v>2108140191</v>
      </c>
      <c r="M7192" t="s">
        <v>4190</v>
      </c>
      <c r="N7192" t="s">
        <v>4191</v>
      </c>
      <c r="O7192" t="s">
        <v>4192</v>
      </c>
      <c r="P7192">
        <v>14565</v>
      </c>
      <c r="Q7192" t="str">
        <f>"38.143384"</f>
        <v>38.143384</v>
      </c>
      <c r="R7192" t="str">
        <f>"23.856797"</f>
        <v>23.856797</v>
      </c>
      <c r="S7192" t="s">
        <v>26</v>
      </c>
    </row>
    <row r="7193" spans="1:19" x14ac:dyDescent="0.3">
      <c r="A7193" t="s">
        <v>3237</v>
      </c>
      <c r="B7193" t="s">
        <v>3996</v>
      </c>
      <c r="C7193" t="s">
        <v>4202</v>
      </c>
      <c r="D7193" t="s">
        <v>3262</v>
      </c>
      <c r="E7193" t="s">
        <v>4067</v>
      </c>
      <c r="F7193" t="s">
        <v>4068</v>
      </c>
      <c r="G7193" t="s">
        <v>4068</v>
      </c>
      <c r="H7193" t="s">
        <v>97</v>
      </c>
      <c r="I7193" t="s">
        <v>98</v>
      </c>
      <c r="J7193" t="str">
        <f>"0554010"</f>
        <v>0554010</v>
      </c>
      <c r="K7193">
        <v>2295041504</v>
      </c>
      <c r="L7193">
        <v>2295041504</v>
      </c>
      <c r="M7193" t="s">
        <v>4203</v>
      </c>
      <c r="N7193" t="s">
        <v>4204</v>
      </c>
      <c r="O7193" t="s">
        <v>4205</v>
      </c>
      <c r="P7193">
        <v>19011</v>
      </c>
      <c r="Q7193" t="str">
        <f>"38.257165"</f>
        <v>38.257165</v>
      </c>
      <c r="R7193" t="str">
        <f>"23.688717"</f>
        <v>23.688717</v>
      </c>
      <c r="S7193" t="s">
        <v>26</v>
      </c>
    </row>
    <row r="7194" spans="1:19" x14ac:dyDescent="0.3">
      <c r="A7194" t="s">
        <v>3237</v>
      </c>
      <c r="B7194" t="s">
        <v>3996</v>
      </c>
      <c r="C7194" t="s">
        <v>4208</v>
      </c>
      <c r="D7194" t="s">
        <v>3262</v>
      </c>
      <c r="E7194" t="s">
        <v>4207</v>
      </c>
      <c r="F7194" t="s">
        <v>4207</v>
      </c>
      <c r="G7194" t="s">
        <v>4207</v>
      </c>
      <c r="H7194" t="s">
        <v>97</v>
      </c>
      <c r="I7194" t="s">
        <v>98</v>
      </c>
      <c r="J7194" t="str">
        <f>"0552040"</f>
        <v>0552040</v>
      </c>
      <c r="K7194">
        <v>2299025858</v>
      </c>
      <c r="L7194">
        <v>2299025858</v>
      </c>
      <c r="M7194" t="s">
        <v>4209</v>
      </c>
      <c r="N7194" t="s">
        <v>4210</v>
      </c>
      <c r="O7194" t="s">
        <v>4211</v>
      </c>
      <c r="P7194">
        <v>19003</v>
      </c>
      <c r="Q7194" t="str">
        <f>"37.881676"</f>
        <v>37.881676</v>
      </c>
      <c r="R7194" t="str">
        <f>"23.939809"</f>
        <v>23.939809</v>
      </c>
      <c r="S7194" t="s">
        <v>26</v>
      </c>
    </row>
    <row r="7195" spans="1:19" x14ac:dyDescent="0.3">
      <c r="A7195" t="s">
        <v>3237</v>
      </c>
      <c r="B7195" t="s">
        <v>3996</v>
      </c>
      <c r="C7195" t="s">
        <v>4215</v>
      </c>
      <c r="D7195" t="s">
        <v>3262</v>
      </c>
      <c r="E7195" t="s">
        <v>3298</v>
      </c>
      <c r="F7195" t="s">
        <v>3298</v>
      </c>
      <c r="G7195" t="s">
        <v>3298</v>
      </c>
      <c r="H7195" t="s">
        <v>97</v>
      </c>
      <c r="I7195" t="s">
        <v>98</v>
      </c>
      <c r="J7195" t="str">
        <f>"0552087"</f>
        <v>0552087</v>
      </c>
      <c r="K7195">
        <v>2102404964</v>
      </c>
      <c r="L7195">
        <v>2102464777</v>
      </c>
      <c r="M7195" t="s">
        <v>4216</v>
      </c>
      <c r="N7195" t="s">
        <v>4028</v>
      </c>
      <c r="O7195" t="s">
        <v>4217</v>
      </c>
      <c r="P7195">
        <v>13678</v>
      </c>
      <c r="Q7195" t="str">
        <f>"38.090813"</f>
        <v>38.090813</v>
      </c>
      <c r="R7195" t="str">
        <f>"23.748503"</f>
        <v>23.748503</v>
      </c>
      <c r="S7195" t="s">
        <v>26</v>
      </c>
    </row>
    <row r="7196" spans="1:19" x14ac:dyDescent="0.3">
      <c r="A7196" t="s">
        <v>3237</v>
      </c>
      <c r="B7196" t="s">
        <v>3996</v>
      </c>
      <c r="C7196" t="s">
        <v>4219</v>
      </c>
      <c r="D7196" t="s">
        <v>3262</v>
      </c>
      <c r="E7196" t="s">
        <v>4043</v>
      </c>
      <c r="F7196" t="s">
        <v>4044</v>
      </c>
      <c r="G7196" t="s">
        <v>4044</v>
      </c>
      <c r="H7196" t="s">
        <v>97</v>
      </c>
      <c r="I7196" t="s">
        <v>98</v>
      </c>
      <c r="J7196" t="str">
        <f>"0554012"</f>
        <v>0554012</v>
      </c>
      <c r="K7196">
        <v>2106221115</v>
      </c>
      <c r="M7196" t="s">
        <v>4220</v>
      </c>
      <c r="N7196" t="s">
        <v>4044</v>
      </c>
      <c r="O7196" t="s">
        <v>4221</v>
      </c>
      <c r="P7196">
        <v>14568</v>
      </c>
      <c r="Q7196" t="str">
        <f>"38.144186"</f>
        <v>38.144186</v>
      </c>
      <c r="R7196" t="str">
        <f>"23.830864"</f>
        <v>23.830864</v>
      </c>
      <c r="S7196" t="s">
        <v>26</v>
      </c>
    </row>
    <row r="7197" spans="1:19" x14ac:dyDescent="0.3">
      <c r="A7197" t="s">
        <v>3237</v>
      </c>
      <c r="B7197" t="s">
        <v>3996</v>
      </c>
      <c r="C7197" t="s">
        <v>4222</v>
      </c>
      <c r="D7197" t="s">
        <v>3262</v>
      </c>
      <c r="E7197" t="s">
        <v>3298</v>
      </c>
      <c r="F7197" t="s">
        <v>3298</v>
      </c>
      <c r="G7197" t="s">
        <v>3298</v>
      </c>
      <c r="H7197" t="s">
        <v>97</v>
      </c>
      <c r="I7197" t="s">
        <v>195</v>
      </c>
      <c r="J7197" t="str">
        <f>"0552084"</f>
        <v>0552084</v>
      </c>
      <c r="K7197">
        <v>2102460366</v>
      </c>
      <c r="L7197">
        <v>2102460366</v>
      </c>
      <c r="M7197" t="s">
        <v>4223</v>
      </c>
      <c r="N7197" t="s">
        <v>4028</v>
      </c>
      <c r="O7197" t="s">
        <v>4224</v>
      </c>
      <c r="P7197">
        <v>13671</v>
      </c>
      <c r="Q7197" t="str">
        <f>"38.079697"</f>
        <v>38.079697</v>
      </c>
      <c r="R7197" t="str">
        <f>"23.731380"</f>
        <v>23.731380</v>
      </c>
      <c r="S7197" t="s">
        <v>26</v>
      </c>
    </row>
    <row r="7198" spans="1:19" x14ac:dyDescent="0.3">
      <c r="A7198" t="s">
        <v>3237</v>
      </c>
      <c r="B7198" t="s">
        <v>3996</v>
      </c>
      <c r="C7198" t="s">
        <v>4229</v>
      </c>
      <c r="D7198" t="s">
        <v>3262</v>
      </c>
      <c r="E7198" t="s">
        <v>3997</v>
      </c>
      <c r="F7198" t="s">
        <v>3998</v>
      </c>
      <c r="G7198" t="s">
        <v>3998</v>
      </c>
      <c r="H7198" t="s">
        <v>97</v>
      </c>
      <c r="I7198" t="s">
        <v>98</v>
      </c>
      <c r="J7198" t="str">
        <f>"0552066"</f>
        <v>0552066</v>
      </c>
      <c r="K7198">
        <v>2299049820</v>
      </c>
      <c r="L7198">
        <v>2299049820</v>
      </c>
      <c r="M7198" t="s">
        <v>4230</v>
      </c>
      <c r="N7198" t="s">
        <v>4231</v>
      </c>
      <c r="O7198" t="s">
        <v>4232</v>
      </c>
      <c r="P7198">
        <v>19010</v>
      </c>
      <c r="Q7198" t="str">
        <f>"37.836127"</f>
        <v>37.836127</v>
      </c>
      <c r="R7198" t="str">
        <f>"23.931729"</f>
        <v>23.931729</v>
      </c>
      <c r="S7198" t="s">
        <v>26</v>
      </c>
    </row>
    <row r="7199" spans="1:19" x14ac:dyDescent="0.3">
      <c r="A7199" t="s">
        <v>3237</v>
      </c>
      <c r="B7199" t="s">
        <v>3996</v>
      </c>
      <c r="C7199" t="s">
        <v>4240</v>
      </c>
      <c r="D7199" t="s">
        <v>3262</v>
      </c>
      <c r="E7199" t="s">
        <v>3997</v>
      </c>
      <c r="F7199" t="s">
        <v>4239</v>
      </c>
      <c r="G7199" t="s">
        <v>4239</v>
      </c>
      <c r="H7199" t="s">
        <v>97</v>
      </c>
      <c r="I7199" t="s">
        <v>98</v>
      </c>
      <c r="J7199" t="str">
        <f>"0552065"</f>
        <v>0552065</v>
      </c>
      <c r="K7199">
        <v>2291040772</v>
      </c>
      <c r="L7199">
        <v>2291040772</v>
      </c>
      <c r="M7199" t="s">
        <v>4241</v>
      </c>
      <c r="N7199" t="s">
        <v>4242</v>
      </c>
      <c r="O7199" t="s">
        <v>4243</v>
      </c>
      <c r="P7199">
        <v>19013</v>
      </c>
      <c r="Q7199" t="str">
        <f>"37.737995"</f>
        <v>37.737995</v>
      </c>
      <c r="R7199" t="str">
        <f>"23.941600"</f>
        <v>23.941600</v>
      </c>
      <c r="S7199" t="s">
        <v>26</v>
      </c>
    </row>
    <row r="7200" spans="1:19" x14ac:dyDescent="0.3">
      <c r="A7200" t="s">
        <v>3237</v>
      </c>
      <c r="B7200" t="s">
        <v>3996</v>
      </c>
      <c r="C7200" t="s">
        <v>4245</v>
      </c>
      <c r="D7200" t="s">
        <v>3262</v>
      </c>
      <c r="E7200" t="s">
        <v>4031</v>
      </c>
      <c r="F7200" t="s">
        <v>4031</v>
      </c>
      <c r="G7200" t="s">
        <v>4031</v>
      </c>
      <c r="H7200" t="s">
        <v>97</v>
      </c>
      <c r="I7200" t="s">
        <v>98</v>
      </c>
      <c r="J7200" t="str">
        <f>"0552070"</f>
        <v>0552070</v>
      </c>
      <c r="K7200">
        <v>2292023062</v>
      </c>
      <c r="L7200">
        <v>2292023062</v>
      </c>
      <c r="M7200" t="s">
        <v>4246</v>
      </c>
      <c r="N7200" t="s">
        <v>4034</v>
      </c>
      <c r="O7200" t="s">
        <v>4247</v>
      </c>
      <c r="P7200">
        <v>19500</v>
      </c>
      <c r="Q7200" t="str">
        <f>"37.716779"</f>
        <v>37.716779</v>
      </c>
      <c r="R7200" t="str">
        <f>"24.052303"</f>
        <v>24.052303</v>
      </c>
      <c r="S7200" t="s">
        <v>26</v>
      </c>
    </row>
    <row r="7201" spans="1:19" x14ac:dyDescent="0.3">
      <c r="A7201" t="s">
        <v>3237</v>
      </c>
      <c r="B7201" t="s">
        <v>3996</v>
      </c>
      <c r="C7201" t="s">
        <v>4250</v>
      </c>
      <c r="D7201" t="s">
        <v>3262</v>
      </c>
      <c r="E7201" t="s">
        <v>4118</v>
      </c>
      <c r="F7201" t="s">
        <v>4248</v>
      </c>
      <c r="G7201" t="s">
        <v>4249</v>
      </c>
      <c r="H7201" t="s">
        <v>97</v>
      </c>
      <c r="I7201" t="s">
        <v>98</v>
      </c>
      <c r="J7201" t="str">
        <f>"0552101"</f>
        <v>0552101</v>
      </c>
      <c r="K7201">
        <v>2294085880</v>
      </c>
      <c r="L7201">
        <v>2294085090</v>
      </c>
      <c r="M7201" t="s">
        <v>4251</v>
      </c>
      <c r="N7201" t="s">
        <v>4252</v>
      </c>
      <c r="O7201" t="s">
        <v>4253</v>
      </c>
      <c r="P7201">
        <v>19016</v>
      </c>
      <c r="Q7201" t="str">
        <f>"37.972471"</f>
        <v>37.972471</v>
      </c>
      <c r="R7201" t="str">
        <f>"24.003617"</f>
        <v>24.003617</v>
      </c>
      <c r="S7201" t="s">
        <v>26</v>
      </c>
    </row>
    <row r="7202" spans="1:19" x14ac:dyDescent="0.3">
      <c r="A7202" t="s">
        <v>3237</v>
      </c>
      <c r="B7202" t="s">
        <v>3996</v>
      </c>
      <c r="C7202" t="s">
        <v>4413</v>
      </c>
      <c r="D7202" t="s">
        <v>3262</v>
      </c>
      <c r="E7202" t="s">
        <v>4075</v>
      </c>
      <c r="F7202" t="s">
        <v>4076</v>
      </c>
      <c r="G7202" t="s">
        <v>4076</v>
      </c>
      <c r="H7202" t="s">
        <v>97</v>
      </c>
      <c r="I7202" t="s">
        <v>98</v>
      </c>
      <c r="J7202" t="str">
        <f>"0552067"</f>
        <v>0552067</v>
      </c>
      <c r="K7202">
        <v>2106658660</v>
      </c>
      <c r="L7202">
        <v>2106042636</v>
      </c>
      <c r="M7202" t="s">
        <v>4414</v>
      </c>
      <c r="N7202" t="s">
        <v>4079</v>
      </c>
      <c r="O7202" t="s">
        <v>4415</v>
      </c>
      <c r="P7202">
        <v>15354</v>
      </c>
      <c r="Q7202" t="str">
        <f>"37.983209"</f>
        <v>37.983209</v>
      </c>
      <c r="R7202" t="str">
        <f>"23.846420"</f>
        <v>23.846420</v>
      </c>
      <c r="S7202" t="s">
        <v>26</v>
      </c>
    </row>
    <row r="7203" spans="1:19" x14ac:dyDescent="0.3">
      <c r="A7203" t="s">
        <v>3237</v>
      </c>
      <c r="B7203" t="s">
        <v>3996</v>
      </c>
      <c r="C7203" t="s">
        <v>4425</v>
      </c>
      <c r="D7203" t="s">
        <v>3262</v>
      </c>
      <c r="E7203" t="s">
        <v>4060</v>
      </c>
      <c r="F7203" t="s">
        <v>4061</v>
      </c>
      <c r="G7203" t="s">
        <v>4061</v>
      </c>
      <c r="H7203" t="s">
        <v>97</v>
      </c>
      <c r="I7203" t="s">
        <v>98</v>
      </c>
      <c r="J7203" t="str">
        <f>"0552100"</f>
        <v>0552100</v>
      </c>
      <c r="K7203">
        <v>2294028948</v>
      </c>
      <c r="L7203">
        <v>2294026262</v>
      </c>
      <c r="M7203" t="s">
        <v>4426</v>
      </c>
      <c r="N7203" t="s">
        <v>4064</v>
      </c>
      <c r="O7203" t="s">
        <v>4427</v>
      </c>
      <c r="P7203">
        <v>19009</v>
      </c>
      <c r="Q7203" t="str">
        <f>"38.015712"</f>
        <v>38.015712</v>
      </c>
      <c r="R7203" t="str">
        <f>"24.010984"</f>
        <v>24.010984</v>
      </c>
      <c r="S7203" t="s">
        <v>26</v>
      </c>
    </row>
    <row r="7204" spans="1:19" x14ac:dyDescent="0.3">
      <c r="A7204" t="s">
        <v>3237</v>
      </c>
      <c r="B7204" t="s">
        <v>3996</v>
      </c>
      <c r="C7204" t="s">
        <v>4434</v>
      </c>
      <c r="D7204" t="s">
        <v>3262</v>
      </c>
      <c r="E7204" t="s">
        <v>4024</v>
      </c>
      <c r="F7204" t="s">
        <v>4024</v>
      </c>
      <c r="G7204" t="s">
        <v>4024</v>
      </c>
      <c r="H7204" t="s">
        <v>97</v>
      </c>
      <c r="I7204" t="s">
        <v>98</v>
      </c>
      <c r="J7204" t="str">
        <f>"0552032"</f>
        <v>0552032</v>
      </c>
      <c r="K7204">
        <v>2106659019</v>
      </c>
      <c r="L7204">
        <v>2106655305</v>
      </c>
      <c r="M7204" t="s">
        <v>4435</v>
      </c>
      <c r="N7204" t="s">
        <v>4436</v>
      </c>
      <c r="O7204" t="s">
        <v>4437</v>
      </c>
      <c r="P7204">
        <v>15351</v>
      </c>
      <c r="Q7204" t="str">
        <f>"37.986333"</f>
        <v>37.986333</v>
      </c>
      <c r="R7204" t="str">
        <f>"23.863054"</f>
        <v>23.863054</v>
      </c>
      <c r="S7204" t="s">
        <v>26</v>
      </c>
    </row>
    <row r="7205" spans="1:19" x14ac:dyDescent="0.3">
      <c r="A7205" t="s">
        <v>3237</v>
      </c>
      <c r="B7205" t="s">
        <v>3996</v>
      </c>
      <c r="C7205" t="s">
        <v>4438</v>
      </c>
      <c r="D7205" t="s">
        <v>3262</v>
      </c>
      <c r="E7205" t="s">
        <v>4024</v>
      </c>
      <c r="F7205" t="s">
        <v>4024</v>
      </c>
      <c r="G7205" t="s">
        <v>4024</v>
      </c>
      <c r="H7205" t="s">
        <v>97</v>
      </c>
      <c r="I7205" t="s">
        <v>195</v>
      </c>
      <c r="J7205" t="str">
        <f>"0552094"</f>
        <v>0552094</v>
      </c>
      <c r="K7205">
        <v>2106669664</v>
      </c>
      <c r="L7205">
        <v>2106669664</v>
      </c>
      <c r="M7205" t="s">
        <v>4439</v>
      </c>
      <c r="N7205" t="s">
        <v>4352</v>
      </c>
      <c r="O7205" t="s">
        <v>4440</v>
      </c>
      <c r="P7205">
        <v>15351</v>
      </c>
      <c r="Q7205" t="str">
        <f>"38.004557"</f>
        <v>38.004557</v>
      </c>
      <c r="R7205" t="str">
        <f>"23.888112"</f>
        <v>23.888112</v>
      </c>
      <c r="S7205" t="s">
        <v>26</v>
      </c>
    </row>
    <row r="7206" spans="1:19" x14ac:dyDescent="0.3">
      <c r="A7206" t="s">
        <v>3237</v>
      </c>
      <c r="B7206" t="s">
        <v>3996</v>
      </c>
      <c r="C7206" t="s">
        <v>4446</v>
      </c>
      <c r="D7206" t="s">
        <v>3262</v>
      </c>
      <c r="E7206" t="s">
        <v>4024</v>
      </c>
      <c r="F7206" t="s">
        <v>4024</v>
      </c>
      <c r="G7206" t="s">
        <v>4024</v>
      </c>
      <c r="H7206" t="s">
        <v>97</v>
      </c>
      <c r="I7206" t="s">
        <v>4445</v>
      </c>
      <c r="J7206" t="str">
        <f>"0552095"</f>
        <v>0552095</v>
      </c>
      <c r="K7206">
        <v>2106032840</v>
      </c>
      <c r="M7206" t="s">
        <v>4447</v>
      </c>
      <c r="N7206" t="s">
        <v>4352</v>
      </c>
      <c r="O7206" t="s">
        <v>4448</v>
      </c>
      <c r="P7206">
        <v>15351</v>
      </c>
      <c r="Q7206" t="str">
        <f>"38.009316"</f>
        <v>38.009316</v>
      </c>
      <c r="R7206" t="str">
        <f>"23.900536"</f>
        <v>23.900536</v>
      </c>
      <c r="S7206" t="s">
        <v>26</v>
      </c>
    </row>
    <row r="7207" spans="1:19" x14ac:dyDescent="0.3">
      <c r="A7207" t="s">
        <v>3237</v>
      </c>
      <c r="B7207" t="s">
        <v>3996</v>
      </c>
      <c r="C7207" t="s">
        <v>4449</v>
      </c>
      <c r="D7207" t="s">
        <v>3262</v>
      </c>
      <c r="E7207" t="s">
        <v>3298</v>
      </c>
      <c r="F7207" t="s">
        <v>3298</v>
      </c>
      <c r="G7207" t="s">
        <v>3298</v>
      </c>
      <c r="H7207" t="s">
        <v>97</v>
      </c>
      <c r="I7207" t="s">
        <v>98</v>
      </c>
      <c r="J7207" t="str">
        <f>"0552090"</f>
        <v>0552090</v>
      </c>
      <c r="K7207">
        <v>2102316590</v>
      </c>
      <c r="L7207">
        <v>2102319025</v>
      </c>
      <c r="M7207" t="s">
        <v>4450</v>
      </c>
      <c r="N7207" t="s">
        <v>4028</v>
      </c>
      <c r="O7207" t="s">
        <v>4451</v>
      </c>
      <c r="P7207">
        <v>13671</v>
      </c>
      <c r="Q7207" t="str">
        <f>"38.061183"</f>
        <v>38.061183</v>
      </c>
      <c r="R7207" t="str">
        <f>"23.725161"</f>
        <v>23.725161</v>
      </c>
      <c r="S7207" t="s">
        <v>26</v>
      </c>
    </row>
    <row r="7208" spans="1:19" x14ac:dyDescent="0.3">
      <c r="A7208" t="s">
        <v>3237</v>
      </c>
      <c r="B7208" t="s">
        <v>3996</v>
      </c>
      <c r="C7208" t="s">
        <v>4452</v>
      </c>
      <c r="D7208" t="s">
        <v>3262</v>
      </c>
      <c r="E7208" t="s">
        <v>4067</v>
      </c>
      <c r="F7208" t="s">
        <v>4262</v>
      </c>
      <c r="G7208" t="s">
        <v>4263</v>
      </c>
      <c r="H7208" t="s">
        <v>97</v>
      </c>
      <c r="I7208" t="s">
        <v>98</v>
      </c>
      <c r="J7208" t="str">
        <f>"0550009"</f>
        <v>0550009</v>
      </c>
      <c r="K7208">
        <v>2295038470</v>
      </c>
      <c r="L7208">
        <v>2295038470</v>
      </c>
      <c r="M7208" t="s">
        <v>4453</v>
      </c>
      <c r="N7208" t="s">
        <v>4274</v>
      </c>
      <c r="O7208" t="s">
        <v>4454</v>
      </c>
      <c r="P7208">
        <v>19015</v>
      </c>
      <c r="Q7208" t="str">
        <f>"38.327540"</f>
        <v>38.327540</v>
      </c>
      <c r="R7208" t="str">
        <f>"23.774904"</f>
        <v>23.774904</v>
      </c>
      <c r="S7208" t="s">
        <v>26</v>
      </c>
    </row>
    <row r="7209" spans="1:19" x14ac:dyDescent="0.3">
      <c r="A7209" t="s">
        <v>3237</v>
      </c>
      <c r="B7209" t="s">
        <v>3996</v>
      </c>
      <c r="C7209" t="s">
        <v>4458</v>
      </c>
      <c r="D7209" t="s">
        <v>3262</v>
      </c>
      <c r="E7209" t="s">
        <v>4024</v>
      </c>
      <c r="F7209" t="s">
        <v>4024</v>
      </c>
      <c r="G7209" t="s">
        <v>4024</v>
      </c>
      <c r="H7209" t="s">
        <v>97</v>
      </c>
      <c r="I7209" t="s">
        <v>98</v>
      </c>
      <c r="J7209" t="str">
        <f>"0552031"</f>
        <v>0552031</v>
      </c>
      <c r="K7209">
        <v>2106665316</v>
      </c>
      <c r="L7209">
        <v>2106665316</v>
      </c>
      <c r="M7209" t="s">
        <v>4459</v>
      </c>
      <c r="N7209" t="s">
        <v>4352</v>
      </c>
      <c r="O7209" t="s">
        <v>4460</v>
      </c>
      <c r="P7209">
        <v>15351</v>
      </c>
      <c r="Q7209" t="str">
        <f>"38.005203"</f>
        <v>38.005203</v>
      </c>
      <c r="R7209" t="str">
        <f>"23.888429"</f>
        <v>23.888429</v>
      </c>
      <c r="S7209" t="s">
        <v>26</v>
      </c>
    </row>
    <row r="7210" spans="1:19" x14ac:dyDescent="0.3">
      <c r="A7210" t="s">
        <v>3237</v>
      </c>
      <c r="B7210" t="s">
        <v>3996</v>
      </c>
      <c r="C7210" t="s">
        <v>4461</v>
      </c>
      <c r="D7210" t="s">
        <v>3262</v>
      </c>
      <c r="E7210" t="s">
        <v>4024</v>
      </c>
      <c r="F7210" t="s">
        <v>2199</v>
      </c>
      <c r="G7210" t="s">
        <v>2199</v>
      </c>
      <c r="H7210" t="s">
        <v>97</v>
      </c>
      <c r="I7210" t="s">
        <v>98</v>
      </c>
      <c r="J7210" t="str">
        <f>"0552037"</f>
        <v>0552037</v>
      </c>
      <c r="K7210">
        <v>2106047204</v>
      </c>
      <c r="L7210">
        <v>2106047204</v>
      </c>
      <c r="M7210" t="s">
        <v>4462</v>
      </c>
      <c r="N7210" t="s">
        <v>4432</v>
      </c>
      <c r="O7210" t="s">
        <v>4463</v>
      </c>
      <c r="P7210">
        <v>15344</v>
      </c>
      <c r="Q7210" t="str">
        <f>"38.018584"</f>
        <v>38.018584</v>
      </c>
      <c r="R7210" t="str">
        <f>"23.857517"</f>
        <v>23.857517</v>
      </c>
      <c r="S7210" t="s">
        <v>26</v>
      </c>
    </row>
    <row r="7211" spans="1:19" x14ac:dyDescent="0.3">
      <c r="A7211" t="s">
        <v>3237</v>
      </c>
      <c r="B7211" t="s">
        <v>3996</v>
      </c>
      <c r="C7211" t="s">
        <v>4464</v>
      </c>
      <c r="D7211" t="s">
        <v>3262</v>
      </c>
      <c r="E7211" t="s">
        <v>4011</v>
      </c>
      <c r="F7211" t="s">
        <v>4160</v>
      </c>
      <c r="G7211" t="s">
        <v>4160</v>
      </c>
      <c r="H7211" t="s">
        <v>97</v>
      </c>
      <c r="I7211" t="s">
        <v>98</v>
      </c>
      <c r="J7211" t="str">
        <f>"0551856"</f>
        <v>0551856</v>
      </c>
      <c r="K7211">
        <v>2108957562</v>
      </c>
      <c r="L7211">
        <v>2108957562</v>
      </c>
      <c r="M7211" t="s">
        <v>4465</v>
      </c>
      <c r="N7211" t="s">
        <v>4163</v>
      </c>
      <c r="O7211" t="s">
        <v>4466</v>
      </c>
      <c r="P7211">
        <v>16673</v>
      </c>
      <c r="Q7211" t="str">
        <f>"37.846003"</f>
        <v>37.846003</v>
      </c>
      <c r="R7211" t="str">
        <f>"23.761426"</f>
        <v>23.761426</v>
      </c>
      <c r="S7211" t="s">
        <v>26</v>
      </c>
    </row>
    <row r="7212" spans="1:19" x14ac:dyDescent="0.3">
      <c r="A7212" t="s">
        <v>3237</v>
      </c>
      <c r="B7212" t="s">
        <v>3996</v>
      </c>
      <c r="C7212" t="s">
        <v>4480</v>
      </c>
      <c r="D7212" t="s">
        <v>3262</v>
      </c>
      <c r="E7212" t="s">
        <v>4075</v>
      </c>
      <c r="F7212" t="s">
        <v>4076</v>
      </c>
      <c r="G7212" t="s">
        <v>4076</v>
      </c>
      <c r="H7212" t="s">
        <v>97</v>
      </c>
      <c r="I7212" t="s">
        <v>98</v>
      </c>
      <c r="J7212" t="str">
        <f>"0552069"</f>
        <v>0552069</v>
      </c>
      <c r="K7212">
        <v>2106046090</v>
      </c>
      <c r="L7212">
        <v>2106617590</v>
      </c>
      <c r="M7212" t="s">
        <v>4481</v>
      </c>
      <c r="N7212" t="s">
        <v>4079</v>
      </c>
      <c r="O7212" t="s">
        <v>4482</v>
      </c>
      <c r="P7212">
        <v>15354</v>
      </c>
      <c r="Q7212" t="str">
        <f>"38.004749"</f>
        <v>38.004749</v>
      </c>
      <c r="R7212" t="str">
        <f>"23.851950"</f>
        <v>23.851950</v>
      </c>
      <c r="S7212" t="s">
        <v>26</v>
      </c>
    </row>
    <row r="7213" spans="1:19" x14ac:dyDescent="0.3">
      <c r="A7213" t="s">
        <v>3237</v>
      </c>
      <c r="B7213" t="s">
        <v>3996</v>
      </c>
      <c r="C7213" t="s">
        <v>4487</v>
      </c>
      <c r="D7213" t="s">
        <v>3262</v>
      </c>
      <c r="E7213" t="s">
        <v>3298</v>
      </c>
      <c r="F7213" t="s">
        <v>3298</v>
      </c>
      <c r="G7213" t="s">
        <v>3298</v>
      </c>
      <c r="H7213" t="s">
        <v>97</v>
      </c>
      <c r="I7213" t="s">
        <v>98</v>
      </c>
      <c r="J7213" t="str">
        <f>"0552092"</f>
        <v>0552092</v>
      </c>
      <c r="K7213">
        <v>2102476400</v>
      </c>
      <c r="L7213">
        <v>2102476433</v>
      </c>
      <c r="M7213" t="s">
        <v>4488</v>
      </c>
      <c r="N7213" t="s">
        <v>4028</v>
      </c>
      <c r="O7213" t="s">
        <v>4489</v>
      </c>
      <c r="P7213">
        <v>13677</v>
      </c>
      <c r="Q7213" t="str">
        <f>"38.106642"</f>
        <v>38.106642</v>
      </c>
      <c r="R7213" t="str">
        <f>"23.765516"</f>
        <v>23.765516</v>
      </c>
      <c r="S7213" t="s">
        <v>26</v>
      </c>
    </row>
    <row r="7214" spans="1:19" x14ac:dyDescent="0.3">
      <c r="A7214" t="s">
        <v>3237</v>
      </c>
      <c r="B7214" t="s">
        <v>3996</v>
      </c>
      <c r="C7214" t="s">
        <v>4506</v>
      </c>
      <c r="D7214" t="s">
        <v>3262</v>
      </c>
      <c r="E7214" t="s">
        <v>3263</v>
      </c>
      <c r="F7214" t="s">
        <v>3263</v>
      </c>
      <c r="G7214" t="s">
        <v>3263</v>
      </c>
      <c r="H7214" t="s">
        <v>97</v>
      </c>
      <c r="I7214" t="s">
        <v>98</v>
      </c>
      <c r="J7214" t="str">
        <f>"0552017"</f>
        <v>0552017</v>
      </c>
      <c r="K7214">
        <v>2106026187</v>
      </c>
      <c r="L7214">
        <v>2106026187</v>
      </c>
      <c r="M7214" t="s">
        <v>4507</v>
      </c>
      <c r="N7214" t="s">
        <v>3266</v>
      </c>
      <c r="O7214" t="s">
        <v>4508</v>
      </c>
      <c r="P7214">
        <v>19441</v>
      </c>
      <c r="Q7214" t="str">
        <f>"37.904404"</f>
        <v>37.904404</v>
      </c>
      <c r="R7214" t="str">
        <f>"23.873466"</f>
        <v>23.873466</v>
      </c>
      <c r="S7214" t="s">
        <v>26</v>
      </c>
    </row>
    <row r="7215" spans="1:19" x14ac:dyDescent="0.3">
      <c r="A7215" t="s">
        <v>3237</v>
      </c>
      <c r="B7215" t="s">
        <v>3996</v>
      </c>
      <c r="C7215" t="s">
        <v>4509</v>
      </c>
      <c r="D7215" t="s">
        <v>3262</v>
      </c>
      <c r="E7215" t="s">
        <v>3997</v>
      </c>
      <c r="F7215" t="s">
        <v>3998</v>
      </c>
      <c r="G7215" t="s">
        <v>3998</v>
      </c>
      <c r="H7215" t="s">
        <v>97</v>
      </c>
      <c r="I7215" t="s">
        <v>98</v>
      </c>
      <c r="J7215" t="str">
        <f>"0552068"</f>
        <v>0552068</v>
      </c>
      <c r="K7215">
        <v>2291070980</v>
      </c>
      <c r="L7215">
        <v>2291023276</v>
      </c>
      <c r="M7215" t="s">
        <v>4510</v>
      </c>
      <c r="N7215" t="s">
        <v>4511</v>
      </c>
      <c r="O7215" t="s">
        <v>4512</v>
      </c>
      <c r="P7215">
        <v>19010</v>
      </c>
      <c r="Q7215" t="str">
        <f>"37.781792"</f>
        <v>37.781792</v>
      </c>
      <c r="R7215" t="str">
        <f>"23.897222"</f>
        <v>23.897222</v>
      </c>
      <c r="S7215" t="s">
        <v>26</v>
      </c>
    </row>
    <row r="7216" spans="1:19" x14ac:dyDescent="0.3">
      <c r="A7216" t="s">
        <v>3237</v>
      </c>
      <c r="B7216" t="s">
        <v>3996</v>
      </c>
      <c r="C7216" t="s">
        <v>4513</v>
      </c>
      <c r="D7216" t="s">
        <v>3262</v>
      </c>
      <c r="E7216" t="s">
        <v>4060</v>
      </c>
      <c r="F7216" t="s">
        <v>4082</v>
      </c>
      <c r="G7216" t="s">
        <v>4082</v>
      </c>
      <c r="H7216" t="s">
        <v>97</v>
      </c>
      <c r="I7216" t="s">
        <v>98</v>
      </c>
      <c r="J7216" t="str">
        <f>"0552072"</f>
        <v>0552072</v>
      </c>
      <c r="K7216">
        <v>2106036413</v>
      </c>
      <c r="L7216">
        <v>2106036432</v>
      </c>
      <c r="M7216" t="s">
        <v>4514</v>
      </c>
      <c r="N7216" t="s">
        <v>4085</v>
      </c>
      <c r="O7216" t="s">
        <v>4515</v>
      </c>
      <c r="P7216">
        <v>19009</v>
      </c>
      <c r="Q7216" t="str">
        <f>"37.998941"</f>
        <v>37.998941</v>
      </c>
      <c r="R7216" t="str">
        <f>"23.941580"</f>
        <v>23.941580</v>
      </c>
      <c r="S7216" t="s">
        <v>26</v>
      </c>
    </row>
    <row r="7217" spans="1:19" x14ac:dyDescent="0.3">
      <c r="A7217" t="s">
        <v>3237</v>
      </c>
      <c r="B7217" t="s">
        <v>3996</v>
      </c>
      <c r="C7217" t="s">
        <v>4537</v>
      </c>
      <c r="D7217" t="s">
        <v>3262</v>
      </c>
      <c r="E7217" t="s">
        <v>3298</v>
      </c>
      <c r="F7217" t="s">
        <v>3298</v>
      </c>
      <c r="G7217" t="s">
        <v>3298</v>
      </c>
      <c r="H7217" t="s">
        <v>97</v>
      </c>
      <c r="I7217" t="s">
        <v>98</v>
      </c>
      <c r="J7217" t="str">
        <f>"0552093"</f>
        <v>0552093</v>
      </c>
      <c r="K7217">
        <v>2102443656</v>
      </c>
      <c r="L7217">
        <v>2102478636</v>
      </c>
      <c r="M7217" t="s">
        <v>4538</v>
      </c>
      <c r="N7217" t="s">
        <v>4028</v>
      </c>
      <c r="O7217" t="s">
        <v>4224</v>
      </c>
      <c r="P7217">
        <v>13671</v>
      </c>
      <c r="Q7217" t="str">
        <f>"38.079691"</f>
        <v>38.079691</v>
      </c>
      <c r="R7217" t="str">
        <f>"23.731438"</f>
        <v>23.731438</v>
      </c>
      <c r="S7217" t="s">
        <v>26</v>
      </c>
    </row>
    <row r="7218" spans="1:19" x14ac:dyDescent="0.3">
      <c r="A7218" t="s">
        <v>3237</v>
      </c>
      <c r="B7218" t="s">
        <v>3996</v>
      </c>
      <c r="C7218" t="s">
        <v>4539</v>
      </c>
      <c r="D7218" t="s">
        <v>3262</v>
      </c>
      <c r="E7218" t="s">
        <v>4207</v>
      </c>
      <c r="F7218" t="s">
        <v>4207</v>
      </c>
      <c r="G7218" t="s">
        <v>4207</v>
      </c>
      <c r="H7218" t="s">
        <v>97</v>
      </c>
      <c r="I7218" t="s">
        <v>98</v>
      </c>
      <c r="J7218" t="str">
        <f>"0552042"</f>
        <v>0552042</v>
      </c>
      <c r="K7218">
        <v>2299078028</v>
      </c>
      <c r="L7218">
        <v>2299078028</v>
      </c>
      <c r="M7218" t="s">
        <v>4540</v>
      </c>
      <c r="N7218" t="s">
        <v>4541</v>
      </c>
      <c r="O7218" t="s">
        <v>4542</v>
      </c>
      <c r="P7218">
        <v>19023</v>
      </c>
      <c r="Q7218" t="str">
        <f>"37.872471"</f>
        <v>37.872471</v>
      </c>
      <c r="R7218" t="str">
        <f>"24.017764"</f>
        <v>24.017764</v>
      </c>
      <c r="S7218" t="s">
        <v>26</v>
      </c>
    </row>
    <row r="7219" spans="1:19" x14ac:dyDescent="0.3">
      <c r="A7219" t="s">
        <v>3237</v>
      </c>
      <c r="B7219" t="s">
        <v>3996</v>
      </c>
      <c r="C7219" t="s">
        <v>4543</v>
      </c>
      <c r="D7219" t="s">
        <v>3262</v>
      </c>
      <c r="E7219" t="s">
        <v>4067</v>
      </c>
      <c r="F7219" t="s">
        <v>4470</v>
      </c>
      <c r="G7219" t="s">
        <v>4470</v>
      </c>
      <c r="H7219" t="s">
        <v>97</v>
      </c>
      <c r="I7219" t="s">
        <v>98</v>
      </c>
      <c r="J7219" t="str">
        <f>"0552052"</f>
        <v>0552052</v>
      </c>
      <c r="K7219">
        <v>2295062451</v>
      </c>
      <c r="L7219">
        <v>2295062451</v>
      </c>
      <c r="M7219" t="s">
        <v>4544</v>
      </c>
      <c r="N7219" t="s">
        <v>4473</v>
      </c>
      <c r="O7219" t="s">
        <v>4545</v>
      </c>
      <c r="P7219">
        <v>19017</v>
      </c>
      <c r="Q7219" t="str">
        <f>"38.279010"</f>
        <v>38.279010</v>
      </c>
      <c r="R7219" t="str">
        <f>"23.863550"</f>
        <v>23.863550</v>
      </c>
      <c r="S7219" t="s">
        <v>26</v>
      </c>
    </row>
    <row r="7220" spans="1:19" x14ac:dyDescent="0.3">
      <c r="A7220" t="s">
        <v>3237</v>
      </c>
      <c r="B7220" t="s">
        <v>3996</v>
      </c>
      <c r="C7220" t="s">
        <v>4552</v>
      </c>
      <c r="D7220" t="s">
        <v>3262</v>
      </c>
      <c r="E7220" t="s">
        <v>4118</v>
      </c>
      <c r="F7220" t="s">
        <v>4248</v>
      </c>
      <c r="G7220" t="s">
        <v>4249</v>
      </c>
      <c r="H7220" t="s">
        <v>97</v>
      </c>
      <c r="I7220" t="s">
        <v>98</v>
      </c>
      <c r="J7220" t="str">
        <f>"0544002"</f>
        <v>0544002</v>
      </c>
      <c r="K7220">
        <v>2294045545</v>
      </c>
      <c r="L7220">
        <v>2294045547</v>
      </c>
      <c r="M7220" t="s">
        <v>4553</v>
      </c>
      <c r="N7220" t="s">
        <v>4554</v>
      </c>
      <c r="O7220" t="s">
        <v>4555</v>
      </c>
      <c r="P7220">
        <v>19016</v>
      </c>
      <c r="Q7220" t="str">
        <f>"37.938934"</f>
        <v>37.938934</v>
      </c>
      <c r="R7220" t="str">
        <f>"24.010558"</f>
        <v>24.010558</v>
      </c>
      <c r="S7220" t="s">
        <v>26</v>
      </c>
    </row>
    <row r="7221" spans="1:19" x14ac:dyDescent="0.3">
      <c r="A7221" t="s">
        <v>3237</v>
      </c>
      <c r="B7221" t="s">
        <v>3996</v>
      </c>
      <c r="C7221" t="s">
        <v>4571</v>
      </c>
      <c r="D7221" t="s">
        <v>3262</v>
      </c>
      <c r="E7221" t="s">
        <v>3263</v>
      </c>
      <c r="F7221" t="s">
        <v>3263</v>
      </c>
      <c r="G7221" t="s">
        <v>3263</v>
      </c>
      <c r="H7221" t="s">
        <v>97</v>
      </c>
      <c r="I7221" t="s">
        <v>98</v>
      </c>
      <c r="J7221" t="str">
        <f>"0544003"</f>
        <v>0544003</v>
      </c>
      <c r="K7221">
        <v>2109656353</v>
      </c>
      <c r="L7221">
        <v>2109656363</v>
      </c>
      <c r="M7221" t="s">
        <v>4572</v>
      </c>
      <c r="N7221" t="s">
        <v>4569</v>
      </c>
      <c r="O7221" t="s">
        <v>4570</v>
      </c>
      <c r="P7221">
        <v>19442</v>
      </c>
      <c r="Q7221" t="str">
        <f>"37.848230"</f>
        <v>37.848230</v>
      </c>
      <c r="R7221" t="str">
        <f>"23.836587"</f>
        <v>23.836587</v>
      </c>
      <c r="S7221" t="s">
        <v>26</v>
      </c>
    </row>
    <row r="7222" spans="1:19" x14ac:dyDescent="0.3">
      <c r="A7222" t="s">
        <v>3237</v>
      </c>
      <c r="B7222" t="s">
        <v>3996</v>
      </c>
      <c r="C7222" t="s">
        <v>4574</v>
      </c>
      <c r="D7222" t="s">
        <v>3262</v>
      </c>
      <c r="E7222" t="s">
        <v>4019</v>
      </c>
      <c r="F7222" t="s">
        <v>4054</v>
      </c>
      <c r="G7222" t="s">
        <v>4054</v>
      </c>
      <c r="H7222" t="s">
        <v>97</v>
      </c>
      <c r="I7222" t="s">
        <v>98</v>
      </c>
      <c r="J7222" t="str">
        <f>"0544005"</f>
        <v>0544005</v>
      </c>
      <c r="K7222">
        <v>2294091794</v>
      </c>
      <c r="M7222" t="s">
        <v>4575</v>
      </c>
      <c r="N7222" t="s">
        <v>4177</v>
      </c>
      <c r="O7222" t="s">
        <v>4576</v>
      </c>
      <c r="P7222">
        <v>19005</v>
      </c>
      <c r="Q7222" t="str">
        <f>"38.076916"</f>
        <v>38.076916</v>
      </c>
      <c r="R7222" t="str">
        <f>"23.982193"</f>
        <v>23.982193</v>
      </c>
      <c r="S7222" t="s">
        <v>26</v>
      </c>
    </row>
    <row r="7223" spans="1:19" x14ac:dyDescent="0.3">
      <c r="A7223" t="s">
        <v>3237</v>
      </c>
      <c r="B7223" t="s">
        <v>3996</v>
      </c>
      <c r="C7223" t="s">
        <v>4578</v>
      </c>
      <c r="D7223" t="s">
        <v>3262</v>
      </c>
      <c r="E7223" t="s">
        <v>4011</v>
      </c>
      <c r="F7223" t="s">
        <v>4112</v>
      </c>
      <c r="G7223" t="s">
        <v>4112</v>
      </c>
      <c r="H7223" t="s">
        <v>97</v>
      </c>
      <c r="I7223" t="s">
        <v>98</v>
      </c>
      <c r="J7223" t="str">
        <f>"0544006"</f>
        <v>0544006</v>
      </c>
      <c r="Q7223" t="str">
        <f>""</f>
        <v/>
      </c>
      <c r="R7223" t="str">
        <f>""</f>
        <v/>
      </c>
      <c r="S7223" t="s">
        <v>26</v>
      </c>
    </row>
    <row r="7224" spans="1:19" x14ac:dyDescent="0.3">
      <c r="A7224" t="s">
        <v>3237</v>
      </c>
      <c r="B7224" t="s">
        <v>4585</v>
      </c>
      <c r="C7224" t="s">
        <v>4619</v>
      </c>
      <c r="D7224" t="s">
        <v>3245</v>
      </c>
      <c r="E7224" t="s">
        <v>4618</v>
      </c>
      <c r="F7224" t="s">
        <v>4618</v>
      </c>
      <c r="G7224" t="s">
        <v>4618</v>
      </c>
      <c r="H7224" t="s">
        <v>97</v>
      </c>
      <c r="I7224" t="s">
        <v>98</v>
      </c>
      <c r="J7224" t="str">
        <f>"0551700"</f>
        <v>0551700</v>
      </c>
      <c r="K7224">
        <v>2102811708</v>
      </c>
      <c r="L7224">
        <v>2102830727</v>
      </c>
      <c r="M7224" t="s">
        <v>4620</v>
      </c>
      <c r="N7224" t="s">
        <v>4621</v>
      </c>
      <c r="O7224" t="s">
        <v>4622</v>
      </c>
      <c r="P7224">
        <v>14122</v>
      </c>
      <c r="Q7224" t="str">
        <f>"38.051732"</f>
        <v>38.051732</v>
      </c>
      <c r="R7224" t="str">
        <f>"23.770058"</f>
        <v>23.770058</v>
      </c>
      <c r="S7224" t="s">
        <v>26</v>
      </c>
    </row>
    <row r="7225" spans="1:19" x14ac:dyDescent="0.3">
      <c r="A7225" t="s">
        <v>3237</v>
      </c>
      <c r="B7225" t="s">
        <v>4585</v>
      </c>
      <c r="C7225" t="s">
        <v>4624</v>
      </c>
      <c r="D7225" t="s">
        <v>3245</v>
      </c>
      <c r="E7225" t="s">
        <v>3246</v>
      </c>
      <c r="F7225" t="s">
        <v>3246</v>
      </c>
      <c r="G7225" t="s">
        <v>3246</v>
      </c>
      <c r="H7225" t="s">
        <v>97</v>
      </c>
      <c r="I7225" t="s">
        <v>98</v>
      </c>
      <c r="J7225" t="str">
        <f>"0551755"</f>
        <v>0551755</v>
      </c>
      <c r="K7225">
        <v>2102790895</v>
      </c>
      <c r="L7225">
        <v>2102790895</v>
      </c>
      <c r="M7225" t="s">
        <v>4625</v>
      </c>
      <c r="N7225" t="s">
        <v>3249</v>
      </c>
      <c r="O7225" t="s">
        <v>4626</v>
      </c>
      <c r="P7225">
        <v>14235</v>
      </c>
      <c r="Q7225" t="str">
        <f>"38.036836"</f>
        <v>38.036836</v>
      </c>
      <c r="R7225" t="str">
        <f>"23.779292"</f>
        <v>23.779292</v>
      </c>
      <c r="S7225" t="s">
        <v>26</v>
      </c>
    </row>
    <row r="7226" spans="1:19" x14ac:dyDescent="0.3">
      <c r="A7226" t="s">
        <v>3237</v>
      </c>
      <c r="B7226" t="s">
        <v>4585</v>
      </c>
      <c r="C7226" t="s">
        <v>4628</v>
      </c>
      <c r="D7226" t="s">
        <v>3245</v>
      </c>
      <c r="E7226" t="s">
        <v>4048</v>
      </c>
      <c r="F7226" t="s">
        <v>4048</v>
      </c>
      <c r="G7226" t="s">
        <v>4048</v>
      </c>
      <c r="H7226" t="s">
        <v>97</v>
      </c>
      <c r="I7226" t="s">
        <v>98</v>
      </c>
      <c r="J7226" t="str">
        <f>"0551713"</f>
        <v>0551713</v>
      </c>
      <c r="K7226">
        <v>2106200840</v>
      </c>
      <c r="L7226">
        <v>2106200838</v>
      </c>
      <c r="M7226" t="s">
        <v>4629</v>
      </c>
      <c r="N7226" t="s">
        <v>4605</v>
      </c>
      <c r="O7226" t="s">
        <v>4630</v>
      </c>
      <c r="P7226">
        <v>14564</v>
      </c>
      <c r="Q7226" t="str">
        <f>"38.098487"</f>
        <v>38.098487</v>
      </c>
      <c r="R7226" t="str">
        <f>"23.799147"</f>
        <v>23.799147</v>
      </c>
      <c r="S7226" t="s">
        <v>26</v>
      </c>
    </row>
    <row r="7227" spans="1:19" x14ac:dyDescent="0.3">
      <c r="A7227" t="s">
        <v>3237</v>
      </c>
      <c r="B7227" t="s">
        <v>4585</v>
      </c>
      <c r="C7227" t="s">
        <v>4632</v>
      </c>
      <c r="D7227" t="s">
        <v>3245</v>
      </c>
      <c r="E7227" t="s">
        <v>4591</v>
      </c>
      <c r="F7227" t="s">
        <v>4591</v>
      </c>
      <c r="G7227" t="s">
        <v>4591</v>
      </c>
      <c r="H7227" t="s">
        <v>97</v>
      </c>
      <c r="I7227" t="s">
        <v>98</v>
      </c>
      <c r="J7227" t="str">
        <f>"0551477"</f>
        <v>0551477</v>
      </c>
      <c r="K7227">
        <v>2106836136</v>
      </c>
      <c r="L7227">
        <v>2106836137</v>
      </c>
      <c r="M7227" t="s">
        <v>4633</v>
      </c>
      <c r="N7227" t="s">
        <v>4591</v>
      </c>
      <c r="O7227" t="s">
        <v>4634</v>
      </c>
      <c r="P7227">
        <v>15123</v>
      </c>
      <c r="Q7227" t="str">
        <f>"38.031387"</f>
        <v>38.031387</v>
      </c>
      <c r="R7227" t="str">
        <f>"23.787070"</f>
        <v>23.787070</v>
      </c>
      <c r="S7227" t="s">
        <v>26</v>
      </c>
    </row>
    <row r="7228" spans="1:19" x14ac:dyDescent="0.3">
      <c r="A7228" t="s">
        <v>3237</v>
      </c>
      <c r="B7228" t="s">
        <v>4585</v>
      </c>
      <c r="C7228" t="s">
        <v>4636</v>
      </c>
      <c r="D7228" t="s">
        <v>3245</v>
      </c>
      <c r="E7228" t="s">
        <v>3246</v>
      </c>
      <c r="F7228" t="s">
        <v>3246</v>
      </c>
      <c r="G7228" t="s">
        <v>3246</v>
      </c>
      <c r="H7228" t="s">
        <v>97</v>
      </c>
      <c r="I7228" t="s">
        <v>98</v>
      </c>
      <c r="J7228" t="str">
        <f>"0551756"</f>
        <v>0551756</v>
      </c>
      <c r="K7228">
        <v>2102758767</v>
      </c>
      <c r="L7228">
        <v>2102758767</v>
      </c>
      <c r="M7228" t="s">
        <v>4637</v>
      </c>
      <c r="N7228" t="s">
        <v>3249</v>
      </c>
      <c r="O7228" t="s">
        <v>4638</v>
      </c>
      <c r="P7228">
        <v>14234</v>
      </c>
      <c r="Q7228" t="str">
        <f>"38.039677"</f>
        <v>38.039677</v>
      </c>
      <c r="R7228" t="str">
        <f>"23.759854"</f>
        <v>23.759854</v>
      </c>
      <c r="S7228" t="s">
        <v>26</v>
      </c>
    </row>
    <row r="7229" spans="1:19" x14ac:dyDescent="0.3">
      <c r="A7229" t="s">
        <v>3237</v>
      </c>
      <c r="B7229" t="s">
        <v>4585</v>
      </c>
      <c r="C7229" t="s">
        <v>4655</v>
      </c>
      <c r="D7229" t="s">
        <v>3245</v>
      </c>
      <c r="E7229" t="s">
        <v>152</v>
      </c>
      <c r="F7229" t="s">
        <v>152</v>
      </c>
      <c r="G7229" t="s">
        <v>152</v>
      </c>
      <c r="H7229" t="s">
        <v>97</v>
      </c>
      <c r="I7229" t="s">
        <v>3631</v>
      </c>
      <c r="J7229" t="str">
        <f>"0551718"</f>
        <v>0551718</v>
      </c>
      <c r="K7229">
        <v>2106012922</v>
      </c>
      <c r="L7229">
        <v>2106012922</v>
      </c>
      <c r="M7229" t="s">
        <v>4656</v>
      </c>
      <c r="N7229" t="s">
        <v>4657</v>
      </c>
      <c r="O7229" t="s">
        <v>4658</v>
      </c>
      <c r="P7229">
        <v>15343</v>
      </c>
      <c r="Q7229" t="str">
        <f>"38.021683"</f>
        <v>38.021683</v>
      </c>
      <c r="R7229" t="str">
        <f>"23.832532"</f>
        <v>23.832532</v>
      </c>
      <c r="S7229" t="s">
        <v>26</v>
      </c>
    </row>
    <row r="7230" spans="1:19" x14ac:dyDescent="0.3">
      <c r="A7230" t="s">
        <v>3237</v>
      </c>
      <c r="B7230" t="s">
        <v>4585</v>
      </c>
      <c r="C7230" t="s">
        <v>4672</v>
      </c>
      <c r="D7230" t="s">
        <v>3245</v>
      </c>
      <c r="E7230" t="s">
        <v>4670</v>
      </c>
      <c r="F7230" t="s">
        <v>4671</v>
      </c>
      <c r="G7230" t="s">
        <v>4671</v>
      </c>
      <c r="H7230" t="s">
        <v>97</v>
      </c>
      <c r="I7230" t="s">
        <v>98</v>
      </c>
      <c r="J7230" t="str">
        <f>"0551770"</f>
        <v>0551770</v>
      </c>
      <c r="K7230">
        <v>2106845868</v>
      </c>
      <c r="L7230">
        <v>2106849831</v>
      </c>
      <c r="M7230" t="s">
        <v>4673</v>
      </c>
      <c r="N7230" t="s">
        <v>4674</v>
      </c>
      <c r="O7230" t="s">
        <v>4675</v>
      </c>
      <c r="P7230">
        <v>15237</v>
      </c>
      <c r="Q7230" t="str">
        <f>"38.030819"</f>
        <v>38.030819</v>
      </c>
      <c r="R7230" t="str">
        <f>"23.775050"</f>
        <v>23.775050</v>
      </c>
      <c r="S7230" t="s">
        <v>26</v>
      </c>
    </row>
    <row r="7231" spans="1:19" x14ac:dyDescent="0.3">
      <c r="A7231" t="s">
        <v>3237</v>
      </c>
      <c r="B7231" t="s">
        <v>4585</v>
      </c>
      <c r="C7231" t="s">
        <v>4678</v>
      </c>
      <c r="D7231" t="s">
        <v>3245</v>
      </c>
      <c r="E7231" t="s">
        <v>4649</v>
      </c>
      <c r="F7231" t="s">
        <v>4649</v>
      </c>
      <c r="G7231" t="s">
        <v>4649</v>
      </c>
      <c r="H7231" t="s">
        <v>97</v>
      </c>
      <c r="I7231" t="s">
        <v>98</v>
      </c>
      <c r="J7231" t="str">
        <f>"0551570"</f>
        <v>0551570</v>
      </c>
      <c r="K7231">
        <v>2106812433</v>
      </c>
      <c r="L7231">
        <v>2106850779</v>
      </c>
      <c r="M7231" t="s">
        <v>4679</v>
      </c>
      <c r="N7231" t="s">
        <v>4652</v>
      </c>
      <c r="O7231" t="s">
        <v>4680</v>
      </c>
      <c r="P7231">
        <v>15234</v>
      </c>
      <c r="Q7231" t="str">
        <f>"38.021841"</f>
        <v>38.021841</v>
      </c>
      <c r="R7231" t="str">
        <f>"23.808554"</f>
        <v>23.808554</v>
      </c>
      <c r="S7231" t="s">
        <v>26</v>
      </c>
    </row>
    <row r="7232" spans="1:19" x14ac:dyDescent="0.3">
      <c r="A7232" t="s">
        <v>3237</v>
      </c>
      <c r="B7232" t="s">
        <v>4585</v>
      </c>
      <c r="C7232" t="s">
        <v>4683</v>
      </c>
      <c r="D7232" t="s">
        <v>3245</v>
      </c>
      <c r="E7232" t="s">
        <v>4682</v>
      </c>
      <c r="F7232" t="s">
        <v>4682</v>
      </c>
      <c r="G7232" t="s">
        <v>4682</v>
      </c>
      <c r="H7232" t="s">
        <v>97</v>
      </c>
      <c r="I7232" t="s">
        <v>98</v>
      </c>
      <c r="J7232" t="str">
        <f>"0551485"</f>
        <v>0551485</v>
      </c>
      <c r="K7232">
        <v>2106132567</v>
      </c>
      <c r="L7232">
        <v>2108040644</v>
      </c>
      <c r="M7232" t="s">
        <v>4684</v>
      </c>
      <c r="N7232" t="s">
        <v>4685</v>
      </c>
      <c r="O7232" t="s">
        <v>4686</v>
      </c>
      <c r="P7232">
        <v>15235</v>
      </c>
      <c r="Q7232" t="str">
        <f>"38.041074"</f>
        <v>38.041074</v>
      </c>
      <c r="R7232" t="str">
        <f>"23.839170"</f>
        <v>23.839170</v>
      </c>
      <c r="S7232" t="s">
        <v>26</v>
      </c>
    </row>
    <row r="7233" spans="1:19" x14ac:dyDescent="0.3">
      <c r="A7233" t="s">
        <v>3237</v>
      </c>
      <c r="B7233" t="s">
        <v>4585</v>
      </c>
      <c r="C7233" t="s">
        <v>4696</v>
      </c>
      <c r="D7233" t="s">
        <v>3245</v>
      </c>
      <c r="E7233" t="s">
        <v>3246</v>
      </c>
      <c r="F7233" t="s">
        <v>3246</v>
      </c>
      <c r="G7233" t="s">
        <v>3246</v>
      </c>
      <c r="H7233" t="s">
        <v>97</v>
      </c>
      <c r="I7233" t="s">
        <v>195</v>
      </c>
      <c r="J7233" t="str">
        <f>"0551750"</f>
        <v>0551750</v>
      </c>
      <c r="K7233">
        <v>2102772487</v>
      </c>
      <c r="L7233">
        <v>2102772487</v>
      </c>
      <c r="M7233" t="s">
        <v>4697</v>
      </c>
      <c r="N7233" t="s">
        <v>3249</v>
      </c>
      <c r="O7233" t="s">
        <v>4698</v>
      </c>
      <c r="P7233">
        <v>14232</v>
      </c>
      <c r="Q7233" t="str">
        <f>"38.036959"</f>
        <v>38.036959</v>
      </c>
      <c r="R7233" t="str">
        <f>"23.750114"</f>
        <v>23.750114</v>
      </c>
      <c r="S7233" t="s">
        <v>26</v>
      </c>
    </row>
    <row r="7234" spans="1:19" x14ac:dyDescent="0.3">
      <c r="A7234" t="s">
        <v>3237</v>
      </c>
      <c r="B7234" t="s">
        <v>4585</v>
      </c>
      <c r="C7234" t="s">
        <v>4700</v>
      </c>
      <c r="D7234" t="s">
        <v>3245</v>
      </c>
      <c r="E7234" t="s">
        <v>4586</v>
      </c>
      <c r="F7234" t="s">
        <v>4612</v>
      </c>
      <c r="G7234" t="s">
        <v>4612</v>
      </c>
      <c r="H7234" t="s">
        <v>97</v>
      </c>
      <c r="I7234" t="s">
        <v>98</v>
      </c>
      <c r="J7234" t="str">
        <f>"0551486"</f>
        <v>0551486</v>
      </c>
      <c r="K7234">
        <v>2106132012</v>
      </c>
      <c r="L7234">
        <v>2106137500</v>
      </c>
      <c r="M7234" t="s">
        <v>4701</v>
      </c>
      <c r="N7234" t="s">
        <v>4615</v>
      </c>
      <c r="O7234" t="s">
        <v>4702</v>
      </c>
      <c r="P7234">
        <v>15239</v>
      </c>
      <c r="Q7234" t="str">
        <f>"38.053742"</f>
        <v>38.053742</v>
      </c>
      <c r="R7234" t="str">
        <f>"23.856674"</f>
        <v>23.856674</v>
      </c>
      <c r="S7234" t="s">
        <v>26</v>
      </c>
    </row>
    <row r="7235" spans="1:19" x14ac:dyDescent="0.3">
      <c r="A7235" t="s">
        <v>3237</v>
      </c>
      <c r="B7235" t="s">
        <v>4585</v>
      </c>
      <c r="C7235" t="s">
        <v>4703</v>
      </c>
      <c r="D7235" t="s">
        <v>3245</v>
      </c>
      <c r="E7235" t="s">
        <v>4591</v>
      </c>
      <c r="F7235" t="s">
        <v>4591</v>
      </c>
      <c r="G7235" t="s">
        <v>4591</v>
      </c>
      <c r="H7235" t="s">
        <v>97</v>
      </c>
      <c r="I7235" t="s">
        <v>98</v>
      </c>
      <c r="J7235" t="str">
        <f>"0551470"</f>
        <v>0551470</v>
      </c>
      <c r="K7235">
        <v>2108028034</v>
      </c>
      <c r="L7235">
        <v>2108028034</v>
      </c>
      <c r="M7235" t="s">
        <v>4704</v>
      </c>
      <c r="N7235" t="s">
        <v>4600</v>
      </c>
      <c r="O7235" t="s">
        <v>4705</v>
      </c>
      <c r="P7235">
        <v>15125</v>
      </c>
      <c r="Q7235" t="str">
        <f>"38.049234"</f>
        <v>38.049234</v>
      </c>
      <c r="R7235" t="str">
        <f>"23.814820"</f>
        <v>23.814820</v>
      </c>
      <c r="S7235" t="s">
        <v>26</v>
      </c>
    </row>
    <row r="7236" spans="1:19" x14ac:dyDescent="0.3">
      <c r="A7236" t="s">
        <v>3237</v>
      </c>
      <c r="B7236" t="s">
        <v>4585</v>
      </c>
      <c r="C7236" t="s">
        <v>4706</v>
      </c>
      <c r="D7236" t="s">
        <v>3245</v>
      </c>
      <c r="E7236" t="s">
        <v>4591</v>
      </c>
      <c r="F7236" t="s">
        <v>4591</v>
      </c>
      <c r="G7236" t="s">
        <v>4591</v>
      </c>
      <c r="H7236" t="s">
        <v>97</v>
      </c>
      <c r="I7236" t="s">
        <v>98</v>
      </c>
      <c r="J7236" t="str">
        <f>"0551460"</f>
        <v>0551460</v>
      </c>
      <c r="K7236">
        <v>2108020325</v>
      </c>
      <c r="L7236">
        <v>2108020325</v>
      </c>
      <c r="M7236" t="s">
        <v>4707</v>
      </c>
      <c r="N7236" t="s">
        <v>4595</v>
      </c>
      <c r="O7236" t="s">
        <v>4708</v>
      </c>
      <c r="P7236">
        <v>15124</v>
      </c>
      <c r="Q7236" t="str">
        <f>"38.058723"</f>
        <v>38.058723</v>
      </c>
      <c r="R7236" t="str">
        <f>"23.808209"</f>
        <v>23.808209</v>
      </c>
      <c r="S7236" t="s">
        <v>26</v>
      </c>
    </row>
    <row r="7237" spans="1:19" x14ac:dyDescent="0.3">
      <c r="A7237" t="s">
        <v>3237</v>
      </c>
      <c r="B7237" t="s">
        <v>4585</v>
      </c>
      <c r="C7237" t="s">
        <v>4710</v>
      </c>
      <c r="D7237" t="s">
        <v>3245</v>
      </c>
      <c r="E7237" t="s">
        <v>4649</v>
      </c>
      <c r="F7237" t="s">
        <v>4649</v>
      </c>
      <c r="G7237" t="s">
        <v>4649</v>
      </c>
      <c r="H7237" t="s">
        <v>97</v>
      </c>
      <c r="I7237" t="s">
        <v>98</v>
      </c>
      <c r="J7237" t="str">
        <f>"0551588"</f>
        <v>0551588</v>
      </c>
      <c r="K7237">
        <v>2106724120</v>
      </c>
      <c r="L7237">
        <v>2106724129</v>
      </c>
      <c r="M7237" t="s">
        <v>4711</v>
      </c>
      <c r="N7237" t="s">
        <v>4652</v>
      </c>
      <c r="O7237" t="s">
        <v>4712</v>
      </c>
      <c r="P7237">
        <v>15231</v>
      </c>
      <c r="Q7237" t="str">
        <f>"38.014713"</f>
        <v>38.014713</v>
      </c>
      <c r="R7237" t="str">
        <f>"23.789786"</f>
        <v>23.789786</v>
      </c>
      <c r="S7237" t="s">
        <v>26</v>
      </c>
    </row>
    <row r="7238" spans="1:19" x14ac:dyDescent="0.3">
      <c r="A7238" t="s">
        <v>3237</v>
      </c>
      <c r="B7238" t="s">
        <v>4585</v>
      </c>
      <c r="C7238" t="s">
        <v>4715</v>
      </c>
      <c r="D7238" t="s">
        <v>3245</v>
      </c>
      <c r="E7238" t="s">
        <v>4713</v>
      </c>
      <c r="F7238" t="s">
        <v>4714</v>
      </c>
      <c r="G7238" t="s">
        <v>4714</v>
      </c>
      <c r="H7238" t="s">
        <v>97</v>
      </c>
      <c r="I7238" t="s">
        <v>98</v>
      </c>
      <c r="J7238" t="str">
        <f>"0551726"</f>
        <v>0551726</v>
      </c>
      <c r="K7238">
        <v>2108054504</v>
      </c>
      <c r="L7238">
        <v>2108054504</v>
      </c>
      <c r="M7238" t="s">
        <v>4716</v>
      </c>
      <c r="N7238" t="s">
        <v>4717</v>
      </c>
      <c r="O7238" t="s">
        <v>4718</v>
      </c>
      <c r="P7238">
        <v>15121</v>
      </c>
      <c r="Q7238" t="str">
        <f>"38.051651"</f>
        <v>38.051651</v>
      </c>
      <c r="R7238" t="str">
        <f>"23.789096"</f>
        <v>23.789096</v>
      </c>
      <c r="S7238" t="s">
        <v>26</v>
      </c>
    </row>
    <row r="7239" spans="1:19" x14ac:dyDescent="0.3">
      <c r="A7239" t="s">
        <v>3237</v>
      </c>
      <c r="B7239" t="s">
        <v>4585</v>
      </c>
      <c r="C7239" t="s">
        <v>4720</v>
      </c>
      <c r="D7239" t="s">
        <v>3245</v>
      </c>
      <c r="E7239" t="s">
        <v>4649</v>
      </c>
      <c r="F7239" t="s">
        <v>4649</v>
      </c>
      <c r="G7239" t="s">
        <v>4649</v>
      </c>
      <c r="H7239" t="s">
        <v>97</v>
      </c>
      <c r="I7239" t="s">
        <v>98</v>
      </c>
      <c r="J7239" t="str">
        <f>"0551580"</f>
        <v>0551580</v>
      </c>
      <c r="K7239">
        <v>2106817475</v>
      </c>
      <c r="L7239">
        <v>2106817475</v>
      </c>
      <c r="M7239" t="s">
        <v>4721</v>
      </c>
      <c r="N7239" t="s">
        <v>4722</v>
      </c>
      <c r="O7239" t="s">
        <v>4723</v>
      </c>
      <c r="P7239">
        <v>15234</v>
      </c>
      <c r="Q7239" t="str">
        <f>"38.028071"</f>
        <v>38.028071</v>
      </c>
      <c r="R7239" t="str">
        <f>"23.813883"</f>
        <v>23.813883</v>
      </c>
      <c r="S7239" t="s">
        <v>26</v>
      </c>
    </row>
    <row r="7240" spans="1:19" x14ac:dyDescent="0.3">
      <c r="A7240" t="s">
        <v>3237</v>
      </c>
      <c r="B7240" t="s">
        <v>4585</v>
      </c>
      <c r="C7240" t="s">
        <v>4725</v>
      </c>
      <c r="D7240" t="s">
        <v>3245</v>
      </c>
      <c r="E7240" t="s">
        <v>4618</v>
      </c>
      <c r="F7240" t="s">
        <v>4618</v>
      </c>
      <c r="G7240" t="s">
        <v>4618</v>
      </c>
      <c r="H7240" t="s">
        <v>97</v>
      </c>
      <c r="I7240" t="s">
        <v>98</v>
      </c>
      <c r="J7240" t="str">
        <f>"0551706"</f>
        <v>0551706</v>
      </c>
      <c r="K7240">
        <v>2102810443</v>
      </c>
      <c r="L7240">
        <v>2102810832</v>
      </c>
      <c r="M7240" t="s">
        <v>4726</v>
      </c>
      <c r="N7240" t="s">
        <v>4621</v>
      </c>
      <c r="O7240" t="s">
        <v>4727</v>
      </c>
      <c r="P7240">
        <v>14122</v>
      </c>
      <c r="Q7240" t="str">
        <f>"38.048861"</f>
        <v>38.048861</v>
      </c>
      <c r="R7240" t="str">
        <f>"23.761947"</f>
        <v>23.761947</v>
      </c>
      <c r="S7240" t="s">
        <v>26</v>
      </c>
    </row>
    <row r="7241" spans="1:19" x14ac:dyDescent="0.3">
      <c r="A7241" t="s">
        <v>3237</v>
      </c>
      <c r="B7241" t="s">
        <v>4585</v>
      </c>
      <c r="C7241" t="s">
        <v>4728</v>
      </c>
      <c r="D7241" t="s">
        <v>3245</v>
      </c>
      <c r="E7241" t="s">
        <v>4591</v>
      </c>
      <c r="F7241" t="s">
        <v>4591</v>
      </c>
      <c r="G7241" t="s">
        <v>4591</v>
      </c>
      <c r="H7241" t="s">
        <v>97</v>
      </c>
      <c r="I7241" t="s">
        <v>98</v>
      </c>
      <c r="J7241" t="str">
        <f>"0551013"</f>
        <v>0551013</v>
      </c>
      <c r="K7241">
        <v>2106141103</v>
      </c>
      <c r="L7241">
        <v>2106126084</v>
      </c>
      <c r="M7241" t="s">
        <v>4729</v>
      </c>
      <c r="N7241" t="s">
        <v>4600</v>
      </c>
      <c r="O7241" t="s">
        <v>4730</v>
      </c>
      <c r="P7241">
        <v>15122</v>
      </c>
      <c r="Q7241" t="str">
        <f>"38.048699"</f>
        <v>38.048699</v>
      </c>
      <c r="R7241" t="str">
        <f>"23.793648"</f>
        <v>23.793648</v>
      </c>
      <c r="S7241" t="s">
        <v>26</v>
      </c>
    </row>
    <row r="7242" spans="1:19" x14ac:dyDescent="0.3">
      <c r="A7242" t="s">
        <v>3237</v>
      </c>
      <c r="B7242" t="s">
        <v>4585</v>
      </c>
      <c r="C7242" t="s">
        <v>4735</v>
      </c>
      <c r="D7242" t="s">
        <v>3245</v>
      </c>
      <c r="E7242" t="s">
        <v>4591</v>
      </c>
      <c r="F7242" t="s">
        <v>4591</v>
      </c>
      <c r="G7242" t="s">
        <v>4591</v>
      </c>
      <c r="H7242" t="s">
        <v>97</v>
      </c>
      <c r="I7242" t="s">
        <v>3640</v>
      </c>
      <c r="J7242" t="str">
        <f>"0551003"</f>
        <v>0551003</v>
      </c>
      <c r="K7242">
        <v>2108012944</v>
      </c>
      <c r="L7242">
        <v>2108080562</v>
      </c>
      <c r="M7242" t="s">
        <v>4736</v>
      </c>
      <c r="N7242" t="s">
        <v>4737</v>
      </c>
      <c r="O7242" t="s">
        <v>4738</v>
      </c>
      <c r="P7242">
        <v>14562</v>
      </c>
      <c r="Q7242" t="str">
        <f>"38.065209"</f>
        <v>38.065209</v>
      </c>
      <c r="R7242" t="str">
        <f>"23.813708"</f>
        <v>23.813708</v>
      </c>
      <c r="S7242" t="s">
        <v>26</v>
      </c>
    </row>
    <row r="7243" spans="1:19" x14ac:dyDescent="0.3">
      <c r="A7243" t="s">
        <v>3237</v>
      </c>
      <c r="B7243" t="s">
        <v>4585</v>
      </c>
      <c r="C7243" t="s">
        <v>4739</v>
      </c>
      <c r="D7243" t="s">
        <v>3245</v>
      </c>
      <c r="E7243" t="s">
        <v>4618</v>
      </c>
      <c r="F7243" t="s">
        <v>4618</v>
      </c>
      <c r="G7243" t="s">
        <v>4618</v>
      </c>
      <c r="H7243" t="s">
        <v>97</v>
      </c>
      <c r="I7243" t="s">
        <v>98</v>
      </c>
      <c r="J7243" t="str">
        <f>"0551701"</f>
        <v>0551701</v>
      </c>
      <c r="K7243">
        <v>2102813813</v>
      </c>
      <c r="L7243">
        <v>2102848764</v>
      </c>
      <c r="M7243" t="s">
        <v>4740</v>
      </c>
      <c r="N7243" t="s">
        <v>4741</v>
      </c>
      <c r="O7243" t="s">
        <v>4742</v>
      </c>
      <c r="P7243">
        <v>14122</v>
      </c>
      <c r="Q7243" t="str">
        <f>"38.057480"</f>
        <v>38.057480</v>
      </c>
      <c r="R7243" t="str">
        <f>"23.779184"</f>
        <v>23.779184</v>
      </c>
      <c r="S7243" t="s">
        <v>26</v>
      </c>
    </row>
    <row r="7244" spans="1:19" x14ac:dyDescent="0.3">
      <c r="A7244" t="s">
        <v>3237</v>
      </c>
      <c r="B7244" t="s">
        <v>4585</v>
      </c>
      <c r="C7244" t="s">
        <v>4743</v>
      </c>
      <c r="D7244" t="s">
        <v>3245</v>
      </c>
      <c r="E7244" t="s">
        <v>4649</v>
      </c>
      <c r="F7244" t="s">
        <v>4649</v>
      </c>
      <c r="G7244" t="s">
        <v>4649</v>
      </c>
      <c r="H7244" t="s">
        <v>97</v>
      </c>
      <c r="I7244" t="s">
        <v>98</v>
      </c>
      <c r="J7244" t="str">
        <f>"0590820"</f>
        <v>0590820</v>
      </c>
      <c r="K7244">
        <v>2106823818</v>
      </c>
      <c r="L7244">
        <v>2106832658</v>
      </c>
      <c r="M7244" t="s">
        <v>4744</v>
      </c>
      <c r="N7244" t="s">
        <v>4652</v>
      </c>
      <c r="O7244" t="s">
        <v>4745</v>
      </c>
      <c r="P7244">
        <v>15232</v>
      </c>
      <c r="Q7244" t="str">
        <f>"38.014750"</f>
        <v>38.014750</v>
      </c>
      <c r="R7244" t="str">
        <f>"23.798930"</f>
        <v>23.798930</v>
      </c>
      <c r="S7244" t="s">
        <v>26</v>
      </c>
    </row>
    <row r="7245" spans="1:19" x14ac:dyDescent="0.3">
      <c r="A7245" t="s">
        <v>3237</v>
      </c>
      <c r="B7245" t="s">
        <v>4585</v>
      </c>
      <c r="C7245" t="s">
        <v>4747</v>
      </c>
      <c r="D7245" t="s">
        <v>3245</v>
      </c>
      <c r="E7245" t="s">
        <v>4682</v>
      </c>
      <c r="F7245" t="s">
        <v>4682</v>
      </c>
      <c r="G7245" t="s">
        <v>4682</v>
      </c>
      <c r="H7245" t="s">
        <v>97</v>
      </c>
      <c r="I7245" t="s">
        <v>98</v>
      </c>
      <c r="J7245" t="str">
        <f>"0551480"</f>
        <v>0551480</v>
      </c>
      <c r="K7245">
        <v>2106131715</v>
      </c>
      <c r="L7245">
        <v>2106131713</v>
      </c>
      <c r="M7245" t="s">
        <v>4748</v>
      </c>
      <c r="N7245" t="s">
        <v>4685</v>
      </c>
      <c r="O7245" t="s">
        <v>4749</v>
      </c>
      <c r="P7245">
        <v>15235</v>
      </c>
      <c r="Q7245" t="str">
        <f>"38.033073"</f>
        <v>38.033073</v>
      </c>
      <c r="R7245" t="str">
        <f>"23.836612"</f>
        <v>23.836612</v>
      </c>
      <c r="S7245" t="s">
        <v>26</v>
      </c>
    </row>
    <row r="7246" spans="1:19" x14ac:dyDescent="0.3">
      <c r="A7246" t="s">
        <v>3237</v>
      </c>
      <c r="B7246" t="s">
        <v>4585</v>
      </c>
      <c r="C7246" t="s">
        <v>4751</v>
      </c>
      <c r="D7246" t="s">
        <v>3245</v>
      </c>
      <c r="E7246" t="s">
        <v>4591</v>
      </c>
      <c r="F7246" t="s">
        <v>4591</v>
      </c>
      <c r="G7246" t="s">
        <v>4591</v>
      </c>
      <c r="H7246" t="s">
        <v>97</v>
      </c>
      <c r="I7246" t="s">
        <v>98</v>
      </c>
      <c r="J7246" t="str">
        <f>"0551476"</f>
        <v>0551476</v>
      </c>
      <c r="K7246">
        <v>2106855227</v>
      </c>
      <c r="L7246">
        <v>2106835419</v>
      </c>
      <c r="M7246" t="s">
        <v>4752</v>
      </c>
      <c r="N7246" t="s">
        <v>4600</v>
      </c>
      <c r="O7246" t="s">
        <v>4753</v>
      </c>
      <c r="P7246">
        <v>15125</v>
      </c>
      <c r="Q7246" t="str">
        <f>"38.033255"</f>
        <v>38.033255</v>
      </c>
      <c r="R7246" t="str">
        <f>"23.809952"</f>
        <v>23.809952</v>
      </c>
      <c r="S7246" t="s">
        <v>26</v>
      </c>
    </row>
    <row r="7247" spans="1:19" x14ac:dyDescent="0.3">
      <c r="A7247" t="s">
        <v>3237</v>
      </c>
      <c r="B7247" t="s">
        <v>4585</v>
      </c>
      <c r="C7247" t="s">
        <v>4755</v>
      </c>
      <c r="D7247" t="s">
        <v>3245</v>
      </c>
      <c r="E7247" t="s">
        <v>3246</v>
      </c>
      <c r="F7247" t="s">
        <v>3246</v>
      </c>
      <c r="G7247" t="s">
        <v>3246</v>
      </c>
      <c r="H7247" t="s">
        <v>97</v>
      </c>
      <c r="I7247" t="s">
        <v>98</v>
      </c>
      <c r="J7247" t="str">
        <f>"0551757"</f>
        <v>0551757</v>
      </c>
      <c r="K7247">
        <v>2102719584</v>
      </c>
      <c r="L7247">
        <v>2102796882</v>
      </c>
      <c r="M7247" t="s">
        <v>4756</v>
      </c>
      <c r="N7247" t="s">
        <v>3249</v>
      </c>
      <c r="O7247" t="s">
        <v>4757</v>
      </c>
      <c r="P7247">
        <v>14233</v>
      </c>
      <c r="Q7247" t="str">
        <f>"38.031058"</f>
        <v>38.031058</v>
      </c>
      <c r="R7247" t="str">
        <f>"23.763149"</f>
        <v>23.763149</v>
      </c>
      <c r="S7247" t="s">
        <v>26</v>
      </c>
    </row>
    <row r="7248" spans="1:19" x14ac:dyDescent="0.3">
      <c r="A7248" t="s">
        <v>3237</v>
      </c>
      <c r="B7248" t="s">
        <v>4585</v>
      </c>
      <c r="C7248" t="s">
        <v>4759</v>
      </c>
      <c r="D7248" t="s">
        <v>3245</v>
      </c>
      <c r="E7248" t="s">
        <v>4048</v>
      </c>
      <c r="F7248" t="s">
        <v>4048</v>
      </c>
      <c r="G7248" t="s">
        <v>4048</v>
      </c>
      <c r="H7248" t="s">
        <v>97</v>
      </c>
      <c r="I7248" t="s">
        <v>98</v>
      </c>
      <c r="J7248" t="str">
        <f>"0551711"</f>
        <v>0551711</v>
      </c>
      <c r="K7248">
        <v>2108018424</v>
      </c>
      <c r="L7248">
        <v>2108084914</v>
      </c>
      <c r="M7248" t="s">
        <v>4760</v>
      </c>
      <c r="N7248" t="s">
        <v>4605</v>
      </c>
      <c r="O7248" t="s">
        <v>4761</v>
      </c>
      <c r="P7248">
        <v>14561</v>
      </c>
      <c r="Q7248" t="str">
        <f>"38.076153"</f>
        <v>38.076153</v>
      </c>
      <c r="R7248" t="str">
        <f>"23.798132"</f>
        <v>23.798132</v>
      </c>
      <c r="S7248" t="s">
        <v>26</v>
      </c>
    </row>
    <row r="7249" spans="1:19" x14ac:dyDescent="0.3">
      <c r="A7249" t="s">
        <v>3237</v>
      </c>
      <c r="B7249" t="s">
        <v>4585</v>
      </c>
      <c r="C7249" t="s">
        <v>4763</v>
      </c>
      <c r="D7249" t="s">
        <v>3245</v>
      </c>
      <c r="E7249" t="s">
        <v>152</v>
      </c>
      <c r="F7249" t="s">
        <v>152</v>
      </c>
      <c r="G7249" t="s">
        <v>152</v>
      </c>
      <c r="H7249" t="s">
        <v>97</v>
      </c>
      <c r="I7249" t="s">
        <v>98</v>
      </c>
      <c r="J7249" t="str">
        <f>"0551826"</f>
        <v>0551826</v>
      </c>
      <c r="K7249">
        <v>2106016531</v>
      </c>
      <c r="L7249">
        <v>2106007797</v>
      </c>
      <c r="M7249" t="s">
        <v>4764</v>
      </c>
      <c r="N7249" t="s">
        <v>4693</v>
      </c>
      <c r="O7249" t="s">
        <v>4765</v>
      </c>
      <c r="P7249">
        <v>15343</v>
      </c>
      <c r="Q7249" t="str">
        <f>"38.021955"</f>
        <v>38.021955</v>
      </c>
      <c r="R7249" t="str">
        <f>"23.829548"</f>
        <v>23.829548</v>
      </c>
      <c r="S7249" t="s">
        <v>26</v>
      </c>
    </row>
    <row r="7250" spans="1:19" x14ac:dyDescent="0.3">
      <c r="A7250" t="s">
        <v>3237</v>
      </c>
      <c r="B7250" t="s">
        <v>4585</v>
      </c>
      <c r="C7250" t="s">
        <v>4769</v>
      </c>
      <c r="D7250" t="s">
        <v>3245</v>
      </c>
      <c r="E7250" t="s">
        <v>4768</v>
      </c>
      <c r="F7250" t="s">
        <v>4766</v>
      </c>
      <c r="G7250" t="s">
        <v>4766</v>
      </c>
      <c r="H7250" t="s">
        <v>97</v>
      </c>
      <c r="I7250" t="s">
        <v>98</v>
      </c>
      <c r="J7250" t="str">
        <f>"0551767"</f>
        <v>0551767</v>
      </c>
      <c r="K7250">
        <v>2106532509</v>
      </c>
      <c r="L7250">
        <v>2106532901</v>
      </c>
      <c r="M7250" t="s">
        <v>4770</v>
      </c>
      <c r="N7250" t="s">
        <v>4771</v>
      </c>
      <c r="O7250" t="s">
        <v>4772</v>
      </c>
      <c r="P7250">
        <v>15562</v>
      </c>
      <c r="Q7250" t="str">
        <f>"37.998713"</f>
        <v>37.998713</v>
      </c>
      <c r="R7250" t="str">
        <f>"23.808201"</f>
        <v>23.808201</v>
      </c>
      <c r="S7250" t="s">
        <v>26</v>
      </c>
    </row>
    <row r="7251" spans="1:19" x14ac:dyDescent="0.3">
      <c r="A7251" t="s">
        <v>3237</v>
      </c>
      <c r="B7251" t="s">
        <v>4585</v>
      </c>
      <c r="C7251" t="s">
        <v>4774</v>
      </c>
      <c r="D7251" t="s">
        <v>3245</v>
      </c>
      <c r="E7251" t="s">
        <v>152</v>
      </c>
      <c r="F7251" t="s">
        <v>152</v>
      </c>
      <c r="G7251" t="s">
        <v>152</v>
      </c>
      <c r="H7251" t="s">
        <v>97</v>
      </c>
      <c r="I7251" t="s">
        <v>98</v>
      </c>
      <c r="J7251" t="str">
        <f>"0551821"</f>
        <v>0551821</v>
      </c>
      <c r="K7251">
        <v>2106081953</v>
      </c>
      <c r="L7251">
        <v>2106016464</v>
      </c>
      <c r="M7251" t="s">
        <v>4775</v>
      </c>
      <c r="N7251" t="s">
        <v>4693</v>
      </c>
      <c r="O7251" t="s">
        <v>4776</v>
      </c>
      <c r="P7251">
        <v>15343</v>
      </c>
      <c r="Q7251" t="str">
        <f>"38.016940"</f>
        <v>38.016940</v>
      </c>
      <c r="R7251" t="str">
        <f>"23.819247"</f>
        <v>23.819247</v>
      </c>
      <c r="S7251" t="s">
        <v>26</v>
      </c>
    </row>
    <row r="7252" spans="1:19" x14ac:dyDescent="0.3">
      <c r="A7252" t="s">
        <v>3237</v>
      </c>
      <c r="B7252" t="s">
        <v>4585</v>
      </c>
      <c r="C7252" t="s">
        <v>4778</v>
      </c>
      <c r="D7252" t="s">
        <v>3245</v>
      </c>
      <c r="E7252" t="s">
        <v>4591</v>
      </c>
      <c r="F7252" t="s">
        <v>4591</v>
      </c>
      <c r="G7252" t="s">
        <v>4591</v>
      </c>
      <c r="H7252" t="s">
        <v>97</v>
      </c>
      <c r="I7252" t="s">
        <v>98</v>
      </c>
      <c r="J7252" t="str">
        <f>"0551475"</f>
        <v>0551475</v>
      </c>
      <c r="K7252">
        <v>2106141231</v>
      </c>
      <c r="L7252">
        <v>2106141231</v>
      </c>
      <c r="M7252" t="s">
        <v>4779</v>
      </c>
      <c r="N7252" t="s">
        <v>4600</v>
      </c>
      <c r="O7252" t="s">
        <v>4780</v>
      </c>
      <c r="P7252">
        <v>15126</v>
      </c>
      <c r="Q7252" t="str">
        <f>"38.056552"</f>
        <v>38.056552</v>
      </c>
      <c r="R7252" t="str">
        <f>"23.821201"</f>
        <v>23.821201</v>
      </c>
      <c r="S7252" t="s">
        <v>26</v>
      </c>
    </row>
    <row r="7253" spans="1:19" x14ac:dyDescent="0.3">
      <c r="A7253" t="s">
        <v>3237</v>
      </c>
      <c r="B7253" t="s">
        <v>4585</v>
      </c>
      <c r="C7253" t="s">
        <v>4782</v>
      </c>
      <c r="D7253" t="s">
        <v>3245</v>
      </c>
      <c r="E7253" t="s">
        <v>4768</v>
      </c>
      <c r="F7253" t="s">
        <v>4766</v>
      </c>
      <c r="G7253" t="s">
        <v>4766</v>
      </c>
      <c r="H7253" t="s">
        <v>97</v>
      </c>
      <c r="I7253" t="s">
        <v>98</v>
      </c>
      <c r="J7253" t="str">
        <f>"0551760"</f>
        <v>0551760</v>
      </c>
      <c r="K7253">
        <v>2106513940</v>
      </c>
      <c r="L7253">
        <v>2106543658</v>
      </c>
      <c r="M7253" t="s">
        <v>4783</v>
      </c>
      <c r="N7253" t="s">
        <v>4771</v>
      </c>
      <c r="O7253" t="s">
        <v>4784</v>
      </c>
      <c r="P7253">
        <v>15562</v>
      </c>
      <c r="Q7253" t="str">
        <f>"37.995817"</f>
        <v>37.995817</v>
      </c>
      <c r="R7253" t="str">
        <f>"23.802634"</f>
        <v>23.802634</v>
      </c>
      <c r="S7253" t="s">
        <v>26</v>
      </c>
    </row>
    <row r="7254" spans="1:19" x14ac:dyDescent="0.3">
      <c r="A7254" t="s">
        <v>3237</v>
      </c>
      <c r="B7254" t="s">
        <v>4585</v>
      </c>
      <c r="C7254" t="s">
        <v>4786</v>
      </c>
      <c r="D7254" t="s">
        <v>3245</v>
      </c>
      <c r="E7254" t="s">
        <v>4670</v>
      </c>
      <c r="F7254" t="s">
        <v>3344</v>
      </c>
      <c r="G7254" t="s">
        <v>3344</v>
      </c>
      <c r="H7254" t="s">
        <v>97</v>
      </c>
      <c r="I7254" t="s">
        <v>3640</v>
      </c>
      <c r="J7254" t="str">
        <f>"0551002"</f>
        <v>0551002</v>
      </c>
      <c r="K7254">
        <v>2106718781</v>
      </c>
      <c r="L7254">
        <v>2106725413</v>
      </c>
      <c r="M7254" t="s">
        <v>4787</v>
      </c>
      <c r="N7254" t="s">
        <v>4788</v>
      </c>
      <c r="O7254" t="s">
        <v>4789</v>
      </c>
      <c r="P7254">
        <v>15452</v>
      </c>
      <c r="Q7254" t="str">
        <f>"38.000496"</f>
        <v>38.000496</v>
      </c>
      <c r="R7254" t="str">
        <f>"23.766475"</f>
        <v>23.766475</v>
      </c>
      <c r="S7254" t="s">
        <v>26</v>
      </c>
    </row>
    <row r="7255" spans="1:19" x14ac:dyDescent="0.3">
      <c r="A7255" t="s">
        <v>3237</v>
      </c>
      <c r="B7255" t="s">
        <v>4585</v>
      </c>
      <c r="C7255" t="s">
        <v>4791</v>
      </c>
      <c r="D7255" t="s">
        <v>3245</v>
      </c>
      <c r="E7255" t="s">
        <v>4713</v>
      </c>
      <c r="F7255" t="s">
        <v>4714</v>
      </c>
      <c r="G7255" t="s">
        <v>4714</v>
      </c>
      <c r="H7255" t="s">
        <v>97</v>
      </c>
      <c r="I7255" t="s">
        <v>98</v>
      </c>
      <c r="J7255" t="str">
        <f>"0551716"</f>
        <v>0551716</v>
      </c>
      <c r="K7255">
        <v>2108020251</v>
      </c>
      <c r="L7255">
        <v>2108064586</v>
      </c>
      <c r="M7255" t="s">
        <v>4792</v>
      </c>
      <c r="N7255" t="s">
        <v>4717</v>
      </c>
      <c r="O7255" t="s">
        <v>4793</v>
      </c>
      <c r="P7255">
        <v>15121</v>
      </c>
      <c r="Q7255" t="str">
        <f>"38.059302"</f>
        <v>38.059302</v>
      </c>
      <c r="R7255" t="str">
        <f>"23.790057"</f>
        <v>23.790057</v>
      </c>
      <c r="S7255" t="s">
        <v>26</v>
      </c>
    </row>
    <row r="7256" spans="1:19" x14ac:dyDescent="0.3">
      <c r="A7256" t="s">
        <v>3237</v>
      </c>
      <c r="B7256" t="s">
        <v>4585</v>
      </c>
      <c r="C7256" t="s">
        <v>4795</v>
      </c>
      <c r="D7256" t="s">
        <v>3245</v>
      </c>
      <c r="E7256" t="s">
        <v>4048</v>
      </c>
      <c r="F7256" t="s">
        <v>4048</v>
      </c>
      <c r="G7256" t="s">
        <v>4048</v>
      </c>
      <c r="H7256" t="s">
        <v>97</v>
      </c>
      <c r="I7256" t="s">
        <v>98</v>
      </c>
      <c r="J7256" t="str">
        <f>"0551710"</f>
        <v>0551710</v>
      </c>
      <c r="K7256">
        <v>2108012768</v>
      </c>
      <c r="L7256">
        <v>2108085539</v>
      </c>
      <c r="M7256" t="s">
        <v>4796</v>
      </c>
      <c r="N7256" t="s">
        <v>4605</v>
      </c>
      <c r="O7256" t="s">
        <v>4606</v>
      </c>
      <c r="P7256">
        <v>14563</v>
      </c>
      <c r="Q7256" t="str">
        <f>"38.078741"</f>
        <v>38.078741</v>
      </c>
      <c r="R7256" t="str">
        <f>"23.818166"</f>
        <v>23.818166</v>
      </c>
      <c r="S7256" t="s">
        <v>26</v>
      </c>
    </row>
    <row r="7257" spans="1:19" x14ac:dyDescent="0.3">
      <c r="A7257" t="s">
        <v>3237</v>
      </c>
      <c r="B7257" t="s">
        <v>4585</v>
      </c>
      <c r="C7257" t="s">
        <v>4797</v>
      </c>
      <c r="D7257" t="s">
        <v>3245</v>
      </c>
      <c r="E7257" t="s">
        <v>4586</v>
      </c>
      <c r="F7257" t="s">
        <v>4586</v>
      </c>
      <c r="G7257" t="s">
        <v>4586</v>
      </c>
      <c r="H7257" t="s">
        <v>97</v>
      </c>
      <c r="I7257" t="s">
        <v>98</v>
      </c>
      <c r="J7257" t="str">
        <f>"0551487"</f>
        <v>0551487</v>
      </c>
      <c r="K7257">
        <v>2108032906</v>
      </c>
      <c r="L7257">
        <v>2108032906</v>
      </c>
      <c r="M7257" t="s">
        <v>4798</v>
      </c>
      <c r="N7257" t="s">
        <v>4589</v>
      </c>
      <c r="O7257" t="s">
        <v>4799</v>
      </c>
      <c r="P7257">
        <v>15236</v>
      </c>
      <c r="Q7257" t="str">
        <f>"38.047831"</f>
        <v>38.047831</v>
      </c>
      <c r="R7257" t="str">
        <f>"23.868906"</f>
        <v>23.868906</v>
      </c>
      <c r="S7257" t="s">
        <v>26</v>
      </c>
    </row>
    <row r="7258" spans="1:19" x14ac:dyDescent="0.3">
      <c r="A7258" t="s">
        <v>3237</v>
      </c>
      <c r="B7258" t="s">
        <v>4585</v>
      </c>
      <c r="C7258" t="s">
        <v>4803</v>
      </c>
      <c r="D7258" t="s">
        <v>3245</v>
      </c>
      <c r="E7258" t="s">
        <v>4591</v>
      </c>
      <c r="F7258" t="s">
        <v>4591</v>
      </c>
      <c r="G7258" t="s">
        <v>4591</v>
      </c>
      <c r="H7258" t="s">
        <v>97</v>
      </c>
      <c r="I7258" t="s">
        <v>98</v>
      </c>
      <c r="J7258" t="str">
        <f>"0551473"</f>
        <v>0551473</v>
      </c>
      <c r="K7258">
        <v>2106109557</v>
      </c>
      <c r="L7258">
        <v>2106199460</v>
      </c>
      <c r="M7258" t="s">
        <v>4804</v>
      </c>
      <c r="N7258" t="s">
        <v>4600</v>
      </c>
      <c r="O7258" t="s">
        <v>4805</v>
      </c>
      <c r="P7258">
        <v>15124</v>
      </c>
      <c r="Q7258" t="str">
        <f>"38.046443"</f>
        <v>38.046443</v>
      </c>
      <c r="R7258" t="str">
        <f>"23.795863"</f>
        <v>23.795863</v>
      </c>
      <c r="S7258" t="s">
        <v>26</v>
      </c>
    </row>
    <row r="7259" spans="1:19" x14ac:dyDescent="0.3">
      <c r="A7259" t="s">
        <v>3237</v>
      </c>
      <c r="B7259" t="s">
        <v>4585</v>
      </c>
      <c r="C7259" t="s">
        <v>4819</v>
      </c>
      <c r="D7259" t="s">
        <v>3245</v>
      </c>
      <c r="E7259" t="s">
        <v>4586</v>
      </c>
      <c r="F7259" t="s">
        <v>4807</v>
      </c>
      <c r="G7259" t="s">
        <v>4807</v>
      </c>
      <c r="H7259" t="s">
        <v>97</v>
      </c>
      <c r="I7259" t="s">
        <v>98</v>
      </c>
      <c r="J7259" t="str">
        <f>"0551466"</f>
        <v>0551466</v>
      </c>
      <c r="K7259">
        <v>2108047286</v>
      </c>
      <c r="L7259">
        <v>2108031202</v>
      </c>
      <c r="M7259" t="s">
        <v>4820</v>
      </c>
      <c r="N7259" t="s">
        <v>4810</v>
      </c>
      <c r="O7259" t="s">
        <v>4821</v>
      </c>
      <c r="P7259">
        <v>15127</v>
      </c>
      <c r="Q7259" t="str">
        <f>"38.052779"</f>
        <v>38.052779</v>
      </c>
      <c r="R7259" t="str">
        <f>"23.839389"</f>
        <v>23.839389</v>
      </c>
      <c r="S7259" t="s">
        <v>26</v>
      </c>
    </row>
    <row r="7260" spans="1:19" x14ac:dyDescent="0.3">
      <c r="A7260" t="s">
        <v>3237</v>
      </c>
      <c r="B7260" t="s">
        <v>4585</v>
      </c>
      <c r="C7260" t="s">
        <v>4910</v>
      </c>
      <c r="D7260" t="s">
        <v>3245</v>
      </c>
      <c r="E7260" t="s">
        <v>3246</v>
      </c>
      <c r="F7260" t="s">
        <v>3246</v>
      </c>
      <c r="G7260" t="s">
        <v>3246</v>
      </c>
      <c r="H7260" t="s">
        <v>97</v>
      </c>
      <c r="I7260" t="s">
        <v>98</v>
      </c>
      <c r="J7260" t="str">
        <f>"0551740"</f>
        <v>0551740</v>
      </c>
      <c r="K7260">
        <v>2102777155</v>
      </c>
      <c r="L7260">
        <v>2102793541</v>
      </c>
      <c r="M7260" t="s">
        <v>4911</v>
      </c>
      <c r="N7260" t="s">
        <v>3249</v>
      </c>
      <c r="O7260" t="s">
        <v>4912</v>
      </c>
      <c r="P7260">
        <v>14231</v>
      </c>
      <c r="Q7260" t="str">
        <f>"38.043212"</f>
        <v>38.043212</v>
      </c>
      <c r="R7260" t="str">
        <f>"23.758509"</f>
        <v>23.758509</v>
      </c>
      <c r="S7260" t="s">
        <v>26</v>
      </c>
    </row>
    <row r="7261" spans="1:19" x14ac:dyDescent="0.3">
      <c r="A7261" t="s">
        <v>3237</v>
      </c>
      <c r="B7261" t="s">
        <v>4585</v>
      </c>
      <c r="C7261" t="s">
        <v>4980</v>
      </c>
      <c r="D7261" t="s">
        <v>3245</v>
      </c>
      <c r="E7261" t="s">
        <v>4832</v>
      </c>
      <c r="F7261" t="s">
        <v>4832</v>
      </c>
      <c r="G7261" t="s">
        <v>4832</v>
      </c>
      <c r="H7261" t="s">
        <v>97</v>
      </c>
      <c r="I7261" t="s">
        <v>98</v>
      </c>
      <c r="J7261" t="str">
        <f>"0551752"</f>
        <v>0551752</v>
      </c>
      <c r="K7261">
        <v>2102815400</v>
      </c>
      <c r="L7261">
        <v>2102811666</v>
      </c>
      <c r="M7261" t="s">
        <v>4981</v>
      </c>
      <c r="N7261" t="s">
        <v>4859</v>
      </c>
      <c r="O7261" t="s">
        <v>4982</v>
      </c>
      <c r="P7261">
        <v>14452</v>
      </c>
      <c r="Q7261" t="str">
        <f>"38.064447"</f>
        <v>38.064447</v>
      </c>
      <c r="R7261" t="str">
        <f>"23.759358"</f>
        <v>23.759358</v>
      </c>
      <c r="S7261" t="s">
        <v>26</v>
      </c>
    </row>
    <row r="7262" spans="1:19" x14ac:dyDescent="0.3">
      <c r="A7262" t="s">
        <v>3237</v>
      </c>
      <c r="B7262" t="s">
        <v>4585</v>
      </c>
      <c r="C7262" t="s">
        <v>4987</v>
      </c>
      <c r="D7262" t="s">
        <v>3245</v>
      </c>
      <c r="E7262" t="s">
        <v>152</v>
      </c>
      <c r="F7262" t="s">
        <v>152</v>
      </c>
      <c r="G7262" t="s">
        <v>152</v>
      </c>
      <c r="H7262" t="s">
        <v>97</v>
      </c>
      <c r="I7262" t="s">
        <v>98</v>
      </c>
      <c r="J7262" t="str">
        <f>"0551820"</f>
        <v>0551820</v>
      </c>
      <c r="K7262">
        <v>2106012959</v>
      </c>
      <c r="L7262">
        <v>2106002277</v>
      </c>
      <c r="M7262" t="s">
        <v>4988</v>
      </c>
      <c r="N7262" t="s">
        <v>4693</v>
      </c>
      <c r="O7262" t="s">
        <v>4989</v>
      </c>
      <c r="P7262">
        <v>15341</v>
      </c>
      <c r="Q7262" t="str">
        <f>"38.003714"</f>
        <v>38.003714</v>
      </c>
      <c r="R7262" t="str">
        <f>"23.824397"</f>
        <v>23.824397</v>
      </c>
      <c r="S7262" t="s">
        <v>26</v>
      </c>
    </row>
    <row r="7263" spans="1:19" x14ac:dyDescent="0.3">
      <c r="A7263" t="s">
        <v>3237</v>
      </c>
      <c r="B7263" t="s">
        <v>4585</v>
      </c>
      <c r="C7263" t="s">
        <v>4990</v>
      </c>
      <c r="D7263" t="s">
        <v>3245</v>
      </c>
      <c r="E7263" t="s">
        <v>152</v>
      </c>
      <c r="F7263" t="s">
        <v>152</v>
      </c>
      <c r="G7263" t="s">
        <v>152</v>
      </c>
      <c r="H7263" t="s">
        <v>97</v>
      </c>
      <c r="I7263" t="s">
        <v>98</v>
      </c>
      <c r="J7263" t="str">
        <f>"0551827"</f>
        <v>0551827</v>
      </c>
      <c r="K7263">
        <v>2106531298</v>
      </c>
      <c r="L7263">
        <v>2106531293</v>
      </c>
      <c r="M7263" t="s">
        <v>4991</v>
      </c>
      <c r="N7263" t="s">
        <v>4693</v>
      </c>
      <c r="O7263" t="s">
        <v>3289</v>
      </c>
      <c r="P7263">
        <v>15341</v>
      </c>
      <c r="Q7263" t="str">
        <f>"38.006589"</f>
        <v>38.006589</v>
      </c>
      <c r="R7263" t="str">
        <f>"23.808213"</f>
        <v>23.808213</v>
      </c>
      <c r="S7263" t="s">
        <v>26</v>
      </c>
    </row>
    <row r="7264" spans="1:19" x14ac:dyDescent="0.3">
      <c r="A7264" t="s">
        <v>3237</v>
      </c>
      <c r="B7264" t="s">
        <v>4585</v>
      </c>
      <c r="C7264" t="s">
        <v>4993</v>
      </c>
      <c r="D7264" t="s">
        <v>3245</v>
      </c>
      <c r="E7264" t="s">
        <v>4713</v>
      </c>
      <c r="F7264" t="s">
        <v>4992</v>
      </c>
      <c r="G7264" t="s">
        <v>4992</v>
      </c>
      <c r="H7264" t="s">
        <v>97</v>
      </c>
      <c r="I7264" t="s">
        <v>98</v>
      </c>
      <c r="J7264" t="str">
        <f>"0551717"</f>
        <v>0551717</v>
      </c>
      <c r="K7264">
        <v>2102824500</v>
      </c>
      <c r="L7264">
        <v>2102824500</v>
      </c>
      <c r="M7264" t="s">
        <v>4994</v>
      </c>
      <c r="N7264" t="s">
        <v>4995</v>
      </c>
      <c r="O7264" t="s">
        <v>4996</v>
      </c>
      <c r="P7264">
        <v>14123</v>
      </c>
      <c r="Q7264" t="str">
        <f>"38.073966"</f>
        <v>38.073966</v>
      </c>
      <c r="R7264" t="str">
        <f>"23.784194"</f>
        <v>23.784194</v>
      </c>
      <c r="S7264" t="s">
        <v>26</v>
      </c>
    </row>
    <row r="7265" spans="1:19" x14ac:dyDescent="0.3">
      <c r="A7265" t="s">
        <v>3237</v>
      </c>
      <c r="B7265" t="s">
        <v>4585</v>
      </c>
      <c r="C7265" t="s">
        <v>5016</v>
      </c>
      <c r="D7265" t="s">
        <v>3245</v>
      </c>
      <c r="E7265" t="s">
        <v>3246</v>
      </c>
      <c r="F7265" t="s">
        <v>3246</v>
      </c>
      <c r="G7265" t="s">
        <v>3246</v>
      </c>
      <c r="H7265" t="s">
        <v>97</v>
      </c>
      <c r="I7265" t="s">
        <v>98</v>
      </c>
      <c r="J7265" t="str">
        <f>"0551730"</f>
        <v>0551730</v>
      </c>
      <c r="K7265">
        <v>2102793707</v>
      </c>
      <c r="L7265">
        <v>2102752635</v>
      </c>
      <c r="M7265" t="s">
        <v>5017</v>
      </c>
      <c r="N7265" t="s">
        <v>3249</v>
      </c>
      <c r="O7265" t="s">
        <v>5018</v>
      </c>
      <c r="P7265">
        <v>14232</v>
      </c>
      <c r="Q7265" t="str">
        <f>"38.036309"</f>
        <v>38.036309</v>
      </c>
      <c r="R7265" t="str">
        <f>"23.750016"</f>
        <v>23.750016</v>
      </c>
      <c r="S7265" t="s">
        <v>26</v>
      </c>
    </row>
    <row r="7266" spans="1:19" x14ac:dyDescent="0.3">
      <c r="A7266" t="s">
        <v>3237</v>
      </c>
      <c r="B7266" t="s">
        <v>4585</v>
      </c>
      <c r="C7266" t="s">
        <v>5025</v>
      </c>
      <c r="D7266" t="s">
        <v>3245</v>
      </c>
      <c r="E7266" t="s">
        <v>4670</v>
      </c>
      <c r="F7266" t="s">
        <v>3721</v>
      </c>
      <c r="G7266" t="s">
        <v>3721</v>
      </c>
      <c r="H7266" t="s">
        <v>97</v>
      </c>
      <c r="I7266" t="s">
        <v>98</v>
      </c>
      <c r="J7266" t="str">
        <f>"0551762"</f>
        <v>0551762</v>
      </c>
      <c r="K7266">
        <v>2106711243</v>
      </c>
      <c r="L7266">
        <v>2106714527</v>
      </c>
      <c r="M7266" t="s">
        <v>5026</v>
      </c>
      <c r="N7266" t="s">
        <v>4936</v>
      </c>
      <c r="O7266" t="s">
        <v>5027</v>
      </c>
      <c r="P7266">
        <v>15451</v>
      </c>
      <c r="Q7266" t="str">
        <f>"37.999729"</f>
        <v>37.999729</v>
      </c>
      <c r="R7266" t="str">
        <f>"23.779033"</f>
        <v>23.779033</v>
      </c>
      <c r="S7266" t="s">
        <v>26</v>
      </c>
    </row>
    <row r="7267" spans="1:19" x14ac:dyDescent="0.3">
      <c r="A7267" t="s">
        <v>3237</v>
      </c>
      <c r="B7267" t="s">
        <v>4585</v>
      </c>
      <c r="C7267" t="s">
        <v>5029</v>
      </c>
      <c r="D7267" t="s">
        <v>3245</v>
      </c>
      <c r="E7267" t="s">
        <v>4768</v>
      </c>
      <c r="F7267" t="s">
        <v>5028</v>
      </c>
      <c r="G7267" t="s">
        <v>5028</v>
      </c>
      <c r="H7267" t="s">
        <v>97</v>
      </c>
      <c r="I7267" t="s">
        <v>98</v>
      </c>
      <c r="J7267" t="str">
        <f>"0551970"</f>
        <v>0551970</v>
      </c>
      <c r="K7267">
        <v>2106517493</v>
      </c>
      <c r="L7267">
        <v>2106526408</v>
      </c>
      <c r="M7267" t="s">
        <v>5030</v>
      </c>
      <c r="N7267" t="s">
        <v>5028</v>
      </c>
      <c r="O7267" t="s">
        <v>5031</v>
      </c>
      <c r="P7267">
        <v>15669</v>
      </c>
      <c r="Q7267" t="str">
        <f>"37.991664"</f>
        <v>37.991664</v>
      </c>
      <c r="R7267" t="str">
        <f>"23.792064"</f>
        <v>23.792064</v>
      </c>
      <c r="S7267" t="s">
        <v>26</v>
      </c>
    </row>
    <row r="7268" spans="1:19" x14ac:dyDescent="0.3">
      <c r="A7268" t="s">
        <v>3237</v>
      </c>
      <c r="B7268" t="s">
        <v>4585</v>
      </c>
      <c r="C7268" t="s">
        <v>5040</v>
      </c>
      <c r="D7268" t="s">
        <v>3245</v>
      </c>
      <c r="E7268" t="s">
        <v>4649</v>
      </c>
      <c r="F7268" t="s">
        <v>4649</v>
      </c>
      <c r="G7268" t="s">
        <v>4649</v>
      </c>
      <c r="H7268" t="s">
        <v>97</v>
      </c>
      <c r="I7268" t="s">
        <v>98</v>
      </c>
      <c r="J7268" t="str">
        <f>"0551587"</f>
        <v>0551587</v>
      </c>
      <c r="K7268">
        <v>2106840034</v>
      </c>
      <c r="L7268">
        <v>2106857685</v>
      </c>
      <c r="M7268" t="s">
        <v>5041</v>
      </c>
      <c r="N7268" t="s">
        <v>4652</v>
      </c>
      <c r="O7268" t="s">
        <v>4864</v>
      </c>
      <c r="P7268">
        <v>15233</v>
      </c>
      <c r="Q7268" t="str">
        <f>"38.031839"</f>
        <v>38.031839</v>
      </c>
      <c r="R7268" t="str">
        <f>"23.799088"</f>
        <v>23.799088</v>
      </c>
      <c r="S7268" t="s">
        <v>26</v>
      </c>
    </row>
    <row r="7269" spans="1:19" x14ac:dyDescent="0.3">
      <c r="A7269" t="s">
        <v>3237</v>
      </c>
      <c r="B7269" t="s">
        <v>4585</v>
      </c>
      <c r="C7269" t="s">
        <v>5045</v>
      </c>
      <c r="D7269" t="s">
        <v>3245</v>
      </c>
      <c r="E7269" t="s">
        <v>4618</v>
      </c>
      <c r="F7269" t="s">
        <v>4618</v>
      </c>
      <c r="G7269" t="s">
        <v>4618</v>
      </c>
      <c r="H7269" t="s">
        <v>97</v>
      </c>
      <c r="I7269" t="s">
        <v>98</v>
      </c>
      <c r="J7269" t="str">
        <f>"0551707"</f>
        <v>0551707</v>
      </c>
      <c r="K7269">
        <v>2102796658</v>
      </c>
      <c r="L7269">
        <v>2102754795</v>
      </c>
      <c r="M7269" t="s">
        <v>5046</v>
      </c>
      <c r="N7269" t="s">
        <v>4621</v>
      </c>
      <c r="O7269" t="s">
        <v>5047</v>
      </c>
      <c r="P7269">
        <v>14121</v>
      </c>
      <c r="Q7269" t="str">
        <f>"38.044925"</f>
        <v>38.044925</v>
      </c>
      <c r="R7269" t="str">
        <f>"23.776280"</f>
        <v>23.776280</v>
      </c>
      <c r="S7269" t="s">
        <v>26</v>
      </c>
    </row>
    <row r="7270" spans="1:19" x14ac:dyDescent="0.3">
      <c r="A7270" t="s">
        <v>3237</v>
      </c>
      <c r="B7270" t="s">
        <v>4585</v>
      </c>
      <c r="C7270" t="s">
        <v>5048</v>
      </c>
      <c r="D7270" t="s">
        <v>3245</v>
      </c>
      <c r="E7270" t="s">
        <v>4591</v>
      </c>
      <c r="F7270" t="s">
        <v>4591</v>
      </c>
      <c r="G7270" t="s">
        <v>4591</v>
      </c>
      <c r="H7270" t="s">
        <v>97</v>
      </c>
      <c r="I7270" t="s">
        <v>98</v>
      </c>
      <c r="J7270" t="str">
        <f>"0551472"</f>
        <v>0551472</v>
      </c>
      <c r="K7270">
        <v>2106104941</v>
      </c>
      <c r="L7270">
        <v>2106104941</v>
      </c>
      <c r="M7270" t="s">
        <v>5049</v>
      </c>
      <c r="N7270" t="s">
        <v>4600</v>
      </c>
      <c r="O7270" t="s">
        <v>4965</v>
      </c>
      <c r="P7270">
        <v>15125</v>
      </c>
      <c r="Q7270" t="str">
        <f>"38.040095"</f>
        <v>38.040095</v>
      </c>
      <c r="R7270" t="str">
        <f>"23.815204"</f>
        <v>23.815204</v>
      </c>
      <c r="S7270" t="s">
        <v>26</v>
      </c>
    </row>
    <row r="7271" spans="1:19" x14ac:dyDescent="0.3">
      <c r="A7271" t="s">
        <v>3237</v>
      </c>
      <c r="B7271" t="s">
        <v>4585</v>
      </c>
      <c r="C7271" t="s">
        <v>5051</v>
      </c>
      <c r="D7271" t="s">
        <v>3245</v>
      </c>
      <c r="E7271" t="s">
        <v>4670</v>
      </c>
      <c r="F7271" t="s">
        <v>3344</v>
      </c>
      <c r="G7271" t="s">
        <v>3344</v>
      </c>
      <c r="H7271" t="s">
        <v>97</v>
      </c>
      <c r="I7271" t="s">
        <v>98</v>
      </c>
      <c r="J7271" t="str">
        <f>"0551772"</f>
        <v>0551772</v>
      </c>
      <c r="K7271">
        <v>2106725450</v>
      </c>
      <c r="L7271">
        <v>2106749531</v>
      </c>
      <c r="M7271" t="s">
        <v>5052</v>
      </c>
      <c r="N7271" t="s">
        <v>4788</v>
      </c>
      <c r="O7271" t="s">
        <v>5053</v>
      </c>
      <c r="P7271">
        <v>15452</v>
      </c>
      <c r="Q7271" t="str">
        <f>"38.017783"</f>
        <v>38.017783</v>
      </c>
      <c r="R7271" t="str">
        <f>"23.776690"</f>
        <v>23.776690</v>
      </c>
      <c r="S7271" t="s">
        <v>26</v>
      </c>
    </row>
    <row r="7272" spans="1:19" x14ac:dyDescent="0.3">
      <c r="A7272" t="s">
        <v>3237</v>
      </c>
      <c r="B7272" t="s">
        <v>4585</v>
      </c>
      <c r="C7272" t="s">
        <v>5057</v>
      </c>
      <c r="D7272" t="s">
        <v>3245</v>
      </c>
      <c r="E7272" t="s">
        <v>4048</v>
      </c>
      <c r="F7272" t="s">
        <v>4918</v>
      </c>
      <c r="G7272" t="s">
        <v>4918</v>
      </c>
      <c r="H7272" t="s">
        <v>97</v>
      </c>
      <c r="I7272" t="s">
        <v>98</v>
      </c>
      <c r="J7272" t="str">
        <f>"0551715"</f>
        <v>0551715</v>
      </c>
      <c r="K7272">
        <v>2108073183</v>
      </c>
      <c r="L7272">
        <v>2106208526</v>
      </c>
      <c r="M7272" t="s">
        <v>5058</v>
      </c>
      <c r="N7272" t="s">
        <v>5059</v>
      </c>
      <c r="O7272" t="s">
        <v>5060</v>
      </c>
      <c r="P7272">
        <v>14671</v>
      </c>
      <c r="Q7272" t="str">
        <f>"38.099544"</f>
        <v>38.099544</v>
      </c>
      <c r="R7272" t="str">
        <f>"23.812909"</f>
        <v>23.812909</v>
      </c>
      <c r="S7272" t="s">
        <v>26</v>
      </c>
    </row>
    <row r="7273" spans="1:19" x14ac:dyDescent="0.3">
      <c r="A7273" t="s">
        <v>3237</v>
      </c>
      <c r="B7273" t="s">
        <v>4585</v>
      </c>
      <c r="C7273" t="s">
        <v>5070</v>
      </c>
      <c r="D7273" t="s">
        <v>3245</v>
      </c>
      <c r="E7273" t="s">
        <v>3246</v>
      </c>
      <c r="F7273" t="s">
        <v>3246</v>
      </c>
      <c r="G7273" t="s">
        <v>3246</v>
      </c>
      <c r="H7273" t="s">
        <v>97</v>
      </c>
      <c r="I7273" t="s">
        <v>98</v>
      </c>
      <c r="J7273" t="str">
        <f>"0590790"</f>
        <v>0590790</v>
      </c>
      <c r="K7273">
        <v>2102532336</v>
      </c>
      <c r="L7273">
        <v>2102532336</v>
      </c>
      <c r="M7273" t="s">
        <v>5071</v>
      </c>
      <c r="N7273" t="s">
        <v>3249</v>
      </c>
      <c r="O7273" t="s">
        <v>5072</v>
      </c>
      <c r="P7273">
        <v>14232</v>
      </c>
      <c r="Q7273" t="str">
        <f>"38.033464"</f>
        <v>38.033464</v>
      </c>
      <c r="R7273" t="str">
        <f>"23.749089"</f>
        <v>23.749089</v>
      </c>
      <c r="S7273" t="s">
        <v>26</v>
      </c>
    </row>
    <row r="7274" spans="1:19" x14ac:dyDescent="0.3">
      <c r="A7274" t="s">
        <v>3237</v>
      </c>
      <c r="B7274" t="s">
        <v>4585</v>
      </c>
      <c r="C7274" t="s">
        <v>5076</v>
      </c>
      <c r="D7274" t="s">
        <v>3245</v>
      </c>
      <c r="E7274" t="s">
        <v>4832</v>
      </c>
      <c r="F7274" t="s">
        <v>4832</v>
      </c>
      <c r="G7274" t="s">
        <v>4832</v>
      </c>
      <c r="H7274" t="s">
        <v>97</v>
      </c>
      <c r="I7274" t="s">
        <v>98</v>
      </c>
      <c r="J7274" t="str">
        <f>"0544004"</f>
        <v>0544004</v>
      </c>
      <c r="K7274">
        <v>2169390168</v>
      </c>
      <c r="L7274">
        <v>2169390169</v>
      </c>
      <c r="M7274" t="s">
        <v>5077</v>
      </c>
      <c r="N7274" t="s">
        <v>4835</v>
      </c>
      <c r="O7274" t="s">
        <v>4929</v>
      </c>
      <c r="P7274">
        <v>14451</v>
      </c>
      <c r="Q7274" t="str">
        <f>"38.054101"</f>
        <v>38.054101</v>
      </c>
      <c r="R7274" t="str">
        <f>"23.760544"</f>
        <v>23.760544</v>
      </c>
      <c r="S7274" t="s">
        <v>26</v>
      </c>
    </row>
    <row r="7275" spans="1:19" x14ac:dyDescent="0.3">
      <c r="A7275" t="s">
        <v>3237</v>
      </c>
      <c r="B7275" t="s">
        <v>5080</v>
      </c>
      <c r="C7275" t="s">
        <v>5100</v>
      </c>
      <c r="D7275" t="s">
        <v>3251</v>
      </c>
      <c r="E7275" t="s">
        <v>5087</v>
      </c>
      <c r="F7275" t="s">
        <v>5087</v>
      </c>
      <c r="G7275" t="s">
        <v>5099</v>
      </c>
      <c r="H7275" t="s">
        <v>97</v>
      </c>
      <c r="I7275" t="s">
        <v>98</v>
      </c>
      <c r="J7275" t="str">
        <f>"0551640"</f>
        <v>0551640</v>
      </c>
      <c r="K7275">
        <v>2105711681</v>
      </c>
      <c r="L7275">
        <v>2105711681</v>
      </c>
      <c r="M7275" t="s">
        <v>5101</v>
      </c>
      <c r="N7275" t="s">
        <v>5102</v>
      </c>
      <c r="O7275" t="s">
        <v>5103</v>
      </c>
      <c r="P7275">
        <v>12136</v>
      </c>
      <c r="Q7275" t="str">
        <f>"38.012041"</f>
        <v>38.012041</v>
      </c>
      <c r="R7275" t="str">
        <f>"23.686382"</f>
        <v>23.686382</v>
      </c>
      <c r="S7275" t="s">
        <v>26</v>
      </c>
    </row>
    <row r="7276" spans="1:19" x14ac:dyDescent="0.3">
      <c r="A7276" t="s">
        <v>3237</v>
      </c>
      <c r="B7276" t="s">
        <v>5080</v>
      </c>
      <c r="C7276" t="s">
        <v>5113</v>
      </c>
      <c r="D7276" t="s">
        <v>3251</v>
      </c>
      <c r="E7276" t="s">
        <v>5087</v>
      </c>
      <c r="F7276" t="s">
        <v>5087</v>
      </c>
      <c r="G7276" t="s">
        <v>5088</v>
      </c>
      <c r="H7276" t="s">
        <v>97</v>
      </c>
      <c r="I7276" t="s">
        <v>98</v>
      </c>
      <c r="J7276" t="str">
        <f>"0551727"</f>
        <v>0551727</v>
      </c>
      <c r="K7276">
        <v>2105734246</v>
      </c>
      <c r="L7276">
        <v>2105712940</v>
      </c>
      <c r="M7276" t="s">
        <v>5114</v>
      </c>
      <c r="N7276" t="s">
        <v>5102</v>
      </c>
      <c r="O7276" t="s">
        <v>5115</v>
      </c>
      <c r="P7276">
        <v>12137</v>
      </c>
      <c r="Q7276" t="str">
        <f>"38.029191"</f>
        <v>38.029191</v>
      </c>
      <c r="R7276" t="str">
        <f>"23.677212"</f>
        <v>23.677212</v>
      </c>
      <c r="S7276" t="s">
        <v>26</v>
      </c>
    </row>
    <row r="7277" spans="1:19" x14ac:dyDescent="0.3">
      <c r="A7277" t="s">
        <v>3237</v>
      </c>
      <c r="B7277" t="s">
        <v>5080</v>
      </c>
      <c r="C7277" t="s">
        <v>5133</v>
      </c>
      <c r="D7277" t="s">
        <v>3251</v>
      </c>
      <c r="E7277" t="s">
        <v>3290</v>
      </c>
      <c r="F7277" t="s">
        <v>3290</v>
      </c>
      <c r="G7277" t="s">
        <v>3290</v>
      </c>
      <c r="H7277" t="s">
        <v>97</v>
      </c>
      <c r="I7277" t="s">
        <v>98</v>
      </c>
      <c r="J7277" t="str">
        <f>"0590545"</f>
        <v>0590545</v>
      </c>
      <c r="K7277">
        <v>2102690888</v>
      </c>
      <c r="L7277">
        <v>2102692380</v>
      </c>
      <c r="M7277" t="s">
        <v>5134</v>
      </c>
      <c r="N7277" t="s">
        <v>3293</v>
      </c>
      <c r="O7277" t="s">
        <v>5135</v>
      </c>
      <c r="P7277">
        <v>13122</v>
      </c>
      <c r="Q7277" t="str">
        <f>"38.029430"</f>
        <v>38.029430</v>
      </c>
      <c r="R7277" t="str">
        <f>"23.712770"</f>
        <v>23.712770</v>
      </c>
      <c r="S7277" t="s">
        <v>26</v>
      </c>
    </row>
    <row r="7278" spans="1:19" x14ac:dyDescent="0.3">
      <c r="A7278" t="s">
        <v>3237</v>
      </c>
      <c r="B7278" t="s">
        <v>5080</v>
      </c>
      <c r="C7278" t="s">
        <v>5144</v>
      </c>
      <c r="D7278" t="s">
        <v>3251</v>
      </c>
      <c r="E7278" t="s">
        <v>3290</v>
      </c>
      <c r="F7278" t="s">
        <v>3290</v>
      </c>
      <c r="G7278" t="s">
        <v>3290</v>
      </c>
      <c r="H7278" t="s">
        <v>97</v>
      </c>
      <c r="I7278" t="s">
        <v>3631</v>
      </c>
      <c r="J7278" t="str">
        <f>"0551946"</f>
        <v>0551946</v>
      </c>
      <c r="K7278">
        <v>2102310750</v>
      </c>
      <c r="L7278">
        <v>2102313777</v>
      </c>
      <c r="M7278" t="s">
        <v>5145</v>
      </c>
      <c r="N7278" t="s">
        <v>3293</v>
      </c>
      <c r="O7278" t="s">
        <v>5146</v>
      </c>
      <c r="P7278">
        <v>13122</v>
      </c>
      <c r="Q7278" t="str">
        <f>"38.030062"</f>
        <v>38.030062</v>
      </c>
      <c r="R7278" t="str">
        <f>"23.708211"</f>
        <v>23.708211</v>
      </c>
      <c r="S7278" t="s">
        <v>26</v>
      </c>
    </row>
    <row r="7279" spans="1:19" x14ac:dyDescent="0.3">
      <c r="A7279" t="s">
        <v>3237</v>
      </c>
      <c r="B7279" t="s">
        <v>5080</v>
      </c>
      <c r="C7279" t="s">
        <v>5147</v>
      </c>
      <c r="D7279" t="s">
        <v>3251</v>
      </c>
      <c r="E7279" t="s">
        <v>3290</v>
      </c>
      <c r="F7279" t="s">
        <v>3290</v>
      </c>
      <c r="G7279" t="s">
        <v>3290</v>
      </c>
      <c r="H7279" t="s">
        <v>97</v>
      </c>
      <c r="I7279" t="s">
        <v>98</v>
      </c>
      <c r="J7279" t="str">
        <f>"0551531"</f>
        <v>0551531</v>
      </c>
      <c r="K7279">
        <v>2102633032</v>
      </c>
      <c r="L7279">
        <v>2102633032</v>
      </c>
      <c r="M7279" t="s">
        <v>5148</v>
      </c>
      <c r="N7279" t="s">
        <v>3293</v>
      </c>
      <c r="O7279" t="s">
        <v>5149</v>
      </c>
      <c r="P7279">
        <v>13122</v>
      </c>
      <c r="Q7279" t="str">
        <f>"38.026601"</f>
        <v>38.026601</v>
      </c>
      <c r="R7279" t="str">
        <f>"23.705586"</f>
        <v>23.705586</v>
      </c>
      <c r="S7279" t="s">
        <v>26</v>
      </c>
    </row>
    <row r="7280" spans="1:19" x14ac:dyDescent="0.3">
      <c r="A7280" t="s">
        <v>3237</v>
      </c>
      <c r="B7280" t="s">
        <v>5080</v>
      </c>
      <c r="C7280" t="s">
        <v>5154</v>
      </c>
      <c r="D7280" t="s">
        <v>3251</v>
      </c>
      <c r="E7280" t="s">
        <v>3290</v>
      </c>
      <c r="F7280" t="s">
        <v>3290</v>
      </c>
      <c r="G7280" t="s">
        <v>3290</v>
      </c>
      <c r="H7280" t="s">
        <v>97</v>
      </c>
      <c r="I7280" t="s">
        <v>98</v>
      </c>
      <c r="J7280" t="str">
        <f>"0551530"</f>
        <v>0551530</v>
      </c>
      <c r="K7280">
        <v>2102610188</v>
      </c>
      <c r="L7280">
        <v>2102610188</v>
      </c>
      <c r="M7280" t="s">
        <v>5155</v>
      </c>
      <c r="N7280" t="s">
        <v>3293</v>
      </c>
      <c r="O7280" t="s">
        <v>5156</v>
      </c>
      <c r="P7280">
        <v>13123</v>
      </c>
      <c r="Q7280" t="str">
        <f>"38.030644"</f>
        <v>38.030644</v>
      </c>
      <c r="R7280" t="str">
        <f>"23.702477"</f>
        <v>23.702477</v>
      </c>
      <c r="S7280" t="s">
        <v>26</v>
      </c>
    </row>
    <row r="7281" spans="1:19" x14ac:dyDescent="0.3">
      <c r="A7281" t="s">
        <v>3237</v>
      </c>
      <c r="B7281" t="s">
        <v>5080</v>
      </c>
      <c r="C7281" t="s">
        <v>5163</v>
      </c>
      <c r="D7281" t="s">
        <v>3251</v>
      </c>
      <c r="E7281" t="s">
        <v>5162</v>
      </c>
      <c r="F7281" t="s">
        <v>5162</v>
      </c>
      <c r="G7281" t="s">
        <v>5162</v>
      </c>
      <c r="H7281" t="s">
        <v>97</v>
      </c>
      <c r="I7281" t="s">
        <v>98</v>
      </c>
      <c r="J7281" t="str">
        <f>"0551457"</f>
        <v>0551457</v>
      </c>
      <c r="K7281">
        <v>2105619594</v>
      </c>
      <c r="L7281">
        <v>2105619594</v>
      </c>
      <c r="M7281" t="s">
        <v>5164</v>
      </c>
      <c r="N7281" t="s">
        <v>5165</v>
      </c>
      <c r="O7281" t="s">
        <v>5166</v>
      </c>
      <c r="P7281">
        <v>12351</v>
      </c>
      <c r="Q7281" t="str">
        <f>"37.995560"</f>
        <v>37.995560</v>
      </c>
      <c r="R7281" t="str">
        <f>"23.662889"</f>
        <v>23.662889</v>
      </c>
      <c r="S7281" t="s">
        <v>26</v>
      </c>
    </row>
    <row r="7282" spans="1:19" x14ac:dyDescent="0.3">
      <c r="A7282" t="s">
        <v>3237</v>
      </c>
      <c r="B7282" t="s">
        <v>5080</v>
      </c>
      <c r="C7282" t="s">
        <v>5172</v>
      </c>
      <c r="D7282" t="s">
        <v>3251</v>
      </c>
      <c r="E7282" t="s">
        <v>5171</v>
      </c>
      <c r="F7282" t="s">
        <v>5171</v>
      </c>
      <c r="G7282" t="s">
        <v>5171</v>
      </c>
      <c r="H7282" t="s">
        <v>97</v>
      </c>
      <c r="I7282" t="s">
        <v>98</v>
      </c>
      <c r="J7282" t="str">
        <f>"0551536"</f>
        <v>0551536</v>
      </c>
      <c r="K7282">
        <v>2105018700</v>
      </c>
      <c r="L7282">
        <v>2105029767</v>
      </c>
      <c r="M7282" t="s">
        <v>5173</v>
      </c>
      <c r="N7282" t="s">
        <v>5174</v>
      </c>
      <c r="O7282" t="s">
        <v>5175</v>
      </c>
      <c r="P7282">
        <v>13231</v>
      </c>
      <c r="Q7282" t="str">
        <f>"38.036326"</f>
        <v>38.036326</v>
      </c>
      <c r="R7282" t="str">
        <f>"23.677639"</f>
        <v>23.677639</v>
      </c>
      <c r="S7282" t="s">
        <v>26</v>
      </c>
    </row>
    <row r="7283" spans="1:19" x14ac:dyDescent="0.3">
      <c r="A7283" t="s">
        <v>3237</v>
      </c>
      <c r="B7283" t="s">
        <v>5080</v>
      </c>
      <c r="C7283" t="s">
        <v>5177</v>
      </c>
      <c r="D7283" t="s">
        <v>3251</v>
      </c>
      <c r="E7283" t="s">
        <v>3252</v>
      </c>
      <c r="F7283" t="s">
        <v>3252</v>
      </c>
      <c r="G7283" t="s">
        <v>3252</v>
      </c>
      <c r="H7283" t="s">
        <v>97</v>
      </c>
      <c r="I7283" t="s">
        <v>98</v>
      </c>
      <c r="J7283" t="str">
        <f>"0551008"</f>
        <v>0551008</v>
      </c>
      <c r="K7283">
        <v>2105690186</v>
      </c>
      <c r="L7283">
        <v>2105690186</v>
      </c>
      <c r="M7283" t="s">
        <v>5178</v>
      </c>
      <c r="N7283" t="s">
        <v>3252</v>
      </c>
      <c r="O7283" t="s">
        <v>5179</v>
      </c>
      <c r="P7283">
        <v>12241</v>
      </c>
      <c r="Q7283" t="str">
        <f>"37.980413"</f>
        <v>37.980413</v>
      </c>
      <c r="R7283" t="str">
        <f>"23.673365"</f>
        <v>23.673365</v>
      </c>
      <c r="S7283" t="s">
        <v>26</v>
      </c>
    </row>
    <row r="7284" spans="1:19" x14ac:dyDescent="0.3">
      <c r="A7284" t="s">
        <v>3237</v>
      </c>
      <c r="B7284" t="s">
        <v>5080</v>
      </c>
      <c r="C7284" t="s">
        <v>5180</v>
      </c>
      <c r="D7284" t="s">
        <v>3251</v>
      </c>
      <c r="E7284" t="s">
        <v>5087</v>
      </c>
      <c r="F7284" t="s">
        <v>5087</v>
      </c>
      <c r="G7284" t="s">
        <v>5116</v>
      </c>
      <c r="H7284" t="s">
        <v>97</v>
      </c>
      <c r="I7284" t="s">
        <v>98</v>
      </c>
      <c r="J7284" t="str">
        <f>"0551148"</f>
        <v>0551148</v>
      </c>
      <c r="K7284">
        <v>2105754843</v>
      </c>
      <c r="L7284">
        <v>2105754843</v>
      </c>
      <c r="M7284" t="s">
        <v>5181</v>
      </c>
      <c r="N7284" t="s">
        <v>5102</v>
      </c>
      <c r="O7284" t="s">
        <v>5182</v>
      </c>
      <c r="P7284">
        <v>12133</v>
      </c>
      <c r="Q7284" t="str">
        <f>"38.015849"</f>
        <v>38.015849</v>
      </c>
      <c r="R7284" t="str">
        <f>"23.712721"</f>
        <v>23.712721</v>
      </c>
      <c r="S7284" t="s">
        <v>26</v>
      </c>
    </row>
    <row r="7285" spans="1:19" x14ac:dyDescent="0.3">
      <c r="A7285" t="s">
        <v>3237</v>
      </c>
      <c r="B7285" t="s">
        <v>5080</v>
      </c>
      <c r="C7285" t="s">
        <v>5183</v>
      </c>
      <c r="D7285" t="s">
        <v>3251</v>
      </c>
      <c r="E7285" t="s">
        <v>3252</v>
      </c>
      <c r="F7285" t="s">
        <v>3252</v>
      </c>
      <c r="G7285" t="s">
        <v>3252</v>
      </c>
      <c r="H7285" t="s">
        <v>97</v>
      </c>
      <c r="I7285" t="s">
        <v>98</v>
      </c>
      <c r="J7285" t="str">
        <f>"0551442"</f>
        <v>0551442</v>
      </c>
      <c r="K7285">
        <v>2105982416</v>
      </c>
      <c r="L7285">
        <v>2105982464</v>
      </c>
      <c r="M7285" t="s">
        <v>5184</v>
      </c>
      <c r="N7285" t="s">
        <v>3252</v>
      </c>
      <c r="O7285" t="s">
        <v>5185</v>
      </c>
      <c r="P7285">
        <v>12243</v>
      </c>
      <c r="Q7285" t="str">
        <f>"37.999109"</f>
        <v>37.999109</v>
      </c>
      <c r="R7285" t="str">
        <f>"23.680057"</f>
        <v>23.680057</v>
      </c>
      <c r="S7285" t="s">
        <v>26</v>
      </c>
    </row>
    <row r="7286" spans="1:19" x14ac:dyDescent="0.3">
      <c r="A7286" t="s">
        <v>3237</v>
      </c>
      <c r="B7286" t="s">
        <v>5080</v>
      </c>
      <c r="C7286" t="s">
        <v>5187</v>
      </c>
      <c r="D7286" t="s">
        <v>3251</v>
      </c>
      <c r="E7286" t="s">
        <v>5171</v>
      </c>
      <c r="F7286" t="s">
        <v>5171</v>
      </c>
      <c r="G7286" t="s">
        <v>5171</v>
      </c>
      <c r="H7286" t="s">
        <v>97</v>
      </c>
      <c r="I7286" t="s">
        <v>98</v>
      </c>
      <c r="J7286" t="str">
        <f>"0590220"</f>
        <v>0590220</v>
      </c>
      <c r="K7286">
        <v>2105019619</v>
      </c>
      <c r="L7286">
        <v>2105065017</v>
      </c>
      <c r="M7286" t="s">
        <v>5188</v>
      </c>
      <c r="N7286" t="s">
        <v>5174</v>
      </c>
      <c r="O7286" t="s">
        <v>5189</v>
      </c>
      <c r="P7286">
        <v>13231</v>
      </c>
      <c r="Q7286" t="str">
        <f>"38.040129"</f>
        <v>38.040129</v>
      </c>
      <c r="R7286" t="str">
        <f>"23.694075"</f>
        <v>23.694075</v>
      </c>
      <c r="S7286" t="s">
        <v>26</v>
      </c>
    </row>
    <row r="7287" spans="1:19" x14ac:dyDescent="0.3">
      <c r="A7287" t="s">
        <v>3237</v>
      </c>
      <c r="B7287" t="s">
        <v>5080</v>
      </c>
      <c r="C7287" t="s">
        <v>5191</v>
      </c>
      <c r="D7287" t="s">
        <v>3251</v>
      </c>
      <c r="E7287" t="s">
        <v>3290</v>
      </c>
      <c r="F7287" t="s">
        <v>3290</v>
      </c>
      <c r="G7287" t="s">
        <v>3290</v>
      </c>
      <c r="H7287" t="s">
        <v>97</v>
      </c>
      <c r="I7287" t="s">
        <v>98</v>
      </c>
      <c r="J7287" t="str">
        <f>"0551940"</f>
        <v>0551940</v>
      </c>
      <c r="K7287">
        <v>2102613194</v>
      </c>
      <c r="L7287">
        <v>2102613194</v>
      </c>
      <c r="M7287" t="s">
        <v>5192</v>
      </c>
      <c r="N7287" t="s">
        <v>3293</v>
      </c>
      <c r="O7287" t="s">
        <v>5193</v>
      </c>
      <c r="P7287">
        <v>13122</v>
      </c>
      <c r="Q7287" t="str">
        <f>"38.037140"</f>
        <v>38.037140</v>
      </c>
      <c r="R7287" t="str">
        <f>"23.712311"</f>
        <v>23.712311</v>
      </c>
      <c r="S7287" t="s">
        <v>26</v>
      </c>
    </row>
    <row r="7288" spans="1:19" x14ac:dyDescent="0.3">
      <c r="A7288" t="s">
        <v>3237</v>
      </c>
      <c r="B7288" t="s">
        <v>5080</v>
      </c>
      <c r="C7288" t="s">
        <v>5195</v>
      </c>
      <c r="D7288" t="s">
        <v>3251</v>
      </c>
      <c r="E7288" t="s">
        <v>3290</v>
      </c>
      <c r="F7288" t="s">
        <v>3290</v>
      </c>
      <c r="G7288" t="s">
        <v>3290</v>
      </c>
      <c r="H7288" t="s">
        <v>97</v>
      </c>
      <c r="I7288" t="s">
        <v>98</v>
      </c>
      <c r="J7288" t="str">
        <f>"0551537"</f>
        <v>0551537</v>
      </c>
      <c r="K7288">
        <v>2105015158</v>
      </c>
      <c r="L7288">
        <v>2105015158</v>
      </c>
      <c r="M7288" t="s">
        <v>5196</v>
      </c>
      <c r="N7288" t="s">
        <v>3293</v>
      </c>
      <c r="O7288" t="s">
        <v>5197</v>
      </c>
      <c r="P7288">
        <v>13123</v>
      </c>
      <c r="Q7288" t="str">
        <f>"38.045637"</f>
        <v>38.045637</v>
      </c>
      <c r="R7288" t="str">
        <f>"23.703710"</f>
        <v>23.703710</v>
      </c>
      <c r="S7288" t="s">
        <v>26</v>
      </c>
    </row>
    <row r="7289" spans="1:19" x14ac:dyDescent="0.3">
      <c r="A7289" t="s">
        <v>3237</v>
      </c>
      <c r="B7289" t="s">
        <v>5080</v>
      </c>
      <c r="C7289" t="s">
        <v>5206</v>
      </c>
      <c r="D7289" t="s">
        <v>3251</v>
      </c>
      <c r="E7289" t="s">
        <v>3290</v>
      </c>
      <c r="F7289" t="s">
        <v>3290</v>
      </c>
      <c r="G7289" t="s">
        <v>3290</v>
      </c>
      <c r="H7289" t="s">
        <v>97</v>
      </c>
      <c r="I7289" t="s">
        <v>98</v>
      </c>
      <c r="J7289" t="str">
        <f>"0551062"</f>
        <v>0551062</v>
      </c>
      <c r="K7289">
        <v>2105762111</v>
      </c>
      <c r="L7289">
        <v>2105762365</v>
      </c>
      <c r="M7289" t="s">
        <v>5207</v>
      </c>
      <c r="N7289" t="s">
        <v>3293</v>
      </c>
      <c r="O7289" t="s">
        <v>5208</v>
      </c>
      <c r="P7289">
        <v>13121</v>
      </c>
      <c r="Q7289" t="str">
        <f>"38.019473"</f>
        <v>38.019473</v>
      </c>
      <c r="R7289" t="str">
        <f>"23.707096"</f>
        <v>23.707096</v>
      </c>
      <c r="S7289" t="s">
        <v>26</v>
      </c>
    </row>
    <row r="7290" spans="1:19" x14ac:dyDescent="0.3">
      <c r="A7290" t="s">
        <v>3237</v>
      </c>
      <c r="B7290" t="s">
        <v>5080</v>
      </c>
      <c r="C7290" t="s">
        <v>5210</v>
      </c>
      <c r="D7290" t="s">
        <v>3251</v>
      </c>
      <c r="E7290" t="s">
        <v>5087</v>
      </c>
      <c r="F7290" t="s">
        <v>5087</v>
      </c>
      <c r="G7290" t="s">
        <v>5116</v>
      </c>
      <c r="H7290" t="s">
        <v>97</v>
      </c>
      <c r="I7290" t="s">
        <v>98</v>
      </c>
      <c r="J7290" t="str">
        <f>"0551641"</f>
        <v>0551641</v>
      </c>
      <c r="K7290">
        <v>2105740930</v>
      </c>
      <c r="L7290">
        <v>2105750592</v>
      </c>
      <c r="M7290" t="s">
        <v>5211</v>
      </c>
      <c r="N7290" t="s">
        <v>5102</v>
      </c>
      <c r="O7290" t="s">
        <v>5212</v>
      </c>
      <c r="P7290">
        <v>12133</v>
      </c>
      <c r="Q7290" t="str">
        <f>"38.020008"</f>
        <v>38.020008</v>
      </c>
      <c r="R7290" t="str">
        <f>"23.700479"</f>
        <v>23.700479</v>
      </c>
      <c r="S7290" t="s">
        <v>26</v>
      </c>
    </row>
    <row r="7291" spans="1:19" x14ac:dyDescent="0.3">
      <c r="A7291" t="s">
        <v>3237</v>
      </c>
      <c r="B7291" t="s">
        <v>5080</v>
      </c>
      <c r="C7291" t="s">
        <v>5214</v>
      </c>
      <c r="D7291" t="s">
        <v>3251</v>
      </c>
      <c r="E7291" t="s">
        <v>3252</v>
      </c>
      <c r="F7291" t="s">
        <v>3252</v>
      </c>
      <c r="G7291" t="s">
        <v>3252</v>
      </c>
      <c r="H7291" t="s">
        <v>97</v>
      </c>
      <c r="I7291" t="s">
        <v>195</v>
      </c>
      <c r="J7291" t="str">
        <f>"0551447"</f>
        <v>0551447</v>
      </c>
      <c r="K7291">
        <v>2105902859</v>
      </c>
      <c r="L7291">
        <v>2105902859</v>
      </c>
      <c r="M7291" t="s">
        <v>5215</v>
      </c>
      <c r="N7291" t="s">
        <v>3252</v>
      </c>
      <c r="O7291" t="s">
        <v>5216</v>
      </c>
      <c r="P7291">
        <v>12243</v>
      </c>
      <c r="Q7291" t="str">
        <f>"37.994161"</f>
        <v>37.994161</v>
      </c>
      <c r="R7291" t="str">
        <f>"23.680218"</f>
        <v>23.680218</v>
      </c>
      <c r="S7291" t="s">
        <v>26</v>
      </c>
    </row>
    <row r="7292" spans="1:19" x14ac:dyDescent="0.3">
      <c r="A7292" t="s">
        <v>3237</v>
      </c>
      <c r="B7292" t="s">
        <v>5080</v>
      </c>
      <c r="C7292" t="s">
        <v>5217</v>
      </c>
      <c r="D7292" t="s">
        <v>3251</v>
      </c>
      <c r="E7292" t="s">
        <v>3252</v>
      </c>
      <c r="F7292" t="s">
        <v>3252</v>
      </c>
      <c r="G7292" t="s">
        <v>3252</v>
      </c>
      <c r="H7292" t="s">
        <v>97</v>
      </c>
      <c r="I7292" t="s">
        <v>98</v>
      </c>
      <c r="J7292" t="str">
        <f>"0551450"</f>
        <v>0551450</v>
      </c>
      <c r="K7292">
        <v>2105694598</v>
      </c>
      <c r="L7292">
        <v>2105694350</v>
      </c>
      <c r="M7292" t="s">
        <v>5218</v>
      </c>
      <c r="N7292" t="s">
        <v>3252</v>
      </c>
      <c r="O7292" t="s">
        <v>5219</v>
      </c>
      <c r="P7292">
        <v>12244</v>
      </c>
      <c r="Q7292" t="str">
        <f>"37.984775"</f>
        <v>37.984775</v>
      </c>
      <c r="R7292" t="str">
        <f>"23.669134"</f>
        <v>23.669134</v>
      </c>
      <c r="S7292" t="s">
        <v>26</v>
      </c>
    </row>
    <row r="7293" spans="1:19" x14ac:dyDescent="0.3">
      <c r="A7293" t="s">
        <v>3237</v>
      </c>
      <c r="B7293" t="s">
        <v>5080</v>
      </c>
      <c r="C7293" t="s">
        <v>5220</v>
      </c>
      <c r="D7293" t="s">
        <v>3251</v>
      </c>
      <c r="E7293" t="s">
        <v>5162</v>
      </c>
      <c r="F7293" t="s">
        <v>5162</v>
      </c>
      <c r="G7293" t="s">
        <v>5162</v>
      </c>
      <c r="H7293" t="s">
        <v>97</v>
      </c>
      <c r="I7293" t="s">
        <v>98</v>
      </c>
      <c r="J7293" t="str">
        <f>"0551452"</f>
        <v>0551452</v>
      </c>
      <c r="K7293">
        <v>2105624446</v>
      </c>
      <c r="L7293">
        <v>2105617099</v>
      </c>
      <c r="M7293" t="s">
        <v>5221</v>
      </c>
      <c r="N7293" t="s">
        <v>5165</v>
      </c>
      <c r="O7293" t="s">
        <v>5222</v>
      </c>
      <c r="P7293">
        <v>12351</v>
      </c>
      <c r="Q7293" t="str">
        <f>"37.993958"</f>
        <v>37.993958</v>
      </c>
      <c r="R7293" t="str">
        <f>"23.661239"</f>
        <v>23.661239</v>
      </c>
      <c r="S7293" t="s">
        <v>26</v>
      </c>
    </row>
    <row r="7294" spans="1:19" x14ac:dyDescent="0.3">
      <c r="A7294" t="s">
        <v>3237</v>
      </c>
      <c r="B7294" t="s">
        <v>5080</v>
      </c>
      <c r="C7294" t="s">
        <v>5227</v>
      </c>
      <c r="D7294" t="s">
        <v>3251</v>
      </c>
      <c r="E7294" t="s">
        <v>5171</v>
      </c>
      <c r="F7294" t="s">
        <v>5171</v>
      </c>
      <c r="G7294" t="s">
        <v>5171</v>
      </c>
      <c r="H7294" t="s">
        <v>97</v>
      </c>
      <c r="I7294" t="s">
        <v>98</v>
      </c>
      <c r="J7294" t="str">
        <f>"0551532"</f>
        <v>0551532</v>
      </c>
      <c r="K7294">
        <v>2105059998</v>
      </c>
      <c r="L7294">
        <v>2105015335</v>
      </c>
      <c r="M7294" t="s">
        <v>5228</v>
      </c>
      <c r="N7294" t="s">
        <v>5174</v>
      </c>
      <c r="O7294" t="s">
        <v>5229</v>
      </c>
      <c r="P7294">
        <v>13231</v>
      </c>
      <c r="Q7294" t="str">
        <f>"38.038090"</f>
        <v>38.038090</v>
      </c>
      <c r="R7294" t="str">
        <f>"23.684573"</f>
        <v>23.684573</v>
      </c>
      <c r="S7294" t="s">
        <v>26</v>
      </c>
    </row>
    <row r="7295" spans="1:19" x14ac:dyDescent="0.3">
      <c r="A7295" t="s">
        <v>3237</v>
      </c>
      <c r="B7295" t="s">
        <v>5080</v>
      </c>
      <c r="C7295" t="s">
        <v>5230</v>
      </c>
      <c r="D7295" t="s">
        <v>3251</v>
      </c>
      <c r="E7295" t="s">
        <v>5171</v>
      </c>
      <c r="F7295" t="s">
        <v>5171</v>
      </c>
      <c r="G7295" t="s">
        <v>5171</v>
      </c>
      <c r="H7295" t="s">
        <v>97</v>
      </c>
      <c r="I7295" t="s">
        <v>98</v>
      </c>
      <c r="J7295" t="str">
        <f>"0551539"</f>
        <v>0551539</v>
      </c>
      <c r="K7295">
        <v>2105023443</v>
      </c>
      <c r="L7295">
        <v>2105023443</v>
      </c>
      <c r="M7295" t="s">
        <v>5231</v>
      </c>
      <c r="N7295" t="s">
        <v>5174</v>
      </c>
      <c r="O7295" t="s">
        <v>5232</v>
      </c>
      <c r="P7295">
        <v>13231</v>
      </c>
      <c r="Q7295" t="str">
        <f>"38.045465"</f>
        <v>38.045465</v>
      </c>
      <c r="R7295" t="str">
        <f>"23.687959"</f>
        <v>23.687959</v>
      </c>
      <c r="S7295" t="s">
        <v>26</v>
      </c>
    </row>
    <row r="7296" spans="1:19" x14ac:dyDescent="0.3">
      <c r="A7296" t="s">
        <v>3237</v>
      </c>
      <c r="B7296" t="s">
        <v>5080</v>
      </c>
      <c r="C7296" t="s">
        <v>5234</v>
      </c>
      <c r="D7296" t="s">
        <v>3251</v>
      </c>
      <c r="E7296" t="s">
        <v>5121</v>
      </c>
      <c r="F7296" t="s">
        <v>5085</v>
      </c>
      <c r="G7296" t="s">
        <v>5085</v>
      </c>
      <c r="H7296" t="s">
        <v>97</v>
      </c>
      <c r="I7296" t="s">
        <v>98</v>
      </c>
      <c r="J7296" t="str">
        <f>"0551600"</f>
        <v>0551600</v>
      </c>
      <c r="K7296">
        <v>2108310872</v>
      </c>
      <c r="L7296">
        <v>2108310872</v>
      </c>
      <c r="M7296" t="s">
        <v>5235</v>
      </c>
      <c r="N7296" t="s">
        <v>5124</v>
      </c>
      <c r="O7296" t="s">
        <v>5236</v>
      </c>
      <c r="P7296">
        <v>13561</v>
      </c>
      <c r="Q7296" t="str">
        <f>"38.020738"</f>
        <v>38.020738</v>
      </c>
      <c r="R7296" t="str">
        <f>"23.714198"</f>
        <v>23.714198</v>
      </c>
      <c r="S7296" t="s">
        <v>26</v>
      </c>
    </row>
    <row r="7297" spans="1:19" x14ac:dyDescent="0.3">
      <c r="A7297" t="s">
        <v>3237</v>
      </c>
      <c r="B7297" t="s">
        <v>5080</v>
      </c>
      <c r="C7297" t="s">
        <v>5238</v>
      </c>
      <c r="D7297" t="s">
        <v>3251</v>
      </c>
      <c r="E7297" t="s">
        <v>5121</v>
      </c>
      <c r="F7297" t="s">
        <v>5127</v>
      </c>
      <c r="G7297" t="s">
        <v>5127</v>
      </c>
      <c r="H7297" t="s">
        <v>97</v>
      </c>
      <c r="I7297" t="s">
        <v>98</v>
      </c>
      <c r="J7297" t="str">
        <f>"0551602"</f>
        <v>0551602</v>
      </c>
      <c r="K7297">
        <v>2102386031</v>
      </c>
      <c r="L7297">
        <v>2102388604</v>
      </c>
      <c r="M7297" t="s">
        <v>5239</v>
      </c>
      <c r="N7297" t="s">
        <v>5130</v>
      </c>
      <c r="O7297" t="s">
        <v>5240</v>
      </c>
      <c r="P7297">
        <v>13451</v>
      </c>
      <c r="Q7297" t="str">
        <f>"38.049682"</f>
        <v>38.049682</v>
      </c>
      <c r="R7297" t="str">
        <f>"23.722658"</f>
        <v>23.722658</v>
      </c>
      <c r="S7297" t="s">
        <v>26</v>
      </c>
    </row>
    <row r="7298" spans="1:19" x14ac:dyDescent="0.3">
      <c r="A7298" t="s">
        <v>3237</v>
      </c>
      <c r="B7298" t="s">
        <v>5080</v>
      </c>
      <c r="C7298" t="s">
        <v>5242</v>
      </c>
      <c r="D7298" t="s">
        <v>3251</v>
      </c>
      <c r="E7298" t="s">
        <v>5121</v>
      </c>
      <c r="F7298" t="s">
        <v>5085</v>
      </c>
      <c r="G7298" t="s">
        <v>5085</v>
      </c>
      <c r="H7298" t="s">
        <v>97</v>
      </c>
      <c r="I7298" t="s">
        <v>98</v>
      </c>
      <c r="J7298" t="str">
        <f>"0551590"</f>
        <v>0551590</v>
      </c>
      <c r="K7298">
        <v>2102612111</v>
      </c>
      <c r="L7298">
        <v>2102691838</v>
      </c>
      <c r="M7298" t="s">
        <v>5243</v>
      </c>
      <c r="N7298" t="s">
        <v>5244</v>
      </c>
      <c r="O7298" t="s">
        <v>5245</v>
      </c>
      <c r="P7298">
        <v>13561</v>
      </c>
      <c r="Q7298" t="str">
        <f>"38.028261"</f>
        <v>38.028261</v>
      </c>
      <c r="R7298" t="str">
        <f>"23.723807"</f>
        <v>23.723807</v>
      </c>
      <c r="S7298" t="s">
        <v>26</v>
      </c>
    </row>
    <row r="7299" spans="1:19" x14ac:dyDescent="0.3">
      <c r="A7299" t="s">
        <v>3237</v>
      </c>
      <c r="B7299" t="s">
        <v>5080</v>
      </c>
      <c r="C7299" t="s">
        <v>5247</v>
      </c>
      <c r="D7299" t="s">
        <v>3251</v>
      </c>
      <c r="E7299" t="s">
        <v>5087</v>
      </c>
      <c r="F7299" t="s">
        <v>5087</v>
      </c>
      <c r="G7299" t="s">
        <v>5088</v>
      </c>
      <c r="H7299" t="s">
        <v>97</v>
      </c>
      <c r="I7299" t="s">
        <v>98</v>
      </c>
      <c r="J7299" t="str">
        <f>"0551656"</f>
        <v>0551656</v>
      </c>
      <c r="K7299">
        <v>2105777676</v>
      </c>
      <c r="L7299">
        <v>2105777676</v>
      </c>
      <c r="M7299" t="s">
        <v>5248</v>
      </c>
      <c r="N7299" t="s">
        <v>5102</v>
      </c>
      <c r="O7299" t="s">
        <v>5249</v>
      </c>
      <c r="P7299">
        <v>12135</v>
      </c>
      <c r="Q7299" t="str">
        <f>"38.019830"</f>
        <v>38.019830</v>
      </c>
      <c r="R7299" t="str">
        <f>"23.683767"</f>
        <v>23.683767</v>
      </c>
      <c r="S7299" t="s">
        <v>26</v>
      </c>
    </row>
    <row r="7300" spans="1:19" x14ac:dyDescent="0.3">
      <c r="A7300" t="s">
        <v>3237</v>
      </c>
      <c r="B7300" t="s">
        <v>5080</v>
      </c>
      <c r="C7300" t="s">
        <v>5251</v>
      </c>
      <c r="D7300" t="s">
        <v>3251</v>
      </c>
      <c r="E7300" t="s">
        <v>5087</v>
      </c>
      <c r="F7300" t="s">
        <v>5087</v>
      </c>
      <c r="G7300" t="s">
        <v>5099</v>
      </c>
      <c r="H7300" t="s">
        <v>97</v>
      </c>
      <c r="I7300" t="s">
        <v>98</v>
      </c>
      <c r="J7300" t="str">
        <f>"0551651"</f>
        <v>0551651</v>
      </c>
      <c r="K7300">
        <v>2105728082</v>
      </c>
      <c r="L7300">
        <v>2105728082</v>
      </c>
      <c r="M7300" t="s">
        <v>5252</v>
      </c>
      <c r="N7300" t="s">
        <v>5102</v>
      </c>
      <c r="O7300" t="s">
        <v>5253</v>
      </c>
      <c r="P7300">
        <v>12137</v>
      </c>
      <c r="Q7300" t="str">
        <f>"38.014997"</f>
        <v>38.014997</v>
      </c>
      <c r="R7300" t="str">
        <f>"23.672640"</f>
        <v>23.672640</v>
      </c>
      <c r="S7300" t="s">
        <v>26</v>
      </c>
    </row>
    <row r="7301" spans="1:19" x14ac:dyDescent="0.3">
      <c r="A7301" t="s">
        <v>3237</v>
      </c>
      <c r="B7301" t="s">
        <v>5080</v>
      </c>
      <c r="C7301" t="s">
        <v>5255</v>
      </c>
      <c r="D7301" t="s">
        <v>3251</v>
      </c>
      <c r="E7301" t="s">
        <v>5121</v>
      </c>
      <c r="F7301" t="s">
        <v>5085</v>
      </c>
      <c r="G7301" t="s">
        <v>5085</v>
      </c>
      <c r="H7301" t="s">
        <v>97</v>
      </c>
      <c r="I7301" t="s">
        <v>98</v>
      </c>
      <c r="J7301" t="str">
        <f>"0551601"</f>
        <v>0551601</v>
      </c>
      <c r="K7301">
        <v>2102387420</v>
      </c>
      <c r="L7301">
        <v>2102311608</v>
      </c>
      <c r="M7301" t="s">
        <v>5256</v>
      </c>
      <c r="N7301" t="s">
        <v>5244</v>
      </c>
      <c r="O7301" t="s">
        <v>5257</v>
      </c>
      <c r="P7301">
        <v>13562</v>
      </c>
      <c r="Q7301" t="str">
        <f>"38.042179"</f>
        <v>38.042179</v>
      </c>
      <c r="R7301" t="str">
        <f>"23.728189"</f>
        <v>23.728189</v>
      </c>
      <c r="S7301" t="s">
        <v>26</v>
      </c>
    </row>
    <row r="7302" spans="1:19" x14ac:dyDescent="0.3">
      <c r="A7302" t="s">
        <v>3237</v>
      </c>
      <c r="B7302" t="s">
        <v>5080</v>
      </c>
      <c r="C7302" t="s">
        <v>5259</v>
      </c>
      <c r="D7302" t="s">
        <v>3251</v>
      </c>
      <c r="E7302" t="s">
        <v>3252</v>
      </c>
      <c r="F7302" t="s">
        <v>3252</v>
      </c>
      <c r="G7302" t="s">
        <v>3252</v>
      </c>
      <c r="H7302" t="s">
        <v>97</v>
      </c>
      <c r="I7302" t="s">
        <v>98</v>
      </c>
      <c r="J7302" t="str">
        <f>"0551440"</f>
        <v>0551440</v>
      </c>
      <c r="K7302">
        <v>2105313099</v>
      </c>
      <c r="L7302">
        <v>2105989441</v>
      </c>
      <c r="M7302" t="s">
        <v>5260</v>
      </c>
      <c r="N7302" t="s">
        <v>3252</v>
      </c>
      <c r="O7302" t="s">
        <v>5261</v>
      </c>
      <c r="P7302">
        <v>12242</v>
      </c>
      <c r="Q7302" t="str">
        <f>"37.994096"</f>
        <v>37.994096</v>
      </c>
      <c r="R7302" t="str">
        <f>"23.690546"</f>
        <v>23.690546</v>
      </c>
      <c r="S7302" t="s">
        <v>26</v>
      </c>
    </row>
    <row r="7303" spans="1:19" x14ac:dyDescent="0.3">
      <c r="A7303" t="s">
        <v>3237</v>
      </c>
      <c r="B7303" t="s">
        <v>5080</v>
      </c>
      <c r="C7303" t="s">
        <v>5263</v>
      </c>
      <c r="D7303" t="s">
        <v>3251</v>
      </c>
      <c r="E7303" t="s">
        <v>5087</v>
      </c>
      <c r="F7303" t="s">
        <v>5087</v>
      </c>
      <c r="G7303" t="s">
        <v>5116</v>
      </c>
      <c r="H7303" t="s">
        <v>97</v>
      </c>
      <c r="I7303" t="s">
        <v>98</v>
      </c>
      <c r="J7303" t="str">
        <f>"0551140"</f>
        <v>0551140</v>
      </c>
      <c r="K7303">
        <v>2105737823</v>
      </c>
      <c r="L7303">
        <v>2105737823</v>
      </c>
      <c r="M7303" t="s">
        <v>5264</v>
      </c>
      <c r="N7303" t="s">
        <v>5102</v>
      </c>
      <c r="O7303" t="s">
        <v>5265</v>
      </c>
      <c r="P7303">
        <v>12132</v>
      </c>
      <c r="Q7303" t="str">
        <f>"38.003813"</f>
        <v>38.003813</v>
      </c>
      <c r="R7303" t="str">
        <f>"23.704684"</f>
        <v>23.704684</v>
      </c>
      <c r="S7303" t="s">
        <v>26</v>
      </c>
    </row>
    <row r="7304" spans="1:19" x14ac:dyDescent="0.3">
      <c r="A7304" t="s">
        <v>3237</v>
      </c>
      <c r="B7304" t="s">
        <v>5080</v>
      </c>
      <c r="C7304" t="s">
        <v>5267</v>
      </c>
      <c r="D7304" t="s">
        <v>3251</v>
      </c>
      <c r="E7304" t="s">
        <v>3252</v>
      </c>
      <c r="F7304" t="s">
        <v>3252</v>
      </c>
      <c r="G7304" t="s">
        <v>3252</v>
      </c>
      <c r="H7304" t="s">
        <v>97</v>
      </c>
      <c r="I7304" t="s">
        <v>98</v>
      </c>
      <c r="J7304" t="str">
        <f>"0551451"</f>
        <v>0551451</v>
      </c>
      <c r="K7304">
        <v>2105902859</v>
      </c>
      <c r="L7304">
        <v>2105902859</v>
      </c>
      <c r="M7304" t="s">
        <v>5268</v>
      </c>
      <c r="N7304" t="s">
        <v>3252</v>
      </c>
      <c r="O7304" t="s">
        <v>5216</v>
      </c>
      <c r="P7304">
        <v>12243</v>
      </c>
      <c r="Q7304" t="str">
        <f>"37.994581"</f>
        <v>37.994581</v>
      </c>
      <c r="R7304" t="str">
        <f>"23.673731"</f>
        <v>23.673731</v>
      </c>
      <c r="S7304" t="s">
        <v>26</v>
      </c>
    </row>
    <row r="7305" spans="1:19" x14ac:dyDescent="0.3">
      <c r="A7305" t="s">
        <v>3237</v>
      </c>
      <c r="B7305" t="s">
        <v>5080</v>
      </c>
      <c r="C7305" t="s">
        <v>5270</v>
      </c>
      <c r="D7305" t="s">
        <v>3251</v>
      </c>
      <c r="E7305" t="s">
        <v>5087</v>
      </c>
      <c r="F7305" t="s">
        <v>5087</v>
      </c>
      <c r="G7305" t="s">
        <v>5099</v>
      </c>
      <c r="H7305" t="s">
        <v>97</v>
      </c>
      <c r="I7305" t="s">
        <v>98</v>
      </c>
      <c r="J7305" t="str">
        <f>"0551721"</f>
        <v>0551721</v>
      </c>
      <c r="K7305">
        <v>2105718517</v>
      </c>
      <c r="L7305">
        <v>2105718517</v>
      </c>
      <c r="M7305" t="s">
        <v>5271</v>
      </c>
      <c r="N7305" t="s">
        <v>5087</v>
      </c>
      <c r="O7305" t="s">
        <v>5272</v>
      </c>
      <c r="P7305">
        <v>12137</v>
      </c>
      <c r="Q7305" t="str">
        <f>"38.015006"</f>
        <v>38.015006</v>
      </c>
      <c r="R7305" t="str">
        <f>"23.672876"</f>
        <v>23.672876</v>
      </c>
      <c r="S7305" t="s">
        <v>26</v>
      </c>
    </row>
    <row r="7306" spans="1:19" x14ac:dyDescent="0.3">
      <c r="A7306" t="s">
        <v>3237</v>
      </c>
      <c r="B7306" t="s">
        <v>5080</v>
      </c>
      <c r="C7306" t="s">
        <v>5273</v>
      </c>
      <c r="D7306" t="s">
        <v>3251</v>
      </c>
      <c r="E7306" t="s">
        <v>5087</v>
      </c>
      <c r="F7306" t="s">
        <v>5087</v>
      </c>
      <c r="G7306" t="s">
        <v>5099</v>
      </c>
      <c r="H7306" t="s">
        <v>97</v>
      </c>
      <c r="I7306" t="s">
        <v>98</v>
      </c>
      <c r="J7306" t="str">
        <f>"0551720"</f>
        <v>0551720</v>
      </c>
      <c r="K7306">
        <v>2105733217</v>
      </c>
      <c r="L7306">
        <v>2105785299</v>
      </c>
      <c r="M7306" t="s">
        <v>5274</v>
      </c>
      <c r="N7306" t="s">
        <v>5102</v>
      </c>
      <c r="O7306" t="s">
        <v>5275</v>
      </c>
      <c r="P7306">
        <v>12136</v>
      </c>
      <c r="Q7306" t="str">
        <f>"38.010286"</f>
        <v>38.010286</v>
      </c>
      <c r="R7306" t="str">
        <f>"23.677463"</f>
        <v>23.677463</v>
      </c>
      <c r="S7306" t="s">
        <v>26</v>
      </c>
    </row>
    <row r="7307" spans="1:19" x14ac:dyDescent="0.3">
      <c r="A7307" t="s">
        <v>3237</v>
      </c>
      <c r="B7307" t="s">
        <v>5080</v>
      </c>
      <c r="C7307" t="s">
        <v>5277</v>
      </c>
      <c r="D7307" t="s">
        <v>3251</v>
      </c>
      <c r="E7307" t="s">
        <v>5199</v>
      </c>
      <c r="F7307" t="s">
        <v>5200</v>
      </c>
      <c r="G7307" t="s">
        <v>5200</v>
      </c>
      <c r="H7307" t="s">
        <v>97</v>
      </c>
      <c r="I7307" t="s">
        <v>98</v>
      </c>
      <c r="J7307" t="str">
        <f>"0551562"</f>
        <v>0551562</v>
      </c>
      <c r="K7307">
        <v>2105816183</v>
      </c>
      <c r="L7307">
        <v>2105811512</v>
      </c>
      <c r="M7307" t="s">
        <v>5278</v>
      </c>
      <c r="N7307" t="s">
        <v>5203</v>
      </c>
      <c r="O7307" t="s">
        <v>5279</v>
      </c>
      <c r="P7307">
        <v>12461</v>
      </c>
      <c r="Q7307" t="str">
        <f>"38.013503"</f>
        <v>38.013503</v>
      </c>
      <c r="R7307" t="str">
        <f>"23.664358"</f>
        <v>23.664358</v>
      </c>
      <c r="S7307" t="s">
        <v>26</v>
      </c>
    </row>
    <row r="7308" spans="1:19" x14ac:dyDescent="0.3">
      <c r="A7308" t="s">
        <v>3237</v>
      </c>
      <c r="B7308" t="s">
        <v>5080</v>
      </c>
      <c r="C7308" t="s">
        <v>5282</v>
      </c>
      <c r="D7308" t="s">
        <v>3251</v>
      </c>
      <c r="E7308" t="s">
        <v>5087</v>
      </c>
      <c r="F7308" t="s">
        <v>5087</v>
      </c>
      <c r="G7308" t="s">
        <v>5281</v>
      </c>
      <c r="H7308" t="s">
        <v>97</v>
      </c>
      <c r="I7308" t="s">
        <v>98</v>
      </c>
      <c r="J7308" t="str">
        <f>"0590056"</f>
        <v>0590056</v>
      </c>
      <c r="K7308">
        <v>2105315424</v>
      </c>
      <c r="L7308">
        <v>2105315424</v>
      </c>
      <c r="M7308" t="s">
        <v>5283</v>
      </c>
      <c r="N7308" t="s">
        <v>5102</v>
      </c>
      <c r="O7308" t="s">
        <v>5284</v>
      </c>
      <c r="P7308">
        <v>12131</v>
      </c>
      <c r="Q7308" t="str">
        <f>"38.001647"</f>
        <v>38.001647</v>
      </c>
      <c r="R7308" t="str">
        <f>"23.686912"</f>
        <v>23.686912</v>
      </c>
      <c r="S7308" t="s">
        <v>26</v>
      </c>
    </row>
    <row r="7309" spans="1:19" x14ac:dyDescent="0.3">
      <c r="A7309" t="s">
        <v>3237</v>
      </c>
      <c r="B7309" t="s">
        <v>5080</v>
      </c>
      <c r="C7309" t="s">
        <v>5286</v>
      </c>
      <c r="D7309" t="s">
        <v>3251</v>
      </c>
      <c r="E7309" t="s">
        <v>3290</v>
      </c>
      <c r="F7309" t="s">
        <v>3290</v>
      </c>
      <c r="G7309" t="s">
        <v>3290</v>
      </c>
      <c r="H7309" t="s">
        <v>97</v>
      </c>
      <c r="I7309" t="s">
        <v>98</v>
      </c>
      <c r="J7309" t="str">
        <f>"0551657"</f>
        <v>0551657</v>
      </c>
      <c r="K7309">
        <v>2105758600</v>
      </c>
      <c r="L7309">
        <v>2105786173</v>
      </c>
      <c r="M7309" t="s">
        <v>5287</v>
      </c>
      <c r="N7309" t="s">
        <v>3293</v>
      </c>
      <c r="O7309" t="s">
        <v>5288</v>
      </c>
      <c r="P7309">
        <v>13121</v>
      </c>
      <c r="Q7309" t="str">
        <f>"38.027345"</f>
        <v>38.027345</v>
      </c>
      <c r="R7309" t="str">
        <f>"23.695185"</f>
        <v>23.695185</v>
      </c>
      <c r="S7309" t="s">
        <v>26</v>
      </c>
    </row>
    <row r="7310" spans="1:19" x14ac:dyDescent="0.3">
      <c r="A7310" t="s">
        <v>3237</v>
      </c>
      <c r="B7310" t="s">
        <v>5080</v>
      </c>
      <c r="C7310" t="s">
        <v>5290</v>
      </c>
      <c r="D7310" t="s">
        <v>3251</v>
      </c>
      <c r="E7310" t="s">
        <v>5121</v>
      </c>
      <c r="F7310" t="s">
        <v>5085</v>
      </c>
      <c r="G7310" t="s">
        <v>5085</v>
      </c>
      <c r="H7310" t="s">
        <v>97</v>
      </c>
      <c r="I7310" t="s">
        <v>195</v>
      </c>
      <c r="J7310" t="str">
        <f>"0551609"</f>
        <v>0551609</v>
      </c>
      <c r="K7310">
        <v>2102691855</v>
      </c>
      <c r="L7310">
        <v>2102693271</v>
      </c>
      <c r="M7310" t="s">
        <v>5291</v>
      </c>
      <c r="N7310" t="s">
        <v>5159</v>
      </c>
      <c r="O7310" t="s">
        <v>5292</v>
      </c>
      <c r="P7310">
        <v>13561</v>
      </c>
      <c r="Q7310" t="str">
        <f>"38.028261"</f>
        <v>38.028261</v>
      </c>
      <c r="R7310" t="str">
        <f>"23.723753"</f>
        <v>23.723753</v>
      </c>
      <c r="S7310" t="s">
        <v>26</v>
      </c>
    </row>
    <row r="7311" spans="1:19" x14ac:dyDescent="0.3">
      <c r="A7311" t="s">
        <v>3237</v>
      </c>
      <c r="B7311" t="s">
        <v>5080</v>
      </c>
      <c r="C7311" t="s">
        <v>5293</v>
      </c>
      <c r="D7311" t="s">
        <v>3251</v>
      </c>
      <c r="E7311" t="s">
        <v>5121</v>
      </c>
      <c r="F7311" t="s">
        <v>5085</v>
      </c>
      <c r="G7311" t="s">
        <v>5085</v>
      </c>
      <c r="H7311" t="s">
        <v>97</v>
      </c>
      <c r="I7311" t="s">
        <v>3640</v>
      </c>
      <c r="J7311" t="str">
        <f>"0551015"</f>
        <v>0551015</v>
      </c>
      <c r="K7311">
        <v>2102380001</v>
      </c>
      <c r="L7311">
        <v>2102388114</v>
      </c>
      <c r="M7311" t="s">
        <v>5294</v>
      </c>
      <c r="N7311" t="s">
        <v>5244</v>
      </c>
      <c r="O7311" t="s">
        <v>5295</v>
      </c>
      <c r="P7311">
        <v>13562</v>
      </c>
      <c r="Q7311" t="str">
        <f>"38.045573"</f>
        <v>38.045573</v>
      </c>
      <c r="R7311" t="str">
        <f>"23.708808"</f>
        <v>23.708808</v>
      </c>
      <c r="S7311" t="s">
        <v>26</v>
      </c>
    </row>
    <row r="7312" spans="1:19" x14ac:dyDescent="0.3">
      <c r="A7312" t="s">
        <v>3237</v>
      </c>
      <c r="B7312" t="s">
        <v>5080</v>
      </c>
      <c r="C7312" t="s">
        <v>5297</v>
      </c>
      <c r="D7312" t="s">
        <v>3251</v>
      </c>
      <c r="E7312" t="s">
        <v>5199</v>
      </c>
      <c r="F7312" t="s">
        <v>5200</v>
      </c>
      <c r="G7312" t="s">
        <v>5200</v>
      </c>
      <c r="H7312" t="s">
        <v>97</v>
      </c>
      <c r="I7312" t="s">
        <v>98</v>
      </c>
      <c r="J7312" t="str">
        <f>"0551561"</f>
        <v>0551561</v>
      </c>
      <c r="K7312">
        <v>2105912615</v>
      </c>
      <c r="L7312">
        <v>2105912615</v>
      </c>
      <c r="M7312" t="s">
        <v>5298</v>
      </c>
      <c r="N7312" t="s">
        <v>5203</v>
      </c>
      <c r="O7312" t="s">
        <v>5299</v>
      </c>
      <c r="P7312">
        <v>12461</v>
      </c>
      <c r="Q7312" t="str">
        <f>"38.010756"</f>
        <v>38.010756</v>
      </c>
      <c r="R7312" t="str">
        <f>"23.666942"</f>
        <v>23.666942</v>
      </c>
      <c r="S7312" t="s">
        <v>26</v>
      </c>
    </row>
    <row r="7313" spans="1:19" x14ac:dyDescent="0.3">
      <c r="A7313" t="s">
        <v>3237</v>
      </c>
      <c r="B7313" t="s">
        <v>5080</v>
      </c>
      <c r="C7313" t="s">
        <v>5300</v>
      </c>
      <c r="D7313" t="s">
        <v>3251</v>
      </c>
      <c r="E7313" t="s">
        <v>5199</v>
      </c>
      <c r="F7313" t="s">
        <v>5200</v>
      </c>
      <c r="G7313" t="s">
        <v>5200</v>
      </c>
      <c r="H7313" t="s">
        <v>97</v>
      </c>
      <c r="I7313" t="s">
        <v>98</v>
      </c>
      <c r="J7313" t="str">
        <f>"0551560"</f>
        <v>0551560</v>
      </c>
      <c r="K7313">
        <v>2105322760</v>
      </c>
      <c r="L7313">
        <v>2105813263</v>
      </c>
      <c r="M7313" t="s">
        <v>5301</v>
      </c>
      <c r="N7313" t="s">
        <v>5203</v>
      </c>
      <c r="O7313" t="s">
        <v>5302</v>
      </c>
      <c r="P7313">
        <v>12461</v>
      </c>
      <c r="Q7313" t="str">
        <f>"38.009603"</f>
        <v>38.009603</v>
      </c>
      <c r="R7313" t="str">
        <f>"23.659444"</f>
        <v>23.659444</v>
      </c>
      <c r="S7313" t="s">
        <v>26</v>
      </c>
    </row>
    <row r="7314" spans="1:19" x14ac:dyDescent="0.3">
      <c r="A7314" t="s">
        <v>3237</v>
      </c>
      <c r="B7314" t="s">
        <v>5080</v>
      </c>
      <c r="C7314" t="s">
        <v>5304</v>
      </c>
      <c r="D7314" t="s">
        <v>3251</v>
      </c>
      <c r="E7314" t="s">
        <v>5121</v>
      </c>
      <c r="F7314" t="s">
        <v>5127</v>
      </c>
      <c r="G7314" t="s">
        <v>5127</v>
      </c>
      <c r="H7314" t="s">
        <v>97</v>
      </c>
      <c r="I7314" t="s">
        <v>98</v>
      </c>
      <c r="J7314" t="str">
        <f>"0551603"</f>
        <v>0551603</v>
      </c>
      <c r="K7314">
        <v>2102387550</v>
      </c>
      <c r="L7314">
        <v>2102320378</v>
      </c>
      <c r="M7314" t="s">
        <v>5305</v>
      </c>
      <c r="N7314" t="s">
        <v>5306</v>
      </c>
      <c r="O7314" t="s">
        <v>5307</v>
      </c>
      <c r="P7314">
        <v>13451</v>
      </c>
      <c r="Q7314" t="str">
        <f>"38.050813"</f>
        <v>38.050813</v>
      </c>
      <c r="R7314" t="str">
        <f>"23.704266"</f>
        <v>23.704266</v>
      </c>
      <c r="S7314" t="s">
        <v>26</v>
      </c>
    </row>
    <row r="7315" spans="1:19" x14ac:dyDescent="0.3">
      <c r="A7315" t="s">
        <v>3237</v>
      </c>
      <c r="B7315" t="s">
        <v>5080</v>
      </c>
      <c r="C7315" t="s">
        <v>5337</v>
      </c>
      <c r="D7315" t="s">
        <v>3251</v>
      </c>
      <c r="E7315" t="s">
        <v>5171</v>
      </c>
      <c r="F7315" t="s">
        <v>5171</v>
      </c>
      <c r="G7315" t="s">
        <v>5171</v>
      </c>
      <c r="H7315" t="s">
        <v>97</v>
      </c>
      <c r="I7315" t="s">
        <v>98</v>
      </c>
      <c r="J7315" t="str">
        <f>"0551538"</f>
        <v>0551538</v>
      </c>
      <c r="K7315">
        <v>2105022003</v>
      </c>
      <c r="L7315">
        <v>2105023073</v>
      </c>
      <c r="M7315" t="s">
        <v>5338</v>
      </c>
      <c r="N7315" t="s">
        <v>5174</v>
      </c>
      <c r="O7315" t="s">
        <v>5339</v>
      </c>
      <c r="P7315">
        <v>13231</v>
      </c>
      <c r="Q7315" t="str">
        <f>"38.036397"</f>
        <v>38.036397</v>
      </c>
      <c r="R7315" t="str">
        <f>"23.674571"</f>
        <v>23.674571</v>
      </c>
      <c r="S7315" t="s">
        <v>26</v>
      </c>
    </row>
    <row r="7316" spans="1:19" x14ac:dyDescent="0.3">
      <c r="A7316" t="s">
        <v>3237</v>
      </c>
      <c r="B7316" t="s">
        <v>5080</v>
      </c>
      <c r="C7316" t="s">
        <v>5507</v>
      </c>
      <c r="D7316" t="s">
        <v>3251</v>
      </c>
      <c r="E7316" t="s">
        <v>5087</v>
      </c>
      <c r="F7316" t="s">
        <v>5087</v>
      </c>
      <c r="G7316" t="s">
        <v>5116</v>
      </c>
      <c r="H7316" t="s">
        <v>97</v>
      </c>
      <c r="I7316" t="s">
        <v>98</v>
      </c>
      <c r="J7316" t="str">
        <f>"0551006"</f>
        <v>0551006</v>
      </c>
      <c r="K7316">
        <v>2105746068</v>
      </c>
      <c r="L7316">
        <v>2105710378</v>
      </c>
      <c r="M7316" t="s">
        <v>5508</v>
      </c>
      <c r="N7316" t="s">
        <v>5102</v>
      </c>
      <c r="O7316" t="s">
        <v>5509</v>
      </c>
      <c r="P7316">
        <v>12132</v>
      </c>
      <c r="Q7316" t="str">
        <f>"38.012737"</f>
        <v>38.012737</v>
      </c>
      <c r="R7316" t="str">
        <f>"23.705010"</f>
        <v>23.705010</v>
      </c>
      <c r="S7316" t="s">
        <v>26</v>
      </c>
    </row>
    <row r="7317" spans="1:19" x14ac:dyDescent="0.3">
      <c r="A7317" t="s">
        <v>3237</v>
      </c>
      <c r="B7317" t="s">
        <v>5080</v>
      </c>
      <c r="C7317" t="s">
        <v>5515</v>
      </c>
      <c r="D7317" t="s">
        <v>3251</v>
      </c>
      <c r="E7317" t="s">
        <v>5199</v>
      </c>
      <c r="F7317" t="s">
        <v>5200</v>
      </c>
      <c r="G7317" t="s">
        <v>5200</v>
      </c>
      <c r="H7317" t="s">
        <v>97</v>
      </c>
      <c r="I7317" t="s">
        <v>98</v>
      </c>
      <c r="J7317" t="str">
        <f>"0551566"</f>
        <v>0551566</v>
      </c>
      <c r="K7317">
        <v>2105817718</v>
      </c>
      <c r="L7317">
        <v>2105810142</v>
      </c>
      <c r="M7317" t="s">
        <v>5516</v>
      </c>
      <c r="N7317" t="s">
        <v>5203</v>
      </c>
      <c r="O7317" t="s">
        <v>5517</v>
      </c>
      <c r="P7317">
        <v>12462</v>
      </c>
      <c r="Q7317" t="str">
        <f>"38.017198"</f>
        <v>38.017198</v>
      </c>
      <c r="R7317" t="str">
        <f>"23.648802"</f>
        <v>23.648802</v>
      </c>
      <c r="S7317" t="s">
        <v>26</v>
      </c>
    </row>
    <row r="7318" spans="1:19" x14ac:dyDescent="0.3">
      <c r="A7318" t="s">
        <v>3237</v>
      </c>
      <c r="B7318" t="s">
        <v>5080</v>
      </c>
      <c r="C7318" t="s">
        <v>5534</v>
      </c>
      <c r="D7318" t="s">
        <v>3251</v>
      </c>
      <c r="E7318" t="s">
        <v>5087</v>
      </c>
      <c r="F7318" t="s">
        <v>5087</v>
      </c>
      <c r="G7318" t="s">
        <v>5088</v>
      </c>
      <c r="H7318" t="s">
        <v>97</v>
      </c>
      <c r="I7318" t="s">
        <v>98</v>
      </c>
      <c r="J7318" t="str">
        <f>"0551722"</f>
        <v>0551722</v>
      </c>
      <c r="K7318">
        <v>2105713321</v>
      </c>
      <c r="L7318">
        <v>2105713321</v>
      </c>
      <c r="M7318" t="s">
        <v>5535</v>
      </c>
      <c r="N7318" t="s">
        <v>5087</v>
      </c>
      <c r="O7318" t="s">
        <v>5115</v>
      </c>
      <c r="P7318">
        <v>12137</v>
      </c>
      <c r="Q7318" t="str">
        <f>"38.029161"</f>
        <v>38.029161</v>
      </c>
      <c r="R7318" t="str">
        <f>"23.677169"</f>
        <v>23.677169</v>
      </c>
      <c r="S7318" t="s">
        <v>26</v>
      </c>
    </row>
    <row r="7319" spans="1:19" x14ac:dyDescent="0.3">
      <c r="A7319" t="s">
        <v>3237</v>
      </c>
      <c r="B7319" t="s">
        <v>5562</v>
      </c>
      <c r="C7319" t="s">
        <v>5571</v>
      </c>
      <c r="D7319" t="s">
        <v>3256</v>
      </c>
      <c r="E7319" t="s">
        <v>5570</v>
      </c>
      <c r="F7319" t="s">
        <v>5570</v>
      </c>
      <c r="G7319" t="s">
        <v>5570</v>
      </c>
      <c r="H7319" t="s">
        <v>97</v>
      </c>
      <c r="I7319" t="s">
        <v>98</v>
      </c>
      <c r="J7319" t="str">
        <f>"0551836"</f>
        <v>0551836</v>
      </c>
      <c r="K7319">
        <v>2109327308</v>
      </c>
      <c r="L7319">
        <v>2109326727</v>
      </c>
      <c r="M7319" t="s">
        <v>5572</v>
      </c>
      <c r="N7319" t="s">
        <v>5573</v>
      </c>
      <c r="O7319" t="s">
        <v>5574</v>
      </c>
      <c r="P7319">
        <v>17564</v>
      </c>
      <c r="Q7319" t="str">
        <f>"37.934040"</f>
        <v>37.934040</v>
      </c>
      <c r="R7319" t="str">
        <f>"23.707897"</f>
        <v>23.707897</v>
      </c>
      <c r="S7319" t="s">
        <v>26</v>
      </c>
    </row>
    <row r="7320" spans="1:19" x14ac:dyDescent="0.3">
      <c r="A7320" t="s">
        <v>3237</v>
      </c>
      <c r="B7320" t="s">
        <v>5562</v>
      </c>
      <c r="C7320" t="s">
        <v>5587</v>
      </c>
      <c r="D7320" t="s">
        <v>3256</v>
      </c>
      <c r="E7320" t="s">
        <v>5586</v>
      </c>
      <c r="F7320" t="s">
        <v>5586</v>
      </c>
      <c r="G7320" t="s">
        <v>5586</v>
      </c>
      <c r="H7320" t="s">
        <v>97</v>
      </c>
      <c r="I7320" t="s">
        <v>98</v>
      </c>
      <c r="J7320" t="str">
        <f>"0551670"</f>
        <v>0551670</v>
      </c>
      <c r="K7320">
        <v>2109333713</v>
      </c>
      <c r="L7320">
        <v>2109319959</v>
      </c>
      <c r="M7320" t="s">
        <v>5588</v>
      </c>
      <c r="N7320" t="s">
        <v>3260</v>
      </c>
      <c r="O7320" t="s">
        <v>5589</v>
      </c>
      <c r="P7320">
        <v>17124</v>
      </c>
      <c r="Q7320" t="str">
        <f>"37.947176"</f>
        <v>37.947176</v>
      </c>
      <c r="R7320" t="str">
        <f>"23.721501"</f>
        <v>23.721501</v>
      </c>
      <c r="S7320" t="s">
        <v>26</v>
      </c>
    </row>
    <row r="7321" spans="1:19" x14ac:dyDescent="0.3">
      <c r="A7321" t="s">
        <v>3237</v>
      </c>
      <c r="B7321" t="s">
        <v>5562</v>
      </c>
      <c r="C7321" t="s">
        <v>5595</v>
      </c>
      <c r="D7321" t="s">
        <v>3256</v>
      </c>
      <c r="E7321" t="s">
        <v>3295</v>
      </c>
      <c r="F7321" t="s">
        <v>3295</v>
      </c>
      <c r="G7321" t="s">
        <v>3295</v>
      </c>
      <c r="H7321" t="s">
        <v>97</v>
      </c>
      <c r="I7321" t="s">
        <v>98</v>
      </c>
      <c r="J7321" t="str">
        <f>"0551832"</f>
        <v>0551832</v>
      </c>
      <c r="K7321">
        <v>2109851008</v>
      </c>
      <c r="L7321">
        <v>2109851008</v>
      </c>
      <c r="M7321" t="s">
        <v>5596</v>
      </c>
      <c r="N7321" t="s">
        <v>5597</v>
      </c>
      <c r="O7321" t="s">
        <v>5598</v>
      </c>
      <c r="P7321">
        <v>17342</v>
      </c>
      <c r="Q7321" t="str">
        <f>"37.923295"</f>
        <v>37.923295</v>
      </c>
      <c r="R7321" t="str">
        <f>"23.727774"</f>
        <v>23.727774</v>
      </c>
      <c r="S7321" t="s">
        <v>26</v>
      </c>
    </row>
    <row r="7322" spans="1:19" x14ac:dyDescent="0.3">
      <c r="A7322" t="s">
        <v>3237</v>
      </c>
      <c r="B7322" t="s">
        <v>5562</v>
      </c>
      <c r="C7322" t="s">
        <v>5602</v>
      </c>
      <c r="D7322" t="s">
        <v>3256</v>
      </c>
      <c r="E7322" t="s">
        <v>5599</v>
      </c>
      <c r="F7322" t="s">
        <v>5600</v>
      </c>
      <c r="G7322" t="s">
        <v>5601</v>
      </c>
      <c r="H7322" t="s">
        <v>97</v>
      </c>
      <c r="I7322" t="s">
        <v>98</v>
      </c>
      <c r="J7322" t="str">
        <f>"0551903"</f>
        <v>0551903</v>
      </c>
      <c r="K7322">
        <v>2109936577</v>
      </c>
      <c r="L7322">
        <v>2109942055</v>
      </c>
      <c r="M7322" t="s">
        <v>5603</v>
      </c>
      <c r="N7322" t="s">
        <v>1038</v>
      </c>
      <c r="O7322" t="s">
        <v>5604</v>
      </c>
      <c r="P7322">
        <v>16452</v>
      </c>
      <c r="Q7322" t="str">
        <f>"37.914216"</f>
        <v>37.914216</v>
      </c>
      <c r="R7322" t="str">
        <f>"23.744982"</f>
        <v>23.744982</v>
      </c>
      <c r="S7322" t="s">
        <v>26</v>
      </c>
    </row>
    <row r="7323" spans="1:19" x14ac:dyDescent="0.3">
      <c r="A7323" t="s">
        <v>3237</v>
      </c>
      <c r="B7323" t="s">
        <v>5562</v>
      </c>
      <c r="C7323" t="s">
        <v>5612</v>
      </c>
      <c r="D7323" t="s">
        <v>3256</v>
      </c>
      <c r="E7323" t="s">
        <v>5563</v>
      </c>
      <c r="F7323" t="s">
        <v>5563</v>
      </c>
      <c r="G7323" t="s">
        <v>5611</v>
      </c>
      <c r="H7323" t="s">
        <v>97</v>
      </c>
      <c r="I7323" t="s">
        <v>98</v>
      </c>
      <c r="J7323" t="str">
        <f>"0551800"</f>
        <v>0551800</v>
      </c>
      <c r="K7323">
        <v>2109589888</v>
      </c>
      <c r="L7323">
        <v>2109513737</v>
      </c>
      <c r="M7323" t="s">
        <v>5613</v>
      </c>
      <c r="N7323" t="s">
        <v>5567</v>
      </c>
      <c r="O7323" t="s">
        <v>5614</v>
      </c>
      <c r="P7323">
        <v>17676</v>
      </c>
      <c r="Q7323" t="str">
        <f>"37.960497"</f>
        <v>37.960497</v>
      </c>
      <c r="R7323" t="str">
        <f>"23.698773"</f>
        <v>23.698773</v>
      </c>
      <c r="S7323" t="s">
        <v>26</v>
      </c>
    </row>
    <row r="7324" spans="1:19" x14ac:dyDescent="0.3">
      <c r="A7324" t="s">
        <v>3237</v>
      </c>
      <c r="B7324" t="s">
        <v>5562</v>
      </c>
      <c r="C7324" t="s">
        <v>5616</v>
      </c>
      <c r="D7324" t="s">
        <v>3256</v>
      </c>
      <c r="E7324" t="s">
        <v>5586</v>
      </c>
      <c r="F7324" t="s">
        <v>5586</v>
      </c>
      <c r="G7324" t="s">
        <v>5586</v>
      </c>
      <c r="H7324" t="s">
        <v>97</v>
      </c>
      <c r="I7324" t="s">
        <v>3640</v>
      </c>
      <c r="J7324" t="str">
        <f>"0551004"</f>
        <v>0551004</v>
      </c>
      <c r="K7324">
        <v>2109333712</v>
      </c>
      <c r="L7324">
        <v>2109370180</v>
      </c>
      <c r="M7324" t="s">
        <v>5617</v>
      </c>
      <c r="N7324" t="s">
        <v>3260</v>
      </c>
      <c r="O7324" t="s">
        <v>5618</v>
      </c>
      <c r="P7324">
        <v>17123</v>
      </c>
      <c r="Q7324" t="str">
        <f>"37.931319"</f>
        <v>37.931319</v>
      </c>
      <c r="R7324" t="str">
        <f>"23.712920"</f>
        <v>23.712920</v>
      </c>
      <c r="S7324" t="s">
        <v>26</v>
      </c>
    </row>
    <row r="7325" spans="1:19" x14ac:dyDescent="0.3">
      <c r="A7325" t="s">
        <v>3237</v>
      </c>
      <c r="B7325" t="s">
        <v>5562</v>
      </c>
      <c r="C7325" t="s">
        <v>5620</v>
      </c>
      <c r="D7325" t="s">
        <v>3256</v>
      </c>
      <c r="E7325" t="s">
        <v>4017</v>
      </c>
      <c r="F7325" t="s">
        <v>4017</v>
      </c>
      <c r="G7325" t="s">
        <v>4017</v>
      </c>
      <c r="H7325" t="s">
        <v>97</v>
      </c>
      <c r="I7325" t="s">
        <v>98</v>
      </c>
      <c r="J7325" t="str">
        <f>"0551841"</f>
        <v>0551841</v>
      </c>
      <c r="K7325">
        <v>2108940847</v>
      </c>
      <c r="L7325">
        <v>2109681261</v>
      </c>
      <c r="M7325" t="s">
        <v>5621</v>
      </c>
      <c r="N7325" t="s">
        <v>5578</v>
      </c>
      <c r="O7325" t="s">
        <v>5622</v>
      </c>
      <c r="P7325">
        <v>16674</v>
      </c>
      <c r="Q7325" t="str">
        <f>"37.860851"</f>
        <v>37.860851</v>
      </c>
      <c r="R7325" t="str">
        <f>"23.763505"</f>
        <v>23.763505</v>
      </c>
      <c r="S7325" t="s">
        <v>26</v>
      </c>
    </row>
    <row r="7326" spans="1:19" x14ac:dyDescent="0.3">
      <c r="A7326" t="s">
        <v>3237</v>
      </c>
      <c r="B7326" t="s">
        <v>5562</v>
      </c>
      <c r="C7326" t="s">
        <v>5624</v>
      </c>
      <c r="D7326" t="s">
        <v>3256</v>
      </c>
      <c r="E7326" t="s">
        <v>4017</v>
      </c>
      <c r="F7326" t="s">
        <v>4017</v>
      </c>
      <c r="G7326" t="s">
        <v>4017</v>
      </c>
      <c r="H7326" t="s">
        <v>97</v>
      </c>
      <c r="I7326" t="s">
        <v>98</v>
      </c>
      <c r="J7326" t="str">
        <f>"0551840"</f>
        <v>0551840</v>
      </c>
      <c r="K7326">
        <v>2109632132</v>
      </c>
      <c r="L7326">
        <v>2109633838</v>
      </c>
      <c r="M7326" t="s">
        <v>5625</v>
      </c>
      <c r="N7326" t="s">
        <v>5578</v>
      </c>
      <c r="O7326" t="s">
        <v>5626</v>
      </c>
      <c r="P7326">
        <v>16675</v>
      </c>
      <c r="Q7326" t="str">
        <f>"37.870074"</f>
        <v>37.870074</v>
      </c>
      <c r="R7326" t="str">
        <f>"23.751184"</f>
        <v>23.751184</v>
      </c>
      <c r="S7326" t="s">
        <v>26</v>
      </c>
    </row>
    <row r="7327" spans="1:19" x14ac:dyDescent="0.3">
      <c r="A7327" t="s">
        <v>3237</v>
      </c>
      <c r="B7327" t="s">
        <v>5562</v>
      </c>
      <c r="C7327" t="s">
        <v>5628</v>
      </c>
      <c r="D7327" t="s">
        <v>3256</v>
      </c>
      <c r="E7327" t="s">
        <v>3257</v>
      </c>
      <c r="F7327" t="s">
        <v>3257</v>
      </c>
      <c r="G7327" t="s">
        <v>3257</v>
      </c>
      <c r="H7327" t="s">
        <v>97</v>
      </c>
      <c r="I7327" t="s">
        <v>98</v>
      </c>
      <c r="J7327" t="str">
        <f>"0551891"</f>
        <v>0551891</v>
      </c>
      <c r="K7327">
        <v>2109851018</v>
      </c>
      <c r="L7327">
        <v>2109851797</v>
      </c>
      <c r="M7327" t="s">
        <v>5629</v>
      </c>
      <c r="N7327" t="s">
        <v>5630</v>
      </c>
      <c r="O7327" t="s">
        <v>5631</v>
      </c>
      <c r="P7327">
        <v>17455</v>
      </c>
      <c r="Q7327" t="str">
        <f>"37.914695"</f>
        <v>37.914695</v>
      </c>
      <c r="R7327" t="str">
        <f>"23.720197"</f>
        <v>23.720197</v>
      </c>
      <c r="S7327" t="s">
        <v>26</v>
      </c>
    </row>
    <row r="7328" spans="1:19" x14ac:dyDescent="0.3">
      <c r="A7328" t="s">
        <v>3237</v>
      </c>
      <c r="B7328" t="s">
        <v>5562</v>
      </c>
      <c r="C7328" t="s">
        <v>5634</v>
      </c>
      <c r="D7328" t="s">
        <v>3256</v>
      </c>
      <c r="E7328" t="s">
        <v>5563</v>
      </c>
      <c r="F7328" t="s">
        <v>5563</v>
      </c>
      <c r="G7328" t="s">
        <v>5633</v>
      </c>
      <c r="H7328" t="s">
        <v>97</v>
      </c>
      <c r="I7328" t="s">
        <v>195</v>
      </c>
      <c r="J7328" t="str">
        <f>"0551810"</f>
        <v>0551810</v>
      </c>
      <c r="K7328">
        <v>2109219527</v>
      </c>
      <c r="L7328">
        <v>2109211653</v>
      </c>
      <c r="M7328" t="s">
        <v>5635</v>
      </c>
      <c r="N7328" t="s">
        <v>5567</v>
      </c>
      <c r="O7328" t="s">
        <v>5636</v>
      </c>
      <c r="P7328">
        <v>17671</v>
      </c>
      <c r="Q7328" t="str">
        <f>"37.961587"</f>
        <v>37.961587</v>
      </c>
      <c r="R7328" t="str">
        <f>"23.717634"</f>
        <v>23.717634</v>
      </c>
      <c r="S7328" t="s">
        <v>26</v>
      </c>
    </row>
    <row r="7329" spans="1:19" x14ac:dyDescent="0.3">
      <c r="A7329" t="s">
        <v>3237</v>
      </c>
      <c r="B7329" t="s">
        <v>5562</v>
      </c>
      <c r="C7329" t="s">
        <v>5638</v>
      </c>
      <c r="D7329" t="s">
        <v>3256</v>
      </c>
      <c r="E7329" t="s">
        <v>5563</v>
      </c>
      <c r="F7329" t="s">
        <v>5563</v>
      </c>
      <c r="G7329" t="s">
        <v>5564</v>
      </c>
      <c r="H7329" t="s">
        <v>97</v>
      </c>
      <c r="I7329" t="s">
        <v>98</v>
      </c>
      <c r="J7329" t="str">
        <f>"0551805"</f>
        <v>0551805</v>
      </c>
      <c r="K7329">
        <v>2109414418</v>
      </c>
      <c r="L7329">
        <v>2109414181</v>
      </c>
      <c r="M7329" t="s">
        <v>5639</v>
      </c>
      <c r="N7329" t="s">
        <v>5567</v>
      </c>
      <c r="O7329" t="s">
        <v>5640</v>
      </c>
      <c r="P7329">
        <v>17674</v>
      </c>
      <c r="Q7329" t="str">
        <f>"37.943191"</f>
        <v>37.943191</v>
      </c>
      <c r="R7329" t="str">
        <f>"23.695619"</f>
        <v>23.695619</v>
      </c>
      <c r="S7329" t="s">
        <v>26</v>
      </c>
    </row>
    <row r="7330" spans="1:19" x14ac:dyDescent="0.3">
      <c r="A7330" t="s">
        <v>3237</v>
      </c>
      <c r="B7330" t="s">
        <v>5562</v>
      </c>
      <c r="C7330" t="s">
        <v>5646</v>
      </c>
      <c r="D7330" t="s">
        <v>3256</v>
      </c>
      <c r="E7330" t="s">
        <v>5586</v>
      </c>
      <c r="F7330" t="s">
        <v>5586</v>
      </c>
      <c r="G7330" t="s">
        <v>5586</v>
      </c>
      <c r="H7330" t="s">
        <v>97</v>
      </c>
      <c r="I7330" t="s">
        <v>98</v>
      </c>
      <c r="J7330" t="str">
        <f>"0551671"</f>
        <v>0551671</v>
      </c>
      <c r="K7330">
        <v>2109343200</v>
      </c>
      <c r="L7330">
        <v>2109343200</v>
      </c>
      <c r="M7330" t="s">
        <v>5647</v>
      </c>
      <c r="N7330" t="s">
        <v>3260</v>
      </c>
      <c r="O7330" t="s">
        <v>5590</v>
      </c>
      <c r="P7330">
        <v>17124</v>
      </c>
      <c r="Q7330" t="str">
        <f>"37.947718"</f>
        <v>37.947718</v>
      </c>
      <c r="R7330" t="str">
        <f>"23.721480"</f>
        <v>23.721480</v>
      </c>
      <c r="S7330" t="s">
        <v>26</v>
      </c>
    </row>
    <row r="7331" spans="1:19" x14ac:dyDescent="0.3">
      <c r="A7331" t="s">
        <v>3237</v>
      </c>
      <c r="B7331" t="s">
        <v>5562</v>
      </c>
      <c r="C7331" t="s">
        <v>5648</v>
      </c>
      <c r="D7331" t="s">
        <v>3256</v>
      </c>
      <c r="E7331" t="s">
        <v>4017</v>
      </c>
      <c r="F7331" t="s">
        <v>4017</v>
      </c>
      <c r="G7331" t="s">
        <v>4017</v>
      </c>
      <c r="H7331" t="s">
        <v>97</v>
      </c>
      <c r="I7331" t="s">
        <v>98</v>
      </c>
      <c r="J7331" t="str">
        <f>"0551900"</f>
        <v>0551900</v>
      </c>
      <c r="K7331">
        <v>2109618859</v>
      </c>
      <c r="L7331">
        <v>2109618859</v>
      </c>
      <c r="M7331" t="s">
        <v>5649</v>
      </c>
      <c r="N7331" t="s">
        <v>1038</v>
      </c>
      <c r="O7331" t="s">
        <v>5650</v>
      </c>
      <c r="P7331">
        <v>16452</v>
      </c>
      <c r="Q7331" t="str">
        <f>"37.896847"</f>
        <v>37.896847</v>
      </c>
      <c r="R7331" t="str">
        <f>"23.758824"</f>
        <v>23.758824</v>
      </c>
      <c r="S7331" t="s">
        <v>26</v>
      </c>
    </row>
    <row r="7332" spans="1:19" x14ac:dyDescent="0.3">
      <c r="A7332" t="s">
        <v>3237</v>
      </c>
      <c r="B7332" t="s">
        <v>5562</v>
      </c>
      <c r="C7332" t="s">
        <v>5652</v>
      </c>
      <c r="D7332" t="s">
        <v>3256</v>
      </c>
      <c r="E7332" t="s">
        <v>3295</v>
      </c>
      <c r="F7332" t="s">
        <v>3295</v>
      </c>
      <c r="G7332" t="s">
        <v>3295</v>
      </c>
      <c r="H7332" t="s">
        <v>97</v>
      </c>
      <c r="I7332" t="s">
        <v>98</v>
      </c>
      <c r="J7332" t="str">
        <f>"0551830"</f>
        <v>0551830</v>
      </c>
      <c r="K7332">
        <v>2109769884</v>
      </c>
      <c r="L7332">
        <v>2109769885</v>
      </c>
      <c r="M7332" t="s">
        <v>5653</v>
      </c>
      <c r="N7332" t="s">
        <v>3472</v>
      </c>
      <c r="O7332" t="s">
        <v>5654</v>
      </c>
      <c r="P7332">
        <v>17343</v>
      </c>
      <c r="Q7332" t="str">
        <f>"37.942188"</f>
        <v>37.942188</v>
      </c>
      <c r="R7332" t="str">
        <f>"23.737655"</f>
        <v>23.737655</v>
      </c>
      <c r="S7332" t="s">
        <v>26</v>
      </c>
    </row>
    <row r="7333" spans="1:19" x14ac:dyDescent="0.3">
      <c r="A7333" t="s">
        <v>3237</v>
      </c>
      <c r="B7333" t="s">
        <v>5562</v>
      </c>
      <c r="C7333" t="s">
        <v>5663</v>
      </c>
      <c r="D7333" t="s">
        <v>3256</v>
      </c>
      <c r="E7333" t="s">
        <v>3257</v>
      </c>
      <c r="F7333" t="s">
        <v>3257</v>
      </c>
      <c r="G7333" t="s">
        <v>3257</v>
      </c>
      <c r="H7333" t="s">
        <v>97</v>
      </c>
      <c r="I7333" t="s">
        <v>98</v>
      </c>
      <c r="J7333" t="str">
        <f>"0551890"</f>
        <v>0551890</v>
      </c>
      <c r="K7333">
        <v>2109814833</v>
      </c>
      <c r="L7333">
        <v>2109828594</v>
      </c>
      <c r="M7333" t="s">
        <v>5664</v>
      </c>
      <c r="N7333" t="s">
        <v>5630</v>
      </c>
      <c r="O7333" t="s">
        <v>5665</v>
      </c>
      <c r="P7333">
        <v>17455</v>
      </c>
      <c r="Q7333" t="str">
        <f>"37.913963"</f>
        <v>37.913963</v>
      </c>
      <c r="R7333" t="str">
        <f>"23.719686"</f>
        <v>23.719686</v>
      </c>
      <c r="S7333" t="s">
        <v>26</v>
      </c>
    </row>
    <row r="7334" spans="1:19" x14ac:dyDescent="0.3">
      <c r="A7334" t="s">
        <v>3237</v>
      </c>
      <c r="B7334" t="s">
        <v>5562</v>
      </c>
      <c r="C7334" t="s">
        <v>5667</v>
      </c>
      <c r="D7334" t="s">
        <v>3256</v>
      </c>
      <c r="E7334" t="s">
        <v>4017</v>
      </c>
      <c r="F7334" t="s">
        <v>4017</v>
      </c>
      <c r="G7334" t="s">
        <v>4017</v>
      </c>
      <c r="H7334" t="s">
        <v>97</v>
      </c>
      <c r="I7334" t="s">
        <v>98</v>
      </c>
      <c r="J7334" t="str">
        <f>"0551901"</f>
        <v>0551901</v>
      </c>
      <c r="K7334">
        <v>2109611760</v>
      </c>
      <c r="L7334">
        <v>2109643639</v>
      </c>
      <c r="M7334" t="s">
        <v>5668</v>
      </c>
      <c r="N7334" t="s">
        <v>5578</v>
      </c>
      <c r="O7334" t="s">
        <v>5669</v>
      </c>
      <c r="P7334">
        <v>16561</v>
      </c>
      <c r="Q7334" t="str">
        <f>"37.884026"</f>
        <v>37.884026</v>
      </c>
      <c r="R7334" t="str">
        <f>"23.770087"</f>
        <v>23.770087</v>
      </c>
      <c r="S7334" t="s">
        <v>26</v>
      </c>
    </row>
    <row r="7335" spans="1:19" x14ac:dyDescent="0.3">
      <c r="A7335" t="s">
        <v>3237</v>
      </c>
      <c r="B7335" t="s">
        <v>5562</v>
      </c>
      <c r="C7335" t="s">
        <v>5671</v>
      </c>
      <c r="D7335" t="s">
        <v>3256</v>
      </c>
      <c r="E7335" t="s">
        <v>3257</v>
      </c>
      <c r="F7335" t="s">
        <v>3257</v>
      </c>
      <c r="G7335" t="s">
        <v>3257</v>
      </c>
      <c r="H7335" t="s">
        <v>97</v>
      </c>
      <c r="I7335" t="s">
        <v>98</v>
      </c>
      <c r="J7335" t="str">
        <f>"0551877"</f>
        <v>0551877</v>
      </c>
      <c r="K7335">
        <v>2109940750</v>
      </c>
      <c r="L7335">
        <v>2109959368</v>
      </c>
      <c r="M7335" t="s">
        <v>5672</v>
      </c>
      <c r="N7335" t="s">
        <v>5673</v>
      </c>
      <c r="O7335" t="s">
        <v>5674</v>
      </c>
      <c r="P7335">
        <v>17456</v>
      </c>
      <c r="Q7335" t="str">
        <f>"37.926585"</f>
        <v>37.926585</v>
      </c>
      <c r="R7335" t="str">
        <f>"23.741597"</f>
        <v>23.741597</v>
      </c>
      <c r="S7335" t="s">
        <v>26</v>
      </c>
    </row>
    <row r="7336" spans="1:19" x14ac:dyDescent="0.3">
      <c r="A7336" t="s">
        <v>3237</v>
      </c>
      <c r="B7336" t="s">
        <v>5562</v>
      </c>
      <c r="C7336" t="s">
        <v>5676</v>
      </c>
      <c r="D7336" t="s">
        <v>3256</v>
      </c>
      <c r="E7336" t="s">
        <v>5656</v>
      </c>
      <c r="F7336" t="s">
        <v>5657</v>
      </c>
      <c r="G7336" t="s">
        <v>5657</v>
      </c>
      <c r="H7336" t="s">
        <v>97</v>
      </c>
      <c r="I7336" t="s">
        <v>98</v>
      </c>
      <c r="J7336" t="str">
        <f>"0551860"</f>
        <v>0551860</v>
      </c>
      <c r="K7336">
        <v>2103466184</v>
      </c>
      <c r="L7336">
        <v>2103462627</v>
      </c>
      <c r="M7336" t="s">
        <v>5677</v>
      </c>
      <c r="N7336" t="s">
        <v>5660</v>
      </c>
      <c r="O7336" t="s">
        <v>5678</v>
      </c>
      <c r="P7336">
        <v>17778</v>
      </c>
      <c r="Q7336" t="str">
        <f>"37.965404"</f>
        <v>37.965404</v>
      </c>
      <c r="R7336" t="str">
        <f>"23.701891"</f>
        <v>23.701891</v>
      </c>
      <c r="S7336" t="s">
        <v>26</v>
      </c>
    </row>
    <row r="7337" spans="1:19" x14ac:dyDescent="0.3">
      <c r="A7337" t="s">
        <v>3237</v>
      </c>
      <c r="B7337" t="s">
        <v>5562</v>
      </c>
      <c r="C7337" t="s">
        <v>5681</v>
      </c>
      <c r="D7337" t="s">
        <v>3256</v>
      </c>
      <c r="E7337" t="s">
        <v>5656</v>
      </c>
      <c r="F7337" t="s">
        <v>5680</v>
      </c>
      <c r="G7337" t="s">
        <v>5680</v>
      </c>
      <c r="H7337" t="s">
        <v>97</v>
      </c>
      <c r="I7337" t="s">
        <v>98</v>
      </c>
      <c r="J7337" t="str">
        <f>"0551981"</f>
        <v>0551981</v>
      </c>
      <c r="K7337">
        <v>2109428055</v>
      </c>
      <c r="L7337">
        <v>2109414902</v>
      </c>
      <c r="M7337" t="s">
        <v>5682</v>
      </c>
      <c r="N7337" t="s">
        <v>5683</v>
      </c>
      <c r="O7337" t="s">
        <v>5684</v>
      </c>
      <c r="P7337">
        <v>18345</v>
      </c>
      <c r="Q7337" t="str">
        <f>"37.953429"</f>
        <v>37.953429</v>
      </c>
      <c r="R7337" t="str">
        <f>"23.688195"</f>
        <v>23.688195</v>
      </c>
      <c r="S7337" t="s">
        <v>26</v>
      </c>
    </row>
    <row r="7338" spans="1:19" x14ac:dyDescent="0.3">
      <c r="A7338" t="s">
        <v>3237</v>
      </c>
      <c r="B7338" t="s">
        <v>5562</v>
      </c>
      <c r="C7338" t="s">
        <v>5686</v>
      </c>
      <c r="D7338" t="s">
        <v>3256</v>
      </c>
      <c r="E7338" t="s">
        <v>5656</v>
      </c>
      <c r="F7338" t="s">
        <v>5680</v>
      </c>
      <c r="G7338" t="s">
        <v>5680</v>
      </c>
      <c r="H7338" t="s">
        <v>97</v>
      </c>
      <c r="I7338" t="s">
        <v>98</v>
      </c>
      <c r="J7338" t="str">
        <f>"0551980"</f>
        <v>0551980</v>
      </c>
      <c r="K7338">
        <v>2104825538</v>
      </c>
      <c r="L7338">
        <v>2104825538</v>
      </c>
      <c r="M7338" t="s">
        <v>5687</v>
      </c>
      <c r="N7338" t="s">
        <v>5683</v>
      </c>
      <c r="O7338" t="s">
        <v>5688</v>
      </c>
      <c r="P7338">
        <v>18344</v>
      </c>
      <c r="Q7338" t="str">
        <f>"37.944987"</f>
        <v>37.944987</v>
      </c>
      <c r="R7338" t="str">
        <f>"23.674482"</f>
        <v>23.674482</v>
      </c>
      <c r="S7338" t="s">
        <v>26</v>
      </c>
    </row>
    <row r="7339" spans="1:19" x14ac:dyDescent="0.3">
      <c r="A7339" t="s">
        <v>3237</v>
      </c>
      <c r="B7339" t="s">
        <v>5562</v>
      </c>
      <c r="C7339" t="s">
        <v>5690</v>
      </c>
      <c r="D7339" t="s">
        <v>3256</v>
      </c>
      <c r="E7339" t="s">
        <v>4017</v>
      </c>
      <c r="F7339" t="s">
        <v>4017</v>
      </c>
      <c r="G7339" t="s">
        <v>4017</v>
      </c>
      <c r="H7339" t="s">
        <v>97</v>
      </c>
      <c r="I7339" t="s">
        <v>98</v>
      </c>
      <c r="J7339" t="str">
        <f>"0551896"</f>
        <v>0551896</v>
      </c>
      <c r="K7339">
        <v>2109646042</v>
      </c>
      <c r="L7339">
        <v>2109602704</v>
      </c>
      <c r="M7339" t="s">
        <v>5691</v>
      </c>
      <c r="N7339" t="s">
        <v>4017</v>
      </c>
      <c r="O7339" t="s">
        <v>5692</v>
      </c>
      <c r="P7339">
        <v>16561</v>
      </c>
      <c r="Q7339" t="str">
        <f>"37.890400"</f>
        <v>37.890400</v>
      </c>
      <c r="R7339" t="str">
        <f>"23.766004"</f>
        <v>23.766004</v>
      </c>
      <c r="S7339" t="s">
        <v>26</v>
      </c>
    </row>
    <row r="7340" spans="1:19" x14ac:dyDescent="0.3">
      <c r="A7340" t="s">
        <v>3237</v>
      </c>
      <c r="B7340" t="s">
        <v>5562</v>
      </c>
      <c r="C7340" t="s">
        <v>5694</v>
      </c>
      <c r="D7340" t="s">
        <v>3256</v>
      </c>
      <c r="E7340" t="s">
        <v>5586</v>
      </c>
      <c r="F7340" t="s">
        <v>5586</v>
      </c>
      <c r="G7340" t="s">
        <v>5586</v>
      </c>
      <c r="H7340" t="s">
        <v>97</v>
      </c>
      <c r="I7340" t="s">
        <v>98</v>
      </c>
      <c r="J7340" t="str">
        <f>"0551672"</f>
        <v>0551672</v>
      </c>
      <c r="K7340">
        <v>2109355110</v>
      </c>
      <c r="L7340">
        <v>2109355110</v>
      </c>
      <c r="M7340" t="s">
        <v>5695</v>
      </c>
      <c r="N7340" t="s">
        <v>3260</v>
      </c>
      <c r="O7340" t="s">
        <v>5696</v>
      </c>
      <c r="P7340">
        <v>17123</v>
      </c>
      <c r="Q7340" t="str">
        <f>"37.936745"</f>
        <v>37.936745</v>
      </c>
      <c r="R7340" t="str">
        <f>"23.708904"</f>
        <v>23.708904</v>
      </c>
      <c r="S7340" t="s">
        <v>26</v>
      </c>
    </row>
    <row r="7341" spans="1:19" x14ac:dyDescent="0.3">
      <c r="A7341" t="s">
        <v>3237</v>
      </c>
      <c r="B7341" t="s">
        <v>5562</v>
      </c>
      <c r="C7341" t="s">
        <v>5698</v>
      </c>
      <c r="D7341" t="s">
        <v>3256</v>
      </c>
      <c r="E7341" t="s">
        <v>5599</v>
      </c>
      <c r="F7341" t="s">
        <v>5600</v>
      </c>
      <c r="G7341" t="s">
        <v>5601</v>
      </c>
      <c r="H7341" t="s">
        <v>97</v>
      </c>
      <c r="I7341" t="s">
        <v>98</v>
      </c>
      <c r="J7341" t="str">
        <f>"0590280"</f>
        <v>0590280</v>
      </c>
      <c r="K7341">
        <v>2109618972</v>
      </c>
      <c r="L7341">
        <v>2109624377</v>
      </c>
      <c r="M7341" t="s">
        <v>5699</v>
      </c>
      <c r="N7341" t="s">
        <v>1038</v>
      </c>
      <c r="O7341" t="s">
        <v>5700</v>
      </c>
      <c r="P7341">
        <v>16452</v>
      </c>
      <c r="Q7341" t="str">
        <f>"37.899989"</f>
        <v>37.899989</v>
      </c>
      <c r="R7341" t="str">
        <f>"23.755984"</f>
        <v>23.755984</v>
      </c>
      <c r="S7341" t="s">
        <v>26</v>
      </c>
    </row>
    <row r="7342" spans="1:19" x14ac:dyDescent="0.3">
      <c r="A7342" t="s">
        <v>3237</v>
      </c>
      <c r="B7342" t="s">
        <v>5562</v>
      </c>
      <c r="C7342" t="s">
        <v>5702</v>
      </c>
      <c r="D7342" t="s">
        <v>3256</v>
      </c>
      <c r="E7342" t="s">
        <v>3295</v>
      </c>
      <c r="F7342" t="s">
        <v>3295</v>
      </c>
      <c r="G7342" t="s">
        <v>3295</v>
      </c>
      <c r="H7342" t="s">
        <v>97</v>
      </c>
      <c r="I7342" t="s">
        <v>98</v>
      </c>
      <c r="J7342" t="str">
        <f>"0551831"</f>
        <v>0551831</v>
      </c>
      <c r="K7342">
        <v>2109318310</v>
      </c>
      <c r="L7342">
        <v>2109319671</v>
      </c>
      <c r="M7342" t="s">
        <v>5703</v>
      </c>
      <c r="N7342" t="s">
        <v>5704</v>
      </c>
      <c r="O7342" t="s">
        <v>5705</v>
      </c>
      <c r="P7342">
        <v>17341</v>
      </c>
      <c r="Q7342" t="str">
        <f>"37.933329"</f>
        <v>37.933329</v>
      </c>
      <c r="R7342" t="str">
        <f>"23.728165"</f>
        <v>23.728165</v>
      </c>
      <c r="S7342" t="s">
        <v>26</v>
      </c>
    </row>
    <row r="7343" spans="1:19" x14ac:dyDescent="0.3">
      <c r="A7343" t="s">
        <v>3237</v>
      </c>
      <c r="B7343" t="s">
        <v>5562</v>
      </c>
      <c r="C7343" t="s">
        <v>5707</v>
      </c>
      <c r="D7343" t="s">
        <v>3256</v>
      </c>
      <c r="E7343" t="s">
        <v>5570</v>
      </c>
      <c r="F7343" t="s">
        <v>5570</v>
      </c>
      <c r="G7343" t="s">
        <v>5570</v>
      </c>
      <c r="H7343" t="s">
        <v>97</v>
      </c>
      <c r="I7343" t="s">
        <v>98</v>
      </c>
      <c r="J7343" t="str">
        <f>"0551852"</f>
        <v>0551852</v>
      </c>
      <c r="K7343">
        <v>2109430178</v>
      </c>
      <c r="L7343">
        <v>2109407787</v>
      </c>
      <c r="M7343" t="s">
        <v>5708</v>
      </c>
      <c r="N7343" t="s">
        <v>5573</v>
      </c>
      <c r="O7343" t="s">
        <v>5709</v>
      </c>
      <c r="P7343">
        <v>17564</v>
      </c>
      <c r="Q7343" t="str">
        <f>"37.935516"</f>
        <v>37.935516</v>
      </c>
      <c r="R7343" t="str">
        <f>"23.696531"</f>
        <v>23.696531</v>
      </c>
      <c r="S7343" t="s">
        <v>26</v>
      </c>
    </row>
    <row r="7344" spans="1:19" x14ac:dyDescent="0.3">
      <c r="A7344" t="s">
        <v>3237</v>
      </c>
      <c r="B7344" t="s">
        <v>5562</v>
      </c>
      <c r="C7344" t="s">
        <v>5711</v>
      </c>
      <c r="D7344" t="s">
        <v>3256</v>
      </c>
      <c r="E7344" t="s">
        <v>5563</v>
      </c>
      <c r="F7344" t="s">
        <v>5563</v>
      </c>
      <c r="G7344" t="s">
        <v>5611</v>
      </c>
      <c r="H7344" t="s">
        <v>97</v>
      </c>
      <c r="I7344" t="s">
        <v>98</v>
      </c>
      <c r="J7344" t="str">
        <f>"0551802"</f>
        <v>0551802</v>
      </c>
      <c r="K7344">
        <v>2109510587</v>
      </c>
      <c r="L7344">
        <v>2109510809</v>
      </c>
      <c r="M7344" t="s">
        <v>5712</v>
      </c>
      <c r="N7344" t="s">
        <v>5567</v>
      </c>
      <c r="O7344" t="s">
        <v>5713</v>
      </c>
      <c r="P7344">
        <v>17672</v>
      </c>
      <c r="Q7344" t="str">
        <f>"37.952490"</f>
        <v>37.952490</v>
      </c>
      <c r="R7344" t="str">
        <f>"23.709051"</f>
        <v>23.709051</v>
      </c>
      <c r="S7344" t="s">
        <v>26</v>
      </c>
    </row>
    <row r="7345" spans="1:19" x14ac:dyDescent="0.3">
      <c r="A7345" t="s">
        <v>3237</v>
      </c>
      <c r="B7345" t="s">
        <v>5562</v>
      </c>
      <c r="C7345" t="s">
        <v>5715</v>
      </c>
      <c r="D7345" t="s">
        <v>3256</v>
      </c>
      <c r="E7345" t="s">
        <v>5570</v>
      </c>
      <c r="F7345" t="s">
        <v>5570</v>
      </c>
      <c r="G7345" t="s">
        <v>5570</v>
      </c>
      <c r="H7345" t="s">
        <v>97</v>
      </c>
      <c r="I7345" t="s">
        <v>98</v>
      </c>
      <c r="J7345" t="str">
        <f>"0551850"</f>
        <v>0551850</v>
      </c>
      <c r="K7345">
        <v>2109814324</v>
      </c>
      <c r="L7345">
        <v>2109814317</v>
      </c>
      <c r="M7345" t="s">
        <v>5716</v>
      </c>
      <c r="N7345" t="s">
        <v>5573</v>
      </c>
      <c r="O7345" t="s">
        <v>5717</v>
      </c>
      <c r="P7345">
        <v>17561</v>
      </c>
      <c r="Q7345" t="str">
        <f>"37.929473"</f>
        <v>37.929473</v>
      </c>
      <c r="R7345" t="str">
        <f>"23.693078"</f>
        <v>23.693078</v>
      </c>
      <c r="S7345" t="s">
        <v>26</v>
      </c>
    </row>
    <row r="7346" spans="1:19" x14ac:dyDescent="0.3">
      <c r="A7346" t="s">
        <v>3237</v>
      </c>
      <c r="B7346" t="s">
        <v>5562</v>
      </c>
      <c r="C7346" t="s">
        <v>5719</v>
      </c>
      <c r="D7346" t="s">
        <v>3256</v>
      </c>
      <c r="E7346" t="s">
        <v>5599</v>
      </c>
      <c r="F7346" t="s">
        <v>5600</v>
      </c>
      <c r="G7346" t="s">
        <v>5601</v>
      </c>
      <c r="H7346" t="s">
        <v>97</v>
      </c>
      <c r="I7346" t="s">
        <v>98</v>
      </c>
      <c r="J7346" t="str">
        <f>"0551923"</f>
        <v>0551923</v>
      </c>
      <c r="K7346">
        <v>2109616657</v>
      </c>
      <c r="L7346">
        <v>2109606675</v>
      </c>
      <c r="M7346" t="s">
        <v>5720</v>
      </c>
      <c r="N7346" t="s">
        <v>1038</v>
      </c>
      <c r="O7346" t="s">
        <v>5721</v>
      </c>
      <c r="P7346">
        <v>16452</v>
      </c>
      <c r="Q7346" t="str">
        <f>"37.900622"</f>
        <v>37.900622</v>
      </c>
      <c r="R7346" t="str">
        <f>"23.747920"</f>
        <v>23.747920</v>
      </c>
      <c r="S7346" t="s">
        <v>26</v>
      </c>
    </row>
    <row r="7347" spans="1:19" x14ac:dyDescent="0.3">
      <c r="A7347" t="s">
        <v>3237</v>
      </c>
      <c r="B7347" t="s">
        <v>5562</v>
      </c>
      <c r="C7347" t="s">
        <v>5723</v>
      </c>
      <c r="D7347" t="s">
        <v>3256</v>
      </c>
      <c r="E7347" t="s">
        <v>5599</v>
      </c>
      <c r="F7347" t="s">
        <v>5600</v>
      </c>
      <c r="G7347" t="s">
        <v>5601</v>
      </c>
      <c r="H7347" t="s">
        <v>97</v>
      </c>
      <c r="I7347" t="s">
        <v>98</v>
      </c>
      <c r="J7347" t="str">
        <f>"0551902"</f>
        <v>0551902</v>
      </c>
      <c r="K7347">
        <v>2109925514</v>
      </c>
      <c r="L7347">
        <v>2109925502</v>
      </c>
      <c r="M7347" t="s">
        <v>5724</v>
      </c>
      <c r="N7347" t="s">
        <v>1038</v>
      </c>
      <c r="O7347" t="s">
        <v>5725</v>
      </c>
      <c r="P7347">
        <v>16452</v>
      </c>
      <c r="Q7347" t="str">
        <f>"37.913536"</f>
        <v>37.913536</v>
      </c>
      <c r="R7347" t="str">
        <f>"23.746376"</f>
        <v>23.746376</v>
      </c>
      <c r="S7347" t="s">
        <v>26</v>
      </c>
    </row>
    <row r="7348" spans="1:19" x14ac:dyDescent="0.3">
      <c r="A7348" t="s">
        <v>3237</v>
      </c>
      <c r="B7348" t="s">
        <v>5562</v>
      </c>
      <c r="C7348" t="s">
        <v>5727</v>
      </c>
      <c r="D7348" t="s">
        <v>3256</v>
      </c>
      <c r="E7348" t="s">
        <v>5599</v>
      </c>
      <c r="F7348" t="s">
        <v>5726</v>
      </c>
      <c r="G7348" t="s">
        <v>5726</v>
      </c>
      <c r="H7348" t="s">
        <v>97</v>
      </c>
      <c r="I7348" t="s">
        <v>98</v>
      </c>
      <c r="J7348" t="str">
        <f>"0551846"</f>
        <v>0551846</v>
      </c>
      <c r="K7348">
        <v>2109628872</v>
      </c>
      <c r="L7348">
        <v>2109645654</v>
      </c>
      <c r="M7348" t="s">
        <v>5728</v>
      </c>
      <c r="N7348" t="s">
        <v>5729</v>
      </c>
      <c r="O7348" t="s">
        <v>5730</v>
      </c>
      <c r="P7348">
        <v>16777</v>
      </c>
      <c r="Q7348" t="str">
        <f>"37.895846"</f>
        <v>37.895846</v>
      </c>
      <c r="R7348" t="str">
        <f>"23.748415"</f>
        <v>23.748415</v>
      </c>
      <c r="S7348" t="s">
        <v>26</v>
      </c>
    </row>
    <row r="7349" spans="1:19" x14ac:dyDescent="0.3">
      <c r="A7349" t="s">
        <v>3237</v>
      </c>
      <c r="B7349" t="s">
        <v>5562</v>
      </c>
      <c r="C7349" t="s">
        <v>5731</v>
      </c>
      <c r="D7349" t="s">
        <v>3256</v>
      </c>
      <c r="E7349" t="s">
        <v>3257</v>
      </c>
      <c r="F7349" t="s">
        <v>3257</v>
      </c>
      <c r="G7349" t="s">
        <v>3257</v>
      </c>
      <c r="H7349" t="s">
        <v>97</v>
      </c>
      <c r="I7349" t="s">
        <v>98</v>
      </c>
      <c r="J7349" t="str">
        <f>"0551898"</f>
        <v>0551898</v>
      </c>
      <c r="K7349">
        <v>2109922618</v>
      </c>
      <c r="L7349">
        <v>2109961615</v>
      </c>
      <c r="M7349" t="s">
        <v>5732</v>
      </c>
      <c r="N7349" t="s">
        <v>5630</v>
      </c>
      <c r="O7349" t="s">
        <v>5733</v>
      </c>
      <c r="P7349">
        <v>17456</v>
      </c>
      <c r="Q7349" t="str">
        <f>"37.923254"</f>
        <v>37.923254</v>
      </c>
      <c r="R7349" t="str">
        <f>"23.740265"</f>
        <v>23.740265</v>
      </c>
      <c r="S7349" t="s">
        <v>26</v>
      </c>
    </row>
    <row r="7350" spans="1:19" x14ac:dyDescent="0.3">
      <c r="A7350" t="s">
        <v>3237</v>
      </c>
      <c r="B7350" t="s">
        <v>5562</v>
      </c>
      <c r="C7350" t="s">
        <v>5734</v>
      </c>
      <c r="D7350" t="s">
        <v>3256</v>
      </c>
      <c r="E7350" t="s">
        <v>5586</v>
      </c>
      <c r="F7350" t="s">
        <v>5586</v>
      </c>
      <c r="G7350" t="s">
        <v>5586</v>
      </c>
      <c r="H7350" t="s">
        <v>97</v>
      </c>
      <c r="I7350" t="s">
        <v>98</v>
      </c>
      <c r="J7350" t="str">
        <f>"0551660"</f>
        <v>0551660</v>
      </c>
      <c r="K7350">
        <v>2109358212</v>
      </c>
      <c r="L7350">
        <v>2109331248</v>
      </c>
      <c r="M7350" t="s">
        <v>5735</v>
      </c>
      <c r="N7350" t="s">
        <v>3260</v>
      </c>
      <c r="O7350" t="s">
        <v>5736</v>
      </c>
      <c r="P7350">
        <v>17122</v>
      </c>
      <c r="Q7350" t="str">
        <f>"37.944016"</f>
        <v>37.944016</v>
      </c>
      <c r="R7350" t="str">
        <f>"23.711696"</f>
        <v>23.711696</v>
      </c>
      <c r="S7350" t="s">
        <v>26</v>
      </c>
    </row>
    <row r="7351" spans="1:19" x14ac:dyDescent="0.3">
      <c r="A7351" t="s">
        <v>3237</v>
      </c>
      <c r="B7351" t="s">
        <v>5562</v>
      </c>
      <c r="C7351" t="s">
        <v>5744</v>
      </c>
      <c r="D7351" t="s">
        <v>3256</v>
      </c>
      <c r="E7351" t="s">
        <v>4017</v>
      </c>
      <c r="F7351" t="s">
        <v>4017</v>
      </c>
      <c r="G7351" t="s">
        <v>4017</v>
      </c>
      <c r="H7351" t="s">
        <v>97</v>
      </c>
      <c r="I7351" t="s">
        <v>98</v>
      </c>
      <c r="J7351" t="str">
        <f>"0551899"</f>
        <v>0551899</v>
      </c>
      <c r="K7351">
        <v>2109621600</v>
      </c>
      <c r="L7351">
        <v>2109621611</v>
      </c>
      <c r="M7351" t="s">
        <v>5745</v>
      </c>
      <c r="N7351" t="s">
        <v>5578</v>
      </c>
      <c r="O7351" t="s">
        <v>5746</v>
      </c>
      <c r="P7351">
        <v>16674</v>
      </c>
      <c r="Q7351" t="str">
        <f>"37.870882"</f>
        <v>37.870882</v>
      </c>
      <c r="R7351" t="str">
        <f>"23.763571"</f>
        <v>23.763571</v>
      </c>
      <c r="S7351" t="s">
        <v>26</v>
      </c>
    </row>
    <row r="7352" spans="1:19" x14ac:dyDescent="0.3">
      <c r="A7352" t="s">
        <v>3237</v>
      </c>
      <c r="B7352" t="s">
        <v>5562</v>
      </c>
      <c r="C7352" t="s">
        <v>5880</v>
      </c>
      <c r="D7352" t="s">
        <v>3256</v>
      </c>
      <c r="E7352" t="s">
        <v>5563</v>
      </c>
      <c r="F7352" t="s">
        <v>5563</v>
      </c>
      <c r="G7352" t="s">
        <v>5611</v>
      </c>
      <c r="H7352" t="s">
        <v>97</v>
      </c>
      <c r="I7352" t="s">
        <v>98</v>
      </c>
      <c r="J7352" t="str">
        <f>"0551791"</f>
        <v>0551791</v>
      </c>
      <c r="K7352">
        <v>2109560620</v>
      </c>
      <c r="L7352">
        <v>2109578338</v>
      </c>
      <c r="M7352" t="s">
        <v>5881</v>
      </c>
      <c r="N7352" t="s">
        <v>5567</v>
      </c>
      <c r="O7352" t="s">
        <v>5825</v>
      </c>
      <c r="P7352">
        <v>17673</v>
      </c>
      <c r="Q7352" t="str">
        <f>"37.954539"</f>
        <v>37.954539</v>
      </c>
      <c r="R7352" t="str">
        <f>"23.700242"</f>
        <v>23.700242</v>
      </c>
      <c r="S7352" t="s">
        <v>26</v>
      </c>
    </row>
    <row r="7353" spans="1:19" x14ac:dyDescent="0.3">
      <c r="A7353" t="s">
        <v>3237</v>
      </c>
      <c r="B7353" t="s">
        <v>5562</v>
      </c>
      <c r="C7353" t="s">
        <v>5916</v>
      </c>
      <c r="D7353" t="s">
        <v>3256</v>
      </c>
      <c r="E7353" t="s">
        <v>5586</v>
      </c>
      <c r="F7353" t="s">
        <v>5586</v>
      </c>
      <c r="G7353" t="s">
        <v>5586</v>
      </c>
      <c r="H7353" t="s">
        <v>97</v>
      </c>
      <c r="I7353" t="s">
        <v>98</v>
      </c>
      <c r="J7353" t="str">
        <f>"0551673"</f>
        <v>0551673</v>
      </c>
      <c r="K7353">
        <v>2109370522</v>
      </c>
      <c r="L7353">
        <v>2109370522</v>
      </c>
      <c r="M7353" t="s">
        <v>5917</v>
      </c>
      <c r="N7353" t="s">
        <v>3260</v>
      </c>
      <c r="O7353" t="s">
        <v>5918</v>
      </c>
      <c r="P7353">
        <v>17124</v>
      </c>
      <c r="Q7353" t="str">
        <f>"37.939687"</f>
        <v>37.939687</v>
      </c>
      <c r="R7353" t="str">
        <f>"23.722732"</f>
        <v>23.722732</v>
      </c>
      <c r="S7353" t="s">
        <v>26</v>
      </c>
    </row>
    <row r="7354" spans="1:19" x14ac:dyDescent="0.3">
      <c r="A7354" t="s">
        <v>3237</v>
      </c>
      <c r="B7354" t="s">
        <v>5562</v>
      </c>
      <c r="C7354" t="s">
        <v>5920</v>
      </c>
      <c r="D7354" t="s">
        <v>3256</v>
      </c>
      <c r="E7354" t="s">
        <v>5563</v>
      </c>
      <c r="F7354" t="s">
        <v>5563</v>
      </c>
      <c r="G7354" t="s">
        <v>5564</v>
      </c>
      <c r="H7354" t="s">
        <v>97</v>
      </c>
      <c r="I7354" t="s">
        <v>98</v>
      </c>
      <c r="J7354" t="str">
        <f>"0551790"</f>
        <v>0551790</v>
      </c>
      <c r="K7354">
        <v>2155553890</v>
      </c>
      <c r="M7354" t="s">
        <v>5921</v>
      </c>
      <c r="N7354" t="s">
        <v>5567</v>
      </c>
      <c r="O7354" t="s">
        <v>5922</v>
      </c>
      <c r="P7354">
        <v>17673</v>
      </c>
      <c r="Q7354" t="str">
        <f>"37.946541"</f>
        <v>37.946541</v>
      </c>
      <c r="R7354" t="str">
        <f>"23.701662"</f>
        <v>23.701662</v>
      </c>
      <c r="S7354" t="s">
        <v>26</v>
      </c>
    </row>
    <row r="7355" spans="1:19" x14ac:dyDescent="0.3">
      <c r="A7355" t="s">
        <v>3237</v>
      </c>
      <c r="B7355" t="s">
        <v>5562</v>
      </c>
      <c r="C7355" t="s">
        <v>5923</v>
      </c>
      <c r="D7355" t="s">
        <v>3256</v>
      </c>
      <c r="E7355" t="s">
        <v>5599</v>
      </c>
      <c r="F7355" t="s">
        <v>5726</v>
      </c>
      <c r="G7355" t="s">
        <v>5726</v>
      </c>
      <c r="H7355" t="s">
        <v>97</v>
      </c>
      <c r="I7355" t="s">
        <v>772</v>
      </c>
      <c r="J7355" t="str">
        <f>"0551897"</f>
        <v>0551897</v>
      </c>
      <c r="K7355">
        <v>2109626716</v>
      </c>
      <c r="L7355">
        <v>2109626716</v>
      </c>
      <c r="M7355" t="s">
        <v>5924</v>
      </c>
      <c r="N7355" t="s">
        <v>5817</v>
      </c>
      <c r="O7355" t="s">
        <v>5925</v>
      </c>
      <c r="P7355">
        <v>16777</v>
      </c>
      <c r="Q7355" t="str">
        <f>"37.891053"</f>
        <v>37.891053</v>
      </c>
      <c r="R7355" t="str">
        <f>"23.743807"</f>
        <v>23.743807</v>
      </c>
      <c r="S7355" t="s">
        <v>26</v>
      </c>
    </row>
    <row r="7356" spans="1:19" x14ac:dyDescent="0.3">
      <c r="A7356" t="s">
        <v>3237</v>
      </c>
      <c r="B7356" t="s">
        <v>5562</v>
      </c>
      <c r="C7356" t="s">
        <v>5932</v>
      </c>
      <c r="D7356" t="s">
        <v>3256</v>
      </c>
      <c r="E7356" t="s">
        <v>5570</v>
      </c>
      <c r="F7356" t="s">
        <v>5570</v>
      </c>
      <c r="G7356" t="s">
        <v>5570</v>
      </c>
      <c r="H7356" t="s">
        <v>97</v>
      </c>
      <c r="I7356" t="s">
        <v>98</v>
      </c>
      <c r="J7356" t="str">
        <f>"0551851"</f>
        <v>0551851</v>
      </c>
      <c r="K7356">
        <v>2109833993</v>
      </c>
      <c r="L7356">
        <v>2109833993</v>
      </c>
      <c r="M7356" t="s">
        <v>5933</v>
      </c>
      <c r="N7356" t="s">
        <v>5934</v>
      </c>
      <c r="O7356" t="s">
        <v>5935</v>
      </c>
      <c r="P7356">
        <v>17563</v>
      </c>
      <c r="Q7356" t="str">
        <f>"37.927256"</f>
        <v>37.927256</v>
      </c>
      <c r="R7356" t="str">
        <f>"23.712316"</f>
        <v>23.712316</v>
      </c>
      <c r="S7356" t="s">
        <v>26</v>
      </c>
    </row>
    <row r="7357" spans="1:19" x14ac:dyDescent="0.3">
      <c r="A7357" t="s">
        <v>3237</v>
      </c>
      <c r="B7357" t="s">
        <v>5562</v>
      </c>
      <c r="C7357" t="s">
        <v>5943</v>
      </c>
      <c r="D7357" t="s">
        <v>3256</v>
      </c>
      <c r="E7357" t="s">
        <v>5586</v>
      </c>
      <c r="F7357" t="s">
        <v>5586</v>
      </c>
      <c r="G7357" t="s">
        <v>5586</v>
      </c>
      <c r="H7357" t="s">
        <v>97</v>
      </c>
      <c r="I7357" t="s">
        <v>98</v>
      </c>
      <c r="J7357" t="str">
        <f>"0551677"</f>
        <v>0551677</v>
      </c>
      <c r="K7357">
        <v>2109334376</v>
      </c>
      <c r="L7357">
        <v>2109334376</v>
      </c>
      <c r="M7357" t="s">
        <v>5944</v>
      </c>
      <c r="N7357" t="s">
        <v>3260</v>
      </c>
      <c r="O7357" t="s">
        <v>5945</v>
      </c>
      <c r="P7357">
        <v>17122</v>
      </c>
      <c r="Q7357" t="str">
        <f>"37.937309"</f>
        <v>37.937309</v>
      </c>
      <c r="R7357" t="str">
        <f>"23.709387"</f>
        <v>23.709387</v>
      </c>
      <c r="S7357" t="s">
        <v>26</v>
      </c>
    </row>
    <row r="7358" spans="1:19" x14ac:dyDescent="0.3">
      <c r="A7358" t="s">
        <v>3237</v>
      </c>
      <c r="B7358" t="s">
        <v>5562</v>
      </c>
      <c r="C7358" t="s">
        <v>5946</v>
      </c>
      <c r="D7358" t="s">
        <v>3256</v>
      </c>
      <c r="E7358" t="s">
        <v>5563</v>
      </c>
      <c r="F7358" t="s">
        <v>5563</v>
      </c>
      <c r="G7358" t="s">
        <v>5564</v>
      </c>
      <c r="H7358" t="s">
        <v>97</v>
      </c>
      <c r="I7358" t="s">
        <v>98</v>
      </c>
      <c r="J7358" t="str">
        <f>"0551781"</f>
        <v>0551781</v>
      </c>
      <c r="K7358">
        <v>2109416503</v>
      </c>
      <c r="L7358">
        <v>2109483863</v>
      </c>
      <c r="M7358" t="s">
        <v>5947</v>
      </c>
      <c r="N7358" t="s">
        <v>5567</v>
      </c>
      <c r="O7358" t="s">
        <v>5948</v>
      </c>
      <c r="P7358">
        <v>17675</v>
      </c>
      <c r="Q7358" t="str">
        <f>"37.952625"</f>
        <v>37.952625</v>
      </c>
      <c r="R7358" t="str">
        <f>"23.691861"</f>
        <v>23.691861</v>
      </c>
      <c r="S7358" t="s">
        <v>26</v>
      </c>
    </row>
    <row r="7359" spans="1:19" x14ac:dyDescent="0.3">
      <c r="A7359" t="s">
        <v>3237</v>
      </c>
      <c r="B7359" t="s">
        <v>5562</v>
      </c>
      <c r="C7359" t="s">
        <v>5949</v>
      </c>
      <c r="D7359" t="s">
        <v>3256</v>
      </c>
      <c r="E7359" t="s">
        <v>5563</v>
      </c>
      <c r="F7359" t="s">
        <v>5563</v>
      </c>
      <c r="G7359" t="s">
        <v>5564</v>
      </c>
      <c r="H7359" t="s">
        <v>97</v>
      </c>
      <c r="I7359" t="s">
        <v>98</v>
      </c>
      <c r="J7359" t="str">
        <f>"0551780"</f>
        <v>0551780</v>
      </c>
      <c r="K7359">
        <v>2109420410</v>
      </c>
      <c r="L7359">
        <v>2109420410</v>
      </c>
      <c r="M7359" t="s">
        <v>5950</v>
      </c>
      <c r="N7359" t="s">
        <v>5567</v>
      </c>
      <c r="O7359" t="s">
        <v>5951</v>
      </c>
      <c r="P7359">
        <v>17675</v>
      </c>
      <c r="Q7359" t="str">
        <f>"37.946785"</f>
        <v>37.946785</v>
      </c>
      <c r="R7359" t="str">
        <f>"23.684993"</f>
        <v>23.684993</v>
      </c>
      <c r="S7359" t="s">
        <v>26</v>
      </c>
    </row>
    <row r="7360" spans="1:19" x14ac:dyDescent="0.3">
      <c r="A7360" t="s">
        <v>3237</v>
      </c>
      <c r="B7360" t="s">
        <v>5562</v>
      </c>
      <c r="C7360" t="s">
        <v>5952</v>
      </c>
      <c r="D7360" t="s">
        <v>3256</v>
      </c>
      <c r="E7360" t="s">
        <v>3295</v>
      </c>
      <c r="F7360" t="s">
        <v>3295</v>
      </c>
      <c r="G7360" t="s">
        <v>3295</v>
      </c>
      <c r="H7360" t="s">
        <v>97</v>
      </c>
      <c r="I7360" t="s">
        <v>195</v>
      </c>
      <c r="J7360" t="str">
        <f>"0540215"</f>
        <v>0540215</v>
      </c>
      <c r="K7360">
        <v>2109768012</v>
      </c>
      <c r="L7360">
        <v>2109733169</v>
      </c>
      <c r="M7360" t="s">
        <v>5953</v>
      </c>
      <c r="N7360" t="s">
        <v>5954</v>
      </c>
      <c r="O7360" t="s">
        <v>5955</v>
      </c>
      <c r="P7360">
        <v>17341</v>
      </c>
      <c r="Q7360" t="str">
        <f>"37.945363"</f>
        <v>37.945363</v>
      </c>
      <c r="R7360" t="str">
        <f>"23.729994"</f>
        <v>23.729994</v>
      </c>
      <c r="S7360" t="s">
        <v>26</v>
      </c>
    </row>
    <row r="7361" spans="1:19" x14ac:dyDescent="0.3">
      <c r="A7361" t="s">
        <v>3237</v>
      </c>
      <c r="B7361" t="s">
        <v>5562</v>
      </c>
      <c r="C7361" t="s">
        <v>5962</v>
      </c>
      <c r="D7361" t="s">
        <v>3256</v>
      </c>
      <c r="E7361" t="s">
        <v>5586</v>
      </c>
      <c r="F7361" t="s">
        <v>5586</v>
      </c>
      <c r="G7361" t="s">
        <v>5586</v>
      </c>
      <c r="H7361" t="s">
        <v>97</v>
      </c>
      <c r="I7361" t="s">
        <v>98</v>
      </c>
      <c r="J7361" t="str">
        <f>"0551676"</f>
        <v>0551676</v>
      </c>
      <c r="K7361">
        <v>2109351701</v>
      </c>
      <c r="M7361" t="s">
        <v>5963</v>
      </c>
      <c r="N7361" t="s">
        <v>5964</v>
      </c>
      <c r="O7361" t="s">
        <v>5938</v>
      </c>
      <c r="P7361">
        <v>17121</v>
      </c>
      <c r="Q7361" t="str">
        <f>"37.947686"</f>
        <v>37.947686</v>
      </c>
      <c r="R7361" t="str">
        <f>"23.711873"</f>
        <v>23.711873</v>
      </c>
      <c r="S7361" t="s">
        <v>26</v>
      </c>
    </row>
    <row r="7362" spans="1:19" x14ac:dyDescent="0.3">
      <c r="A7362" t="s">
        <v>3237</v>
      </c>
      <c r="B7362" t="s">
        <v>5562</v>
      </c>
      <c r="C7362" t="s">
        <v>5986</v>
      </c>
      <c r="D7362" t="s">
        <v>3256</v>
      </c>
      <c r="E7362" t="s">
        <v>5599</v>
      </c>
      <c r="F7362" t="s">
        <v>5600</v>
      </c>
      <c r="G7362" t="s">
        <v>5601</v>
      </c>
      <c r="H7362" t="s">
        <v>97</v>
      </c>
      <c r="I7362" t="s">
        <v>3631</v>
      </c>
      <c r="J7362" t="str">
        <f>"0551882"</f>
        <v>0551882</v>
      </c>
      <c r="K7362">
        <v>2109932732</v>
      </c>
      <c r="L7362">
        <v>2109932732</v>
      </c>
      <c r="M7362" t="s">
        <v>5987</v>
      </c>
      <c r="N7362" t="s">
        <v>1038</v>
      </c>
      <c r="O7362" t="s">
        <v>5988</v>
      </c>
      <c r="P7362">
        <v>16452</v>
      </c>
      <c r="Q7362" t="str">
        <f>"37.908973"</f>
        <v>37.908973</v>
      </c>
      <c r="R7362" t="str">
        <f>"23.742729"</f>
        <v>23.742729</v>
      </c>
      <c r="S7362" t="s">
        <v>26</v>
      </c>
    </row>
    <row r="7363" spans="1:19" x14ac:dyDescent="0.3">
      <c r="A7363" t="s">
        <v>3237</v>
      </c>
      <c r="B7363" t="s">
        <v>5998</v>
      </c>
      <c r="C7363" t="s">
        <v>6001</v>
      </c>
      <c r="D7363" t="s">
        <v>3268</v>
      </c>
      <c r="E7363" t="s">
        <v>5999</v>
      </c>
      <c r="F7363" t="s">
        <v>6000</v>
      </c>
      <c r="G7363" t="s">
        <v>6000</v>
      </c>
      <c r="H7363" t="s">
        <v>97</v>
      </c>
      <c r="I7363" t="s">
        <v>98</v>
      </c>
      <c r="J7363" t="str">
        <f>"0553027"</f>
        <v>0553027</v>
      </c>
      <c r="K7363">
        <v>2102388638</v>
      </c>
      <c r="L7363">
        <v>2102388608</v>
      </c>
      <c r="M7363" t="s">
        <v>6002</v>
      </c>
      <c r="N7363" t="s">
        <v>6003</v>
      </c>
      <c r="O7363" t="s">
        <v>6004</v>
      </c>
      <c r="P7363">
        <v>13461</v>
      </c>
      <c r="Q7363" t="str">
        <f>"38.065729"</f>
        <v>38.065729</v>
      </c>
      <c r="R7363" t="str">
        <f>"23.715996"</f>
        <v>23.715996</v>
      </c>
      <c r="S7363" t="s">
        <v>26</v>
      </c>
    </row>
    <row r="7364" spans="1:19" x14ac:dyDescent="0.3">
      <c r="A7364" t="s">
        <v>3237</v>
      </c>
      <c r="B7364" t="s">
        <v>5998</v>
      </c>
      <c r="C7364" t="s">
        <v>6034</v>
      </c>
      <c r="D7364" t="s">
        <v>3268</v>
      </c>
      <c r="E7364" t="s">
        <v>6017</v>
      </c>
      <c r="F7364" t="s">
        <v>456</v>
      </c>
      <c r="G7364" t="s">
        <v>456</v>
      </c>
      <c r="H7364" t="s">
        <v>97</v>
      </c>
      <c r="I7364" t="s">
        <v>98</v>
      </c>
      <c r="J7364" t="str">
        <f>"0553039"</f>
        <v>0553039</v>
      </c>
      <c r="K7364">
        <v>2296033000</v>
      </c>
      <c r="L7364">
        <v>2296034922</v>
      </c>
      <c r="M7364" t="s">
        <v>6035</v>
      </c>
      <c r="N7364" t="s">
        <v>6036</v>
      </c>
      <c r="O7364" t="s">
        <v>6037</v>
      </c>
      <c r="P7364">
        <v>19006</v>
      </c>
      <c r="Q7364" t="str">
        <f>"38.011749"</f>
        <v>38.011749</v>
      </c>
      <c r="R7364" t="str">
        <f>"23.434298"</f>
        <v>23.434298</v>
      </c>
      <c r="S7364" t="s">
        <v>26</v>
      </c>
    </row>
    <row r="7365" spans="1:19" x14ac:dyDescent="0.3">
      <c r="A7365" t="s">
        <v>3237</v>
      </c>
      <c r="B7365" t="s">
        <v>5998</v>
      </c>
      <c r="C7365" t="s">
        <v>6039</v>
      </c>
      <c r="D7365" t="s">
        <v>3268</v>
      </c>
      <c r="E7365" t="s">
        <v>5999</v>
      </c>
      <c r="F7365" t="s">
        <v>6016</v>
      </c>
      <c r="G7365" t="s">
        <v>6016</v>
      </c>
      <c r="H7365" t="s">
        <v>97</v>
      </c>
      <c r="I7365" t="s">
        <v>98</v>
      </c>
      <c r="J7365" t="str">
        <f>"0553025"</f>
        <v>0553025</v>
      </c>
      <c r="K7365">
        <v>2102471330</v>
      </c>
      <c r="L7365">
        <v>2102471330</v>
      </c>
      <c r="M7365" t="s">
        <v>6040</v>
      </c>
      <c r="N7365" t="s">
        <v>6041</v>
      </c>
      <c r="O7365" t="s">
        <v>6042</v>
      </c>
      <c r="P7365">
        <v>13341</v>
      </c>
      <c r="Q7365" t="str">
        <f>"38.074890"</f>
        <v>38.074890</v>
      </c>
      <c r="R7365" t="str">
        <f>"23.702346"</f>
        <v>23.702346</v>
      </c>
      <c r="S7365" t="s">
        <v>26</v>
      </c>
    </row>
    <row r="7366" spans="1:19" x14ac:dyDescent="0.3">
      <c r="A7366" t="s">
        <v>3237</v>
      </c>
      <c r="B7366" t="s">
        <v>5998</v>
      </c>
      <c r="C7366" t="s">
        <v>6049</v>
      </c>
      <c r="D7366" t="s">
        <v>3268</v>
      </c>
      <c r="E7366" t="s">
        <v>6028</v>
      </c>
      <c r="F7366" t="s">
        <v>6028</v>
      </c>
      <c r="G7366" t="s">
        <v>6028</v>
      </c>
      <c r="H7366" t="s">
        <v>97</v>
      </c>
      <c r="I7366" t="s">
        <v>98</v>
      </c>
      <c r="J7366" t="str">
        <f>"0553020"</f>
        <v>0553020</v>
      </c>
      <c r="K7366">
        <v>2105573435</v>
      </c>
      <c r="L7366">
        <v>2105573435</v>
      </c>
      <c r="M7366" t="s">
        <v>6050</v>
      </c>
      <c r="N7366" t="s">
        <v>6031</v>
      </c>
      <c r="O7366" t="s">
        <v>6051</v>
      </c>
      <c r="P7366">
        <v>19300</v>
      </c>
      <c r="Q7366" t="str">
        <f>"38.062556"</f>
        <v>38.062556</v>
      </c>
      <c r="R7366" t="str">
        <f>"23.582925"</f>
        <v>23.582925</v>
      </c>
      <c r="S7366" t="s">
        <v>26</v>
      </c>
    </row>
    <row r="7367" spans="1:19" x14ac:dyDescent="0.3">
      <c r="A7367" t="s">
        <v>3237</v>
      </c>
      <c r="B7367" t="s">
        <v>5998</v>
      </c>
      <c r="C7367" t="s">
        <v>6053</v>
      </c>
      <c r="D7367" t="s">
        <v>3268</v>
      </c>
      <c r="E7367" t="s">
        <v>6017</v>
      </c>
      <c r="F7367" t="s">
        <v>6017</v>
      </c>
      <c r="G7367" t="s">
        <v>6017</v>
      </c>
      <c r="H7367" t="s">
        <v>97</v>
      </c>
      <c r="I7367" t="s">
        <v>98</v>
      </c>
      <c r="J7367" t="str">
        <f>"0553015"</f>
        <v>0553015</v>
      </c>
      <c r="K7367">
        <v>2296026101</v>
      </c>
      <c r="L7367">
        <v>2296026141</v>
      </c>
      <c r="M7367" t="s">
        <v>6054</v>
      </c>
      <c r="N7367" t="s">
        <v>6055</v>
      </c>
      <c r="O7367" t="s">
        <v>6056</v>
      </c>
      <c r="P7367">
        <v>19100</v>
      </c>
      <c r="Q7367" t="str">
        <f>"37.993247"</f>
        <v>37.993247</v>
      </c>
      <c r="R7367" t="str">
        <f>"23.334074"</f>
        <v>23.334074</v>
      </c>
      <c r="S7367" t="s">
        <v>26</v>
      </c>
    </row>
    <row r="7368" spans="1:19" x14ac:dyDescent="0.3">
      <c r="A7368" t="s">
        <v>3237</v>
      </c>
      <c r="B7368" t="s">
        <v>5998</v>
      </c>
      <c r="C7368" t="s">
        <v>6058</v>
      </c>
      <c r="D7368" t="s">
        <v>3268</v>
      </c>
      <c r="E7368" t="s">
        <v>6017</v>
      </c>
      <c r="F7368" t="s">
        <v>6017</v>
      </c>
      <c r="G7368" t="s">
        <v>6017</v>
      </c>
      <c r="H7368" t="s">
        <v>97</v>
      </c>
      <c r="I7368" t="s">
        <v>98</v>
      </c>
      <c r="J7368" t="str">
        <f>"0553010"</f>
        <v>0553010</v>
      </c>
      <c r="K7368">
        <v>2296029602</v>
      </c>
      <c r="L7368">
        <v>2296029100</v>
      </c>
      <c r="M7368" t="s">
        <v>6059</v>
      </c>
      <c r="N7368" t="s">
        <v>6046</v>
      </c>
      <c r="O7368" t="s">
        <v>6060</v>
      </c>
      <c r="P7368">
        <v>19100</v>
      </c>
      <c r="Q7368" t="str">
        <f>"37.996941"</f>
        <v>37.996941</v>
      </c>
      <c r="R7368" t="str">
        <f>"23.347975"</f>
        <v>23.347975</v>
      </c>
      <c r="S7368" t="s">
        <v>26</v>
      </c>
    </row>
    <row r="7369" spans="1:19" x14ac:dyDescent="0.3">
      <c r="A7369" t="s">
        <v>3237</v>
      </c>
      <c r="B7369" t="s">
        <v>5998</v>
      </c>
      <c r="C7369" t="s">
        <v>6061</v>
      </c>
      <c r="D7369" t="s">
        <v>3268</v>
      </c>
      <c r="E7369" t="s">
        <v>5999</v>
      </c>
      <c r="F7369" t="s">
        <v>6016</v>
      </c>
      <c r="G7369" t="s">
        <v>6016</v>
      </c>
      <c r="H7369" t="s">
        <v>97</v>
      </c>
      <c r="I7369" t="s">
        <v>98</v>
      </c>
      <c r="J7369" t="str">
        <f>"0590865"</f>
        <v>0590865</v>
      </c>
      <c r="K7369">
        <v>2102474899</v>
      </c>
      <c r="L7369">
        <v>2102473999</v>
      </c>
      <c r="M7369" t="s">
        <v>6062</v>
      </c>
      <c r="N7369" t="s">
        <v>6063</v>
      </c>
      <c r="O7369" t="s">
        <v>6064</v>
      </c>
      <c r="P7369">
        <v>13341</v>
      </c>
      <c r="Q7369" t="str">
        <f>"38.078390"</f>
        <v>38.078390</v>
      </c>
      <c r="R7369" t="str">
        <f>"23.700098"</f>
        <v>23.700098</v>
      </c>
      <c r="S7369" t="s">
        <v>26</v>
      </c>
    </row>
    <row r="7370" spans="1:19" x14ac:dyDescent="0.3">
      <c r="A7370" t="s">
        <v>3237</v>
      </c>
      <c r="B7370" t="s">
        <v>5998</v>
      </c>
      <c r="C7370" t="s">
        <v>6065</v>
      </c>
      <c r="D7370" t="s">
        <v>3268</v>
      </c>
      <c r="E7370" t="s">
        <v>5999</v>
      </c>
      <c r="F7370" t="s">
        <v>6016</v>
      </c>
      <c r="G7370" t="s">
        <v>6016</v>
      </c>
      <c r="H7370" t="s">
        <v>97</v>
      </c>
      <c r="I7370" t="s">
        <v>98</v>
      </c>
      <c r="J7370" t="str">
        <f>"0553026"</f>
        <v>0553026</v>
      </c>
      <c r="K7370">
        <v>2102473713</v>
      </c>
      <c r="L7370">
        <v>2102473713</v>
      </c>
      <c r="M7370" t="s">
        <v>6066</v>
      </c>
      <c r="N7370" t="s">
        <v>6041</v>
      </c>
      <c r="O7370" t="s">
        <v>6067</v>
      </c>
      <c r="P7370">
        <v>13341</v>
      </c>
      <c r="Q7370" t="str">
        <f>"38.090176"</f>
        <v>38.090176</v>
      </c>
      <c r="R7370" t="str">
        <f>"23.710102"</f>
        <v>23.710102</v>
      </c>
      <c r="S7370" t="s">
        <v>26</v>
      </c>
    </row>
    <row r="7371" spans="1:19" x14ac:dyDescent="0.3">
      <c r="A7371" t="s">
        <v>3237</v>
      </c>
      <c r="B7371" t="s">
        <v>5998</v>
      </c>
      <c r="C7371" t="s">
        <v>6076</v>
      </c>
      <c r="D7371" t="s">
        <v>3268</v>
      </c>
      <c r="E7371" t="s">
        <v>6006</v>
      </c>
      <c r="F7371" t="s">
        <v>6007</v>
      </c>
      <c r="G7371" t="s">
        <v>6007</v>
      </c>
      <c r="H7371" t="s">
        <v>97</v>
      </c>
      <c r="I7371" t="s">
        <v>98</v>
      </c>
      <c r="J7371" t="str">
        <f>"0553040"</f>
        <v>0553040</v>
      </c>
      <c r="K7371">
        <v>2263062229</v>
      </c>
      <c r="L7371">
        <v>2263063493</v>
      </c>
      <c r="M7371" t="s">
        <v>6077</v>
      </c>
      <c r="N7371" t="s">
        <v>6078</v>
      </c>
      <c r="O7371" t="s">
        <v>6079</v>
      </c>
      <c r="P7371">
        <v>19008</v>
      </c>
      <c r="Q7371" t="str">
        <f>"38.209821"</f>
        <v>38.209821</v>
      </c>
      <c r="R7371" t="str">
        <f>"23.321672"</f>
        <v>23.321672</v>
      </c>
      <c r="S7371" t="s">
        <v>26</v>
      </c>
    </row>
    <row r="7372" spans="1:19" x14ac:dyDescent="0.3">
      <c r="A7372" t="s">
        <v>3237</v>
      </c>
      <c r="B7372" t="s">
        <v>5998</v>
      </c>
      <c r="C7372" t="s">
        <v>6080</v>
      </c>
      <c r="D7372" t="s">
        <v>3268</v>
      </c>
      <c r="E7372" t="s">
        <v>3269</v>
      </c>
      <c r="F7372" t="s">
        <v>3270</v>
      </c>
      <c r="G7372" t="s">
        <v>3270</v>
      </c>
      <c r="H7372" t="s">
        <v>97</v>
      </c>
      <c r="I7372" t="s">
        <v>98</v>
      </c>
      <c r="J7372" t="str">
        <f>"0553030"</f>
        <v>0553030</v>
      </c>
      <c r="K7372">
        <v>2105544574</v>
      </c>
      <c r="L7372">
        <v>2105544574</v>
      </c>
      <c r="M7372" t="s">
        <v>6081</v>
      </c>
      <c r="N7372" t="s">
        <v>6082</v>
      </c>
      <c r="O7372" t="s">
        <v>6083</v>
      </c>
      <c r="P7372">
        <v>19200</v>
      </c>
      <c r="Q7372" t="str">
        <f>"38.050658"</f>
        <v>38.050658</v>
      </c>
      <c r="R7372" t="str">
        <f>"23.538790"</f>
        <v>23.538790</v>
      </c>
      <c r="S7372" t="s">
        <v>26</v>
      </c>
    </row>
    <row r="7373" spans="1:19" x14ac:dyDescent="0.3">
      <c r="A7373" t="s">
        <v>3237</v>
      </c>
      <c r="B7373" t="s">
        <v>5998</v>
      </c>
      <c r="C7373" t="s">
        <v>6085</v>
      </c>
      <c r="D7373" t="s">
        <v>3268</v>
      </c>
      <c r="E7373" t="s">
        <v>3269</v>
      </c>
      <c r="F7373" t="s">
        <v>3270</v>
      </c>
      <c r="G7373" t="s">
        <v>3270</v>
      </c>
      <c r="H7373" t="s">
        <v>97</v>
      </c>
      <c r="I7373" t="s">
        <v>98</v>
      </c>
      <c r="J7373" t="str">
        <f>"0553037"</f>
        <v>0553037</v>
      </c>
      <c r="K7373">
        <v>2105548013</v>
      </c>
      <c r="L7373">
        <v>2105548019</v>
      </c>
      <c r="M7373" t="s">
        <v>6086</v>
      </c>
      <c r="N7373" t="s">
        <v>3273</v>
      </c>
      <c r="O7373" t="s">
        <v>6087</v>
      </c>
      <c r="P7373">
        <v>19200</v>
      </c>
      <c r="Q7373" t="str">
        <f>"38.043256"</f>
        <v>38.043256</v>
      </c>
      <c r="R7373" t="str">
        <f>"23.542107"</f>
        <v>23.542107</v>
      </c>
      <c r="S7373" t="s">
        <v>26</v>
      </c>
    </row>
    <row r="7374" spans="1:19" x14ac:dyDescent="0.3">
      <c r="A7374" t="s">
        <v>3237</v>
      </c>
      <c r="B7374" t="s">
        <v>5998</v>
      </c>
      <c r="C7374" t="s">
        <v>6090</v>
      </c>
      <c r="D7374" t="s">
        <v>3268</v>
      </c>
      <c r="E7374" t="s">
        <v>3269</v>
      </c>
      <c r="F7374" t="s">
        <v>6089</v>
      </c>
      <c r="G7374" t="s">
        <v>6089</v>
      </c>
      <c r="H7374" t="s">
        <v>97</v>
      </c>
      <c r="I7374" t="s">
        <v>98</v>
      </c>
      <c r="J7374" t="str">
        <f>"0553065"</f>
        <v>0553065</v>
      </c>
      <c r="K7374">
        <v>2105557540</v>
      </c>
      <c r="L7374">
        <v>2105557540</v>
      </c>
      <c r="M7374" t="s">
        <v>6091</v>
      </c>
      <c r="N7374" t="s">
        <v>6092</v>
      </c>
      <c r="O7374" t="s">
        <v>6093</v>
      </c>
      <c r="P7374">
        <v>19018</v>
      </c>
      <c r="Q7374" t="str">
        <f>"38.079532"</f>
        <v>38.079532</v>
      </c>
      <c r="R7374" t="str">
        <f>"23.526750"</f>
        <v>23.526750</v>
      </c>
      <c r="S7374" t="s">
        <v>26</v>
      </c>
    </row>
    <row r="7375" spans="1:19" x14ac:dyDescent="0.3">
      <c r="A7375" t="s">
        <v>3237</v>
      </c>
      <c r="B7375" t="s">
        <v>5998</v>
      </c>
      <c r="C7375" t="s">
        <v>6117</v>
      </c>
      <c r="D7375" t="s">
        <v>3268</v>
      </c>
      <c r="E7375" t="s">
        <v>6006</v>
      </c>
      <c r="F7375" t="s">
        <v>6116</v>
      </c>
      <c r="G7375" t="s">
        <v>6116</v>
      </c>
      <c r="H7375" t="s">
        <v>97</v>
      </c>
      <c r="I7375" t="s">
        <v>98</v>
      </c>
      <c r="J7375" t="str">
        <f>"0553060"</f>
        <v>0553060</v>
      </c>
      <c r="K7375">
        <v>2105556350</v>
      </c>
      <c r="L7375">
        <v>2105551130</v>
      </c>
      <c r="M7375" t="s">
        <v>6118</v>
      </c>
      <c r="N7375" t="s">
        <v>6119</v>
      </c>
      <c r="O7375" t="s">
        <v>6120</v>
      </c>
      <c r="P7375">
        <v>19600</v>
      </c>
      <c r="Q7375" t="str">
        <f>"38.070205"</f>
        <v>38.070205</v>
      </c>
      <c r="R7375" t="str">
        <f>"23.493022"</f>
        <v>23.493022</v>
      </c>
      <c r="S7375" t="s">
        <v>26</v>
      </c>
    </row>
    <row r="7376" spans="1:19" x14ac:dyDescent="0.3">
      <c r="A7376" t="s">
        <v>3237</v>
      </c>
      <c r="B7376" t="s">
        <v>5998</v>
      </c>
      <c r="C7376" t="s">
        <v>6182</v>
      </c>
      <c r="D7376" t="s">
        <v>3268</v>
      </c>
      <c r="E7376" t="s">
        <v>5999</v>
      </c>
      <c r="F7376" t="s">
        <v>5999</v>
      </c>
      <c r="G7376" t="s">
        <v>5999</v>
      </c>
      <c r="H7376" t="s">
        <v>97</v>
      </c>
      <c r="I7376" t="s">
        <v>98</v>
      </c>
      <c r="J7376" t="str">
        <f>"0544001"</f>
        <v>0544001</v>
      </c>
      <c r="K7376">
        <v>2102412161</v>
      </c>
      <c r="L7376">
        <v>2102412189</v>
      </c>
      <c r="M7376" t="s">
        <v>6183</v>
      </c>
      <c r="N7376" t="s">
        <v>6184</v>
      </c>
      <c r="O7376" t="s">
        <v>6185</v>
      </c>
      <c r="P7376">
        <v>13351</v>
      </c>
      <c r="Q7376" t="str">
        <f>"38.101410"</f>
        <v>38.101410</v>
      </c>
      <c r="R7376" t="str">
        <f>"23.670353"</f>
        <v>23.670353</v>
      </c>
      <c r="S7376" t="s">
        <v>26</v>
      </c>
    </row>
    <row r="7377" spans="1:19" x14ac:dyDescent="0.3">
      <c r="A7377" t="s">
        <v>3237</v>
      </c>
      <c r="B7377" t="s">
        <v>6192</v>
      </c>
      <c r="C7377" t="s">
        <v>6204</v>
      </c>
      <c r="D7377" t="s">
        <v>3275</v>
      </c>
      <c r="E7377" t="s">
        <v>6203</v>
      </c>
      <c r="F7377" t="s">
        <v>6203</v>
      </c>
      <c r="G7377" t="s">
        <v>6203</v>
      </c>
      <c r="H7377" t="s">
        <v>97</v>
      </c>
      <c r="I7377" t="s">
        <v>98</v>
      </c>
      <c r="J7377" t="str">
        <f>"0590921"</f>
        <v>0590921</v>
      </c>
      <c r="K7377">
        <v>2104010505</v>
      </c>
      <c r="L7377">
        <v>2104010434</v>
      </c>
      <c r="M7377" t="s">
        <v>6205</v>
      </c>
      <c r="N7377" t="s">
        <v>1291</v>
      </c>
      <c r="O7377" t="s">
        <v>6206</v>
      </c>
      <c r="P7377">
        <v>18863</v>
      </c>
      <c r="Q7377" t="str">
        <f>"37.962120"</f>
        <v>37.962120</v>
      </c>
      <c r="R7377" t="str">
        <f>"23.597479"</f>
        <v>23.597479</v>
      </c>
      <c r="S7377" t="s">
        <v>26</v>
      </c>
    </row>
    <row r="7378" spans="1:19" x14ac:dyDescent="0.3">
      <c r="A7378" t="s">
        <v>3237</v>
      </c>
      <c r="B7378" t="s">
        <v>6192</v>
      </c>
      <c r="C7378" t="s">
        <v>6208</v>
      </c>
      <c r="D7378" t="s">
        <v>3275</v>
      </c>
      <c r="E7378" t="s">
        <v>3275</v>
      </c>
      <c r="F7378" t="s">
        <v>3275</v>
      </c>
      <c r="G7378" t="s">
        <v>6193</v>
      </c>
      <c r="H7378" t="s">
        <v>97</v>
      </c>
      <c r="I7378" t="s">
        <v>98</v>
      </c>
      <c r="J7378" t="str">
        <f>"0551910"</f>
        <v>0551910</v>
      </c>
      <c r="K7378">
        <v>2104122916</v>
      </c>
      <c r="L7378">
        <v>2104122916</v>
      </c>
      <c r="M7378" t="s">
        <v>6209</v>
      </c>
      <c r="N7378" t="s">
        <v>3279</v>
      </c>
      <c r="O7378" t="s">
        <v>6210</v>
      </c>
      <c r="P7378">
        <v>18545</v>
      </c>
      <c r="Q7378" t="str">
        <f>"37.952461"</f>
        <v>37.952461</v>
      </c>
      <c r="R7378" t="str">
        <f>"23.642382"</f>
        <v>23.642382</v>
      </c>
      <c r="S7378" t="s">
        <v>26</v>
      </c>
    </row>
    <row r="7379" spans="1:19" x14ac:dyDescent="0.3">
      <c r="A7379" t="s">
        <v>3237</v>
      </c>
      <c r="B7379" t="s">
        <v>6192</v>
      </c>
      <c r="C7379" t="s">
        <v>6214</v>
      </c>
      <c r="D7379" t="s">
        <v>3275</v>
      </c>
      <c r="E7379" t="s">
        <v>6212</v>
      </c>
      <c r="F7379" t="s">
        <v>6213</v>
      </c>
      <c r="G7379" t="s">
        <v>6213</v>
      </c>
      <c r="H7379" t="s">
        <v>97</v>
      </c>
      <c r="I7379" t="s">
        <v>98</v>
      </c>
      <c r="J7379" t="str">
        <f>"0551925"</f>
        <v>0551925</v>
      </c>
      <c r="K7379">
        <v>2104621561</v>
      </c>
      <c r="L7379">
        <v>2104621561</v>
      </c>
      <c r="M7379" t="s">
        <v>6215</v>
      </c>
      <c r="N7379" t="s">
        <v>6216</v>
      </c>
      <c r="O7379" t="s">
        <v>6217</v>
      </c>
      <c r="P7379">
        <v>18648</v>
      </c>
      <c r="Q7379" t="str">
        <f>"37.947181"</f>
        <v>37.947181</v>
      </c>
      <c r="R7379" t="str">
        <f>"23.633776"</f>
        <v>23.633776</v>
      </c>
      <c r="S7379" t="s">
        <v>26</v>
      </c>
    </row>
    <row r="7380" spans="1:19" x14ac:dyDescent="0.3">
      <c r="A7380" t="s">
        <v>3237</v>
      </c>
      <c r="B7380" t="s">
        <v>6192</v>
      </c>
      <c r="C7380" t="s">
        <v>6286</v>
      </c>
      <c r="D7380" t="s">
        <v>6222</v>
      </c>
      <c r="E7380" t="s">
        <v>6280</v>
      </c>
      <c r="F7380" t="s">
        <v>6280</v>
      </c>
      <c r="G7380" t="s">
        <v>6280</v>
      </c>
      <c r="H7380" t="s">
        <v>97</v>
      </c>
      <c r="I7380" t="s">
        <v>98</v>
      </c>
      <c r="J7380" t="str">
        <f>"5254010"</f>
        <v>5254010</v>
      </c>
      <c r="K7380">
        <v>2297022366</v>
      </c>
      <c r="L7380">
        <v>2297028118</v>
      </c>
      <c r="M7380" t="s">
        <v>6287</v>
      </c>
      <c r="N7380" t="s">
        <v>6283</v>
      </c>
      <c r="O7380" t="s">
        <v>6288</v>
      </c>
      <c r="P7380">
        <v>18010</v>
      </c>
      <c r="Q7380" t="str">
        <f>"37.747991"</f>
        <v>37.747991</v>
      </c>
      <c r="R7380" t="str">
        <f>"23.443679"</f>
        <v>23.443679</v>
      </c>
      <c r="S7380" t="s">
        <v>26</v>
      </c>
    </row>
    <row r="7381" spans="1:19" x14ac:dyDescent="0.3">
      <c r="A7381" t="s">
        <v>3237</v>
      </c>
      <c r="B7381" t="s">
        <v>6192</v>
      </c>
      <c r="C7381" t="s">
        <v>6291</v>
      </c>
      <c r="D7381" t="s">
        <v>3275</v>
      </c>
      <c r="E7381" t="s">
        <v>3275</v>
      </c>
      <c r="F7381" t="s">
        <v>3275</v>
      </c>
      <c r="G7381" t="s">
        <v>6290</v>
      </c>
      <c r="H7381" t="s">
        <v>97</v>
      </c>
      <c r="I7381" t="s">
        <v>98</v>
      </c>
      <c r="J7381" t="str">
        <f>"0551922"</f>
        <v>0551922</v>
      </c>
      <c r="K7381">
        <v>2104113042</v>
      </c>
      <c r="L7381">
        <v>2104116540</v>
      </c>
      <c r="M7381" t="s">
        <v>6292</v>
      </c>
      <c r="N7381" t="s">
        <v>6200</v>
      </c>
      <c r="O7381" t="s">
        <v>6293</v>
      </c>
      <c r="P7381">
        <v>18534</v>
      </c>
      <c r="Q7381" t="str">
        <f>"37.937226"</f>
        <v>37.937226</v>
      </c>
      <c r="R7381" t="str">
        <f>"23.651948"</f>
        <v>23.651948</v>
      </c>
      <c r="S7381" t="s">
        <v>26</v>
      </c>
    </row>
    <row r="7382" spans="1:19" x14ac:dyDescent="0.3">
      <c r="A7382" t="s">
        <v>3237</v>
      </c>
      <c r="B7382" t="s">
        <v>6192</v>
      </c>
      <c r="C7382" t="s">
        <v>6299</v>
      </c>
      <c r="D7382" t="s">
        <v>3275</v>
      </c>
      <c r="E7382" t="s">
        <v>3275</v>
      </c>
      <c r="F7382" t="s">
        <v>3275</v>
      </c>
      <c r="G7382" t="s">
        <v>3276</v>
      </c>
      <c r="H7382" t="s">
        <v>97</v>
      </c>
      <c r="I7382" t="s">
        <v>98</v>
      </c>
      <c r="J7382" t="str">
        <f>"0551906"</f>
        <v>0551906</v>
      </c>
      <c r="K7382">
        <v>2104511945</v>
      </c>
      <c r="L7382">
        <v>2118502629</v>
      </c>
      <c r="M7382" t="s">
        <v>6300</v>
      </c>
      <c r="N7382" t="s">
        <v>3279</v>
      </c>
      <c r="O7382" t="s">
        <v>6301</v>
      </c>
      <c r="P7382">
        <v>18536</v>
      </c>
      <c r="Q7382" t="str">
        <f>"37.936426"</f>
        <v>37.936426</v>
      </c>
      <c r="R7382" t="str">
        <f>"23.642281"</f>
        <v>23.642281</v>
      </c>
      <c r="S7382" t="s">
        <v>26</v>
      </c>
    </row>
    <row r="7383" spans="1:19" x14ac:dyDescent="0.3">
      <c r="A7383" t="s">
        <v>3237</v>
      </c>
      <c r="B7383" t="s">
        <v>6192</v>
      </c>
      <c r="C7383" t="s">
        <v>6307</v>
      </c>
      <c r="D7383" t="s">
        <v>3275</v>
      </c>
      <c r="E7383" t="s">
        <v>6266</v>
      </c>
      <c r="F7383" t="s">
        <v>6267</v>
      </c>
      <c r="G7383" t="s">
        <v>6267</v>
      </c>
      <c r="H7383" t="s">
        <v>97</v>
      </c>
      <c r="I7383" t="s">
        <v>98</v>
      </c>
      <c r="J7383" t="str">
        <f>"0551914"</f>
        <v>0551914</v>
      </c>
      <c r="K7383">
        <v>2104824012</v>
      </c>
      <c r="L7383">
        <v>2104824012</v>
      </c>
      <c r="M7383" t="s">
        <v>6308</v>
      </c>
      <c r="N7383" t="s">
        <v>6309</v>
      </c>
      <c r="O7383" t="s">
        <v>6310</v>
      </c>
      <c r="P7383">
        <v>18233</v>
      </c>
      <c r="Q7383" t="str">
        <f>"37.958209"</f>
        <v>37.958209</v>
      </c>
      <c r="R7383" t="str">
        <f>"23.669022"</f>
        <v>23.669022</v>
      </c>
      <c r="S7383" t="s">
        <v>26</v>
      </c>
    </row>
    <row r="7384" spans="1:19" x14ac:dyDescent="0.3">
      <c r="A7384" t="s">
        <v>3237</v>
      </c>
      <c r="B7384" t="s">
        <v>6192</v>
      </c>
      <c r="C7384" t="s">
        <v>6315</v>
      </c>
      <c r="D7384" t="s">
        <v>3275</v>
      </c>
      <c r="E7384" t="s">
        <v>3303</v>
      </c>
      <c r="F7384" t="s">
        <v>3303</v>
      </c>
      <c r="G7384" t="s">
        <v>3303</v>
      </c>
      <c r="H7384" t="s">
        <v>97</v>
      </c>
      <c r="I7384" t="s">
        <v>98</v>
      </c>
      <c r="J7384" t="str">
        <f>"0551007"</f>
        <v>0551007</v>
      </c>
      <c r="K7384">
        <v>2104967670</v>
      </c>
      <c r="L7384">
        <v>2104942545</v>
      </c>
      <c r="M7384" t="s">
        <v>6316</v>
      </c>
      <c r="N7384" t="s">
        <v>3303</v>
      </c>
      <c r="O7384" t="s">
        <v>6250</v>
      </c>
      <c r="P7384">
        <v>18122</v>
      </c>
      <c r="Q7384" t="str">
        <f>"37.983841"</f>
        <v>37.983841</v>
      </c>
      <c r="R7384" t="str">
        <f>"23.648636"</f>
        <v>23.648636</v>
      </c>
      <c r="S7384" t="s">
        <v>26</v>
      </c>
    </row>
    <row r="7385" spans="1:19" x14ac:dyDescent="0.3">
      <c r="A7385" t="s">
        <v>3237</v>
      </c>
      <c r="B7385" t="s">
        <v>6192</v>
      </c>
      <c r="C7385" t="s">
        <v>6317</v>
      </c>
      <c r="D7385" t="s">
        <v>3275</v>
      </c>
      <c r="E7385" t="s">
        <v>3275</v>
      </c>
      <c r="F7385" t="s">
        <v>3275</v>
      </c>
      <c r="G7385" t="s">
        <v>6261</v>
      </c>
      <c r="H7385" t="s">
        <v>97</v>
      </c>
      <c r="I7385" t="s">
        <v>98</v>
      </c>
      <c r="J7385" t="str">
        <f>"0551937"</f>
        <v>0551937</v>
      </c>
      <c r="K7385">
        <v>2104822402</v>
      </c>
      <c r="L7385">
        <v>2104822402</v>
      </c>
      <c r="M7385" t="s">
        <v>6318</v>
      </c>
      <c r="N7385" t="s">
        <v>6319</v>
      </c>
      <c r="O7385" t="s">
        <v>6320</v>
      </c>
      <c r="P7385">
        <v>18541</v>
      </c>
      <c r="Q7385" t="str">
        <f>"37.952563"</f>
        <v>37.952563</v>
      </c>
      <c r="R7385" t="str">
        <f>"23.662150"</f>
        <v>23.662150</v>
      </c>
      <c r="S7385" t="s">
        <v>26</v>
      </c>
    </row>
    <row r="7386" spans="1:19" x14ac:dyDescent="0.3">
      <c r="A7386" t="s">
        <v>3237</v>
      </c>
      <c r="B7386" t="s">
        <v>6192</v>
      </c>
      <c r="C7386" t="s">
        <v>6321</v>
      </c>
      <c r="D7386" t="s">
        <v>3275</v>
      </c>
      <c r="E7386" t="s">
        <v>3275</v>
      </c>
      <c r="F7386" t="s">
        <v>3275</v>
      </c>
      <c r="G7386" t="s">
        <v>6290</v>
      </c>
      <c r="H7386" t="s">
        <v>97</v>
      </c>
      <c r="I7386" t="s">
        <v>98</v>
      </c>
      <c r="J7386" t="str">
        <f>"0551009"</f>
        <v>0551009</v>
      </c>
      <c r="K7386">
        <v>2104176292</v>
      </c>
      <c r="L7386">
        <v>2104176292</v>
      </c>
      <c r="M7386" t="s">
        <v>6322</v>
      </c>
      <c r="N7386" t="s">
        <v>3279</v>
      </c>
      <c r="O7386" t="s">
        <v>6323</v>
      </c>
      <c r="P7386">
        <v>18535</v>
      </c>
      <c r="Q7386" t="str">
        <f>"37.940567"</f>
        <v>37.940567</v>
      </c>
      <c r="R7386" t="str">
        <f>"23.646224"</f>
        <v>23.646224</v>
      </c>
      <c r="S7386" t="s">
        <v>26</v>
      </c>
    </row>
    <row r="7387" spans="1:19" x14ac:dyDescent="0.3">
      <c r="A7387" t="s">
        <v>3237</v>
      </c>
      <c r="B7387" t="s">
        <v>6192</v>
      </c>
      <c r="C7387" t="s">
        <v>6325</v>
      </c>
      <c r="D7387" t="s">
        <v>3275</v>
      </c>
      <c r="E7387" t="s">
        <v>6212</v>
      </c>
      <c r="F7387" t="s">
        <v>6256</v>
      </c>
      <c r="G7387" t="s">
        <v>6256</v>
      </c>
      <c r="H7387" t="s">
        <v>97</v>
      </c>
      <c r="I7387" t="s">
        <v>98</v>
      </c>
      <c r="J7387" t="str">
        <f>"0551920"</f>
        <v>0551920</v>
      </c>
      <c r="K7387">
        <v>2104324658</v>
      </c>
      <c r="L7387">
        <v>2104327780</v>
      </c>
      <c r="M7387" t="s">
        <v>6326</v>
      </c>
      <c r="N7387" t="s">
        <v>6327</v>
      </c>
      <c r="O7387" t="s">
        <v>6328</v>
      </c>
      <c r="P7387">
        <v>18757</v>
      </c>
      <c r="Q7387" t="str">
        <f>"37.969404"</f>
        <v>37.969404</v>
      </c>
      <c r="R7387" t="str">
        <f>"23.625768"</f>
        <v>23.625768</v>
      </c>
      <c r="S7387" t="s">
        <v>26</v>
      </c>
    </row>
    <row r="7388" spans="1:19" x14ac:dyDescent="0.3">
      <c r="A7388" t="s">
        <v>3237</v>
      </c>
      <c r="B7388" t="s">
        <v>6192</v>
      </c>
      <c r="C7388" t="s">
        <v>6330</v>
      </c>
      <c r="D7388" t="s">
        <v>3275</v>
      </c>
      <c r="E7388" t="s">
        <v>3275</v>
      </c>
      <c r="F7388" t="s">
        <v>3275</v>
      </c>
      <c r="G7388" t="s">
        <v>6290</v>
      </c>
      <c r="H7388" t="s">
        <v>97</v>
      </c>
      <c r="I7388" t="s">
        <v>3640</v>
      </c>
      <c r="J7388" t="str">
        <f>"0551905"</f>
        <v>0551905</v>
      </c>
      <c r="K7388">
        <v>2104111992</v>
      </c>
      <c r="M7388" t="s">
        <v>6331</v>
      </c>
      <c r="N7388" t="s">
        <v>3279</v>
      </c>
      <c r="O7388" t="s">
        <v>6332</v>
      </c>
      <c r="P7388">
        <v>18531</v>
      </c>
      <c r="Q7388" t="str">
        <f>"37.947284"</f>
        <v>37.947284</v>
      </c>
      <c r="R7388" t="str">
        <f>"23.649481"</f>
        <v>23.649481</v>
      </c>
      <c r="S7388" t="s">
        <v>26</v>
      </c>
    </row>
    <row r="7389" spans="1:19" x14ac:dyDescent="0.3">
      <c r="A7389" t="s">
        <v>3237</v>
      </c>
      <c r="B7389" t="s">
        <v>6192</v>
      </c>
      <c r="C7389" t="s">
        <v>6333</v>
      </c>
      <c r="D7389" t="s">
        <v>3275</v>
      </c>
      <c r="E7389" t="s">
        <v>3275</v>
      </c>
      <c r="F7389" t="s">
        <v>3275</v>
      </c>
      <c r="G7389" t="s">
        <v>3276</v>
      </c>
      <c r="H7389" t="s">
        <v>97</v>
      </c>
      <c r="I7389" t="s">
        <v>98</v>
      </c>
      <c r="J7389" t="str">
        <f>"0551907"</f>
        <v>0551907</v>
      </c>
      <c r="K7389">
        <v>2104521441</v>
      </c>
      <c r="L7389">
        <v>2104180347</v>
      </c>
      <c r="M7389" t="s">
        <v>6334</v>
      </c>
      <c r="N7389" t="s">
        <v>3279</v>
      </c>
      <c r="O7389" t="s">
        <v>6335</v>
      </c>
      <c r="P7389">
        <v>18539</v>
      </c>
      <c r="Q7389" t="str">
        <f>"37.935394"</f>
        <v>37.935394</v>
      </c>
      <c r="R7389" t="str">
        <f>"23.631284"</f>
        <v>23.631284</v>
      </c>
      <c r="S7389" t="s">
        <v>26</v>
      </c>
    </row>
    <row r="7390" spans="1:19" x14ac:dyDescent="0.3">
      <c r="A7390" t="s">
        <v>3237</v>
      </c>
      <c r="B7390" t="s">
        <v>6192</v>
      </c>
      <c r="C7390" t="s">
        <v>6338</v>
      </c>
      <c r="D7390" t="s">
        <v>6222</v>
      </c>
      <c r="E7390" t="s">
        <v>6231</v>
      </c>
      <c r="F7390" t="s">
        <v>6238</v>
      </c>
      <c r="G7390" t="s">
        <v>6337</v>
      </c>
      <c r="H7390" t="s">
        <v>97</v>
      </c>
      <c r="I7390" t="s">
        <v>98</v>
      </c>
      <c r="J7390" t="str">
        <f>"0590850"</f>
        <v>0590850</v>
      </c>
      <c r="K7390">
        <v>2298042604</v>
      </c>
      <c r="L7390">
        <v>2298042604</v>
      </c>
      <c r="M7390" t="s">
        <v>6339</v>
      </c>
      <c r="N7390" t="s">
        <v>6241</v>
      </c>
      <c r="O7390" t="s">
        <v>6340</v>
      </c>
      <c r="P7390">
        <v>18020</v>
      </c>
      <c r="Q7390" t="str">
        <f>"37.497273"</f>
        <v>37.497273</v>
      </c>
      <c r="R7390" t="str">
        <f>"23.437287"</f>
        <v>23.437287</v>
      </c>
      <c r="S7390" t="s">
        <v>26</v>
      </c>
    </row>
    <row r="7391" spans="1:19" x14ac:dyDescent="0.3">
      <c r="A7391" t="s">
        <v>3237</v>
      </c>
      <c r="B7391" t="s">
        <v>6192</v>
      </c>
      <c r="C7391" t="s">
        <v>6341</v>
      </c>
      <c r="D7391" t="s">
        <v>3275</v>
      </c>
      <c r="E7391" t="s">
        <v>3275</v>
      </c>
      <c r="F7391" t="s">
        <v>3275</v>
      </c>
      <c r="G7391" t="s">
        <v>6193</v>
      </c>
      <c r="H7391" t="s">
        <v>97</v>
      </c>
      <c r="I7391" t="s">
        <v>98</v>
      </c>
      <c r="J7391" t="str">
        <f>"0551919"</f>
        <v>0551919</v>
      </c>
      <c r="K7391">
        <v>2104621877</v>
      </c>
      <c r="L7391">
        <v>2104621877</v>
      </c>
      <c r="M7391" t="s">
        <v>6342</v>
      </c>
      <c r="N7391" t="s">
        <v>6200</v>
      </c>
      <c r="O7391" t="s">
        <v>6343</v>
      </c>
      <c r="P7391">
        <v>18546</v>
      </c>
      <c r="Q7391" t="str">
        <f>"37.960123"</f>
        <v>37.960123</v>
      </c>
      <c r="R7391" t="str">
        <f>"23.633998"</f>
        <v>23.633998</v>
      </c>
      <c r="S7391" t="s">
        <v>26</v>
      </c>
    </row>
    <row r="7392" spans="1:19" x14ac:dyDescent="0.3">
      <c r="A7392" t="s">
        <v>3237</v>
      </c>
      <c r="B7392" t="s">
        <v>6192</v>
      </c>
      <c r="C7392" t="s">
        <v>6346</v>
      </c>
      <c r="D7392" t="s">
        <v>6222</v>
      </c>
      <c r="E7392" t="s">
        <v>6345</v>
      </c>
      <c r="F7392" t="s">
        <v>6345</v>
      </c>
      <c r="G7392" t="s">
        <v>6345</v>
      </c>
      <c r="H7392" t="s">
        <v>97</v>
      </c>
      <c r="I7392" t="s">
        <v>98</v>
      </c>
      <c r="J7392" t="str">
        <f>"5256010"</f>
        <v>5256010</v>
      </c>
      <c r="K7392">
        <v>2298053326</v>
      </c>
      <c r="L7392">
        <v>2298053326</v>
      </c>
      <c r="M7392" t="s">
        <v>6347</v>
      </c>
      <c r="N7392" t="s">
        <v>6348</v>
      </c>
      <c r="O7392" t="s">
        <v>6348</v>
      </c>
      <c r="P7392">
        <v>18040</v>
      </c>
      <c r="Q7392" t="str">
        <f>"37.348056"</f>
        <v>37.348056</v>
      </c>
      <c r="R7392" t="str">
        <f>"23.470848"</f>
        <v>23.470848</v>
      </c>
      <c r="S7392" t="s">
        <v>26</v>
      </c>
    </row>
    <row r="7393" spans="1:19" x14ac:dyDescent="0.3">
      <c r="A7393" t="s">
        <v>3237</v>
      </c>
      <c r="B7393" t="s">
        <v>6192</v>
      </c>
      <c r="C7393" t="s">
        <v>6350</v>
      </c>
      <c r="D7393" t="s">
        <v>3275</v>
      </c>
      <c r="E7393" t="s">
        <v>6266</v>
      </c>
      <c r="F7393" t="s">
        <v>5431</v>
      </c>
      <c r="G7393" t="s">
        <v>5431</v>
      </c>
      <c r="H7393" t="s">
        <v>97</v>
      </c>
      <c r="I7393" t="s">
        <v>98</v>
      </c>
      <c r="J7393" t="str">
        <f>"0551928"</f>
        <v>0551928</v>
      </c>
      <c r="K7393">
        <v>2104912177</v>
      </c>
      <c r="L7393">
        <v>2104912177</v>
      </c>
      <c r="M7393" t="s">
        <v>6351</v>
      </c>
      <c r="N7393" t="s">
        <v>6352</v>
      </c>
      <c r="O7393" t="s">
        <v>6353</v>
      </c>
      <c r="P7393">
        <v>18450</v>
      </c>
      <c r="Q7393" t="str">
        <f>"37.966979"</f>
        <v>37.966979</v>
      </c>
      <c r="R7393" t="str">
        <f>"23.641863"</f>
        <v>23.641863</v>
      </c>
      <c r="S7393" t="s">
        <v>26</v>
      </c>
    </row>
    <row r="7394" spans="1:19" x14ac:dyDescent="0.3">
      <c r="A7394" t="s">
        <v>3237</v>
      </c>
      <c r="B7394" t="s">
        <v>6192</v>
      </c>
      <c r="C7394" t="s">
        <v>6355</v>
      </c>
      <c r="D7394" t="s">
        <v>3275</v>
      </c>
      <c r="E7394" t="s">
        <v>3303</v>
      </c>
      <c r="F7394" t="s">
        <v>3303</v>
      </c>
      <c r="G7394" t="s">
        <v>3303</v>
      </c>
      <c r="H7394" t="s">
        <v>97</v>
      </c>
      <c r="I7394" t="s">
        <v>98</v>
      </c>
      <c r="J7394" t="str">
        <f>"0551932"</f>
        <v>0551932</v>
      </c>
      <c r="K7394">
        <v>2104950896</v>
      </c>
      <c r="L7394">
        <v>2104949532</v>
      </c>
      <c r="M7394" t="s">
        <v>6356</v>
      </c>
      <c r="N7394" t="s">
        <v>6249</v>
      </c>
      <c r="O7394" t="s">
        <v>6357</v>
      </c>
      <c r="P7394">
        <v>18122</v>
      </c>
      <c r="Q7394" t="str">
        <f>"37.981627"</f>
        <v>37.981627</v>
      </c>
      <c r="R7394" t="str">
        <f>"23.645622"</f>
        <v>23.645622</v>
      </c>
      <c r="S7394" t="s">
        <v>26</v>
      </c>
    </row>
    <row r="7395" spans="1:19" x14ac:dyDescent="0.3">
      <c r="A7395" t="s">
        <v>3237</v>
      </c>
      <c r="B7395" t="s">
        <v>6192</v>
      </c>
      <c r="C7395" t="s">
        <v>6358</v>
      </c>
      <c r="D7395" t="s">
        <v>3275</v>
      </c>
      <c r="E7395" t="s">
        <v>6266</v>
      </c>
      <c r="F7395" t="s">
        <v>5431</v>
      </c>
      <c r="G7395" t="s">
        <v>5431</v>
      </c>
      <c r="H7395" t="s">
        <v>97</v>
      </c>
      <c r="I7395" t="s">
        <v>98</v>
      </c>
      <c r="J7395" t="str">
        <f>"0551929"</f>
        <v>0551929</v>
      </c>
      <c r="K7395">
        <v>2104918241</v>
      </c>
      <c r="L7395">
        <v>2104933652</v>
      </c>
      <c r="M7395" t="s">
        <v>6359</v>
      </c>
      <c r="N7395" t="s">
        <v>6352</v>
      </c>
      <c r="O7395" t="s">
        <v>6360</v>
      </c>
      <c r="P7395">
        <v>18451</v>
      </c>
      <c r="Q7395" t="str">
        <f>"37.969748"</f>
        <v>37.969748</v>
      </c>
      <c r="R7395" t="str">
        <f>"23.636483"</f>
        <v>23.636483</v>
      </c>
      <c r="S7395" t="s">
        <v>26</v>
      </c>
    </row>
    <row r="7396" spans="1:19" x14ac:dyDescent="0.3">
      <c r="A7396" t="s">
        <v>3237</v>
      </c>
      <c r="B7396" t="s">
        <v>6192</v>
      </c>
      <c r="C7396" t="s">
        <v>6362</v>
      </c>
      <c r="D7396" t="s">
        <v>3275</v>
      </c>
      <c r="E7396" t="s">
        <v>6212</v>
      </c>
      <c r="F7396" t="s">
        <v>6213</v>
      </c>
      <c r="G7396" t="s">
        <v>6213</v>
      </c>
      <c r="H7396" t="s">
        <v>97</v>
      </c>
      <c r="I7396" t="s">
        <v>98</v>
      </c>
      <c r="J7396" t="str">
        <f>"0551924"</f>
        <v>0551924</v>
      </c>
      <c r="K7396">
        <v>2104622770</v>
      </c>
      <c r="L7396">
        <v>2104615005</v>
      </c>
      <c r="M7396" t="s">
        <v>6363</v>
      </c>
      <c r="N7396" t="s">
        <v>6216</v>
      </c>
      <c r="O7396" t="s">
        <v>6364</v>
      </c>
      <c r="P7396">
        <v>18648</v>
      </c>
      <c r="Q7396" t="str">
        <f>"37.951041"</f>
        <v>37.951041</v>
      </c>
      <c r="R7396" t="str">
        <f>"23.627347"</f>
        <v>23.627347</v>
      </c>
      <c r="S7396" t="s">
        <v>26</v>
      </c>
    </row>
    <row r="7397" spans="1:19" x14ac:dyDescent="0.3">
      <c r="A7397" t="s">
        <v>3237</v>
      </c>
      <c r="B7397" t="s">
        <v>6192</v>
      </c>
      <c r="C7397" t="s">
        <v>6366</v>
      </c>
      <c r="D7397" t="s">
        <v>3275</v>
      </c>
      <c r="E7397" t="s">
        <v>3303</v>
      </c>
      <c r="F7397" t="s">
        <v>3303</v>
      </c>
      <c r="G7397" t="s">
        <v>3303</v>
      </c>
      <c r="H7397" t="s">
        <v>97</v>
      </c>
      <c r="I7397" t="s">
        <v>98</v>
      </c>
      <c r="J7397" t="str">
        <f>"0551931"</f>
        <v>0551931</v>
      </c>
      <c r="K7397">
        <v>2104952225</v>
      </c>
      <c r="L7397">
        <v>2104951738</v>
      </c>
      <c r="M7397" t="s">
        <v>6367</v>
      </c>
      <c r="N7397" t="s">
        <v>6249</v>
      </c>
      <c r="O7397" t="s">
        <v>6357</v>
      </c>
      <c r="P7397">
        <v>18122</v>
      </c>
      <c r="Q7397" t="str">
        <f>"37.981669"</f>
        <v>37.981669</v>
      </c>
      <c r="R7397" t="str">
        <f>"23.644796"</f>
        <v>23.644796</v>
      </c>
      <c r="S7397" t="s">
        <v>26</v>
      </c>
    </row>
    <row r="7398" spans="1:19" x14ac:dyDescent="0.3">
      <c r="A7398" t="s">
        <v>3237</v>
      </c>
      <c r="B7398" t="s">
        <v>6192</v>
      </c>
      <c r="C7398" t="s">
        <v>6369</v>
      </c>
      <c r="D7398" t="s">
        <v>3275</v>
      </c>
      <c r="E7398" t="s">
        <v>3275</v>
      </c>
      <c r="F7398" t="s">
        <v>3275</v>
      </c>
      <c r="G7398" t="s">
        <v>6290</v>
      </c>
      <c r="H7398" t="s">
        <v>97</v>
      </c>
      <c r="I7398" t="s">
        <v>98</v>
      </c>
      <c r="J7398" t="str">
        <f>"0551921"</f>
        <v>0551921</v>
      </c>
      <c r="K7398">
        <v>2104117027</v>
      </c>
      <c r="L7398">
        <v>2104117028</v>
      </c>
      <c r="M7398" t="s">
        <v>6370</v>
      </c>
      <c r="N7398" t="s">
        <v>3279</v>
      </c>
      <c r="O7398" t="s">
        <v>6371</v>
      </c>
      <c r="P7398">
        <v>18533</v>
      </c>
      <c r="Q7398" t="str">
        <f>"37.949003"</f>
        <v>37.949003</v>
      </c>
      <c r="R7398" t="str">
        <f>"23.657116"</f>
        <v>23.657116</v>
      </c>
      <c r="S7398" t="s">
        <v>26</v>
      </c>
    </row>
    <row r="7399" spans="1:19" x14ac:dyDescent="0.3">
      <c r="A7399" t="s">
        <v>3237</v>
      </c>
      <c r="B7399" t="s">
        <v>6192</v>
      </c>
      <c r="C7399" t="s">
        <v>6373</v>
      </c>
      <c r="D7399" t="s">
        <v>3275</v>
      </c>
      <c r="E7399" t="s">
        <v>6266</v>
      </c>
      <c r="F7399" t="s">
        <v>5431</v>
      </c>
      <c r="G7399" t="s">
        <v>5431</v>
      </c>
      <c r="H7399" t="s">
        <v>97</v>
      </c>
      <c r="I7399" t="s">
        <v>98</v>
      </c>
      <c r="J7399" t="str">
        <f>"0551927"</f>
        <v>0551927</v>
      </c>
      <c r="K7399">
        <v>2104917585</v>
      </c>
      <c r="L7399">
        <v>2104924912</v>
      </c>
      <c r="M7399" t="s">
        <v>6374</v>
      </c>
      <c r="N7399" t="s">
        <v>6352</v>
      </c>
      <c r="O7399" t="s">
        <v>6375</v>
      </c>
      <c r="P7399">
        <v>18451</v>
      </c>
      <c r="Q7399" t="str">
        <f>"37.971652"</f>
        <v>37.971652</v>
      </c>
      <c r="R7399" t="str">
        <f>"23.641221"</f>
        <v>23.641221</v>
      </c>
      <c r="S7399" t="s">
        <v>26</v>
      </c>
    </row>
    <row r="7400" spans="1:19" x14ac:dyDescent="0.3">
      <c r="A7400" t="s">
        <v>3237</v>
      </c>
      <c r="B7400" t="s">
        <v>6192</v>
      </c>
      <c r="C7400" t="s">
        <v>6383</v>
      </c>
      <c r="D7400" t="s">
        <v>3275</v>
      </c>
      <c r="E7400" t="s">
        <v>3275</v>
      </c>
      <c r="F7400" t="s">
        <v>3275</v>
      </c>
      <c r="G7400" t="s">
        <v>6382</v>
      </c>
      <c r="H7400" t="s">
        <v>97</v>
      </c>
      <c r="I7400" t="s">
        <v>98</v>
      </c>
      <c r="J7400" t="str">
        <f>"0551909"</f>
        <v>0551909</v>
      </c>
      <c r="K7400">
        <v>2104178995</v>
      </c>
      <c r="L7400">
        <v>2104178995</v>
      </c>
      <c r="M7400" t="s">
        <v>6384</v>
      </c>
      <c r="N7400" t="s">
        <v>3279</v>
      </c>
      <c r="O7400" t="s">
        <v>6385</v>
      </c>
      <c r="P7400">
        <v>18533</v>
      </c>
      <c r="Q7400" t="str">
        <f>"37.944792"</f>
        <v>37.944792</v>
      </c>
      <c r="R7400" t="str">
        <f>"23.659578"</f>
        <v>23.659578</v>
      </c>
      <c r="S7400" t="s">
        <v>26</v>
      </c>
    </row>
    <row r="7401" spans="1:19" x14ac:dyDescent="0.3">
      <c r="A7401" t="s">
        <v>3237</v>
      </c>
      <c r="B7401" t="s">
        <v>6192</v>
      </c>
      <c r="C7401" t="s">
        <v>6390</v>
      </c>
      <c r="D7401" t="s">
        <v>6222</v>
      </c>
      <c r="E7401" t="s">
        <v>6223</v>
      </c>
      <c r="F7401" t="s">
        <v>6229</v>
      </c>
      <c r="G7401" t="s">
        <v>6223</v>
      </c>
      <c r="H7401" t="s">
        <v>97</v>
      </c>
      <c r="I7401" t="s">
        <v>98</v>
      </c>
      <c r="J7401" t="str">
        <f>"5253010"</f>
        <v>5253010</v>
      </c>
      <c r="K7401">
        <v>2104655510</v>
      </c>
      <c r="L7401">
        <v>2104655510</v>
      </c>
      <c r="M7401" t="s">
        <v>6391</v>
      </c>
      <c r="N7401" t="s">
        <v>6389</v>
      </c>
      <c r="O7401" t="s">
        <v>6392</v>
      </c>
      <c r="P7401">
        <v>18900</v>
      </c>
      <c r="Q7401" t="str">
        <f>"37.967722"</f>
        <v>37.967722</v>
      </c>
      <c r="R7401" t="str">
        <f>"23.482860"</f>
        <v>23.482860</v>
      </c>
      <c r="S7401" t="s">
        <v>26</v>
      </c>
    </row>
    <row r="7402" spans="1:19" x14ac:dyDescent="0.3">
      <c r="A7402" t="s">
        <v>3237</v>
      </c>
      <c r="B7402" t="s">
        <v>6192</v>
      </c>
      <c r="C7402" t="s">
        <v>6395</v>
      </c>
      <c r="D7402" t="s">
        <v>6222</v>
      </c>
      <c r="E7402" t="s">
        <v>6394</v>
      </c>
      <c r="F7402" t="s">
        <v>6394</v>
      </c>
      <c r="G7402" t="s">
        <v>6394</v>
      </c>
      <c r="H7402" t="s">
        <v>97</v>
      </c>
      <c r="I7402" t="s">
        <v>98</v>
      </c>
      <c r="J7402" t="str">
        <f>"5255010"</f>
        <v>5255010</v>
      </c>
      <c r="K7402">
        <v>2736031314</v>
      </c>
      <c r="L7402">
        <v>2736038386</v>
      </c>
      <c r="M7402" t="s">
        <v>6396</v>
      </c>
      <c r="N7402" t="s">
        <v>6394</v>
      </c>
      <c r="O7402" t="s">
        <v>6397</v>
      </c>
      <c r="P7402">
        <v>80100</v>
      </c>
      <c r="Q7402" t="str">
        <f>"36.149230"</f>
        <v>36.149230</v>
      </c>
      <c r="R7402" t="str">
        <f>"22.989759"</f>
        <v>22.989759</v>
      </c>
      <c r="S7402" t="s">
        <v>57</v>
      </c>
    </row>
    <row r="7403" spans="1:19" x14ac:dyDescent="0.3">
      <c r="A7403" t="s">
        <v>3237</v>
      </c>
      <c r="B7403" t="s">
        <v>6192</v>
      </c>
      <c r="C7403" t="s">
        <v>6399</v>
      </c>
      <c r="D7403" t="s">
        <v>3275</v>
      </c>
      <c r="E7403" t="s">
        <v>3275</v>
      </c>
      <c r="F7403" t="s">
        <v>3275</v>
      </c>
      <c r="G7403" t="s">
        <v>6261</v>
      </c>
      <c r="H7403" t="s">
        <v>97</v>
      </c>
      <c r="I7403" t="s">
        <v>98</v>
      </c>
      <c r="J7403" t="str">
        <f>"0551934"</f>
        <v>0551934</v>
      </c>
      <c r="K7403">
        <v>2104203738</v>
      </c>
      <c r="L7403">
        <v>2104208548</v>
      </c>
      <c r="M7403" t="s">
        <v>6400</v>
      </c>
      <c r="N7403" t="s">
        <v>6200</v>
      </c>
      <c r="O7403" t="s">
        <v>6401</v>
      </c>
      <c r="P7403">
        <v>18542</v>
      </c>
      <c r="Q7403" t="str">
        <f>"37.959164"</f>
        <v>37.959164</v>
      </c>
      <c r="R7403" t="str">
        <f>"23.656309"</f>
        <v>23.656309</v>
      </c>
      <c r="S7403" t="s">
        <v>26</v>
      </c>
    </row>
    <row r="7404" spans="1:19" x14ac:dyDescent="0.3">
      <c r="A7404" t="s">
        <v>3237</v>
      </c>
      <c r="B7404" t="s">
        <v>6192</v>
      </c>
      <c r="C7404" t="s">
        <v>6403</v>
      </c>
      <c r="D7404" t="s">
        <v>3275</v>
      </c>
      <c r="E7404" t="s">
        <v>6203</v>
      </c>
      <c r="F7404" t="s">
        <v>6203</v>
      </c>
      <c r="G7404" t="s">
        <v>6203</v>
      </c>
      <c r="H7404" t="s">
        <v>97</v>
      </c>
      <c r="I7404" t="s">
        <v>98</v>
      </c>
      <c r="J7404" t="str">
        <f>"0551926"</f>
        <v>0551926</v>
      </c>
      <c r="K7404">
        <v>2104411690</v>
      </c>
      <c r="L7404">
        <v>2104411690</v>
      </c>
      <c r="M7404" t="s">
        <v>6404</v>
      </c>
      <c r="N7404" t="s">
        <v>1291</v>
      </c>
      <c r="O7404" t="s">
        <v>6405</v>
      </c>
      <c r="P7404">
        <v>18863</v>
      </c>
      <c r="Q7404" t="str">
        <f>"37.965442"</f>
        <v>37.965442</v>
      </c>
      <c r="R7404" t="str">
        <f>"23.558252"</f>
        <v>23.558252</v>
      </c>
      <c r="S7404" t="s">
        <v>26</v>
      </c>
    </row>
    <row r="7405" spans="1:19" x14ac:dyDescent="0.3">
      <c r="A7405" t="s">
        <v>3237</v>
      </c>
      <c r="B7405" t="s">
        <v>6192</v>
      </c>
      <c r="C7405" t="s">
        <v>6407</v>
      </c>
      <c r="D7405" t="s">
        <v>3275</v>
      </c>
      <c r="E7405" t="s">
        <v>3275</v>
      </c>
      <c r="F7405" t="s">
        <v>3275</v>
      </c>
      <c r="G7405" t="s">
        <v>6193</v>
      </c>
      <c r="H7405" t="s">
        <v>97</v>
      </c>
      <c r="I7405" t="s">
        <v>98</v>
      </c>
      <c r="J7405" t="str">
        <f>"0551918"</f>
        <v>0551918</v>
      </c>
      <c r="K7405">
        <v>2104620750</v>
      </c>
      <c r="L7405">
        <v>2104620750</v>
      </c>
      <c r="M7405" t="s">
        <v>6408</v>
      </c>
      <c r="N7405" t="s">
        <v>6200</v>
      </c>
      <c r="O7405" t="s">
        <v>6409</v>
      </c>
      <c r="P7405">
        <v>18546</v>
      </c>
      <c r="Q7405" t="str">
        <f>"37.957916"</f>
        <v>37.957916</v>
      </c>
      <c r="R7405" t="str">
        <f>"23.634083"</f>
        <v>23.634083</v>
      </c>
      <c r="S7405" t="s">
        <v>26</v>
      </c>
    </row>
    <row r="7406" spans="1:19" x14ac:dyDescent="0.3">
      <c r="A7406" t="s">
        <v>3237</v>
      </c>
      <c r="B7406" t="s">
        <v>6192</v>
      </c>
      <c r="C7406" t="s">
        <v>6410</v>
      </c>
      <c r="D7406" t="s">
        <v>3275</v>
      </c>
      <c r="E7406" t="s">
        <v>3275</v>
      </c>
      <c r="F7406" t="s">
        <v>3275</v>
      </c>
      <c r="G7406" t="s">
        <v>6193</v>
      </c>
      <c r="H7406" t="s">
        <v>97</v>
      </c>
      <c r="I7406" t="s">
        <v>98</v>
      </c>
      <c r="J7406" t="str">
        <f>"0590900"</f>
        <v>0590900</v>
      </c>
      <c r="K7406">
        <v>2104910393</v>
      </c>
      <c r="L7406">
        <v>2104910373</v>
      </c>
      <c r="M7406" t="s">
        <v>6411</v>
      </c>
      <c r="N7406" t="s">
        <v>3279</v>
      </c>
      <c r="O7406" t="s">
        <v>6412</v>
      </c>
      <c r="P7406">
        <v>18543</v>
      </c>
      <c r="Q7406" t="str">
        <f>"37.959904"</f>
        <v>37.959904</v>
      </c>
      <c r="R7406" t="str">
        <f>"23.642637"</f>
        <v>23.642637</v>
      </c>
      <c r="S7406" t="s">
        <v>26</v>
      </c>
    </row>
    <row r="7407" spans="1:19" x14ac:dyDescent="0.3">
      <c r="A7407" t="s">
        <v>3237</v>
      </c>
      <c r="B7407" t="s">
        <v>6192</v>
      </c>
      <c r="C7407" t="s">
        <v>6413</v>
      </c>
      <c r="D7407" t="s">
        <v>3275</v>
      </c>
      <c r="E7407" t="s">
        <v>3303</v>
      </c>
      <c r="F7407" t="s">
        <v>3303</v>
      </c>
      <c r="G7407" t="s">
        <v>3303</v>
      </c>
      <c r="H7407" t="s">
        <v>97</v>
      </c>
      <c r="I7407" t="s">
        <v>98</v>
      </c>
      <c r="J7407" t="str">
        <f>"0551945"</f>
        <v>0551945</v>
      </c>
      <c r="K7407">
        <v>2104969327</v>
      </c>
      <c r="L7407">
        <v>2104942437</v>
      </c>
      <c r="M7407" t="s">
        <v>6414</v>
      </c>
      <c r="N7407" t="s">
        <v>6249</v>
      </c>
      <c r="O7407" t="s">
        <v>6250</v>
      </c>
      <c r="P7407">
        <v>18122</v>
      </c>
      <c r="Q7407" t="str">
        <f>"37.983122"</f>
        <v>37.983122</v>
      </c>
      <c r="R7407" t="str">
        <f>"23.648657"</f>
        <v>23.648657</v>
      </c>
      <c r="S7407" t="s">
        <v>26</v>
      </c>
    </row>
    <row r="7408" spans="1:19" x14ac:dyDescent="0.3">
      <c r="A7408" t="s">
        <v>3237</v>
      </c>
      <c r="B7408" t="s">
        <v>6192</v>
      </c>
      <c r="C7408" t="s">
        <v>6415</v>
      </c>
      <c r="D7408" t="s">
        <v>3275</v>
      </c>
      <c r="E7408" t="s">
        <v>6203</v>
      </c>
      <c r="F7408" t="s">
        <v>6203</v>
      </c>
      <c r="G7408" t="s">
        <v>6203</v>
      </c>
      <c r="H7408" t="s">
        <v>97</v>
      </c>
      <c r="I7408" t="s">
        <v>195</v>
      </c>
      <c r="J7408" t="str">
        <f>"0552945"</f>
        <v>0552945</v>
      </c>
      <c r="K7408">
        <v>2104413046</v>
      </c>
      <c r="M7408" t="s">
        <v>6416</v>
      </c>
      <c r="N7408" t="s">
        <v>1291</v>
      </c>
      <c r="O7408" t="s">
        <v>6417</v>
      </c>
      <c r="P7408">
        <v>18863</v>
      </c>
      <c r="Q7408" t="str">
        <f>"37.965008"</f>
        <v>37.965008</v>
      </c>
      <c r="R7408" t="str">
        <f>"23.558231"</f>
        <v>23.558231</v>
      </c>
      <c r="S7408" t="s">
        <v>26</v>
      </c>
    </row>
    <row r="7409" spans="1:19" x14ac:dyDescent="0.3">
      <c r="A7409" t="s">
        <v>3237</v>
      </c>
      <c r="B7409" t="s">
        <v>6192</v>
      </c>
      <c r="C7409" t="s">
        <v>6420</v>
      </c>
      <c r="D7409" t="s">
        <v>3275</v>
      </c>
      <c r="E7409" t="s">
        <v>6266</v>
      </c>
      <c r="F7409" t="s">
        <v>5431</v>
      </c>
      <c r="G7409" t="s">
        <v>5431</v>
      </c>
      <c r="H7409" t="s">
        <v>97</v>
      </c>
      <c r="I7409" t="s">
        <v>195</v>
      </c>
      <c r="J7409" t="str">
        <f>"0551930"</f>
        <v>0551930</v>
      </c>
      <c r="K7409">
        <v>2104916110</v>
      </c>
      <c r="M7409" t="s">
        <v>6421</v>
      </c>
      <c r="N7409" t="s">
        <v>6352</v>
      </c>
      <c r="O7409" t="s">
        <v>6375</v>
      </c>
      <c r="P7409">
        <v>18451</v>
      </c>
      <c r="Q7409" t="str">
        <f>"37.971652"</f>
        <v>37.971652</v>
      </c>
      <c r="R7409" t="str">
        <f>"23.641221"</f>
        <v>23.641221</v>
      </c>
      <c r="S7409" t="s">
        <v>26</v>
      </c>
    </row>
    <row r="7410" spans="1:19" x14ac:dyDescent="0.3">
      <c r="A7410" t="s">
        <v>3237</v>
      </c>
      <c r="B7410" t="s">
        <v>6192</v>
      </c>
      <c r="C7410" t="s">
        <v>6422</v>
      </c>
      <c r="D7410" t="s">
        <v>3275</v>
      </c>
      <c r="E7410" t="s">
        <v>3303</v>
      </c>
      <c r="F7410" t="s">
        <v>3303</v>
      </c>
      <c r="G7410" t="s">
        <v>3303</v>
      </c>
      <c r="H7410" t="s">
        <v>97</v>
      </c>
      <c r="I7410" t="s">
        <v>98</v>
      </c>
      <c r="J7410" t="str">
        <f>"0551951"</f>
        <v>0551951</v>
      </c>
      <c r="K7410">
        <v>2104951295</v>
      </c>
      <c r="L7410">
        <v>2104945670</v>
      </c>
      <c r="M7410" t="s">
        <v>6423</v>
      </c>
      <c r="N7410" t="s">
        <v>6249</v>
      </c>
      <c r="O7410" t="s">
        <v>6250</v>
      </c>
      <c r="P7410">
        <v>18122</v>
      </c>
      <c r="Q7410" t="str">
        <f>"37.983878"</f>
        <v>37.983878</v>
      </c>
      <c r="R7410" t="str">
        <f>"23.649770"</f>
        <v>23.649770</v>
      </c>
      <c r="S7410" t="s">
        <v>26</v>
      </c>
    </row>
    <row r="7411" spans="1:19" x14ac:dyDescent="0.3">
      <c r="A7411" t="s">
        <v>3237</v>
      </c>
      <c r="B7411" t="s">
        <v>6192</v>
      </c>
      <c r="C7411" t="s">
        <v>6424</v>
      </c>
      <c r="D7411" t="s">
        <v>3275</v>
      </c>
      <c r="E7411" t="s">
        <v>6266</v>
      </c>
      <c r="F7411" t="s">
        <v>5431</v>
      </c>
      <c r="G7411" t="s">
        <v>5431</v>
      </c>
      <c r="H7411" t="s">
        <v>97</v>
      </c>
      <c r="I7411" t="s">
        <v>98</v>
      </c>
      <c r="J7411" t="str">
        <f>"0551935"</f>
        <v>0551935</v>
      </c>
      <c r="K7411">
        <v>2104934476</v>
      </c>
      <c r="L7411">
        <v>2104934476</v>
      </c>
      <c r="M7411" t="s">
        <v>6425</v>
      </c>
      <c r="N7411" t="s">
        <v>5431</v>
      </c>
      <c r="O7411" t="s">
        <v>6426</v>
      </c>
      <c r="P7411">
        <v>18454</v>
      </c>
      <c r="Q7411" t="str">
        <f>"37.970469"</f>
        <v>37.970469</v>
      </c>
      <c r="R7411" t="str">
        <f>"23.662517"</f>
        <v>23.662517</v>
      </c>
      <c r="S7411" t="s">
        <v>26</v>
      </c>
    </row>
    <row r="7412" spans="1:19" x14ac:dyDescent="0.3">
      <c r="A7412" t="s">
        <v>3237</v>
      </c>
      <c r="B7412" t="s">
        <v>6192</v>
      </c>
      <c r="C7412" t="s">
        <v>6428</v>
      </c>
      <c r="D7412" t="s">
        <v>3275</v>
      </c>
      <c r="E7412" t="s">
        <v>6212</v>
      </c>
      <c r="F7412" t="s">
        <v>6256</v>
      </c>
      <c r="G7412" t="s">
        <v>6256</v>
      </c>
      <c r="H7412" t="s">
        <v>97</v>
      </c>
      <c r="I7412" t="s">
        <v>98</v>
      </c>
      <c r="J7412" t="str">
        <f>"0551933"</f>
        <v>0551933</v>
      </c>
      <c r="K7412">
        <v>2104318131</v>
      </c>
      <c r="L7412">
        <v>2104318131</v>
      </c>
      <c r="M7412" t="s">
        <v>6429</v>
      </c>
      <c r="N7412" t="s">
        <v>6327</v>
      </c>
      <c r="O7412" t="s">
        <v>6430</v>
      </c>
      <c r="P7412">
        <v>18758</v>
      </c>
      <c r="Q7412" t="str">
        <f>"37.967837"</f>
        <v>37.967837</v>
      </c>
      <c r="R7412" t="str">
        <f>"23.610417"</f>
        <v>23.610417</v>
      </c>
      <c r="S7412" t="s">
        <v>26</v>
      </c>
    </row>
    <row r="7413" spans="1:19" x14ac:dyDescent="0.3">
      <c r="A7413" t="s">
        <v>3237</v>
      </c>
      <c r="B7413" t="s">
        <v>6192</v>
      </c>
      <c r="C7413" t="s">
        <v>6433</v>
      </c>
      <c r="D7413" t="s">
        <v>6222</v>
      </c>
      <c r="E7413" t="s">
        <v>6432</v>
      </c>
      <c r="F7413" t="s">
        <v>6432</v>
      </c>
      <c r="G7413" t="s">
        <v>6432</v>
      </c>
      <c r="H7413" t="s">
        <v>97</v>
      </c>
      <c r="I7413" t="s">
        <v>98</v>
      </c>
      <c r="J7413" t="str">
        <f>"5257010"</f>
        <v>5257010</v>
      </c>
      <c r="K7413">
        <v>2298072476</v>
      </c>
      <c r="L7413">
        <v>2298074910</v>
      </c>
      <c r="M7413" t="s">
        <v>6434</v>
      </c>
      <c r="N7413" t="s">
        <v>6435</v>
      </c>
      <c r="O7413" t="s">
        <v>6436</v>
      </c>
      <c r="P7413">
        <v>18050</v>
      </c>
      <c r="Q7413" t="str">
        <f>"37.274080"</f>
        <v>37.274080</v>
      </c>
      <c r="R7413" t="str">
        <f>"23.143483"</f>
        <v>23.143483</v>
      </c>
      <c r="S7413" t="s">
        <v>26</v>
      </c>
    </row>
    <row r="7414" spans="1:19" x14ac:dyDescent="0.3">
      <c r="A7414" t="s">
        <v>3237</v>
      </c>
      <c r="B7414" t="s">
        <v>6192</v>
      </c>
      <c r="C7414" t="s">
        <v>6456</v>
      </c>
      <c r="D7414" t="s">
        <v>3275</v>
      </c>
      <c r="E7414" t="s">
        <v>3303</v>
      </c>
      <c r="F7414" t="s">
        <v>3303</v>
      </c>
      <c r="G7414" t="s">
        <v>3303</v>
      </c>
      <c r="H7414" t="s">
        <v>97</v>
      </c>
      <c r="I7414" t="s">
        <v>195</v>
      </c>
      <c r="J7414" t="str">
        <f>"0551958"</f>
        <v>0551958</v>
      </c>
      <c r="K7414">
        <v>2104966480</v>
      </c>
      <c r="L7414">
        <v>2104966480</v>
      </c>
      <c r="M7414" t="s">
        <v>6457</v>
      </c>
      <c r="N7414" t="s">
        <v>6249</v>
      </c>
      <c r="O7414" t="s">
        <v>6250</v>
      </c>
      <c r="P7414">
        <v>18122</v>
      </c>
      <c r="Q7414" t="str">
        <f>"37.984061"</f>
        <v>37.984061</v>
      </c>
      <c r="R7414" t="str">
        <f>"23.649301"</f>
        <v>23.649301</v>
      </c>
      <c r="S7414" t="s">
        <v>26</v>
      </c>
    </row>
    <row r="7415" spans="1:19" x14ac:dyDescent="0.3">
      <c r="A7415" t="s">
        <v>3237</v>
      </c>
      <c r="B7415" t="s">
        <v>6192</v>
      </c>
      <c r="C7415" t="s">
        <v>6458</v>
      </c>
      <c r="D7415" t="s">
        <v>3275</v>
      </c>
      <c r="E7415" t="s">
        <v>6212</v>
      </c>
      <c r="F7415" t="s">
        <v>6256</v>
      </c>
      <c r="G7415" t="s">
        <v>6256</v>
      </c>
      <c r="H7415" t="s">
        <v>97</v>
      </c>
      <c r="I7415" t="s">
        <v>98</v>
      </c>
      <c r="J7415" t="str">
        <f>"0551941"</f>
        <v>0551941</v>
      </c>
      <c r="K7415">
        <v>2104316435</v>
      </c>
      <c r="L7415">
        <v>2104316435</v>
      </c>
      <c r="M7415" t="s">
        <v>6459</v>
      </c>
      <c r="N7415" t="s">
        <v>6327</v>
      </c>
      <c r="O7415" t="s">
        <v>6460</v>
      </c>
      <c r="P7415">
        <v>18757</v>
      </c>
      <c r="Q7415" t="str">
        <f>"37.967046"</f>
        <v>37.967046</v>
      </c>
      <c r="R7415" t="str">
        <f>"23.627801"</f>
        <v>23.627801</v>
      </c>
      <c r="S7415" t="s">
        <v>26</v>
      </c>
    </row>
    <row r="7416" spans="1:19" x14ac:dyDescent="0.3">
      <c r="A7416" t="s">
        <v>3237</v>
      </c>
      <c r="B7416" t="s">
        <v>6192</v>
      </c>
      <c r="C7416" t="s">
        <v>6461</v>
      </c>
      <c r="D7416" t="s">
        <v>3275</v>
      </c>
      <c r="E7416" t="s">
        <v>3275</v>
      </c>
      <c r="F7416" t="s">
        <v>3275</v>
      </c>
      <c r="G7416" t="s">
        <v>6290</v>
      </c>
      <c r="H7416" t="s">
        <v>97</v>
      </c>
      <c r="I7416" t="s">
        <v>3640</v>
      </c>
      <c r="J7416" t="str">
        <f>"0551904"</f>
        <v>0551904</v>
      </c>
      <c r="K7416">
        <v>2104175291</v>
      </c>
      <c r="L7416">
        <v>2104175211</v>
      </c>
      <c r="M7416" t="s">
        <v>6462</v>
      </c>
      <c r="N7416" t="s">
        <v>3279</v>
      </c>
      <c r="O7416" t="s">
        <v>6463</v>
      </c>
      <c r="P7416">
        <v>18535</v>
      </c>
      <c r="Q7416" t="str">
        <f>"37.941873"</f>
        <v>37.941873</v>
      </c>
      <c r="R7416" t="str">
        <f>"23.646470"</f>
        <v>23.646470</v>
      </c>
      <c r="S7416" t="s">
        <v>26</v>
      </c>
    </row>
    <row r="7417" spans="1:19" x14ac:dyDescent="0.3">
      <c r="A7417" t="s">
        <v>3237</v>
      </c>
      <c r="B7417" t="s">
        <v>6192</v>
      </c>
      <c r="C7417" t="s">
        <v>6470</v>
      </c>
      <c r="D7417" t="s">
        <v>3275</v>
      </c>
      <c r="E7417" t="s">
        <v>6266</v>
      </c>
      <c r="F7417" t="s">
        <v>5431</v>
      </c>
      <c r="G7417" t="s">
        <v>5431</v>
      </c>
      <c r="H7417" t="s">
        <v>97</v>
      </c>
      <c r="I7417" t="s">
        <v>98</v>
      </c>
      <c r="J7417" t="str">
        <f>"0590990"</f>
        <v>0590990</v>
      </c>
      <c r="K7417">
        <v>2104946388</v>
      </c>
      <c r="L7417">
        <v>2104946318</v>
      </c>
      <c r="M7417" t="s">
        <v>6471</v>
      </c>
      <c r="N7417" t="s">
        <v>5431</v>
      </c>
      <c r="O7417" t="s">
        <v>6472</v>
      </c>
      <c r="P7417">
        <v>18452</v>
      </c>
      <c r="Q7417" t="str">
        <f>"37.987092"</f>
        <v>37.987092</v>
      </c>
      <c r="R7417" t="str">
        <f>"23.627522"</f>
        <v>23.627522</v>
      </c>
      <c r="S7417" t="s">
        <v>26</v>
      </c>
    </row>
    <row r="7418" spans="1:19" x14ac:dyDescent="0.3">
      <c r="A7418" t="s">
        <v>3237</v>
      </c>
      <c r="B7418" t="s">
        <v>6192</v>
      </c>
      <c r="C7418" t="s">
        <v>6656</v>
      </c>
      <c r="D7418" t="s">
        <v>6222</v>
      </c>
      <c r="E7418" t="s">
        <v>6223</v>
      </c>
      <c r="F7418" t="s">
        <v>6224</v>
      </c>
      <c r="G7418" t="s">
        <v>6224</v>
      </c>
      <c r="H7418" t="s">
        <v>97</v>
      </c>
      <c r="I7418" t="s">
        <v>98</v>
      </c>
      <c r="J7418" t="str">
        <f>"5253020"</f>
        <v>5253020</v>
      </c>
      <c r="K7418">
        <v>2104676280</v>
      </c>
      <c r="L7418">
        <v>2104677512</v>
      </c>
      <c r="M7418" t="s">
        <v>6657</v>
      </c>
      <c r="N7418" t="s">
        <v>6227</v>
      </c>
      <c r="O7418" t="s">
        <v>6658</v>
      </c>
      <c r="P7418">
        <v>18902</v>
      </c>
      <c r="Q7418" t="str">
        <f>"37.954802"</f>
        <v>37.954802</v>
      </c>
      <c r="R7418" t="str">
        <f>"23.532158"</f>
        <v>23.532158</v>
      </c>
      <c r="S7418" t="s">
        <v>26</v>
      </c>
    </row>
    <row r="7419" spans="1:19" x14ac:dyDescent="0.3">
      <c r="A7419" t="s">
        <v>3237</v>
      </c>
      <c r="B7419" t="s">
        <v>6192</v>
      </c>
      <c r="C7419" t="s">
        <v>6668</v>
      </c>
      <c r="D7419" t="s">
        <v>3275</v>
      </c>
      <c r="E7419" t="s">
        <v>6212</v>
      </c>
      <c r="F7419" t="s">
        <v>6256</v>
      </c>
      <c r="G7419" t="s">
        <v>6256</v>
      </c>
      <c r="H7419" t="s">
        <v>97</v>
      </c>
      <c r="I7419" t="s">
        <v>98</v>
      </c>
      <c r="J7419" t="str">
        <f>"0551942"</f>
        <v>0551942</v>
      </c>
      <c r="K7419">
        <v>2104002616</v>
      </c>
      <c r="M7419" t="s">
        <v>6669</v>
      </c>
      <c r="N7419" t="s">
        <v>6327</v>
      </c>
      <c r="O7419" t="s">
        <v>6670</v>
      </c>
      <c r="P7419">
        <v>18755</v>
      </c>
      <c r="Q7419" t="str">
        <f>"37.950089"</f>
        <v>37.950089</v>
      </c>
      <c r="R7419" t="str">
        <f>"23.611165"</f>
        <v>23.611165</v>
      </c>
      <c r="S7419" t="s">
        <v>26</v>
      </c>
    </row>
    <row r="7420" spans="1:19" x14ac:dyDescent="0.3">
      <c r="A7420" t="s">
        <v>3237</v>
      </c>
      <c r="B7420" t="s">
        <v>6192</v>
      </c>
      <c r="C7420" t="s">
        <v>6676</v>
      </c>
      <c r="D7420" t="s">
        <v>6222</v>
      </c>
      <c r="E7420" t="s">
        <v>6223</v>
      </c>
      <c r="F7420" t="s">
        <v>6229</v>
      </c>
      <c r="G7420" t="s">
        <v>6223</v>
      </c>
      <c r="H7420" t="s">
        <v>97</v>
      </c>
      <c r="I7420" t="s">
        <v>98</v>
      </c>
      <c r="J7420" t="str">
        <f>"5253011"</f>
        <v>5253011</v>
      </c>
      <c r="K7420">
        <v>2104652640</v>
      </c>
      <c r="L7420">
        <v>2104652640</v>
      </c>
      <c r="M7420" t="s">
        <v>6677</v>
      </c>
      <c r="N7420" t="s">
        <v>6389</v>
      </c>
      <c r="O7420" t="s">
        <v>6678</v>
      </c>
      <c r="P7420">
        <v>18900</v>
      </c>
      <c r="Q7420" t="str">
        <f>"37.967520"</f>
        <v>37.967520</v>
      </c>
      <c r="R7420" t="str">
        <f>"23.482978"</f>
        <v>23.482978</v>
      </c>
      <c r="S7420" t="s">
        <v>26</v>
      </c>
    </row>
    <row r="7421" spans="1:19" x14ac:dyDescent="0.3">
      <c r="A7421" t="s">
        <v>3237</v>
      </c>
      <c r="B7421" t="s">
        <v>6192</v>
      </c>
      <c r="C7421" t="s">
        <v>6686</v>
      </c>
      <c r="D7421" t="s">
        <v>6222</v>
      </c>
      <c r="E7421" t="s">
        <v>6576</v>
      </c>
      <c r="F7421" t="s">
        <v>6576</v>
      </c>
      <c r="G7421" t="s">
        <v>6576</v>
      </c>
      <c r="H7421" t="s">
        <v>97</v>
      </c>
      <c r="I7421" t="s">
        <v>98</v>
      </c>
      <c r="J7421" t="str">
        <f>"5252010"</f>
        <v>5252010</v>
      </c>
      <c r="K7421">
        <v>2298024128</v>
      </c>
      <c r="L7421">
        <v>2298025157</v>
      </c>
      <c r="M7421" t="s">
        <v>6687</v>
      </c>
      <c r="N7421" t="s">
        <v>6579</v>
      </c>
      <c r="O7421" t="s">
        <v>4292</v>
      </c>
      <c r="P7421">
        <v>18020</v>
      </c>
      <c r="Q7421" t="str">
        <f>"37.503479"</f>
        <v>37.503479</v>
      </c>
      <c r="R7421" t="str">
        <f>"23.457895"</f>
        <v>23.457895</v>
      </c>
      <c r="S7421" t="s">
        <v>26</v>
      </c>
    </row>
    <row r="7422" spans="1:19" x14ac:dyDescent="0.3">
      <c r="A7422" t="s">
        <v>3237</v>
      </c>
      <c r="B7422" t="s">
        <v>6192</v>
      </c>
      <c r="C7422" t="s">
        <v>6715</v>
      </c>
      <c r="D7422" t="s">
        <v>3275</v>
      </c>
      <c r="E7422" t="s">
        <v>3275</v>
      </c>
      <c r="F7422" t="s">
        <v>3275</v>
      </c>
      <c r="G7422" t="s">
        <v>6290</v>
      </c>
      <c r="H7422" t="s">
        <v>97</v>
      </c>
      <c r="I7422" t="s">
        <v>195</v>
      </c>
      <c r="J7422" t="str">
        <f>"0551908"</f>
        <v>0551908</v>
      </c>
      <c r="K7422">
        <v>2104135011</v>
      </c>
      <c r="L7422">
        <v>2104125291</v>
      </c>
      <c r="M7422" t="s">
        <v>6716</v>
      </c>
      <c r="N7422" t="s">
        <v>3279</v>
      </c>
      <c r="O7422" t="s">
        <v>6717</v>
      </c>
      <c r="P7422">
        <v>18535</v>
      </c>
      <c r="Q7422" t="str">
        <f>"37.941873"</f>
        <v>37.941873</v>
      </c>
      <c r="R7422" t="str">
        <f>"23.646470"</f>
        <v>23.646470</v>
      </c>
      <c r="S7422" t="s">
        <v>26</v>
      </c>
    </row>
    <row r="7423" spans="1:19" x14ac:dyDescent="0.3">
      <c r="A7423" t="s">
        <v>3237</v>
      </c>
      <c r="B7423" t="s">
        <v>6192</v>
      </c>
      <c r="C7423" t="s">
        <v>6736</v>
      </c>
      <c r="D7423" t="s">
        <v>6222</v>
      </c>
      <c r="E7423" t="s">
        <v>6223</v>
      </c>
      <c r="F7423" t="s">
        <v>6229</v>
      </c>
      <c r="G7423" t="s">
        <v>6612</v>
      </c>
      <c r="H7423" t="s">
        <v>97</v>
      </c>
      <c r="I7423" t="s">
        <v>98</v>
      </c>
      <c r="J7423" t="str">
        <f>"0535006"</f>
        <v>0535006</v>
      </c>
      <c r="Q7423" t="str">
        <f>""</f>
        <v/>
      </c>
      <c r="R7423" t="str">
        <f>""</f>
        <v/>
      </c>
      <c r="S7423" t="s">
        <v>26</v>
      </c>
    </row>
    <row r="7424" spans="1:19" x14ac:dyDescent="0.3">
      <c r="A7424" t="s">
        <v>12435</v>
      </c>
      <c r="B7424" t="s">
        <v>12460</v>
      </c>
      <c r="C7424" t="s">
        <v>12467</v>
      </c>
      <c r="D7424" t="s">
        <v>12436</v>
      </c>
      <c r="E7424" t="s">
        <v>12465</v>
      </c>
      <c r="F7424" t="s">
        <v>12466</v>
      </c>
      <c r="G7424" t="s">
        <v>12466</v>
      </c>
      <c r="H7424" t="s">
        <v>97</v>
      </c>
      <c r="I7424" t="s">
        <v>98</v>
      </c>
      <c r="J7424" t="str">
        <f>"3360010"</f>
        <v>3360010</v>
      </c>
      <c r="K7424">
        <v>2253041211</v>
      </c>
      <c r="L7424">
        <v>2253041211</v>
      </c>
      <c r="M7424" t="s">
        <v>12468</v>
      </c>
      <c r="N7424" t="s">
        <v>12469</v>
      </c>
      <c r="O7424" t="s">
        <v>12470</v>
      </c>
      <c r="P7424">
        <v>81109</v>
      </c>
      <c r="Q7424" t="str">
        <f>"39.326737"</f>
        <v>39.326737</v>
      </c>
      <c r="R7424" t="str">
        <f>"26.186862"</f>
        <v>26.186862</v>
      </c>
      <c r="S7424" t="s">
        <v>26</v>
      </c>
    </row>
    <row r="7425" spans="1:19" x14ac:dyDescent="0.3">
      <c r="A7425" t="s">
        <v>12435</v>
      </c>
      <c r="B7425" t="s">
        <v>12460</v>
      </c>
      <c r="C7425" t="s">
        <v>12474</v>
      </c>
      <c r="D7425" t="s">
        <v>12436</v>
      </c>
      <c r="E7425" t="s">
        <v>12437</v>
      </c>
      <c r="F7425" t="s">
        <v>12473</v>
      </c>
      <c r="G7425" t="s">
        <v>12473</v>
      </c>
      <c r="H7425" t="s">
        <v>97</v>
      </c>
      <c r="I7425" t="s">
        <v>98</v>
      </c>
      <c r="J7425" t="str">
        <f>"3361010"</f>
        <v>3361010</v>
      </c>
      <c r="K7425">
        <v>2252022271</v>
      </c>
      <c r="L7425">
        <v>2252022271</v>
      </c>
      <c r="M7425" t="s">
        <v>12475</v>
      </c>
      <c r="N7425" t="s">
        <v>12476</v>
      </c>
      <c r="O7425" t="s">
        <v>12477</v>
      </c>
      <c r="P7425">
        <v>81101</v>
      </c>
      <c r="Q7425" t="str">
        <f>"39.082095"</f>
        <v>39.082095</v>
      </c>
      <c r="R7425" t="str">
        <f>"26.372414"</f>
        <v>26.372414</v>
      </c>
      <c r="S7425" t="s">
        <v>26</v>
      </c>
    </row>
    <row r="7426" spans="1:19" x14ac:dyDescent="0.3">
      <c r="A7426" t="s">
        <v>12435</v>
      </c>
      <c r="B7426" t="s">
        <v>12460</v>
      </c>
      <c r="C7426" t="s">
        <v>12489</v>
      </c>
      <c r="D7426" t="s">
        <v>12436</v>
      </c>
      <c r="E7426" t="s">
        <v>12437</v>
      </c>
      <c r="F7426" t="s">
        <v>12437</v>
      </c>
      <c r="G7426" t="s">
        <v>12437</v>
      </c>
      <c r="H7426" t="s">
        <v>97</v>
      </c>
      <c r="I7426" t="s">
        <v>98</v>
      </c>
      <c r="J7426" t="str">
        <f>"3359010"</f>
        <v>3359010</v>
      </c>
      <c r="K7426">
        <v>2251031009</v>
      </c>
      <c r="L7426">
        <v>2251032343</v>
      </c>
      <c r="M7426" t="s">
        <v>12490</v>
      </c>
      <c r="N7426" t="s">
        <v>12491</v>
      </c>
      <c r="O7426" t="s">
        <v>12492</v>
      </c>
      <c r="P7426">
        <v>81100</v>
      </c>
      <c r="Q7426" t="str">
        <f>"39.154511"</f>
        <v>39.154511</v>
      </c>
      <c r="R7426" t="str">
        <f>"26.521598"</f>
        <v>26.521598</v>
      </c>
      <c r="S7426" t="s">
        <v>26</v>
      </c>
    </row>
    <row r="7427" spans="1:19" x14ac:dyDescent="0.3">
      <c r="A7427" t="s">
        <v>12435</v>
      </c>
      <c r="B7427" t="s">
        <v>12460</v>
      </c>
      <c r="C7427" t="s">
        <v>12506</v>
      </c>
      <c r="D7427" t="s">
        <v>12436</v>
      </c>
      <c r="E7427" t="s">
        <v>12437</v>
      </c>
      <c r="F7427" t="s">
        <v>12437</v>
      </c>
      <c r="G7427" t="s">
        <v>12437</v>
      </c>
      <c r="H7427" t="s">
        <v>97</v>
      </c>
      <c r="I7427" t="s">
        <v>98</v>
      </c>
      <c r="J7427" t="str">
        <f>"3351030"</f>
        <v>3351030</v>
      </c>
      <c r="K7427">
        <v>2251028124</v>
      </c>
      <c r="L7427">
        <v>2251028124</v>
      </c>
      <c r="M7427" t="s">
        <v>12507</v>
      </c>
      <c r="N7427" t="s">
        <v>12440</v>
      </c>
      <c r="O7427" t="s">
        <v>12487</v>
      </c>
      <c r="P7427">
        <v>81100</v>
      </c>
      <c r="Q7427" t="str">
        <f>"39.097822"</f>
        <v>39.097822</v>
      </c>
      <c r="R7427" t="str">
        <f>"26.547862"</f>
        <v>26.547862</v>
      </c>
      <c r="S7427" t="s">
        <v>26</v>
      </c>
    </row>
    <row r="7428" spans="1:19" x14ac:dyDescent="0.3">
      <c r="A7428" t="s">
        <v>12435</v>
      </c>
      <c r="B7428" t="s">
        <v>12460</v>
      </c>
      <c r="C7428" t="s">
        <v>12510</v>
      </c>
      <c r="D7428" t="s">
        <v>12436</v>
      </c>
      <c r="E7428" t="s">
        <v>12465</v>
      </c>
      <c r="F7428" t="s">
        <v>12508</v>
      </c>
      <c r="G7428" t="s">
        <v>12509</v>
      </c>
      <c r="H7428" t="s">
        <v>97</v>
      </c>
      <c r="I7428" t="s">
        <v>98</v>
      </c>
      <c r="J7428" t="str">
        <f>"3358010"</f>
        <v>3358010</v>
      </c>
      <c r="K7428">
        <v>2253056676</v>
      </c>
      <c r="L7428">
        <v>2253056676</v>
      </c>
      <c r="M7428" t="s">
        <v>12511</v>
      </c>
      <c r="N7428" t="s">
        <v>12512</v>
      </c>
      <c r="O7428" t="s">
        <v>12513</v>
      </c>
      <c r="P7428">
        <v>81103</v>
      </c>
      <c r="Q7428" t="str">
        <f>"39.237524"</f>
        <v>39.237524</v>
      </c>
      <c r="R7428" t="str">
        <f>"25.976674"</f>
        <v>25.976674</v>
      </c>
      <c r="S7428" t="s">
        <v>57</v>
      </c>
    </row>
    <row r="7429" spans="1:19" x14ac:dyDescent="0.3">
      <c r="A7429" t="s">
        <v>12435</v>
      </c>
      <c r="B7429" t="s">
        <v>12460</v>
      </c>
      <c r="C7429" t="s">
        <v>12524</v>
      </c>
      <c r="D7429" t="s">
        <v>12453</v>
      </c>
      <c r="E7429" t="s">
        <v>12453</v>
      </c>
      <c r="F7429" t="s">
        <v>12523</v>
      </c>
      <c r="G7429" t="s">
        <v>12523</v>
      </c>
      <c r="H7429" t="s">
        <v>97</v>
      </c>
      <c r="I7429" t="s">
        <v>98</v>
      </c>
      <c r="J7429" t="str">
        <f>"3362010"</f>
        <v>3362010</v>
      </c>
      <c r="K7429">
        <v>2254071004</v>
      </c>
      <c r="L7429">
        <v>2254071451</v>
      </c>
      <c r="M7429" t="s">
        <v>12525</v>
      </c>
      <c r="N7429" t="s">
        <v>12526</v>
      </c>
      <c r="O7429" t="s">
        <v>12527</v>
      </c>
      <c r="P7429">
        <v>81401</v>
      </c>
      <c r="Q7429" t="str">
        <f>"39.873733"</f>
        <v>39.873733</v>
      </c>
      <c r="R7429" t="str">
        <f>"25.274723"</f>
        <v>25.274723</v>
      </c>
      <c r="S7429" t="s">
        <v>57</v>
      </c>
    </row>
    <row r="7430" spans="1:19" x14ac:dyDescent="0.3">
      <c r="A7430" t="s">
        <v>12435</v>
      </c>
      <c r="B7430" t="s">
        <v>12460</v>
      </c>
      <c r="C7430" t="s">
        <v>12529</v>
      </c>
      <c r="D7430" t="s">
        <v>12436</v>
      </c>
      <c r="E7430" t="s">
        <v>12437</v>
      </c>
      <c r="F7430" t="s">
        <v>12515</v>
      </c>
      <c r="G7430" t="s">
        <v>12515</v>
      </c>
      <c r="H7430" t="s">
        <v>97</v>
      </c>
      <c r="I7430" t="s">
        <v>98</v>
      </c>
      <c r="J7430" t="str">
        <f>"3356010"</f>
        <v>3356010</v>
      </c>
      <c r="K7430">
        <v>2252032847</v>
      </c>
      <c r="L7430">
        <v>2252032847</v>
      </c>
      <c r="M7430" t="s">
        <v>12530</v>
      </c>
      <c r="N7430" t="s">
        <v>12518</v>
      </c>
      <c r="O7430" t="s">
        <v>12531</v>
      </c>
      <c r="P7430">
        <v>81200</v>
      </c>
      <c r="Q7430" t="str">
        <f>"38.976392"</f>
        <v>38.976392</v>
      </c>
      <c r="R7430" t="str">
        <f>"26.375438"</f>
        <v>26.375438</v>
      </c>
      <c r="S7430" t="s">
        <v>26</v>
      </c>
    </row>
    <row r="7431" spans="1:19" x14ac:dyDescent="0.3">
      <c r="A7431" t="s">
        <v>12435</v>
      </c>
      <c r="B7431" t="s">
        <v>12460</v>
      </c>
      <c r="C7431" t="s">
        <v>12538</v>
      </c>
      <c r="D7431" t="s">
        <v>12436</v>
      </c>
      <c r="E7431" t="s">
        <v>12437</v>
      </c>
      <c r="F7431" t="s">
        <v>12437</v>
      </c>
      <c r="G7431" t="s">
        <v>12437</v>
      </c>
      <c r="H7431" t="s">
        <v>97</v>
      </c>
      <c r="I7431" t="s">
        <v>98</v>
      </c>
      <c r="J7431" t="str">
        <f>"3351040"</f>
        <v>3351040</v>
      </c>
      <c r="K7431">
        <v>2251048139</v>
      </c>
      <c r="L7431">
        <v>2251028189</v>
      </c>
      <c r="M7431" t="s">
        <v>12539</v>
      </c>
      <c r="N7431" t="s">
        <v>12440</v>
      </c>
      <c r="O7431" t="s">
        <v>12487</v>
      </c>
      <c r="P7431">
        <v>81100</v>
      </c>
      <c r="Q7431" t="str">
        <f>"39.098247"</f>
        <v>39.098247</v>
      </c>
      <c r="R7431" t="str">
        <f>"26.547827"</f>
        <v>26.547827</v>
      </c>
      <c r="S7431" t="s">
        <v>26</v>
      </c>
    </row>
    <row r="7432" spans="1:19" x14ac:dyDescent="0.3">
      <c r="A7432" t="s">
        <v>12435</v>
      </c>
      <c r="B7432" t="s">
        <v>12460</v>
      </c>
      <c r="C7432" t="s">
        <v>12540</v>
      </c>
      <c r="D7432" t="s">
        <v>12436</v>
      </c>
      <c r="E7432" t="s">
        <v>12437</v>
      </c>
      <c r="F7432" t="s">
        <v>12437</v>
      </c>
      <c r="G7432" t="s">
        <v>12437</v>
      </c>
      <c r="H7432" t="s">
        <v>97</v>
      </c>
      <c r="I7432" t="s">
        <v>98</v>
      </c>
      <c r="J7432" t="str">
        <f>"3351009"</f>
        <v>3351009</v>
      </c>
      <c r="K7432">
        <v>2251027727</v>
      </c>
      <c r="L7432">
        <v>2251045514</v>
      </c>
      <c r="M7432" t="s">
        <v>12541</v>
      </c>
      <c r="N7432" t="s">
        <v>12542</v>
      </c>
      <c r="O7432" t="s">
        <v>12543</v>
      </c>
      <c r="P7432">
        <v>81132</v>
      </c>
      <c r="Q7432" t="str">
        <f>"39.088478"</f>
        <v>39.088478</v>
      </c>
      <c r="R7432" t="str">
        <f>"26.560745"</f>
        <v>26.560745</v>
      </c>
      <c r="S7432" t="s">
        <v>26</v>
      </c>
    </row>
    <row r="7433" spans="1:19" x14ac:dyDescent="0.3">
      <c r="A7433" t="s">
        <v>12435</v>
      </c>
      <c r="B7433" t="s">
        <v>12460</v>
      </c>
      <c r="C7433" t="s">
        <v>12545</v>
      </c>
      <c r="D7433" t="s">
        <v>12453</v>
      </c>
      <c r="E7433" t="s">
        <v>12453</v>
      </c>
      <c r="F7433" t="s">
        <v>12454</v>
      </c>
      <c r="G7433" t="s">
        <v>12455</v>
      </c>
      <c r="H7433" t="s">
        <v>97</v>
      </c>
      <c r="I7433" t="s">
        <v>98</v>
      </c>
      <c r="J7433" t="str">
        <f>"3351015"</f>
        <v>3351015</v>
      </c>
      <c r="K7433">
        <v>2254025560</v>
      </c>
      <c r="L7433">
        <v>2254024553</v>
      </c>
      <c r="M7433" t="s">
        <v>12546</v>
      </c>
      <c r="N7433" t="s">
        <v>12482</v>
      </c>
      <c r="O7433" t="s">
        <v>12483</v>
      </c>
      <c r="P7433">
        <v>81400</v>
      </c>
      <c r="Q7433" t="str">
        <f>"39.879924"</f>
        <v>39.879924</v>
      </c>
      <c r="R7433" t="str">
        <f>"25.065331"</f>
        <v>25.065331</v>
      </c>
      <c r="S7433" t="s">
        <v>57</v>
      </c>
    </row>
    <row r="7434" spans="1:19" x14ac:dyDescent="0.3">
      <c r="A7434" t="s">
        <v>12435</v>
      </c>
      <c r="B7434" t="s">
        <v>12460</v>
      </c>
      <c r="C7434" t="s">
        <v>12548</v>
      </c>
      <c r="D7434" t="s">
        <v>12436</v>
      </c>
      <c r="E7434" t="s">
        <v>12437</v>
      </c>
      <c r="F7434" t="s">
        <v>12500</v>
      </c>
      <c r="G7434" t="s">
        <v>12501</v>
      </c>
      <c r="H7434" t="s">
        <v>97</v>
      </c>
      <c r="I7434" t="s">
        <v>98</v>
      </c>
      <c r="J7434" t="str">
        <f>"3355010"</f>
        <v>3355010</v>
      </c>
      <c r="K7434">
        <v>2251082201</v>
      </c>
      <c r="L7434">
        <v>2251082201</v>
      </c>
      <c r="M7434" t="s">
        <v>12549</v>
      </c>
      <c r="N7434" t="s">
        <v>12550</v>
      </c>
      <c r="O7434" t="s">
        <v>12504</v>
      </c>
      <c r="P7434">
        <v>81106</v>
      </c>
      <c r="Q7434" t="str">
        <f>"39.042595"</f>
        <v>39.042595</v>
      </c>
      <c r="R7434" t="str">
        <f>"26.456777"</f>
        <v>26.456777</v>
      </c>
      <c r="S7434" t="s">
        <v>26</v>
      </c>
    </row>
    <row r="7435" spans="1:19" x14ac:dyDescent="0.3">
      <c r="A7435" t="s">
        <v>12435</v>
      </c>
      <c r="B7435" t="s">
        <v>12460</v>
      </c>
      <c r="C7435" t="s">
        <v>12552</v>
      </c>
      <c r="D7435" t="s">
        <v>12436</v>
      </c>
      <c r="E7435" t="s">
        <v>12465</v>
      </c>
      <c r="F7435" t="s">
        <v>12551</v>
      </c>
      <c r="G7435" t="s">
        <v>12551</v>
      </c>
      <c r="H7435" t="s">
        <v>97</v>
      </c>
      <c r="I7435" t="s">
        <v>98</v>
      </c>
      <c r="J7435" t="str">
        <f>"3357010"</f>
        <v>3357010</v>
      </c>
      <c r="K7435">
        <v>2252041080</v>
      </c>
      <c r="L7435">
        <v>2252041080</v>
      </c>
      <c r="M7435" t="s">
        <v>12553</v>
      </c>
      <c r="N7435" t="s">
        <v>12554</v>
      </c>
      <c r="O7435" t="s">
        <v>12555</v>
      </c>
      <c r="P7435">
        <v>81300</v>
      </c>
      <c r="Q7435" t="str">
        <f>"39.079097"</f>
        <v>39.079097</v>
      </c>
      <c r="R7435" t="str">
        <f>"26.180554"</f>
        <v>26.180554</v>
      </c>
      <c r="S7435" t="s">
        <v>26</v>
      </c>
    </row>
    <row r="7436" spans="1:19" x14ac:dyDescent="0.3">
      <c r="A7436" t="s">
        <v>12435</v>
      </c>
      <c r="B7436" t="s">
        <v>12460</v>
      </c>
      <c r="C7436" t="s">
        <v>12564</v>
      </c>
      <c r="D7436" t="s">
        <v>12436</v>
      </c>
      <c r="E7436" t="s">
        <v>12437</v>
      </c>
      <c r="F7436" t="s">
        <v>12437</v>
      </c>
      <c r="G7436" t="s">
        <v>12437</v>
      </c>
      <c r="H7436" t="s">
        <v>97</v>
      </c>
      <c r="I7436" t="s">
        <v>3640</v>
      </c>
      <c r="J7436" t="str">
        <f>"3351010"</f>
        <v>3351010</v>
      </c>
      <c r="K7436">
        <v>2251028704</v>
      </c>
      <c r="L7436">
        <v>2251028704</v>
      </c>
      <c r="M7436" t="s">
        <v>12565</v>
      </c>
      <c r="N7436" t="s">
        <v>12437</v>
      </c>
      <c r="O7436" t="s">
        <v>268</v>
      </c>
      <c r="P7436">
        <v>81100</v>
      </c>
      <c r="Q7436" t="str">
        <f>"39.104436"</f>
        <v>39.104436</v>
      </c>
      <c r="R7436" t="str">
        <f>"26.554176"</f>
        <v>26.554176</v>
      </c>
      <c r="S7436" t="s">
        <v>26</v>
      </c>
    </row>
    <row r="7437" spans="1:19" x14ac:dyDescent="0.3">
      <c r="A7437" t="s">
        <v>12435</v>
      </c>
      <c r="B7437" t="s">
        <v>12460</v>
      </c>
      <c r="C7437" t="s">
        <v>12566</v>
      </c>
      <c r="D7437" t="s">
        <v>12436</v>
      </c>
      <c r="E7437" t="s">
        <v>12465</v>
      </c>
      <c r="F7437" t="s">
        <v>11983</v>
      </c>
      <c r="G7437" t="s">
        <v>11983</v>
      </c>
      <c r="H7437" t="s">
        <v>97</v>
      </c>
      <c r="I7437" t="s">
        <v>98</v>
      </c>
      <c r="J7437" t="str">
        <f>"3355009"</f>
        <v>3355009</v>
      </c>
      <c r="K7437">
        <v>2253022525</v>
      </c>
      <c r="L7437">
        <v>2253022593</v>
      </c>
      <c r="M7437" t="s">
        <v>12567</v>
      </c>
      <c r="N7437" t="s">
        <v>12568</v>
      </c>
      <c r="O7437" t="s">
        <v>11984</v>
      </c>
      <c r="P7437">
        <v>81107</v>
      </c>
      <c r="Q7437" t="str">
        <f>"39.235412"</f>
        <v>39.235412</v>
      </c>
      <c r="R7437" t="str">
        <f>"26.207745"</f>
        <v>26.207745</v>
      </c>
      <c r="S7437" t="s">
        <v>26</v>
      </c>
    </row>
    <row r="7438" spans="1:19" x14ac:dyDescent="0.3">
      <c r="A7438" t="s">
        <v>12435</v>
      </c>
      <c r="B7438" t="s">
        <v>12460</v>
      </c>
      <c r="C7438" t="s">
        <v>12569</v>
      </c>
      <c r="D7438" t="s">
        <v>12436</v>
      </c>
      <c r="E7438" t="s">
        <v>12437</v>
      </c>
      <c r="F7438" t="s">
        <v>12437</v>
      </c>
      <c r="G7438" t="s">
        <v>12437</v>
      </c>
      <c r="H7438" t="s">
        <v>97</v>
      </c>
      <c r="I7438" t="s">
        <v>98</v>
      </c>
      <c r="J7438" t="str">
        <f>"3351020"</f>
        <v>3351020</v>
      </c>
      <c r="K7438">
        <v>2251022000</v>
      </c>
      <c r="L7438">
        <v>2251022000</v>
      </c>
      <c r="M7438" t="s">
        <v>12570</v>
      </c>
      <c r="N7438" t="s">
        <v>12440</v>
      </c>
      <c r="O7438" t="s">
        <v>268</v>
      </c>
      <c r="P7438">
        <v>81100</v>
      </c>
      <c r="Q7438" t="str">
        <f>"39.104348"</f>
        <v>39.104348</v>
      </c>
      <c r="R7438" t="str">
        <f>"26.554369"</f>
        <v>26.554369</v>
      </c>
      <c r="S7438" t="s">
        <v>26</v>
      </c>
    </row>
    <row r="7439" spans="1:19" x14ac:dyDescent="0.3">
      <c r="A7439" t="s">
        <v>12435</v>
      </c>
      <c r="B7439" t="s">
        <v>12460</v>
      </c>
      <c r="C7439" t="s">
        <v>12573</v>
      </c>
      <c r="D7439" t="s">
        <v>12436</v>
      </c>
      <c r="E7439" t="s">
        <v>12465</v>
      </c>
      <c r="F7439" t="s">
        <v>12572</v>
      </c>
      <c r="G7439" t="s">
        <v>12572</v>
      </c>
      <c r="H7439" t="s">
        <v>97</v>
      </c>
      <c r="I7439" t="s">
        <v>98</v>
      </c>
      <c r="J7439" t="str">
        <f>"3354010"</f>
        <v>3354010</v>
      </c>
      <c r="K7439">
        <v>2253061216</v>
      </c>
      <c r="L7439">
        <v>2253061160</v>
      </c>
      <c r="M7439" t="s">
        <v>12574</v>
      </c>
      <c r="N7439" t="s">
        <v>12575</v>
      </c>
      <c r="O7439" t="s">
        <v>12576</v>
      </c>
      <c r="P7439">
        <v>81104</v>
      </c>
      <c r="Q7439" t="str">
        <f>"39.329642"</f>
        <v>39.329642</v>
      </c>
      <c r="R7439" t="str">
        <f>"26.385735"</f>
        <v>26.385735</v>
      </c>
      <c r="S7439" t="s">
        <v>26</v>
      </c>
    </row>
    <row r="7440" spans="1:19" x14ac:dyDescent="0.3">
      <c r="A7440" t="s">
        <v>12435</v>
      </c>
      <c r="B7440" t="s">
        <v>12460</v>
      </c>
      <c r="C7440" t="s">
        <v>12678</v>
      </c>
      <c r="D7440" t="s">
        <v>12436</v>
      </c>
      <c r="E7440" t="s">
        <v>12437</v>
      </c>
      <c r="F7440" t="s">
        <v>12579</v>
      </c>
      <c r="G7440" t="s">
        <v>12580</v>
      </c>
      <c r="H7440" t="s">
        <v>97</v>
      </c>
      <c r="I7440" t="s">
        <v>98</v>
      </c>
      <c r="J7440" t="str">
        <f>"3359060"</f>
        <v>3359060</v>
      </c>
      <c r="K7440">
        <v>2251096173</v>
      </c>
      <c r="L7440">
        <v>2251096173</v>
      </c>
      <c r="M7440" t="s">
        <v>12679</v>
      </c>
      <c r="N7440" t="s">
        <v>12584</v>
      </c>
      <c r="O7440" t="s">
        <v>12584</v>
      </c>
      <c r="P7440">
        <v>81101</v>
      </c>
      <c r="Q7440" t="str">
        <f>"39.118179"</f>
        <v>39.118179</v>
      </c>
      <c r="R7440" t="str">
        <f>"26.411591"</f>
        <v>26.411591</v>
      </c>
      <c r="S7440" t="s">
        <v>26</v>
      </c>
    </row>
    <row r="7441" spans="1:19" x14ac:dyDescent="0.3">
      <c r="A7441" t="s">
        <v>12435</v>
      </c>
      <c r="B7441" t="s">
        <v>12698</v>
      </c>
      <c r="C7441" t="s">
        <v>12716</v>
      </c>
      <c r="D7441" t="s">
        <v>12699</v>
      </c>
      <c r="E7441" t="s">
        <v>12699</v>
      </c>
      <c r="F7441" t="s">
        <v>12715</v>
      </c>
      <c r="G7441" t="s">
        <v>12715</v>
      </c>
      <c r="H7441" t="s">
        <v>97</v>
      </c>
      <c r="I7441" t="s">
        <v>98</v>
      </c>
      <c r="J7441" t="str">
        <f>"4352010"</f>
        <v>4352010</v>
      </c>
      <c r="K7441">
        <v>2275022248</v>
      </c>
      <c r="L7441">
        <v>2275022248</v>
      </c>
      <c r="M7441" t="s">
        <v>12717</v>
      </c>
      <c r="N7441" t="s">
        <v>12707</v>
      </c>
      <c r="O7441" t="s">
        <v>12718</v>
      </c>
      <c r="P7441">
        <v>83300</v>
      </c>
      <c r="Q7441" t="str">
        <f>"37.612268"</f>
        <v>37.612268</v>
      </c>
      <c r="R7441" t="str">
        <f>"26.287213"</f>
        <v>26.287213</v>
      </c>
      <c r="S7441" t="s">
        <v>57</v>
      </c>
    </row>
    <row r="7442" spans="1:19" x14ac:dyDescent="0.3">
      <c r="A7442" t="s">
        <v>12435</v>
      </c>
      <c r="B7442" t="s">
        <v>12698</v>
      </c>
      <c r="C7442" t="s">
        <v>12722</v>
      </c>
      <c r="D7442" t="s">
        <v>12442</v>
      </c>
      <c r="E7442" t="s">
        <v>12720</v>
      </c>
      <c r="F7442" t="s">
        <v>12721</v>
      </c>
      <c r="G7442" t="s">
        <v>12721</v>
      </c>
      <c r="H7442" t="s">
        <v>97</v>
      </c>
      <c r="I7442" t="s">
        <v>98</v>
      </c>
      <c r="J7442" t="str">
        <f>"4355010"</f>
        <v>4355010</v>
      </c>
      <c r="K7442">
        <v>2273031502</v>
      </c>
      <c r="L7442">
        <v>2273031050</v>
      </c>
      <c r="M7442" t="s">
        <v>12723</v>
      </c>
      <c r="N7442" t="s">
        <v>12724</v>
      </c>
      <c r="O7442" t="s">
        <v>12725</v>
      </c>
      <c r="P7442">
        <v>83102</v>
      </c>
      <c r="Q7442" t="str">
        <f>"37.725859"</f>
        <v>37.725859</v>
      </c>
      <c r="R7442" t="str">
        <f>"26.688082"</f>
        <v>26.688082</v>
      </c>
      <c r="S7442" t="s">
        <v>57</v>
      </c>
    </row>
    <row r="7443" spans="1:19" x14ac:dyDescent="0.3">
      <c r="A7443" t="s">
        <v>12435</v>
      </c>
      <c r="B7443" t="s">
        <v>12698</v>
      </c>
      <c r="C7443" t="s">
        <v>12742</v>
      </c>
      <c r="D7443" t="s">
        <v>12442</v>
      </c>
      <c r="E7443" t="s">
        <v>12720</v>
      </c>
      <c r="F7443" t="s">
        <v>12736</v>
      </c>
      <c r="G7443" t="s">
        <v>12736</v>
      </c>
      <c r="H7443" t="s">
        <v>97</v>
      </c>
      <c r="I7443" t="s">
        <v>98</v>
      </c>
      <c r="J7443" t="str">
        <f>"4353010"</f>
        <v>4353010</v>
      </c>
      <c r="K7443">
        <v>2273032982</v>
      </c>
      <c r="L7443">
        <v>2273030874</v>
      </c>
      <c r="M7443" t="s">
        <v>12743</v>
      </c>
      <c r="N7443" t="s">
        <v>12744</v>
      </c>
      <c r="O7443" t="s">
        <v>12745</v>
      </c>
      <c r="P7443">
        <v>83200</v>
      </c>
      <c r="Q7443" t="str">
        <f>"37.793332"</f>
        <v>37.793332</v>
      </c>
      <c r="R7443" t="str">
        <f>"26.708601"</f>
        <v>26.708601</v>
      </c>
      <c r="S7443" t="s">
        <v>26</v>
      </c>
    </row>
    <row r="7444" spans="1:19" x14ac:dyDescent="0.3">
      <c r="A7444" t="s">
        <v>12435</v>
      </c>
      <c r="B7444" t="s">
        <v>12698</v>
      </c>
      <c r="C7444" t="s">
        <v>12749</v>
      </c>
      <c r="D7444" t="s">
        <v>12699</v>
      </c>
      <c r="E7444" t="s">
        <v>12699</v>
      </c>
      <c r="F7444" t="s">
        <v>12747</v>
      </c>
      <c r="G7444" t="s">
        <v>12748</v>
      </c>
      <c r="H7444" t="s">
        <v>97</v>
      </c>
      <c r="I7444" t="s">
        <v>98</v>
      </c>
      <c r="J7444" t="str">
        <f>"4354010"</f>
        <v>4354010</v>
      </c>
      <c r="K7444">
        <v>2275031026</v>
      </c>
      <c r="L7444">
        <v>2275031026</v>
      </c>
      <c r="M7444" t="s">
        <v>12750</v>
      </c>
      <c r="N7444" t="s">
        <v>12751</v>
      </c>
      <c r="O7444" t="s">
        <v>12752</v>
      </c>
      <c r="P7444">
        <v>83302</v>
      </c>
      <c r="Q7444" t="str">
        <f>"37.624704"</f>
        <v>37.624704</v>
      </c>
      <c r="R7444" t="str">
        <f>"26.193890"</f>
        <v>26.193890</v>
      </c>
      <c r="S7444" t="s">
        <v>57</v>
      </c>
    </row>
    <row r="7445" spans="1:19" x14ac:dyDescent="0.3">
      <c r="A7445" t="s">
        <v>12435</v>
      </c>
      <c r="B7445" t="s">
        <v>12698</v>
      </c>
      <c r="C7445" t="s">
        <v>12754</v>
      </c>
      <c r="D7445" t="s">
        <v>12442</v>
      </c>
      <c r="E7445" t="s">
        <v>12443</v>
      </c>
      <c r="F7445" t="s">
        <v>12041</v>
      </c>
      <c r="G7445" t="s">
        <v>12041</v>
      </c>
      <c r="H7445" t="s">
        <v>97</v>
      </c>
      <c r="I7445" t="s">
        <v>98</v>
      </c>
      <c r="J7445" t="str">
        <f>"4351009"</f>
        <v>4351009</v>
      </c>
      <c r="K7445">
        <v>2273028966</v>
      </c>
      <c r="L7445">
        <v>2273028966</v>
      </c>
      <c r="M7445" t="s">
        <v>12755</v>
      </c>
      <c r="N7445" t="s">
        <v>12446</v>
      </c>
      <c r="O7445" t="s">
        <v>12756</v>
      </c>
      <c r="P7445">
        <v>83100</v>
      </c>
      <c r="Q7445" t="str">
        <f>"37.749618"</f>
        <v>37.749618</v>
      </c>
      <c r="R7445" t="str">
        <f>"26.978758"</f>
        <v>26.978758</v>
      </c>
      <c r="S7445" t="s">
        <v>26</v>
      </c>
    </row>
    <row r="7446" spans="1:19" x14ac:dyDescent="0.3">
      <c r="A7446" t="s">
        <v>12435</v>
      </c>
      <c r="B7446" t="s">
        <v>12801</v>
      </c>
      <c r="C7446" t="s">
        <v>12838</v>
      </c>
      <c r="D7446" t="s">
        <v>12448</v>
      </c>
      <c r="E7446" t="s">
        <v>12448</v>
      </c>
      <c r="F7446" t="s">
        <v>12827</v>
      </c>
      <c r="G7446" t="s">
        <v>12828</v>
      </c>
      <c r="H7446" t="s">
        <v>97</v>
      </c>
      <c r="I7446" t="s">
        <v>98</v>
      </c>
      <c r="J7446" t="str">
        <f>"5151040"</f>
        <v>5151040</v>
      </c>
      <c r="K7446">
        <v>2271093525</v>
      </c>
      <c r="L7446">
        <v>2271093557</v>
      </c>
      <c r="M7446" t="s">
        <v>12839</v>
      </c>
      <c r="N7446" t="s">
        <v>12840</v>
      </c>
      <c r="O7446" t="s">
        <v>12841</v>
      </c>
      <c r="P7446">
        <v>82200</v>
      </c>
      <c r="Q7446" t="str">
        <f>"38.406283"</f>
        <v>38.406283</v>
      </c>
      <c r="R7446" t="str">
        <f>"26.133953"</f>
        <v>26.133953</v>
      </c>
      <c r="S7446" t="s">
        <v>26</v>
      </c>
    </row>
    <row r="7447" spans="1:19" x14ac:dyDescent="0.3">
      <c r="A7447" t="s">
        <v>12435</v>
      </c>
      <c r="B7447" t="s">
        <v>12801</v>
      </c>
      <c r="C7447" t="s">
        <v>12844</v>
      </c>
      <c r="D7447" t="s">
        <v>12448</v>
      </c>
      <c r="E7447" t="s">
        <v>12448</v>
      </c>
      <c r="F7447" t="s">
        <v>12842</v>
      </c>
      <c r="G7447" t="s">
        <v>12843</v>
      </c>
      <c r="H7447" t="s">
        <v>97</v>
      </c>
      <c r="I7447" t="s">
        <v>98</v>
      </c>
      <c r="J7447" t="str">
        <f>"5153010"</f>
        <v>5153010</v>
      </c>
      <c r="K7447">
        <v>2271071268</v>
      </c>
      <c r="L7447">
        <v>2271071203</v>
      </c>
      <c r="M7447" t="s">
        <v>12845</v>
      </c>
      <c r="N7447" t="s">
        <v>12451</v>
      </c>
      <c r="O7447" t="s">
        <v>12846</v>
      </c>
      <c r="P7447">
        <v>82102</v>
      </c>
      <c r="Q7447" t="str">
        <f>"38.232736"</f>
        <v>38.232736</v>
      </c>
      <c r="R7447" t="str">
        <f>"26.046553"</f>
        <v>26.046553</v>
      </c>
      <c r="S7447" t="s">
        <v>26</v>
      </c>
    </row>
    <row r="7448" spans="1:19" x14ac:dyDescent="0.3">
      <c r="A7448" t="s">
        <v>12435</v>
      </c>
      <c r="B7448" t="s">
        <v>12801</v>
      </c>
      <c r="C7448" t="s">
        <v>12849</v>
      </c>
      <c r="D7448" t="s">
        <v>12448</v>
      </c>
      <c r="E7448" t="s">
        <v>12448</v>
      </c>
      <c r="F7448" t="s">
        <v>12809</v>
      </c>
      <c r="G7448" t="s">
        <v>12810</v>
      </c>
      <c r="H7448" t="s">
        <v>97</v>
      </c>
      <c r="I7448" t="s">
        <v>98</v>
      </c>
      <c r="J7448" t="str">
        <f>"5156010"</f>
        <v>5156010</v>
      </c>
      <c r="K7448">
        <v>2271051855</v>
      </c>
      <c r="L7448">
        <v>2271052235</v>
      </c>
      <c r="M7448" t="s">
        <v>12850</v>
      </c>
      <c r="N7448" t="s">
        <v>12451</v>
      </c>
      <c r="O7448" t="s">
        <v>12851</v>
      </c>
      <c r="P7448">
        <v>82100</v>
      </c>
      <c r="Q7448" t="str">
        <f>"38.292167"</f>
        <v>38.292167</v>
      </c>
      <c r="R7448" t="str">
        <f>"26.104641"</f>
        <v>26.104641</v>
      </c>
      <c r="S7448" t="s">
        <v>26</v>
      </c>
    </row>
    <row r="7449" spans="1:19" x14ac:dyDescent="0.3">
      <c r="A7449" t="s">
        <v>12435</v>
      </c>
      <c r="B7449" t="s">
        <v>12801</v>
      </c>
      <c r="C7449" t="s">
        <v>12852</v>
      </c>
      <c r="D7449" t="s">
        <v>12448</v>
      </c>
      <c r="E7449" t="s">
        <v>12448</v>
      </c>
      <c r="F7449" t="s">
        <v>12448</v>
      </c>
      <c r="G7449" t="s">
        <v>12448</v>
      </c>
      <c r="H7449" t="s">
        <v>97</v>
      </c>
      <c r="I7449" t="s">
        <v>98</v>
      </c>
      <c r="J7449" t="str">
        <f>"5151009"</f>
        <v>5151009</v>
      </c>
      <c r="K7449">
        <v>2271021668</v>
      </c>
      <c r="L7449">
        <v>2271023213</v>
      </c>
      <c r="M7449" t="s">
        <v>12853</v>
      </c>
      <c r="N7449" t="s">
        <v>12451</v>
      </c>
      <c r="O7449" t="s">
        <v>12854</v>
      </c>
      <c r="P7449">
        <v>82132</v>
      </c>
      <c r="Q7449" t="str">
        <f>"38.353915"</f>
        <v>38.353915</v>
      </c>
      <c r="R7449" t="str">
        <f>"26.131780"</f>
        <v>26.131780</v>
      </c>
      <c r="S7449" t="s">
        <v>26</v>
      </c>
    </row>
    <row r="7450" spans="1:19" x14ac:dyDescent="0.3">
      <c r="A7450" t="s">
        <v>12435</v>
      </c>
      <c r="B7450" t="s">
        <v>12801</v>
      </c>
      <c r="C7450" t="s">
        <v>12900</v>
      </c>
      <c r="D7450" t="s">
        <v>12448</v>
      </c>
      <c r="E7450" t="s">
        <v>12448</v>
      </c>
      <c r="F7450" t="s">
        <v>12822</v>
      </c>
      <c r="G7450" t="s">
        <v>12822</v>
      </c>
      <c r="H7450" t="s">
        <v>97</v>
      </c>
      <c r="I7450" t="s">
        <v>98</v>
      </c>
      <c r="J7450" t="str">
        <f>"5154010"</f>
        <v>5154010</v>
      </c>
      <c r="K7450">
        <v>2272022281</v>
      </c>
      <c r="L7450">
        <v>2272023376</v>
      </c>
      <c r="M7450" t="s">
        <v>12901</v>
      </c>
      <c r="N7450" t="s">
        <v>12825</v>
      </c>
      <c r="O7450" t="s">
        <v>12825</v>
      </c>
      <c r="P7450">
        <v>82300</v>
      </c>
      <c r="Q7450" t="str">
        <f>"38.540129"</f>
        <v>38.540129</v>
      </c>
      <c r="R7450" t="str">
        <f>"26.111596"</f>
        <v>26.111596</v>
      </c>
      <c r="S7450" t="s">
        <v>26</v>
      </c>
    </row>
    <row r="7451" spans="1:19" x14ac:dyDescent="0.3">
      <c r="A7451" t="s">
        <v>12435</v>
      </c>
      <c r="B7451" t="s">
        <v>12801</v>
      </c>
      <c r="C7451" t="s">
        <v>12902</v>
      </c>
      <c r="D7451" t="s">
        <v>12448</v>
      </c>
      <c r="E7451" t="s">
        <v>12448</v>
      </c>
      <c r="F7451" t="s">
        <v>12448</v>
      </c>
      <c r="G7451" t="s">
        <v>12448</v>
      </c>
      <c r="H7451" t="s">
        <v>97</v>
      </c>
      <c r="I7451" t="s">
        <v>98</v>
      </c>
      <c r="J7451" t="str">
        <f>"5151020"</f>
        <v>5151020</v>
      </c>
      <c r="K7451">
        <v>2271043916</v>
      </c>
      <c r="L7451">
        <v>2271022932</v>
      </c>
      <c r="M7451" t="s">
        <v>12903</v>
      </c>
      <c r="N7451" t="s">
        <v>12451</v>
      </c>
      <c r="O7451" t="s">
        <v>12904</v>
      </c>
      <c r="P7451">
        <v>82132</v>
      </c>
      <c r="Q7451" t="str">
        <f>"38.364713"</f>
        <v>38.364713</v>
      </c>
      <c r="R7451" t="str">
        <f>"26.134201"</f>
        <v>26.134201</v>
      </c>
      <c r="S7451" t="s">
        <v>26</v>
      </c>
    </row>
    <row r="7452" spans="1:19" x14ac:dyDescent="0.3">
      <c r="A7452" t="s">
        <v>12435</v>
      </c>
      <c r="B7452" t="s">
        <v>12801</v>
      </c>
      <c r="C7452" t="s">
        <v>12905</v>
      </c>
      <c r="D7452" t="s">
        <v>12448</v>
      </c>
      <c r="E7452" t="s">
        <v>12448</v>
      </c>
      <c r="F7452" t="s">
        <v>12448</v>
      </c>
      <c r="G7452" t="s">
        <v>12448</v>
      </c>
      <c r="H7452" t="s">
        <v>97</v>
      </c>
      <c r="I7452" t="s">
        <v>98</v>
      </c>
      <c r="J7452" t="str">
        <f>"5157010"</f>
        <v>5157010</v>
      </c>
      <c r="K7452">
        <v>2271042575</v>
      </c>
      <c r="L7452">
        <v>2271020086</v>
      </c>
      <c r="M7452" t="s">
        <v>12906</v>
      </c>
      <c r="N7452" t="s">
        <v>12907</v>
      </c>
      <c r="O7452" t="s">
        <v>12908</v>
      </c>
      <c r="P7452">
        <v>82132</v>
      </c>
      <c r="Q7452" t="str">
        <f>"38.353309"</f>
        <v>38.353309</v>
      </c>
      <c r="R7452" t="str">
        <f>"26.132064"</f>
        <v>26.132064</v>
      </c>
      <c r="S7452" t="s">
        <v>26</v>
      </c>
    </row>
    <row r="7453" spans="1:19" x14ac:dyDescent="0.3">
      <c r="A7453" t="s">
        <v>13791</v>
      </c>
      <c r="B7453" t="s">
        <v>13812</v>
      </c>
      <c r="C7453" t="s">
        <v>13834</v>
      </c>
      <c r="D7453" t="s">
        <v>13792</v>
      </c>
      <c r="E7453" t="s">
        <v>8765</v>
      </c>
      <c r="F7453" t="s">
        <v>13813</v>
      </c>
      <c r="G7453" t="s">
        <v>13814</v>
      </c>
      <c r="H7453" t="s">
        <v>97</v>
      </c>
      <c r="I7453" t="s">
        <v>98</v>
      </c>
      <c r="J7453" t="str">
        <f>"0168010"</f>
        <v>0168010</v>
      </c>
      <c r="K7453">
        <v>2647031390</v>
      </c>
      <c r="L7453">
        <v>2647031390</v>
      </c>
      <c r="M7453" t="s">
        <v>13835</v>
      </c>
      <c r="N7453" t="s">
        <v>13817</v>
      </c>
      <c r="O7453" t="s">
        <v>13817</v>
      </c>
      <c r="P7453">
        <v>30017</v>
      </c>
      <c r="Q7453" t="str">
        <f>"39.023415"</f>
        <v>39.023415</v>
      </c>
      <c r="R7453" t="str">
        <f>"21.319852"</f>
        <v>21.319852</v>
      </c>
      <c r="S7453" t="s">
        <v>57</v>
      </c>
    </row>
    <row r="7454" spans="1:19" x14ac:dyDescent="0.3">
      <c r="A7454" t="s">
        <v>13791</v>
      </c>
      <c r="B7454" t="s">
        <v>13812</v>
      </c>
      <c r="C7454" t="s">
        <v>13861</v>
      </c>
      <c r="D7454" t="s">
        <v>13792</v>
      </c>
      <c r="E7454" t="s">
        <v>13851</v>
      </c>
      <c r="F7454" t="s">
        <v>13859</v>
      </c>
      <c r="G7454" t="s">
        <v>13860</v>
      </c>
      <c r="H7454" t="s">
        <v>97</v>
      </c>
      <c r="I7454" t="s">
        <v>98</v>
      </c>
      <c r="J7454" t="str">
        <f>"0156010"</f>
        <v>0156010</v>
      </c>
      <c r="K7454">
        <v>2635042732</v>
      </c>
      <c r="L7454">
        <v>2635041204</v>
      </c>
      <c r="M7454" t="s">
        <v>13862</v>
      </c>
      <c r="N7454" t="s">
        <v>13863</v>
      </c>
      <c r="O7454" t="s">
        <v>13864</v>
      </c>
      <c r="P7454">
        <v>30015</v>
      </c>
      <c r="Q7454" t="str">
        <f>"38.526826"</f>
        <v>38.526826</v>
      </c>
      <c r="R7454" t="str">
        <f>"21.534201"</f>
        <v>21.534201</v>
      </c>
      <c r="S7454" t="s">
        <v>26</v>
      </c>
    </row>
    <row r="7455" spans="1:19" x14ac:dyDescent="0.3">
      <c r="A7455" t="s">
        <v>13791</v>
      </c>
      <c r="B7455" t="s">
        <v>13812</v>
      </c>
      <c r="C7455" t="s">
        <v>13879</v>
      </c>
      <c r="D7455" t="s">
        <v>13792</v>
      </c>
      <c r="E7455" t="s">
        <v>13878</v>
      </c>
      <c r="F7455" t="s">
        <v>13878</v>
      </c>
      <c r="G7455" t="s">
        <v>13878</v>
      </c>
      <c r="H7455" t="s">
        <v>97</v>
      </c>
      <c r="I7455" t="s">
        <v>98</v>
      </c>
      <c r="J7455" t="str">
        <f>"0157010"</f>
        <v>0157010</v>
      </c>
      <c r="K7455">
        <v>2644022261</v>
      </c>
      <c r="L7455">
        <v>2644023220</v>
      </c>
      <c r="M7455" t="s">
        <v>13880</v>
      </c>
      <c r="O7455" t="s">
        <v>13881</v>
      </c>
      <c r="P7455">
        <v>30008</v>
      </c>
      <c r="Q7455" t="str">
        <f>"38.571986"</f>
        <v>38.571986</v>
      </c>
      <c r="R7455" t="str">
        <f>"21.665592"</f>
        <v>21.665592</v>
      </c>
      <c r="S7455" t="s">
        <v>26</v>
      </c>
    </row>
    <row r="7456" spans="1:19" x14ac:dyDescent="0.3">
      <c r="A7456" t="s">
        <v>13791</v>
      </c>
      <c r="B7456" t="s">
        <v>13812</v>
      </c>
      <c r="C7456" t="s">
        <v>13890</v>
      </c>
      <c r="D7456" t="s">
        <v>13792</v>
      </c>
      <c r="E7456" t="s">
        <v>13888</v>
      </c>
      <c r="F7456" t="s">
        <v>13889</v>
      </c>
      <c r="G7456" t="s">
        <v>13889</v>
      </c>
      <c r="H7456" t="s">
        <v>97</v>
      </c>
      <c r="I7456" t="s">
        <v>98</v>
      </c>
      <c r="J7456" t="str">
        <f>"0159010"</f>
        <v>0159010</v>
      </c>
      <c r="K7456">
        <v>2634022045</v>
      </c>
      <c r="L7456">
        <v>2634021239</v>
      </c>
      <c r="M7456" t="s">
        <v>13891</v>
      </c>
      <c r="N7456" t="s">
        <v>13892</v>
      </c>
      <c r="O7456" t="s">
        <v>13893</v>
      </c>
      <c r="P7456">
        <v>30300</v>
      </c>
      <c r="Q7456" t="str">
        <f>"38.390665"</f>
        <v>38.390665</v>
      </c>
      <c r="R7456" t="str">
        <f>"21.823630"</f>
        <v>21.823630</v>
      </c>
      <c r="S7456" t="s">
        <v>26</v>
      </c>
    </row>
    <row r="7457" spans="1:19" x14ac:dyDescent="0.3">
      <c r="A7457" t="s">
        <v>13791</v>
      </c>
      <c r="B7457" t="s">
        <v>13812</v>
      </c>
      <c r="C7457" t="s">
        <v>13899</v>
      </c>
      <c r="D7457" t="s">
        <v>13792</v>
      </c>
      <c r="E7457" t="s">
        <v>13851</v>
      </c>
      <c r="F7457" t="s">
        <v>13851</v>
      </c>
      <c r="G7457" t="s">
        <v>13851</v>
      </c>
      <c r="H7457" t="s">
        <v>97</v>
      </c>
      <c r="I7457" t="s">
        <v>98</v>
      </c>
      <c r="J7457" t="str">
        <f>"0151009"</f>
        <v>0151009</v>
      </c>
      <c r="K7457">
        <v>2641059860</v>
      </c>
      <c r="M7457" t="s">
        <v>13900</v>
      </c>
      <c r="N7457" t="s">
        <v>13901</v>
      </c>
      <c r="O7457" t="s">
        <v>13902</v>
      </c>
      <c r="P7457">
        <v>30027</v>
      </c>
      <c r="Q7457" t="str">
        <f>"38.636867"</f>
        <v>38.636867</v>
      </c>
      <c r="R7457" t="str">
        <f>"21.389752"</f>
        <v>21.389752</v>
      </c>
      <c r="S7457" t="s">
        <v>26</v>
      </c>
    </row>
    <row r="7458" spans="1:19" x14ac:dyDescent="0.3">
      <c r="A7458" t="s">
        <v>13791</v>
      </c>
      <c r="B7458" t="s">
        <v>13812</v>
      </c>
      <c r="C7458" t="s">
        <v>13905</v>
      </c>
      <c r="D7458" t="s">
        <v>13792</v>
      </c>
      <c r="E7458" t="s">
        <v>13836</v>
      </c>
      <c r="F7458" t="s">
        <v>13903</v>
      </c>
      <c r="G7458" t="s">
        <v>13904</v>
      </c>
      <c r="H7458" t="s">
        <v>97</v>
      </c>
      <c r="I7458" t="s">
        <v>98</v>
      </c>
      <c r="J7458" t="str">
        <f>"0160010"</f>
        <v>0160010</v>
      </c>
      <c r="K7458">
        <v>2646031800</v>
      </c>
      <c r="L7458">
        <v>2646031800</v>
      </c>
      <c r="M7458" t="s">
        <v>13906</v>
      </c>
      <c r="N7458" t="s">
        <v>13907</v>
      </c>
      <c r="O7458" t="s">
        <v>13908</v>
      </c>
      <c r="P7458">
        <v>30004</v>
      </c>
      <c r="Q7458" t="str">
        <f>"38.780530"</f>
        <v>38.780530</v>
      </c>
      <c r="R7458" t="str">
        <f>"21.114651"</f>
        <v>21.114651</v>
      </c>
      <c r="S7458" t="s">
        <v>26</v>
      </c>
    </row>
    <row r="7459" spans="1:19" x14ac:dyDescent="0.3">
      <c r="A7459" t="s">
        <v>13791</v>
      </c>
      <c r="B7459" t="s">
        <v>13812</v>
      </c>
      <c r="C7459" t="s">
        <v>13910</v>
      </c>
      <c r="D7459" t="s">
        <v>13792</v>
      </c>
      <c r="E7459" t="s">
        <v>13851</v>
      </c>
      <c r="F7459" t="s">
        <v>13851</v>
      </c>
      <c r="G7459" t="s">
        <v>13851</v>
      </c>
      <c r="H7459" t="s">
        <v>97</v>
      </c>
      <c r="I7459" t="s">
        <v>98</v>
      </c>
      <c r="J7459" t="str">
        <f>"0151011"</f>
        <v>0151011</v>
      </c>
      <c r="K7459">
        <v>2641023467</v>
      </c>
      <c r="L7459">
        <v>2641023467</v>
      </c>
      <c r="M7459" t="s">
        <v>13911</v>
      </c>
      <c r="N7459" t="s">
        <v>13885</v>
      </c>
      <c r="O7459" t="s">
        <v>13912</v>
      </c>
      <c r="P7459">
        <v>30100</v>
      </c>
      <c r="Q7459" t="str">
        <f>"38.613925"</f>
        <v>38.613925</v>
      </c>
      <c r="R7459" t="str">
        <f>"21.421983"</f>
        <v>21.421983</v>
      </c>
      <c r="S7459" t="s">
        <v>26</v>
      </c>
    </row>
    <row r="7460" spans="1:19" x14ac:dyDescent="0.3">
      <c r="A7460" t="s">
        <v>13791</v>
      </c>
      <c r="B7460" t="s">
        <v>13812</v>
      </c>
      <c r="C7460" t="s">
        <v>13914</v>
      </c>
      <c r="D7460" t="s">
        <v>13792</v>
      </c>
      <c r="E7460" t="s">
        <v>13851</v>
      </c>
      <c r="F7460" t="s">
        <v>13851</v>
      </c>
      <c r="G7460" t="s">
        <v>13851</v>
      </c>
      <c r="H7460" t="s">
        <v>97</v>
      </c>
      <c r="I7460" t="s">
        <v>98</v>
      </c>
      <c r="J7460" t="str">
        <f>"0151010"</f>
        <v>0151010</v>
      </c>
      <c r="K7460">
        <v>2641046155</v>
      </c>
      <c r="L7460">
        <v>2641046155</v>
      </c>
      <c r="M7460" t="s">
        <v>13915</v>
      </c>
      <c r="N7460" t="s">
        <v>13885</v>
      </c>
      <c r="O7460" t="s">
        <v>13916</v>
      </c>
      <c r="P7460">
        <v>30133</v>
      </c>
      <c r="Q7460" t="str">
        <f>"38.632824"</f>
        <v>38.632824</v>
      </c>
      <c r="R7460" t="str">
        <f>"21.415713"</f>
        <v>21.415713</v>
      </c>
      <c r="S7460" t="s">
        <v>26</v>
      </c>
    </row>
    <row r="7461" spans="1:19" x14ac:dyDescent="0.3">
      <c r="A7461" t="s">
        <v>13791</v>
      </c>
      <c r="B7461" t="s">
        <v>13812</v>
      </c>
      <c r="C7461" t="s">
        <v>13919</v>
      </c>
      <c r="D7461" t="s">
        <v>13792</v>
      </c>
      <c r="E7461" t="s">
        <v>13820</v>
      </c>
      <c r="F7461" t="s">
        <v>13821</v>
      </c>
      <c r="G7461" t="s">
        <v>13918</v>
      </c>
      <c r="H7461" t="s">
        <v>97</v>
      </c>
      <c r="I7461" t="s">
        <v>98</v>
      </c>
      <c r="J7461" t="str">
        <f>"0163010"</f>
        <v>0163010</v>
      </c>
      <c r="K7461">
        <v>2646081252</v>
      </c>
      <c r="L7461">
        <v>2646081252</v>
      </c>
      <c r="M7461" t="s">
        <v>13920</v>
      </c>
      <c r="N7461" t="s">
        <v>13921</v>
      </c>
      <c r="O7461" t="s">
        <v>13921</v>
      </c>
      <c r="P7461">
        <v>30019</v>
      </c>
      <c r="Q7461" t="str">
        <f>"38.670177"</f>
        <v>38.670177</v>
      </c>
      <c r="R7461" t="str">
        <f>"20.947195"</f>
        <v>20.947195</v>
      </c>
      <c r="S7461" t="s">
        <v>26</v>
      </c>
    </row>
    <row r="7462" spans="1:19" x14ac:dyDescent="0.3">
      <c r="A7462" t="s">
        <v>13791</v>
      </c>
      <c r="B7462" t="s">
        <v>13812</v>
      </c>
      <c r="C7462" t="s">
        <v>13922</v>
      </c>
      <c r="D7462" t="s">
        <v>13792</v>
      </c>
      <c r="E7462" t="s">
        <v>13851</v>
      </c>
      <c r="F7462" t="s">
        <v>13851</v>
      </c>
      <c r="G7462" t="s">
        <v>13851</v>
      </c>
      <c r="H7462" t="s">
        <v>97</v>
      </c>
      <c r="I7462" t="s">
        <v>98</v>
      </c>
      <c r="J7462" t="str">
        <f>"0151021"</f>
        <v>0151021</v>
      </c>
      <c r="K7462">
        <v>2641026523</v>
      </c>
      <c r="L7462">
        <v>2641026523</v>
      </c>
      <c r="M7462" t="s">
        <v>13923</v>
      </c>
      <c r="N7462" t="s">
        <v>13851</v>
      </c>
      <c r="O7462" t="s">
        <v>13924</v>
      </c>
      <c r="P7462">
        <v>30131</v>
      </c>
      <c r="Q7462" t="str">
        <f>"38.621718"</f>
        <v>38.621718</v>
      </c>
      <c r="R7462" t="str">
        <f>"21.407140"</f>
        <v>21.407140</v>
      </c>
      <c r="S7462" t="s">
        <v>26</v>
      </c>
    </row>
    <row r="7463" spans="1:19" x14ac:dyDescent="0.3">
      <c r="A7463" t="s">
        <v>13791</v>
      </c>
      <c r="B7463" t="s">
        <v>13812</v>
      </c>
      <c r="C7463" t="s">
        <v>13926</v>
      </c>
      <c r="D7463" t="s">
        <v>13792</v>
      </c>
      <c r="E7463" t="s">
        <v>13820</v>
      </c>
      <c r="F7463" t="s">
        <v>13826</v>
      </c>
      <c r="G7463" t="s">
        <v>13826</v>
      </c>
      <c r="H7463" t="s">
        <v>97</v>
      </c>
      <c r="I7463" t="s">
        <v>98</v>
      </c>
      <c r="J7463" t="str">
        <f>"0154010"</f>
        <v>0154010</v>
      </c>
      <c r="K7463">
        <v>2646042511</v>
      </c>
      <c r="L7463">
        <v>2646041586</v>
      </c>
      <c r="M7463" t="s">
        <v>13927</v>
      </c>
      <c r="N7463" t="s">
        <v>13928</v>
      </c>
      <c r="O7463" t="s">
        <v>13929</v>
      </c>
      <c r="P7463">
        <v>30006</v>
      </c>
      <c r="Q7463" t="str">
        <f>"38.534242"</f>
        <v>38.534242</v>
      </c>
      <c r="R7463" t="str">
        <f>"21.074364"</f>
        <v>21.074364</v>
      </c>
      <c r="S7463" t="s">
        <v>26</v>
      </c>
    </row>
    <row r="7464" spans="1:19" x14ac:dyDescent="0.3">
      <c r="A7464" t="s">
        <v>13791</v>
      </c>
      <c r="B7464" t="s">
        <v>13812</v>
      </c>
      <c r="C7464" t="s">
        <v>13931</v>
      </c>
      <c r="D7464" t="s">
        <v>13792</v>
      </c>
      <c r="E7464" t="s">
        <v>13836</v>
      </c>
      <c r="F7464" t="s">
        <v>13837</v>
      </c>
      <c r="G7464" t="s">
        <v>13838</v>
      </c>
      <c r="H7464" t="s">
        <v>97</v>
      </c>
      <c r="I7464" t="s">
        <v>98</v>
      </c>
      <c r="J7464" t="str">
        <f>"0155010"</f>
        <v>0155010</v>
      </c>
      <c r="K7464">
        <v>2643022269</v>
      </c>
      <c r="L7464">
        <v>2643023100</v>
      </c>
      <c r="M7464" t="s">
        <v>13932</v>
      </c>
      <c r="N7464" t="s">
        <v>13841</v>
      </c>
      <c r="O7464" t="s">
        <v>13933</v>
      </c>
      <c r="P7464">
        <v>30002</v>
      </c>
      <c r="Q7464" t="str">
        <f>"38.915143"</f>
        <v>38.915143</v>
      </c>
      <c r="R7464" t="str">
        <f>"20.889172"</f>
        <v>20.889172</v>
      </c>
      <c r="S7464" t="s">
        <v>26</v>
      </c>
    </row>
    <row r="7465" spans="1:19" x14ac:dyDescent="0.3">
      <c r="A7465" t="s">
        <v>13791</v>
      </c>
      <c r="B7465" t="s">
        <v>13812</v>
      </c>
      <c r="C7465" t="s">
        <v>13934</v>
      </c>
      <c r="D7465" t="s">
        <v>13792</v>
      </c>
      <c r="E7465" t="s">
        <v>8765</v>
      </c>
      <c r="F7465" t="s">
        <v>8765</v>
      </c>
      <c r="G7465" t="s">
        <v>8765</v>
      </c>
      <c r="H7465" t="s">
        <v>97</v>
      </c>
      <c r="I7465" t="s">
        <v>98</v>
      </c>
      <c r="J7465" t="str">
        <f>"0153010"</f>
        <v>0153010</v>
      </c>
      <c r="K7465">
        <v>2642022425</v>
      </c>
      <c r="L7465">
        <v>2642022425</v>
      </c>
      <c r="M7465" t="s">
        <v>13935</v>
      </c>
      <c r="N7465" t="s">
        <v>8765</v>
      </c>
      <c r="O7465" t="s">
        <v>13936</v>
      </c>
      <c r="P7465">
        <v>30500</v>
      </c>
      <c r="Q7465" t="str">
        <f>"38.857246"</f>
        <v>38.857246</v>
      </c>
      <c r="R7465" t="str">
        <f>"21.164011"</f>
        <v>21.164011</v>
      </c>
      <c r="S7465" t="s">
        <v>26</v>
      </c>
    </row>
    <row r="7466" spans="1:19" x14ac:dyDescent="0.3">
      <c r="A7466" t="s">
        <v>13791</v>
      </c>
      <c r="B7466" t="s">
        <v>13812</v>
      </c>
      <c r="C7466" t="s">
        <v>13938</v>
      </c>
      <c r="D7466" t="s">
        <v>13792</v>
      </c>
      <c r="E7466" t="s">
        <v>13851</v>
      </c>
      <c r="F7466" t="s">
        <v>13871</v>
      </c>
      <c r="G7466" t="s">
        <v>13937</v>
      </c>
      <c r="H7466" t="s">
        <v>97</v>
      </c>
      <c r="I7466" t="s">
        <v>98</v>
      </c>
      <c r="J7466" t="str">
        <f>"0166010"</f>
        <v>0166010</v>
      </c>
      <c r="K7466">
        <v>2635022033</v>
      </c>
      <c r="L7466">
        <v>2635022033</v>
      </c>
      <c r="M7466" t="s">
        <v>13939</v>
      </c>
      <c r="N7466" t="s">
        <v>13940</v>
      </c>
      <c r="O7466" t="s">
        <v>13941</v>
      </c>
      <c r="P7466">
        <v>30011</v>
      </c>
      <c r="Q7466" t="str">
        <f>"38.527298"</f>
        <v>38.527298</v>
      </c>
      <c r="R7466" t="str">
        <f>"21.468446"</f>
        <v>21.468446</v>
      </c>
      <c r="S7466" t="s">
        <v>26</v>
      </c>
    </row>
    <row r="7467" spans="1:19" x14ac:dyDescent="0.3">
      <c r="A7467" t="s">
        <v>13791</v>
      </c>
      <c r="B7467" t="s">
        <v>13812</v>
      </c>
      <c r="C7467" t="s">
        <v>13943</v>
      </c>
      <c r="D7467" t="s">
        <v>13792</v>
      </c>
      <c r="E7467" t="s">
        <v>13851</v>
      </c>
      <c r="F7467" t="s">
        <v>13942</v>
      </c>
      <c r="G7467" t="s">
        <v>13942</v>
      </c>
      <c r="H7467" t="s">
        <v>97</v>
      </c>
      <c r="I7467" t="s">
        <v>98</v>
      </c>
      <c r="J7467" t="str">
        <f>"0151040"</f>
        <v>0151040</v>
      </c>
      <c r="K7467">
        <v>2641062064</v>
      </c>
      <c r="L7467">
        <v>2641061225</v>
      </c>
      <c r="M7467" t="s">
        <v>13944</v>
      </c>
      <c r="N7467" t="s">
        <v>13945</v>
      </c>
      <c r="O7467" t="s">
        <v>13946</v>
      </c>
      <c r="P7467">
        <v>30010</v>
      </c>
      <c r="Q7467" t="str">
        <f>"38.612136"</f>
        <v>38.612136</v>
      </c>
      <c r="R7467" t="str">
        <f>"21.520921"</f>
        <v>21.520921</v>
      </c>
      <c r="S7467" t="s">
        <v>26</v>
      </c>
    </row>
    <row r="7468" spans="1:19" x14ac:dyDescent="0.3">
      <c r="A7468" t="s">
        <v>13791</v>
      </c>
      <c r="B7468" t="s">
        <v>13812</v>
      </c>
      <c r="C7468" t="s">
        <v>13948</v>
      </c>
      <c r="D7468" t="s">
        <v>13792</v>
      </c>
      <c r="E7468" t="s">
        <v>13793</v>
      </c>
      <c r="F7468" t="s">
        <v>13793</v>
      </c>
      <c r="G7468" t="s">
        <v>3986</v>
      </c>
      <c r="H7468" t="s">
        <v>97</v>
      </c>
      <c r="I7468" t="s">
        <v>98</v>
      </c>
      <c r="J7468" t="str">
        <f>"0152010"</f>
        <v>0152010</v>
      </c>
      <c r="K7468">
        <v>2631022298</v>
      </c>
      <c r="L7468">
        <v>2631024674</v>
      </c>
      <c r="M7468" t="s">
        <v>13949</v>
      </c>
      <c r="N7468" t="s">
        <v>13796</v>
      </c>
      <c r="O7468" t="s">
        <v>13950</v>
      </c>
      <c r="P7468">
        <v>30200</v>
      </c>
      <c r="Q7468" t="str">
        <f>"38.364390"</f>
        <v>38.364390</v>
      </c>
      <c r="R7468" t="str">
        <f>"21.424490"</f>
        <v>21.424490</v>
      </c>
      <c r="S7468" t="s">
        <v>26</v>
      </c>
    </row>
    <row r="7469" spans="1:19" x14ac:dyDescent="0.3">
      <c r="A7469" t="s">
        <v>13791</v>
      </c>
      <c r="B7469" t="s">
        <v>13812</v>
      </c>
      <c r="C7469" t="s">
        <v>13953</v>
      </c>
      <c r="D7469" t="s">
        <v>13792</v>
      </c>
      <c r="E7469" t="s">
        <v>13793</v>
      </c>
      <c r="F7469" t="s">
        <v>13793</v>
      </c>
      <c r="G7469" t="s">
        <v>13952</v>
      </c>
      <c r="H7469" t="s">
        <v>97</v>
      </c>
      <c r="I7469" t="s">
        <v>98</v>
      </c>
      <c r="J7469" t="str">
        <f>"0165010"</f>
        <v>0165010</v>
      </c>
      <c r="K7469">
        <v>2631039361</v>
      </c>
      <c r="L7469">
        <v>2631038111</v>
      </c>
      <c r="M7469" t="s">
        <v>13954</v>
      </c>
      <c r="N7469" t="s">
        <v>13955</v>
      </c>
      <c r="O7469" t="s">
        <v>13956</v>
      </c>
      <c r="P7469">
        <v>30014</v>
      </c>
      <c r="Q7469" t="str">
        <f>"38.366391"</f>
        <v>38.366391</v>
      </c>
      <c r="R7469" t="str">
        <f>"21.536086"</f>
        <v>21.536086</v>
      </c>
      <c r="S7469" t="s">
        <v>26</v>
      </c>
    </row>
    <row r="7470" spans="1:19" x14ac:dyDescent="0.3">
      <c r="A7470" t="s">
        <v>13791</v>
      </c>
      <c r="B7470" t="s">
        <v>13812</v>
      </c>
      <c r="C7470" t="s">
        <v>13961</v>
      </c>
      <c r="D7470" t="s">
        <v>13792</v>
      </c>
      <c r="E7470" t="s">
        <v>13793</v>
      </c>
      <c r="F7470" t="s">
        <v>13828</v>
      </c>
      <c r="G7470" t="s">
        <v>13829</v>
      </c>
      <c r="H7470" t="s">
        <v>97</v>
      </c>
      <c r="I7470" t="s">
        <v>98</v>
      </c>
      <c r="J7470" t="str">
        <f>"0161010"</f>
        <v>0161010</v>
      </c>
      <c r="K7470">
        <v>2632091311</v>
      </c>
      <c r="L7470">
        <v>2632093104</v>
      </c>
      <c r="M7470" t="s">
        <v>13962</v>
      </c>
      <c r="N7470" t="s">
        <v>13963</v>
      </c>
      <c r="O7470" t="s">
        <v>13964</v>
      </c>
      <c r="P7470">
        <v>30001</v>
      </c>
      <c r="Q7470" t="str">
        <f>"38.404633"</f>
        <v>38.404633</v>
      </c>
      <c r="R7470" t="str">
        <f>"21.277690"</f>
        <v>21.277690</v>
      </c>
      <c r="S7470" t="s">
        <v>26</v>
      </c>
    </row>
    <row r="7471" spans="1:19" x14ac:dyDescent="0.3">
      <c r="A7471" t="s">
        <v>13791</v>
      </c>
      <c r="B7471" t="s">
        <v>13812</v>
      </c>
      <c r="C7471" t="s">
        <v>13966</v>
      </c>
      <c r="D7471" t="s">
        <v>13792</v>
      </c>
      <c r="E7471" t="s">
        <v>13888</v>
      </c>
      <c r="F7471" t="s">
        <v>13889</v>
      </c>
      <c r="G7471" t="s">
        <v>13889</v>
      </c>
      <c r="H7471" t="s">
        <v>97</v>
      </c>
      <c r="I7471" t="s">
        <v>98</v>
      </c>
      <c r="J7471" t="str">
        <f>"0159020"</f>
        <v>0159020</v>
      </c>
      <c r="K7471">
        <v>2634027394</v>
      </c>
      <c r="L7471">
        <v>2634021508</v>
      </c>
      <c r="M7471" t="s">
        <v>13967</v>
      </c>
      <c r="N7471" t="s">
        <v>13892</v>
      </c>
      <c r="O7471" t="s">
        <v>13968</v>
      </c>
      <c r="P7471">
        <v>30300</v>
      </c>
      <c r="Q7471" t="str">
        <f>"38.391795"</f>
        <v>38.391795</v>
      </c>
      <c r="R7471" t="str">
        <f>"21.822685"</f>
        <v>21.822685</v>
      </c>
      <c r="S7471" t="s">
        <v>26</v>
      </c>
    </row>
    <row r="7472" spans="1:19" x14ac:dyDescent="0.3">
      <c r="A7472" t="s">
        <v>13791</v>
      </c>
      <c r="B7472" t="s">
        <v>13812</v>
      </c>
      <c r="C7472" t="s">
        <v>13970</v>
      </c>
      <c r="D7472" t="s">
        <v>13792</v>
      </c>
      <c r="E7472" t="s">
        <v>13851</v>
      </c>
      <c r="F7472" t="s">
        <v>13852</v>
      </c>
      <c r="G7472" t="s">
        <v>13969</v>
      </c>
      <c r="H7472" t="s">
        <v>97</v>
      </c>
      <c r="I7472" t="s">
        <v>98</v>
      </c>
      <c r="J7472" t="str">
        <f>"0151050"</f>
        <v>0151050</v>
      </c>
      <c r="K7472">
        <v>2641051288</v>
      </c>
      <c r="L7472">
        <v>2641051288</v>
      </c>
      <c r="M7472" t="s">
        <v>13971</v>
      </c>
      <c r="N7472" t="s">
        <v>13972</v>
      </c>
      <c r="O7472" t="s">
        <v>13973</v>
      </c>
      <c r="P7472">
        <v>30003</v>
      </c>
      <c r="Q7472" t="str">
        <f>"38.583286"</f>
        <v>38.583286</v>
      </c>
      <c r="R7472" t="str">
        <f>"21.444857"</f>
        <v>21.444857</v>
      </c>
      <c r="S7472" t="s">
        <v>26</v>
      </c>
    </row>
    <row r="7473" spans="1:19" x14ac:dyDescent="0.3">
      <c r="A7473" t="s">
        <v>13791</v>
      </c>
      <c r="B7473" t="s">
        <v>13812</v>
      </c>
      <c r="C7473" t="s">
        <v>14120</v>
      </c>
      <c r="D7473" t="s">
        <v>13792</v>
      </c>
      <c r="E7473" t="s">
        <v>13793</v>
      </c>
      <c r="F7473" t="s">
        <v>13793</v>
      </c>
      <c r="G7473" t="s">
        <v>3986</v>
      </c>
      <c r="H7473" t="s">
        <v>97</v>
      </c>
      <c r="I7473" t="s">
        <v>98</v>
      </c>
      <c r="J7473" t="str">
        <f>"0152020"</f>
        <v>0152020</v>
      </c>
      <c r="K7473">
        <v>2631022671</v>
      </c>
      <c r="L7473">
        <v>2631022671</v>
      </c>
      <c r="M7473" t="s">
        <v>14121</v>
      </c>
      <c r="N7473" t="s">
        <v>13796</v>
      </c>
      <c r="O7473" t="s">
        <v>14122</v>
      </c>
      <c r="P7473">
        <v>30200</v>
      </c>
      <c r="Q7473" t="str">
        <f>"38.407303"</f>
        <v>38.407303</v>
      </c>
      <c r="R7473" t="str">
        <f>"21.383474"</f>
        <v>21.383474</v>
      </c>
      <c r="S7473" t="s">
        <v>26</v>
      </c>
    </row>
    <row r="7474" spans="1:19" x14ac:dyDescent="0.3">
      <c r="A7474" t="s">
        <v>13791</v>
      </c>
      <c r="B7474" t="s">
        <v>13812</v>
      </c>
      <c r="C7474" t="s">
        <v>14137</v>
      </c>
      <c r="D7474" t="s">
        <v>13792</v>
      </c>
      <c r="E7474" t="s">
        <v>13793</v>
      </c>
      <c r="F7474" t="s">
        <v>13987</v>
      </c>
      <c r="G7474" t="s">
        <v>13987</v>
      </c>
      <c r="H7474" t="s">
        <v>97</v>
      </c>
      <c r="I7474" t="s">
        <v>98</v>
      </c>
      <c r="J7474" t="str">
        <f>"0152030"</f>
        <v>0152030</v>
      </c>
      <c r="K7474">
        <v>2632022051</v>
      </c>
      <c r="L7474">
        <v>2632022051</v>
      </c>
      <c r="M7474" t="s">
        <v>14138</v>
      </c>
      <c r="N7474" t="s">
        <v>13990</v>
      </c>
      <c r="O7474" t="s">
        <v>13991</v>
      </c>
      <c r="P7474">
        <v>30400</v>
      </c>
      <c r="Q7474" t="str">
        <f>"38.433931"</f>
        <v>38.433931</v>
      </c>
      <c r="R7474" t="str">
        <f>"21.352563"</f>
        <v>21.352563</v>
      </c>
      <c r="S7474" t="s">
        <v>26</v>
      </c>
    </row>
    <row r="7475" spans="1:19" x14ac:dyDescent="0.3">
      <c r="A7475" t="s">
        <v>13791</v>
      </c>
      <c r="B7475" t="s">
        <v>13812</v>
      </c>
      <c r="C7475" t="s">
        <v>14139</v>
      </c>
      <c r="D7475" t="s">
        <v>13792</v>
      </c>
      <c r="E7475" t="s">
        <v>13851</v>
      </c>
      <c r="F7475" t="s">
        <v>13851</v>
      </c>
      <c r="G7475" t="s">
        <v>13851</v>
      </c>
      <c r="H7475" t="s">
        <v>97</v>
      </c>
      <c r="I7475" t="s">
        <v>98</v>
      </c>
      <c r="J7475" t="str">
        <f>"0190100"</f>
        <v>0190100</v>
      </c>
      <c r="K7475">
        <v>2641046106</v>
      </c>
      <c r="L7475">
        <v>2641048020</v>
      </c>
      <c r="M7475" t="s">
        <v>14140</v>
      </c>
      <c r="N7475" t="s">
        <v>13885</v>
      </c>
      <c r="O7475" t="s">
        <v>14141</v>
      </c>
      <c r="P7475">
        <v>30100</v>
      </c>
      <c r="Q7475" t="str">
        <f>"38.625150"</f>
        <v>38.625150</v>
      </c>
      <c r="R7475" t="str">
        <f>"21.390675"</f>
        <v>21.390675</v>
      </c>
      <c r="S7475" t="s">
        <v>26</v>
      </c>
    </row>
    <row r="7476" spans="1:19" x14ac:dyDescent="0.3">
      <c r="A7476" t="s">
        <v>13791</v>
      </c>
      <c r="B7476" t="s">
        <v>13812</v>
      </c>
      <c r="C7476" t="s">
        <v>14168</v>
      </c>
      <c r="D7476" t="s">
        <v>13792</v>
      </c>
      <c r="E7476" t="s">
        <v>13851</v>
      </c>
      <c r="F7476" t="s">
        <v>13851</v>
      </c>
      <c r="G7476" t="s">
        <v>13851</v>
      </c>
      <c r="H7476" t="s">
        <v>97</v>
      </c>
      <c r="I7476" t="s">
        <v>98</v>
      </c>
      <c r="J7476" t="str">
        <f>"0144001"</f>
        <v>0144001</v>
      </c>
      <c r="K7476">
        <v>2641044712</v>
      </c>
      <c r="L7476">
        <v>2641022087</v>
      </c>
      <c r="M7476" t="s">
        <v>14169</v>
      </c>
      <c r="N7476" t="s">
        <v>13885</v>
      </c>
      <c r="O7476" t="s">
        <v>14170</v>
      </c>
      <c r="P7476">
        <v>30133</v>
      </c>
      <c r="Q7476" t="str">
        <f>"38.630464"</f>
        <v>38.630464</v>
      </c>
      <c r="R7476" t="str">
        <f>"21.419773"</f>
        <v>21.419773</v>
      </c>
      <c r="S7476" t="s">
        <v>26</v>
      </c>
    </row>
    <row r="7477" spans="1:19" x14ac:dyDescent="0.3">
      <c r="A7477" t="s">
        <v>13791</v>
      </c>
      <c r="B7477" t="s">
        <v>14180</v>
      </c>
      <c r="C7477" t="s">
        <v>14208</v>
      </c>
      <c r="D7477" t="s">
        <v>13798</v>
      </c>
      <c r="E7477" t="s">
        <v>13799</v>
      </c>
      <c r="F7477" t="s">
        <v>13799</v>
      </c>
      <c r="G7477" t="s">
        <v>13800</v>
      </c>
      <c r="H7477" t="s">
        <v>97</v>
      </c>
      <c r="I7477" t="s">
        <v>98</v>
      </c>
      <c r="J7477" t="str">
        <f>"0651050"</f>
        <v>0651050</v>
      </c>
      <c r="K7477">
        <v>2610431359</v>
      </c>
      <c r="L7477">
        <v>2610433376</v>
      </c>
      <c r="M7477" t="s">
        <v>14209</v>
      </c>
      <c r="N7477" t="s">
        <v>13803</v>
      </c>
      <c r="O7477" t="s">
        <v>14210</v>
      </c>
      <c r="P7477">
        <v>26442</v>
      </c>
      <c r="Q7477" t="str">
        <f>"38.275274"</f>
        <v>38.275274</v>
      </c>
      <c r="R7477" t="str">
        <f>"21.757141"</f>
        <v>21.757141</v>
      </c>
      <c r="S7477" t="s">
        <v>26</v>
      </c>
    </row>
    <row r="7478" spans="1:19" x14ac:dyDescent="0.3">
      <c r="A7478" t="s">
        <v>13791</v>
      </c>
      <c r="B7478" t="s">
        <v>14180</v>
      </c>
      <c r="C7478" t="s">
        <v>14224</v>
      </c>
      <c r="D7478" t="s">
        <v>13798</v>
      </c>
      <c r="E7478" t="s">
        <v>14223</v>
      </c>
      <c r="F7478" t="s">
        <v>14223</v>
      </c>
      <c r="G7478" t="s">
        <v>14223</v>
      </c>
      <c r="H7478" t="s">
        <v>97</v>
      </c>
      <c r="I7478" t="s">
        <v>98</v>
      </c>
      <c r="J7478" t="str">
        <f>"0653010"</f>
        <v>0653010</v>
      </c>
      <c r="K7478">
        <v>2692022147</v>
      </c>
      <c r="L7478">
        <v>2692024381</v>
      </c>
      <c r="M7478" t="s">
        <v>14225</v>
      </c>
      <c r="N7478" t="s">
        <v>14226</v>
      </c>
      <c r="O7478" t="s">
        <v>14227</v>
      </c>
      <c r="P7478">
        <v>25001</v>
      </c>
      <c r="Q7478" t="str">
        <f>"38.033323"</f>
        <v>38.033323</v>
      </c>
      <c r="R7478" t="str">
        <f>"22.112177"</f>
        <v>22.112177</v>
      </c>
      <c r="S7478" t="s">
        <v>26</v>
      </c>
    </row>
    <row r="7479" spans="1:19" x14ac:dyDescent="0.3">
      <c r="A7479" t="s">
        <v>13791</v>
      </c>
      <c r="B7479" t="s">
        <v>14180</v>
      </c>
      <c r="C7479" t="s">
        <v>14232</v>
      </c>
      <c r="D7479" t="s">
        <v>13798</v>
      </c>
      <c r="E7479" t="s">
        <v>14181</v>
      </c>
      <c r="F7479" t="s">
        <v>14230</v>
      </c>
      <c r="G7479" t="s">
        <v>14231</v>
      </c>
      <c r="H7479" t="s">
        <v>97</v>
      </c>
      <c r="I7479" t="s">
        <v>98</v>
      </c>
      <c r="J7479" t="str">
        <f>"0652030"</f>
        <v>0652030</v>
      </c>
      <c r="K7479">
        <v>2691031521</v>
      </c>
      <c r="L7479">
        <v>2691031511</v>
      </c>
      <c r="M7479" t="s">
        <v>14233</v>
      </c>
      <c r="O7479" t="s">
        <v>14234</v>
      </c>
      <c r="P7479">
        <v>25009</v>
      </c>
      <c r="Q7479" t="str">
        <f>"38.301046"</f>
        <v>38.301046</v>
      </c>
      <c r="R7479" t="str">
        <f>"22.003812"</f>
        <v>22.003812</v>
      </c>
      <c r="S7479" t="s">
        <v>26</v>
      </c>
    </row>
    <row r="7480" spans="1:19" x14ac:dyDescent="0.3">
      <c r="A7480" t="s">
        <v>13791</v>
      </c>
      <c r="B7480" t="s">
        <v>14180</v>
      </c>
      <c r="C7480" t="s">
        <v>14251</v>
      </c>
      <c r="D7480" t="s">
        <v>13798</v>
      </c>
      <c r="E7480" t="s">
        <v>13799</v>
      </c>
      <c r="F7480" t="s">
        <v>13799</v>
      </c>
      <c r="G7480" t="s">
        <v>13809</v>
      </c>
      <c r="H7480" t="s">
        <v>97</v>
      </c>
      <c r="I7480" t="s">
        <v>98</v>
      </c>
      <c r="J7480" t="str">
        <f>"0651009"</f>
        <v>0651009</v>
      </c>
      <c r="K7480">
        <v>2610222696</v>
      </c>
      <c r="L7480">
        <v>2610222503</v>
      </c>
      <c r="M7480" t="s">
        <v>14252</v>
      </c>
      <c r="N7480" t="s">
        <v>14253</v>
      </c>
      <c r="O7480" t="s">
        <v>14254</v>
      </c>
      <c r="P7480">
        <v>26221</v>
      </c>
      <c r="Q7480" t="str">
        <f>"38.248131"</f>
        <v>38.248131</v>
      </c>
      <c r="R7480" t="str">
        <f>"21.738756"</f>
        <v>21.738756</v>
      </c>
      <c r="S7480" t="s">
        <v>26</v>
      </c>
    </row>
    <row r="7481" spans="1:19" x14ac:dyDescent="0.3">
      <c r="A7481" t="s">
        <v>13791</v>
      </c>
      <c r="B7481" t="s">
        <v>14180</v>
      </c>
      <c r="C7481" t="s">
        <v>14262</v>
      </c>
      <c r="D7481" t="s">
        <v>13798</v>
      </c>
      <c r="E7481" t="s">
        <v>14181</v>
      </c>
      <c r="F7481" t="s">
        <v>14261</v>
      </c>
      <c r="G7481" t="s">
        <v>14261</v>
      </c>
      <c r="H7481" t="s">
        <v>97</v>
      </c>
      <c r="I7481" t="s">
        <v>98</v>
      </c>
      <c r="J7481" t="str">
        <f>"0659010"</f>
        <v>0659010</v>
      </c>
      <c r="K7481">
        <v>2696022178</v>
      </c>
      <c r="L7481">
        <v>2696301022</v>
      </c>
      <c r="M7481" t="s">
        <v>14263</v>
      </c>
      <c r="N7481" t="s">
        <v>14264</v>
      </c>
      <c r="O7481" t="s">
        <v>14265</v>
      </c>
      <c r="P7481">
        <v>25006</v>
      </c>
      <c r="Q7481" t="str">
        <f>"38.155116"</f>
        <v>38.155116</v>
      </c>
      <c r="R7481" t="str">
        <f>"22.320911"</f>
        <v>22.320911</v>
      </c>
      <c r="S7481" t="s">
        <v>26</v>
      </c>
    </row>
    <row r="7482" spans="1:19" x14ac:dyDescent="0.3">
      <c r="A7482" t="s">
        <v>13791</v>
      </c>
      <c r="B7482" t="s">
        <v>14180</v>
      </c>
      <c r="C7482" t="s">
        <v>14267</v>
      </c>
      <c r="D7482" t="s">
        <v>13798</v>
      </c>
      <c r="E7482" t="s">
        <v>13799</v>
      </c>
      <c r="F7482" t="s">
        <v>13799</v>
      </c>
      <c r="G7482" t="s">
        <v>14236</v>
      </c>
      <c r="H7482" t="s">
        <v>97</v>
      </c>
      <c r="I7482" t="s">
        <v>98</v>
      </c>
      <c r="J7482" t="str">
        <f>"0651052"</f>
        <v>0651052</v>
      </c>
      <c r="K7482">
        <v>2610524300</v>
      </c>
      <c r="L7482">
        <v>2610524300</v>
      </c>
      <c r="M7482" t="s">
        <v>14268</v>
      </c>
      <c r="N7482" t="s">
        <v>13803</v>
      </c>
      <c r="O7482" t="s">
        <v>14269</v>
      </c>
      <c r="P7482">
        <v>26333</v>
      </c>
      <c r="Q7482" t="str">
        <f>"38.211216"</f>
        <v>38.211216</v>
      </c>
      <c r="R7482" t="str">
        <f>"21.717237"</f>
        <v>21.717237</v>
      </c>
      <c r="S7482" t="s">
        <v>26</v>
      </c>
    </row>
    <row r="7483" spans="1:19" x14ac:dyDescent="0.3">
      <c r="A7483" t="s">
        <v>13791</v>
      </c>
      <c r="B7483" t="s">
        <v>14180</v>
      </c>
      <c r="C7483" t="s">
        <v>14271</v>
      </c>
      <c r="D7483" t="s">
        <v>13798</v>
      </c>
      <c r="E7483" t="s">
        <v>13799</v>
      </c>
      <c r="F7483" t="s">
        <v>14212</v>
      </c>
      <c r="G7483" t="s">
        <v>14212</v>
      </c>
      <c r="H7483" t="s">
        <v>97</v>
      </c>
      <c r="I7483" t="s">
        <v>98</v>
      </c>
      <c r="J7483" t="str">
        <f>"0651120"</f>
        <v>0651120</v>
      </c>
      <c r="K7483">
        <v>2610524660</v>
      </c>
      <c r="L7483">
        <v>2610526191</v>
      </c>
      <c r="M7483" t="s">
        <v>14272</v>
      </c>
      <c r="N7483" t="s">
        <v>14273</v>
      </c>
      <c r="O7483" t="s">
        <v>14274</v>
      </c>
      <c r="P7483">
        <v>26333</v>
      </c>
      <c r="Q7483" t="str">
        <f>"38.199305"</f>
        <v>38.199305</v>
      </c>
      <c r="R7483" t="str">
        <f>"21.700156"</f>
        <v>21.700156</v>
      </c>
      <c r="S7483" t="s">
        <v>26</v>
      </c>
    </row>
    <row r="7484" spans="1:19" x14ac:dyDescent="0.3">
      <c r="A7484" t="s">
        <v>13791</v>
      </c>
      <c r="B7484" t="s">
        <v>14180</v>
      </c>
      <c r="C7484" t="s">
        <v>14279</v>
      </c>
      <c r="D7484" t="s">
        <v>13798</v>
      </c>
      <c r="E7484" t="s">
        <v>13799</v>
      </c>
      <c r="F7484" t="s">
        <v>14276</v>
      </c>
      <c r="G7484" t="s">
        <v>14277</v>
      </c>
      <c r="H7484" t="s">
        <v>97</v>
      </c>
      <c r="I7484" t="s">
        <v>14278</v>
      </c>
      <c r="J7484" t="str">
        <f>"0651002"</f>
        <v>0651002</v>
      </c>
      <c r="K7484">
        <v>2610431509</v>
      </c>
      <c r="L7484">
        <v>2610431510</v>
      </c>
      <c r="M7484" t="s">
        <v>14280</v>
      </c>
      <c r="N7484" t="s">
        <v>13803</v>
      </c>
      <c r="O7484" t="s">
        <v>14281</v>
      </c>
      <c r="P7484">
        <v>26504</v>
      </c>
      <c r="Q7484" t="str">
        <f>"38.280114"</f>
        <v>38.280114</v>
      </c>
      <c r="R7484" t="str">
        <f>"21.790382"</f>
        <v>21.790382</v>
      </c>
      <c r="S7484" t="s">
        <v>26</v>
      </c>
    </row>
    <row r="7485" spans="1:19" x14ac:dyDescent="0.3">
      <c r="A7485" t="s">
        <v>13791</v>
      </c>
      <c r="B7485" t="s">
        <v>14180</v>
      </c>
      <c r="C7485" t="s">
        <v>14282</v>
      </c>
      <c r="D7485" t="s">
        <v>13798</v>
      </c>
      <c r="E7485" t="s">
        <v>13799</v>
      </c>
      <c r="F7485" t="s">
        <v>13799</v>
      </c>
      <c r="G7485" t="s">
        <v>13809</v>
      </c>
      <c r="H7485" t="s">
        <v>97</v>
      </c>
      <c r="I7485" t="s">
        <v>98</v>
      </c>
      <c r="J7485" t="str">
        <f>"0651070"</f>
        <v>0651070</v>
      </c>
      <c r="K7485">
        <v>2610421200</v>
      </c>
      <c r="L7485">
        <v>2610421200</v>
      </c>
      <c r="M7485" t="s">
        <v>14283</v>
      </c>
      <c r="N7485" t="s">
        <v>13803</v>
      </c>
      <c r="O7485" t="s">
        <v>14284</v>
      </c>
      <c r="P7485">
        <v>26223</v>
      </c>
      <c r="Q7485" t="str">
        <f>"38.252656"</f>
        <v>38.252656</v>
      </c>
      <c r="R7485" t="str">
        <f>"21.742960"</f>
        <v>21.742960</v>
      </c>
      <c r="S7485" t="s">
        <v>26</v>
      </c>
    </row>
    <row r="7486" spans="1:19" x14ac:dyDescent="0.3">
      <c r="A7486" t="s">
        <v>13791</v>
      </c>
      <c r="B7486" t="s">
        <v>14180</v>
      </c>
      <c r="C7486" t="s">
        <v>14288</v>
      </c>
      <c r="D7486" t="s">
        <v>13798</v>
      </c>
      <c r="E7486" t="s">
        <v>14200</v>
      </c>
      <c r="F7486" t="s">
        <v>14286</v>
      </c>
      <c r="G7486" t="s">
        <v>14287</v>
      </c>
      <c r="H7486" t="s">
        <v>97</v>
      </c>
      <c r="I7486" t="s">
        <v>98</v>
      </c>
      <c r="J7486" t="str">
        <f>"0656010"</f>
        <v>0656010</v>
      </c>
      <c r="K7486">
        <v>2693031555</v>
      </c>
      <c r="L7486">
        <v>2693031883</v>
      </c>
      <c r="M7486" t="s">
        <v>14289</v>
      </c>
      <c r="N7486" t="s">
        <v>14290</v>
      </c>
      <c r="O7486" t="s">
        <v>14290</v>
      </c>
      <c r="P7486">
        <v>27052</v>
      </c>
      <c r="Q7486" t="str">
        <f>"38.092909"</f>
        <v>38.092909</v>
      </c>
      <c r="R7486" t="str">
        <f>"21.419948"</f>
        <v>21.419948</v>
      </c>
      <c r="S7486" t="s">
        <v>26</v>
      </c>
    </row>
    <row r="7487" spans="1:19" x14ac:dyDescent="0.3">
      <c r="A7487" t="s">
        <v>13791</v>
      </c>
      <c r="B7487" t="s">
        <v>14180</v>
      </c>
      <c r="C7487" t="s">
        <v>14293</v>
      </c>
      <c r="D7487" t="s">
        <v>13798</v>
      </c>
      <c r="E7487" t="s">
        <v>13799</v>
      </c>
      <c r="F7487" t="s">
        <v>13799</v>
      </c>
      <c r="G7487" t="s">
        <v>13809</v>
      </c>
      <c r="H7487" t="s">
        <v>97</v>
      </c>
      <c r="I7487" t="s">
        <v>98</v>
      </c>
      <c r="J7487" t="str">
        <f>"0651020"</f>
        <v>0651020</v>
      </c>
      <c r="K7487">
        <v>2610322394</v>
      </c>
      <c r="L7487">
        <v>2610322394</v>
      </c>
      <c r="M7487" t="s">
        <v>14294</v>
      </c>
      <c r="N7487" t="s">
        <v>13803</v>
      </c>
      <c r="O7487" t="s">
        <v>14295</v>
      </c>
      <c r="P7487">
        <v>26226</v>
      </c>
      <c r="Q7487" t="str">
        <f>"38.230585"</f>
        <v>38.230585</v>
      </c>
      <c r="R7487" t="str">
        <f>"21.746541"</f>
        <v>21.746541</v>
      </c>
      <c r="S7487" t="s">
        <v>26</v>
      </c>
    </row>
    <row r="7488" spans="1:19" x14ac:dyDescent="0.3">
      <c r="A7488" t="s">
        <v>13791</v>
      </c>
      <c r="B7488" t="s">
        <v>14180</v>
      </c>
      <c r="C7488" t="s">
        <v>14298</v>
      </c>
      <c r="D7488" t="s">
        <v>13798</v>
      </c>
      <c r="E7488" t="s">
        <v>14223</v>
      </c>
      <c r="F7488" t="s">
        <v>14297</v>
      </c>
      <c r="G7488" t="s">
        <v>3469</v>
      </c>
      <c r="H7488" t="s">
        <v>97</v>
      </c>
      <c r="I7488" t="s">
        <v>98</v>
      </c>
      <c r="J7488" t="str">
        <f>"0660010"</f>
        <v>0660010</v>
      </c>
      <c r="K7488">
        <v>2692071342</v>
      </c>
      <c r="L7488">
        <v>2692071342</v>
      </c>
      <c r="M7488" t="s">
        <v>14299</v>
      </c>
      <c r="N7488" t="s">
        <v>14300</v>
      </c>
      <c r="O7488" t="s">
        <v>14301</v>
      </c>
      <c r="P7488">
        <v>25004</v>
      </c>
      <c r="Q7488" t="str">
        <f>"37.812538"</f>
        <v>37.812538</v>
      </c>
      <c r="R7488" t="str">
        <f>"22.022439"</f>
        <v>22.022439</v>
      </c>
      <c r="S7488" t="s">
        <v>57</v>
      </c>
    </row>
    <row r="7489" spans="1:19" x14ac:dyDescent="0.3">
      <c r="A7489" t="s">
        <v>13791</v>
      </c>
      <c r="B7489" t="s">
        <v>14180</v>
      </c>
      <c r="C7489" t="s">
        <v>14303</v>
      </c>
      <c r="D7489" t="s">
        <v>13798</v>
      </c>
      <c r="E7489" t="s">
        <v>13799</v>
      </c>
      <c r="F7489" t="s">
        <v>13799</v>
      </c>
      <c r="G7489" t="s">
        <v>14241</v>
      </c>
      <c r="H7489" t="s">
        <v>97</v>
      </c>
      <c r="I7489" t="s">
        <v>98</v>
      </c>
      <c r="J7489" t="str">
        <f>"0651060"</f>
        <v>0651060</v>
      </c>
      <c r="K7489">
        <v>2610223073</v>
      </c>
      <c r="L7489">
        <v>2610223073</v>
      </c>
      <c r="M7489" t="s">
        <v>14304</v>
      </c>
      <c r="N7489" t="s">
        <v>13803</v>
      </c>
      <c r="O7489" t="s">
        <v>14305</v>
      </c>
      <c r="P7489">
        <v>26335</v>
      </c>
      <c r="Q7489" t="str">
        <f>"38.237437"</f>
        <v>38.237437</v>
      </c>
      <c r="R7489" t="str">
        <f>"21.746100"</f>
        <v>21.746100</v>
      </c>
      <c r="S7489" t="s">
        <v>26</v>
      </c>
    </row>
    <row r="7490" spans="1:19" x14ac:dyDescent="0.3">
      <c r="A7490" t="s">
        <v>13791</v>
      </c>
      <c r="B7490" t="s">
        <v>14180</v>
      </c>
      <c r="C7490" t="s">
        <v>14307</v>
      </c>
      <c r="D7490" t="s">
        <v>13798</v>
      </c>
      <c r="E7490" t="s">
        <v>13799</v>
      </c>
      <c r="F7490" t="s">
        <v>13799</v>
      </c>
      <c r="G7490" t="s">
        <v>14236</v>
      </c>
      <c r="H7490" t="s">
        <v>97</v>
      </c>
      <c r="I7490" t="s">
        <v>98</v>
      </c>
      <c r="J7490" t="str">
        <f>"0651010"</f>
        <v>0651010</v>
      </c>
      <c r="K7490">
        <v>2610422044</v>
      </c>
      <c r="L7490">
        <v>2610439241</v>
      </c>
      <c r="M7490" t="s">
        <v>14308</v>
      </c>
      <c r="N7490" t="s">
        <v>14309</v>
      </c>
      <c r="O7490" t="s">
        <v>14310</v>
      </c>
      <c r="P7490">
        <v>26443</v>
      </c>
      <c r="Q7490" t="str">
        <f>"38.262839"</f>
        <v>38.262839</v>
      </c>
      <c r="R7490" t="str">
        <f>"21.753259"</f>
        <v>21.753259</v>
      </c>
      <c r="S7490" t="s">
        <v>26</v>
      </c>
    </row>
    <row r="7491" spans="1:19" x14ac:dyDescent="0.3">
      <c r="A7491" t="s">
        <v>13791</v>
      </c>
      <c r="B7491" t="s">
        <v>14180</v>
      </c>
      <c r="C7491" t="s">
        <v>14318</v>
      </c>
      <c r="D7491" t="s">
        <v>13798</v>
      </c>
      <c r="E7491" t="s">
        <v>14181</v>
      </c>
      <c r="F7491" t="s">
        <v>14317</v>
      </c>
      <c r="G7491" t="s">
        <v>14317</v>
      </c>
      <c r="H7491" t="s">
        <v>97</v>
      </c>
      <c r="I7491" t="s">
        <v>98</v>
      </c>
      <c r="J7491" t="str">
        <f>"0659020"</f>
        <v>0659020</v>
      </c>
      <c r="K7491">
        <v>2691041275</v>
      </c>
      <c r="L7491">
        <v>2691042794</v>
      </c>
      <c r="M7491" t="s">
        <v>14319</v>
      </c>
      <c r="N7491" t="s">
        <v>14320</v>
      </c>
      <c r="O7491" t="s">
        <v>14321</v>
      </c>
      <c r="P7491">
        <v>25003</v>
      </c>
      <c r="Q7491" t="str">
        <f>"38.194072"</f>
        <v>38.194072</v>
      </c>
      <c r="R7491" t="str">
        <f>"22.201224"</f>
        <v>22.201224</v>
      </c>
      <c r="S7491" t="s">
        <v>26</v>
      </c>
    </row>
    <row r="7492" spans="1:19" x14ac:dyDescent="0.3">
      <c r="A7492" t="s">
        <v>13791</v>
      </c>
      <c r="B7492" t="s">
        <v>14180</v>
      </c>
      <c r="C7492" t="s">
        <v>14324</v>
      </c>
      <c r="D7492" t="s">
        <v>13798</v>
      </c>
      <c r="E7492" t="s">
        <v>13799</v>
      </c>
      <c r="F7492" t="s">
        <v>14323</v>
      </c>
      <c r="G7492" t="s">
        <v>14323</v>
      </c>
      <c r="H7492" t="s">
        <v>97</v>
      </c>
      <c r="I7492" t="s">
        <v>98</v>
      </c>
      <c r="J7492" t="str">
        <f>"0665010"</f>
        <v>0665010</v>
      </c>
      <c r="K7492">
        <v>2610670852</v>
      </c>
      <c r="L7492">
        <v>2610670868</v>
      </c>
      <c r="M7492" t="s">
        <v>14325</v>
      </c>
      <c r="N7492" t="s">
        <v>14326</v>
      </c>
      <c r="O7492" t="s">
        <v>14327</v>
      </c>
      <c r="P7492">
        <v>25002</v>
      </c>
      <c r="Q7492" t="str">
        <f>"38.164600"</f>
        <v>38.164600</v>
      </c>
      <c r="R7492" t="str">
        <f>"21.671016"</f>
        <v>21.671016</v>
      </c>
      <c r="S7492" t="s">
        <v>26</v>
      </c>
    </row>
    <row r="7493" spans="1:19" x14ac:dyDescent="0.3">
      <c r="A7493" t="s">
        <v>13791</v>
      </c>
      <c r="B7493" t="s">
        <v>14180</v>
      </c>
      <c r="C7493" t="s">
        <v>14331</v>
      </c>
      <c r="D7493" t="s">
        <v>13798</v>
      </c>
      <c r="E7493" t="s">
        <v>14200</v>
      </c>
      <c r="F7493" t="s">
        <v>14329</v>
      </c>
      <c r="G7493" t="s">
        <v>14330</v>
      </c>
      <c r="H7493" t="s">
        <v>97</v>
      </c>
      <c r="I7493" t="s">
        <v>98</v>
      </c>
      <c r="J7493" t="str">
        <f>"0657010"</f>
        <v>0657010</v>
      </c>
      <c r="K7493">
        <v>2693061155</v>
      </c>
      <c r="L7493">
        <v>2693061294</v>
      </c>
      <c r="M7493" t="s">
        <v>14332</v>
      </c>
      <c r="N7493" t="s">
        <v>14333</v>
      </c>
      <c r="O7493" t="s">
        <v>14334</v>
      </c>
      <c r="P7493">
        <v>25200</v>
      </c>
      <c r="Q7493" t="str">
        <f>"38.109348"</f>
        <v>38.109348</v>
      </c>
      <c r="R7493" t="str">
        <f>"21.596422"</f>
        <v>21.596422</v>
      </c>
      <c r="S7493" t="s">
        <v>26</v>
      </c>
    </row>
    <row r="7494" spans="1:19" x14ac:dyDescent="0.3">
      <c r="A7494" t="s">
        <v>13791</v>
      </c>
      <c r="B7494" t="s">
        <v>14180</v>
      </c>
      <c r="C7494" t="s">
        <v>14336</v>
      </c>
      <c r="D7494" t="s">
        <v>13798</v>
      </c>
      <c r="E7494" t="s">
        <v>13799</v>
      </c>
      <c r="F7494" t="s">
        <v>13799</v>
      </c>
      <c r="G7494" t="s">
        <v>14241</v>
      </c>
      <c r="H7494" t="s">
        <v>97</v>
      </c>
      <c r="I7494" t="s">
        <v>98</v>
      </c>
      <c r="J7494" t="str">
        <f>"0651003"</f>
        <v>0651003</v>
      </c>
      <c r="K7494">
        <v>2610330414</v>
      </c>
      <c r="L7494">
        <v>2610330414</v>
      </c>
      <c r="M7494" t="s">
        <v>14337</v>
      </c>
      <c r="N7494" t="s">
        <v>13803</v>
      </c>
      <c r="O7494" t="s">
        <v>14338</v>
      </c>
      <c r="P7494">
        <v>26335</v>
      </c>
      <c r="Q7494" t="str">
        <f>"38.223401"</f>
        <v>38.223401</v>
      </c>
      <c r="R7494" t="str">
        <f>"21.751624"</f>
        <v>21.751624</v>
      </c>
      <c r="S7494" t="s">
        <v>26</v>
      </c>
    </row>
    <row r="7495" spans="1:19" x14ac:dyDescent="0.3">
      <c r="A7495" t="s">
        <v>13791</v>
      </c>
      <c r="B7495" t="s">
        <v>14180</v>
      </c>
      <c r="C7495" t="s">
        <v>14340</v>
      </c>
      <c r="D7495" t="s">
        <v>13798</v>
      </c>
      <c r="E7495" t="s">
        <v>13799</v>
      </c>
      <c r="F7495" t="s">
        <v>13799</v>
      </c>
      <c r="G7495" t="s">
        <v>14241</v>
      </c>
      <c r="H7495" t="s">
        <v>97</v>
      </c>
      <c r="I7495" t="s">
        <v>98</v>
      </c>
      <c r="J7495" t="str">
        <f>"0651040"</f>
        <v>0651040</v>
      </c>
      <c r="K7495">
        <v>2610620198</v>
      </c>
      <c r="L7495">
        <v>2610271918</v>
      </c>
      <c r="M7495" t="s">
        <v>14341</v>
      </c>
      <c r="N7495" t="s">
        <v>13803</v>
      </c>
      <c r="O7495" t="s">
        <v>14342</v>
      </c>
      <c r="P7495">
        <v>26331</v>
      </c>
      <c r="Q7495" t="str">
        <f>"38.242176"</f>
        <v>38.242176</v>
      </c>
      <c r="R7495" t="str">
        <f>"21.749333"</f>
        <v>21.749333</v>
      </c>
      <c r="S7495" t="s">
        <v>26</v>
      </c>
    </row>
    <row r="7496" spans="1:19" x14ac:dyDescent="0.3">
      <c r="A7496" t="s">
        <v>13791</v>
      </c>
      <c r="B7496" t="s">
        <v>14180</v>
      </c>
      <c r="C7496" t="s">
        <v>14351</v>
      </c>
      <c r="D7496" t="s">
        <v>13798</v>
      </c>
      <c r="E7496" t="s">
        <v>13799</v>
      </c>
      <c r="F7496" t="s">
        <v>14349</v>
      </c>
      <c r="G7496" t="s">
        <v>14350</v>
      </c>
      <c r="H7496" t="s">
        <v>97</v>
      </c>
      <c r="I7496" t="s">
        <v>98</v>
      </c>
      <c r="J7496" t="str">
        <f>"0651058"</f>
        <v>0651058</v>
      </c>
      <c r="K7496">
        <v>2610522929</v>
      </c>
      <c r="L7496">
        <v>2610525765</v>
      </c>
      <c r="M7496" t="s">
        <v>14352</v>
      </c>
      <c r="N7496" t="s">
        <v>14353</v>
      </c>
      <c r="O7496" t="s">
        <v>14354</v>
      </c>
      <c r="P7496">
        <v>26500</v>
      </c>
      <c r="Q7496" t="str">
        <f>"38.200451"</f>
        <v>38.200451</v>
      </c>
      <c r="R7496" t="str">
        <f>"21.735498"</f>
        <v>21.735498</v>
      </c>
      <c r="S7496" t="s">
        <v>26</v>
      </c>
    </row>
    <row r="7497" spans="1:19" x14ac:dyDescent="0.3">
      <c r="A7497" t="s">
        <v>13791</v>
      </c>
      <c r="B7497" t="s">
        <v>14180</v>
      </c>
      <c r="C7497" t="s">
        <v>14356</v>
      </c>
      <c r="D7497" t="s">
        <v>13798</v>
      </c>
      <c r="E7497" t="s">
        <v>13799</v>
      </c>
      <c r="F7497" t="s">
        <v>13799</v>
      </c>
      <c r="G7497" t="s">
        <v>13809</v>
      </c>
      <c r="H7497" t="s">
        <v>97</v>
      </c>
      <c r="I7497" t="s">
        <v>3640</v>
      </c>
      <c r="J7497" t="str">
        <f>"0651001"</f>
        <v>0651001</v>
      </c>
      <c r="K7497">
        <v>2610333808</v>
      </c>
      <c r="L7497">
        <v>2610330840</v>
      </c>
      <c r="M7497" t="s">
        <v>14357</v>
      </c>
      <c r="N7497" t="s">
        <v>14309</v>
      </c>
      <c r="O7497" t="s">
        <v>14358</v>
      </c>
      <c r="P7497">
        <v>26226</v>
      </c>
      <c r="Q7497" t="str">
        <f>"38.230324"</f>
        <v>38.230324</v>
      </c>
      <c r="R7497" t="str">
        <f>"21.745836"</f>
        <v>21.745836</v>
      </c>
      <c r="S7497" t="s">
        <v>26</v>
      </c>
    </row>
    <row r="7498" spans="1:19" x14ac:dyDescent="0.3">
      <c r="A7498" t="s">
        <v>13791</v>
      </c>
      <c r="B7498" t="s">
        <v>14180</v>
      </c>
      <c r="C7498" t="s">
        <v>14359</v>
      </c>
      <c r="D7498" t="s">
        <v>13798</v>
      </c>
      <c r="E7498" t="s">
        <v>13799</v>
      </c>
      <c r="F7498" t="s">
        <v>14276</v>
      </c>
      <c r="G7498" t="s">
        <v>14277</v>
      </c>
      <c r="H7498" t="s">
        <v>97</v>
      </c>
      <c r="I7498" t="s">
        <v>98</v>
      </c>
      <c r="J7498" t="str">
        <f>"0651056"</f>
        <v>0651056</v>
      </c>
      <c r="K7498">
        <v>2610995483</v>
      </c>
      <c r="L7498">
        <v>2610995294</v>
      </c>
      <c r="M7498" t="s">
        <v>14360</v>
      </c>
      <c r="N7498" t="s">
        <v>14361</v>
      </c>
      <c r="O7498" t="s">
        <v>6092</v>
      </c>
      <c r="P7498">
        <v>26504</v>
      </c>
      <c r="Q7498" t="str">
        <f>"38.279614"</f>
        <v>38.279614</v>
      </c>
      <c r="R7498" t="str">
        <f>"21.788733"</f>
        <v>21.788733</v>
      </c>
      <c r="S7498" t="s">
        <v>26</v>
      </c>
    </row>
    <row r="7499" spans="1:19" x14ac:dyDescent="0.3">
      <c r="A7499" t="s">
        <v>13791</v>
      </c>
      <c r="B7499" t="s">
        <v>14180</v>
      </c>
      <c r="C7499" t="s">
        <v>14362</v>
      </c>
      <c r="D7499" t="s">
        <v>13798</v>
      </c>
      <c r="E7499" t="s">
        <v>13799</v>
      </c>
      <c r="F7499" t="s">
        <v>13799</v>
      </c>
      <c r="G7499" t="s">
        <v>14236</v>
      </c>
      <c r="H7499" t="s">
        <v>97</v>
      </c>
      <c r="I7499" t="s">
        <v>98</v>
      </c>
      <c r="J7499" t="str">
        <f>"0651030"</f>
        <v>0651030</v>
      </c>
      <c r="K7499">
        <v>2610322190</v>
      </c>
      <c r="L7499">
        <v>2610322190</v>
      </c>
      <c r="M7499" t="s">
        <v>14363</v>
      </c>
      <c r="N7499" t="s">
        <v>13803</v>
      </c>
      <c r="O7499" t="s">
        <v>14364</v>
      </c>
      <c r="P7499">
        <v>26333</v>
      </c>
      <c r="Q7499" t="str">
        <f>"38.232292"</f>
        <v>38.232292</v>
      </c>
      <c r="R7499" t="str">
        <f>"21.735658"</f>
        <v>21.735658</v>
      </c>
      <c r="S7499" t="s">
        <v>26</v>
      </c>
    </row>
    <row r="7500" spans="1:19" x14ac:dyDescent="0.3">
      <c r="A7500" t="s">
        <v>13791</v>
      </c>
      <c r="B7500" t="s">
        <v>14180</v>
      </c>
      <c r="C7500" t="s">
        <v>14366</v>
      </c>
      <c r="D7500" t="s">
        <v>13798</v>
      </c>
      <c r="E7500" t="s">
        <v>14223</v>
      </c>
      <c r="F7500" t="s">
        <v>14365</v>
      </c>
      <c r="G7500" t="s">
        <v>14365</v>
      </c>
      <c r="H7500" t="s">
        <v>97</v>
      </c>
      <c r="I7500" t="s">
        <v>98</v>
      </c>
      <c r="J7500" t="str">
        <f>"0661010"</f>
        <v>0661010</v>
      </c>
      <c r="K7500">
        <v>2692031215</v>
      </c>
      <c r="L7500">
        <v>2692031215</v>
      </c>
      <c r="M7500" t="s">
        <v>14367</v>
      </c>
      <c r="N7500" t="s">
        <v>14368</v>
      </c>
      <c r="O7500" t="s">
        <v>14369</v>
      </c>
      <c r="P7500">
        <v>25007</v>
      </c>
      <c r="Q7500" t="str">
        <f>"37.898796"</f>
        <v>37.898796</v>
      </c>
      <c r="R7500" t="str">
        <f>"22.123630"</f>
        <v>22.123630</v>
      </c>
      <c r="S7500" t="s">
        <v>26</v>
      </c>
    </row>
    <row r="7501" spans="1:19" x14ac:dyDescent="0.3">
      <c r="A7501" t="s">
        <v>13791</v>
      </c>
      <c r="B7501" t="s">
        <v>14180</v>
      </c>
      <c r="C7501" t="s">
        <v>14371</v>
      </c>
      <c r="D7501" t="s">
        <v>13798</v>
      </c>
      <c r="E7501" t="s">
        <v>13799</v>
      </c>
      <c r="F7501" t="s">
        <v>13799</v>
      </c>
      <c r="G7501" t="s">
        <v>14236</v>
      </c>
      <c r="H7501" t="s">
        <v>97</v>
      </c>
      <c r="I7501" t="s">
        <v>98</v>
      </c>
      <c r="J7501" t="str">
        <f>"0651080"</f>
        <v>0651080</v>
      </c>
      <c r="K7501">
        <v>2610322116</v>
      </c>
      <c r="L7501">
        <v>2610322116</v>
      </c>
      <c r="M7501" t="s">
        <v>14372</v>
      </c>
      <c r="N7501" t="s">
        <v>13803</v>
      </c>
      <c r="O7501" t="s">
        <v>14373</v>
      </c>
      <c r="P7501">
        <v>26333</v>
      </c>
      <c r="Q7501" t="str">
        <f>"38.230219"</f>
        <v>38.230219</v>
      </c>
      <c r="R7501" t="str">
        <f>"21.726586"</f>
        <v>21.726586</v>
      </c>
      <c r="S7501" t="s">
        <v>26</v>
      </c>
    </row>
    <row r="7502" spans="1:19" x14ac:dyDescent="0.3">
      <c r="A7502" t="s">
        <v>13791</v>
      </c>
      <c r="B7502" t="s">
        <v>14180</v>
      </c>
      <c r="C7502" t="s">
        <v>14375</v>
      </c>
      <c r="D7502" t="s">
        <v>13798</v>
      </c>
      <c r="E7502" t="s">
        <v>13799</v>
      </c>
      <c r="F7502" t="s">
        <v>13799</v>
      </c>
      <c r="G7502" t="s">
        <v>13809</v>
      </c>
      <c r="H7502" t="s">
        <v>97</v>
      </c>
      <c r="I7502" t="s">
        <v>98</v>
      </c>
      <c r="J7502" t="str">
        <f>"0651085"</f>
        <v>0651085</v>
      </c>
      <c r="K7502">
        <v>2610453575</v>
      </c>
      <c r="L7502">
        <v>2610453575</v>
      </c>
      <c r="M7502" t="s">
        <v>14376</v>
      </c>
      <c r="N7502" t="s">
        <v>13803</v>
      </c>
      <c r="O7502" t="s">
        <v>14284</v>
      </c>
      <c r="P7502">
        <v>26223</v>
      </c>
      <c r="Q7502" t="str">
        <f>"38.252656"</f>
        <v>38.252656</v>
      </c>
      <c r="R7502" t="str">
        <f>"21.742960"</f>
        <v>21.742960</v>
      </c>
      <c r="S7502" t="s">
        <v>26</v>
      </c>
    </row>
    <row r="7503" spans="1:19" x14ac:dyDescent="0.3">
      <c r="A7503" t="s">
        <v>13791</v>
      </c>
      <c r="B7503" t="s">
        <v>14180</v>
      </c>
      <c r="C7503" t="s">
        <v>14377</v>
      </c>
      <c r="D7503" t="s">
        <v>13798</v>
      </c>
      <c r="E7503" t="s">
        <v>14181</v>
      </c>
      <c r="F7503" t="s">
        <v>14182</v>
      </c>
      <c r="G7503" t="s">
        <v>14182</v>
      </c>
      <c r="H7503" t="s">
        <v>97</v>
      </c>
      <c r="I7503" t="s">
        <v>98</v>
      </c>
      <c r="J7503" t="str">
        <f>"0652020"</f>
        <v>0652020</v>
      </c>
      <c r="K7503">
        <v>2691068442</v>
      </c>
      <c r="L7503">
        <v>2691022321</v>
      </c>
      <c r="M7503" t="s">
        <v>14378</v>
      </c>
      <c r="N7503" t="s">
        <v>14182</v>
      </c>
      <c r="O7503" t="s">
        <v>14379</v>
      </c>
      <c r="P7503">
        <v>25100</v>
      </c>
      <c r="Q7503" t="str">
        <f>"38.245116"</f>
        <v>38.245116</v>
      </c>
      <c r="R7503" t="str">
        <f>"22.079531"</f>
        <v>22.079531</v>
      </c>
      <c r="S7503" t="s">
        <v>26</v>
      </c>
    </row>
    <row r="7504" spans="1:19" x14ac:dyDescent="0.3">
      <c r="A7504" t="s">
        <v>13791</v>
      </c>
      <c r="B7504" t="s">
        <v>14180</v>
      </c>
      <c r="C7504" t="s">
        <v>14382</v>
      </c>
      <c r="D7504" t="s">
        <v>13798</v>
      </c>
      <c r="E7504" t="s">
        <v>14181</v>
      </c>
      <c r="F7504" t="s">
        <v>14381</v>
      </c>
      <c r="G7504" t="s">
        <v>14381</v>
      </c>
      <c r="H7504" t="s">
        <v>97</v>
      </c>
      <c r="I7504" t="s">
        <v>98</v>
      </c>
      <c r="J7504" t="str">
        <f>"0666010"</f>
        <v>0666010</v>
      </c>
      <c r="K7504">
        <v>2696031064</v>
      </c>
      <c r="L7504">
        <v>2696031388</v>
      </c>
      <c r="M7504" t="s">
        <v>14383</v>
      </c>
      <c r="N7504" t="s">
        <v>14384</v>
      </c>
      <c r="O7504" t="s">
        <v>14385</v>
      </c>
      <c r="P7504">
        <v>25010</v>
      </c>
      <c r="Q7504" t="str">
        <f>"38.148081"</f>
        <v>38.148081</v>
      </c>
      <c r="R7504" t="str">
        <f>"22.358395"</f>
        <v>22.358395</v>
      </c>
      <c r="S7504" t="s">
        <v>26</v>
      </c>
    </row>
    <row r="7505" spans="1:19" x14ac:dyDescent="0.3">
      <c r="A7505" t="s">
        <v>13791</v>
      </c>
      <c r="B7505" t="s">
        <v>14180</v>
      </c>
      <c r="C7505" t="s">
        <v>14387</v>
      </c>
      <c r="D7505" t="s">
        <v>13798</v>
      </c>
      <c r="E7505" t="s">
        <v>13799</v>
      </c>
      <c r="F7505" t="s">
        <v>13799</v>
      </c>
      <c r="G7505" t="s">
        <v>13809</v>
      </c>
      <c r="H7505" t="s">
        <v>97</v>
      </c>
      <c r="I7505" t="s">
        <v>195</v>
      </c>
      <c r="J7505" t="str">
        <f>"0651090"</f>
        <v>0651090</v>
      </c>
      <c r="K7505">
        <v>2610339981</v>
      </c>
      <c r="L7505">
        <v>2610312126</v>
      </c>
      <c r="M7505" t="s">
        <v>14388</v>
      </c>
      <c r="N7505" t="s">
        <v>13803</v>
      </c>
      <c r="O7505" t="s">
        <v>14389</v>
      </c>
      <c r="P7505">
        <v>26224</v>
      </c>
      <c r="Q7505" t="str">
        <f>"38.239653"</f>
        <v>38.239653</v>
      </c>
      <c r="R7505" t="str">
        <f>"21.735552"</f>
        <v>21.735552</v>
      </c>
      <c r="S7505" t="s">
        <v>26</v>
      </c>
    </row>
    <row r="7506" spans="1:19" x14ac:dyDescent="0.3">
      <c r="A7506" t="s">
        <v>13791</v>
      </c>
      <c r="B7506" t="s">
        <v>14180</v>
      </c>
      <c r="C7506" t="s">
        <v>14393</v>
      </c>
      <c r="D7506" t="s">
        <v>13798</v>
      </c>
      <c r="E7506" t="s">
        <v>14188</v>
      </c>
      <c r="F7506" t="s">
        <v>14391</v>
      </c>
      <c r="G7506" t="s">
        <v>14392</v>
      </c>
      <c r="H7506" t="s">
        <v>97</v>
      </c>
      <c r="I7506" t="s">
        <v>98</v>
      </c>
      <c r="J7506" t="str">
        <f>"0655010"</f>
        <v>0655010</v>
      </c>
      <c r="K7506">
        <v>2694031497</v>
      </c>
      <c r="L7506">
        <v>2694031497</v>
      </c>
      <c r="M7506" t="s">
        <v>14394</v>
      </c>
      <c r="N7506" t="s">
        <v>14395</v>
      </c>
      <c r="O7506" t="s">
        <v>14396</v>
      </c>
      <c r="P7506">
        <v>25015</v>
      </c>
      <c r="Q7506" t="str">
        <f>"37.980579"</f>
        <v>37.980579</v>
      </c>
      <c r="R7506" t="str">
        <f>"21.728325"</f>
        <v>21.728325</v>
      </c>
      <c r="S7506" t="s">
        <v>26</v>
      </c>
    </row>
    <row r="7507" spans="1:19" x14ac:dyDescent="0.3">
      <c r="A7507" t="s">
        <v>13791</v>
      </c>
      <c r="B7507" t="s">
        <v>14180</v>
      </c>
      <c r="C7507" t="s">
        <v>14399</v>
      </c>
      <c r="D7507" t="s">
        <v>13798</v>
      </c>
      <c r="E7507" t="s">
        <v>13799</v>
      </c>
      <c r="F7507" t="s">
        <v>13799</v>
      </c>
      <c r="G7507" t="s">
        <v>14398</v>
      </c>
      <c r="H7507" t="s">
        <v>97</v>
      </c>
      <c r="I7507" t="s">
        <v>98</v>
      </c>
      <c r="J7507" t="str">
        <f>"0651065"</f>
        <v>0651065</v>
      </c>
      <c r="K7507">
        <v>2610640323</v>
      </c>
      <c r="L7507">
        <v>2610640323</v>
      </c>
      <c r="M7507" t="s">
        <v>14400</v>
      </c>
      <c r="N7507" t="s">
        <v>14309</v>
      </c>
      <c r="O7507" t="s">
        <v>14401</v>
      </c>
      <c r="P7507">
        <v>26335</v>
      </c>
      <c r="Q7507" t="str">
        <f>""</f>
        <v/>
      </c>
      <c r="R7507" t="str">
        <f>""</f>
        <v/>
      </c>
      <c r="S7507" t="s">
        <v>26</v>
      </c>
    </row>
    <row r="7508" spans="1:19" x14ac:dyDescent="0.3">
      <c r="A7508" t="s">
        <v>13791</v>
      </c>
      <c r="B7508" t="s">
        <v>14180</v>
      </c>
      <c r="C7508" t="s">
        <v>14438</v>
      </c>
      <c r="D7508" t="s">
        <v>13798</v>
      </c>
      <c r="E7508" t="s">
        <v>14181</v>
      </c>
      <c r="F7508" t="s">
        <v>14182</v>
      </c>
      <c r="G7508" t="s">
        <v>14182</v>
      </c>
      <c r="H7508" t="s">
        <v>97</v>
      </c>
      <c r="I7508" t="s">
        <v>98</v>
      </c>
      <c r="J7508" t="str">
        <f>"0652010"</f>
        <v>0652010</v>
      </c>
      <c r="K7508">
        <v>2691022226</v>
      </c>
      <c r="L7508">
        <v>2691023138</v>
      </c>
      <c r="M7508" t="s">
        <v>14439</v>
      </c>
      <c r="N7508" t="s">
        <v>14185</v>
      </c>
      <c r="O7508" t="s">
        <v>14440</v>
      </c>
      <c r="P7508">
        <v>25100</v>
      </c>
      <c r="Q7508" t="str">
        <f>"38.244220"</f>
        <v>38.244220</v>
      </c>
      <c r="R7508" t="str">
        <f>"22.089341"</f>
        <v>22.089341</v>
      </c>
      <c r="S7508" t="s">
        <v>26</v>
      </c>
    </row>
    <row r="7509" spans="1:19" x14ac:dyDescent="0.3">
      <c r="A7509" t="s">
        <v>13791</v>
      </c>
      <c r="B7509" t="s">
        <v>14180</v>
      </c>
      <c r="C7509" t="s">
        <v>14570</v>
      </c>
      <c r="D7509" t="s">
        <v>13798</v>
      </c>
      <c r="E7509" t="s">
        <v>14200</v>
      </c>
      <c r="F7509" t="s">
        <v>2699</v>
      </c>
      <c r="G7509" t="s">
        <v>14291</v>
      </c>
      <c r="H7509" t="s">
        <v>97</v>
      </c>
      <c r="I7509" t="s">
        <v>98</v>
      </c>
      <c r="J7509" t="str">
        <f>"0654010"</f>
        <v>0654010</v>
      </c>
      <c r="K7509">
        <v>2693022204</v>
      </c>
      <c r="L7509">
        <v>2693024832</v>
      </c>
      <c r="M7509" t="s">
        <v>14571</v>
      </c>
      <c r="N7509" t="s">
        <v>14346</v>
      </c>
      <c r="O7509" t="s">
        <v>11352</v>
      </c>
      <c r="P7509">
        <v>25200</v>
      </c>
      <c r="Q7509" t="str">
        <f>"38.143319"</f>
        <v>38.143319</v>
      </c>
      <c r="R7509" t="str">
        <f>"21.544266"</f>
        <v>21.544266</v>
      </c>
      <c r="S7509" t="s">
        <v>26</v>
      </c>
    </row>
    <row r="7510" spans="1:19" x14ac:dyDescent="0.3">
      <c r="A7510" t="s">
        <v>13791</v>
      </c>
      <c r="B7510" t="s">
        <v>14180</v>
      </c>
      <c r="C7510" t="s">
        <v>14585</v>
      </c>
      <c r="D7510" t="s">
        <v>13798</v>
      </c>
      <c r="E7510" t="s">
        <v>13799</v>
      </c>
      <c r="F7510" t="s">
        <v>13799</v>
      </c>
      <c r="G7510" t="s">
        <v>14236</v>
      </c>
      <c r="H7510" t="s">
        <v>97</v>
      </c>
      <c r="I7510" t="s">
        <v>98</v>
      </c>
      <c r="J7510" t="str">
        <f>"0651081"</f>
        <v>0651081</v>
      </c>
      <c r="K7510">
        <v>2610323184</v>
      </c>
      <c r="L7510">
        <v>2610328168</v>
      </c>
      <c r="M7510" t="s">
        <v>14586</v>
      </c>
      <c r="N7510" t="s">
        <v>13803</v>
      </c>
      <c r="O7510" t="s">
        <v>14587</v>
      </c>
      <c r="P7510">
        <v>26334</v>
      </c>
      <c r="Q7510" t="str">
        <f>"38.217839"</f>
        <v>38.217839</v>
      </c>
      <c r="R7510" t="str">
        <f>"21.744208"</f>
        <v>21.744208</v>
      </c>
      <c r="S7510" t="s">
        <v>26</v>
      </c>
    </row>
    <row r="7511" spans="1:19" x14ac:dyDescent="0.3">
      <c r="A7511" t="s">
        <v>13791</v>
      </c>
      <c r="B7511" t="s">
        <v>14180</v>
      </c>
      <c r="C7511" t="s">
        <v>14629</v>
      </c>
      <c r="D7511" t="s">
        <v>13798</v>
      </c>
      <c r="E7511" t="s">
        <v>14181</v>
      </c>
      <c r="F7511" t="s">
        <v>14182</v>
      </c>
      <c r="G7511" t="s">
        <v>14182</v>
      </c>
      <c r="H7511" t="s">
        <v>97</v>
      </c>
      <c r="I7511" t="s">
        <v>195</v>
      </c>
      <c r="J7511" t="str">
        <f>"0652046"</f>
        <v>0652046</v>
      </c>
      <c r="K7511">
        <v>2691062678</v>
      </c>
      <c r="L7511">
        <v>2691062678</v>
      </c>
      <c r="M7511" t="s">
        <v>14630</v>
      </c>
      <c r="N7511" t="s">
        <v>14185</v>
      </c>
      <c r="O7511" t="s">
        <v>14186</v>
      </c>
      <c r="P7511">
        <v>25100</v>
      </c>
      <c r="Q7511" t="str">
        <f>"38.249819"</f>
        <v>38.249819</v>
      </c>
      <c r="R7511" t="str">
        <f>"22.072498"</f>
        <v>22.072498</v>
      </c>
      <c r="S7511" t="s">
        <v>26</v>
      </c>
    </row>
    <row r="7512" spans="1:19" x14ac:dyDescent="0.3">
      <c r="A7512" t="s">
        <v>13791</v>
      </c>
      <c r="B7512" t="s">
        <v>14180</v>
      </c>
      <c r="C7512" t="s">
        <v>14634</v>
      </c>
      <c r="D7512" t="s">
        <v>13798</v>
      </c>
      <c r="E7512" t="s">
        <v>13799</v>
      </c>
      <c r="F7512" t="s">
        <v>14276</v>
      </c>
      <c r="G7512" t="s">
        <v>14276</v>
      </c>
      <c r="H7512" t="s">
        <v>97</v>
      </c>
      <c r="I7512" t="s">
        <v>98</v>
      </c>
      <c r="J7512" t="str">
        <f>"0667020"</f>
        <v>0667020</v>
      </c>
      <c r="K7512">
        <v>2610992402</v>
      </c>
      <c r="L7512">
        <v>2610993117</v>
      </c>
      <c r="M7512" t="s">
        <v>14635</v>
      </c>
      <c r="N7512" t="s">
        <v>14636</v>
      </c>
      <c r="O7512" t="s">
        <v>14637</v>
      </c>
      <c r="P7512">
        <v>26504</v>
      </c>
      <c r="Q7512" t="str">
        <f>"38.300321"</f>
        <v>38.300321</v>
      </c>
      <c r="R7512" t="str">
        <f>"21.786284"</f>
        <v>21.786284</v>
      </c>
      <c r="S7512" t="s">
        <v>26</v>
      </c>
    </row>
    <row r="7513" spans="1:19" x14ac:dyDescent="0.3">
      <c r="A7513" t="s">
        <v>13791</v>
      </c>
      <c r="B7513" t="s">
        <v>14644</v>
      </c>
      <c r="C7513" t="s">
        <v>14671</v>
      </c>
      <c r="D7513" t="s">
        <v>13805</v>
      </c>
      <c r="E7513" t="s">
        <v>14669</v>
      </c>
      <c r="F7513" t="s">
        <v>14669</v>
      </c>
      <c r="G7513" t="s">
        <v>14670</v>
      </c>
      <c r="H7513" t="s">
        <v>97</v>
      </c>
      <c r="I7513" t="s">
        <v>98</v>
      </c>
      <c r="J7513" t="str">
        <f>"1554010"</f>
        <v>1554010</v>
      </c>
      <c r="K7513">
        <v>2624031403</v>
      </c>
      <c r="L7513">
        <v>2624032279</v>
      </c>
      <c r="M7513" t="s">
        <v>14672</v>
      </c>
      <c r="N7513" t="s">
        <v>14673</v>
      </c>
      <c r="O7513" t="s">
        <v>14674</v>
      </c>
      <c r="P7513">
        <v>27065</v>
      </c>
      <c r="Q7513" t="str">
        <f>"37.673866"</f>
        <v>37.673866</v>
      </c>
      <c r="R7513" t="str">
        <f>"21.592046"</f>
        <v>21.592046</v>
      </c>
      <c r="S7513" t="s">
        <v>26</v>
      </c>
    </row>
    <row r="7514" spans="1:19" x14ac:dyDescent="0.3">
      <c r="A7514" t="s">
        <v>13791</v>
      </c>
      <c r="B7514" t="s">
        <v>14644</v>
      </c>
      <c r="C7514" t="s">
        <v>14680</v>
      </c>
      <c r="D7514" t="s">
        <v>13805</v>
      </c>
      <c r="E7514" t="s">
        <v>14677</v>
      </c>
      <c r="F7514" t="s">
        <v>14678</v>
      </c>
      <c r="G7514" t="s">
        <v>14679</v>
      </c>
      <c r="H7514" t="s">
        <v>97</v>
      </c>
      <c r="I7514" t="s">
        <v>98</v>
      </c>
      <c r="J7514" t="str">
        <f>"1560010"</f>
        <v>1560010</v>
      </c>
      <c r="K7514">
        <v>2625041248</v>
      </c>
      <c r="L7514">
        <v>2625041248</v>
      </c>
      <c r="M7514" t="s">
        <v>14681</v>
      </c>
      <c r="N7514" t="s">
        <v>14682</v>
      </c>
      <c r="O7514" t="s">
        <v>14683</v>
      </c>
      <c r="P7514">
        <v>27056</v>
      </c>
      <c r="Q7514" t="str">
        <f>"37.444500"</f>
        <v>37.444500</v>
      </c>
      <c r="R7514" t="str">
        <f>"21.772944"</f>
        <v>21.772944</v>
      </c>
      <c r="S7514" t="s">
        <v>26</v>
      </c>
    </row>
    <row r="7515" spans="1:19" x14ac:dyDescent="0.3">
      <c r="A7515" t="s">
        <v>13791</v>
      </c>
      <c r="B7515" t="s">
        <v>14644</v>
      </c>
      <c r="C7515" t="s">
        <v>14687</v>
      </c>
      <c r="D7515" t="s">
        <v>13805</v>
      </c>
      <c r="E7515" t="s">
        <v>14669</v>
      </c>
      <c r="F7515" t="s">
        <v>14685</v>
      </c>
      <c r="G7515" t="s">
        <v>14686</v>
      </c>
      <c r="H7515" t="s">
        <v>97</v>
      </c>
      <c r="I7515" t="s">
        <v>98</v>
      </c>
      <c r="J7515" t="str">
        <f>"1559010"</f>
        <v>1559010</v>
      </c>
      <c r="K7515">
        <v>2624041420</v>
      </c>
      <c r="L7515">
        <v>2624041884</v>
      </c>
      <c r="M7515" t="s">
        <v>14688</v>
      </c>
      <c r="N7515" t="s">
        <v>14689</v>
      </c>
      <c r="O7515" t="s">
        <v>14689</v>
      </c>
      <c r="P7515">
        <v>27066</v>
      </c>
      <c r="Q7515" t="str">
        <f>"37.708937"</f>
        <v>37.708937</v>
      </c>
      <c r="R7515" t="str">
        <f>"21.716122"</f>
        <v>21.716122</v>
      </c>
      <c r="S7515" t="s">
        <v>26</v>
      </c>
    </row>
    <row r="7516" spans="1:19" x14ac:dyDescent="0.3">
      <c r="A7516" t="s">
        <v>13791</v>
      </c>
      <c r="B7516" t="s">
        <v>14644</v>
      </c>
      <c r="C7516" t="s">
        <v>14692</v>
      </c>
      <c r="D7516" t="s">
        <v>13805</v>
      </c>
      <c r="E7516" t="s">
        <v>14651</v>
      </c>
      <c r="F7516" t="s">
        <v>14691</v>
      </c>
      <c r="G7516" t="s">
        <v>14691</v>
      </c>
      <c r="H7516" t="s">
        <v>97</v>
      </c>
      <c r="I7516" t="s">
        <v>98</v>
      </c>
      <c r="J7516" t="str">
        <f>"1557020"</f>
        <v>1557020</v>
      </c>
      <c r="K7516">
        <v>2623054363</v>
      </c>
      <c r="L7516">
        <v>2623055401</v>
      </c>
      <c r="M7516" t="s">
        <v>14693</v>
      </c>
      <c r="N7516" t="s">
        <v>14694</v>
      </c>
      <c r="O7516" t="s">
        <v>7009</v>
      </c>
      <c r="P7516">
        <v>27051</v>
      </c>
      <c r="Q7516" t="str">
        <f>"37.902596"</f>
        <v>37.902596</v>
      </c>
      <c r="R7516" t="str">
        <f>"21.270716"</f>
        <v>21.270716</v>
      </c>
      <c r="S7516" t="s">
        <v>26</v>
      </c>
    </row>
    <row r="7517" spans="1:19" x14ac:dyDescent="0.3">
      <c r="A7517" t="s">
        <v>13791</v>
      </c>
      <c r="B7517" t="s">
        <v>14644</v>
      </c>
      <c r="C7517" t="s">
        <v>14698</v>
      </c>
      <c r="D7517" t="s">
        <v>13805</v>
      </c>
      <c r="E7517" t="s">
        <v>14651</v>
      </c>
      <c r="F7517" t="s">
        <v>14696</v>
      </c>
      <c r="G7517" t="s">
        <v>14697</v>
      </c>
      <c r="H7517" t="s">
        <v>97</v>
      </c>
      <c r="I7517" t="s">
        <v>98</v>
      </c>
      <c r="J7517" t="str">
        <f>"1564010"</f>
        <v>1564010</v>
      </c>
      <c r="K7517">
        <v>2623071485</v>
      </c>
      <c r="L7517">
        <v>2623073266</v>
      </c>
      <c r="M7517" t="s">
        <v>14699</v>
      </c>
      <c r="N7517" t="s">
        <v>14700</v>
      </c>
      <c r="O7517" t="s">
        <v>14701</v>
      </c>
      <c r="P7517">
        <v>27052</v>
      </c>
      <c r="Q7517" t="str">
        <f>"38.031404"</f>
        <v>38.031404</v>
      </c>
      <c r="R7517" t="str">
        <f>"21.372669"</f>
        <v>21.372669</v>
      </c>
      <c r="S7517" t="s">
        <v>26</v>
      </c>
    </row>
    <row r="7518" spans="1:19" x14ac:dyDescent="0.3">
      <c r="A7518" t="s">
        <v>13791</v>
      </c>
      <c r="B7518" t="s">
        <v>14644</v>
      </c>
      <c r="C7518" t="s">
        <v>14704</v>
      </c>
      <c r="D7518" t="s">
        <v>13805</v>
      </c>
      <c r="E7518" t="s">
        <v>14669</v>
      </c>
      <c r="F7518" t="s">
        <v>14669</v>
      </c>
      <c r="G7518" t="s">
        <v>14703</v>
      </c>
      <c r="H7518" t="s">
        <v>97</v>
      </c>
      <c r="I7518" t="s">
        <v>98</v>
      </c>
      <c r="J7518" t="str">
        <f>"1563010"</f>
        <v>1563010</v>
      </c>
      <c r="K7518">
        <v>2624071385</v>
      </c>
      <c r="L7518">
        <v>2624071641</v>
      </c>
      <c r="M7518" t="s">
        <v>14705</v>
      </c>
      <c r="N7518" t="s">
        <v>14706</v>
      </c>
      <c r="O7518" t="s">
        <v>14707</v>
      </c>
      <c r="P7518">
        <v>27065</v>
      </c>
      <c r="Q7518" t="str">
        <f>"37.650180"</f>
        <v>37.650180</v>
      </c>
      <c r="R7518" t="str">
        <f>"21.759660"</f>
        <v>21.759660</v>
      </c>
      <c r="S7518" t="s">
        <v>26</v>
      </c>
    </row>
    <row r="7519" spans="1:19" x14ac:dyDescent="0.3">
      <c r="A7519" t="s">
        <v>13791</v>
      </c>
      <c r="B7519" t="s">
        <v>14644</v>
      </c>
      <c r="C7519" t="s">
        <v>14723</v>
      </c>
      <c r="D7519" t="s">
        <v>13805</v>
      </c>
      <c r="E7519" t="s">
        <v>14709</v>
      </c>
      <c r="F7519" t="s">
        <v>14710</v>
      </c>
      <c r="G7519" t="s">
        <v>14710</v>
      </c>
      <c r="H7519" t="s">
        <v>97</v>
      </c>
      <c r="I7519" t="s">
        <v>98</v>
      </c>
      <c r="J7519" t="str">
        <f>"1552020"</f>
        <v>1552020</v>
      </c>
      <c r="K7519">
        <v>2622028012</v>
      </c>
      <c r="L7519">
        <v>2622028908</v>
      </c>
      <c r="M7519" t="s">
        <v>14724</v>
      </c>
      <c r="N7519" t="s">
        <v>14725</v>
      </c>
      <c r="O7519" t="s">
        <v>14726</v>
      </c>
      <c r="P7519">
        <v>27200</v>
      </c>
      <c r="Q7519" t="str">
        <f>"37.796013"</f>
        <v>37.796013</v>
      </c>
      <c r="R7519" t="str">
        <f>"21.339523"</f>
        <v>21.339523</v>
      </c>
      <c r="S7519" t="s">
        <v>26</v>
      </c>
    </row>
    <row r="7520" spans="1:19" x14ac:dyDescent="0.3">
      <c r="A7520" t="s">
        <v>13791</v>
      </c>
      <c r="B7520" t="s">
        <v>14644</v>
      </c>
      <c r="C7520" t="s">
        <v>14732</v>
      </c>
      <c r="D7520" t="s">
        <v>13805</v>
      </c>
      <c r="E7520" t="s">
        <v>14709</v>
      </c>
      <c r="F7520" t="s">
        <v>14710</v>
      </c>
      <c r="G7520" t="s">
        <v>14710</v>
      </c>
      <c r="H7520" t="s">
        <v>97</v>
      </c>
      <c r="I7520" t="s">
        <v>98</v>
      </c>
      <c r="J7520" t="str">
        <f>"1552010"</f>
        <v>1552010</v>
      </c>
      <c r="K7520">
        <v>2622028093</v>
      </c>
      <c r="L7520">
        <v>2622022919</v>
      </c>
      <c r="M7520" t="s">
        <v>14733</v>
      </c>
      <c r="N7520" t="s">
        <v>14725</v>
      </c>
      <c r="O7520" t="s">
        <v>14734</v>
      </c>
      <c r="P7520">
        <v>27200</v>
      </c>
      <c r="Q7520" t="str">
        <f>"37.803575"</f>
        <v>37.803575</v>
      </c>
      <c r="R7520" t="str">
        <f>"21.362504"</f>
        <v>21.362504</v>
      </c>
      <c r="S7520" t="s">
        <v>26</v>
      </c>
    </row>
    <row r="7521" spans="1:19" x14ac:dyDescent="0.3">
      <c r="A7521" t="s">
        <v>13791</v>
      </c>
      <c r="B7521" t="s">
        <v>14644</v>
      </c>
      <c r="C7521" t="s">
        <v>14736</v>
      </c>
      <c r="D7521" t="s">
        <v>13805</v>
      </c>
      <c r="E7521" t="s">
        <v>1210</v>
      </c>
      <c r="F7521" t="s">
        <v>1210</v>
      </c>
      <c r="G7521" t="s">
        <v>1210</v>
      </c>
      <c r="H7521" t="s">
        <v>97</v>
      </c>
      <c r="I7521" t="s">
        <v>98</v>
      </c>
      <c r="J7521" t="str">
        <f>"1551020"</f>
        <v>1551020</v>
      </c>
      <c r="K7521">
        <v>2621022402</v>
      </c>
      <c r="L7521">
        <v>2621030424</v>
      </c>
      <c r="M7521" t="s">
        <v>14737</v>
      </c>
      <c r="N7521" t="s">
        <v>14738</v>
      </c>
      <c r="O7521" t="s">
        <v>14739</v>
      </c>
      <c r="P7521">
        <v>27131</v>
      </c>
      <c r="Q7521" t="str">
        <f>"37.674058"</f>
        <v>37.674058</v>
      </c>
      <c r="R7521" t="str">
        <f>"21.435690"</f>
        <v>21.435690</v>
      </c>
      <c r="S7521" t="s">
        <v>26</v>
      </c>
    </row>
    <row r="7522" spans="1:19" x14ac:dyDescent="0.3">
      <c r="A7522" t="s">
        <v>13791</v>
      </c>
      <c r="B7522" t="s">
        <v>14644</v>
      </c>
      <c r="C7522" t="s">
        <v>14743</v>
      </c>
      <c r="D7522" t="s">
        <v>13805</v>
      </c>
      <c r="E7522" t="s">
        <v>14741</v>
      </c>
      <c r="F7522" t="s">
        <v>14742</v>
      </c>
      <c r="G7522" t="s">
        <v>14742</v>
      </c>
      <c r="H7522" t="s">
        <v>97</v>
      </c>
      <c r="I7522" t="s">
        <v>98</v>
      </c>
      <c r="J7522" t="str">
        <f>"1552030"</f>
        <v>1552030</v>
      </c>
      <c r="K7522">
        <v>2623032236</v>
      </c>
      <c r="L7522">
        <v>2623035382</v>
      </c>
      <c r="M7522" t="s">
        <v>14744</v>
      </c>
      <c r="N7522" t="s">
        <v>14745</v>
      </c>
      <c r="O7522" t="s">
        <v>14746</v>
      </c>
      <c r="P7522">
        <v>27300</v>
      </c>
      <c r="Q7522" t="str">
        <f>"37.847973"</f>
        <v>37.847973</v>
      </c>
      <c r="R7522" t="str">
        <f>"21.255490"</f>
        <v>21.255490</v>
      </c>
      <c r="S7522" t="s">
        <v>26</v>
      </c>
    </row>
    <row r="7523" spans="1:19" x14ac:dyDescent="0.3">
      <c r="A7523" t="s">
        <v>13791</v>
      </c>
      <c r="B7523" t="s">
        <v>14644</v>
      </c>
      <c r="C7523" t="s">
        <v>14749</v>
      </c>
      <c r="D7523" t="s">
        <v>13805</v>
      </c>
      <c r="E7523" t="s">
        <v>14651</v>
      </c>
      <c r="F7523" t="s">
        <v>14748</v>
      </c>
      <c r="G7523" t="s">
        <v>14748</v>
      </c>
      <c r="H7523" t="s">
        <v>97</v>
      </c>
      <c r="I7523" t="s">
        <v>98</v>
      </c>
      <c r="J7523" t="str">
        <f>"1557010"</f>
        <v>1557010</v>
      </c>
      <c r="K7523">
        <v>2623023339</v>
      </c>
      <c r="L7523">
        <v>2623024383</v>
      </c>
      <c r="M7523" t="s">
        <v>14750</v>
      </c>
      <c r="N7523" t="s">
        <v>14751</v>
      </c>
      <c r="O7523" t="s">
        <v>14752</v>
      </c>
      <c r="P7523">
        <v>27053</v>
      </c>
      <c r="Q7523" t="str">
        <f>"37.938933"</f>
        <v>37.938933</v>
      </c>
      <c r="R7523" t="str">
        <f>"21.263340"</f>
        <v>21.263340</v>
      </c>
      <c r="S7523" t="s">
        <v>26</v>
      </c>
    </row>
    <row r="7524" spans="1:19" x14ac:dyDescent="0.3">
      <c r="A7524" t="s">
        <v>13791</v>
      </c>
      <c r="B7524" t="s">
        <v>14644</v>
      </c>
      <c r="C7524" t="s">
        <v>14756</v>
      </c>
      <c r="D7524" t="s">
        <v>13805</v>
      </c>
      <c r="E7524" t="s">
        <v>1210</v>
      </c>
      <c r="F7524" t="s">
        <v>14754</v>
      </c>
      <c r="G7524" t="s">
        <v>14755</v>
      </c>
      <c r="H7524" t="s">
        <v>97</v>
      </c>
      <c r="I7524" t="s">
        <v>98</v>
      </c>
      <c r="J7524" t="str">
        <f>"1551050"</f>
        <v>1551050</v>
      </c>
      <c r="K7524">
        <v>2621051500</v>
      </c>
      <c r="L7524">
        <v>2621051990</v>
      </c>
      <c r="M7524" t="s">
        <v>14757</v>
      </c>
      <c r="N7524" t="s">
        <v>14758</v>
      </c>
      <c r="P7524">
        <v>27131</v>
      </c>
      <c r="Q7524" t="str">
        <f>"37.738297"</f>
        <v>37.738297</v>
      </c>
      <c r="R7524" t="str">
        <f>"21.413728"</f>
        <v>21.413728</v>
      </c>
      <c r="S7524" t="s">
        <v>26</v>
      </c>
    </row>
    <row r="7525" spans="1:19" x14ac:dyDescent="0.3">
      <c r="A7525" t="s">
        <v>13791</v>
      </c>
      <c r="B7525" t="s">
        <v>14644</v>
      </c>
      <c r="C7525" t="s">
        <v>14760</v>
      </c>
      <c r="D7525" t="s">
        <v>13805</v>
      </c>
      <c r="E7525" t="s">
        <v>14660</v>
      </c>
      <c r="F7525" t="s">
        <v>14661</v>
      </c>
      <c r="G7525" t="s">
        <v>14667</v>
      </c>
      <c r="H7525" t="s">
        <v>97</v>
      </c>
      <c r="I7525" t="s">
        <v>98</v>
      </c>
      <c r="J7525" t="str">
        <f>"1556010"</f>
        <v>1556010</v>
      </c>
      <c r="K7525">
        <v>2625022639</v>
      </c>
      <c r="L7525">
        <v>2625024639</v>
      </c>
      <c r="M7525" t="s">
        <v>14761</v>
      </c>
      <c r="N7525" t="s">
        <v>14762</v>
      </c>
      <c r="O7525" t="s">
        <v>14763</v>
      </c>
      <c r="P7525">
        <v>27055</v>
      </c>
      <c r="Q7525" t="str">
        <f>"37.591545"</f>
        <v>37.591545</v>
      </c>
      <c r="R7525" t="str">
        <f>"21.614179"</f>
        <v>21.614179</v>
      </c>
      <c r="S7525" t="s">
        <v>26</v>
      </c>
    </row>
    <row r="7526" spans="1:19" x14ac:dyDescent="0.3">
      <c r="A7526" t="s">
        <v>13791</v>
      </c>
      <c r="B7526" t="s">
        <v>14644</v>
      </c>
      <c r="C7526" t="s">
        <v>14765</v>
      </c>
      <c r="D7526" t="s">
        <v>13805</v>
      </c>
      <c r="E7526" t="s">
        <v>1210</v>
      </c>
      <c r="F7526" t="s">
        <v>1210</v>
      </c>
      <c r="G7526" t="s">
        <v>1210</v>
      </c>
      <c r="H7526" t="s">
        <v>97</v>
      </c>
      <c r="I7526" t="s">
        <v>98</v>
      </c>
      <c r="J7526" t="str">
        <f>"1551010"</f>
        <v>1551010</v>
      </c>
      <c r="K7526">
        <v>2621022608</v>
      </c>
      <c r="L7526">
        <v>2621030154</v>
      </c>
      <c r="M7526" t="s">
        <v>14766</v>
      </c>
      <c r="N7526" t="s">
        <v>14767</v>
      </c>
      <c r="O7526" t="s">
        <v>14768</v>
      </c>
      <c r="P7526">
        <v>27131</v>
      </c>
      <c r="Q7526" t="str">
        <f>"37.673865"</f>
        <v>37.673865</v>
      </c>
      <c r="R7526" t="str">
        <f>"21.427801"</f>
        <v>21.427801</v>
      </c>
      <c r="S7526" t="s">
        <v>26</v>
      </c>
    </row>
    <row r="7527" spans="1:19" x14ac:dyDescent="0.3">
      <c r="A7527" t="s">
        <v>13791</v>
      </c>
      <c r="B7527" t="s">
        <v>14644</v>
      </c>
      <c r="C7527" t="s">
        <v>14772</v>
      </c>
      <c r="D7527" t="s">
        <v>13805</v>
      </c>
      <c r="E7527" t="s">
        <v>1210</v>
      </c>
      <c r="F7527" t="s">
        <v>1210</v>
      </c>
      <c r="G7527" t="s">
        <v>1210</v>
      </c>
      <c r="H7527" t="s">
        <v>97</v>
      </c>
      <c r="I7527" t="s">
        <v>98</v>
      </c>
      <c r="J7527" t="str">
        <f>"1551025"</f>
        <v>1551025</v>
      </c>
      <c r="K7527">
        <v>2621031238</v>
      </c>
      <c r="L7527">
        <v>2621030164</v>
      </c>
      <c r="M7527" t="s">
        <v>14773</v>
      </c>
      <c r="N7527" t="s">
        <v>14767</v>
      </c>
      <c r="O7527" t="s">
        <v>14774</v>
      </c>
      <c r="P7527">
        <v>27131</v>
      </c>
      <c r="Q7527" t="str">
        <f>"37.672290"</f>
        <v>37.672290</v>
      </c>
      <c r="R7527" t="str">
        <f>"21.453128"</f>
        <v>21.453128</v>
      </c>
      <c r="S7527" t="s">
        <v>26</v>
      </c>
    </row>
    <row r="7528" spans="1:19" x14ac:dyDescent="0.3">
      <c r="A7528" t="s">
        <v>13791</v>
      </c>
      <c r="B7528" t="s">
        <v>14644</v>
      </c>
      <c r="C7528" t="s">
        <v>14776</v>
      </c>
      <c r="D7528" t="s">
        <v>13805</v>
      </c>
      <c r="E7528" t="s">
        <v>14677</v>
      </c>
      <c r="F7528" t="s">
        <v>14677</v>
      </c>
      <c r="G7528" t="s">
        <v>14677</v>
      </c>
      <c r="H7528" t="s">
        <v>97</v>
      </c>
      <c r="I7528" t="s">
        <v>98</v>
      </c>
      <c r="J7528" t="str">
        <f>"1555010"</f>
        <v>1555010</v>
      </c>
      <c r="K7528">
        <v>2625032400</v>
      </c>
      <c r="L7528">
        <v>2625032400</v>
      </c>
      <c r="M7528" t="s">
        <v>14777</v>
      </c>
      <c r="N7528" t="s">
        <v>14778</v>
      </c>
      <c r="O7528" t="s">
        <v>14779</v>
      </c>
      <c r="P7528">
        <v>27054</v>
      </c>
      <c r="Q7528" t="str">
        <f>"37.483010"</f>
        <v>37.483010</v>
      </c>
      <c r="R7528" t="str">
        <f>"21.645154"</f>
        <v>21.645154</v>
      </c>
      <c r="S7528" t="s">
        <v>26</v>
      </c>
    </row>
    <row r="7529" spans="1:19" x14ac:dyDescent="0.3">
      <c r="A7529" t="s">
        <v>13791</v>
      </c>
      <c r="B7529" t="s">
        <v>14644</v>
      </c>
      <c r="C7529" t="s">
        <v>14781</v>
      </c>
      <c r="D7529" t="s">
        <v>13805</v>
      </c>
      <c r="E7529" t="s">
        <v>1210</v>
      </c>
      <c r="F7529" t="s">
        <v>1210</v>
      </c>
      <c r="G7529" t="s">
        <v>1210</v>
      </c>
      <c r="H7529" t="s">
        <v>97</v>
      </c>
      <c r="I7529" t="s">
        <v>98</v>
      </c>
      <c r="J7529" t="str">
        <f>"1551026"</f>
        <v>1551026</v>
      </c>
      <c r="K7529">
        <v>2621020127</v>
      </c>
      <c r="L7529">
        <v>2621020135</v>
      </c>
      <c r="M7529" t="s">
        <v>14782</v>
      </c>
      <c r="N7529" t="s">
        <v>1211</v>
      </c>
      <c r="O7529" t="s">
        <v>14783</v>
      </c>
      <c r="P7529">
        <v>27131</v>
      </c>
      <c r="Q7529" t="str">
        <f>"37.670010"</f>
        <v>37.670010</v>
      </c>
      <c r="R7529" t="str">
        <f>"21.432925"</f>
        <v>21.432925</v>
      </c>
      <c r="S7529" t="s">
        <v>26</v>
      </c>
    </row>
    <row r="7530" spans="1:19" x14ac:dyDescent="0.3">
      <c r="A7530" t="s">
        <v>13791</v>
      </c>
      <c r="B7530" t="s">
        <v>14644</v>
      </c>
      <c r="C7530" t="s">
        <v>14786</v>
      </c>
      <c r="D7530" t="s">
        <v>13805</v>
      </c>
      <c r="E7530" t="s">
        <v>14709</v>
      </c>
      <c r="F7530" t="s">
        <v>14784</v>
      </c>
      <c r="G7530" t="s">
        <v>14785</v>
      </c>
      <c r="H7530" t="s">
        <v>97</v>
      </c>
      <c r="I7530" t="s">
        <v>98</v>
      </c>
      <c r="J7530" t="str">
        <f>"1562010"</f>
        <v>1562010</v>
      </c>
      <c r="K7530">
        <v>2622031312</v>
      </c>
      <c r="L7530">
        <v>2622032032</v>
      </c>
      <c r="M7530" t="s">
        <v>14787</v>
      </c>
      <c r="N7530" t="s">
        <v>14788</v>
      </c>
      <c r="O7530" t="s">
        <v>14788</v>
      </c>
      <c r="P7530">
        <v>27069</v>
      </c>
      <c r="Q7530" t="str">
        <f>"37.846924"</f>
        <v>37.846924</v>
      </c>
      <c r="R7530" t="str">
        <f>"21.563061"</f>
        <v>21.563061</v>
      </c>
      <c r="S7530" t="s">
        <v>26</v>
      </c>
    </row>
    <row r="7531" spans="1:19" x14ac:dyDescent="0.3">
      <c r="A7531" t="s">
        <v>13791</v>
      </c>
      <c r="B7531" t="s">
        <v>14644</v>
      </c>
      <c r="C7531" t="s">
        <v>14790</v>
      </c>
      <c r="D7531" t="s">
        <v>13805</v>
      </c>
      <c r="E7531" t="s">
        <v>1210</v>
      </c>
      <c r="F7531" t="s">
        <v>14645</v>
      </c>
      <c r="G7531" t="s">
        <v>14646</v>
      </c>
      <c r="H7531" t="s">
        <v>97</v>
      </c>
      <c r="I7531" t="s">
        <v>98</v>
      </c>
      <c r="J7531" t="str">
        <f>"1566010"</f>
        <v>1566010</v>
      </c>
      <c r="K7531">
        <v>2621061882</v>
      </c>
      <c r="L7531">
        <v>2621062510</v>
      </c>
      <c r="M7531" t="s">
        <v>14791</v>
      </c>
      <c r="N7531" t="s">
        <v>14646</v>
      </c>
      <c r="O7531" t="s">
        <v>14649</v>
      </c>
      <c r="P7531">
        <v>27064</v>
      </c>
      <c r="Q7531" t="str">
        <f>"37.741363"</f>
        <v>37.741363</v>
      </c>
      <c r="R7531" t="str">
        <f>"21.531632"</f>
        <v>21.531632</v>
      </c>
      <c r="S7531" t="s">
        <v>26</v>
      </c>
    </row>
    <row r="7532" spans="1:19" x14ac:dyDescent="0.3">
      <c r="A7532" t="s">
        <v>13791</v>
      </c>
      <c r="B7532" t="s">
        <v>14644</v>
      </c>
      <c r="C7532" t="s">
        <v>14913</v>
      </c>
      <c r="D7532" t="s">
        <v>13805</v>
      </c>
      <c r="E7532" t="s">
        <v>14741</v>
      </c>
      <c r="F7532" t="s">
        <v>14806</v>
      </c>
      <c r="G7532" t="s">
        <v>14806</v>
      </c>
      <c r="H7532" t="s">
        <v>97</v>
      </c>
      <c r="I7532" t="s">
        <v>98</v>
      </c>
      <c r="J7532" t="str">
        <f>"1558010"</f>
        <v>1558010</v>
      </c>
      <c r="K7532">
        <v>2623041778</v>
      </c>
      <c r="L7532">
        <v>2623042621</v>
      </c>
      <c r="M7532" t="s">
        <v>14914</v>
      </c>
      <c r="N7532" t="s">
        <v>14915</v>
      </c>
      <c r="O7532" t="s">
        <v>14810</v>
      </c>
      <c r="P7532">
        <v>27050</v>
      </c>
      <c r="Q7532" t="str">
        <f>"37.859503"</f>
        <v>37.859503</v>
      </c>
      <c r="R7532" t="str">
        <f>"21.210549"</f>
        <v>21.210549</v>
      </c>
      <c r="S7532" t="s">
        <v>26</v>
      </c>
    </row>
    <row r="7533" spans="1:19" x14ac:dyDescent="0.3">
      <c r="A7533" t="s">
        <v>13791</v>
      </c>
      <c r="B7533" t="s">
        <v>14644</v>
      </c>
      <c r="C7533" t="s">
        <v>14919</v>
      </c>
      <c r="D7533" t="s">
        <v>13805</v>
      </c>
      <c r="E7533" t="s">
        <v>14660</v>
      </c>
      <c r="F7533" t="s">
        <v>14839</v>
      </c>
      <c r="G7533" t="s">
        <v>14839</v>
      </c>
      <c r="H7533" t="s">
        <v>97</v>
      </c>
      <c r="I7533" t="s">
        <v>98</v>
      </c>
      <c r="J7533" t="str">
        <f>"1553010"</f>
        <v>1553010</v>
      </c>
      <c r="K7533">
        <v>2626022185</v>
      </c>
      <c r="L7533">
        <v>2626022777</v>
      </c>
      <c r="M7533" t="s">
        <v>14920</v>
      </c>
      <c r="N7533" t="s">
        <v>13805</v>
      </c>
      <c r="O7533" t="s">
        <v>14843</v>
      </c>
      <c r="P7533">
        <v>27061</v>
      </c>
      <c r="Q7533" t="str">
        <f>"37.484118"</f>
        <v>37.484118</v>
      </c>
      <c r="R7533" t="str">
        <f>"21.908518"</f>
        <v>21.908518</v>
      </c>
      <c r="S7533" t="s">
        <v>26</v>
      </c>
    </row>
    <row r="7534" spans="1:19" x14ac:dyDescent="0.3">
      <c r="A7534" t="s">
        <v>17244</v>
      </c>
      <c r="B7534" t="s">
        <v>17266</v>
      </c>
      <c r="C7534" t="s">
        <v>17268</v>
      </c>
      <c r="D7534" t="s">
        <v>17245</v>
      </c>
      <c r="E7534" t="s">
        <v>17267</v>
      </c>
      <c r="F7534" t="s">
        <v>17267</v>
      </c>
      <c r="G7534" t="s">
        <v>17267</v>
      </c>
      <c r="H7534" t="s">
        <v>97</v>
      </c>
      <c r="I7534" t="s">
        <v>98</v>
      </c>
      <c r="J7534" t="str">
        <f>"0852010"</f>
        <v>0852010</v>
      </c>
      <c r="K7534">
        <v>2462031360</v>
      </c>
      <c r="L7534">
        <v>2462031360</v>
      </c>
      <c r="M7534" t="s">
        <v>17269</v>
      </c>
      <c r="N7534" t="s">
        <v>17270</v>
      </c>
      <c r="O7534" t="s">
        <v>17270</v>
      </c>
      <c r="P7534">
        <v>51200</v>
      </c>
      <c r="Q7534" t="str">
        <f>"39.921591"</f>
        <v>39.921591</v>
      </c>
      <c r="R7534" t="str">
        <f>"21.811962"</f>
        <v>21.811962</v>
      </c>
      <c r="S7534" t="s">
        <v>26</v>
      </c>
    </row>
    <row r="7535" spans="1:19" x14ac:dyDescent="0.3">
      <c r="A7535" t="s">
        <v>17244</v>
      </c>
      <c r="B7535" t="s">
        <v>17266</v>
      </c>
      <c r="C7535" t="s">
        <v>17279</v>
      </c>
      <c r="D7535" t="s">
        <v>17245</v>
      </c>
      <c r="E7535" t="s">
        <v>17267</v>
      </c>
      <c r="F7535" t="s">
        <v>17277</v>
      </c>
      <c r="G7535" t="s">
        <v>17278</v>
      </c>
      <c r="H7535" t="s">
        <v>97</v>
      </c>
      <c r="I7535" t="s">
        <v>98</v>
      </c>
      <c r="J7535" t="str">
        <f>"0853010"</f>
        <v>0853010</v>
      </c>
      <c r="K7535">
        <v>2462034478</v>
      </c>
      <c r="L7535">
        <v>2462034666</v>
      </c>
      <c r="M7535" t="s">
        <v>17280</v>
      </c>
      <c r="N7535" t="s">
        <v>17281</v>
      </c>
      <c r="O7535" t="s">
        <v>17282</v>
      </c>
      <c r="P7535">
        <v>51100</v>
      </c>
      <c r="Q7535" t="str">
        <f>"39.948184"</f>
        <v>39.948184</v>
      </c>
      <c r="R7535" t="str">
        <f>"21.618576"</f>
        <v>21.618576</v>
      </c>
      <c r="S7535" t="s">
        <v>26</v>
      </c>
    </row>
    <row r="7536" spans="1:19" x14ac:dyDescent="0.3">
      <c r="A7536" t="s">
        <v>17244</v>
      </c>
      <c r="B7536" t="s">
        <v>17266</v>
      </c>
      <c r="C7536" t="s">
        <v>17287</v>
      </c>
      <c r="D7536" t="s">
        <v>17245</v>
      </c>
      <c r="E7536" t="s">
        <v>17245</v>
      </c>
      <c r="F7536" t="s">
        <v>17245</v>
      </c>
      <c r="G7536" t="s">
        <v>17245</v>
      </c>
      <c r="H7536" t="s">
        <v>97</v>
      </c>
      <c r="I7536" t="s">
        <v>98</v>
      </c>
      <c r="J7536" t="str">
        <f>"0851010"</f>
        <v>0851010</v>
      </c>
      <c r="K7536">
        <v>2462022218</v>
      </c>
      <c r="L7536">
        <v>2462025083</v>
      </c>
      <c r="M7536" t="s">
        <v>17288</v>
      </c>
      <c r="N7536" t="s">
        <v>17248</v>
      </c>
      <c r="O7536" t="s">
        <v>17289</v>
      </c>
      <c r="P7536">
        <v>51100</v>
      </c>
      <c r="Q7536" t="str">
        <f>"40.080208"</f>
        <v>40.080208</v>
      </c>
      <c r="R7536" t="str">
        <f>"21.425708"</f>
        <v>21.425708</v>
      </c>
      <c r="S7536" t="s">
        <v>26</v>
      </c>
    </row>
    <row r="7537" spans="1:19" x14ac:dyDescent="0.3">
      <c r="A7537" t="s">
        <v>17244</v>
      </c>
      <c r="B7537" t="s">
        <v>17266</v>
      </c>
      <c r="C7537" t="s">
        <v>17291</v>
      </c>
      <c r="D7537" t="s">
        <v>17245</v>
      </c>
      <c r="E7537" t="s">
        <v>17245</v>
      </c>
      <c r="F7537" t="s">
        <v>17245</v>
      </c>
      <c r="G7537" t="s">
        <v>17245</v>
      </c>
      <c r="H7537" t="s">
        <v>97</v>
      </c>
      <c r="I7537" t="s">
        <v>98</v>
      </c>
      <c r="J7537" t="str">
        <f>"0851020"</f>
        <v>0851020</v>
      </c>
      <c r="K7537">
        <v>2462028263</v>
      </c>
      <c r="L7537">
        <v>2462025053</v>
      </c>
      <c r="M7537" t="s">
        <v>17292</v>
      </c>
      <c r="N7537" t="s">
        <v>17248</v>
      </c>
      <c r="O7537" t="s">
        <v>17293</v>
      </c>
      <c r="P7537">
        <v>51100</v>
      </c>
      <c r="Q7537" t="str">
        <f>"40.084847"</f>
        <v>40.084847</v>
      </c>
      <c r="R7537" t="str">
        <f>"21.435507"</f>
        <v>21.435507</v>
      </c>
      <c r="S7537" t="s">
        <v>26</v>
      </c>
    </row>
    <row r="7538" spans="1:19" x14ac:dyDescent="0.3">
      <c r="A7538" t="s">
        <v>17244</v>
      </c>
      <c r="B7538" t="s">
        <v>17266</v>
      </c>
      <c r="C7538" t="s">
        <v>17309</v>
      </c>
      <c r="D7538" t="s">
        <v>17245</v>
      </c>
      <c r="E7538" t="s">
        <v>17245</v>
      </c>
      <c r="F7538" t="s">
        <v>17245</v>
      </c>
      <c r="G7538" t="s">
        <v>17245</v>
      </c>
      <c r="H7538" t="s">
        <v>97</v>
      </c>
      <c r="I7538" t="s">
        <v>195</v>
      </c>
      <c r="J7538" t="str">
        <f>"0845001"</f>
        <v>0845001</v>
      </c>
      <c r="K7538">
        <v>2462181025</v>
      </c>
      <c r="M7538" t="s">
        <v>17310</v>
      </c>
      <c r="N7538" t="s">
        <v>17248</v>
      </c>
      <c r="O7538" t="s">
        <v>17293</v>
      </c>
      <c r="P7538">
        <v>51100</v>
      </c>
      <c r="Q7538" t="str">
        <f>"40.084640"</f>
        <v>40.084640</v>
      </c>
      <c r="R7538" t="str">
        <f>"21.435868"</f>
        <v>21.435868</v>
      </c>
      <c r="S7538" t="s">
        <v>26</v>
      </c>
    </row>
    <row r="7539" spans="1:19" x14ac:dyDescent="0.3">
      <c r="A7539" t="s">
        <v>17244</v>
      </c>
      <c r="B7539" t="s">
        <v>17317</v>
      </c>
      <c r="C7539" t="s">
        <v>17323</v>
      </c>
      <c r="D7539" t="s">
        <v>17250</v>
      </c>
      <c r="E7539" t="s">
        <v>17322</v>
      </c>
      <c r="F7539" t="s">
        <v>17322</v>
      </c>
      <c r="G7539" t="s">
        <v>17322</v>
      </c>
      <c r="H7539" t="s">
        <v>97</v>
      </c>
      <c r="I7539" t="s">
        <v>98</v>
      </c>
      <c r="J7539" t="str">
        <f>"2353010"</f>
        <v>2353010</v>
      </c>
      <c r="K7539">
        <v>2467031214</v>
      </c>
      <c r="L7539">
        <v>2467031214</v>
      </c>
      <c r="M7539" t="s">
        <v>17324</v>
      </c>
      <c r="N7539" t="s">
        <v>17325</v>
      </c>
      <c r="O7539" t="s">
        <v>17326</v>
      </c>
      <c r="P7539">
        <v>52051</v>
      </c>
      <c r="Q7539" t="str">
        <f>"40.415563"</f>
        <v>40.415563</v>
      </c>
      <c r="R7539" t="str">
        <f>"21.059054"</f>
        <v>21.059054</v>
      </c>
      <c r="S7539" t="s">
        <v>26</v>
      </c>
    </row>
    <row r="7540" spans="1:19" x14ac:dyDescent="0.3">
      <c r="A7540" t="s">
        <v>17244</v>
      </c>
      <c r="B7540" t="s">
        <v>17317</v>
      </c>
      <c r="C7540" t="s">
        <v>17329</v>
      </c>
      <c r="D7540" t="s">
        <v>17250</v>
      </c>
      <c r="E7540" t="s">
        <v>17328</v>
      </c>
      <c r="F7540" t="s">
        <v>17328</v>
      </c>
      <c r="G7540" t="s">
        <v>17328</v>
      </c>
      <c r="H7540" t="s">
        <v>97</v>
      </c>
      <c r="I7540" t="s">
        <v>98</v>
      </c>
      <c r="J7540" t="str">
        <f>"2351015"</f>
        <v>2351015</v>
      </c>
      <c r="K7540">
        <v>2467044544</v>
      </c>
      <c r="L7540">
        <v>2467044575</v>
      </c>
      <c r="M7540" t="s">
        <v>17330</v>
      </c>
      <c r="N7540" t="s">
        <v>17331</v>
      </c>
      <c r="O7540" t="s">
        <v>17332</v>
      </c>
      <c r="P7540">
        <v>52200</v>
      </c>
      <c r="Q7540" t="str">
        <f>"40.448903"</f>
        <v>40.448903</v>
      </c>
      <c r="R7540" t="str">
        <f>"21.263612"</f>
        <v>21.263612</v>
      </c>
      <c r="S7540" t="s">
        <v>26</v>
      </c>
    </row>
    <row r="7541" spans="1:19" x14ac:dyDescent="0.3">
      <c r="A7541" t="s">
        <v>17244</v>
      </c>
      <c r="B7541" t="s">
        <v>17317</v>
      </c>
      <c r="C7541" t="s">
        <v>17347</v>
      </c>
      <c r="D7541" t="s">
        <v>17250</v>
      </c>
      <c r="E7541" t="s">
        <v>17250</v>
      </c>
      <c r="F7541" t="s">
        <v>17346</v>
      </c>
      <c r="G7541" t="s">
        <v>17346</v>
      </c>
      <c r="H7541" t="s">
        <v>97</v>
      </c>
      <c r="I7541" t="s">
        <v>98</v>
      </c>
      <c r="J7541" t="str">
        <f>"2358010"</f>
        <v>2358010</v>
      </c>
      <c r="K7541">
        <v>2467061194</v>
      </c>
      <c r="L7541">
        <v>2467061194</v>
      </c>
      <c r="M7541" t="s">
        <v>17348</v>
      </c>
      <c r="N7541" t="s">
        <v>17349</v>
      </c>
      <c r="O7541" t="s">
        <v>17349</v>
      </c>
      <c r="P7541">
        <v>52050</v>
      </c>
      <c r="Q7541" t="str">
        <f>"40.501192"</f>
        <v>40.501192</v>
      </c>
      <c r="R7541" t="str">
        <f>"21.163965"</f>
        <v>21.163965</v>
      </c>
      <c r="S7541" t="s">
        <v>26</v>
      </c>
    </row>
    <row r="7542" spans="1:19" x14ac:dyDescent="0.3">
      <c r="A7542" t="s">
        <v>17244</v>
      </c>
      <c r="B7542" t="s">
        <v>17317</v>
      </c>
      <c r="C7542" t="s">
        <v>17351</v>
      </c>
      <c r="D7542" t="s">
        <v>17250</v>
      </c>
      <c r="E7542" t="s">
        <v>17250</v>
      </c>
      <c r="F7542" t="s">
        <v>17250</v>
      </c>
      <c r="G7542" t="s">
        <v>17250</v>
      </c>
      <c r="H7542" t="s">
        <v>97</v>
      </c>
      <c r="I7542" t="s">
        <v>98</v>
      </c>
      <c r="J7542" t="str">
        <f>"2351010"</f>
        <v>2351010</v>
      </c>
      <c r="K7542">
        <v>2467027046</v>
      </c>
      <c r="L7542">
        <v>2467027046</v>
      </c>
      <c r="M7542" t="s">
        <v>17352</v>
      </c>
      <c r="N7542" t="s">
        <v>17253</v>
      </c>
      <c r="O7542" t="s">
        <v>17353</v>
      </c>
      <c r="P7542">
        <v>52100</v>
      </c>
      <c r="Q7542" t="str">
        <f>"40.532081"</f>
        <v>40.532081</v>
      </c>
      <c r="R7542" t="str">
        <f>"21.259106"</f>
        <v>21.259106</v>
      </c>
      <c r="S7542" t="s">
        <v>26</v>
      </c>
    </row>
    <row r="7543" spans="1:19" x14ac:dyDescent="0.3">
      <c r="A7543" t="s">
        <v>17244</v>
      </c>
      <c r="B7543" t="s">
        <v>17317</v>
      </c>
      <c r="C7543" t="s">
        <v>17354</v>
      </c>
      <c r="D7543" t="s">
        <v>17250</v>
      </c>
      <c r="E7543" t="s">
        <v>17250</v>
      </c>
      <c r="F7543" t="s">
        <v>17250</v>
      </c>
      <c r="G7543" t="s">
        <v>17250</v>
      </c>
      <c r="H7543" t="s">
        <v>97</v>
      </c>
      <c r="I7543" t="s">
        <v>195</v>
      </c>
      <c r="J7543" t="str">
        <f>"2351055"</f>
        <v>2351055</v>
      </c>
      <c r="K7543">
        <v>2467028092</v>
      </c>
      <c r="L7543">
        <v>2467028092</v>
      </c>
      <c r="M7543" t="s">
        <v>17355</v>
      </c>
      <c r="N7543" t="s">
        <v>17253</v>
      </c>
      <c r="O7543" t="s">
        <v>17356</v>
      </c>
      <c r="P7543">
        <v>52100</v>
      </c>
      <c r="Q7543" t="str">
        <f>"40.531917"</f>
        <v>40.531917</v>
      </c>
      <c r="R7543" t="str">
        <f>"21.259737"</f>
        <v>21.259737</v>
      </c>
      <c r="S7543" t="s">
        <v>26</v>
      </c>
    </row>
    <row r="7544" spans="1:19" x14ac:dyDescent="0.3">
      <c r="A7544" t="s">
        <v>17244</v>
      </c>
      <c r="B7544" t="s">
        <v>17317</v>
      </c>
      <c r="C7544" t="s">
        <v>17357</v>
      </c>
      <c r="D7544" t="s">
        <v>17250</v>
      </c>
      <c r="E7544" t="s">
        <v>17250</v>
      </c>
      <c r="F7544" t="s">
        <v>17250</v>
      </c>
      <c r="G7544" t="s">
        <v>17250</v>
      </c>
      <c r="H7544" t="s">
        <v>97</v>
      </c>
      <c r="I7544" t="s">
        <v>98</v>
      </c>
      <c r="J7544" t="str">
        <f>"2351011"</f>
        <v>2351011</v>
      </c>
      <c r="K7544">
        <v>2467024742</v>
      </c>
      <c r="L7544">
        <v>2467024742</v>
      </c>
      <c r="M7544" t="s">
        <v>17358</v>
      </c>
      <c r="N7544" t="s">
        <v>17253</v>
      </c>
      <c r="O7544" t="s">
        <v>17359</v>
      </c>
      <c r="P7544">
        <v>52100</v>
      </c>
      <c r="Q7544" t="str">
        <f>"40.532693"</f>
        <v>40.532693</v>
      </c>
      <c r="R7544" t="str">
        <f>"21.258956"</f>
        <v>21.258956</v>
      </c>
      <c r="S7544" t="s">
        <v>26</v>
      </c>
    </row>
    <row r="7545" spans="1:19" x14ac:dyDescent="0.3">
      <c r="A7545" t="s">
        <v>17244</v>
      </c>
      <c r="B7545" t="s">
        <v>17317</v>
      </c>
      <c r="C7545" t="s">
        <v>17423</v>
      </c>
      <c r="D7545" t="s">
        <v>17250</v>
      </c>
      <c r="E7545" t="s">
        <v>17250</v>
      </c>
      <c r="F7545" t="s">
        <v>17250</v>
      </c>
      <c r="G7545" t="s">
        <v>17250</v>
      </c>
      <c r="H7545" t="s">
        <v>97</v>
      </c>
      <c r="I7545" t="s">
        <v>98</v>
      </c>
      <c r="J7545" t="str">
        <f>"2351009"</f>
        <v>2351009</v>
      </c>
      <c r="K7545">
        <v>2467022141</v>
      </c>
      <c r="L7545">
        <v>2467022141</v>
      </c>
      <c r="M7545" t="s">
        <v>17424</v>
      </c>
      <c r="N7545" t="s">
        <v>17253</v>
      </c>
      <c r="O7545" t="s">
        <v>17425</v>
      </c>
      <c r="P7545">
        <v>52100</v>
      </c>
      <c r="Q7545" t="str">
        <f>"40.531793"</f>
        <v>40.531793</v>
      </c>
      <c r="R7545" t="str">
        <f>"21.259810"</f>
        <v>21.259810</v>
      </c>
      <c r="S7545" t="s">
        <v>26</v>
      </c>
    </row>
    <row r="7546" spans="1:19" x14ac:dyDescent="0.3">
      <c r="A7546" t="s">
        <v>17244</v>
      </c>
      <c r="B7546" t="s">
        <v>17433</v>
      </c>
      <c r="C7546" t="s">
        <v>17452</v>
      </c>
      <c r="D7546" t="s">
        <v>17255</v>
      </c>
      <c r="E7546" t="s">
        <v>17434</v>
      </c>
      <c r="F7546" t="s">
        <v>11666</v>
      </c>
      <c r="G7546" t="s">
        <v>11666</v>
      </c>
      <c r="H7546" t="s">
        <v>97</v>
      </c>
      <c r="I7546" t="s">
        <v>98</v>
      </c>
      <c r="J7546" t="str">
        <f>"2753010"</f>
        <v>2753010</v>
      </c>
      <c r="K7546">
        <v>2468022270</v>
      </c>
      <c r="L7546">
        <v>2468023182</v>
      </c>
      <c r="M7546" t="s">
        <v>17453</v>
      </c>
      <c r="N7546" t="s">
        <v>613</v>
      </c>
      <c r="O7546" t="s">
        <v>17454</v>
      </c>
      <c r="P7546">
        <v>50001</v>
      </c>
      <c r="Q7546" t="str">
        <f>"40.313200"</f>
        <v>40.313200</v>
      </c>
      <c r="R7546" t="str">
        <f>"21.386862"</f>
        <v>21.386862</v>
      </c>
      <c r="S7546" t="s">
        <v>26</v>
      </c>
    </row>
    <row r="7547" spans="1:19" x14ac:dyDescent="0.3">
      <c r="A7547" t="s">
        <v>17244</v>
      </c>
      <c r="B7547" t="s">
        <v>17433</v>
      </c>
      <c r="C7547" t="s">
        <v>17456</v>
      </c>
      <c r="D7547" t="s">
        <v>17255</v>
      </c>
      <c r="E7547" t="s">
        <v>17255</v>
      </c>
      <c r="F7547" t="s">
        <v>17255</v>
      </c>
      <c r="G7547" t="s">
        <v>17255</v>
      </c>
      <c r="H7547" t="s">
        <v>97</v>
      </c>
      <c r="I7547" t="s">
        <v>98</v>
      </c>
      <c r="J7547" t="str">
        <f>"2751020"</f>
        <v>2751020</v>
      </c>
      <c r="K7547">
        <v>2461022653</v>
      </c>
      <c r="L7547">
        <v>2461039172</v>
      </c>
      <c r="M7547" t="s">
        <v>17457</v>
      </c>
      <c r="N7547" t="s">
        <v>17258</v>
      </c>
      <c r="O7547" t="s">
        <v>17458</v>
      </c>
      <c r="P7547">
        <v>50132</v>
      </c>
      <c r="Q7547" t="str">
        <f>"40.292689"</f>
        <v>40.292689</v>
      </c>
      <c r="R7547" t="str">
        <f>"21.789615"</f>
        <v>21.789615</v>
      </c>
      <c r="S7547" t="s">
        <v>26</v>
      </c>
    </row>
    <row r="7548" spans="1:19" x14ac:dyDescent="0.3">
      <c r="A7548" t="s">
        <v>17244</v>
      </c>
      <c r="B7548" t="s">
        <v>17433</v>
      </c>
      <c r="C7548" t="s">
        <v>17477</v>
      </c>
      <c r="D7548" t="s">
        <v>17255</v>
      </c>
      <c r="E7548" t="s">
        <v>17255</v>
      </c>
      <c r="F7548" t="s">
        <v>17255</v>
      </c>
      <c r="G7548" t="s">
        <v>17255</v>
      </c>
      <c r="H7548" t="s">
        <v>97</v>
      </c>
      <c r="I7548" t="s">
        <v>98</v>
      </c>
      <c r="J7548" t="str">
        <f>"2751011"</f>
        <v>2751011</v>
      </c>
      <c r="K7548">
        <v>2461025812</v>
      </c>
      <c r="L7548">
        <v>2461037155</v>
      </c>
      <c r="M7548" t="s">
        <v>17478</v>
      </c>
      <c r="N7548" t="s">
        <v>17258</v>
      </c>
      <c r="O7548" t="s">
        <v>17479</v>
      </c>
      <c r="P7548">
        <v>50100</v>
      </c>
      <c r="Q7548" t="str">
        <f>"40.296656"</f>
        <v>40.296656</v>
      </c>
      <c r="R7548" t="str">
        <f>"21.799137"</f>
        <v>21.799137</v>
      </c>
      <c r="S7548" t="s">
        <v>26</v>
      </c>
    </row>
    <row r="7549" spans="1:19" x14ac:dyDescent="0.3">
      <c r="A7549" t="s">
        <v>17244</v>
      </c>
      <c r="B7549" t="s">
        <v>17433</v>
      </c>
      <c r="C7549" t="s">
        <v>17497</v>
      </c>
      <c r="D7549" t="s">
        <v>17255</v>
      </c>
      <c r="E7549" t="s">
        <v>17488</v>
      </c>
      <c r="F7549" t="s">
        <v>17489</v>
      </c>
      <c r="G7549" t="s">
        <v>17490</v>
      </c>
      <c r="H7549" t="s">
        <v>97</v>
      </c>
      <c r="I7549" t="s">
        <v>98</v>
      </c>
      <c r="J7549" t="str">
        <f>"2754010"</f>
        <v>2754010</v>
      </c>
      <c r="K7549">
        <v>2463022281</v>
      </c>
      <c r="L7549">
        <v>2463055391</v>
      </c>
      <c r="M7549" t="s">
        <v>17498</v>
      </c>
      <c r="N7549" t="s">
        <v>17493</v>
      </c>
      <c r="O7549" t="s">
        <v>782</v>
      </c>
      <c r="P7549">
        <v>50200</v>
      </c>
      <c r="Q7549" t="str">
        <f>"40.509616"</f>
        <v>40.509616</v>
      </c>
      <c r="R7549" t="str">
        <f>"21.684886"</f>
        <v>21.684886</v>
      </c>
      <c r="S7549" t="s">
        <v>26</v>
      </c>
    </row>
    <row r="7550" spans="1:19" x14ac:dyDescent="0.3">
      <c r="A7550" t="s">
        <v>17244</v>
      </c>
      <c r="B7550" t="s">
        <v>17433</v>
      </c>
      <c r="C7550" t="s">
        <v>17499</v>
      </c>
      <c r="D7550" t="s">
        <v>17255</v>
      </c>
      <c r="E7550" t="s">
        <v>17434</v>
      </c>
      <c r="F7550" t="s">
        <v>17466</v>
      </c>
      <c r="G7550" t="s">
        <v>17467</v>
      </c>
      <c r="H7550" t="s">
        <v>97</v>
      </c>
      <c r="I7550" t="s">
        <v>98</v>
      </c>
      <c r="J7550" t="str">
        <f>"2756010"</f>
        <v>2756010</v>
      </c>
      <c r="K7550">
        <v>2465021922</v>
      </c>
      <c r="L7550">
        <v>2465021922</v>
      </c>
      <c r="M7550" t="s">
        <v>17500</v>
      </c>
      <c r="N7550" t="s">
        <v>17501</v>
      </c>
      <c r="O7550" t="s">
        <v>17502</v>
      </c>
      <c r="P7550">
        <v>50300</v>
      </c>
      <c r="Q7550" t="str">
        <f>"40.261849"</f>
        <v>40.261849</v>
      </c>
      <c r="R7550" t="str">
        <f>"21.551919"</f>
        <v>21.551919</v>
      </c>
      <c r="S7550" t="s">
        <v>26</v>
      </c>
    </row>
    <row r="7551" spans="1:19" x14ac:dyDescent="0.3">
      <c r="A7551" t="s">
        <v>17244</v>
      </c>
      <c r="B7551" t="s">
        <v>17433</v>
      </c>
      <c r="C7551" t="s">
        <v>17504</v>
      </c>
      <c r="D7551" t="s">
        <v>17255</v>
      </c>
      <c r="E7551" t="s">
        <v>17503</v>
      </c>
      <c r="F7551" t="s">
        <v>17503</v>
      </c>
      <c r="G7551" t="s">
        <v>17503</v>
      </c>
      <c r="H7551" t="s">
        <v>97</v>
      </c>
      <c r="I7551" t="s">
        <v>98</v>
      </c>
      <c r="J7551" t="str">
        <f>"2758010"</f>
        <v>2758010</v>
      </c>
      <c r="K7551">
        <v>2464031480</v>
      </c>
      <c r="L7551">
        <v>2464031843</v>
      </c>
      <c r="M7551" t="s">
        <v>17505</v>
      </c>
      <c r="N7551" t="s">
        <v>17506</v>
      </c>
      <c r="O7551" t="s">
        <v>17507</v>
      </c>
      <c r="P7551">
        <v>50400</v>
      </c>
      <c r="Q7551" t="str">
        <f>"40.252980"</f>
        <v>40.252980</v>
      </c>
      <c r="R7551" t="str">
        <f>"22.074780"</f>
        <v>22.074780</v>
      </c>
      <c r="S7551" t="s">
        <v>26</v>
      </c>
    </row>
    <row r="7552" spans="1:19" x14ac:dyDescent="0.3">
      <c r="A7552" t="s">
        <v>17244</v>
      </c>
      <c r="B7552" t="s">
        <v>17433</v>
      </c>
      <c r="C7552" t="s">
        <v>17509</v>
      </c>
      <c r="D7552" t="s">
        <v>17255</v>
      </c>
      <c r="E7552" t="s">
        <v>17488</v>
      </c>
      <c r="F7552" t="s">
        <v>17489</v>
      </c>
      <c r="G7552" t="s">
        <v>17490</v>
      </c>
      <c r="H7552" t="s">
        <v>97</v>
      </c>
      <c r="I7552" t="s">
        <v>98</v>
      </c>
      <c r="J7552" t="str">
        <f>"2751009"</f>
        <v>2751009</v>
      </c>
      <c r="K7552">
        <v>2463021177</v>
      </c>
      <c r="L7552">
        <v>2463023880</v>
      </c>
      <c r="M7552" t="s">
        <v>17510</v>
      </c>
      <c r="N7552" t="s">
        <v>17511</v>
      </c>
      <c r="O7552" t="s">
        <v>17512</v>
      </c>
      <c r="P7552">
        <v>50200</v>
      </c>
      <c r="Q7552" t="str">
        <f>"40.520795"</f>
        <v>40.520795</v>
      </c>
      <c r="R7552" t="str">
        <f>"21.685658"</f>
        <v>21.685658</v>
      </c>
      <c r="S7552" t="s">
        <v>26</v>
      </c>
    </row>
    <row r="7553" spans="1:19" x14ac:dyDescent="0.3">
      <c r="A7553" t="s">
        <v>17244</v>
      </c>
      <c r="B7553" t="s">
        <v>17433</v>
      </c>
      <c r="C7553" t="s">
        <v>17514</v>
      </c>
      <c r="D7553" t="s">
        <v>17255</v>
      </c>
      <c r="E7553" t="s">
        <v>17460</v>
      </c>
      <c r="F7553" t="s">
        <v>17460</v>
      </c>
      <c r="G7553" t="s">
        <v>17460</v>
      </c>
      <c r="H7553" t="s">
        <v>97</v>
      </c>
      <c r="I7553" t="s">
        <v>98</v>
      </c>
      <c r="J7553" t="str">
        <f>"2755010"</f>
        <v>2755010</v>
      </c>
      <c r="K7553">
        <v>2464021586</v>
      </c>
      <c r="L7553">
        <v>2464024400</v>
      </c>
      <c r="M7553" t="s">
        <v>17515</v>
      </c>
      <c r="N7553" t="s">
        <v>17463</v>
      </c>
      <c r="O7553" t="s">
        <v>17516</v>
      </c>
      <c r="P7553">
        <v>50500</v>
      </c>
      <c r="Q7553" t="str">
        <f>"40.186495"</f>
        <v>40.186495</v>
      </c>
      <c r="R7553" t="str">
        <f>"21.997334"</f>
        <v>21.997334</v>
      </c>
      <c r="S7553" t="s">
        <v>26</v>
      </c>
    </row>
    <row r="7554" spans="1:19" x14ac:dyDescent="0.3">
      <c r="A7554" t="s">
        <v>17244</v>
      </c>
      <c r="B7554" t="s">
        <v>17433</v>
      </c>
      <c r="C7554" t="s">
        <v>17521</v>
      </c>
      <c r="D7554" t="s">
        <v>17255</v>
      </c>
      <c r="E7554" t="s">
        <v>17488</v>
      </c>
      <c r="F7554" t="s">
        <v>17489</v>
      </c>
      <c r="G7554" t="s">
        <v>17490</v>
      </c>
      <c r="H7554" t="s">
        <v>97</v>
      </c>
      <c r="I7554" t="s">
        <v>98</v>
      </c>
      <c r="J7554" t="str">
        <f>"2754011"</f>
        <v>2754011</v>
      </c>
      <c r="K7554">
        <v>2463023723</v>
      </c>
      <c r="L7554">
        <v>2463055642</v>
      </c>
      <c r="M7554" t="s">
        <v>17522</v>
      </c>
      <c r="N7554" t="s">
        <v>17523</v>
      </c>
      <c r="O7554" t="s">
        <v>782</v>
      </c>
      <c r="P7554">
        <v>50200</v>
      </c>
      <c r="Q7554" t="str">
        <f>"40.509634"</f>
        <v>40.509634</v>
      </c>
      <c r="R7554" t="str">
        <f>"21.685272"</f>
        <v>21.685272</v>
      </c>
      <c r="S7554" t="s">
        <v>26</v>
      </c>
    </row>
    <row r="7555" spans="1:19" x14ac:dyDescent="0.3">
      <c r="A7555" t="s">
        <v>17244</v>
      </c>
      <c r="B7555" t="s">
        <v>17433</v>
      </c>
      <c r="C7555" t="s">
        <v>17532</v>
      </c>
      <c r="D7555" t="s">
        <v>17255</v>
      </c>
      <c r="E7555" t="s">
        <v>17255</v>
      </c>
      <c r="F7555" t="s">
        <v>17255</v>
      </c>
      <c r="G7555" t="s">
        <v>17255</v>
      </c>
      <c r="H7555" t="s">
        <v>97</v>
      </c>
      <c r="I7555" t="s">
        <v>195</v>
      </c>
      <c r="J7555" t="str">
        <f>"2751026"</f>
        <v>2751026</v>
      </c>
      <c r="K7555">
        <v>2461036525</v>
      </c>
      <c r="L7555">
        <v>2461049609</v>
      </c>
      <c r="M7555" t="s">
        <v>17533</v>
      </c>
      <c r="N7555" t="s">
        <v>17258</v>
      </c>
      <c r="O7555" t="s">
        <v>17479</v>
      </c>
      <c r="P7555">
        <v>50132</v>
      </c>
      <c r="Q7555" t="str">
        <f>"40.296525"</f>
        <v>40.296525</v>
      </c>
      <c r="R7555" t="str">
        <f>"21.798376"</f>
        <v>21.798376</v>
      </c>
      <c r="S7555" t="s">
        <v>26</v>
      </c>
    </row>
    <row r="7556" spans="1:19" x14ac:dyDescent="0.3">
      <c r="A7556" t="s">
        <v>17244</v>
      </c>
      <c r="B7556" t="s">
        <v>17433</v>
      </c>
      <c r="C7556" t="s">
        <v>17651</v>
      </c>
      <c r="D7556" t="s">
        <v>17255</v>
      </c>
      <c r="E7556" t="s">
        <v>17255</v>
      </c>
      <c r="F7556" t="s">
        <v>17255</v>
      </c>
      <c r="G7556" t="s">
        <v>17255</v>
      </c>
      <c r="H7556" t="s">
        <v>97</v>
      </c>
      <c r="I7556" t="s">
        <v>98</v>
      </c>
      <c r="J7556" t="str">
        <f>"2751010"</f>
        <v>2751010</v>
      </c>
      <c r="K7556">
        <v>2461029788</v>
      </c>
      <c r="L7556">
        <v>2461029788</v>
      </c>
      <c r="M7556" t="s">
        <v>17652</v>
      </c>
      <c r="N7556" t="s">
        <v>17258</v>
      </c>
      <c r="O7556" t="s">
        <v>17653</v>
      </c>
      <c r="P7556">
        <v>50131</v>
      </c>
      <c r="Q7556" t="str">
        <f>"40.309661"</f>
        <v>40.309661</v>
      </c>
      <c r="R7556" t="str">
        <f>"21.787072"</f>
        <v>21.787072</v>
      </c>
      <c r="S7556" t="s">
        <v>26</v>
      </c>
    </row>
    <row r="7557" spans="1:19" x14ac:dyDescent="0.3">
      <c r="A7557" t="s">
        <v>17244</v>
      </c>
      <c r="B7557" t="s">
        <v>17433</v>
      </c>
      <c r="C7557" t="s">
        <v>17661</v>
      </c>
      <c r="D7557" t="s">
        <v>17255</v>
      </c>
      <c r="E7557" t="s">
        <v>17255</v>
      </c>
      <c r="F7557" t="s">
        <v>17255</v>
      </c>
      <c r="G7557" t="s">
        <v>17255</v>
      </c>
      <c r="H7557" t="s">
        <v>97</v>
      </c>
      <c r="I7557" t="s">
        <v>98</v>
      </c>
      <c r="J7557" t="str">
        <f>"2751022"</f>
        <v>2751022</v>
      </c>
      <c r="K7557">
        <v>2461033719</v>
      </c>
      <c r="L7557">
        <v>2461041132</v>
      </c>
      <c r="M7557" t="s">
        <v>17662</v>
      </c>
      <c r="N7557" t="s">
        <v>17258</v>
      </c>
      <c r="O7557" t="s">
        <v>17663</v>
      </c>
      <c r="P7557">
        <v>50132</v>
      </c>
      <c r="Q7557" t="str">
        <f>"40.301524"</f>
        <v>40.301524</v>
      </c>
      <c r="R7557" t="str">
        <f>"21.804834"</f>
        <v>21.804834</v>
      </c>
      <c r="S7557" t="s">
        <v>26</v>
      </c>
    </row>
    <row r="7558" spans="1:19" x14ac:dyDescent="0.3">
      <c r="A7558" t="s">
        <v>17244</v>
      </c>
      <c r="B7558" t="s">
        <v>17681</v>
      </c>
      <c r="C7558" t="s">
        <v>17697</v>
      </c>
      <c r="D7558" t="s">
        <v>17260</v>
      </c>
      <c r="E7558" t="s">
        <v>17260</v>
      </c>
      <c r="F7558" t="s">
        <v>17260</v>
      </c>
      <c r="G7558" t="s">
        <v>17261</v>
      </c>
      <c r="H7558" t="s">
        <v>97</v>
      </c>
      <c r="I7558" t="s">
        <v>98</v>
      </c>
      <c r="J7558" t="str">
        <f>"4751010"</f>
        <v>4751010</v>
      </c>
      <c r="K7558">
        <v>2385028287</v>
      </c>
      <c r="L7558">
        <v>2385044501</v>
      </c>
      <c r="M7558" t="s">
        <v>17698</v>
      </c>
      <c r="N7558" t="s">
        <v>17264</v>
      </c>
      <c r="O7558" t="s">
        <v>17699</v>
      </c>
      <c r="P7558">
        <v>53100</v>
      </c>
      <c r="Q7558" t="str">
        <f>"40.782072"</f>
        <v>40.782072</v>
      </c>
      <c r="R7558" t="str">
        <f>"21.401683"</f>
        <v>21.401683</v>
      </c>
      <c r="S7558" t="s">
        <v>26</v>
      </c>
    </row>
    <row r="7559" spans="1:19" x14ac:dyDescent="0.3">
      <c r="A7559" t="s">
        <v>17244</v>
      </c>
      <c r="B7559" t="s">
        <v>17681</v>
      </c>
      <c r="C7559" t="s">
        <v>17709</v>
      </c>
      <c r="D7559" t="s">
        <v>17260</v>
      </c>
      <c r="E7559" t="s">
        <v>17260</v>
      </c>
      <c r="F7559" t="s">
        <v>17260</v>
      </c>
      <c r="G7559" t="s">
        <v>17261</v>
      </c>
      <c r="H7559" t="s">
        <v>97</v>
      </c>
      <c r="I7559" t="s">
        <v>98</v>
      </c>
      <c r="J7559" t="str">
        <f>"4751009"</f>
        <v>4751009</v>
      </c>
      <c r="K7559">
        <v>2385046482</v>
      </c>
      <c r="L7559">
        <v>2385046482</v>
      </c>
      <c r="M7559" t="s">
        <v>17710</v>
      </c>
      <c r="N7559" t="s">
        <v>17264</v>
      </c>
      <c r="O7559" t="s">
        <v>17711</v>
      </c>
      <c r="P7559">
        <v>53100</v>
      </c>
      <c r="Q7559" t="str">
        <f>"40.789077"</f>
        <v>40.789077</v>
      </c>
      <c r="R7559" t="str">
        <f>"21.414905"</f>
        <v>21.414905</v>
      </c>
      <c r="S7559" t="s">
        <v>26</v>
      </c>
    </row>
    <row r="7560" spans="1:19" x14ac:dyDescent="0.3">
      <c r="A7560" t="s">
        <v>17244</v>
      </c>
      <c r="B7560" t="s">
        <v>17681</v>
      </c>
      <c r="C7560" t="s">
        <v>17712</v>
      </c>
      <c r="D7560" t="s">
        <v>17260</v>
      </c>
      <c r="E7560" t="s">
        <v>17701</v>
      </c>
      <c r="F7560" t="s">
        <v>17701</v>
      </c>
      <c r="G7560" t="s">
        <v>17701</v>
      </c>
      <c r="H7560" t="s">
        <v>97</v>
      </c>
      <c r="I7560" t="s">
        <v>98</v>
      </c>
      <c r="J7560" t="str">
        <f>"4752010"</f>
        <v>4752010</v>
      </c>
      <c r="K7560">
        <v>2386022683</v>
      </c>
      <c r="L7560">
        <v>2386022683</v>
      </c>
      <c r="M7560" t="s">
        <v>17713</v>
      </c>
      <c r="N7560" t="s">
        <v>17704</v>
      </c>
      <c r="O7560" t="s">
        <v>17714</v>
      </c>
      <c r="P7560">
        <v>53200</v>
      </c>
      <c r="Q7560" t="str">
        <f>"40.693372"</f>
        <v>40.693372</v>
      </c>
      <c r="R7560" t="str">
        <f>"21.676612"</f>
        <v>21.676612</v>
      </c>
      <c r="S7560" t="s">
        <v>26</v>
      </c>
    </row>
    <row r="7561" spans="1:19" x14ac:dyDescent="0.3">
      <c r="A7561" t="s">
        <v>17244</v>
      </c>
      <c r="B7561" t="s">
        <v>17681</v>
      </c>
      <c r="C7561" t="s">
        <v>17715</v>
      </c>
      <c r="D7561" t="s">
        <v>17260</v>
      </c>
      <c r="E7561" t="s">
        <v>17260</v>
      </c>
      <c r="F7561" t="s">
        <v>17260</v>
      </c>
      <c r="G7561" t="s">
        <v>17261</v>
      </c>
      <c r="H7561" t="s">
        <v>97</v>
      </c>
      <c r="I7561" t="s">
        <v>98</v>
      </c>
      <c r="J7561" t="str">
        <f>"4790050"</f>
        <v>4790050</v>
      </c>
      <c r="K7561">
        <v>2385046094</v>
      </c>
      <c r="L7561">
        <v>2385046094</v>
      </c>
      <c r="M7561" t="s">
        <v>17716</v>
      </c>
      <c r="N7561" t="s">
        <v>17264</v>
      </c>
      <c r="O7561" t="s">
        <v>17708</v>
      </c>
      <c r="P7561">
        <v>53100</v>
      </c>
      <c r="Q7561" t="str">
        <f>"40.803738"</f>
        <v>40.803738</v>
      </c>
      <c r="R7561" t="str">
        <f>"21.422801"</f>
        <v>21.422801</v>
      </c>
      <c r="S7561" t="s">
        <v>26</v>
      </c>
    </row>
    <row r="7562" spans="1:19" x14ac:dyDescent="0.3">
      <c r="A7562" t="s">
        <v>17244</v>
      </c>
      <c r="B7562" t="s">
        <v>17681</v>
      </c>
      <c r="C7562" t="s">
        <v>17771</v>
      </c>
      <c r="D7562" t="s">
        <v>17260</v>
      </c>
      <c r="E7562" t="s">
        <v>17701</v>
      </c>
      <c r="F7562" t="s">
        <v>17717</v>
      </c>
      <c r="G7562" t="s">
        <v>17717</v>
      </c>
      <c r="H7562" t="s">
        <v>97</v>
      </c>
      <c r="I7562" t="s">
        <v>98</v>
      </c>
      <c r="J7562" t="str">
        <f>"4757010"</f>
        <v>4757010</v>
      </c>
      <c r="K7562">
        <v>2463041793</v>
      </c>
      <c r="L7562">
        <v>2463041793</v>
      </c>
      <c r="M7562" t="s">
        <v>17772</v>
      </c>
      <c r="N7562" t="s">
        <v>17720</v>
      </c>
      <c r="O7562" t="s">
        <v>17721</v>
      </c>
      <c r="P7562">
        <v>53070</v>
      </c>
      <c r="Q7562" t="str">
        <f>"40.629226"</f>
        <v>40.629226</v>
      </c>
      <c r="R7562" t="str">
        <f>"21.713311"</f>
        <v>21.713311</v>
      </c>
      <c r="S7562" t="s">
        <v>26</v>
      </c>
    </row>
    <row r="7563" spans="1:19" x14ac:dyDescent="0.3">
      <c r="A7563" t="s">
        <v>18804</v>
      </c>
      <c r="B7563" t="s">
        <v>18830</v>
      </c>
      <c r="C7563" t="s">
        <v>18834</v>
      </c>
      <c r="D7563" t="s">
        <v>18805</v>
      </c>
      <c r="E7563" t="s">
        <v>18831</v>
      </c>
      <c r="F7563" t="s">
        <v>18832</v>
      </c>
      <c r="G7563" t="s">
        <v>18833</v>
      </c>
      <c r="H7563" t="s">
        <v>97</v>
      </c>
      <c r="I7563" t="s">
        <v>98</v>
      </c>
      <c r="J7563" t="str">
        <f>"0454010"</f>
        <v>0454010</v>
      </c>
      <c r="K7563">
        <v>2681068047</v>
      </c>
      <c r="L7563">
        <v>2681068047</v>
      </c>
      <c r="M7563" t="s">
        <v>18835</v>
      </c>
      <c r="O7563" t="s">
        <v>18836</v>
      </c>
      <c r="P7563">
        <v>47044</v>
      </c>
      <c r="Q7563" t="str">
        <f>"39.253296"</f>
        <v>39.253296</v>
      </c>
      <c r="R7563" t="str">
        <f>"21.161116"</f>
        <v>21.161116</v>
      </c>
      <c r="S7563" t="s">
        <v>26</v>
      </c>
    </row>
    <row r="7564" spans="1:19" x14ac:dyDescent="0.3">
      <c r="A7564" t="s">
        <v>18804</v>
      </c>
      <c r="B7564" t="s">
        <v>18830</v>
      </c>
      <c r="C7564" t="s">
        <v>18846</v>
      </c>
      <c r="D7564" t="s">
        <v>18805</v>
      </c>
      <c r="E7564" t="s">
        <v>18806</v>
      </c>
      <c r="F7564" t="s">
        <v>18806</v>
      </c>
      <c r="G7564" t="s">
        <v>18806</v>
      </c>
      <c r="H7564" t="s">
        <v>97</v>
      </c>
      <c r="I7564" t="s">
        <v>195</v>
      </c>
      <c r="J7564" t="str">
        <f>"0451015"</f>
        <v>0451015</v>
      </c>
      <c r="K7564">
        <v>2681077676</v>
      </c>
      <c r="L7564">
        <v>2681077676</v>
      </c>
      <c r="M7564" t="s">
        <v>18847</v>
      </c>
      <c r="N7564" t="s">
        <v>18809</v>
      </c>
      <c r="O7564" t="s">
        <v>18848</v>
      </c>
      <c r="P7564">
        <v>47100</v>
      </c>
      <c r="Q7564" t="str">
        <f>"39.154274"</f>
        <v>39.154274</v>
      </c>
      <c r="R7564" t="str">
        <f>"20.997608"</f>
        <v>20.997608</v>
      </c>
      <c r="S7564" t="s">
        <v>26</v>
      </c>
    </row>
    <row r="7565" spans="1:19" x14ac:dyDescent="0.3">
      <c r="A7565" t="s">
        <v>18804</v>
      </c>
      <c r="B7565" t="s">
        <v>18830</v>
      </c>
      <c r="C7565" t="s">
        <v>18856</v>
      </c>
      <c r="D7565" t="s">
        <v>18805</v>
      </c>
      <c r="E7565" t="s">
        <v>18806</v>
      </c>
      <c r="F7565" t="s">
        <v>18806</v>
      </c>
      <c r="G7565" t="s">
        <v>18806</v>
      </c>
      <c r="H7565" t="s">
        <v>97</v>
      </c>
      <c r="I7565" t="s">
        <v>98</v>
      </c>
      <c r="J7565" t="str">
        <f>"0451030"</f>
        <v>0451030</v>
      </c>
      <c r="K7565">
        <v>2681027597</v>
      </c>
      <c r="L7565">
        <v>2681027597</v>
      </c>
      <c r="M7565" t="s">
        <v>18857</v>
      </c>
      <c r="N7565" t="s">
        <v>18809</v>
      </c>
      <c r="O7565" t="s">
        <v>18858</v>
      </c>
      <c r="P7565">
        <v>47131</v>
      </c>
      <c r="Q7565" t="str">
        <f>"39.162339"</f>
        <v>39.162339</v>
      </c>
      <c r="R7565" t="str">
        <f>"20.982876"</f>
        <v>20.982876</v>
      </c>
      <c r="S7565" t="s">
        <v>26</v>
      </c>
    </row>
    <row r="7566" spans="1:19" x14ac:dyDescent="0.3">
      <c r="A7566" t="s">
        <v>18804</v>
      </c>
      <c r="B7566" t="s">
        <v>18830</v>
      </c>
      <c r="C7566" t="s">
        <v>18861</v>
      </c>
      <c r="D7566" t="s">
        <v>18805</v>
      </c>
      <c r="E7566" t="s">
        <v>18831</v>
      </c>
      <c r="F7566" t="s">
        <v>15629</v>
      </c>
      <c r="G7566" t="s">
        <v>18860</v>
      </c>
      <c r="H7566" t="s">
        <v>97</v>
      </c>
      <c r="I7566" t="s">
        <v>98</v>
      </c>
      <c r="J7566" t="str">
        <f>"0462010"</f>
        <v>0462010</v>
      </c>
      <c r="K7566">
        <v>2681067259</v>
      </c>
      <c r="L7566">
        <v>2681067259</v>
      </c>
      <c r="M7566" t="s">
        <v>18862</v>
      </c>
      <c r="N7566" t="s">
        <v>18863</v>
      </c>
      <c r="O7566" t="s">
        <v>18864</v>
      </c>
      <c r="P7566">
        <v>47048</v>
      </c>
      <c r="Q7566" t="str">
        <f>"39.195783"</f>
        <v>39.195783</v>
      </c>
      <c r="R7566" t="str">
        <f>"21.130809"</f>
        <v>21.130809</v>
      </c>
      <c r="S7566" t="s">
        <v>26</v>
      </c>
    </row>
    <row r="7567" spans="1:19" x14ac:dyDescent="0.3">
      <c r="A7567" t="s">
        <v>18804</v>
      </c>
      <c r="B7567" t="s">
        <v>18830</v>
      </c>
      <c r="C7567" t="s">
        <v>18907</v>
      </c>
      <c r="D7567" t="s">
        <v>18805</v>
      </c>
      <c r="E7567" t="s">
        <v>18806</v>
      </c>
      <c r="F7567" t="s">
        <v>18806</v>
      </c>
      <c r="G7567" t="s">
        <v>18806</v>
      </c>
      <c r="H7567" t="s">
        <v>97</v>
      </c>
      <c r="I7567" t="s">
        <v>98</v>
      </c>
      <c r="J7567" t="str">
        <f>"0451010"</f>
        <v>0451010</v>
      </c>
      <c r="K7567">
        <v>2681027551</v>
      </c>
      <c r="L7567">
        <v>2681027551</v>
      </c>
      <c r="M7567" t="s">
        <v>18908</v>
      </c>
      <c r="N7567" t="s">
        <v>18809</v>
      </c>
      <c r="O7567" t="s">
        <v>18851</v>
      </c>
      <c r="P7567">
        <v>47132</v>
      </c>
      <c r="Q7567" t="str">
        <f>"39.159274"</f>
        <v>39.159274</v>
      </c>
      <c r="R7567" t="str">
        <f>"20.981583"</f>
        <v>20.981583</v>
      </c>
      <c r="S7567" t="s">
        <v>26</v>
      </c>
    </row>
    <row r="7568" spans="1:19" x14ac:dyDescent="0.3">
      <c r="A7568" t="s">
        <v>18804</v>
      </c>
      <c r="B7568" t="s">
        <v>18830</v>
      </c>
      <c r="C7568" t="s">
        <v>18909</v>
      </c>
      <c r="D7568" t="s">
        <v>18805</v>
      </c>
      <c r="E7568" t="s">
        <v>18806</v>
      </c>
      <c r="F7568" t="s">
        <v>18806</v>
      </c>
      <c r="G7568" t="s">
        <v>18806</v>
      </c>
      <c r="H7568" t="s">
        <v>97</v>
      </c>
      <c r="I7568" t="s">
        <v>98</v>
      </c>
      <c r="J7568" t="str">
        <f>"0451020"</f>
        <v>0451020</v>
      </c>
      <c r="K7568">
        <v>2681027347</v>
      </c>
      <c r="L7568">
        <v>2681027347</v>
      </c>
      <c r="M7568" t="s">
        <v>18910</v>
      </c>
      <c r="N7568" t="s">
        <v>18809</v>
      </c>
      <c r="O7568" t="s">
        <v>18911</v>
      </c>
      <c r="P7568">
        <v>47132</v>
      </c>
      <c r="Q7568" t="str">
        <f>"39.152618"</f>
        <v>39.152618</v>
      </c>
      <c r="R7568" t="str">
        <f>"20.983912"</f>
        <v>20.983912</v>
      </c>
      <c r="S7568" t="s">
        <v>26</v>
      </c>
    </row>
    <row r="7569" spans="1:19" x14ac:dyDescent="0.3">
      <c r="A7569" t="s">
        <v>18804</v>
      </c>
      <c r="B7569" t="s">
        <v>18830</v>
      </c>
      <c r="C7569" t="s">
        <v>18912</v>
      </c>
      <c r="D7569" t="s">
        <v>18805</v>
      </c>
      <c r="E7569" t="s">
        <v>18806</v>
      </c>
      <c r="F7569" t="s">
        <v>18806</v>
      </c>
      <c r="G7569" t="s">
        <v>18806</v>
      </c>
      <c r="H7569" t="s">
        <v>97</v>
      </c>
      <c r="I7569" t="s">
        <v>98</v>
      </c>
      <c r="J7569" t="str">
        <f>"0451031"</f>
        <v>0451031</v>
      </c>
      <c r="K7569">
        <v>2681028203</v>
      </c>
      <c r="L7569">
        <v>2681028203</v>
      </c>
      <c r="M7569" t="s">
        <v>18913</v>
      </c>
      <c r="N7569" t="s">
        <v>18809</v>
      </c>
      <c r="O7569" t="s">
        <v>18914</v>
      </c>
      <c r="P7569">
        <v>47132</v>
      </c>
      <c r="Q7569" t="str">
        <f>"39.157524"</f>
        <v>39.157524</v>
      </c>
      <c r="R7569" t="str">
        <f>"20.987213"</f>
        <v>20.987213</v>
      </c>
      <c r="S7569" t="s">
        <v>26</v>
      </c>
    </row>
    <row r="7570" spans="1:19" x14ac:dyDescent="0.3">
      <c r="A7570" t="s">
        <v>18804</v>
      </c>
      <c r="B7570" t="s">
        <v>18830</v>
      </c>
      <c r="C7570" t="s">
        <v>18916</v>
      </c>
      <c r="D7570" t="s">
        <v>18805</v>
      </c>
      <c r="E7570" t="s">
        <v>18885</v>
      </c>
      <c r="F7570" t="s">
        <v>18886</v>
      </c>
      <c r="G7570" t="s">
        <v>152</v>
      </c>
      <c r="H7570" t="s">
        <v>97</v>
      </c>
      <c r="I7570" t="s">
        <v>98</v>
      </c>
      <c r="J7570" t="str">
        <f>"0457010"</f>
        <v>0457010</v>
      </c>
      <c r="K7570">
        <v>2681087367</v>
      </c>
      <c r="L7570">
        <v>2681087367</v>
      </c>
      <c r="M7570" t="s">
        <v>18917</v>
      </c>
      <c r="N7570" t="s">
        <v>17237</v>
      </c>
      <c r="O7570" t="s">
        <v>18889</v>
      </c>
      <c r="P7570">
        <v>47041</v>
      </c>
      <c r="Q7570" t="str">
        <f>"39.069283"</f>
        <v>39.069283</v>
      </c>
      <c r="R7570" t="str">
        <f>"21.013878"</f>
        <v>21.013878</v>
      </c>
      <c r="S7570" t="s">
        <v>26</v>
      </c>
    </row>
    <row r="7571" spans="1:19" x14ac:dyDescent="0.3">
      <c r="A7571" t="s">
        <v>18804</v>
      </c>
      <c r="B7571" t="s">
        <v>18830</v>
      </c>
      <c r="C7571" t="s">
        <v>18918</v>
      </c>
      <c r="D7571" t="s">
        <v>18805</v>
      </c>
      <c r="E7571" t="s">
        <v>18878</v>
      </c>
      <c r="F7571" t="s">
        <v>18879</v>
      </c>
      <c r="G7571" t="s">
        <v>18880</v>
      </c>
      <c r="H7571" t="s">
        <v>97</v>
      </c>
      <c r="I7571" t="s">
        <v>98</v>
      </c>
      <c r="J7571" t="str">
        <f>"0453010"</f>
        <v>0453010</v>
      </c>
      <c r="K7571">
        <v>2685022276</v>
      </c>
      <c r="L7571">
        <v>2685022276</v>
      </c>
      <c r="M7571" t="s">
        <v>18919</v>
      </c>
      <c r="O7571" t="s">
        <v>18920</v>
      </c>
      <c r="P7571">
        <v>47045</v>
      </c>
      <c r="Q7571" t="str">
        <f>"39.373714"</f>
        <v>39.373714</v>
      </c>
      <c r="R7571" t="str">
        <f>"21.181537"</f>
        <v>21.181537</v>
      </c>
      <c r="S7571" t="s">
        <v>57</v>
      </c>
    </row>
    <row r="7572" spans="1:19" x14ac:dyDescent="0.3">
      <c r="A7572" t="s">
        <v>18804</v>
      </c>
      <c r="B7572" t="s">
        <v>18830</v>
      </c>
      <c r="C7572" t="s">
        <v>18922</v>
      </c>
      <c r="D7572" t="s">
        <v>18805</v>
      </c>
      <c r="E7572" t="s">
        <v>18885</v>
      </c>
      <c r="F7572" t="s">
        <v>18921</v>
      </c>
      <c r="G7572" t="s">
        <v>18921</v>
      </c>
      <c r="H7572" t="s">
        <v>97</v>
      </c>
      <c r="I7572" t="s">
        <v>98</v>
      </c>
      <c r="J7572" t="str">
        <f>"0456010"</f>
        <v>0456010</v>
      </c>
      <c r="K7572">
        <v>2681065381</v>
      </c>
      <c r="L7572">
        <v>2681065835</v>
      </c>
      <c r="M7572" t="s">
        <v>18923</v>
      </c>
      <c r="N7572" t="s">
        <v>18924</v>
      </c>
      <c r="O7572" t="s">
        <v>18924</v>
      </c>
      <c r="P7572">
        <v>47040</v>
      </c>
      <c r="Q7572" t="str">
        <f>"39.104427"</f>
        <v>39.104427</v>
      </c>
      <c r="R7572" t="str">
        <f>"21.076217"</f>
        <v>21.076217</v>
      </c>
      <c r="S7572" t="s">
        <v>26</v>
      </c>
    </row>
    <row r="7573" spans="1:19" x14ac:dyDescent="0.3">
      <c r="A7573" t="s">
        <v>18804</v>
      </c>
      <c r="B7573" t="s">
        <v>18830</v>
      </c>
      <c r="C7573" t="s">
        <v>18927</v>
      </c>
      <c r="D7573" t="s">
        <v>18805</v>
      </c>
      <c r="E7573" t="s">
        <v>18806</v>
      </c>
      <c r="F7573" t="s">
        <v>18897</v>
      </c>
      <c r="G7573" t="s">
        <v>18898</v>
      </c>
      <c r="H7573" t="s">
        <v>97</v>
      </c>
      <c r="I7573" t="s">
        <v>98</v>
      </c>
      <c r="J7573" t="str">
        <f>"0458010"</f>
        <v>0458010</v>
      </c>
      <c r="K7573">
        <v>2681041310</v>
      </c>
      <c r="L7573">
        <v>2681041310</v>
      </c>
      <c r="M7573" t="s">
        <v>18928</v>
      </c>
      <c r="N7573" t="s">
        <v>18929</v>
      </c>
      <c r="O7573" t="s">
        <v>18901</v>
      </c>
      <c r="P7573">
        <v>47100</v>
      </c>
      <c r="Q7573" t="str">
        <f>"39.090341"</f>
        <v>39.090341</v>
      </c>
      <c r="R7573" t="str">
        <f>"20.918991"</f>
        <v>20.918991</v>
      </c>
      <c r="S7573" t="s">
        <v>26</v>
      </c>
    </row>
    <row r="7574" spans="1:19" x14ac:dyDescent="0.3">
      <c r="A7574" t="s">
        <v>18804</v>
      </c>
      <c r="B7574" t="s">
        <v>18964</v>
      </c>
      <c r="C7574" t="s">
        <v>18970</v>
      </c>
      <c r="D7574" t="s">
        <v>18811</v>
      </c>
      <c r="E7574" t="s">
        <v>18812</v>
      </c>
      <c r="F7574" t="s">
        <v>18813</v>
      </c>
      <c r="G7574" t="s">
        <v>18812</v>
      </c>
      <c r="H7574" t="s">
        <v>97</v>
      </c>
      <c r="I7574" t="s">
        <v>195</v>
      </c>
      <c r="J7574" t="str">
        <f>"1851015"</f>
        <v>1851015</v>
      </c>
      <c r="K7574">
        <v>2665024455</v>
      </c>
      <c r="L7574">
        <v>2665024455</v>
      </c>
      <c r="M7574" t="s">
        <v>18971</v>
      </c>
      <c r="N7574" t="s">
        <v>18816</v>
      </c>
      <c r="O7574" t="s">
        <v>18972</v>
      </c>
      <c r="P7574">
        <v>46100</v>
      </c>
      <c r="Q7574" t="str">
        <f>"39.505965"</f>
        <v>39.505965</v>
      </c>
      <c r="R7574" t="str">
        <f>"20.265722"</f>
        <v>20.265722</v>
      </c>
      <c r="S7574" t="s">
        <v>26</v>
      </c>
    </row>
    <row r="7575" spans="1:19" x14ac:dyDescent="0.3">
      <c r="A7575" t="s">
        <v>18804</v>
      </c>
      <c r="B7575" t="s">
        <v>18964</v>
      </c>
      <c r="C7575" t="s">
        <v>18982</v>
      </c>
      <c r="D7575" t="s">
        <v>18811</v>
      </c>
      <c r="E7575" t="s">
        <v>18981</v>
      </c>
      <c r="F7575" t="s">
        <v>18981</v>
      </c>
      <c r="G7575" t="s">
        <v>18981</v>
      </c>
      <c r="H7575" t="s">
        <v>97</v>
      </c>
      <c r="I7575" t="s">
        <v>98</v>
      </c>
      <c r="J7575" t="str">
        <f>"1853010"</f>
        <v>1853010</v>
      </c>
      <c r="K7575">
        <v>2664022228</v>
      </c>
      <c r="L7575">
        <v>2664029058</v>
      </c>
      <c r="M7575" t="s">
        <v>18983</v>
      </c>
      <c r="N7575" t="s">
        <v>18984</v>
      </c>
      <c r="O7575" t="s">
        <v>18985</v>
      </c>
      <c r="P7575">
        <v>46300</v>
      </c>
      <c r="Q7575" t="str">
        <f>"39.600555"</f>
        <v>39.600555</v>
      </c>
      <c r="R7575" t="str">
        <f>"20.307973"</f>
        <v>20.307973</v>
      </c>
      <c r="S7575" t="s">
        <v>26</v>
      </c>
    </row>
    <row r="7576" spans="1:19" x14ac:dyDescent="0.3">
      <c r="A7576" t="s">
        <v>18804</v>
      </c>
      <c r="B7576" t="s">
        <v>18964</v>
      </c>
      <c r="C7576" t="s">
        <v>19036</v>
      </c>
      <c r="D7576" t="s">
        <v>18811</v>
      </c>
      <c r="E7576" t="s">
        <v>18812</v>
      </c>
      <c r="F7576" t="s">
        <v>18813</v>
      </c>
      <c r="G7576" t="s">
        <v>18812</v>
      </c>
      <c r="H7576" t="s">
        <v>97</v>
      </c>
      <c r="I7576" t="s">
        <v>98</v>
      </c>
      <c r="J7576" t="str">
        <f>"1851009"</f>
        <v>1851009</v>
      </c>
      <c r="K7576">
        <v>2665025644</v>
      </c>
      <c r="L7576">
        <v>2665022977</v>
      </c>
      <c r="M7576" t="s">
        <v>19037</v>
      </c>
      <c r="N7576" t="s">
        <v>18816</v>
      </c>
      <c r="O7576" t="s">
        <v>19038</v>
      </c>
      <c r="P7576">
        <v>46100</v>
      </c>
      <c r="Q7576" t="str">
        <f>"39.492156"</f>
        <v>39.492156</v>
      </c>
      <c r="R7576" t="str">
        <f>"20.266446"</f>
        <v>20.266446</v>
      </c>
      <c r="S7576" t="s">
        <v>26</v>
      </c>
    </row>
    <row r="7577" spans="1:19" x14ac:dyDescent="0.3">
      <c r="A7577" t="s">
        <v>18804</v>
      </c>
      <c r="B7577" t="s">
        <v>18964</v>
      </c>
      <c r="C7577" t="s">
        <v>19039</v>
      </c>
      <c r="D7577" t="s">
        <v>18811</v>
      </c>
      <c r="E7577" t="s">
        <v>18812</v>
      </c>
      <c r="F7577" t="s">
        <v>18999</v>
      </c>
      <c r="G7577" t="s">
        <v>18999</v>
      </c>
      <c r="H7577" t="s">
        <v>97</v>
      </c>
      <c r="I7577" t="s">
        <v>98</v>
      </c>
      <c r="J7577" t="str">
        <f>"1854010"</f>
        <v>1854010</v>
      </c>
      <c r="K7577">
        <v>2665094711</v>
      </c>
      <c r="L7577">
        <v>2665094713</v>
      </c>
      <c r="M7577" t="s">
        <v>19040</v>
      </c>
      <c r="N7577" t="s">
        <v>19003</v>
      </c>
      <c r="O7577" t="s">
        <v>19041</v>
      </c>
      <c r="P7577">
        <v>46030</v>
      </c>
      <c r="Q7577" t="str">
        <f>"39.356916"</f>
        <v>39.356916</v>
      </c>
      <c r="R7577" t="str">
        <f>"20.439392"</f>
        <v>20.439392</v>
      </c>
      <c r="S7577" t="s">
        <v>26</v>
      </c>
    </row>
    <row r="7578" spans="1:19" x14ac:dyDescent="0.3">
      <c r="A7578" t="s">
        <v>18804</v>
      </c>
      <c r="B7578" t="s">
        <v>18964</v>
      </c>
      <c r="C7578" t="s">
        <v>19042</v>
      </c>
      <c r="D7578" t="s">
        <v>18811</v>
      </c>
      <c r="E7578" t="s">
        <v>16264</v>
      </c>
      <c r="F7578" t="s">
        <v>18976</v>
      </c>
      <c r="G7578" t="s">
        <v>18976</v>
      </c>
      <c r="H7578" t="s">
        <v>97</v>
      </c>
      <c r="I7578" t="s">
        <v>98</v>
      </c>
      <c r="J7578" t="str">
        <f>"1852010"</f>
        <v>1852010</v>
      </c>
      <c r="K7578">
        <v>2666022683</v>
      </c>
      <c r="L7578">
        <v>2666024215</v>
      </c>
      <c r="M7578" t="s">
        <v>19043</v>
      </c>
      <c r="N7578" t="s">
        <v>19044</v>
      </c>
      <c r="O7578" t="s">
        <v>19044</v>
      </c>
      <c r="P7578">
        <v>46200</v>
      </c>
      <c r="Q7578" t="str">
        <f>"39.459379"</f>
        <v>39.459379</v>
      </c>
      <c r="R7578" t="str">
        <f>"20.513835"</f>
        <v>20.513835</v>
      </c>
      <c r="S7578" t="s">
        <v>26</v>
      </c>
    </row>
    <row r="7579" spans="1:19" x14ac:dyDescent="0.3">
      <c r="A7579" t="s">
        <v>18804</v>
      </c>
      <c r="B7579" t="s">
        <v>18964</v>
      </c>
      <c r="C7579" t="s">
        <v>19045</v>
      </c>
      <c r="D7579" t="s">
        <v>18811</v>
      </c>
      <c r="E7579" t="s">
        <v>18812</v>
      </c>
      <c r="F7579" t="s">
        <v>18813</v>
      </c>
      <c r="G7579" t="s">
        <v>18812</v>
      </c>
      <c r="H7579" t="s">
        <v>97</v>
      </c>
      <c r="I7579" t="s">
        <v>98</v>
      </c>
      <c r="J7579" t="str">
        <f>"1851010"</f>
        <v>1851010</v>
      </c>
      <c r="K7579">
        <v>2665022262</v>
      </c>
      <c r="L7579">
        <v>2665024475</v>
      </c>
      <c r="M7579" t="s">
        <v>19046</v>
      </c>
      <c r="N7579" t="s">
        <v>18816</v>
      </c>
      <c r="O7579" t="s">
        <v>18972</v>
      </c>
      <c r="P7579">
        <v>46100</v>
      </c>
      <c r="Q7579" t="str">
        <f>"39.506338"</f>
        <v>39.506338</v>
      </c>
      <c r="R7579" t="str">
        <f>"20.265282"</f>
        <v>20.265282</v>
      </c>
      <c r="S7579" t="s">
        <v>26</v>
      </c>
    </row>
    <row r="7580" spans="1:19" x14ac:dyDescent="0.3">
      <c r="A7580" t="s">
        <v>18804</v>
      </c>
      <c r="B7580" t="s">
        <v>19060</v>
      </c>
      <c r="C7580" t="s">
        <v>19074</v>
      </c>
      <c r="D7580" t="s">
        <v>18818</v>
      </c>
      <c r="E7580" t="s">
        <v>19073</v>
      </c>
      <c r="F7580" t="s">
        <v>19073</v>
      </c>
      <c r="G7580" t="s">
        <v>19073</v>
      </c>
      <c r="H7580" t="s">
        <v>97</v>
      </c>
      <c r="I7580" t="s">
        <v>98</v>
      </c>
      <c r="J7580" t="str">
        <f>"2055010"</f>
        <v>2055010</v>
      </c>
      <c r="K7580">
        <v>2656041229</v>
      </c>
      <c r="L7580">
        <v>2656042352</v>
      </c>
      <c r="M7580" t="s">
        <v>19075</v>
      </c>
      <c r="N7580" t="s">
        <v>19076</v>
      </c>
      <c r="O7580" t="s">
        <v>19076</v>
      </c>
      <c r="P7580">
        <v>44200</v>
      </c>
      <c r="Q7580" t="str">
        <f>"39.774832"</f>
        <v>39.774832</v>
      </c>
      <c r="R7580" t="str">
        <f>"21.180844"</f>
        <v>21.180844</v>
      </c>
      <c r="S7580" t="s">
        <v>26</v>
      </c>
    </row>
    <row r="7581" spans="1:19" x14ac:dyDescent="0.3">
      <c r="A7581" t="s">
        <v>18804</v>
      </c>
      <c r="B7581" t="s">
        <v>19060</v>
      </c>
      <c r="C7581" t="s">
        <v>19133</v>
      </c>
      <c r="D7581" t="s">
        <v>18818</v>
      </c>
      <c r="E7581" t="s">
        <v>18819</v>
      </c>
      <c r="F7581" t="s">
        <v>19131</v>
      </c>
      <c r="G7581" t="s">
        <v>19132</v>
      </c>
      <c r="H7581" t="s">
        <v>97</v>
      </c>
      <c r="I7581" t="s">
        <v>98</v>
      </c>
      <c r="J7581" t="str">
        <f>"2062010"</f>
        <v>2062010</v>
      </c>
      <c r="K7581">
        <v>2651092040</v>
      </c>
      <c r="L7581">
        <v>2651094417</v>
      </c>
      <c r="M7581" t="s">
        <v>19134</v>
      </c>
      <c r="N7581" t="s">
        <v>19135</v>
      </c>
      <c r="O7581" t="s">
        <v>19136</v>
      </c>
      <c r="P7581">
        <v>45500</v>
      </c>
      <c r="Q7581" t="str">
        <f>"39.614917"</f>
        <v>39.614917</v>
      </c>
      <c r="R7581" t="str">
        <f>"20.886144"</f>
        <v>20.886144</v>
      </c>
      <c r="S7581" t="s">
        <v>26</v>
      </c>
    </row>
    <row r="7582" spans="1:19" x14ac:dyDescent="0.3">
      <c r="A7582" t="s">
        <v>18804</v>
      </c>
      <c r="B7582" t="s">
        <v>19060</v>
      </c>
      <c r="C7582" t="s">
        <v>19140</v>
      </c>
      <c r="D7582" t="s">
        <v>18818</v>
      </c>
      <c r="E7582" t="s">
        <v>19111</v>
      </c>
      <c r="F7582" t="s">
        <v>19138</v>
      </c>
      <c r="G7582" t="s">
        <v>19139</v>
      </c>
      <c r="H7582" t="s">
        <v>97</v>
      </c>
      <c r="I7582" t="s">
        <v>98</v>
      </c>
      <c r="J7582" t="str">
        <f>"2064010"</f>
        <v>2064010</v>
      </c>
      <c r="K7582">
        <v>2651061407</v>
      </c>
      <c r="L7582">
        <v>2651062563</v>
      </c>
      <c r="M7582" t="s">
        <v>19141</v>
      </c>
      <c r="N7582" t="s">
        <v>19142</v>
      </c>
      <c r="O7582" t="s">
        <v>19143</v>
      </c>
      <c r="P7582">
        <v>45500</v>
      </c>
      <c r="Q7582" t="str">
        <f>"39.704368"</f>
        <v>39.704368</v>
      </c>
      <c r="R7582" t="str">
        <f>"20.790679"</f>
        <v>20.790679</v>
      </c>
      <c r="S7582" t="s">
        <v>26</v>
      </c>
    </row>
    <row r="7583" spans="1:19" x14ac:dyDescent="0.3">
      <c r="A7583" t="s">
        <v>18804</v>
      </c>
      <c r="B7583" t="s">
        <v>19060</v>
      </c>
      <c r="C7583" t="s">
        <v>19145</v>
      </c>
      <c r="D7583" t="s">
        <v>18818</v>
      </c>
      <c r="E7583" t="s">
        <v>18819</v>
      </c>
      <c r="F7583" t="s">
        <v>18819</v>
      </c>
      <c r="G7583" t="s">
        <v>18819</v>
      </c>
      <c r="H7583" t="s">
        <v>97</v>
      </c>
      <c r="I7583" t="s">
        <v>98</v>
      </c>
      <c r="J7583" t="str">
        <f>"2051021"</f>
        <v>2051021</v>
      </c>
      <c r="K7583">
        <v>2651023282</v>
      </c>
      <c r="L7583">
        <v>2651023282</v>
      </c>
      <c r="M7583" t="s">
        <v>19146</v>
      </c>
      <c r="N7583" t="s">
        <v>18822</v>
      </c>
      <c r="O7583" t="s">
        <v>19147</v>
      </c>
      <c r="P7583">
        <v>45445</v>
      </c>
      <c r="Q7583" t="str">
        <f>"39.675842"</f>
        <v>39.675842</v>
      </c>
      <c r="R7583" t="str">
        <f>"20.839498"</f>
        <v>20.839498</v>
      </c>
      <c r="S7583" t="s">
        <v>26</v>
      </c>
    </row>
    <row r="7584" spans="1:19" x14ac:dyDescent="0.3">
      <c r="A7584" t="s">
        <v>18804</v>
      </c>
      <c r="B7584" t="s">
        <v>19060</v>
      </c>
      <c r="C7584" t="s">
        <v>19154</v>
      </c>
      <c r="D7584" t="s">
        <v>18818</v>
      </c>
      <c r="E7584" t="s">
        <v>18819</v>
      </c>
      <c r="F7584" t="s">
        <v>18819</v>
      </c>
      <c r="G7584" t="s">
        <v>18819</v>
      </c>
      <c r="H7584" t="s">
        <v>97</v>
      </c>
      <c r="I7584" t="s">
        <v>98</v>
      </c>
      <c r="J7584" t="str">
        <f>"2051040"</f>
        <v>2051040</v>
      </c>
      <c r="K7584">
        <v>2651049855</v>
      </c>
      <c r="L7584">
        <v>2651046812</v>
      </c>
      <c r="M7584" t="s">
        <v>19155</v>
      </c>
      <c r="N7584" t="s">
        <v>19156</v>
      </c>
      <c r="O7584" t="s">
        <v>19157</v>
      </c>
      <c r="P7584">
        <v>45332</v>
      </c>
      <c r="Q7584" t="str">
        <f>"39.660952"</f>
        <v>39.660952</v>
      </c>
      <c r="R7584" t="str">
        <f>"20.851215"</f>
        <v>20.851215</v>
      </c>
      <c r="S7584" t="s">
        <v>26</v>
      </c>
    </row>
    <row r="7585" spans="1:19" x14ac:dyDescent="0.3">
      <c r="A7585" t="s">
        <v>18804</v>
      </c>
      <c r="B7585" t="s">
        <v>19060</v>
      </c>
      <c r="C7585" t="s">
        <v>19159</v>
      </c>
      <c r="D7585" t="s">
        <v>18818</v>
      </c>
      <c r="E7585" t="s">
        <v>18819</v>
      </c>
      <c r="F7585" t="s">
        <v>18819</v>
      </c>
      <c r="G7585" t="s">
        <v>18819</v>
      </c>
      <c r="H7585" t="s">
        <v>97</v>
      </c>
      <c r="I7585" t="s">
        <v>98</v>
      </c>
      <c r="J7585" t="str">
        <f>"2051001"</f>
        <v>2051001</v>
      </c>
      <c r="K7585">
        <v>2651033644</v>
      </c>
      <c r="L7585">
        <v>2651033624</v>
      </c>
      <c r="M7585" t="s">
        <v>19160</v>
      </c>
      <c r="N7585" t="s">
        <v>18822</v>
      </c>
      <c r="O7585" t="s">
        <v>16013</v>
      </c>
      <c r="P7585">
        <v>45221</v>
      </c>
      <c r="Q7585" t="str">
        <f>"39.660355"</f>
        <v>39.660355</v>
      </c>
      <c r="R7585" t="str">
        <f>"20.851705"</f>
        <v>20.851705</v>
      </c>
      <c r="S7585" t="s">
        <v>26</v>
      </c>
    </row>
    <row r="7586" spans="1:19" x14ac:dyDescent="0.3">
      <c r="A7586" t="s">
        <v>18804</v>
      </c>
      <c r="B7586" t="s">
        <v>19060</v>
      </c>
      <c r="C7586" t="s">
        <v>19161</v>
      </c>
      <c r="D7586" t="s">
        <v>18818</v>
      </c>
      <c r="E7586" t="s">
        <v>18819</v>
      </c>
      <c r="F7586" t="s">
        <v>18819</v>
      </c>
      <c r="G7586" t="s">
        <v>18819</v>
      </c>
      <c r="H7586" t="s">
        <v>97</v>
      </c>
      <c r="I7586" t="s">
        <v>195</v>
      </c>
      <c r="J7586" t="str">
        <f>"2090041"</f>
        <v>2090041</v>
      </c>
      <c r="K7586">
        <v>2651049136</v>
      </c>
      <c r="L7586">
        <v>2651049232</v>
      </c>
      <c r="M7586" t="s">
        <v>19162</v>
      </c>
      <c r="N7586" t="s">
        <v>19163</v>
      </c>
      <c r="O7586" t="s">
        <v>19164</v>
      </c>
      <c r="P7586">
        <v>45332</v>
      </c>
      <c r="Q7586" t="str">
        <f>"39.662043"</f>
        <v>39.662043</v>
      </c>
      <c r="R7586" t="str">
        <f>"20.851601"</f>
        <v>20.851601</v>
      </c>
      <c r="S7586" t="s">
        <v>26</v>
      </c>
    </row>
    <row r="7587" spans="1:19" x14ac:dyDescent="0.3">
      <c r="A7587" t="s">
        <v>18804</v>
      </c>
      <c r="B7587" t="s">
        <v>19060</v>
      </c>
      <c r="C7587" t="s">
        <v>19165</v>
      </c>
      <c r="D7587" t="s">
        <v>18818</v>
      </c>
      <c r="E7587" t="s">
        <v>18819</v>
      </c>
      <c r="F7587" t="s">
        <v>18819</v>
      </c>
      <c r="G7587" t="s">
        <v>18819</v>
      </c>
      <c r="H7587" t="s">
        <v>97</v>
      </c>
      <c r="I7587" t="s">
        <v>98</v>
      </c>
      <c r="J7587" t="str">
        <f>"2051010"</f>
        <v>2051010</v>
      </c>
      <c r="K7587">
        <v>2651041028</v>
      </c>
      <c r="L7587">
        <v>2651042480</v>
      </c>
      <c r="M7587" t="s">
        <v>19166</v>
      </c>
      <c r="N7587" t="s">
        <v>18822</v>
      </c>
      <c r="O7587" t="s">
        <v>19167</v>
      </c>
      <c r="P7587">
        <v>45221</v>
      </c>
      <c r="Q7587" t="str">
        <f>"39.654412"</f>
        <v>39.654412</v>
      </c>
      <c r="R7587" t="str">
        <f>"20.852218"</f>
        <v>20.852218</v>
      </c>
      <c r="S7587" t="s">
        <v>26</v>
      </c>
    </row>
    <row r="7588" spans="1:19" x14ac:dyDescent="0.3">
      <c r="A7588" t="s">
        <v>18804</v>
      </c>
      <c r="B7588" t="s">
        <v>19060</v>
      </c>
      <c r="C7588" t="s">
        <v>19168</v>
      </c>
      <c r="D7588" t="s">
        <v>18818</v>
      </c>
      <c r="E7588" t="s">
        <v>18819</v>
      </c>
      <c r="F7588" t="s">
        <v>18819</v>
      </c>
      <c r="G7588" t="s">
        <v>18819</v>
      </c>
      <c r="H7588" t="s">
        <v>97</v>
      </c>
      <c r="I7588" t="s">
        <v>98</v>
      </c>
      <c r="J7588" t="str">
        <f>"2051009"</f>
        <v>2051009</v>
      </c>
      <c r="K7588">
        <v>2651041313</v>
      </c>
      <c r="L7588">
        <v>2651041313</v>
      </c>
      <c r="M7588" t="s">
        <v>19169</v>
      </c>
      <c r="N7588" t="s">
        <v>18822</v>
      </c>
      <c r="O7588" t="s">
        <v>19170</v>
      </c>
      <c r="P7588">
        <v>45221</v>
      </c>
      <c r="Q7588" t="str">
        <f>"39.649092"</f>
        <v>39.649092</v>
      </c>
      <c r="R7588" t="str">
        <f>"20.849053"</f>
        <v>20.849053</v>
      </c>
      <c r="S7588" t="s">
        <v>26</v>
      </c>
    </row>
    <row r="7589" spans="1:19" x14ac:dyDescent="0.3">
      <c r="A7589" t="s">
        <v>18804</v>
      </c>
      <c r="B7589" t="s">
        <v>19060</v>
      </c>
      <c r="C7589" t="s">
        <v>19171</v>
      </c>
      <c r="D7589" t="s">
        <v>18818</v>
      </c>
      <c r="E7589" t="s">
        <v>19061</v>
      </c>
      <c r="F7589" t="s">
        <v>19062</v>
      </c>
      <c r="G7589" t="s">
        <v>19063</v>
      </c>
      <c r="H7589" t="s">
        <v>97</v>
      </c>
      <c r="I7589" t="s">
        <v>98</v>
      </c>
      <c r="J7589" t="str">
        <f>"2053010"</f>
        <v>2053010</v>
      </c>
      <c r="K7589">
        <v>2653041613</v>
      </c>
      <c r="L7589">
        <v>2653041613</v>
      </c>
      <c r="M7589" t="s">
        <v>19172</v>
      </c>
      <c r="N7589" t="s">
        <v>19173</v>
      </c>
      <c r="O7589" t="s">
        <v>19174</v>
      </c>
      <c r="P7589">
        <v>44004</v>
      </c>
      <c r="Q7589" t="str">
        <f>"39.902838"</f>
        <v>39.902838</v>
      </c>
      <c r="R7589" t="str">
        <f>"20.578438"</f>
        <v>20.578438</v>
      </c>
      <c r="S7589" t="s">
        <v>26</v>
      </c>
    </row>
    <row r="7590" spans="1:19" x14ac:dyDescent="0.3">
      <c r="A7590" t="s">
        <v>18804</v>
      </c>
      <c r="B7590" t="s">
        <v>19060</v>
      </c>
      <c r="C7590" t="s">
        <v>19175</v>
      </c>
      <c r="D7590" t="s">
        <v>18818</v>
      </c>
      <c r="E7590" t="s">
        <v>19105</v>
      </c>
      <c r="F7590" t="s">
        <v>19105</v>
      </c>
      <c r="G7590" t="s">
        <v>19106</v>
      </c>
      <c r="H7590" t="s">
        <v>97</v>
      </c>
      <c r="I7590" t="s">
        <v>98</v>
      </c>
      <c r="J7590" t="str">
        <f>"2054010"</f>
        <v>2054010</v>
      </c>
      <c r="K7590">
        <v>2655022821</v>
      </c>
      <c r="L7590">
        <v>2655022821</v>
      </c>
      <c r="M7590" t="s">
        <v>19176</v>
      </c>
      <c r="N7590" t="s">
        <v>19109</v>
      </c>
      <c r="O7590" t="s">
        <v>19177</v>
      </c>
      <c r="P7590">
        <v>44100</v>
      </c>
      <c r="Q7590" t="str">
        <f>"40.046733"</f>
        <v>40.046733</v>
      </c>
      <c r="R7590" t="str">
        <f>"20.749834"</f>
        <v>20.749834</v>
      </c>
      <c r="S7590" t="s">
        <v>26</v>
      </c>
    </row>
    <row r="7591" spans="1:19" x14ac:dyDescent="0.3">
      <c r="A7591" t="s">
        <v>18804</v>
      </c>
      <c r="B7591" t="s">
        <v>19060</v>
      </c>
      <c r="C7591" t="s">
        <v>19180</v>
      </c>
      <c r="D7591" t="s">
        <v>18818</v>
      </c>
      <c r="E7591" t="s">
        <v>18819</v>
      </c>
      <c r="F7591" t="s">
        <v>19179</v>
      </c>
      <c r="G7591" t="s">
        <v>19179</v>
      </c>
      <c r="H7591" t="s">
        <v>97</v>
      </c>
      <c r="I7591" t="s">
        <v>98</v>
      </c>
      <c r="J7591" t="str">
        <f>"2051060"</f>
        <v>2051060</v>
      </c>
      <c r="K7591">
        <v>2651085045</v>
      </c>
      <c r="L7591">
        <v>2651047682</v>
      </c>
      <c r="M7591" t="s">
        <v>19181</v>
      </c>
      <c r="N7591" t="s">
        <v>19182</v>
      </c>
      <c r="O7591" t="s">
        <v>19183</v>
      </c>
      <c r="P7591">
        <v>45221</v>
      </c>
      <c r="Q7591" t="str">
        <f>"39.637135"</f>
        <v>39.637135</v>
      </c>
      <c r="R7591" t="str">
        <f>"20.858513"</f>
        <v>20.858513</v>
      </c>
      <c r="S7591" t="s">
        <v>26</v>
      </c>
    </row>
    <row r="7592" spans="1:19" x14ac:dyDescent="0.3">
      <c r="A7592" t="s">
        <v>18804</v>
      </c>
      <c r="B7592" t="s">
        <v>19060</v>
      </c>
      <c r="C7592" t="s">
        <v>19185</v>
      </c>
      <c r="D7592" t="s">
        <v>18818</v>
      </c>
      <c r="E7592" t="s">
        <v>18819</v>
      </c>
      <c r="F7592" t="s">
        <v>18819</v>
      </c>
      <c r="G7592" t="s">
        <v>18819</v>
      </c>
      <c r="H7592" t="s">
        <v>97</v>
      </c>
      <c r="I7592" t="s">
        <v>3640</v>
      </c>
      <c r="J7592" t="str">
        <f>"2051030"</f>
        <v>2051030</v>
      </c>
      <c r="K7592">
        <v>2651025013</v>
      </c>
      <c r="L7592">
        <v>2651020858</v>
      </c>
      <c r="M7592" t="s">
        <v>19186</v>
      </c>
      <c r="N7592" t="s">
        <v>18822</v>
      </c>
      <c r="O7592" t="s">
        <v>19187</v>
      </c>
      <c r="P7592">
        <v>45444</v>
      </c>
      <c r="Q7592" t="str">
        <f>"39.671098"</f>
        <v>39.671098</v>
      </c>
      <c r="R7592" t="str">
        <f>"20.846189"</f>
        <v>20.846189</v>
      </c>
      <c r="S7592" t="s">
        <v>26</v>
      </c>
    </row>
    <row r="7593" spans="1:19" x14ac:dyDescent="0.3">
      <c r="A7593" t="s">
        <v>18804</v>
      </c>
      <c r="B7593" t="s">
        <v>19060</v>
      </c>
      <c r="C7593" t="s">
        <v>19189</v>
      </c>
      <c r="D7593" t="s">
        <v>18818</v>
      </c>
      <c r="E7593" t="s">
        <v>18819</v>
      </c>
      <c r="F7593" t="s">
        <v>18819</v>
      </c>
      <c r="G7593" t="s">
        <v>18819</v>
      </c>
      <c r="H7593" t="s">
        <v>97</v>
      </c>
      <c r="I7593" t="s">
        <v>98</v>
      </c>
      <c r="J7593" t="str">
        <f>"2051020"</f>
        <v>2051020</v>
      </c>
      <c r="K7593">
        <v>2651027073</v>
      </c>
      <c r="L7593">
        <v>2651027073</v>
      </c>
      <c r="M7593" t="s">
        <v>19190</v>
      </c>
      <c r="N7593" t="s">
        <v>18822</v>
      </c>
      <c r="O7593" t="s">
        <v>19191</v>
      </c>
      <c r="P7593">
        <v>45444</v>
      </c>
      <c r="Q7593" t="str">
        <f>"39.671715"</f>
        <v>39.671715</v>
      </c>
      <c r="R7593" t="str">
        <f>"20.852200"</f>
        <v>20.852200</v>
      </c>
      <c r="S7593" t="s">
        <v>26</v>
      </c>
    </row>
    <row r="7594" spans="1:19" x14ac:dyDescent="0.3">
      <c r="A7594" t="s">
        <v>18804</v>
      </c>
      <c r="B7594" t="s">
        <v>19060</v>
      </c>
      <c r="C7594" t="s">
        <v>19192</v>
      </c>
      <c r="D7594" t="s">
        <v>18818</v>
      </c>
      <c r="E7594" t="s">
        <v>18819</v>
      </c>
      <c r="F7594" t="s">
        <v>18819</v>
      </c>
      <c r="G7594" t="s">
        <v>18819</v>
      </c>
      <c r="H7594" t="s">
        <v>97</v>
      </c>
      <c r="I7594" t="s">
        <v>98</v>
      </c>
      <c r="J7594" t="str">
        <f>"2051070"</f>
        <v>2051070</v>
      </c>
      <c r="K7594">
        <v>2651072038</v>
      </c>
      <c r="L7594">
        <v>2651038749</v>
      </c>
      <c r="M7594" t="s">
        <v>19193</v>
      </c>
      <c r="N7594" t="s">
        <v>18822</v>
      </c>
      <c r="O7594" t="s">
        <v>19194</v>
      </c>
      <c r="P7594">
        <v>45445</v>
      </c>
      <c r="Q7594" t="str">
        <f>"39.679205"</f>
        <v>39.679205</v>
      </c>
      <c r="R7594" t="str">
        <f>"20.838062"</f>
        <v>20.838062</v>
      </c>
      <c r="S7594" t="s">
        <v>26</v>
      </c>
    </row>
    <row r="7595" spans="1:19" x14ac:dyDescent="0.3">
      <c r="A7595" t="s">
        <v>18804</v>
      </c>
      <c r="B7595" t="s">
        <v>19060</v>
      </c>
      <c r="C7595" t="s">
        <v>19317</v>
      </c>
      <c r="D7595" t="s">
        <v>18818</v>
      </c>
      <c r="E7595" t="s">
        <v>18819</v>
      </c>
      <c r="F7595" t="s">
        <v>19275</v>
      </c>
      <c r="G7595" t="s">
        <v>19276</v>
      </c>
      <c r="H7595" t="s">
        <v>97</v>
      </c>
      <c r="I7595" t="s">
        <v>98</v>
      </c>
      <c r="J7595" t="str">
        <f>"2051061"</f>
        <v>2051061</v>
      </c>
      <c r="K7595">
        <v>2651091756</v>
      </c>
      <c r="L7595">
        <v>2651091756</v>
      </c>
      <c r="M7595" t="s">
        <v>19318</v>
      </c>
      <c r="N7595" t="s">
        <v>19319</v>
      </c>
      <c r="O7595" t="s">
        <v>19320</v>
      </c>
      <c r="P7595">
        <v>45500</v>
      </c>
      <c r="Q7595" t="str">
        <f>"39.599234"</f>
        <v>39.599234</v>
      </c>
      <c r="R7595" t="str">
        <f>"20.845266"</f>
        <v>20.845266</v>
      </c>
      <c r="S7595" t="s">
        <v>26</v>
      </c>
    </row>
    <row r="7596" spans="1:19" x14ac:dyDescent="0.3">
      <c r="A7596" t="s">
        <v>18804</v>
      </c>
      <c r="B7596" t="s">
        <v>19060</v>
      </c>
      <c r="C7596" t="s">
        <v>19323</v>
      </c>
      <c r="D7596" t="s">
        <v>18818</v>
      </c>
      <c r="E7596" t="s">
        <v>18819</v>
      </c>
      <c r="F7596" t="s">
        <v>18819</v>
      </c>
      <c r="G7596" t="s">
        <v>18819</v>
      </c>
      <c r="H7596" t="s">
        <v>97</v>
      </c>
      <c r="I7596" t="s">
        <v>98</v>
      </c>
      <c r="J7596" t="str">
        <f>"2044001"</f>
        <v>2044001</v>
      </c>
      <c r="K7596">
        <v>2651035313</v>
      </c>
      <c r="L7596">
        <v>2651022194</v>
      </c>
      <c r="M7596" t="s">
        <v>19324</v>
      </c>
      <c r="N7596" t="s">
        <v>18822</v>
      </c>
      <c r="O7596" t="s">
        <v>6079</v>
      </c>
      <c r="P7596">
        <v>45500</v>
      </c>
      <c r="Q7596" t="str">
        <f>"39.672902"</f>
        <v>39.672902</v>
      </c>
      <c r="R7596" t="str">
        <f>"20.813585"</f>
        <v>20.813585</v>
      </c>
      <c r="S7596" t="s">
        <v>26</v>
      </c>
    </row>
    <row r="7597" spans="1:19" x14ac:dyDescent="0.3">
      <c r="A7597" t="s">
        <v>18804</v>
      </c>
      <c r="B7597" t="s">
        <v>19325</v>
      </c>
      <c r="C7597" t="s">
        <v>19332</v>
      </c>
      <c r="D7597" t="s">
        <v>18824</v>
      </c>
      <c r="E7597" t="s">
        <v>19331</v>
      </c>
      <c r="F7597" t="s">
        <v>19331</v>
      </c>
      <c r="G7597" t="s">
        <v>19331</v>
      </c>
      <c r="H7597" t="s">
        <v>97</v>
      </c>
      <c r="I7597" t="s">
        <v>98</v>
      </c>
      <c r="J7597" t="str">
        <f>"4053010"</f>
        <v>4053010</v>
      </c>
      <c r="K7597">
        <v>2684031241</v>
      </c>
      <c r="L7597">
        <v>2684032641</v>
      </c>
      <c r="M7597" t="s">
        <v>19333</v>
      </c>
      <c r="N7597" t="s">
        <v>19334</v>
      </c>
      <c r="O7597" t="s">
        <v>19335</v>
      </c>
      <c r="P7597">
        <v>48060</v>
      </c>
      <c r="Q7597" t="str">
        <f>"39.283633"</f>
        <v>39.283633</v>
      </c>
      <c r="R7597" t="str">
        <f>"20.406997"</f>
        <v>20.406997</v>
      </c>
      <c r="S7597" t="s">
        <v>26</v>
      </c>
    </row>
    <row r="7598" spans="1:19" x14ac:dyDescent="0.3">
      <c r="A7598" t="s">
        <v>18804</v>
      </c>
      <c r="B7598" t="s">
        <v>19325</v>
      </c>
      <c r="C7598" t="s">
        <v>19338</v>
      </c>
      <c r="D7598" t="s">
        <v>18824</v>
      </c>
      <c r="E7598" t="s">
        <v>19331</v>
      </c>
      <c r="F7598" t="s">
        <v>2777</v>
      </c>
      <c r="G7598" t="s">
        <v>19337</v>
      </c>
      <c r="H7598" t="s">
        <v>97</v>
      </c>
      <c r="I7598" t="s">
        <v>98</v>
      </c>
      <c r="J7598" t="str">
        <f>"4056010"</f>
        <v>4056010</v>
      </c>
      <c r="K7598">
        <v>2684022397</v>
      </c>
      <c r="L7598">
        <v>2684024555</v>
      </c>
      <c r="M7598" t="s">
        <v>19339</v>
      </c>
      <c r="N7598" t="s">
        <v>19340</v>
      </c>
      <c r="O7598" t="s">
        <v>19341</v>
      </c>
      <c r="P7598">
        <v>48062</v>
      </c>
      <c r="Q7598" t="str">
        <f>"39.236506"</f>
        <v>39.236506</v>
      </c>
      <c r="R7598" t="str">
        <f>"20.598118"</f>
        <v>20.598118</v>
      </c>
      <c r="S7598" t="s">
        <v>26</v>
      </c>
    </row>
    <row r="7599" spans="1:19" x14ac:dyDescent="0.3">
      <c r="A7599" t="s">
        <v>18804</v>
      </c>
      <c r="B7599" t="s">
        <v>19325</v>
      </c>
      <c r="C7599" t="s">
        <v>19344</v>
      </c>
      <c r="D7599" t="s">
        <v>18824</v>
      </c>
      <c r="E7599" t="s">
        <v>18825</v>
      </c>
      <c r="F7599" t="s">
        <v>19343</v>
      </c>
      <c r="G7599" t="s">
        <v>19343</v>
      </c>
      <c r="H7599" t="s">
        <v>97</v>
      </c>
      <c r="I7599" t="s">
        <v>98</v>
      </c>
      <c r="J7599" t="str">
        <f>"4055010"</f>
        <v>4055010</v>
      </c>
      <c r="K7599">
        <v>2682031421</v>
      </c>
      <c r="L7599">
        <v>2682031421</v>
      </c>
      <c r="M7599" t="s">
        <v>19345</v>
      </c>
      <c r="N7599" t="s">
        <v>19346</v>
      </c>
      <c r="O7599" t="s">
        <v>19346</v>
      </c>
      <c r="P7599">
        <v>48061</v>
      </c>
      <c r="Q7599" t="str">
        <f>"39.167147"</f>
        <v>39.167147</v>
      </c>
      <c r="R7599" t="str">
        <f>"20.754298"</f>
        <v>20.754298</v>
      </c>
      <c r="S7599" t="s">
        <v>26</v>
      </c>
    </row>
    <row r="7600" spans="1:19" x14ac:dyDescent="0.3">
      <c r="A7600" t="s">
        <v>18804</v>
      </c>
      <c r="B7600" t="s">
        <v>19325</v>
      </c>
      <c r="C7600" t="s">
        <v>19359</v>
      </c>
      <c r="D7600" t="s">
        <v>18824</v>
      </c>
      <c r="E7600" t="s">
        <v>19357</v>
      </c>
      <c r="F7600" t="s">
        <v>19358</v>
      </c>
      <c r="G7600" t="s">
        <v>19358</v>
      </c>
      <c r="H7600" t="s">
        <v>97</v>
      </c>
      <c r="I7600" t="s">
        <v>98</v>
      </c>
      <c r="J7600" t="str">
        <f>"4052010"</f>
        <v>4052010</v>
      </c>
      <c r="K7600">
        <v>2683031214</v>
      </c>
      <c r="L7600">
        <v>2683031214</v>
      </c>
      <c r="M7600" t="s">
        <v>19360</v>
      </c>
      <c r="N7600" t="s">
        <v>19361</v>
      </c>
      <c r="O7600" t="s">
        <v>19361</v>
      </c>
      <c r="P7600">
        <v>48300</v>
      </c>
      <c r="Q7600" t="str">
        <f>"39.256797"</f>
        <v>39.256797</v>
      </c>
      <c r="R7600" t="str">
        <f>"20.785385"</f>
        <v>20.785385</v>
      </c>
      <c r="S7600" t="s">
        <v>26</v>
      </c>
    </row>
    <row r="7601" spans="1:19" x14ac:dyDescent="0.3">
      <c r="A7601" t="s">
        <v>18804</v>
      </c>
      <c r="B7601" t="s">
        <v>19325</v>
      </c>
      <c r="C7601" t="s">
        <v>19363</v>
      </c>
      <c r="D7601" t="s">
        <v>18824</v>
      </c>
      <c r="E7601" t="s">
        <v>18825</v>
      </c>
      <c r="F7601" t="s">
        <v>18825</v>
      </c>
      <c r="G7601" t="s">
        <v>18825</v>
      </c>
      <c r="H7601" t="s">
        <v>97</v>
      </c>
      <c r="I7601" t="s">
        <v>98</v>
      </c>
      <c r="J7601" t="str">
        <f>"4051010"</f>
        <v>4051010</v>
      </c>
      <c r="K7601">
        <v>2682022302</v>
      </c>
      <c r="L7601">
        <v>2682022320</v>
      </c>
      <c r="M7601" t="s">
        <v>19364</v>
      </c>
      <c r="N7601" t="s">
        <v>18828</v>
      </c>
      <c r="O7601" t="s">
        <v>19365</v>
      </c>
      <c r="P7601">
        <v>48100</v>
      </c>
      <c r="Q7601" t="str">
        <f>"38.955027"</f>
        <v>38.955027</v>
      </c>
      <c r="R7601" t="str">
        <f>"20.740501"</f>
        <v>20.740501</v>
      </c>
      <c r="S7601" t="s">
        <v>26</v>
      </c>
    </row>
    <row r="7602" spans="1:19" x14ac:dyDescent="0.3">
      <c r="A7602" t="s">
        <v>18804</v>
      </c>
      <c r="B7602" t="s">
        <v>19325</v>
      </c>
      <c r="C7602" t="s">
        <v>19367</v>
      </c>
      <c r="D7602" t="s">
        <v>18824</v>
      </c>
      <c r="E7602" t="s">
        <v>19357</v>
      </c>
      <c r="F7602" t="s">
        <v>19366</v>
      </c>
      <c r="G7602" t="s">
        <v>19366</v>
      </c>
      <c r="H7602" t="s">
        <v>97</v>
      </c>
      <c r="I7602" t="s">
        <v>98</v>
      </c>
      <c r="J7602" t="str">
        <f>"4054010"</f>
        <v>4054010</v>
      </c>
      <c r="K7602">
        <v>2683024371</v>
      </c>
      <c r="L7602">
        <v>2683022286</v>
      </c>
      <c r="M7602" t="s">
        <v>19368</v>
      </c>
      <c r="N7602" t="s">
        <v>19369</v>
      </c>
      <c r="O7602" t="s">
        <v>19370</v>
      </c>
      <c r="P7602">
        <v>48200</v>
      </c>
      <c r="Q7602" t="str">
        <f>"39.187858"</f>
        <v>39.187858</v>
      </c>
      <c r="R7602" t="str">
        <f>"20.885451"</f>
        <v>20.885451</v>
      </c>
      <c r="S7602" t="s">
        <v>26</v>
      </c>
    </row>
    <row r="7603" spans="1:19" x14ac:dyDescent="0.3">
      <c r="A7603" t="s">
        <v>18804</v>
      </c>
      <c r="B7603" t="s">
        <v>19325</v>
      </c>
      <c r="C7603" t="s">
        <v>19372</v>
      </c>
      <c r="D7603" t="s">
        <v>18824</v>
      </c>
      <c r="E7603" t="s">
        <v>18825</v>
      </c>
      <c r="F7603" t="s">
        <v>18825</v>
      </c>
      <c r="G7603" t="s">
        <v>18825</v>
      </c>
      <c r="H7603" t="s">
        <v>97</v>
      </c>
      <c r="I7603" t="s">
        <v>98</v>
      </c>
      <c r="J7603" t="str">
        <f>"4051020"</f>
        <v>4051020</v>
      </c>
      <c r="K7603">
        <v>2682027741</v>
      </c>
      <c r="L7603">
        <v>2682025829</v>
      </c>
      <c r="M7603" t="s">
        <v>19373</v>
      </c>
      <c r="N7603" t="s">
        <v>18828</v>
      </c>
      <c r="O7603" t="s">
        <v>19374</v>
      </c>
      <c r="P7603">
        <v>48100</v>
      </c>
      <c r="Q7603" t="str">
        <f>"38.968815"</f>
        <v>38.968815</v>
      </c>
      <c r="R7603" t="str">
        <f>"20.751425"</f>
        <v>20.751425</v>
      </c>
      <c r="S7603" t="s">
        <v>26</v>
      </c>
    </row>
    <row r="7604" spans="1:19" x14ac:dyDescent="0.3">
      <c r="A7604" t="s">
        <v>18804</v>
      </c>
      <c r="B7604" t="s">
        <v>19325</v>
      </c>
      <c r="C7604" t="s">
        <v>19383</v>
      </c>
      <c r="D7604" t="s">
        <v>18824</v>
      </c>
      <c r="E7604" t="s">
        <v>18825</v>
      </c>
      <c r="F7604" t="s">
        <v>18825</v>
      </c>
      <c r="G7604" t="s">
        <v>18825</v>
      </c>
      <c r="H7604" t="s">
        <v>97</v>
      </c>
      <c r="I7604" t="s">
        <v>195</v>
      </c>
      <c r="J7604" t="str">
        <f>"4051005"</f>
        <v>4051005</v>
      </c>
      <c r="K7604">
        <v>2682089194</v>
      </c>
      <c r="L7604">
        <v>2682089194</v>
      </c>
      <c r="M7604" t="s">
        <v>19384</v>
      </c>
      <c r="N7604" t="s">
        <v>18828</v>
      </c>
      <c r="O7604" t="s">
        <v>19365</v>
      </c>
      <c r="P7604">
        <v>48100</v>
      </c>
      <c r="Q7604" t="str">
        <f>"38.955102"</f>
        <v>38.955102</v>
      </c>
      <c r="R7604" t="str">
        <f>"20.740364"</f>
        <v>20.740364</v>
      </c>
      <c r="S7604" t="s">
        <v>26</v>
      </c>
    </row>
    <row r="7605" spans="1:19" x14ac:dyDescent="0.3">
      <c r="A7605" t="s">
        <v>20660</v>
      </c>
      <c r="B7605" t="s">
        <v>20686</v>
      </c>
      <c r="C7605" t="s">
        <v>20688</v>
      </c>
      <c r="D7605" t="s">
        <v>20661</v>
      </c>
      <c r="E7605" t="s">
        <v>20687</v>
      </c>
      <c r="F7605" t="s">
        <v>20687</v>
      </c>
      <c r="G7605" t="s">
        <v>20687</v>
      </c>
      <c r="H7605" t="s">
        <v>97</v>
      </c>
      <c r="I7605" t="s">
        <v>98</v>
      </c>
      <c r="J7605" t="str">
        <f>"2254010"</f>
        <v>2254010</v>
      </c>
      <c r="K7605">
        <v>2443022236</v>
      </c>
      <c r="L7605">
        <v>2443024470</v>
      </c>
      <c r="M7605" t="s">
        <v>20689</v>
      </c>
      <c r="N7605" t="s">
        <v>20690</v>
      </c>
      <c r="O7605" t="s">
        <v>20691</v>
      </c>
      <c r="P7605">
        <v>43300</v>
      </c>
      <c r="Q7605" t="str">
        <f>"39.334378"</f>
        <v>39.334378</v>
      </c>
      <c r="R7605" t="str">
        <f>"22.100129"</f>
        <v>22.100129</v>
      </c>
      <c r="S7605" t="s">
        <v>26</v>
      </c>
    </row>
    <row r="7606" spans="1:19" x14ac:dyDescent="0.3">
      <c r="A7606" t="s">
        <v>20660</v>
      </c>
      <c r="B7606" t="s">
        <v>20686</v>
      </c>
      <c r="C7606" t="s">
        <v>20710</v>
      </c>
      <c r="D7606" t="s">
        <v>20661</v>
      </c>
      <c r="E7606" t="s">
        <v>20661</v>
      </c>
      <c r="F7606" t="s">
        <v>20661</v>
      </c>
      <c r="G7606" t="s">
        <v>20662</v>
      </c>
      <c r="H7606" t="s">
        <v>97</v>
      </c>
      <c r="I7606" t="s">
        <v>98</v>
      </c>
      <c r="J7606" t="str">
        <f>"2251031"</f>
        <v>2251031</v>
      </c>
      <c r="K7606">
        <v>2441042200</v>
      </c>
      <c r="L7606">
        <v>2441026314</v>
      </c>
      <c r="M7606" t="s">
        <v>20711</v>
      </c>
      <c r="N7606" t="s">
        <v>20665</v>
      </c>
      <c r="O7606" t="s">
        <v>20712</v>
      </c>
      <c r="P7606">
        <v>43132</v>
      </c>
      <c r="Q7606" t="str">
        <f>"39.359801"</f>
        <v>39.359801</v>
      </c>
      <c r="R7606" t="str">
        <f>"21.936324"</f>
        <v>21.936324</v>
      </c>
      <c r="S7606" t="s">
        <v>26</v>
      </c>
    </row>
    <row r="7607" spans="1:19" x14ac:dyDescent="0.3">
      <c r="A7607" t="s">
        <v>20660</v>
      </c>
      <c r="B7607" t="s">
        <v>20686</v>
      </c>
      <c r="C7607" t="s">
        <v>20714</v>
      </c>
      <c r="D7607" t="s">
        <v>20661</v>
      </c>
      <c r="E7607" t="s">
        <v>20661</v>
      </c>
      <c r="F7607" t="s">
        <v>20661</v>
      </c>
      <c r="G7607" t="s">
        <v>20662</v>
      </c>
      <c r="H7607" t="s">
        <v>97</v>
      </c>
      <c r="I7607" t="s">
        <v>98</v>
      </c>
      <c r="J7607" t="str">
        <f>"2251020"</f>
        <v>2251020</v>
      </c>
      <c r="K7607">
        <v>2441022193</v>
      </c>
      <c r="L7607">
        <v>2441022413</v>
      </c>
      <c r="M7607" t="s">
        <v>20715</v>
      </c>
      <c r="N7607" t="s">
        <v>20665</v>
      </c>
      <c r="O7607" t="s">
        <v>20716</v>
      </c>
      <c r="P7607">
        <v>43131</v>
      </c>
      <c r="Q7607" t="str">
        <f>"39.375793"</f>
        <v>39.375793</v>
      </c>
      <c r="R7607" t="str">
        <f>"21.909534"</f>
        <v>21.909534</v>
      </c>
      <c r="S7607" t="s">
        <v>26</v>
      </c>
    </row>
    <row r="7608" spans="1:19" x14ac:dyDescent="0.3">
      <c r="A7608" t="s">
        <v>20660</v>
      </c>
      <c r="B7608" t="s">
        <v>20686</v>
      </c>
      <c r="C7608" t="s">
        <v>20720</v>
      </c>
      <c r="D7608" t="s">
        <v>20661</v>
      </c>
      <c r="E7608" t="s">
        <v>20687</v>
      </c>
      <c r="F7608" t="s">
        <v>20718</v>
      </c>
      <c r="G7608" t="s">
        <v>20719</v>
      </c>
      <c r="H7608" t="s">
        <v>97</v>
      </c>
      <c r="I7608" t="s">
        <v>98</v>
      </c>
      <c r="J7608" t="str">
        <f>"2257010"</f>
        <v>2257010</v>
      </c>
      <c r="K7608">
        <v>2443031638</v>
      </c>
      <c r="L7608">
        <v>2443031638</v>
      </c>
      <c r="M7608" t="s">
        <v>20721</v>
      </c>
      <c r="N7608" t="s">
        <v>20722</v>
      </c>
      <c r="O7608" t="s">
        <v>20722</v>
      </c>
      <c r="P7608">
        <v>43063</v>
      </c>
      <c r="Q7608" t="str">
        <f>"39.183991"</f>
        <v>39.183991</v>
      </c>
      <c r="R7608" t="str">
        <f>"22.124500"</f>
        <v>22.124500</v>
      </c>
      <c r="S7608" t="s">
        <v>26</v>
      </c>
    </row>
    <row r="7609" spans="1:19" x14ac:dyDescent="0.3">
      <c r="A7609" t="s">
        <v>20660</v>
      </c>
      <c r="B7609" t="s">
        <v>20686</v>
      </c>
      <c r="C7609" t="s">
        <v>20725</v>
      </c>
      <c r="D7609" t="s">
        <v>20661</v>
      </c>
      <c r="E7609" t="s">
        <v>20700</v>
      </c>
      <c r="F7609" t="s">
        <v>20724</v>
      </c>
      <c r="G7609" t="s">
        <v>18553</v>
      </c>
      <c r="H7609" t="s">
        <v>97</v>
      </c>
      <c r="I7609" t="s">
        <v>98</v>
      </c>
      <c r="J7609" t="str">
        <f>"2261010"</f>
        <v>2261010</v>
      </c>
      <c r="K7609">
        <v>2441051440</v>
      </c>
      <c r="L7609">
        <v>2441051400</v>
      </c>
      <c r="M7609" t="s">
        <v>20726</v>
      </c>
      <c r="N7609" t="s">
        <v>20727</v>
      </c>
      <c r="O7609" t="s">
        <v>12012</v>
      </c>
      <c r="P7609">
        <v>43070</v>
      </c>
      <c r="Q7609" t="str">
        <f>"39.481969"</f>
        <v>39.481969</v>
      </c>
      <c r="R7609" t="str">
        <f>"21.900735"</f>
        <v>21.900735</v>
      </c>
      <c r="S7609" t="s">
        <v>26</v>
      </c>
    </row>
    <row r="7610" spans="1:19" x14ac:dyDescent="0.3">
      <c r="A7610" t="s">
        <v>20660</v>
      </c>
      <c r="B7610" t="s">
        <v>20686</v>
      </c>
      <c r="C7610" t="s">
        <v>20729</v>
      </c>
      <c r="D7610" t="s">
        <v>20661</v>
      </c>
      <c r="E7610" t="s">
        <v>20700</v>
      </c>
      <c r="F7610" t="s">
        <v>20700</v>
      </c>
      <c r="G7610" t="s">
        <v>20700</v>
      </c>
      <c r="H7610" t="s">
        <v>97</v>
      </c>
      <c r="I7610" t="s">
        <v>98</v>
      </c>
      <c r="J7610" t="str">
        <f>"2252010"</f>
        <v>2252010</v>
      </c>
      <c r="K7610">
        <v>2444022251</v>
      </c>
      <c r="L7610">
        <v>2444022251</v>
      </c>
      <c r="M7610" t="s">
        <v>20730</v>
      </c>
      <c r="N7610" t="s">
        <v>20731</v>
      </c>
      <c r="O7610" t="s">
        <v>20732</v>
      </c>
      <c r="P7610">
        <v>43200</v>
      </c>
      <c r="Q7610" t="str">
        <f>"39.459801"</f>
        <v>39.459801</v>
      </c>
      <c r="R7610" t="str">
        <f>"22.066240"</f>
        <v>22.066240</v>
      </c>
      <c r="S7610" t="s">
        <v>26</v>
      </c>
    </row>
    <row r="7611" spans="1:19" x14ac:dyDescent="0.3">
      <c r="A7611" t="s">
        <v>20660</v>
      </c>
      <c r="B7611" t="s">
        <v>20686</v>
      </c>
      <c r="C7611" t="s">
        <v>20737</v>
      </c>
      <c r="D7611" t="s">
        <v>20661</v>
      </c>
      <c r="E7611" t="s">
        <v>20661</v>
      </c>
      <c r="F7611" t="s">
        <v>20661</v>
      </c>
      <c r="G7611" t="s">
        <v>20662</v>
      </c>
      <c r="H7611" t="s">
        <v>97</v>
      </c>
      <c r="I7611" t="s">
        <v>98</v>
      </c>
      <c r="J7611" t="str">
        <f>"2251009"</f>
        <v>2251009</v>
      </c>
      <c r="K7611">
        <v>2441022037</v>
      </c>
      <c r="L7611">
        <v>2441041791</v>
      </c>
      <c r="M7611" t="s">
        <v>20738</v>
      </c>
      <c r="N7611" t="s">
        <v>20739</v>
      </c>
      <c r="O7611" t="s">
        <v>20740</v>
      </c>
      <c r="P7611">
        <v>43131</v>
      </c>
      <c r="Q7611" t="str">
        <f>"39.375943"</f>
        <v>39.375943</v>
      </c>
      <c r="R7611" t="str">
        <f>"21.908236"</f>
        <v>21.908236</v>
      </c>
      <c r="S7611" t="s">
        <v>26</v>
      </c>
    </row>
    <row r="7612" spans="1:19" x14ac:dyDescent="0.3">
      <c r="A7612" t="s">
        <v>20660</v>
      </c>
      <c r="B7612" t="s">
        <v>20686</v>
      </c>
      <c r="C7612" t="s">
        <v>20741</v>
      </c>
      <c r="D7612" t="s">
        <v>20661</v>
      </c>
      <c r="E7612" t="s">
        <v>20661</v>
      </c>
      <c r="F7612" t="s">
        <v>20661</v>
      </c>
      <c r="G7612" t="s">
        <v>20662</v>
      </c>
      <c r="H7612" t="s">
        <v>97</v>
      </c>
      <c r="I7612" t="s">
        <v>98</v>
      </c>
      <c r="J7612" t="str">
        <f>"2251010"</f>
        <v>2251010</v>
      </c>
      <c r="K7612">
        <v>2441029401</v>
      </c>
      <c r="L7612">
        <v>2441023787</v>
      </c>
      <c r="M7612" t="s">
        <v>20742</v>
      </c>
      <c r="N7612" t="s">
        <v>20665</v>
      </c>
      <c r="O7612" t="s">
        <v>20743</v>
      </c>
      <c r="P7612">
        <v>43131</v>
      </c>
      <c r="Q7612" t="str">
        <f>"39.367294"</f>
        <v>39.367294</v>
      </c>
      <c r="R7612" t="str">
        <f>"21.934211"</f>
        <v>21.934211</v>
      </c>
      <c r="S7612" t="s">
        <v>26</v>
      </c>
    </row>
    <row r="7613" spans="1:19" x14ac:dyDescent="0.3">
      <c r="A7613" t="s">
        <v>20660</v>
      </c>
      <c r="B7613" t="s">
        <v>20686</v>
      </c>
      <c r="C7613" t="s">
        <v>20799</v>
      </c>
      <c r="D7613" t="s">
        <v>20661</v>
      </c>
      <c r="E7613" t="s">
        <v>17000</v>
      </c>
      <c r="F7613" t="s">
        <v>17000</v>
      </c>
      <c r="G7613" t="s">
        <v>17000</v>
      </c>
      <c r="H7613" t="s">
        <v>97</v>
      </c>
      <c r="I7613" t="s">
        <v>98</v>
      </c>
      <c r="J7613" t="str">
        <f>"2253010"</f>
        <v>2253010</v>
      </c>
      <c r="K7613">
        <v>2445041225</v>
      </c>
      <c r="L7613">
        <v>2445041228</v>
      </c>
      <c r="M7613" t="s">
        <v>20800</v>
      </c>
      <c r="N7613" t="s">
        <v>20796</v>
      </c>
      <c r="O7613" t="s">
        <v>20801</v>
      </c>
      <c r="P7613">
        <v>43060</v>
      </c>
      <c r="Q7613" t="str">
        <f>"39.432175"</f>
        <v>39.432175</v>
      </c>
      <c r="R7613" t="str">
        <f>"21.664090"</f>
        <v>21.664090</v>
      </c>
      <c r="S7613" t="s">
        <v>26</v>
      </c>
    </row>
    <row r="7614" spans="1:19" x14ac:dyDescent="0.3">
      <c r="A7614" t="s">
        <v>20660</v>
      </c>
      <c r="B7614" t="s">
        <v>20686</v>
      </c>
      <c r="C7614" t="s">
        <v>20807</v>
      </c>
      <c r="D7614" t="s">
        <v>20661</v>
      </c>
      <c r="E7614" t="s">
        <v>20661</v>
      </c>
      <c r="F7614" t="s">
        <v>20661</v>
      </c>
      <c r="G7614" t="s">
        <v>20662</v>
      </c>
      <c r="H7614" t="s">
        <v>97</v>
      </c>
      <c r="I7614" t="s">
        <v>98</v>
      </c>
      <c r="J7614" t="str">
        <f>"2251030"</f>
        <v>2251030</v>
      </c>
      <c r="K7614">
        <v>2441022036</v>
      </c>
      <c r="L7614">
        <v>2441020046</v>
      </c>
      <c r="M7614" t="s">
        <v>20808</v>
      </c>
      <c r="N7614" t="s">
        <v>20665</v>
      </c>
      <c r="O7614" t="s">
        <v>20809</v>
      </c>
      <c r="P7614">
        <v>43132</v>
      </c>
      <c r="Q7614" t="str">
        <f>"39.358636"</f>
        <v>39.358636</v>
      </c>
      <c r="R7614" t="str">
        <f>"21.905929"</f>
        <v>21.905929</v>
      </c>
      <c r="S7614" t="s">
        <v>26</v>
      </c>
    </row>
    <row r="7615" spans="1:19" x14ac:dyDescent="0.3">
      <c r="A7615" t="s">
        <v>20660</v>
      </c>
      <c r="B7615" t="s">
        <v>20830</v>
      </c>
      <c r="C7615" t="s">
        <v>20838</v>
      </c>
      <c r="D7615" t="s">
        <v>20667</v>
      </c>
      <c r="E7615" t="s">
        <v>20831</v>
      </c>
      <c r="F7615" t="s">
        <v>20832</v>
      </c>
      <c r="G7615" t="s">
        <v>20833</v>
      </c>
      <c r="H7615" t="s">
        <v>97</v>
      </c>
      <c r="I7615" t="s">
        <v>98</v>
      </c>
      <c r="J7615" t="str">
        <f>"3159010"</f>
        <v>3159010</v>
      </c>
      <c r="K7615">
        <v>2495041082</v>
      </c>
      <c r="L7615">
        <v>2495041082</v>
      </c>
      <c r="M7615" t="s">
        <v>20839</v>
      </c>
      <c r="N7615" t="s">
        <v>20836</v>
      </c>
      <c r="O7615" t="s">
        <v>20840</v>
      </c>
      <c r="P7615">
        <v>40007</v>
      </c>
      <c r="Q7615" t="str">
        <f>"39.919067"</f>
        <v>39.919067</v>
      </c>
      <c r="R7615" t="str">
        <f>"22.597264"</f>
        <v>22.597264</v>
      </c>
      <c r="S7615" t="s">
        <v>26</v>
      </c>
    </row>
    <row r="7616" spans="1:19" x14ac:dyDescent="0.3">
      <c r="A7616" t="s">
        <v>20660</v>
      </c>
      <c r="B7616" t="s">
        <v>20830</v>
      </c>
      <c r="C7616" t="s">
        <v>20842</v>
      </c>
      <c r="D7616" t="s">
        <v>20667</v>
      </c>
      <c r="E7616" t="s">
        <v>20668</v>
      </c>
      <c r="F7616" t="s">
        <v>20668</v>
      </c>
      <c r="G7616" t="s">
        <v>20841</v>
      </c>
      <c r="H7616" t="s">
        <v>97</v>
      </c>
      <c r="I7616" t="s">
        <v>98</v>
      </c>
      <c r="J7616" t="str">
        <f>"3151043"</f>
        <v>3151043</v>
      </c>
      <c r="K7616">
        <v>2410530351</v>
      </c>
      <c r="L7616">
        <v>2410257925</v>
      </c>
      <c r="M7616" t="s">
        <v>20843</v>
      </c>
      <c r="N7616" t="s">
        <v>20667</v>
      </c>
      <c r="O7616" t="s">
        <v>20844</v>
      </c>
      <c r="P7616">
        <v>41447</v>
      </c>
      <c r="Q7616" t="str">
        <f>"39.645026"</f>
        <v>39.645026</v>
      </c>
      <c r="R7616" t="str">
        <f>"22.419211"</f>
        <v>22.419211</v>
      </c>
      <c r="S7616" t="s">
        <v>26</v>
      </c>
    </row>
    <row r="7617" spans="1:19" x14ac:dyDescent="0.3">
      <c r="A7617" t="s">
        <v>20660</v>
      </c>
      <c r="B7617" t="s">
        <v>20830</v>
      </c>
      <c r="C7617" t="s">
        <v>20854</v>
      </c>
      <c r="D7617" t="s">
        <v>20667</v>
      </c>
      <c r="E7617" t="s">
        <v>20831</v>
      </c>
      <c r="F7617" t="s">
        <v>20852</v>
      </c>
      <c r="G7617" t="s">
        <v>20853</v>
      </c>
      <c r="H7617" t="s">
        <v>97</v>
      </c>
      <c r="I7617" t="s">
        <v>98</v>
      </c>
      <c r="J7617" t="str">
        <f>"3155010"</f>
        <v>3155010</v>
      </c>
      <c r="K7617">
        <v>2495051552</v>
      </c>
      <c r="L7617">
        <v>2495051552</v>
      </c>
      <c r="M7617" t="s">
        <v>20855</v>
      </c>
      <c r="N7617" t="s">
        <v>20856</v>
      </c>
      <c r="O7617" t="s">
        <v>20857</v>
      </c>
      <c r="P7617">
        <v>40006</v>
      </c>
      <c r="Q7617" t="str">
        <f>"39.756651"</f>
        <v>39.756651</v>
      </c>
      <c r="R7617" t="str">
        <f>"22.574778"</f>
        <v>22.574778</v>
      </c>
      <c r="S7617" t="s">
        <v>26</v>
      </c>
    </row>
    <row r="7618" spans="1:19" x14ac:dyDescent="0.3">
      <c r="A7618" t="s">
        <v>20660</v>
      </c>
      <c r="B7618" t="s">
        <v>20830</v>
      </c>
      <c r="C7618" t="s">
        <v>20871</v>
      </c>
      <c r="D7618" t="s">
        <v>20667</v>
      </c>
      <c r="E7618" t="s">
        <v>20831</v>
      </c>
      <c r="F7618" t="s">
        <v>20870</v>
      </c>
      <c r="G7618" t="s">
        <v>20870</v>
      </c>
      <c r="H7618" t="s">
        <v>97</v>
      </c>
      <c r="I7618" t="s">
        <v>98</v>
      </c>
      <c r="J7618" t="str">
        <f>"3153010"</f>
        <v>3153010</v>
      </c>
      <c r="K7618">
        <v>2495031326</v>
      </c>
      <c r="L7618">
        <v>2495031282</v>
      </c>
      <c r="M7618" t="s">
        <v>20872</v>
      </c>
      <c r="N7618" t="s">
        <v>20870</v>
      </c>
      <c r="O7618" t="s">
        <v>20873</v>
      </c>
      <c r="P7618">
        <v>40004</v>
      </c>
      <c r="Q7618" t="str">
        <f>"39.862742"</f>
        <v>39.862742</v>
      </c>
      <c r="R7618" t="str">
        <f>"22.469807"</f>
        <v>22.469807</v>
      </c>
      <c r="S7618" t="s">
        <v>26</v>
      </c>
    </row>
    <row r="7619" spans="1:19" x14ac:dyDescent="0.3">
      <c r="A7619" t="s">
        <v>20660</v>
      </c>
      <c r="B7619" t="s">
        <v>20830</v>
      </c>
      <c r="C7619" t="s">
        <v>20885</v>
      </c>
      <c r="D7619" t="s">
        <v>20667</v>
      </c>
      <c r="E7619" t="s">
        <v>20668</v>
      </c>
      <c r="F7619" t="s">
        <v>20668</v>
      </c>
      <c r="G7619" t="s">
        <v>20669</v>
      </c>
      <c r="H7619" t="s">
        <v>97</v>
      </c>
      <c r="I7619" t="s">
        <v>98</v>
      </c>
      <c r="J7619" t="str">
        <f>"3151041"</f>
        <v>3151041</v>
      </c>
      <c r="K7619">
        <v>2410614566</v>
      </c>
      <c r="L7619">
        <v>2410619990</v>
      </c>
      <c r="M7619" t="s">
        <v>20886</v>
      </c>
      <c r="N7619" t="s">
        <v>20672</v>
      </c>
      <c r="O7619" t="s">
        <v>20887</v>
      </c>
      <c r="P7619">
        <v>41334</v>
      </c>
      <c r="Q7619" t="str">
        <f>"39.627572"</f>
        <v>39.627572</v>
      </c>
      <c r="R7619" t="str">
        <f>"22.398149"</f>
        <v>22.398149</v>
      </c>
      <c r="S7619" t="s">
        <v>26</v>
      </c>
    </row>
    <row r="7620" spans="1:19" x14ac:dyDescent="0.3">
      <c r="A7620" t="s">
        <v>20660</v>
      </c>
      <c r="B7620" t="s">
        <v>20830</v>
      </c>
      <c r="C7620" t="s">
        <v>20889</v>
      </c>
      <c r="D7620" t="s">
        <v>20667</v>
      </c>
      <c r="E7620" t="s">
        <v>20668</v>
      </c>
      <c r="F7620" t="s">
        <v>20668</v>
      </c>
      <c r="G7620" t="s">
        <v>20841</v>
      </c>
      <c r="H7620" t="s">
        <v>97</v>
      </c>
      <c r="I7620" t="s">
        <v>98</v>
      </c>
      <c r="J7620" t="str">
        <f>"3151010"</f>
        <v>3151010</v>
      </c>
      <c r="K7620">
        <v>2410620721</v>
      </c>
      <c r="L7620">
        <v>2410612272</v>
      </c>
      <c r="M7620" t="s">
        <v>20890</v>
      </c>
      <c r="N7620" t="s">
        <v>20672</v>
      </c>
      <c r="O7620" t="s">
        <v>20891</v>
      </c>
      <c r="P7620">
        <v>41222</v>
      </c>
      <c r="Q7620" t="str">
        <f>"39.634175"</f>
        <v>39.634175</v>
      </c>
      <c r="R7620" t="str">
        <f>"22.412901"</f>
        <v>22.412901</v>
      </c>
      <c r="S7620" t="s">
        <v>26</v>
      </c>
    </row>
    <row r="7621" spans="1:19" x14ac:dyDescent="0.3">
      <c r="A7621" t="s">
        <v>20660</v>
      </c>
      <c r="B7621" t="s">
        <v>20830</v>
      </c>
      <c r="C7621" t="s">
        <v>20893</v>
      </c>
      <c r="D7621" t="s">
        <v>20667</v>
      </c>
      <c r="E7621" t="s">
        <v>20668</v>
      </c>
      <c r="F7621" t="s">
        <v>20668</v>
      </c>
      <c r="G7621" t="s">
        <v>20881</v>
      </c>
      <c r="H7621" t="s">
        <v>97</v>
      </c>
      <c r="I7621" t="s">
        <v>98</v>
      </c>
      <c r="J7621" t="str">
        <f>"3151021"</f>
        <v>3151021</v>
      </c>
      <c r="K7621">
        <v>2410619698</v>
      </c>
      <c r="L7621">
        <v>2410619698</v>
      </c>
      <c r="M7621" t="s">
        <v>20894</v>
      </c>
      <c r="N7621" t="s">
        <v>20672</v>
      </c>
      <c r="O7621" t="s">
        <v>20868</v>
      </c>
      <c r="P7621">
        <v>41334</v>
      </c>
      <c r="Q7621" t="str">
        <f>"39.617780"</f>
        <v>39.617780</v>
      </c>
      <c r="R7621" t="str">
        <f>"22.401500"</f>
        <v>22.401500</v>
      </c>
      <c r="S7621" t="s">
        <v>26</v>
      </c>
    </row>
    <row r="7622" spans="1:19" x14ac:dyDescent="0.3">
      <c r="A7622" t="s">
        <v>20660</v>
      </c>
      <c r="B7622" t="s">
        <v>20830</v>
      </c>
      <c r="C7622" t="s">
        <v>20895</v>
      </c>
      <c r="D7622" t="s">
        <v>20667</v>
      </c>
      <c r="E7622" t="s">
        <v>20668</v>
      </c>
      <c r="F7622" t="s">
        <v>20668</v>
      </c>
      <c r="G7622" t="s">
        <v>20881</v>
      </c>
      <c r="H7622" t="s">
        <v>97</v>
      </c>
      <c r="I7622" t="s">
        <v>98</v>
      </c>
      <c r="J7622" t="str">
        <f>"3151042"</f>
        <v>3151042</v>
      </c>
      <c r="K7622">
        <v>2410551242</v>
      </c>
      <c r="L7622">
        <v>2410237000</v>
      </c>
      <c r="M7622" t="s">
        <v>20896</v>
      </c>
      <c r="N7622" t="s">
        <v>20672</v>
      </c>
      <c r="O7622" t="s">
        <v>20897</v>
      </c>
      <c r="P7622">
        <v>41448</v>
      </c>
      <c r="Q7622" t="str">
        <f>"39.625350"</f>
        <v>39.625350</v>
      </c>
      <c r="R7622" t="str">
        <f>"22.429802"</f>
        <v>22.429802</v>
      </c>
      <c r="S7622" t="s">
        <v>26</v>
      </c>
    </row>
    <row r="7623" spans="1:19" x14ac:dyDescent="0.3">
      <c r="A7623" t="s">
        <v>20660</v>
      </c>
      <c r="B7623" t="s">
        <v>20830</v>
      </c>
      <c r="C7623" t="s">
        <v>20901</v>
      </c>
      <c r="D7623" t="s">
        <v>20667</v>
      </c>
      <c r="E7623" t="s">
        <v>20899</v>
      </c>
      <c r="F7623" t="s">
        <v>20900</v>
      </c>
      <c r="G7623" t="s">
        <v>20900</v>
      </c>
      <c r="H7623" t="s">
        <v>97</v>
      </c>
      <c r="I7623" t="s">
        <v>98</v>
      </c>
      <c r="J7623" t="str">
        <f>"3164010"</f>
        <v>3164010</v>
      </c>
      <c r="K7623">
        <v>2410972440</v>
      </c>
      <c r="L7623">
        <v>2410972501</v>
      </c>
      <c r="M7623" t="s">
        <v>20902</v>
      </c>
      <c r="N7623" t="s">
        <v>20903</v>
      </c>
      <c r="O7623" t="s">
        <v>20904</v>
      </c>
      <c r="P7623">
        <v>40009</v>
      </c>
      <c r="Q7623" t="str">
        <f>"39.621161"</f>
        <v>39.621161</v>
      </c>
      <c r="R7623" t="str">
        <f>"22.535595"</f>
        <v>22.535595</v>
      </c>
      <c r="S7623" t="s">
        <v>26</v>
      </c>
    </row>
    <row r="7624" spans="1:19" x14ac:dyDescent="0.3">
      <c r="A7624" t="s">
        <v>20660</v>
      </c>
      <c r="B7624" t="s">
        <v>20830</v>
      </c>
      <c r="C7624" t="s">
        <v>20906</v>
      </c>
      <c r="D7624" t="s">
        <v>20667</v>
      </c>
      <c r="E7624" t="s">
        <v>20668</v>
      </c>
      <c r="F7624" t="s">
        <v>20668</v>
      </c>
      <c r="G7624" t="s">
        <v>20841</v>
      </c>
      <c r="H7624" t="s">
        <v>97</v>
      </c>
      <c r="I7624" t="s">
        <v>98</v>
      </c>
      <c r="J7624" t="str">
        <f>"3151030"</f>
        <v>3151030</v>
      </c>
      <c r="K7624">
        <v>2410620729</v>
      </c>
      <c r="L7624">
        <v>2410615132</v>
      </c>
      <c r="M7624" t="s">
        <v>20907</v>
      </c>
      <c r="N7624" t="s">
        <v>20672</v>
      </c>
      <c r="O7624" t="s">
        <v>20908</v>
      </c>
      <c r="P7624">
        <v>41222</v>
      </c>
      <c r="Q7624" t="str">
        <f>"39.633572"</f>
        <v>39.633572</v>
      </c>
      <c r="R7624" t="str">
        <f>"22.412107"</f>
        <v>22.412107</v>
      </c>
      <c r="S7624" t="s">
        <v>26</v>
      </c>
    </row>
    <row r="7625" spans="1:19" x14ac:dyDescent="0.3">
      <c r="A7625" t="s">
        <v>20660</v>
      </c>
      <c r="B7625" t="s">
        <v>20830</v>
      </c>
      <c r="C7625" t="s">
        <v>20910</v>
      </c>
      <c r="D7625" t="s">
        <v>20667</v>
      </c>
      <c r="E7625" t="s">
        <v>20909</v>
      </c>
      <c r="F7625" t="s">
        <v>20909</v>
      </c>
      <c r="G7625" t="s">
        <v>20909</v>
      </c>
      <c r="H7625" t="s">
        <v>97</v>
      </c>
      <c r="I7625" t="s">
        <v>98</v>
      </c>
      <c r="J7625" t="str">
        <f>"3157020"</f>
        <v>3157020</v>
      </c>
      <c r="K7625">
        <v>2492023566</v>
      </c>
      <c r="L7625">
        <v>2492023566</v>
      </c>
      <c r="M7625" t="s">
        <v>20911</v>
      </c>
      <c r="N7625" t="s">
        <v>20909</v>
      </c>
      <c r="O7625" t="s">
        <v>20912</v>
      </c>
      <c r="P7625">
        <v>40100</v>
      </c>
      <c r="Q7625" t="str">
        <f>"39.747901"</f>
        <v>39.747901</v>
      </c>
      <c r="R7625" t="str">
        <f>"22.292399"</f>
        <v>22.292399</v>
      </c>
      <c r="S7625" t="s">
        <v>26</v>
      </c>
    </row>
    <row r="7626" spans="1:19" x14ac:dyDescent="0.3">
      <c r="A7626" t="s">
        <v>20660</v>
      </c>
      <c r="B7626" t="s">
        <v>20830</v>
      </c>
      <c r="C7626" t="s">
        <v>20914</v>
      </c>
      <c r="D7626" t="s">
        <v>20667</v>
      </c>
      <c r="E7626" t="s">
        <v>20668</v>
      </c>
      <c r="F7626" t="s">
        <v>20668</v>
      </c>
      <c r="G7626" t="s">
        <v>20669</v>
      </c>
      <c r="H7626" t="s">
        <v>97</v>
      </c>
      <c r="I7626" t="s">
        <v>98</v>
      </c>
      <c r="J7626" t="str">
        <f>"3151045"</f>
        <v>3151045</v>
      </c>
      <c r="K7626">
        <v>2410259859</v>
      </c>
      <c r="L7626">
        <v>2410252708</v>
      </c>
      <c r="M7626" t="s">
        <v>20915</v>
      </c>
      <c r="N7626" t="s">
        <v>20672</v>
      </c>
      <c r="O7626" t="s">
        <v>20916</v>
      </c>
      <c r="P7626">
        <v>41447</v>
      </c>
      <c r="Q7626" t="str">
        <f>"39.639615"</f>
        <v>39.639615</v>
      </c>
      <c r="R7626" t="str">
        <f>"22.403064"</f>
        <v>22.403064</v>
      </c>
      <c r="S7626" t="s">
        <v>26</v>
      </c>
    </row>
    <row r="7627" spans="1:19" x14ac:dyDescent="0.3">
      <c r="A7627" t="s">
        <v>20660</v>
      </c>
      <c r="B7627" t="s">
        <v>20830</v>
      </c>
      <c r="C7627" t="s">
        <v>20918</v>
      </c>
      <c r="D7627" t="s">
        <v>20667</v>
      </c>
      <c r="E7627" t="s">
        <v>20875</v>
      </c>
      <c r="F7627" t="s">
        <v>20875</v>
      </c>
      <c r="G7627" t="s">
        <v>20875</v>
      </c>
      <c r="H7627" t="s">
        <v>97</v>
      </c>
      <c r="I7627" t="s">
        <v>98</v>
      </c>
      <c r="J7627" t="str">
        <f>"3156010"</f>
        <v>3156010</v>
      </c>
      <c r="K7627">
        <v>2491026444</v>
      </c>
      <c r="L7627">
        <v>2491022311</v>
      </c>
      <c r="M7627" t="s">
        <v>20919</v>
      </c>
      <c r="N7627" t="s">
        <v>20878</v>
      </c>
      <c r="O7627" t="s">
        <v>20920</v>
      </c>
      <c r="P7627">
        <v>40300</v>
      </c>
      <c r="Q7627" t="str">
        <f>"39.298037"</f>
        <v>39.298037</v>
      </c>
      <c r="R7627" t="str">
        <f>"22.395095"</f>
        <v>22.395095</v>
      </c>
      <c r="S7627" t="s">
        <v>26</v>
      </c>
    </row>
    <row r="7628" spans="1:19" x14ac:dyDescent="0.3">
      <c r="A7628" t="s">
        <v>20660</v>
      </c>
      <c r="B7628" t="s">
        <v>20830</v>
      </c>
      <c r="C7628" t="s">
        <v>20922</v>
      </c>
      <c r="D7628" t="s">
        <v>20667</v>
      </c>
      <c r="E7628" t="s">
        <v>20909</v>
      </c>
      <c r="F7628" t="s">
        <v>17055</v>
      </c>
      <c r="G7628" t="s">
        <v>17055</v>
      </c>
      <c r="H7628" t="s">
        <v>97</v>
      </c>
      <c r="I7628" t="s">
        <v>98</v>
      </c>
      <c r="J7628" t="str">
        <f>"3157010"</f>
        <v>3157010</v>
      </c>
      <c r="K7628">
        <v>2492031239</v>
      </c>
      <c r="L7628">
        <v>2492031155</v>
      </c>
      <c r="M7628" t="s">
        <v>20923</v>
      </c>
      <c r="N7628" t="s">
        <v>17058</v>
      </c>
      <c r="O7628" t="s">
        <v>20924</v>
      </c>
      <c r="P7628">
        <v>40400</v>
      </c>
      <c r="Q7628" t="str">
        <f>"39.745106"</f>
        <v>39.745106</v>
      </c>
      <c r="R7628" t="str">
        <f>"22.361577"</f>
        <v>22.361577</v>
      </c>
      <c r="S7628" t="s">
        <v>26</v>
      </c>
    </row>
    <row r="7629" spans="1:19" x14ac:dyDescent="0.3">
      <c r="A7629" t="s">
        <v>20660</v>
      </c>
      <c r="B7629" t="s">
        <v>20830</v>
      </c>
      <c r="C7629" t="s">
        <v>20926</v>
      </c>
      <c r="D7629" t="s">
        <v>20667</v>
      </c>
      <c r="E7629" t="s">
        <v>20875</v>
      </c>
      <c r="F7629" t="s">
        <v>20875</v>
      </c>
      <c r="G7629" t="s">
        <v>20875</v>
      </c>
      <c r="H7629" t="s">
        <v>97</v>
      </c>
      <c r="I7629" t="s">
        <v>98</v>
      </c>
      <c r="J7629" t="str">
        <f>"3156020"</f>
        <v>3156020</v>
      </c>
      <c r="K7629">
        <v>2491022249</v>
      </c>
      <c r="L7629">
        <v>2491024116</v>
      </c>
      <c r="M7629" t="s">
        <v>20927</v>
      </c>
      <c r="N7629" t="s">
        <v>20928</v>
      </c>
      <c r="O7629" t="s">
        <v>20929</v>
      </c>
      <c r="P7629">
        <v>40300</v>
      </c>
      <c r="Q7629" t="str">
        <f>"39.300205"</f>
        <v>39.300205</v>
      </c>
      <c r="R7629" t="str">
        <f>"22.382478"</f>
        <v>22.382478</v>
      </c>
      <c r="S7629" t="s">
        <v>26</v>
      </c>
    </row>
    <row r="7630" spans="1:19" x14ac:dyDescent="0.3">
      <c r="A7630" t="s">
        <v>20660</v>
      </c>
      <c r="B7630" t="s">
        <v>20830</v>
      </c>
      <c r="C7630" t="s">
        <v>20934</v>
      </c>
      <c r="D7630" t="s">
        <v>20667</v>
      </c>
      <c r="E7630" t="s">
        <v>20899</v>
      </c>
      <c r="F7630" t="s">
        <v>5431</v>
      </c>
      <c r="G7630" t="s">
        <v>5431</v>
      </c>
      <c r="H7630" t="s">
        <v>97</v>
      </c>
      <c r="I7630" t="s">
        <v>98</v>
      </c>
      <c r="J7630" t="str">
        <f>"3151060"</f>
        <v>3151060</v>
      </c>
      <c r="K7630">
        <v>2410921106</v>
      </c>
      <c r="L7630">
        <v>2410921106</v>
      </c>
      <c r="M7630" t="s">
        <v>20935</v>
      </c>
      <c r="N7630" t="s">
        <v>6352</v>
      </c>
      <c r="O7630" t="s">
        <v>20936</v>
      </c>
      <c r="P7630">
        <v>41005</v>
      </c>
      <c r="Q7630" t="str">
        <f>"39.564457"</f>
        <v>39.564457</v>
      </c>
      <c r="R7630" t="str">
        <f>"22.472180"</f>
        <v>22.472180</v>
      </c>
      <c r="S7630" t="s">
        <v>26</v>
      </c>
    </row>
    <row r="7631" spans="1:19" x14ac:dyDescent="0.3">
      <c r="A7631" t="s">
        <v>20660</v>
      </c>
      <c r="B7631" t="s">
        <v>20830</v>
      </c>
      <c r="C7631" t="s">
        <v>20938</v>
      </c>
      <c r="D7631" t="s">
        <v>20667</v>
      </c>
      <c r="E7631" t="s">
        <v>20668</v>
      </c>
      <c r="F7631" t="s">
        <v>20668</v>
      </c>
      <c r="G7631" t="s">
        <v>20881</v>
      </c>
      <c r="H7631" t="s">
        <v>97</v>
      </c>
      <c r="I7631" t="s">
        <v>98</v>
      </c>
      <c r="J7631" t="str">
        <f>"3151009"</f>
        <v>3151009</v>
      </c>
      <c r="K7631">
        <v>2410611044</v>
      </c>
      <c r="L7631">
        <v>2410611044</v>
      </c>
      <c r="M7631" t="s">
        <v>20939</v>
      </c>
      <c r="N7631" t="s">
        <v>20672</v>
      </c>
      <c r="O7631" t="s">
        <v>20940</v>
      </c>
      <c r="P7631">
        <v>41335</v>
      </c>
      <c r="Q7631" t="str">
        <f>"39.613095"</f>
        <v>39.613095</v>
      </c>
      <c r="R7631" t="str">
        <f>"22.427604"</f>
        <v>22.427604</v>
      </c>
      <c r="S7631" t="s">
        <v>26</v>
      </c>
    </row>
    <row r="7632" spans="1:19" x14ac:dyDescent="0.3">
      <c r="A7632" t="s">
        <v>20660</v>
      </c>
      <c r="B7632" t="s">
        <v>20830</v>
      </c>
      <c r="C7632" t="s">
        <v>20943</v>
      </c>
      <c r="D7632" t="s">
        <v>20667</v>
      </c>
      <c r="E7632" t="s">
        <v>20668</v>
      </c>
      <c r="F7632" t="s">
        <v>20668</v>
      </c>
      <c r="G7632" t="s">
        <v>20942</v>
      </c>
      <c r="H7632" t="s">
        <v>97</v>
      </c>
      <c r="I7632" t="s">
        <v>98</v>
      </c>
      <c r="J7632" t="str">
        <f>"3151040"</f>
        <v>3151040</v>
      </c>
      <c r="K7632">
        <v>2410230828</v>
      </c>
      <c r="L7632">
        <v>2411103199</v>
      </c>
      <c r="M7632" t="s">
        <v>20944</v>
      </c>
      <c r="N7632" t="s">
        <v>20672</v>
      </c>
      <c r="O7632" t="s">
        <v>20945</v>
      </c>
      <c r="P7632">
        <v>41223</v>
      </c>
      <c r="Q7632" t="str">
        <f>"39.632665"</f>
        <v>39.632665</v>
      </c>
      <c r="R7632" t="str">
        <f>"22.424331"</f>
        <v>22.424331</v>
      </c>
      <c r="S7632" t="s">
        <v>26</v>
      </c>
    </row>
    <row r="7633" spans="1:19" x14ac:dyDescent="0.3">
      <c r="A7633" t="s">
        <v>20660</v>
      </c>
      <c r="B7633" t="s">
        <v>20830</v>
      </c>
      <c r="C7633" t="s">
        <v>20947</v>
      </c>
      <c r="D7633" t="s">
        <v>20667</v>
      </c>
      <c r="E7633" t="s">
        <v>4424</v>
      </c>
      <c r="F7633" t="s">
        <v>4424</v>
      </c>
      <c r="G7633" t="s">
        <v>4424</v>
      </c>
      <c r="H7633" t="s">
        <v>97</v>
      </c>
      <c r="I7633" t="s">
        <v>98</v>
      </c>
      <c r="J7633" t="str">
        <f>"3152010"</f>
        <v>3152010</v>
      </c>
      <c r="K7633">
        <v>2494022347</v>
      </c>
      <c r="L7633">
        <v>2494022347</v>
      </c>
      <c r="M7633" t="s">
        <v>20948</v>
      </c>
      <c r="N7633" t="s">
        <v>20606</v>
      </c>
      <c r="O7633" t="s">
        <v>20949</v>
      </c>
      <c r="P7633">
        <v>40003</v>
      </c>
      <c r="Q7633" t="str">
        <f>"39.716046"</f>
        <v>39.716046</v>
      </c>
      <c r="R7633" t="str">
        <f>"22.761704"</f>
        <v>22.761704</v>
      </c>
      <c r="S7633" t="s">
        <v>26</v>
      </c>
    </row>
    <row r="7634" spans="1:19" x14ac:dyDescent="0.3">
      <c r="A7634" t="s">
        <v>20660</v>
      </c>
      <c r="B7634" t="s">
        <v>20830</v>
      </c>
      <c r="C7634" t="s">
        <v>20951</v>
      </c>
      <c r="D7634" t="s">
        <v>20667</v>
      </c>
      <c r="E7634" t="s">
        <v>20668</v>
      </c>
      <c r="F7634" t="s">
        <v>20668</v>
      </c>
      <c r="G7634" t="s">
        <v>20942</v>
      </c>
      <c r="H7634" t="s">
        <v>97</v>
      </c>
      <c r="I7634" t="s">
        <v>98</v>
      </c>
      <c r="J7634" t="str">
        <f>"3151046"</f>
        <v>3151046</v>
      </c>
      <c r="K7634">
        <v>2410235897</v>
      </c>
      <c r="L7634">
        <v>2410553081</v>
      </c>
      <c r="M7634" t="s">
        <v>20952</v>
      </c>
      <c r="N7634" t="s">
        <v>20672</v>
      </c>
      <c r="O7634" t="s">
        <v>20953</v>
      </c>
      <c r="P7634">
        <v>41336</v>
      </c>
      <c r="Q7634" t="str">
        <f>"39.648237"</f>
        <v>39.648237</v>
      </c>
      <c r="R7634" t="str">
        <f>"22.434332"</f>
        <v>22.434332</v>
      </c>
      <c r="S7634" t="s">
        <v>26</v>
      </c>
    </row>
    <row r="7635" spans="1:19" x14ac:dyDescent="0.3">
      <c r="A7635" t="s">
        <v>20660</v>
      </c>
      <c r="B7635" t="s">
        <v>20830</v>
      </c>
      <c r="C7635" t="s">
        <v>20956</v>
      </c>
      <c r="D7635" t="s">
        <v>20667</v>
      </c>
      <c r="E7635" t="s">
        <v>20668</v>
      </c>
      <c r="F7635" t="s">
        <v>20955</v>
      </c>
      <c r="G7635" t="s">
        <v>20955</v>
      </c>
      <c r="H7635" t="s">
        <v>97</v>
      </c>
      <c r="I7635" t="s">
        <v>98</v>
      </c>
      <c r="J7635" t="str">
        <f>"3159015"</f>
        <v>3159015</v>
      </c>
      <c r="K7635">
        <v>2410591648</v>
      </c>
      <c r="L7635">
        <v>2410591648</v>
      </c>
      <c r="M7635" t="s">
        <v>20957</v>
      </c>
      <c r="N7635" t="s">
        <v>20958</v>
      </c>
      <c r="O7635" t="s">
        <v>20959</v>
      </c>
      <c r="P7635">
        <v>41500</v>
      </c>
      <c r="Q7635" t="str">
        <f>"39.670668"</f>
        <v>39.670668</v>
      </c>
      <c r="R7635" t="str">
        <f>"22.391314"</f>
        <v>22.391314</v>
      </c>
      <c r="S7635" t="s">
        <v>26</v>
      </c>
    </row>
    <row r="7636" spans="1:19" x14ac:dyDescent="0.3">
      <c r="A7636" t="s">
        <v>20660</v>
      </c>
      <c r="B7636" t="s">
        <v>20830</v>
      </c>
      <c r="C7636" t="s">
        <v>20962</v>
      </c>
      <c r="D7636" t="s">
        <v>20667</v>
      </c>
      <c r="E7636" t="s">
        <v>20859</v>
      </c>
      <c r="F7636" t="s">
        <v>20859</v>
      </c>
      <c r="G7636" t="s">
        <v>20961</v>
      </c>
      <c r="H7636" t="s">
        <v>97</v>
      </c>
      <c r="I7636" t="s">
        <v>98</v>
      </c>
      <c r="J7636" t="str">
        <f>"3154010"</f>
        <v>3154010</v>
      </c>
      <c r="K7636">
        <v>2493022330</v>
      </c>
      <c r="L7636">
        <v>2493022929</v>
      </c>
      <c r="M7636" t="s">
        <v>20963</v>
      </c>
      <c r="N7636" t="s">
        <v>20964</v>
      </c>
      <c r="O7636" t="s">
        <v>20965</v>
      </c>
      <c r="P7636">
        <v>40200</v>
      </c>
      <c r="Q7636" t="str">
        <f>"39.887819"</f>
        <v>39.887819</v>
      </c>
      <c r="R7636" t="str">
        <f>"22.194055"</f>
        <v>22.194055</v>
      </c>
      <c r="S7636" t="s">
        <v>26</v>
      </c>
    </row>
    <row r="7637" spans="1:19" x14ac:dyDescent="0.3">
      <c r="A7637" t="s">
        <v>20660</v>
      </c>
      <c r="B7637" t="s">
        <v>20830</v>
      </c>
      <c r="C7637" t="s">
        <v>20967</v>
      </c>
      <c r="D7637" t="s">
        <v>20667</v>
      </c>
      <c r="E7637" t="s">
        <v>20668</v>
      </c>
      <c r="F7637" t="s">
        <v>20668</v>
      </c>
      <c r="G7637" t="s">
        <v>20942</v>
      </c>
      <c r="H7637" t="s">
        <v>97</v>
      </c>
      <c r="I7637" t="s">
        <v>98</v>
      </c>
      <c r="J7637" t="str">
        <f>"3151044"</f>
        <v>3151044</v>
      </c>
      <c r="K7637">
        <v>2410282700</v>
      </c>
      <c r="L7637">
        <v>2410550458</v>
      </c>
      <c r="M7637" t="s">
        <v>20968</v>
      </c>
      <c r="N7637" t="s">
        <v>20672</v>
      </c>
      <c r="O7637" t="s">
        <v>20969</v>
      </c>
      <c r="P7637">
        <v>41221</v>
      </c>
      <c r="Q7637" t="str">
        <f>"39.643939"</f>
        <v>39.643939</v>
      </c>
      <c r="R7637" t="str">
        <f>"22.433359"</f>
        <v>22.433359</v>
      </c>
      <c r="S7637" t="s">
        <v>26</v>
      </c>
    </row>
    <row r="7638" spans="1:19" x14ac:dyDescent="0.3">
      <c r="A7638" t="s">
        <v>20660</v>
      </c>
      <c r="B7638" t="s">
        <v>20830</v>
      </c>
      <c r="C7638" t="s">
        <v>21137</v>
      </c>
      <c r="D7638" t="s">
        <v>20667</v>
      </c>
      <c r="E7638" t="s">
        <v>20668</v>
      </c>
      <c r="F7638" t="s">
        <v>20668</v>
      </c>
      <c r="G7638" t="s">
        <v>20942</v>
      </c>
      <c r="H7638" t="s">
        <v>97</v>
      </c>
      <c r="I7638" t="s">
        <v>98</v>
      </c>
      <c r="J7638" t="str">
        <f>"3151020"</f>
        <v>3151020</v>
      </c>
      <c r="K7638">
        <v>2410236309</v>
      </c>
      <c r="L7638">
        <v>2410236258</v>
      </c>
      <c r="M7638" t="s">
        <v>21138</v>
      </c>
      <c r="N7638" t="s">
        <v>20672</v>
      </c>
      <c r="O7638" t="s">
        <v>21139</v>
      </c>
      <c r="P7638">
        <v>41221</v>
      </c>
      <c r="Q7638" t="str">
        <f>"39.636482"</f>
        <v>39.636482</v>
      </c>
      <c r="R7638" t="str">
        <f>"22.429607"</f>
        <v>22.429607</v>
      </c>
      <c r="S7638" t="s">
        <v>26</v>
      </c>
    </row>
    <row r="7639" spans="1:19" x14ac:dyDescent="0.3">
      <c r="A7639" t="s">
        <v>20660</v>
      </c>
      <c r="B7639" t="s">
        <v>20830</v>
      </c>
      <c r="C7639" t="s">
        <v>21167</v>
      </c>
      <c r="D7639" t="s">
        <v>20667</v>
      </c>
      <c r="E7639" t="s">
        <v>20859</v>
      </c>
      <c r="F7639" t="s">
        <v>1782</v>
      </c>
      <c r="G7639" t="s">
        <v>20998</v>
      </c>
      <c r="H7639" t="s">
        <v>97</v>
      </c>
      <c r="I7639" t="s">
        <v>98</v>
      </c>
      <c r="J7639" t="str">
        <f>"3167010"</f>
        <v>3167010</v>
      </c>
      <c r="K7639">
        <v>2493086501</v>
      </c>
      <c r="L7639">
        <v>2493086500</v>
      </c>
      <c r="M7639" t="s">
        <v>21168</v>
      </c>
      <c r="N7639" t="s">
        <v>21002</v>
      </c>
      <c r="P7639">
        <v>40200</v>
      </c>
      <c r="Q7639" t="str">
        <f>"39.788369"</f>
        <v>39.788369</v>
      </c>
      <c r="R7639" t="str">
        <f>"22.115164"</f>
        <v>22.115164</v>
      </c>
      <c r="S7639" t="s">
        <v>26</v>
      </c>
    </row>
    <row r="7640" spans="1:19" x14ac:dyDescent="0.3">
      <c r="A7640" t="s">
        <v>20660</v>
      </c>
      <c r="B7640" t="s">
        <v>20830</v>
      </c>
      <c r="C7640" t="s">
        <v>21169</v>
      </c>
      <c r="D7640" t="s">
        <v>20667</v>
      </c>
      <c r="E7640" t="s">
        <v>20668</v>
      </c>
      <c r="F7640" t="s">
        <v>20955</v>
      </c>
      <c r="G7640" t="s">
        <v>20987</v>
      </c>
      <c r="H7640" t="s">
        <v>97</v>
      </c>
      <c r="I7640" t="s">
        <v>98</v>
      </c>
      <c r="J7640" t="str">
        <f>"3168010"</f>
        <v>3168010</v>
      </c>
      <c r="K7640">
        <v>2410941567</v>
      </c>
      <c r="L7640">
        <v>2410941567</v>
      </c>
      <c r="M7640" t="s">
        <v>21170</v>
      </c>
      <c r="N7640" t="s">
        <v>21171</v>
      </c>
      <c r="O7640" t="s">
        <v>21172</v>
      </c>
      <c r="P7640">
        <v>40011</v>
      </c>
      <c r="Q7640" t="str">
        <f>"39.727200"</f>
        <v>39.727200</v>
      </c>
      <c r="R7640" t="str">
        <f>"22.402026"</f>
        <v>22.402026</v>
      </c>
      <c r="S7640" t="s">
        <v>26</v>
      </c>
    </row>
    <row r="7641" spans="1:19" x14ac:dyDescent="0.3">
      <c r="A7641" t="s">
        <v>20660</v>
      </c>
      <c r="B7641" t="s">
        <v>20830</v>
      </c>
      <c r="C7641" t="s">
        <v>21175</v>
      </c>
      <c r="D7641" t="s">
        <v>20667</v>
      </c>
      <c r="E7641" t="s">
        <v>20668</v>
      </c>
      <c r="F7641" t="s">
        <v>20668</v>
      </c>
      <c r="G7641" t="s">
        <v>20942</v>
      </c>
      <c r="H7641" t="s">
        <v>97</v>
      </c>
      <c r="I7641" t="s">
        <v>195</v>
      </c>
      <c r="J7641" t="str">
        <f>"3151050"</f>
        <v>3151050</v>
      </c>
      <c r="K7641">
        <v>2410232398</v>
      </c>
      <c r="L7641">
        <v>2410238214</v>
      </c>
      <c r="M7641" t="s">
        <v>21176</v>
      </c>
      <c r="N7641" t="s">
        <v>20672</v>
      </c>
      <c r="O7641" t="s">
        <v>21120</v>
      </c>
      <c r="P7641">
        <v>41223</v>
      </c>
      <c r="Q7641" t="str">
        <f>"39.632590"</f>
        <v>39.632590</v>
      </c>
      <c r="R7641" t="str">
        <f>"22.423287"</f>
        <v>22.423287</v>
      </c>
      <c r="S7641" t="s">
        <v>26</v>
      </c>
    </row>
    <row r="7642" spans="1:19" x14ac:dyDescent="0.3">
      <c r="A7642" t="s">
        <v>20660</v>
      </c>
      <c r="B7642" t="s">
        <v>20830</v>
      </c>
      <c r="C7642" t="s">
        <v>21183</v>
      </c>
      <c r="D7642" t="s">
        <v>20667</v>
      </c>
      <c r="E7642" t="s">
        <v>20668</v>
      </c>
      <c r="F7642" t="s">
        <v>20668</v>
      </c>
      <c r="G7642" t="s">
        <v>20942</v>
      </c>
      <c r="H7642" t="s">
        <v>97</v>
      </c>
      <c r="I7642" t="s">
        <v>98</v>
      </c>
      <c r="J7642" t="str">
        <f>"3144001"</f>
        <v>3144001</v>
      </c>
      <c r="K7642">
        <v>2410571370</v>
      </c>
      <c r="L7642">
        <v>2410571340</v>
      </c>
      <c r="M7642" t="s">
        <v>21184</v>
      </c>
      <c r="N7642" t="s">
        <v>20672</v>
      </c>
      <c r="O7642" t="s">
        <v>21185</v>
      </c>
      <c r="P7642">
        <v>41336</v>
      </c>
      <c r="Q7642" t="str">
        <f>"39.627725"</f>
        <v>39.627725</v>
      </c>
      <c r="R7642" t="str">
        <f>"22.449933"</f>
        <v>22.449933</v>
      </c>
      <c r="S7642" t="s">
        <v>26</v>
      </c>
    </row>
    <row r="7643" spans="1:19" x14ac:dyDescent="0.3">
      <c r="A7643" t="s">
        <v>20660</v>
      </c>
      <c r="B7643" t="s">
        <v>20830</v>
      </c>
      <c r="C7643" t="s">
        <v>21186</v>
      </c>
      <c r="D7643" t="s">
        <v>20667</v>
      </c>
      <c r="E7643" t="s">
        <v>20668</v>
      </c>
      <c r="F7643" t="s">
        <v>20668</v>
      </c>
      <c r="G7643" t="s">
        <v>20881</v>
      </c>
      <c r="H7643" t="s">
        <v>97</v>
      </c>
      <c r="I7643" t="s">
        <v>98</v>
      </c>
      <c r="J7643" t="str">
        <f>"3144002"</f>
        <v>3144002</v>
      </c>
      <c r="K7643">
        <v>2410617384</v>
      </c>
      <c r="L7643">
        <v>2410617384</v>
      </c>
      <c r="M7643" t="s">
        <v>21187</v>
      </c>
      <c r="N7643" t="s">
        <v>20672</v>
      </c>
      <c r="O7643" t="s">
        <v>21188</v>
      </c>
      <c r="P7643">
        <v>41335</v>
      </c>
      <c r="Q7643" t="str">
        <f>"39.621070"</f>
        <v>39.621070</v>
      </c>
      <c r="R7643" t="str">
        <f>"22.417283"</f>
        <v>22.417283</v>
      </c>
      <c r="S7643" t="s">
        <v>26</v>
      </c>
    </row>
    <row r="7644" spans="1:19" x14ac:dyDescent="0.3">
      <c r="A7644" t="s">
        <v>20660</v>
      </c>
      <c r="B7644" t="s">
        <v>21192</v>
      </c>
      <c r="C7644" t="s">
        <v>21218</v>
      </c>
      <c r="D7644" t="s">
        <v>20674</v>
      </c>
      <c r="E7644" t="s">
        <v>20675</v>
      </c>
      <c r="F7644" t="s">
        <v>21217</v>
      </c>
      <c r="G7644" t="s">
        <v>21217</v>
      </c>
      <c r="H7644" t="s">
        <v>97</v>
      </c>
      <c r="I7644" t="s">
        <v>98</v>
      </c>
      <c r="J7644" t="str">
        <f>"3551080"</f>
        <v>3551080</v>
      </c>
      <c r="K7644">
        <v>2428086865</v>
      </c>
      <c r="L7644">
        <v>2428086865</v>
      </c>
      <c r="M7644" t="s">
        <v>21219</v>
      </c>
      <c r="N7644" t="s">
        <v>21220</v>
      </c>
      <c r="O7644" t="s">
        <v>21221</v>
      </c>
      <c r="P7644">
        <v>37300</v>
      </c>
      <c r="Q7644" t="str">
        <f>"39.345392"</f>
        <v>39.345392</v>
      </c>
      <c r="R7644" t="str">
        <f>"23.010233"</f>
        <v>23.010233</v>
      </c>
      <c r="S7644" t="s">
        <v>26</v>
      </c>
    </row>
    <row r="7645" spans="1:19" x14ac:dyDescent="0.3">
      <c r="A7645" t="s">
        <v>20660</v>
      </c>
      <c r="B7645" t="s">
        <v>21192</v>
      </c>
      <c r="C7645" t="s">
        <v>21224</v>
      </c>
      <c r="D7645" t="s">
        <v>20674</v>
      </c>
      <c r="E7645" t="s">
        <v>20675</v>
      </c>
      <c r="F7645" t="s">
        <v>21223</v>
      </c>
      <c r="G7645" t="s">
        <v>21223</v>
      </c>
      <c r="H7645" t="s">
        <v>97</v>
      </c>
      <c r="I7645" t="s">
        <v>98</v>
      </c>
      <c r="J7645" t="str">
        <f>"3560010"</f>
        <v>3560010</v>
      </c>
      <c r="K7645">
        <v>2428076363</v>
      </c>
      <c r="L7645">
        <v>2428076363</v>
      </c>
      <c r="M7645" t="s">
        <v>21225</v>
      </c>
      <c r="N7645" t="s">
        <v>21226</v>
      </c>
      <c r="O7645" t="s">
        <v>21227</v>
      </c>
      <c r="P7645">
        <v>37400</v>
      </c>
      <c r="Q7645" t="str">
        <f>"39.271122"</f>
        <v>39.271122</v>
      </c>
      <c r="R7645" t="str">
        <f>"22.798634"</f>
        <v>22.798634</v>
      </c>
      <c r="S7645" t="s">
        <v>26</v>
      </c>
    </row>
    <row r="7646" spans="1:19" x14ac:dyDescent="0.3">
      <c r="A7646" t="s">
        <v>20660</v>
      </c>
      <c r="B7646" t="s">
        <v>21192</v>
      </c>
      <c r="C7646" t="s">
        <v>21232</v>
      </c>
      <c r="D7646" t="s">
        <v>20674</v>
      </c>
      <c r="E7646" t="s">
        <v>21229</v>
      </c>
      <c r="F7646" t="s">
        <v>21230</v>
      </c>
      <c r="G7646" t="s">
        <v>21231</v>
      </c>
      <c r="H7646" t="s">
        <v>97</v>
      </c>
      <c r="I7646" t="s">
        <v>98</v>
      </c>
      <c r="J7646" t="str">
        <f>"3555010"</f>
        <v>3555010</v>
      </c>
      <c r="K7646">
        <v>2426049300</v>
      </c>
      <c r="L7646">
        <v>2426049300</v>
      </c>
      <c r="M7646" t="s">
        <v>21233</v>
      </c>
      <c r="N7646" t="s">
        <v>21234</v>
      </c>
      <c r="O7646" t="s">
        <v>21235</v>
      </c>
      <c r="P7646">
        <v>37012</v>
      </c>
      <c r="Q7646" t="str">
        <f>"39.385441"</f>
        <v>39.385441</v>
      </c>
      <c r="R7646" t="str">
        <f>"23.176813"</f>
        <v>23.176813</v>
      </c>
      <c r="S7646" t="s">
        <v>26</v>
      </c>
    </row>
    <row r="7647" spans="1:19" x14ac:dyDescent="0.3">
      <c r="A7647" t="s">
        <v>20660</v>
      </c>
      <c r="B7647" t="s">
        <v>21192</v>
      </c>
      <c r="C7647" t="s">
        <v>21238</v>
      </c>
      <c r="D7647" t="s">
        <v>20674</v>
      </c>
      <c r="E7647" t="s">
        <v>21229</v>
      </c>
      <c r="F7647" t="s">
        <v>21237</v>
      </c>
      <c r="G7647" t="s">
        <v>21237</v>
      </c>
      <c r="H7647" t="s">
        <v>97</v>
      </c>
      <c r="I7647" t="s">
        <v>98</v>
      </c>
      <c r="J7647" t="str">
        <f>"3554010"</f>
        <v>3554010</v>
      </c>
      <c r="K7647">
        <v>2426023662</v>
      </c>
      <c r="L7647">
        <v>2426023762</v>
      </c>
      <c r="M7647" t="s">
        <v>21239</v>
      </c>
      <c r="N7647" t="s">
        <v>21240</v>
      </c>
      <c r="O7647" t="s">
        <v>21241</v>
      </c>
      <c r="P7647">
        <v>37001</v>
      </c>
      <c r="Q7647" t="str">
        <f>"39.439729"</f>
        <v>39.439729</v>
      </c>
      <c r="R7647" t="str">
        <f>"23.102759"</f>
        <v>23.102759</v>
      </c>
      <c r="S7647" t="s">
        <v>26</v>
      </c>
    </row>
    <row r="7648" spans="1:19" x14ac:dyDescent="0.3">
      <c r="A7648" t="s">
        <v>20660</v>
      </c>
      <c r="B7648" t="s">
        <v>21192</v>
      </c>
      <c r="C7648" t="s">
        <v>21303</v>
      </c>
      <c r="D7648" t="s">
        <v>20674</v>
      </c>
      <c r="E7648" t="s">
        <v>20675</v>
      </c>
      <c r="F7648" t="s">
        <v>3246</v>
      </c>
      <c r="G7648" t="s">
        <v>3246</v>
      </c>
      <c r="H7648" t="s">
        <v>97</v>
      </c>
      <c r="I7648" t="s">
        <v>98</v>
      </c>
      <c r="J7648" t="str">
        <f>"3551009"</f>
        <v>3551009</v>
      </c>
      <c r="K7648">
        <v>2421066685</v>
      </c>
      <c r="L7648">
        <v>2421067244</v>
      </c>
      <c r="M7648" t="s">
        <v>21304</v>
      </c>
      <c r="N7648" t="s">
        <v>21305</v>
      </c>
      <c r="O7648" t="s">
        <v>21306</v>
      </c>
      <c r="P7648">
        <v>38446</v>
      </c>
      <c r="Q7648" t="str">
        <f>"39.383426"</f>
        <v>39.383426</v>
      </c>
      <c r="R7648" t="str">
        <f>"22.933444"</f>
        <v>22.933444</v>
      </c>
      <c r="S7648" t="s">
        <v>26</v>
      </c>
    </row>
    <row r="7649" spans="1:19" x14ac:dyDescent="0.3">
      <c r="A7649" t="s">
        <v>20660</v>
      </c>
      <c r="B7649" t="s">
        <v>21192</v>
      </c>
      <c r="C7649" t="s">
        <v>21307</v>
      </c>
      <c r="D7649" t="s">
        <v>20674</v>
      </c>
      <c r="E7649" t="s">
        <v>21250</v>
      </c>
      <c r="F7649" t="s">
        <v>203</v>
      </c>
      <c r="G7649" t="s">
        <v>21251</v>
      </c>
      <c r="H7649" t="s">
        <v>97</v>
      </c>
      <c r="I7649" t="s">
        <v>98</v>
      </c>
      <c r="J7649" t="str">
        <f>"3553010"</f>
        <v>3553010</v>
      </c>
      <c r="K7649">
        <v>2425022422</v>
      </c>
      <c r="L7649">
        <v>2425022422</v>
      </c>
      <c r="M7649" t="s">
        <v>21308</v>
      </c>
      <c r="N7649" t="s">
        <v>21309</v>
      </c>
      <c r="O7649" t="s">
        <v>21254</v>
      </c>
      <c r="P7649">
        <v>37500</v>
      </c>
      <c r="Q7649" t="str">
        <f>"39.377730"</f>
        <v>39.377730</v>
      </c>
      <c r="R7649" t="str">
        <f>"22.744940"</f>
        <v>22.744940</v>
      </c>
      <c r="S7649" t="s">
        <v>26</v>
      </c>
    </row>
    <row r="7650" spans="1:19" x14ac:dyDescent="0.3">
      <c r="A7650" t="s">
        <v>20660</v>
      </c>
      <c r="B7650" t="s">
        <v>21192</v>
      </c>
      <c r="C7650" t="s">
        <v>21310</v>
      </c>
      <c r="D7650" t="s">
        <v>20674</v>
      </c>
      <c r="E7650" t="s">
        <v>20675</v>
      </c>
      <c r="F7650" t="s">
        <v>20675</v>
      </c>
      <c r="G7650" t="s">
        <v>20675</v>
      </c>
      <c r="H7650" t="s">
        <v>97</v>
      </c>
      <c r="I7650" t="s">
        <v>98</v>
      </c>
      <c r="J7650" t="str">
        <f>"3590050"</f>
        <v>3590050</v>
      </c>
      <c r="K7650">
        <v>2421022023</v>
      </c>
      <c r="L7650">
        <v>2421039537</v>
      </c>
      <c r="M7650" t="s">
        <v>21311</v>
      </c>
      <c r="N7650" t="s">
        <v>20678</v>
      </c>
      <c r="O7650" t="s">
        <v>21312</v>
      </c>
      <c r="P7650">
        <v>38222</v>
      </c>
      <c r="Q7650" t="str">
        <f>"39.356522"</f>
        <v>39.356522</v>
      </c>
      <c r="R7650" t="str">
        <f>"22.969311"</f>
        <v>22.969311</v>
      </c>
      <c r="S7650" t="s">
        <v>26</v>
      </c>
    </row>
    <row r="7651" spans="1:19" x14ac:dyDescent="0.3">
      <c r="A7651" t="s">
        <v>20660</v>
      </c>
      <c r="B7651" t="s">
        <v>21192</v>
      </c>
      <c r="C7651" t="s">
        <v>21314</v>
      </c>
      <c r="D7651" t="s">
        <v>20674</v>
      </c>
      <c r="E7651" t="s">
        <v>20675</v>
      </c>
      <c r="F7651" t="s">
        <v>20675</v>
      </c>
      <c r="G7651" t="s">
        <v>20675</v>
      </c>
      <c r="H7651" t="s">
        <v>97</v>
      </c>
      <c r="I7651" t="s">
        <v>195</v>
      </c>
      <c r="J7651" t="str">
        <f>"3551050"</f>
        <v>3551050</v>
      </c>
      <c r="K7651">
        <v>2421039569</v>
      </c>
      <c r="L7651">
        <v>2421039569</v>
      </c>
      <c r="M7651" t="s">
        <v>21315</v>
      </c>
      <c r="N7651" t="s">
        <v>20678</v>
      </c>
      <c r="O7651" t="s">
        <v>21316</v>
      </c>
      <c r="P7651">
        <v>38222</v>
      </c>
      <c r="Q7651" t="str">
        <f>"39.351579"</f>
        <v>39.351579</v>
      </c>
      <c r="R7651" t="str">
        <f>"22.965077"</f>
        <v>22.965077</v>
      </c>
      <c r="S7651" t="s">
        <v>26</v>
      </c>
    </row>
    <row r="7652" spans="1:19" x14ac:dyDescent="0.3">
      <c r="A7652" t="s">
        <v>20660</v>
      </c>
      <c r="B7652" t="s">
        <v>21192</v>
      </c>
      <c r="C7652" t="s">
        <v>21318</v>
      </c>
      <c r="D7652" t="s">
        <v>21210</v>
      </c>
      <c r="E7652" t="s">
        <v>13139</v>
      </c>
      <c r="F7652" t="s">
        <v>13139</v>
      </c>
      <c r="G7652" t="s">
        <v>13139</v>
      </c>
      <c r="H7652" t="s">
        <v>97</v>
      </c>
      <c r="I7652" t="s">
        <v>98</v>
      </c>
      <c r="J7652" t="str">
        <f>"3558010"</f>
        <v>3558010</v>
      </c>
      <c r="K7652">
        <v>2424022320</v>
      </c>
      <c r="L7652">
        <v>2424029087</v>
      </c>
      <c r="M7652" t="s">
        <v>21319</v>
      </c>
      <c r="N7652" t="s">
        <v>21292</v>
      </c>
      <c r="O7652" t="s">
        <v>21320</v>
      </c>
      <c r="P7652">
        <v>37003</v>
      </c>
      <c r="Q7652" t="str">
        <f>"39.117740"</f>
        <v>39.117740</v>
      </c>
      <c r="R7652" t="str">
        <f>"23.726657"</f>
        <v>23.726657</v>
      </c>
      <c r="S7652" t="s">
        <v>57</v>
      </c>
    </row>
    <row r="7653" spans="1:19" x14ac:dyDescent="0.3">
      <c r="A7653" t="s">
        <v>20660</v>
      </c>
      <c r="B7653" t="s">
        <v>21192</v>
      </c>
      <c r="C7653" t="s">
        <v>21321</v>
      </c>
      <c r="D7653" t="s">
        <v>20674</v>
      </c>
      <c r="E7653" t="s">
        <v>20675</v>
      </c>
      <c r="F7653" t="s">
        <v>20675</v>
      </c>
      <c r="G7653" t="s">
        <v>20675</v>
      </c>
      <c r="H7653" t="s">
        <v>97</v>
      </c>
      <c r="I7653" t="s">
        <v>98</v>
      </c>
      <c r="J7653" t="str">
        <f>"3551031"</f>
        <v>3551031</v>
      </c>
      <c r="K7653">
        <v>2421085715</v>
      </c>
      <c r="L7653">
        <v>2421066493</v>
      </c>
      <c r="M7653" t="s">
        <v>21322</v>
      </c>
      <c r="N7653" t="s">
        <v>20675</v>
      </c>
      <c r="O7653" t="s">
        <v>21323</v>
      </c>
      <c r="P7653">
        <v>38334</v>
      </c>
      <c r="Q7653" t="str">
        <f>"39.359485"</f>
        <v>39.359485</v>
      </c>
      <c r="R7653" t="str">
        <f>"22.925572"</f>
        <v>22.925572</v>
      </c>
      <c r="S7653" t="s">
        <v>26</v>
      </c>
    </row>
    <row r="7654" spans="1:19" x14ac:dyDescent="0.3">
      <c r="A7654" t="s">
        <v>20660</v>
      </c>
      <c r="B7654" t="s">
        <v>21192</v>
      </c>
      <c r="C7654" t="s">
        <v>21325</v>
      </c>
      <c r="D7654" t="s">
        <v>21210</v>
      </c>
      <c r="E7654" t="s">
        <v>21211</v>
      </c>
      <c r="F7654" t="s">
        <v>21211</v>
      </c>
      <c r="G7654" t="s">
        <v>21211</v>
      </c>
      <c r="H7654" t="s">
        <v>97</v>
      </c>
      <c r="I7654" t="s">
        <v>98</v>
      </c>
      <c r="J7654" t="str">
        <f>"3557010"</f>
        <v>3557010</v>
      </c>
      <c r="K7654">
        <v>2427022100</v>
      </c>
      <c r="L7654">
        <v>2427023424</v>
      </c>
      <c r="M7654" t="s">
        <v>21326</v>
      </c>
      <c r="N7654" t="s">
        <v>21327</v>
      </c>
      <c r="O7654" t="s">
        <v>21328</v>
      </c>
      <c r="P7654">
        <v>37002</v>
      </c>
      <c r="Q7654" t="str">
        <f>"39.164551"</f>
        <v>39.164551</v>
      </c>
      <c r="R7654" t="str">
        <f>"23.486289"</f>
        <v>23.486289</v>
      </c>
      <c r="S7654" t="s">
        <v>57</v>
      </c>
    </row>
    <row r="7655" spans="1:19" x14ac:dyDescent="0.3">
      <c r="A7655" t="s">
        <v>20660</v>
      </c>
      <c r="B7655" t="s">
        <v>21192</v>
      </c>
      <c r="C7655" t="s">
        <v>21329</v>
      </c>
      <c r="D7655" t="s">
        <v>20674</v>
      </c>
      <c r="E7655" t="s">
        <v>20675</v>
      </c>
      <c r="F7655" t="s">
        <v>20675</v>
      </c>
      <c r="G7655" t="s">
        <v>20675</v>
      </c>
      <c r="H7655" t="s">
        <v>97</v>
      </c>
      <c r="I7655" t="s">
        <v>98</v>
      </c>
      <c r="J7655" t="str">
        <f>"3551001"</f>
        <v>3551001</v>
      </c>
      <c r="K7655">
        <v>2421045172</v>
      </c>
      <c r="L7655">
        <v>2421044526</v>
      </c>
      <c r="M7655" t="s">
        <v>21330</v>
      </c>
      <c r="N7655" t="s">
        <v>20678</v>
      </c>
      <c r="O7655" t="s">
        <v>21331</v>
      </c>
      <c r="P7655">
        <v>38333</v>
      </c>
      <c r="Q7655" t="str">
        <f>"39.373147"</f>
        <v>39.373147</v>
      </c>
      <c r="R7655" t="str">
        <f>"22.952261"</f>
        <v>22.952261</v>
      </c>
      <c r="S7655" t="s">
        <v>26</v>
      </c>
    </row>
    <row r="7656" spans="1:19" x14ac:dyDescent="0.3">
      <c r="A7656" t="s">
        <v>20660</v>
      </c>
      <c r="B7656" t="s">
        <v>21192</v>
      </c>
      <c r="C7656" t="s">
        <v>21333</v>
      </c>
      <c r="D7656" t="s">
        <v>20674</v>
      </c>
      <c r="E7656" t="s">
        <v>21199</v>
      </c>
      <c r="F7656" t="s">
        <v>21332</v>
      </c>
      <c r="G7656" t="s">
        <v>21332</v>
      </c>
      <c r="H7656" t="s">
        <v>97</v>
      </c>
      <c r="I7656" t="s">
        <v>98</v>
      </c>
      <c r="J7656" t="str">
        <f>"3556010"</f>
        <v>3556010</v>
      </c>
      <c r="K7656">
        <v>2423054217</v>
      </c>
      <c r="L7656">
        <v>2423054217</v>
      </c>
      <c r="M7656" t="s">
        <v>21334</v>
      </c>
      <c r="N7656" t="s">
        <v>21335</v>
      </c>
      <c r="O7656" t="s">
        <v>21336</v>
      </c>
      <c r="P7656">
        <v>37006</v>
      </c>
      <c r="Q7656" t="str">
        <f>"39.226538"</f>
        <v>39.226538</v>
      </c>
      <c r="R7656" t="str">
        <f>"23.222376"</f>
        <v>23.222376</v>
      </c>
      <c r="S7656" t="s">
        <v>26</v>
      </c>
    </row>
    <row r="7657" spans="1:19" x14ac:dyDescent="0.3">
      <c r="A7657" t="s">
        <v>20660</v>
      </c>
      <c r="B7657" t="s">
        <v>21192</v>
      </c>
      <c r="C7657" t="s">
        <v>21338</v>
      </c>
      <c r="D7657" t="s">
        <v>20674</v>
      </c>
      <c r="E7657" t="s">
        <v>20675</v>
      </c>
      <c r="F7657" t="s">
        <v>20675</v>
      </c>
      <c r="G7657" t="s">
        <v>20675</v>
      </c>
      <c r="H7657" t="s">
        <v>97</v>
      </c>
      <c r="I7657" t="s">
        <v>98</v>
      </c>
      <c r="J7657" t="str">
        <f>"3551010"</f>
        <v>3551010</v>
      </c>
      <c r="K7657">
        <v>2421046410</v>
      </c>
      <c r="L7657">
        <v>2421078095</v>
      </c>
      <c r="M7657" t="s">
        <v>21339</v>
      </c>
      <c r="N7657" t="s">
        <v>20675</v>
      </c>
      <c r="O7657" t="s">
        <v>21340</v>
      </c>
      <c r="P7657">
        <v>38221</v>
      </c>
      <c r="Q7657" t="str">
        <f>"39.367044"</f>
        <v>39.367044</v>
      </c>
      <c r="R7657" t="str">
        <f>"22.957605"</f>
        <v>22.957605</v>
      </c>
      <c r="S7657" t="s">
        <v>26</v>
      </c>
    </row>
    <row r="7658" spans="1:19" x14ac:dyDescent="0.3">
      <c r="A7658" t="s">
        <v>20660</v>
      </c>
      <c r="B7658" t="s">
        <v>21192</v>
      </c>
      <c r="C7658" t="s">
        <v>21453</v>
      </c>
      <c r="D7658" t="s">
        <v>20674</v>
      </c>
      <c r="E7658" t="s">
        <v>20675</v>
      </c>
      <c r="F7658" t="s">
        <v>20675</v>
      </c>
      <c r="G7658" t="s">
        <v>20675</v>
      </c>
      <c r="H7658" t="s">
        <v>97</v>
      </c>
      <c r="I7658" t="s">
        <v>98</v>
      </c>
      <c r="J7658" t="str">
        <f>"3551030"</f>
        <v>3551030</v>
      </c>
      <c r="K7658">
        <v>2421049900</v>
      </c>
      <c r="L7658">
        <v>2421046079</v>
      </c>
      <c r="M7658" t="s">
        <v>21454</v>
      </c>
      <c r="N7658" t="s">
        <v>20675</v>
      </c>
      <c r="O7658" t="s">
        <v>21401</v>
      </c>
      <c r="P7658">
        <v>38221</v>
      </c>
      <c r="Q7658" t="str">
        <f>"39.366199"</f>
        <v>39.366199</v>
      </c>
      <c r="R7658" t="str">
        <f>"22.954268"</f>
        <v>22.954268</v>
      </c>
      <c r="S7658" t="s">
        <v>26</v>
      </c>
    </row>
    <row r="7659" spans="1:19" x14ac:dyDescent="0.3">
      <c r="A7659" t="s">
        <v>20660</v>
      </c>
      <c r="B7659" t="s">
        <v>21192</v>
      </c>
      <c r="C7659" t="s">
        <v>21457</v>
      </c>
      <c r="D7659" t="s">
        <v>20674</v>
      </c>
      <c r="E7659" t="s">
        <v>20675</v>
      </c>
      <c r="F7659" t="s">
        <v>20675</v>
      </c>
      <c r="G7659" t="s">
        <v>20675</v>
      </c>
      <c r="H7659" t="s">
        <v>97</v>
      </c>
      <c r="I7659" t="s">
        <v>98</v>
      </c>
      <c r="J7659" t="str">
        <f>"3551040"</f>
        <v>3551040</v>
      </c>
      <c r="K7659">
        <v>2421042698</v>
      </c>
      <c r="L7659">
        <v>2421042018</v>
      </c>
      <c r="M7659" t="s">
        <v>21458</v>
      </c>
      <c r="N7659" t="s">
        <v>20678</v>
      </c>
      <c r="O7659" t="s">
        <v>21459</v>
      </c>
      <c r="P7659">
        <v>38221</v>
      </c>
      <c r="Q7659" t="str">
        <f>"39.368487"</f>
        <v>39.368487</v>
      </c>
      <c r="R7659" t="str">
        <f>"22.958653"</f>
        <v>22.958653</v>
      </c>
      <c r="S7659" t="s">
        <v>26</v>
      </c>
    </row>
    <row r="7660" spans="1:19" x14ac:dyDescent="0.3">
      <c r="A7660" t="s">
        <v>20660</v>
      </c>
      <c r="B7660" t="s">
        <v>21192</v>
      </c>
      <c r="C7660" t="s">
        <v>21468</v>
      </c>
      <c r="D7660" t="s">
        <v>20674</v>
      </c>
      <c r="E7660" t="s">
        <v>21250</v>
      </c>
      <c r="F7660" t="s">
        <v>21344</v>
      </c>
      <c r="G7660" t="s">
        <v>21380</v>
      </c>
      <c r="H7660" t="s">
        <v>97</v>
      </c>
      <c r="I7660" t="s">
        <v>98</v>
      </c>
      <c r="J7660" t="str">
        <f>"3559010"</f>
        <v>3559010</v>
      </c>
      <c r="K7660">
        <v>2428073431</v>
      </c>
      <c r="L7660">
        <v>2428073431</v>
      </c>
      <c r="M7660" t="s">
        <v>21469</v>
      </c>
      <c r="N7660" t="s">
        <v>21384</v>
      </c>
      <c r="O7660" t="s">
        <v>21384</v>
      </c>
      <c r="P7660">
        <v>38500</v>
      </c>
      <c r="Q7660" t="str">
        <f>"39.495585"</f>
        <v>39.495585</v>
      </c>
      <c r="R7660" t="str">
        <f>"22.884532"</f>
        <v>22.884532</v>
      </c>
      <c r="S7660" t="s">
        <v>26</v>
      </c>
    </row>
    <row r="7661" spans="1:19" x14ac:dyDescent="0.3">
      <c r="A7661" t="s">
        <v>20660</v>
      </c>
      <c r="B7661" t="s">
        <v>21192</v>
      </c>
      <c r="C7661" t="s">
        <v>21472</v>
      </c>
      <c r="D7661" t="s">
        <v>20674</v>
      </c>
      <c r="E7661" t="s">
        <v>20675</v>
      </c>
      <c r="F7661" t="s">
        <v>20675</v>
      </c>
      <c r="G7661" t="s">
        <v>20675</v>
      </c>
      <c r="H7661" t="s">
        <v>97</v>
      </c>
      <c r="I7661" t="s">
        <v>98</v>
      </c>
      <c r="J7661" t="str">
        <f>"3551020"</f>
        <v>3551020</v>
      </c>
      <c r="K7661">
        <v>2421039566</v>
      </c>
      <c r="L7661">
        <v>2421039566</v>
      </c>
      <c r="M7661" t="s">
        <v>21473</v>
      </c>
      <c r="N7661" t="s">
        <v>20678</v>
      </c>
      <c r="O7661" t="s">
        <v>21316</v>
      </c>
      <c r="P7661">
        <v>38222</v>
      </c>
      <c r="Q7661" t="str">
        <f>"39.351936"</f>
        <v>39.351936</v>
      </c>
      <c r="R7661" t="str">
        <f>"22.964873"</f>
        <v>22.964873</v>
      </c>
      <c r="S7661" t="s">
        <v>26</v>
      </c>
    </row>
    <row r="7662" spans="1:19" x14ac:dyDescent="0.3">
      <c r="A7662" t="s">
        <v>20660</v>
      </c>
      <c r="B7662" t="s">
        <v>21192</v>
      </c>
      <c r="C7662" t="s">
        <v>21474</v>
      </c>
      <c r="D7662" t="s">
        <v>20674</v>
      </c>
      <c r="E7662" t="s">
        <v>20675</v>
      </c>
      <c r="F7662" t="s">
        <v>3246</v>
      </c>
      <c r="G7662" t="s">
        <v>3246</v>
      </c>
      <c r="H7662" t="s">
        <v>97</v>
      </c>
      <c r="I7662" t="s">
        <v>98</v>
      </c>
      <c r="J7662" t="str">
        <f>"3551060"</f>
        <v>3551060</v>
      </c>
      <c r="K7662">
        <v>2421060700</v>
      </c>
      <c r="L7662">
        <v>2421060740</v>
      </c>
      <c r="M7662" t="s">
        <v>21475</v>
      </c>
      <c r="N7662" t="s">
        <v>21416</v>
      </c>
      <c r="O7662" t="s">
        <v>21476</v>
      </c>
      <c r="P7662">
        <v>38446</v>
      </c>
      <c r="Q7662" t="str">
        <f>"39.379459"</f>
        <v>39.379459</v>
      </c>
      <c r="R7662" t="str">
        <f>"22.939363"</f>
        <v>22.939363</v>
      </c>
      <c r="S7662" t="s">
        <v>26</v>
      </c>
    </row>
    <row r="7663" spans="1:19" x14ac:dyDescent="0.3">
      <c r="A7663" t="s">
        <v>20660</v>
      </c>
      <c r="B7663" t="s">
        <v>21192</v>
      </c>
      <c r="C7663" t="s">
        <v>21477</v>
      </c>
      <c r="D7663" t="s">
        <v>20674</v>
      </c>
      <c r="E7663" t="s">
        <v>20675</v>
      </c>
      <c r="F7663" t="s">
        <v>20675</v>
      </c>
      <c r="G7663" t="s">
        <v>20675</v>
      </c>
      <c r="H7663" t="s">
        <v>97</v>
      </c>
      <c r="I7663" t="s">
        <v>98</v>
      </c>
      <c r="J7663" t="str">
        <f>"3551045"</f>
        <v>3551045</v>
      </c>
      <c r="K7663">
        <v>2421072002</v>
      </c>
      <c r="L7663">
        <v>2421102034</v>
      </c>
      <c r="M7663" t="s">
        <v>21478</v>
      </c>
      <c r="N7663" t="s">
        <v>20678</v>
      </c>
      <c r="O7663" t="s">
        <v>21479</v>
      </c>
      <c r="P7663">
        <v>38333</v>
      </c>
      <c r="Q7663" t="str">
        <f>"39.371479"</f>
        <v>39.371479</v>
      </c>
      <c r="R7663" t="str">
        <f>"22.940208"</f>
        <v>22.940208</v>
      </c>
      <c r="S7663" t="s">
        <v>26</v>
      </c>
    </row>
    <row r="7664" spans="1:19" x14ac:dyDescent="0.3">
      <c r="A7664" t="s">
        <v>20660</v>
      </c>
      <c r="B7664" t="s">
        <v>21192</v>
      </c>
      <c r="C7664" t="s">
        <v>21486</v>
      </c>
      <c r="D7664" t="s">
        <v>20674</v>
      </c>
      <c r="E7664" t="s">
        <v>21193</v>
      </c>
      <c r="F7664" t="s">
        <v>21193</v>
      </c>
      <c r="G7664" t="s">
        <v>21193</v>
      </c>
      <c r="H7664" t="s">
        <v>97</v>
      </c>
      <c r="I7664" t="s">
        <v>98</v>
      </c>
      <c r="J7664" t="str">
        <f>"3552010"</f>
        <v>3552010</v>
      </c>
      <c r="K7664">
        <v>2422021270</v>
      </c>
      <c r="L7664">
        <v>2422021270</v>
      </c>
      <c r="M7664" t="s">
        <v>21487</v>
      </c>
      <c r="N7664" t="s">
        <v>21247</v>
      </c>
      <c r="O7664" t="s">
        <v>21488</v>
      </c>
      <c r="P7664">
        <v>37100</v>
      </c>
      <c r="Q7664" t="str">
        <f>"39.177017"</f>
        <v>39.177017</v>
      </c>
      <c r="R7664" t="str">
        <f>"22.759622"</f>
        <v>22.759622</v>
      </c>
      <c r="S7664" t="s">
        <v>26</v>
      </c>
    </row>
    <row r="7665" spans="1:19" x14ac:dyDescent="0.3">
      <c r="A7665" t="s">
        <v>20660</v>
      </c>
      <c r="B7665" t="s">
        <v>21501</v>
      </c>
      <c r="C7665" t="s">
        <v>21515</v>
      </c>
      <c r="D7665" t="s">
        <v>20680</v>
      </c>
      <c r="E7665" t="s">
        <v>21502</v>
      </c>
      <c r="F7665" t="s">
        <v>21502</v>
      </c>
      <c r="G7665" t="s">
        <v>21514</v>
      </c>
      <c r="H7665" t="s">
        <v>97</v>
      </c>
      <c r="I7665" t="s">
        <v>98</v>
      </c>
      <c r="J7665" t="str">
        <f>"4555010"</f>
        <v>4555010</v>
      </c>
      <c r="K7665">
        <v>2433022521</v>
      </c>
      <c r="L7665">
        <v>2433022930</v>
      </c>
      <c r="M7665" t="s">
        <v>21516</v>
      </c>
      <c r="N7665" t="s">
        <v>21517</v>
      </c>
      <c r="O7665" t="s">
        <v>21518</v>
      </c>
      <c r="P7665">
        <v>42031</v>
      </c>
      <c r="Q7665" t="str">
        <f>"39.592554"</f>
        <v>39.592554</v>
      </c>
      <c r="R7665" t="str">
        <f>"22.058937"</f>
        <v>22.058937</v>
      </c>
      <c r="S7665" t="s">
        <v>26</v>
      </c>
    </row>
    <row r="7666" spans="1:19" x14ac:dyDescent="0.3">
      <c r="A7666" t="s">
        <v>20660</v>
      </c>
      <c r="B7666" t="s">
        <v>21501</v>
      </c>
      <c r="C7666" t="s">
        <v>21524</v>
      </c>
      <c r="D7666" t="s">
        <v>20680</v>
      </c>
      <c r="E7666" t="s">
        <v>20681</v>
      </c>
      <c r="F7666" t="s">
        <v>20681</v>
      </c>
      <c r="G7666" t="s">
        <v>20681</v>
      </c>
      <c r="H7666" t="s">
        <v>97</v>
      </c>
      <c r="I7666" t="s">
        <v>98</v>
      </c>
      <c r="J7666" t="str">
        <f>"4551043"</f>
        <v>4551043</v>
      </c>
      <c r="K7666">
        <v>2431074661</v>
      </c>
      <c r="L7666">
        <v>2431074631</v>
      </c>
      <c r="M7666" t="s">
        <v>21525</v>
      </c>
      <c r="N7666" t="s">
        <v>20684</v>
      </c>
      <c r="O7666" t="s">
        <v>21526</v>
      </c>
      <c r="P7666">
        <v>42100</v>
      </c>
      <c r="Q7666" t="str">
        <f>"39.541394"</f>
        <v>39.541394</v>
      </c>
      <c r="R7666" t="str">
        <f>"21.769932"</f>
        <v>21.769932</v>
      </c>
      <c r="S7666" t="s">
        <v>26</v>
      </c>
    </row>
    <row r="7667" spans="1:19" x14ac:dyDescent="0.3">
      <c r="A7667" t="s">
        <v>20660</v>
      </c>
      <c r="B7667" t="s">
        <v>21501</v>
      </c>
      <c r="C7667" t="s">
        <v>21550</v>
      </c>
      <c r="D7667" t="s">
        <v>20680</v>
      </c>
      <c r="E7667" t="s">
        <v>20681</v>
      </c>
      <c r="F7667" t="s">
        <v>20681</v>
      </c>
      <c r="G7667" t="s">
        <v>20681</v>
      </c>
      <c r="H7667" t="s">
        <v>97</v>
      </c>
      <c r="I7667" t="s">
        <v>98</v>
      </c>
      <c r="J7667" t="str">
        <f>"4551009"</f>
        <v>4551009</v>
      </c>
      <c r="K7667">
        <v>2431033554</v>
      </c>
      <c r="L7667">
        <v>2431033554</v>
      </c>
      <c r="M7667" t="s">
        <v>21551</v>
      </c>
      <c r="N7667" t="s">
        <v>20684</v>
      </c>
      <c r="O7667" t="s">
        <v>21552</v>
      </c>
      <c r="P7667">
        <v>42132</v>
      </c>
      <c r="Q7667" t="str">
        <f>"39.566420"</f>
        <v>39.566420</v>
      </c>
      <c r="R7667" t="str">
        <f>"21.771965"</f>
        <v>21.771965</v>
      </c>
      <c r="S7667" t="s">
        <v>26</v>
      </c>
    </row>
    <row r="7668" spans="1:19" x14ac:dyDescent="0.3">
      <c r="A7668" t="s">
        <v>20660</v>
      </c>
      <c r="B7668" t="s">
        <v>21501</v>
      </c>
      <c r="C7668" t="s">
        <v>21553</v>
      </c>
      <c r="D7668" t="s">
        <v>20680</v>
      </c>
      <c r="E7668" t="s">
        <v>20681</v>
      </c>
      <c r="F7668" t="s">
        <v>20681</v>
      </c>
      <c r="G7668" t="s">
        <v>20681</v>
      </c>
      <c r="H7668" t="s">
        <v>97</v>
      </c>
      <c r="I7668" t="s">
        <v>98</v>
      </c>
      <c r="J7668" t="str">
        <f>"4551020"</f>
        <v>4551020</v>
      </c>
      <c r="K7668">
        <v>2431027563</v>
      </c>
      <c r="M7668" t="s">
        <v>21554</v>
      </c>
      <c r="N7668" t="s">
        <v>20684</v>
      </c>
      <c r="O7668" t="s">
        <v>21555</v>
      </c>
      <c r="P7668">
        <v>42132</v>
      </c>
      <c r="Q7668" t="str">
        <f>"39.551316"</f>
        <v>39.551316</v>
      </c>
      <c r="R7668" t="str">
        <f>"21.776089"</f>
        <v>21.776089</v>
      </c>
      <c r="S7668" t="s">
        <v>26</v>
      </c>
    </row>
    <row r="7669" spans="1:19" x14ac:dyDescent="0.3">
      <c r="A7669" t="s">
        <v>20660</v>
      </c>
      <c r="B7669" t="s">
        <v>21501</v>
      </c>
      <c r="C7669" t="s">
        <v>21557</v>
      </c>
      <c r="D7669" t="s">
        <v>20680</v>
      </c>
      <c r="E7669" t="s">
        <v>20681</v>
      </c>
      <c r="F7669" t="s">
        <v>20681</v>
      </c>
      <c r="G7669" t="s">
        <v>20681</v>
      </c>
      <c r="H7669" t="s">
        <v>97</v>
      </c>
      <c r="I7669" t="s">
        <v>98</v>
      </c>
      <c r="J7669" t="str">
        <f>"4551010"</f>
        <v>4551010</v>
      </c>
      <c r="K7669">
        <v>2431027585</v>
      </c>
      <c r="L7669">
        <v>2431075830</v>
      </c>
      <c r="M7669" t="s">
        <v>21558</v>
      </c>
      <c r="N7669" t="s">
        <v>20684</v>
      </c>
      <c r="O7669" t="s">
        <v>21559</v>
      </c>
      <c r="P7669">
        <v>42132</v>
      </c>
      <c r="Q7669" t="str">
        <f>"39.565472"</f>
        <v>39.565472</v>
      </c>
      <c r="R7669" t="str">
        <f>"21.772437"</f>
        <v>21.772437</v>
      </c>
      <c r="S7669" t="s">
        <v>26</v>
      </c>
    </row>
    <row r="7670" spans="1:19" x14ac:dyDescent="0.3">
      <c r="A7670" t="s">
        <v>20660</v>
      </c>
      <c r="B7670" t="s">
        <v>21501</v>
      </c>
      <c r="C7670" t="s">
        <v>21560</v>
      </c>
      <c r="D7670" t="s">
        <v>20680</v>
      </c>
      <c r="E7670" t="s">
        <v>20681</v>
      </c>
      <c r="F7670" t="s">
        <v>20681</v>
      </c>
      <c r="G7670" t="s">
        <v>20681</v>
      </c>
      <c r="H7670" t="s">
        <v>97</v>
      </c>
      <c r="I7670" t="s">
        <v>98</v>
      </c>
      <c r="J7670" t="str">
        <f>"4551031"</f>
        <v>4551031</v>
      </c>
      <c r="K7670">
        <v>2431022403</v>
      </c>
      <c r="L7670">
        <v>2431022450</v>
      </c>
      <c r="M7670" t="s">
        <v>21561</v>
      </c>
      <c r="N7670" t="s">
        <v>21562</v>
      </c>
      <c r="O7670" t="s">
        <v>21563</v>
      </c>
      <c r="P7670">
        <v>42132</v>
      </c>
      <c r="Q7670" t="str">
        <f>"39.556215"</f>
        <v>39.556215</v>
      </c>
      <c r="R7670" t="str">
        <f>"21.780886"</f>
        <v>21.780886</v>
      </c>
      <c r="S7670" t="s">
        <v>26</v>
      </c>
    </row>
    <row r="7671" spans="1:19" x14ac:dyDescent="0.3">
      <c r="A7671" t="s">
        <v>20660</v>
      </c>
      <c r="B7671" t="s">
        <v>21501</v>
      </c>
      <c r="C7671" t="s">
        <v>21565</v>
      </c>
      <c r="D7671" t="s">
        <v>20680</v>
      </c>
      <c r="E7671" t="s">
        <v>21531</v>
      </c>
      <c r="F7671" t="s">
        <v>21531</v>
      </c>
      <c r="G7671" t="s">
        <v>21531</v>
      </c>
      <c r="H7671" t="s">
        <v>97</v>
      </c>
      <c r="I7671" t="s">
        <v>98</v>
      </c>
      <c r="J7671" t="str">
        <f>"4553010"</f>
        <v>4553010</v>
      </c>
      <c r="K7671">
        <v>2434022177</v>
      </c>
      <c r="L7671">
        <v>2434022166</v>
      </c>
      <c r="M7671" t="s">
        <v>21566</v>
      </c>
      <c r="N7671" t="s">
        <v>21567</v>
      </c>
      <c r="O7671" t="s">
        <v>21568</v>
      </c>
      <c r="P7671">
        <v>42032</v>
      </c>
      <c r="Q7671" t="str">
        <f>"39.461181"</f>
        <v>39.461181</v>
      </c>
      <c r="R7671" t="str">
        <f>"21.620982"</f>
        <v>21.620982</v>
      </c>
      <c r="S7671" t="s">
        <v>26</v>
      </c>
    </row>
    <row r="7672" spans="1:19" x14ac:dyDescent="0.3">
      <c r="A7672" t="s">
        <v>20660</v>
      </c>
      <c r="B7672" t="s">
        <v>21501</v>
      </c>
      <c r="C7672" t="s">
        <v>21569</v>
      </c>
      <c r="D7672" t="s">
        <v>20680</v>
      </c>
      <c r="E7672" t="s">
        <v>20681</v>
      </c>
      <c r="F7672" t="s">
        <v>20681</v>
      </c>
      <c r="G7672" t="s">
        <v>20681</v>
      </c>
      <c r="H7672" t="s">
        <v>97</v>
      </c>
      <c r="I7672" t="s">
        <v>98</v>
      </c>
      <c r="J7672" t="str">
        <f>"4551045"</f>
        <v>4551045</v>
      </c>
      <c r="K7672">
        <v>2431074010</v>
      </c>
      <c r="L7672">
        <v>2431074049</v>
      </c>
      <c r="M7672" t="s">
        <v>21570</v>
      </c>
      <c r="N7672" t="s">
        <v>20680</v>
      </c>
      <c r="O7672" t="s">
        <v>21571</v>
      </c>
      <c r="P7672">
        <v>42100</v>
      </c>
      <c r="Q7672" t="str">
        <f>"39.542471"</f>
        <v>39.542471</v>
      </c>
      <c r="R7672" t="str">
        <f>"21.753323"</f>
        <v>21.753323</v>
      </c>
      <c r="S7672" t="s">
        <v>26</v>
      </c>
    </row>
    <row r="7673" spans="1:19" x14ac:dyDescent="0.3">
      <c r="A7673" t="s">
        <v>20660</v>
      </c>
      <c r="B7673" t="s">
        <v>21501</v>
      </c>
      <c r="C7673" t="s">
        <v>21575</v>
      </c>
      <c r="D7673" t="s">
        <v>20680</v>
      </c>
      <c r="E7673" t="s">
        <v>20681</v>
      </c>
      <c r="F7673" t="s">
        <v>21573</v>
      </c>
      <c r="G7673" t="s">
        <v>21574</v>
      </c>
      <c r="H7673" t="s">
        <v>97</v>
      </c>
      <c r="I7673" t="s">
        <v>98</v>
      </c>
      <c r="J7673" t="str">
        <f>"4557010"</f>
        <v>4557010</v>
      </c>
      <c r="K7673">
        <v>2431094224</v>
      </c>
      <c r="L7673">
        <v>2431094206</v>
      </c>
      <c r="M7673" t="s">
        <v>21576</v>
      </c>
      <c r="N7673" t="s">
        <v>21577</v>
      </c>
      <c r="O7673" t="s">
        <v>21578</v>
      </c>
      <c r="P7673">
        <v>42100</v>
      </c>
      <c r="Q7673" t="str">
        <f>"39.550381"</f>
        <v>39.550381</v>
      </c>
      <c r="R7673" t="str">
        <f>"21.656832"</f>
        <v>21.656832</v>
      </c>
      <c r="S7673" t="s">
        <v>26</v>
      </c>
    </row>
    <row r="7674" spans="1:19" x14ac:dyDescent="0.3">
      <c r="A7674" t="s">
        <v>20660</v>
      </c>
      <c r="B7674" t="s">
        <v>21501</v>
      </c>
      <c r="C7674" t="s">
        <v>21581</v>
      </c>
      <c r="D7674" t="s">
        <v>20680</v>
      </c>
      <c r="E7674" t="s">
        <v>21508</v>
      </c>
      <c r="F7674" t="s">
        <v>21508</v>
      </c>
      <c r="G7674" t="s">
        <v>21580</v>
      </c>
      <c r="H7674" t="s">
        <v>97</v>
      </c>
      <c r="I7674" t="s">
        <v>98</v>
      </c>
      <c r="J7674" t="str">
        <f>"4552010"</f>
        <v>4552010</v>
      </c>
      <c r="K7674">
        <v>2432022317</v>
      </c>
      <c r="L7674">
        <v>2432075000</v>
      </c>
      <c r="M7674" t="s">
        <v>21582</v>
      </c>
      <c r="N7674" t="s">
        <v>21583</v>
      </c>
      <c r="O7674" t="s">
        <v>21584</v>
      </c>
      <c r="P7674">
        <v>42200</v>
      </c>
      <c r="Q7674" t="str">
        <f>"39.707444"</f>
        <v>39.707444</v>
      </c>
      <c r="R7674" t="str">
        <f>"21.630523"</f>
        <v>21.630523</v>
      </c>
      <c r="S7674" t="s">
        <v>26</v>
      </c>
    </row>
    <row r="7675" spans="1:19" x14ac:dyDescent="0.3">
      <c r="A7675" t="s">
        <v>20660</v>
      </c>
      <c r="B7675" t="s">
        <v>21501</v>
      </c>
      <c r="C7675" t="s">
        <v>21586</v>
      </c>
      <c r="D7675" t="s">
        <v>20680</v>
      </c>
      <c r="E7675" t="s">
        <v>20681</v>
      </c>
      <c r="F7675" t="s">
        <v>20681</v>
      </c>
      <c r="G7675" t="s">
        <v>20681</v>
      </c>
      <c r="H7675" t="s">
        <v>97</v>
      </c>
      <c r="I7675" t="s">
        <v>98</v>
      </c>
      <c r="J7675" t="str">
        <f>"4551040"</f>
        <v>4551040</v>
      </c>
      <c r="K7675">
        <v>2431033780</v>
      </c>
      <c r="L7675">
        <v>2431071559</v>
      </c>
      <c r="M7675" t="s">
        <v>21587</v>
      </c>
      <c r="N7675" t="s">
        <v>21562</v>
      </c>
      <c r="O7675" t="s">
        <v>21588</v>
      </c>
      <c r="P7675">
        <v>42131</v>
      </c>
      <c r="Q7675" t="str">
        <f>"39.562097"</f>
        <v>39.562097</v>
      </c>
      <c r="R7675" t="str">
        <f>"21.753625"</f>
        <v>21.753625</v>
      </c>
      <c r="S7675" t="s">
        <v>26</v>
      </c>
    </row>
    <row r="7676" spans="1:19" x14ac:dyDescent="0.3">
      <c r="A7676" t="s">
        <v>20660</v>
      </c>
      <c r="B7676" t="s">
        <v>21501</v>
      </c>
      <c r="C7676" t="s">
        <v>21589</v>
      </c>
      <c r="D7676" t="s">
        <v>20680</v>
      </c>
      <c r="E7676" t="s">
        <v>20681</v>
      </c>
      <c r="F7676" t="s">
        <v>20681</v>
      </c>
      <c r="G7676" t="s">
        <v>20681</v>
      </c>
      <c r="H7676" t="s">
        <v>97</v>
      </c>
      <c r="I7676" t="s">
        <v>98</v>
      </c>
      <c r="J7676" t="str">
        <f>"4551030"</f>
        <v>4551030</v>
      </c>
      <c r="K7676">
        <v>2431022571</v>
      </c>
      <c r="L7676">
        <v>2431030435</v>
      </c>
      <c r="M7676" t="s">
        <v>21590</v>
      </c>
      <c r="N7676" t="s">
        <v>21591</v>
      </c>
      <c r="O7676" t="s">
        <v>21592</v>
      </c>
      <c r="P7676">
        <v>42131</v>
      </c>
      <c r="Q7676" t="str">
        <f>"39.551840"</f>
        <v>39.551840</v>
      </c>
      <c r="R7676" t="str">
        <f>"21.758369"</f>
        <v>21.758369</v>
      </c>
      <c r="S7676" t="s">
        <v>26</v>
      </c>
    </row>
    <row r="7677" spans="1:19" x14ac:dyDescent="0.3">
      <c r="A7677" t="s">
        <v>20660</v>
      </c>
      <c r="B7677" t="s">
        <v>21501</v>
      </c>
      <c r="C7677" t="s">
        <v>21594</v>
      </c>
      <c r="D7677" t="s">
        <v>20680</v>
      </c>
      <c r="E7677" t="s">
        <v>21502</v>
      </c>
      <c r="F7677" t="s">
        <v>21503</v>
      </c>
      <c r="G7677" t="s">
        <v>21503</v>
      </c>
      <c r="H7677" t="s">
        <v>97</v>
      </c>
      <c r="I7677" t="s">
        <v>98</v>
      </c>
      <c r="J7677" t="str">
        <f>"4555020"</f>
        <v>4555020</v>
      </c>
      <c r="K7677">
        <v>2433031645</v>
      </c>
      <c r="L7677">
        <v>2433031060</v>
      </c>
      <c r="M7677" t="s">
        <v>21595</v>
      </c>
      <c r="N7677" t="s">
        <v>21506</v>
      </c>
      <c r="O7677" t="s">
        <v>21596</v>
      </c>
      <c r="P7677">
        <v>42300</v>
      </c>
      <c r="Q7677" t="str">
        <f>"39.610139"</f>
        <v>39.610139</v>
      </c>
      <c r="R7677" t="str">
        <f>"21.990107"</f>
        <v>21.990107</v>
      </c>
      <c r="S7677" t="s">
        <v>26</v>
      </c>
    </row>
    <row r="7678" spans="1:19" x14ac:dyDescent="0.3">
      <c r="A7678" t="s">
        <v>23985</v>
      </c>
      <c r="B7678" t="s">
        <v>24008</v>
      </c>
      <c r="C7678" t="s">
        <v>24017</v>
      </c>
      <c r="D7678" t="s">
        <v>8088</v>
      </c>
      <c r="E7678" t="s">
        <v>8088</v>
      </c>
      <c r="F7678" t="s">
        <v>23986</v>
      </c>
      <c r="G7678" t="s">
        <v>23986</v>
      </c>
      <c r="H7678" t="s">
        <v>97</v>
      </c>
      <c r="I7678" t="s">
        <v>98</v>
      </c>
      <c r="J7678" t="str">
        <f>"1451020"</f>
        <v>1451020</v>
      </c>
      <c r="K7678">
        <v>2695044173</v>
      </c>
      <c r="L7678">
        <v>2695043699</v>
      </c>
      <c r="M7678" t="s">
        <v>24018</v>
      </c>
      <c r="N7678" t="s">
        <v>23989</v>
      </c>
      <c r="O7678" t="s">
        <v>24019</v>
      </c>
      <c r="P7678">
        <v>29100</v>
      </c>
      <c r="Q7678" t="str">
        <f>"37.765302"</f>
        <v>37.765302</v>
      </c>
      <c r="R7678" t="str">
        <f>"20.904583"</f>
        <v>20.904583</v>
      </c>
      <c r="S7678" t="s">
        <v>26</v>
      </c>
    </row>
    <row r="7679" spans="1:19" x14ac:dyDescent="0.3">
      <c r="A7679" t="s">
        <v>23985</v>
      </c>
      <c r="B7679" t="s">
        <v>24008</v>
      </c>
      <c r="C7679" t="s">
        <v>24023</v>
      </c>
      <c r="D7679" t="s">
        <v>8088</v>
      </c>
      <c r="E7679" t="s">
        <v>8088</v>
      </c>
      <c r="F7679" t="s">
        <v>24021</v>
      </c>
      <c r="G7679" t="s">
        <v>24022</v>
      </c>
      <c r="H7679" t="s">
        <v>97</v>
      </c>
      <c r="I7679" t="s">
        <v>98</v>
      </c>
      <c r="J7679" t="str">
        <f>"1451030"</f>
        <v>1451030</v>
      </c>
      <c r="K7679">
        <v>2695083228</v>
      </c>
      <c r="L7679">
        <v>2695084113</v>
      </c>
      <c r="M7679" t="s">
        <v>24024</v>
      </c>
      <c r="N7679" t="s">
        <v>23989</v>
      </c>
      <c r="O7679" t="s">
        <v>24025</v>
      </c>
      <c r="P7679">
        <v>29090</v>
      </c>
      <c r="Q7679" t="str">
        <f>"37.827786"</f>
        <v>37.827786</v>
      </c>
      <c r="R7679" t="str">
        <f>"20.762535"</f>
        <v>20.762535</v>
      </c>
      <c r="S7679" t="s">
        <v>26</v>
      </c>
    </row>
    <row r="7680" spans="1:19" x14ac:dyDescent="0.3">
      <c r="A7680" t="s">
        <v>23985</v>
      </c>
      <c r="B7680" t="s">
        <v>24008</v>
      </c>
      <c r="C7680" t="s">
        <v>24027</v>
      </c>
      <c r="D7680" t="s">
        <v>8088</v>
      </c>
      <c r="E7680" t="s">
        <v>8088</v>
      </c>
      <c r="F7680" t="s">
        <v>23986</v>
      </c>
      <c r="G7680" t="s">
        <v>23986</v>
      </c>
      <c r="H7680" t="s">
        <v>97</v>
      </c>
      <c r="I7680" t="s">
        <v>98</v>
      </c>
      <c r="J7680" t="str">
        <f>"1451010"</f>
        <v>1451010</v>
      </c>
      <c r="K7680">
        <v>2695042504</v>
      </c>
      <c r="L7680">
        <v>2695042504</v>
      </c>
      <c r="M7680" t="s">
        <v>24028</v>
      </c>
      <c r="N7680" t="s">
        <v>23989</v>
      </c>
      <c r="O7680" t="s">
        <v>24029</v>
      </c>
      <c r="P7680">
        <v>29100</v>
      </c>
      <c r="Q7680" t="str">
        <f>"37.789056"</f>
        <v>37.789056</v>
      </c>
      <c r="R7680" t="str">
        <f>"20.896769"</f>
        <v>20.896769</v>
      </c>
      <c r="S7680" t="s">
        <v>26</v>
      </c>
    </row>
    <row r="7681" spans="1:19" x14ac:dyDescent="0.3">
      <c r="A7681" t="s">
        <v>23985</v>
      </c>
      <c r="B7681" t="s">
        <v>24070</v>
      </c>
      <c r="C7681" t="s">
        <v>24085</v>
      </c>
      <c r="D7681" t="s">
        <v>20006</v>
      </c>
      <c r="E7681" t="s">
        <v>23991</v>
      </c>
      <c r="F7681" t="s">
        <v>24083</v>
      </c>
      <c r="G7681" t="s">
        <v>24084</v>
      </c>
      <c r="H7681" t="s">
        <v>97</v>
      </c>
      <c r="I7681" t="s">
        <v>98</v>
      </c>
      <c r="J7681" t="str">
        <f>"2457010"</f>
        <v>2457010</v>
      </c>
      <c r="K7681">
        <v>2661054404</v>
      </c>
      <c r="L7681">
        <v>2661054411</v>
      </c>
      <c r="M7681" t="s">
        <v>24086</v>
      </c>
      <c r="N7681" t="s">
        <v>24087</v>
      </c>
      <c r="O7681" t="s">
        <v>24088</v>
      </c>
      <c r="P7681">
        <v>49084</v>
      </c>
      <c r="Q7681" t="str">
        <f>"39.563451"</f>
        <v>39.563451</v>
      </c>
      <c r="R7681" t="str">
        <f>"19.867262"</f>
        <v>19.867262</v>
      </c>
      <c r="S7681" t="s">
        <v>26</v>
      </c>
    </row>
    <row r="7682" spans="1:19" x14ac:dyDescent="0.3">
      <c r="A7682" t="s">
        <v>23985</v>
      </c>
      <c r="B7682" t="s">
        <v>24070</v>
      </c>
      <c r="C7682" t="s">
        <v>24098</v>
      </c>
      <c r="D7682" t="s">
        <v>20006</v>
      </c>
      <c r="E7682" t="s">
        <v>23991</v>
      </c>
      <c r="F7682" t="s">
        <v>23992</v>
      </c>
      <c r="G7682" t="s">
        <v>23992</v>
      </c>
      <c r="H7682" t="s">
        <v>97</v>
      </c>
      <c r="I7682" t="s">
        <v>195</v>
      </c>
      <c r="J7682" t="str">
        <f>"2451060"</f>
        <v>2451060</v>
      </c>
      <c r="K7682">
        <v>2661048712</v>
      </c>
      <c r="L7682">
        <v>2661041350</v>
      </c>
      <c r="M7682" t="s">
        <v>24099</v>
      </c>
      <c r="N7682" t="s">
        <v>20006</v>
      </c>
      <c r="O7682" t="s">
        <v>24100</v>
      </c>
      <c r="P7682">
        <v>49100</v>
      </c>
      <c r="Q7682" t="str">
        <f>"39.622167"</f>
        <v>39.622167</v>
      </c>
      <c r="R7682" t="str">
        <f>"19.914493"</f>
        <v>19.914493</v>
      </c>
      <c r="S7682" t="s">
        <v>26</v>
      </c>
    </row>
    <row r="7683" spans="1:19" x14ac:dyDescent="0.3">
      <c r="A7683" t="s">
        <v>23985</v>
      </c>
      <c r="B7683" t="s">
        <v>24070</v>
      </c>
      <c r="C7683" t="s">
        <v>24129</v>
      </c>
      <c r="D7683" t="s">
        <v>20006</v>
      </c>
      <c r="E7683" t="s">
        <v>23991</v>
      </c>
      <c r="F7683" t="s">
        <v>23992</v>
      </c>
      <c r="G7683" t="s">
        <v>23992</v>
      </c>
      <c r="H7683" t="s">
        <v>97</v>
      </c>
      <c r="I7683" t="s">
        <v>98</v>
      </c>
      <c r="J7683" t="str">
        <f>"2451010"</f>
        <v>2451010</v>
      </c>
      <c r="K7683">
        <v>2661039827</v>
      </c>
      <c r="L7683">
        <v>2661042959</v>
      </c>
      <c r="M7683" t="s">
        <v>24130</v>
      </c>
      <c r="N7683" t="s">
        <v>23995</v>
      </c>
      <c r="O7683" t="s">
        <v>24131</v>
      </c>
      <c r="P7683">
        <v>49100</v>
      </c>
      <c r="Q7683" t="str">
        <f>"39.622593"</f>
        <v>39.622593</v>
      </c>
      <c r="R7683" t="str">
        <f>"19.914137"</f>
        <v>19.914137</v>
      </c>
      <c r="S7683" t="s">
        <v>26</v>
      </c>
    </row>
    <row r="7684" spans="1:19" x14ac:dyDescent="0.3">
      <c r="A7684" t="s">
        <v>23985</v>
      </c>
      <c r="B7684" t="s">
        <v>24070</v>
      </c>
      <c r="C7684" t="s">
        <v>24132</v>
      </c>
      <c r="D7684" t="s">
        <v>20006</v>
      </c>
      <c r="E7684" t="s">
        <v>24075</v>
      </c>
      <c r="F7684" t="s">
        <v>24076</v>
      </c>
      <c r="G7684" t="s">
        <v>24077</v>
      </c>
      <c r="H7684" t="s">
        <v>97</v>
      </c>
      <c r="I7684" t="s">
        <v>98</v>
      </c>
      <c r="J7684" t="str">
        <f>"2452010"</f>
        <v>2452010</v>
      </c>
      <c r="K7684">
        <v>2662022661</v>
      </c>
      <c r="M7684" t="s">
        <v>24133</v>
      </c>
      <c r="N7684" t="s">
        <v>24134</v>
      </c>
      <c r="O7684" t="s">
        <v>24081</v>
      </c>
      <c r="P7684">
        <v>49080</v>
      </c>
      <c r="Q7684" t="str">
        <f>"39.422438"</f>
        <v>39.422438</v>
      </c>
      <c r="R7684" t="str">
        <f>"20.071390"</f>
        <v>20.071390</v>
      </c>
      <c r="S7684" t="s">
        <v>26</v>
      </c>
    </row>
    <row r="7685" spans="1:19" x14ac:dyDescent="0.3">
      <c r="A7685" t="s">
        <v>23985</v>
      </c>
      <c r="B7685" t="s">
        <v>24070</v>
      </c>
      <c r="C7685" t="s">
        <v>24136</v>
      </c>
      <c r="D7685" t="s">
        <v>20006</v>
      </c>
      <c r="E7685" t="s">
        <v>23991</v>
      </c>
      <c r="F7685" t="s">
        <v>23992</v>
      </c>
      <c r="G7685" t="s">
        <v>23992</v>
      </c>
      <c r="H7685" t="s">
        <v>97</v>
      </c>
      <c r="I7685" t="s">
        <v>98</v>
      </c>
      <c r="J7685" t="str">
        <f>"2451020"</f>
        <v>2451020</v>
      </c>
      <c r="K7685">
        <v>2661043400</v>
      </c>
      <c r="L7685">
        <v>2661031733</v>
      </c>
      <c r="M7685" t="s">
        <v>24137</v>
      </c>
      <c r="N7685" t="s">
        <v>23995</v>
      </c>
      <c r="O7685" t="s">
        <v>24131</v>
      </c>
      <c r="P7685">
        <v>49100</v>
      </c>
      <c r="Q7685" t="str">
        <f>"39.622579"</f>
        <v>39.622579</v>
      </c>
      <c r="R7685" t="str">
        <f>"19.914206"</f>
        <v>19.914206</v>
      </c>
      <c r="S7685" t="s">
        <v>26</v>
      </c>
    </row>
    <row r="7686" spans="1:19" x14ac:dyDescent="0.3">
      <c r="A7686" t="s">
        <v>23985</v>
      </c>
      <c r="B7686" t="s">
        <v>24070</v>
      </c>
      <c r="C7686" t="s">
        <v>24138</v>
      </c>
      <c r="D7686" t="s">
        <v>20006</v>
      </c>
      <c r="E7686" t="s">
        <v>23991</v>
      </c>
      <c r="F7686" t="s">
        <v>23992</v>
      </c>
      <c r="G7686" t="s">
        <v>23992</v>
      </c>
      <c r="H7686" t="s">
        <v>97</v>
      </c>
      <c r="I7686" t="s">
        <v>98</v>
      </c>
      <c r="J7686" t="str">
        <f>"2451040"</f>
        <v>2451040</v>
      </c>
      <c r="K7686">
        <v>2661021644</v>
      </c>
      <c r="L7686">
        <v>2661021644</v>
      </c>
      <c r="M7686" t="s">
        <v>24139</v>
      </c>
      <c r="N7686" t="s">
        <v>23995</v>
      </c>
      <c r="O7686" t="s">
        <v>24140</v>
      </c>
      <c r="P7686">
        <v>49100</v>
      </c>
      <c r="Q7686" t="str">
        <f>"39.612624"</f>
        <v>39.612624</v>
      </c>
      <c r="R7686" t="str">
        <f>"19.913364"</f>
        <v>19.913364</v>
      </c>
      <c r="S7686" t="s">
        <v>26</v>
      </c>
    </row>
    <row r="7687" spans="1:19" x14ac:dyDescent="0.3">
      <c r="A7687" t="s">
        <v>23985</v>
      </c>
      <c r="B7687" t="s">
        <v>24070</v>
      </c>
      <c r="C7687" t="s">
        <v>24141</v>
      </c>
      <c r="D7687" t="s">
        <v>20006</v>
      </c>
      <c r="E7687" t="s">
        <v>23991</v>
      </c>
      <c r="F7687" t="s">
        <v>23992</v>
      </c>
      <c r="G7687" t="s">
        <v>23992</v>
      </c>
      <c r="H7687" t="s">
        <v>97</v>
      </c>
      <c r="I7687" t="s">
        <v>98</v>
      </c>
      <c r="J7687" t="str">
        <f>"2451030"</f>
        <v>2451030</v>
      </c>
      <c r="K7687">
        <v>2661039713</v>
      </c>
      <c r="L7687">
        <v>2661026974</v>
      </c>
      <c r="M7687" t="s">
        <v>24142</v>
      </c>
      <c r="N7687" t="s">
        <v>23995</v>
      </c>
      <c r="O7687" t="s">
        <v>24143</v>
      </c>
      <c r="P7687">
        <v>49100</v>
      </c>
      <c r="Q7687" t="str">
        <f>"39.622203"</f>
        <v>39.622203</v>
      </c>
      <c r="R7687" t="str">
        <f>"19.914534"</f>
        <v>19.914534</v>
      </c>
      <c r="S7687" t="s">
        <v>26</v>
      </c>
    </row>
    <row r="7688" spans="1:19" x14ac:dyDescent="0.3">
      <c r="A7688" t="s">
        <v>23985</v>
      </c>
      <c r="B7688" t="s">
        <v>24070</v>
      </c>
      <c r="C7688" t="s">
        <v>24144</v>
      </c>
      <c r="D7688" t="s">
        <v>20006</v>
      </c>
      <c r="E7688" t="s">
        <v>23991</v>
      </c>
      <c r="F7688" t="s">
        <v>23992</v>
      </c>
      <c r="G7688" t="s">
        <v>23992</v>
      </c>
      <c r="H7688" t="s">
        <v>97</v>
      </c>
      <c r="I7688" t="s">
        <v>98</v>
      </c>
      <c r="J7688" t="str">
        <f>"2490030"</f>
        <v>2490030</v>
      </c>
      <c r="K7688">
        <v>2661041841</v>
      </c>
      <c r="L7688">
        <v>2661034413</v>
      </c>
      <c r="M7688" t="s">
        <v>24145</v>
      </c>
      <c r="N7688" t="s">
        <v>23995</v>
      </c>
      <c r="O7688" t="s">
        <v>24146</v>
      </c>
      <c r="P7688">
        <v>49132</v>
      </c>
      <c r="Q7688" t="str">
        <f>"39.624984"</f>
        <v>39.624984</v>
      </c>
      <c r="R7688" t="str">
        <f>"19.922346"</f>
        <v>19.922346</v>
      </c>
      <c r="S7688" t="s">
        <v>26</v>
      </c>
    </row>
    <row r="7689" spans="1:19" x14ac:dyDescent="0.3">
      <c r="A7689" t="s">
        <v>23985</v>
      </c>
      <c r="B7689" t="s">
        <v>24070</v>
      </c>
      <c r="C7689" t="s">
        <v>24220</v>
      </c>
      <c r="D7689" t="s">
        <v>20006</v>
      </c>
      <c r="E7689" t="s">
        <v>24148</v>
      </c>
      <c r="F7689" t="s">
        <v>1872</v>
      </c>
      <c r="G7689" t="s">
        <v>24208</v>
      </c>
      <c r="H7689" t="s">
        <v>97</v>
      </c>
      <c r="I7689" t="s">
        <v>98</v>
      </c>
      <c r="J7689" t="str">
        <f>"2454010"</f>
        <v>2454010</v>
      </c>
      <c r="K7689">
        <v>2663071202</v>
      </c>
      <c r="L7689">
        <v>2663071202</v>
      </c>
      <c r="M7689" t="s">
        <v>24221</v>
      </c>
      <c r="N7689" t="s">
        <v>20006</v>
      </c>
      <c r="O7689" t="s">
        <v>24211</v>
      </c>
      <c r="P7689">
        <v>49083</v>
      </c>
      <c r="Q7689" t="str">
        <f>"39.718661"</f>
        <v>39.718661</v>
      </c>
      <c r="R7689" t="str">
        <f>"19.725586"</f>
        <v>19.725586</v>
      </c>
      <c r="S7689" t="s">
        <v>26</v>
      </c>
    </row>
    <row r="7690" spans="1:19" x14ac:dyDescent="0.3">
      <c r="A7690" t="s">
        <v>23985</v>
      </c>
      <c r="B7690" t="s">
        <v>24238</v>
      </c>
      <c r="C7690" t="s">
        <v>24240</v>
      </c>
      <c r="D7690" t="s">
        <v>24239</v>
      </c>
      <c r="E7690" t="s">
        <v>24239</v>
      </c>
      <c r="F7690" t="s">
        <v>24239</v>
      </c>
      <c r="G7690" t="s">
        <v>24239</v>
      </c>
      <c r="H7690" t="s">
        <v>97</v>
      </c>
      <c r="I7690" t="s">
        <v>98</v>
      </c>
      <c r="J7690" t="str">
        <f>"2556010"</f>
        <v>2556010</v>
      </c>
      <c r="K7690">
        <v>2674032177</v>
      </c>
      <c r="L7690">
        <v>2674033339</v>
      </c>
      <c r="M7690" t="s">
        <v>24241</v>
      </c>
      <c r="N7690" t="s">
        <v>24242</v>
      </c>
      <c r="O7690" t="s">
        <v>24243</v>
      </c>
      <c r="P7690">
        <v>28300</v>
      </c>
      <c r="Q7690" t="str">
        <f>"38.362628"</f>
        <v>38.362628</v>
      </c>
      <c r="R7690" t="str">
        <f>"20.721267"</f>
        <v>20.721267</v>
      </c>
      <c r="S7690" t="s">
        <v>57</v>
      </c>
    </row>
    <row r="7691" spans="1:19" x14ac:dyDescent="0.3">
      <c r="A7691" t="s">
        <v>23985</v>
      </c>
      <c r="B7691" t="s">
        <v>24238</v>
      </c>
      <c r="C7691" t="s">
        <v>24246</v>
      </c>
      <c r="D7691" t="s">
        <v>1150</v>
      </c>
      <c r="E7691" t="s">
        <v>23997</v>
      </c>
      <c r="F7691" t="s">
        <v>24245</v>
      </c>
      <c r="G7691" t="s">
        <v>12926</v>
      </c>
      <c r="H7691" t="s">
        <v>97</v>
      </c>
      <c r="I7691" t="s">
        <v>98</v>
      </c>
      <c r="J7691" t="str">
        <f>"2552010"</f>
        <v>2552010</v>
      </c>
      <c r="K7691">
        <v>2671069182</v>
      </c>
      <c r="M7691" t="s">
        <v>24247</v>
      </c>
      <c r="N7691" t="s">
        <v>24248</v>
      </c>
      <c r="O7691" t="s">
        <v>24249</v>
      </c>
      <c r="P7691">
        <v>28100</v>
      </c>
      <c r="Q7691" t="str">
        <f>"38.119027"</f>
        <v>38.119027</v>
      </c>
      <c r="R7691" t="str">
        <f>"20.561574"</f>
        <v>20.561574</v>
      </c>
      <c r="S7691" t="s">
        <v>26</v>
      </c>
    </row>
    <row r="7692" spans="1:19" x14ac:dyDescent="0.3">
      <c r="A7692" t="s">
        <v>23985</v>
      </c>
      <c r="B7692" t="s">
        <v>24238</v>
      </c>
      <c r="C7692" t="s">
        <v>24273</v>
      </c>
      <c r="D7692" t="s">
        <v>1150</v>
      </c>
      <c r="E7692" t="s">
        <v>23997</v>
      </c>
      <c r="F7692" t="s">
        <v>23997</v>
      </c>
      <c r="G7692" t="s">
        <v>23997</v>
      </c>
      <c r="H7692" t="s">
        <v>97</v>
      </c>
      <c r="I7692" t="s">
        <v>98</v>
      </c>
      <c r="J7692" t="str">
        <f>"2551009"</f>
        <v>2551009</v>
      </c>
      <c r="K7692">
        <v>2671026616</v>
      </c>
      <c r="L7692">
        <v>2671025985</v>
      </c>
      <c r="M7692" t="s">
        <v>24274</v>
      </c>
      <c r="N7692" t="s">
        <v>24275</v>
      </c>
      <c r="O7692" t="s">
        <v>24276</v>
      </c>
      <c r="P7692">
        <v>28100</v>
      </c>
      <c r="Q7692" t="str">
        <f>"38.170031"</f>
        <v>38.170031</v>
      </c>
      <c r="R7692" t="str">
        <f>"20.486482"</f>
        <v>20.486482</v>
      </c>
      <c r="S7692" t="s">
        <v>26</v>
      </c>
    </row>
    <row r="7693" spans="1:19" x14ac:dyDescent="0.3">
      <c r="A7693" t="s">
        <v>23985</v>
      </c>
      <c r="B7693" t="s">
        <v>24238</v>
      </c>
      <c r="C7693" t="s">
        <v>24279</v>
      </c>
      <c r="D7693" t="s">
        <v>1150</v>
      </c>
      <c r="E7693" t="s">
        <v>24278</v>
      </c>
      <c r="F7693" t="s">
        <v>24278</v>
      </c>
      <c r="G7693" t="s">
        <v>24278</v>
      </c>
      <c r="H7693" t="s">
        <v>97</v>
      </c>
      <c r="I7693" t="s">
        <v>98</v>
      </c>
      <c r="J7693" t="str">
        <f>"2554010"</f>
        <v>2554010</v>
      </c>
      <c r="K7693">
        <v>2674022482</v>
      </c>
      <c r="L7693">
        <v>2674022482</v>
      </c>
      <c r="M7693" t="s">
        <v>24280</v>
      </c>
      <c r="N7693" t="s">
        <v>24281</v>
      </c>
      <c r="O7693" t="s">
        <v>24282</v>
      </c>
      <c r="P7693">
        <v>28080</v>
      </c>
      <c r="Q7693" t="str">
        <f>"38.248390"</f>
        <v>38.248390</v>
      </c>
      <c r="R7693" t="str">
        <f>"20.642139"</f>
        <v>20.642139</v>
      </c>
      <c r="S7693" t="s">
        <v>26</v>
      </c>
    </row>
    <row r="7694" spans="1:19" x14ac:dyDescent="0.3">
      <c r="A7694" t="s">
        <v>23985</v>
      </c>
      <c r="B7694" t="s">
        <v>24238</v>
      </c>
      <c r="C7694" t="s">
        <v>24284</v>
      </c>
      <c r="D7694" t="s">
        <v>1150</v>
      </c>
      <c r="E7694" t="s">
        <v>24256</v>
      </c>
      <c r="F7694" t="s">
        <v>24257</v>
      </c>
      <c r="G7694" t="s">
        <v>24256</v>
      </c>
      <c r="H7694" t="s">
        <v>97</v>
      </c>
      <c r="I7694" t="s">
        <v>98</v>
      </c>
      <c r="J7694" t="str">
        <f>"2553010"</f>
        <v>2553010</v>
      </c>
      <c r="K7694">
        <v>2671091105</v>
      </c>
      <c r="L7694">
        <v>2671093410</v>
      </c>
      <c r="M7694" t="s">
        <v>24285</v>
      </c>
      <c r="N7694" t="s">
        <v>24286</v>
      </c>
      <c r="O7694" t="s">
        <v>24287</v>
      </c>
      <c r="P7694">
        <v>28200</v>
      </c>
      <c r="Q7694" t="str">
        <f>"38.196667"</f>
        <v>38.196667</v>
      </c>
      <c r="R7694" t="str">
        <f>"20.439640"</f>
        <v>20.439640</v>
      </c>
      <c r="S7694" t="s">
        <v>26</v>
      </c>
    </row>
    <row r="7695" spans="1:19" x14ac:dyDescent="0.3">
      <c r="A7695" t="s">
        <v>23985</v>
      </c>
      <c r="B7695" t="s">
        <v>24238</v>
      </c>
      <c r="C7695" t="s">
        <v>24289</v>
      </c>
      <c r="D7695" t="s">
        <v>1150</v>
      </c>
      <c r="E7695" t="s">
        <v>23997</v>
      </c>
      <c r="F7695" t="s">
        <v>23997</v>
      </c>
      <c r="G7695" t="s">
        <v>23997</v>
      </c>
      <c r="H7695" t="s">
        <v>97</v>
      </c>
      <c r="I7695" t="s">
        <v>98</v>
      </c>
      <c r="J7695" t="str">
        <f>"2551010"</f>
        <v>2551010</v>
      </c>
      <c r="K7695">
        <v>2671022518</v>
      </c>
      <c r="L7695">
        <v>2671022515</v>
      </c>
      <c r="M7695" t="s">
        <v>24290</v>
      </c>
      <c r="N7695" t="s">
        <v>24291</v>
      </c>
      <c r="O7695" t="s">
        <v>24292</v>
      </c>
      <c r="P7695">
        <v>28100</v>
      </c>
      <c r="Q7695" t="str">
        <f>"38.169801"</f>
        <v>38.169801</v>
      </c>
      <c r="R7695" t="str">
        <f>"20.486853"</f>
        <v>20.486853</v>
      </c>
      <c r="S7695" t="s">
        <v>26</v>
      </c>
    </row>
    <row r="7696" spans="1:19" x14ac:dyDescent="0.3">
      <c r="A7696" t="s">
        <v>23985</v>
      </c>
      <c r="B7696" t="s">
        <v>24238</v>
      </c>
      <c r="C7696" t="s">
        <v>24335</v>
      </c>
      <c r="D7696" t="s">
        <v>1150</v>
      </c>
      <c r="E7696" t="s">
        <v>23997</v>
      </c>
      <c r="F7696" t="s">
        <v>24263</v>
      </c>
      <c r="G7696" t="s">
        <v>24264</v>
      </c>
      <c r="H7696" t="s">
        <v>97</v>
      </c>
      <c r="I7696" t="s">
        <v>98</v>
      </c>
      <c r="J7696" t="str">
        <f>"2558010"</f>
        <v>2558010</v>
      </c>
      <c r="K7696">
        <v>2671081385</v>
      </c>
      <c r="L7696">
        <v>2671081385</v>
      </c>
      <c r="M7696" t="s">
        <v>24336</v>
      </c>
      <c r="N7696" t="s">
        <v>24337</v>
      </c>
      <c r="O7696" t="s">
        <v>24338</v>
      </c>
      <c r="P7696">
        <v>28086</v>
      </c>
      <c r="Q7696" t="str">
        <f>"38.101129"</f>
        <v>38.101129</v>
      </c>
      <c r="R7696" t="str">
        <f>"20.752761"</f>
        <v>20.752761</v>
      </c>
      <c r="S7696" t="s">
        <v>26</v>
      </c>
    </row>
    <row r="7697" spans="1:19" x14ac:dyDescent="0.3">
      <c r="A7697" t="s">
        <v>23985</v>
      </c>
      <c r="B7697" t="s">
        <v>24343</v>
      </c>
      <c r="C7697" t="s">
        <v>24350</v>
      </c>
      <c r="D7697" t="s">
        <v>24002</v>
      </c>
      <c r="E7697" t="s">
        <v>24002</v>
      </c>
      <c r="F7697" t="s">
        <v>24344</v>
      </c>
      <c r="G7697" t="s">
        <v>24345</v>
      </c>
      <c r="H7697" t="s">
        <v>97</v>
      </c>
      <c r="I7697" t="s">
        <v>98</v>
      </c>
      <c r="J7697" t="str">
        <f>"3454010"</f>
        <v>3454010</v>
      </c>
      <c r="K7697">
        <v>2645092571</v>
      </c>
      <c r="L7697">
        <v>2645092571</v>
      </c>
      <c r="M7697" t="s">
        <v>24351</v>
      </c>
      <c r="N7697" t="s">
        <v>24352</v>
      </c>
      <c r="O7697" t="s">
        <v>24353</v>
      </c>
      <c r="P7697">
        <v>31084</v>
      </c>
      <c r="Q7697" t="str">
        <f>"38.709457"</f>
        <v>38.709457</v>
      </c>
      <c r="R7697" t="str">
        <f>"20.706474"</f>
        <v>20.706474</v>
      </c>
      <c r="S7697" t="s">
        <v>26</v>
      </c>
    </row>
    <row r="7698" spans="1:19" x14ac:dyDescent="0.3">
      <c r="A7698" t="s">
        <v>23985</v>
      </c>
      <c r="B7698" t="s">
        <v>24343</v>
      </c>
      <c r="C7698" t="s">
        <v>24358</v>
      </c>
      <c r="D7698" t="s">
        <v>24002</v>
      </c>
      <c r="E7698" t="s">
        <v>24002</v>
      </c>
      <c r="F7698" t="s">
        <v>24003</v>
      </c>
      <c r="G7698" t="s">
        <v>24003</v>
      </c>
      <c r="H7698" t="s">
        <v>97</v>
      </c>
      <c r="I7698" t="s">
        <v>98</v>
      </c>
      <c r="J7698" t="str">
        <f>"3451020"</f>
        <v>3451020</v>
      </c>
      <c r="K7698">
        <v>2645022640</v>
      </c>
      <c r="L7698">
        <v>2645022478</v>
      </c>
      <c r="M7698" t="s">
        <v>24359</v>
      </c>
      <c r="N7698" t="s">
        <v>24006</v>
      </c>
      <c r="O7698" t="s">
        <v>24360</v>
      </c>
      <c r="P7698">
        <v>31100</v>
      </c>
      <c r="Q7698" t="str">
        <f>"38.835365"</f>
        <v>38.835365</v>
      </c>
      <c r="R7698" t="str">
        <f>"20.698448"</f>
        <v>20.698448</v>
      </c>
      <c r="S7698" t="s">
        <v>26</v>
      </c>
    </row>
    <row r="7699" spans="1:19" x14ac:dyDescent="0.3">
      <c r="A7699" t="s">
        <v>23985</v>
      </c>
      <c r="B7699" t="s">
        <v>24343</v>
      </c>
      <c r="C7699" t="s">
        <v>24386</v>
      </c>
      <c r="D7699" t="s">
        <v>24002</v>
      </c>
      <c r="E7699" t="s">
        <v>24002</v>
      </c>
      <c r="F7699" t="s">
        <v>24003</v>
      </c>
      <c r="G7699" t="s">
        <v>24003</v>
      </c>
      <c r="H7699" t="s">
        <v>97</v>
      </c>
      <c r="I7699" t="s">
        <v>98</v>
      </c>
      <c r="J7699" t="str">
        <f>"3451010"</f>
        <v>3451010</v>
      </c>
      <c r="K7699">
        <v>2645022416</v>
      </c>
      <c r="L7699">
        <v>2645024675</v>
      </c>
      <c r="M7699" t="s">
        <v>24387</v>
      </c>
      <c r="N7699" t="s">
        <v>24006</v>
      </c>
      <c r="O7699" t="s">
        <v>24388</v>
      </c>
      <c r="P7699">
        <v>31100</v>
      </c>
      <c r="Q7699" t="str">
        <f>"38.828380"</f>
        <v>38.828380</v>
      </c>
      <c r="R7699" t="str">
        <f>"20.708426"</f>
        <v>20.708426</v>
      </c>
      <c r="S7699" t="s">
        <v>26</v>
      </c>
    </row>
    <row r="7700" spans="1:19" x14ac:dyDescent="0.3">
      <c r="A7700" t="s">
        <v>25190</v>
      </c>
      <c r="B7700" t="s">
        <v>25243</v>
      </c>
      <c r="C7700" t="s">
        <v>25256</v>
      </c>
      <c r="D7700" t="s">
        <v>25197</v>
      </c>
      <c r="E7700" t="s">
        <v>25197</v>
      </c>
      <c r="F7700" t="s">
        <v>25197</v>
      </c>
      <c r="G7700" t="s">
        <v>25255</v>
      </c>
      <c r="H7700" t="s">
        <v>97</v>
      </c>
      <c r="I7700" t="s">
        <v>772</v>
      </c>
      <c r="J7700" t="str">
        <f>"1951231"</f>
        <v>1951231</v>
      </c>
      <c r="K7700">
        <v>2310251622</v>
      </c>
      <c r="L7700">
        <v>2316009949</v>
      </c>
      <c r="M7700" t="s">
        <v>25257</v>
      </c>
      <c r="N7700" t="s">
        <v>25247</v>
      </c>
      <c r="O7700" t="s">
        <v>25258</v>
      </c>
      <c r="P7700">
        <v>54621</v>
      </c>
      <c r="Q7700" t="str">
        <f>"40.627341"</f>
        <v>40.627341</v>
      </c>
      <c r="R7700" t="str">
        <f>"22.950199"</f>
        <v>22.950199</v>
      </c>
      <c r="S7700" t="s">
        <v>26</v>
      </c>
    </row>
    <row r="7701" spans="1:19" x14ac:dyDescent="0.3">
      <c r="A7701" t="s">
        <v>25190</v>
      </c>
      <c r="B7701" t="s">
        <v>25243</v>
      </c>
      <c r="C7701" t="s">
        <v>25260</v>
      </c>
      <c r="D7701" t="s">
        <v>25197</v>
      </c>
      <c r="E7701" t="s">
        <v>25197</v>
      </c>
      <c r="F7701" t="s">
        <v>25197</v>
      </c>
      <c r="G7701" t="s">
        <v>25255</v>
      </c>
      <c r="H7701" t="s">
        <v>97</v>
      </c>
      <c r="I7701" t="s">
        <v>98</v>
      </c>
      <c r="J7701" t="str">
        <f>"1951010"</f>
        <v>1951010</v>
      </c>
      <c r="K7701">
        <v>2310821088</v>
      </c>
      <c r="L7701">
        <v>2310821088</v>
      </c>
      <c r="M7701" t="s">
        <v>25261</v>
      </c>
      <c r="N7701" t="s">
        <v>25247</v>
      </c>
      <c r="O7701" t="s">
        <v>25262</v>
      </c>
      <c r="P7701">
        <v>54640</v>
      </c>
      <c r="Q7701" t="str">
        <f>"40.621951"</f>
        <v>40.621951</v>
      </c>
      <c r="R7701" t="str">
        <f>"22.952749"</f>
        <v>22.952749</v>
      </c>
      <c r="S7701" t="s">
        <v>26</v>
      </c>
    </row>
    <row r="7702" spans="1:19" x14ac:dyDescent="0.3">
      <c r="A7702" t="s">
        <v>25190</v>
      </c>
      <c r="B7702" t="s">
        <v>25243</v>
      </c>
      <c r="C7702" t="s">
        <v>25271</v>
      </c>
      <c r="D7702" t="s">
        <v>25197</v>
      </c>
      <c r="E7702" t="s">
        <v>25264</v>
      </c>
      <c r="F7702" t="s">
        <v>25270</v>
      </c>
      <c r="G7702" t="s">
        <v>25270</v>
      </c>
      <c r="H7702" t="s">
        <v>97</v>
      </c>
      <c r="I7702" t="s">
        <v>98</v>
      </c>
      <c r="J7702" t="str">
        <f>"1959013"</f>
        <v>1959013</v>
      </c>
      <c r="K7702">
        <v>2310349700</v>
      </c>
      <c r="L7702">
        <v>2310349700</v>
      </c>
      <c r="M7702" t="s">
        <v>25272</v>
      </c>
      <c r="N7702" t="s">
        <v>25270</v>
      </c>
      <c r="O7702" t="s">
        <v>25273</v>
      </c>
      <c r="P7702">
        <v>57010</v>
      </c>
      <c r="Q7702" t="str">
        <f>"40.623001"</f>
        <v>40.623001</v>
      </c>
      <c r="R7702" t="str">
        <f>"23.092519"</f>
        <v>23.092519</v>
      </c>
      <c r="S7702" t="s">
        <v>26</v>
      </c>
    </row>
    <row r="7703" spans="1:19" x14ac:dyDescent="0.3">
      <c r="A7703" t="s">
        <v>25190</v>
      </c>
      <c r="B7703" t="s">
        <v>25243</v>
      </c>
      <c r="C7703" t="s">
        <v>25275</v>
      </c>
      <c r="D7703" t="s">
        <v>25197</v>
      </c>
      <c r="E7703" t="s">
        <v>25197</v>
      </c>
      <c r="F7703" t="s">
        <v>25197</v>
      </c>
      <c r="G7703" t="s">
        <v>25255</v>
      </c>
      <c r="H7703" t="s">
        <v>97</v>
      </c>
      <c r="I7703" t="s">
        <v>98</v>
      </c>
      <c r="J7703" t="str">
        <f>"1951040"</f>
        <v>1951040</v>
      </c>
      <c r="K7703">
        <v>2310519194</v>
      </c>
      <c r="L7703">
        <v>2310519194</v>
      </c>
      <c r="M7703" t="s">
        <v>25276</v>
      </c>
      <c r="N7703" t="s">
        <v>25247</v>
      </c>
      <c r="O7703" t="s">
        <v>25277</v>
      </c>
      <c r="P7703">
        <v>54630</v>
      </c>
      <c r="Q7703" t="str">
        <f>"40.639170"</f>
        <v>40.639170</v>
      </c>
      <c r="R7703" t="str">
        <f>"22.941331"</f>
        <v>22.941331</v>
      </c>
      <c r="S7703" t="s">
        <v>26</v>
      </c>
    </row>
    <row r="7704" spans="1:19" x14ac:dyDescent="0.3">
      <c r="A7704" t="s">
        <v>25190</v>
      </c>
      <c r="B7704" t="s">
        <v>25243</v>
      </c>
      <c r="C7704" t="s">
        <v>25301</v>
      </c>
      <c r="D7704" t="s">
        <v>25197</v>
      </c>
      <c r="E7704" t="s">
        <v>25197</v>
      </c>
      <c r="F7704" t="s">
        <v>25197</v>
      </c>
      <c r="G7704" t="s">
        <v>25255</v>
      </c>
      <c r="H7704" t="s">
        <v>97</v>
      </c>
      <c r="I7704" t="s">
        <v>98</v>
      </c>
      <c r="J7704" t="str">
        <f>"1951140"</f>
        <v>1951140</v>
      </c>
      <c r="K7704">
        <v>2310270549</v>
      </c>
      <c r="L7704">
        <v>2310270549</v>
      </c>
      <c r="M7704" t="s">
        <v>25302</v>
      </c>
      <c r="N7704" t="s">
        <v>25247</v>
      </c>
      <c r="O7704" t="s">
        <v>25303</v>
      </c>
      <c r="P7704">
        <v>54635</v>
      </c>
      <c r="Q7704" t="str">
        <f>"40.634954"</f>
        <v>40.634954</v>
      </c>
      <c r="R7704" t="str">
        <f>"22.949236"</f>
        <v>22.949236</v>
      </c>
      <c r="S7704" t="s">
        <v>26</v>
      </c>
    </row>
    <row r="7705" spans="1:19" x14ac:dyDescent="0.3">
      <c r="A7705" t="s">
        <v>25190</v>
      </c>
      <c r="B7705" t="s">
        <v>25243</v>
      </c>
      <c r="C7705" t="s">
        <v>25305</v>
      </c>
      <c r="D7705" t="s">
        <v>25197</v>
      </c>
      <c r="E7705" t="s">
        <v>25197</v>
      </c>
      <c r="F7705" t="s">
        <v>25197</v>
      </c>
      <c r="G7705" t="s">
        <v>25283</v>
      </c>
      <c r="H7705" t="s">
        <v>97</v>
      </c>
      <c r="I7705" t="s">
        <v>98</v>
      </c>
      <c r="J7705" t="str">
        <f>"1951161"</f>
        <v>1951161</v>
      </c>
      <c r="K7705">
        <v>2310837801</v>
      </c>
      <c r="L7705">
        <v>2310837801</v>
      </c>
      <c r="M7705" t="s">
        <v>25306</v>
      </c>
      <c r="N7705" t="s">
        <v>25247</v>
      </c>
      <c r="O7705" t="s">
        <v>25307</v>
      </c>
      <c r="P7705">
        <v>54639</v>
      </c>
      <c r="Q7705" t="str">
        <f>"40.615399"</f>
        <v>40.615399</v>
      </c>
      <c r="R7705" t="str">
        <f>"22.962690"</f>
        <v>22.962690</v>
      </c>
      <c r="S7705" t="s">
        <v>26</v>
      </c>
    </row>
    <row r="7706" spans="1:19" x14ac:dyDescent="0.3">
      <c r="A7706" t="s">
        <v>25190</v>
      </c>
      <c r="B7706" t="s">
        <v>25243</v>
      </c>
      <c r="C7706" t="s">
        <v>25314</v>
      </c>
      <c r="D7706" t="s">
        <v>25197</v>
      </c>
      <c r="E7706" t="s">
        <v>25293</v>
      </c>
      <c r="F7706" t="s">
        <v>25294</v>
      </c>
      <c r="G7706" t="s">
        <v>25294</v>
      </c>
      <c r="H7706" t="s">
        <v>97</v>
      </c>
      <c r="I7706" t="s">
        <v>98</v>
      </c>
      <c r="J7706" t="str">
        <f>"1955010"</f>
        <v>1955010</v>
      </c>
      <c r="K7706">
        <v>2392044233</v>
      </c>
      <c r="L7706">
        <v>2392041056</v>
      </c>
      <c r="M7706" t="s">
        <v>25315</v>
      </c>
      <c r="N7706" t="s">
        <v>25316</v>
      </c>
      <c r="O7706" t="s">
        <v>25297</v>
      </c>
      <c r="P7706">
        <v>57500</v>
      </c>
      <c r="Q7706" t="str">
        <f>"40.420204"</f>
        <v>40.420204</v>
      </c>
      <c r="R7706" t="str">
        <f>"22.932810"</f>
        <v>22.932810</v>
      </c>
      <c r="S7706" t="s">
        <v>26</v>
      </c>
    </row>
    <row r="7707" spans="1:19" x14ac:dyDescent="0.3">
      <c r="A7707" t="s">
        <v>25190</v>
      </c>
      <c r="B7707" t="s">
        <v>25243</v>
      </c>
      <c r="C7707" t="s">
        <v>25318</v>
      </c>
      <c r="D7707" t="s">
        <v>25197</v>
      </c>
      <c r="E7707" t="s">
        <v>25198</v>
      </c>
      <c r="F7707" t="s">
        <v>25317</v>
      </c>
      <c r="G7707" t="s">
        <v>25317</v>
      </c>
      <c r="H7707" t="s">
        <v>97</v>
      </c>
      <c r="I7707" t="s">
        <v>98</v>
      </c>
      <c r="J7707" t="str">
        <f>"1952010"</f>
        <v>1952010</v>
      </c>
      <c r="K7707">
        <v>2396022222</v>
      </c>
      <c r="L7707">
        <v>2396023190</v>
      </c>
      <c r="M7707" t="s">
        <v>25319</v>
      </c>
      <c r="N7707" t="s">
        <v>25320</v>
      </c>
      <c r="O7707" t="s">
        <v>25321</v>
      </c>
      <c r="P7707">
        <v>57006</v>
      </c>
      <c r="Q7707" t="str">
        <f>"40.482125"</f>
        <v>40.482125</v>
      </c>
      <c r="R7707" t="str">
        <f>"23.123030"</f>
        <v>23.123030</v>
      </c>
      <c r="S7707" t="s">
        <v>26</v>
      </c>
    </row>
    <row r="7708" spans="1:19" x14ac:dyDescent="0.3">
      <c r="A7708" t="s">
        <v>25190</v>
      </c>
      <c r="B7708" t="s">
        <v>25243</v>
      </c>
      <c r="C7708" t="s">
        <v>25325</v>
      </c>
      <c r="D7708" t="s">
        <v>25197</v>
      </c>
      <c r="E7708" t="s">
        <v>25198</v>
      </c>
      <c r="F7708" t="s">
        <v>25323</v>
      </c>
      <c r="G7708" t="s">
        <v>25324</v>
      </c>
      <c r="H7708" t="s">
        <v>97</v>
      </c>
      <c r="I7708" t="s">
        <v>98</v>
      </c>
      <c r="J7708" t="str">
        <f>"1965010"</f>
        <v>1965010</v>
      </c>
      <c r="K7708">
        <v>2392063745</v>
      </c>
      <c r="L7708">
        <v>2392063375</v>
      </c>
      <c r="M7708" t="s">
        <v>25326</v>
      </c>
      <c r="N7708" t="s">
        <v>25327</v>
      </c>
      <c r="O7708" t="s">
        <v>25327</v>
      </c>
      <c r="P7708">
        <v>57500</v>
      </c>
      <c r="Q7708" t="str">
        <f>"40.472981"</f>
        <v>40.472981</v>
      </c>
      <c r="R7708" t="str">
        <f>"22.969281"</f>
        <v>22.969281</v>
      </c>
      <c r="S7708" t="s">
        <v>26</v>
      </c>
    </row>
    <row r="7709" spans="1:19" x14ac:dyDescent="0.3">
      <c r="A7709" t="s">
        <v>25190</v>
      </c>
      <c r="B7709" t="s">
        <v>25243</v>
      </c>
      <c r="C7709" t="s">
        <v>25329</v>
      </c>
      <c r="D7709" t="s">
        <v>25197</v>
      </c>
      <c r="E7709" t="s">
        <v>25299</v>
      </c>
      <c r="F7709" t="s">
        <v>25299</v>
      </c>
      <c r="G7709" t="s">
        <v>25299</v>
      </c>
      <c r="H7709" t="s">
        <v>97</v>
      </c>
      <c r="I7709" t="s">
        <v>98</v>
      </c>
      <c r="J7709" t="str">
        <f>"1951191"</f>
        <v>1951191</v>
      </c>
      <c r="K7709">
        <v>2310411300</v>
      </c>
      <c r="L7709">
        <v>2310422333</v>
      </c>
      <c r="M7709" t="s">
        <v>25330</v>
      </c>
      <c r="N7709" t="s">
        <v>25331</v>
      </c>
      <c r="O7709" t="s">
        <v>25332</v>
      </c>
      <c r="P7709">
        <v>55131</v>
      </c>
      <c r="Q7709" t="str">
        <f>"40.586710"</f>
        <v>40.586710</v>
      </c>
      <c r="R7709" t="str">
        <f>"22.940875"</f>
        <v>22.940875</v>
      </c>
      <c r="S7709" t="s">
        <v>26</v>
      </c>
    </row>
    <row r="7710" spans="1:19" x14ac:dyDescent="0.3">
      <c r="A7710" t="s">
        <v>25190</v>
      </c>
      <c r="B7710" t="s">
        <v>25243</v>
      </c>
      <c r="C7710" t="s">
        <v>25334</v>
      </c>
      <c r="D7710" t="s">
        <v>25197</v>
      </c>
      <c r="E7710" t="s">
        <v>25197</v>
      </c>
      <c r="F7710" t="s">
        <v>25197</v>
      </c>
      <c r="G7710" t="s">
        <v>25250</v>
      </c>
      <c r="H7710" t="s">
        <v>97</v>
      </c>
      <c r="I7710" t="s">
        <v>98</v>
      </c>
      <c r="J7710" t="str">
        <f>"1951053"</f>
        <v>1951053</v>
      </c>
      <c r="K7710">
        <v>2310816800</v>
      </c>
      <c r="L7710">
        <v>2310816801</v>
      </c>
      <c r="M7710" t="s">
        <v>25335</v>
      </c>
      <c r="N7710" t="s">
        <v>25247</v>
      </c>
      <c r="O7710" t="s">
        <v>25336</v>
      </c>
      <c r="P7710">
        <v>54643</v>
      </c>
      <c r="Q7710" t="str">
        <f>"40.607070"</f>
        <v>40.607070</v>
      </c>
      <c r="R7710" t="str">
        <f>"22.952672"</f>
        <v>22.952672</v>
      </c>
      <c r="S7710" t="s">
        <v>26</v>
      </c>
    </row>
    <row r="7711" spans="1:19" x14ac:dyDescent="0.3">
      <c r="A7711" t="s">
        <v>25190</v>
      </c>
      <c r="B7711" t="s">
        <v>25243</v>
      </c>
      <c r="C7711" t="s">
        <v>25338</v>
      </c>
      <c r="D7711" t="s">
        <v>25197</v>
      </c>
      <c r="E7711" t="s">
        <v>25299</v>
      </c>
      <c r="F7711" t="s">
        <v>25299</v>
      </c>
      <c r="G7711" t="s">
        <v>25299</v>
      </c>
      <c r="H7711" t="s">
        <v>97</v>
      </c>
      <c r="I7711" t="s">
        <v>98</v>
      </c>
      <c r="J7711" t="str">
        <f>"1951195"</f>
        <v>1951195</v>
      </c>
      <c r="K7711">
        <v>2310437720</v>
      </c>
      <c r="L7711">
        <v>2310480811</v>
      </c>
      <c r="M7711" t="s">
        <v>25339</v>
      </c>
      <c r="N7711" t="s">
        <v>25340</v>
      </c>
      <c r="O7711" t="s">
        <v>25341</v>
      </c>
      <c r="P7711">
        <v>55132</v>
      </c>
      <c r="Q7711" t="str">
        <f>"40.569685"</f>
        <v>40.569685</v>
      </c>
      <c r="R7711" t="str">
        <f>"22.962118"</f>
        <v>22.962118</v>
      </c>
      <c r="S7711" t="s">
        <v>26</v>
      </c>
    </row>
    <row r="7712" spans="1:19" x14ac:dyDescent="0.3">
      <c r="A7712" t="s">
        <v>25190</v>
      </c>
      <c r="B7712" t="s">
        <v>25243</v>
      </c>
      <c r="C7712" t="s">
        <v>25343</v>
      </c>
      <c r="D7712" t="s">
        <v>25197</v>
      </c>
      <c r="E7712" t="s">
        <v>25264</v>
      </c>
      <c r="F7712" t="s">
        <v>25265</v>
      </c>
      <c r="G7712" t="s">
        <v>25265</v>
      </c>
      <c r="H7712" t="s">
        <v>97</v>
      </c>
      <c r="I7712" t="s">
        <v>98</v>
      </c>
      <c r="J7712" t="str">
        <f>"1951052"</f>
        <v>1951052</v>
      </c>
      <c r="K7712">
        <v>2310947900</v>
      </c>
      <c r="L7712">
        <v>2310947900</v>
      </c>
      <c r="M7712" t="s">
        <v>25344</v>
      </c>
      <c r="N7712" t="s">
        <v>25345</v>
      </c>
      <c r="O7712" t="s">
        <v>25346</v>
      </c>
      <c r="P7712">
        <v>55534</v>
      </c>
      <c r="Q7712" t="str">
        <f>"40.611330"</f>
        <v>40.611330</v>
      </c>
      <c r="R7712" t="str">
        <f>"22.994885"</f>
        <v>22.994885</v>
      </c>
      <c r="S7712" t="s">
        <v>26</v>
      </c>
    </row>
    <row r="7713" spans="1:19" x14ac:dyDescent="0.3">
      <c r="A7713" t="s">
        <v>25190</v>
      </c>
      <c r="B7713" t="s">
        <v>25243</v>
      </c>
      <c r="C7713" t="s">
        <v>25348</v>
      </c>
      <c r="D7713" t="s">
        <v>25197</v>
      </c>
      <c r="E7713" t="s">
        <v>25197</v>
      </c>
      <c r="F7713" t="s">
        <v>25197</v>
      </c>
      <c r="G7713" t="s">
        <v>25235</v>
      </c>
      <c r="H7713" t="s">
        <v>97</v>
      </c>
      <c r="I7713" t="s">
        <v>98</v>
      </c>
      <c r="J7713" t="str">
        <f>"1951130"</f>
        <v>1951130</v>
      </c>
      <c r="K7713">
        <v>2310532400</v>
      </c>
      <c r="L7713">
        <v>2310532400</v>
      </c>
      <c r="M7713" t="s">
        <v>25349</v>
      </c>
      <c r="N7713" t="s">
        <v>25247</v>
      </c>
      <c r="O7713" t="s">
        <v>25350</v>
      </c>
      <c r="P7713">
        <v>54629</v>
      </c>
      <c r="Q7713" t="str">
        <f>"40.645478"</f>
        <v>40.645478</v>
      </c>
      <c r="R7713" t="str">
        <f>"22.932790"</f>
        <v>22.932790</v>
      </c>
      <c r="S7713" t="s">
        <v>26</v>
      </c>
    </row>
    <row r="7714" spans="1:19" x14ac:dyDescent="0.3">
      <c r="A7714" t="s">
        <v>25190</v>
      </c>
      <c r="B7714" t="s">
        <v>25243</v>
      </c>
      <c r="C7714" t="s">
        <v>25353</v>
      </c>
      <c r="D7714" t="s">
        <v>25197</v>
      </c>
      <c r="E7714" t="s">
        <v>25197</v>
      </c>
      <c r="F7714" t="s">
        <v>25352</v>
      </c>
      <c r="G7714" t="s">
        <v>25352</v>
      </c>
      <c r="H7714" t="s">
        <v>97</v>
      </c>
      <c r="I7714" t="s">
        <v>98</v>
      </c>
      <c r="J7714" t="str">
        <f>"1951196"</f>
        <v>1951196</v>
      </c>
      <c r="K7714">
        <v>2310923820</v>
      </c>
      <c r="L7714">
        <v>2310923820</v>
      </c>
      <c r="M7714" t="s">
        <v>25354</v>
      </c>
      <c r="N7714" t="s">
        <v>25355</v>
      </c>
      <c r="O7714" t="s">
        <v>25356</v>
      </c>
      <c r="P7714">
        <v>55337</v>
      </c>
      <c r="Q7714" t="str">
        <f>"40.622488"</f>
        <v>40.622488</v>
      </c>
      <c r="R7714" t="str">
        <f>"22.974802"</f>
        <v>22.974802</v>
      </c>
      <c r="S7714" t="s">
        <v>26</v>
      </c>
    </row>
    <row r="7715" spans="1:19" x14ac:dyDescent="0.3">
      <c r="A7715" t="s">
        <v>25190</v>
      </c>
      <c r="B7715" t="s">
        <v>25243</v>
      </c>
      <c r="C7715" t="s">
        <v>25360</v>
      </c>
      <c r="D7715" t="s">
        <v>25197</v>
      </c>
      <c r="E7715" t="s">
        <v>25197</v>
      </c>
      <c r="F7715" t="s">
        <v>25197</v>
      </c>
      <c r="G7715" t="s">
        <v>25283</v>
      </c>
      <c r="H7715" t="s">
        <v>97</v>
      </c>
      <c r="I7715" t="s">
        <v>98</v>
      </c>
      <c r="J7715" t="str">
        <f>"1951208"</f>
        <v>1951208</v>
      </c>
      <c r="K7715">
        <v>2310901897</v>
      </c>
      <c r="L7715">
        <v>2310901091</v>
      </c>
      <c r="M7715" t="s">
        <v>25361</v>
      </c>
      <c r="N7715" t="s">
        <v>25247</v>
      </c>
      <c r="O7715" t="s">
        <v>25362</v>
      </c>
      <c r="P7715">
        <v>54351</v>
      </c>
      <c r="Q7715" t="str">
        <f>"40.613756"</f>
        <v>40.613756</v>
      </c>
      <c r="R7715" t="str">
        <f>"22.974018"</f>
        <v>22.974018</v>
      </c>
      <c r="S7715" t="s">
        <v>26</v>
      </c>
    </row>
    <row r="7716" spans="1:19" x14ac:dyDescent="0.3">
      <c r="A7716" t="s">
        <v>25190</v>
      </c>
      <c r="B7716" t="s">
        <v>25243</v>
      </c>
      <c r="C7716" t="s">
        <v>25364</v>
      </c>
      <c r="D7716" t="s">
        <v>25197</v>
      </c>
      <c r="E7716" t="s">
        <v>25299</v>
      </c>
      <c r="F7716" t="s">
        <v>25299</v>
      </c>
      <c r="G7716" t="s">
        <v>25299</v>
      </c>
      <c r="H7716" t="s">
        <v>97</v>
      </c>
      <c r="I7716" t="s">
        <v>98</v>
      </c>
      <c r="J7716" t="str">
        <f>"1951013"</f>
        <v>1951013</v>
      </c>
      <c r="K7716">
        <v>2310413433</v>
      </c>
      <c r="L7716">
        <v>2310413516</v>
      </c>
      <c r="M7716" t="s">
        <v>25365</v>
      </c>
      <c r="N7716" t="s">
        <v>25366</v>
      </c>
      <c r="O7716" t="s">
        <v>25367</v>
      </c>
      <c r="P7716">
        <v>55133</v>
      </c>
      <c r="Q7716" t="str">
        <f>"40.588323"</f>
        <v>40.588323</v>
      </c>
      <c r="R7716" t="str">
        <f>"22.953942"</f>
        <v>22.953942</v>
      </c>
      <c r="S7716" t="s">
        <v>26</v>
      </c>
    </row>
    <row r="7717" spans="1:19" x14ac:dyDescent="0.3">
      <c r="A7717" t="s">
        <v>25190</v>
      </c>
      <c r="B7717" t="s">
        <v>25243</v>
      </c>
      <c r="C7717" t="s">
        <v>25369</v>
      </c>
      <c r="D7717" t="s">
        <v>25197</v>
      </c>
      <c r="E7717" t="s">
        <v>25299</v>
      </c>
      <c r="F7717" t="s">
        <v>25299</v>
      </c>
      <c r="G7717" t="s">
        <v>25299</v>
      </c>
      <c r="H7717" t="s">
        <v>97</v>
      </c>
      <c r="I7717" t="s">
        <v>98</v>
      </c>
      <c r="J7717" t="str">
        <f>"1951011"</f>
        <v>1951011</v>
      </c>
      <c r="K7717">
        <v>2310433433</v>
      </c>
      <c r="L7717">
        <v>2310433496</v>
      </c>
      <c r="M7717" t="s">
        <v>25370</v>
      </c>
      <c r="N7717" t="s">
        <v>25340</v>
      </c>
      <c r="O7717" t="s">
        <v>25371</v>
      </c>
      <c r="P7717">
        <v>55134</v>
      </c>
      <c r="Q7717" t="str">
        <f>"40.585414"</f>
        <v>40.585414</v>
      </c>
      <c r="R7717" t="str">
        <f>"22.965879"</f>
        <v>22.965879</v>
      </c>
      <c r="S7717" t="s">
        <v>26</v>
      </c>
    </row>
    <row r="7718" spans="1:19" x14ac:dyDescent="0.3">
      <c r="A7718" t="s">
        <v>25190</v>
      </c>
      <c r="B7718" t="s">
        <v>25243</v>
      </c>
      <c r="C7718" t="s">
        <v>25373</v>
      </c>
      <c r="D7718" t="s">
        <v>25197</v>
      </c>
      <c r="E7718" t="s">
        <v>25299</v>
      </c>
      <c r="F7718" t="s">
        <v>25299</v>
      </c>
      <c r="G7718" t="s">
        <v>25299</v>
      </c>
      <c r="H7718" t="s">
        <v>97</v>
      </c>
      <c r="I7718" t="s">
        <v>98</v>
      </c>
      <c r="J7718" t="str">
        <f>"1951012"</f>
        <v>1951012</v>
      </c>
      <c r="K7718">
        <v>2310444261</v>
      </c>
      <c r="L7718">
        <v>2310439859</v>
      </c>
      <c r="M7718" t="s">
        <v>25374</v>
      </c>
      <c r="N7718" t="s">
        <v>25375</v>
      </c>
      <c r="O7718" t="s">
        <v>25376</v>
      </c>
      <c r="P7718">
        <v>55132</v>
      </c>
      <c r="Q7718" t="str">
        <f>"40.574272"</f>
        <v>40.574272</v>
      </c>
      <c r="R7718" t="str">
        <f>"22.956320"</f>
        <v>22.956320</v>
      </c>
      <c r="S7718" t="s">
        <v>26</v>
      </c>
    </row>
    <row r="7719" spans="1:19" x14ac:dyDescent="0.3">
      <c r="A7719" t="s">
        <v>25190</v>
      </c>
      <c r="B7719" t="s">
        <v>25243</v>
      </c>
      <c r="C7719" t="s">
        <v>25378</v>
      </c>
      <c r="D7719" t="s">
        <v>25197</v>
      </c>
      <c r="E7719" t="s">
        <v>25197</v>
      </c>
      <c r="F7719" t="s">
        <v>25197</v>
      </c>
      <c r="G7719" t="s">
        <v>25255</v>
      </c>
      <c r="H7719" t="s">
        <v>97</v>
      </c>
      <c r="I7719" t="s">
        <v>98</v>
      </c>
      <c r="J7719" t="str">
        <f>"1951120"</f>
        <v>1951120</v>
      </c>
      <c r="K7719">
        <v>2310231357</v>
      </c>
      <c r="L7719">
        <v>2310231317</v>
      </c>
      <c r="M7719" t="s">
        <v>25379</v>
      </c>
      <c r="N7719" t="s">
        <v>25247</v>
      </c>
      <c r="O7719" t="s">
        <v>25380</v>
      </c>
      <c r="P7719">
        <v>54623</v>
      </c>
      <c r="Q7719" t="str">
        <f>"40.633262"</f>
        <v>40.633262</v>
      </c>
      <c r="R7719" t="str">
        <f>"22.944083"</f>
        <v>22.944083</v>
      </c>
      <c r="S7719" t="s">
        <v>26</v>
      </c>
    </row>
    <row r="7720" spans="1:19" x14ac:dyDescent="0.3">
      <c r="A7720" t="s">
        <v>25190</v>
      </c>
      <c r="B7720" t="s">
        <v>25243</v>
      </c>
      <c r="C7720" t="s">
        <v>25384</v>
      </c>
      <c r="D7720" t="s">
        <v>25197</v>
      </c>
      <c r="E7720" t="s">
        <v>25197</v>
      </c>
      <c r="F7720" t="s">
        <v>25197</v>
      </c>
      <c r="G7720" t="s">
        <v>25250</v>
      </c>
      <c r="H7720" t="s">
        <v>97</v>
      </c>
      <c r="I7720" t="s">
        <v>98</v>
      </c>
      <c r="J7720" t="str">
        <f>"1951160"</f>
        <v>1951160</v>
      </c>
      <c r="K7720">
        <v>2310411183</v>
      </c>
      <c r="L7720">
        <v>2310411183</v>
      </c>
      <c r="M7720" t="s">
        <v>25385</v>
      </c>
      <c r="N7720" t="s">
        <v>25247</v>
      </c>
      <c r="O7720" t="s">
        <v>25386</v>
      </c>
      <c r="P7720">
        <v>54646</v>
      </c>
      <c r="Q7720" t="str">
        <f>"40.599149"</f>
        <v>40.599149</v>
      </c>
      <c r="R7720" t="str">
        <f>"22.956753"</f>
        <v>22.956753</v>
      </c>
      <c r="S7720" t="s">
        <v>26</v>
      </c>
    </row>
    <row r="7721" spans="1:19" x14ac:dyDescent="0.3">
      <c r="A7721" t="s">
        <v>25190</v>
      </c>
      <c r="B7721" t="s">
        <v>25243</v>
      </c>
      <c r="C7721" t="s">
        <v>25388</v>
      </c>
      <c r="D7721" t="s">
        <v>25197</v>
      </c>
      <c r="E7721" t="s">
        <v>25197</v>
      </c>
      <c r="F7721" t="s">
        <v>25197</v>
      </c>
      <c r="G7721" t="s">
        <v>25250</v>
      </c>
      <c r="H7721" t="s">
        <v>97</v>
      </c>
      <c r="I7721" t="s">
        <v>98</v>
      </c>
      <c r="J7721" t="str">
        <f>"1951050"</f>
        <v>1951050</v>
      </c>
      <c r="K7721">
        <v>2310831776</v>
      </c>
      <c r="L7721">
        <v>2310855408</v>
      </c>
      <c r="M7721" t="s">
        <v>25389</v>
      </c>
      <c r="N7721" t="s">
        <v>25247</v>
      </c>
      <c r="O7721" t="s">
        <v>25390</v>
      </c>
      <c r="P7721">
        <v>54645</v>
      </c>
      <c r="Q7721" t="str">
        <f>"40.598927"</f>
        <v>40.598927</v>
      </c>
      <c r="R7721" t="str">
        <f>"22.950001"</f>
        <v>22.950001</v>
      </c>
      <c r="S7721" t="s">
        <v>26</v>
      </c>
    </row>
    <row r="7722" spans="1:19" x14ac:dyDescent="0.3">
      <c r="A7722" t="s">
        <v>25190</v>
      </c>
      <c r="B7722" t="s">
        <v>25243</v>
      </c>
      <c r="C7722" t="s">
        <v>25392</v>
      </c>
      <c r="D7722" t="s">
        <v>25197</v>
      </c>
      <c r="E7722" t="s">
        <v>25198</v>
      </c>
      <c r="F7722" t="s">
        <v>25198</v>
      </c>
      <c r="G7722" t="s">
        <v>25198</v>
      </c>
      <c r="H7722" t="s">
        <v>97</v>
      </c>
      <c r="I7722" t="s">
        <v>98</v>
      </c>
      <c r="J7722" t="str">
        <f>"1969010"</f>
        <v>1969010</v>
      </c>
      <c r="K7722">
        <v>2310461421</v>
      </c>
      <c r="L7722">
        <v>2310489908</v>
      </c>
      <c r="M7722" t="s">
        <v>25393</v>
      </c>
      <c r="N7722" t="s">
        <v>25394</v>
      </c>
      <c r="O7722" t="s">
        <v>25395</v>
      </c>
      <c r="P7722">
        <v>57001</v>
      </c>
      <c r="Q7722" t="str">
        <f>"40.548164"</f>
        <v>40.548164</v>
      </c>
      <c r="R7722" t="str">
        <f>"23.013250"</f>
        <v>23.013250</v>
      </c>
      <c r="S7722" t="s">
        <v>26</v>
      </c>
    </row>
    <row r="7723" spans="1:19" x14ac:dyDescent="0.3">
      <c r="A7723" t="s">
        <v>25190</v>
      </c>
      <c r="B7723" t="s">
        <v>25243</v>
      </c>
      <c r="C7723" t="s">
        <v>25401</v>
      </c>
      <c r="D7723" t="s">
        <v>25197</v>
      </c>
      <c r="E7723" t="s">
        <v>25264</v>
      </c>
      <c r="F7723" t="s">
        <v>25400</v>
      </c>
      <c r="G7723" t="s">
        <v>25400</v>
      </c>
      <c r="H7723" t="s">
        <v>97</v>
      </c>
      <c r="I7723" t="s">
        <v>98</v>
      </c>
      <c r="J7723" t="str">
        <f>"1951210"</f>
        <v>1951210</v>
      </c>
      <c r="K7723">
        <v>2310342470</v>
      </c>
      <c r="L7723">
        <v>2310342626</v>
      </c>
      <c r="M7723" t="s">
        <v>25402</v>
      </c>
      <c r="N7723" t="s">
        <v>25403</v>
      </c>
      <c r="O7723" t="s">
        <v>11846</v>
      </c>
      <c r="P7723">
        <v>55236</v>
      </c>
      <c r="Q7723" t="str">
        <f>"40.587210"</f>
        <v>40.587210</v>
      </c>
      <c r="R7723" t="str">
        <f>"23.024963"</f>
        <v>23.024963</v>
      </c>
      <c r="S7723" t="s">
        <v>26</v>
      </c>
    </row>
    <row r="7724" spans="1:19" x14ac:dyDescent="0.3">
      <c r="A7724" t="s">
        <v>25190</v>
      </c>
      <c r="B7724" t="s">
        <v>25243</v>
      </c>
      <c r="C7724" t="s">
        <v>25405</v>
      </c>
      <c r="D7724" t="s">
        <v>25197</v>
      </c>
      <c r="E7724" t="s">
        <v>25197</v>
      </c>
      <c r="F7724" t="s">
        <v>25197</v>
      </c>
      <c r="G7724" t="s">
        <v>25244</v>
      </c>
      <c r="H7724" t="s">
        <v>97</v>
      </c>
      <c r="I7724" t="s">
        <v>98</v>
      </c>
      <c r="J7724" t="str">
        <f>"1951030"</f>
        <v>1951030</v>
      </c>
      <c r="K7724">
        <v>2310209987</v>
      </c>
      <c r="L7724">
        <v>2310209987</v>
      </c>
      <c r="M7724" t="s">
        <v>25406</v>
      </c>
      <c r="N7724" t="s">
        <v>25247</v>
      </c>
      <c r="O7724" t="s">
        <v>25407</v>
      </c>
      <c r="P7724">
        <v>54634</v>
      </c>
      <c r="Q7724" t="str">
        <f>"40.636277"</f>
        <v>40.636277</v>
      </c>
      <c r="R7724" t="str">
        <f>"22.954828"</f>
        <v>22.954828</v>
      </c>
      <c r="S7724" t="s">
        <v>26</v>
      </c>
    </row>
    <row r="7725" spans="1:19" x14ac:dyDescent="0.3">
      <c r="A7725" t="s">
        <v>25190</v>
      </c>
      <c r="B7725" t="s">
        <v>25243</v>
      </c>
      <c r="C7725" t="s">
        <v>25409</v>
      </c>
      <c r="D7725" t="s">
        <v>25197</v>
      </c>
      <c r="E7725" t="s">
        <v>25197</v>
      </c>
      <c r="F7725" t="s">
        <v>25197</v>
      </c>
      <c r="G7725" t="s">
        <v>25283</v>
      </c>
      <c r="H7725" t="s">
        <v>97</v>
      </c>
      <c r="I7725" t="s">
        <v>98</v>
      </c>
      <c r="J7725" t="str">
        <f>"1951207"</f>
        <v>1951207</v>
      </c>
      <c r="K7725">
        <v>2310937402</v>
      </c>
      <c r="L7725">
        <v>2310937402</v>
      </c>
      <c r="M7725" t="s">
        <v>25410</v>
      </c>
      <c r="N7725" t="s">
        <v>25247</v>
      </c>
      <c r="O7725" t="s">
        <v>25411</v>
      </c>
      <c r="P7725">
        <v>54453</v>
      </c>
      <c r="Q7725" t="str">
        <f>"40.613894"</f>
        <v>40.613894</v>
      </c>
      <c r="R7725" t="str">
        <f>"22.969116"</f>
        <v>22.969116</v>
      </c>
      <c r="S7725" t="s">
        <v>26</v>
      </c>
    </row>
    <row r="7726" spans="1:19" x14ac:dyDescent="0.3">
      <c r="A7726" t="s">
        <v>25190</v>
      </c>
      <c r="B7726" t="s">
        <v>25243</v>
      </c>
      <c r="C7726" t="s">
        <v>25413</v>
      </c>
      <c r="D7726" t="s">
        <v>25197</v>
      </c>
      <c r="E7726" t="s">
        <v>25197</v>
      </c>
      <c r="F7726" t="s">
        <v>25197</v>
      </c>
      <c r="G7726" t="s">
        <v>25250</v>
      </c>
      <c r="H7726" t="s">
        <v>97</v>
      </c>
      <c r="I7726" t="s">
        <v>98</v>
      </c>
      <c r="J7726" t="str">
        <f>"1951250"</f>
        <v>1951250</v>
      </c>
      <c r="K7726">
        <v>2310316897</v>
      </c>
      <c r="M7726" t="s">
        <v>25414</v>
      </c>
      <c r="N7726" t="s">
        <v>25247</v>
      </c>
      <c r="O7726" t="s">
        <v>25415</v>
      </c>
      <c r="P7726">
        <v>54250</v>
      </c>
      <c r="Q7726" t="str">
        <f>"40.595589"</f>
        <v>40.595589</v>
      </c>
      <c r="R7726" t="str">
        <f>"22.974895"</f>
        <v>22.974895</v>
      </c>
      <c r="S7726" t="s">
        <v>26</v>
      </c>
    </row>
    <row r="7727" spans="1:19" x14ac:dyDescent="0.3">
      <c r="A7727" t="s">
        <v>25190</v>
      </c>
      <c r="B7727" t="s">
        <v>25243</v>
      </c>
      <c r="C7727" t="s">
        <v>25417</v>
      </c>
      <c r="D7727" t="s">
        <v>25197</v>
      </c>
      <c r="E7727" t="s">
        <v>25197</v>
      </c>
      <c r="F7727" t="s">
        <v>25197</v>
      </c>
      <c r="G7727" t="s">
        <v>25244</v>
      </c>
      <c r="H7727" t="s">
        <v>97</v>
      </c>
      <c r="I7727" t="s">
        <v>98</v>
      </c>
      <c r="J7727" t="str">
        <f>"1951141"</f>
        <v>1951141</v>
      </c>
      <c r="K7727">
        <v>2310278100</v>
      </c>
      <c r="L7727">
        <v>2310278131</v>
      </c>
      <c r="M7727" t="s">
        <v>25418</v>
      </c>
      <c r="N7727" t="s">
        <v>25247</v>
      </c>
      <c r="O7727" t="s">
        <v>25419</v>
      </c>
      <c r="P7727">
        <v>54632</v>
      </c>
      <c r="Q7727" t="str">
        <f>"40.642309"</f>
        <v>40.642309</v>
      </c>
      <c r="R7727" t="str">
        <f>"22.943667"</f>
        <v>22.943667</v>
      </c>
      <c r="S7727" t="s">
        <v>26</v>
      </c>
    </row>
    <row r="7728" spans="1:19" x14ac:dyDescent="0.3">
      <c r="A7728" t="s">
        <v>25190</v>
      </c>
      <c r="B7728" t="s">
        <v>25243</v>
      </c>
      <c r="C7728" t="s">
        <v>25421</v>
      </c>
      <c r="D7728" t="s">
        <v>25197</v>
      </c>
      <c r="E7728" t="s">
        <v>25197</v>
      </c>
      <c r="F7728" t="s">
        <v>25197</v>
      </c>
      <c r="G7728" t="s">
        <v>25250</v>
      </c>
      <c r="H7728" t="s">
        <v>97</v>
      </c>
      <c r="I7728" t="s">
        <v>98</v>
      </c>
      <c r="J7728" t="str">
        <f>"1951110"</f>
        <v>1951110</v>
      </c>
      <c r="K7728">
        <v>2310412090</v>
      </c>
      <c r="L7728">
        <v>2310412090</v>
      </c>
      <c r="M7728" t="s">
        <v>25422</v>
      </c>
      <c r="N7728" t="s">
        <v>25247</v>
      </c>
      <c r="O7728" t="s">
        <v>25423</v>
      </c>
      <c r="P7728">
        <v>54655</v>
      </c>
      <c r="Q7728" t="str">
        <f>"40.595076"</f>
        <v>40.595076</v>
      </c>
      <c r="R7728" t="str">
        <f>"22.954250"</f>
        <v>22.954250</v>
      </c>
      <c r="S7728" t="s">
        <v>26</v>
      </c>
    </row>
    <row r="7729" spans="1:19" x14ac:dyDescent="0.3">
      <c r="A7729" t="s">
        <v>25190</v>
      </c>
      <c r="B7729" t="s">
        <v>25243</v>
      </c>
      <c r="C7729" t="s">
        <v>25425</v>
      </c>
      <c r="D7729" t="s">
        <v>25197</v>
      </c>
      <c r="E7729" t="s">
        <v>25197</v>
      </c>
      <c r="F7729" t="s">
        <v>25197</v>
      </c>
      <c r="G7729" t="s">
        <v>25283</v>
      </c>
      <c r="H7729" t="s">
        <v>97</v>
      </c>
      <c r="I7729" t="s">
        <v>98</v>
      </c>
      <c r="J7729" t="str">
        <f>"1969025"</f>
        <v>1969025</v>
      </c>
      <c r="K7729">
        <v>2310943179</v>
      </c>
      <c r="L7729">
        <v>2310943179</v>
      </c>
      <c r="M7729" t="s">
        <v>25426</v>
      </c>
      <c r="N7729" t="s">
        <v>25247</v>
      </c>
      <c r="O7729" t="s">
        <v>25427</v>
      </c>
      <c r="P7729">
        <v>54352</v>
      </c>
      <c r="Q7729" t="str">
        <f>"40.611603"</f>
        <v>40.611603</v>
      </c>
      <c r="R7729" t="str">
        <f>"22.987859"</f>
        <v>22.987859</v>
      </c>
      <c r="S7729" t="s">
        <v>26</v>
      </c>
    </row>
    <row r="7730" spans="1:19" x14ac:dyDescent="0.3">
      <c r="A7730" t="s">
        <v>25190</v>
      </c>
      <c r="B7730" t="s">
        <v>25243</v>
      </c>
      <c r="C7730" t="s">
        <v>25429</v>
      </c>
      <c r="D7730" t="s">
        <v>25197</v>
      </c>
      <c r="E7730" t="s">
        <v>25197</v>
      </c>
      <c r="F7730" t="s">
        <v>25197</v>
      </c>
      <c r="G7730" t="s">
        <v>25283</v>
      </c>
      <c r="H7730" t="s">
        <v>97</v>
      </c>
      <c r="I7730" t="s">
        <v>98</v>
      </c>
      <c r="J7730" t="str">
        <f>"1969020"</f>
        <v>1969020</v>
      </c>
      <c r="K7730">
        <v>2310930314</v>
      </c>
      <c r="L7730">
        <v>2310930316</v>
      </c>
      <c r="M7730" t="s">
        <v>25430</v>
      </c>
      <c r="N7730" t="s">
        <v>25247</v>
      </c>
      <c r="O7730" t="s">
        <v>25431</v>
      </c>
      <c r="P7730">
        <v>54352</v>
      </c>
      <c r="Q7730" t="str">
        <f>"40.611492"</f>
        <v>40.611492</v>
      </c>
      <c r="R7730" t="str">
        <f>"22.983276"</f>
        <v>22.983276</v>
      </c>
      <c r="S7730" t="s">
        <v>26</v>
      </c>
    </row>
    <row r="7731" spans="1:19" x14ac:dyDescent="0.3">
      <c r="A7731" t="s">
        <v>25190</v>
      </c>
      <c r="B7731" t="s">
        <v>25243</v>
      </c>
      <c r="C7731" t="s">
        <v>25435</v>
      </c>
      <c r="D7731" t="s">
        <v>25197</v>
      </c>
      <c r="E7731" t="s">
        <v>25293</v>
      </c>
      <c r="F7731" t="s">
        <v>25433</v>
      </c>
      <c r="G7731" t="s">
        <v>25434</v>
      </c>
      <c r="H7731" t="s">
        <v>97</v>
      </c>
      <c r="I7731" t="s">
        <v>98</v>
      </c>
      <c r="J7731" t="str">
        <f>"1962010"</f>
        <v>1962010</v>
      </c>
      <c r="K7731">
        <v>2392031631</v>
      </c>
      <c r="L7731">
        <v>2392036051</v>
      </c>
      <c r="M7731" t="s">
        <v>25436</v>
      </c>
      <c r="N7731" t="s">
        <v>25437</v>
      </c>
      <c r="O7731" t="s">
        <v>25438</v>
      </c>
      <c r="P7731">
        <v>57004</v>
      </c>
      <c r="Q7731" t="str">
        <f>"40.462978"</f>
        <v>40.462978</v>
      </c>
      <c r="R7731" t="str">
        <f>"22.868065"</f>
        <v>22.868065</v>
      </c>
      <c r="S7731" t="s">
        <v>26</v>
      </c>
    </row>
    <row r="7732" spans="1:19" x14ac:dyDescent="0.3">
      <c r="A7732" t="s">
        <v>25190</v>
      </c>
      <c r="B7732" t="s">
        <v>25243</v>
      </c>
      <c r="C7732" t="s">
        <v>25440</v>
      </c>
      <c r="D7732" t="s">
        <v>25197</v>
      </c>
      <c r="E7732" t="s">
        <v>25197</v>
      </c>
      <c r="F7732" t="s">
        <v>25197</v>
      </c>
      <c r="G7732" t="s">
        <v>25283</v>
      </c>
      <c r="H7732" t="s">
        <v>97</v>
      </c>
      <c r="I7732" t="s">
        <v>3640</v>
      </c>
      <c r="J7732" t="str">
        <f>"1951004"</f>
        <v>1951004</v>
      </c>
      <c r="K7732">
        <v>2310908700</v>
      </c>
      <c r="L7732">
        <v>2310908776</v>
      </c>
      <c r="M7732" t="s">
        <v>25441</v>
      </c>
      <c r="N7732" t="s">
        <v>25247</v>
      </c>
      <c r="O7732" t="s">
        <v>25286</v>
      </c>
      <c r="P7732">
        <v>54453</v>
      </c>
      <c r="Q7732" t="str">
        <f>"40.612087"</f>
        <v>40.612087</v>
      </c>
      <c r="R7732" t="str">
        <f>"22.967399"</f>
        <v>22.967399</v>
      </c>
      <c r="S7732" t="s">
        <v>26</v>
      </c>
    </row>
    <row r="7733" spans="1:19" x14ac:dyDescent="0.3">
      <c r="A7733" t="s">
        <v>25190</v>
      </c>
      <c r="B7733" t="s">
        <v>25243</v>
      </c>
      <c r="C7733" t="s">
        <v>25442</v>
      </c>
      <c r="D7733" t="s">
        <v>25197</v>
      </c>
      <c r="E7733" t="s">
        <v>25264</v>
      </c>
      <c r="F7733" t="s">
        <v>25265</v>
      </c>
      <c r="G7733" t="s">
        <v>25265</v>
      </c>
      <c r="H7733" t="s">
        <v>97</v>
      </c>
      <c r="I7733" t="s">
        <v>98</v>
      </c>
      <c r="J7733" t="str">
        <f>"1951051"</f>
        <v>1951051</v>
      </c>
      <c r="K7733">
        <v>2310303641</v>
      </c>
      <c r="L7733">
        <v>2310303614</v>
      </c>
      <c r="M7733" t="s">
        <v>25443</v>
      </c>
      <c r="N7733" t="s">
        <v>25345</v>
      </c>
      <c r="O7733" t="s">
        <v>25444</v>
      </c>
      <c r="P7733">
        <v>55535</v>
      </c>
      <c r="Q7733" t="str">
        <f>"40.593454"</f>
        <v>40.593454</v>
      </c>
      <c r="R7733" t="str">
        <f>"22.982624"</f>
        <v>22.982624</v>
      </c>
      <c r="S7733" t="s">
        <v>26</v>
      </c>
    </row>
    <row r="7734" spans="1:19" x14ac:dyDescent="0.3">
      <c r="A7734" t="s">
        <v>25190</v>
      </c>
      <c r="B7734" t="s">
        <v>25243</v>
      </c>
      <c r="C7734" t="s">
        <v>25446</v>
      </c>
      <c r="D7734" t="s">
        <v>25197</v>
      </c>
      <c r="E7734" t="s">
        <v>25264</v>
      </c>
      <c r="F7734" t="s">
        <v>25270</v>
      </c>
      <c r="G7734" t="s">
        <v>19978</v>
      </c>
      <c r="H7734" t="s">
        <v>97</v>
      </c>
      <c r="I7734" t="s">
        <v>98</v>
      </c>
      <c r="J7734" t="str">
        <f>"1952020"</f>
        <v>1952020</v>
      </c>
      <c r="K7734">
        <v>2310357515</v>
      </c>
      <c r="L7734">
        <v>2310359282</v>
      </c>
      <c r="M7734" t="s">
        <v>25447</v>
      </c>
      <c r="N7734" t="s">
        <v>25448</v>
      </c>
      <c r="O7734" t="s">
        <v>19981</v>
      </c>
      <c r="P7734">
        <v>57010</v>
      </c>
      <c r="Q7734" t="str">
        <f>"40.641833"</f>
        <v>40.641833</v>
      </c>
      <c r="R7734" t="str">
        <f>"23.032739"</f>
        <v>23.032739</v>
      </c>
      <c r="S7734" t="s">
        <v>26</v>
      </c>
    </row>
    <row r="7735" spans="1:19" x14ac:dyDescent="0.3">
      <c r="A7735" t="s">
        <v>25190</v>
      </c>
      <c r="B7735" t="s">
        <v>25243</v>
      </c>
      <c r="C7735" t="s">
        <v>25450</v>
      </c>
      <c r="D7735" t="s">
        <v>25197</v>
      </c>
      <c r="E7735" t="s">
        <v>25197</v>
      </c>
      <c r="F7735" t="s">
        <v>25197</v>
      </c>
      <c r="G7735" t="s">
        <v>25255</v>
      </c>
      <c r="H7735" t="s">
        <v>97</v>
      </c>
      <c r="I7735" t="s">
        <v>3640</v>
      </c>
      <c r="J7735" t="str">
        <f>"1951005"</f>
        <v>1951005</v>
      </c>
      <c r="K7735">
        <v>2310854440</v>
      </c>
      <c r="M7735" t="s">
        <v>25451</v>
      </c>
      <c r="N7735" t="s">
        <v>25247</v>
      </c>
      <c r="O7735" t="s">
        <v>25452</v>
      </c>
      <c r="P7735">
        <v>54621</v>
      </c>
      <c r="Q7735" t="str">
        <f>"40.629016"</f>
        <v>40.629016</v>
      </c>
      <c r="R7735" t="str">
        <f>"22.951485"</f>
        <v>22.951485</v>
      </c>
      <c r="S7735" t="s">
        <v>26</v>
      </c>
    </row>
    <row r="7736" spans="1:19" x14ac:dyDescent="0.3">
      <c r="A7736" t="s">
        <v>25190</v>
      </c>
      <c r="B7736" t="s">
        <v>25243</v>
      </c>
      <c r="C7736" t="s">
        <v>25454</v>
      </c>
      <c r="D7736" t="s">
        <v>25197</v>
      </c>
      <c r="E7736" t="s">
        <v>25293</v>
      </c>
      <c r="F7736" t="s">
        <v>25293</v>
      </c>
      <c r="G7736" t="s">
        <v>25453</v>
      </c>
      <c r="H7736" t="s">
        <v>97</v>
      </c>
      <c r="I7736" t="s">
        <v>98</v>
      </c>
      <c r="J7736" t="str">
        <f>"1951197"</f>
        <v>1951197</v>
      </c>
      <c r="K7736">
        <v>2392029736</v>
      </c>
      <c r="L7736">
        <v>2392029707</v>
      </c>
      <c r="M7736" t="s">
        <v>25455</v>
      </c>
      <c r="N7736" t="s">
        <v>25456</v>
      </c>
      <c r="O7736" t="s">
        <v>25457</v>
      </c>
      <c r="P7736">
        <v>57019</v>
      </c>
      <c r="Q7736" t="str">
        <f>"40.500213"</f>
        <v>40.500213</v>
      </c>
      <c r="R7736" t="str">
        <f>"22.949701"</f>
        <v>22.949701</v>
      </c>
      <c r="S7736" t="s">
        <v>26</v>
      </c>
    </row>
    <row r="7737" spans="1:19" x14ac:dyDescent="0.3">
      <c r="A7737" t="s">
        <v>25190</v>
      </c>
      <c r="B7737" t="s">
        <v>25243</v>
      </c>
      <c r="C7737" t="s">
        <v>25467</v>
      </c>
      <c r="D7737" t="s">
        <v>25197</v>
      </c>
      <c r="E7737" t="s">
        <v>25197</v>
      </c>
      <c r="F7737" t="s">
        <v>25197</v>
      </c>
      <c r="G7737" t="s">
        <v>25244</v>
      </c>
      <c r="H7737" t="s">
        <v>97</v>
      </c>
      <c r="I7737" t="s">
        <v>98</v>
      </c>
      <c r="J7737" t="str">
        <f>"1951070"</f>
        <v>1951070</v>
      </c>
      <c r="K7737">
        <v>2310205287</v>
      </c>
      <c r="L7737">
        <v>2310205287</v>
      </c>
      <c r="M7737" t="s">
        <v>25468</v>
      </c>
      <c r="N7737" t="s">
        <v>25247</v>
      </c>
      <c r="O7737" t="s">
        <v>25248</v>
      </c>
      <c r="P7737">
        <v>54634</v>
      </c>
      <c r="Q7737" t="str">
        <f>"40.639130"</f>
        <v>40.639130</v>
      </c>
      <c r="R7737" t="str">
        <f>"22.959559"</f>
        <v>22.959559</v>
      </c>
      <c r="S7737" t="s">
        <v>26</v>
      </c>
    </row>
    <row r="7738" spans="1:19" x14ac:dyDescent="0.3">
      <c r="A7738" t="s">
        <v>25190</v>
      </c>
      <c r="B7738" t="s">
        <v>25243</v>
      </c>
      <c r="C7738" t="s">
        <v>25469</v>
      </c>
      <c r="D7738" t="s">
        <v>25197</v>
      </c>
      <c r="E7738" t="s">
        <v>25197</v>
      </c>
      <c r="F7738" t="s">
        <v>25197</v>
      </c>
      <c r="G7738" t="s">
        <v>25250</v>
      </c>
      <c r="H7738" t="s">
        <v>97</v>
      </c>
      <c r="I7738" t="s">
        <v>98</v>
      </c>
      <c r="J7738" t="str">
        <f>"1951240"</f>
        <v>1951240</v>
      </c>
      <c r="K7738">
        <v>2310308920</v>
      </c>
      <c r="L7738">
        <v>2310322965</v>
      </c>
      <c r="M7738" t="s">
        <v>25470</v>
      </c>
      <c r="N7738" t="s">
        <v>25247</v>
      </c>
      <c r="O7738" t="s">
        <v>25471</v>
      </c>
      <c r="P7738">
        <v>54250</v>
      </c>
      <c r="Q7738" t="str">
        <f>"40.605254"</f>
        <v>40.605254</v>
      </c>
      <c r="R7738" t="str">
        <f>"22.969649"</f>
        <v>22.969649</v>
      </c>
      <c r="S7738" t="s">
        <v>26</v>
      </c>
    </row>
    <row r="7739" spans="1:19" x14ac:dyDescent="0.3">
      <c r="A7739" t="s">
        <v>25190</v>
      </c>
      <c r="B7739" t="s">
        <v>25243</v>
      </c>
      <c r="C7739" t="s">
        <v>25475</v>
      </c>
      <c r="D7739" t="s">
        <v>25197</v>
      </c>
      <c r="E7739" t="s">
        <v>25197</v>
      </c>
      <c r="F7739" t="s">
        <v>25197</v>
      </c>
      <c r="G7739" t="s">
        <v>25283</v>
      </c>
      <c r="H7739" t="s">
        <v>97</v>
      </c>
      <c r="I7739" t="s">
        <v>98</v>
      </c>
      <c r="J7739" t="str">
        <f>"1951200"</f>
        <v>1951200</v>
      </c>
      <c r="K7739">
        <v>2310910655</v>
      </c>
      <c r="L7739">
        <v>2310941414</v>
      </c>
      <c r="M7739" t="s">
        <v>25476</v>
      </c>
      <c r="N7739" t="s">
        <v>25197</v>
      </c>
      <c r="O7739" t="s">
        <v>25477</v>
      </c>
      <c r="P7739">
        <v>54453</v>
      </c>
      <c r="Q7739" t="str">
        <f>"40.611149"</f>
        <v>40.611149</v>
      </c>
      <c r="R7739" t="str">
        <f>"22.966806"</f>
        <v>22.966806</v>
      </c>
      <c r="S7739" t="s">
        <v>26</v>
      </c>
    </row>
    <row r="7740" spans="1:19" x14ac:dyDescent="0.3">
      <c r="A7740" t="s">
        <v>25190</v>
      </c>
      <c r="B7740" t="s">
        <v>25243</v>
      </c>
      <c r="C7740" t="s">
        <v>25478</v>
      </c>
      <c r="D7740" t="s">
        <v>25197</v>
      </c>
      <c r="E7740" t="s">
        <v>25197</v>
      </c>
      <c r="F7740" t="s">
        <v>25197</v>
      </c>
      <c r="G7740" t="s">
        <v>25255</v>
      </c>
      <c r="H7740" t="s">
        <v>97</v>
      </c>
      <c r="I7740" t="s">
        <v>98</v>
      </c>
      <c r="J7740" t="str">
        <f>"1951259"</f>
        <v>1951259</v>
      </c>
      <c r="K7740">
        <v>2310214616</v>
      </c>
      <c r="L7740">
        <v>2310249327</v>
      </c>
      <c r="M7740" t="s">
        <v>25479</v>
      </c>
      <c r="N7740" t="s">
        <v>25247</v>
      </c>
      <c r="O7740" t="s">
        <v>25480</v>
      </c>
      <c r="P7740">
        <v>54636</v>
      </c>
      <c r="Q7740" t="str">
        <f>"40.627186"</f>
        <v>40.627186</v>
      </c>
      <c r="R7740" t="str">
        <f>"22.971425"</f>
        <v>22.971425</v>
      </c>
      <c r="S7740" t="s">
        <v>26</v>
      </c>
    </row>
    <row r="7741" spans="1:19" x14ac:dyDescent="0.3">
      <c r="A7741" t="s">
        <v>25190</v>
      </c>
      <c r="B7741" t="s">
        <v>25243</v>
      </c>
      <c r="C7741" t="s">
        <v>25511</v>
      </c>
      <c r="D7741" t="s">
        <v>25197</v>
      </c>
      <c r="E7741" t="s">
        <v>25197</v>
      </c>
      <c r="F7741" t="s">
        <v>25197</v>
      </c>
      <c r="G7741" t="s">
        <v>25283</v>
      </c>
      <c r="H7741" t="s">
        <v>97</v>
      </c>
      <c r="I7741" t="s">
        <v>98</v>
      </c>
      <c r="J7741" t="str">
        <f>"1951201"</f>
        <v>1951201</v>
      </c>
      <c r="K7741">
        <v>2310919921</v>
      </c>
      <c r="L7741">
        <v>2310919025</v>
      </c>
      <c r="M7741" t="s">
        <v>25512</v>
      </c>
      <c r="N7741" t="s">
        <v>25247</v>
      </c>
      <c r="O7741" t="s">
        <v>25286</v>
      </c>
      <c r="P7741">
        <v>54453</v>
      </c>
      <c r="Q7741" t="str">
        <f>"40.612927"</f>
        <v>40.612927</v>
      </c>
      <c r="R7741" t="str">
        <f>"22.966668"</f>
        <v>22.966668</v>
      </c>
      <c r="S7741" t="s">
        <v>26</v>
      </c>
    </row>
    <row r="7742" spans="1:19" x14ac:dyDescent="0.3">
      <c r="A7742" t="s">
        <v>25190</v>
      </c>
      <c r="B7742" t="s">
        <v>25243</v>
      </c>
      <c r="C7742" t="s">
        <v>25659</v>
      </c>
      <c r="D7742" t="s">
        <v>25197</v>
      </c>
      <c r="E7742" t="s">
        <v>25299</v>
      </c>
      <c r="F7742" t="s">
        <v>25299</v>
      </c>
      <c r="G7742" t="s">
        <v>25299</v>
      </c>
      <c r="H7742" t="s">
        <v>97</v>
      </c>
      <c r="I7742" t="s">
        <v>98</v>
      </c>
      <c r="J7742" t="str">
        <f>"1951080"</f>
        <v>1951080</v>
      </c>
      <c r="K7742">
        <v>2310434209</v>
      </c>
      <c r="L7742">
        <v>2310434209</v>
      </c>
      <c r="M7742" t="s">
        <v>25660</v>
      </c>
      <c r="N7742" t="s">
        <v>25340</v>
      </c>
      <c r="O7742" t="s">
        <v>25661</v>
      </c>
      <c r="P7742">
        <v>55134</v>
      </c>
      <c r="Q7742" t="str">
        <f>"40.585129"</f>
        <v>40.585129</v>
      </c>
      <c r="R7742" t="str">
        <f>"22.965546"</f>
        <v>22.965546</v>
      </c>
      <c r="S7742" t="s">
        <v>26</v>
      </c>
    </row>
    <row r="7743" spans="1:19" x14ac:dyDescent="0.3">
      <c r="A7743" t="s">
        <v>25190</v>
      </c>
      <c r="B7743" t="s">
        <v>25243</v>
      </c>
      <c r="C7743" t="s">
        <v>25662</v>
      </c>
      <c r="D7743" t="s">
        <v>25197</v>
      </c>
      <c r="E7743" t="s">
        <v>25299</v>
      </c>
      <c r="F7743" t="s">
        <v>25299</v>
      </c>
      <c r="G7743" t="s">
        <v>25299</v>
      </c>
      <c r="H7743" t="s">
        <v>97</v>
      </c>
      <c r="I7743" t="s">
        <v>98</v>
      </c>
      <c r="J7743" t="str">
        <f>"1951190"</f>
        <v>1951190</v>
      </c>
      <c r="K7743">
        <v>2310411753</v>
      </c>
      <c r="L7743">
        <v>2310415067</v>
      </c>
      <c r="M7743" t="s">
        <v>25663</v>
      </c>
      <c r="N7743" t="s">
        <v>25340</v>
      </c>
      <c r="O7743" t="s">
        <v>25632</v>
      </c>
      <c r="P7743">
        <v>55131</v>
      </c>
      <c r="Q7743" t="str">
        <f>"40.582010"</f>
        <v>40.582010</v>
      </c>
      <c r="R7743" t="str">
        <f>"22.947614"</f>
        <v>22.947614</v>
      </c>
      <c r="S7743" t="s">
        <v>26</v>
      </c>
    </row>
    <row r="7744" spans="1:19" x14ac:dyDescent="0.3">
      <c r="A7744" t="s">
        <v>25190</v>
      </c>
      <c r="B7744" t="s">
        <v>25243</v>
      </c>
      <c r="C7744" t="s">
        <v>25683</v>
      </c>
      <c r="D7744" t="s">
        <v>25197</v>
      </c>
      <c r="E7744" t="s">
        <v>25197</v>
      </c>
      <c r="F7744" t="s">
        <v>25197</v>
      </c>
      <c r="G7744" t="s">
        <v>25250</v>
      </c>
      <c r="H7744" t="s">
        <v>97</v>
      </c>
      <c r="I7744" t="s">
        <v>98</v>
      </c>
      <c r="J7744" t="str">
        <f>"1951251"</f>
        <v>1951251</v>
      </c>
      <c r="K7744">
        <v>2310303063</v>
      </c>
      <c r="L7744">
        <v>2310303063</v>
      </c>
      <c r="M7744" t="s">
        <v>25684</v>
      </c>
      <c r="N7744" t="s">
        <v>25247</v>
      </c>
      <c r="O7744" t="s">
        <v>25685</v>
      </c>
      <c r="P7744">
        <v>54249</v>
      </c>
      <c r="Q7744" t="str">
        <f>"40.597844"</f>
        <v>40.597844</v>
      </c>
      <c r="R7744" t="str">
        <f>"22.969850"</f>
        <v>22.969850</v>
      </c>
      <c r="S7744" t="s">
        <v>26</v>
      </c>
    </row>
    <row r="7745" spans="1:19" x14ac:dyDescent="0.3">
      <c r="A7745" t="s">
        <v>25190</v>
      </c>
      <c r="B7745" t="s">
        <v>25243</v>
      </c>
      <c r="C7745" t="s">
        <v>25705</v>
      </c>
      <c r="D7745" t="s">
        <v>25197</v>
      </c>
      <c r="E7745" t="s">
        <v>25293</v>
      </c>
      <c r="F7745" t="s">
        <v>25293</v>
      </c>
      <c r="G7745" t="s">
        <v>25664</v>
      </c>
      <c r="H7745" t="s">
        <v>97</v>
      </c>
      <c r="I7745" t="s">
        <v>98</v>
      </c>
      <c r="J7745" t="str">
        <f>"1951198"</f>
        <v>1951198</v>
      </c>
      <c r="K7745">
        <v>2392076322</v>
      </c>
      <c r="L7745">
        <v>2392028878</v>
      </c>
      <c r="M7745" t="s">
        <v>25706</v>
      </c>
      <c r="N7745" t="s">
        <v>25707</v>
      </c>
      <c r="O7745" t="s">
        <v>25708</v>
      </c>
      <c r="P7745">
        <v>57019</v>
      </c>
      <c r="Q7745" t="str">
        <f>"40.496156"</f>
        <v>40.496156</v>
      </c>
      <c r="R7745" t="str">
        <f>"22.927334"</f>
        <v>22.927334</v>
      </c>
      <c r="S7745" t="s">
        <v>26</v>
      </c>
    </row>
    <row r="7746" spans="1:19" x14ac:dyDescent="0.3">
      <c r="A7746" t="s">
        <v>25190</v>
      </c>
      <c r="B7746" t="s">
        <v>25243</v>
      </c>
      <c r="C7746" t="s">
        <v>25716</v>
      </c>
      <c r="D7746" t="s">
        <v>25197</v>
      </c>
      <c r="E7746" t="s">
        <v>25264</v>
      </c>
      <c r="F7746" t="s">
        <v>25270</v>
      </c>
      <c r="G7746" t="s">
        <v>25549</v>
      </c>
      <c r="H7746" t="s">
        <v>97</v>
      </c>
      <c r="I7746" t="s">
        <v>98</v>
      </c>
      <c r="J7746" t="str">
        <f>"1959015"</f>
        <v>1959015</v>
      </c>
      <c r="K7746">
        <v>2310678853</v>
      </c>
      <c r="L7746">
        <v>2310678846</v>
      </c>
      <c r="M7746" t="s">
        <v>25717</v>
      </c>
      <c r="N7746" t="s">
        <v>25552</v>
      </c>
      <c r="O7746" t="s">
        <v>25552</v>
      </c>
      <c r="P7746">
        <v>57010</v>
      </c>
      <c r="Q7746" t="str">
        <f>"40.686129"</f>
        <v>40.686129</v>
      </c>
      <c r="R7746" t="str">
        <f>"22.996935"</f>
        <v>22.996935</v>
      </c>
      <c r="S7746" t="s">
        <v>26</v>
      </c>
    </row>
    <row r="7747" spans="1:19" x14ac:dyDescent="0.3">
      <c r="A7747" t="s">
        <v>25190</v>
      </c>
      <c r="B7747" t="s">
        <v>25243</v>
      </c>
      <c r="C7747" t="s">
        <v>25718</v>
      </c>
      <c r="D7747" t="s">
        <v>25197</v>
      </c>
      <c r="E7747" t="s">
        <v>25198</v>
      </c>
      <c r="F7747" t="s">
        <v>25198</v>
      </c>
      <c r="G7747" t="s">
        <v>25198</v>
      </c>
      <c r="H7747" t="s">
        <v>97</v>
      </c>
      <c r="I7747" t="s">
        <v>98</v>
      </c>
      <c r="J7747" t="str">
        <f>"1969015"</f>
        <v>1969015</v>
      </c>
      <c r="K7747">
        <v>2310383062</v>
      </c>
      <c r="L7747">
        <v>2310383063</v>
      </c>
      <c r="M7747" t="s">
        <v>25719</v>
      </c>
      <c r="N7747" t="s">
        <v>25201</v>
      </c>
      <c r="O7747" t="s">
        <v>25720</v>
      </c>
      <c r="P7747">
        <v>57001</v>
      </c>
      <c r="Q7747" t="str">
        <f>"40.547131"</f>
        <v>40.547131</v>
      </c>
      <c r="R7747" t="str">
        <f>"22.992128"</f>
        <v>22.992128</v>
      </c>
      <c r="S7747" t="s">
        <v>26</v>
      </c>
    </row>
    <row r="7748" spans="1:19" x14ac:dyDescent="0.3">
      <c r="A7748" t="s">
        <v>25190</v>
      </c>
      <c r="B7748" t="s">
        <v>25243</v>
      </c>
      <c r="C7748" t="s">
        <v>25723</v>
      </c>
      <c r="D7748" t="s">
        <v>25197</v>
      </c>
      <c r="E7748" t="s">
        <v>25197</v>
      </c>
      <c r="F7748" t="s">
        <v>25197</v>
      </c>
      <c r="G7748" t="s">
        <v>25255</v>
      </c>
      <c r="H7748" t="s">
        <v>97</v>
      </c>
      <c r="I7748" t="s">
        <v>98</v>
      </c>
      <c r="J7748" t="str">
        <f>"1951020"</f>
        <v>1951020</v>
      </c>
      <c r="K7748">
        <v>2310235977</v>
      </c>
      <c r="L7748">
        <v>2310235977</v>
      </c>
      <c r="M7748" t="s">
        <v>25724</v>
      </c>
      <c r="N7748" t="s">
        <v>25247</v>
      </c>
      <c r="O7748" t="s">
        <v>25527</v>
      </c>
      <c r="P7748">
        <v>54622</v>
      </c>
      <c r="Q7748" t="str">
        <f>"40.632146"</f>
        <v>40.632146</v>
      </c>
      <c r="R7748" t="str">
        <f>"22.946036"</f>
        <v>22.946036</v>
      </c>
      <c r="S7748" t="s">
        <v>26</v>
      </c>
    </row>
    <row r="7749" spans="1:19" x14ac:dyDescent="0.3">
      <c r="A7749" t="s">
        <v>25190</v>
      </c>
      <c r="B7749" t="s">
        <v>25243</v>
      </c>
      <c r="C7749" t="s">
        <v>25725</v>
      </c>
      <c r="D7749" t="s">
        <v>25197</v>
      </c>
      <c r="E7749" t="s">
        <v>25197</v>
      </c>
      <c r="F7749" t="s">
        <v>25197</v>
      </c>
      <c r="G7749" t="s">
        <v>25255</v>
      </c>
      <c r="H7749" t="s">
        <v>97</v>
      </c>
      <c r="I7749" t="s">
        <v>195</v>
      </c>
      <c r="J7749" t="str">
        <f>"1951180"</f>
        <v>1951180</v>
      </c>
      <c r="K7749">
        <v>2310272540</v>
      </c>
      <c r="L7749">
        <v>2310272540</v>
      </c>
      <c r="M7749" t="s">
        <v>25726</v>
      </c>
      <c r="N7749" t="s">
        <v>25247</v>
      </c>
      <c r="O7749" t="s">
        <v>25727</v>
      </c>
      <c r="P7749">
        <v>54622</v>
      </c>
      <c r="Q7749" t="str">
        <f>"40.632119"</f>
        <v>40.632119</v>
      </c>
      <c r="R7749" t="str">
        <f>"22.946252"</f>
        <v>22.946252</v>
      </c>
      <c r="S7749" t="s">
        <v>26</v>
      </c>
    </row>
    <row r="7750" spans="1:19" x14ac:dyDescent="0.3">
      <c r="A7750" t="s">
        <v>25190</v>
      </c>
      <c r="B7750" t="s">
        <v>25243</v>
      </c>
      <c r="C7750" t="s">
        <v>25751</v>
      </c>
      <c r="D7750" t="s">
        <v>25197</v>
      </c>
      <c r="E7750" t="s">
        <v>25198</v>
      </c>
      <c r="F7750" t="s">
        <v>25198</v>
      </c>
      <c r="G7750" t="s">
        <v>25198</v>
      </c>
      <c r="H7750" t="s">
        <v>97</v>
      </c>
      <c r="I7750" t="s">
        <v>98</v>
      </c>
      <c r="J7750" t="str">
        <f>"1944004"</f>
        <v>1944004</v>
      </c>
      <c r="K7750">
        <v>2310471350</v>
      </c>
      <c r="L7750">
        <v>2310471350</v>
      </c>
      <c r="M7750" t="s">
        <v>25752</v>
      </c>
      <c r="N7750" t="s">
        <v>25753</v>
      </c>
      <c r="O7750" t="s">
        <v>25754</v>
      </c>
      <c r="P7750">
        <v>57001</v>
      </c>
      <c r="Q7750" t="str">
        <f>"40.523801"</f>
        <v>40.523801</v>
      </c>
      <c r="R7750" t="str">
        <f>"22.995043"</f>
        <v>22.995043</v>
      </c>
      <c r="S7750" t="s">
        <v>26</v>
      </c>
    </row>
    <row r="7751" spans="1:19" x14ac:dyDescent="0.3">
      <c r="A7751" t="s">
        <v>25190</v>
      </c>
      <c r="B7751" t="s">
        <v>25764</v>
      </c>
      <c r="C7751" t="s">
        <v>25785</v>
      </c>
      <c r="D7751" t="s">
        <v>25197</v>
      </c>
      <c r="E7751" t="s">
        <v>25203</v>
      </c>
      <c r="F7751" t="s">
        <v>25784</v>
      </c>
      <c r="G7751" t="s">
        <v>25784</v>
      </c>
      <c r="H7751" t="s">
        <v>97</v>
      </c>
      <c r="I7751" t="s">
        <v>98</v>
      </c>
      <c r="J7751" t="str">
        <f>"1951273"</f>
        <v>1951273</v>
      </c>
      <c r="K7751">
        <v>2310621264</v>
      </c>
      <c r="L7751">
        <v>2310634215</v>
      </c>
      <c r="M7751" t="s">
        <v>25786</v>
      </c>
      <c r="N7751" t="s">
        <v>25787</v>
      </c>
      <c r="O7751" t="s">
        <v>25788</v>
      </c>
      <c r="P7751">
        <v>56532</v>
      </c>
      <c r="Q7751" t="str">
        <f>"40.662650"</f>
        <v>40.662650</v>
      </c>
      <c r="R7751" t="str">
        <f>"22.964216"</f>
        <v>22.964216</v>
      </c>
      <c r="S7751" t="s">
        <v>26</v>
      </c>
    </row>
    <row r="7752" spans="1:19" x14ac:dyDescent="0.3">
      <c r="A7752" t="s">
        <v>25190</v>
      </c>
      <c r="B7752" t="s">
        <v>25764</v>
      </c>
      <c r="C7752" t="s">
        <v>25793</v>
      </c>
      <c r="D7752" t="s">
        <v>25197</v>
      </c>
      <c r="E7752" t="s">
        <v>25790</v>
      </c>
      <c r="F7752" t="s">
        <v>25791</v>
      </c>
      <c r="G7752" t="s">
        <v>25792</v>
      </c>
      <c r="H7752" t="s">
        <v>97</v>
      </c>
      <c r="I7752" t="s">
        <v>98</v>
      </c>
      <c r="J7752" t="str">
        <f>"1963025"</f>
        <v>1963025</v>
      </c>
      <c r="K7752">
        <v>2391042690</v>
      </c>
      <c r="L7752">
        <v>2391042602</v>
      </c>
      <c r="M7752" t="s">
        <v>25794</v>
      </c>
      <c r="N7752" t="s">
        <v>25795</v>
      </c>
      <c r="O7752" t="s">
        <v>25796</v>
      </c>
      <c r="P7752">
        <v>57300</v>
      </c>
      <c r="Q7752" t="str">
        <f>"40.618653"</f>
        <v>40.618653</v>
      </c>
      <c r="R7752" t="str">
        <f>"22.698685"</f>
        <v>22.698685</v>
      </c>
      <c r="S7752" t="s">
        <v>26</v>
      </c>
    </row>
    <row r="7753" spans="1:19" x14ac:dyDescent="0.3">
      <c r="A7753" t="s">
        <v>25190</v>
      </c>
      <c r="B7753" t="s">
        <v>25764</v>
      </c>
      <c r="C7753" t="s">
        <v>25798</v>
      </c>
      <c r="D7753" t="s">
        <v>25197</v>
      </c>
      <c r="E7753" t="s">
        <v>25765</v>
      </c>
      <c r="F7753" t="s">
        <v>21848</v>
      </c>
      <c r="G7753" t="s">
        <v>21878</v>
      </c>
      <c r="H7753" t="s">
        <v>97</v>
      </c>
      <c r="I7753" t="s">
        <v>98</v>
      </c>
      <c r="J7753" t="str">
        <f>"1954090"</f>
        <v>1954090</v>
      </c>
      <c r="K7753">
        <v>2397061111</v>
      </c>
      <c r="M7753" t="s">
        <v>25799</v>
      </c>
      <c r="N7753" t="s">
        <v>25775</v>
      </c>
      <c r="O7753" t="s">
        <v>25800</v>
      </c>
      <c r="P7753">
        <v>57014</v>
      </c>
      <c r="Q7753" t="str">
        <f>"40.662543"</f>
        <v>40.662543</v>
      </c>
      <c r="R7753" t="str">
        <f>"23.699456"</f>
        <v>23.699456</v>
      </c>
      <c r="S7753" t="s">
        <v>26</v>
      </c>
    </row>
    <row r="7754" spans="1:19" x14ac:dyDescent="0.3">
      <c r="A7754" t="s">
        <v>25190</v>
      </c>
      <c r="B7754" t="s">
        <v>25764</v>
      </c>
      <c r="C7754" t="s">
        <v>25822</v>
      </c>
      <c r="D7754" t="s">
        <v>25197</v>
      </c>
      <c r="E7754" t="s">
        <v>25815</v>
      </c>
      <c r="F7754" t="s">
        <v>25815</v>
      </c>
      <c r="G7754" t="s">
        <v>25821</v>
      </c>
      <c r="H7754" t="s">
        <v>97</v>
      </c>
      <c r="I7754" t="s">
        <v>98</v>
      </c>
      <c r="J7754" t="str">
        <f>"1956030"</f>
        <v>1956030</v>
      </c>
      <c r="K7754">
        <v>2391032025</v>
      </c>
      <c r="L7754">
        <v>2391032085</v>
      </c>
      <c r="M7754" t="s">
        <v>25823</v>
      </c>
      <c r="N7754" t="s">
        <v>25824</v>
      </c>
      <c r="O7754" t="s">
        <v>25824</v>
      </c>
      <c r="P7754">
        <v>57007</v>
      </c>
      <c r="Q7754" t="str">
        <f>"40.670352"</f>
        <v>40.670352</v>
      </c>
      <c r="R7754" t="str">
        <f>"22.593976"</f>
        <v>22.593976</v>
      </c>
      <c r="S7754" t="s">
        <v>26</v>
      </c>
    </row>
    <row r="7755" spans="1:19" x14ac:dyDescent="0.3">
      <c r="A7755" t="s">
        <v>25190</v>
      </c>
      <c r="B7755" t="s">
        <v>25764</v>
      </c>
      <c r="C7755" t="s">
        <v>25858</v>
      </c>
      <c r="D7755" t="s">
        <v>25197</v>
      </c>
      <c r="E7755" t="s">
        <v>13689</v>
      </c>
      <c r="F7755" t="s">
        <v>25801</v>
      </c>
      <c r="G7755" t="s">
        <v>25802</v>
      </c>
      <c r="H7755" t="s">
        <v>97</v>
      </c>
      <c r="I7755" t="s">
        <v>98</v>
      </c>
      <c r="J7755" t="str">
        <f>"1953010"</f>
        <v>1953010</v>
      </c>
      <c r="K7755">
        <v>2393031074</v>
      </c>
      <c r="L7755">
        <v>2393031074</v>
      </c>
      <c r="M7755" t="s">
        <v>25859</v>
      </c>
      <c r="N7755" t="s">
        <v>25806</v>
      </c>
      <c r="O7755" t="s">
        <v>25805</v>
      </c>
      <c r="P7755">
        <v>57012</v>
      </c>
      <c r="Q7755" t="str">
        <f>"40.574459"</f>
        <v>40.574459</v>
      </c>
      <c r="R7755" t="str">
        <f>"23.291326"</f>
        <v>23.291326</v>
      </c>
      <c r="S7755" t="s">
        <v>26</v>
      </c>
    </row>
    <row r="7756" spans="1:19" x14ac:dyDescent="0.3">
      <c r="A7756" t="s">
        <v>25190</v>
      </c>
      <c r="B7756" t="s">
        <v>25764</v>
      </c>
      <c r="C7756" t="s">
        <v>25885</v>
      </c>
      <c r="D7756" t="s">
        <v>25197</v>
      </c>
      <c r="E7756" t="s">
        <v>25826</v>
      </c>
      <c r="F7756" t="s">
        <v>25833</v>
      </c>
      <c r="G7756" t="s">
        <v>25833</v>
      </c>
      <c r="H7756" t="s">
        <v>97</v>
      </c>
      <c r="I7756" t="s">
        <v>98</v>
      </c>
      <c r="J7756" t="str">
        <f>"1951268"</f>
        <v>1951268</v>
      </c>
      <c r="K7756">
        <v>2310642595</v>
      </c>
      <c r="L7756">
        <v>2310642597</v>
      </c>
      <c r="M7756" t="s">
        <v>25886</v>
      </c>
      <c r="N7756" t="s">
        <v>25836</v>
      </c>
      <c r="O7756" t="s">
        <v>25887</v>
      </c>
      <c r="P7756">
        <v>56431</v>
      </c>
      <c r="Q7756" t="str">
        <f>"40.664420"</f>
        <v>40.664420</v>
      </c>
      <c r="R7756" t="str">
        <f>"22.922335"</f>
        <v>22.922335</v>
      </c>
      <c r="S7756" t="s">
        <v>26</v>
      </c>
    </row>
    <row r="7757" spans="1:19" x14ac:dyDescent="0.3">
      <c r="A7757" t="s">
        <v>25190</v>
      </c>
      <c r="B7757" t="s">
        <v>25764</v>
      </c>
      <c r="C7757" t="s">
        <v>25897</v>
      </c>
      <c r="D7757" t="s">
        <v>25197</v>
      </c>
      <c r="E7757" t="s">
        <v>25790</v>
      </c>
      <c r="F7757" t="s">
        <v>25896</v>
      </c>
      <c r="G7757" t="s">
        <v>25896</v>
      </c>
      <c r="H7757" t="s">
        <v>97</v>
      </c>
      <c r="I7757" t="s">
        <v>98</v>
      </c>
      <c r="J7757" t="str">
        <f>"1963010"</f>
        <v>1963010</v>
      </c>
      <c r="K7757">
        <v>2310792657</v>
      </c>
      <c r="L7757">
        <v>2310792499</v>
      </c>
      <c r="M7757" t="s">
        <v>25898</v>
      </c>
      <c r="O7757" t="s">
        <v>25899</v>
      </c>
      <c r="P7757">
        <v>57300</v>
      </c>
      <c r="Q7757" t="str">
        <f>"40.631747"</f>
        <v>40.631747</v>
      </c>
      <c r="R7757" t="str">
        <f>"22.743614"</f>
        <v>22.743614</v>
      </c>
      <c r="S7757" t="s">
        <v>26</v>
      </c>
    </row>
    <row r="7758" spans="1:19" x14ac:dyDescent="0.3">
      <c r="A7758" t="s">
        <v>25190</v>
      </c>
      <c r="B7758" t="s">
        <v>25764</v>
      </c>
      <c r="C7758" t="s">
        <v>25915</v>
      </c>
      <c r="D7758" t="s">
        <v>25197</v>
      </c>
      <c r="E7758" t="s">
        <v>25815</v>
      </c>
      <c r="F7758" t="s">
        <v>60</v>
      </c>
      <c r="G7758" t="s">
        <v>25914</v>
      </c>
      <c r="H7758" t="s">
        <v>97</v>
      </c>
      <c r="I7758" t="s">
        <v>98</v>
      </c>
      <c r="J7758" t="str">
        <f>"1960010"</f>
        <v>1960010</v>
      </c>
      <c r="K7758">
        <v>2310713257</v>
      </c>
      <c r="L7758">
        <v>2310714166</v>
      </c>
      <c r="M7758" t="s">
        <v>25916</v>
      </c>
      <c r="N7758" t="s">
        <v>25917</v>
      </c>
      <c r="O7758" t="s">
        <v>25918</v>
      </c>
      <c r="P7758">
        <v>57011</v>
      </c>
      <c r="Q7758" t="str">
        <f>"40.746209"</f>
        <v>40.746209</v>
      </c>
      <c r="R7758" t="str">
        <f>"22.774116"</f>
        <v>22.774116</v>
      </c>
      <c r="S7758" t="s">
        <v>26</v>
      </c>
    </row>
    <row r="7759" spans="1:19" x14ac:dyDescent="0.3">
      <c r="A7759" t="s">
        <v>25190</v>
      </c>
      <c r="B7759" t="s">
        <v>25764</v>
      </c>
      <c r="C7759" t="s">
        <v>25920</v>
      </c>
      <c r="D7759" t="s">
        <v>25197</v>
      </c>
      <c r="E7759" t="s">
        <v>25765</v>
      </c>
      <c r="F7759" t="s">
        <v>25766</v>
      </c>
      <c r="G7759" t="s">
        <v>25767</v>
      </c>
      <c r="H7759" t="s">
        <v>97</v>
      </c>
      <c r="I7759" t="s">
        <v>98</v>
      </c>
      <c r="J7759" t="str">
        <f>"1959010"</f>
        <v>1959010</v>
      </c>
      <c r="K7759">
        <v>2397041418</v>
      </c>
      <c r="L7759">
        <v>2397041418</v>
      </c>
      <c r="M7759" t="s">
        <v>25921</v>
      </c>
      <c r="N7759" t="s">
        <v>25922</v>
      </c>
      <c r="O7759" t="s">
        <v>25923</v>
      </c>
      <c r="P7759">
        <v>57014</v>
      </c>
      <c r="Q7759" t="str">
        <f>"40.625701"</f>
        <v>40.625701</v>
      </c>
      <c r="R7759" t="str">
        <f>"23.563724"</f>
        <v>23.563724</v>
      </c>
      <c r="S7759" t="s">
        <v>26</v>
      </c>
    </row>
    <row r="7760" spans="1:19" x14ac:dyDescent="0.3">
      <c r="A7760" t="s">
        <v>25190</v>
      </c>
      <c r="B7760" t="s">
        <v>25764</v>
      </c>
      <c r="C7760" t="s">
        <v>25925</v>
      </c>
      <c r="D7760" t="s">
        <v>25197</v>
      </c>
      <c r="E7760" t="s">
        <v>25889</v>
      </c>
      <c r="F7760" t="s">
        <v>25924</v>
      </c>
      <c r="G7760" t="s">
        <v>25924</v>
      </c>
      <c r="H7760" t="s">
        <v>97</v>
      </c>
      <c r="I7760" t="s">
        <v>98</v>
      </c>
      <c r="J7760" t="str">
        <f>"1951256"</f>
        <v>1951256</v>
      </c>
      <c r="K7760">
        <v>2310211522</v>
      </c>
      <c r="L7760">
        <v>2310211522</v>
      </c>
      <c r="M7760" t="s">
        <v>25926</v>
      </c>
      <c r="N7760" t="s">
        <v>25927</v>
      </c>
      <c r="O7760" t="s">
        <v>25928</v>
      </c>
      <c r="P7760">
        <v>56626</v>
      </c>
      <c r="Q7760" t="str">
        <f>"40.645967"</f>
        <v>40.645967</v>
      </c>
      <c r="R7760" t="str">
        <f>"22.961577"</f>
        <v>22.961577</v>
      </c>
      <c r="S7760" t="s">
        <v>26</v>
      </c>
    </row>
    <row r="7761" spans="1:19" x14ac:dyDescent="0.3">
      <c r="A7761" t="s">
        <v>25190</v>
      </c>
      <c r="B7761" t="s">
        <v>25764</v>
      </c>
      <c r="C7761" t="s">
        <v>25930</v>
      </c>
      <c r="D7761" t="s">
        <v>25197</v>
      </c>
      <c r="E7761" t="s">
        <v>25826</v>
      </c>
      <c r="F7761" t="s">
        <v>25833</v>
      </c>
      <c r="G7761" t="s">
        <v>25833</v>
      </c>
      <c r="H7761" t="s">
        <v>97</v>
      </c>
      <c r="I7761" t="s">
        <v>98</v>
      </c>
      <c r="J7761" t="str">
        <f>"1990400"</f>
        <v>1990400</v>
      </c>
      <c r="K7761">
        <v>2310587691</v>
      </c>
      <c r="L7761">
        <v>2310658618</v>
      </c>
      <c r="M7761" t="s">
        <v>25931</v>
      </c>
      <c r="N7761" t="s">
        <v>25836</v>
      </c>
      <c r="O7761" t="s">
        <v>25932</v>
      </c>
      <c r="P7761">
        <v>56224</v>
      </c>
      <c r="Q7761" t="str">
        <f>"40.667290"</f>
        <v>40.667290</v>
      </c>
      <c r="R7761" t="str">
        <f>"22.919693"</f>
        <v>22.919693</v>
      </c>
      <c r="S7761" t="s">
        <v>26</v>
      </c>
    </row>
    <row r="7762" spans="1:19" x14ac:dyDescent="0.3">
      <c r="A7762" t="s">
        <v>25190</v>
      </c>
      <c r="B7762" t="s">
        <v>25764</v>
      </c>
      <c r="C7762" t="s">
        <v>25933</v>
      </c>
      <c r="D7762" t="s">
        <v>25197</v>
      </c>
      <c r="E7762" t="s">
        <v>25815</v>
      </c>
      <c r="F7762" t="s">
        <v>25864</v>
      </c>
      <c r="G7762" t="s">
        <v>25864</v>
      </c>
      <c r="H7762" t="s">
        <v>97</v>
      </c>
      <c r="I7762" t="s">
        <v>98</v>
      </c>
      <c r="J7762" t="str">
        <f>"1956010"</f>
        <v>1956010</v>
      </c>
      <c r="K7762">
        <v>2391051797</v>
      </c>
      <c r="L7762">
        <v>2391052098</v>
      </c>
      <c r="M7762" t="s">
        <v>25934</v>
      </c>
      <c r="N7762" t="s">
        <v>25935</v>
      </c>
      <c r="O7762" t="s">
        <v>25936</v>
      </c>
      <c r="P7762">
        <v>57100</v>
      </c>
      <c r="Q7762" t="str">
        <f>"40.780277"</f>
        <v>40.780277</v>
      </c>
      <c r="R7762" t="str">
        <f>"22.570833"</f>
        <v>22.570833</v>
      </c>
      <c r="S7762" t="s">
        <v>26</v>
      </c>
    </row>
    <row r="7763" spans="1:19" x14ac:dyDescent="0.3">
      <c r="A7763" t="s">
        <v>25190</v>
      </c>
      <c r="B7763" t="s">
        <v>25764</v>
      </c>
      <c r="C7763" t="s">
        <v>25955</v>
      </c>
      <c r="D7763" t="s">
        <v>25197</v>
      </c>
      <c r="E7763" t="s">
        <v>25815</v>
      </c>
      <c r="F7763" t="s">
        <v>60</v>
      </c>
      <c r="G7763" t="s">
        <v>60</v>
      </c>
      <c r="H7763" t="s">
        <v>97</v>
      </c>
      <c r="I7763" t="s">
        <v>98</v>
      </c>
      <c r="J7763" t="str">
        <f>"1951220"</f>
        <v>1951220</v>
      </c>
      <c r="K7763">
        <v>2310701034</v>
      </c>
      <c r="L7763">
        <v>2310701034</v>
      </c>
      <c r="M7763" t="s">
        <v>25956</v>
      </c>
      <c r="N7763" t="s">
        <v>25957</v>
      </c>
      <c r="O7763" t="s">
        <v>25958</v>
      </c>
      <c r="P7763">
        <v>57003</v>
      </c>
      <c r="Q7763" t="str">
        <f>"40.712298"</f>
        <v>40.712298</v>
      </c>
      <c r="R7763" t="str">
        <f>"22.729339"</f>
        <v>22.729339</v>
      </c>
      <c r="S7763" t="s">
        <v>26</v>
      </c>
    </row>
    <row r="7764" spans="1:19" x14ac:dyDescent="0.3">
      <c r="A7764" t="s">
        <v>25190</v>
      </c>
      <c r="B7764" t="s">
        <v>25764</v>
      </c>
      <c r="C7764" t="s">
        <v>25959</v>
      </c>
      <c r="D7764" t="s">
        <v>25197</v>
      </c>
      <c r="E7764" t="s">
        <v>13689</v>
      </c>
      <c r="F7764" t="s">
        <v>13689</v>
      </c>
      <c r="G7764" t="s">
        <v>13689</v>
      </c>
      <c r="H7764" t="s">
        <v>97</v>
      </c>
      <c r="I7764" t="s">
        <v>98</v>
      </c>
      <c r="J7764" t="str">
        <f>"1954010"</f>
        <v>1954010</v>
      </c>
      <c r="K7764">
        <v>2394022841</v>
      </c>
      <c r="M7764" t="s">
        <v>25960</v>
      </c>
      <c r="N7764" t="s">
        <v>13686</v>
      </c>
      <c r="O7764" t="s">
        <v>25961</v>
      </c>
      <c r="P7764">
        <v>57200</v>
      </c>
      <c r="Q7764" t="str">
        <f>"40.754743"</f>
        <v>40.754743</v>
      </c>
      <c r="R7764" t="str">
        <f>"23.076128"</f>
        <v>23.076128</v>
      </c>
      <c r="S7764" t="s">
        <v>26</v>
      </c>
    </row>
    <row r="7765" spans="1:19" x14ac:dyDescent="0.3">
      <c r="A7765" t="s">
        <v>25190</v>
      </c>
      <c r="B7765" t="s">
        <v>25764</v>
      </c>
      <c r="C7765" t="s">
        <v>25963</v>
      </c>
      <c r="D7765" t="s">
        <v>25197</v>
      </c>
      <c r="E7765" t="s">
        <v>13689</v>
      </c>
      <c r="F7765" t="s">
        <v>25845</v>
      </c>
      <c r="G7765" t="s">
        <v>25845</v>
      </c>
      <c r="H7765" t="s">
        <v>97</v>
      </c>
      <c r="I7765" t="s">
        <v>98</v>
      </c>
      <c r="J7765" t="str">
        <f>"1957010"</f>
        <v>1957010</v>
      </c>
      <c r="K7765">
        <v>2395022242</v>
      </c>
      <c r="L7765">
        <v>2395022242</v>
      </c>
      <c r="M7765" t="s">
        <v>25964</v>
      </c>
      <c r="N7765" t="s">
        <v>25848</v>
      </c>
      <c r="O7765" t="s">
        <v>25965</v>
      </c>
      <c r="P7765">
        <v>57002</v>
      </c>
      <c r="Q7765" t="str">
        <f>"40.816299"</f>
        <v>40.816299</v>
      </c>
      <c r="R7765" t="str">
        <f>"23.359056"</f>
        <v>23.359056</v>
      </c>
      <c r="S7765" t="s">
        <v>26</v>
      </c>
    </row>
    <row r="7766" spans="1:19" x14ac:dyDescent="0.3">
      <c r="A7766" t="s">
        <v>25190</v>
      </c>
      <c r="B7766" t="s">
        <v>25764</v>
      </c>
      <c r="C7766" t="s">
        <v>25967</v>
      </c>
      <c r="D7766" t="s">
        <v>25197</v>
      </c>
      <c r="E7766" t="s">
        <v>25966</v>
      </c>
      <c r="F7766" t="s">
        <v>25966</v>
      </c>
      <c r="G7766" t="s">
        <v>25966</v>
      </c>
      <c r="H7766" t="s">
        <v>97</v>
      </c>
      <c r="I7766" t="s">
        <v>98</v>
      </c>
      <c r="J7766" t="str">
        <f>"1964010"</f>
        <v>1964010</v>
      </c>
      <c r="K7766">
        <v>2310696781</v>
      </c>
      <c r="L7766">
        <v>2310699494</v>
      </c>
      <c r="M7766" t="s">
        <v>25968</v>
      </c>
      <c r="N7766" t="s">
        <v>25969</v>
      </c>
      <c r="O7766" t="s">
        <v>25970</v>
      </c>
      <c r="P7766">
        <v>57013</v>
      </c>
      <c r="Q7766" t="str">
        <f>"40.735587"</f>
        <v>40.735587</v>
      </c>
      <c r="R7766" t="str">
        <f>"22.918693"</f>
        <v>22.918693</v>
      </c>
      <c r="S7766" t="s">
        <v>26</v>
      </c>
    </row>
    <row r="7767" spans="1:19" x14ac:dyDescent="0.3">
      <c r="A7767" t="s">
        <v>25190</v>
      </c>
      <c r="B7767" t="s">
        <v>25764</v>
      </c>
      <c r="C7767" t="s">
        <v>25972</v>
      </c>
      <c r="D7767" t="s">
        <v>25197</v>
      </c>
      <c r="E7767" t="s">
        <v>25873</v>
      </c>
      <c r="F7767" t="s">
        <v>17906</v>
      </c>
      <c r="G7767" t="s">
        <v>17906</v>
      </c>
      <c r="H7767" t="s">
        <v>97</v>
      </c>
      <c r="I7767" t="s">
        <v>98</v>
      </c>
      <c r="J7767" t="str">
        <f>"1951260"</f>
        <v>1951260</v>
      </c>
      <c r="K7767">
        <v>2310732064</v>
      </c>
      <c r="L7767">
        <v>2310731747</v>
      </c>
      <c r="M7767" t="s">
        <v>25973</v>
      </c>
      <c r="N7767" t="s">
        <v>25838</v>
      </c>
      <c r="O7767" t="s">
        <v>25974</v>
      </c>
      <c r="P7767">
        <v>56121</v>
      </c>
      <c r="Q7767" t="str">
        <f>"40.657580"</f>
        <v>40.657580</v>
      </c>
      <c r="R7767" t="str">
        <f>"22.920451"</f>
        <v>22.920451</v>
      </c>
      <c r="S7767" t="s">
        <v>26</v>
      </c>
    </row>
    <row r="7768" spans="1:19" x14ac:dyDescent="0.3">
      <c r="A7768" t="s">
        <v>25190</v>
      </c>
      <c r="B7768" t="s">
        <v>25764</v>
      </c>
      <c r="C7768" t="s">
        <v>25975</v>
      </c>
      <c r="D7768" t="s">
        <v>25197</v>
      </c>
      <c r="E7768" t="s">
        <v>25203</v>
      </c>
      <c r="F7768" t="s">
        <v>25784</v>
      </c>
      <c r="G7768" t="s">
        <v>25784</v>
      </c>
      <c r="H7768" t="s">
        <v>97</v>
      </c>
      <c r="I7768" t="s">
        <v>98</v>
      </c>
      <c r="J7768" t="str">
        <f>"1951270"</f>
        <v>1951270</v>
      </c>
      <c r="K7768">
        <v>2310651442</v>
      </c>
      <c r="L7768">
        <v>2310651341</v>
      </c>
      <c r="M7768" t="s">
        <v>25976</v>
      </c>
      <c r="N7768" t="s">
        <v>25911</v>
      </c>
      <c r="O7768" t="s">
        <v>25977</v>
      </c>
      <c r="P7768">
        <v>56429</v>
      </c>
      <c r="Q7768" t="str">
        <f>"40.670026"</f>
        <v>40.670026</v>
      </c>
      <c r="R7768" t="str">
        <f>"22.944509"</f>
        <v>22.944509</v>
      </c>
      <c r="S7768" t="s">
        <v>26</v>
      </c>
    </row>
    <row r="7769" spans="1:19" x14ac:dyDescent="0.3">
      <c r="A7769" t="s">
        <v>25190</v>
      </c>
      <c r="B7769" t="s">
        <v>25764</v>
      </c>
      <c r="C7769" t="s">
        <v>25982</v>
      </c>
      <c r="D7769" t="s">
        <v>25197</v>
      </c>
      <c r="E7769" t="s">
        <v>25203</v>
      </c>
      <c r="F7769" t="s">
        <v>595</v>
      </c>
      <c r="G7769" t="s">
        <v>595</v>
      </c>
      <c r="H7769" t="s">
        <v>97</v>
      </c>
      <c r="I7769" t="s">
        <v>98</v>
      </c>
      <c r="J7769" t="str">
        <f>"1951272"</f>
        <v>1951272</v>
      </c>
      <c r="K7769">
        <v>2310659540</v>
      </c>
      <c r="L7769">
        <v>2310601105</v>
      </c>
      <c r="M7769" t="s">
        <v>25983</v>
      </c>
      <c r="N7769" t="s">
        <v>25984</v>
      </c>
      <c r="O7769" t="s">
        <v>25985</v>
      </c>
      <c r="P7769">
        <v>56431</v>
      </c>
      <c r="Q7769" t="str">
        <f>"40.673060"</f>
        <v>40.673060</v>
      </c>
      <c r="R7769" t="str">
        <f>"22.925698"</f>
        <v>22.925698</v>
      </c>
      <c r="S7769" t="s">
        <v>26</v>
      </c>
    </row>
    <row r="7770" spans="1:19" x14ac:dyDescent="0.3">
      <c r="A7770" t="s">
        <v>25190</v>
      </c>
      <c r="B7770" t="s">
        <v>25764</v>
      </c>
      <c r="C7770" t="s">
        <v>25987</v>
      </c>
      <c r="D7770" t="s">
        <v>25197</v>
      </c>
      <c r="E7770" t="s">
        <v>25873</v>
      </c>
      <c r="F7770" t="s">
        <v>17906</v>
      </c>
      <c r="G7770" t="s">
        <v>17906</v>
      </c>
      <c r="H7770" t="s">
        <v>97</v>
      </c>
      <c r="I7770" t="s">
        <v>98</v>
      </c>
      <c r="J7770" t="str">
        <f>"1951264"</f>
        <v>1951264</v>
      </c>
      <c r="K7770">
        <v>2310731524</v>
      </c>
      <c r="L7770">
        <v>2316012153</v>
      </c>
      <c r="M7770" t="s">
        <v>25988</v>
      </c>
      <c r="N7770" t="s">
        <v>25989</v>
      </c>
      <c r="O7770" t="s">
        <v>25990</v>
      </c>
      <c r="P7770">
        <v>56121</v>
      </c>
      <c r="Q7770" t="str">
        <f>"40.654425"</f>
        <v>40.654425</v>
      </c>
      <c r="R7770" t="str">
        <f>"22.922215"</f>
        <v>22.922215</v>
      </c>
      <c r="S7770" t="s">
        <v>26</v>
      </c>
    </row>
    <row r="7771" spans="1:19" x14ac:dyDescent="0.3">
      <c r="A7771" t="s">
        <v>25190</v>
      </c>
      <c r="B7771" t="s">
        <v>25764</v>
      </c>
      <c r="C7771" t="s">
        <v>25993</v>
      </c>
      <c r="D7771" t="s">
        <v>25197</v>
      </c>
      <c r="E7771" t="s">
        <v>25873</v>
      </c>
      <c r="F7771" t="s">
        <v>25992</v>
      </c>
      <c r="G7771" t="s">
        <v>25992</v>
      </c>
      <c r="H7771" t="s">
        <v>97</v>
      </c>
      <c r="I7771" t="s">
        <v>98</v>
      </c>
      <c r="J7771" t="str">
        <f>"1951185"</f>
        <v>1951185</v>
      </c>
      <c r="K7771">
        <v>2310748430</v>
      </c>
      <c r="L7771">
        <v>2310720550</v>
      </c>
      <c r="M7771" t="s">
        <v>25994</v>
      </c>
      <c r="N7771" t="s">
        <v>25995</v>
      </c>
      <c r="O7771" t="s">
        <v>25996</v>
      </c>
      <c r="P7771">
        <v>56122</v>
      </c>
      <c r="Q7771" t="str">
        <f>"40.657211"</f>
        <v>40.657211</v>
      </c>
      <c r="R7771" t="str">
        <f>"22.909587"</f>
        <v>22.909587</v>
      </c>
      <c r="S7771" t="s">
        <v>26</v>
      </c>
    </row>
    <row r="7772" spans="1:19" x14ac:dyDescent="0.3">
      <c r="A7772" t="s">
        <v>25190</v>
      </c>
      <c r="B7772" t="s">
        <v>25764</v>
      </c>
      <c r="C7772" t="s">
        <v>26002</v>
      </c>
      <c r="D7772" t="s">
        <v>25197</v>
      </c>
      <c r="E7772" t="s">
        <v>25873</v>
      </c>
      <c r="F7772" t="s">
        <v>17906</v>
      </c>
      <c r="G7772" t="s">
        <v>17906</v>
      </c>
      <c r="H7772" t="s">
        <v>97</v>
      </c>
      <c r="I7772" t="s">
        <v>195</v>
      </c>
      <c r="J7772" t="str">
        <f>"1951255"</f>
        <v>1951255</v>
      </c>
      <c r="K7772">
        <v>2310748552</v>
      </c>
      <c r="L7772">
        <v>2310748552</v>
      </c>
      <c r="M7772" t="s">
        <v>26003</v>
      </c>
      <c r="N7772" t="s">
        <v>3379</v>
      </c>
      <c r="O7772" t="s">
        <v>26004</v>
      </c>
      <c r="P7772">
        <v>56121</v>
      </c>
      <c r="Q7772" t="str">
        <f>"40.657628"</f>
        <v>40.657628</v>
      </c>
      <c r="R7772" t="str">
        <f>"22.920269"</f>
        <v>22.920269</v>
      </c>
      <c r="S7772" t="s">
        <v>26</v>
      </c>
    </row>
    <row r="7773" spans="1:19" x14ac:dyDescent="0.3">
      <c r="A7773" t="s">
        <v>25190</v>
      </c>
      <c r="B7773" t="s">
        <v>25764</v>
      </c>
      <c r="C7773" t="s">
        <v>26005</v>
      </c>
      <c r="D7773" t="s">
        <v>25197</v>
      </c>
      <c r="E7773" t="s">
        <v>25873</v>
      </c>
      <c r="F7773" t="s">
        <v>17906</v>
      </c>
      <c r="G7773" t="s">
        <v>17906</v>
      </c>
      <c r="H7773" t="s">
        <v>97</v>
      </c>
      <c r="I7773" t="s">
        <v>98</v>
      </c>
      <c r="J7773" t="str">
        <f>"1951263"</f>
        <v>1951263</v>
      </c>
      <c r="K7773">
        <v>2310735720</v>
      </c>
      <c r="L7773">
        <v>2310735720</v>
      </c>
      <c r="M7773" t="s">
        <v>26006</v>
      </c>
      <c r="N7773" t="s">
        <v>25838</v>
      </c>
      <c r="O7773" t="s">
        <v>26007</v>
      </c>
      <c r="P7773">
        <v>56121</v>
      </c>
      <c r="Q7773" t="str">
        <f>"40.659280"</f>
        <v>40.659280</v>
      </c>
      <c r="R7773" t="str">
        <f>"22.921170"</f>
        <v>22.921170</v>
      </c>
      <c r="S7773" t="s">
        <v>26</v>
      </c>
    </row>
    <row r="7774" spans="1:19" x14ac:dyDescent="0.3">
      <c r="A7774" t="s">
        <v>25190</v>
      </c>
      <c r="B7774" t="s">
        <v>25764</v>
      </c>
      <c r="C7774" t="s">
        <v>26008</v>
      </c>
      <c r="D7774" t="s">
        <v>25197</v>
      </c>
      <c r="E7774" t="s">
        <v>25826</v>
      </c>
      <c r="F7774" t="s">
        <v>25833</v>
      </c>
      <c r="G7774" t="s">
        <v>25833</v>
      </c>
      <c r="H7774" t="s">
        <v>97</v>
      </c>
      <c r="I7774" t="s">
        <v>772</v>
      </c>
      <c r="J7774" t="str">
        <f>"1951235"</f>
        <v>1951235</v>
      </c>
      <c r="K7774">
        <v>2310703221</v>
      </c>
      <c r="L7774">
        <v>2310703709</v>
      </c>
      <c r="M7774" t="s">
        <v>26009</v>
      </c>
      <c r="N7774" t="s">
        <v>26010</v>
      </c>
      <c r="O7774" t="s">
        <v>26011</v>
      </c>
      <c r="P7774">
        <v>56224</v>
      </c>
      <c r="Q7774" t="str">
        <f>"40.671544"</f>
        <v>40.671544</v>
      </c>
      <c r="R7774" t="str">
        <f>"22.912702"</f>
        <v>22.912702</v>
      </c>
      <c r="S7774" t="s">
        <v>26</v>
      </c>
    </row>
    <row r="7775" spans="1:19" x14ac:dyDescent="0.3">
      <c r="A7775" t="s">
        <v>25190</v>
      </c>
      <c r="B7775" t="s">
        <v>25764</v>
      </c>
      <c r="C7775" t="s">
        <v>26013</v>
      </c>
      <c r="D7775" t="s">
        <v>25197</v>
      </c>
      <c r="E7775" t="s">
        <v>25826</v>
      </c>
      <c r="F7775" t="s">
        <v>25827</v>
      </c>
      <c r="G7775" t="s">
        <v>25827</v>
      </c>
      <c r="H7775" t="s">
        <v>97</v>
      </c>
      <c r="I7775" t="s">
        <v>98</v>
      </c>
      <c r="J7775" t="str">
        <f>"1951228"</f>
        <v>1951228</v>
      </c>
      <c r="K7775">
        <v>2310774948</v>
      </c>
      <c r="L7775">
        <v>2310764427</v>
      </c>
      <c r="M7775" t="s">
        <v>26014</v>
      </c>
      <c r="N7775" t="s">
        <v>26015</v>
      </c>
      <c r="O7775" t="s">
        <v>26016</v>
      </c>
      <c r="P7775">
        <v>56334</v>
      </c>
      <c r="Q7775" t="str">
        <f>"40.672774"</f>
        <v>40.672774</v>
      </c>
      <c r="R7775" t="str">
        <f>"22.891002"</f>
        <v>22.891002</v>
      </c>
      <c r="S7775" t="s">
        <v>26</v>
      </c>
    </row>
    <row r="7776" spans="1:19" x14ac:dyDescent="0.3">
      <c r="A7776" t="s">
        <v>25190</v>
      </c>
      <c r="B7776" t="s">
        <v>25764</v>
      </c>
      <c r="C7776" t="s">
        <v>26018</v>
      </c>
      <c r="D7776" t="s">
        <v>25197</v>
      </c>
      <c r="E7776" t="s">
        <v>25889</v>
      </c>
      <c r="F7776" t="s">
        <v>25890</v>
      </c>
      <c r="G7776" t="s">
        <v>25890</v>
      </c>
      <c r="H7776" t="s">
        <v>97</v>
      </c>
      <c r="I7776" t="s">
        <v>98</v>
      </c>
      <c r="J7776" t="str">
        <f>"1951131"</f>
        <v>1951131</v>
      </c>
      <c r="K7776">
        <v>2310618018</v>
      </c>
      <c r="L7776">
        <v>2310623926</v>
      </c>
      <c r="M7776" t="s">
        <v>26019</v>
      </c>
      <c r="N7776" t="s">
        <v>25893</v>
      </c>
      <c r="O7776" t="s">
        <v>26020</v>
      </c>
      <c r="P7776">
        <v>56701</v>
      </c>
      <c r="Q7776" t="str">
        <f>"40.654981"</f>
        <v>40.654981</v>
      </c>
      <c r="R7776" t="str">
        <f>"22.943315"</f>
        <v>22.943315</v>
      </c>
      <c r="S7776" t="s">
        <v>26</v>
      </c>
    </row>
    <row r="7777" spans="1:19" x14ac:dyDescent="0.3">
      <c r="A7777" t="s">
        <v>25190</v>
      </c>
      <c r="B7777" t="s">
        <v>25764</v>
      </c>
      <c r="C7777" t="s">
        <v>26028</v>
      </c>
      <c r="D7777" t="s">
        <v>25197</v>
      </c>
      <c r="E7777" t="s">
        <v>25826</v>
      </c>
      <c r="F7777" t="s">
        <v>25833</v>
      </c>
      <c r="G7777" t="s">
        <v>25833</v>
      </c>
      <c r="H7777" t="s">
        <v>97</v>
      </c>
      <c r="I7777" t="s">
        <v>98</v>
      </c>
      <c r="J7777" t="str">
        <f>"1951266"</f>
        <v>1951266</v>
      </c>
      <c r="K7777">
        <v>2310768147</v>
      </c>
      <c r="L7777">
        <v>2310768147</v>
      </c>
      <c r="M7777" t="s">
        <v>26029</v>
      </c>
      <c r="N7777" t="s">
        <v>25836</v>
      </c>
      <c r="O7777" t="s">
        <v>26030</v>
      </c>
      <c r="P7777">
        <v>56224</v>
      </c>
      <c r="Q7777" t="str">
        <f>"40.675645"</f>
        <v>40.675645</v>
      </c>
      <c r="R7777" t="str">
        <f>"22.903391"</f>
        <v>22.903391</v>
      </c>
      <c r="S7777" t="s">
        <v>26</v>
      </c>
    </row>
    <row r="7778" spans="1:19" x14ac:dyDescent="0.3">
      <c r="A7778" t="s">
        <v>25190</v>
      </c>
      <c r="B7778" t="s">
        <v>25764</v>
      </c>
      <c r="C7778" t="s">
        <v>26032</v>
      </c>
      <c r="D7778" t="s">
        <v>25197</v>
      </c>
      <c r="E7778" t="s">
        <v>25203</v>
      </c>
      <c r="F7778" t="s">
        <v>25784</v>
      </c>
      <c r="G7778" t="s">
        <v>25784</v>
      </c>
      <c r="H7778" t="s">
        <v>97</v>
      </c>
      <c r="I7778" t="s">
        <v>98</v>
      </c>
      <c r="J7778" t="str">
        <f>"1951061"</f>
        <v>1951061</v>
      </c>
      <c r="K7778">
        <v>2310652566</v>
      </c>
      <c r="L7778">
        <v>2310652566</v>
      </c>
      <c r="M7778" t="s">
        <v>26033</v>
      </c>
      <c r="N7778" t="s">
        <v>25787</v>
      </c>
      <c r="O7778" t="s">
        <v>26034</v>
      </c>
      <c r="P7778">
        <v>56429</v>
      </c>
      <c r="Q7778" t="str">
        <f>"40.676641"</f>
        <v>40.676641</v>
      </c>
      <c r="R7778" t="str">
        <f>"22.944031"</f>
        <v>22.944031</v>
      </c>
      <c r="S7778" t="s">
        <v>26</v>
      </c>
    </row>
    <row r="7779" spans="1:19" x14ac:dyDescent="0.3">
      <c r="A7779" t="s">
        <v>25190</v>
      </c>
      <c r="B7779" t="s">
        <v>25764</v>
      </c>
      <c r="C7779" t="s">
        <v>26036</v>
      </c>
      <c r="D7779" t="s">
        <v>25197</v>
      </c>
      <c r="E7779" t="s">
        <v>25203</v>
      </c>
      <c r="F7779" t="s">
        <v>595</v>
      </c>
      <c r="G7779" t="s">
        <v>595</v>
      </c>
      <c r="H7779" t="s">
        <v>97</v>
      </c>
      <c r="I7779" t="s">
        <v>98</v>
      </c>
      <c r="J7779" t="str">
        <f>"1951267"</f>
        <v>1951267</v>
      </c>
      <c r="K7779">
        <v>2310659261</v>
      </c>
      <c r="L7779">
        <v>2310659261</v>
      </c>
      <c r="M7779" t="s">
        <v>26037</v>
      </c>
      <c r="N7779" t="s">
        <v>25984</v>
      </c>
      <c r="O7779" t="s">
        <v>26038</v>
      </c>
      <c r="P7779">
        <v>56431</v>
      </c>
      <c r="Q7779" t="str">
        <f>"40.674128"</f>
        <v>40.674128</v>
      </c>
      <c r="R7779" t="str">
        <f>"22.924699"</f>
        <v>22.924699</v>
      </c>
      <c r="S7779" t="s">
        <v>26</v>
      </c>
    </row>
    <row r="7780" spans="1:19" x14ac:dyDescent="0.3">
      <c r="A7780" t="s">
        <v>25190</v>
      </c>
      <c r="B7780" t="s">
        <v>25764</v>
      </c>
      <c r="C7780" t="s">
        <v>26039</v>
      </c>
      <c r="D7780" t="s">
        <v>25197</v>
      </c>
      <c r="E7780" t="s">
        <v>25826</v>
      </c>
      <c r="F7780" t="s">
        <v>25827</v>
      </c>
      <c r="G7780" t="s">
        <v>25827</v>
      </c>
      <c r="H7780" t="s">
        <v>97</v>
      </c>
      <c r="I7780" t="s">
        <v>98</v>
      </c>
      <c r="J7780" t="str">
        <f>"1951227"</f>
        <v>1951227</v>
      </c>
      <c r="K7780">
        <v>2310765655</v>
      </c>
      <c r="L7780">
        <v>2310768967</v>
      </c>
      <c r="M7780" t="s">
        <v>26040</v>
      </c>
      <c r="N7780" t="s">
        <v>26041</v>
      </c>
      <c r="O7780" t="s">
        <v>26042</v>
      </c>
      <c r="P7780">
        <v>56334</v>
      </c>
      <c r="Q7780" t="str">
        <f>"40.667366"</f>
        <v>40.667366</v>
      </c>
      <c r="R7780" t="str">
        <f>"22.900622"</f>
        <v>22.900622</v>
      </c>
      <c r="S7780" t="s">
        <v>26</v>
      </c>
    </row>
    <row r="7781" spans="1:19" x14ac:dyDescent="0.3">
      <c r="A7781" t="s">
        <v>25190</v>
      </c>
      <c r="B7781" t="s">
        <v>25764</v>
      </c>
      <c r="C7781" t="s">
        <v>26045</v>
      </c>
      <c r="D7781" t="s">
        <v>25197</v>
      </c>
      <c r="E7781" t="s">
        <v>25815</v>
      </c>
      <c r="F7781" t="s">
        <v>25864</v>
      </c>
      <c r="G7781" t="s">
        <v>26044</v>
      </c>
      <c r="H7781" t="s">
        <v>97</v>
      </c>
      <c r="I7781" t="s">
        <v>98</v>
      </c>
      <c r="J7781" t="str">
        <f>"1961010"</f>
        <v>1961010</v>
      </c>
      <c r="K7781">
        <v>2310711412</v>
      </c>
      <c r="L7781">
        <v>2310711303</v>
      </c>
      <c r="M7781" t="s">
        <v>26046</v>
      </c>
      <c r="N7781" t="s">
        <v>26047</v>
      </c>
      <c r="P7781">
        <v>57011</v>
      </c>
      <c r="Q7781" t="str">
        <f>"40.795573"</f>
        <v>40.795573</v>
      </c>
      <c r="R7781" t="str">
        <f>"22.671088"</f>
        <v>22.671088</v>
      </c>
      <c r="S7781" t="s">
        <v>26</v>
      </c>
    </row>
    <row r="7782" spans="1:19" x14ac:dyDescent="0.3">
      <c r="A7782" t="s">
        <v>25190</v>
      </c>
      <c r="B7782" t="s">
        <v>25764</v>
      </c>
      <c r="C7782" t="s">
        <v>26050</v>
      </c>
      <c r="D7782" t="s">
        <v>25197</v>
      </c>
      <c r="E7782" t="s">
        <v>13689</v>
      </c>
      <c r="F7782" t="s">
        <v>25808</v>
      </c>
      <c r="G7782" t="s">
        <v>25809</v>
      </c>
      <c r="H7782" t="s">
        <v>97</v>
      </c>
      <c r="I7782" t="s">
        <v>98</v>
      </c>
      <c r="J7782" t="str">
        <f>"1954020"</f>
        <v>1954020</v>
      </c>
      <c r="K7782">
        <v>2393022215</v>
      </c>
      <c r="L7782">
        <v>2393022215</v>
      </c>
      <c r="M7782" t="s">
        <v>26051</v>
      </c>
      <c r="N7782" t="s">
        <v>25812</v>
      </c>
      <c r="O7782" t="s">
        <v>26052</v>
      </c>
      <c r="P7782">
        <v>57020</v>
      </c>
      <c r="Q7782" t="str">
        <f>"40.634906"</f>
        <v>40.634906</v>
      </c>
      <c r="R7782" t="str">
        <f>"23.243492"</f>
        <v>23.243492</v>
      </c>
      <c r="S7782" t="s">
        <v>26</v>
      </c>
    </row>
    <row r="7783" spans="1:19" x14ac:dyDescent="0.3">
      <c r="A7783" t="s">
        <v>25190</v>
      </c>
      <c r="B7783" t="s">
        <v>25764</v>
      </c>
      <c r="C7783" t="s">
        <v>26057</v>
      </c>
      <c r="D7783" t="s">
        <v>25197</v>
      </c>
      <c r="E7783" t="s">
        <v>25966</v>
      </c>
      <c r="F7783" t="s">
        <v>26056</v>
      </c>
      <c r="G7783" t="s">
        <v>15683</v>
      </c>
      <c r="H7783" t="s">
        <v>97</v>
      </c>
      <c r="I7783" t="s">
        <v>98</v>
      </c>
      <c r="J7783" t="str">
        <f>"1958010"</f>
        <v>1958010</v>
      </c>
      <c r="K7783">
        <v>2394031075</v>
      </c>
      <c r="L7783">
        <v>2394032681</v>
      </c>
      <c r="M7783" t="s">
        <v>26058</v>
      </c>
      <c r="N7783" t="s">
        <v>15686</v>
      </c>
      <c r="O7783" t="s">
        <v>26059</v>
      </c>
      <c r="P7783">
        <v>57200</v>
      </c>
      <c r="Q7783" t="str">
        <f>"40.779665"</f>
        <v>40.779665</v>
      </c>
      <c r="R7783" t="str">
        <f>"22.952361"</f>
        <v>22.952361</v>
      </c>
      <c r="S7783" t="s">
        <v>26</v>
      </c>
    </row>
    <row r="7784" spans="1:19" x14ac:dyDescent="0.3">
      <c r="A7784" t="s">
        <v>25190</v>
      </c>
      <c r="B7784" t="s">
        <v>25764</v>
      </c>
      <c r="C7784" t="s">
        <v>26061</v>
      </c>
      <c r="D7784" t="s">
        <v>25197</v>
      </c>
      <c r="E7784" t="s">
        <v>25790</v>
      </c>
      <c r="F7784" t="s">
        <v>25851</v>
      </c>
      <c r="G7784" t="s">
        <v>25852</v>
      </c>
      <c r="H7784" t="s">
        <v>97</v>
      </c>
      <c r="I7784" t="s">
        <v>98</v>
      </c>
      <c r="J7784" t="str">
        <f>"1963020"</f>
        <v>1963020</v>
      </c>
      <c r="K7784">
        <v>2310799912</v>
      </c>
      <c r="L7784">
        <v>2310796988</v>
      </c>
      <c r="M7784" t="s">
        <v>26062</v>
      </c>
      <c r="N7784" t="s">
        <v>26063</v>
      </c>
      <c r="O7784" t="s">
        <v>26064</v>
      </c>
      <c r="P7784">
        <v>57400</v>
      </c>
      <c r="Q7784" t="str">
        <f>"40.664781"</f>
        <v>40.664781</v>
      </c>
      <c r="R7784" t="str">
        <f>"22.799323"</f>
        <v>22.799323</v>
      </c>
      <c r="S7784" t="s">
        <v>26</v>
      </c>
    </row>
    <row r="7785" spans="1:19" x14ac:dyDescent="0.3">
      <c r="A7785" t="s">
        <v>25190</v>
      </c>
      <c r="B7785" t="s">
        <v>25764</v>
      </c>
      <c r="C7785" t="s">
        <v>26065</v>
      </c>
      <c r="D7785" t="s">
        <v>25197</v>
      </c>
      <c r="E7785" t="s">
        <v>25889</v>
      </c>
      <c r="F7785" t="s">
        <v>25924</v>
      </c>
      <c r="G7785" t="s">
        <v>25924</v>
      </c>
      <c r="H7785" t="s">
        <v>97</v>
      </c>
      <c r="I7785" t="s">
        <v>98</v>
      </c>
      <c r="J7785" t="str">
        <f>"1951257"</f>
        <v>1951257</v>
      </c>
      <c r="K7785">
        <v>2310202091</v>
      </c>
      <c r="L7785">
        <v>2310202091</v>
      </c>
      <c r="M7785" t="s">
        <v>26066</v>
      </c>
      <c r="N7785" t="s">
        <v>25927</v>
      </c>
      <c r="O7785" t="s">
        <v>26067</v>
      </c>
      <c r="P7785">
        <v>56626</v>
      </c>
      <c r="Q7785" t="str">
        <f>"40.645112"</f>
        <v>40.645112</v>
      </c>
      <c r="R7785" t="str">
        <f>"22.959263"</f>
        <v>22.959263</v>
      </c>
      <c r="S7785" t="s">
        <v>26</v>
      </c>
    </row>
    <row r="7786" spans="1:19" x14ac:dyDescent="0.3">
      <c r="A7786" t="s">
        <v>25190</v>
      </c>
      <c r="B7786" t="s">
        <v>25764</v>
      </c>
      <c r="C7786" t="s">
        <v>26068</v>
      </c>
      <c r="D7786" t="s">
        <v>25197</v>
      </c>
      <c r="E7786" t="s">
        <v>25815</v>
      </c>
      <c r="F7786" t="s">
        <v>25815</v>
      </c>
      <c r="G7786" t="s">
        <v>25815</v>
      </c>
      <c r="H7786" t="s">
        <v>97</v>
      </c>
      <c r="I7786" t="s">
        <v>98</v>
      </c>
      <c r="J7786" t="str">
        <f>"1956020"</f>
        <v>1956020</v>
      </c>
      <c r="K7786">
        <v>2391022127</v>
      </c>
      <c r="L7786">
        <v>2391023490</v>
      </c>
      <c r="M7786" t="s">
        <v>26069</v>
      </c>
      <c r="N7786" t="s">
        <v>25818</v>
      </c>
      <c r="O7786" t="s">
        <v>26070</v>
      </c>
      <c r="P7786">
        <v>57007</v>
      </c>
      <c r="Q7786" t="str">
        <f>"40.735385"</f>
        <v>40.735385</v>
      </c>
      <c r="R7786" t="str">
        <f>"22.599080"</f>
        <v>22.599080</v>
      </c>
      <c r="S7786" t="s">
        <v>26</v>
      </c>
    </row>
    <row r="7787" spans="1:19" x14ac:dyDescent="0.3">
      <c r="A7787" t="s">
        <v>25190</v>
      </c>
      <c r="B7787" t="s">
        <v>25764</v>
      </c>
      <c r="C7787" t="s">
        <v>26071</v>
      </c>
      <c r="D7787" t="s">
        <v>25197</v>
      </c>
      <c r="E7787" t="s">
        <v>25790</v>
      </c>
      <c r="F7787" t="s">
        <v>25851</v>
      </c>
      <c r="G7787" t="s">
        <v>17983</v>
      </c>
      <c r="H7787" t="s">
        <v>97</v>
      </c>
      <c r="I7787" t="s">
        <v>98</v>
      </c>
      <c r="J7787" t="str">
        <f>"1951225"</f>
        <v>1951225</v>
      </c>
      <c r="K7787">
        <v>2310755517</v>
      </c>
      <c r="L7787">
        <v>2310755517</v>
      </c>
      <c r="M7787" t="s">
        <v>26072</v>
      </c>
      <c r="N7787" t="s">
        <v>26073</v>
      </c>
      <c r="O7787" t="s">
        <v>26074</v>
      </c>
      <c r="P7787">
        <v>57009</v>
      </c>
      <c r="Q7787" t="str">
        <f>"40.642859"</f>
        <v>40.642859</v>
      </c>
      <c r="R7787" t="str">
        <f>"22.850037"</f>
        <v>22.850037</v>
      </c>
      <c r="S7787" t="s">
        <v>26</v>
      </c>
    </row>
    <row r="7788" spans="1:19" x14ac:dyDescent="0.3">
      <c r="A7788" t="s">
        <v>25190</v>
      </c>
      <c r="B7788" t="s">
        <v>25764</v>
      </c>
      <c r="C7788" t="s">
        <v>26076</v>
      </c>
      <c r="D7788" t="s">
        <v>25197</v>
      </c>
      <c r="E7788" t="s">
        <v>25203</v>
      </c>
      <c r="F7788" t="s">
        <v>595</v>
      </c>
      <c r="G7788" t="s">
        <v>595</v>
      </c>
      <c r="H7788" t="s">
        <v>97</v>
      </c>
      <c r="I7788" t="s">
        <v>98</v>
      </c>
      <c r="J7788" t="str">
        <f>"1951060"</f>
        <v>1951060</v>
      </c>
      <c r="K7788">
        <v>2310656387</v>
      </c>
      <c r="L7788">
        <v>2310601231</v>
      </c>
      <c r="M7788" t="s">
        <v>26077</v>
      </c>
      <c r="N7788" t="s">
        <v>25984</v>
      </c>
      <c r="O7788" t="s">
        <v>26078</v>
      </c>
      <c r="P7788">
        <v>56430</v>
      </c>
      <c r="Q7788" t="str">
        <f>"40.661565"</f>
        <v>40.661565</v>
      </c>
      <c r="R7788" t="str">
        <f>"22.934824"</f>
        <v>22.934824</v>
      </c>
      <c r="S7788" t="s">
        <v>26</v>
      </c>
    </row>
    <row r="7789" spans="1:19" x14ac:dyDescent="0.3">
      <c r="A7789" t="s">
        <v>25190</v>
      </c>
      <c r="B7789" t="s">
        <v>25764</v>
      </c>
      <c r="C7789" t="s">
        <v>26081</v>
      </c>
      <c r="D7789" t="s">
        <v>25197</v>
      </c>
      <c r="E7789" t="s">
        <v>25889</v>
      </c>
      <c r="F7789" t="s">
        <v>26080</v>
      </c>
      <c r="G7789" t="s">
        <v>26080</v>
      </c>
      <c r="H7789" t="s">
        <v>97</v>
      </c>
      <c r="I7789" t="s">
        <v>98</v>
      </c>
      <c r="J7789" t="str">
        <f>"1959018"</f>
        <v>1959018</v>
      </c>
      <c r="K7789">
        <v>2310672569</v>
      </c>
      <c r="L7789">
        <v>2310676164</v>
      </c>
      <c r="M7789" t="s">
        <v>26082</v>
      </c>
      <c r="N7789" t="s">
        <v>26083</v>
      </c>
      <c r="O7789" t="s">
        <v>26084</v>
      </c>
      <c r="P7789">
        <v>57010</v>
      </c>
      <c r="Q7789" t="str">
        <f>"40.659439"</f>
        <v>40.659439</v>
      </c>
      <c r="R7789" t="str">
        <f>"22.994281"</f>
        <v>22.994281</v>
      </c>
      <c r="S7789" t="s">
        <v>26</v>
      </c>
    </row>
    <row r="7790" spans="1:19" x14ac:dyDescent="0.3">
      <c r="A7790" t="s">
        <v>25190</v>
      </c>
      <c r="B7790" t="s">
        <v>25764</v>
      </c>
      <c r="C7790" t="s">
        <v>26086</v>
      </c>
      <c r="D7790" t="s">
        <v>25197</v>
      </c>
      <c r="E7790" t="s">
        <v>25889</v>
      </c>
      <c r="F7790" t="s">
        <v>25890</v>
      </c>
      <c r="G7790" t="s">
        <v>25890</v>
      </c>
      <c r="H7790" t="s">
        <v>97</v>
      </c>
      <c r="I7790" t="s">
        <v>14278</v>
      </c>
      <c r="J7790" t="str">
        <f>"1965018"</f>
        <v>1965018</v>
      </c>
      <c r="K7790">
        <v>2310587149</v>
      </c>
      <c r="L7790">
        <v>2310587633</v>
      </c>
      <c r="M7790" t="s">
        <v>26087</v>
      </c>
      <c r="N7790" t="s">
        <v>613</v>
      </c>
      <c r="O7790" t="s">
        <v>26088</v>
      </c>
      <c r="P7790">
        <v>56701</v>
      </c>
      <c r="Q7790" t="str">
        <f>"40.654830"</f>
        <v>40.654830</v>
      </c>
      <c r="R7790" t="str">
        <f>"22.943271"</f>
        <v>22.943271</v>
      </c>
      <c r="S7790" t="s">
        <v>26</v>
      </c>
    </row>
    <row r="7791" spans="1:19" x14ac:dyDescent="0.3">
      <c r="A7791" t="s">
        <v>25190</v>
      </c>
      <c r="B7791" t="s">
        <v>25764</v>
      </c>
      <c r="C7791" t="s">
        <v>26310</v>
      </c>
      <c r="D7791" t="s">
        <v>25197</v>
      </c>
      <c r="E7791" t="s">
        <v>25889</v>
      </c>
      <c r="F7791" t="s">
        <v>25890</v>
      </c>
      <c r="G7791" t="s">
        <v>25890</v>
      </c>
      <c r="H7791" t="s">
        <v>97</v>
      </c>
      <c r="I7791" t="s">
        <v>98</v>
      </c>
      <c r="J7791" t="str">
        <f>"1951009"</f>
        <v>1951009</v>
      </c>
      <c r="K7791">
        <v>2310607521</v>
      </c>
      <c r="L7791">
        <v>2310641262</v>
      </c>
      <c r="M7791" t="s">
        <v>26311</v>
      </c>
      <c r="N7791" t="s">
        <v>26098</v>
      </c>
      <c r="O7791" t="s">
        <v>26088</v>
      </c>
      <c r="P7791">
        <v>56701</v>
      </c>
      <c r="Q7791" t="str">
        <f>"40.657015"</f>
        <v>40.657015</v>
      </c>
      <c r="R7791" t="str">
        <f>"22.944054"</f>
        <v>22.944054</v>
      </c>
      <c r="S7791" t="s">
        <v>26</v>
      </c>
    </row>
    <row r="7792" spans="1:19" x14ac:dyDescent="0.3">
      <c r="A7792" t="s">
        <v>25190</v>
      </c>
      <c r="B7792" t="s">
        <v>25764</v>
      </c>
      <c r="C7792" t="s">
        <v>26313</v>
      </c>
      <c r="D7792" t="s">
        <v>25197</v>
      </c>
      <c r="E7792" t="s">
        <v>25790</v>
      </c>
      <c r="F7792" t="s">
        <v>25851</v>
      </c>
      <c r="G7792" t="s">
        <v>26312</v>
      </c>
      <c r="H7792" t="s">
        <v>97</v>
      </c>
      <c r="I7792" t="s">
        <v>98</v>
      </c>
      <c r="J7792" t="str">
        <f>"1951222"</f>
        <v>1951222</v>
      </c>
      <c r="K7792">
        <v>2310781270</v>
      </c>
      <c r="L7792">
        <v>2310782127</v>
      </c>
      <c r="M7792" t="s">
        <v>26314</v>
      </c>
      <c r="N7792" t="s">
        <v>26315</v>
      </c>
      <c r="O7792" t="s">
        <v>26316</v>
      </c>
      <c r="P7792">
        <v>57008</v>
      </c>
      <c r="Q7792" t="str">
        <f>"40.687547"</f>
        <v>40.687547</v>
      </c>
      <c r="R7792" t="str">
        <f>"22.836659"</f>
        <v>22.836659</v>
      </c>
      <c r="S7792" t="s">
        <v>26</v>
      </c>
    </row>
    <row r="7793" spans="1:19" x14ac:dyDescent="0.3">
      <c r="A7793" t="s">
        <v>25190</v>
      </c>
      <c r="B7793" t="s">
        <v>25764</v>
      </c>
      <c r="C7793" t="s">
        <v>26340</v>
      </c>
      <c r="D7793" t="s">
        <v>25197</v>
      </c>
      <c r="E7793" t="s">
        <v>13689</v>
      </c>
      <c r="F7793" t="s">
        <v>26156</v>
      </c>
      <c r="G7793" t="s">
        <v>26156</v>
      </c>
      <c r="H7793" t="s">
        <v>97</v>
      </c>
      <c r="I7793" t="s">
        <v>98</v>
      </c>
      <c r="J7793" t="str">
        <f>"1970010"</f>
        <v>1970010</v>
      </c>
      <c r="K7793">
        <v>2394061956</v>
      </c>
      <c r="L7793">
        <v>2394061747</v>
      </c>
      <c r="M7793" t="s">
        <v>26341</v>
      </c>
      <c r="N7793" t="s">
        <v>26342</v>
      </c>
      <c r="P7793">
        <v>57200</v>
      </c>
      <c r="Q7793" t="str">
        <f>"40.817708"</f>
        <v>40.817708</v>
      </c>
      <c r="R7793" t="str">
        <f>"23.029776"</f>
        <v>23.029776</v>
      </c>
      <c r="S7793" t="s">
        <v>26</v>
      </c>
    </row>
    <row r="7794" spans="1:19" x14ac:dyDescent="0.3">
      <c r="A7794" t="s">
        <v>25190</v>
      </c>
      <c r="B7794" t="s">
        <v>25764</v>
      </c>
      <c r="C7794" t="s">
        <v>26343</v>
      </c>
      <c r="D7794" t="s">
        <v>25197</v>
      </c>
      <c r="E7794" t="s">
        <v>25966</v>
      </c>
      <c r="F7794" t="s">
        <v>5563</v>
      </c>
      <c r="G7794" t="s">
        <v>26192</v>
      </c>
      <c r="H7794" t="s">
        <v>97</v>
      </c>
      <c r="I7794" t="s">
        <v>98</v>
      </c>
      <c r="J7794" t="str">
        <f>"1961015"</f>
        <v>1961015</v>
      </c>
      <c r="K7794">
        <v>2310787450</v>
      </c>
      <c r="L7794">
        <v>2310787245</v>
      </c>
      <c r="M7794" t="s">
        <v>26344</v>
      </c>
      <c r="N7794" t="s">
        <v>25247</v>
      </c>
      <c r="O7794" t="s">
        <v>26197</v>
      </c>
      <c r="P7794">
        <v>54500</v>
      </c>
      <c r="Q7794" t="str">
        <f>"40.737310"</f>
        <v>40.737310</v>
      </c>
      <c r="R7794" t="str">
        <f>"22.876949"</f>
        <v>22.876949</v>
      </c>
      <c r="S7794" t="s">
        <v>26</v>
      </c>
    </row>
    <row r="7795" spans="1:19" x14ac:dyDescent="0.3">
      <c r="A7795" t="s">
        <v>25190</v>
      </c>
      <c r="B7795" t="s">
        <v>25764</v>
      </c>
      <c r="C7795" t="s">
        <v>26358</v>
      </c>
      <c r="D7795" t="s">
        <v>25197</v>
      </c>
      <c r="E7795" t="s">
        <v>25966</v>
      </c>
      <c r="F7795" t="s">
        <v>25966</v>
      </c>
      <c r="G7795" t="s">
        <v>25966</v>
      </c>
      <c r="H7795" t="s">
        <v>97</v>
      </c>
      <c r="I7795" t="s">
        <v>98</v>
      </c>
      <c r="J7795" t="str">
        <f>"1964015"</f>
        <v>1964015</v>
      </c>
      <c r="K7795">
        <v>2310689637</v>
      </c>
      <c r="L7795">
        <v>2310695641</v>
      </c>
      <c r="M7795" t="s">
        <v>26359</v>
      </c>
      <c r="N7795" t="s">
        <v>26360</v>
      </c>
      <c r="O7795" t="s">
        <v>26361</v>
      </c>
      <c r="P7795">
        <v>57013</v>
      </c>
      <c r="Q7795" t="str">
        <f>"40.735554"</f>
        <v>40.735554</v>
      </c>
      <c r="R7795" t="str">
        <f>"22.917523"</f>
        <v>22.917523</v>
      </c>
      <c r="S7795" t="s">
        <v>26</v>
      </c>
    </row>
    <row r="7796" spans="1:19" x14ac:dyDescent="0.3">
      <c r="A7796" t="s">
        <v>25190</v>
      </c>
      <c r="B7796" t="s">
        <v>25764</v>
      </c>
      <c r="C7796" t="s">
        <v>26365</v>
      </c>
      <c r="D7796" t="s">
        <v>25197</v>
      </c>
      <c r="E7796" t="s">
        <v>25203</v>
      </c>
      <c r="F7796" t="s">
        <v>595</v>
      </c>
      <c r="G7796" t="s">
        <v>595</v>
      </c>
      <c r="H7796" t="s">
        <v>97</v>
      </c>
      <c r="I7796" t="s">
        <v>98</v>
      </c>
      <c r="J7796" t="str">
        <f>"1951002"</f>
        <v>1951002</v>
      </c>
      <c r="K7796">
        <v>2310606007</v>
      </c>
      <c r="L7796">
        <v>2310606057</v>
      </c>
      <c r="M7796" t="s">
        <v>26366</v>
      </c>
      <c r="N7796" t="s">
        <v>25984</v>
      </c>
      <c r="O7796" t="s">
        <v>26210</v>
      </c>
      <c r="P7796">
        <v>56430</v>
      </c>
      <c r="Q7796" t="str">
        <f>"40.671088"</f>
        <v>40.671088</v>
      </c>
      <c r="R7796" t="str">
        <f>"22.937701"</f>
        <v>22.937701</v>
      </c>
      <c r="S7796" t="s">
        <v>26</v>
      </c>
    </row>
    <row r="7797" spans="1:19" x14ac:dyDescent="0.3">
      <c r="A7797" t="s">
        <v>25190</v>
      </c>
      <c r="B7797" t="s">
        <v>25764</v>
      </c>
      <c r="C7797" t="s">
        <v>26367</v>
      </c>
      <c r="D7797" t="s">
        <v>25197</v>
      </c>
      <c r="E7797" t="s">
        <v>25765</v>
      </c>
      <c r="F7797" t="s">
        <v>1872</v>
      </c>
      <c r="G7797" t="s">
        <v>25840</v>
      </c>
      <c r="H7797" t="s">
        <v>97</v>
      </c>
      <c r="I7797" t="s">
        <v>98</v>
      </c>
      <c r="J7797" t="str">
        <f>"1944001"</f>
        <v>1944001</v>
      </c>
      <c r="K7797">
        <v>2397022880</v>
      </c>
      <c r="L7797">
        <v>2397022808</v>
      </c>
      <c r="M7797" t="s">
        <v>26368</v>
      </c>
      <c r="N7797" t="s">
        <v>26369</v>
      </c>
      <c r="O7797" t="s">
        <v>25197</v>
      </c>
      <c r="P7797">
        <v>57021</v>
      </c>
      <c r="Q7797" t="str">
        <f>"40.716364"</f>
        <v>40.716364</v>
      </c>
      <c r="R7797" t="str">
        <f>"23.705801"</f>
        <v>23.705801</v>
      </c>
      <c r="S7797" t="s">
        <v>26</v>
      </c>
    </row>
    <row r="7798" spans="1:19" x14ac:dyDescent="0.3">
      <c r="A7798" t="s">
        <v>25190</v>
      </c>
      <c r="B7798" t="s">
        <v>25764</v>
      </c>
      <c r="C7798" t="s">
        <v>26371</v>
      </c>
      <c r="D7798" t="s">
        <v>25197</v>
      </c>
      <c r="E7798" t="s">
        <v>25826</v>
      </c>
      <c r="F7798" t="s">
        <v>25833</v>
      </c>
      <c r="G7798" t="s">
        <v>25833</v>
      </c>
      <c r="H7798" t="s">
        <v>97</v>
      </c>
      <c r="I7798" t="s">
        <v>98</v>
      </c>
      <c r="J7798" t="str">
        <f>"1944002"</f>
        <v>1944002</v>
      </c>
      <c r="K7798">
        <v>2310709535</v>
      </c>
      <c r="L7798">
        <v>2310709535</v>
      </c>
      <c r="M7798" t="s">
        <v>26372</v>
      </c>
      <c r="N7798" t="s">
        <v>26010</v>
      </c>
      <c r="O7798" t="s">
        <v>26373</v>
      </c>
      <c r="P7798">
        <v>54628</v>
      </c>
      <c r="Q7798" t="str">
        <f>"40.658701"</f>
        <v>40.658701</v>
      </c>
      <c r="R7798" t="str">
        <f>"22.903510"</f>
        <v>22.903510</v>
      </c>
      <c r="S7798" t="s">
        <v>26</v>
      </c>
    </row>
    <row r="7799" spans="1:19" x14ac:dyDescent="0.3">
      <c r="A7799" t="s">
        <v>25190</v>
      </c>
      <c r="B7799" t="s">
        <v>25764</v>
      </c>
      <c r="C7799" t="s">
        <v>26376</v>
      </c>
      <c r="D7799" t="s">
        <v>25197</v>
      </c>
      <c r="E7799" t="s">
        <v>25889</v>
      </c>
      <c r="F7799" t="s">
        <v>26080</v>
      </c>
      <c r="G7799" t="s">
        <v>26080</v>
      </c>
      <c r="H7799" t="s">
        <v>97</v>
      </c>
      <c r="I7799" t="s">
        <v>98</v>
      </c>
      <c r="J7799" t="str">
        <f>"1944003"</f>
        <v>1944003</v>
      </c>
      <c r="N7799" t="s">
        <v>26377</v>
      </c>
      <c r="P7799">
        <v>12345</v>
      </c>
      <c r="Q7799" t="str">
        <f>""</f>
        <v/>
      </c>
      <c r="R7799" t="str">
        <f>""</f>
        <v/>
      </c>
      <c r="S7799" t="s">
        <v>26</v>
      </c>
    </row>
    <row r="7800" spans="1:19" x14ac:dyDescent="0.3">
      <c r="A7800" t="s">
        <v>25190</v>
      </c>
      <c r="B7800" t="s">
        <v>25764</v>
      </c>
      <c r="C7800" t="s">
        <v>26392</v>
      </c>
      <c r="D7800" t="s">
        <v>25197</v>
      </c>
      <c r="E7800" t="s">
        <v>25203</v>
      </c>
      <c r="F7800" t="s">
        <v>25878</v>
      </c>
      <c r="G7800" t="s">
        <v>25878</v>
      </c>
      <c r="H7800" t="s">
        <v>97</v>
      </c>
      <c r="I7800" t="s">
        <v>98</v>
      </c>
      <c r="J7800" t="str">
        <f>"1944005"</f>
        <v>1944005</v>
      </c>
      <c r="K7800">
        <v>2310685630</v>
      </c>
      <c r="L7800">
        <v>2310685350</v>
      </c>
      <c r="M7800" t="s">
        <v>26393</v>
      </c>
      <c r="N7800" t="s">
        <v>25881</v>
      </c>
      <c r="O7800" t="s">
        <v>25883</v>
      </c>
      <c r="P7800">
        <v>56429</v>
      </c>
      <c r="Q7800" t="str">
        <f>"40.684128"</f>
        <v>40.684128</v>
      </c>
      <c r="R7800" t="str">
        <f>"22.952540"</f>
        <v>22.952540</v>
      </c>
      <c r="S7800" t="s">
        <v>26</v>
      </c>
    </row>
    <row r="7801" spans="1:19" x14ac:dyDescent="0.3">
      <c r="A7801" t="s">
        <v>25190</v>
      </c>
      <c r="B7801" t="s">
        <v>26402</v>
      </c>
      <c r="C7801" t="s">
        <v>26410</v>
      </c>
      <c r="D7801" t="s">
        <v>25191</v>
      </c>
      <c r="E7801" t="s">
        <v>26403</v>
      </c>
      <c r="F7801" t="s">
        <v>26403</v>
      </c>
      <c r="G7801" t="s">
        <v>26404</v>
      </c>
      <c r="H7801" t="s">
        <v>97</v>
      </c>
      <c r="I7801" t="s">
        <v>98</v>
      </c>
      <c r="J7801" t="str">
        <f>"1653010"</f>
        <v>1653010</v>
      </c>
      <c r="K7801">
        <v>2332027250</v>
      </c>
      <c r="L7801">
        <v>2332022011</v>
      </c>
      <c r="M7801" t="s">
        <v>26411</v>
      </c>
      <c r="N7801" t="s">
        <v>26407</v>
      </c>
      <c r="O7801" t="s">
        <v>26412</v>
      </c>
      <c r="P7801">
        <v>59200</v>
      </c>
      <c r="Q7801" t="str">
        <f>"40.621775"</f>
        <v>40.621775</v>
      </c>
      <c r="R7801" t="str">
        <f>"22.073630"</f>
        <v>22.073630</v>
      </c>
      <c r="S7801" t="s">
        <v>26</v>
      </c>
    </row>
    <row r="7802" spans="1:19" x14ac:dyDescent="0.3">
      <c r="A7802" t="s">
        <v>25190</v>
      </c>
      <c r="B7802" t="s">
        <v>26402</v>
      </c>
      <c r="C7802" t="s">
        <v>26415</v>
      </c>
      <c r="D7802" t="s">
        <v>25191</v>
      </c>
      <c r="E7802" t="s">
        <v>26414</v>
      </c>
      <c r="F7802" t="s">
        <v>26414</v>
      </c>
      <c r="G7802" t="s">
        <v>26414</v>
      </c>
      <c r="H7802" t="s">
        <v>97</v>
      </c>
      <c r="I7802" t="s">
        <v>98</v>
      </c>
      <c r="J7802" t="str">
        <f>"1652010"</f>
        <v>1652010</v>
      </c>
      <c r="K7802">
        <v>2333022025</v>
      </c>
      <c r="L7802">
        <v>2333022025</v>
      </c>
      <c r="M7802" t="s">
        <v>26416</v>
      </c>
      <c r="N7802" t="s">
        <v>26417</v>
      </c>
      <c r="O7802" t="s">
        <v>26418</v>
      </c>
      <c r="P7802">
        <v>59300</v>
      </c>
      <c r="Q7802" t="str">
        <f>"40.631587"</f>
        <v>40.631587</v>
      </c>
      <c r="R7802" t="str">
        <f>"22.441164"</f>
        <v>22.441164</v>
      </c>
      <c r="S7802" t="s">
        <v>26</v>
      </c>
    </row>
    <row r="7803" spans="1:19" x14ac:dyDescent="0.3">
      <c r="A7803" t="s">
        <v>25190</v>
      </c>
      <c r="B7803" t="s">
        <v>26402</v>
      </c>
      <c r="C7803" t="s">
        <v>26420</v>
      </c>
      <c r="D7803" t="s">
        <v>25191</v>
      </c>
      <c r="E7803" t="s">
        <v>26403</v>
      </c>
      <c r="F7803" t="s">
        <v>26403</v>
      </c>
      <c r="G7803" t="s">
        <v>26404</v>
      </c>
      <c r="H7803" t="s">
        <v>97</v>
      </c>
      <c r="I7803" t="s">
        <v>98</v>
      </c>
      <c r="J7803" t="str">
        <f>"1653011"</f>
        <v>1653011</v>
      </c>
      <c r="K7803">
        <v>2332027232</v>
      </c>
      <c r="M7803" t="s">
        <v>26421</v>
      </c>
      <c r="N7803" t="s">
        <v>26407</v>
      </c>
      <c r="O7803" t="s">
        <v>26412</v>
      </c>
      <c r="P7803">
        <v>59200</v>
      </c>
      <c r="Q7803" t="str">
        <f>"40.621971"</f>
        <v>40.621971</v>
      </c>
      <c r="R7803" t="str">
        <f>"22.073539"</f>
        <v>22.073539</v>
      </c>
      <c r="S7803" t="s">
        <v>26</v>
      </c>
    </row>
    <row r="7804" spans="1:19" x14ac:dyDescent="0.3">
      <c r="A7804" t="s">
        <v>25190</v>
      </c>
      <c r="B7804" t="s">
        <v>26402</v>
      </c>
      <c r="C7804" t="s">
        <v>26423</v>
      </c>
      <c r="D7804" t="s">
        <v>25191</v>
      </c>
      <c r="E7804" t="s">
        <v>26414</v>
      </c>
      <c r="F7804" t="s">
        <v>26422</v>
      </c>
      <c r="G7804" t="s">
        <v>26422</v>
      </c>
      <c r="H7804" t="s">
        <v>97</v>
      </c>
      <c r="I7804" t="s">
        <v>98</v>
      </c>
      <c r="J7804" t="str">
        <f>"1654010"</f>
        <v>1654010</v>
      </c>
      <c r="K7804">
        <v>2331081290</v>
      </c>
      <c r="L7804">
        <v>2331081207</v>
      </c>
      <c r="M7804" t="s">
        <v>26424</v>
      </c>
      <c r="N7804" t="s">
        <v>26425</v>
      </c>
      <c r="O7804" t="s">
        <v>26426</v>
      </c>
      <c r="P7804">
        <v>59031</v>
      </c>
      <c r="Q7804" t="str">
        <f>"40.522203"</f>
        <v>40.522203</v>
      </c>
      <c r="R7804" t="str">
        <f>"22.400246"</f>
        <v>22.400246</v>
      </c>
      <c r="S7804" t="s">
        <v>26</v>
      </c>
    </row>
    <row r="7805" spans="1:19" x14ac:dyDescent="0.3">
      <c r="A7805" t="s">
        <v>25190</v>
      </c>
      <c r="B7805" t="s">
        <v>26402</v>
      </c>
      <c r="C7805" t="s">
        <v>26437</v>
      </c>
      <c r="D7805" t="s">
        <v>25191</v>
      </c>
      <c r="E7805" t="s">
        <v>26414</v>
      </c>
      <c r="F7805" t="s">
        <v>26414</v>
      </c>
      <c r="G7805" t="s">
        <v>26414</v>
      </c>
      <c r="H7805" t="s">
        <v>97</v>
      </c>
      <c r="I7805" t="s">
        <v>98</v>
      </c>
      <c r="J7805" t="str">
        <f>"1652011"</f>
        <v>1652011</v>
      </c>
      <c r="K7805">
        <v>2333022666</v>
      </c>
      <c r="L7805">
        <v>2333022666</v>
      </c>
      <c r="M7805" t="s">
        <v>26438</v>
      </c>
      <c r="N7805" t="s">
        <v>26417</v>
      </c>
      <c r="O7805" t="s">
        <v>26439</v>
      </c>
      <c r="P7805">
        <v>59300</v>
      </c>
      <c r="Q7805" t="str">
        <f>"40.622318"</f>
        <v>40.622318</v>
      </c>
      <c r="R7805" t="str">
        <f>"22.446282"</f>
        <v>22.446282</v>
      </c>
      <c r="S7805" t="s">
        <v>26</v>
      </c>
    </row>
    <row r="7806" spans="1:19" x14ac:dyDescent="0.3">
      <c r="A7806" t="s">
        <v>25190</v>
      </c>
      <c r="B7806" t="s">
        <v>26402</v>
      </c>
      <c r="C7806" t="s">
        <v>26441</v>
      </c>
      <c r="D7806" t="s">
        <v>25191</v>
      </c>
      <c r="E7806" t="s">
        <v>25192</v>
      </c>
      <c r="F7806" t="s">
        <v>25192</v>
      </c>
      <c r="G7806" t="s">
        <v>25192</v>
      </c>
      <c r="H7806" t="s">
        <v>97</v>
      </c>
      <c r="I7806" t="s">
        <v>98</v>
      </c>
      <c r="J7806" t="str">
        <f>"1651010"</f>
        <v>1651010</v>
      </c>
      <c r="K7806">
        <v>2331029005</v>
      </c>
      <c r="L7806">
        <v>2331029390</v>
      </c>
      <c r="M7806" t="s">
        <v>26442</v>
      </c>
      <c r="N7806" t="s">
        <v>25195</v>
      </c>
      <c r="O7806" t="s">
        <v>26443</v>
      </c>
      <c r="P7806">
        <v>59132</v>
      </c>
      <c r="Q7806" t="str">
        <f>"40.513521"</f>
        <v>40.513521</v>
      </c>
      <c r="R7806" t="str">
        <f>"22.188442"</f>
        <v>22.188442</v>
      </c>
      <c r="S7806" t="s">
        <v>26</v>
      </c>
    </row>
    <row r="7807" spans="1:19" x14ac:dyDescent="0.3">
      <c r="A7807" t="s">
        <v>25190</v>
      </c>
      <c r="B7807" t="s">
        <v>26402</v>
      </c>
      <c r="C7807" t="s">
        <v>26444</v>
      </c>
      <c r="D7807" t="s">
        <v>25191</v>
      </c>
      <c r="E7807" t="s">
        <v>25192</v>
      </c>
      <c r="F7807" t="s">
        <v>25192</v>
      </c>
      <c r="G7807" t="s">
        <v>25192</v>
      </c>
      <c r="H7807" t="s">
        <v>97</v>
      </c>
      <c r="I7807" t="s">
        <v>98</v>
      </c>
      <c r="J7807" t="str">
        <f>"1651021"</f>
        <v>1651021</v>
      </c>
      <c r="K7807">
        <v>2331028801</v>
      </c>
      <c r="L7807">
        <v>2331028815</v>
      </c>
      <c r="M7807" t="s">
        <v>26445</v>
      </c>
      <c r="N7807" t="s">
        <v>25192</v>
      </c>
      <c r="O7807" t="s">
        <v>11247</v>
      </c>
      <c r="P7807">
        <v>59100</v>
      </c>
      <c r="Q7807" t="str">
        <f>"40.532645"</f>
        <v>40.532645</v>
      </c>
      <c r="R7807" t="str">
        <f>"22.210316"</f>
        <v>22.210316</v>
      </c>
      <c r="S7807" t="s">
        <v>26</v>
      </c>
    </row>
    <row r="7808" spans="1:19" x14ac:dyDescent="0.3">
      <c r="A7808" t="s">
        <v>25190</v>
      </c>
      <c r="B7808" t="s">
        <v>26402</v>
      </c>
      <c r="C7808" t="s">
        <v>26450</v>
      </c>
      <c r="D7808" t="s">
        <v>25191</v>
      </c>
      <c r="E7808" t="s">
        <v>25192</v>
      </c>
      <c r="F7808" t="s">
        <v>25192</v>
      </c>
      <c r="G7808" t="s">
        <v>25192</v>
      </c>
      <c r="H7808" t="s">
        <v>97</v>
      </c>
      <c r="I7808" t="s">
        <v>98</v>
      </c>
      <c r="J7808" t="str">
        <f>"1651009"</f>
        <v>1651009</v>
      </c>
      <c r="K7808">
        <v>2331024843</v>
      </c>
      <c r="L7808">
        <v>2331072655</v>
      </c>
      <c r="M7808" t="s">
        <v>26451</v>
      </c>
      <c r="N7808" t="s">
        <v>25195</v>
      </c>
      <c r="O7808" t="s">
        <v>26452</v>
      </c>
      <c r="P7808">
        <v>59131</v>
      </c>
      <c r="Q7808" t="str">
        <f>"40.542660"</f>
        <v>40.542660</v>
      </c>
      <c r="R7808" t="str">
        <f>"22.198521"</f>
        <v>22.198521</v>
      </c>
      <c r="S7808" t="s">
        <v>26</v>
      </c>
    </row>
    <row r="7809" spans="1:19" x14ac:dyDescent="0.3">
      <c r="A7809" t="s">
        <v>25190</v>
      </c>
      <c r="B7809" t="s">
        <v>26402</v>
      </c>
      <c r="C7809" t="s">
        <v>26453</v>
      </c>
      <c r="D7809" t="s">
        <v>25191</v>
      </c>
      <c r="E7809" t="s">
        <v>25192</v>
      </c>
      <c r="F7809" t="s">
        <v>25192</v>
      </c>
      <c r="G7809" t="s">
        <v>25192</v>
      </c>
      <c r="H7809" t="s">
        <v>97</v>
      </c>
      <c r="I7809" t="s">
        <v>98</v>
      </c>
      <c r="J7809" t="str">
        <f>"1651011"</f>
        <v>1651011</v>
      </c>
      <c r="K7809">
        <v>2331029001</v>
      </c>
      <c r="L7809">
        <v>2331021901</v>
      </c>
      <c r="M7809" t="s">
        <v>26454</v>
      </c>
      <c r="N7809" t="s">
        <v>25195</v>
      </c>
      <c r="O7809" t="s">
        <v>26455</v>
      </c>
      <c r="P7809">
        <v>59132</v>
      </c>
      <c r="Q7809" t="str">
        <f>"40.519362"</f>
        <v>40.519362</v>
      </c>
      <c r="R7809" t="str">
        <f>"22.205216"</f>
        <v>22.205216</v>
      </c>
      <c r="S7809" t="s">
        <v>26</v>
      </c>
    </row>
    <row r="7810" spans="1:19" x14ac:dyDescent="0.3">
      <c r="A7810" t="s">
        <v>25190</v>
      </c>
      <c r="B7810" t="s">
        <v>26402</v>
      </c>
      <c r="C7810" t="s">
        <v>26457</v>
      </c>
      <c r="D7810" t="s">
        <v>25191</v>
      </c>
      <c r="E7810" t="s">
        <v>25192</v>
      </c>
      <c r="F7810" t="s">
        <v>25192</v>
      </c>
      <c r="G7810" t="s">
        <v>25192</v>
      </c>
      <c r="H7810" t="s">
        <v>97</v>
      </c>
      <c r="I7810" t="s">
        <v>98</v>
      </c>
      <c r="J7810" t="str">
        <f>"1651020"</f>
        <v>1651020</v>
      </c>
      <c r="K7810">
        <v>2331028804</v>
      </c>
      <c r="L7810">
        <v>2331075804</v>
      </c>
      <c r="M7810" t="s">
        <v>26458</v>
      </c>
      <c r="N7810" t="s">
        <v>25195</v>
      </c>
      <c r="O7810" t="s">
        <v>26459</v>
      </c>
      <c r="P7810">
        <v>59131</v>
      </c>
      <c r="Q7810" t="str">
        <f>"40.532319"</f>
        <v>40.532319</v>
      </c>
      <c r="R7810" t="str">
        <f>"22.210091"</f>
        <v>22.210091</v>
      </c>
      <c r="S7810" t="s">
        <v>26</v>
      </c>
    </row>
    <row r="7811" spans="1:19" x14ac:dyDescent="0.3">
      <c r="A7811" t="s">
        <v>25190</v>
      </c>
      <c r="B7811" t="s">
        <v>26402</v>
      </c>
      <c r="C7811" t="s">
        <v>26461</v>
      </c>
      <c r="D7811" t="s">
        <v>25191</v>
      </c>
      <c r="E7811" t="s">
        <v>25192</v>
      </c>
      <c r="F7811" t="s">
        <v>26460</v>
      </c>
      <c r="G7811" t="s">
        <v>18057</v>
      </c>
      <c r="H7811" t="s">
        <v>97</v>
      </c>
      <c r="I7811" t="s">
        <v>98</v>
      </c>
      <c r="J7811" t="str">
        <f>"1659010"</f>
        <v>1659010</v>
      </c>
      <c r="K7811">
        <v>2331042000</v>
      </c>
      <c r="L7811">
        <v>2331042000</v>
      </c>
      <c r="M7811" t="s">
        <v>26462</v>
      </c>
      <c r="N7811" t="s">
        <v>26463</v>
      </c>
      <c r="O7811" t="s">
        <v>26464</v>
      </c>
      <c r="P7811">
        <v>59100</v>
      </c>
      <c r="Q7811" t="str">
        <f>"40.552204"</f>
        <v>40.552204</v>
      </c>
      <c r="R7811" t="str">
        <f>"22.249717"</f>
        <v>22.249717</v>
      </c>
      <c r="S7811" t="s">
        <v>26</v>
      </c>
    </row>
    <row r="7812" spans="1:19" x14ac:dyDescent="0.3">
      <c r="A7812" t="s">
        <v>25190</v>
      </c>
      <c r="B7812" t="s">
        <v>26402</v>
      </c>
      <c r="C7812" t="s">
        <v>26467</v>
      </c>
      <c r="D7812" t="s">
        <v>25191</v>
      </c>
      <c r="E7812" t="s">
        <v>26414</v>
      </c>
      <c r="F7812" t="s">
        <v>13055</v>
      </c>
      <c r="G7812" t="s">
        <v>26466</v>
      </c>
      <c r="H7812" t="s">
        <v>97</v>
      </c>
      <c r="I7812" t="s">
        <v>98</v>
      </c>
      <c r="J7812" t="str">
        <f>"1652020"</f>
        <v>1652020</v>
      </c>
      <c r="K7812">
        <v>2333063311</v>
      </c>
      <c r="L7812">
        <v>2333063311</v>
      </c>
      <c r="M7812" t="s">
        <v>26468</v>
      </c>
      <c r="N7812" t="s">
        <v>26469</v>
      </c>
      <c r="O7812" t="s">
        <v>26470</v>
      </c>
      <c r="P7812">
        <v>59300</v>
      </c>
      <c r="Q7812" t="str">
        <f>"40.605925"</f>
        <v>40.605925</v>
      </c>
      <c r="R7812" t="str">
        <f>"22.497706"</f>
        <v>22.497706</v>
      </c>
      <c r="S7812" t="s">
        <v>26</v>
      </c>
    </row>
    <row r="7813" spans="1:19" x14ac:dyDescent="0.3">
      <c r="A7813" t="s">
        <v>25190</v>
      </c>
      <c r="B7813" t="s">
        <v>26402</v>
      </c>
      <c r="C7813" t="s">
        <v>26572</v>
      </c>
      <c r="D7813" t="s">
        <v>25191</v>
      </c>
      <c r="E7813" t="s">
        <v>25192</v>
      </c>
      <c r="F7813" t="s">
        <v>25192</v>
      </c>
      <c r="G7813" t="s">
        <v>25192</v>
      </c>
      <c r="H7813" t="s">
        <v>97</v>
      </c>
      <c r="I7813" t="s">
        <v>195</v>
      </c>
      <c r="J7813" t="str">
        <f>"1651035"</f>
        <v>1651035</v>
      </c>
      <c r="K7813">
        <v>2331075227</v>
      </c>
      <c r="L7813">
        <v>2331075227</v>
      </c>
      <c r="M7813" t="s">
        <v>26573</v>
      </c>
      <c r="N7813" t="s">
        <v>25195</v>
      </c>
      <c r="O7813" t="s">
        <v>26528</v>
      </c>
      <c r="P7813">
        <v>59132</v>
      </c>
      <c r="Q7813" t="str">
        <f>"40.522107"</f>
        <v>40.522107</v>
      </c>
      <c r="R7813" t="str">
        <f>"22.208710"</f>
        <v>22.208710</v>
      </c>
      <c r="S7813" t="s">
        <v>26</v>
      </c>
    </row>
    <row r="7814" spans="1:19" x14ac:dyDescent="0.3">
      <c r="A7814" t="s">
        <v>25190</v>
      </c>
      <c r="B7814" t="s">
        <v>26583</v>
      </c>
      <c r="C7814" t="s">
        <v>26607</v>
      </c>
      <c r="D7814" t="s">
        <v>25207</v>
      </c>
      <c r="E7814" t="s">
        <v>26604</v>
      </c>
      <c r="F7814" t="s">
        <v>26605</v>
      </c>
      <c r="G7814" t="s">
        <v>26606</v>
      </c>
      <c r="H7814" t="s">
        <v>97</v>
      </c>
      <c r="I7814" t="s">
        <v>98</v>
      </c>
      <c r="J7814" t="str">
        <f>"2652010"</f>
        <v>2652010</v>
      </c>
      <c r="K7814">
        <v>2343032042</v>
      </c>
      <c r="L7814">
        <v>2343032997</v>
      </c>
      <c r="M7814" t="s">
        <v>26608</v>
      </c>
      <c r="N7814" t="s">
        <v>26609</v>
      </c>
      <c r="O7814" t="s">
        <v>25654</v>
      </c>
      <c r="P7814">
        <v>61400</v>
      </c>
      <c r="Q7814" t="str">
        <f>"40.986521"</f>
        <v>40.986521</v>
      </c>
      <c r="R7814" t="str">
        <f>"22.536252"</f>
        <v>22.536252</v>
      </c>
      <c r="S7814" t="s">
        <v>26</v>
      </c>
    </row>
    <row r="7815" spans="1:19" x14ac:dyDescent="0.3">
      <c r="A7815" t="s">
        <v>25190</v>
      </c>
      <c r="B7815" t="s">
        <v>26583</v>
      </c>
      <c r="C7815" t="s">
        <v>26611</v>
      </c>
      <c r="D7815" t="s">
        <v>25207</v>
      </c>
      <c r="E7815" t="s">
        <v>25207</v>
      </c>
      <c r="F7815" t="s">
        <v>26591</v>
      </c>
      <c r="G7815" t="s">
        <v>26592</v>
      </c>
      <c r="H7815" t="s">
        <v>97</v>
      </c>
      <c r="I7815" t="s">
        <v>98</v>
      </c>
      <c r="J7815" t="str">
        <f>"2655010"</f>
        <v>2655010</v>
      </c>
      <c r="K7815">
        <v>2341031304</v>
      </c>
      <c r="L7815">
        <v>2341031304</v>
      </c>
      <c r="M7815" t="s">
        <v>26612</v>
      </c>
      <c r="N7815" t="s">
        <v>26613</v>
      </c>
      <c r="O7815" t="s">
        <v>26596</v>
      </c>
      <c r="P7815">
        <v>61003</v>
      </c>
      <c r="Q7815" t="str">
        <f>"41.263114"</f>
        <v>41.263114</v>
      </c>
      <c r="R7815" t="str">
        <f>"22.840406"</f>
        <v>22.840406</v>
      </c>
      <c r="S7815" t="s">
        <v>26</v>
      </c>
    </row>
    <row r="7816" spans="1:19" x14ac:dyDescent="0.3">
      <c r="A7816" t="s">
        <v>25190</v>
      </c>
      <c r="B7816" t="s">
        <v>26583</v>
      </c>
      <c r="C7816" t="s">
        <v>26615</v>
      </c>
      <c r="D7816" t="s">
        <v>25207</v>
      </c>
      <c r="E7816" t="s">
        <v>26604</v>
      </c>
      <c r="F7816" t="s">
        <v>26614</v>
      </c>
      <c r="G7816" t="s">
        <v>26614</v>
      </c>
      <c r="H7816" t="s">
        <v>97</v>
      </c>
      <c r="I7816" t="s">
        <v>98</v>
      </c>
      <c r="J7816" t="str">
        <f>"2653010"</f>
        <v>2653010</v>
      </c>
      <c r="K7816">
        <v>2343041228</v>
      </c>
      <c r="L7816">
        <v>2343041228</v>
      </c>
      <c r="M7816" t="s">
        <v>26616</v>
      </c>
      <c r="N7816" t="s">
        <v>26617</v>
      </c>
      <c r="O7816" t="s">
        <v>26618</v>
      </c>
      <c r="P7816">
        <v>61300</v>
      </c>
      <c r="Q7816" t="str">
        <f>"40.950343"</f>
        <v>40.950343</v>
      </c>
      <c r="R7816" t="str">
        <f>"22.449239"</f>
        <v>22.449239</v>
      </c>
      <c r="S7816" t="s">
        <v>26</v>
      </c>
    </row>
    <row r="7817" spans="1:19" x14ac:dyDescent="0.3">
      <c r="A7817" t="s">
        <v>25190</v>
      </c>
      <c r="B7817" t="s">
        <v>26583</v>
      </c>
      <c r="C7817" t="s">
        <v>26620</v>
      </c>
      <c r="D7817" t="s">
        <v>25207</v>
      </c>
      <c r="E7817" t="s">
        <v>25207</v>
      </c>
      <c r="F7817" t="s">
        <v>25207</v>
      </c>
      <c r="G7817" t="s">
        <v>25207</v>
      </c>
      <c r="H7817" t="s">
        <v>97</v>
      </c>
      <c r="I7817" t="s">
        <v>195</v>
      </c>
      <c r="J7817" t="str">
        <f>"2651030"</f>
        <v>2651030</v>
      </c>
      <c r="K7817">
        <v>2341076226</v>
      </c>
      <c r="L7817">
        <v>2341076226</v>
      </c>
      <c r="M7817" t="s">
        <v>26621</v>
      </c>
      <c r="N7817" t="s">
        <v>25207</v>
      </c>
      <c r="O7817" t="s">
        <v>26622</v>
      </c>
      <c r="P7817">
        <v>61100</v>
      </c>
      <c r="Q7817" t="str">
        <f>"40.990516"</f>
        <v>40.990516</v>
      </c>
      <c r="R7817" t="str">
        <f>"22.884127"</f>
        <v>22.884127</v>
      </c>
      <c r="S7817" t="s">
        <v>26</v>
      </c>
    </row>
    <row r="7818" spans="1:19" x14ac:dyDescent="0.3">
      <c r="A7818" t="s">
        <v>25190</v>
      </c>
      <c r="B7818" t="s">
        <v>26583</v>
      </c>
      <c r="C7818" t="s">
        <v>26624</v>
      </c>
      <c r="D7818" t="s">
        <v>25207</v>
      </c>
      <c r="E7818" t="s">
        <v>25207</v>
      </c>
      <c r="F7818" t="s">
        <v>25207</v>
      </c>
      <c r="G7818" t="s">
        <v>25207</v>
      </c>
      <c r="H7818" t="s">
        <v>97</v>
      </c>
      <c r="I7818" t="s">
        <v>98</v>
      </c>
      <c r="J7818" t="str">
        <f>"2651020"</f>
        <v>2651020</v>
      </c>
      <c r="K7818">
        <v>2341022516</v>
      </c>
      <c r="L7818">
        <v>2341020005</v>
      </c>
      <c r="M7818" t="s">
        <v>26625</v>
      </c>
      <c r="N7818" t="s">
        <v>25207</v>
      </c>
      <c r="O7818" t="s">
        <v>26626</v>
      </c>
      <c r="P7818">
        <v>61100</v>
      </c>
      <c r="Q7818" t="str">
        <f>"40.997212"</f>
        <v>40.997212</v>
      </c>
      <c r="R7818" t="str">
        <f>"22.879590"</f>
        <v>22.879590</v>
      </c>
      <c r="S7818" t="s">
        <v>26</v>
      </c>
    </row>
    <row r="7819" spans="1:19" x14ac:dyDescent="0.3">
      <c r="A7819" t="s">
        <v>25190</v>
      </c>
      <c r="B7819" t="s">
        <v>26583</v>
      </c>
      <c r="C7819" t="s">
        <v>26632</v>
      </c>
      <c r="D7819" t="s">
        <v>25207</v>
      </c>
      <c r="E7819" t="s">
        <v>25207</v>
      </c>
      <c r="F7819" t="s">
        <v>26631</v>
      </c>
      <c r="G7819" t="s">
        <v>26631</v>
      </c>
      <c r="H7819" t="s">
        <v>97</v>
      </c>
      <c r="I7819" t="s">
        <v>98</v>
      </c>
      <c r="J7819" t="str">
        <f>"2654010"</f>
        <v>2654010</v>
      </c>
      <c r="K7819">
        <v>2341051255</v>
      </c>
      <c r="L7819">
        <v>2341051255</v>
      </c>
      <c r="M7819" t="s">
        <v>26633</v>
      </c>
      <c r="N7819" t="s">
        <v>26634</v>
      </c>
      <c r="O7819" t="s">
        <v>26635</v>
      </c>
      <c r="P7819">
        <v>61002</v>
      </c>
      <c r="Q7819" t="str">
        <f>"41.088624"</f>
        <v>41.088624</v>
      </c>
      <c r="R7819" t="str">
        <f>"22.780241"</f>
        <v>22.780241</v>
      </c>
      <c r="S7819" t="s">
        <v>26</v>
      </c>
    </row>
    <row r="7820" spans="1:19" x14ac:dyDescent="0.3">
      <c r="A7820" t="s">
        <v>25190</v>
      </c>
      <c r="B7820" t="s">
        <v>26583</v>
      </c>
      <c r="C7820" t="s">
        <v>26638</v>
      </c>
      <c r="D7820" t="s">
        <v>25207</v>
      </c>
      <c r="E7820" t="s">
        <v>26604</v>
      </c>
      <c r="F7820" t="s">
        <v>26637</v>
      </c>
      <c r="G7820" t="s">
        <v>26637</v>
      </c>
      <c r="H7820" t="s">
        <v>97</v>
      </c>
      <c r="I7820" t="s">
        <v>98</v>
      </c>
      <c r="J7820" t="str">
        <f>"2657010"</f>
        <v>2657010</v>
      </c>
      <c r="K7820">
        <v>2343061001</v>
      </c>
      <c r="L7820">
        <v>2343061001</v>
      </c>
      <c r="M7820" t="s">
        <v>26639</v>
      </c>
      <c r="N7820" t="s">
        <v>26640</v>
      </c>
      <c r="O7820" t="s">
        <v>26640</v>
      </c>
      <c r="P7820">
        <v>61007</v>
      </c>
      <c r="Q7820" t="str">
        <f>"40.894771"</f>
        <v>40.894771</v>
      </c>
      <c r="R7820" t="str">
        <f>"22.548527"</f>
        <v>22.548527</v>
      </c>
      <c r="S7820" t="s">
        <v>26</v>
      </c>
    </row>
    <row r="7821" spans="1:19" x14ac:dyDescent="0.3">
      <c r="A7821" t="s">
        <v>25190</v>
      </c>
      <c r="B7821" t="s">
        <v>26583</v>
      </c>
      <c r="C7821" t="s">
        <v>26642</v>
      </c>
      <c r="D7821" t="s">
        <v>25207</v>
      </c>
      <c r="E7821" t="s">
        <v>25207</v>
      </c>
      <c r="F7821" t="s">
        <v>25207</v>
      </c>
      <c r="G7821" t="s">
        <v>25207</v>
      </c>
      <c r="H7821" t="s">
        <v>97</v>
      </c>
      <c r="I7821" t="s">
        <v>98</v>
      </c>
      <c r="J7821" t="str">
        <f>"2651010"</f>
        <v>2651010</v>
      </c>
      <c r="K7821">
        <v>2341020041</v>
      </c>
      <c r="L7821">
        <v>2341075165</v>
      </c>
      <c r="M7821" t="s">
        <v>26643</v>
      </c>
      <c r="N7821" t="s">
        <v>25207</v>
      </c>
      <c r="O7821" t="s">
        <v>26644</v>
      </c>
      <c r="P7821">
        <v>61100</v>
      </c>
      <c r="Q7821" t="str">
        <f>"40.990663"</f>
        <v>40.990663</v>
      </c>
      <c r="R7821" t="str">
        <f>"22.883583"</f>
        <v>22.883583</v>
      </c>
      <c r="S7821" t="s">
        <v>26</v>
      </c>
    </row>
    <row r="7822" spans="1:19" x14ac:dyDescent="0.3">
      <c r="A7822" t="s">
        <v>25190</v>
      </c>
      <c r="B7822" t="s">
        <v>26583</v>
      </c>
      <c r="C7822" t="s">
        <v>26646</v>
      </c>
      <c r="D7822" t="s">
        <v>25207</v>
      </c>
      <c r="E7822" t="s">
        <v>26604</v>
      </c>
      <c r="F7822" t="s">
        <v>26645</v>
      </c>
      <c r="G7822" t="s">
        <v>26645</v>
      </c>
      <c r="H7822" t="s">
        <v>97</v>
      </c>
      <c r="I7822" t="s">
        <v>98</v>
      </c>
      <c r="J7822" t="str">
        <f>"2656010"</f>
        <v>2656010</v>
      </c>
      <c r="K7822">
        <v>2343023339</v>
      </c>
      <c r="L7822">
        <v>2343023335</v>
      </c>
      <c r="M7822" t="s">
        <v>26647</v>
      </c>
      <c r="N7822" t="s">
        <v>26648</v>
      </c>
      <c r="O7822" t="s">
        <v>26649</v>
      </c>
      <c r="P7822">
        <v>61200</v>
      </c>
      <c r="Q7822" t="str">
        <f>"41.002930"</f>
        <v>41.002930</v>
      </c>
      <c r="R7822" t="str">
        <f>"22.573751"</f>
        <v>22.573751</v>
      </c>
      <c r="S7822" t="s">
        <v>26</v>
      </c>
    </row>
    <row r="7823" spans="1:19" x14ac:dyDescent="0.3">
      <c r="A7823" t="s">
        <v>25190</v>
      </c>
      <c r="B7823" t="s">
        <v>26583</v>
      </c>
      <c r="C7823" t="s">
        <v>26684</v>
      </c>
      <c r="D7823" t="s">
        <v>25207</v>
      </c>
      <c r="E7823" t="s">
        <v>25207</v>
      </c>
      <c r="F7823" t="s">
        <v>26682</v>
      </c>
      <c r="G7823" t="s">
        <v>26683</v>
      </c>
      <c r="H7823" t="s">
        <v>97</v>
      </c>
      <c r="I7823" t="s">
        <v>98</v>
      </c>
      <c r="J7823" t="str">
        <f>"2669010"</f>
        <v>2669010</v>
      </c>
      <c r="K7823">
        <v>2341041606</v>
      </c>
      <c r="L7823">
        <v>2341041606</v>
      </c>
      <c r="M7823" t="s">
        <v>26685</v>
      </c>
      <c r="N7823" t="s">
        <v>26686</v>
      </c>
      <c r="O7823" t="s">
        <v>26687</v>
      </c>
      <c r="P7823">
        <v>61100</v>
      </c>
      <c r="Q7823" t="str">
        <f>"40.896494"</f>
        <v>40.896494</v>
      </c>
      <c r="R7823" t="str">
        <f>"22.917014"</f>
        <v>22.917014</v>
      </c>
      <c r="S7823" t="s">
        <v>26</v>
      </c>
    </row>
    <row r="7824" spans="1:19" x14ac:dyDescent="0.3">
      <c r="A7824" t="s">
        <v>25190</v>
      </c>
      <c r="B7824" t="s">
        <v>26583</v>
      </c>
      <c r="C7824" t="s">
        <v>26721</v>
      </c>
      <c r="D7824" t="s">
        <v>25207</v>
      </c>
      <c r="E7824" t="s">
        <v>25207</v>
      </c>
      <c r="F7824" t="s">
        <v>26584</v>
      </c>
      <c r="G7824" t="s">
        <v>26661</v>
      </c>
      <c r="H7824" t="s">
        <v>97</v>
      </c>
      <c r="I7824" t="s">
        <v>98</v>
      </c>
      <c r="J7824" t="str">
        <f>"2663010"</f>
        <v>2663010</v>
      </c>
      <c r="K7824">
        <v>2341093745</v>
      </c>
      <c r="L7824">
        <v>2341093745</v>
      </c>
      <c r="M7824" t="s">
        <v>26722</v>
      </c>
      <c r="N7824" t="s">
        <v>26723</v>
      </c>
      <c r="O7824" t="s">
        <v>26664</v>
      </c>
      <c r="P7824">
        <v>57011</v>
      </c>
      <c r="Q7824" t="str">
        <f>"40.812888"</f>
        <v>40.812888</v>
      </c>
      <c r="R7824" t="str">
        <f>"22.707938"</f>
        <v>22.707938</v>
      </c>
      <c r="S7824" t="s">
        <v>26</v>
      </c>
    </row>
    <row r="7825" spans="1:19" x14ac:dyDescent="0.3">
      <c r="A7825" t="s">
        <v>25190</v>
      </c>
      <c r="B7825" t="s">
        <v>26726</v>
      </c>
      <c r="C7825" t="s">
        <v>26755</v>
      </c>
      <c r="D7825" t="s">
        <v>25211</v>
      </c>
      <c r="E7825" t="s">
        <v>26753</v>
      </c>
      <c r="F7825" t="s">
        <v>26754</v>
      </c>
      <c r="G7825" t="s">
        <v>26754</v>
      </c>
      <c r="H7825" t="s">
        <v>97</v>
      </c>
      <c r="I7825" t="s">
        <v>98</v>
      </c>
      <c r="J7825" t="str">
        <f>"3854010"</f>
        <v>3854010</v>
      </c>
      <c r="K7825">
        <v>2384041300</v>
      </c>
      <c r="L7825">
        <v>2384041300</v>
      </c>
      <c r="M7825" t="s">
        <v>26756</v>
      </c>
      <c r="N7825" t="s">
        <v>26757</v>
      </c>
      <c r="O7825" t="s">
        <v>26758</v>
      </c>
      <c r="P7825">
        <v>58400</v>
      </c>
      <c r="Q7825" t="str">
        <f>"40.975292"</f>
        <v>40.975292</v>
      </c>
      <c r="R7825" t="str">
        <f>"22.135035"</f>
        <v>22.135035</v>
      </c>
      <c r="S7825" t="s">
        <v>26</v>
      </c>
    </row>
    <row r="7826" spans="1:19" x14ac:dyDescent="0.3">
      <c r="A7826" t="s">
        <v>25190</v>
      </c>
      <c r="B7826" t="s">
        <v>26726</v>
      </c>
      <c r="C7826" t="s">
        <v>26761</v>
      </c>
      <c r="D7826" t="s">
        <v>25211</v>
      </c>
      <c r="E7826" t="s">
        <v>26760</v>
      </c>
      <c r="F7826" t="s">
        <v>26760</v>
      </c>
      <c r="G7826" t="s">
        <v>26760</v>
      </c>
      <c r="H7826" t="s">
        <v>97</v>
      </c>
      <c r="I7826" t="s">
        <v>98</v>
      </c>
      <c r="J7826" t="str">
        <f>"3855010"</f>
        <v>3855010</v>
      </c>
      <c r="K7826">
        <v>2381089690</v>
      </c>
      <c r="L7826">
        <v>2381083356</v>
      </c>
      <c r="M7826" t="s">
        <v>26762</v>
      </c>
      <c r="N7826" t="s">
        <v>26763</v>
      </c>
      <c r="O7826" t="s">
        <v>26764</v>
      </c>
      <c r="P7826">
        <v>58500</v>
      </c>
      <c r="Q7826" t="str">
        <f>"40.768360"</f>
        <v>40.768360</v>
      </c>
      <c r="R7826" t="str">
        <f>"22.161839"</f>
        <v>22.161839</v>
      </c>
      <c r="S7826" t="s">
        <v>26</v>
      </c>
    </row>
    <row r="7827" spans="1:19" x14ac:dyDescent="0.3">
      <c r="A7827" t="s">
        <v>25190</v>
      </c>
      <c r="B7827" t="s">
        <v>26726</v>
      </c>
      <c r="C7827" t="s">
        <v>26766</v>
      </c>
      <c r="D7827" t="s">
        <v>25211</v>
      </c>
      <c r="E7827" t="s">
        <v>25211</v>
      </c>
      <c r="F7827" t="s">
        <v>21739</v>
      </c>
      <c r="G7827" t="s">
        <v>21739</v>
      </c>
      <c r="H7827" t="s">
        <v>97</v>
      </c>
      <c r="I7827" t="s">
        <v>98</v>
      </c>
      <c r="J7827" t="str">
        <f>"3851013"</f>
        <v>3851013</v>
      </c>
      <c r="K7827">
        <v>2382061500</v>
      </c>
      <c r="L7827">
        <v>2382061500</v>
      </c>
      <c r="M7827" t="s">
        <v>26767</v>
      </c>
      <c r="N7827" t="s">
        <v>26768</v>
      </c>
      <c r="O7827" t="s">
        <v>26769</v>
      </c>
      <c r="P7827">
        <v>58300</v>
      </c>
      <c r="Q7827" t="str">
        <f>"40.692625"</f>
        <v>40.692625</v>
      </c>
      <c r="R7827" t="str">
        <f>"22.300969"</f>
        <v>22.300969</v>
      </c>
      <c r="S7827" t="s">
        <v>26</v>
      </c>
    </row>
    <row r="7828" spans="1:19" x14ac:dyDescent="0.3">
      <c r="A7828" t="s">
        <v>25190</v>
      </c>
      <c r="B7828" t="s">
        <v>26726</v>
      </c>
      <c r="C7828" t="s">
        <v>26770</v>
      </c>
      <c r="D7828" t="s">
        <v>25211</v>
      </c>
      <c r="E7828" t="s">
        <v>25211</v>
      </c>
      <c r="F7828" t="s">
        <v>26731</v>
      </c>
      <c r="G7828" t="s">
        <v>26731</v>
      </c>
      <c r="H7828" t="s">
        <v>97</v>
      </c>
      <c r="I7828" t="s">
        <v>98</v>
      </c>
      <c r="J7828" t="str">
        <f>"3853020"</f>
        <v>3853020</v>
      </c>
      <c r="K7828">
        <v>2382022450</v>
      </c>
      <c r="L7828">
        <v>2382081427</v>
      </c>
      <c r="M7828" t="s">
        <v>26771</v>
      </c>
      <c r="N7828" t="s">
        <v>26772</v>
      </c>
      <c r="O7828" t="s">
        <v>26773</v>
      </c>
      <c r="P7828">
        <v>58100</v>
      </c>
      <c r="Q7828" t="str">
        <f>"40.784298"</f>
        <v>40.784298</v>
      </c>
      <c r="R7828" t="str">
        <f>"22.403280"</f>
        <v>22.403280</v>
      </c>
      <c r="S7828" t="s">
        <v>26</v>
      </c>
    </row>
    <row r="7829" spans="1:19" x14ac:dyDescent="0.3">
      <c r="A7829" t="s">
        <v>25190</v>
      </c>
      <c r="B7829" t="s">
        <v>26726</v>
      </c>
      <c r="C7829" t="s">
        <v>26776</v>
      </c>
      <c r="D7829" t="s">
        <v>25211</v>
      </c>
      <c r="E7829" t="s">
        <v>26753</v>
      </c>
      <c r="F7829" t="s">
        <v>26775</v>
      </c>
      <c r="G7829" t="s">
        <v>26775</v>
      </c>
      <c r="H7829" t="s">
        <v>97</v>
      </c>
      <c r="I7829" t="s">
        <v>98</v>
      </c>
      <c r="J7829" t="str">
        <f>"3852010"</f>
        <v>3852010</v>
      </c>
      <c r="K7829">
        <v>2384022727</v>
      </c>
      <c r="L7829">
        <v>2384028010</v>
      </c>
      <c r="M7829" t="s">
        <v>26777</v>
      </c>
      <c r="N7829" t="s">
        <v>26778</v>
      </c>
      <c r="O7829" t="s">
        <v>26779</v>
      </c>
      <c r="P7829">
        <v>58400</v>
      </c>
      <c r="Q7829" t="str">
        <f>"40.975264"</f>
        <v>40.975264</v>
      </c>
      <c r="R7829" t="str">
        <f>"22.066011"</f>
        <v>22.066011</v>
      </c>
      <c r="S7829" t="s">
        <v>26</v>
      </c>
    </row>
    <row r="7830" spans="1:19" x14ac:dyDescent="0.3">
      <c r="A7830" t="s">
        <v>25190</v>
      </c>
      <c r="B7830" t="s">
        <v>26726</v>
      </c>
      <c r="C7830" t="s">
        <v>26781</v>
      </c>
      <c r="D7830" t="s">
        <v>25211</v>
      </c>
      <c r="E7830" t="s">
        <v>25211</v>
      </c>
      <c r="F7830" t="s">
        <v>26731</v>
      </c>
      <c r="G7830" t="s">
        <v>26731</v>
      </c>
      <c r="H7830" t="s">
        <v>97</v>
      </c>
      <c r="I7830" t="s">
        <v>98</v>
      </c>
      <c r="J7830" t="str">
        <f>"3853010"</f>
        <v>3853010</v>
      </c>
      <c r="K7830">
        <v>2382022551</v>
      </c>
      <c r="L7830">
        <v>2382083953</v>
      </c>
      <c r="M7830" t="s">
        <v>26782</v>
      </c>
      <c r="N7830" t="s">
        <v>26772</v>
      </c>
      <c r="O7830" t="s">
        <v>26783</v>
      </c>
      <c r="P7830">
        <v>58100</v>
      </c>
      <c r="Q7830" t="str">
        <f>"40.790443"</f>
        <v>40.790443</v>
      </c>
      <c r="R7830" t="str">
        <f>"22.416389"</f>
        <v>22.416389</v>
      </c>
      <c r="S7830" t="s">
        <v>26</v>
      </c>
    </row>
    <row r="7831" spans="1:19" x14ac:dyDescent="0.3">
      <c r="A7831" t="s">
        <v>25190</v>
      </c>
      <c r="B7831" t="s">
        <v>26726</v>
      </c>
      <c r="C7831" t="s">
        <v>26787</v>
      </c>
      <c r="D7831" t="s">
        <v>25211</v>
      </c>
      <c r="E7831" t="s">
        <v>26760</v>
      </c>
      <c r="F7831" t="s">
        <v>26785</v>
      </c>
      <c r="G7831" t="s">
        <v>26786</v>
      </c>
      <c r="H7831" t="s">
        <v>97</v>
      </c>
      <c r="I7831" t="s">
        <v>98</v>
      </c>
      <c r="J7831" t="str">
        <f>"3865010"</f>
        <v>3865010</v>
      </c>
      <c r="K7831">
        <v>2381041006</v>
      </c>
      <c r="L7831">
        <v>2381041006</v>
      </c>
      <c r="M7831" t="s">
        <v>26788</v>
      </c>
      <c r="N7831" t="s">
        <v>26789</v>
      </c>
      <c r="O7831" t="s">
        <v>26790</v>
      </c>
      <c r="P7831">
        <v>58500</v>
      </c>
      <c r="Q7831" t="str">
        <f>"40.823506"</f>
        <v>40.823506</v>
      </c>
      <c r="R7831" t="str">
        <f>"22.180367"</f>
        <v>22.180367</v>
      </c>
      <c r="S7831" t="s">
        <v>26</v>
      </c>
    </row>
    <row r="7832" spans="1:19" x14ac:dyDescent="0.3">
      <c r="A7832" t="s">
        <v>25190</v>
      </c>
      <c r="B7832" t="s">
        <v>26726</v>
      </c>
      <c r="C7832" t="s">
        <v>26792</v>
      </c>
      <c r="D7832" t="s">
        <v>25211</v>
      </c>
      <c r="E7832" t="s">
        <v>25211</v>
      </c>
      <c r="F7832" t="s">
        <v>26731</v>
      </c>
      <c r="G7832" t="s">
        <v>26731</v>
      </c>
      <c r="H7832" t="s">
        <v>97</v>
      </c>
      <c r="I7832" t="s">
        <v>98</v>
      </c>
      <c r="J7832" t="str">
        <f>"3851012"</f>
        <v>3851012</v>
      </c>
      <c r="K7832">
        <v>2382083311</v>
      </c>
      <c r="L7832">
        <v>2382083311</v>
      </c>
      <c r="M7832" t="s">
        <v>26793</v>
      </c>
      <c r="N7832" t="s">
        <v>26772</v>
      </c>
      <c r="O7832" t="s">
        <v>26741</v>
      </c>
      <c r="P7832">
        <v>58100</v>
      </c>
      <c r="Q7832" t="str">
        <f>"40.810023"</f>
        <v>40.810023</v>
      </c>
      <c r="R7832" t="str">
        <f>"22.417347"</f>
        <v>22.417347</v>
      </c>
      <c r="S7832" t="s">
        <v>26</v>
      </c>
    </row>
    <row r="7833" spans="1:19" x14ac:dyDescent="0.3">
      <c r="A7833" t="s">
        <v>25190</v>
      </c>
      <c r="B7833" t="s">
        <v>26726</v>
      </c>
      <c r="C7833" t="s">
        <v>26795</v>
      </c>
      <c r="D7833" t="s">
        <v>25211</v>
      </c>
      <c r="E7833" t="s">
        <v>25212</v>
      </c>
      <c r="F7833" t="s">
        <v>25212</v>
      </c>
      <c r="G7833" t="s">
        <v>25213</v>
      </c>
      <c r="H7833" t="s">
        <v>97</v>
      </c>
      <c r="I7833" t="s">
        <v>98</v>
      </c>
      <c r="J7833" t="str">
        <f>"3851020"</f>
        <v>3851020</v>
      </c>
      <c r="K7833">
        <v>2381023131</v>
      </c>
      <c r="L7833">
        <v>2381023032</v>
      </c>
      <c r="M7833" t="s">
        <v>26796</v>
      </c>
      <c r="N7833" t="s">
        <v>25216</v>
      </c>
      <c r="O7833" t="s">
        <v>26797</v>
      </c>
      <c r="P7833">
        <v>58200</v>
      </c>
      <c r="Q7833" t="str">
        <f>"40.794875"</f>
        <v>40.794875</v>
      </c>
      <c r="R7833" t="str">
        <f>"22.045244"</f>
        <v>22.045244</v>
      </c>
      <c r="S7833" t="s">
        <v>26</v>
      </c>
    </row>
    <row r="7834" spans="1:19" x14ac:dyDescent="0.3">
      <c r="A7834" t="s">
        <v>25190</v>
      </c>
      <c r="B7834" t="s">
        <v>26726</v>
      </c>
      <c r="C7834" t="s">
        <v>26801</v>
      </c>
      <c r="D7834" t="s">
        <v>25211</v>
      </c>
      <c r="E7834" t="s">
        <v>25212</v>
      </c>
      <c r="F7834" t="s">
        <v>25212</v>
      </c>
      <c r="G7834" t="s">
        <v>25213</v>
      </c>
      <c r="H7834" t="s">
        <v>97</v>
      </c>
      <c r="I7834" t="s">
        <v>98</v>
      </c>
      <c r="J7834" t="str">
        <f>"3851009"</f>
        <v>3851009</v>
      </c>
      <c r="K7834">
        <v>2381028188</v>
      </c>
      <c r="L7834">
        <v>2381028188</v>
      </c>
      <c r="M7834" t="s">
        <v>26802</v>
      </c>
      <c r="N7834" t="s">
        <v>26803</v>
      </c>
      <c r="O7834" t="s">
        <v>26804</v>
      </c>
      <c r="P7834">
        <v>58200</v>
      </c>
      <c r="Q7834" t="str">
        <f>"40.805291"</f>
        <v>40.805291</v>
      </c>
      <c r="R7834" t="str">
        <f>"22.042369"</f>
        <v>22.042369</v>
      </c>
      <c r="S7834" t="s">
        <v>26</v>
      </c>
    </row>
    <row r="7835" spans="1:19" x14ac:dyDescent="0.3">
      <c r="A7835" t="s">
        <v>25190</v>
      </c>
      <c r="B7835" t="s">
        <v>26726</v>
      </c>
      <c r="C7835" t="s">
        <v>26923</v>
      </c>
      <c r="D7835" t="s">
        <v>25211</v>
      </c>
      <c r="E7835" t="s">
        <v>25211</v>
      </c>
      <c r="F7835" t="s">
        <v>26733</v>
      </c>
      <c r="G7835" t="s">
        <v>26922</v>
      </c>
      <c r="H7835" t="s">
        <v>97</v>
      </c>
      <c r="I7835" t="s">
        <v>98</v>
      </c>
      <c r="J7835" t="str">
        <f>"3853025"</f>
        <v>3853025</v>
      </c>
      <c r="K7835">
        <v>2382051943</v>
      </c>
      <c r="L7835">
        <v>2382051903</v>
      </c>
      <c r="M7835" t="s">
        <v>26924</v>
      </c>
      <c r="N7835" t="s">
        <v>26772</v>
      </c>
      <c r="O7835" t="s">
        <v>26925</v>
      </c>
      <c r="P7835">
        <v>58100</v>
      </c>
      <c r="Q7835" t="str">
        <f>"40.800803"</f>
        <v>40.800803</v>
      </c>
      <c r="R7835" t="str">
        <f>"22.365365"</f>
        <v>22.365365</v>
      </c>
      <c r="S7835" t="s">
        <v>26</v>
      </c>
    </row>
    <row r="7836" spans="1:19" x14ac:dyDescent="0.3">
      <c r="A7836" t="s">
        <v>25190</v>
      </c>
      <c r="B7836" t="s">
        <v>26935</v>
      </c>
      <c r="C7836" t="s">
        <v>26963</v>
      </c>
      <c r="D7836" t="s">
        <v>25218</v>
      </c>
      <c r="E7836" t="s">
        <v>26941</v>
      </c>
      <c r="F7836" t="s">
        <v>26962</v>
      </c>
      <c r="G7836" t="s">
        <v>26962</v>
      </c>
      <c r="H7836" t="s">
        <v>97</v>
      </c>
      <c r="I7836" t="s">
        <v>98</v>
      </c>
      <c r="J7836" t="str">
        <f>"3953010"</f>
        <v>3953010</v>
      </c>
      <c r="K7836">
        <v>2352081261</v>
      </c>
      <c r="L7836">
        <v>2352084495</v>
      </c>
      <c r="M7836" t="s">
        <v>26964</v>
      </c>
      <c r="N7836" t="s">
        <v>26962</v>
      </c>
      <c r="O7836" t="s">
        <v>26965</v>
      </c>
      <c r="P7836">
        <v>60200</v>
      </c>
      <c r="Q7836" t="str">
        <f>"40.099398"</f>
        <v>40.099398</v>
      </c>
      <c r="R7836" t="str">
        <f>"22.506386"</f>
        <v>22.506386</v>
      </c>
      <c r="S7836" t="s">
        <v>26</v>
      </c>
    </row>
    <row r="7837" spans="1:19" x14ac:dyDescent="0.3">
      <c r="A7837" t="s">
        <v>25190</v>
      </c>
      <c r="B7837" t="s">
        <v>26935</v>
      </c>
      <c r="C7837" t="s">
        <v>26983</v>
      </c>
      <c r="D7837" t="s">
        <v>25218</v>
      </c>
      <c r="E7837" t="s">
        <v>26941</v>
      </c>
      <c r="F7837" t="s">
        <v>26981</v>
      </c>
      <c r="G7837" t="s">
        <v>26982</v>
      </c>
      <c r="H7837" t="s">
        <v>97</v>
      </c>
      <c r="I7837" t="s">
        <v>98</v>
      </c>
      <c r="J7837" t="str">
        <f>"3958010"</f>
        <v>3958010</v>
      </c>
      <c r="K7837">
        <v>2351051205</v>
      </c>
      <c r="M7837" t="s">
        <v>26984</v>
      </c>
      <c r="N7837" t="s">
        <v>26985</v>
      </c>
      <c r="O7837" t="s">
        <v>26985</v>
      </c>
      <c r="P7837">
        <v>60100</v>
      </c>
      <c r="Q7837" t="str">
        <f>"40.222880"</f>
        <v>40.222880</v>
      </c>
      <c r="R7837" t="str">
        <f>"22.456478"</f>
        <v>22.456478</v>
      </c>
      <c r="S7837" t="s">
        <v>26</v>
      </c>
    </row>
    <row r="7838" spans="1:19" x14ac:dyDescent="0.3">
      <c r="A7838" t="s">
        <v>25190</v>
      </c>
      <c r="B7838" t="s">
        <v>26935</v>
      </c>
      <c r="C7838" t="s">
        <v>26993</v>
      </c>
      <c r="D7838" t="s">
        <v>25218</v>
      </c>
      <c r="E7838" t="s">
        <v>25219</v>
      </c>
      <c r="F7838" t="s">
        <v>25219</v>
      </c>
      <c r="G7838" t="s">
        <v>25219</v>
      </c>
      <c r="H7838" t="s">
        <v>97</v>
      </c>
      <c r="I7838" t="s">
        <v>98</v>
      </c>
      <c r="J7838" t="str">
        <f>"3951020"</f>
        <v>3951020</v>
      </c>
      <c r="K7838">
        <v>2351023400</v>
      </c>
      <c r="L7838">
        <v>2351045574</v>
      </c>
      <c r="M7838" t="s">
        <v>26994</v>
      </c>
      <c r="N7838" t="s">
        <v>26959</v>
      </c>
      <c r="O7838" t="s">
        <v>26995</v>
      </c>
      <c r="P7838">
        <v>60133</v>
      </c>
      <c r="Q7838" t="str">
        <f>"40.284709"</f>
        <v>40.284709</v>
      </c>
      <c r="R7838" t="str">
        <f>"22.501352"</f>
        <v>22.501352</v>
      </c>
      <c r="S7838" t="s">
        <v>26</v>
      </c>
    </row>
    <row r="7839" spans="1:19" x14ac:dyDescent="0.3">
      <c r="A7839" t="s">
        <v>25190</v>
      </c>
      <c r="B7839" t="s">
        <v>26935</v>
      </c>
      <c r="C7839" t="s">
        <v>26997</v>
      </c>
      <c r="D7839" t="s">
        <v>25218</v>
      </c>
      <c r="E7839" t="s">
        <v>25219</v>
      </c>
      <c r="F7839" t="s">
        <v>25219</v>
      </c>
      <c r="G7839" t="s">
        <v>25219</v>
      </c>
      <c r="H7839" t="s">
        <v>97</v>
      </c>
      <c r="I7839" t="s">
        <v>98</v>
      </c>
      <c r="J7839" t="str">
        <f>"3951010"</f>
        <v>3951010</v>
      </c>
      <c r="K7839">
        <v>2351023277</v>
      </c>
      <c r="L7839">
        <v>2351023277</v>
      </c>
      <c r="M7839" t="s">
        <v>26998</v>
      </c>
      <c r="N7839" t="s">
        <v>26969</v>
      </c>
      <c r="O7839" t="s">
        <v>26999</v>
      </c>
      <c r="P7839">
        <v>60132</v>
      </c>
      <c r="Q7839" t="str">
        <f>"40.265824"</f>
        <v>40.265824</v>
      </c>
      <c r="R7839" t="str">
        <f>"22.512502"</f>
        <v>22.512502</v>
      </c>
      <c r="S7839" t="s">
        <v>26</v>
      </c>
    </row>
    <row r="7840" spans="1:19" x14ac:dyDescent="0.3">
      <c r="A7840" t="s">
        <v>25190</v>
      </c>
      <c r="B7840" t="s">
        <v>26935</v>
      </c>
      <c r="C7840" t="s">
        <v>27001</v>
      </c>
      <c r="D7840" t="s">
        <v>25218</v>
      </c>
      <c r="E7840" t="s">
        <v>25219</v>
      </c>
      <c r="F7840" t="s">
        <v>25219</v>
      </c>
      <c r="G7840" t="s">
        <v>25219</v>
      </c>
      <c r="H7840" t="s">
        <v>97</v>
      </c>
      <c r="I7840" t="s">
        <v>98</v>
      </c>
      <c r="J7840" t="str">
        <f>"3951009"</f>
        <v>3951009</v>
      </c>
      <c r="K7840">
        <v>2351045140</v>
      </c>
      <c r="L7840">
        <v>2351045159</v>
      </c>
      <c r="M7840" t="s">
        <v>27002</v>
      </c>
      <c r="N7840" t="s">
        <v>26969</v>
      </c>
      <c r="O7840" t="s">
        <v>27003</v>
      </c>
      <c r="P7840">
        <v>60132</v>
      </c>
      <c r="Q7840" t="str">
        <f>"40.262629"</f>
        <v>40.262629</v>
      </c>
      <c r="R7840" t="str">
        <f>"22.511418"</f>
        <v>22.511418</v>
      </c>
      <c r="S7840" t="s">
        <v>26</v>
      </c>
    </row>
    <row r="7841" spans="1:19" x14ac:dyDescent="0.3">
      <c r="A7841" t="s">
        <v>25190</v>
      </c>
      <c r="B7841" t="s">
        <v>26935</v>
      </c>
      <c r="C7841" t="s">
        <v>27008</v>
      </c>
      <c r="D7841" t="s">
        <v>25218</v>
      </c>
      <c r="E7841" t="s">
        <v>26949</v>
      </c>
      <c r="F7841" t="s">
        <v>26955</v>
      </c>
      <c r="G7841" t="s">
        <v>26955</v>
      </c>
      <c r="H7841" t="s">
        <v>97</v>
      </c>
      <c r="I7841" t="s">
        <v>98</v>
      </c>
      <c r="J7841" t="str">
        <f>"3952010"</f>
        <v>3952010</v>
      </c>
      <c r="K7841">
        <v>2353022600</v>
      </c>
      <c r="L7841">
        <v>2353024014</v>
      </c>
      <c r="M7841" t="s">
        <v>27009</v>
      </c>
      <c r="N7841" t="s">
        <v>27010</v>
      </c>
      <c r="O7841" t="s">
        <v>27011</v>
      </c>
      <c r="P7841">
        <v>60300</v>
      </c>
      <c r="Q7841" t="str">
        <f>"40.499494"</f>
        <v>40.499494</v>
      </c>
      <c r="R7841" t="str">
        <f>"22.538954"</f>
        <v>22.538954</v>
      </c>
      <c r="S7841" t="s">
        <v>26</v>
      </c>
    </row>
    <row r="7842" spans="1:19" x14ac:dyDescent="0.3">
      <c r="A7842" t="s">
        <v>25190</v>
      </c>
      <c r="B7842" t="s">
        <v>26935</v>
      </c>
      <c r="C7842" t="s">
        <v>27012</v>
      </c>
      <c r="D7842" t="s">
        <v>25218</v>
      </c>
      <c r="E7842" t="s">
        <v>25219</v>
      </c>
      <c r="F7842" t="s">
        <v>25219</v>
      </c>
      <c r="G7842" t="s">
        <v>25219</v>
      </c>
      <c r="H7842" t="s">
        <v>97</v>
      </c>
      <c r="I7842" t="s">
        <v>195</v>
      </c>
      <c r="J7842" t="str">
        <f>"3951027"</f>
        <v>3951027</v>
      </c>
      <c r="K7842">
        <v>2351025665</v>
      </c>
      <c r="L7842">
        <v>2351025665</v>
      </c>
      <c r="M7842" t="s">
        <v>27013</v>
      </c>
      <c r="N7842" t="s">
        <v>26959</v>
      </c>
      <c r="O7842" t="s">
        <v>26939</v>
      </c>
      <c r="P7842">
        <v>60132</v>
      </c>
      <c r="Q7842" t="str">
        <f>"40.269924"</f>
        <v>40.269924</v>
      </c>
      <c r="R7842" t="str">
        <f>"22.513232"</f>
        <v>22.513232</v>
      </c>
      <c r="S7842" t="s">
        <v>26</v>
      </c>
    </row>
    <row r="7843" spans="1:19" x14ac:dyDescent="0.3">
      <c r="A7843" t="s">
        <v>25190</v>
      </c>
      <c r="B7843" t="s">
        <v>26935</v>
      </c>
      <c r="C7843" t="s">
        <v>27014</v>
      </c>
      <c r="D7843" t="s">
        <v>25218</v>
      </c>
      <c r="E7843" t="s">
        <v>26949</v>
      </c>
      <c r="F7843" t="s">
        <v>26950</v>
      </c>
      <c r="G7843" t="s">
        <v>26950</v>
      </c>
      <c r="H7843" t="s">
        <v>97</v>
      </c>
      <c r="I7843" t="s">
        <v>98</v>
      </c>
      <c r="J7843" t="str">
        <f>"3952020"</f>
        <v>3952020</v>
      </c>
      <c r="K7843">
        <v>2353031496</v>
      </c>
      <c r="L7843">
        <v>2353031496</v>
      </c>
      <c r="M7843" t="s">
        <v>27015</v>
      </c>
      <c r="N7843" t="s">
        <v>27016</v>
      </c>
      <c r="O7843" t="s">
        <v>27017</v>
      </c>
      <c r="P7843">
        <v>60061</v>
      </c>
      <c r="Q7843" t="str">
        <f>"40.479913"</f>
        <v>40.479913</v>
      </c>
      <c r="R7843" t="str">
        <f>"22.492577"</f>
        <v>22.492577</v>
      </c>
      <c r="S7843" t="s">
        <v>26</v>
      </c>
    </row>
    <row r="7844" spans="1:19" x14ac:dyDescent="0.3">
      <c r="A7844" t="s">
        <v>25190</v>
      </c>
      <c r="B7844" t="s">
        <v>26935</v>
      </c>
      <c r="C7844" t="s">
        <v>27018</v>
      </c>
      <c r="D7844" t="s">
        <v>25218</v>
      </c>
      <c r="E7844" t="s">
        <v>25219</v>
      </c>
      <c r="F7844" t="s">
        <v>25219</v>
      </c>
      <c r="G7844" t="s">
        <v>25219</v>
      </c>
      <c r="H7844" t="s">
        <v>97</v>
      </c>
      <c r="I7844" t="s">
        <v>98</v>
      </c>
      <c r="J7844" t="str">
        <f>"3951021"</f>
        <v>3951021</v>
      </c>
      <c r="K7844">
        <v>2351022852</v>
      </c>
      <c r="L7844">
        <v>2351077110</v>
      </c>
      <c r="M7844" t="s">
        <v>27019</v>
      </c>
      <c r="N7844" t="s">
        <v>26969</v>
      </c>
      <c r="O7844" t="s">
        <v>26960</v>
      </c>
      <c r="P7844">
        <v>60131</v>
      </c>
      <c r="Q7844" t="str">
        <f>"40.269955"</f>
        <v>40.269955</v>
      </c>
      <c r="R7844" t="str">
        <f>"22.500750"</f>
        <v>22.500750</v>
      </c>
      <c r="S7844" t="s">
        <v>26</v>
      </c>
    </row>
    <row r="7845" spans="1:19" x14ac:dyDescent="0.3">
      <c r="A7845" t="s">
        <v>25190</v>
      </c>
      <c r="B7845" t="s">
        <v>26935</v>
      </c>
      <c r="C7845" t="s">
        <v>27088</v>
      </c>
      <c r="D7845" t="s">
        <v>25218</v>
      </c>
      <c r="E7845" t="s">
        <v>26941</v>
      </c>
      <c r="F7845" t="s">
        <v>26942</v>
      </c>
      <c r="G7845" t="s">
        <v>19920</v>
      </c>
      <c r="H7845" t="s">
        <v>97</v>
      </c>
      <c r="I7845" t="s">
        <v>98</v>
      </c>
      <c r="J7845" t="str">
        <f>"3955010"</f>
        <v>3955010</v>
      </c>
      <c r="K7845">
        <v>2352033606</v>
      </c>
      <c r="L7845">
        <v>2352033646</v>
      </c>
      <c r="M7845" t="s">
        <v>27089</v>
      </c>
      <c r="N7845" t="s">
        <v>19923</v>
      </c>
      <c r="O7845" t="s">
        <v>27090</v>
      </c>
      <c r="P7845">
        <v>60063</v>
      </c>
      <c r="Q7845" t="str">
        <f>"40.060943"</f>
        <v>40.060943</v>
      </c>
      <c r="R7845" t="str">
        <f>"22.563598"</f>
        <v>22.563598</v>
      </c>
      <c r="S7845" t="s">
        <v>26</v>
      </c>
    </row>
    <row r="7846" spans="1:19" x14ac:dyDescent="0.3">
      <c r="A7846" t="s">
        <v>25190</v>
      </c>
      <c r="B7846" t="s">
        <v>26935</v>
      </c>
      <c r="C7846" t="s">
        <v>27095</v>
      </c>
      <c r="D7846" t="s">
        <v>25218</v>
      </c>
      <c r="E7846" t="s">
        <v>25219</v>
      </c>
      <c r="F7846" t="s">
        <v>25219</v>
      </c>
      <c r="G7846" t="s">
        <v>25219</v>
      </c>
      <c r="H7846" t="s">
        <v>97</v>
      </c>
      <c r="I7846" t="s">
        <v>98</v>
      </c>
      <c r="J7846" t="str">
        <f>"3951022"</f>
        <v>3951022</v>
      </c>
      <c r="K7846">
        <v>2351046177</v>
      </c>
      <c r="L7846">
        <v>2351046169</v>
      </c>
      <c r="M7846" t="s">
        <v>27096</v>
      </c>
      <c r="N7846" t="s">
        <v>26969</v>
      </c>
      <c r="O7846" t="s">
        <v>27097</v>
      </c>
      <c r="P7846">
        <v>60132</v>
      </c>
      <c r="Q7846" t="str">
        <f>"40.262763"</f>
        <v>40.262763</v>
      </c>
      <c r="R7846" t="str">
        <f>"22.510726"</f>
        <v>22.510726</v>
      </c>
      <c r="S7846" t="s">
        <v>26</v>
      </c>
    </row>
    <row r="7847" spans="1:19" x14ac:dyDescent="0.3">
      <c r="A7847" t="s">
        <v>25190</v>
      </c>
      <c r="B7847" t="s">
        <v>26935</v>
      </c>
      <c r="C7847" t="s">
        <v>27098</v>
      </c>
      <c r="D7847" t="s">
        <v>25218</v>
      </c>
      <c r="E7847" t="s">
        <v>25219</v>
      </c>
      <c r="F7847" t="s">
        <v>27077</v>
      </c>
      <c r="G7847" t="s">
        <v>27077</v>
      </c>
      <c r="H7847" t="s">
        <v>97</v>
      </c>
      <c r="I7847" t="s">
        <v>98</v>
      </c>
      <c r="J7847" t="str">
        <f>"3944001"</f>
        <v>3944001</v>
      </c>
      <c r="K7847">
        <v>2351042015</v>
      </c>
      <c r="L7847">
        <v>2351042015</v>
      </c>
      <c r="M7847" t="s">
        <v>27099</v>
      </c>
      <c r="N7847" t="s">
        <v>27100</v>
      </c>
      <c r="O7847" t="s">
        <v>27101</v>
      </c>
      <c r="P7847">
        <v>60062</v>
      </c>
      <c r="Q7847" t="str">
        <f>"40.318970"</f>
        <v>40.318970</v>
      </c>
      <c r="R7847" t="str">
        <f>"22.593309"</f>
        <v>22.593309</v>
      </c>
      <c r="S7847" t="s">
        <v>26</v>
      </c>
    </row>
    <row r="7848" spans="1:19" x14ac:dyDescent="0.3">
      <c r="A7848" t="s">
        <v>25190</v>
      </c>
      <c r="B7848" t="s">
        <v>26935</v>
      </c>
      <c r="C7848" t="s">
        <v>27102</v>
      </c>
      <c r="D7848" t="s">
        <v>25218</v>
      </c>
      <c r="E7848" t="s">
        <v>25219</v>
      </c>
      <c r="F7848" t="s">
        <v>12466</v>
      </c>
      <c r="G7848" t="s">
        <v>27034</v>
      </c>
      <c r="H7848" t="s">
        <v>97</v>
      </c>
      <c r="I7848" t="s">
        <v>98</v>
      </c>
      <c r="J7848" t="str">
        <f>"3944002"</f>
        <v>3944002</v>
      </c>
      <c r="K7848">
        <v>2351081720</v>
      </c>
      <c r="L7848">
        <v>2351081720</v>
      </c>
      <c r="M7848" t="s">
        <v>27103</v>
      </c>
      <c r="O7848" t="s">
        <v>27104</v>
      </c>
      <c r="P7848">
        <v>60150</v>
      </c>
      <c r="Q7848" t="str">
        <f>"40.249986"</f>
        <v>40.249986</v>
      </c>
      <c r="R7848" t="str">
        <f>"22.350069"</f>
        <v>22.350069</v>
      </c>
      <c r="S7848" t="s">
        <v>26</v>
      </c>
    </row>
    <row r="7849" spans="1:19" x14ac:dyDescent="0.3">
      <c r="A7849" t="s">
        <v>25190</v>
      </c>
      <c r="B7849" t="s">
        <v>27105</v>
      </c>
      <c r="C7849" t="s">
        <v>27113</v>
      </c>
      <c r="D7849" t="s">
        <v>25224</v>
      </c>
      <c r="E7849" t="s">
        <v>18832</v>
      </c>
      <c r="F7849" t="s">
        <v>18832</v>
      </c>
      <c r="G7849" t="s">
        <v>18832</v>
      </c>
      <c r="H7849" t="s">
        <v>97</v>
      </c>
      <c r="I7849" t="s">
        <v>98</v>
      </c>
      <c r="J7849" t="str">
        <f>"4453010"</f>
        <v>4453010</v>
      </c>
      <c r="K7849">
        <v>2325025590</v>
      </c>
      <c r="M7849" t="s">
        <v>27114</v>
      </c>
      <c r="N7849" t="s">
        <v>27115</v>
      </c>
      <c r="O7849" t="s">
        <v>27116</v>
      </c>
      <c r="P7849">
        <v>62400</v>
      </c>
      <c r="Q7849" t="str">
        <f>"41.188078"</f>
        <v>41.188078</v>
      </c>
      <c r="R7849" t="str">
        <f>"23.281356"</f>
        <v>23.281356</v>
      </c>
      <c r="S7849" t="s">
        <v>26</v>
      </c>
    </row>
    <row r="7850" spans="1:19" x14ac:dyDescent="0.3">
      <c r="A7850" t="s">
        <v>25190</v>
      </c>
      <c r="B7850" t="s">
        <v>27105</v>
      </c>
      <c r="C7850" t="s">
        <v>27120</v>
      </c>
      <c r="D7850" t="s">
        <v>25224</v>
      </c>
      <c r="E7850" t="s">
        <v>27106</v>
      </c>
      <c r="F7850" t="s">
        <v>27118</v>
      </c>
      <c r="G7850" t="s">
        <v>27119</v>
      </c>
      <c r="H7850" t="s">
        <v>97</v>
      </c>
      <c r="I7850" t="s">
        <v>98</v>
      </c>
      <c r="J7850" t="str">
        <f>"4454010"</f>
        <v>4454010</v>
      </c>
      <c r="K7850">
        <v>2327022365</v>
      </c>
      <c r="M7850" t="s">
        <v>27121</v>
      </c>
      <c r="N7850" t="s">
        <v>27122</v>
      </c>
      <c r="O7850" t="s">
        <v>27123</v>
      </c>
      <c r="P7850">
        <v>62055</v>
      </c>
      <c r="Q7850" t="str">
        <f>"41.281555"</f>
        <v>41.281555</v>
      </c>
      <c r="R7850" t="str">
        <f>"23.008243"</f>
        <v>23.008243</v>
      </c>
      <c r="S7850" t="s">
        <v>26</v>
      </c>
    </row>
    <row r="7851" spans="1:19" x14ac:dyDescent="0.3">
      <c r="A7851" t="s">
        <v>25190</v>
      </c>
      <c r="B7851" t="s">
        <v>27105</v>
      </c>
      <c r="C7851" t="s">
        <v>27127</v>
      </c>
      <c r="D7851" t="s">
        <v>25224</v>
      </c>
      <c r="E7851" t="s">
        <v>25224</v>
      </c>
      <c r="F7851" t="s">
        <v>27125</v>
      </c>
      <c r="G7851" t="s">
        <v>27126</v>
      </c>
      <c r="H7851" t="s">
        <v>97</v>
      </c>
      <c r="I7851" t="s">
        <v>98</v>
      </c>
      <c r="J7851" t="str">
        <f>"4463010"</f>
        <v>4463010</v>
      </c>
      <c r="K7851">
        <v>2321088388</v>
      </c>
      <c r="L7851">
        <v>2321088388</v>
      </c>
      <c r="M7851" t="s">
        <v>27128</v>
      </c>
      <c r="N7851" t="s">
        <v>27129</v>
      </c>
      <c r="O7851" t="s">
        <v>27130</v>
      </c>
      <c r="P7851">
        <v>62100</v>
      </c>
      <c r="Q7851" t="str">
        <f>"41.068487"</f>
        <v>41.068487</v>
      </c>
      <c r="R7851" t="str">
        <f>"23.384369"</f>
        <v>23.384369</v>
      </c>
      <c r="S7851" t="s">
        <v>26</v>
      </c>
    </row>
    <row r="7852" spans="1:19" x14ac:dyDescent="0.3">
      <c r="A7852" t="s">
        <v>25190</v>
      </c>
      <c r="B7852" t="s">
        <v>27105</v>
      </c>
      <c r="C7852" t="s">
        <v>27151</v>
      </c>
      <c r="D7852" t="s">
        <v>25224</v>
      </c>
      <c r="E7852" t="s">
        <v>27106</v>
      </c>
      <c r="F7852" t="s">
        <v>27149</v>
      </c>
      <c r="G7852" t="s">
        <v>27150</v>
      </c>
      <c r="H7852" t="s">
        <v>97</v>
      </c>
      <c r="I7852" t="s">
        <v>98</v>
      </c>
      <c r="J7852" t="str">
        <f>"4462010"</f>
        <v>4462010</v>
      </c>
      <c r="K7852">
        <v>2323031333</v>
      </c>
      <c r="L7852">
        <v>2323031744</v>
      </c>
      <c r="M7852" t="s">
        <v>27152</v>
      </c>
      <c r="N7852" t="s">
        <v>27153</v>
      </c>
      <c r="O7852" t="s">
        <v>27153</v>
      </c>
      <c r="P7852">
        <v>62043</v>
      </c>
      <c r="Q7852" t="str">
        <f>"41.269235"</f>
        <v>41.269235</v>
      </c>
      <c r="R7852" t="str">
        <f>"23.252207"</f>
        <v>23.252207</v>
      </c>
      <c r="S7852" t="s">
        <v>26</v>
      </c>
    </row>
    <row r="7853" spans="1:19" x14ac:dyDescent="0.3">
      <c r="A7853" t="s">
        <v>25190</v>
      </c>
      <c r="B7853" t="s">
        <v>27105</v>
      </c>
      <c r="C7853" t="s">
        <v>27169</v>
      </c>
      <c r="D7853" t="s">
        <v>25224</v>
      </c>
      <c r="E7853" t="s">
        <v>27143</v>
      </c>
      <c r="F7853" t="s">
        <v>27143</v>
      </c>
      <c r="G7853" t="s">
        <v>27168</v>
      </c>
      <c r="H7853" t="s">
        <v>97</v>
      </c>
      <c r="I7853" t="s">
        <v>98</v>
      </c>
      <c r="J7853" t="str">
        <f>"4466010"</f>
        <v>4466010</v>
      </c>
      <c r="K7853">
        <v>2321071317</v>
      </c>
      <c r="L7853">
        <v>2321071417</v>
      </c>
      <c r="M7853" t="s">
        <v>27170</v>
      </c>
      <c r="N7853" t="s">
        <v>27171</v>
      </c>
      <c r="O7853" t="s">
        <v>27172</v>
      </c>
      <c r="P7853">
        <v>62100</v>
      </c>
      <c r="Q7853" t="str">
        <f>"41.048635"</f>
        <v>41.048635</v>
      </c>
      <c r="R7853" t="str">
        <f>"23.684772"</f>
        <v>23.684772</v>
      </c>
      <c r="S7853" t="s">
        <v>26</v>
      </c>
    </row>
    <row r="7854" spans="1:19" x14ac:dyDescent="0.3">
      <c r="A7854" t="s">
        <v>25190</v>
      </c>
      <c r="B7854" t="s">
        <v>27105</v>
      </c>
      <c r="C7854" t="s">
        <v>27176</v>
      </c>
      <c r="D7854" t="s">
        <v>25224</v>
      </c>
      <c r="E7854" t="s">
        <v>27143</v>
      </c>
      <c r="F7854" t="s">
        <v>27174</v>
      </c>
      <c r="G7854" t="s">
        <v>27175</v>
      </c>
      <c r="H7854" t="s">
        <v>97</v>
      </c>
      <c r="I7854" t="s">
        <v>98</v>
      </c>
      <c r="J7854" t="str">
        <f>"4468010"</f>
        <v>4468010</v>
      </c>
      <c r="K7854">
        <v>2321031301</v>
      </c>
      <c r="L7854">
        <v>2321031173</v>
      </c>
      <c r="M7854" t="s">
        <v>27177</v>
      </c>
      <c r="N7854" t="s">
        <v>27178</v>
      </c>
      <c r="O7854" t="s">
        <v>27179</v>
      </c>
      <c r="P7854">
        <v>62500</v>
      </c>
      <c r="Q7854" t="str">
        <f>"41.026775"</f>
        <v>41.026775</v>
      </c>
      <c r="R7854" t="str">
        <f>"23.613176"</f>
        <v>23.613176</v>
      </c>
      <c r="S7854" t="s">
        <v>26</v>
      </c>
    </row>
    <row r="7855" spans="1:19" x14ac:dyDescent="0.3">
      <c r="A7855" t="s">
        <v>25190</v>
      </c>
      <c r="B7855" t="s">
        <v>27105</v>
      </c>
      <c r="C7855" t="s">
        <v>27191</v>
      </c>
      <c r="D7855" t="s">
        <v>25224</v>
      </c>
      <c r="E7855" t="s">
        <v>25224</v>
      </c>
      <c r="F7855" t="s">
        <v>25224</v>
      </c>
      <c r="G7855" t="s">
        <v>25224</v>
      </c>
      <c r="H7855" t="s">
        <v>97</v>
      </c>
      <c r="I7855" t="s">
        <v>98</v>
      </c>
      <c r="J7855" t="str">
        <f>"4451031"</f>
        <v>4451031</v>
      </c>
      <c r="K7855">
        <v>2321035750</v>
      </c>
      <c r="L7855">
        <v>2321046278</v>
      </c>
      <c r="M7855" t="s">
        <v>27192</v>
      </c>
      <c r="N7855" t="s">
        <v>25227</v>
      </c>
      <c r="O7855" t="s">
        <v>27193</v>
      </c>
      <c r="P7855">
        <v>62125</v>
      </c>
      <c r="Q7855" t="str">
        <f>"41.082206"</f>
        <v>41.082206</v>
      </c>
      <c r="R7855" t="str">
        <f>"23.543226"</f>
        <v>23.543226</v>
      </c>
      <c r="S7855" t="s">
        <v>26</v>
      </c>
    </row>
    <row r="7856" spans="1:19" x14ac:dyDescent="0.3">
      <c r="A7856" t="s">
        <v>25190</v>
      </c>
      <c r="B7856" t="s">
        <v>27105</v>
      </c>
      <c r="C7856" t="s">
        <v>27202</v>
      </c>
      <c r="D7856" t="s">
        <v>25224</v>
      </c>
      <c r="E7856" t="s">
        <v>25224</v>
      </c>
      <c r="F7856" t="s">
        <v>27201</v>
      </c>
      <c r="G7856" t="s">
        <v>27201</v>
      </c>
      <c r="H7856" t="s">
        <v>97</v>
      </c>
      <c r="I7856" t="s">
        <v>98</v>
      </c>
      <c r="J7856" t="str">
        <f>"4475060"</f>
        <v>4475060</v>
      </c>
      <c r="K7856">
        <v>2321042800</v>
      </c>
      <c r="L7856">
        <v>2321099180</v>
      </c>
      <c r="M7856" t="s">
        <v>27203</v>
      </c>
      <c r="N7856" t="s">
        <v>27204</v>
      </c>
      <c r="O7856" t="s">
        <v>27205</v>
      </c>
      <c r="P7856">
        <v>62100</v>
      </c>
      <c r="Q7856" t="str">
        <f>"41.022349"</f>
        <v>41.022349</v>
      </c>
      <c r="R7856" t="str">
        <f>"23.520519"</f>
        <v>23.520519</v>
      </c>
      <c r="S7856" t="s">
        <v>26</v>
      </c>
    </row>
    <row r="7857" spans="1:19" x14ac:dyDescent="0.3">
      <c r="A7857" t="s">
        <v>25190</v>
      </c>
      <c r="B7857" t="s">
        <v>27105</v>
      </c>
      <c r="C7857" t="s">
        <v>27207</v>
      </c>
      <c r="D7857" t="s">
        <v>25224</v>
      </c>
      <c r="E7857" t="s">
        <v>25224</v>
      </c>
      <c r="F7857" t="s">
        <v>25224</v>
      </c>
      <c r="G7857" t="s">
        <v>25224</v>
      </c>
      <c r="H7857" t="s">
        <v>97</v>
      </c>
      <c r="I7857" t="s">
        <v>98</v>
      </c>
      <c r="J7857" t="str">
        <f>"4451010"</f>
        <v>4451010</v>
      </c>
      <c r="K7857">
        <v>2321097780</v>
      </c>
      <c r="L7857">
        <v>2321097789</v>
      </c>
      <c r="M7857" t="s">
        <v>27208</v>
      </c>
      <c r="N7857" t="s">
        <v>25224</v>
      </c>
      <c r="O7857" t="s">
        <v>27209</v>
      </c>
      <c r="P7857">
        <v>62122</v>
      </c>
      <c r="Q7857" t="str">
        <f>"41.095744"</f>
        <v>41.095744</v>
      </c>
      <c r="R7857" t="str">
        <f>"23.565561"</f>
        <v>23.565561</v>
      </c>
      <c r="S7857" t="s">
        <v>26</v>
      </c>
    </row>
    <row r="7858" spans="1:19" x14ac:dyDescent="0.3">
      <c r="A7858" t="s">
        <v>25190</v>
      </c>
      <c r="B7858" t="s">
        <v>27105</v>
      </c>
      <c r="C7858" t="s">
        <v>27211</v>
      </c>
      <c r="D7858" t="s">
        <v>25224</v>
      </c>
      <c r="E7858" t="s">
        <v>27163</v>
      </c>
      <c r="F7858" t="s">
        <v>27163</v>
      </c>
      <c r="G7858" t="s">
        <v>27163</v>
      </c>
      <c r="H7858" t="s">
        <v>97</v>
      </c>
      <c r="I7858" t="s">
        <v>98</v>
      </c>
      <c r="J7858" t="str">
        <f>"4455010"</f>
        <v>4455010</v>
      </c>
      <c r="K7858">
        <v>2324022204</v>
      </c>
      <c r="L7858">
        <v>2324020029</v>
      </c>
      <c r="M7858" t="s">
        <v>27212</v>
      </c>
      <c r="N7858" t="s">
        <v>27166</v>
      </c>
      <c r="O7858" t="s">
        <v>27213</v>
      </c>
      <c r="P7858">
        <v>62042</v>
      </c>
      <c r="Q7858" t="str">
        <f>"41.027067"</f>
        <v>41.027067</v>
      </c>
      <c r="R7858" t="str">
        <f>"23.829350"</f>
        <v>23.829350</v>
      </c>
      <c r="S7858" t="s">
        <v>26</v>
      </c>
    </row>
    <row r="7859" spans="1:19" x14ac:dyDescent="0.3">
      <c r="A7859" t="s">
        <v>25190</v>
      </c>
      <c r="B7859" t="s">
        <v>27105</v>
      </c>
      <c r="C7859" t="s">
        <v>27214</v>
      </c>
      <c r="D7859" t="s">
        <v>25224</v>
      </c>
      <c r="E7859" t="s">
        <v>25224</v>
      </c>
      <c r="F7859" t="s">
        <v>25224</v>
      </c>
      <c r="G7859" t="s">
        <v>25224</v>
      </c>
      <c r="H7859" t="s">
        <v>97</v>
      </c>
      <c r="I7859" t="s">
        <v>98</v>
      </c>
      <c r="J7859" t="str">
        <f>"4451030"</f>
        <v>4451030</v>
      </c>
      <c r="K7859">
        <v>2321023584</v>
      </c>
      <c r="L7859">
        <v>2321025571</v>
      </c>
      <c r="M7859" t="s">
        <v>27215</v>
      </c>
      <c r="N7859" t="s">
        <v>25227</v>
      </c>
      <c r="O7859" t="s">
        <v>27216</v>
      </c>
      <c r="P7859">
        <v>62124</v>
      </c>
      <c r="Q7859" t="str">
        <f>"41.087167"</f>
        <v>41.087167</v>
      </c>
      <c r="R7859" t="str">
        <f>"23.564595"</f>
        <v>23.564595</v>
      </c>
      <c r="S7859" t="s">
        <v>26</v>
      </c>
    </row>
    <row r="7860" spans="1:19" x14ac:dyDescent="0.3">
      <c r="A7860" t="s">
        <v>25190</v>
      </c>
      <c r="B7860" t="s">
        <v>27105</v>
      </c>
      <c r="C7860" t="s">
        <v>27220</v>
      </c>
      <c r="D7860" t="s">
        <v>25224</v>
      </c>
      <c r="E7860" t="s">
        <v>27218</v>
      </c>
      <c r="F7860" t="s">
        <v>27219</v>
      </c>
      <c r="G7860" t="s">
        <v>27219</v>
      </c>
      <c r="H7860" t="s">
        <v>97</v>
      </c>
      <c r="I7860" t="s">
        <v>98</v>
      </c>
      <c r="J7860" t="str">
        <f>"4458010"</f>
        <v>4458010</v>
      </c>
      <c r="K7860">
        <v>2324071429</v>
      </c>
      <c r="L7860">
        <v>2324071409</v>
      </c>
      <c r="M7860" t="s">
        <v>27221</v>
      </c>
      <c r="N7860" t="s">
        <v>27222</v>
      </c>
      <c r="O7860" t="s">
        <v>27223</v>
      </c>
      <c r="P7860">
        <v>62041</v>
      </c>
      <c r="Q7860" t="str">
        <f>"40.924288"</f>
        <v>40.924288</v>
      </c>
      <c r="R7860" t="str">
        <f>"23.972913"</f>
        <v>23.972913</v>
      </c>
      <c r="S7860" t="s">
        <v>26</v>
      </c>
    </row>
    <row r="7861" spans="1:19" x14ac:dyDescent="0.3">
      <c r="A7861" t="s">
        <v>25190</v>
      </c>
      <c r="B7861" t="s">
        <v>27105</v>
      </c>
      <c r="C7861" t="s">
        <v>27227</v>
      </c>
      <c r="D7861" t="s">
        <v>25224</v>
      </c>
      <c r="E7861" t="s">
        <v>27181</v>
      </c>
      <c r="F7861" t="s">
        <v>27225</v>
      </c>
      <c r="G7861" t="s">
        <v>27226</v>
      </c>
      <c r="H7861" t="s">
        <v>97</v>
      </c>
      <c r="I7861" t="s">
        <v>98</v>
      </c>
      <c r="J7861" t="str">
        <f>"4465010"</f>
        <v>4465010</v>
      </c>
      <c r="K7861">
        <v>2322031247</v>
      </c>
      <c r="L7861">
        <v>2322031247</v>
      </c>
      <c r="M7861" t="s">
        <v>27228</v>
      </c>
      <c r="N7861" t="s">
        <v>27229</v>
      </c>
      <c r="O7861" t="s">
        <v>27230</v>
      </c>
      <c r="P7861">
        <v>62049</v>
      </c>
      <c r="Q7861" t="str">
        <f>"40.888761"</f>
        <v>40.888761</v>
      </c>
      <c r="R7861" t="str">
        <f>"23.748959"</f>
        <v>23.748959</v>
      </c>
      <c r="S7861" t="s">
        <v>26</v>
      </c>
    </row>
    <row r="7862" spans="1:19" x14ac:dyDescent="0.3">
      <c r="A7862" t="s">
        <v>25190</v>
      </c>
      <c r="B7862" t="s">
        <v>27105</v>
      </c>
      <c r="C7862" t="s">
        <v>27235</v>
      </c>
      <c r="D7862" t="s">
        <v>25224</v>
      </c>
      <c r="E7862" t="s">
        <v>25224</v>
      </c>
      <c r="F7862" t="s">
        <v>25224</v>
      </c>
      <c r="G7862" t="s">
        <v>25224</v>
      </c>
      <c r="H7862" t="s">
        <v>97</v>
      </c>
      <c r="I7862" t="s">
        <v>98</v>
      </c>
      <c r="J7862" t="str">
        <f>"4451020"</f>
        <v>4451020</v>
      </c>
      <c r="K7862">
        <v>2321038222</v>
      </c>
      <c r="M7862" t="s">
        <v>27236</v>
      </c>
      <c r="N7862" t="s">
        <v>25227</v>
      </c>
      <c r="O7862" t="s">
        <v>27237</v>
      </c>
      <c r="P7862">
        <v>62125</v>
      </c>
      <c r="Q7862" t="str">
        <f>"41.083494"</f>
        <v>41.083494</v>
      </c>
      <c r="R7862" t="str">
        <f>"23.539071"</f>
        <v>23.539071</v>
      </c>
      <c r="S7862" t="s">
        <v>26</v>
      </c>
    </row>
    <row r="7863" spans="1:19" x14ac:dyDescent="0.3">
      <c r="A7863" t="s">
        <v>25190</v>
      </c>
      <c r="B7863" t="s">
        <v>27105</v>
      </c>
      <c r="C7863" t="s">
        <v>27239</v>
      </c>
      <c r="D7863" t="s">
        <v>25224</v>
      </c>
      <c r="E7863" t="s">
        <v>27106</v>
      </c>
      <c r="F7863" t="s">
        <v>27111</v>
      </c>
      <c r="G7863" t="s">
        <v>27111</v>
      </c>
      <c r="H7863" t="s">
        <v>97</v>
      </c>
      <c r="I7863" t="s">
        <v>98</v>
      </c>
      <c r="J7863" t="str">
        <f>"4459010"</f>
        <v>4459010</v>
      </c>
      <c r="K7863">
        <v>2323022581</v>
      </c>
      <c r="L7863">
        <v>2323028150</v>
      </c>
      <c r="M7863" t="s">
        <v>27240</v>
      </c>
      <c r="N7863" t="s">
        <v>27198</v>
      </c>
      <c r="O7863" t="s">
        <v>27241</v>
      </c>
      <c r="P7863">
        <v>62300</v>
      </c>
      <c r="Q7863" t="str">
        <f>"41.327451"</f>
        <v>41.327451</v>
      </c>
      <c r="R7863" t="str">
        <f>"23.367186"</f>
        <v>23.367186</v>
      </c>
      <c r="S7863" t="s">
        <v>26</v>
      </c>
    </row>
    <row r="7864" spans="1:19" x14ac:dyDescent="0.3">
      <c r="A7864" t="s">
        <v>25190</v>
      </c>
      <c r="B7864" t="s">
        <v>27105</v>
      </c>
      <c r="C7864" t="s">
        <v>27244</v>
      </c>
      <c r="D7864" t="s">
        <v>25224</v>
      </c>
      <c r="E7864" t="s">
        <v>27163</v>
      </c>
      <c r="F7864" t="s">
        <v>27243</v>
      </c>
      <c r="G7864" t="s">
        <v>27243</v>
      </c>
      <c r="H7864" t="s">
        <v>97</v>
      </c>
      <c r="I7864" t="s">
        <v>98</v>
      </c>
      <c r="J7864" t="str">
        <f>"4452010"</f>
        <v>4452010</v>
      </c>
      <c r="K7864">
        <v>2324031400</v>
      </c>
      <c r="L7864">
        <v>2324031219</v>
      </c>
      <c r="M7864" t="s">
        <v>27245</v>
      </c>
      <c r="N7864" t="s">
        <v>27246</v>
      </c>
      <c r="O7864" t="s">
        <v>27247</v>
      </c>
      <c r="P7864">
        <v>62042</v>
      </c>
      <c r="Q7864" t="str">
        <f>"41.065744"</f>
        <v>41.065744</v>
      </c>
      <c r="R7864" t="str">
        <f>"23.955630"</f>
        <v>23.955630</v>
      </c>
      <c r="S7864" t="s">
        <v>26</v>
      </c>
    </row>
    <row r="7865" spans="1:19" x14ac:dyDescent="0.3">
      <c r="A7865" t="s">
        <v>25190</v>
      </c>
      <c r="B7865" t="s">
        <v>27105</v>
      </c>
      <c r="C7865" t="s">
        <v>27252</v>
      </c>
      <c r="D7865" t="s">
        <v>25224</v>
      </c>
      <c r="E7865" t="s">
        <v>27181</v>
      </c>
      <c r="F7865" t="s">
        <v>27182</v>
      </c>
      <c r="G7865" t="s">
        <v>27182</v>
      </c>
      <c r="H7865" t="s">
        <v>97</v>
      </c>
      <c r="I7865" t="s">
        <v>98</v>
      </c>
      <c r="J7865" t="str">
        <f>"4456010"</f>
        <v>4456010</v>
      </c>
      <c r="K7865">
        <v>2322022492</v>
      </c>
      <c r="L7865">
        <v>2322022493</v>
      </c>
      <c r="M7865" t="s">
        <v>27253</v>
      </c>
      <c r="N7865" t="s">
        <v>27190</v>
      </c>
      <c r="O7865" t="s">
        <v>27254</v>
      </c>
      <c r="P7865">
        <v>62200</v>
      </c>
      <c r="Q7865" t="str">
        <f>"40.913142"</f>
        <v>40.913142</v>
      </c>
      <c r="R7865" t="str">
        <f>"23.500288"</f>
        <v>23.500288</v>
      </c>
      <c r="S7865" t="s">
        <v>26</v>
      </c>
    </row>
    <row r="7866" spans="1:19" x14ac:dyDescent="0.3">
      <c r="A7866" t="s">
        <v>25190</v>
      </c>
      <c r="B7866" t="s">
        <v>27105</v>
      </c>
      <c r="C7866" t="s">
        <v>27350</v>
      </c>
      <c r="D7866" t="s">
        <v>25224</v>
      </c>
      <c r="E7866" t="s">
        <v>25224</v>
      </c>
      <c r="F7866" t="s">
        <v>25224</v>
      </c>
      <c r="G7866" t="s">
        <v>25224</v>
      </c>
      <c r="H7866" t="s">
        <v>97</v>
      </c>
      <c r="I7866" t="s">
        <v>98</v>
      </c>
      <c r="J7866" t="str">
        <f>"4451040"</f>
        <v>4451040</v>
      </c>
      <c r="K7866">
        <v>2321064662</v>
      </c>
      <c r="L7866">
        <v>2321028086</v>
      </c>
      <c r="M7866" t="s">
        <v>27351</v>
      </c>
      <c r="N7866" t="s">
        <v>25227</v>
      </c>
      <c r="O7866" t="s">
        <v>27352</v>
      </c>
      <c r="P7866">
        <v>62121</v>
      </c>
      <c r="Q7866" t="str">
        <f>"41.090106"</f>
        <v>41.090106</v>
      </c>
      <c r="R7866" t="str">
        <f>"23.540465"</f>
        <v>23.540465</v>
      </c>
      <c r="S7866" t="s">
        <v>26</v>
      </c>
    </row>
    <row r="7867" spans="1:19" x14ac:dyDescent="0.3">
      <c r="A7867" t="s">
        <v>25190</v>
      </c>
      <c r="B7867" t="s">
        <v>27386</v>
      </c>
      <c r="C7867" t="s">
        <v>27397</v>
      </c>
      <c r="D7867" t="s">
        <v>25229</v>
      </c>
      <c r="E7867" t="s">
        <v>27394</v>
      </c>
      <c r="F7867" t="s">
        <v>27395</v>
      </c>
      <c r="G7867" t="s">
        <v>27396</v>
      </c>
      <c r="H7867" t="s">
        <v>97</v>
      </c>
      <c r="I7867" t="s">
        <v>98</v>
      </c>
      <c r="J7867" t="str">
        <f>"4965010"</f>
        <v>4965010</v>
      </c>
      <c r="K7867">
        <v>2373052197</v>
      </c>
      <c r="L7867">
        <v>2373051015</v>
      </c>
      <c r="M7867" t="s">
        <v>27398</v>
      </c>
      <c r="N7867" t="s">
        <v>27399</v>
      </c>
      <c r="O7867" t="s">
        <v>27400</v>
      </c>
      <c r="P7867">
        <v>63200</v>
      </c>
      <c r="Q7867" t="str">
        <f>"40.310715"</f>
        <v>40.310715</v>
      </c>
      <c r="R7867" t="str">
        <f>"23.203276"</f>
        <v>23.203276</v>
      </c>
      <c r="S7867" t="s">
        <v>26</v>
      </c>
    </row>
    <row r="7868" spans="1:19" x14ac:dyDescent="0.3">
      <c r="A7868" t="s">
        <v>25190</v>
      </c>
      <c r="B7868" t="s">
        <v>27386</v>
      </c>
      <c r="C7868" t="s">
        <v>27406</v>
      </c>
      <c r="D7868" t="s">
        <v>25229</v>
      </c>
      <c r="E7868" t="s">
        <v>27403</v>
      </c>
      <c r="F7868" t="s">
        <v>27404</v>
      </c>
      <c r="G7868" t="s">
        <v>27405</v>
      </c>
      <c r="H7868" t="s">
        <v>97</v>
      </c>
      <c r="I7868" t="s">
        <v>98</v>
      </c>
      <c r="J7868" t="str">
        <f>"4957010"</f>
        <v>4957010</v>
      </c>
      <c r="K7868">
        <v>2377022341</v>
      </c>
      <c r="M7868" t="s">
        <v>27407</v>
      </c>
      <c r="N7868" t="s">
        <v>27408</v>
      </c>
      <c r="O7868" t="s">
        <v>27409</v>
      </c>
      <c r="P7868">
        <v>63075</v>
      </c>
      <c r="Q7868" t="str">
        <f>"40.394830"</f>
        <v>40.394830</v>
      </c>
      <c r="R7868" t="str">
        <f>"23.874538"</f>
        <v>23.874538</v>
      </c>
      <c r="S7868" t="s">
        <v>26</v>
      </c>
    </row>
    <row r="7869" spans="1:19" x14ac:dyDescent="0.3">
      <c r="A7869" t="s">
        <v>25190</v>
      </c>
      <c r="B7869" t="s">
        <v>27386</v>
      </c>
      <c r="C7869" t="s">
        <v>27422</v>
      </c>
      <c r="D7869" t="s">
        <v>25229</v>
      </c>
      <c r="E7869" t="s">
        <v>27415</v>
      </c>
      <c r="F7869" t="s">
        <v>27415</v>
      </c>
      <c r="G7869" t="s">
        <v>27416</v>
      </c>
      <c r="H7869" t="s">
        <v>97</v>
      </c>
      <c r="I7869" t="s">
        <v>98</v>
      </c>
      <c r="J7869" t="str">
        <f>"4954010"</f>
        <v>4954010</v>
      </c>
      <c r="K7869">
        <v>2374022207</v>
      </c>
      <c r="L7869">
        <v>2374022207</v>
      </c>
      <c r="M7869" t="s">
        <v>27423</v>
      </c>
      <c r="N7869" t="s">
        <v>27424</v>
      </c>
      <c r="O7869" t="s">
        <v>27420</v>
      </c>
      <c r="P7869">
        <v>63077</v>
      </c>
      <c r="Q7869" t="str">
        <f>"40.051242"</f>
        <v>40.051242</v>
      </c>
      <c r="R7869" t="str">
        <f>"23.418192"</f>
        <v>23.418192</v>
      </c>
      <c r="S7869" t="s">
        <v>26</v>
      </c>
    </row>
    <row r="7870" spans="1:19" x14ac:dyDescent="0.3">
      <c r="A7870" t="s">
        <v>25190</v>
      </c>
      <c r="B7870" t="s">
        <v>27386</v>
      </c>
      <c r="C7870" t="s">
        <v>27437</v>
      </c>
      <c r="D7870" t="s">
        <v>25229</v>
      </c>
      <c r="E7870" t="s">
        <v>27387</v>
      </c>
      <c r="F7870" t="s">
        <v>27387</v>
      </c>
      <c r="G7870" t="s">
        <v>1969</v>
      </c>
      <c r="H7870" t="s">
        <v>97</v>
      </c>
      <c r="I7870" t="s">
        <v>98</v>
      </c>
      <c r="J7870" t="str">
        <f>"4952010"</f>
        <v>4952010</v>
      </c>
      <c r="K7870">
        <v>2375031209</v>
      </c>
      <c r="L7870">
        <v>2375031209</v>
      </c>
      <c r="M7870" t="s">
        <v>27438</v>
      </c>
      <c r="N7870" t="s">
        <v>27439</v>
      </c>
      <c r="O7870" t="s">
        <v>14960</v>
      </c>
      <c r="P7870">
        <v>63078</v>
      </c>
      <c r="Q7870" t="str">
        <f>"40.250094"</f>
        <v>40.250094</v>
      </c>
      <c r="R7870" t="str">
        <f>"23.701479"</f>
        <v>23.701479</v>
      </c>
      <c r="S7870" t="s">
        <v>26</v>
      </c>
    </row>
    <row r="7871" spans="1:19" x14ac:dyDescent="0.3">
      <c r="A7871" t="s">
        <v>25190</v>
      </c>
      <c r="B7871" t="s">
        <v>27386</v>
      </c>
      <c r="C7871" t="s">
        <v>27441</v>
      </c>
      <c r="D7871" t="s">
        <v>25229</v>
      </c>
      <c r="E7871" t="s">
        <v>27403</v>
      </c>
      <c r="F7871" t="s">
        <v>27430</v>
      </c>
      <c r="G7871" t="s">
        <v>27430</v>
      </c>
      <c r="H7871" t="s">
        <v>97</v>
      </c>
      <c r="I7871" t="s">
        <v>98</v>
      </c>
      <c r="J7871" t="str">
        <f>"4953010"</f>
        <v>4953010</v>
      </c>
      <c r="K7871">
        <v>2372022324</v>
      </c>
      <c r="L7871">
        <v>2372022324</v>
      </c>
      <c r="M7871" t="s">
        <v>27442</v>
      </c>
      <c r="N7871" t="s">
        <v>27435</v>
      </c>
      <c r="O7871" t="s">
        <v>27435</v>
      </c>
      <c r="P7871">
        <v>63074</v>
      </c>
      <c r="Q7871" t="str">
        <f>"40.486475"</f>
        <v>40.486475</v>
      </c>
      <c r="R7871" t="str">
        <f>"23.599061"</f>
        <v>23.599061</v>
      </c>
      <c r="S7871" t="s">
        <v>26</v>
      </c>
    </row>
    <row r="7872" spans="1:19" x14ac:dyDescent="0.3">
      <c r="A7872" t="s">
        <v>25190</v>
      </c>
      <c r="B7872" t="s">
        <v>27386</v>
      </c>
      <c r="C7872" t="s">
        <v>27443</v>
      </c>
      <c r="D7872" t="s">
        <v>25229</v>
      </c>
      <c r="E7872" t="s">
        <v>25230</v>
      </c>
      <c r="F7872" t="s">
        <v>25230</v>
      </c>
      <c r="G7872" t="s">
        <v>25230</v>
      </c>
      <c r="H7872" t="s">
        <v>97</v>
      </c>
      <c r="I7872" t="s">
        <v>98</v>
      </c>
      <c r="J7872" t="str">
        <f>"4951010"</f>
        <v>4951010</v>
      </c>
      <c r="K7872">
        <v>2371023159</v>
      </c>
      <c r="L7872">
        <v>2371023169</v>
      </c>
      <c r="M7872" t="s">
        <v>27444</v>
      </c>
      <c r="N7872" t="s">
        <v>27413</v>
      </c>
      <c r="O7872" t="s">
        <v>27445</v>
      </c>
      <c r="P7872">
        <v>63100</v>
      </c>
      <c r="Q7872" t="str">
        <f>"40.380205"</f>
        <v>40.380205</v>
      </c>
      <c r="R7872" t="str">
        <f>"23.438795"</f>
        <v>23.438795</v>
      </c>
      <c r="S7872" t="s">
        <v>26</v>
      </c>
    </row>
    <row r="7873" spans="1:19" x14ac:dyDescent="0.3">
      <c r="A7873" t="s">
        <v>25190</v>
      </c>
      <c r="B7873" t="s">
        <v>27386</v>
      </c>
      <c r="C7873" t="s">
        <v>27448</v>
      </c>
      <c r="D7873" t="s">
        <v>25229</v>
      </c>
      <c r="E7873" t="s">
        <v>27394</v>
      </c>
      <c r="F7873" t="s">
        <v>27447</v>
      </c>
      <c r="G7873" t="s">
        <v>27401</v>
      </c>
      <c r="H7873" t="s">
        <v>97</v>
      </c>
      <c r="I7873" t="s">
        <v>98</v>
      </c>
      <c r="J7873" t="str">
        <f>"4956010"</f>
        <v>4956010</v>
      </c>
      <c r="K7873">
        <v>2373021351</v>
      </c>
      <c r="L7873">
        <v>2373026183</v>
      </c>
      <c r="M7873" t="s">
        <v>27449</v>
      </c>
      <c r="N7873" t="s">
        <v>27450</v>
      </c>
      <c r="O7873" t="s">
        <v>27451</v>
      </c>
      <c r="P7873">
        <v>63200</v>
      </c>
      <c r="Q7873" t="str">
        <f>"40.238180"</f>
        <v>40.238180</v>
      </c>
      <c r="R7873" t="str">
        <f>"23.291804"</f>
        <v>23.291804</v>
      </c>
      <c r="S7873" t="s">
        <v>26</v>
      </c>
    </row>
    <row r="7874" spans="1:19" x14ac:dyDescent="0.3">
      <c r="A7874" t="s">
        <v>25190</v>
      </c>
      <c r="B7874" t="s">
        <v>27386</v>
      </c>
      <c r="C7874" t="s">
        <v>27455</v>
      </c>
      <c r="D7874" t="s">
        <v>25229</v>
      </c>
      <c r="E7874" t="s">
        <v>27394</v>
      </c>
      <c r="F7874" t="s">
        <v>27453</v>
      </c>
      <c r="G7874" t="s">
        <v>27454</v>
      </c>
      <c r="H7874" t="s">
        <v>97</v>
      </c>
      <c r="I7874" t="s">
        <v>98</v>
      </c>
      <c r="J7874" t="str">
        <f>"4955010"</f>
        <v>4955010</v>
      </c>
      <c r="K7874">
        <v>2399021529</v>
      </c>
      <c r="L7874">
        <v>2399020229</v>
      </c>
      <c r="M7874" t="s">
        <v>27456</v>
      </c>
      <c r="N7874" t="s">
        <v>27457</v>
      </c>
      <c r="O7874" t="s">
        <v>27458</v>
      </c>
      <c r="P7874">
        <v>63080</v>
      </c>
      <c r="Q7874" t="str">
        <f>"40.316270"</f>
        <v>40.316270</v>
      </c>
      <c r="R7874" t="str">
        <f>"23.060256"</f>
        <v>23.060256</v>
      </c>
      <c r="S7874" t="s">
        <v>26</v>
      </c>
    </row>
    <row r="7875" spans="1:19" x14ac:dyDescent="0.3">
      <c r="A7875" t="s">
        <v>25190</v>
      </c>
      <c r="B7875" t="s">
        <v>27386</v>
      </c>
      <c r="C7875" t="s">
        <v>27460</v>
      </c>
      <c r="D7875" t="s">
        <v>25229</v>
      </c>
      <c r="E7875" t="s">
        <v>27387</v>
      </c>
      <c r="F7875" t="s">
        <v>27388</v>
      </c>
      <c r="G7875" t="s">
        <v>27389</v>
      </c>
      <c r="H7875" t="s">
        <v>97</v>
      </c>
      <c r="I7875" t="s">
        <v>98</v>
      </c>
      <c r="J7875" t="str">
        <f>"4958010"</f>
        <v>4958010</v>
      </c>
      <c r="K7875">
        <v>2375041277</v>
      </c>
      <c r="L7875">
        <v>2375041277</v>
      </c>
      <c r="M7875" t="s">
        <v>27461</v>
      </c>
      <c r="N7875" t="s">
        <v>27462</v>
      </c>
      <c r="O7875" t="s">
        <v>27392</v>
      </c>
      <c r="P7875">
        <v>63072</v>
      </c>
      <c r="Q7875" t="str">
        <f>"40.038595"</f>
        <v>40.038595</v>
      </c>
      <c r="R7875" t="str">
        <f>"23.951347"</f>
        <v>23.951347</v>
      </c>
      <c r="S7875" t="s">
        <v>26</v>
      </c>
    </row>
    <row r="7876" spans="1:19" x14ac:dyDescent="0.3">
      <c r="A7876" t="s">
        <v>25190</v>
      </c>
      <c r="B7876" t="s">
        <v>27386</v>
      </c>
      <c r="C7876" t="s">
        <v>27567</v>
      </c>
      <c r="D7876" t="s">
        <v>25229</v>
      </c>
      <c r="E7876" t="s">
        <v>25230</v>
      </c>
      <c r="F7876" t="s">
        <v>25230</v>
      </c>
      <c r="G7876" t="s">
        <v>25230</v>
      </c>
      <c r="H7876" t="s">
        <v>97</v>
      </c>
      <c r="I7876" t="s">
        <v>195</v>
      </c>
      <c r="J7876" t="str">
        <f>"4951015"</f>
        <v>4951015</v>
      </c>
      <c r="K7876">
        <v>2371022184</v>
      </c>
      <c r="L7876">
        <v>2371022184</v>
      </c>
      <c r="M7876" t="s">
        <v>27568</v>
      </c>
      <c r="N7876" t="s">
        <v>25233</v>
      </c>
      <c r="O7876" t="s">
        <v>27569</v>
      </c>
      <c r="P7876">
        <v>63100</v>
      </c>
      <c r="Q7876" t="str">
        <f>"40.380135"</f>
        <v>40.380135</v>
      </c>
      <c r="R7876" t="str">
        <f>"23.439216"</f>
        <v>23.439216</v>
      </c>
      <c r="S7876" t="s">
        <v>26</v>
      </c>
    </row>
    <row r="7877" spans="1:19" x14ac:dyDescent="0.3">
      <c r="A7877" t="s">
        <v>25190</v>
      </c>
      <c r="B7877" t="s">
        <v>27386</v>
      </c>
      <c r="C7877" t="s">
        <v>27581</v>
      </c>
      <c r="D7877" t="s">
        <v>25229</v>
      </c>
      <c r="E7877" t="s">
        <v>25230</v>
      </c>
      <c r="F7877" t="s">
        <v>27470</v>
      </c>
      <c r="G7877" t="s">
        <v>27470</v>
      </c>
      <c r="H7877" t="s">
        <v>97</v>
      </c>
      <c r="I7877" t="s">
        <v>98</v>
      </c>
      <c r="J7877" t="str">
        <f>"4962010"</f>
        <v>4962010</v>
      </c>
      <c r="K7877">
        <v>2371041100</v>
      </c>
      <c r="L7877">
        <v>2371041103</v>
      </c>
      <c r="M7877" t="s">
        <v>27582</v>
      </c>
      <c r="N7877" t="s">
        <v>27474</v>
      </c>
      <c r="O7877" t="s">
        <v>27474</v>
      </c>
      <c r="P7877">
        <v>63071</v>
      </c>
      <c r="Q7877" t="str">
        <f>"40.289863"</f>
        <v>40.289863</v>
      </c>
      <c r="R7877" t="str">
        <f>"23.542420"</f>
        <v>23.542420</v>
      </c>
      <c r="S7877" t="s">
        <v>26</v>
      </c>
    </row>
    <row r="7878" spans="1:19" x14ac:dyDescent="0.3">
      <c r="A7878" t="s">
        <v>25190</v>
      </c>
      <c r="B7878" t="s">
        <v>27386</v>
      </c>
      <c r="C7878" t="s">
        <v>27587</v>
      </c>
      <c r="D7878" t="s">
        <v>25229</v>
      </c>
      <c r="E7878" t="s">
        <v>27415</v>
      </c>
      <c r="F7878" t="s">
        <v>4024</v>
      </c>
      <c r="G7878" t="s">
        <v>27549</v>
      </c>
      <c r="H7878" t="s">
        <v>97</v>
      </c>
      <c r="I7878" t="s">
        <v>98</v>
      </c>
      <c r="J7878" t="str">
        <f>"4944001"</f>
        <v>4944001</v>
      </c>
      <c r="K7878">
        <v>2374063043</v>
      </c>
      <c r="L7878">
        <v>2374063616</v>
      </c>
      <c r="M7878" t="s">
        <v>27588</v>
      </c>
      <c r="N7878" t="s">
        <v>27589</v>
      </c>
      <c r="O7878" t="s">
        <v>27590</v>
      </c>
      <c r="P7878">
        <v>63085</v>
      </c>
      <c r="Q7878" t="str">
        <f>"39.988032"</f>
        <v>39.988032</v>
      </c>
      <c r="R7878" t="str">
        <f>"23.614015"</f>
        <v>23.614015</v>
      </c>
      <c r="S7878" t="s">
        <v>26</v>
      </c>
    </row>
    <row r="7879" spans="1:19" x14ac:dyDescent="0.3">
      <c r="A7879" t="s">
        <v>25190</v>
      </c>
      <c r="B7879" t="s">
        <v>27386</v>
      </c>
      <c r="C7879" t="s">
        <v>27591</v>
      </c>
      <c r="D7879" t="s">
        <v>25229</v>
      </c>
      <c r="E7879" t="s">
        <v>27387</v>
      </c>
      <c r="F7879" t="s">
        <v>27387</v>
      </c>
      <c r="G7879" t="s">
        <v>27487</v>
      </c>
      <c r="H7879" t="s">
        <v>97</v>
      </c>
      <c r="I7879" t="s">
        <v>98</v>
      </c>
      <c r="J7879" t="str">
        <f>"4944002"</f>
        <v>4944002</v>
      </c>
      <c r="K7879">
        <v>2375110249</v>
      </c>
      <c r="L7879">
        <v>2375110250</v>
      </c>
      <c r="M7879" t="s">
        <v>27592</v>
      </c>
      <c r="O7879" t="s">
        <v>27593</v>
      </c>
      <c r="P7879">
        <v>63081</v>
      </c>
      <c r="Q7879" t="str">
        <f>"40.095997"</f>
        <v>40.095997</v>
      </c>
      <c r="R7879" t="str">
        <f>"23.786405"</f>
        <v>23.786405</v>
      </c>
      <c r="S7879" t="s">
        <v>26</v>
      </c>
    </row>
    <row r="7880" spans="1:19" x14ac:dyDescent="0.3">
      <c r="A7880" t="s">
        <v>32470</v>
      </c>
      <c r="B7880" t="s">
        <v>32491</v>
      </c>
      <c r="C7880" t="s">
        <v>32503</v>
      </c>
      <c r="D7880" t="s">
        <v>4618</v>
      </c>
      <c r="E7880" t="s">
        <v>32501</v>
      </c>
      <c r="F7880" t="s">
        <v>32502</v>
      </c>
      <c r="G7880" t="s">
        <v>32502</v>
      </c>
      <c r="H7880" t="s">
        <v>97</v>
      </c>
      <c r="I7880" t="s">
        <v>98</v>
      </c>
      <c r="J7880" t="str">
        <f>"1753010"</f>
        <v>1753010</v>
      </c>
      <c r="K7880">
        <v>2810751528</v>
      </c>
      <c r="L7880">
        <v>2810751642</v>
      </c>
      <c r="M7880" t="s">
        <v>32504</v>
      </c>
      <c r="N7880" t="s">
        <v>32505</v>
      </c>
      <c r="O7880" t="s">
        <v>32506</v>
      </c>
      <c r="P7880">
        <v>70100</v>
      </c>
      <c r="Q7880" t="str">
        <f>"35.230313"</f>
        <v>35.230313</v>
      </c>
      <c r="R7880" t="str">
        <f>"25.157488"</f>
        <v>25.157488</v>
      </c>
      <c r="S7880" t="s">
        <v>26</v>
      </c>
    </row>
    <row r="7881" spans="1:19" x14ac:dyDescent="0.3">
      <c r="A7881" t="s">
        <v>32470</v>
      </c>
      <c r="B7881" t="s">
        <v>32491</v>
      </c>
      <c r="C7881" t="s">
        <v>32509</v>
      </c>
      <c r="D7881" t="s">
        <v>4618</v>
      </c>
      <c r="E7881" t="s">
        <v>32508</v>
      </c>
      <c r="F7881" t="s">
        <v>30112</v>
      </c>
      <c r="G7881" t="s">
        <v>30112</v>
      </c>
      <c r="H7881" t="s">
        <v>97</v>
      </c>
      <c r="I7881" t="s">
        <v>98</v>
      </c>
      <c r="J7881" t="str">
        <f>"1751070"</f>
        <v>1751070</v>
      </c>
      <c r="K7881">
        <v>2810771016</v>
      </c>
      <c r="L7881">
        <v>2810771016</v>
      </c>
      <c r="M7881" t="s">
        <v>32510</v>
      </c>
      <c r="N7881" t="s">
        <v>32511</v>
      </c>
      <c r="O7881" t="s">
        <v>32512</v>
      </c>
      <c r="P7881">
        <v>70008</v>
      </c>
      <c r="Q7881" t="str">
        <f>"35.260398"</f>
        <v>35.260398</v>
      </c>
      <c r="R7881" t="str">
        <f>"25.233505"</f>
        <v>25.233505</v>
      </c>
      <c r="S7881" t="s">
        <v>26</v>
      </c>
    </row>
    <row r="7882" spans="1:19" x14ac:dyDescent="0.3">
      <c r="A7882" t="s">
        <v>32470</v>
      </c>
      <c r="B7882" t="s">
        <v>32491</v>
      </c>
      <c r="C7882" t="s">
        <v>32532</v>
      </c>
      <c r="D7882" t="s">
        <v>4618</v>
      </c>
      <c r="E7882" t="s">
        <v>32529</v>
      </c>
      <c r="F7882" t="s">
        <v>32530</v>
      </c>
      <c r="G7882" t="s">
        <v>32531</v>
      </c>
      <c r="H7882" t="s">
        <v>97</v>
      </c>
      <c r="I7882" t="s">
        <v>98</v>
      </c>
      <c r="J7882" t="str">
        <f>"1760010"</f>
        <v>1760010</v>
      </c>
      <c r="K7882">
        <v>2810711442</v>
      </c>
      <c r="L7882">
        <v>2810711952</v>
      </c>
      <c r="M7882" t="s">
        <v>32533</v>
      </c>
      <c r="N7882" t="s">
        <v>32534</v>
      </c>
      <c r="O7882" t="s">
        <v>32535</v>
      </c>
      <c r="P7882">
        <v>70001</v>
      </c>
      <c r="Q7882" t="str">
        <f>"35.232290"</f>
        <v>35.232290</v>
      </c>
      <c r="R7882" t="str">
        <f>"24.986753"</f>
        <v>24.986753</v>
      </c>
      <c r="S7882" t="s">
        <v>26</v>
      </c>
    </row>
    <row r="7883" spans="1:19" x14ac:dyDescent="0.3">
      <c r="A7883" t="s">
        <v>32470</v>
      </c>
      <c r="B7883" t="s">
        <v>32491</v>
      </c>
      <c r="C7883" t="s">
        <v>32546</v>
      </c>
      <c r="D7883" t="s">
        <v>4618</v>
      </c>
      <c r="E7883" t="s">
        <v>4618</v>
      </c>
      <c r="F7883" t="s">
        <v>4618</v>
      </c>
      <c r="G7883" t="s">
        <v>32514</v>
      </c>
      <c r="H7883" t="s">
        <v>97</v>
      </c>
      <c r="I7883" t="s">
        <v>3640</v>
      </c>
      <c r="J7883" t="str">
        <f>"1751001"</f>
        <v>1751001</v>
      </c>
      <c r="K7883">
        <v>2810261985</v>
      </c>
      <c r="L7883">
        <v>2810261985</v>
      </c>
      <c r="M7883" t="s">
        <v>32547</v>
      </c>
      <c r="N7883" t="s">
        <v>28925</v>
      </c>
      <c r="O7883" t="s">
        <v>32548</v>
      </c>
      <c r="P7883">
        <v>71410</v>
      </c>
      <c r="Q7883" t="str">
        <f>"35.310814"</f>
        <v>35.310814</v>
      </c>
      <c r="R7883" t="str">
        <f>"25.102767"</f>
        <v>25.102767</v>
      </c>
      <c r="S7883" t="s">
        <v>26</v>
      </c>
    </row>
    <row r="7884" spans="1:19" x14ac:dyDescent="0.3">
      <c r="A7884" t="s">
        <v>32470</v>
      </c>
      <c r="B7884" t="s">
        <v>32491</v>
      </c>
      <c r="C7884" t="s">
        <v>32566</v>
      </c>
      <c r="D7884" t="s">
        <v>4618</v>
      </c>
      <c r="E7884" t="s">
        <v>4618</v>
      </c>
      <c r="F7884" t="s">
        <v>4618</v>
      </c>
      <c r="G7884" t="s">
        <v>32514</v>
      </c>
      <c r="H7884" t="s">
        <v>97</v>
      </c>
      <c r="I7884" t="s">
        <v>98</v>
      </c>
      <c r="J7884" t="str">
        <f>"1790210"</f>
        <v>1790210</v>
      </c>
      <c r="K7884">
        <v>2810252172</v>
      </c>
      <c r="L7884">
        <v>2810250864</v>
      </c>
      <c r="M7884" t="s">
        <v>32567</v>
      </c>
      <c r="N7884" t="s">
        <v>4741</v>
      </c>
      <c r="O7884" t="s">
        <v>32568</v>
      </c>
      <c r="P7884">
        <v>71303</v>
      </c>
      <c r="Q7884" t="str">
        <f>"35.339699"</f>
        <v>35.339699</v>
      </c>
      <c r="R7884" t="str">
        <f>"25.117838"</f>
        <v>25.117838</v>
      </c>
      <c r="S7884" t="s">
        <v>26</v>
      </c>
    </row>
    <row r="7885" spans="1:19" x14ac:dyDescent="0.3">
      <c r="A7885" t="s">
        <v>32470</v>
      </c>
      <c r="B7885" t="s">
        <v>32491</v>
      </c>
      <c r="C7885" t="s">
        <v>32573</v>
      </c>
      <c r="D7885" t="s">
        <v>4618</v>
      </c>
      <c r="E7885" t="s">
        <v>32501</v>
      </c>
      <c r="F7885" t="s">
        <v>32571</v>
      </c>
      <c r="G7885" t="s">
        <v>32572</v>
      </c>
      <c r="H7885" t="s">
        <v>97</v>
      </c>
      <c r="I7885" t="s">
        <v>98</v>
      </c>
      <c r="J7885" t="str">
        <f>"1758010"</f>
        <v>1758010</v>
      </c>
      <c r="K7885">
        <v>2893022145</v>
      </c>
      <c r="L7885">
        <v>2893023737</v>
      </c>
      <c r="M7885" t="s">
        <v>32574</v>
      </c>
      <c r="N7885" t="s">
        <v>32575</v>
      </c>
      <c r="O7885" t="s">
        <v>32575</v>
      </c>
      <c r="P7885">
        <v>70010</v>
      </c>
      <c r="Q7885" t="str">
        <f>"35.015624"</f>
        <v>35.015624</v>
      </c>
      <c r="R7885" t="str">
        <f>"25.119647"</f>
        <v>25.119647</v>
      </c>
      <c r="S7885" t="s">
        <v>26</v>
      </c>
    </row>
    <row r="7886" spans="1:19" x14ac:dyDescent="0.3">
      <c r="A7886" t="s">
        <v>32470</v>
      </c>
      <c r="B7886" t="s">
        <v>32491</v>
      </c>
      <c r="C7886" t="s">
        <v>32577</v>
      </c>
      <c r="D7886" t="s">
        <v>4618</v>
      </c>
      <c r="E7886" t="s">
        <v>4618</v>
      </c>
      <c r="F7886" t="s">
        <v>4618</v>
      </c>
      <c r="G7886" t="s">
        <v>32537</v>
      </c>
      <c r="H7886" t="s">
        <v>97</v>
      </c>
      <c r="I7886" t="s">
        <v>98</v>
      </c>
      <c r="J7886" t="str">
        <f>"1751041"</f>
        <v>1751041</v>
      </c>
      <c r="K7886">
        <v>2810230207</v>
      </c>
      <c r="L7886">
        <v>2810325139</v>
      </c>
      <c r="M7886" t="s">
        <v>32578</v>
      </c>
      <c r="N7886" t="s">
        <v>28925</v>
      </c>
      <c r="O7886" t="s">
        <v>32579</v>
      </c>
      <c r="P7886">
        <v>71307</v>
      </c>
      <c r="Q7886" t="str">
        <f>"35.325208"</f>
        <v>35.325208</v>
      </c>
      <c r="R7886" t="str">
        <f>"25.142021"</f>
        <v>25.142021</v>
      </c>
      <c r="S7886" t="s">
        <v>26</v>
      </c>
    </row>
    <row r="7887" spans="1:19" x14ac:dyDescent="0.3">
      <c r="A7887" t="s">
        <v>32470</v>
      </c>
      <c r="B7887" t="s">
        <v>32491</v>
      </c>
      <c r="C7887" t="s">
        <v>32580</v>
      </c>
      <c r="D7887" t="s">
        <v>4618</v>
      </c>
      <c r="E7887" t="s">
        <v>4618</v>
      </c>
      <c r="F7887" t="s">
        <v>4618</v>
      </c>
      <c r="G7887" t="s">
        <v>32514</v>
      </c>
      <c r="H7887" t="s">
        <v>97</v>
      </c>
      <c r="I7887" t="s">
        <v>98</v>
      </c>
      <c r="J7887" t="str">
        <f>"1751040"</f>
        <v>1751040</v>
      </c>
      <c r="K7887">
        <v>2810252495</v>
      </c>
      <c r="L7887">
        <v>2810254481</v>
      </c>
      <c r="M7887" t="s">
        <v>32581</v>
      </c>
      <c r="N7887" t="s">
        <v>28925</v>
      </c>
      <c r="O7887" t="s">
        <v>32582</v>
      </c>
      <c r="P7887">
        <v>71305</v>
      </c>
      <c r="Q7887" t="str">
        <f>"35.330967"</f>
        <v>35.330967</v>
      </c>
      <c r="R7887" t="str">
        <f>"25.122201"</f>
        <v>25.122201</v>
      </c>
      <c r="S7887" t="s">
        <v>26</v>
      </c>
    </row>
    <row r="7888" spans="1:19" x14ac:dyDescent="0.3">
      <c r="A7888" t="s">
        <v>32470</v>
      </c>
      <c r="B7888" t="s">
        <v>32491</v>
      </c>
      <c r="C7888" t="s">
        <v>32586</v>
      </c>
      <c r="D7888" t="s">
        <v>4618</v>
      </c>
      <c r="E7888" t="s">
        <v>32584</v>
      </c>
      <c r="F7888" t="s">
        <v>32585</v>
      </c>
      <c r="G7888" t="s">
        <v>32585</v>
      </c>
      <c r="H7888" t="s">
        <v>97</v>
      </c>
      <c r="I7888" t="s">
        <v>98</v>
      </c>
      <c r="J7888" t="str">
        <f>"1763010"</f>
        <v>1763010</v>
      </c>
      <c r="K7888">
        <v>2892051146</v>
      </c>
      <c r="L7888">
        <v>2892052397</v>
      </c>
      <c r="M7888" t="s">
        <v>32587</v>
      </c>
      <c r="N7888" t="s">
        <v>32588</v>
      </c>
      <c r="O7888" t="s">
        <v>32589</v>
      </c>
      <c r="P7888">
        <v>70200</v>
      </c>
      <c r="Q7888" t="str">
        <f>"35.067130"</f>
        <v>35.067130</v>
      </c>
      <c r="R7888" t="str">
        <f>"24.765850"</f>
        <v>24.765850</v>
      </c>
      <c r="S7888" t="s">
        <v>26</v>
      </c>
    </row>
    <row r="7889" spans="1:19" x14ac:dyDescent="0.3">
      <c r="A7889" t="s">
        <v>32470</v>
      </c>
      <c r="B7889" t="s">
        <v>32491</v>
      </c>
      <c r="C7889" t="s">
        <v>32592</v>
      </c>
      <c r="D7889" t="s">
        <v>4618</v>
      </c>
      <c r="E7889" t="s">
        <v>4618</v>
      </c>
      <c r="F7889" t="s">
        <v>4618</v>
      </c>
      <c r="G7889" t="s">
        <v>32537</v>
      </c>
      <c r="H7889" t="s">
        <v>97</v>
      </c>
      <c r="I7889" t="s">
        <v>98</v>
      </c>
      <c r="J7889" t="str">
        <f>"1751020"</f>
        <v>1751020</v>
      </c>
      <c r="K7889">
        <v>2810372732</v>
      </c>
      <c r="L7889">
        <v>2810253271</v>
      </c>
      <c r="M7889" t="s">
        <v>32593</v>
      </c>
      <c r="N7889" t="s">
        <v>28925</v>
      </c>
      <c r="O7889" t="s">
        <v>32594</v>
      </c>
      <c r="P7889">
        <v>71305</v>
      </c>
      <c r="Q7889" t="str">
        <f>"35.330916"</f>
        <v>35.330916</v>
      </c>
      <c r="R7889" t="str">
        <f>"25.124773"</f>
        <v>25.124773</v>
      </c>
      <c r="S7889" t="s">
        <v>26</v>
      </c>
    </row>
    <row r="7890" spans="1:19" x14ac:dyDescent="0.3">
      <c r="A7890" t="s">
        <v>32470</v>
      </c>
      <c r="B7890" t="s">
        <v>32491</v>
      </c>
      <c r="C7890" t="s">
        <v>32598</v>
      </c>
      <c r="D7890" t="s">
        <v>4618</v>
      </c>
      <c r="E7890" t="s">
        <v>32501</v>
      </c>
      <c r="F7890" t="s">
        <v>32596</v>
      </c>
      <c r="G7890" t="s">
        <v>32597</v>
      </c>
      <c r="H7890" t="s">
        <v>97</v>
      </c>
      <c r="I7890" t="s">
        <v>98</v>
      </c>
      <c r="J7890" t="str">
        <f>"1761010"</f>
        <v>1761010</v>
      </c>
      <c r="K7890">
        <v>2810741356</v>
      </c>
      <c r="L7890">
        <v>2810741356</v>
      </c>
      <c r="M7890" t="s">
        <v>32599</v>
      </c>
      <c r="N7890" t="s">
        <v>32600</v>
      </c>
      <c r="O7890" t="s">
        <v>32600</v>
      </c>
      <c r="P7890">
        <v>70300</v>
      </c>
      <c r="Q7890" t="str">
        <f>"35.194513"</f>
        <v>35.194513</v>
      </c>
      <c r="R7890" t="str">
        <f>"25.202312"</f>
        <v>25.202312</v>
      </c>
      <c r="S7890" t="s">
        <v>26</v>
      </c>
    </row>
    <row r="7891" spans="1:19" x14ac:dyDescent="0.3">
      <c r="A7891" t="s">
        <v>32470</v>
      </c>
      <c r="B7891" t="s">
        <v>32491</v>
      </c>
      <c r="C7891" t="s">
        <v>32603</v>
      </c>
      <c r="D7891" t="s">
        <v>4618</v>
      </c>
      <c r="E7891" t="s">
        <v>32508</v>
      </c>
      <c r="F7891" t="s">
        <v>32602</v>
      </c>
      <c r="G7891" t="s">
        <v>32602</v>
      </c>
      <c r="H7891" t="s">
        <v>97</v>
      </c>
      <c r="I7891" t="s">
        <v>98</v>
      </c>
      <c r="J7891" t="str">
        <f>"1768010"</f>
        <v>1768010</v>
      </c>
      <c r="K7891">
        <v>2897032070</v>
      </c>
      <c r="L7891">
        <v>2897032088</v>
      </c>
      <c r="M7891" t="s">
        <v>32604</v>
      </c>
      <c r="N7891" t="s">
        <v>32605</v>
      </c>
      <c r="O7891" t="s">
        <v>26418</v>
      </c>
      <c r="P7891">
        <v>70007</v>
      </c>
      <c r="Q7891" t="str">
        <f>"35.284706"</f>
        <v>35.284706</v>
      </c>
      <c r="R7891" t="str">
        <f>"25.456766"</f>
        <v>25.456766</v>
      </c>
      <c r="S7891" t="s">
        <v>26</v>
      </c>
    </row>
    <row r="7892" spans="1:19" x14ac:dyDescent="0.3">
      <c r="A7892" t="s">
        <v>32470</v>
      </c>
      <c r="B7892" t="s">
        <v>32491</v>
      </c>
      <c r="C7892" t="s">
        <v>32609</v>
      </c>
      <c r="D7892" t="s">
        <v>4618</v>
      </c>
      <c r="E7892" t="s">
        <v>4618</v>
      </c>
      <c r="F7892" t="s">
        <v>32607</v>
      </c>
      <c r="G7892" t="s">
        <v>32608</v>
      </c>
      <c r="H7892" t="s">
        <v>97</v>
      </c>
      <c r="I7892" t="s">
        <v>98</v>
      </c>
      <c r="J7892" t="str">
        <f>"1751080"</f>
        <v>1751080</v>
      </c>
      <c r="K7892">
        <v>2810721380</v>
      </c>
      <c r="L7892">
        <v>2810721380</v>
      </c>
      <c r="M7892" t="s">
        <v>32610</v>
      </c>
      <c r="N7892" t="s">
        <v>32611</v>
      </c>
      <c r="O7892" t="s">
        <v>32612</v>
      </c>
      <c r="P7892">
        <v>70013</v>
      </c>
      <c r="Q7892" t="str">
        <f>"35.236901"</f>
        <v>35.236901</v>
      </c>
      <c r="R7892" t="str">
        <f>"25.030068"</f>
        <v>25.030068</v>
      </c>
      <c r="S7892" t="s">
        <v>26</v>
      </c>
    </row>
    <row r="7893" spans="1:19" x14ac:dyDescent="0.3">
      <c r="A7893" t="s">
        <v>32470</v>
      </c>
      <c r="B7893" t="s">
        <v>32491</v>
      </c>
      <c r="C7893" t="s">
        <v>32614</v>
      </c>
      <c r="D7893" t="s">
        <v>4618</v>
      </c>
      <c r="E7893" t="s">
        <v>4618</v>
      </c>
      <c r="F7893" t="s">
        <v>4618</v>
      </c>
      <c r="G7893" t="s">
        <v>32537</v>
      </c>
      <c r="H7893" t="s">
        <v>97</v>
      </c>
      <c r="I7893" t="s">
        <v>98</v>
      </c>
      <c r="J7893" t="str">
        <f>"1751030"</f>
        <v>1751030</v>
      </c>
      <c r="K7893">
        <v>2810282911</v>
      </c>
      <c r="L7893">
        <v>2810289451</v>
      </c>
      <c r="M7893" t="s">
        <v>32615</v>
      </c>
      <c r="N7893" t="s">
        <v>28925</v>
      </c>
      <c r="O7893" t="s">
        <v>31925</v>
      </c>
      <c r="P7893">
        <v>71306</v>
      </c>
      <c r="Q7893" t="str">
        <f>"35.333585"</f>
        <v>35.333585</v>
      </c>
      <c r="R7893" t="str">
        <f>"25.138220"</f>
        <v>25.138220</v>
      </c>
      <c r="S7893" t="s">
        <v>26</v>
      </c>
    </row>
    <row r="7894" spans="1:19" x14ac:dyDescent="0.3">
      <c r="A7894" t="s">
        <v>32470</v>
      </c>
      <c r="B7894" t="s">
        <v>32491</v>
      </c>
      <c r="C7894" t="s">
        <v>32618</v>
      </c>
      <c r="D7894" t="s">
        <v>4618</v>
      </c>
      <c r="E7894" t="s">
        <v>32584</v>
      </c>
      <c r="F7894" t="s">
        <v>32616</v>
      </c>
      <c r="G7894" t="s">
        <v>32617</v>
      </c>
      <c r="H7894" t="s">
        <v>97</v>
      </c>
      <c r="I7894" t="s">
        <v>98</v>
      </c>
      <c r="J7894" t="str">
        <f>"1757010"</f>
        <v>1757010</v>
      </c>
      <c r="K7894">
        <v>2892041388</v>
      </c>
      <c r="L7894">
        <v>2892041388</v>
      </c>
      <c r="M7894" t="s">
        <v>32619</v>
      </c>
      <c r="N7894" t="s">
        <v>32620</v>
      </c>
      <c r="O7894" t="s">
        <v>32621</v>
      </c>
      <c r="P7894">
        <v>70400</v>
      </c>
      <c r="Q7894" t="str">
        <f>"35.010081"</f>
        <v>35.010081</v>
      </c>
      <c r="R7894" t="str">
        <f>"24.867514"</f>
        <v>24.867514</v>
      </c>
      <c r="S7894" t="s">
        <v>26</v>
      </c>
    </row>
    <row r="7895" spans="1:19" x14ac:dyDescent="0.3">
      <c r="A7895" t="s">
        <v>32470</v>
      </c>
      <c r="B7895" t="s">
        <v>32491</v>
      </c>
      <c r="C7895" t="s">
        <v>32624</v>
      </c>
      <c r="D7895" t="s">
        <v>4618</v>
      </c>
      <c r="E7895" t="s">
        <v>4618</v>
      </c>
      <c r="F7895" t="s">
        <v>32623</v>
      </c>
      <c r="G7895" t="s">
        <v>32623</v>
      </c>
      <c r="H7895" t="s">
        <v>97</v>
      </c>
      <c r="I7895" t="s">
        <v>98</v>
      </c>
      <c r="J7895" t="str">
        <f>"1777010"</f>
        <v>1777010</v>
      </c>
      <c r="K7895">
        <v>2810229220</v>
      </c>
      <c r="L7895">
        <v>2810286106</v>
      </c>
      <c r="M7895" t="s">
        <v>32625</v>
      </c>
      <c r="N7895" t="s">
        <v>32626</v>
      </c>
      <c r="O7895" t="s">
        <v>32627</v>
      </c>
      <c r="P7895">
        <v>71601</v>
      </c>
      <c r="Q7895" t="str">
        <f>"35.338108"</f>
        <v>35.338108</v>
      </c>
      <c r="R7895" t="str">
        <f>"25.156411"</f>
        <v>25.156411</v>
      </c>
      <c r="S7895" t="s">
        <v>26</v>
      </c>
    </row>
    <row r="7896" spans="1:19" x14ac:dyDescent="0.3">
      <c r="A7896" t="s">
        <v>32470</v>
      </c>
      <c r="B7896" t="s">
        <v>32491</v>
      </c>
      <c r="C7896" t="s">
        <v>32632</v>
      </c>
      <c r="D7896" t="s">
        <v>4618</v>
      </c>
      <c r="E7896" t="s">
        <v>32629</v>
      </c>
      <c r="F7896" t="s">
        <v>32630</v>
      </c>
      <c r="G7896" t="s">
        <v>32631</v>
      </c>
      <c r="H7896" t="s">
        <v>97</v>
      </c>
      <c r="I7896" t="s">
        <v>98</v>
      </c>
      <c r="J7896" t="str">
        <f>"1765010"</f>
        <v>1765010</v>
      </c>
      <c r="K7896">
        <v>2893031093</v>
      </c>
      <c r="L7896">
        <v>2893032235</v>
      </c>
      <c r="M7896" t="s">
        <v>32633</v>
      </c>
      <c r="N7896" t="s">
        <v>32634</v>
      </c>
      <c r="O7896" t="s">
        <v>32634</v>
      </c>
      <c r="P7896">
        <v>70016</v>
      </c>
      <c r="Q7896" t="str">
        <f>"35.042411"</f>
        <v>35.042411</v>
      </c>
      <c r="R7896" t="str">
        <f>"25.086207"</f>
        <v>25.086207</v>
      </c>
      <c r="S7896" t="s">
        <v>26</v>
      </c>
    </row>
    <row r="7897" spans="1:19" x14ac:dyDescent="0.3">
      <c r="A7897" t="s">
        <v>32470</v>
      </c>
      <c r="B7897" t="s">
        <v>32491</v>
      </c>
      <c r="C7897" t="s">
        <v>32636</v>
      </c>
      <c r="D7897" t="s">
        <v>4618</v>
      </c>
      <c r="E7897" t="s">
        <v>4618</v>
      </c>
      <c r="F7897" t="s">
        <v>4618</v>
      </c>
      <c r="G7897" t="s">
        <v>32514</v>
      </c>
      <c r="H7897" t="s">
        <v>97</v>
      </c>
      <c r="I7897" t="s">
        <v>98</v>
      </c>
      <c r="J7897" t="str">
        <f>"1790070"</f>
        <v>1790070</v>
      </c>
      <c r="K7897">
        <v>2810252154</v>
      </c>
      <c r="L7897">
        <v>2810317969</v>
      </c>
      <c r="M7897" t="s">
        <v>32637</v>
      </c>
      <c r="N7897" t="s">
        <v>28925</v>
      </c>
      <c r="O7897" t="s">
        <v>32638</v>
      </c>
      <c r="P7897">
        <v>71304</v>
      </c>
      <c r="Q7897" t="str">
        <f>"35.329992"</f>
        <v>35.329992</v>
      </c>
      <c r="R7897" t="str">
        <f>"25.115461"</f>
        <v>25.115461</v>
      </c>
      <c r="S7897" t="s">
        <v>26</v>
      </c>
    </row>
    <row r="7898" spans="1:19" x14ac:dyDescent="0.3">
      <c r="A7898" t="s">
        <v>32470</v>
      </c>
      <c r="B7898" t="s">
        <v>32491</v>
      </c>
      <c r="C7898" t="s">
        <v>32641</v>
      </c>
      <c r="D7898" t="s">
        <v>4618</v>
      </c>
      <c r="E7898" t="s">
        <v>32508</v>
      </c>
      <c r="F7898" t="s">
        <v>32602</v>
      </c>
      <c r="G7898" t="s">
        <v>32640</v>
      </c>
      <c r="H7898" t="s">
        <v>97</v>
      </c>
      <c r="I7898" t="s">
        <v>98</v>
      </c>
      <c r="J7898" t="str">
        <f>"1762010"</f>
        <v>1762010</v>
      </c>
      <c r="K7898">
        <v>2897061311</v>
      </c>
      <c r="L7898">
        <v>2897061006</v>
      </c>
      <c r="M7898" t="s">
        <v>32642</v>
      </c>
      <c r="N7898" t="s">
        <v>32643</v>
      </c>
      <c r="O7898" t="s">
        <v>32644</v>
      </c>
      <c r="P7898">
        <v>70005</v>
      </c>
      <c r="Q7898" t="str">
        <f>"35.259003"</f>
        <v>35.259003</v>
      </c>
      <c r="R7898" t="str">
        <f>"25.428517"</f>
        <v>25.428517</v>
      </c>
      <c r="S7898" t="s">
        <v>26</v>
      </c>
    </row>
    <row r="7899" spans="1:19" x14ac:dyDescent="0.3">
      <c r="A7899" t="s">
        <v>32470</v>
      </c>
      <c r="B7899" t="s">
        <v>32491</v>
      </c>
      <c r="C7899" t="s">
        <v>32647</v>
      </c>
      <c r="D7899" t="s">
        <v>4618</v>
      </c>
      <c r="E7899" t="s">
        <v>32508</v>
      </c>
      <c r="F7899" t="s">
        <v>32519</v>
      </c>
      <c r="G7899" t="s">
        <v>32519</v>
      </c>
      <c r="H7899" t="s">
        <v>97</v>
      </c>
      <c r="I7899" t="s">
        <v>98</v>
      </c>
      <c r="J7899" t="str">
        <f>"1764010"</f>
        <v>1764010</v>
      </c>
      <c r="K7899">
        <v>2810762862</v>
      </c>
      <c r="L7899">
        <v>2810761809</v>
      </c>
      <c r="M7899" t="s">
        <v>32648</v>
      </c>
      <c r="N7899" t="s">
        <v>32649</v>
      </c>
      <c r="O7899" t="s">
        <v>32523</v>
      </c>
      <c r="P7899">
        <v>71500</v>
      </c>
      <c r="Q7899" t="str">
        <f>"35.326744"</f>
        <v>35.326744</v>
      </c>
      <c r="R7899" t="str">
        <f>"25.282705"</f>
        <v>25.282705</v>
      </c>
      <c r="S7899" t="s">
        <v>26</v>
      </c>
    </row>
    <row r="7900" spans="1:19" x14ac:dyDescent="0.3">
      <c r="A7900" t="s">
        <v>32470</v>
      </c>
      <c r="B7900" t="s">
        <v>32491</v>
      </c>
      <c r="C7900" t="s">
        <v>32651</v>
      </c>
      <c r="D7900" t="s">
        <v>4618</v>
      </c>
      <c r="E7900" t="s">
        <v>32529</v>
      </c>
      <c r="F7900" t="s">
        <v>32650</v>
      </c>
      <c r="G7900" t="s">
        <v>32650</v>
      </c>
      <c r="H7900" t="s">
        <v>97</v>
      </c>
      <c r="I7900" t="s">
        <v>98</v>
      </c>
      <c r="J7900" t="str">
        <f>"1778010"</f>
        <v>1778010</v>
      </c>
      <c r="K7900">
        <v>2810823029</v>
      </c>
      <c r="L7900">
        <v>2810823417</v>
      </c>
      <c r="M7900" t="s">
        <v>32652</v>
      </c>
      <c r="N7900" t="s">
        <v>32653</v>
      </c>
      <c r="O7900" t="s">
        <v>32654</v>
      </c>
      <c r="P7900">
        <v>71414</v>
      </c>
      <c r="Q7900" t="str">
        <f>"35.321899"</f>
        <v>35.321899</v>
      </c>
      <c r="R7900" t="str">
        <f>"25.075660"</f>
        <v>25.075660</v>
      </c>
      <c r="S7900" t="s">
        <v>26</v>
      </c>
    </row>
    <row r="7901" spans="1:19" x14ac:dyDescent="0.3">
      <c r="A7901" t="s">
        <v>32470</v>
      </c>
      <c r="B7901" t="s">
        <v>32491</v>
      </c>
      <c r="C7901" t="s">
        <v>32656</v>
      </c>
      <c r="D7901" t="s">
        <v>4618</v>
      </c>
      <c r="E7901" t="s">
        <v>4618</v>
      </c>
      <c r="F7901" t="s">
        <v>4618</v>
      </c>
      <c r="G7901" t="s">
        <v>32537</v>
      </c>
      <c r="H7901" t="s">
        <v>97</v>
      </c>
      <c r="I7901" t="s">
        <v>98</v>
      </c>
      <c r="J7901" t="str">
        <f>"1790100"</f>
        <v>1790100</v>
      </c>
      <c r="K7901">
        <v>2810234876</v>
      </c>
      <c r="L7901">
        <v>2810326299</v>
      </c>
      <c r="M7901" t="s">
        <v>32657</v>
      </c>
      <c r="N7901" t="s">
        <v>28925</v>
      </c>
      <c r="O7901" t="s">
        <v>32658</v>
      </c>
      <c r="P7901">
        <v>71409</v>
      </c>
      <c r="Q7901" t="str">
        <f>"35.311809"</f>
        <v>35.311809</v>
      </c>
      <c r="R7901" t="str">
        <f>"25.136917"</f>
        <v>25.136917</v>
      </c>
      <c r="S7901" t="s">
        <v>26</v>
      </c>
    </row>
    <row r="7902" spans="1:19" x14ac:dyDescent="0.3">
      <c r="A7902" t="s">
        <v>32470</v>
      </c>
      <c r="B7902" t="s">
        <v>32491</v>
      </c>
      <c r="C7902" t="s">
        <v>32660</v>
      </c>
      <c r="D7902" t="s">
        <v>4618</v>
      </c>
      <c r="E7902" t="s">
        <v>4618</v>
      </c>
      <c r="F7902" t="s">
        <v>4618</v>
      </c>
      <c r="G7902" t="s">
        <v>32514</v>
      </c>
      <c r="H7902" t="s">
        <v>97</v>
      </c>
      <c r="I7902" t="s">
        <v>98</v>
      </c>
      <c r="J7902" t="str">
        <f>"1751051"</f>
        <v>1751051</v>
      </c>
      <c r="K7902">
        <v>2810251794</v>
      </c>
      <c r="M7902" t="s">
        <v>32661</v>
      </c>
      <c r="N7902" t="s">
        <v>28925</v>
      </c>
      <c r="O7902" t="s">
        <v>32662</v>
      </c>
      <c r="P7902">
        <v>71303</v>
      </c>
      <c r="Q7902" t="str">
        <f>"35.333923"</f>
        <v>35.333923</v>
      </c>
      <c r="R7902" t="str">
        <f>"25.110333"</f>
        <v>25.110333</v>
      </c>
      <c r="S7902" t="s">
        <v>26</v>
      </c>
    </row>
    <row r="7903" spans="1:19" x14ac:dyDescent="0.3">
      <c r="A7903" t="s">
        <v>32470</v>
      </c>
      <c r="B7903" t="s">
        <v>32491</v>
      </c>
      <c r="C7903" t="s">
        <v>32664</v>
      </c>
      <c r="D7903" t="s">
        <v>4618</v>
      </c>
      <c r="E7903" t="s">
        <v>32584</v>
      </c>
      <c r="F7903" t="s">
        <v>32616</v>
      </c>
      <c r="G7903" t="s">
        <v>32616</v>
      </c>
      <c r="H7903" t="s">
        <v>97</v>
      </c>
      <c r="I7903" t="s">
        <v>98</v>
      </c>
      <c r="J7903" t="str">
        <f>"1756010"</f>
        <v>1756010</v>
      </c>
      <c r="K7903">
        <v>2892022976</v>
      </c>
      <c r="L7903">
        <v>2892022976</v>
      </c>
      <c r="M7903" t="s">
        <v>32665</v>
      </c>
      <c r="N7903" t="s">
        <v>32666</v>
      </c>
      <c r="O7903" t="s">
        <v>32667</v>
      </c>
      <c r="P7903">
        <v>70400</v>
      </c>
      <c r="Q7903" t="str">
        <f>"35.055028"</f>
        <v>35.055028</v>
      </c>
      <c r="R7903" t="str">
        <f>"24.869706"</f>
        <v>24.869706</v>
      </c>
      <c r="S7903" t="s">
        <v>26</v>
      </c>
    </row>
    <row r="7904" spans="1:19" x14ac:dyDescent="0.3">
      <c r="A7904" t="s">
        <v>32470</v>
      </c>
      <c r="B7904" t="s">
        <v>32491</v>
      </c>
      <c r="C7904" t="s">
        <v>32670</v>
      </c>
      <c r="D7904" t="s">
        <v>4618</v>
      </c>
      <c r="E7904" t="s">
        <v>32549</v>
      </c>
      <c r="F7904" t="s">
        <v>32669</v>
      </c>
      <c r="G7904" t="s">
        <v>32669</v>
      </c>
      <c r="H7904" t="s">
        <v>97</v>
      </c>
      <c r="I7904" t="s">
        <v>98</v>
      </c>
      <c r="J7904" t="str">
        <f>"1755010"</f>
        <v>1755010</v>
      </c>
      <c r="K7904">
        <v>2891031124</v>
      </c>
      <c r="L7904">
        <v>2891032680</v>
      </c>
      <c r="M7904" t="s">
        <v>32671</v>
      </c>
      <c r="N7904" t="s">
        <v>32672</v>
      </c>
      <c r="O7904" t="s">
        <v>32673</v>
      </c>
      <c r="P7904">
        <v>70006</v>
      </c>
      <c r="Q7904" t="str">
        <f>"35.206588"</f>
        <v>35.206588</v>
      </c>
      <c r="R7904" t="str">
        <f>"25.340395"</f>
        <v>25.340395</v>
      </c>
      <c r="S7904" t="s">
        <v>26</v>
      </c>
    </row>
    <row r="7905" spans="1:19" x14ac:dyDescent="0.3">
      <c r="A7905" t="s">
        <v>32470</v>
      </c>
      <c r="B7905" t="s">
        <v>32491</v>
      </c>
      <c r="C7905" t="s">
        <v>32675</v>
      </c>
      <c r="D7905" t="s">
        <v>4618</v>
      </c>
      <c r="E7905" t="s">
        <v>4618</v>
      </c>
      <c r="F7905" t="s">
        <v>4618</v>
      </c>
      <c r="G7905" t="s">
        <v>32471</v>
      </c>
      <c r="H7905" t="s">
        <v>97</v>
      </c>
      <c r="I7905" t="s">
        <v>98</v>
      </c>
      <c r="J7905" t="str">
        <f>"1751010"</f>
        <v>1751010</v>
      </c>
      <c r="K7905">
        <v>2810346092</v>
      </c>
      <c r="L7905">
        <v>2810343129</v>
      </c>
      <c r="M7905" t="s">
        <v>32676</v>
      </c>
      <c r="N7905" t="s">
        <v>28925</v>
      </c>
      <c r="O7905" t="s">
        <v>32677</v>
      </c>
      <c r="P7905">
        <v>71306</v>
      </c>
      <c r="Q7905" t="str">
        <f>"35.337281"</f>
        <v>35.337281</v>
      </c>
      <c r="R7905" t="str">
        <f>"25.139281"</f>
        <v>25.139281</v>
      </c>
      <c r="S7905" t="s">
        <v>26</v>
      </c>
    </row>
    <row r="7906" spans="1:19" x14ac:dyDescent="0.3">
      <c r="A7906" t="s">
        <v>32470</v>
      </c>
      <c r="B7906" t="s">
        <v>32491</v>
      </c>
      <c r="C7906" t="s">
        <v>32681</v>
      </c>
      <c r="D7906" t="s">
        <v>4618</v>
      </c>
      <c r="E7906" t="s">
        <v>4618</v>
      </c>
      <c r="F7906" t="s">
        <v>4618</v>
      </c>
      <c r="G7906" t="s">
        <v>32537</v>
      </c>
      <c r="H7906" t="s">
        <v>97</v>
      </c>
      <c r="I7906" t="s">
        <v>195</v>
      </c>
      <c r="J7906" t="str">
        <f>"1790200"</f>
        <v>1790200</v>
      </c>
      <c r="K7906">
        <v>2810360880</v>
      </c>
      <c r="L7906">
        <v>2810360882</v>
      </c>
      <c r="M7906" t="s">
        <v>32682</v>
      </c>
      <c r="N7906" t="s">
        <v>32683</v>
      </c>
      <c r="O7906" t="s">
        <v>32684</v>
      </c>
      <c r="P7906">
        <v>71409</v>
      </c>
      <c r="Q7906" t="str">
        <f>"35.313504"</f>
        <v>35.313504</v>
      </c>
      <c r="R7906" t="str">
        <f>"25.152175"</f>
        <v>25.152175</v>
      </c>
      <c r="S7906" t="s">
        <v>26</v>
      </c>
    </row>
    <row r="7907" spans="1:19" x14ac:dyDescent="0.3">
      <c r="A7907" t="s">
        <v>32470</v>
      </c>
      <c r="B7907" t="s">
        <v>32491</v>
      </c>
      <c r="C7907" t="s">
        <v>32686</v>
      </c>
      <c r="D7907" t="s">
        <v>4618</v>
      </c>
      <c r="E7907" t="s">
        <v>32549</v>
      </c>
      <c r="F7907" t="s">
        <v>32550</v>
      </c>
      <c r="G7907" t="s">
        <v>32550</v>
      </c>
      <c r="H7907" t="s">
        <v>97</v>
      </c>
      <c r="I7907" t="s">
        <v>98</v>
      </c>
      <c r="J7907" t="str">
        <f>"1752010"</f>
        <v>1752010</v>
      </c>
      <c r="K7907">
        <v>2891022893</v>
      </c>
      <c r="L7907">
        <v>2891022893</v>
      </c>
      <c r="M7907" t="s">
        <v>32687</v>
      </c>
      <c r="N7907" t="s">
        <v>32688</v>
      </c>
      <c r="P7907">
        <v>70300</v>
      </c>
      <c r="Q7907" t="str">
        <f>"35.142471"</f>
        <v>35.142471</v>
      </c>
      <c r="R7907" t="str">
        <f>"25.262924"</f>
        <v>25.262924</v>
      </c>
      <c r="S7907" t="s">
        <v>26</v>
      </c>
    </row>
    <row r="7908" spans="1:19" x14ac:dyDescent="0.3">
      <c r="A7908" t="s">
        <v>32470</v>
      </c>
      <c r="B7908" t="s">
        <v>32491</v>
      </c>
      <c r="C7908" t="s">
        <v>32692</v>
      </c>
      <c r="D7908" t="s">
        <v>4618</v>
      </c>
      <c r="E7908" t="s">
        <v>32690</v>
      </c>
      <c r="F7908" t="s">
        <v>32690</v>
      </c>
      <c r="G7908" t="s">
        <v>32691</v>
      </c>
      <c r="H7908" t="s">
        <v>97</v>
      </c>
      <c r="I7908" t="s">
        <v>98</v>
      </c>
      <c r="J7908" t="str">
        <f>"1754010"</f>
        <v>1754010</v>
      </c>
      <c r="K7908">
        <v>2895022277</v>
      </c>
      <c r="L7908">
        <v>2895022277</v>
      </c>
      <c r="M7908" t="s">
        <v>32693</v>
      </c>
      <c r="N7908" t="s">
        <v>32694</v>
      </c>
      <c r="O7908" t="s">
        <v>32695</v>
      </c>
      <c r="P7908">
        <v>70004</v>
      </c>
      <c r="Q7908" t="str">
        <f>"35.051799"</f>
        <v>35.051799</v>
      </c>
      <c r="R7908" t="str">
        <f>"25.412588"</f>
        <v>25.412588</v>
      </c>
      <c r="S7908" t="s">
        <v>26</v>
      </c>
    </row>
    <row r="7909" spans="1:19" x14ac:dyDescent="0.3">
      <c r="A7909" t="s">
        <v>32470</v>
      </c>
      <c r="B7909" t="s">
        <v>32491</v>
      </c>
      <c r="C7909" t="s">
        <v>32697</v>
      </c>
      <c r="D7909" t="s">
        <v>4618</v>
      </c>
      <c r="E7909" t="s">
        <v>32629</v>
      </c>
      <c r="F7909" t="s">
        <v>5162</v>
      </c>
      <c r="G7909" t="s">
        <v>5162</v>
      </c>
      <c r="H7909" t="s">
        <v>97</v>
      </c>
      <c r="I7909" t="s">
        <v>98</v>
      </c>
      <c r="J7909" t="str">
        <f>"1759010"</f>
        <v>1759010</v>
      </c>
      <c r="K7909">
        <v>2894022127</v>
      </c>
      <c r="L7909">
        <v>2894023347</v>
      </c>
      <c r="M7909" t="s">
        <v>32698</v>
      </c>
      <c r="N7909" t="s">
        <v>32699</v>
      </c>
      <c r="O7909" t="s">
        <v>32700</v>
      </c>
      <c r="P7909">
        <v>70003</v>
      </c>
      <c r="Q7909" t="str">
        <f>"35.139443"</f>
        <v>35.139443</v>
      </c>
      <c r="R7909" t="str">
        <f>"25.001000"</f>
        <v>25.001000</v>
      </c>
      <c r="S7909" t="s">
        <v>26</v>
      </c>
    </row>
    <row r="7910" spans="1:19" x14ac:dyDescent="0.3">
      <c r="A7910" t="s">
        <v>32470</v>
      </c>
      <c r="B7910" t="s">
        <v>32491</v>
      </c>
      <c r="C7910" t="s">
        <v>32703</v>
      </c>
      <c r="D7910" t="s">
        <v>4618</v>
      </c>
      <c r="E7910" t="s">
        <v>32629</v>
      </c>
      <c r="F7910" t="s">
        <v>32629</v>
      </c>
      <c r="G7910" t="s">
        <v>32702</v>
      </c>
      <c r="H7910" t="s">
        <v>97</v>
      </c>
      <c r="I7910" t="s">
        <v>98</v>
      </c>
      <c r="J7910" t="str">
        <f>"1771010"</f>
        <v>1771010</v>
      </c>
      <c r="K7910">
        <v>2892031290</v>
      </c>
      <c r="L7910">
        <v>2892031842</v>
      </c>
      <c r="M7910" t="s">
        <v>32704</v>
      </c>
      <c r="N7910" t="s">
        <v>32705</v>
      </c>
      <c r="O7910" t="s">
        <v>32706</v>
      </c>
      <c r="P7910">
        <v>70012</v>
      </c>
      <c r="Q7910" t="str">
        <f>"35.057888"</f>
        <v>35.057888</v>
      </c>
      <c r="R7910" t="str">
        <f>"24.959859"</f>
        <v>24.959859</v>
      </c>
      <c r="S7910" t="s">
        <v>26</v>
      </c>
    </row>
    <row r="7911" spans="1:19" x14ac:dyDescent="0.3">
      <c r="A7911" t="s">
        <v>32470</v>
      </c>
      <c r="B7911" t="s">
        <v>32491</v>
      </c>
      <c r="C7911" t="s">
        <v>32708</v>
      </c>
      <c r="D7911" t="s">
        <v>4618</v>
      </c>
      <c r="E7911" t="s">
        <v>4618</v>
      </c>
      <c r="F7911" t="s">
        <v>4618</v>
      </c>
      <c r="G7911" t="s">
        <v>32537</v>
      </c>
      <c r="H7911" t="s">
        <v>97</v>
      </c>
      <c r="I7911" t="s">
        <v>98</v>
      </c>
      <c r="J7911" t="str">
        <f>"1751052"</f>
        <v>1751052</v>
      </c>
      <c r="K7911">
        <v>2810213762</v>
      </c>
      <c r="L7911">
        <v>2810213586</v>
      </c>
      <c r="M7911" t="s">
        <v>32709</v>
      </c>
      <c r="N7911" t="s">
        <v>28925</v>
      </c>
      <c r="O7911" t="s">
        <v>32710</v>
      </c>
      <c r="P7911">
        <v>71409</v>
      </c>
      <c r="Q7911" t="str">
        <f>"35.312116"</f>
        <v>35.312116</v>
      </c>
      <c r="R7911" t="str">
        <f>"25.153177"</f>
        <v>25.153177</v>
      </c>
      <c r="S7911" t="s">
        <v>26</v>
      </c>
    </row>
    <row r="7912" spans="1:19" x14ac:dyDescent="0.3">
      <c r="A7912" t="s">
        <v>32470</v>
      </c>
      <c r="B7912" t="s">
        <v>32491</v>
      </c>
      <c r="C7912" t="s">
        <v>32880</v>
      </c>
      <c r="D7912" t="s">
        <v>4618</v>
      </c>
      <c r="E7912" t="s">
        <v>32508</v>
      </c>
      <c r="F7912" t="s">
        <v>32508</v>
      </c>
      <c r="G7912" t="s">
        <v>32768</v>
      </c>
      <c r="H7912" t="s">
        <v>97</v>
      </c>
      <c r="I7912" t="s">
        <v>98</v>
      </c>
      <c r="J7912" t="str">
        <f>"1767011"</f>
        <v>1767011</v>
      </c>
      <c r="K7912">
        <v>2897021055</v>
      </c>
      <c r="L7912">
        <v>2897021065</v>
      </c>
      <c r="M7912" t="s">
        <v>32881</v>
      </c>
      <c r="N7912" t="s">
        <v>32882</v>
      </c>
      <c r="O7912" t="s">
        <v>32774</v>
      </c>
      <c r="P7912">
        <v>70014</v>
      </c>
      <c r="Q7912" t="str">
        <f>"35.313159"</f>
        <v>35.313159</v>
      </c>
      <c r="R7912" t="str">
        <f>"25.387461"</f>
        <v>25.387461</v>
      </c>
      <c r="S7912" t="s">
        <v>26</v>
      </c>
    </row>
    <row r="7913" spans="1:19" x14ac:dyDescent="0.3">
      <c r="A7913" t="s">
        <v>32470</v>
      </c>
      <c r="B7913" t="s">
        <v>32491</v>
      </c>
      <c r="C7913" t="s">
        <v>32901</v>
      </c>
      <c r="D7913" t="s">
        <v>4618</v>
      </c>
      <c r="E7913" t="s">
        <v>4618</v>
      </c>
      <c r="F7913" t="s">
        <v>4618</v>
      </c>
      <c r="G7913" t="s">
        <v>32754</v>
      </c>
      <c r="H7913" t="s">
        <v>97</v>
      </c>
      <c r="I7913" t="s">
        <v>98</v>
      </c>
      <c r="J7913" t="str">
        <f>"1751042"</f>
        <v>1751042</v>
      </c>
      <c r="K7913">
        <v>2810220685</v>
      </c>
      <c r="L7913">
        <v>2810281202</v>
      </c>
      <c r="M7913" t="s">
        <v>32902</v>
      </c>
      <c r="N7913" t="s">
        <v>4618</v>
      </c>
      <c r="O7913" t="s">
        <v>32903</v>
      </c>
      <c r="P7913">
        <v>71307</v>
      </c>
      <c r="Q7913" t="str">
        <f>"35.335856"</f>
        <v>35.335856</v>
      </c>
      <c r="R7913" t="str">
        <f>"25.150266"</f>
        <v>25.150266</v>
      </c>
      <c r="S7913" t="s">
        <v>26</v>
      </c>
    </row>
    <row r="7914" spans="1:19" x14ac:dyDescent="0.3">
      <c r="A7914" t="s">
        <v>32470</v>
      </c>
      <c r="B7914" t="s">
        <v>32904</v>
      </c>
      <c r="C7914" t="s">
        <v>32926</v>
      </c>
      <c r="D7914" t="s">
        <v>32475</v>
      </c>
      <c r="E7914" t="s">
        <v>32924</v>
      </c>
      <c r="F7914" t="s">
        <v>32924</v>
      </c>
      <c r="G7914" t="s">
        <v>32925</v>
      </c>
      <c r="H7914" t="s">
        <v>97</v>
      </c>
      <c r="I7914" t="s">
        <v>98</v>
      </c>
      <c r="J7914" t="str">
        <f>"3255010"</f>
        <v>3255010</v>
      </c>
      <c r="K7914">
        <v>2844022058</v>
      </c>
      <c r="L7914">
        <v>2844022405</v>
      </c>
      <c r="M7914" t="s">
        <v>32927</v>
      </c>
      <c r="N7914" t="s">
        <v>32928</v>
      </c>
      <c r="O7914" t="s">
        <v>32928</v>
      </c>
      <c r="P7914">
        <v>72052</v>
      </c>
      <c r="Q7914" t="str">
        <f>"35.197738"</f>
        <v>35.197738</v>
      </c>
      <c r="R7914" t="str">
        <f>"25.490387"</f>
        <v>25.490387</v>
      </c>
      <c r="S7914" t="s">
        <v>57</v>
      </c>
    </row>
    <row r="7915" spans="1:19" x14ac:dyDescent="0.3">
      <c r="A7915" t="s">
        <v>32470</v>
      </c>
      <c r="B7915" t="s">
        <v>32904</v>
      </c>
      <c r="C7915" t="s">
        <v>32935</v>
      </c>
      <c r="D7915" t="s">
        <v>32475</v>
      </c>
      <c r="E7915" t="s">
        <v>32917</v>
      </c>
      <c r="F7915" t="s">
        <v>32917</v>
      </c>
      <c r="G7915" t="s">
        <v>32917</v>
      </c>
      <c r="H7915" t="s">
        <v>97</v>
      </c>
      <c r="I7915" t="s">
        <v>98</v>
      </c>
      <c r="J7915" t="str">
        <f>"3252020"</f>
        <v>3252020</v>
      </c>
      <c r="K7915">
        <v>2842022379</v>
      </c>
      <c r="L7915">
        <v>2842022313</v>
      </c>
      <c r="M7915" t="s">
        <v>32936</v>
      </c>
      <c r="N7915" t="s">
        <v>32937</v>
      </c>
      <c r="O7915" t="s">
        <v>32938</v>
      </c>
      <c r="P7915">
        <v>72200</v>
      </c>
      <c r="Q7915" t="str">
        <f>"35.013138"</f>
        <v>35.013138</v>
      </c>
      <c r="R7915" t="str">
        <f>"25.733866"</f>
        <v>25.733866</v>
      </c>
      <c r="S7915" t="s">
        <v>26</v>
      </c>
    </row>
    <row r="7916" spans="1:19" x14ac:dyDescent="0.3">
      <c r="A7916" t="s">
        <v>32470</v>
      </c>
      <c r="B7916" t="s">
        <v>32904</v>
      </c>
      <c r="C7916" t="s">
        <v>32940</v>
      </c>
      <c r="D7916" t="s">
        <v>32475</v>
      </c>
      <c r="E7916" t="s">
        <v>32905</v>
      </c>
      <c r="F7916" t="s">
        <v>32905</v>
      </c>
      <c r="G7916" t="s">
        <v>32905</v>
      </c>
      <c r="H7916" t="s">
        <v>97</v>
      </c>
      <c r="I7916" t="s">
        <v>98</v>
      </c>
      <c r="J7916" t="str">
        <f>"3254010"</f>
        <v>3254010</v>
      </c>
      <c r="K7916">
        <v>2843022277</v>
      </c>
      <c r="L7916">
        <v>2843022305</v>
      </c>
      <c r="M7916" t="s">
        <v>32941</v>
      </c>
      <c r="N7916" t="s">
        <v>32475</v>
      </c>
      <c r="O7916" t="s">
        <v>32942</v>
      </c>
      <c r="P7916">
        <v>72300</v>
      </c>
      <c r="Q7916" t="str">
        <f>"35.194237"</f>
        <v>35.194237</v>
      </c>
      <c r="R7916" t="str">
        <f>"26.102872"</f>
        <v>26.102872</v>
      </c>
      <c r="S7916" t="s">
        <v>26</v>
      </c>
    </row>
    <row r="7917" spans="1:19" x14ac:dyDescent="0.3">
      <c r="A7917" t="s">
        <v>32470</v>
      </c>
      <c r="B7917" t="s">
        <v>32904</v>
      </c>
      <c r="C7917" t="s">
        <v>32948</v>
      </c>
      <c r="D7917" t="s">
        <v>32475</v>
      </c>
      <c r="E7917" t="s">
        <v>32917</v>
      </c>
      <c r="F7917" t="s">
        <v>32917</v>
      </c>
      <c r="G7917" t="s">
        <v>32917</v>
      </c>
      <c r="H7917" t="s">
        <v>97</v>
      </c>
      <c r="I7917" t="s">
        <v>98</v>
      </c>
      <c r="J7917" t="str">
        <f>"3252010"</f>
        <v>3252010</v>
      </c>
      <c r="K7917">
        <v>2842022356</v>
      </c>
      <c r="L7917">
        <v>2842080212</v>
      </c>
      <c r="M7917" t="s">
        <v>32949</v>
      </c>
      <c r="N7917" t="s">
        <v>32937</v>
      </c>
      <c r="O7917" t="s">
        <v>32950</v>
      </c>
      <c r="P7917">
        <v>72200</v>
      </c>
      <c r="Q7917" t="str">
        <f>"35.013606"</f>
        <v>35.013606</v>
      </c>
      <c r="R7917" t="str">
        <f>"25.733873"</f>
        <v>25.733873</v>
      </c>
      <c r="S7917" t="s">
        <v>26</v>
      </c>
    </row>
    <row r="7918" spans="1:19" x14ac:dyDescent="0.3">
      <c r="A7918" t="s">
        <v>32470</v>
      </c>
      <c r="B7918" t="s">
        <v>32904</v>
      </c>
      <c r="C7918" t="s">
        <v>32951</v>
      </c>
      <c r="D7918" t="s">
        <v>32475</v>
      </c>
      <c r="E7918" t="s">
        <v>1969</v>
      </c>
      <c r="F7918" t="s">
        <v>11666</v>
      </c>
      <c r="G7918" t="s">
        <v>25890</v>
      </c>
      <c r="H7918" t="s">
        <v>97</v>
      </c>
      <c r="I7918" t="s">
        <v>98</v>
      </c>
      <c r="J7918" t="str">
        <f>"3253010"</f>
        <v>3253010</v>
      </c>
      <c r="K7918">
        <v>2841031769</v>
      </c>
      <c r="L7918">
        <v>2841034074</v>
      </c>
      <c r="M7918" t="s">
        <v>32952</v>
      </c>
      <c r="N7918" t="s">
        <v>32953</v>
      </c>
      <c r="O7918" t="s">
        <v>32954</v>
      </c>
      <c r="P7918">
        <v>72400</v>
      </c>
      <c r="Q7918" t="str">
        <f>"35.256537"</f>
        <v>35.256537</v>
      </c>
      <c r="R7918" t="str">
        <f>"25.608692"</f>
        <v>25.608692</v>
      </c>
      <c r="S7918" t="s">
        <v>26</v>
      </c>
    </row>
    <row r="7919" spans="1:19" x14ac:dyDescent="0.3">
      <c r="A7919" t="s">
        <v>32470</v>
      </c>
      <c r="B7919" t="s">
        <v>32904</v>
      </c>
      <c r="C7919" t="s">
        <v>32955</v>
      </c>
      <c r="D7919" t="s">
        <v>32475</v>
      </c>
      <c r="E7919" t="s">
        <v>1969</v>
      </c>
      <c r="F7919" t="s">
        <v>1969</v>
      </c>
      <c r="G7919" t="s">
        <v>1969</v>
      </c>
      <c r="H7919" t="s">
        <v>97</v>
      </c>
      <c r="I7919" t="s">
        <v>98</v>
      </c>
      <c r="J7919" t="str">
        <f>"3251001"</f>
        <v>3251001</v>
      </c>
      <c r="K7919">
        <v>2841082544</v>
      </c>
      <c r="L7919">
        <v>2841082877</v>
      </c>
      <c r="M7919" t="s">
        <v>32956</v>
      </c>
      <c r="N7919" t="s">
        <v>32957</v>
      </c>
      <c r="O7919" t="s">
        <v>32958</v>
      </c>
      <c r="P7919">
        <v>72100</v>
      </c>
      <c r="Q7919" t="str">
        <f>"35.200010"</f>
        <v>35.200010</v>
      </c>
      <c r="R7919" t="str">
        <f>"25.707872"</f>
        <v>25.707872</v>
      </c>
      <c r="S7919" t="s">
        <v>26</v>
      </c>
    </row>
    <row r="7920" spans="1:19" x14ac:dyDescent="0.3">
      <c r="A7920" t="s">
        <v>32470</v>
      </c>
      <c r="B7920" t="s">
        <v>32904</v>
      </c>
      <c r="C7920" t="s">
        <v>33030</v>
      </c>
      <c r="D7920" t="s">
        <v>32475</v>
      </c>
      <c r="E7920" t="s">
        <v>32917</v>
      </c>
      <c r="F7920" t="s">
        <v>32918</v>
      </c>
      <c r="G7920" t="s">
        <v>30150</v>
      </c>
      <c r="H7920" t="s">
        <v>97</v>
      </c>
      <c r="I7920" t="s">
        <v>98</v>
      </c>
      <c r="J7920" t="str">
        <f>"3260015"</f>
        <v>3260015</v>
      </c>
      <c r="K7920">
        <v>2843051787</v>
      </c>
      <c r="L7920">
        <v>2843051787</v>
      </c>
      <c r="M7920" t="s">
        <v>33031</v>
      </c>
      <c r="N7920" t="s">
        <v>32922</v>
      </c>
      <c r="P7920">
        <v>72055</v>
      </c>
      <c r="Q7920" t="str">
        <f>"35.034237"</f>
        <v>35.034237</v>
      </c>
      <c r="R7920" t="str">
        <f>"25.929920"</f>
        <v>25.929920</v>
      </c>
      <c r="S7920" t="s">
        <v>26</v>
      </c>
    </row>
    <row r="7921" spans="1:19" x14ac:dyDescent="0.3">
      <c r="A7921" t="s">
        <v>32470</v>
      </c>
      <c r="B7921" t="s">
        <v>32904</v>
      </c>
      <c r="C7921" t="s">
        <v>33032</v>
      </c>
      <c r="D7921" t="s">
        <v>32475</v>
      </c>
      <c r="E7921" t="s">
        <v>1969</v>
      </c>
      <c r="F7921" t="s">
        <v>1969</v>
      </c>
      <c r="G7921" t="s">
        <v>1969</v>
      </c>
      <c r="H7921" t="s">
        <v>97</v>
      </c>
      <c r="I7921" t="s">
        <v>98</v>
      </c>
      <c r="J7921" t="str">
        <f>"3251010"</f>
        <v>3251010</v>
      </c>
      <c r="K7921">
        <v>2841023649</v>
      </c>
      <c r="L7921">
        <v>2841021649</v>
      </c>
      <c r="M7921" t="s">
        <v>33033</v>
      </c>
      <c r="N7921" t="s">
        <v>14960</v>
      </c>
      <c r="O7921" t="s">
        <v>32994</v>
      </c>
      <c r="P7921">
        <v>72100</v>
      </c>
      <c r="Q7921" t="str">
        <f>"35.199872"</f>
        <v>35.199872</v>
      </c>
      <c r="R7921" t="str">
        <f>"25.707527"</f>
        <v>25.707527</v>
      </c>
      <c r="S7921" t="s">
        <v>26</v>
      </c>
    </row>
    <row r="7922" spans="1:19" x14ac:dyDescent="0.3">
      <c r="A7922" t="s">
        <v>32470</v>
      </c>
      <c r="B7922" t="s">
        <v>32904</v>
      </c>
      <c r="C7922" t="s">
        <v>33034</v>
      </c>
      <c r="D7922" t="s">
        <v>32475</v>
      </c>
      <c r="E7922" t="s">
        <v>32905</v>
      </c>
      <c r="F7922" t="s">
        <v>32905</v>
      </c>
      <c r="G7922" t="s">
        <v>32905</v>
      </c>
      <c r="H7922" t="s">
        <v>97</v>
      </c>
      <c r="I7922" t="s">
        <v>195</v>
      </c>
      <c r="J7922" t="str">
        <f>"3245001"</f>
        <v>3245001</v>
      </c>
      <c r="K7922">
        <v>2843026660</v>
      </c>
      <c r="L7922">
        <v>2843026660</v>
      </c>
      <c r="M7922" t="s">
        <v>33035</v>
      </c>
      <c r="N7922" t="s">
        <v>32905</v>
      </c>
      <c r="O7922" t="s">
        <v>33036</v>
      </c>
      <c r="P7922">
        <v>72300</v>
      </c>
      <c r="Q7922" t="str">
        <f>"35.194211"</f>
        <v>35.194211</v>
      </c>
      <c r="R7922" t="str">
        <f>"26.102824"</f>
        <v>26.102824</v>
      </c>
      <c r="S7922" t="s">
        <v>26</v>
      </c>
    </row>
    <row r="7923" spans="1:19" x14ac:dyDescent="0.3">
      <c r="A7923" t="s">
        <v>32470</v>
      </c>
      <c r="B7923" t="s">
        <v>33044</v>
      </c>
      <c r="C7923" t="s">
        <v>33046</v>
      </c>
      <c r="D7923" t="s">
        <v>32480</v>
      </c>
      <c r="E7923" t="s">
        <v>995</v>
      </c>
      <c r="F7923" t="s">
        <v>33045</v>
      </c>
      <c r="G7923" t="s">
        <v>6203</v>
      </c>
      <c r="H7923" t="s">
        <v>97</v>
      </c>
      <c r="I7923" t="s">
        <v>98</v>
      </c>
      <c r="J7923" t="str">
        <f>"4154010"</f>
        <v>4154010</v>
      </c>
      <c r="K7923">
        <v>2834023300</v>
      </c>
      <c r="L7923">
        <v>2834023300</v>
      </c>
      <c r="M7923" t="s">
        <v>33047</v>
      </c>
      <c r="N7923" t="s">
        <v>33048</v>
      </c>
      <c r="O7923" t="s">
        <v>33049</v>
      </c>
      <c r="P7923">
        <v>74052</v>
      </c>
      <c r="Q7923" t="str">
        <f>"35.368268"</f>
        <v>35.368268</v>
      </c>
      <c r="R7923" t="str">
        <f>"24.702686"</f>
        <v>24.702686</v>
      </c>
      <c r="S7923" t="s">
        <v>26</v>
      </c>
    </row>
    <row r="7924" spans="1:19" x14ac:dyDescent="0.3">
      <c r="A7924" t="s">
        <v>32470</v>
      </c>
      <c r="B7924" t="s">
        <v>33044</v>
      </c>
      <c r="C7924" t="s">
        <v>33055</v>
      </c>
      <c r="D7924" t="s">
        <v>32480</v>
      </c>
      <c r="E7924" t="s">
        <v>32481</v>
      </c>
      <c r="F7924" t="s">
        <v>32481</v>
      </c>
      <c r="G7924" t="s">
        <v>32481</v>
      </c>
      <c r="H7924" t="s">
        <v>97</v>
      </c>
      <c r="I7924" t="s">
        <v>195</v>
      </c>
      <c r="J7924" t="str">
        <f>"4141057"</f>
        <v>4141057</v>
      </c>
      <c r="K7924">
        <v>2831035241</v>
      </c>
      <c r="L7924">
        <v>2831035242</v>
      </c>
      <c r="M7924" t="s">
        <v>33056</v>
      </c>
      <c r="N7924" t="s">
        <v>32484</v>
      </c>
      <c r="O7924" t="s">
        <v>33057</v>
      </c>
      <c r="P7924">
        <v>74100</v>
      </c>
      <c r="Q7924" t="str">
        <f>"35.365513"</f>
        <v>35.365513</v>
      </c>
      <c r="R7924" t="str">
        <f>"24.511962"</f>
        <v>24.511962</v>
      </c>
      <c r="S7924" t="s">
        <v>26</v>
      </c>
    </row>
    <row r="7925" spans="1:19" x14ac:dyDescent="0.3">
      <c r="A7925" t="s">
        <v>32470</v>
      </c>
      <c r="B7925" t="s">
        <v>33044</v>
      </c>
      <c r="C7925" t="s">
        <v>33060</v>
      </c>
      <c r="D7925" t="s">
        <v>32480</v>
      </c>
      <c r="E7925" t="s">
        <v>33059</v>
      </c>
      <c r="F7925" t="s">
        <v>33059</v>
      </c>
      <c r="G7925" t="s">
        <v>33059</v>
      </c>
      <c r="H7925" t="s">
        <v>97</v>
      </c>
      <c r="I7925" t="s">
        <v>98</v>
      </c>
      <c r="J7925" t="str">
        <f>"4152010"</f>
        <v>4152010</v>
      </c>
      <c r="K7925">
        <v>2834031205</v>
      </c>
      <c r="L7925">
        <v>2834031205</v>
      </c>
      <c r="M7925" t="s">
        <v>33061</v>
      </c>
      <c r="N7925" t="s">
        <v>33062</v>
      </c>
      <c r="O7925" t="s">
        <v>33063</v>
      </c>
      <c r="P7925">
        <v>74051</v>
      </c>
      <c r="Q7925" t="str">
        <f>"35.291318"</f>
        <v>35.291318</v>
      </c>
      <c r="R7925" t="str">
        <f>"24.881233"</f>
        <v>24.881233</v>
      </c>
      <c r="S7925" t="s">
        <v>57</v>
      </c>
    </row>
    <row r="7926" spans="1:19" x14ac:dyDescent="0.3">
      <c r="A7926" t="s">
        <v>32470</v>
      </c>
      <c r="B7926" t="s">
        <v>33044</v>
      </c>
      <c r="C7926" t="s">
        <v>33067</v>
      </c>
      <c r="D7926" t="s">
        <v>32480</v>
      </c>
      <c r="E7926" t="s">
        <v>14541</v>
      </c>
      <c r="F7926" t="s">
        <v>33065</v>
      </c>
      <c r="G7926" t="s">
        <v>33066</v>
      </c>
      <c r="H7926" t="s">
        <v>97</v>
      </c>
      <c r="I7926" t="s">
        <v>98</v>
      </c>
      <c r="J7926" t="str">
        <f>"4156010"</f>
        <v>4156010</v>
      </c>
      <c r="K7926">
        <v>2832022328</v>
      </c>
      <c r="L7926">
        <v>2832022328</v>
      </c>
      <c r="M7926" t="s">
        <v>33068</v>
      </c>
      <c r="N7926" t="s">
        <v>33069</v>
      </c>
      <c r="O7926" t="s">
        <v>33070</v>
      </c>
      <c r="P7926">
        <v>74053</v>
      </c>
      <c r="Q7926" t="str">
        <f>"35.220559"</f>
        <v>35.220559</v>
      </c>
      <c r="R7926" t="str">
        <f>"24.531774"</f>
        <v>24.531774</v>
      </c>
      <c r="S7926" t="s">
        <v>26</v>
      </c>
    </row>
    <row r="7927" spans="1:19" x14ac:dyDescent="0.3">
      <c r="A7927" t="s">
        <v>32470</v>
      </c>
      <c r="B7927" t="s">
        <v>33044</v>
      </c>
      <c r="C7927" t="s">
        <v>33072</v>
      </c>
      <c r="D7927" t="s">
        <v>32480</v>
      </c>
      <c r="E7927" t="s">
        <v>32481</v>
      </c>
      <c r="F7927" t="s">
        <v>32481</v>
      </c>
      <c r="G7927" t="s">
        <v>32481</v>
      </c>
      <c r="H7927" t="s">
        <v>97</v>
      </c>
      <c r="I7927" t="s">
        <v>14278</v>
      </c>
      <c r="J7927" t="str">
        <f>"4151040"</f>
        <v>4151040</v>
      </c>
      <c r="K7927">
        <v>2831023425</v>
      </c>
      <c r="L7927">
        <v>2831023425</v>
      </c>
      <c r="M7927" t="s">
        <v>33073</v>
      </c>
      <c r="N7927" t="s">
        <v>32484</v>
      </c>
      <c r="O7927" t="s">
        <v>33074</v>
      </c>
      <c r="P7927">
        <v>74132</v>
      </c>
      <c r="Q7927" t="str">
        <f>"35.363956"</f>
        <v>35.363956</v>
      </c>
      <c r="R7927" t="str">
        <f>"24.476841"</f>
        <v>24.476841</v>
      </c>
      <c r="S7927" t="s">
        <v>26</v>
      </c>
    </row>
    <row r="7928" spans="1:19" x14ac:dyDescent="0.3">
      <c r="A7928" t="s">
        <v>32470</v>
      </c>
      <c r="B7928" t="s">
        <v>33044</v>
      </c>
      <c r="C7928" t="s">
        <v>33076</v>
      </c>
      <c r="D7928" t="s">
        <v>32480</v>
      </c>
      <c r="E7928" t="s">
        <v>32481</v>
      </c>
      <c r="F7928" t="s">
        <v>32481</v>
      </c>
      <c r="G7928" t="s">
        <v>32481</v>
      </c>
      <c r="H7928" t="s">
        <v>97</v>
      </c>
      <c r="I7928" t="s">
        <v>98</v>
      </c>
      <c r="J7928" t="str">
        <f>"4151020"</f>
        <v>4151020</v>
      </c>
      <c r="K7928">
        <v>2831022475</v>
      </c>
      <c r="L7928">
        <v>2831022068</v>
      </c>
      <c r="M7928" t="s">
        <v>33077</v>
      </c>
      <c r="N7928" t="s">
        <v>32484</v>
      </c>
      <c r="O7928" t="s">
        <v>33078</v>
      </c>
      <c r="P7928">
        <v>74100</v>
      </c>
      <c r="Q7928" t="str">
        <f>"35.364773"</f>
        <v>35.364773</v>
      </c>
      <c r="R7928" t="str">
        <f>"24.480394"</f>
        <v>24.480394</v>
      </c>
      <c r="S7928" t="s">
        <v>26</v>
      </c>
    </row>
    <row r="7929" spans="1:19" x14ac:dyDescent="0.3">
      <c r="A7929" t="s">
        <v>32470</v>
      </c>
      <c r="B7929" t="s">
        <v>33044</v>
      </c>
      <c r="C7929" t="s">
        <v>33083</v>
      </c>
      <c r="D7929" t="s">
        <v>32480</v>
      </c>
      <c r="E7929" t="s">
        <v>33080</v>
      </c>
      <c r="F7929" t="s">
        <v>33081</v>
      </c>
      <c r="G7929" t="s">
        <v>33082</v>
      </c>
      <c r="H7929" t="s">
        <v>97</v>
      </c>
      <c r="I7929" t="s">
        <v>98</v>
      </c>
      <c r="J7929" t="str">
        <f>"4158010"</f>
        <v>4158010</v>
      </c>
      <c r="K7929">
        <v>2833041400</v>
      </c>
      <c r="L7929">
        <v>2833041400</v>
      </c>
      <c r="M7929" t="s">
        <v>33084</v>
      </c>
      <c r="N7929" t="s">
        <v>33085</v>
      </c>
      <c r="O7929" t="s">
        <v>33086</v>
      </c>
      <c r="P7929">
        <v>74062</v>
      </c>
      <c r="Q7929" t="str">
        <f>"35.214565"</f>
        <v>35.214565</v>
      </c>
      <c r="R7929" t="str">
        <f>"24.712598"</f>
        <v>24.712598</v>
      </c>
      <c r="S7929" t="s">
        <v>26</v>
      </c>
    </row>
    <row r="7930" spans="1:19" x14ac:dyDescent="0.3">
      <c r="A7930" t="s">
        <v>32470</v>
      </c>
      <c r="B7930" t="s">
        <v>33044</v>
      </c>
      <c r="C7930" t="s">
        <v>33088</v>
      </c>
      <c r="D7930" t="s">
        <v>32480</v>
      </c>
      <c r="E7930" t="s">
        <v>32481</v>
      </c>
      <c r="F7930" t="s">
        <v>32481</v>
      </c>
      <c r="G7930" t="s">
        <v>32481</v>
      </c>
      <c r="H7930" t="s">
        <v>97</v>
      </c>
      <c r="I7930" t="s">
        <v>98</v>
      </c>
      <c r="J7930" t="str">
        <f>"4151009"</f>
        <v>4151009</v>
      </c>
      <c r="K7930">
        <v>2831027115</v>
      </c>
      <c r="L7930">
        <v>2831058904</v>
      </c>
      <c r="M7930" t="s">
        <v>33089</v>
      </c>
      <c r="N7930" t="s">
        <v>32484</v>
      </c>
      <c r="O7930" t="s">
        <v>33090</v>
      </c>
      <c r="P7930">
        <v>74132</v>
      </c>
      <c r="Q7930" t="str">
        <f>"35.364685"</f>
        <v>35.364685</v>
      </c>
      <c r="R7930" t="str">
        <f>"24.476294"</f>
        <v>24.476294</v>
      </c>
      <c r="S7930" t="s">
        <v>26</v>
      </c>
    </row>
    <row r="7931" spans="1:19" x14ac:dyDescent="0.3">
      <c r="A7931" t="s">
        <v>32470</v>
      </c>
      <c r="B7931" t="s">
        <v>33044</v>
      </c>
      <c r="C7931" t="s">
        <v>33158</v>
      </c>
      <c r="D7931" t="s">
        <v>32480</v>
      </c>
      <c r="E7931" t="s">
        <v>32481</v>
      </c>
      <c r="F7931" t="s">
        <v>32481</v>
      </c>
      <c r="G7931" t="s">
        <v>32481</v>
      </c>
      <c r="H7931" t="s">
        <v>97</v>
      </c>
      <c r="I7931" t="s">
        <v>98</v>
      </c>
      <c r="J7931" t="str">
        <f>"4151030"</f>
        <v>4151030</v>
      </c>
      <c r="K7931">
        <v>2831023422</v>
      </c>
      <c r="L7931">
        <v>2831023433</v>
      </c>
      <c r="M7931" t="s">
        <v>33159</v>
      </c>
      <c r="N7931" t="s">
        <v>32484</v>
      </c>
      <c r="O7931" t="s">
        <v>33160</v>
      </c>
      <c r="P7931">
        <v>74132</v>
      </c>
      <c r="Q7931" t="str">
        <f>"35.366365"</f>
        <v>35.366365</v>
      </c>
      <c r="R7931" t="str">
        <f>"24.475506"</f>
        <v>24.475506</v>
      </c>
      <c r="S7931" t="s">
        <v>26</v>
      </c>
    </row>
    <row r="7932" spans="1:19" x14ac:dyDescent="0.3">
      <c r="A7932" t="s">
        <v>32470</v>
      </c>
      <c r="B7932" t="s">
        <v>33044</v>
      </c>
      <c r="C7932" t="s">
        <v>33184</v>
      </c>
      <c r="D7932" t="s">
        <v>32480</v>
      </c>
      <c r="E7932" t="s">
        <v>995</v>
      </c>
      <c r="F7932" t="s">
        <v>33045</v>
      </c>
      <c r="G7932" t="s">
        <v>33122</v>
      </c>
      <c r="H7932" t="s">
        <v>97</v>
      </c>
      <c r="I7932" t="s">
        <v>98</v>
      </c>
      <c r="J7932" t="str">
        <f>"4153010"</f>
        <v>4153010</v>
      </c>
      <c r="K7932">
        <v>2834052090</v>
      </c>
      <c r="L7932">
        <v>2834052090</v>
      </c>
      <c r="M7932" t="s">
        <v>33185</v>
      </c>
      <c r="N7932" t="s">
        <v>33186</v>
      </c>
      <c r="O7932" t="s">
        <v>33187</v>
      </c>
      <c r="P7932">
        <v>74052</v>
      </c>
      <c r="Q7932" t="str">
        <f>"35.416679"</f>
        <v>35.416679</v>
      </c>
      <c r="R7932" t="str">
        <f>"24.688816"</f>
        <v>24.688816</v>
      </c>
      <c r="S7932" t="s">
        <v>26</v>
      </c>
    </row>
    <row r="7933" spans="1:19" x14ac:dyDescent="0.3">
      <c r="A7933" t="s">
        <v>32470</v>
      </c>
      <c r="B7933" t="s">
        <v>33044</v>
      </c>
      <c r="C7933" t="s">
        <v>33188</v>
      </c>
      <c r="D7933" t="s">
        <v>32480</v>
      </c>
      <c r="E7933" t="s">
        <v>32481</v>
      </c>
      <c r="F7933" t="s">
        <v>33173</v>
      </c>
      <c r="G7933" t="s">
        <v>33174</v>
      </c>
      <c r="H7933" t="s">
        <v>97</v>
      </c>
      <c r="I7933" t="s">
        <v>98</v>
      </c>
      <c r="J7933" t="str">
        <f>"4144001"</f>
        <v>4144001</v>
      </c>
      <c r="K7933">
        <v>2831033277</v>
      </c>
      <c r="L7933">
        <v>2831033277</v>
      </c>
      <c r="M7933" t="s">
        <v>33189</v>
      </c>
      <c r="N7933" t="s">
        <v>33177</v>
      </c>
      <c r="O7933" t="s">
        <v>33190</v>
      </c>
      <c r="P7933">
        <v>74100</v>
      </c>
      <c r="Q7933" t="str">
        <f>"35.352726"</f>
        <v>35.352726</v>
      </c>
      <c r="R7933" t="str">
        <f>"24.434506"</f>
        <v>24.434506</v>
      </c>
      <c r="S7933" t="s">
        <v>26</v>
      </c>
    </row>
    <row r="7934" spans="1:19" x14ac:dyDescent="0.3">
      <c r="A7934" t="s">
        <v>32470</v>
      </c>
      <c r="B7934" t="s">
        <v>33044</v>
      </c>
      <c r="C7934" t="s">
        <v>33195</v>
      </c>
      <c r="D7934" t="s">
        <v>32480</v>
      </c>
      <c r="E7934" t="s">
        <v>32481</v>
      </c>
      <c r="F7934" t="s">
        <v>33102</v>
      </c>
      <c r="G7934" t="s">
        <v>30112</v>
      </c>
      <c r="H7934" t="s">
        <v>97</v>
      </c>
      <c r="I7934" t="s">
        <v>98</v>
      </c>
      <c r="J7934" t="str">
        <f>"4144002"</f>
        <v>4144002</v>
      </c>
      <c r="K7934">
        <v>2831061110</v>
      </c>
      <c r="L7934">
        <v>2831061111</v>
      </c>
      <c r="M7934" t="s">
        <v>33196</v>
      </c>
      <c r="N7934" t="s">
        <v>26516</v>
      </c>
      <c r="O7934" t="s">
        <v>26516</v>
      </c>
      <c r="P7934">
        <v>74055</v>
      </c>
      <c r="Q7934" t="str">
        <f>"35.322640"</f>
        <v>35.322640</v>
      </c>
      <c r="R7934" t="str">
        <f>"24.337243"</f>
        <v>24.337243</v>
      </c>
      <c r="S7934" t="s">
        <v>26</v>
      </c>
    </row>
    <row r="7935" spans="1:19" x14ac:dyDescent="0.3">
      <c r="A7935" t="s">
        <v>32470</v>
      </c>
      <c r="B7935" t="s">
        <v>33044</v>
      </c>
      <c r="C7935" t="s">
        <v>33201</v>
      </c>
      <c r="D7935" t="s">
        <v>32480</v>
      </c>
      <c r="E7935" t="s">
        <v>32481</v>
      </c>
      <c r="F7935" t="s">
        <v>32481</v>
      </c>
      <c r="G7935" t="s">
        <v>32481</v>
      </c>
      <c r="H7935" t="s">
        <v>97</v>
      </c>
      <c r="I7935" t="s">
        <v>98</v>
      </c>
      <c r="J7935" t="str">
        <f>"4144003"</f>
        <v>4144003</v>
      </c>
      <c r="K7935">
        <v>2831073970</v>
      </c>
      <c r="M7935" t="s">
        <v>33202</v>
      </c>
      <c r="N7935" t="s">
        <v>32484</v>
      </c>
      <c r="O7935" t="s">
        <v>33203</v>
      </c>
      <c r="P7935">
        <v>74100</v>
      </c>
      <c r="Q7935" t="str">
        <f>"35.382283"</f>
        <v>35.382283</v>
      </c>
      <c r="R7935" t="str">
        <f>"24.586623"</f>
        <v>24.586623</v>
      </c>
      <c r="S7935" t="s">
        <v>26</v>
      </c>
    </row>
    <row r="7936" spans="1:19" x14ac:dyDescent="0.3">
      <c r="A7936" t="s">
        <v>32470</v>
      </c>
      <c r="B7936" t="s">
        <v>33207</v>
      </c>
      <c r="C7936" t="s">
        <v>33220</v>
      </c>
      <c r="D7936" t="s">
        <v>32486</v>
      </c>
      <c r="E7936" t="s">
        <v>33218</v>
      </c>
      <c r="F7936" t="s">
        <v>33219</v>
      </c>
      <c r="G7936" t="s">
        <v>27503</v>
      </c>
      <c r="H7936" t="s">
        <v>97</v>
      </c>
      <c r="I7936" t="s">
        <v>98</v>
      </c>
      <c r="J7936" t="str">
        <f>"5055010"</f>
        <v>5055010</v>
      </c>
      <c r="K7936">
        <v>2823041416</v>
      </c>
      <c r="L7936">
        <v>2823041416</v>
      </c>
      <c r="M7936" t="s">
        <v>33221</v>
      </c>
      <c r="N7936" t="s">
        <v>33222</v>
      </c>
      <c r="O7936" t="s">
        <v>27506</v>
      </c>
      <c r="P7936">
        <v>73001</v>
      </c>
      <c r="Q7936" t="str">
        <f>"35.232432"</f>
        <v>35.232432</v>
      </c>
      <c r="R7936" t="str">
        <f>"23.682025"</f>
        <v>23.682025</v>
      </c>
      <c r="S7936" t="s">
        <v>57</v>
      </c>
    </row>
    <row r="7937" spans="1:19" x14ac:dyDescent="0.3">
      <c r="A7937" t="s">
        <v>32470</v>
      </c>
      <c r="B7937" t="s">
        <v>33207</v>
      </c>
      <c r="C7937" t="s">
        <v>33259</v>
      </c>
      <c r="D7937" t="s">
        <v>32486</v>
      </c>
      <c r="E7937" t="s">
        <v>32486</v>
      </c>
      <c r="F7937" t="s">
        <v>32486</v>
      </c>
      <c r="G7937" t="s">
        <v>32486</v>
      </c>
      <c r="H7937" t="s">
        <v>97</v>
      </c>
      <c r="I7937" t="s">
        <v>98</v>
      </c>
      <c r="J7937" t="str">
        <f>"5051030"</f>
        <v>5051030</v>
      </c>
      <c r="K7937">
        <v>2821027533</v>
      </c>
      <c r="L7937">
        <v>2821052702</v>
      </c>
      <c r="M7937" t="s">
        <v>33260</v>
      </c>
      <c r="N7937" t="s">
        <v>32489</v>
      </c>
      <c r="O7937" t="s">
        <v>33261</v>
      </c>
      <c r="P7937">
        <v>73132</v>
      </c>
      <c r="Q7937" t="str">
        <f>"35.513318"</f>
        <v>35.513318</v>
      </c>
      <c r="R7937" t="str">
        <f>"24.026273"</f>
        <v>24.026273</v>
      </c>
      <c r="S7937" t="s">
        <v>26</v>
      </c>
    </row>
    <row r="7938" spans="1:19" x14ac:dyDescent="0.3">
      <c r="A7938" t="s">
        <v>32470</v>
      </c>
      <c r="B7938" t="s">
        <v>33207</v>
      </c>
      <c r="C7938" t="s">
        <v>33263</v>
      </c>
      <c r="D7938" t="s">
        <v>32486</v>
      </c>
      <c r="E7938" t="s">
        <v>32486</v>
      </c>
      <c r="F7938" t="s">
        <v>33262</v>
      </c>
      <c r="G7938" t="s">
        <v>33262</v>
      </c>
      <c r="H7938" t="s">
        <v>97</v>
      </c>
      <c r="I7938" t="s">
        <v>98</v>
      </c>
      <c r="J7938" t="str">
        <f>"5061010"</f>
        <v>5061010</v>
      </c>
      <c r="K7938">
        <v>2821081530</v>
      </c>
      <c r="L7938">
        <v>2821081560</v>
      </c>
      <c r="M7938" t="s">
        <v>33264</v>
      </c>
      <c r="N7938" t="s">
        <v>33265</v>
      </c>
      <c r="O7938" t="s">
        <v>33266</v>
      </c>
      <c r="P7938">
        <v>73200</v>
      </c>
      <c r="Q7938" t="str">
        <f>"35.487598"</f>
        <v>35.487598</v>
      </c>
      <c r="R7938" t="str">
        <f>"24.065732"</f>
        <v>24.065732</v>
      </c>
      <c r="S7938" t="s">
        <v>26</v>
      </c>
    </row>
    <row r="7939" spans="1:19" x14ac:dyDescent="0.3">
      <c r="A7939" t="s">
        <v>32470</v>
      </c>
      <c r="B7939" t="s">
        <v>33207</v>
      </c>
      <c r="C7939" t="s">
        <v>33270</v>
      </c>
      <c r="D7939" t="s">
        <v>32486</v>
      </c>
      <c r="E7939" t="s">
        <v>32486</v>
      </c>
      <c r="F7939" t="s">
        <v>33268</v>
      </c>
      <c r="G7939" t="s">
        <v>33269</v>
      </c>
      <c r="H7939" t="s">
        <v>97</v>
      </c>
      <c r="I7939" t="s">
        <v>98</v>
      </c>
      <c r="J7939" t="str">
        <f>"5051009"</f>
        <v>5051009</v>
      </c>
      <c r="K7939">
        <v>2821044551</v>
      </c>
      <c r="M7939" t="s">
        <v>33271</v>
      </c>
      <c r="N7939" t="s">
        <v>33272</v>
      </c>
      <c r="O7939" t="s">
        <v>31050</v>
      </c>
      <c r="P7939">
        <v>73100</v>
      </c>
      <c r="Q7939" t="str">
        <f>"35.523122"</f>
        <v>35.523122</v>
      </c>
      <c r="R7939" t="str">
        <f>"24.060274"</f>
        <v>24.060274</v>
      </c>
      <c r="S7939" t="s">
        <v>26</v>
      </c>
    </row>
    <row r="7940" spans="1:19" x14ac:dyDescent="0.3">
      <c r="A7940" t="s">
        <v>32470</v>
      </c>
      <c r="B7940" t="s">
        <v>33207</v>
      </c>
      <c r="C7940" t="s">
        <v>33273</v>
      </c>
      <c r="D7940" t="s">
        <v>32486</v>
      </c>
      <c r="E7940" t="s">
        <v>32486</v>
      </c>
      <c r="F7940" t="s">
        <v>32486</v>
      </c>
      <c r="G7940" t="s">
        <v>32486</v>
      </c>
      <c r="H7940" t="s">
        <v>97</v>
      </c>
      <c r="I7940" t="s">
        <v>98</v>
      </c>
      <c r="J7940" t="str">
        <f>"5051050"</f>
        <v>5051050</v>
      </c>
      <c r="K7940">
        <v>2821044860</v>
      </c>
      <c r="M7940" t="s">
        <v>33274</v>
      </c>
      <c r="N7940" t="s">
        <v>33275</v>
      </c>
      <c r="O7940" t="s">
        <v>33229</v>
      </c>
      <c r="P7940">
        <v>73133</v>
      </c>
      <c r="Q7940" t="str">
        <f>"35.513233"</f>
        <v>35.513233</v>
      </c>
      <c r="R7940" t="str">
        <f>"24.036809"</f>
        <v>24.036809</v>
      </c>
      <c r="S7940" t="s">
        <v>26</v>
      </c>
    </row>
    <row r="7941" spans="1:19" x14ac:dyDescent="0.3">
      <c r="A7941" t="s">
        <v>32470</v>
      </c>
      <c r="B7941" t="s">
        <v>33207</v>
      </c>
      <c r="C7941" t="s">
        <v>33278</v>
      </c>
      <c r="D7941" t="s">
        <v>32486</v>
      </c>
      <c r="E7941" t="s">
        <v>33276</v>
      </c>
      <c r="F7941" t="s">
        <v>33276</v>
      </c>
      <c r="G7941" t="s">
        <v>33277</v>
      </c>
      <c r="H7941" t="s">
        <v>97</v>
      </c>
      <c r="I7941" t="s">
        <v>98</v>
      </c>
      <c r="J7941" t="str">
        <f>"5058010"</f>
        <v>5058010</v>
      </c>
      <c r="K7941">
        <v>2825091037</v>
      </c>
      <c r="L7941">
        <v>2825091207</v>
      </c>
      <c r="M7941" t="s">
        <v>33279</v>
      </c>
      <c r="N7941" t="s">
        <v>33280</v>
      </c>
      <c r="O7941" t="s">
        <v>33281</v>
      </c>
      <c r="P7941">
        <v>73011</v>
      </c>
      <c r="Q7941" t="str">
        <f>"35.199611"</f>
        <v>35.199611</v>
      </c>
      <c r="R7941" t="str">
        <f>"24.142380"</f>
        <v>24.142380</v>
      </c>
      <c r="S7941" t="s">
        <v>57</v>
      </c>
    </row>
    <row r="7942" spans="1:19" x14ac:dyDescent="0.3">
      <c r="A7942" t="s">
        <v>32470</v>
      </c>
      <c r="B7942" t="s">
        <v>33207</v>
      </c>
      <c r="C7942" t="s">
        <v>33283</v>
      </c>
      <c r="D7942" t="s">
        <v>32486</v>
      </c>
      <c r="E7942" t="s">
        <v>32486</v>
      </c>
      <c r="F7942" t="s">
        <v>32486</v>
      </c>
      <c r="G7942" t="s">
        <v>32486</v>
      </c>
      <c r="H7942" t="s">
        <v>97</v>
      </c>
      <c r="I7942" t="s">
        <v>195</v>
      </c>
      <c r="J7942" t="str">
        <f>"5051015"</f>
        <v>5051015</v>
      </c>
      <c r="K7942">
        <v>2821043770</v>
      </c>
      <c r="L7942">
        <v>2821043770</v>
      </c>
      <c r="M7942" t="s">
        <v>33284</v>
      </c>
      <c r="N7942" t="s">
        <v>32489</v>
      </c>
      <c r="O7942" t="s">
        <v>33285</v>
      </c>
      <c r="P7942">
        <v>73100</v>
      </c>
      <c r="Q7942" t="str">
        <f>"35.512919"</f>
        <v>35.512919</v>
      </c>
      <c r="R7942" t="str">
        <f>"24.036681"</f>
        <v>24.036681</v>
      </c>
      <c r="S7942" t="s">
        <v>26</v>
      </c>
    </row>
    <row r="7943" spans="1:19" x14ac:dyDescent="0.3">
      <c r="A7943" t="s">
        <v>32470</v>
      </c>
      <c r="B7943" t="s">
        <v>33207</v>
      </c>
      <c r="C7943" t="s">
        <v>33287</v>
      </c>
      <c r="D7943" t="s">
        <v>32486</v>
      </c>
      <c r="E7943" t="s">
        <v>33231</v>
      </c>
      <c r="F7943" t="s">
        <v>33286</v>
      </c>
      <c r="G7943" t="s">
        <v>33286</v>
      </c>
      <c r="H7943" t="s">
        <v>97</v>
      </c>
      <c r="I7943" t="s">
        <v>98</v>
      </c>
      <c r="J7943" t="str">
        <f>"5052010"</f>
        <v>5052010</v>
      </c>
      <c r="K7943">
        <v>2825022200</v>
      </c>
      <c r="L7943">
        <v>2825022120</v>
      </c>
      <c r="M7943" t="s">
        <v>33288</v>
      </c>
      <c r="N7943" t="s">
        <v>33289</v>
      </c>
      <c r="O7943" t="s">
        <v>33290</v>
      </c>
      <c r="P7943">
        <v>73008</v>
      </c>
      <c r="Q7943" t="str">
        <f>"35.405927"</f>
        <v>35.405927</v>
      </c>
      <c r="R7943" t="str">
        <f>"24.199010"</f>
        <v>24.199010</v>
      </c>
      <c r="S7943" t="s">
        <v>26</v>
      </c>
    </row>
    <row r="7944" spans="1:19" x14ac:dyDescent="0.3">
      <c r="A7944" t="s">
        <v>32470</v>
      </c>
      <c r="B7944" t="s">
        <v>33207</v>
      </c>
      <c r="C7944" t="s">
        <v>33292</v>
      </c>
      <c r="D7944" t="s">
        <v>32486</v>
      </c>
      <c r="E7944" t="s">
        <v>20356</v>
      </c>
      <c r="F7944" t="s">
        <v>33212</v>
      </c>
      <c r="G7944" t="s">
        <v>33212</v>
      </c>
      <c r="H7944" t="s">
        <v>97</v>
      </c>
      <c r="I7944" t="s">
        <v>98</v>
      </c>
      <c r="J7944" t="str">
        <f>"5057010"</f>
        <v>5057010</v>
      </c>
      <c r="K7944">
        <v>2824022511</v>
      </c>
      <c r="L7944">
        <v>2824022511</v>
      </c>
      <c r="M7944" t="s">
        <v>33293</v>
      </c>
      <c r="N7944" t="s">
        <v>20284</v>
      </c>
      <c r="O7944" t="s">
        <v>33216</v>
      </c>
      <c r="P7944">
        <v>73006</v>
      </c>
      <c r="Q7944" t="str">
        <f>"35.537432"</f>
        <v>35.537432</v>
      </c>
      <c r="R7944" t="str">
        <f>"23.783170"</f>
        <v>23.783170</v>
      </c>
      <c r="S7944" t="s">
        <v>26</v>
      </c>
    </row>
    <row r="7945" spans="1:19" x14ac:dyDescent="0.3">
      <c r="A7945" t="s">
        <v>32470</v>
      </c>
      <c r="B7945" t="s">
        <v>33207</v>
      </c>
      <c r="C7945" t="s">
        <v>33296</v>
      </c>
      <c r="D7945" t="s">
        <v>32486</v>
      </c>
      <c r="E7945" t="s">
        <v>20356</v>
      </c>
      <c r="F7945" t="s">
        <v>33294</v>
      </c>
      <c r="G7945" t="s">
        <v>33295</v>
      </c>
      <c r="H7945" t="s">
        <v>97</v>
      </c>
      <c r="I7945" t="s">
        <v>98</v>
      </c>
      <c r="J7945" t="str">
        <f>"5059010"</f>
        <v>5059010</v>
      </c>
      <c r="K7945">
        <v>2821077166</v>
      </c>
      <c r="L7945">
        <v>2821077166</v>
      </c>
      <c r="M7945" t="s">
        <v>33297</v>
      </c>
      <c r="N7945" t="s">
        <v>33298</v>
      </c>
      <c r="O7945" t="s">
        <v>33299</v>
      </c>
      <c r="P7945">
        <v>73005</v>
      </c>
      <c r="Q7945" t="str">
        <f>"35.452821"</f>
        <v>35.452821</v>
      </c>
      <c r="R7945" t="str">
        <f>"23.916210"</f>
        <v>23.916210</v>
      </c>
      <c r="S7945" t="s">
        <v>26</v>
      </c>
    </row>
    <row r="7946" spans="1:19" x14ac:dyDescent="0.3">
      <c r="A7946" t="s">
        <v>32470</v>
      </c>
      <c r="B7946" t="s">
        <v>33207</v>
      </c>
      <c r="C7946" t="s">
        <v>33302</v>
      </c>
      <c r="D7946" t="s">
        <v>32486</v>
      </c>
      <c r="E7946" t="s">
        <v>33301</v>
      </c>
      <c r="F7946" t="s">
        <v>33301</v>
      </c>
      <c r="G7946" t="s">
        <v>33301</v>
      </c>
      <c r="H7946" t="s">
        <v>97</v>
      </c>
      <c r="I7946" t="s">
        <v>98</v>
      </c>
      <c r="J7946" t="str">
        <f>"5054010"</f>
        <v>5054010</v>
      </c>
      <c r="K7946">
        <v>2822022671</v>
      </c>
      <c r="L7946">
        <v>2822083054</v>
      </c>
      <c r="M7946" t="s">
        <v>33303</v>
      </c>
      <c r="N7946" t="s">
        <v>33304</v>
      </c>
      <c r="O7946" t="s">
        <v>33305</v>
      </c>
      <c r="P7946">
        <v>73400</v>
      </c>
      <c r="Q7946" t="str">
        <f>"35.491608"</f>
        <v>35.491608</v>
      </c>
      <c r="R7946" t="str">
        <f>"23.666699"</f>
        <v>23.666699</v>
      </c>
      <c r="S7946" t="s">
        <v>26</v>
      </c>
    </row>
    <row r="7947" spans="1:19" x14ac:dyDescent="0.3">
      <c r="A7947" t="s">
        <v>32470</v>
      </c>
      <c r="B7947" t="s">
        <v>33207</v>
      </c>
      <c r="C7947" t="s">
        <v>33308</v>
      </c>
      <c r="D7947" t="s">
        <v>32486</v>
      </c>
      <c r="E7947" t="s">
        <v>20356</v>
      </c>
      <c r="F7947" t="s">
        <v>33307</v>
      </c>
      <c r="G7947" t="s">
        <v>33307</v>
      </c>
      <c r="H7947" t="s">
        <v>97</v>
      </c>
      <c r="I7947" t="s">
        <v>98</v>
      </c>
      <c r="J7947" t="str">
        <f>"5056010"</f>
        <v>5056010</v>
      </c>
      <c r="K7947">
        <v>2824031210</v>
      </c>
      <c r="L7947">
        <v>2824031210</v>
      </c>
      <c r="M7947" t="s">
        <v>33309</v>
      </c>
      <c r="N7947" t="s">
        <v>33310</v>
      </c>
      <c r="O7947" t="s">
        <v>33311</v>
      </c>
      <c r="P7947">
        <v>73002</v>
      </c>
      <c r="Q7947" t="str">
        <f>"35.468634"</f>
        <v>35.468634</v>
      </c>
      <c r="R7947" t="str">
        <f>"23.802024"</f>
        <v>23.802024</v>
      </c>
      <c r="S7947" t="s">
        <v>26</v>
      </c>
    </row>
    <row r="7948" spans="1:19" x14ac:dyDescent="0.3">
      <c r="A7948" t="s">
        <v>32470</v>
      </c>
      <c r="B7948" t="s">
        <v>33207</v>
      </c>
      <c r="C7948" t="s">
        <v>33313</v>
      </c>
      <c r="D7948" t="s">
        <v>32486</v>
      </c>
      <c r="E7948" t="s">
        <v>32486</v>
      </c>
      <c r="F7948" t="s">
        <v>32486</v>
      </c>
      <c r="G7948" t="s">
        <v>32486</v>
      </c>
      <c r="H7948" t="s">
        <v>97</v>
      </c>
      <c r="I7948" t="s">
        <v>98</v>
      </c>
      <c r="J7948" t="str">
        <f>"5051010"</f>
        <v>5051010</v>
      </c>
      <c r="K7948">
        <v>2821028714</v>
      </c>
      <c r="L7948">
        <v>2821054763</v>
      </c>
      <c r="M7948" t="s">
        <v>33314</v>
      </c>
      <c r="N7948" t="s">
        <v>33315</v>
      </c>
      <c r="O7948" t="s">
        <v>33316</v>
      </c>
      <c r="P7948">
        <v>73131</v>
      </c>
      <c r="Q7948" t="str">
        <f>"35.516201"</f>
        <v>35.516201</v>
      </c>
      <c r="R7948" t="str">
        <f>"24.011516"</f>
        <v>24.011516</v>
      </c>
      <c r="S7948" t="s">
        <v>26</v>
      </c>
    </row>
    <row r="7949" spans="1:19" x14ac:dyDescent="0.3">
      <c r="A7949" t="s">
        <v>32470</v>
      </c>
      <c r="B7949" t="s">
        <v>33207</v>
      </c>
      <c r="C7949" t="s">
        <v>33335</v>
      </c>
      <c r="D7949" t="s">
        <v>32486</v>
      </c>
      <c r="E7949" t="s">
        <v>32486</v>
      </c>
      <c r="F7949" t="s">
        <v>32486</v>
      </c>
      <c r="G7949" t="s">
        <v>32486</v>
      </c>
      <c r="H7949" t="s">
        <v>97</v>
      </c>
      <c r="I7949" t="s">
        <v>98</v>
      </c>
      <c r="J7949" t="str">
        <f>"5090080"</f>
        <v>5090080</v>
      </c>
      <c r="K7949">
        <v>2821096638</v>
      </c>
      <c r="L7949">
        <v>2821079656</v>
      </c>
      <c r="M7949" t="s">
        <v>33336</v>
      </c>
      <c r="N7949" t="s">
        <v>32489</v>
      </c>
      <c r="O7949" t="s">
        <v>33337</v>
      </c>
      <c r="P7949">
        <v>73100</v>
      </c>
      <c r="Q7949" t="str">
        <f>"35.500118"</f>
        <v>35.500118</v>
      </c>
      <c r="R7949" t="str">
        <f>"24.027168"</f>
        <v>24.027168</v>
      </c>
      <c r="S7949" t="s">
        <v>26</v>
      </c>
    </row>
    <row r="7950" spans="1:19" x14ac:dyDescent="0.3">
      <c r="A7950" t="s">
        <v>32470</v>
      </c>
      <c r="B7950" t="s">
        <v>33207</v>
      </c>
      <c r="C7950" t="s">
        <v>33403</v>
      </c>
      <c r="D7950" t="s">
        <v>32486</v>
      </c>
      <c r="E7950" t="s">
        <v>32486</v>
      </c>
      <c r="F7950" t="s">
        <v>33372</v>
      </c>
      <c r="G7950" t="s">
        <v>33373</v>
      </c>
      <c r="H7950" t="s">
        <v>97</v>
      </c>
      <c r="I7950" t="s">
        <v>98</v>
      </c>
      <c r="J7950" t="str">
        <f>"5062010"</f>
        <v>5062010</v>
      </c>
      <c r="K7950">
        <v>2821031620</v>
      </c>
      <c r="L7950">
        <v>2821031620</v>
      </c>
      <c r="M7950" t="s">
        <v>33404</v>
      </c>
      <c r="N7950" t="s">
        <v>33405</v>
      </c>
      <c r="O7950" t="s">
        <v>33377</v>
      </c>
      <c r="P7950">
        <v>73100</v>
      </c>
      <c r="Q7950" t="str">
        <f>"35.501545"</f>
        <v>35.501545</v>
      </c>
      <c r="R7950" t="str">
        <f>"23.982341"</f>
        <v>23.982341</v>
      </c>
      <c r="S7950" t="s">
        <v>26</v>
      </c>
    </row>
    <row r="7951" spans="1:19" x14ac:dyDescent="0.3">
      <c r="A7951" t="s">
        <v>32470</v>
      </c>
      <c r="B7951" t="s">
        <v>33207</v>
      </c>
      <c r="C7951" t="s">
        <v>33409</v>
      </c>
      <c r="D7951" t="s">
        <v>32486</v>
      </c>
      <c r="E7951" t="s">
        <v>32486</v>
      </c>
      <c r="F7951" t="s">
        <v>32486</v>
      </c>
      <c r="G7951" t="s">
        <v>32486</v>
      </c>
      <c r="H7951" t="s">
        <v>97</v>
      </c>
      <c r="I7951" t="s">
        <v>98</v>
      </c>
      <c r="J7951" t="str">
        <f>"5051040"</f>
        <v>5051040</v>
      </c>
      <c r="K7951">
        <v>2821088007</v>
      </c>
      <c r="L7951">
        <v>2821090523</v>
      </c>
      <c r="M7951" t="s">
        <v>33410</v>
      </c>
      <c r="N7951" t="s">
        <v>32489</v>
      </c>
      <c r="O7951" t="s">
        <v>33325</v>
      </c>
      <c r="P7951">
        <v>73135</v>
      </c>
      <c r="Q7951" t="str">
        <f>"35.506742"</f>
        <v>35.506742</v>
      </c>
      <c r="R7951" t="str">
        <f>"24.024632"</f>
        <v>24.024632</v>
      </c>
      <c r="S7951" t="s">
        <v>26</v>
      </c>
    </row>
    <row r="7952" spans="1:19" x14ac:dyDescent="0.3">
      <c r="A7952" t="s">
        <v>35638</v>
      </c>
      <c r="B7952" t="s">
        <v>35670</v>
      </c>
      <c r="C7952" t="s">
        <v>35684</v>
      </c>
      <c r="D7952" t="s">
        <v>35639</v>
      </c>
      <c r="E7952" t="s">
        <v>35639</v>
      </c>
      <c r="F7952" t="s">
        <v>29736</v>
      </c>
      <c r="G7952" t="s">
        <v>29736</v>
      </c>
      <c r="H7952" t="s">
        <v>97</v>
      </c>
      <c r="I7952" t="s">
        <v>98</v>
      </c>
      <c r="J7952" t="str">
        <f>"1052010"</f>
        <v>1052010</v>
      </c>
      <c r="K7952">
        <v>2244022254</v>
      </c>
      <c r="L7952">
        <v>2244023684</v>
      </c>
      <c r="M7952" t="s">
        <v>35685</v>
      </c>
      <c r="N7952" t="s">
        <v>35686</v>
      </c>
      <c r="O7952" t="s">
        <v>35687</v>
      </c>
      <c r="P7952">
        <v>85102</v>
      </c>
      <c r="Q7952" t="str">
        <f>"36.215885"</f>
        <v>36.215885</v>
      </c>
      <c r="R7952" t="str">
        <f>"28.116415"</f>
        <v>28.116415</v>
      </c>
      <c r="S7952" t="s">
        <v>26</v>
      </c>
    </row>
    <row r="7953" spans="1:19" x14ac:dyDescent="0.3">
      <c r="A7953" t="s">
        <v>35638</v>
      </c>
      <c r="B7953" t="s">
        <v>35670</v>
      </c>
      <c r="C7953" t="s">
        <v>35696</v>
      </c>
      <c r="D7953" t="s">
        <v>35639</v>
      </c>
      <c r="E7953" t="s">
        <v>35639</v>
      </c>
      <c r="F7953" t="s">
        <v>35639</v>
      </c>
      <c r="G7953" t="s">
        <v>35639</v>
      </c>
      <c r="H7953" t="s">
        <v>97</v>
      </c>
      <c r="I7953" t="s">
        <v>195</v>
      </c>
      <c r="J7953" t="str">
        <f>"1051028"</f>
        <v>1051028</v>
      </c>
      <c r="K7953">
        <v>2241025378</v>
      </c>
      <c r="L7953">
        <v>2241025378</v>
      </c>
      <c r="M7953" t="s">
        <v>35697</v>
      </c>
      <c r="N7953" t="s">
        <v>35698</v>
      </c>
      <c r="O7953" t="s">
        <v>35699</v>
      </c>
      <c r="P7953">
        <v>85133</v>
      </c>
      <c r="Q7953" t="str">
        <f>"36.436527"</f>
        <v>36.436527</v>
      </c>
      <c r="R7953" t="str">
        <f>"28.223256"</f>
        <v>28.223256</v>
      </c>
      <c r="S7953" t="s">
        <v>26</v>
      </c>
    </row>
    <row r="7954" spans="1:19" x14ac:dyDescent="0.3">
      <c r="A7954" t="s">
        <v>35638</v>
      </c>
      <c r="B7954" t="s">
        <v>35670</v>
      </c>
      <c r="C7954" t="s">
        <v>35716</v>
      </c>
      <c r="D7954" t="s">
        <v>35657</v>
      </c>
      <c r="E7954" t="s">
        <v>35657</v>
      </c>
      <c r="F7954" t="s">
        <v>35657</v>
      </c>
      <c r="G7954" t="s">
        <v>35657</v>
      </c>
      <c r="H7954" t="s">
        <v>97</v>
      </c>
      <c r="I7954" t="s">
        <v>98</v>
      </c>
      <c r="J7954" t="str">
        <f>"1055010"</f>
        <v>1055010</v>
      </c>
      <c r="K7954">
        <v>2242022025</v>
      </c>
      <c r="L7954">
        <v>2242026098</v>
      </c>
      <c r="M7954" t="s">
        <v>35717</v>
      </c>
      <c r="N7954" t="s">
        <v>35718</v>
      </c>
      <c r="O7954" t="s">
        <v>35719</v>
      </c>
      <c r="P7954">
        <v>85300</v>
      </c>
      <c r="Q7954" t="str">
        <f>"36.892865"</f>
        <v>36.892865</v>
      </c>
      <c r="R7954" t="str">
        <f>"27.292035"</f>
        <v>27.292035</v>
      </c>
      <c r="S7954" t="s">
        <v>26</v>
      </c>
    </row>
    <row r="7955" spans="1:19" x14ac:dyDescent="0.3">
      <c r="A7955" t="s">
        <v>35638</v>
      </c>
      <c r="B7955" t="s">
        <v>35670</v>
      </c>
      <c r="C7955" t="s">
        <v>35737</v>
      </c>
      <c r="D7955" t="s">
        <v>35639</v>
      </c>
      <c r="E7955" t="s">
        <v>35639</v>
      </c>
      <c r="F7955" t="s">
        <v>35735</v>
      </c>
      <c r="G7955" t="s">
        <v>35736</v>
      </c>
      <c r="H7955" t="s">
        <v>97</v>
      </c>
      <c r="I7955" t="s">
        <v>98</v>
      </c>
      <c r="J7955" t="str">
        <f>"1051080"</f>
        <v>1051080</v>
      </c>
      <c r="K7955">
        <v>2241093089</v>
      </c>
      <c r="L7955">
        <v>2241091699</v>
      </c>
      <c r="M7955" t="s">
        <v>35738</v>
      </c>
      <c r="N7955" t="s">
        <v>35739</v>
      </c>
      <c r="O7955" t="s">
        <v>35740</v>
      </c>
      <c r="P7955">
        <v>85101</v>
      </c>
      <c r="Q7955" t="str">
        <f>"36.414843"</f>
        <v>36.414843</v>
      </c>
      <c r="R7955" t="str">
        <f>"28.144173"</f>
        <v>28.144173</v>
      </c>
      <c r="S7955" t="s">
        <v>26</v>
      </c>
    </row>
    <row r="7956" spans="1:19" x14ac:dyDescent="0.3">
      <c r="A7956" t="s">
        <v>35638</v>
      </c>
      <c r="B7956" t="s">
        <v>35670</v>
      </c>
      <c r="C7956" t="s">
        <v>35747</v>
      </c>
      <c r="D7956" t="s">
        <v>35639</v>
      </c>
      <c r="E7956" t="s">
        <v>35639</v>
      </c>
      <c r="F7956" t="s">
        <v>35746</v>
      </c>
      <c r="G7956" t="s">
        <v>35746</v>
      </c>
      <c r="H7956" t="s">
        <v>97</v>
      </c>
      <c r="I7956" t="s">
        <v>98</v>
      </c>
      <c r="J7956" t="str">
        <f>"1051070"</f>
        <v>1051070</v>
      </c>
      <c r="K7956">
        <v>2241051988</v>
      </c>
      <c r="L7956">
        <v>2241051193</v>
      </c>
      <c r="M7956" t="s">
        <v>35748</v>
      </c>
      <c r="N7956" t="s">
        <v>35749</v>
      </c>
      <c r="O7956" t="s">
        <v>9627</v>
      </c>
      <c r="P7956">
        <v>85103</v>
      </c>
      <c r="Q7956" t="str">
        <f>"36.296964"</f>
        <v>36.296964</v>
      </c>
      <c r="R7956" t="str">
        <f>"28.163188"</f>
        <v>28.163188</v>
      </c>
      <c r="S7956" t="s">
        <v>26</v>
      </c>
    </row>
    <row r="7957" spans="1:19" x14ac:dyDescent="0.3">
      <c r="A7957" t="s">
        <v>35638</v>
      </c>
      <c r="B7957" t="s">
        <v>35670</v>
      </c>
      <c r="C7957" t="s">
        <v>35752</v>
      </c>
      <c r="D7957" t="s">
        <v>35689</v>
      </c>
      <c r="E7957" t="s">
        <v>35689</v>
      </c>
      <c r="F7957" t="s">
        <v>35689</v>
      </c>
      <c r="G7957" t="s">
        <v>35751</v>
      </c>
      <c r="H7957" t="s">
        <v>97</v>
      </c>
      <c r="I7957" t="s">
        <v>98</v>
      </c>
      <c r="J7957" t="str">
        <f>"1054010"</f>
        <v>1054010</v>
      </c>
      <c r="K7957">
        <v>2245031489</v>
      </c>
      <c r="L7957">
        <v>2245031290</v>
      </c>
      <c r="M7957" t="s">
        <v>35753</v>
      </c>
      <c r="N7957" t="s">
        <v>35754</v>
      </c>
      <c r="O7957" t="s">
        <v>35755</v>
      </c>
      <c r="P7957">
        <v>85700</v>
      </c>
      <c r="Q7957" t="str">
        <f>"35.550355"</f>
        <v>35.550355</v>
      </c>
      <c r="R7957" t="str">
        <f>"27.170962"</f>
        <v>27.170962</v>
      </c>
      <c r="S7957" t="s">
        <v>57</v>
      </c>
    </row>
    <row r="7958" spans="1:19" x14ac:dyDescent="0.3">
      <c r="A7958" t="s">
        <v>35638</v>
      </c>
      <c r="B7958" t="s">
        <v>35670</v>
      </c>
      <c r="C7958" t="s">
        <v>35757</v>
      </c>
      <c r="D7958" t="s">
        <v>35639</v>
      </c>
      <c r="E7958" t="s">
        <v>35639</v>
      </c>
      <c r="F7958" t="s">
        <v>35721</v>
      </c>
      <c r="G7958" t="s">
        <v>35756</v>
      </c>
      <c r="H7958" t="s">
        <v>97</v>
      </c>
      <c r="I7958" t="s">
        <v>98</v>
      </c>
      <c r="J7958" t="str">
        <f>"1051060"</f>
        <v>1051060</v>
      </c>
      <c r="K7958">
        <v>2241093785</v>
      </c>
      <c r="L7958">
        <v>2241090508</v>
      </c>
      <c r="M7958" t="s">
        <v>35758</v>
      </c>
      <c r="N7958" t="s">
        <v>35759</v>
      </c>
      <c r="O7958" t="s">
        <v>35760</v>
      </c>
      <c r="P7958">
        <v>85104</v>
      </c>
      <c r="Q7958" t="str">
        <f>"36.405870"</f>
        <v>36.405870</v>
      </c>
      <c r="R7958" t="str">
        <f>"28.119117"</f>
        <v>28.119117</v>
      </c>
      <c r="S7958" t="s">
        <v>26</v>
      </c>
    </row>
    <row r="7959" spans="1:19" x14ac:dyDescent="0.3">
      <c r="A7959" t="s">
        <v>35638</v>
      </c>
      <c r="B7959" t="s">
        <v>35670</v>
      </c>
      <c r="C7959" t="s">
        <v>35763</v>
      </c>
      <c r="D7959" t="s">
        <v>35651</v>
      </c>
      <c r="E7959" t="s">
        <v>35762</v>
      </c>
      <c r="F7959" t="s">
        <v>35762</v>
      </c>
      <c r="G7959" t="s">
        <v>35762</v>
      </c>
      <c r="H7959" t="s">
        <v>97</v>
      </c>
      <c r="I7959" t="s">
        <v>98</v>
      </c>
      <c r="J7959" t="str">
        <f>"1061010"</f>
        <v>1061010</v>
      </c>
      <c r="K7959">
        <v>2247031985</v>
      </c>
      <c r="L7959">
        <v>2247031985</v>
      </c>
      <c r="M7959" t="s">
        <v>35764</v>
      </c>
      <c r="N7959" t="s">
        <v>35765</v>
      </c>
      <c r="O7959" t="s">
        <v>35766</v>
      </c>
      <c r="P7959">
        <v>85500</v>
      </c>
      <c r="Q7959" t="str">
        <f>"37.315578"</f>
        <v>37.315578</v>
      </c>
      <c r="R7959" t="str">
        <f>"26.540407"</f>
        <v>26.540407</v>
      </c>
      <c r="S7959" t="s">
        <v>57</v>
      </c>
    </row>
    <row r="7960" spans="1:19" x14ac:dyDescent="0.3">
      <c r="A7960" t="s">
        <v>35638</v>
      </c>
      <c r="B7960" t="s">
        <v>35670</v>
      </c>
      <c r="C7960" t="s">
        <v>35768</v>
      </c>
      <c r="D7960" t="s">
        <v>35651</v>
      </c>
      <c r="E7960" t="s">
        <v>35652</v>
      </c>
      <c r="F7960" t="s">
        <v>35652</v>
      </c>
      <c r="G7960" t="s">
        <v>35652</v>
      </c>
      <c r="H7960" t="s">
        <v>97</v>
      </c>
      <c r="I7960" t="s">
        <v>98</v>
      </c>
      <c r="J7960" t="str">
        <f>"1053020"</f>
        <v>1053020</v>
      </c>
      <c r="K7960">
        <v>2243022625</v>
      </c>
      <c r="L7960">
        <v>2243028896</v>
      </c>
      <c r="M7960" t="s">
        <v>35769</v>
      </c>
      <c r="N7960" t="s">
        <v>35673</v>
      </c>
      <c r="O7960" t="s">
        <v>35770</v>
      </c>
      <c r="P7960">
        <v>85200</v>
      </c>
      <c r="Q7960" t="str">
        <f>"36.952197"</f>
        <v>36.952197</v>
      </c>
      <c r="R7960" t="str">
        <f>"26.970564"</f>
        <v>26.970564</v>
      </c>
      <c r="S7960" t="s">
        <v>26</v>
      </c>
    </row>
    <row r="7961" spans="1:19" x14ac:dyDescent="0.3">
      <c r="A7961" t="s">
        <v>35638</v>
      </c>
      <c r="B7961" t="s">
        <v>35670</v>
      </c>
      <c r="C7961" t="s">
        <v>35772</v>
      </c>
      <c r="D7961" t="s">
        <v>35639</v>
      </c>
      <c r="E7961" t="s">
        <v>35639</v>
      </c>
      <c r="F7961" t="s">
        <v>35639</v>
      </c>
      <c r="G7961" t="s">
        <v>35639</v>
      </c>
      <c r="H7961" t="s">
        <v>97</v>
      </c>
      <c r="I7961" t="s">
        <v>98</v>
      </c>
      <c r="J7961" t="str">
        <f>"1051020"</f>
        <v>1051020</v>
      </c>
      <c r="K7961">
        <v>2241027702</v>
      </c>
      <c r="L7961">
        <v>2241077626</v>
      </c>
      <c r="M7961" t="s">
        <v>35773</v>
      </c>
      <c r="N7961" t="s">
        <v>35703</v>
      </c>
      <c r="O7961" t="s">
        <v>35774</v>
      </c>
      <c r="P7961">
        <v>85132</v>
      </c>
      <c r="Q7961" t="str">
        <f>"36.437603"</f>
        <v>36.437603</v>
      </c>
      <c r="R7961" t="str">
        <f>"28.228019"</f>
        <v>28.228019</v>
      </c>
      <c r="S7961" t="s">
        <v>26</v>
      </c>
    </row>
    <row r="7962" spans="1:19" x14ac:dyDescent="0.3">
      <c r="A7962" t="s">
        <v>35638</v>
      </c>
      <c r="B7962" t="s">
        <v>35670</v>
      </c>
      <c r="C7962" t="s">
        <v>35778</v>
      </c>
      <c r="D7962" t="s">
        <v>35657</v>
      </c>
      <c r="E7962" t="s">
        <v>35657</v>
      </c>
      <c r="F7962" t="s">
        <v>35776</v>
      </c>
      <c r="G7962" t="s">
        <v>35777</v>
      </c>
      <c r="H7962" t="s">
        <v>97</v>
      </c>
      <c r="I7962" t="s">
        <v>98</v>
      </c>
      <c r="J7962" t="str">
        <f>"1062010"</f>
        <v>1062010</v>
      </c>
      <c r="K7962">
        <v>2242051367</v>
      </c>
      <c r="L7962">
        <v>2242051609</v>
      </c>
      <c r="M7962" t="s">
        <v>35779</v>
      </c>
      <c r="N7962" t="s">
        <v>35780</v>
      </c>
      <c r="O7962" t="s">
        <v>35781</v>
      </c>
      <c r="P7962">
        <v>85302</v>
      </c>
      <c r="Q7962" t="str">
        <f>"36.804404"</f>
        <v>36.804404</v>
      </c>
      <c r="R7962" t="str">
        <f>"27.088017"</f>
        <v>27.088017</v>
      </c>
      <c r="S7962" t="s">
        <v>26</v>
      </c>
    </row>
    <row r="7963" spans="1:19" x14ac:dyDescent="0.3">
      <c r="A7963" t="s">
        <v>35638</v>
      </c>
      <c r="B7963" t="s">
        <v>35670</v>
      </c>
      <c r="C7963" t="s">
        <v>35786</v>
      </c>
      <c r="D7963" t="s">
        <v>35639</v>
      </c>
      <c r="E7963" t="s">
        <v>35639</v>
      </c>
      <c r="F7963" t="s">
        <v>35784</v>
      </c>
      <c r="G7963" t="s">
        <v>35785</v>
      </c>
      <c r="H7963" t="s">
        <v>97</v>
      </c>
      <c r="I7963" t="s">
        <v>98</v>
      </c>
      <c r="J7963" t="str">
        <f>"1051040"</f>
        <v>1051040</v>
      </c>
      <c r="K7963">
        <v>2241041477</v>
      </c>
      <c r="L7963">
        <v>2241041497</v>
      </c>
      <c r="M7963" t="s">
        <v>35787</v>
      </c>
      <c r="N7963" t="s">
        <v>35788</v>
      </c>
      <c r="O7963" t="s">
        <v>35789</v>
      </c>
      <c r="P7963">
        <v>85106</v>
      </c>
      <c r="Q7963" t="str">
        <f>"36.362961"</f>
        <v>36.362961</v>
      </c>
      <c r="R7963" t="str">
        <f>"28.005352"</f>
        <v>28.005352</v>
      </c>
      <c r="S7963" t="s">
        <v>26</v>
      </c>
    </row>
    <row r="7964" spans="1:19" x14ac:dyDescent="0.3">
      <c r="A7964" t="s">
        <v>35638</v>
      </c>
      <c r="B7964" t="s">
        <v>35670</v>
      </c>
      <c r="C7964" t="s">
        <v>35791</v>
      </c>
      <c r="D7964" t="s">
        <v>35651</v>
      </c>
      <c r="E7964" t="s">
        <v>35652</v>
      </c>
      <c r="F7964" t="s">
        <v>35652</v>
      </c>
      <c r="G7964" t="s">
        <v>35652</v>
      </c>
      <c r="H7964" t="s">
        <v>97</v>
      </c>
      <c r="I7964" t="s">
        <v>98</v>
      </c>
      <c r="J7964" t="str">
        <f>"1053010"</f>
        <v>1053010</v>
      </c>
      <c r="K7964">
        <v>2243028992</v>
      </c>
      <c r="L7964">
        <v>2243023477</v>
      </c>
      <c r="M7964" t="s">
        <v>35792</v>
      </c>
      <c r="N7964" t="s">
        <v>35673</v>
      </c>
      <c r="O7964" t="s">
        <v>35793</v>
      </c>
      <c r="P7964">
        <v>85200</v>
      </c>
      <c r="Q7964" t="str">
        <f>"36.956698"</f>
        <v>36.956698</v>
      </c>
      <c r="R7964" t="str">
        <f>"26.971958"</f>
        <v>26.971958</v>
      </c>
      <c r="S7964" t="s">
        <v>26</v>
      </c>
    </row>
    <row r="7965" spans="1:19" x14ac:dyDescent="0.3">
      <c r="A7965" t="s">
        <v>35638</v>
      </c>
      <c r="B7965" t="s">
        <v>35670</v>
      </c>
      <c r="C7965" t="s">
        <v>35796</v>
      </c>
      <c r="D7965" t="s">
        <v>35639</v>
      </c>
      <c r="E7965" t="s">
        <v>35639</v>
      </c>
      <c r="F7965" t="s">
        <v>35639</v>
      </c>
      <c r="G7965" t="s">
        <v>35639</v>
      </c>
      <c r="H7965" t="s">
        <v>97</v>
      </c>
      <c r="I7965" t="s">
        <v>98</v>
      </c>
      <c r="J7965" t="str">
        <f>"1051030"</f>
        <v>1051030</v>
      </c>
      <c r="K7965">
        <v>2241032442</v>
      </c>
      <c r="L7965">
        <v>2241077029</v>
      </c>
      <c r="M7965" t="s">
        <v>35797</v>
      </c>
      <c r="N7965" t="s">
        <v>35703</v>
      </c>
      <c r="O7965" t="s">
        <v>35798</v>
      </c>
      <c r="P7965">
        <v>85100</v>
      </c>
      <c r="Q7965" t="str">
        <f>"36.439699"</f>
        <v>36.439699</v>
      </c>
      <c r="R7965" t="str">
        <f>"28.221930"</f>
        <v>28.221930</v>
      </c>
      <c r="S7965" t="s">
        <v>26</v>
      </c>
    </row>
    <row r="7966" spans="1:19" x14ac:dyDescent="0.3">
      <c r="A7966" t="s">
        <v>35638</v>
      </c>
      <c r="B7966" t="s">
        <v>35670</v>
      </c>
      <c r="C7966" t="s">
        <v>35800</v>
      </c>
      <c r="D7966" t="s">
        <v>35657</v>
      </c>
      <c r="E7966" t="s">
        <v>35657</v>
      </c>
      <c r="F7966" t="s">
        <v>35657</v>
      </c>
      <c r="G7966" t="s">
        <v>35657</v>
      </c>
      <c r="H7966" t="s">
        <v>97</v>
      </c>
      <c r="I7966" t="s">
        <v>98</v>
      </c>
      <c r="J7966" t="str">
        <f>"1090050"</f>
        <v>1090050</v>
      </c>
      <c r="K7966">
        <v>2242027410</v>
      </c>
      <c r="L7966">
        <v>2242023222</v>
      </c>
      <c r="M7966" t="s">
        <v>35801</v>
      </c>
      <c r="N7966" t="s">
        <v>35718</v>
      </c>
      <c r="O7966" t="s">
        <v>6079</v>
      </c>
      <c r="P7966">
        <v>85300</v>
      </c>
      <c r="Q7966" t="str">
        <f>"36.893160"</f>
        <v>36.893160</v>
      </c>
      <c r="R7966" t="str">
        <f>"27.279856"</f>
        <v>27.279856</v>
      </c>
      <c r="S7966" t="s">
        <v>26</v>
      </c>
    </row>
    <row r="7967" spans="1:19" x14ac:dyDescent="0.3">
      <c r="A7967" t="s">
        <v>35638</v>
      </c>
      <c r="B7967" t="s">
        <v>35670</v>
      </c>
      <c r="C7967" t="s">
        <v>35803</v>
      </c>
      <c r="D7967" t="s">
        <v>35639</v>
      </c>
      <c r="E7967" t="s">
        <v>35639</v>
      </c>
      <c r="F7967" t="s">
        <v>35639</v>
      </c>
      <c r="G7967" t="s">
        <v>35639</v>
      </c>
      <c r="H7967" t="s">
        <v>97</v>
      </c>
      <c r="I7967" t="s">
        <v>98</v>
      </c>
      <c r="J7967" t="str">
        <f>"1051010"</f>
        <v>1051010</v>
      </c>
      <c r="K7967">
        <v>2241029200</v>
      </c>
      <c r="L7967">
        <v>2241020151</v>
      </c>
      <c r="M7967" t="s">
        <v>35804</v>
      </c>
      <c r="N7967" t="s">
        <v>35703</v>
      </c>
      <c r="O7967" t="s">
        <v>35699</v>
      </c>
      <c r="P7967">
        <v>85100</v>
      </c>
      <c r="Q7967" t="str">
        <f>"36.436677"</f>
        <v>36.436677</v>
      </c>
      <c r="R7967" t="str">
        <f>"28.223226"</f>
        <v>28.223226</v>
      </c>
      <c r="S7967" t="s">
        <v>26</v>
      </c>
    </row>
    <row r="7968" spans="1:19" x14ac:dyDescent="0.3">
      <c r="A7968" t="s">
        <v>35638</v>
      </c>
      <c r="B7968" t="s">
        <v>35670</v>
      </c>
      <c r="C7968" t="s">
        <v>35805</v>
      </c>
      <c r="D7968" t="s">
        <v>35651</v>
      </c>
      <c r="E7968" t="s">
        <v>35729</v>
      </c>
      <c r="F7968" t="s">
        <v>35729</v>
      </c>
      <c r="G7968" t="s">
        <v>35729</v>
      </c>
      <c r="H7968" t="s">
        <v>97</v>
      </c>
      <c r="I7968" t="s">
        <v>98</v>
      </c>
      <c r="J7968" t="str">
        <f>"1056010"</f>
        <v>1056010</v>
      </c>
      <c r="K7968">
        <v>2247023278</v>
      </c>
      <c r="L7968">
        <v>2247025372</v>
      </c>
      <c r="M7968" t="s">
        <v>35806</v>
      </c>
      <c r="N7968" t="s">
        <v>35732</v>
      </c>
      <c r="O7968" t="s">
        <v>13389</v>
      </c>
      <c r="P7968">
        <v>85400</v>
      </c>
      <c r="Q7968" t="str">
        <f>"37.153881"</f>
        <v>37.153881</v>
      </c>
      <c r="R7968" t="str">
        <f>"26.855248"</f>
        <v>26.855248</v>
      </c>
      <c r="S7968" t="s">
        <v>57</v>
      </c>
    </row>
    <row r="7969" spans="1:19" x14ac:dyDescent="0.3">
      <c r="A7969" t="s">
        <v>35638</v>
      </c>
      <c r="B7969" t="s">
        <v>35670</v>
      </c>
      <c r="C7969" t="s">
        <v>35965</v>
      </c>
      <c r="D7969" t="s">
        <v>35639</v>
      </c>
      <c r="E7969" t="s">
        <v>35639</v>
      </c>
      <c r="F7969" t="s">
        <v>35639</v>
      </c>
      <c r="G7969" t="s">
        <v>35639</v>
      </c>
      <c r="H7969" t="s">
        <v>97</v>
      </c>
      <c r="I7969" t="s">
        <v>98</v>
      </c>
      <c r="J7969" t="str">
        <f>"1090045"</f>
        <v>1090045</v>
      </c>
      <c r="K7969">
        <v>2241063950</v>
      </c>
      <c r="L7969">
        <v>2241061654</v>
      </c>
      <c r="M7969" t="s">
        <v>35966</v>
      </c>
      <c r="N7969" t="s">
        <v>35703</v>
      </c>
      <c r="O7969" t="s">
        <v>35967</v>
      </c>
      <c r="P7969">
        <v>85133</v>
      </c>
      <c r="Q7969" t="str">
        <f>"36.421888"</f>
        <v>36.421888</v>
      </c>
      <c r="R7969" t="str">
        <f>"28.208268"</f>
        <v>28.208268</v>
      </c>
      <c r="S7969" t="s">
        <v>26</v>
      </c>
    </row>
    <row r="7970" spans="1:19" x14ac:dyDescent="0.3">
      <c r="A7970" t="s">
        <v>35638</v>
      </c>
      <c r="B7970" t="s">
        <v>35670</v>
      </c>
      <c r="C7970" t="s">
        <v>36016</v>
      </c>
      <c r="D7970" t="s">
        <v>35657</v>
      </c>
      <c r="E7970" t="s">
        <v>35657</v>
      </c>
      <c r="F7970" t="s">
        <v>35658</v>
      </c>
      <c r="G7970" t="s">
        <v>35659</v>
      </c>
      <c r="H7970" t="s">
        <v>97</v>
      </c>
      <c r="I7970" t="s">
        <v>98</v>
      </c>
      <c r="J7970" t="str">
        <f>"1044001"</f>
        <v>1044001</v>
      </c>
      <c r="K7970">
        <v>2242067184</v>
      </c>
      <c r="M7970" t="s">
        <v>36017</v>
      </c>
      <c r="N7970" t="s">
        <v>36018</v>
      </c>
      <c r="O7970" t="s">
        <v>36019</v>
      </c>
      <c r="P7970">
        <v>85300</v>
      </c>
      <c r="Q7970" t="str">
        <f>"36.881687"</f>
        <v>36.881687</v>
      </c>
      <c r="R7970" t="str">
        <f>"27.215306"</f>
        <v>27.215306</v>
      </c>
      <c r="S7970" t="s">
        <v>26</v>
      </c>
    </row>
    <row r="7971" spans="1:19" x14ac:dyDescent="0.3">
      <c r="A7971" t="s">
        <v>35638</v>
      </c>
      <c r="B7971" t="s">
        <v>36020</v>
      </c>
      <c r="C7971" t="s">
        <v>36042</v>
      </c>
      <c r="D7971" t="s">
        <v>36041</v>
      </c>
      <c r="E7971" t="s">
        <v>36041</v>
      </c>
      <c r="F7971" t="s">
        <v>36041</v>
      </c>
      <c r="G7971" t="s">
        <v>36041</v>
      </c>
      <c r="H7971" t="s">
        <v>97</v>
      </c>
      <c r="I7971" t="s">
        <v>98</v>
      </c>
      <c r="J7971" t="str">
        <f>"2957010"</f>
        <v>2957010</v>
      </c>
      <c r="K7971">
        <v>2283022259</v>
      </c>
      <c r="L7971">
        <v>2283022259</v>
      </c>
      <c r="M7971" t="s">
        <v>36043</v>
      </c>
      <c r="N7971" t="s">
        <v>36044</v>
      </c>
      <c r="O7971" t="s">
        <v>36045</v>
      </c>
      <c r="P7971">
        <v>84200</v>
      </c>
      <c r="Q7971" t="str">
        <f>"37.539325"</f>
        <v>37.539325</v>
      </c>
      <c r="R7971" t="str">
        <f>"25.167877"</f>
        <v>25.167877</v>
      </c>
      <c r="S7971" t="s">
        <v>26</v>
      </c>
    </row>
    <row r="7972" spans="1:19" x14ac:dyDescent="0.3">
      <c r="A7972" t="s">
        <v>35638</v>
      </c>
      <c r="B7972" t="s">
        <v>36020</v>
      </c>
      <c r="C7972" t="s">
        <v>36139</v>
      </c>
      <c r="D7972" t="s">
        <v>4806</v>
      </c>
      <c r="E7972" t="s">
        <v>35664</v>
      </c>
      <c r="F7972" t="s">
        <v>4806</v>
      </c>
      <c r="G7972" t="s">
        <v>4806</v>
      </c>
      <c r="H7972" t="s">
        <v>97</v>
      </c>
      <c r="I7972" t="s">
        <v>98</v>
      </c>
      <c r="J7972" t="str">
        <f>"2955010"</f>
        <v>2955010</v>
      </c>
      <c r="K7972">
        <v>2285022990</v>
      </c>
      <c r="L7972">
        <v>2285027030</v>
      </c>
      <c r="M7972" t="s">
        <v>36140</v>
      </c>
      <c r="N7972" t="s">
        <v>36077</v>
      </c>
      <c r="O7972" t="s">
        <v>36082</v>
      </c>
      <c r="P7972">
        <v>84300</v>
      </c>
      <c r="Q7972" t="str">
        <f>"37.103128"</f>
        <v>37.103128</v>
      </c>
      <c r="R7972" t="str">
        <f>"25.380146"</f>
        <v>25.380146</v>
      </c>
      <c r="S7972" t="s">
        <v>26</v>
      </c>
    </row>
    <row r="7973" spans="1:19" x14ac:dyDescent="0.3">
      <c r="A7973" t="s">
        <v>35638</v>
      </c>
      <c r="B7973" t="s">
        <v>36020</v>
      </c>
      <c r="C7973" t="s">
        <v>36142</v>
      </c>
      <c r="D7973" t="s">
        <v>36095</v>
      </c>
      <c r="E7973" t="s">
        <v>36095</v>
      </c>
      <c r="F7973" t="s">
        <v>36095</v>
      </c>
      <c r="G7973" t="s">
        <v>36095</v>
      </c>
      <c r="H7973" t="s">
        <v>97</v>
      </c>
      <c r="I7973" t="s">
        <v>98</v>
      </c>
      <c r="J7973" t="str">
        <f>"2952010"</f>
        <v>2952010</v>
      </c>
      <c r="K7973">
        <v>2282023288</v>
      </c>
      <c r="L7973">
        <v>2282023288</v>
      </c>
      <c r="M7973" t="s">
        <v>36143</v>
      </c>
      <c r="N7973" t="s">
        <v>36098</v>
      </c>
      <c r="O7973" t="s">
        <v>36144</v>
      </c>
      <c r="P7973">
        <v>84500</v>
      </c>
      <c r="Q7973" t="str">
        <f>"37.835100"</f>
        <v>37.835100</v>
      </c>
      <c r="R7973" t="str">
        <f>"24.935799"</f>
        <v>24.935799</v>
      </c>
      <c r="S7973" t="s">
        <v>26</v>
      </c>
    </row>
    <row r="7974" spans="1:19" x14ac:dyDescent="0.3">
      <c r="A7974" t="s">
        <v>35638</v>
      </c>
      <c r="B7974" t="s">
        <v>36020</v>
      </c>
      <c r="C7974" t="s">
        <v>36145</v>
      </c>
      <c r="D7974" t="s">
        <v>36057</v>
      </c>
      <c r="E7974" t="s">
        <v>36057</v>
      </c>
      <c r="F7974" t="s">
        <v>36057</v>
      </c>
      <c r="G7974" t="s">
        <v>36058</v>
      </c>
      <c r="H7974" t="s">
        <v>97</v>
      </c>
      <c r="I7974" t="s">
        <v>98</v>
      </c>
      <c r="J7974" t="str">
        <f>"2959010"</f>
        <v>2959010</v>
      </c>
      <c r="K7974">
        <v>2289022999</v>
      </c>
      <c r="L7974">
        <v>2289022999</v>
      </c>
      <c r="M7974" t="s">
        <v>36146</v>
      </c>
      <c r="N7974" t="s">
        <v>36057</v>
      </c>
      <c r="O7974" t="s">
        <v>36147</v>
      </c>
      <c r="P7974">
        <v>84600</v>
      </c>
      <c r="Q7974" t="str">
        <f>"37.442399"</f>
        <v>37.442399</v>
      </c>
      <c r="R7974" t="str">
        <f>"25.337580"</f>
        <v>25.337580</v>
      </c>
      <c r="S7974" t="s">
        <v>26</v>
      </c>
    </row>
    <row r="7975" spans="1:19" x14ac:dyDescent="0.3">
      <c r="A7975" t="s">
        <v>35638</v>
      </c>
      <c r="B7975" t="s">
        <v>36020</v>
      </c>
      <c r="C7975" t="s">
        <v>36148</v>
      </c>
      <c r="D7975" t="s">
        <v>35644</v>
      </c>
      <c r="E7975" t="s">
        <v>35645</v>
      </c>
      <c r="F7975" t="s">
        <v>35646</v>
      </c>
      <c r="G7975" t="s">
        <v>36128</v>
      </c>
      <c r="H7975" t="s">
        <v>97</v>
      </c>
      <c r="I7975" t="s">
        <v>98</v>
      </c>
      <c r="J7975" t="str">
        <f>"2951010"</f>
        <v>2951010</v>
      </c>
      <c r="K7975">
        <v>2281082040</v>
      </c>
      <c r="M7975" t="s">
        <v>36149</v>
      </c>
      <c r="N7975" t="s">
        <v>35649</v>
      </c>
      <c r="O7975" t="s">
        <v>36150</v>
      </c>
      <c r="P7975">
        <v>84100</v>
      </c>
      <c r="Q7975" t="str">
        <f>"37.423957"</f>
        <v>37.423957</v>
      </c>
      <c r="R7975" t="str">
        <f>"24.937371"</f>
        <v>24.937371</v>
      </c>
      <c r="S7975" t="s">
        <v>26</v>
      </c>
    </row>
    <row r="7976" spans="1:19" x14ac:dyDescent="0.3">
      <c r="A7976" t="s">
        <v>35638</v>
      </c>
      <c r="B7976" t="s">
        <v>36020</v>
      </c>
      <c r="C7976" t="s">
        <v>36151</v>
      </c>
      <c r="D7976" t="s">
        <v>36021</v>
      </c>
      <c r="E7976" t="s">
        <v>36021</v>
      </c>
      <c r="F7976" t="s">
        <v>36021</v>
      </c>
      <c r="G7976" t="s">
        <v>36021</v>
      </c>
      <c r="H7976" t="s">
        <v>97</v>
      </c>
      <c r="I7976" t="s">
        <v>98</v>
      </c>
      <c r="J7976" t="str">
        <f>"2953010"</f>
        <v>2953010</v>
      </c>
      <c r="K7976">
        <v>2286022252</v>
      </c>
      <c r="L7976">
        <v>2286023195</v>
      </c>
      <c r="M7976" t="s">
        <v>36152</v>
      </c>
      <c r="N7976" t="s">
        <v>36021</v>
      </c>
      <c r="O7976" t="s">
        <v>36153</v>
      </c>
      <c r="P7976">
        <v>84700</v>
      </c>
      <c r="Q7976" t="str">
        <f>"36.417065"</f>
        <v>36.417065</v>
      </c>
      <c r="R7976" t="str">
        <f>"25.435272"</f>
        <v>25.435272</v>
      </c>
      <c r="S7976" t="s">
        <v>26</v>
      </c>
    </row>
    <row r="7977" spans="1:19" x14ac:dyDescent="0.3">
      <c r="A7977" t="s">
        <v>35638</v>
      </c>
      <c r="B7977" t="s">
        <v>36020</v>
      </c>
      <c r="C7977" t="s">
        <v>36155</v>
      </c>
      <c r="D7977" t="s">
        <v>4806</v>
      </c>
      <c r="E7977" t="s">
        <v>35664</v>
      </c>
      <c r="F7977" t="s">
        <v>36073</v>
      </c>
      <c r="G7977" t="s">
        <v>13599</v>
      </c>
      <c r="H7977" t="s">
        <v>97</v>
      </c>
      <c r="I7977" t="s">
        <v>98</v>
      </c>
      <c r="J7977" t="str">
        <f>"2955020"</f>
        <v>2955020</v>
      </c>
      <c r="K7977">
        <v>2285031477</v>
      </c>
      <c r="L7977">
        <v>2285031477</v>
      </c>
      <c r="M7977" t="s">
        <v>36156</v>
      </c>
      <c r="N7977" t="s">
        <v>36157</v>
      </c>
      <c r="O7977" t="s">
        <v>36158</v>
      </c>
      <c r="P7977">
        <v>84302</v>
      </c>
      <c r="Q7977" t="str">
        <f>"37.064477"</f>
        <v>37.064477</v>
      </c>
      <c r="R7977" t="str">
        <f>"25.483642"</f>
        <v>25.483642</v>
      </c>
      <c r="S7977" t="s">
        <v>26</v>
      </c>
    </row>
    <row r="7978" spans="1:19" x14ac:dyDescent="0.3">
      <c r="A7978" t="s">
        <v>35638</v>
      </c>
      <c r="B7978" t="s">
        <v>36020</v>
      </c>
      <c r="C7978" t="s">
        <v>36258</v>
      </c>
      <c r="D7978" t="s">
        <v>36133</v>
      </c>
      <c r="E7978" t="s">
        <v>36133</v>
      </c>
      <c r="F7978" t="s">
        <v>36133</v>
      </c>
      <c r="G7978" t="s">
        <v>36257</v>
      </c>
      <c r="H7978" t="s">
        <v>97</v>
      </c>
      <c r="I7978" t="s">
        <v>98</v>
      </c>
      <c r="J7978" t="str">
        <f>"2956050"</f>
        <v>2956050</v>
      </c>
      <c r="K7978">
        <v>2284051042</v>
      </c>
      <c r="L7978">
        <v>2284051041</v>
      </c>
      <c r="M7978" t="s">
        <v>36259</v>
      </c>
      <c r="N7978" t="s">
        <v>36136</v>
      </c>
      <c r="O7978" t="s">
        <v>26407</v>
      </c>
      <c r="P7978">
        <v>84401</v>
      </c>
      <c r="Q7978" t="str">
        <f>"37.118672"</f>
        <v>37.118672</v>
      </c>
      <c r="R7978" t="str">
        <f>"25.233137"</f>
        <v>25.233137</v>
      </c>
      <c r="S7978" t="s">
        <v>26</v>
      </c>
    </row>
    <row r="7979" spans="1:19" x14ac:dyDescent="0.3">
      <c r="A7979" t="s">
        <v>35638</v>
      </c>
      <c r="B7979" t="s">
        <v>36020</v>
      </c>
      <c r="C7979" t="s">
        <v>36270</v>
      </c>
      <c r="D7979" t="s">
        <v>36133</v>
      </c>
      <c r="E7979" t="s">
        <v>36133</v>
      </c>
      <c r="F7979" t="s">
        <v>36133</v>
      </c>
      <c r="G7979" t="s">
        <v>36133</v>
      </c>
      <c r="H7979" t="s">
        <v>97</v>
      </c>
      <c r="I7979" t="s">
        <v>98</v>
      </c>
      <c r="J7979" t="str">
        <f>"2956010"</f>
        <v>2956010</v>
      </c>
      <c r="K7979">
        <v>2284021270</v>
      </c>
      <c r="L7979">
        <v>2284028144</v>
      </c>
      <c r="M7979" t="s">
        <v>36271</v>
      </c>
      <c r="N7979" t="s">
        <v>36136</v>
      </c>
      <c r="O7979" t="s">
        <v>36272</v>
      </c>
      <c r="P7979">
        <v>84400</v>
      </c>
      <c r="Q7979" t="str">
        <f>"37.084830"</f>
        <v>37.084830</v>
      </c>
      <c r="R7979" t="str">
        <f>"25.151986"</f>
        <v>25.151986</v>
      </c>
      <c r="S7979" t="s">
        <v>26</v>
      </c>
    </row>
    <row r="7980" spans="1:19" x14ac:dyDescent="0.3">
      <c r="A7980" t="s">
        <v>35638</v>
      </c>
      <c r="B7980" t="s">
        <v>36020</v>
      </c>
      <c r="C7980" t="s">
        <v>36292</v>
      </c>
      <c r="D7980" t="s">
        <v>36028</v>
      </c>
      <c r="E7980" t="s">
        <v>36028</v>
      </c>
      <c r="F7980" t="s">
        <v>36028</v>
      </c>
      <c r="G7980" t="s">
        <v>36028</v>
      </c>
      <c r="H7980" t="s">
        <v>97</v>
      </c>
      <c r="I7980" t="s">
        <v>98</v>
      </c>
      <c r="J7980" t="str">
        <f>"2954010"</f>
        <v>2954010</v>
      </c>
      <c r="K7980">
        <v>2287021888</v>
      </c>
      <c r="L7980">
        <v>2287021888</v>
      </c>
      <c r="M7980" t="s">
        <v>36293</v>
      </c>
      <c r="N7980" t="s">
        <v>36117</v>
      </c>
      <c r="O7980" t="s">
        <v>36294</v>
      </c>
      <c r="P7980">
        <v>84800</v>
      </c>
      <c r="Q7980" t="str">
        <f>"36.743312"</f>
        <v>36.743312</v>
      </c>
      <c r="R7980" t="str">
        <f>"24.426081"</f>
        <v>24.426081</v>
      </c>
      <c r="S7980" t="s">
        <v>57</v>
      </c>
    </row>
    <row r="7981" spans="1:19" x14ac:dyDescent="0.3">
      <c r="A7981" t="s">
        <v>35638</v>
      </c>
      <c r="B7981" t="s">
        <v>36020</v>
      </c>
      <c r="C7981" t="s">
        <v>36332</v>
      </c>
      <c r="D7981" t="s">
        <v>4806</v>
      </c>
      <c r="E7981" t="s">
        <v>35664</v>
      </c>
      <c r="F7981" t="s">
        <v>4806</v>
      </c>
      <c r="G7981" t="s">
        <v>4806</v>
      </c>
      <c r="H7981" t="s">
        <v>97</v>
      </c>
      <c r="I7981" t="s">
        <v>195</v>
      </c>
      <c r="J7981" t="str">
        <f>"2952000"</f>
        <v>2952000</v>
      </c>
      <c r="K7981">
        <v>2285029382</v>
      </c>
      <c r="M7981" t="s">
        <v>36333</v>
      </c>
      <c r="N7981" t="s">
        <v>36082</v>
      </c>
      <c r="O7981" t="s">
        <v>36082</v>
      </c>
      <c r="P7981">
        <v>84300</v>
      </c>
      <c r="Q7981" t="str">
        <f>"37.103100"</f>
        <v>37.103100</v>
      </c>
      <c r="R7981" t="str">
        <f>"25.380126"</f>
        <v>25.380126</v>
      </c>
      <c r="S7981" t="s">
        <v>26</v>
      </c>
    </row>
    <row r="7982" spans="1:19" x14ac:dyDescent="0.3">
      <c r="A7982" t="s">
        <v>37529</v>
      </c>
      <c r="B7982" t="s">
        <v>37564</v>
      </c>
      <c r="C7982" t="s">
        <v>37584</v>
      </c>
      <c r="D7982" t="s">
        <v>37530</v>
      </c>
      <c r="E7982" t="s">
        <v>37565</v>
      </c>
      <c r="F7982" t="s">
        <v>37566</v>
      </c>
      <c r="G7982" t="s">
        <v>37566</v>
      </c>
      <c r="H7982" t="s">
        <v>97</v>
      </c>
      <c r="I7982" t="s">
        <v>98</v>
      </c>
      <c r="J7982" t="str">
        <f>"0253020"</f>
        <v>0253020</v>
      </c>
      <c r="K7982">
        <v>2754033255</v>
      </c>
      <c r="L7982">
        <v>2754033255</v>
      </c>
      <c r="M7982" t="s">
        <v>37585</v>
      </c>
      <c r="N7982" t="s">
        <v>37569</v>
      </c>
      <c r="O7982" t="s">
        <v>37586</v>
      </c>
      <c r="P7982">
        <v>21051</v>
      </c>
      <c r="Q7982" t="str">
        <f>"37.389405"</f>
        <v>37.389405</v>
      </c>
      <c r="R7982" t="str">
        <f>"23.239065"</f>
        <v>23.239065</v>
      </c>
      <c r="S7982" t="s">
        <v>26</v>
      </c>
    </row>
    <row r="7983" spans="1:19" x14ac:dyDescent="0.3">
      <c r="A7983" t="s">
        <v>37529</v>
      </c>
      <c r="B7983" t="s">
        <v>37564</v>
      </c>
      <c r="C7983" t="s">
        <v>37587</v>
      </c>
      <c r="D7983" t="s">
        <v>37530</v>
      </c>
      <c r="E7983" t="s">
        <v>37572</v>
      </c>
      <c r="F7983" t="s">
        <v>37573</v>
      </c>
      <c r="G7983" t="s">
        <v>37573</v>
      </c>
      <c r="H7983" t="s">
        <v>97</v>
      </c>
      <c r="I7983" t="s">
        <v>98</v>
      </c>
      <c r="J7983" t="str">
        <f>"0252020"</f>
        <v>0252020</v>
      </c>
      <c r="K7983">
        <v>2751062048</v>
      </c>
      <c r="L7983">
        <v>2751024661</v>
      </c>
      <c r="M7983" t="s">
        <v>37588</v>
      </c>
      <c r="N7983" t="s">
        <v>37589</v>
      </c>
      <c r="O7983" t="s">
        <v>37590</v>
      </c>
      <c r="P7983">
        <v>21200</v>
      </c>
      <c r="Q7983" t="str">
        <f>"37.627232"</f>
        <v>37.627232</v>
      </c>
      <c r="R7983" t="str">
        <f>"22.713472"</f>
        <v>22.713472</v>
      </c>
      <c r="S7983" t="s">
        <v>26</v>
      </c>
    </row>
    <row r="7984" spans="1:19" x14ac:dyDescent="0.3">
      <c r="A7984" t="s">
        <v>37529</v>
      </c>
      <c r="B7984" t="s">
        <v>37564</v>
      </c>
      <c r="C7984" t="s">
        <v>37592</v>
      </c>
      <c r="D7984" t="s">
        <v>37530</v>
      </c>
      <c r="E7984" t="s">
        <v>37531</v>
      </c>
      <c r="F7984" t="s">
        <v>37532</v>
      </c>
      <c r="G7984" t="s">
        <v>37531</v>
      </c>
      <c r="H7984" t="s">
        <v>97</v>
      </c>
      <c r="I7984" t="s">
        <v>98</v>
      </c>
      <c r="J7984" t="str">
        <f>"0251020"</f>
        <v>0251020</v>
      </c>
      <c r="K7984">
        <v>2752028018</v>
      </c>
      <c r="L7984">
        <v>2752028136</v>
      </c>
      <c r="M7984" t="s">
        <v>37593</v>
      </c>
      <c r="N7984" t="s">
        <v>37594</v>
      </c>
      <c r="O7984" t="s">
        <v>37595</v>
      </c>
      <c r="P7984">
        <v>21100</v>
      </c>
      <c r="Q7984" t="str">
        <f>"37.566953"</f>
        <v>37.566953</v>
      </c>
      <c r="R7984" t="str">
        <f>"22.799411"</f>
        <v>22.799411</v>
      </c>
      <c r="S7984" t="s">
        <v>26</v>
      </c>
    </row>
    <row r="7985" spans="1:19" x14ac:dyDescent="0.3">
      <c r="A7985" t="s">
        <v>37529</v>
      </c>
      <c r="B7985" t="s">
        <v>37564</v>
      </c>
      <c r="C7985" t="s">
        <v>37597</v>
      </c>
      <c r="D7985" t="s">
        <v>37530</v>
      </c>
      <c r="E7985" t="s">
        <v>37565</v>
      </c>
      <c r="F7985" t="s">
        <v>37570</v>
      </c>
      <c r="G7985" t="s">
        <v>37570</v>
      </c>
      <c r="H7985" t="s">
        <v>97</v>
      </c>
      <c r="I7985" t="s">
        <v>98</v>
      </c>
      <c r="J7985" t="str">
        <f>"0253010"</f>
        <v>0253010</v>
      </c>
      <c r="K7985">
        <v>2754021747</v>
      </c>
      <c r="L7985">
        <v>2754022327</v>
      </c>
      <c r="M7985" t="s">
        <v>37598</v>
      </c>
      <c r="N7985" t="s">
        <v>37599</v>
      </c>
      <c r="O7985" t="s">
        <v>37600</v>
      </c>
      <c r="P7985">
        <v>21300</v>
      </c>
      <c r="Q7985" t="str">
        <f>"37.383247"</f>
        <v>37.383247</v>
      </c>
      <c r="R7985" t="str">
        <f>"23.151024"</f>
        <v>23.151024</v>
      </c>
      <c r="S7985" t="s">
        <v>26</v>
      </c>
    </row>
    <row r="7986" spans="1:19" x14ac:dyDescent="0.3">
      <c r="A7986" t="s">
        <v>37529</v>
      </c>
      <c r="B7986" t="s">
        <v>37564</v>
      </c>
      <c r="C7986" t="s">
        <v>37602</v>
      </c>
      <c r="D7986" t="s">
        <v>37530</v>
      </c>
      <c r="E7986" t="s">
        <v>37531</v>
      </c>
      <c r="F7986" t="s">
        <v>37532</v>
      </c>
      <c r="G7986" t="s">
        <v>37531</v>
      </c>
      <c r="H7986" t="s">
        <v>97</v>
      </c>
      <c r="I7986" t="s">
        <v>195</v>
      </c>
      <c r="J7986" t="str">
        <f>"0251035"</f>
        <v>0251035</v>
      </c>
      <c r="K7986">
        <v>2752026900</v>
      </c>
      <c r="L7986">
        <v>2752026900</v>
      </c>
      <c r="M7986" t="s">
        <v>37603</v>
      </c>
      <c r="N7986" t="s">
        <v>37535</v>
      </c>
      <c r="O7986" t="s">
        <v>37595</v>
      </c>
      <c r="P7986">
        <v>21100</v>
      </c>
      <c r="Q7986" t="str">
        <f>"37.566383"</f>
        <v>37.566383</v>
      </c>
      <c r="R7986" t="str">
        <f>"22.799282"</f>
        <v>22.799282</v>
      </c>
      <c r="S7986" t="s">
        <v>26</v>
      </c>
    </row>
    <row r="7987" spans="1:19" x14ac:dyDescent="0.3">
      <c r="A7987" t="s">
        <v>37529</v>
      </c>
      <c r="B7987" t="s">
        <v>37564</v>
      </c>
      <c r="C7987" t="s">
        <v>37606</v>
      </c>
      <c r="D7987" t="s">
        <v>37530</v>
      </c>
      <c r="E7987" t="s">
        <v>37604</v>
      </c>
      <c r="F7987" t="s">
        <v>37605</v>
      </c>
      <c r="G7987" t="s">
        <v>37605</v>
      </c>
      <c r="H7987" t="s">
        <v>97</v>
      </c>
      <c r="I7987" t="s">
        <v>98</v>
      </c>
      <c r="J7987" t="str">
        <f>"0254010"</f>
        <v>0254010</v>
      </c>
      <c r="K7987">
        <v>2753022503</v>
      </c>
      <c r="L7987">
        <v>2753099874</v>
      </c>
      <c r="M7987" t="s">
        <v>37607</v>
      </c>
      <c r="N7987" t="s">
        <v>37608</v>
      </c>
      <c r="O7987" t="s">
        <v>37609</v>
      </c>
      <c r="P7987">
        <v>21052</v>
      </c>
      <c r="Q7987" t="str">
        <f>"37.612546"</f>
        <v>37.612546</v>
      </c>
      <c r="R7987" t="str">
        <f>"23.045702"</f>
        <v>23.045702</v>
      </c>
      <c r="S7987" t="s">
        <v>26</v>
      </c>
    </row>
    <row r="7988" spans="1:19" x14ac:dyDescent="0.3">
      <c r="A7988" t="s">
        <v>37529</v>
      </c>
      <c r="B7988" t="s">
        <v>37564</v>
      </c>
      <c r="C7988" t="s">
        <v>37616</v>
      </c>
      <c r="D7988" t="s">
        <v>37530</v>
      </c>
      <c r="E7988" t="s">
        <v>37531</v>
      </c>
      <c r="F7988" t="s">
        <v>37532</v>
      </c>
      <c r="G7988" t="s">
        <v>37531</v>
      </c>
      <c r="H7988" t="s">
        <v>97</v>
      </c>
      <c r="I7988" t="s">
        <v>98</v>
      </c>
      <c r="J7988" t="str">
        <f>"0251010"</f>
        <v>0251010</v>
      </c>
      <c r="K7988">
        <v>2752028056</v>
      </c>
      <c r="L7988">
        <v>2752025353</v>
      </c>
      <c r="M7988" t="s">
        <v>37617</v>
      </c>
      <c r="N7988" t="s">
        <v>37594</v>
      </c>
      <c r="O7988" t="s">
        <v>37595</v>
      </c>
      <c r="P7988">
        <v>21100</v>
      </c>
      <c r="Q7988" t="str">
        <f>"37.566331"</f>
        <v>37.566331</v>
      </c>
      <c r="R7988" t="str">
        <f>"22.799537"</f>
        <v>22.799537</v>
      </c>
      <c r="S7988" t="s">
        <v>26</v>
      </c>
    </row>
    <row r="7989" spans="1:19" x14ac:dyDescent="0.3">
      <c r="A7989" t="s">
        <v>37529</v>
      </c>
      <c r="B7989" t="s">
        <v>37564</v>
      </c>
      <c r="C7989" t="s">
        <v>37618</v>
      </c>
      <c r="D7989" t="s">
        <v>37530</v>
      </c>
      <c r="E7989" t="s">
        <v>37572</v>
      </c>
      <c r="F7989" t="s">
        <v>37573</v>
      </c>
      <c r="G7989" t="s">
        <v>37573</v>
      </c>
      <c r="H7989" t="s">
        <v>97</v>
      </c>
      <c r="I7989" t="s">
        <v>98</v>
      </c>
      <c r="J7989" t="str">
        <f>"0252009"</f>
        <v>0252009</v>
      </c>
      <c r="K7989">
        <v>2751022440</v>
      </c>
      <c r="L7989">
        <v>2751061525</v>
      </c>
      <c r="M7989" t="s">
        <v>37619</v>
      </c>
      <c r="N7989" t="s">
        <v>37577</v>
      </c>
      <c r="O7989" t="s">
        <v>37620</v>
      </c>
      <c r="P7989">
        <v>21200</v>
      </c>
      <c r="Q7989" t="str">
        <f>"37.624235"</f>
        <v>37.624235</v>
      </c>
      <c r="R7989" t="str">
        <f>"22.750064"</f>
        <v>22.750064</v>
      </c>
      <c r="S7989" t="s">
        <v>26</v>
      </c>
    </row>
    <row r="7990" spans="1:19" x14ac:dyDescent="0.3">
      <c r="A7990" t="s">
        <v>37529</v>
      </c>
      <c r="B7990" t="s">
        <v>37564</v>
      </c>
      <c r="C7990" t="s">
        <v>37621</v>
      </c>
      <c r="D7990" t="s">
        <v>37530</v>
      </c>
      <c r="E7990" t="s">
        <v>37572</v>
      </c>
      <c r="F7990" t="s">
        <v>37573</v>
      </c>
      <c r="G7990" t="s">
        <v>37573</v>
      </c>
      <c r="H7990" t="s">
        <v>97</v>
      </c>
      <c r="I7990" t="s">
        <v>98</v>
      </c>
      <c r="J7990" t="str">
        <f>"0252010"</f>
        <v>0252010</v>
      </c>
      <c r="K7990">
        <v>2751066977</v>
      </c>
      <c r="L7990">
        <v>2751066977</v>
      </c>
      <c r="M7990" t="s">
        <v>37622</v>
      </c>
      <c r="N7990" t="s">
        <v>37623</v>
      </c>
      <c r="O7990" t="s">
        <v>37624</v>
      </c>
      <c r="P7990">
        <v>21200</v>
      </c>
      <c r="Q7990" t="str">
        <f>"37.642808"</f>
        <v>37.642808</v>
      </c>
      <c r="R7990" t="str">
        <f>"22.730892"</f>
        <v>22.730892</v>
      </c>
      <c r="S7990" t="s">
        <v>26</v>
      </c>
    </row>
    <row r="7991" spans="1:19" x14ac:dyDescent="0.3">
      <c r="A7991" t="s">
        <v>37529</v>
      </c>
      <c r="B7991" t="s">
        <v>37564</v>
      </c>
      <c r="C7991" t="s">
        <v>37647</v>
      </c>
      <c r="D7991" t="s">
        <v>37530</v>
      </c>
      <c r="E7991" t="s">
        <v>37531</v>
      </c>
      <c r="F7991" t="s">
        <v>37646</v>
      </c>
      <c r="G7991" t="s">
        <v>21730</v>
      </c>
      <c r="H7991" t="s">
        <v>97</v>
      </c>
      <c r="I7991" t="s">
        <v>98</v>
      </c>
      <c r="J7991" t="str">
        <f>"0252040"</f>
        <v>0252040</v>
      </c>
      <c r="K7991">
        <v>2752044862</v>
      </c>
      <c r="L7991">
        <v>2752044502</v>
      </c>
      <c r="M7991" t="s">
        <v>37648</v>
      </c>
      <c r="N7991" t="s">
        <v>37649</v>
      </c>
      <c r="O7991" t="s">
        <v>37650</v>
      </c>
      <c r="P7991">
        <v>21055</v>
      </c>
      <c r="Q7991" t="str">
        <f>"37.639886"</f>
        <v>37.639886</v>
      </c>
      <c r="R7991" t="str">
        <f>"22.813179"</f>
        <v>22.813179</v>
      </c>
      <c r="S7991" t="s">
        <v>26</v>
      </c>
    </row>
    <row r="7992" spans="1:19" x14ac:dyDescent="0.3">
      <c r="A7992" t="s">
        <v>37529</v>
      </c>
      <c r="B7992" t="s">
        <v>37702</v>
      </c>
      <c r="C7992" t="s">
        <v>37703</v>
      </c>
      <c r="D7992" t="s">
        <v>37537</v>
      </c>
      <c r="E7992" t="s">
        <v>37538</v>
      </c>
      <c r="F7992" t="s">
        <v>37538</v>
      </c>
      <c r="G7992" t="s">
        <v>37539</v>
      </c>
      <c r="H7992" t="s">
        <v>97</v>
      </c>
      <c r="I7992" t="s">
        <v>98</v>
      </c>
      <c r="J7992" t="str">
        <f>"0351009"</f>
        <v>0351009</v>
      </c>
      <c r="K7992">
        <v>2710227675</v>
      </c>
      <c r="L7992">
        <v>2710221591</v>
      </c>
      <c r="M7992" t="s">
        <v>37704</v>
      </c>
      <c r="N7992" t="s">
        <v>37542</v>
      </c>
      <c r="O7992" t="s">
        <v>37705</v>
      </c>
      <c r="P7992">
        <v>22131</v>
      </c>
      <c r="Q7992" t="str">
        <f>"37.516403"</f>
        <v>37.516403</v>
      </c>
      <c r="R7992" t="str">
        <f>"22.373284"</f>
        <v>22.373284</v>
      </c>
      <c r="S7992" t="s">
        <v>26</v>
      </c>
    </row>
    <row r="7993" spans="1:19" x14ac:dyDescent="0.3">
      <c r="A7993" t="s">
        <v>37529</v>
      </c>
      <c r="B7993" t="s">
        <v>37702</v>
      </c>
      <c r="C7993" t="s">
        <v>37707</v>
      </c>
      <c r="D7993" t="s">
        <v>37537</v>
      </c>
      <c r="E7993" t="s">
        <v>37538</v>
      </c>
      <c r="F7993" t="s">
        <v>37538</v>
      </c>
      <c r="G7993" t="s">
        <v>37539</v>
      </c>
      <c r="H7993" t="s">
        <v>97</v>
      </c>
      <c r="I7993" t="s">
        <v>195</v>
      </c>
      <c r="J7993" t="str">
        <f>"0390065"</f>
        <v>0390065</v>
      </c>
      <c r="K7993">
        <v>2710221678</v>
      </c>
      <c r="L7993">
        <v>2710227049</v>
      </c>
      <c r="M7993" t="s">
        <v>37708</v>
      </c>
      <c r="N7993" t="s">
        <v>37542</v>
      </c>
      <c r="O7993" t="s">
        <v>37709</v>
      </c>
      <c r="P7993">
        <v>22100</v>
      </c>
      <c r="Q7993" t="str">
        <f>"37.499855"</f>
        <v>37.499855</v>
      </c>
      <c r="R7993" t="str">
        <f>"22.381119"</f>
        <v>22.381119</v>
      </c>
      <c r="S7993" t="s">
        <v>26</v>
      </c>
    </row>
    <row r="7994" spans="1:19" x14ac:dyDescent="0.3">
      <c r="A7994" t="s">
        <v>37529</v>
      </c>
      <c r="B7994" t="s">
        <v>37702</v>
      </c>
      <c r="C7994" t="s">
        <v>37734</v>
      </c>
      <c r="D7994" t="s">
        <v>37537</v>
      </c>
      <c r="E7994" t="s">
        <v>37538</v>
      </c>
      <c r="F7994" t="s">
        <v>37733</v>
      </c>
      <c r="G7994" t="s">
        <v>37733</v>
      </c>
      <c r="H7994" t="s">
        <v>97</v>
      </c>
      <c r="I7994" t="s">
        <v>98</v>
      </c>
      <c r="J7994" t="str">
        <f>"0355010"</f>
        <v>0355010</v>
      </c>
      <c r="K7994">
        <v>2796022216</v>
      </c>
      <c r="L7994">
        <v>2796022336</v>
      </c>
      <c r="M7994" t="s">
        <v>37735</v>
      </c>
      <c r="N7994" t="s">
        <v>37715</v>
      </c>
      <c r="O7994" t="s">
        <v>37736</v>
      </c>
      <c r="P7994">
        <v>22002</v>
      </c>
      <c r="Q7994" t="str">
        <f>"37.679079"</f>
        <v>37.679079</v>
      </c>
      <c r="R7994" t="str">
        <f>"22.296435"</f>
        <v>22.296435</v>
      </c>
      <c r="S7994" t="s">
        <v>26</v>
      </c>
    </row>
    <row r="7995" spans="1:19" x14ac:dyDescent="0.3">
      <c r="A7995" t="s">
        <v>37529</v>
      </c>
      <c r="B7995" t="s">
        <v>37702</v>
      </c>
      <c r="C7995" t="s">
        <v>37737</v>
      </c>
      <c r="D7995" t="s">
        <v>37537</v>
      </c>
      <c r="E7995" t="s">
        <v>37538</v>
      </c>
      <c r="F7995" t="s">
        <v>37538</v>
      </c>
      <c r="G7995" t="s">
        <v>37539</v>
      </c>
      <c r="H7995" t="s">
        <v>97</v>
      </c>
      <c r="I7995" t="s">
        <v>98</v>
      </c>
      <c r="J7995" t="str">
        <f>"0351020"</f>
        <v>0351020</v>
      </c>
      <c r="K7995">
        <v>2710237740</v>
      </c>
      <c r="L7995">
        <v>2710230297</v>
      </c>
      <c r="M7995" t="s">
        <v>37738</v>
      </c>
      <c r="N7995" t="s">
        <v>37542</v>
      </c>
      <c r="O7995" t="s">
        <v>37739</v>
      </c>
      <c r="P7995">
        <v>22100</v>
      </c>
      <c r="Q7995" t="str">
        <f>"37.481350"</f>
        <v>37.481350</v>
      </c>
      <c r="R7995" t="str">
        <f>"22.437663"</f>
        <v>22.437663</v>
      </c>
      <c r="S7995" t="s">
        <v>26</v>
      </c>
    </row>
    <row r="7996" spans="1:19" x14ac:dyDescent="0.3">
      <c r="A7996" t="s">
        <v>37529</v>
      </c>
      <c r="B7996" t="s">
        <v>37702</v>
      </c>
      <c r="C7996" t="s">
        <v>37741</v>
      </c>
      <c r="D7996" t="s">
        <v>37537</v>
      </c>
      <c r="E7996" t="s">
        <v>37538</v>
      </c>
      <c r="F7996" t="s">
        <v>37538</v>
      </c>
      <c r="G7996" t="s">
        <v>37539</v>
      </c>
      <c r="H7996" t="s">
        <v>97</v>
      </c>
      <c r="I7996" t="s">
        <v>98</v>
      </c>
      <c r="J7996" t="str">
        <f>"0351030"</f>
        <v>0351030</v>
      </c>
      <c r="K7996">
        <v>2710222019</v>
      </c>
      <c r="L7996">
        <v>2710221627</v>
      </c>
      <c r="M7996" t="s">
        <v>37742</v>
      </c>
      <c r="N7996" t="s">
        <v>37542</v>
      </c>
      <c r="O7996" t="s">
        <v>37743</v>
      </c>
      <c r="P7996">
        <v>22100</v>
      </c>
      <c r="Q7996" t="str">
        <f>"37.515107"</f>
        <v>37.515107</v>
      </c>
      <c r="R7996" t="str">
        <f>"22.382760"</f>
        <v>22.382760</v>
      </c>
      <c r="S7996" t="s">
        <v>26</v>
      </c>
    </row>
    <row r="7997" spans="1:19" x14ac:dyDescent="0.3">
      <c r="A7997" t="s">
        <v>37529</v>
      </c>
      <c r="B7997" t="s">
        <v>37702</v>
      </c>
      <c r="C7997" t="s">
        <v>37747</v>
      </c>
      <c r="D7997" t="s">
        <v>37537</v>
      </c>
      <c r="E7997" t="s">
        <v>37538</v>
      </c>
      <c r="F7997" t="s">
        <v>37745</v>
      </c>
      <c r="G7997" t="s">
        <v>37746</v>
      </c>
      <c r="H7997" t="s">
        <v>97</v>
      </c>
      <c r="I7997" t="s">
        <v>98</v>
      </c>
      <c r="J7997" t="str">
        <f>"0351040"</f>
        <v>0351040</v>
      </c>
      <c r="K7997">
        <v>2710556750</v>
      </c>
      <c r="L7997">
        <v>2710557414</v>
      </c>
      <c r="M7997" t="s">
        <v>37748</v>
      </c>
      <c r="N7997" t="s">
        <v>37749</v>
      </c>
      <c r="O7997" t="s">
        <v>37750</v>
      </c>
      <c r="P7997">
        <v>22012</v>
      </c>
      <c r="Q7997" t="str">
        <f>"37.453240"</f>
        <v>37.453240</v>
      </c>
      <c r="R7997" t="str">
        <f>"22.423421"</f>
        <v>22.423421</v>
      </c>
      <c r="S7997" t="s">
        <v>26</v>
      </c>
    </row>
    <row r="7998" spans="1:19" x14ac:dyDescent="0.3">
      <c r="A7998" t="s">
        <v>37529</v>
      </c>
      <c r="B7998" t="s">
        <v>37702</v>
      </c>
      <c r="C7998" t="s">
        <v>37751</v>
      </c>
      <c r="D7998" t="s">
        <v>37537</v>
      </c>
      <c r="E7998" t="s">
        <v>37717</v>
      </c>
      <c r="F7998" t="s">
        <v>37717</v>
      </c>
      <c r="G7998" t="s">
        <v>37718</v>
      </c>
      <c r="H7998" t="s">
        <v>97</v>
      </c>
      <c r="I7998" t="s">
        <v>98</v>
      </c>
      <c r="J7998" t="str">
        <f>"0357010"</f>
        <v>0357010</v>
      </c>
      <c r="K7998">
        <v>2791022775</v>
      </c>
      <c r="L7998">
        <v>2791024369</v>
      </c>
      <c r="M7998" t="s">
        <v>37752</v>
      </c>
      <c r="N7998" t="s">
        <v>37721</v>
      </c>
      <c r="O7998" t="s">
        <v>60</v>
      </c>
      <c r="P7998">
        <v>22200</v>
      </c>
      <c r="Q7998" t="str">
        <f>"37.402048"</f>
        <v>37.402048</v>
      </c>
      <c r="R7998" t="str">
        <f>"22.140881"</f>
        <v>22.140881</v>
      </c>
      <c r="S7998" t="s">
        <v>26</v>
      </c>
    </row>
    <row r="7999" spans="1:19" x14ac:dyDescent="0.3">
      <c r="A7999" t="s">
        <v>37529</v>
      </c>
      <c r="B7999" t="s">
        <v>37702</v>
      </c>
      <c r="C7999" t="s">
        <v>37762</v>
      </c>
      <c r="D7999" t="s">
        <v>37537</v>
      </c>
      <c r="E7999" t="s">
        <v>37760</v>
      </c>
      <c r="F7999" t="s">
        <v>37761</v>
      </c>
      <c r="G7999" t="s">
        <v>37761</v>
      </c>
      <c r="H7999" t="s">
        <v>97</v>
      </c>
      <c r="I7999" t="s">
        <v>98</v>
      </c>
      <c r="J7999" t="str">
        <f>"0359010"</f>
        <v>0359010</v>
      </c>
      <c r="K7999">
        <v>2797022186</v>
      </c>
      <c r="L7999">
        <v>2797022186</v>
      </c>
      <c r="M7999" t="s">
        <v>37763</v>
      </c>
      <c r="N7999" t="s">
        <v>37764</v>
      </c>
      <c r="P7999">
        <v>22008</v>
      </c>
      <c r="Q7999" t="str">
        <f>"37.728690"</f>
        <v>37.728690</v>
      </c>
      <c r="R7999" t="str">
        <f>"21.956777"</f>
        <v>21.956777</v>
      </c>
      <c r="S7999" t="s">
        <v>26</v>
      </c>
    </row>
    <row r="8000" spans="1:19" x14ac:dyDescent="0.3">
      <c r="A8000" t="s">
        <v>37529</v>
      </c>
      <c r="B8000" t="s">
        <v>37702</v>
      </c>
      <c r="C8000" t="s">
        <v>37766</v>
      </c>
      <c r="D8000" t="s">
        <v>37537</v>
      </c>
      <c r="E8000" t="s">
        <v>37753</v>
      </c>
      <c r="F8000" t="s">
        <v>37754</v>
      </c>
      <c r="G8000" t="s">
        <v>37754</v>
      </c>
      <c r="H8000" t="s">
        <v>97</v>
      </c>
      <c r="I8000" t="s">
        <v>98</v>
      </c>
      <c r="J8000" t="str">
        <f>"0351011"</f>
        <v>0351011</v>
      </c>
      <c r="K8000">
        <v>2757022220</v>
      </c>
      <c r="L8000">
        <v>2757022220</v>
      </c>
      <c r="M8000" t="s">
        <v>37767</v>
      </c>
      <c r="N8000" t="s">
        <v>37757</v>
      </c>
      <c r="O8000" t="s">
        <v>37757</v>
      </c>
      <c r="P8000">
        <v>22300</v>
      </c>
      <c r="Q8000" t="str">
        <f>"37.162369"</f>
        <v>37.162369</v>
      </c>
      <c r="R8000" t="str">
        <f>"22.861918"</f>
        <v>22.861918</v>
      </c>
      <c r="S8000" t="s">
        <v>26</v>
      </c>
    </row>
    <row r="8001" spans="1:19" x14ac:dyDescent="0.3">
      <c r="A8001" t="s">
        <v>37529</v>
      </c>
      <c r="B8001" t="s">
        <v>37702</v>
      </c>
      <c r="C8001" t="s">
        <v>37768</v>
      </c>
      <c r="D8001" t="s">
        <v>37537</v>
      </c>
      <c r="E8001" t="s">
        <v>37726</v>
      </c>
      <c r="F8001" t="s">
        <v>37726</v>
      </c>
      <c r="G8001" t="s">
        <v>37727</v>
      </c>
      <c r="H8001" t="s">
        <v>97</v>
      </c>
      <c r="I8001" t="s">
        <v>98</v>
      </c>
      <c r="J8001" t="str">
        <f>"0352010"</f>
        <v>0352010</v>
      </c>
      <c r="K8001">
        <v>2755022250</v>
      </c>
      <c r="L8001">
        <v>2755029056</v>
      </c>
      <c r="M8001" t="s">
        <v>37769</v>
      </c>
      <c r="N8001" t="s">
        <v>37730</v>
      </c>
      <c r="O8001" t="s">
        <v>37770</v>
      </c>
      <c r="P8001">
        <v>22001</v>
      </c>
      <c r="Q8001" t="str">
        <f>"37.406680"</f>
        <v>37.406680</v>
      </c>
      <c r="R8001" t="str">
        <f>"22.722109"</f>
        <v>22.722109</v>
      </c>
      <c r="S8001" t="s">
        <v>26</v>
      </c>
    </row>
    <row r="8002" spans="1:19" x14ac:dyDescent="0.3">
      <c r="A8002" t="s">
        <v>37529</v>
      </c>
      <c r="B8002" t="s">
        <v>37702</v>
      </c>
      <c r="C8002" t="s">
        <v>37828</v>
      </c>
      <c r="D8002" t="s">
        <v>37537</v>
      </c>
      <c r="E8002" t="s">
        <v>37538</v>
      </c>
      <c r="F8002" t="s">
        <v>37538</v>
      </c>
      <c r="G8002" t="s">
        <v>37539</v>
      </c>
      <c r="H8002" t="s">
        <v>97</v>
      </c>
      <c r="I8002" t="s">
        <v>98</v>
      </c>
      <c r="J8002" t="str">
        <f>"0351010"</f>
        <v>0351010</v>
      </c>
      <c r="K8002">
        <v>2710225969</v>
      </c>
      <c r="L8002">
        <v>2710225969</v>
      </c>
      <c r="M8002" t="s">
        <v>37829</v>
      </c>
      <c r="N8002" t="s">
        <v>37542</v>
      </c>
      <c r="O8002" t="s">
        <v>37788</v>
      </c>
      <c r="P8002">
        <v>22131</v>
      </c>
      <c r="Q8002" t="str">
        <f>"37.504366"</f>
        <v>37.504366</v>
      </c>
      <c r="R8002" t="str">
        <f>"22.365548"</f>
        <v>22.365548</v>
      </c>
      <c r="S8002" t="s">
        <v>26</v>
      </c>
    </row>
    <row r="8003" spans="1:19" x14ac:dyDescent="0.3">
      <c r="A8003" t="s">
        <v>37529</v>
      </c>
      <c r="B8003" t="s">
        <v>37702</v>
      </c>
      <c r="C8003" t="s">
        <v>37835</v>
      </c>
      <c r="D8003" t="s">
        <v>37537</v>
      </c>
      <c r="E8003" t="s">
        <v>37760</v>
      </c>
      <c r="F8003" t="s">
        <v>37808</v>
      </c>
      <c r="G8003" t="s">
        <v>37808</v>
      </c>
      <c r="H8003" t="s">
        <v>97</v>
      </c>
      <c r="I8003" t="s">
        <v>98</v>
      </c>
      <c r="J8003" t="str">
        <f>"0344001"</f>
        <v>0344001</v>
      </c>
      <c r="K8003">
        <v>2795022214</v>
      </c>
      <c r="L8003">
        <v>2795022214</v>
      </c>
      <c r="M8003" t="s">
        <v>37836</v>
      </c>
      <c r="N8003" t="s">
        <v>37812</v>
      </c>
      <c r="O8003" t="s">
        <v>37812</v>
      </c>
      <c r="P8003">
        <v>22010</v>
      </c>
      <c r="Q8003" t="str">
        <f>"37.670162"</f>
        <v>37.670162</v>
      </c>
      <c r="R8003" t="str">
        <f>"22.182665"</f>
        <v>22.182665</v>
      </c>
      <c r="S8003" t="s">
        <v>26</v>
      </c>
    </row>
    <row r="8004" spans="1:19" x14ac:dyDescent="0.3">
      <c r="A8004" t="s">
        <v>37529</v>
      </c>
      <c r="B8004" t="s">
        <v>37844</v>
      </c>
      <c r="C8004" t="s">
        <v>37860</v>
      </c>
      <c r="D8004" t="s">
        <v>37544</v>
      </c>
      <c r="E8004" t="s">
        <v>37545</v>
      </c>
      <c r="F8004" t="s">
        <v>37858</v>
      </c>
      <c r="G8004" t="s">
        <v>37859</v>
      </c>
      <c r="H8004" t="s">
        <v>97</v>
      </c>
      <c r="I8004" t="s">
        <v>98</v>
      </c>
      <c r="J8004" t="str">
        <f>"2859010"</f>
        <v>2859010</v>
      </c>
      <c r="K8004">
        <v>2741098497</v>
      </c>
      <c r="L8004">
        <v>2741098497</v>
      </c>
      <c r="M8004" t="s">
        <v>37861</v>
      </c>
      <c r="N8004" t="s">
        <v>37862</v>
      </c>
      <c r="O8004" t="s">
        <v>37863</v>
      </c>
      <c r="P8004">
        <v>20008</v>
      </c>
      <c r="Q8004" t="str">
        <f>"37.806376"</f>
        <v>37.806376</v>
      </c>
      <c r="R8004" t="str">
        <f>"22.871254"</f>
        <v>22.871254</v>
      </c>
      <c r="S8004" t="s">
        <v>26</v>
      </c>
    </row>
    <row r="8005" spans="1:19" x14ac:dyDescent="0.3">
      <c r="A8005" t="s">
        <v>37529</v>
      </c>
      <c r="B8005" t="s">
        <v>37844</v>
      </c>
      <c r="C8005" t="s">
        <v>37865</v>
      </c>
      <c r="D8005" t="s">
        <v>37544</v>
      </c>
      <c r="E8005" t="s">
        <v>37845</v>
      </c>
      <c r="F8005" t="s">
        <v>22748</v>
      </c>
      <c r="G8005" t="s">
        <v>22748</v>
      </c>
      <c r="H8005" t="s">
        <v>97</v>
      </c>
      <c r="I8005" t="s">
        <v>98</v>
      </c>
      <c r="J8005" t="str">
        <f>"2861010"</f>
        <v>2861010</v>
      </c>
      <c r="K8005">
        <v>2741061900</v>
      </c>
      <c r="L8005">
        <v>2741061791</v>
      </c>
      <c r="M8005" t="s">
        <v>37866</v>
      </c>
      <c r="N8005" t="s">
        <v>37867</v>
      </c>
      <c r="P8005">
        <v>20003</v>
      </c>
      <c r="Q8005" t="str">
        <f>"37.931005"</f>
        <v>37.931005</v>
      </c>
      <c r="R8005" t="str">
        <f>"23.134620"</f>
        <v>23.134620</v>
      </c>
      <c r="S8005" t="s">
        <v>26</v>
      </c>
    </row>
    <row r="8006" spans="1:19" x14ac:dyDescent="0.3">
      <c r="A8006" t="s">
        <v>37529</v>
      </c>
      <c r="B8006" t="s">
        <v>37844</v>
      </c>
      <c r="C8006" t="s">
        <v>37882</v>
      </c>
      <c r="D8006" t="s">
        <v>37544</v>
      </c>
      <c r="E8006" t="s">
        <v>37869</v>
      </c>
      <c r="F8006" t="s">
        <v>37869</v>
      </c>
      <c r="G8006" t="s">
        <v>37869</v>
      </c>
      <c r="H8006" t="s">
        <v>97</v>
      </c>
      <c r="I8006" t="s">
        <v>98</v>
      </c>
      <c r="J8006" t="str">
        <f>"2857010"</f>
        <v>2857010</v>
      </c>
      <c r="K8006">
        <v>2746022448</v>
      </c>
      <c r="L8006">
        <v>2746024328</v>
      </c>
      <c r="M8006" t="s">
        <v>37883</v>
      </c>
      <c r="N8006" t="s">
        <v>37872</v>
      </c>
      <c r="O8006" t="s">
        <v>37884</v>
      </c>
      <c r="P8006">
        <v>20500</v>
      </c>
      <c r="Q8006" t="str">
        <f>"37.817753"</f>
        <v>37.817753</v>
      </c>
      <c r="R8006" t="str">
        <f>"22.659646"</f>
        <v>22.659646</v>
      </c>
      <c r="S8006" t="s">
        <v>26</v>
      </c>
    </row>
    <row r="8007" spans="1:19" x14ac:dyDescent="0.3">
      <c r="A8007" t="s">
        <v>37529</v>
      </c>
      <c r="B8007" t="s">
        <v>37844</v>
      </c>
      <c r="C8007" t="s">
        <v>37891</v>
      </c>
      <c r="D8007" t="s">
        <v>37544</v>
      </c>
      <c r="E8007" t="s">
        <v>37845</v>
      </c>
      <c r="F8007" t="s">
        <v>37846</v>
      </c>
      <c r="G8007" t="s">
        <v>37847</v>
      </c>
      <c r="H8007" t="s">
        <v>97</v>
      </c>
      <c r="I8007" t="s">
        <v>98</v>
      </c>
      <c r="J8007" t="str">
        <f>"2856010"</f>
        <v>2856010</v>
      </c>
      <c r="K8007">
        <v>2744065001</v>
      </c>
      <c r="L8007">
        <v>2744069272</v>
      </c>
      <c r="M8007" t="s">
        <v>37892</v>
      </c>
      <c r="N8007" t="s">
        <v>30857</v>
      </c>
      <c r="O8007" t="s">
        <v>37893</v>
      </c>
      <c r="P8007">
        <v>20300</v>
      </c>
      <c r="Q8007" t="str">
        <f>"37.945698"</f>
        <v>37.945698</v>
      </c>
      <c r="R8007" t="str">
        <f>"22.978572"</f>
        <v>22.978572</v>
      </c>
      <c r="S8007" t="s">
        <v>26</v>
      </c>
    </row>
    <row r="8008" spans="1:19" x14ac:dyDescent="0.3">
      <c r="A8008" t="s">
        <v>37529</v>
      </c>
      <c r="B8008" t="s">
        <v>37844</v>
      </c>
      <c r="C8008" t="s">
        <v>37898</v>
      </c>
      <c r="D8008" t="s">
        <v>37544</v>
      </c>
      <c r="E8008" t="s">
        <v>37895</v>
      </c>
      <c r="F8008" t="s">
        <v>37896</v>
      </c>
      <c r="G8008" t="s">
        <v>37897</v>
      </c>
      <c r="H8008" t="s">
        <v>97</v>
      </c>
      <c r="I8008" t="s">
        <v>98</v>
      </c>
      <c r="J8008" t="str">
        <f>"2851030"</f>
        <v>2851030</v>
      </c>
      <c r="K8008">
        <v>2741055312</v>
      </c>
      <c r="L8008">
        <v>2741056075</v>
      </c>
      <c r="M8008" t="s">
        <v>37899</v>
      </c>
      <c r="N8008" t="s">
        <v>37900</v>
      </c>
      <c r="O8008" t="s">
        <v>37901</v>
      </c>
      <c r="P8008">
        <v>20006</v>
      </c>
      <c r="Q8008" t="str">
        <f>"37.953527"</f>
        <v>37.953527</v>
      </c>
      <c r="R8008" t="str">
        <f>"22.808224"</f>
        <v>22.808224</v>
      </c>
      <c r="S8008" t="s">
        <v>26</v>
      </c>
    </row>
    <row r="8009" spans="1:19" x14ac:dyDescent="0.3">
      <c r="A8009" t="s">
        <v>37529</v>
      </c>
      <c r="B8009" t="s">
        <v>37844</v>
      </c>
      <c r="C8009" t="s">
        <v>37903</v>
      </c>
      <c r="D8009" t="s">
        <v>37544</v>
      </c>
      <c r="E8009" t="s">
        <v>37545</v>
      </c>
      <c r="F8009" t="s">
        <v>37545</v>
      </c>
      <c r="G8009" t="s">
        <v>37546</v>
      </c>
      <c r="H8009" t="s">
        <v>97</v>
      </c>
      <c r="I8009" t="s">
        <v>98</v>
      </c>
      <c r="J8009" t="str">
        <f>"2851050"</f>
        <v>2851050</v>
      </c>
      <c r="K8009">
        <v>2741024718</v>
      </c>
      <c r="L8009">
        <v>2741020677</v>
      </c>
      <c r="M8009" t="s">
        <v>37904</v>
      </c>
      <c r="N8009" t="s">
        <v>37855</v>
      </c>
      <c r="O8009" t="s">
        <v>37905</v>
      </c>
      <c r="P8009">
        <v>20100</v>
      </c>
      <c r="Q8009" t="str">
        <f>"37.936649"</f>
        <v>37.936649</v>
      </c>
      <c r="R8009" t="str">
        <f>"22.950246"</f>
        <v>22.950246</v>
      </c>
      <c r="S8009" t="s">
        <v>26</v>
      </c>
    </row>
    <row r="8010" spans="1:19" x14ac:dyDescent="0.3">
      <c r="A8010" t="s">
        <v>37529</v>
      </c>
      <c r="B8010" t="s">
        <v>37844</v>
      </c>
      <c r="C8010" t="s">
        <v>37907</v>
      </c>
      <c r="D8010" t="s">
        <v>37544</v>
      </c>
      <c r="E8010" t="s">
        <v>37545</v>
      </c>
      <c r="F8010" t="s">
        <v>37545</v>
      </c>
      <c r="G8010" t="s">
        <v>37546</v>
      </c>
      <c r="H8010" t="s">
        <v>97</v>
      </c>
      <c r="I8010" t="s">
        <v>98</v>
      </c>
      <c r="J8010" t="str">
        <f>"2851020"</f>
        <v>2851020</v>
      </c>
      <c r="K8010">
        <v>2741024454</v>
      </c>
      <c r="L8010">
        <v>2741024458</v>
      </c>
      <c r="M8010" t="s">
        <v>37908</v>
      </c>
      <c r="N8010" t="s">
        <v>37855</v>
      </c>
      <c r="O8010" t="s">
        <v>37909</v>
      </c>
      <c r="P8010">
        <v>20131</v>
      </c>
      <c r="Q8010" t="str">
        <f>"37.933165"</f>
        <v>37.933165</v>
      </c>
      <c r="R8010" t="str">
        <f>"22.928698"</f>
        <v>22.928698</v>
      </c>
      <c r="S8010" t="s">
        <v>26</v>
      </c>
    </row>
    <row r="8011" spans="1:19" x14ac:dyDescent="0.3">
      <c r="A8011" t="s">
        <v>37529</v>
      </c>
      <c r="B8011" t="s">
        <v>37844</v>
      </c>
      <c r="C8011" t="s">
        <v>37912</v>
      </c>
      <c r="D8011" t="s">
        <v>37544</v>
      </c>
      <c r="E8011" t="s">
        <v>37545</v>
      </c>
      <c r="F8011" t="s">
        <v>37545</v>
      </c>
      <c r="G8011" t="s">
        <v>37546</v>
      </c>
      <c r="H8011" t="s">
        <v>97</v>
      </c>
      <c r="I8011" t="s">
        <v>98</v>
      </c>
      <c r="J8011" t="str">
        <f>"2851055"</f>
        <v>2851055</v>
      </c>
      <c r="K8011">
        <v>2741076444</v>
      </c>
      <c r="M8011" t="s">
        <v>37913</v>
      </c>
      <c r="N8011" t="s">
        <v>37855</v>
      </c>
      <c r="O8011" t="s">
        <v>37914</v>
      </c>
      <c r="P8011">
        <v>20131</v>
      </c>
      <c r="Q8011" t="str">
        <f>"37.931092"</f>
        <v>37.931092</v>
      </c>
      <c r="R8011" t="str">
        <f>"22.917245"</f>
        <v>22.917245</v>
      </c>
      <c r="S8011" t="s">
        <v>26</v>
      </c>
    </row>
    <row r="8012" spans="1:19" x14ac:dyDescent="0.3">
      <c r="A8012" t="s">
        <v>37529</v>
      </c>
      <c r="B8012" t="s">
        <v>37844</v>
      </c>
      <c r="C8012" t="s">
        <v>37916</v>
      </c>
      <c r="D8012" t="s">
        <v>37544</v>
      </c>
      <c r="E8012" t="s">
        <v>37545</v>
      </c>
      <c r="F8012" t="s">
        <v>37545</v>
      </c>
      <c r="G8012" t="s">
        <v>37546</v>
      </c>
      <c r="H8012" t="s">
        <v>97</v>
      </c>
      <c r="I8012" t="s">
        <v>98</v>
      </c>
      <c r="J8012" t="str">
        <f>"2851010"</f>
        <v>2851010</v>
      </c>
      <c r="K8012">
        <v>2741020863</v>
      </c>
      <c r="L8012">
        <v>2741081303</v>
      </c>
      <c r="M8012" t="s">
        <v>37917</v>
      </c>
      <c r="N8012" t="s">
        <v>37855</v>
      </c>
      <c r="O8012" t="s">
        <v>37918</v>
      </c>
      <c r="P8012">
        <v>20100</v>
      </c>
      <c r="Q8012" t="str">
        <f>"37.933172"</f>
        <v>37.933172</v>
      </c>
      <c r="R8012" t="str">
        <f>"22.927772"</f>
        <v>22.927772</v>
      </c>
      <c r="S8012" t="s">
        <v>26</v>
      </c>
    </row>
    <row r="8013" spans="1:19" x14ac:dyDescent="0.3">
      <c r="A8013" t="s">
        <v>37529</v>
      </c>
      <c r="B8013" t="s">
        <v>37844</v>
      </c>
      <c r="C8013" t="s">
        <v>37919</v>
      </c>
      <c r="D8013" t="s">
        <v>37544</v>
      </c>
      <c r="E8013" t="s">
        <v>37875</v>
      </c>
      <c r="F8013" t="s">
        <v>37876</v>
      </c>
      <c r="G8013" t="s">
        <v>37876</v>
      </c>
      <c r="H8013" t="s">
        <v>97</v>
      </c>
      <c r="I8013" t="s">
        <v>98</v>
      </c>
      <c r="J8013" t="str">
        <f>"2855020"</f>
        <v>2855020</v>
      </c>
      <c r="K8013">
        <v>2743023235</v>
      </c>
      <c r="L8013">
        <v>2743023235</v>
      </c>
      <c r="M8013" t="s">
        <v>37920</v>
      </c>
      <c r="N8013" t="s">
        <v>37879</v>
      </c>
      <c r="O8013" t="s">
        <v>37921</v>
      </c>
      <c r="P8013">
        <v>20400</v>
      </c>
      <c r="Q8013" t="str">
        <f>"38.077262"</f>
        <v>38.077262</v>
      </c>
      <c r="R8013" t="str">
        <f>"22.622514"</f>
        <v>22.622514</v>
      </c>
      <c r="S8013" t="s">
        <v>26</v>
      </c>
    </row>
    <row r="8014" spans="1:19" x14ac:dyDescent="0.3">
      <c r="A8014" t="s">
        <v>37529</v>
      </c>
      <c r="B8014" t="s">
        <v>37844</v>
      </c>
      <c r="C8014" t="s">
        <v>37931</v>
      </c>
      <c r="D8014" t="s">
        <v>37544</v>
      </c>
      <c r="E8014" t="s">
        <v>37875</v>
      </c>
      <c r="F8014" t="s">
        <v>37929</v>
      </c>
      <c r="G8014" t="s">
        <v>37930</v>
      </c>
      <c r="H8014" t="s">
        <v>97</v>
      </c>
      <c r="I8014" t="s">
        <v>98</v>
      </c>
      <c r="J8014" t="str">
        <f>"2854010"</f>
        <v>2854010</v>
      </c>
      <c r="K8014">
        <v>2743032178</v>
      </c>
      <c r="L8014">
        <v>2743032178</v>
      </c>
      <c r="M8014" t="s">
        <v>37932</v>
      </c>
      <c r="N8014" t="s">
        <v>37933</v>
      </c>
      <c r="O8014" t="s">
        <v>37934</v>
      </c>
      <c r="P8014">
        <v>20009</v>
      </c>
      <c r="Q8014" t="str">
        <f>"38.135752"</f>
        <v>38.135752</v>
      </c>
      <c r="R8014" t="str">
        <f>"22.427464"</f>
        <v>22.427464</v>
      </c>
      <c r="S8014" t="s">
        <v>26</v>
      </c>
    </row>
    <row r="8015" spans="1:19" x14ac:dyDescent="0.3">
      <c r="A8015" t="s">
        <v>37529</v>
      </c>
      <c r="B8015" t="s">
        <v>37844</v>
      </c>
      <c r="C8015" t="s">
        <v>37936</v>
      </c>
      <c r="D8015" t="s">
        <v>37544</v>
      </c>
      <c r="E8015" t="s">
        <v>37922</v>
      </c>
      <c r="F8015" t="s">
        <v>37922</v>
      </c>
      <c r="G8015" t="s">
        <v>37923</v>
      </c>
      <c r="H8015" t="s">
        <v>97</v>
      </c>
      <c r="I8015" t="s">
        <v>98</v>
      </c>
      <c r="J8015" t="str">
        <f>"2890070"</f>
        <v>2890070</v>
      </c>
      <c r="K8015">
        <v>2742021643</v>
      </c>
      <c r="L8015">
        <v>2742021643</v>
      </c>
      <c r="M8015" t="s">
        <v>37937</v>
      </c>
      <c r="N8015" t="s">
        <v>37926</v>
      </c>
      <c r="O8015" t="s">
        <v>37938</v>
      </c>
      <c r="P8015">
        <v>20200</v>
      </c>
      <c r="Q8015" t="str">
        <f>"38.012907"</f>
        <v>38.012907</v>
      </c>
      <c r="R8015" t="str">
        <f>"22.738851"</f>
        <v>22.738851</v>
      </c>
      <c r="S8015" t="s">
        <v>26</v>
      </c>
    </row>
    <row r="8016" spans="1:19" x14ac:dyDescent="0.3">
      <c r="A8016" t="s">
        <v>37529</v>
      </c>
      <c r="B8016" t="s">
        <v>37844</v>
      </c>
      <c r="C8016" t="s">
        <v>37940</v>
      </c>
      <c r="D8016" t="s">
        <v>37544</v>
      </c>
      <c r="E8016" t="s">
        <v>37895</v>
      </c>
      <c r="F8016" t="s">
        <v>37939</v>
      </c>
      <c r="G8016" t="s">
        <v>37939</v>
      </c>
      <c r="H8016" t="s">
        <v>97</v>
      </c>
      <c r="I8016" t="s">
        <v>98</v>
      </c>
      <c r="J8016" t="str">
        <f>"2851040"</f>
        <v>2851040</v>
      </c>
      <c r="K8016">
        <v>2742032983</v>
      </c>
      <c r="L8016">
        <v>2742032900</v>
      </c>
      <c r="M8016" t="s">
        <v>37941</v>
      </c>
      <c r="N8016" t="s">
        <v>37942</v>
      </c>
      <c r="O8016" t="s">
        <v>37943</v>
      </c>
      <c r="P8016">
        <v>20002</v>
      </c>
      <c r="Q8016" t="str">
        <f>"37.976611"</f>
        <v>37.976611</v>
      </c>
      <c r="R8016" t="str">
        <f>"22.767631"</f>
        <v>22.767631</v>
      </c>
      <c r="S8016" t="s">
        <v>26</v>
      </c>
    </row>
    <row r="8017" spans="1:19" x14ac:dyDescent="0.3">
      <c r="A8017" t="s">
        <v>37529</v>
      </c>
      <c r="B8017" t="s">
        <v>37844</v>
      </c>
      <c r="C8017" t="s">
        <v>38053</v>
      </c>
      <c r="D8017" t="s">
        <v>37544</v>
      </c>
      <c r="E8017" t="s">
        <v>37922</v>
      </c>
      <c r="F8017" t="s">
        <v>37922</v>
      </c>
      <c r="G8017" t="s">
        <v>37923</v>
      </c>
      <c r="H8017" t="s">
        <v>97</v>
      </c>
      <c r="I8017" t="s">
        <v>98</v>
      </c>
      <c r="J8017" t="str">
        <f>"2855010"</f>
        <v>2855010</v>
      </c>
      <c r="K8017">
        <v>2742022260</v>
      </c>
      <c r="L8017">
        <v>2742022350</v>
      </c>
      <c r="M8017" t="s">
        <v>38054</v>
      </c>
      <c r="N8017" t="s">
        <v>37926</v>
      </c>
      <c r="O8017" t="s">
        <v>38055</v>
      </c>
      <c r="P8017">
        <v>20200</v>
      </c>
      <c r="Q8017" t="str">
        <f>"38.018154"</f>
        <v>38.018154</v>
      </c>
      <c r="R8017" t="str">
        <f>"22.737781"</f>
        <v>22.737781</v>
      </c>
      <c r="S8017" t="s">
        <v>26</v>
      </c>
    </row>
    <row r="8018" spans="1:19" x14ac:dyDescent="0.3">
      <c r="A8018" t="s">
        <v>37529</v>
      </c>
      <c r="B8018" t="s">
        <v>37844</v>
      </c>
      <c r="C8018" t="s">
        <v>38065</v>
      </c>
      <c r="D8018" t="s">
        <v>37544</v>
      </c>
      <c r="E8018" t="s">
        <v>37895</v>
      </c>
      <c r="F8018" t="s">
        <v>37896</v>
      </c>
      <c r="G8018" t="s">
        <v>37945</v>
      </c>
      <c r="H8018" t="s">
        <v>97</v>
      </c>
      <c r="I8018" t="s">
        <v>98</v>
      </c>
      <c r="J8018" t="str">
        <f>"2851035"</f>
        <v>2851035</v>
      </c>
      <c r="K8018">
        <v>2741051143</v>
      </c>
      <c r="L8018">
        <v>2741051143</v>
      </c>
      <c r="M8018" t="s">
        <v>38066</v>
      </c>
      <c r="N8018" t="s">
        <v>38067</v>
      </c>
      <c r="O8018" t="s">
        <v>38068</v>
      </c>
      <c r="P8018">
        <v>20001</v>
      </c>
      <c r="Q8018" t="str">
        <f>"37.941671"</f>
        <v>37.941671</v>
      </c>
      <c r="R8018" t="str">
        <f>"22.795982"</f>
        <v>22.795982</v>
      </c>
      <c r="S8018" t="s">
        <v>26</v>
      </c>
    </row>
    <row r="8019" spans="1:19" x14ac:dyDescent="0.3">
      <c r="A8019" t="s">
        <v>37529</v>
      </c>
      <c r="B8019" t="s">
        <v>38077</v>
      </c>
      <c r="C8019" t="s">
        <v>38079</v>
      </c>
      <c r="D8019" t="s">
        <v>37551</v>
      </c>
      <c r="E8019" t="s">
        <v>38078</v>
      </c>
      <c r="F8019" t="s">
        <v>38078</v>
      </c>
      <c r="G8019" t="s">
        <v>38078</v>
      </c>
      <c r="H8019" t="s">
        <v>97</v>
      </c>
      <c r="I8019" t="s">
        <v>98</v>
      </c>
      <c r="J8019" t="str">
        <f>"3062010"</f>
        <v>3062010</v>
      </c>
      <c r="K8019">
        <v>2732061996</v>
      </c>
      <c r="L8019">
        <v>2732061996</v>
      </c>
      <c r="M8019" t="s">
        <v>38080</v>
      </c>
      <c r="N8019" t="s">
        <v>38081</v>
      </c>
      <c r="O8019" t="s">
        <v>38082</v>
      </c>
      <c r="P8019">
        <v>23070</v>
      </c>
      <c r="Q8019" t="str">
        <f>"36.685833"</f>
        <v>36.685833</v>
      </c>
      <c r="R8019" t="str">
        <f>"23.033308"</f>
        <v>23.033308</v>
      </c>
      <c r="S8019" t="s">
        <v>26</v>
      </c>
    </row>
    <row r="8020" spans="1:19" x14ac:dyDescent="0.3">
      <c r="A8020" t="s">
        <v>37529</v>
      </c>
      <c r="B8020" t="s">
        <v>38077</v>
      </c>
      <c r="C8020" t="s">
        <v>38122</v>
      </c>
      <c r="D8020" t="s">
        <v>37551</v>
      </c>
      <c r="E8020" t="s">
        <v>37552</v>
      </c>
      <c r="F8020" t="s">
        <v>37553</v>
      </c>
      <c r="G8020" t="s">
        <v>37552</v>
      </c>
      <c r="H8020" t="s">
        <v>97</v>
      </c>
      <c r="I8020" t="s">
        <v>195</v>
      </c>
      <c r="J8020" t="str">
        <f>"3051035"</f>
        <v>3051035</v>
      </c>
      <c r="K8020">
        <v>2731082062</v>
      </c>
      <c r="L8020">
        <v>2731082062</v>
      </c>
      <c r="M8020" t="s">
        <v>38123</v>
      </c>
      <c r="N8020" t="s">
        <v>37556</v>
      </c>
      <c r="O8020" t="s">
        <v>38124</v>
      </c>
      <c r="P8020">
        <v>23100</v>
      </c>
      <c r="Q8020" t="str">
        <f>"37.069469"</f>
        <v>37.069469</v>
      </c>
      <c r="R8020" t="str">
        <f>"22.433579"</f>
        <v>22.433579</v>
      </c>
      <c r="S8020" t="s">
        <v>26</v>
      </c>
    </row>
    <row r="8021" spans="1:19" x14ac:dyDescent="0.3">
      <c r="A8021" t="s">
        <v>37529</v>
      </c>
      <c r="B8021" t="s">
        <v>38077</v>
      </c>
      <c r="C8021" t="s">
        <v>38129</v>
      </c>
      <c r="D8021" t="s">
        <v>37551</v>
      </c>
      <c r="E8021" t="s">
        <v>38097</v>
      </c>
      <c r="F8021" t="s">
        <v>38098</v>
      </c>
      <c r="G8021" t="s">
        <v>16876</v>
      </c>
      <c r="H8021" t="s">
        <v>97</v>
      </c>
      <c r="I8021" t="s">
        <v>98</v>
      </c>
      <c r="J8021" t="str">
        <f>"3060010"</f>
        <v>3060010</v>
      </c>
      <c r="K8021">
        <v>2731071221</v>
      </c>
      <c r="L8021">
        <v>2731071221</v>
      </c>
      <c r="M8021" t="s">
        <v>38130</v>
      </c>
      <c r="N8021" t="s">
        <v>16879</v>
      </c>
      <c r="O8021" t="s">
        <v>38101</v>
      </c>
      <c r="P8021">
        <v>23055</v>
      </c>
      <c r="Q8021" t="str">
        <f>"36.992255"</f>
        <v>36.992255</v>
      </c>
      <c r="R8021" t="str">
        <f>"22.705913"</f>
        <v>22.705913</v>
      </c>
      <c r="S8021" t="s">
        <v>26</v>
      </c>
    </row>
    <row r="8022" spans="1:19" x14ac:dyDescent="0.3">
      <c r="A8022" t="s">
        <v>37529</v>
      </c>
      <c r="B8022" t="s">
        <v>38077</v>
      </c>
      <c r="C8022" t="s">
        <v>38131</v>
      </c>
      <c r="D8022" t="s">
        <v>37551</v>
      </c>
      <c r="E8022" t="s">
        <v>38078</v>
      </c>
      <c r="F8022" t="s">
        <v>38103</v>
      </c>
      <c r="G8022" t="s">
        <v>25890</v>
      </c>
      <c r="H8022" t="s">
        <v>97</v>
      </c>
      <c r="I8022" t="s">
        <v>98</v>
      </c>
      <c r="J8022" t="str">
        <f>"3058010"</f>
        <v>3058010</v>
      </c>
      <c r="K8022">
        <v>2734022705</v>
      </c>
      <c r="L8022">
        <v>2734022705</v>
      </c>
      <c r="M8022" t="s">
        <v>38132</v>
      </c>
      <c r="N8022" t="s">
        <v>38133</v>
      </c>
      <c r="O8022" t="s">
        <v>38134</v>
      </c>
      <c r="P8022">
        <v>23053</v>
      </c>
      <c r="Q8022" t="str">
        <f>"36.520880"</f>
        <v>36.520880</v>
      </c>
      <c r="R8022" t="str">
        <f>"23.053892"</f>
        <v>23.053892</v>
      </c>
      <c r="S8022" t="s">
        <v>26</v>
      </c>
    </row>
    <row r="8023" spans="1:19" x14ac:dyDescent="0.3">
      <c r="A8023" t="s">
        <v>37529</v>
      </c>
      <c r="B8023" t="s">
        <v>38077</v>
      </c>
      <c r="C8023" t="s">
        <v>38136</v>
      </c>
      <c r="D8023" t="s">
        <v>37551</v>
      </c>
      <c r="E8023" t="s">
        <v>37552</v>
      </c>
      <c r="F8023" t="s">
        <v>37553</v>
      </c>
      <c r="G8023" t="s">
        <v>37552</v>
      </c>
      <c r="H8023" t="s">
        <v>97</v>
      </c>
      <c r="I8023" t="s">
        <v>98</v>
      </c>
      <c r="J8023" t="str">
        <f>"3051010"</f>
        <v>3051010</v>
      </c>
      <c r="K8023">
        <v>2731026567</v>
      </c>
      <c r="L8023">
        <v>2731026567</v>
      </c>
      <c r="M8023" t="s">
        <v>38137</v>
      </c>
      <c r="N8023" t="s">
        <v>37556</v>
      </c>
      <c r="O8023" t="s">
        <v>38138</v>
      </c>
      <c r="P8023">
        <v>23100</v>
      </c>
      <c r="Q8023" t="str">
        <f>"37.069234"</f>
        <v>37.069234</v>
      </c>
      <c r="R8023" t="str">
        <f>"22.432156"</f>
        <v>22.432156</v>
      </c>
      <c r="S8023" t="s">
        <v>26</v>
      </c>
    </row>
    <row r="8024" spans="1:19" x14ac:dyDescent="0.3">
      <c r="A8024" t="s">
        <v>37529</v>
      </c>
      <c r="B8024" t="s">
        <v>38077</v>
      </c>
      <c r="C8024" t="s">
        <v>38140</v>
      </c>
      <c r="D8024" t="s">
        <v>37551</v>
      </c>
      <c r="E8024" t="s">
        <v>38097</v>
      </c>
      <c r="F8024" t="s">
        <v>38139</v>
      </c>
      <c r="G8024" t="s">
        <v>38139</v>
      </c>
      <c r="H8024" t="s">
        <v>97</v>
      </c>
      <c r="I8024" t="s">
        <v>98</v>
      </c>
      <c r="J8024" t="str">
        <f>"3056010"</f>
        <v>3056010</v>
      </c>
      <c r="K8024">
        <v>2735071464</v>
      </c>
      <c r="L8024">
        <v>2735071463</v>
      </c>
      <c r="M8024" t="s">
        <v>38141</v>
      </c>
      <c r="N8024" t="s">
        <v>38142</v>
      </c>
      <c r="O8024" t="s">
        <v>38143</v>
      </c>
      <c r="P8024">
        <v>23057</v>
      </c>
      <c r="Q8024" t="str">
        <f>"36.879550"</f>
        <v>36.879550</v>
      </c>
      <c r="R8024" t="str">
        <f>"22.546082"</f>
        <v>22.546082</v>
      </c>
      <c r="S8024" t="s">
        <v>26</v>
      </c>
    </row>
    <row r="8025" spans="1:19" x14ac:dyDescent="0.3">
      <c r="A8025" t="s">
        <v>37529</v>
      </c>
      <c r="B8025" t="s">
        <v>38077</v>
      </c>
      <c r="C8025" t="s">
        <v>38145</v>
      </c>
      <c r="D8025" t="s">
        <v>37551</v>
      </c>
      <c r="E8025" t="s">
        <v>37552</v>
      </c>
      <c r="F8025" t="s">
        <v>37553</v>
      </c>
      <c r="G8025" t="s">
        <v>37552</v>
      </c>
      <c r="H8025" t="s">
        <v>97</v>
      </c>
      <c r="I8025" t="s">
        <v>98</v>
      </c>
      <c r="J8025" t="str">
        <f>"3090050"</f>
        <v>3090050</v>
      </c>
      <c r="K8025">
        <v>2731081046</v>
      </c>
      <c r="L8025">
        <v>2731025362</v>
      </c>
      <c r="M8025" t="s">
        <v>38146</v>
      </c>
      <c r="N8025" t="s">
        <v>37556</v>
      </c>
      <c r="O8025" t="s">
        <v>38147</v>
      </c>
      <c r="P8025">
        <v>23100</v>
      </c>
      <c r="Q8025" t="str">
        <f>"37.078771"</f>
        <v>37.078771</v>
      </c>
      <c r="R8025" t="str">
        <f>"22.420987"</f>
        <v>22.420987</v>
      </c>
      <c r="S8025" t="s">
        <v>26</v>
      </c>
    </row>
    <row r="8026" spans="1:19" x14ac:dyDescent="0.3">
      <c r="A8026" t="s">
        <v>37529</v>
      </c>
      <c r="B8026" t="s">
        <v>38077</v>
      </c>
      <c r="C8026" t="s">
        <v>38149</v>
      </c>
      <c r="D8026" t="s">
        <v>37551</v>
      </c>
      <c r="E8026" t="s">
        <v>38097</v>
      </c>
      <c r="F8026" t="s">
        <v>24992</v>
      </c>
      <c r="G8026" t="s">
        <v>24992</v>
      </c>
      <c r="H8026" t="s">
        <v>97</v>
      </c>
      <c r="I8026" t="s">
        <v>98</v>
      </c>
      <c r="J8026" t="str">
        <f>"3056020"</f>
        <v>3056020</v>
      </c>
      <c r="K8026">
        <v>2735023299</v>
      </c>
      <c r="L8026">
        <v>2735023403</v>
      </c>
      <c r="M8026" t="s">
        <v>38150</v>
      </c>
      <c r="N8026" t="s">
        <v>38151</v>
      </c>
      <c r="O8026" t="s">
        <v>38152</v>
      </c>
      <c r="P8026">
        <v>23051</v>
      </c>
      <c r="Q8026" t="str">
        <f>"36.847158"</f>
        <v>36.847158</v>
      </c>
      <c r="R8026" t="str">
        <f>"22.659836"</f>
        <v>22.659836</v>
      </c>
      <c r="S8026" t="s">
        <v>26</v>
      </c>
    </row>
    <row r="8027" spans="1:19" x14ac:dyDescent="0.3">
      <c r="A8027" t="s">
        <v>37529</v>
      </c>
      <c r="B8027" t="s">
        <v>38077</v>
      </c>
      <c r="C8027" t="s">
        <v>38154</v>
      </c>
      <c r="D8027" t="s">
        <v>37551</v>
      </c>
      <c r="E8027" t="s">
        <v>38078</v>
      </c>
      <c r="F8027" t="s">
        <v>38116</v>
      </c>
      <c r="G8027" t="s">
        <v>38116</v>
      </c>
      <c r="H8027" t="s">
        <v>97</v>
      </c>
      <c r="I8027" t="s">
        <v>98</v>
      </c>
      <c r="J8027" t="str">
        <f>"3057010"</f>
        <v>3057010</v>
      </c>
      <c r="K8027">
        <v>2732022335</v>
      </c>
      <c r="L8027">
        <v>2732023886</v>
      </c>
      <c r="M8027" t="s">
        <v>38155</v>
      </c>
      <c r="N8027" t="s">
        <v>38119</v>
      </c>
      <c r="O8027" t="s">
        <v>38120</v>
      </c>
      <c r="P8027">
        <v>23052</v>
      </c>
      <c r="Q8027" t="str">
        <f>"36.802397"</f>
        <v>36.802397</v>
      </c>
      <c r="R8027" t="str">
        <f>"22.859244"</f>
        <v>22.859244</v>
      </c>
      <c r="S8027" t="s">
        <v>26</v>
      </c>
    </row>
    <row r="8028" spans="1:19" x14ac:dyDescent="0.3">
      <c r="A8028" t="s">
        <v>37529</v>
      </c>
      <c r="B8028" t="s">
        <v>38077</v>
      </c>
      <c r="C8028" t="s">
        <v>38158</v>
      </c>
      <c r="D8028" t="s">
        <v>37551</v>
      </c>
      <c r="E8028" t="s">
        <v>38089</v>
      </c>
      <c r="F8028" t="s">
        <v>38156</v>
      </c>
      <c r="G8028" t="s">
        <v>38157</v>
      </c>
      <c r="H8028" t="s">
        <v>97</v>
      </c>
      <c r="I8028" t="s">
        <v>98</v>
      </c>
      <c r="J8028" t="str">
        <f>"3052010"</f>
        <v>3052010</v>
      </c>
      <c r="K8028">
        <v>2733056200</v>
      </c>
      <c r="L8028">
        <v>2733051214</v>
      </c>
      <c r="M8028" t="s">
        <v>38159</v>
      </c>
      <c r="N8028" t="s">
        <v>38160</v>
      </c>
      <c r="O8028" t="s">
        <v>38160</v>
      </c>
      <c r="P8028">
        <v>23062</v>
      </c>
      <c r="Q8028" t="str">
        <f>"36.668513"</f>
        <v>36.668513</v>
      </c>
      <c r="R8028" t="str">
        <f>"22.382034"</f>
        <v>22.382034</v>
      </c>
      <c r="S8028" t="s">
        <v>26</v>
      </c>
    </row>
    <row r="8029" spans="1:19" x14ac:dyDescent="0.3">
      <c r="A8029" t="s">
        <v>37529</v>
      </c>
      <c r="B8029" t="s">
        <v>38077</v>
      </c>
      <c r="C8029" t="s">
        <v>38162</v>
      </c>
      <c r="D8029" t="s">
        <v>37551</v>
      </c>
      <c r="E8029" t="s">
        <v>37552</v>
      </c>
      <c r="F8029" t="s">
        <v>37553</v>
      </c>
      <c r="G8029" t="s">
        <v>37552</v>
      </c>
      <c r="H8029" t="s">
        <v>97</v>
      </c>
      <c r="I8029" t="s">
        <v>98</v>
      </c>
      <c r="J8029" t="str">
        <f>"3051020"</f>
        <v>3051020</v>
      </c>
      <c r="K8029">
        <v>2731026573</v>
      </c>
      <c r="L8029">
        <v>2731026643</v>
      </c>
      <c r="M8029" t="s">
        <v>38163</v>
      </c>
      <c r="N8029" t="s">
        <v>37556</v>
      </c>
      <c r="O8029" t="s">
        <v>38164</v>
      </c>
      <c r="P8029">
        <v>23100</v>
      </c>
      <c r="Q8029" t="str">
        <f>"37.070105"</f>
        <v>37.070105</v>
      </c>
      <c r="R8029" t="str">
        <f>"22.431811"</f>
        <v>22.431811</v>
      </c>
      <c r="S8029" t="s">
        <v>26</v>
      </c>
    </row>
    <row r="8030" spans="1:19" x14ac:dyDescent="0.3">
      <c r="A8030" t="s">
        <v>37529</v>
      </c>
      <c r="B8030" t="s">
        <v>38077</v>
      </c>
      <c r="C8030" t="s">
        <v>38167</v>
      </c>
      <c r="D8030" t="s">
        <v>37551</v>
      </c>
      <c r="E8030" t="s">
        <v>37552</v>
      </c>
      <c r="F8030" t="s">
        <v>38165</v>
      </c>
      <c r="G8030" t="s">
        <v>38166</v>
      </c>
      <c r="H8030" t="s">
        <v>97</v>
      </c>
      <c r="I8030" t="s">
        <v>98</v>
      </c>
      <c r="J8030" t="str">
        <f>"3055010"</f>
        <v>3055010</v>
      </c>
      <c r="K8030">
        <v>2731057046</v>
      </c>
      <c r="L8030">
        <v>2731057046</v>
      </c>
      <c r="M8030" t="s">
        <v>38168</v>
      </c>
      <c r="N8030" t="s">
        <v>38169</v>
      </c>
      <c r="O8030" t="s">
        <v>38170</v>
      </c>
      <c r="P8030">
        <v>23059</v>
      </c>
      <c r="Q8030" t="str">
        <f>"37.170629"</f>
        <v>37.170629</v>
      </c>
      <c r="R8030" t="str">
        <f>"22.306066"</f>
        <v>22.306066</v>
      </c>
      <c r="S8030" t="s">
        <v>26</v>
      </c>
    </row>
    <row r="8031" spans="1:19" x14ac:dyDescent="0.3">
      <c r="A8031" t="s">
        <v>37529</v>
      </c>
      <c r="B8031" t="s">
        <v>38077</v>
      </c>
      <c r="C8031" t="s">
        <v>38172</v>
      </c>
      <c r="D8031" t="s">
        <v>37551</v>
      </c>
      <c r="E8031" t="s">
        <v>38089</v>
      </c>
      <c r="F8031" t="s">
        <v>38090</v>
      </c>
      <c r="G8031" t="s">
        <v>38090</v>
      </c>
      <c r="H8031" t="s">
        <v>97</v>
      </c>
      <c r="I8031" t="s">
        <v>98</v>
      </c>
      <c r="J8031" t="str">
        <f>"3054010"</f>
        <v>3054010</v>
      </c>
      <c r="K8031">
        <v>2733022268</v>
      </c>
      <c r="L8031">
        <v>2733022268</v>
      </c>
      <c r="M8031" t="s">
        <v>38173</v>
      </c>
      <c r="N8031" t="s">
        <v>38174</v>
      </c>
      <c r="O8031" t="s">
        <v>38175</v>
      </c>
      <c r="P8031">
        <v>23200</v>
      </c>
      <c r="Q8031" t="str">
        <f>"36.760681"</f>
        <v>36.760681</v>
      </c>
      <c r="R8031" t="str">
        <f>"22.566202"</f>
        <v>22.566202</v>
      </c>
      <c r="S8031" t="s">
        <v>26</v>
      </c>
    </row>
    <row r="8032" spans="1:19" x14ac:dyDescent="0.3">
      <c r="A8032" t="s">
        <v>37529</v>
      </c>
      <c r="B8032" t="s">
        <v>38077</v>
      </c>
      <c r="C8032" t="s">
        <v>38178</v>
      </c>
      <c r="D8032" t="s">
        <v>37551</v>
      </c>
      <c r="E8032" t="s">
        <v>38097</v>
      </c>
      <c r="F8032" t="s">
        <v>35593</v>
      </c>
      <c r="G8032" t="s">
        <v>38177</v>
      </c>
      <c r="H8032" t="s">
        <v>97</v>
      </c>
      <c r="I8032" t="s">
        <v>98</v>
      </c>
      <c r="J8032" t="str">
        <f>"3051009"</f>
        <v>3051009</v>
      </c>
      <c r="K8032">
        <v>2735042160</v>
      </c>
      <c r="L8032">
        <v>2735042250</v>
      </c>
      <c r="M8032" t="s">
        <v>38179</v>
      </c>
      <c r="N8032" t="s">
        <v>38180</v>
      </c>
      <c r="O8032" t="s">
        <v>38181</v>
      </c>
      <c r="P8032">
        <v>23055</v>
      </c>
      <c r="Q8032" t="str">
        <f>"36.858829"</f>
        <v>36.858829</v>
      </c>
      <c r="R8032" t="str">
        <f>"22.709568"</f>
        <v>22.709568</v>
      </c>
      <c r="S8032" t="s">
        <v>26</v>
      </c>
    </row>
    <row r="8033" spans="1:19" x14ac:dyDescent="0.3">
      <c r="A8033" t="s">
        <v>37529</v>
      </c>
      <c r="B8033" t="s">
        <v>38247</v>
      </c>
      <c r="C8033" t="s">
        <v>38276</v>
      </c>
      <c r="D8033" t="s">
        <v>37558</v>
      </c>
      <c r="E8033" t="s">
        <v>38260</v>
      </c>
      <c r="F8033" t="s">
        <v>38260</v>
      </c>
      <c r="G8033" t="s">
        <v>38260</v>
      </c>
      <c r="H8033" t="s">
        <v>97</v>
      </c>
      <c r="I8033" t="s">
        <v>98</v>
      </c>
      <c r="J8033" t="str">
        <f>"3651060"</f>
        <v>3651060</v>
      </c>
      <c r="K8033">
        <v>2722022351</v>
      </c>
      <c r="L8033">
        <v>2722029037</v>
      </c>
      <c r="M8033" t="s">
        <v>38277</v>
      </c>
      <c r="N8033" t="s">
        <v>38260</v>
      </c>
      <c r="O8033" t="s">
        <v>38278</v>
      </c>
      <c r="P8033">
        <v>24200</v>
      </c>
      <c r="Q8033" t="str">
        <f>"37.051207"</f>
        <v>37.051207</v>
      </c>
      <c r="R8033" t="str">
        <f>"22.003898"</f>
        <v>22.003898</v>
      </c>
      <c r="S8033" t="s">
        <v>26</v>
      </c>
    </row>
    <row r="8034" spans="1:19" x14ac:dyDescent="0.3">
      <c r="A8034" t="s">
        <v>37529</v>
      </c>
      <c r="B8034" t="s">
        <v>38247</v>
      </c>
      <c r="C8034" t="s">
        <v>38281</v>
      </c>
      <c r="D8034" t="s">
        <v>37558</v>
      </c>
      <c r="E8034" t="s">
        <v>37559</v>
      </c>
      <c r="F8034" t="s">
        <v>38280</v>
      </c>
      <c r="G8034" t="s">
        <v>38280</v>
      </c>
      <c r="H8034" t="s">
        <v>97</v>
      </c>
      <c r="I8034" t="s">
        <v>98</v>
      </c>
      <c r="J8034" t="str">
        <f>"3654010"</f>
        <v>3654010</v>
      </c>
      <c r="K8034">
        <v>2721052212</v>
      </c>
      <c r="L8034">
        <v>2721052212</v>
      </c>
      <c r="M8034" t="s">
        <v>38282</v>
      </c>
      <c r="N8034" t="s">
        <v>38283</v>
      </c>
      <c r="O8034" t="s">
        <v>38284</v>
      </c>
      <c r="P8034">
        <v>24009</v>
      </c>
      <c r="Q8034" t="str">
        <f>"37.155631"</f>
        <v>37.155631</v>
      </c>
      <c r="R8034" t="str">
        <f>"22.039289"</f>
        <v>22.039289</v>
      </c>
      <c r="S8034" t="s">
        <v>26</v>
      </c>
    </row>
    <row r="8035" spans="1:19" x14ac:dyDescent="0.3">
      <c r="A8035" t="s">
        <v>37529</v>
      </c>
      <c r="B8035" t="s">
        <v>38247</v>
      </c>
      <c r="C8035" t="s">
        <v>38299</v>
      </c>
      <c r="D8035" t="s">
        <v>37558</v>
      </c>
      <c r="E8035" t="s">
        <v>38252</v>
      </c>
      <c r="F8035" t="s">
        <v>38253</v>
      </c>
      <c r="G8035" t="s">
        <v>38253</v>
      </c>
      <c r="H8035" t="s">
        <v>97</v>
      </c>
      <c r="I8035" t="s">
        <v>98</v>
      </c>
      <c r="J8035" t="str">
        <f>"3659010"</f>
        <v>3659010</v>
      </c>
      <c r="K8035">
        <v>2725022147</v>
      </c>
      <c r="L8035">
        <v>2725022137</v>
      </c>
      <c r="M8035" t="s">
        <v>38300</v>
      </c>
      <c r="N8035" t="s">
        <v>38257</v>
      </c>
      <c r="O8035" t="s">
        <v>38256</v>
      </c>
      <c r="P8035">
        <v>24004</v>
      </c>
      <c r="Q8035" t="str">
        <f>"36.797330"</f>
        <v>36.797330</v>
      </c>
      <c r="R8035" t="str">
        <f>"21.955469"</f>
        <v>21.955469</v>
      </c>
      <c r="S8035" t="s">
        <v>26</v>
      </c>
    </row>
    <row r="8036" spans="1:19" x14ac:dyDescent="0.3">
      <c r="A8036" t="s">
        <v>37529</v>
      </c>
      <c r="B8036" t="s">
        <v>38247</v>
      </c>
      <c r="C8036" t="s">
        <v>38323</v>
      </c>
      <c r="D8036" t="s">
        <v>37558</v>
      </c>
      <c r="E8036" t="s">
        <v>37559</v>
      </c>
      <c r="F8036" t="s">
        <v>37559</v>
      </c>
      <c r="G8036" t="s">
        <v>37559</v>
      </c>
      <c r="H8036" t="s">
        <v>97</v>
      </c>
      <c r="I8036" t="s">
        <v>98</v>
      </c>
      <c r="J8036" t="str">
        <f>"3651030"</f>
        <v>3651030</v>
      </c>
      <c r="K8036">
        <v>2721022529</v>
      </c>
      <c r="L8036">
        <v>2721022529</v>
      </c>
      <c r="M8036" t="s">
        <v>38324</v>
      </c>
      <c r="N8036" t="s">
        <v>37562</v>
      </c>
      <c r="O8036" t="s">
        <v>38325</v>
      </c>
      <c r="P8036">
        <v>24100</v>
      </c>
      <c r="Q8036" t="str">
        <f>"37.035632"</f>
        <v>37.035632</v>
      </c>
      <c r="R8036" t="str">
        <f>"22.125526"</f>
        <v>22.125526</v>
      </c>
      <c r="S8036" t="s">
        <v>26</v>
      </c>
    </row>
    <row r="8037" spans="1:19" x14ac:dyDescent="0.3">
      <c r="A8037" t="s">
        <v>37529</v>
      </c>
      <c r="B8037" t="s">
        <v>38247</v>
      </c>
      <c r="C8037" t="s">
        <v>38329</v>
      </c>
      <c r="D8037" t="s">
        <v>37558</v>
      </c>
      <c r="E8037" t="s">
        <v>38252</v>
      </c>
      <c r="F8037" t="s">
        <v>27066</v>
      </c>
      <c r="G8037" t="s">
        <v>27066</v>
      </c>
      <c r="H8037" t="s">
        <v>97</v>
      </c>
      <c r="I8037" t="s">
        <v>98</v>
      </c>
      <c r="J8037" t="str">
        <f>"3662020"</f>
        <v>3662020</v>
      </c>
      <c r="K8037">
        <v>2723028755</v>
      </c>
      <c r="L8037">
        <v>2723031495</v>
      </c>
      <c r="M8037" t="s">
        <v>38330</v>
      </c>
      <c r="N8037" t="s">
        <v>31266</v>
      </c>
      <c r="O8037" t="s">
        <v>38331</v>
      </c>
      <c r="P8037">
        <v>24006</v>
      </c>
      <c r="Q8037" t="str">
        <f>"36.823110"</f>
        <v>36.823110</v>
      </c>
      <c r="R8037" t="str">
        <f>"21.704834"</f>
        <v>21.704834</v>
      </c>
      <c r="S8037" t="s">
        <v>26</v>
      </c>
    </row>
    <row r="8038" spans="1:19" x14ac:dyDescent="0.3">
      <c r="A8038" t="s">
        <v>37529</v>
      </c>
      <c r="B8038" t="s">
        <v>38247</v>
      </c>
      <c r="C8038" t="s">
        <v>38334</v>
      </c>
      <c r="D8038" t="s">
        <v>37558</v>
      </c>
      <c r="E8038" t="s">
        <v>37559</v>
      </c>
      <c r="F8038" t="s">
        <v>38333</v>
      </c>
      <c r="G8038" t="s">
        <v>38333</v>
      </c>
      <c r="H8038" t="s">
        <v>97</v>
      </c>
      <c r="I8038" t="s">
        <v>98</v>
      </c>
      <c r="J8038" t="str">
        <f>"3651070"</f>
        <v>3651070</v>
      </c>
      <c r="K8038">
        <v>2721032311</v>
      </c>
      <c r="L8038">
        <v>2721032311</v>
      </c>
      <c r="M8038" t="s">
        <v>38335</v>
      </c>
      <c r="N8038" t="s">
        <v>38333</v>
      </c>
      <c r="O8038" t="s">
        <v>38336</v>
      </c>
      <c r="P8038">
        <v>24009</v>
      </c>
      <c r="Q8038" t="str">
        <f>"37.081579"</f>
        <v>37.081579</v>
      </c>
      <c r="R8038" t="str">
        <f>"22.049538"</f>
        <v>22.049538</v>
      </c>
      <c r="S8038" t="s">
        <v>26</v>
      </c>
    </row>
    <row r="8039" spans="1:19" x14ac:dyDescent="0.3">
      <c r="A8039" t="s">
        <v>37529</v>
      </c>
      <c r="B8039" t="s">
        <v>38247</v>
      </c>
      <c r="C8039" t="s">
        <v>38338</v>
      </c>
      <c r="D8039" t="s">
        <v>37558</v>
      </c>
      <c r="E8039" t="s">
        <v>21503</v>
      </c>
      <c r="F8039" t="s">
        <v>38293</v>
      </c>
      <c r="G8039" t="s">
        <v>38293</v>
      </c>
      <c r="H8039" t="s">
        <v>97</v>
      </c>
      <c r="I8039" t="s">
        <v>98</v>
      </c>
      <c r="J8039" t="str">
        <f>"3657010"</f>
        <v>3657010</v>
      </c>
      <c r="K8039">
        <v>2765031200</v>
      </c>
      <c r="L8039">
        <v>2765031200</v>
      </c>
      <c r="M8039" t="s">
        <v>38339</v>
      </c>
      <c r="N8039" t="s">
        <v>38293</v>
      </c>
      <c r="O8039" t="s">
        <v>38297</v>
      </c>
      <c r="P8039">
        <v>24011</v>
      </c>
      <c r="Q8039" t="str">
        <f>"37.289948"</f>
        <v>37.289948</v>
      </c>
      <c r="R8039" t="str">
        <f>"21.858368"</f>
        <v>21.858368</v>
      </c>
      <c r="S8039" t="s">
        <v>26</v>
      </c>
    </row>
    <row r="8040" spans="1:19" x14ac:dyDescent="0.3">
      <c r="A8040" t="s">
        <v>37529</v>
      </c>
      <c r="B8040" t="s">
        <v>38247</v>
      </c>
      <c r="C8040" t="s">
        <v>38341</v>
      </c>
      <c r="D8040" t="s">
        <v>37558</v>
      </c>
      <c r="E8040" t="s">
        <v>38252</v>
      </c>
      <c r="F8040" t="s">
        <v>38340</v>
      </c>
      <c r="G8040" t="s">
        <v>1490</v>
      </c>
      <c r="H8040" t="s">
        <v>97</v>
      </c>
      <c r="I8040" t="s">
        <v>98</v>
      </c>
      <c r="J8040" t="str">
        <f>"3655020"</f>
        <v>3655020</v>
      </c>
      <c r="K8040">
        <v>2763031500</v>
      </c>
      <c r="L8040">
        <v>2763031500</v>
      </c>
      <c r="M8040" t="s">
        <v>38342</v>
      </c>
      <c r="N8040" t="s">
        <v>38343</v>
      </c>
      <c r="O8040" t="s">
        <v>38344</v>
      </c>
      <c r="P8040">
        <v>24001</v>
      </c>
      <c r="Q8040" t="str">
        <f>"37.052949"</f>
        <v>37.052949</v>
      </c>
      <c r="R8040" t="str">
        <f>"21.721521"</f>
        <v>21.721521</v>
      </c>
      <c r="S8040" t="s">
        <v>26</v>
      </c>
    </row>
    <row r="8041" spans="1:19" x14ac:dyDescent="0.3">
      <c r="A8041" t="s">
        <v>37529</v>
      </c>
      <c r="B8041" t="s">
        <v>38247</v>
      </c>
      <c r="C8041" t="s">
        <v>38347</v>
      </c>
      <c r="D8041" t="s">
        <v>37558</v>
      </c>
      <c r="E8041" t="s">
        <v>38260</v>
      </c>
      <c r="F8041" t="s">
        <v>38346</v>
      </c>
      <c r="G8041" t="s">
        <v>38346</v>
      </c>
      <c r="H8041" t="s">
        <v>97</v>
      </c>
      <c r="I8041" t="s">
        <v>98</v>
      </c>
      <c r="J8041" t="str">
        <f>"3653010"</f>
        <v>3653010</v>
      </c>
      <c r="K8041">
        <v>2722092279</v>
      </c>
      <c r="L8041">
        <v>2722092197</v>
      </c>
      <c r="M8041" t="s">
        <v>38348</v>
      </c>
      <c r="N8041" t="s">
        <v>38349</v>
      </c>
      <c r="P8041">
        <v>24015</v>
      </c>
      <c r="Q8041" t="str">
        <f>"37.086497"</f>
        <v>37.086497</v>
      </c>
      <c r="R8041" t="str">
        <f>"21.839923"</f>
        <v>21.839923</v>
      </c>
      <c r="S8041" t="s">
        <v>26</v>
      </c>
    </row>
    <row r="8042" spans="1:19" x14ac:dyDescent="0.3">
      <c r="A8042" t="s">
        <v>37529</v>
      </c>
      <c r="B8042" t="s">
        <v>38247</v>
      </c>
      <c r="C8042" t="s">
        <v>38352</v>
      </c>
      <c r="D8042" t="s">
        <v>37558</v>
      </c>
      <c r="E8042" t="s">
        <v>38252</v>
      </c>
      <c r="F8042" t="s">
        <v>38258</v>
      </c>
      <c r="G8042" t="s">
        <v>38258</v>
      </c>
      <c r="H8042" t="s">
        <v>97</v>
      </c>
      <c r="I8042" t="s">
        <v>98</v>
      </c>
      <c r="J8042" t="str">
        <f>"3662010"</f>
        <v>3662010</v>
      </c>
      <c r="K8042">
        <v>2723022217</v>
      </c>
      <c r="L8042">
        <v>2723022217</v>
      </c>
      <c r="M8042" t="s">
        <v>38353</v>
      </c>
      <c r="N8042" t="s">
        <v>38354</v>
      </c>
      <c r="O8042" t="s">
        <v>38355</v>
      </c>
      <c r="P8042">
        <v>24001</v>
      </c>
      <c r="Q8042" t="str">
        <f>"36.906333"</f>
        <v>36.906333</v>
      </c>
      <c r="R8042" t="str">
        <f>"21.698171"</f>
        <v>21.698171</v>
      </c>
      <c r="S8042" t="s">
        <v>26</v>
      </c>
    </row>
    <row r="8043" spans="1:19" x14ac:dyDescent="0.3">
      <c r="A8043" t="s">
        <v>37529</v>
      </c>
      <c r="B8043" t="s">
        <v>38247</v>
      </c>
      <c r="C8043" t="s">
        <v>38358</v>
      </c>
      <c r="D8043" t="s">
        <v>37558</v>
      </c>
      <c r="E8043" t="s">
        <v>38286</v>
      </c>
      <c r="F8043" t="s">
        <v>38357</v>
      </c>
      <c r="G8043" t="s">
        <v>38357</v>
      </c>
      <c r="H8043" t="s">
        <v>97</v>
      </c>
      <c r="I8043" t="s">
        <v>98</v>
      </c>
      <c r="J8043" t="str">
        <f>"3655010"</f>
        <v>3655010</v>
      </c>
      <c r="K8043">
        <v>2763022968</v>
      </c>
      <c r="L8043">
        <v>2763022215</v>
      </c>
      <c r="M8043" t="s">
        <v>38359</v>
      </c>
      <c r="N8043" t="s">
        <v>38357</v>
      </c>
      <c r="O8043" t="s">
        <v>38360</v>
      </c>
      <c r="P8043">
        <v>24400</v>
      </c>
      <c r="Q8043" t="str">
        <f>"37.064888"</f>
        <v>37.064888</v>
      </c>
      <c r="R8043" t="str">
        <f>"21.638297"</f>
        <v>21.638297</v>
      </c>
      <c r="S8043" t="s">
        <v>26</v>
      </c>
    </row>
    <row r="8044" spans="1:19" x14ac:dyDescent="0.3">
      <c r="A8044" t="s">
        <v>37529</v>
      </c>
      <c r="B8044" t="s">
        <v>38247</v>
      </c>
      <c r="C8044" t="s">
        <v>38362</v>
      </c>
      <c r="D8044" t="s">
        <v>37558</v>
      </c>
      <c r="E8044" t="s">
        <v>37559</v>
      </c>
      <c r="F8044" t="s">
        <v>37559</v>
      </c>
      <c r="G8044" t="s">
        <v>37559</v>
      </c>
      <c r="H8044" t="s">
        <v>97</v>
      </c>
      <c r="I8044" t="s">
        <v>98</v>
      </c>
      <c r="J8044" t="str">
        <f>"3651020"</f>
        <v>3651020</v>
      </c>
      <c r="K8044">
        <v>2721029733</v>
      </c>
      <c r="L8044">
        <v>2721094184</v>
      </c>
      <c r="M8044" t="s">
        <v>38363</v>
      </c>
      <c r="N8044" t="s">
        <v>37562</v>
      </c>
      <c r="O8044" t="s">
        <v>32354</v>
      </c>
      <c r="P8044">
        <v>24100</v>
      </c>
      <c r="Q8044" t="str">
        <f>"37.035203"</f>
        <v>37.035203</v>
      </c>
      <c r="R8044" t="str">
        <f>"22.124533"</f>
        <v>22.124533</v>
      </c>
      <c r="S8044" t="s">
        <v>26</v>
      </c>
    </row>
    <row r="8045" spans="1:19" x14ac:dyDescent="0.3">
      <c r="A8045" t="s">
        <v>37529</v>
      </c>
      <c r="B8045" t="s">
        <v>38247</v>
      </c>
      <c r="C8045" t="s">
        <v>38364</v>
      </c>
      <c r="D8045" t="s">
        <v>37558</v>
      </c>
      <c r="E8045" t="s">
        <v>38260</v>
      </c>
      <c r="F8045" t="s">
        <v>38261</v>
      </c>
      <c r="G8045" t="s">
        <v>38262</v>
      </c>
      <c r="H8045" t="s">
        <v>97</v>
      </c>
      <c r="I8045" t="s">
        <v>98</v>
      </c>
      <c r="J8045" t="str">
        <f>"3652010"</f>
        <v>3652010</v>
      </c>
      <c r="K8045">
        <v>2722041441</v>
      </c>
      <c r="L8045">
        <v>2722041441</v>
      </c>
      <c r="M8045" t="s">
        <v>38365</v>
      </c>
      <c r="N8045" t="s">
        <v>38266</v>
      </c>
      <c r="O8045" t="s">
        <v>38366</v>
      </c>
      <c r="P8045">
        <v>24013</v>
      </c>
      <c r="Q8045" t="str">
        <f>"37.108657"</f>
        <v>37.108657</v>
      </c>
      <c r="R8045" t="str">
        <f>"21.941819"</f>
        <v>21.941819</v>
      </c>
      <c r="S8045" t="s">
        <v>26</v>
      </c>
    </row>
    <row r="8046" spans="1:19" x14ac:dyDescent="0.3">
      <c r="A8046" t="s">
        <v>37529</v>
      </c>
      <c r="B8046" t="s">
        <v>38247</v>
      </c>
      <c r="C8046" t="s">
        <v>38367</v>
      </c>
      <c r="D8046" t="s">
        <v>37558</v>
      </c>
      <c r="E8046" t="s">
        <v>38286</v>
      </c>
      <c r="F8046" t="s">
        <v>38313</v>
      </c>
      <c r="G8046" t="s">
        <v>38313</v>
      </c>
      <c r="H8046" t="s">
        <v>97</v>
      </c>
      <c r="I8046" t="s">
        <v>98</v>
      </c>
      <c r="J8046" t="str">
        <f>"3660010"</f>
        <v>3660010</v>
      </c>
      <c r="K8046">
        <v>2761022345</v>
      </c>
      <c r="L8046">
        <v>2761062037</v>
      </c>
      <c r="M8046" t="s">
        <v>38368</v>
      </c>
      <c r="N8046" t="s">
        <v>38316</v>
      </c>
      <c r="O8046" t="s">
        <v>38369</v>
      </c>
      <c r="P8046">
        <v>24500</v>
      </c>
      <c r="Q8046" t="str">
        <f>"37.247347"</f>
        <v>37.247347</v>
      </c>
      <c r="R8046" t="str">
        <f>"21.667661"</f>
        <v>21.667661</v>
      </c>
      <c r="S8046" t="s">
        <v>26</v>
      </c>
    </row>
    <row r="8047" spans="1:19" x14ac:dyDescent="0.3">
      <c r="A8047" t="s">
        <v>37529</v>
      </c>
      <c r="B8047" t="s">
        <v>38247</v>
      </c>
      <c r="C8047" t="s">
        <v>38370</v>
      </c>
      <c r="D8047" t="s">
        <v>37558</v>
      </c>
      <c r="E8047" t="s">
        <v>37559</v>
      </c>
      <c r="F8047" t="s">
        <v>37559</v>
      </c>
      <c r="G8047" t="s">
        <v>37559</v>
      </c>
      <c r="H8047" t="s">
        <v>97</v>
      </c>
      <c r="I8047" t="s">
        <v>98</v>
      </c>
      <c r="J8047" t="str">
        <f>"3651050"</f>
        <v>3651050</v>
      </c>
      <c r="K8047">
        <v>2721024386</v>
      </c>
      <c r="L8047">
        <v>2721062908</v>
      </c>
      <c r="M8047" t="s">
        <v>38371</v>
      </c>
      <c r="N8047" t="s">
        <v>37562</v>
      </c>
      <c r="O8047" t="s">
        <v>38372</v>
      </c>
      <c r="P8047">
        <v>24132</v>
      </c>
      <c r="Q8047" t="str">
        <f>"37.029124"</f>
        <v>37.029124</v>
      </c>
      <c r="R8047" t="str">
        <f>"22.118661"</f>
        <v>22.118661</v>
      </c>
      <c r="S8047" t="s">
        <v>26</v>
      </c>
    </row>
    <row r="8048" spans="1:19" x14ac:dyDescent="0.3">
      <c r="A8048" t="s">
        <v>37529</v>
      </c>
      <c r="B8048" t="s">
        <v>38247</v>
      </c>
      <c r="C8048" t="s">
        <v>38373</v>
      </c>
      <c r="D8048" t="s">
        <v>37558</v>
      </c>
      <c r="E8048" t="s">
        <v>37559</v>
      </c>
      <c r="F8048" t="s">
        <v>37559</v>
      </c>
      <c r="G8048" t="s">
        <v>37559</v>
      </c>
      <c r="H8048" t="s">
        <v>97</v>
      </c>
      <c r="I8048" t="s">
        <v>98</v>
      </c>
      <c r="J8048" t="str">
        <f>"3651040"</f>
        <v>3651040</v>
      </c>
      <c r="K8048">
        <v>2721021142</v>
      </c>
      <c r="L8048">
        <v>2721021188</v>
      </c>
      <c r="M8048" t="s">
        <v>38374</v>
      </c>
      <c r="N8048" t="s">
        <v>37562</v>
      </c>
      <c r="O8048" t="s">
        <v>38375</v>
      </c>
      <c r="P8048">
        <v>24134</v>
      </c>
      <c r="Q8048" t="str">
        <f>"37.038081"</f>
        <v>37.038081</v>
      </c>
      <c r="R8048" t="str">
        <f>"22.106388"</f>
        <v>22.106388</v>
      </c>
      <c r="S8048" t="s">
        <v>26</v>
      </c>
    </row>
    <row r="8049" spans="1:19" x14ac:dyDescent="0.3">
      <c r="A8049" t="s">
        <v>37529</v>
      </c>
      <c r="B8049" t="s">
        <v>38247</v>
      </c>
      <c r="C8049" t="s">
        <v>38377</v>
      </c>
      <c r="D8049" t="s">
        <v>37558</v>
      </c>
      <c r="E8049" t="s">
        <v>37559</v>
      </c>
      <c r="F8049" t="s">
        <v>37559</v>
      </c>
      <c r="G8049" t="s">
        <v>37559</v>
      </c>
      <c r="H8049" t="s">
        <v>97</v>
      </c>
      <c r="I8049" t="s">
        <v>195</v>
      </c>
      <c r="J8049" t="str">
        <f>"3651028"</f>
        <v>3651028</v>
      </c>
      <c r="K8049">
        <v>2721093228</v>
      </c>
      <c r="L8049">
        <v>2721026270</v>
      </c>
      <c r="M8049" t="s">
        <v>38378</v>
      </c>
      <c r="N8049" t="s">
        <v>37559</v>
      </c>
      <c r="O8049" t="s">
        <v>38379</v>
      </c>
      <c r="P8049">
        <v>24131</v>
      </c>
      <c r="Q8049" t="str">
        <f>"37.034608"</f>
        <v>37.034608</v>
      </c>
      <c r="R8049" t="str">
        <f>"22.113411"</f>
        <v>22.113411</v>
      </c>
      <c r="S8049" t="s">
        <v>26</v>
      </c>
    </row>
    <row r="8050" spans="1:19" x14ac:dyDescent="0.3">
      <c r="A8050" t="s">
        <v>37529</v>
      </c>
      <c r="B8050" t="s">
        <v>38247</v>
      </c>
      <c r="C8050" t="s">
        <v>38382</v>
      </c>
      <c r="D8050" t="s">
        <v>37558</v>
      </c>
      <c r="E8050" t="s">
        <v>21503</v>
      </c>
      <c r="F8050" t="s">
        <v>38381</v>
      </c>
      <c r="G8050" t="s">
        <v>38381</v>
      </c>
      <c r="H8050" t="s">
        <v>97</v>
      </c>
      <c r="I8050" t="s">
        <v>98</v>
      </c>
      <c r="J8050" t="str">
        <f>"3656010"</f>
        <v>3656010</v>
      </c>
      <c r="K8050">
        <v>2724022554</v>
      </c>
      <c r="L8050">
        <v>2724022554</v>
      </c>
      <c r="M8050" t="s">
        <v>38383</v>
      </c>
      <c r="N8050" t="s">
        <v>38384</v>
      </c>
      <c r="O8050" t="s">
        <v>38384</v>
      </c>
      <c r="P8050">
        <v>24002</v>
      </c>
      <c r="Q8050" t="str">
        <f>"37.221457"</f>
        <v>37.221457</v>
      </c>
      <c r="R8050" t="str">
        <f>"21.974631"</f>
        <v>21.974631</v>
      </c>
      <c r="S8050" t="s">
        <v>26</v>
      </c>
    </row>
    <row r="8051" spans="1:19" x14ac:dyDescent="0.3">
      <c r="A8051" t="s">
        <v>37529</v>
      </c>
      <c r="B8051" t="s">
        <v>38247</v>
      </c>
      <c r="C8051" t="s">
        <v>38386</v>
      </c>
      <c r="D8051" t="s">
        <v>37558</v>
      </c>
      <c r="E8051" t="s">
        <v>37559</v>
      </c>
      <c r="F8051" t="s">
        <v>37559</v>
      </c>
      <c r="G8051" t="s">
        <v>37559</v>
      </c>
      <c r="H8051" t="s">
        <v>97</v>
      </c>
      <c r="I8051" t="s">
        <v>98</v>
      </c>
      <c r="J8051" t="str">
        <f>"3651009"</f>
        <v>3651009</v>
      </c>
      <c r="K8051">
        <v>2721080653</v>
      </c>
      <c r="L8051">
        <v>2721063799</v>
      </c>
      <c r="M8051" t="s">
        <v>38387</v>
      </c>
      <c r="N8051" t="s">
        <v>37562</v>
      </c>
      <c r="O8051" t="s">
        <v>38388</v>
      </c>
      <c r="P8051">
        <v>24100</v>
      </c>
      <c r="Q8051" t="str">
        <f>"37.042772"</f>
        <v>37.042772</v>
      </c>
      <c r="R8051" t="str">
        <f>"22.093908"</f>
        <v>22.093908</v>
      </c>
      <c r="S8051" t="s">
        <v>26</v>
      </c>
    </row>
    <row r="8052" spans="1:19" x14ac:dyDescent="0.3">
      <c r="A8052" t="s">
        <v>37529</v>
      </c>
      <c r="B8052" t="s">
        <v>38247</v>
      </c>
      <c r="C8052" t="s">
        <v>38389</v>
      </c>
      <c r="D8052" t="s">
        <v>37558</v>
      </c>
      <c r="E8052" t="s">
        <v>37559</v>
      </c>
      <c r="F8052" t="s">
        <v>37559</v>
      </c>
      <c r="G8052" t="s">
        <v>37559</v>
      </c>
      <c r="H8052" t="s">
        <v>97</v>
      </c>
      <c r="I8052" t="s">
        <v>98</v>
      </c>
      <c r="J8052" t="str">
        <f>"3651010"</f>
        <v>3651010</v>
      </c>
      <c r="K8052">
        <v>2721024525</v>
      </c>
      <c r="L8052">
        <v>2721087821</v>
      </c>
      <c r="M8052" t="s">
        <v>38390</v>
      </c>
      <c r="N8052" t="s">
        <v>38391</v>
      </c>
      <c r="O8052" t="s">
        <v>38392</v>
      </c>
      <c r="P8052">
        <v>24131</v>
      </c>
      <c r="Q8052" t="str">
        <f>"37.026915"</f>
        <v>37.026915</v>
      </c>
      <c r="R8052" t="str">
        <f>"22.106020"</f>
        <v>22.106020</v>
      </c>
      <c r="S8052" t="s">
        <v>26</v>
      </c>
    </row>
    <row r="8053" spans="1:19" x14ac:dyDescent="0.3">
      <c r="A8053" t="s">
        <v>37529</v>
      </c>
      <c r="B8053" t="s">
        <v>38247</v>
      </c>
      <c r="C8053" t="s">
        <v>38489</v>
      </c>
      <c r="D8053" t="s">
        <v>37558</v>
      </c>
      <c r="E8053" t="s">
        <v>38260</v>
      </c>
      <c r="F8053" t="s">
        <v>38437</v>
      </c>
      <c r="G8053" t="s">
        <v>38437</v>
      </c>
      <c r="H8053" t="s">
        <v>97</v>
      </c>
      <c r="I8053" t="s">
        <v>98</v>
      </c>
      <c r="J8053" t="str">
        <f>"3664010"</f>
        <v>3664010</v>
      </c>
      <c r="K8053">
        <v>2722031187</v>
      </c>
      <c r="L8053">
        <v>2722031187</v>
      </c>
      <c r="M8053" t="s">
        <v>38490</v>
      </c>
      <c r="N8053" t="s">
        <v>38441</v>
      </c>
      <c r="O8053" t="s">
        <v>38441</v>
      </c>
      <c r="P8053">
        <v>24005</v>
      </c>
      <c r="Q8053" t="str">
        <f>"36.957012"</f>
        <v>36.957012</v>
      </c>
      <c r="R8053" t="str">
        <f>"21.924851"</f>
        <v>21.924851</v>
      </c>
      <c r="S8053" t="s">
        <v>26</v>
      </c>
    </row>
    <row r="8054" spans="1:19" x14ac:dyDescent="0.3">
      <c r="A8054" t="s">
        <v>37529</v>
      </c>
      <c r="B8054" t="s">
        <v>38247</v>
      </c>
      <c r="C8054" t="s">
        <v>38495</v>
      </c>
      <c r="D8054" t="s">
        <v>37558</v>
      </c>
      <c r="E8054" t="s">
        <v>38286</v>
      </c>
      <c r="F8054" t="s">
        <v>38287</v>
      </c>
      <c r="G8054" t="s">
        <v>38287</v>
      </c>
      <c r="H8054" t="s">
        <v>97</v>
      </c>
      <c r="I8054" t="s">
        <v>98</v>
      </c>
      <c r="J8054" t="str">
        <f>"3665010"</f>
        <v>3665010</v>
      </c>
      <c r="K8054">
        <v>2761033540</v>
      </c>
      <c r="L8054">
        <v>2761032755</v>
      </c>
      <c r="M8054" t="s">
        <v>38496</v>
      </c>
      <c r="N8054" t="s">
        <v>38497</v>
      </c>
      <c r="O8054" t="s">
        <v>38291</v>
      </c>
      <c r="P8054">
        <v>24300</v>
      </c>
      <c r="Q8054" t="str">
        <f>"37.161696"</f>
        <v>37.161696</v>
      </c>
      <c r="R8054" t="str">
        <f>"21.584776"</f>
        <v>21.584776</v>
      </c>
      <c r="S8054" t="s">
        <v>26</v>
      </c>
    </row>
    <row r="8055" spans="1:19" x14ac:dyDescent="0.3">
      <c r="A8055" t="s">
        <v>37529</v>
      </c>
      <c r="B8055" t="s">
        <v>38247</v>
      </c>
      <c r="C8055" t="s">
        <v>38498</v>
      </c>
      <c r="D8055" t="s">
        <v>37558</v>
      </c>
      <c r="E8055" t="s">
        <v>38268</v>
      </c>
      <c r="F8055" t="s">
        <v>38269</v>
      </c>
      <c r="G8055" t="s">
        <v>38270</v>
      </c>
      <c r="H8055" t="s">
        <v>97</v>
      </c>
      <c r="I8055" t="s">
        <v>98</v>
      </c>
      <c r="J8055" t="str">
        <f>"3658011"</f>
        <v>3658011</v>
      </c>
      <c r="K8055">
        <v>2721073247</v>
      </c>
      <c r="L8055">
        <v>2721073355</v>
      </c>
      <c r="M8055" t="s">
        <v>38499</v>
      </c>
      <c r="N8055" t="s">
        <v>38273</v>
      </c>
      <c r="O8055" t="s">
        <v>38274</v>
      </c>
      <c r="P8055">
        <v>24022</v>
      </c>
      <c r="Q8055" t="str">
        <f>"36.887205"</f>
        <v>36.887205</v>
      </c>
      <c r="R8055" t="str">
        <f>"22.232645"</f>
        <v>22.232645</v>
      </c>
      <c r="S8055" t="s">
        <v>26</v>
      </c>
    </row>
    <row r="8056" spans="1:19" x14ac:dyDescent="0.3">
      <c r="A8056" t="s">
        <v>40240</v>
      </c>
      <c r="B8056" t="s">
        <v>40273</v>
      </c>
      <c r="C8056" t="s">
        <v>40291</v>
      </c>
      <c r="D8056" t="s">
        <v>40241</v>
      </c>
      <c r="E8056" t="s">
        <v>40289</v>
      </c>
      <c r="F8056" t="s">
        <v>40290</v>
      </c>
      <c r="G8056" t="s">
        <v>40290</v>
      </c>
      <c r="H8056" t="s">
        <v>97</v>
      </c>
      <c r="I8056" t="s">
        <v>98</v>
      </c>
      <c r="J8056" t="str">
        <f>"0757030"</f>
        <v>0757030</v>
      </c>
      <c r="K8056">
        <v>2262030955</v>
      </c>
      <c r="L8056">
        <v>2262030955</v>
      </c>
      <c r="M8056" t="s">
        <v>40292</v>
      </c>
      <c r="N8056" t="s">
        <v>40293</v>
      </c>
      <c r="O8056" t="s">
        <v>40294</v>
      </c>
      <c r="P8056">
        <v>32011</v>
      </c>
      <c r="Q8056" t="str">
        <f>"38.304737"</f>
        <v>38.304737</v>
      </c>
      <c r="R8056" t="str">
        <f>"23.641755"</f>
        <v>23.641755</v>
      </c>
      <c r="S8056" t="s">
        <v>26</v>
      </c>
    </row>
    <row r="8057" spans="1:19" x14ac:dyDescent="0.3">
      <c r="A8057" t="s">
        <v>40240</v>
      </c>
      <c r="B8057" t="s">
        <v>40273</v>
      </c>
      <c r="C8057" t="s">
        <v>40298</v>
      </c>
      <c r="D8057" t="s">
        <v>40241</v>
      </c>
      <c r="E8057" t="s">
        <v>40289</v>
      </c>
      <c r="F8057" t="s">
        <v>40297</v>
      </c>
      <c r="G8057" t="s">
        <v>40297</v>
      </c>
      <c r="H8057" t="s">
        <v>97</v>
      </c>
      <c r="I8057" t="s">
        <v>98</v>
      </c>
      <c r="J8057" t="str">
        <f>"0757010"</f>
        <v>0757010</v>
      </c>
      <c r="K8057">
        <v>2262058001</v>
      </c>
      <c r="L8057">
        <v>2262058001</v>
      </c>
      <c r="M8057" t="s">
        <v>40299</v>
      </c>
      <c r="N8057" t="s">
        <v>40300</v>
      </c>
      <c r="O8057" t="s">
        <v>40301</v>
      </c>
      <c r="P8057">
        <v>32009</v>
      </c>
      <c r="Q8057" t="str">
        <f>"38.351912"</f>
        <v>38.351912</v>
      </c>
      <c r="R8057" t="str">
        <f>"23.572966"</f>
        <v>23.572966</v>
      </c>
      <c r="S8057" t="s">
        <v>26</v>
      </c>
    </row>
    <row r="8058" spans="1:19" x14ac:dyDescent="0.3">
      <c r="A8058" t="s">
        <v>40240</v>
      </c>
      <c r="B8058" t="s">
        <v>40273</v>
      </c>
      <c r="C8058" t="s">
        <v>40309</v>
      </c>
      <c r="D8058" t="s">
        <v>40241</v>
      </c>
      <c r="E8058" t="s">
        <v>40303</v>
      </c>
      <c r="F8058" t="s">
        <v>40303</v>
      </c>
      <c r="G8058" t="s">
        <v>40303</v>
      </c>
      <c r="H8058" t="s">
        <v>97</v>
      </c>
      <c r="I8058" t="s">
        <v>98</v>
      </c>
      <c r="J8058" t="str">
        <f>"0752022"</f>
        <v>0752022</v>
      </c>
      <c r="K8058">
        <v>2262026150</v>
      </c>
      <c r="L8058">
        <v>2262026150</v>
      </c>
      <c r="M8058" t="s">
        <v>40310</v>
      </c>
      <c r="N8058" t="s">
        <v>40306</v>
      </c>
      <c r="O8058" t="s">
        <v>40311</v>
      </c>
      <c r="P8058">
        <v>32200</v>
      </c>
      <c r="Q8058" t="str">
        <f>"38.328972"</f>
        <v>38.328972</v>
      </c>
      <c r="R8058" t="str">
        <f>"23.310283"</f>
        <v>23.310283</v>
      </c>
      <c r="S8058" t="s">
        <v>26</v>
      </c>
    </row>
    <row r="8059" spans="1:19" x14ac:dyDescent="0.3">
      <c r="A8059" t="s">
        <v>40240</v>
      </c>
      <c r="B8059" t="s">
        <v>40273</v>
      </c>
      <c r="C8059" t="s">
        <v>40334</v>
      </c>
      <c r="D8059" t="s">
        <v>40241</v>
      </c>
      <c r="E8059" t="s">
        <v>40332</v>
      </c>
      <c r="F8059" t="s">
        <v>40333</v>
      </c>
      <c r="G8059" t="s">
        <v>40333</v>
      </c>
      <c r="H8059" t="s">
        <v>97</v>
      </c>
      <c r="I8059" t="s">
        <v>98</v>
      </c>
      <c r="J8059" t="str">
        <f>"0758010"</f>
        <v>0758010</v>
      </c>
      <c r="K8059">
        <v>2268022255</v>
      </c>
      <c r="L8059">
        <v>2268022255</v>
      </c>
      <c r="M8059" t="s">
        <v>40335</v>
      </c>
      <c r="N8059" t="s">
        <v>40336</v>
      </c>
      <c r="O8059" t="s">
        <v>40337</v>
      </c>
      <c r="P8059">
        <v>32001</v>
      </c>
      <c r="Q8059" t="str">
        <f>"38.374432"</f>
        <v>38.374432</v>
      </c>
      <c r="R8059" t="str">
        <f>"23.105306"</f>
        <v>23.105306</v>
      </c>
      <c r="S8059" t="s">
        <v>26</v>
      </c>
    </row>
    <row r="8060" spans="1:19" x14ac:dyDescent="0.3">
      <c r="A8060" t="s">
        <v>40240</v>
      </c>
      <c r="B8060" t="s">
        <v>40273</v>
      </c>
      <c r="C8060" t="s">
        <v>40340</v>
      </c>
      <c r="D8060" t="s">
        <v>40241</v>
      </c>
      <c r="E8060" t="s">
        <v>40339</v>
      </c>
      <c r="F8060" t="s">
        <v>40339</v>
      </c>
      <c r="G8060" t="s">
        <v>40339</v>
      </c>
      <c r="H8060" t="s">
        <v>97</v>
      </c>
      <c r="I8060" t="s">
        <v>98</v>
      </c>
      <c r="J8060" t="str">
        <f>"0751030"</f>
        <v>0751030</v>
      </c>
      <c r="K8060">
        <v>2261032747</v>
      </c>
      <c r="L8060">
        <v>2261033330</v>
      </c>
      <c r="M8060" t="s">
        <v>40341</v>
      </c>
      <c r="N8060" t="s">
        <v>40342</v>
      </c>
      <c r="O8060" t="s">
        <v>27101</v>
      </c>
      <c r="P8060">
        <v>32300</v>
      </c>
      <c r="Q8060" t="str">
        <f>"38.499593"</f>
        <v>38.499593</v>
      </c>
      <c r="R8060" t="str">
        <f>"22.977580"</f>
        <v>22.977580</v>
      </c>
      <c r="S8060" t="s">
        <v>26</v>
      </c>
    </row>
    <row r="8061" spans="1:19" x14ac:dyDescent="0.3">
      <c r="A8061" t="s">
        <v>40240</v>
      </c>
      <c r="B8061" t="s">
        <v>40273</v>
      </c>
      <c r="C8061" t="s">
        <v>40344</v>
      </c>
      <c r="D8061" t="s">
        <v>40241</v>
      </c>
      <c r="E8061" t="s">
        <v>40303</v>
      </c>
      <c r="F8061" t="s">
        <v>40303</v>
      </c>
      <c r="G8061" t="s">
        <v>40303</v>
      </c>
      <c r="H8061" t="s">
        <v>97</v>
      </c>
      <c r="I8061" t="s">
        <v>98</v>
      </c>
      <c r="J8061" t="str">
        <f>"0752010"</f>
        <v>0752010</v>
      </c>
      <c r="K8061">
        <v>2262024500</v>
      </c>
      <c r="L8061">
        <v>2262024500</v>
      </c>
      <c r="M8061" t="s">
        <v>40345</v>
      </c>
      <c r="N8061" t="s">
        <v>40306</v>
      </c>
      <c r="O8061" t="s">
        <v>40346</v>
      </c>
      <c r="P8061">
        <v>32200</v>
      </c>
      <c r="Q8061" t="str">
        <f>"38.321641"</f>
        <v>38.321641</v>
      </c>
      <c r="R8061" t="str">
        <f>"23.311205"</f>
        <v>23.311205</v>
      </c>
      <c r="S8061" t="s">
        <v>26</v>
      </c>
    </row>
    <row r="8062" spans="1:19" x14ac:dyDescent="0.3">
      <c r="A8062" t="s">
        <v>40240</v>
      </c>
      <c r="B8062" t="s">
        <v>40273</v>
      </c>
      <c r="C8062" t="s">
        <v>40350</v>
      </c>
      <c r="D8062" t="s">
        <v>40241</v>
      </c>
      <c r="E8062" t="s">
        <v>40332</v>
      </c>
      <c r="F8062" t="s">
        <v>40348</v>
      </c>
      <c r="G8062" t="s">
        <v>40349</v>
      </c>
      <c r="H8062" t="s">
        <v>97</v>
      </c>
      <c r="I8062" t="s">
        <v>98</v>
      </c>
      <c r="J8062" t="str">
        <f>"0754020"</f>
        <v>0754020</v>
      </c>
      <c r="K8062">
        <v>2262065204</v>
      </c>
      <c r="L8062">
        <v>2262065204</v>
      </c>
      <c r="M8062" t="s">
        <v>40351</v>
      </c>
      <c r="N8062" t="s">
        <v>40352</v>
      </c>
      <c r="O8062" t="s">
        <v>40353</v>
      </c>
      <c r="P8062">
        <v>32001</v>
      </c>
      <c r="Q8062" t="str">
        <f>"38.306922"</f>
        <v>38.306922</v>
      </c>
      <c r="R8062" t="str">
        <f>"23.150155"</f>
        <v>23.150155</v>
      </c>
      <c r="S8062" t="s">
        <v>26</v>
      </c>
    </row>
    <row r="8063" spans="1:19" x14ac:dyDescent="0.3">
      <c r="A8063" t="s">
        <v>40240</v>
      </c>
      <c r="B8063" t="s">
        <v>40273</v>
      </c>
      <c r="C8063" t="s">
        <v>40356</v>
      </c>
      <c r="D8063" t="s">
        <v>40241</v>
      </c>
      <c r="E8063" t="s">
        <v>40354</v>
      </c>
      <c r="F8063" t="s">
        <v>40355</v>
      </c>
      <c r="G8063" t="s">
        <v>40355</v>
      </c>
      <c r="H8063" t="s">
        <v>97</v>
      </c>
      <c r="I8063" t="s">
        <v>98</v>
      </c>
      <c r="J8063" t="str">
        <f>"0762010"</f>
        <v>0762010</v>
      </c>
      <c r="K8063">
        <v>2267041191</v>
      </c>
      <c r="L8063">
        <v>2267041191</v>
      </c>
      <c r="M8063" t="s">
        <v>40357</v>
      </c>
      <c r="N8063" t="s">
        <v>40358</v>
      </c>
      <c r="O8063" t="s">
        <v>40359</v>
      </c>
      <c r="P8063">
        <v>32003</v>
      </c>
      <c r="Q8063" t="str">
        <f>"38.388811"</f>
        <v>38.388811</v>
      </c>
      <c r="R8063" t="str">
        <f>"22.652278"</f>
        <v>22.652278</v>
      </c>
      <c r="S8063" t="s">
        <v>26</v>
      </c>
    </row>
    <row r="8064" spans="1:19" x14ac:dyDescent="0.3">
      <c r="A8064" t="s">
        <v>40240</v>
      </c>
      <c r="B8064" t="s">
        <v>40273</v>
      </c>
      <c r="C8064" t="s">
        <v>40362</v>
      </c>
      <c r="D8064" t="s">
        <v>40241</v>
      </c>
      <c r="E8064" t="s">
        <v>40354</v>
      </c>
      <c r="F8064" t="s">
        <v>40361</v>
      </c>
      <c r="G8064" t="s">
        <v>40361</v>
      </c>
      <c r="H8064" t="s">
        <v>97</v>
      </c>
      <c r="I8064" t="s">
        <v>98</v>
      </c>
      <c r="J8064" t="str">
        <f>"0753010"</f>
        <v>0753010</v>
      </c>
      <c r="K8064">
        <v>2267031555</v>
      </c>
      <c r="L8064">
        <v>2267031221</v>
      </c>
      <c r="M8064" t="s">
        <v>40363</v>
      </c>
      <c r="N8064" t="s">
        <v>40364</v>
      </c>
      <c r="O8064" t="s">
        <v>40365</v>
      </c>
      <c r="P8064">
        <v>32004</v>
      </c>
      <c r="Q8064" t="str">
        <f>"38.480345"</f>
        <v>38.480345</v>
      </c>
      <c r="R8064" t="str">
        <f>"22.581256"</f>
        <v>22.581256</v>
      </c>
      <c r="S8064" t="s">
        <v>26</v>
      </c>
    </row>
    <row r="8065" spans="1:19" x14ac:dyDescent="0.3">
      <c r="A8065" t="s">
        <v>40240</v>
      </c>
      <c r="B8065" t="s">
        <v>40273</v>
      </c>
      <c r="C8065" t="s">
        <v>40367</v>
      </c>
      <c r="D8065" t="s">
        <v>40241</v>
      </c>
      <c r="E8065" t="s">
        <v>40303</v>
      </c>
      <c r="F8065" t="s">
        <v>40303</v>
      </c>
      <c r="G8065" t="s">
        <v>40303</v>
      </c>
      <c r="H8065" t="s">
        <v>97</v>
      </c>
      <c r="I8065" t="s">
        <v>98</v>
      </c>
      <c r="J8065" t="str">
        <f>"0752020"</f>
        <v>0752020</v>
      </c>
      <c r="K8065">
        <v>2262089179</v>
      </c>
      <c r="L8065">
        <v>2262089179</v>
      </c>
      <c r="M8065" t="s">
        <v>40368</v>
      </c>
      <c r="N8065" t="s">
        <v>40306</v>
      </c>
      <c r="O8065" t="s">
        <v>40307</v>
      </c>
      <c r="P8065">
        <v>32200</v>
      </c>
      <c r="Q8065" t="str">
        <f>"38.324006"</f>
        <v>38.324006</v>
      </c>
      <c r="R8065" t="str">
        <f>"23.321253"</f>
        <v>23.321253</v>
      </c>
      <c r="S8065" t="s">
        <v>26</v>
      </c>
    </row>
    <row r="8066" spans="1:19" x14ac:dyDescent="0.3">
      <c r="A8066" t="s">
        <v>40240</v>
      </c>
      <c r="B8066" t="s">
        <v>40273</v>
      </c>
      <c r="C8066" t="s">
        <v>40371</v>
      </c>
      <c r="D8066" t="s">
        <v>40241</v>
      </c>
      <c r="E8066" t="s">
        <v>40303</v>
      </c>
      <c r="F8066" t="s">
        <v>40370</v>
      </c>
      <c r="G8066" t="s">
        <v>40370</v>
      </c>
      <c r="H8066" t="s">
        <v>97</v>
      </c>
      <c r="I8066" t="s">
        <v>98</v>
      </c>
      <c r="J8066" t="str">
        <f>"0754010"</f>
        <v>0754010</v>
      </c>
      <c r="K8066">
        <v>2262061546</v>
      </c>
      <c r="L8066">
        <v>2262061546</v>
      </c>
      <c r="M8066" t="s">
        <v>40372</v>
      </c>
      <c r="N8066" t="s">
        <v>40373</v>
      </c>
      <c r="P8066">
        <v>32002</v>
      </c>
      <c r="Q8066" t="str">
        <f>"38.315370"</f>
        <v>38.315370</v>
      </c>
      <c r="R8066" t="str">
        <f>"23.171243"</f>
        <v>23.171243</v>
      </c>
      <c r="S8066" t="s">
        <v>26</v>
      </c>
    </row>
    <row r="8067" spans="1:19" x14ac:dyDescent="0.3">
      <c r="A8067" t="s">
        <v>40240</v>
      </c>
      <c r="B8067" t="s">
        <v>40273</v>
      </c>
      <c r="C8067" t="s">
        <v>40375</v>
      </c>
      <c r="D8067" t="s">
        <v>40241</v>
      </c>
      <c r="E8067" t="s">
        <v>40242</v>
      </c>
      <c r="F8067" t="s">
        <v>40242</v>
      </c>
      <c r="G8067" t="s">
        <v>40242</v>
      </c>
      <c r="H8067" t="s">
        <v>97</v>
      </c>
      <c r="I8067" t="s">
        <v>98</v>
      </c>
      <c r="J8067" t="str">
        <f>"0751010"</f>
        <v>0751010</v>
      </c>
      <c r="K8067">
        <v>2261029552</v>
      </c>
      <c r="L8067">
        <v>2261029293</v>
      </c>
      <c r="M8067" t="s">
        <v>40376</v>
      </c>
      <c r="N8067" t="s">
        <v>40276</v>
      </c>
      <c r="O8067" t="s">
        <v>40377</v>
      </c>
      <c r="P8067">
        <v>32131</v>
      </c>
      <c r="Q8067" t="str">
        <f>"38.446973"</f>
        <v>38.446973</v>
      </c>
      <c r="R8067" t="str">
        <f>"22.876403"</f>
        <v>22.876403</v>
      </c>
      <c r="S8067" t="s">
        <v>26</v>
      </c>
    </row>
    <row r="8068" spans="1:19" x14ac:dyDescent="0.3">
      <c r="A8068" t="s">
        <v>40240</v>
      </c>
      <c r="B8068" t="s">
        <v>40273</v>
      </c>
      <c r="C8068" t="s">
        <v>40379</v>
      </c>
      <c r="D8068" t="s">
        <v>40241</v>
      </c>
      <c r="E8068" t="s">
        <v>40354</v>
      </c>
      <c r="F8068" t="s">
        <v>40355</v>
      </c>
      <c r="G8068" t="s">
        <v>40355</v>
      </c>
      <c r="H8068" t="s">
        <v>97</v>
      </c>
      <c r="I8068" t="s">
        <v>98</v>
      </c>
      <c r="J8068" t="str">
        <f>"0755010"</f>
        <v>0755010</v>
      </c>
      <c r="K8068">
        <v>2267022492</v>
      </c>
      <c r="L8068">
        <v>2267022492</v>
      </c>
      <c r="M8068" t="s">
        <v>40380</v>
      </c>
      <c r="N8068" t="s">
        <v>40381</v>
      </c>
      <c r="O8068" t="s">
        <v>40382</v>
      </c>
      <c r="P8068">
        <v>32005</v>
      </c>
      <c r="Q8068" t="str">
        <f>"38.427419"</f>
        <v>38.427419</v>
      </c>
      <c r="R8068" t="str">
        <f>"22.671176"</f>
        <v>22.671176</v>
      </c>
      <c r="S8068" t="s">
        <v>26</v>
      </c>
    </row>
    <row r="8069" spans="1:19" x14ac:dyDescent="0.3">
      <c r="A8069" t="s">
        <v>40240</v>
      </c>
      <c r="B8069" t="s">
        <v>40273</v>
      </c>
      <c r="C8069" t="s">
        <v>40482</v>
      </c>
      <c r="D8069" t="s">
        <v>40241</v>
      </c>
      <c r="E8069" t="s">
        <v>40242</v>
      </c>
      <c r="F8069" t="s">
        <v>40242</v>
      </c>
      <c r="G8069" t="s">
        <v>40242</v>
      </c>
      <c r="H8069" t="s">
        <v>97</v>
      </c>
      <c r="I8069" t="s">
        <v>98</v>
      </c>
      <c r="J8069" t="str">
        <f>"0751020"</f>
        <v>0751020</v>
      </c>
      <c r="K8069">
        <v>2261029387</v>
      </c>
      <c r="L8069">
        <v>2261029387</v>
      </c>
      <c r="M8069" t="s">
        <v>40483</v>
      </c>
      <c r="N8069" t="s">
        <v>40281</v>
      </c>
      <c r="O8069" t="s">
        <v>4282</v>
      </c>
      <c r="P8069">
        <v>32131</v>
      </c>
      <c r="Q8069" t="str">
        <f>"38.444117"</f>
        <v>38.444117</v>
      </c>
      <c r="R8069" t="str">
        <f>"22.883405"</f>
        <v>22.883405</v>
      </c>
      <c r="S8069" t="s">
        <v>26</v>
      </c>
    </row>
    <row r="8070" spans="1:19" x14ac:dyDescent="0.3">
      <c r="A8070" t="s">
        <v>40240</v>
      </c>
      <c r="B8070" t="s">
        <v>40505</v>
      </c>
      <c r="C8070" t="s">
        <v>40515</v>
      </c>
      <c r="D8070" t="s">
        <v>40247</v>
      </c>
      <c r="E8070" t="s">
        <v>40248</v>
      </c>
      <c r="F8070" t="s">
        <v>40514</v>
      </c>
      <c r="G8070" t="s">
        <v>16068</v>
      </c>
      <c r="H8070" t="s">
        <v>97</v>
      </c>
      <c r="I8070" t="s">
        <v>98</v>
      </c>
      <c r="J8070" t="str">
        <f>"1251050"</f>
        <v>1251050</v>
      </c>
      <c r="K8070">
        <v>2221052816</v>
      </c>
      <c r="L8070">
        <v>2221052816</v>
      </c>
      <c r="M8070" t="s">
        <v>40516</v>
      </c>
      <c r="N8070" t="s">
        <v>40517</v>
      </c>
      <c r="O8070" t="s">
        <v>40518</v>
      </c>
      <c r="P8070">
        <v>34002</v>
      </c>
      <c r="Q8070" t="str">
        <f>"38.424483"</f>
        <v>38.424483</v>
      </c>
      <c r="R8070" t="str">
        <f>"23.663935"</f>
        <v>23.663935</v>
      </c>
      <c r="S8070" t="s">
        <v>26</v>
      </c>
    </row>
    <row r="8071" spans="1:19" x14ac:dyDescent="0.3">
      <c r="A8071" t="s">
        <v>40240</v>
      </c>
      <c r="B8071" t="s">
        <v>40505</v>
      </c>
      <c r="C8071" t="s">
        <v>40529</v>
      </c>
      <c r="D8071" t="s">
        <v>40247</v>
      </c>
      <c r="E8071" t="s">
        <v>40526</v>
      </c>
      <c r="F8071" t="s">
        <v>40527</v>
      </c>
      <c r="G8071" t="s">
        <v>40528</v>
      </c>
      <c r="H8071" t="s">
        <v>97</v>
      </c>
      <c r="I8071" t="s">
        <v>98</v>
      </c>
      <c r="J8071" t="str">
        <f>"1251060"</f>
        <v>1251060</v>
      </c>
      <c r="K8071">
        <v>2228022858</v>
      </c>
      <c r="L8071">
        <v>2228025491</v>
      </c>
      <c r="M8071" t="s">
        <v>40530</v>
      </c>
      <c r="N8071" t="s">
        <v>40531</v>
      </c>
      <c r="O8071" t="s">
        <v>40532</v>
      </c>
      <c r="P8071">
        <v>34400</v>
      </c>
      <c r="Q8071" t="str">
        <f>"38.574255"</f>
        <v>38.574255</v>
      </c>
      <c r="R8071" t="str">
        <f>"23.637248"</f>
        <v>23.637248</v>
      </c>
      <c r="S8071" t="s">
        <v>26</v>
      </c>
    </row>
    <row r="8072" spans="1:19" x14ac:dyDescent="0.3">
      <c r="A8072" t="s">
        <v>40240</v>
      </c>
      <c r="B8072" t="s">
        <v>40505</v>
      </c>
      <c r="C8072" t="s">
        <v>40534</v>
      </c>
      <c r="D8072" t="s">
        <v>40247</v>
      </c>
      <c r="E8072" t="s">
        <v>40248</v>
      </c>
      <c r="F8072" t="s">
        <v>40248</v>
      </c>
      <c r="G8072" t="s">
        <v>40248</v>
      </c>
      <c r="H8072" t="s">
        <v>97</v>
      </c>
      <c r="I8072" t="s">
        <v>195</v>
      </c>
      <c r="J8072" t="str">
        <f>"1251038"</f>
        <v>1251038</v>
      </c>
      <c r="K8072">
        <v>2221021046</v>
      </c>
      <c r="L8072">
        <v>2221021046</v>
      </c>
      <c r="M8072" t="s">
        <v>40535</v>
      </c>
      <c r="N8072" t="s">
        <v>40536</v>
      </c>
      <c r="O8072" t="s">
        <v>40537</v>
      </c>
      <c r="P8072">
        <v>34133</v>
      </c>
      <c r="Q8072" t="str">
        <f>"38.459499"</f>
        <v>38.459499</v>
      </c>
      <c r="R8072" t="str">
        <f>"23.598767"</f>
        <v>23.598767</v>
      </c>
      <c r="S8072" t="s">
        <v>26</v>
      </c>
    </row>
    <row r="8073" spans="1:19" x14ac:dyDescent="0.3">
      <c r="A8073" t="s">
        <v>40240</v>
      </c>
      <c r="B8073" t="s">
        <v>40505</v>
      </c>
      <c r="C8073" t="s">
        <v>40572</v>
      </c>
      <c r="D8073" t="s">
        <v>40247</v>
      </c>
      <c r="E8073" t="s">
        <v>40248</v>
      </c>
      <c r="F8073" t="s">
        <v>40248</v>
      </c>
      <c r="G8073" t="s">
        <v>40248</v>
      </c>
      <c r="H8073" t="s">
        <v>97</v>
      </c>
      <c r="I8073" t="s">
        <v>98</v>
      </c>
      <c r="J8073" t="str">
        <f>"1251030"</f>
        <v>1251030</v>
      </c>
      <c r="K8073">
        <v>2221043560</v>
      </c>
      <c r="L8073">
        <v>2221045294</v>
      </c>
      <c r="M8073" t="s">
        <v>40573</v>
      </c>
      <c r="N8073" t="s">
        <v>40574</v>
      </c>
      <c r="O8073" t="s">
        <v>11193</v>
      </c>
      <c r="P8073">
        <v>34100</v>
      </c>
      <c r="Q8073" t="str">
        <f>"38.489232"</f>
        <v>38.489232</v>
      </c>
      <c r="R8073" t="str">
        <f>"23.632546"</f>
        <v>23.632546</v>
      </c>
      <c r="S8073" t="s">
        <v>26</v>
      </c>
    </row>
    <row r="8074" spans="1:19" x14ac:dyDescent="0.3">
      <c r="A8074" t="s">
        <v>40240</v>
      </c>
      <c r="B8074" t="s">
        <v>40505</v>
      </c>
      <c r="C8074" t="s">
        <v>40579</v>
      </c>
      <c r="D8074" t="s">
        <v>40247</v>
      </c>
      <c r="E8074" t="s">
        <v>40248</v>
      </c>
      <c r="F8074" t="s">
        <v>40248</v>
      </c>
      <c r="G8074" t="s">
        <v>40248</v>
      </c>
      <c r="H8074" t="s">
        <v>97</v>
      </c>
      <c r="I8074" t="s">
        <v>98</v>
      </c>
      <c r="J8074" t="str">
        <f>"1251020"</f>
        <v>1251020</v>
      </c>
      <c r="K8074">
        <v>2221022694</v>
      </c>
      <c r="L8074">
        <v>2221083630</v>
      </c>
      <c r="M8074" t="s">
        <v>40580</v>
      </c>
      <c r="N8074" t="s">
        <v>40519</v>
      </c>
      <c r="O8074" t="s">
        <v>40581</v>
      </c>
      <c r="P8074">
        <v>34132</v>
      </c>
      <c r="Q8074" t="str">
        <f>"38.455835"</f>
        <v>38.455835</v>
      </c>
      <c r="R8074" t="str">
        <f>"23.596945"</f>
        <v>23.596945</v>
      </c>
      <c r="S8074" t="s">
        <v>26</v>
      </c>
    </row>
    <row r="8075" spans="1:19" x14ac:dyDescent="0.3">
      <c r="A8075" t="s">
        <v>40240</v>
      </c>
      <c r="B8075" t="s">
        <v>40505</v>
      </c>
      <c r="C8075" t="s">
        <v>40584</v>
      </c>
      <c r="D8075" t="s">
        <v>40247</v>
      </c>
      <c r="E8075" t="s">
        <v>40566</v>
      </c>
      <c r="F8075" t="s">
        <v>40582</v>
      </c>
      <c r="G8075" t="s">
        <v>40583</v>
      </c>
      <c r="H8075" t="s">
        <v>97</v>
      </c>
      <c r="I8075" t="s">
        <v>98</v>
      </c>
      <c r="J8075" t="str">
        <f>"1260010"</f>
        <v>1260010</v>
      </c>
      <c r="K8075">
        <v>2226023090</v>
      </c>
      <c r="L8075">
        <v>2226023090</v>
      </c>
      <c r="M8075" t="s">
        <v>40585</v>
      </c>
      <c r="N8075" t="s">
        <v>40586</v>
      </c>
      <c r="O8075" t="s">
        <v>40587</v>
      </c>
      <c r="P8075">
        <v>34300</v>
      </c>
      <c r="Q8075" t="str">
        <f>"38.859926"</f>
        <v>38.859926</v>
      </c>
      <c r="R8075" t="str">
        <f>"23.045437"</f>
        <v>23.045437</v>
      </c>
      <c r="S8075" t="s">
        <v>26</v>
      </c>
    </row>
    <row r="8076" spans="1:19" x14ac:dyDescent="0.3">
      <c r="A8076" t="s">
        <v>40240</v>
      </c>
      <c r="B8076" t="s">
        <v>40505</v>
      </c>
      <c r="C8076" t="s">
        <v>40591</v>
      </c>
      <c r="D8076" t="s">
        <v>40247</v>
      </c>
      <c r="E8076" t="s">
        <v>40589</v>
      </c>
      <c r="F8076" t="s">
        <v>4068</v>
      </c>
      <c r="G8076" t="s">
        <v>40590</v>
      </c>
      <c r="H8076" t="s">
        <v>97</v>
      </c>
      <c r="I8076" t="s">
        <v>98</v>
      </c>
      <c r="J8076" t="str">
        <f>"1255010"</f>
        <v>1255010</v>
      </c>
      <c r="K8076">
        <v>2223031439</v>
      </c>
      <c r="L8076">
        <v>2223031439</v>
      </c>
      <c r="M8076" t="s">
        <v>40592</v>
      </c>
      <c r="N8076" t="s">
        <v>40593</v>
      </c>
      <c r="O8076" t="s">
        <v>40594</v>
      </c>
      <c r="P8076">
        <v>34009</v>
      </c>
      <c r="Q8076" t="str">
        <f>"38.502599"</f>
        <v>38.502599</v>
      </c>
      <c r="R8076" t="str">
        <f>"24.111180"</f>
        <v>24.111180</v>
      </c>
      <c r="S8076" t="s">
        <v>26</v>
      </c>
    </row>
    <row r="8077" spans="1:19" x14ac:dyDescent="0.3">
      <c r="A8077" t="s">
        <v>40240</v>
      </c>
      <c r="B8077" t="s">
        <v>40505</v>
      </c>
      <c r="C8077" t="s">
        <v>40597</v>
      </c>
      <c r="D8077" t="s">
        <v>40247</v>
      </c>
      <c r="E8077" t="s">
        <v>40248</v>
      </c>
      <c r="F8077" t="s">
        <v>40596</v>
      </c>
      <c r="G8077" t="s">
        <v>12041</v>
      </c>
      <c r="H8077" t="s">
        <v>97</v>
      </c>
      <c r="I8077" t="s">
        <v>98</v>
      </c>
      <c r="J8077" t="str">
        <f>"1251070"</f>
        <v>1251070</v>
      </c>
      <c r="K8077">
        <v>2221034220</v>
      </c>
      <c r="L8077">
        <v>2221034220</v>
      </c>
      <c r="M8077" t="s">
        <v>40598</v>
      </c>
      <c r="N8077" t="s">
        <v>40599</v>
      </c>
      <c r="O8077" t="s">
        <v>13405</v>
      </c>
      <c r="P8077">
        <v>34100</v>
      </c>
      <c r="Q8077" t="str">
        <f>"38.402936"</f>
        <v>38.402936</v>
      </c>
      <c r="R8077" t="str">
        <f>"23.601806"</f>
        <v>23.601806</v>
      </c>
      <c r="S8077" t="s">
        <v>26</v>
      </c>
    </row>
    <row r="8078" spans="1:19" x14ac:dyDescent="0.3">
      <c r="A8078" t="s">
        <v>40240</v>
      </c>
      <c r="B8078" t="s">
        <v>40505</v>
      </c>
      <c r="C8078" t="s">
        <v>40602</v>
      </c>
      <c r="D8078" t="s">
        <v>40247</v>
      </c>
      <c r="E8078" t="s">
        <v>40589</v>
      </c>
      <c r="F8078" t="s">
        <v>3213</v>
      </c>
      <c r="G8078" t="s">
        <v>3213</v>
      </c>
      <c r="H8078" t="s">
        <v>97</v>
      </c>
      <c r="I8078" t="s">
        <v>98</v>
      </c>
      <c r="J8078" t="str">
        <f>"1257010"</f>
        <v>1257010</v>
      </c>
      <c r="K8078">
        <v>2222022228</v>
      </c>
      <c r="L8078">
        <v>2222024488</v>
      </c>
      <c r="M8078" t="s">
        <v>40603</v>
      </c>
      <c r="N8078" t="s">
        <v>40604</v>
      </c>
      <c r="O8078" t="s">
        <v>40605</v>
      </c>
      <c r="P8078">
        <v>34003</v>
      </c>
      <c r="Q8078" t="str">
        <f>"38.635283"</f>
        <v>38.635283</v>
      </c>
      <c r="R8078" t="str">
        <f>"24.108792"</f>
        <v>24.108792</v>
      </c>
      <c r="S8078" t="s">
        <v>26</v>
      </c>
    </row>
    <row r="8079" spans="1:19" x14ac:dyDescent="0.3">
      <c r="A8079" t="s">
        <v>40240</v>
      </c>
      <c r="B8079" t="s">
        <v>40505</v>
      </c>
      <c r="C8079" t="s">
        <v>40607</v>
      </c>
      <c r="D8079" t="s">
        <v>40247</v>
      </c>
      <c r="E8079" t="s">
        <v>40539</v>
      </c>
      <c r="F8079" t="s">
        <v>40558</v>
      </c>
      <c r="G8079" t="s">
        <v>40559</v>
      </c>
      <c r="H8079" t="s">
        <v>97</v>
      </c>
      <c r="I8079" t="s">
        <v>98</v>
      </c>
      <c r="J8079" t="str">
        <f>"1262010"</f>
        <v>1262010</v>
      </c>
      <c r="K8079">
        <v>2227022905</v>
      </c>
      <c r="L8079">
        <v>2227022905</v>
      </c>
      <c r="M8079" t="s">
        <v>40608</v>
      </c>
      <c r="N8079" t="s">
        <v>40609</v>
      </c>
      <c r="O8079" t="s">
        <v>40563</v>
      </c>
      <c r="P8079">
        <v>34004</v>
      </c>
      <c r="Q8079" t="str">
        <f>"38.799106"</f>
        <v>38.799106</v>
      </c>
      <c r="R8079" t="str">
        <f>"23.479642"</f>
        <v>23.479642</v>
      </c>
      <c r="S8079" t="s">
        <v>26</v>
      </c>
    </row>
    <row r="8080" spans="1:19" x14ac:dyDescent="0.3">
      <c r="A8080" t="s">
        <v>40240</v>
      </c>
      <c r="B8080" t="s">
        <v>40505</v>
      </c>
      <c r="C8080" t="s">
        <v>40612</v>
      </c>
      <c r="D8080" t="s">
        <v>40247</v>
      </c>
      <c r="E8080" t="s">
        <v>22629</v>
      </c>
      <c r="F8080" t="s">
        <v>40610</v>
      </c>
      <c r="G8080" t="s">
        <v>40611</v>
      </c>
      <c r="H8080" t="s">
        <v>97</v>
      </c>
      <c r="I8080" t="s">
        <v>98</v>
      </c>
      <c r="J8080" t="str">
        <f>"1256010"</f>
        <v>1256010</v>
      </c>
      <c r="K8080">
        <v>2229036893</v>
      </c>
      <c r="L8080">
        <v>2229036818</v>
      </c>
      <c r="M8080" t="s">
        <v>40613</v>
      </c>
      <c r="N8080" t="s">
        <v>40614</v>
      </c>
      <c r="O8080" t="s">
        <v>40615</v>
      </c>
      <c r="P8080">
        <v>34006</v>
      </c>
      <c r="Q8080" t="str">
        <f>"38.394014"</f>
        <v>38.394014</v>
      </c>
      <c r="R8080" t="str">
        <f>"23.877398"</f>
        <v>23.877398</v>
      </c>
      <c r="S8080" t="s">
        <v>26</v>
      </c>
    </row>
    <row r="8081" spans="1:19" x14ac:dyDescent="0.3">
      <c r="A8081" t="s">
        <v>40240</v>
      </c>
      <c r="B8081" t="s">
        <v>40505</v>
      </c>
      <c r="C8081" t="s">
        <v>40618</v>
      </c>
      <c r="D8081" t="s">
        <v>40247</v>
      </c>
      <c r="E8081" t="s">
        <v>40539</v>
      </c>
      <c r="F8081" t="s">
        <v>40617</v>
      </c>
      <c r="G8081" t="s">
        <v>40564</v>
      </c>
      <c r="H8081" t="s">
        <v>97</v>
      </c>
      <c r="I8081" t="s">
        <v>98</v>
      </c>
      <c r="J8081" t="str">
        <f>"1259010"</f>
        <v>1259010</v>
      </c>
      <c r="K8081">
        <v>2227032430</v>
      </c>
      <c r="L8081">
        <v>2227032028</v>
      </c>
      <c r="M8081" t="s">
        <v>40619</v>
      </c>
      <c r="N8081" t="s">
        <v>40620</v>
      </c>
      <c r="O8081" t="s">
        <v>40620</v>
      </c>
      <c r="P8081">
        <v>34005</v>
      </c>
      <c r="Q8081" t="str">
        <f>"38.763313"</f>
        <v>38.763313</v>
      </c>
      <c r="R8081" t="str">
        <f>"23.326381"</f>
        <v>23.326381</v>
      </c>
      <c r="S8081" t="s">
        <v>26</v>
      </c>
    </row>
    <row r="8082" spans="1:19" x14ac:dyDescent="0.3">
      <c r="A8082" t="s">
        <v>40240</v>
      </c>
      <c r="B8082" t="s">
        <v>40505</v>
      </c>
      <c r="C8082" t="s">
        <v>40622</v>
      </c>
      <c r="D8082" t="s">
        <v>40247</v>
      </c>
      <c r="E8082" t="s">
        <v>22629</v>
      </c>
      <c r="F8082" t="s">
        <v>22629</v>
      </c>
      <c r="G8082" t="s">
        <v>22629</v>
      </c>
      <c r="H8082" t="s">
        <v>97</v>
      </c>
      <c r="I8082" t="s">
        <v>98</v>
      </c>
      <c r="J8082" t="str">
        <f>"1256020"</f>
        <v>1256020</v>
      </c>
      <c r="K8082">
        <v>2229064200</v>
      </c>
      <c r="L8082">
        <v>2229064200</v>
      </c>
      <c r="M8082" t="s">
        <v>40623</v>
      </c>
      <c r="N8082" t="s">
        <v>22632</v>
      </c>
      <c r="O8082" t="s">
        <v>22632</v>
      </c>
      <c r="P8082">
        <v>34008</v>
      </c>
      <c r="Q8082" t="str">
        <f>"38.394419"</f>
        <v>38.394419</v>
      </c>
      <c r="R8082" t="str">
        <f>"23.787617"</f>
        <v>23.787617</v>
      </c>
      <c r="S8082" t="s">
        <v>26</v>
      </c>
    </row>
    <row r="8083" spans="1:19" x14ac:dyDescent="0.3">
      <c r="A8083" t="s">
        <v>40240</v>
      </c>
      <c r="B8083" t="s">
        <v>40505</v>
      </c>
      <c r="C8083" t="s">
        <v>40625</v>
      </c>
      <c r="D8083" t="s">
        <v>40247</v>
      </c>
      <c r="E8083" t="s">
        <v>40248</v>
      </c>
      <c r="F8083" t="s">
        <v>40248</v>
      </c>
      <c r="G8083" t="s">
        <v>40248</v>
      </c>
      <c r="H8083" t="s">
        <v>97</v>
      </c>
      <c r="I8083" t="s">
        <v>98</v>
      </c>
      <c r="J8083" t="str">
        <f>"1251046"</f>
        <v>1251046</v>
      </c>
      <c r="K8083">
        <v>2221081271</v>
      </c>
      <c r="L8083">
        <v>2221023878</v>
      </c>
      <c r="M8083" t="s">
        <v>40626</v>
      </c>
      <c r="N8083" t="s">
        <v>40627</v>
      </c>
      <c r="O8083" t="s">
        <v>6224</v>
      </c>
      <c r="P8083">
        <v>34100</v>
      </c>
      <c r="Q8083" t="str">
        <f>"38.470606"</f>
        <v>38.470606</v>
      </c>
      <c r="R8083" t="str">
        <f>"23.578991"</f>
        <v>23.578991</v>
      </c>
      <c r="S8083" t="s">
        <v>26</v>
      </c>
    </row>
    <row r="8084" spans="1:19" x14ac:dyDescent="0.3">
      <c r="A8084" t="s">
        <v>40240</v>
      </c>
      <c r="B8084" t="s">
        <v>40505</v>
      </c>
      <c r="C8084" t="s">
        <v>40635</v>
      </c>
      <c r="D8084" t="s">
        <v>40247</v>
      </c>
      <c r="E8084" t="s">
        <v>40248</v>
      </c>
      <c r="F8084" t="s">
        <v>40249</v>
      </c>
      <c r="G8084" t="s">
        <v>40249</v>
      </c>
      <c r="H8084" t="s">
        <v>97</v>
      </c>
      <c r="I8084" t="s">
        <v>98</v>
      </c>
      <c r="J8084" t="str">
        <f>"1251066"</f>
        <v>1251066</v>
      </c>
      <c r="K8084">
        <v>2221045293</v>
      </c>
      <c r="L8084">
        <v>2221043760</v>
      </c>
      <c r="M8084" t="s">
        <v>40636</v>
      </c>
      <c r="N8084" t="s">
        <v>40637</v>
      </c>
      <c r="O8084" t="s">
        <v>40638</v>
      </c>
      <c r="P8084">
        <v>34600</v>
      </c>
      <c r="Q8084" t="str">
        <f>"38.506995"</f>
        <v>38.506995</v>
      </c>
      <c r="R8084" t="str">
        <f>"23.640133"</f>
        <v>23.640133</v>
      </c>
      <c r="S8084" t="s">
        <v>26</v>
      </c>
    </row>
    <row r="8085" spans="1:19" x14ac:dyDescent="0.3">
      <c r="A8085" t="s">
        <v>40240</v>
      </c>
      <c r="B8085" t="s">
        <v>40505</v>
      </c>
      <c r="C8085" t="s">
        <v>40640</v>
      </c>
      <c r="D8085" t="s">
        <v>40247</v>
      </c>
      <c r="E8085" t="s">
        <v>40248</v>
      </c>
      <c r="F8085" t="s">
        <v>40248</v>
      </c>
      <c r="G8085" t="s">
        <v>40248</v>
      </c>
      <c r="H8085" t="s">
        <v>97</v>
      </c>
      <c r="I8085" t="s">
        <v>98</v>
      </c>
      <c r="J8085" t="str">
        <f>"1251010"</f>
        <v>1251010</v>
      </c>
      <c r="K8085">
        <v>2221022409</v>
      </c>
      <c r="L8085">
        <v>2221022590</v>
      </c>
      <c r="M8085" t="s">
        <v>40641</v>
      </c>
      <c r="N8085" t="s">
        <v>40536</v>
      </c>
      <c r="O8085" t="s">
        <v>40642</v>
      </c>
      <c r="P8085">
        <v>34132</v>
      </c>
      <c r="Q8085" t="str">
        <f>"38.469585"</f>
        <v>38.469585</v>
      </c>
      <c r="R8085" t="str">
        <f>"23.599688"</f>
        <v>23.599688</v>
      </c>
      <c r="S8085" t="s">
        <v>26</v>
      </c>
    </row>
    <row r="8086" spans="1:19" x14ac:dyDescent="0.3">
      <c r="A8086" t="s">
        <v>40240</v>
      </c>
      <c r="B8086" t="s">
        <v>40505</v>
      </c>
      <c r="C8086" t="s">
        <v>40644</v>
      </c>
      <c r="D8086" t="s">
        <v>40247</v>
      </c>
      <c r="E8086" t="s">
        <v>40506</v>
      </c>
      <c r="F8086" t="s">
        <v>40506</v>
      </c>
      <c r="G8086" t="s">
        <v>40506</v>
      </c>
      <c r="H8086" t="s">
        <v>97</v>
      </c>
      <c r="I8086" t="s">
        <v>98</v>
      </c>
      <c r="J8086" t="str">
        <f>"1254010"</f>
        <v>1254010</v>
      </c>
      <c r="K8086">
        <v>2224023281</v>
      </c>
      <c r="L8086">
        <v>2224023281</v>
      </c>
      <c r="M8086" t="s">
        <v>40645</v>
      </c>
      <c r="N8086" t="s">
        <v>40646</v>
      </c>
      <c r="O8086" t="s">
        <v>40647</v>
      </c>
      <c r="P8086">
        <v>34001</v>
      </c>
      <c r="Q8086" t="str">
        <f>"38.008598"</f>
        <v>38.008598</v>
      </c>
      <c r="R8086" t="str">
        <f>"24.434133"</f>
        <v>24.434133</v>
      </c>
      <c r="S8086" t="s">
        <v>26</v>
      </c>
    </row>
    <row r="8087" spans="1:19" x14ac:dyDescent="0.3">
      <c r="A8087" t="s">
        <v>40240</v>
      </c>
      <c r="B8087" t="s">
        <v>40505</v>
      </c>
      <c r="C8087" t="s">
        <v>40648</v>
      </c>
      <c r="D8087" t="s">
        <v>40247</v>
      </c>
      <c r="E8087" t="s">
        <v>40248</v>
      </c>
      <c r="F8087" t="s">
        <v>40248</v>
      </c>
      <c r="G8087" t="s">
        <v>40248</v>
      </c>
      <c r="H8087" t="s">
        <v>97</v>
      </c>
      <c r="I8087" t="s">
        <v>98</v>
      </c>
      <c r="J8087" t="str">
        <f>"1290060"</f>
        <v>1290060</v>
      </c>
      <c r="K8087">
        <v>2221085772</v>
      </c>
      <c r="L8087">
        <v>2221060249</v>
      </c>
      <c r="M8087" t="s">
        <v>40649</v>
      </c>
      <c r="N8087" t="s">
        <v>40536</v>
      </c>
      <c r="O8087" t="s">
        <v>40650</v>
      </c>
      <c r="P8087">
        <v>34100</v>
      </c>
      <c r="Q8087" t="str">
        <f>"38.465963"</f>
        <v>38.465963</v>
      </c>
      <c r="R8087" t="str">
        <f>"23.607611"</f>
        <v>23.607611</v>
      </c>
      <c r="S8087" t="s">
        <v>26</v>
      </c>
    </row>
    <row r="8088" spans="1:19" x14ac:dyDescent="0.3">
      <c r="A8088" t="s">
        <v>40240</v>
      </c>
      <c r="B8088" t="s">
        <v>40505</v>
      </c>
      <c r="C8088" t="s">
        <v>40652</v>
      </c>
      <c r="D8088" t="s">
        <v>40247</v>
      </c>
      <c r="E8088" t="s">
        <v>40521</v>
      </c>
      <c r="F8088" t="s">
        <v>40521</v>
      </c>
      <c r="G8088" t="s">
        <v>40521</v>
      </c>
      <c r="H8088" t="s">
        <v>97</v>
      </c>
      <c r="I8088" t="s">
        <v>98</v>
      </c>
      <c r="J8088" t="str">
        <f>"1263010"</f>
        <v>1263010</v>
      </c>
      <c r="K8088">
        <v>2222091928</v>
      </c>
      <c r="L8088">
        <v>2222091928</v>
      </c>
      <c r="M8088" t="s">
        <v>40653</v>
      </c>
      <c r="N8088" t="s">
        <v>40524</v>
      </c>
      <c r="O8088" t="s">
        <v>40524</v>
      </c>
      <c r="P8088">
        <v>34007</v>
      </c>
      <c r="Q8088" t="str">
        <f>"38.965621"</f>
        <v>38.965621</v>
      </c>
      <c r="R8088" t="str">
        <f>"24.485048"</f>
        <v>24.485048</v>
      </c>
      <c r="S8088" t="s">
        <v>57</v>
      </c>
    </row>
    <row r="8089" spans="1:19" x14ac:dyDescent="0.3">
      <c r="A8089" t="s">
        <v>40240</v>
      </c>
      <c r="B8089" t="s">
        <v>40505</v>
      </c>
      <c r="C8089" t="s">
        <v>40654</v>
      </c>
      <c r="D8089" t="s">
        <v>40247</v>
      </c>
      <c r="E8089" t="s">
        <v>40566</v>
      </c>
      <c r="F8089" t="s">
        <v>40567</v>
      </c>
      <c r="G8089" t="s">
        <v>40567</v>
      </c>
      <c r="H8089" t="s">
        <v>97</v>
      </c>
      <c r="I8089" t="s">
        <v>98</v>
      </c>
      <c r="J8089" t="str">
        <f>"1253010"</f>
        <v>1253010</v>
      </c>
      <c r="K8089">
        <v>2226052529</v>
      </c>
      <c r="L8089">
        <v>2226055447</v>
      </c>
      <c r="M8089" t="s">
        <v>40655</v>
      </c>
      <c r="N8089" t="s">
        <v>40570</v>
      </c>
      <c r="O8089" t="s">
        <v>40570</v>
      </c>
      <c r="P8089">
        <v>34200</v>
      </c>
      <c r="Q8089" t="str">
        <f>"38.952855"</f>
        <v>38.952855</v>
      </c>
      <c r="R8089" t="str">
        <f>"23.152714"</f>
        <v>23.152714</v>
      </c>
      <c r="S8089" t="s">
        <v>26</v>
      </c>
    </row>
    <row r="8090" spans="1:19" x14ac:dyDescent="0.3">
      <c r="A8090" t="s">
        <v>40240</v>
      </c>
      <c r="B8090" t="s">
        <v>40505</v>
      </c>
      <c r="C8090" t="s">
        <v>40785</v>
      </c>
      <c r="D8090" t="s">
        <v>40247</v>
      </c>
      <c r="E8090" t="s">
        <v>40589</v>
      </c>
      <c r="F8090" t="s">
        <v>40667</v>
      </c>
      <c r="G8090" t="s">
        <v>40668</v>
      </c>
      <c r="H8090" t="s">
        <v>97</v>
      </c>
      <c r="I8090" t="s">
        <v>98</v>
      </c>
      <c r="J8090" t="str">
        <f>"1251009"</f>
        <v>1251009</v>
      </c>
      <c r="K8090">
        <v>2223022063</v>
      </c>
      <c r="L8090">
        <v>2223025201</v>
      </c>
      <c r="M8090" t="s">
        <v>40786</v>
      </c>
      <c r="N8090" t="s">
        <v>40671</v>
      </c>
      <c r="O8090" t="s">
        <v>40701</v>
      </c>
      <c r="P8090">
        <v>34500</v>
      </c>
      <c r="Q8090" t="str">
        <f>"38.408141"</f>
        <v>38.408141</v>
      </c>
      <c r="R8090" t="str">
        <f>"24.025217"</f>
        <v>24.025217</v>
      </c>
      <c r="S8090" t="s">
        <v>26</v>
      </c>
    </row>
    <row r="8091" spans="1:19" x14ac:dyDescent="0.3">
      <c r="A8091" t="s">
        <v>40240</v>
      </c>
      <c r="B8091" t="s">
        <v>40505</v>
      </c>
      <c r="C8091" t="s">
        <v>40793</v>
      </c>
      <c r="D8091" t="s">
        <v>40247</v>
      </c>
      <c r="E8091" t="s">
        <v>40589</v>
      </c>
      <c r="F8091" t="s">
        <v>40667</v>
      </c>
      <c r="G8091" t="s">
        <v>40668</v>
      </c>
      <c r="H8091" t="s">
        <v>97</v>
      </c>
      <c r="I8091" t="s">
        <v>98</v>
      </c>
      <c r="J8091" t="str">
        <f>"1252010"</f>
        <v>1252010</v>
      </c>
      <c r="K8091">
        <v>2223022508</v>
      </c>
      <c r="L8091">
        <v>2223022339</v>
      </c>
      <c r="M8091" t="s">
        <v>40794</v>
      </c>
      <c r="N8091" t="s">
        <v>40671</v>
      </c>
      <c r="O8091" t="s">
        <v>40795</v>
      </c>
      <c r="P8091">
        <v>34500</v>
      </c>
      <c r="Q8091" t="str">
        <f>"38.409990"</f>
        <v>38.409990</v>
      </c>
      <c r="R8091" t="str">
        <f>"24.036697"</f>
        <v>24.036697</v>
      </c>
      <c r="S8091" t="s">
        <v>26</v>
      </c>
    </row>
    <row r="8092" spans="1:19" x14ac:dyDescent="0.3">
      <c r="A8092" t="s">
        <v>40240</v>
      </c>
      <c r="B8092" t="s">
        <v>40505</v>
      </c>
      <c r="C8092" t="s">
        <v>40796</v>
      </c>
      <c r="D8092" t="s">
        <v>40247</v>
      </c>
      <c r="E8092" t="s">
        <v>40589</v>
      </c>
      <c r="F8092" t="s">
        <v>40629</v>
      </c>
      <c r="G8092" t="s">
        <v>40629</v>
      </c>
      <c r="H8092" t="s">
        <v>97</v>
      </c>
      <c r="I8092" t="s">
        <v>98</v>
      </c>
      <c r="J8092" t="str">
        <f>"1258010"</f>
        <v>1258010</v>
      </c>
      <c r="K8092">
        <v>2222058465</v>
      </c>
      <c r="L8092">
        <v>2222058890</v>
      </c>
      <c r="M8092" t="s">
        <v>40797</v>
      </c>
      <c r="N8092" t="s">
        <v>40798</v>
      </c>
      <c r="O8092" t="s">
        <v>40792</v>
      </c>
      <c r="P8092">
        <v>34016</v>
      </c>
      <c r="Q8092" t="str">
        <f>"38.547055"</f>
        <v>38.547055</v>
      </c>
      <c r="R8092" t="str">
        <f>"24.025014"</f>
        <v>24.025014</v>
      </c>
      <c r="S8092" t="s">
        <v>26</v>
      </c>
    </row>
    <row r="8093" spans="1:19" x14ac:dyDescent="0.3">
      <c r="A8093" t="s">
        <v>40240</v>
      </c>
      <c r="B8093" t="s">
        <v>40505</v>
      </c>
      <c r="C8093" t="s">
        <v>40827</v>
      </c>
      <c r="D8093" t="s">
        <v>40247</v>
      </c>
      <c r="E8093" t="s">
        <v>40248</v>
      </c>
      <c r="F8093" t="s">
        <v>40809</v>
      </c>
      <c r="G8093" t="s">
        <v>2808</v>
      </c>
      <c r="H8093" t="s">
        <v>97</v>
      </c>
      <c r="I8093" t="s">
        <v>98</v>
      </c>
      <c r="J8093" t="str">
        <f>"1244001"</f>
        <v>1244001</v>
      </c>
      <c r="K8093">
        <v>2221099922</v>
      </c>
      <c r="L8093">
        <v>2221099922</v>
      </c>
      <c r="M8093" t="s">
        <v>40828</v>
      </c>
      <c r="N8093" t="s">
        <v>2805</v>
      </c>
      <c r="O8093" t="s">
        <v>40829</v>
      </c>
      <c r="P8093">
        <v>34100</v>
      </c>
      <c r="Q8093" t="str">
        <f>"38.472922"</f>
        <v>38.472922</v>
      </c>
      <c r="R8093" t="str">
        <f>"23.539128"</f>
        <v>23.539128</v>
      </c>
      <c r="S8093" t="s">
        <v>26</v>
      </c>
    </row>
    <row r="8094" spans="1:19" x14ac:dyDescent="0.3">
      <c r="A8094" t="s">
        <v>40240</v>
      </c>
      <c r="B8094" t="s">
        <v>40835</v>
      </c>
      <c r="C8094" t="s">
        <v>40859</v>
      </c>
      <c r="D8094" t="s">
        <v>40254</v>
      </c>
      <c r="E8094" t="s">
        <v>40255</v>
      </c>
      <c r="F8094" t="s">
        <v>40255</v>
      </c>
      <c r="G8094" t="s">
        <v>40255</v>
      </c>
      <c r="H8094" t="s">
        <v>97</v>
      </c>
      <c r="I8094" t="s">
        <v>98</v>
      </c>
      <c r="J8094" t="str">
        <f>"1351010"</f>
        <v>1351010</v>
      </c>
      <c r="K8094">
        <v>2237022459</v>
      </c>
      <c r="L8094">
        <v>2237022720</v>
      </c>
      <c r="M8094" t="s">
        <v>40860</v>
      </c>
      <c r="N8094" t="s">
        <v>40258</v>
      </c>
      <c r="O8094" t="s">
        <v>937</v>
      </c>
      <c r="P8094">
        <v>36100</v>
      </c>
      <c r="Q8094" t="str">
        <f>"38.915173"</f>
        <v>38.915173</v>
      </c>
      <c r="R8094" t="str">
        <f>"21.789919"</f>
        <v>21.789919</v>
      </c>
      <c r="S8094" t="s">
        <v>26</v>
      </c>
    </row>
    <row r="8095" spans="1:19" x14ac:dyDescent="0.3">
      <c r="A8095" t="s">
        <v>40240</v>
      </c>
      <c r="B8095" t="s">
        <v>40891</v>
      </c>
      <c r="C8095" t="s">
        <v>40924</v>
      </c>
      <c r="D8095" t="s">
        <v>40260</v>
      </c>
      <c r="E8095" t="s">
        <v>40922</v>
      </c>
      <c r="F8095" t="s">
        <v>40923</v>
      </c>
      <c r="G8095" t="s">
        <v>40923</v>
      </c>
      <c r="H8095" t="s">
        <v>97</v>
      </c>
      <c r="I8095" t="s">
        <v>98</v>
      </c>
      <c r="J8095" t="str">
        <f>"4665010"</f>
        <v>4665010</v>
      </c>
      <c r="K8095">
        <v>2233052529</v>
      </c>
      <c r="L8095">
        <v>2233051047</v>
      </c>
      <c r="M8095" t="s">
        <v>40925</v>
      </c>
      <c r="N8095" t="s">
        <v>40926</v>
      </c>
      <c r="O8095" t="s">
        <v>40927</v>
      </c>
      <c r="P8095">
        <v>35001</v>
      </c>
      <c r="Q8095" t="str">
        <f>"38.617829"</f>
        <v>38.617829</v>
      </c>
      <c r="R8095" t="str">
        <f>"23.234674"</f>
        <v>23.234674</v>
      </c>
      <c r="S8095" t="s">
        <v>26</v>
      </c>
    </row>
    <row r="8096" spans="1:19" x14ac:dyDescent="0.3">
      <c r="A8096" t="s">
        <v>40240</v>
      </c>
      <c r="B8096" t="s">
        <v>40891</v>
      </c>
      <c r="C8096" t="s">
        <v>40956</v>
      </c>
      <c r="D8096" t="s">
        <v>40260</v>
      </c>
      <c r="E8096" t="s">
        <v>40904</v>
      </c>
      <c r="F8096" t="s">
        <v>40904</v>
      </c>
      <c r="G8096" t="s">
        <v>40904</v>
      </c>
      <c r="H8096" t="s">
        <v>97</v>
      </c>
      <c r="I8096" t="s">
        <v>98</v>
      </c>
      <c r="J8096" t="str">
        <f>"4655010"</f>
        <v>4655010</v>
      </c>
      <c r="K8096">
        <v>2236022555</v>
      </c>
      <c r="L8096">
        <v>2236023902</v>
      </c>
      <c r="M8096" t="s">
        <v>40957</v>
      </c>
      <c r="N8096" t="s">
        <v>40958</v>
      </c>
      <c r="O8096" t="s">
        <v>40959</v>
      </c>
      <c r="P8096">
        <v>35011</v>
      </c>
      <c r="Q8096" t="str">
        <f>"38.941341"</f>
        <v>38.941341</v>
      </c>
      <c r="R8096" t="str">
        <f>"22.115430"</f>
        <v>22.115430</v>
      </c>
      <c r="S8096" t="s">
        <v>26</v>
      </c>
    </row>
    <row r="8097" spans="1:19" x14ac:dyDescent="0.3">
      <c r="A8097" t="s">
        <v>40240</v>
      </c>
      <c r="B8097" t="s">
        <v>40891</v>
      </c>
      <c r="C8097" t="s">
        <v>40960</v>
      </c>
      <c r="D8097" t="s">
        <v>40260</v>
      </c>
      <c r="E8097" t="s">
        <v>40897</v>
      </c>
      <c r="F8097" t="s">
        <v>40898</v>
      </c>
      <c r="G8097" t="s">
        <v>40898</v>
      </c>
      <c r="H8097" t="s">
        <v>97</v>
      </c>
      <c r="I8097" t="s">
        <v>98</v>
      </c>
      <c r="J8097" t="str">
        <f>"4652010"</f>
        <v>4652010</v>
      </c>
      <c r="K8097">
        <v>2234022230</v>
      </c>
      <c r="L8097">
        <v>2234023491</v>
      </c>
      <c r="M8097" t="s">
        <v>40961</v>
      </c>
      <c r="N8097" t="s">
        <v>40962</v>
      </c>
      <c r="O8097" t="s">
        <v>40963</v>
      </c>
      <c r="P8097">
        <v>35002</v>
      </c>
      <c r="Q8097" t="str">
        <f>"38.642002"</f>
        <v>38.642002</v>
      </c>
      <c r="R8097" t="str">
        <f>"22.588962"</f>
        <v>22.588962</v>
      </c>
      <c r="S8097" t="s">
        <v>26</v>
      </c>
    </row>
    <row r="8098" spans="1:19" x14ac:dyDescent="0.3">
      <c r="A8098" t="s">
        <v>40240</v>
      </c>
      <c r="B8098" t="s">
        <v>40891</v>
      </c>
      <c r="C8098" t="s">
        <v>40964</v>
      </c>
      <c r="D8098" t="s">
        <v>40260</v>
      </c>
      <c r="E8098" t="s">
        <v>40261</v>
      </c>
      <c r="F8098" t="s">
        <v>40261</v>
      </c>
      <c r="G8098" t="s">
        <v>40261</v>
      </c>
      <c r="H8098" t="s">
        <v>97</v>
      </c>
      <c r="I8098" t="s">
        <v>98</v>
      </c>
      <c r="J8098" t="str">
        <f>"4651020"</f>
        <v>4651020</v>
      </c>
      <c r="K8098">
        <v>2231034575</v>
      </c>
      <c r="L8098">
        <v>2231034588</v>
      </c>
      <c r="M8098" t="s">
        <v>40965</v>
      </c>
      <c r="N8098" t="s">
        <v>40264</v>
      </c>
      <c r="O8098" t="s">
        <v>40966</v>
      </c>
      <c r="P8098">
        <v>35133</v>
      </c>
      <c r="Q8098" t="str">
        <f>"38.894182"</f>
        <v>38.894182</v>
      </c>
      <c r="R8098" t="str">
        <f>"22.446422"</f>
        <v>22.446422</v>
      </c>
      <c r="S8098" t="s">
        <v>26</v>
      </c>
    </row>
    <row r="8099" spans="1:19" x14ac:dyDescent="0.3">
      <c r="A8099" t="s">
        <v>40240</v>
      </c>
      <c r="B8099" t="s">
        <v>40891</v>
      </c>
      <c r="C8099" t="s">
        <v>40968</v>
      </c>
      <c r="D8099" t="s">
        <v>40260</v>
      </c>
      <c r="E8099" t="s">
        <v>40261</v>
      </c>
      <c r="F8099" t="s">
        <v>40261</v>
      </c>
      <c r="G8099" t="s">
        <v>40261</v>
      </c>
      <c r="H8099" t="s">
        <v>97</v>
      </c>
      <c r="I8099" t="s">
        <v>98</v>
      </c>
      <c r="J8099" t="str">
        <f>"4651010"</f>
        <v>4651010</v>
      </c>
      <c r="K8099">
        <v>2231025136</v>
      </c>
      <c r="L8099">
        <v>2231036381</v>
      </c>
      <c r="M8099" t="s">
        <v>40969</v>
      </c>
      <c r="N8099" t="s">
        <v>40264</v>
      </c>
      <c r="O8099" t="s">
        <v>40970</v>
      </c>
      <c r="P8099">
        <v>35131</v>
      </c>
      <c r="Q8099" t="str">
        <f>"38.913877"</f>
        <v>38.913877</v>
      </c>
      <c r="R8099" t="str">
        <f>"22.430710"</f>
        <v>22.430710</v>
      </c>
      <c r="S8099" t="s">
        <v>26</v>
      </c>
    </row>
    <row r="8100" spans="1:19" x14ac:dyDescent="0.3">
      <c r="A8100" t="s">
        <v>40240</v>
      </c>
      <c r="B8100" t="s">
        <v>40891</v>
      </c>
      <c r="C8100" t="s">
        <v>40972</v>
      </c>
      <c r="D8100" t="s">
        <v>40260</v>
      </c>
      <c r="E8100" t="s">
        <v>40261</v>
      </c>
      <c r="F8100" t="s">
        <v>40261</v>
      </c>
      <c r="G8100" t="s">
        <v>40261</v>
      </c>
      <c r="H8100" t="s">
        <v>97</v>
      </c>
      <c r="I8100" t="s">
        <v>98</v>
      </c>
      <c r="J8100" t="str">
        <f>"4651040"</f>
        <v>4651040</v>
      </c>
      <c r="K8100">
        <v>2231039700</v>
      </c>
      <c r="M8100" t="s">
        <v>40973</v>
      </c>
      <c r="N8100" t="s">
        <v>40264</v>
      </c>
      <c r="O8100" t="s">
        <v>40974</v>
      </c>
      <c r="P8100">
        <v>35132</v>
      </c>
      <c r="Q8100" t="str">
        <f>"38.835100"</f>
        <v>38.835100</v>
      </c>
      <c r="R8100" t="str">
        <f>"22.410395"</f>
        <v>22.410395</v>
      </c>
      <c r="S8100" t="s">
        <v>26</v>
      </c>
    </row>
    <row r="8101" spans="1:19" x14ac:dyDescent="0.3">
      <c r="A8101" t="s">
        <v>40240</v>
      </c>
      <c r="B8101" t="s">
        <v>40891</v>
      </c>
      <c r="C8101" t="s">
        <v>40976</v>
      </c>
      <c r="D8101" t="s">
        <v>40260</v>
      </c>
      <c r="E8101" t="s">
        <v>40261</v>
      </c>
      <c r="F8101" t="s">
        <v>40975</v>
      </c>
      <c r="G8101" t="s">
        <v>40975</v>
      </c>
      <c r="H8101" t="s">
        <v>97</v>
      </c>
      <c r="I8101" t="s">
        <v>98</v>
      </c>
      <c r="J8101" t="str">
        <f>"4658010"</f>
        <v>4658010</v>
      </c>
      <c r="K8101">
        <v>2231098224</v>
      </c>
      <c r="L8101">
        <v>2231098063</v>
      </c>
      <c r="M8101" t="s">
        <v>40977</v>
      </c>
      <c r="N8101" t="s">
        <v>40978</v>
      </c>
      <c r="O8101" t="s">
        <v>40979</v>
      </c>
      <c r="P8101">
        <v>35016</v>
      </c>
      <c r="Q8101" t="str">
        <f>"38.871390"</f>
        <v>38.871390</v>
      </c>
      <c r="R8101" t="str">
        <f>"22.236940"</f>
        <v>22.236940</v>
      </c>
      <c r="S8101" t="s">
        <v>26</v>
      </c>
    </row>
    <row r="8102" spans="1:19" x14ac:dyDescent="0.3">
      <c r="A8102" t="s">
        <v>40240</v>
      </c>
      <c r="B8102" t="s">
        <v>40891</v>
      </c>
      <c r="C8102" t="s">
        <v>40981</v>
      </c>
      <c r="D8102" t="s">
        <v>40260</v>
      </c>
      <c r="E8102" t="s">
        <v>40261</v>
      </c>
      <c r="F8102" t="s">
        <v>40261</v>
      </c>
      <c r="G8102" t="s">
        <v>40261</v>
      </c>
      <c r="H8102" t="s">
        <v>97</v>
      </c>
      <c r="I8102" t="s">
        <v>98</v>
      </c>
      <c r="J8102" t="str">
        <f>"4651030"</f>
        <v>4651030</v>
      </c>
      <c r="K8102">
        <v>2231021337</v>
      </c>
      <c r="L8102">
        <v>2231021316</v>
      </c>
      <c r="M8102" t="s">
        <v>40982</v>
      </c>
      <c r="N8102" t="s">
        <v>40264</v>
      </c>
      <c r="O8102" t="s">
        <v>40983</v>
      </c>
      <c r="P8102">
        <v>35131</v>
      </c>
      <c r="Q8102" t="str">
        <f>"38.903367"</f>
        <v>38.903367</v>
      </c>
      <c r="R8102" t="str">
        <f>"22.446551"</f>
        <v>22.446551</v>
      </c>
      <c r="S8102" t="s">
        <v>26</v>
      </c>
    </row>
    <row r="8103" spans="1:19" x14ac:dyDescent="0.3">
      <c r="A8103" t="s">
        <v>40240</v>
      </c>
      <c r="B8103" t="s">
        <v>40891</v>
      </c>
      <c r="C8103" t="s">
        <v>40984</v>
      </c>
      <c r="D8103" t="s">
        <v>40260</v>
      </c>
      <c r="E8103" t="s">
        <v>40261</v>
      </c>
      <c r="F8103" t="s">
        <v>40261</v>
      </c>
      <c r="G8103" t="s">
        <v>40261</v>
      </c>
      <c r="H8103" t="s">
        <v>97</v>
      </c>
      <c r="I8103" t="s">
        <v>195</v>
      </c>
      <c r="J8103" t="str">
        <f>"4651038"</f>
        <v>4651038</v>
      </c>
      <c r="K8103">
        <v>2231034416</v>
      </c>
      <c r="L8103">
        <v>2231034416</v>
      </c>
      <c r="M8103" t="s">
        <v>40985</v>
      </c>
      <c r="N8103" t="s">
        <v>40894</v>
      </c>
      <c r="O8103" t="s">
        <v>40952</v>
      </c>
      <c r="P8103">
        <v>35131</v>
      </c>
      <c r="Q8103" t="str">
        <f>"38.900073"</f>
        <v>38.900073</v>
      </c>
      <c r="R8103" t="str">
        <f>"22.436629"</f>
        <v>22.436629</v>
      </c>
      <c r="S8103" t="s">
        <v>26</v>
      </c>
    </row>
    <row r="8104" spans="1:19" x14ac:dyDescent="0.3">
      <c r="A8104" t="s">
        <v>40240</v>
      </c>
      <c r="B8104" t="s">
        <v>40891</v>
      </c>
      <c r="C8104" t="s">
        <v>40991</v>
      </c>
      <c r="D8104" t="s">
        <v>40260</v>
      </c>
      <c r="E8104" t="s">
        <v>40922</v>
      </c>
      <c r="F8104" t="s">
        <v>40989</v>
      </c>
      <c r="G8104" t="s">
        <v>40990</v>
      </c>
      <c r="H8104" t="s">
        <v>97</v>
      </c>
      <c r="I8104" t="s">
        <v>98</v>
      </c>
      <c r="J8104" t="str">
        <f>"4661010"</f>
        <v>4661010</v>
      </c>
      <c r="K8104">
        <v>2233061498</v>
      </c>
      <c r="L8104">
        <v>2233061498</v>
      </c>
      <c r="M8104" t="s">
        <v>40992</v>
      </c>
      <c r="N8104" t="s">
        <v>40993</v>
      </c>
      <c r="O8104" t="s">
        <v>40994</v>
      </c>
      <c r="P8104">
        <v>35005</v>
      </c>
      <c r="Q8104" t="str">
        <f>"38.566883"</f>
        <v>38.566883</v>
      </c>
      <c r="R8104" t="str">
        <f>"23.211880"</f>
        <v>23.211880</v>
      </c>
      <c r="S8104" t="s">
        <v>26</v>
      </c>
    </row>
    <row r="8105" spans="1:19" x14ac:dyDescent="0.3">
      <c r="A8105" t="s">
        <v>40240</v>
      </c>
      <c r="B8105" t="s">
        <v>40891</v>
      </c>
      <c r="C8105" t="s">
        <v>40996</v>
      </c>
      <c r="D8105" t="s">
        <v>40260</v>
      </c>
      <c r="E8105" t="s">
        <v>40261</v>
      </c>
      <c r="F8105" t="s">
        <v>40261</v>
      </c>
      <c r="G8105" t="s">
        <v>40261</v>
      </c>
      <c r="H8105" t="s">
        <v>97</v>
      </c>
      <c r="I8105" t="s">
        <v>98</v>
      </c>
      <c r="J8105" t="str">
        <f>"4651032"</f>
        <v>4651032</v>
      </c>
      <c r="K8105">
        <v>2231028141</v>
      </c>
      <c r="M8105" t="s">
        <v>40997</v>
      </c>
      <c r="N8105" t="s">
        <v>40264</v>
      </c>
      <c r="O8105" t="s">
        <v>40998</v>
      </c>
      <c r="P8105">
        <v>35131</v>
      </c>
      <c r="Q8105" t="str">
        <f>"38.913130"</f>
        <v>38.913130</v>
      </c>
      <c r="R8105" t="str">
        <f>"22.430239"</f>
        <v>22.430239</v>
      </c>
      <c r="S8105" t="s">
        <v>26</v>
      </c>
    </row>
    <row r="8106" spans="1:19" x14ac:dyDescent="0.3">
      <c r="A8106" t="s">
        <v>40240</v>
      </c>
      <c r="B8106" t="s">
        <v>40891</v>
      </c>
      <c r="C8106" t="s">
        <v>40999</v>
      </c>
      <c r="D8106" t="s">
        <v>40260</v>
      </c>
      <c r="E8106" t="s">
        <v>40897</v>
      </c>
      <c r="F8106" t="s">
        <v>40910</v>
      </c>
      <c r="G8106" t="s">
        <v>40910</v>
      </c>
      <c r="H8106" t="s">
        <v>97</v>
      </c>
      <c r="I8106" t="s">
        <v>98</v>
      </c>
      <c r="J8106" t="str">
        <f>"4660010"</f>
        <v>4660010</v>
      </c>
      <c r="K8106">
        <v>2234032324</v>
      </c>
      <c r="L8106">
        <v>2234031021</v>
      </c>
      <c r="M8106" t="s">
        <v>41000</v>
      </c>
      <c r="N8106" t="s">
        <v>41001</v>
      </c>
      <c r="O8106" t="s">
        <v>41002</v>
      </c>
      <c r="P8106">
        <v>35004</v>
      </c>
      <c r="Q8106" t="str">
        <f>"38.629571"</f>
        <v>38.629571</v>
      </c>
      <c r="R8106" t="str">
        <f>"22.761271"</f>
        <v>22.761271</v>
      </c>
      <c r="S8106" t="s">
        <v>26</v>
      </c>
    </row>
    <row r="8107" spans="1:19" x14ac:dyDescent="0.3">
      <c r="A8107" t="s">
        <v>40240</v>
      </c>
      <c r="B8107" t="s">
        <v>40891</v>
      </c>
      <c r="C8107" t="s">
        <v>41005</v>
      </c>
      <c r="D8107" t="s">
        <v>40260</v>
      </c>
      <c r="E8107" t="s">
        <v>41003</v>
      </c>
      <c r="F8107" t="s">
        <v>41004</v>
      </c>
      <c r="G8107" t="s">
        <v>41004</v>
      </c>
      <c r="H8107" t="s">
        <v>97</v>
      </c>
      <c r="I8107" t="s">
        <v>98</v>
      </c>
      <c r="J8107" t="str">
        <f>"4656010"</f>
        <v>4656010</v>
      </c>
      <c r="K8107">
        <v>2235051022</v>
      </c>
      <c r="L8107">
        <v>2235052451</v>
      </c>
      <c r="M8107" t="s">
        <v>41006</v>
      </c>
      <c r="N8107" t="s">
        <v>41007</v>
      </c>
      <c r="O8107" t="s">
        <v>41008</v>
      </c>
      <c r="P8107">
        <v>35009</v>
      </c>
      <c r="Q8107" t="str">
        <f>"38.811439"</f>
        <v>38.811439</v>
      </c>
      <c r="R8107" t="str">
        <f>"22.641081"</f>
        <v>22.641081</v>
      </c>
      <c r="S8107" t="s">
        <v>26</v>
      </c>
    </row>
    <row r="8108" spans="1:19" x14ac:dyDescent="0.3">
      <c r="A8108" t="s">
        <v>40240</v>
      </c>
      <c r="B8108" t="s">
        <v>40891</v>
      </c>
      <c r="C8108" t="s">
        <v>41012</v>
      </c>
      <c r="D8108" t="s">
        <v>40260</v>
      </c>
      <c r="E8108" t="s">
        <v>40922</v>
      </c>
      <c r="F8108" t="s">
        <v>41010</v>
      </c>
      <c r="G8108" t="s">
        <v>41011</v>
      </c>
      <c r="H8108" t="s">
        <v>97</v>
      </c>
      <c r="I8108" t="s">
        <v>98</v>
      </c>
      <c r="J8108" t="str">
        <f>"4666010"</f>
        <v>4666010</v>
      </c>
      <c r="K8108">
        <v>2233032392</v>
      </c>
      <c r="L8108">
        <v>2233089392</v>
      </c>
      <c r="M8108" t="s">
        <v>41013</v>
      </c>
      <c r="N8108" t="s">
        <v>41014</v>
      </c>
      <c r="O8108" t="s">
        <v>41015</v>
      </c>
      <c r="P8108">
        <v>35007</v>
      </c>
      <c r="Q8108" t="str">
        <f>"38.702749"</f>
        <v>38.702749</v>
      </c>
      <c r="R8108" t="str">
        <f>"23.047364"</f>
        <v>23.047364</v>
      </c>
      <c r="S8108" t="s">
        <v>26</v>
      </c>
    </row>
    <row r="8109" spans="1:19" x14ac:dyDescent="0.3">
      <c r="A8109" t="s">
        <v>40240</v>
      </c>
      <c r="B8109" t="s">
        <v>40891</v>
      </c>
      <c r="C8109" t="s">
        <v>41019</v>
      </c>
      <c r="D8109" t="s">
        <v>40260</v>
      </c>
      <c r="E8109" t="s">
        <v>40897</v>
      </c>
      <c r="F8109" t="s">
        <v>41017</v>
      </c>
      <c r="G8109" t="s">
        <v>41018</v>
      </c>
      <c r="H8109" t="s">
        <v>97</v>
      </c>
      <c r="I8109" t="s">
        <v>98</v>
      </c>
      <c r="J8109" t="str">
        <f>"4663010"</f>
        <v>4663010</v>
      </c>
      <c r="K8109">
        <v>2234049738</v>
      </c>
      <c r="L8109">
        <v>2234048671</v>
      </c>
      <c r="M8109" t="s">
        <v>41020</v>
      </c>
      <c r="N8109" t="s">
        <v>41021</v>
      </c>
      <c r="O8109" t="s">
        <v>41022</v>
      </c>
      <c r="P8109">
        <v>35015</v>
      </c>
      <c r="Q8109" t="str">
        <f>"38.604611"</f>
        <v>38.604611</v>
      </c>
      <c r="R8109" t="str">
        <f>"22.706698"</f>
        <v>22.706698</v>
      </c>
      <c r="S8109" t="s">
        <v>26</v>
      </c>
    </row>
    <row r="8110" spans="1:19" x14ac:dyDescent="0.3">
      <c r="A8110" t="s">
        <v>40240</v>
      </c>
      <c r="B8110" t="s">
        <v>40891</v>
      </c>
      <c r="C8110" t="s">
        <v>41024</v>
      </c>
      <c r="D8110" t="s">
        <v>40260</v>
      </c>
      <c r="E8110" t="s">
        <v>40904</v>
      </c>
      <c r="F8110" t="s">
        <v>40905</v>
      </c>
      <c r="G8110" t="s">
        <v>40905</v>
      </c>
      <c r="H8110" t="s">
        <v>97</v>
      </c>
      <c r="I8110" t="s">
        <v>98</v>
      </c>
      <c r="J8110" t="str">
        <f>"4657010"</f>
        <v>4657010</v>
      </c>
      <c r="K8110">
        <v>2236043537</v>
      </c>
      <c r="L8110">
        <v>2236044995</v>
      </c>
      <c r="M8110" t="s">
        <v>41025</v>
      </c>
      <c r="N8110" t="s">
        <v>40908</v>
      </c>
      <c r="O8110" t="s">
        <v>41026</v>
      </c>
      <c r="P8110">
        <v>35003</v>
      </c>
      <c r="Q8110" t="str">
        <f>"38.907988"</f>
        <v>38.907988</v>
      </c>
      <c r="R8110" t="str">
        <f>"22.119801"</f>
        <v>22.119801</v>
      </c>
      <c r="S8110" t="s">
        <v>26</v>
      </c>
    </row>
    <row r="8111" spans="1:19" x14ac:dyDescent="0.3">
      <c r="A8111" t="s">
        <v>40240</v>
      </c>
      <c r="B8111" t="s">
        <v>40891</v>
      </c>
      <c r="C8111" t="s">
        <v>41027</v>
      </c>
      <c r="D8111" t="s">
        <v>40260</v>
      </c>
      <c r="E8111" t="s">
        <v>41003</v>
      </c>
      <c r="F8111" t="s">
        <v>41003</v>
      </c>
      <c r="G8111" t="s">
        <v>41003</v>
      </c>
      <c r="H8111" t="s">
        <v>97</v>
      </c>
      <c r="I8111" t="s">
        <v>98</v>
      </c>
      <c r="J8111" t="str">
        <f>"4666015"</f>
        <v>4666015</v>
      </c>
      <c r="K8111">
        <v>2235080444</v>
      </c>
      <c r="L8111">
        <v>2235080345</v>
      </c>
      <c r="M8111" t="s">
        <v>41028</v>
      </c>
      <c r="N8111" t="s">
        <v>41029</v>
      </c>
      <c r="O8111" t="s">
        <v>41030</v>
      </c>
      <c r="P8111">
        <v>35008</v>
      </c>
      <c r="Q8111" t="str">
        <f>"38.775663"</f>
        <v>38.775663</v>
      </c>
      <c r="R8111" t="str">
        <f>"22.786389"</f>
        <v>22.786389</v>
      </c>
      <c r="S8111" t="s">
        <v>26</v>
      </c>
    </row>
    <row r="8112" spans="1:19" x14ac:dyDescent="0.3">
      <c r="A8112" t="s">
        <v>40240</v>
      </c>
      <c r="B8112" t="s">
        <v>40891</v>
      </c>
      <c r="C8112" t="s">
        <v>41033</v>
      </c>
      <c r="D8112" t="s">
        <v>40260</v>
      </c>
      <c r="E8112" t="s">
        <v>41032</v>
      </c>
      <c r="F8112" t="s">
        <v>41032</v>
      </c>
      <c r="G8112" t="s">
        <v>41032</v>
      </c>
      <c r="H8112" t="s">
        <v>97</v>
      </c>
      <c r="I8112" t="s">
        <v>98</v>
      </c>
      <c r="J8112" t="str">
        <f>"4654010"</f>
        <v>4654010</v>
      </c>
      <c r="K8112">
        <v>2232022363</v>
      </c>
      <c r="L8112">
        <v>2232023358</v>
      </c>
      <c r="M8112" t="s">
        <v>41034</v>
      </c>
      <c r="N8112" t="s">
        <v>41035</v>
      </c>
      <c r="O8112" t="s">
        <v>41036</v>
      </c>
      <c r="P8112">
        <v>35010</v>
      </c>
      <c r="Q8112" t="str">
        <f>"39.128832"</f>
        <v>39.128832</v>
      </c>
      <c r="R8112" t="str">
        <f>"22.298448"</f>
        <v>22.298448</v>
      </c>
      <c r="S8112" t="s">
        <v>26</v>
      </c>
    </row>
    <row r="8113" spans="1:19" x14ac:dyDescent="0.3">
      <c r="A8113" t="s">
        <v>40240</v>
      </c>
      <c r="B8113" t="s">
        <v>40891</v>
      </c>
      <c r="C8113" t="s">
        <v>41040</v>
      </c>
      <c r="D8113" t="s">
        <v>40260</v>
      </c>
      <c r="E8113" t="s">
        <v>41038</v>
      </c>
      <c r="F8113" t="s">
        <v>41039</v>
      </c>
      <c r="G8113" t="s">
        <v>41039</v>
      </c>
      <c r="H8113" t="s">
        <v>97</v>
      </c>
      <c r="I8113" t="s">
        <v>98</v>
      </c>
      <c r="J8113" t="str">
        <f>"4662010"</f>
        <v>4662010</v>
      </c>
      <c r="K8113">
        <v>2238051655</v>
      </c>
      <c r="L8113">
        <v>2238051896</v>
      </c>
      <c r="M8113" t="s">
        <v>41041</v>
      </c>
      <c r="N8113" t="s">
        <v>41042</v>
      </c>
      <c r="O8113" t="s">
        <v>41043</v>
      </c>
      <c r="P8113">
        <v>35300</v>
      </c>
      <c r="Q8113" t="str">
        <f>"38.944936"</f>
        <v>38.944936</v>
      </c>
      <c r="R8113" t="str">
        <f>"22.837217"</f>
        <v>22.837217</v>
      </c>
      <c r="S8113" t="s">
        <v>26</v>
      </c>
    </row>
    <row r="8114" spans="1:19" x14ac:dyDescent="0.3">
      <c r="A8114" t="s">
        <v>40240</v>
      </c>
      <c r="B8114" t="s">
        <v>40891</v>
      </c>
      <c r="C8114" t="s">
        <v>41045</v>
      </c>
      <c r="D8114" t="s">
        <v>40260</v>
      </c>
      <c r="E8114" t="s">
        <v>40922</v>
      </c>
      <c r="F8114" t="s">
        <v>40928</v>
      </c>
      <c r="G8114" t="s">
        <v>40928</v>
      </c>
      <c r="H8114" t="s">
        <v>97</v>
      </c>
      <c r="I8114" t="s">
        <v>98</v>
      </c>
      <c r="J8114" t="str">
        <f>"4653010"</f>
        <v>4653010</v>
      </c>
      <c r="K8114">
        <v>2233023089</v>
      </c>
      <c r="L8114">
        <v>2233081001</v>
      </c>
      <c r="M8114" t="s">
        <v>41046</v>
      </c>
      <c r="N8114" t="s">
        <v>41047</v>
      </c>
      <c r="O8114" t="s">
        <v>41048</v>
      </c>
      <c r="P8114">
        <v>35200</v>
      </c>
      <c r="Q8114" t="str">
        <f>"38.658782"</f>
        <v>38.658782</v>
      </c>
      <c r="R8114" t="str">
        <f>"23.005591"</f>
        <v>23.005591</v>
      </c>
      <c r="S8114" t="s">
        <v>26</v>
      </c>
    </row>
    <row r="8115" spans="1:19" x14ac:dyDescent="0.3">
      <c r="A8115" t="s">
        <v>40240</v>
      </c>
      <c r="B8115" t="s">
        <v>40891</v>
      </c>
      <c r="C8115" t="s">
        <v>41060</v>
      </c>
      <c r="D8115" t="s">
        <v>40260</v>
      </c>
      <c r="E8115" t="s">
        <v>41038</v>
      </c>
      <c r="F8115" t="s">
        <v>41038</v>
      </c>
      <c r="G8115" t="s">
        <v>41038</v>
      </c>
      <c r="H8115" t="s">
        <v>97</v>
      </c>
      <c r="I8115" t="s">
        <v>98</v>
      </c>
      <c r="J8115" t="str">
        <f>"4651050"</f>
        <v>4651050</v>
      </c>
      <c r="K8115">
        <v>2238022340</v>
      </c>
      <c r="L8115">
        <v>2238024683</v>
      </c>
      <c r="M8115" t="s">
        <v>41061</v>
      </c>
      <c r="N8115" t="s">
        <v>41062</v>
      </c>
      <c r="O8115" t="s">
        <v>28377</v>
      </c>
      <c r="P8115">
        <v>35300</v>
      </c>
      <c r="Q8115" t="str">
        <f>"38.916513"</f>
        <v>38.916513</v>
      </c>
      <c r="R8115" t="str">
        <f>"22.606332"</f>
        <v>22.606332</v>
      </c>
      <c r="S8115" t="s">
        <v>26</v>
      </c>
    </row>
    <row r="8116" spans="1:19" x14ac:dyDescent="0.3">
      <c r="A8116" t="s">
        <v>40240</v>
      </c>
      <c r="B8116" t="s">
        <v>40891</v>
      </c>
      <c r="C8116" t="s">
        <v>41156</v>
      </c>
      <c r="D8116" t="s">
        <v>40260</v>
      </c>
      <c r="E8116" t="s">
        <v>40261</v>
      </c>
      <c r="F8116" t="s">
        <v>40261</v>
      </c>
      <c r="G8116" t="s">
        <v>40261</v>
      </c>
      <c r="H8116" t="s">
        <v>97</v>
      </c>
      <c r="I8116" t="s">
        <v>98</v>
      </c>
      <c r="J8116" t="str">
        <f>"4644001"</f>
        <v>4644001</v>
      </c>
      <c r="K8116">
        <v>2231042900</v>
      </c>
      <c r="L8116">
        <v>2231042900</v>
      </c>
      <c r="M8116" t="s">
        <v>41157</v>
      </c>
      <c r="N8116" t="s">
        <v>40264</v>
      </c>
      <c r="O8116" t="s">
        <v>41158</v>
      </c>
      <c r="P8116">
        <v>35132</v>
      </c>
      <c r="Q8116" t="str">
        <f>"38.891362"</f>
        <v>38.891362</v>
      </c>
      <c r="R8116" t="str">
        <f>"22.430564"</f>
        <v>22.430564</v>
      </c>
      <c r="S8116" t="s">
        <v>26</v>
      </c>
    </row>
    <row r="8117" spans="1:19" x14ac:dyDescent="0.3">
      <c r="A8117" t="s">
        <v>40240</v>
      </c>
      <c r="B8117" t="s">
        <v>41165</v>
      </c>
      <c r="C8117" t="s">
        <v>41168</v>
      </c>
      <c r="D8117" t="s">
        <v>40266</v>
      </c>
      <c r="E8117" t="s">
        <v>41166</v>
      </c>
      <c r="F8117" t="s">
        <v>41167</v>
      </c>
      <c r="G8117" t="s">
        <v>41167</v>
      </c>
      <c r="H8117" t="s">
        <v>97</v>
      </c>
      <c r="I8117" t="s">
        <v>98</v>
      </c>
      <c r="J8117" t="str">
        <f>"4853010"</f>
        <v>4853010</v>
      </c>
      <c r="K8117">
        <v>2634051314</v>
      </c>
      <c r="L8117">
        <v>2634051314</v>
      </c>
      <c r="M8117" t="s">
        <v>41169</v>
      </c>
      <c r="N8117" t="s">
        <v>41170</v>
      </c>
      <c r="O8117" t="s">
        <v>41171</v>
      </c>
      <c r="P8117">
        <v>33056</v>
      </c>
      <c r="Q8117" t="str">
        <f>"38.418533"</f>
        <v>38.418533</v>
      </c>
      <c r="R8117" t="str">
        <f>"21.928692"</f>
        <v>21.928692</v>
      </c>
      <c r="S8117" t="s">
        <v>26</v>
      </c>
    </row>
    <row r="8118" spans="1:19" x14ac:dyDescent="0.3">
      <c r="A8118" t="s">
        <v>40240</v>
      </c>
      <c r="B8118" t="s">
        <v>41165</v>
      </c>
      <c r="C8118" t="s">
        <v>41179</v>
      </c>
      <c r="D8118" t="s">
        <v>40266</v>
      </c>
      <c r="E8118" t="s">
        <v>40267</v>
      </c>
      <c r="F8118" t="s">
        <v>41178</v>
      </c>
      <c r="G8118" t="s">
        <v>41178</v>
      </c>
      <c r="H8118" t="s">
        <v>97</v>
      </c>
      <c r="I8118" t="s">
        <v>98</v>
      </c>
      <c r="J8118" t="str">
        <f>"4856010"</f>
        <v>4856010</v>
      </c>
      <c r="K8118">
        <v>2265091738</v>
      </c>
      <c r="L8118">
        <v>2265091738</v>
      </c>
      <c r="M8118" t="s">
        <v>41180</v>
      </c>
      <c r="N8118" t="s">
        <v>40266</v>
      </c>
      <c r="O8118" t="s">
        <v>41181</v>
      </c>
      <c r="P8118">
        <v>33057</v>
      </c>
      <c r="Q8118" t="str">
        <f>"38.677501"</f>
        <v>38.677501</v>
      </c>
      <c r="R8118" t="str">
        <f>"22.430505"</f>
        <v>22.430505</v>
      </c>
      <c r="S8118" t="s">
        <v>26</v>
      </c>
    </row>
    <row r="8119" spans="1:19" x14ac:dyDescent="0.3">
      <c r="A8119" t="s">
        <v>40240</v>
      </c>
      <c r="B8119" t="s">
        <v>41165</v>
      </c>
      <c r="C8119" t="s">
        <v>41184</v>
      </c>
      <c r="D8119" t="s">
        <v>40266</v>
      </c>
      <c r="E8119" t="s">
        <v>40267</v>
      </c>
      <c r="F8119" t="s">
        <v>41183</v>
      </c>
      <c r="G8119" t="s">
        <v>41183</v>
      </c>
      <c r="H8119" t="s">
        <v>97</v>
      </c>
      <c r="I8119" t="s">
        <v>98</v>
      </c>
      <c r="J8119" t="str">
        <f>"4852020"</f>
        <v>4852020</v>
      </c>
      <c r="K8119">
        <v>2265041789</v>
      </c>
      <c r="L8119">
        <v>2265041789</v>
      </c>
      <c r="M8119" t="s">
        <v>41185</v>
      </c>
      <c r="N8119" t="s">
        <v>41186</v>
      </c>
      <c r="O8119" t="s">
        <v>41187</v>
      </c>
      <c r="P8119">
        <v>33052</v>
      </c>
      <c r="Q8119" t="str">
        <f>"38.369952"</f>
        <v>38.369952</v>
      </c>
      <c r="R8119" t="str">
        <f>"22.375045"</f>
        <v>22.375045</v>
      </c>
      <c r="S8119" t="s">
        <v>26</v>
      </c>
    </row>
    <row r="8120" spans="1:19" x14ac:dyDescent="0.3">
      <c r="A8120" t="s">
        <v>40240</v>
      </c>
      <c r="B8120" t="s">
        <v>41165</v>
      </c>
      <c r="C8120" t="s">
        <v>41189</v>
      </c>
      <c r="D8120" t="s">
        <v>40266</v>
      </c>
      <c r="E8120" t="s">
        <v>40267</v>
      </c>
      <c r="F8120" t="s">
        <v>40268</v>
      </c>
      <c r="G8120" t="s">
        <v>40268</v>
      </c>
      <c r="H8120" t="s">
        <v>97</v>
      </c>
      <c r="I8120" t="s">
        <v>98</v>
      </c>
      <c r="J8120" t="str">
        <f>"4851010"</f>
        <v>4851010</v>
      </c>
      <c r="K8120">
        <v>2265028475</v>
      </c>
      <c r="L8120">
        <v>2265029115</v>
      </c>
      <c r="M8120" t="s">
        <v>41190</v>
      </c>
      <c r="N8120" t="s">
        <v>40271</v>
      </c>
      <c r="O8120" t="s">
        <v>41191</v>
      </c>
      <c r="P8120">
        <v>33100</v>
      </c>
      <c r="Q8120" t="str">
        <f>"38.529574"</f>
        <v>38.529574</v>
      </c>
      <c r="R8120" t="str">
        <f>"22.383178"</f>
        <v>22.383178</v>
      </c>
      <c r="S8120" t="s">
        <v>26</v>
      </c>
    </row>
    <row r="8121" spans="1:19" x14ac:dyDescent="0.3">
      <c r="A8121" t="s">
        <v>40240</v>
      </c>
      <c r="B8121" t="s">
        <v>41165</v>
      </c>
      <c r="C8121" t="s">
        <v>41194</v>
      </c>
      <c r="D8121" t="s">
        <v>40266</v>
      </c>
      <c r="E8121" t="s">
        <v>41166</v>
      </c>
      <c r="F8121" t="s">
        <v>41193</v>
      </c>
      <c r="G8121" t="s">
        <v>41193</v>
      </c>
      <c r="H8121" t="s">
        <v>97</v>
      </c>
      <c r="I8121" t="s">
        <v>98</v>
      </c>
      <c r="J8121" t="str">
        <f>"4854010"</f>
        <v>4854010</v>
      </c>
      <c r="K8121">
        <v>2266022304</v>
      </c>
      <c r="L8121">
        <v>2266022304</v>
      </c>
      <c r="M8121" t="s">
        <v>41195</v>
      </c>
      <c r="N8121" t="s">
        <v>41196</v>
      </c>
      <c r="O8121" t="s">
        <v>41197</v>
      </c>
      <c r="P8121">
        <v>33053</v>
      </c>
      <c r="Q8121" t="str">
        <f>"38.527444"</f>
        <v>38.527444</v>
      </c>
      <c r="R8121" t="str">
        <f>"22.205209"</f>
        <v>22.205209</v>
      </c>
      <c r="S8121" t="s">
        <v>26</v>
      </c>
    </row>
    <row r="8122" spans="1:19" x14ac:dyDescent="0.3">
      <c r="A8122" t="s">
        <v>40240</v>
      </c>
      <c r="B8122" t="s">
        <v>41165</v>
      </c>
      <c r="C8122" t="s">
        <v>41236</v>
      </c>
      <c r="D8122" t="s">
        <v>40266</v>
      </c>
      <c r="E8122" t="s">
        <v>40267</v>
      </c>
      <c r="F8122" t="s">
        <v>18740</v>
      </c>
      <c r="G8122" t="s">
        <v>18740</v>
      </c>
      <c r="H8122" t="s">
        <v>97</v>
      </c>
      <c r="I8122" t="s">
        <v>98</v>
      </c>
      <c r="J8122" t="str">
        <f>"4852010"</f>
        <v>4852010</v>
      </c>
      <c r="K8122">
        <v>2265032900</v>
      </c>
      <c r="L8122">
        <v>2265035101</v>
      </c>
      <c r="M8122" t="s">
        <v>41237</v>
      </c>
      <c r="N8122" t="s">
        <v>41238</v>
      </c>
      <c r="O8122" t="s">
        <v>41239</v>
      </c>
      <c r="P8122">
        <v>33200</v>
      </c>
      <c r="Q8122" t="str">
        <f>"38.436619"</f>
        <v>38.436619</v>
      </c>
      <c r="R8122" t="str">
        <f>"22.427808"</f>
        <v>22.427808</v>
      </c>
      <c r="S8122" t="s">
        <v>26</v>
      </c>
    </row>
    <row r="8123" spans="1:19" x14ac:dyDescent="0.3">
      <c r="A8123" t="s">
        <v>42987</v>
      </c>
      <c r="B8123" t="s">
        <v>42988</v>
      </c>
      <c r="C8123" t="s">
        <v>42991</v>
      </c>
      <c r="D8123" t="s">
        <v>18818</v>
      </c>
      <c r="E8123" t="s">
        <v>19061</v>
      </c>
      <c r="F8123" t="s">
        <v>19062</v>
      </c>
      <c r="G8123" t="s">
        <v>42989</v>
      </c>
      <c r="H8123" t="s">
        <v>97</v>
      </c>
      <c r="I8123" t="s">
        <v>42990</v>
      </c>
      <c r="J8123" t="str">
        <f>"2070100"</f>
        <v>2070100</v>
      </c>
      <c r="K8123">
        <v>2653041285</v>
      </c>
      <c r="L8123">
        <v>2653041285</v>
      </c>
      <c r="M8123" t="s">
        <v>42992</v>
      </c>
      <c r="N8123" t="s">
        <v>42993</v>
      </c>
      <c r="O8123" t="s">
        <v>42994</v>
      </c>
      <c r="P8123">
        <v>44004</v>
      </c>
      <c r="Q8123" t="str">
        <f>"39.872133"</f>
        <v>39.872133</v>
      </c>
      <c r="R8123" t="str">
        <f>"20.625243"</f>
        <v>20.625243</v>
      </c>
      <c r="S8123" t="s">
        <v>26</v>
      </c>
    </row>
    <row r="8124" spans="1:19" x14ac:dyDescent="0.3">
      <c r="A8124" t="s">
        <v>42987</v>
      </c>
      <c r="B8124" t="s">
        <v>42988</v>
      </c>
      <c r="C8124" t="s">
        <v>42998</v>
      </c>
      <c r="D8124" t="s">
        <v>13798</v>
      </c>
      <c r="E8124" t="s">
        <v>13799</v>
      </c>
      <c r="F8124" t="s">
        <v>13799</v>
      </c>
      <c r="G8124" t="s">
        <v>14236</v>
      </c>
      <c r="H8124" t="s">
        <v>97</v>
      </c>
      <c r="I8124" t="s">
        <v>42990</v>
      </c>
      <c r="J8124" t="str">
        <f>"0670100"</f>
        <v>0670100</v>
      </c>
      <c r="K8124">
        <v>2610225542</v>
      </c>
      <c r="L8124">
        <v>2610278269</v>
      </c>
      <c r="M8124" t="s">
        <v>42999</v>
      </c>
      <c r="N8124" t="s">
        <v>13803</v>
      </c>
      <c r="O8124" t="s">
        <v>43000</v>
      </c>
      <c r="P8124">
        <v>26333</v>
      </c>
      <c r="Q8124" t="str">
        <f>"38.201339"</f>
        <v>38.201339</v>
      </c>
      <c r="R8124" t="str">
        <f>"21.701879"</f>
        <v>21.701879</v>
      </c>
      <c r="S8124" t="s">
        <v>26</v>
      </c>
    </row>
    <row r="8125" spans="1:19" x14ac:dyDescent="0.3">
      <c r="A8125" t="s">
        <v>42987</v>
      </c>
      <c r="B8125" t="s">
        <v>42988</v>
      </c>
      <c r="C8125" t="s">
        <v>43006</v>
      </c>
      <c r="D8125" t="s">
        <v>3245</v>
      </c>
      <c r="E8125" t="s">
        <v>4649</v>
      </c>
      <c r="F8125" t="s">
        <v>4649</v>
      </c>
      <c r="G8125" t="s">
        <v>4649</v>
      </c>
      <c r="H8125" t="s">
        <v>97</v>
      </c>
      <c r="I8125" t="s">
        <v>42990</v>
      </c>
      <c r="J8125" t="str">
        <f>"0570100"</f>
        <v>0570100</v>
      </c>
      <c r="K8125">
        <v>2106814048</v>
      </c>
      <c r="L8125">
        <v>2106814048</v>
      </c>
      <c r="M8125" t="s">
        <v>43007</v>
      </c>
      <c r="N8125" t="s">
        <v>4652</v>
      </c>
      <c r="O8125" t="s">
        <v>43008</v>
      </c>
      <c r="P8125">
        <v>15233</v>
      </c>
      <c r="Q8125" t="str">
        <f>"38.030220"</f>
        <v>38.030220</v>
      </c>
      <c r="R8125" t="str">
        <f>"23.798049"</f>
        <v>23.798049</v>
      </c>
      <c r="S8125" t="s">
        <v>26</v>
      </c>
    </row>
    <row r="8126" spans="1:19" x14ac:dyDescent="0.3">
      <c r="A8126" t="s">
        <v>43021</v>
      </c>
      <c r="B8126" t="s">
        <v>43022</v>
      </c>
      <c r="C8126" t="s">
        <v>43024</v>
      </c>
      <c r="H8126" t="s">
        <v>97</v>
      </c>
      <c r="I8126" t="s">
        <v>43023</v>
      </c>
      <c r="J8126" t="str">
        <f>"7750001"</f>
        <v>7750001</v>
      </c>
      <c r="Q8126" t="str">
        <f>""</f>
        <v/>
      </c>
      <c r="R8126" t="str">
        <f>""</f>
        <v/>
      </c>
      <c r="S8126" t="s">
        <v>26</v>
      </c>
    </row>
    <row r="8127" spans="1:19" x14ac:dyDescent="0.3">
      <c r="A8127" t="s">
        <v>43021</v>
      </c>
      <c r="B8127" t="s">
        <v>43059</v>
      </c>
      <c r="C8127" t="s">
        <v>43070</v>
      </c>
      <c r="H8127" t="s">
        <v>97</v>
      </c>
      <c r="I8127" t="s">
        <v>43023</v>
      </c>
      <c r="J8127" t="str">
        <f>"7750002"</f>
        <v>7750002</v>
      </c>
      <c r="Q8127" t="str">
        <f>""</f>
        <v/>
      </c>
      <c r="R8127" t="str">
        <f>""</f>
        <v/>
      </c>
      <c r="S8127" t="s">
        <v>26</v>
      </c>
    </row>
    <row r="8128" spans="1:19" x14ac:dyDescent="0.3">
      <c r="A8128" t="s">
        <v>43021</v>
      </c>
      <c r="B8128" t="s">
        <v>43059</v>
      </c>
      <c r="C8128" t="s">
        <v>43071</v>
      </c>
      <c r="H8128" t="s">
        <v>97</v>
      </c>
      <c r="I8128" t="s">
        <v>43023</v>
      </c>
      <c r="J8128" t="str">
        <f>"7750003"</f>
        <v>7750003</v>
      </c>
      <c r="Q8128" t="str">
        <f>""</f>
        <v/>
      </c>
      <c r="R8128" t="str">
        <f>""</f>
        <v/>
      </c>
      <c r="S8128" t="s">
        <v>26</v>
      </c>
    </row>
    <row r="8129" spans="1:19" x14ac:dyDescent="0.3">
      <c r="A8129" t="s">
        <v>43021</v>
      </c>
      <c r="B8129" t="s">
        <v>43082</v>
      </c>
      <c r="C8129" t="s">
        <v>43084</v>
      </c>
      <c r="H8129" t="s">
        <v>97</v>
      </c>
      <c r="I8129" t="s">
        <v>43023</v>
      </c>
      <c r="J8129" t="str">
        <f>"7750004"</f>
        <v>7750004</v>
      </c>
      <c r="Q8129" t="str">
        <f>""</f>
        <v/>
      </c>
      <c r="R8129" t="str">
        <f>""</f>
        <v/>
      </c>
      <c r="S8129" t="s">
        <v>26</v>
      </c>
    </row>
    <row r="8130" spans="1:19" x14ac:dyDescent="0.3">
      <c r="A8130" t="s">
        <v>19</v>
      </c>
      <c r="B8130" t="s">
        <v>858</v>
      </c>
      <c r="C8130" t="s">
        <v>861</v>
      </c>
      <c r="D8130" t="s">
        <v>21</v>
      </c>
      <c r="E8130" t="s">
        <v>21</v>
      </c>
      <c r="F8130" t="s">
        <v>21</v>
      </c>
      <c r="G8130" t="s">
        <v>21</v>
      </c>
      <c r="H8130" t="s">
        <v>859</v>
      </c>
      <c r="I8130" t="s">
        <v>860</v>
      </c>
      <c r="J8130" t="str">
        <f>"9090207"</f>
        <v>9090207</v>
      </c>
      <c r="K8130">
        <v>2521036597</v>
      </c>
      <c r="M8130" t="s">
        <v>862</v>
      </c>
      <c r="N8130" t="s">
        <v>863</v>
      </c>
      <c r="O8130" t="s">
        <v>864</v>
      </c>
      <c r="P8130">
        <v>66100</v>
      </c>
      <c r="Q8130" t="str">
        <f>"41.139679"</f>
        <v>41.139679</v>
      </c>
      <c r="R8130" t="str">
        <f>"24.123612"</f>
        <v>24.123612</v>
      </c>
      <c r="S8130" t="s">
        <v>26</v>
      </c>
    </row>
    <row r="8131" spans="1:19" x14ac:dyDescent="0.3">
      <c r="A8131" t="s">
        <v>19</v>
      </c>
      <c r="B8131" t="s">
        <v>858</v>
      </c>
      <c r="C8131" t="s">
        <v>865</v>
      </c>
      <c r="D8131" t="s">
        <v>21</v>
      </c>
      <c r="E8131" t="s">
        <v>21</v>
      </c>
      <c r="F8131" t="s">
        <v>21</v>
      </c>
      <c r="G8131" t="s">
        <v>21</v>
      </c>
      <c r="H8131" t="s">
        <v>859</v>
      </c>
      <c r="I8131" t="s">
        <v>860</v>
      </c>
      <c r="J8131" t="str">
        <f>"9090216"</f>
        <v>9090216</v>
      </c>
      <c r="K8131">
        <v>2521030695</v>
      </c>
      <c r="L8131">
        <v>2521030695</v>
      </c>
      <c r="M8131" t="s">
        <v>866</v>
      </c>
      <c r="N8131" t="s">
        <v>21</v>
      </c>
      <c r="O8131" t="s">
        <v>867</v>
      </c>
      <c r="P8131">
        <v>66133</v>
      </c>
      <c r="Q8131" t="str">
        <f>"41.142463"</f>
        <v>41.142463</v>
      </c>
      <c r="R8131" t="str">
        <f>"24.157345"</f>
        <v>24.157345</v>
      </c>
      <c r="S8131" t="s">
        <v>26</v>
      </c>
    </row>
    <row r="8132" spans="1:19" x14ac:dyDescent="0.3">
      <c r="A8132" t="s">
        <v>19</v>
      </c>
      <c r="B8132" t="s">
        <v>858</v>
      </c>
      <c r="C8132" t="s">
        <v>875</v>
      </c>
      <c r="D8132" t="s">
        <v>21</v>
      </c>
      <c r="E8132" t="s">
        <v>21</v>
      </c>
      <c r="F8132" t="s">
        <v>21</v>
      </c>
      <c r="G8132" t="s">
        <v>21</v>
      </c>
      <c r="H8132" t="s">
        <v>859</v>
      </c>
      <c r="I8132" t="s">
        <v>860</v>
      </c>
      <c r="J8132" t="str">
        <f>"9090088"</f>
        <v>9090088</v>
      </c>
      <c r="K8132">
        <v>2521036225</v>
      </c>
      <c r="L8132">
        <v>2521036225</v>
      </c>
      <c r="M8132" t="s">
        <v>876</v>
      </c>
      <c r="N8132" t="s">
        <v>877</v>
      </c>
      <c r="O8132" t="s">
        <v>179</v>
      </c>
      <c r="P8132">
        <v>66100</v>
      </c>
      <c r="Q8132" t="str">
        <f>"41.134067"</f>
        <v>41.134067</v>
      </c>
      <c r="R8132" t="str">
        <f>"24.119317"</f>
        <v>24.119317</v>
      </c>
      <c r="S8132" t="s">
        <v>26</v>
      </c>
    </row>
    <row r="8133" spans="1:19" x14ac:dyDescent="0.3">
      <c r="A8133" t="s">
        <v>19</v>
      </c>
      <c r="B8133" t="s">
        <v>858</v>
      </c>
      <c r="C8133" t="s">
        <v>878</v>
      </c>
      <c r="D8133" t="s">
        <v>21</v>
      </c>
      <c r="E8133" t="s">
        <v>21</v>
      </c>
      <c r="F8133" t="s">
        <v>21</v>
      </c>
      <c r="G8133" t="s">
        <v>21</v>
      </c>
      <c r="H8133" t="s">
        <v>859</v>
      </c>
      <c r="I8133" t="s">
        <v>860</v>
      </c>
      <c r="J8133" t="str">
        <f>"9520966"</f>
        <v>9520966</v>
      </c>
      <c r="K8133">
        <v>2521083867</v>
      </c>
      <c r="L8133">
        <v>2521083867</v>
      </c>
      <c r="M8133" t="s">
        <v>879</v>
      </c>
      <c r="N8133" t="s">
        <v>21</v>
      </c>
      <c r="O8133" t="s">
        <v>880</v>
      </c>
      <c r="P8133">
        <v>66100</v>
      </c>
      <c r="Q8133" t="str">
        <f>"41.122475"</f>
        <v>41.122475</v>
      </c>
      <c r="R8133" t="str">
        <f>"24.148195"</f>
        <v>24.148195</v>
      </c>
      <c r="S8133" t="s">
        <v>26</v>
      </c>
    </row>
    <row r="8134" spans="1:19" x14ac:dyDescent="0.3">
      <c r="A8134" t="s">
        <v>19</v>
      </c>
      <c r="B8134" t="s">
        <v>858</v>
      </c>
      <c r="C8134" t="s">
        <v>881</v>
      </c>
      <c r="D8134" t="s">
        <v>21</v>
      </c>
      <c r="E8134" t="s">
        <v>21</v>
      </c>
      <c r="F8134" t="s">
        <v>21</v>
      </c>
      <c r="G8134" t="s">
        <v>21</v>
      </c>
      <c r="H8134" t="s">
        <v>859</v>
      </c>
      <c r="I8134" t="s">
        <v>860</v>
      </c>
      <c r="J8134" t="str">
        <f>"9090227"</f>
        <v>9090227</v>
      </c>
      <c r="K8134">
        <v>2521036767</v>
      </c>
      <c r="L8134">
        <v>2521036767</v>
      </c>
      <c r="M8134" t="s">
        <v>882</v>
      </c>
      <c r="N8134" t="s">
        <v>21</v>
      </c>
      <c r="O8134" t="s">
        <v>883</v>
      </c>
      <c r="P8134">
        <v>66100</v>
      </c>
      <c r="Q8134" t="str">
        <f>"41.147876"</f>
        <v>41.147876</v>
      </c>
      <c r="R8134" t="str">
        <f>"24.136178"</f>
        <v>24.136178</v>
      </c>
      <c r="S8134" t="s">
        <v>26</v>
      </c>
    </row>
    <row r="8135" spans="1:19" x14ac:dyDescent="0.3">
      <c r="A8135" t="s">
        <v>19</v>
      </c>
      <c r="B8135" t="s">
        <v>858</v>
      </c>
      <c r="C8135" t="s">
        <v>884</v>
      </c>
      <c r="D8135" t="s">
        <v>21</v>
      </c>
      <c r="E8135" t="s">
        <v>21</v>
      </c>
      <c r="F8135" t="s">
        <v>21</v>
      </c>
      <c r="G8135" t="s">
        <v>21</v>
      </c>
      <c r="H8135" t="s">
        <v>859</v>
      </c>
      <c r="I8135" t="s">
        <v>860</v>
      </c>
      <c r="J8135" t="str">
        <f>"9090224"</f>
        <v>9090224</v>
      </c>
      <c r="K8135">
        <v>2521034458</v>
      </c>
      <c r="L8135">
        <v>2521034458</v>
      </c>
      <c r="M8135" t="s">
        <v>885</v>
      </c>
      <c r="N8135" t="s">
        <v>21</v>
      </c>
      <c r="O8135" t="s">
        <v>886</v>
      </c>
      <c r="P8135">
        <v>66100</v>
      </c>
      <c r="Q8135" t="str">
        <f>"41.147092"</f>
        <v>41.147092</v>
      </c>
      <c r="R8135" t="str">
        <f>"24.153559"</f>
        <v>24.153559</v>
      </c>
      <c r="S8135" t="s">
        <v>26</v>
      </c>
    </row>
    <row r="8136" spans="1:19" x14ac:dyDescent="0.3">
      <c r="A8136" t="s">
        <v>19</v>
      </c>
      <c r="B8136" t="s">
        <v>858</v>
      </c>
      <c r="C8136" t="s">
        <v>887</v>
      </c>
      <c r="D8136" t="s">
        <v>21</v>
      </c>
      <c r="E8136" t="s">
        <v>21</v>
      </c>
      <c r="F8136" t="s">
        <v>21</v>
      </c>
      <c r="G8136" t="s">
        <v>21</v>
      </c>
      <c r="H8136" t="s">
        <v>859</v>
      </c>
      <c r="I8136" t="s">
        <v>860</v>
      </c>
      <c r="J8136" t="str">
        <f>"9090085"</f>
        <v>9090085</v>
      </c>
      <c r="K8136">
        <v>2521033696</v>
      </c>
      <c r="L8136">
        <v>2521033696</v>
      </c>
      <c r="M8136" t="s">
        <v>888</v>
      </c>
      <c r="N8136" t="s">
        <v>21</v>
      </c>
      <c r="O8136" t="s">
        <v>889</v>
      </c>
      <c r="P8136">
        <v>66100</v>
      </c>
      <c r="Q8136" t="str">
        <f>"41.151051"</f>
        <v>41.151051</v>
      </c>
      <c r="R8136" t="str">
        <f>"24.134837"</f>
        <v>24.134837</v>
      </c>
      <c r="S8136" t="s">
        <v>26</v>
      </c>
    </row>
    <row r="8137" spans="1:19" x14ac:dyDescent="0.3">
      <c r="A8137" t="s">
        <v>19</v>
      </c>
      <c r="B8137" t="s">
        <v>858</v>
      </c>
      <c r="C8137" t="s">
        <v>890</v>
      </c>
      <c r="D8137" t="s">
        <v>21</v>
      </c>
      <c r="E8137" t="s">
        <v>21</v>
      </c>
      <c r="F8137" t="s">
        <v>21</v>
      </c>
      <c r="G8137" t="s">
        <v>21</v>
      </c>
      <c r="H8137" t="s">
        <v>859</v>
      </c>
      <c r="I8137" t="s">
        <v>860</v>
      </c>
      <c r="J8137" t="str">
        <f>"9090014"</f>
        <v>9090014</v>
      </c>
      <c r="K8137">
        <v>2521024809</v>
      </c>
      <c r="L8137">
        <v>2521024809</v>
      </c>
      <c r="M8137" t="s">
        <v>891</v>
      </c>
      <c r="N8137" t="s">
        <v>21</v>
      </c>
      <c r="O8137" t="s">
        <v>892</v>
      </c>
      <c r="P8137">
        <v>66100</v>
      </c>
      <c r="Q8137" t="str">
        <f>"41.152477"</f>
        <v>41.152477</v>
      </c>
      <c r="R8137" t="str">
        <f>"24.148582"</f>
        <v>24.148582</v>
      </c>
      <c r="S8137" t="s">
        <v>26</v>
      </c>
    </row>
    <row r="8138" spans="1:19" x14ac:dyDescent="0.3">
      <c r="A8138" t="s">
        <v>19</v>
      </c>
      <c r="B8138" t="s">
        <v>858</v>
      </c>
      <c r="C8138" t="s">
        <v>893</v>
      </c>
      <c r="D8138" t="s">
        <v>21</v>
      </c>
      <c r="E8138" t="s">
        <v>21</v>
      </c>
      <c r="F8138" t="s">
        <v>21</v>
      </c>
      <c r="G8138" t="s">
        <v>21</v>
      </c>
      <c r="H8138" t="s">
        <v>859</v>
      </c>
      <c r="I8138" t="s">
        <v>860</v>
      </c>
      <c r="J8138" t="str">
        <f>"9090013"</f>
        <v>9090013</v>
      </c>
      <c r="K8138">
        <v>2521023482</v>
      </c>
      <c r="L8138">
        <v>2521023482</v>
      </c>
      <c r="M8138" t="s">
        <v>894</v>
      </c>
      <c r="N8138" t="s">
        <v>21</v>
      </c>
      <c r="O8138" t="s">
        <v>895</v>
      </c>
      <c r="P8138">
        <v>66100</v>
      </c>
      <c r="Q8138" t="str">
        <f>"41.154306"</f>
        <v>41.154306</v>
      </c>
      <c r="R8138" t="str">
        <f>"24.157577"</f>
        <v>24.157577</v>
      </c>
      <c r="S8138" t="s">
        <v>26</v>
      </c>
    </row>
    <row r="8139" spans="1:19" x14ac:dyDescent="0.3">
      <c r="A8139" t="s">
        <v>19</v>
      </c>
      <c r="B8139" t="s">
        <v>858</v>
      </c>
      <c r="C8139" t="s">
        <v>896</v>
      </c>
      <c r="D8139" t="s">
        <v>21</v>
      </c>
      <c r="E8139" t="s">
        <v>21</v>
      </c>
      <c r="F8139" t="s">
        <v>21</v>
      </c>
      <c r="G8139" t="s">
        <v>21</v>
      </c>
      <c r="H8139" t="s">
        <v>859</v>
      </c>
      <c r="I8139" t="s">
        <v>860</v>
      </c>
      <c r="J8139" t="str">
        <f>"9090083"</f>
        <v>9090083</v>
      </c>
      <c r="K8139">
        <v>2521031692</v>
      </c>
      <c r="L8139">
        <v>2521031692</v>
      </c>
      <c r="M8139" t="s">
        <v>897</v>
      </c>
      <c r="N8139" t="s">
        <v>21</v>
      </c>
      <c r="O8139" t="s">
        <v>898</v>
      </c>
      <c r="P8139">
        <v>66100</v>
      </c>
      <c r="Q8139" t="str">
        <f>"41.154115"</f>
        <v>41.154115</v>
      </c>
      <c r="R8139" t="str">
        <f>"24.120302"</f>
        <v>24.120302</v>
      </c>
      <c r="S8139" t="s">
        <v>26</v>
      </c>
    </row>
    <row r="8140" spans="1:19" x14ac:dyDescent="0.3">
      <c r="A8140" t="s">
        <v>19</v>
      </c>
      <c r="B8140" t="s">
        <v>858</v>
      </c>
      <c r="C8140" t="s">
        <v>899</v>
      </c>
      <c r="D8140" t="s">
        <v>21</v>
      </c>
      <c r="E8140" t="s">
        <v>21</v>
      </c>
      <c r="F8140" t="s">
        <v>21</v>
      </c>
      <c r="G8140" t="s">
        <v>21</v>
      </c>
      <c r="H8140" t="s">
        <v>859</v>
      </c>
      <c r="I8140" t="s">
        <v>860</v>
      </c>
      <c r="J8140" t="str">
        <f>"9090006"</f>
        <v>9090006</v>
      </c>
      <c r="K8140">
        <v>2521036890</v>
      </c>
      <c r="M8140" t="s">
        <v>900</v>
      </c>
      <c r="N8140" t="s">
        <v>21</v>
      </c>
      <c r="O8140" t="s">
        <v>901</v>
      </c>
      <c r="P8140">
        <v>66100</v>
      </c>
      <c r="Q8140" t="str">
        <f>"41.145058"</f>
        <v>41.145058</v>
      </c>
      <c r="R8140" t="str">
        <f>"24.149374"</f>
        <v>24.149374</v>
      </c>
      <c r="S8140" t="s">
        <v>26</v>
      </c>
    </row>
    <row r="8141" spans="1:19" x14ac:dyDescent="0.3">
      <c r="A8141" t="s">
        <v>19</v>
      </c>
      <c r="B8141" t="s">
        <v>858</v>
      </c>
      <c r="C8141" t="s">
        <v>902</v>
      </c>
      <c r="D8141" t="s">
        <v>21</v>
      </c>
      <c r="E8141" t="s">
        <v>21</v>
      </c>
      <c r="F8141" t="s">
        <v>21</v>
      </c>
      <c r="G8141" t="s">
        <v>21</v>
      </c>
      <c r="H8141" t="s">
        <v>859</v>
      </c>
      <c r="I8141" t="s">
        <v>860</v>
      </c>
      <c r="J8141" t="str">
        <f>"9090082"</f>
        <v>9090082</v>
      </c>
      <c r="K8141">
        <v>2521035232</v>
      </c>
      <c r="L8141">
        <v>2521035232</v>
      </c>
      <c r="M8141" t="s">
        <v>903</v>
      </c>
      <c r="N8141" t="s">
        <v>21</v>
      </c>
      <c r="O8141" t="s">
        <v>904</v>
      </c>
      <c r="P8141">
        <v>66100</v>
      </c>
      <c r="Q8141" t="str">
        <f>"41.151554"</f>
        <v>41.151554</v>
      </c>
      <c r="R8141" t="str">
        <f>"24.134437"</f>
        <v>24.134437</v>
      </c>
      <c r="S8141" t="s">
        <v>26</v>
      </c>
    </row>
    <row r="8142" spans="1:19" x14ac:dyDescent="0.3">
      <c r="A8142" t="s">
        <v>19</v>
      </c>
      <c r="B8142" t="s">
        <v>858</v>
      </c>
      <c r="C8142" t="s">
        <v>905</v>
      </c>
      <c r="D8142" t="s">
        <v>21</v>
      </c>
      <c r="E8142" t="s">
        <v>21</v>
      </c>
      <c r="F8142" t="s">
        <v>21</v>
      </c>
      <c r="G8142" t="s">
        <v>21</v>
      </c>
      <c r="H8142" t="s">
        <v>859</v>
      </c>
      <c r="I8142" t="s">
        <v>860</v>
      </c>
      <c r="J8142" t="str">
        <f>"9090218"</f>
        <v>9090218</v>
      </c>
      <c r="K8142">
        <v>2521024158</v>
      </c>
      <c r="L8142">
        <v>2521024158</v>
      </c>
      <c r="M8142" t="s">
        <v>906</v>
      </c>
      <c r="N8142" t="s">
        <v>21</v>
      </c>
      <c r="O8142" t="s">
        <v>907</v>
      </c>
      <c r="P8142">
        <v>66100</v>
      </c>
      <c r="Q8142" t="str">
        <f>"41.154406"</f>
        <v>41.154406</v>
      </c>
      <c r="R8142" t="str">
        <f>"24.145107"</f>
        <v>24.145107</v>
      </c>
      <c r="S8142" t="s">
        <v>26</v>
      </c>
    </row>
    <row r="8143" spans="1:19" x14ac:dyDescent="0.3">
      <c r="A8143" t="s">
        <v>19</v>
      </c>
      <c r="B8143" t="s">
        <v>858</v>
      </c>
      <c r="C8143" t="s">
        <v>908</v>
      </c>
      <c r="D8143" t="s">
        <v>21</v>
      </c>
      <c r="E8143" t="s">
        <v>21</v>
      </c>
      <c r="F8143" t="s">
        <v>21</v>
      </c>
      <c r="G8143" t="s">
        <v>21</v>
      </c>
      <c r="H8143" t="s">
        <v>859</v>
      </c>
      <c r="I8143" t="s">
        <v>860</v>
      </c>
      <c r="J8143" t="str">
        <f>"9520967"</f>
        <v>9520967</v>
      </c>
      <c r="K8143">
        <v>2521024330</v>
      </c>
      <c r="L8143">
        <v>2521024330</v>
      </c>
      <c r="M8143" t="s">
        <v>909</v>
      </c>
      <c r="N8143" t="s">
        <v>21</v>
      </c>
      <c r="O8143" t="s">
        <v>910</v>
      </c>
      <c r="P8143">
        <v>66100</v>
      </c>
      <c r="Q8143" t="str">
        <f>"41.154956"</f>
        <v>41.154956</v>
      </c>
      <c r="R8143" t="str">
        <f>"24.162311"</f>
        <v>24.162311</v>
      </c>
      <c r="S8143" t="s">
        <v>26</v>
      </c>
    </row>
    <row r="8144" spans="1:19" x14ac:dyDescent="0.3">
      <c r="A8144" t="s">
        <v>19</v>
      </c>
      <c r="B8144" t="s">
        <v>858</v>
      </c>
      <c r="C8144" t="s">
        <v>911</v>
      </c>
      <c r="D8144" t="s">
        <v>21</v>
      </c>
      <c r="E8144" t="s">
        <v>21</v>
      </c>
      <c r="F8144" t="s">
        <v>21</v>
      </c>
      <c r="G8144" t="s">
        <v>21</v>
      </c>
      <c r="H8144" t="s">
        <v>859</v>
      </c>
      <c r="I8144" t="s">
        <v>860</v>
      </c>
      <c r="J8144" t="str">
        <f>"9090226"</f>
        <v>9090226</v>
      </c>
      <c r="K8144">
        <v>2521031729</v>
      </c>
      <c r="L8144">
        <v>2521031729</v>
      </c>
      <c r="M8144" t="s">
        <v>912</v>
      </c>
      <c r="N8144" t="s">
        <v>21</v>
      </c>
      <c r="O8144" t="s">
        <v>913</v>
      </c>
      <c r="P8144">
        <v>66100</v>
      </c>
      <c r="Q8144" t="str">
        <f>"41.155803"</f>
        <v>41.155803</v>
      </c>
      <c r="R8144" t="str">
        <f>"24.130359"</f>
        <v>24.130359</v>
      </c>
      <c r="S8144" t="s">
        <v>26</v>
      </c>
    </row>
    <row r="8145" spans="1:19" x14ac:dyDescent="0.3">
      <c r="A8145" t="s">
        <v>19</v>
      </c>
      <c r="B8145" t="s">
        <v>858</v>
      </c>
      <c r="C8145" t="s">
        <v>920</v>
      </c>
      <c r="D8145" t="s">
        <v>21</v>
      </c>
      <c r="E8145" t="s">
        <v>21</v>
      </c>
      <c r="F8145" t="s">
        <v>21</v>
      </c>
      <c r="G8145" t="s">
        <v>919</v>
      </c>
      <c r="H8145" t="s">
        <v>859</v>
      </c>
      <c r="I8145" t="s">
        <v>860</v>
      </c>
      <c r="J8145" t="str">
        <f>"9090104"</f>
        <v>9090104</v>
      </c>
      <c r="K8145">
        <v>2521096543</v>
      </c>
      <c r="M8145" t="s">
        <v>921</v>
      </c>
      <c r="N8145" t="s">
        <v>919</v>
      </c>
      <c r="O8145" t="s">
        <v>922</v>
      </c>
      <c r="P8145">
        <v>66100</v>
      </c>
      <c r="Q8145" t="str">
        <f>"41.097945"</f>
        <v>41.097945</v>
      </c>
      <c r="R8145" t="str">
        <f>"24.114993"</f>
        <v>24.114993</v>
      </c>
      <c r="S8145" t="s">
        <v>26</v>
      </c>
    </row>
    <row r="8146" spans="1:19" x14ac:dyDescent="0.3">
      <c r="A8146" t="s">
        <v>19</v>
      </c>
      <c r="B8146" t="s">
        <v>858</v>
      </c>
      <c r="C8146" t="s">
        <v>924</v>
      </c>
      <c r="D8146" t="s">
        <v>21</v>
      </c>
      <c r="E8146" t="s">
        <v>66</v>
      </c>
      <c r="F8146" t="s">
        <v>66</v>
      </c>
      <c r="G8146" t="s">
        <v>923</v>
      </c>
      <c r="H8146" t="s">
        <v>859</v>
      </c>
      <c r="I8146" t="s">
        <v>860</v>
      </c>
      <c r="J8146" t="str">
        <f>"9090178"</f>
        <v>9090178</v>
      </c>
      <c r="K8146">
        <v>2522031207</v>
      </c>
      <c r="M8146" t="s">
        <v>925</v>
      </c>
      <c r="N8146" t="s">
        <v>926</v>
      </c>
      <c r="O8146" t="s">
        <v>927</v>
      </c>
      <c r="P8146">
        <v>66200</v>
      </c>
      <c r="Q8146" t="str">
        <f>"41.191992"</f>
        <v>41.191992</v>
      </c>
      <c r="R8146" t="str">
        <f>"23.823062"</f>
        <v>23.823062</v>
      </c>
      <c r="S8146" t="s">
        <v>26</v>
      </c>
    </row>
    <row r="8147" spans="1:19" x14ac:dyDescent="0.3">
      <c r="A8147" t="s">
        <v>19</v>
      </c>
      <c r="B8147" t="s">
        <v>858</v>
      </c>
      <c r="C8147" t="s">
        <v>928</v>
      </c>
      <c r="D8147" t="s">
        <v>21</v>
      </c>
      <c r="E8147" t="s">
        <v>66</v>
      </c>
      <c r="F8147" t="s">
        <v>66</v>
      </c>
      <c r="G8147" t="s">
        <v>66</v>
      </c>
      <c r="H8147" t="s">
        <v>859</v>
      </c>
      <c r="I8147" t="s">
        <v>860</v>
      </c>
      <c r="J8147" t="str">
        <f>"9090139"</f>
        <v>9090139</v>
      </c>
      <c r="K8147">
        <v>2522022587</v>
      </c>
      <c r="L8147">
        <v>2522022587</v>
      </c>
      <c r="M8147" t="s">
        <v>929</v>
      </c>
      <c r="N8147" t="s">
        <v>66</v>
      </c>
      <c r="O8147" t="s">
        <v>930</v>
      </c>
      <c r="P8147">
        <v>66200</v>
      </c>
      <c r="Q8147" t="str">
        <f>"41.177301"</f>
        <v>41.177301</v>
      </c>
      <c r="R8147" t="str">
        <f>"23.974877"</f>
        <v>23.974877</v>
      </c>
      <c r="S8147" t="s">
        <v>26</v>
      </c>
    </row>
    <row r="8148" spans="1:19" x14ac:dyDescent="0.3">
      <c r="A8148" t="s">
        <v>19</v>
      </c>
      <c r="B8148" t="s">
        <v>858</v>
      </c>
      <c r="C8148" t="s">
        <v>931</v>
      </c>
      <c r="D8148" t="s">
        <v>21</v>
      </c>
      <c r="E8148" t="s">
        <v>59</v>
      </c>
      <c r="F8148" t="s">
        <v>59</v>
      </c>
      <c r="G8148" t="s">
        <v>144</v>
      </c>
      <c r="H8148" t="s">
        <v>859</v>
      </c>
      <c r="I8148" t="s">
        <v>860</v>
      </c>
      <c r="J8148" t="str">
        <f>"9090035"</f>
        <v>9090035</v>
      </c>
      <c r="K8148">
        <v>2521071777</v>
      </c>
      <c r="M8148" t="s">
        <v>932</v>
      </c>
      <c r="N8148" t="s">
        <v>933</v>
      </c>
      <c r="O8148" t="s">
        <v>934</v>
      </c>
      <c r="P8148">
        <v>66032</v>
      </c>
      <c r="Q8148" t="str">
        <f>"41.100049"</f>
        <v>41.100049</v>
      </c>
      <c r="R8148" t="str">
        <f>"24.292819"</f>
        <v>24.292819</v>
      </c>
      <c r="S8148" t="s">
        <v>26</v>
      </c>
    </row>
    <row r="8149" spans="1:19" x14ac:dyDescent="0.3">
      <c r="A8149" t="s">
        <v>19</v>
      </c>
      <c r="B8149" t="s">
        <v>858</v>
      </c>
      <c r="C8149" t="s">
        <v>935</v>
      </c>
      <c r="D8149" t="s">
        <v>21</v>
      </c>
      <c r="E8149" t="s">
        <v>59</v>
      </c>
      <c r="F8149" t="s">
        <v>59</v>
      </c>
      <c r="G8149" t="s">
        <v>59</v>
      </c>
      <c r="H8149" t="s">
        <v>859</v>
      </c>
      <c r="I8149" t="s">
        <v>860</v>
      </c>
      <c r="J8149" t="str">
        <f>"9090001"</f>
        <v>9090001</v>
      </c>
      <c r="K8149">
        <v>2521067460</v>
      </c>
      <c r="L8149">
        <v>2521067460</v>
      </c>
      <c r="M8149" t="s">
        <v>936</v>
      </c>
      <c r="N8149" t="s">
        <v>59</v>
      </c>
      <c r="O8149" t="s">
        <v>937</v>
      </c>
      <c r="P8149">
        <v>66300</v>
      </c>
      <c r="Q8149" t="str">
        <f>"41.100073"</f>
        <v>41.100073</v>
      </c>
      <c r="R8149" t="str">
        <f>"24.223412"</f>
        <v>24.223412</v>
      </c>
      <c r="S8149" t="s">
        <v>26</v>
      </c>
    </row>
    <row r="8150" spans="1:19" x14ac:dyDescent="0.3">
      <c r="A8150" t="s">
        <v>19</v>
      </c>
      <c r="B8150" t="s">
        <v>858</v>
      </c>
      <c r="C8150" t="s">
        <v>939</v>
      </c>
      <c r="D8150" t="s">
        <v>21</v>
      </c>
      <c r="E8150" t="s">
        <v>21</v>
      </c>
      <c r="F8150" t="s">
        <v>21</v>
      </c>
      <c r="G8150" t="s">
        <v>938</v>
      </c>
      <c r="H8150" t="s">
        <v>859</v>
      </c>
      <c r="I8150" t="s">
        <v>860</v>
      </c>
      <c r="J8150" t="str">
        <f>"9090115"</f>
        <v>9090115</v>
      </c>
      <c r="K8150">
        <v>2521085349</v>
      </c>
      <c r="L8150">
        <v>25210853</v>
      </c>
      <c r="M8150" t="s">
        <v>940</v>
      </c>
      <c r="N8150" t="s">
        <v>938</v>
      </c>
      <c r="O8150" t="s">
        <v>941</v>
      </c>
      <c r="P8150">
        <v>66100</v>
      </c>
      <c r="Q8150" t="str">
        <f>"41.187994"</f>
        <v>41.187994</v>
      </c>
      <c r="R8150" t="str">
        <f>"24.168707"</f>
        <v>24.168707</v>
      </c>
      <c r="S8150" t="s">
        <v>26</v>
      </c>
    </row>
    <row r="8151" spans="1:19" x14ac:dyDescent="0.3">
      <c r="A8151" t="s">
        <v>19</v>
      </c>
      <c r="B8151" t="s">
        <v>858</v>
      </c>
      <c r="C8151" t="s">
        <v>942</v>
      </c>
      <c r="D8151" t="s">
        <v>21</v>
      </c>
      <c r="E8151" t="s">
        <v>59</v>
      </c>
      <c r="F8151" t="s">
        <v>59</v>
      </c>
      <c r="G8151" t="s">
        <v>59</v>
      </c>
      <c r="H8151" t="s">
        <v>859</v>
      </c>
      <c r="I8151" t="s">
        <v>860</v>
      </c>
      <c r="J8151" t="str">
        <f>"9090221"</f>
        <v>9090221</v>
      </c>
      <c r="K8151">
        <v>2521067145</v>
      </c>
      <c r="L8151">
        <v>2521067145</v>
      </c>
      <c r="M8151" t="s">
        <v>943</v>
      </c>
      <c r="N8151" t="s">
        <v>59</v>
      </c>
      <c r="O8151" t="s">
        <v>944</v>
      </c>
      <c r="P8151">
        <v>66300</v>
      </c>
      <c r="Q8151" t="str">
        <f>"41.087071"</f>
        <v>41.087071</v>
      </c>
      <c r="R8151" t="str">
        <f>"24.231344"</f>
        <v>24.231344</v>
      </c>
      <c r="S8151" t="s">
        <v>26</v>
      </c>
    </row>
    <row r="8152" spans="1:19" x14ac:dyDescent="0.3">
      <c r="A8152" t="s">
        <v>19</v>
      </c>
      <c r="B8152" t="s">
        <v>858</v>
      </c>
      <c r="C8152" t="s">
        <v>945</v>
      </c>
      <c r="D8152" t="s">
        <v>21</v>
      </c>
      <c r="E8152" t="s">
        <v>50</v>
      </c>
      <c r="F8152" t="s">
        <v>50</v>
      </c>
      <c r="G8152" t="s">
        <v>914</v>
      </c>
      <c r="H8152" t="s">
        <v>859</v>
      </c>
      <c r="I8152" t="s">
        <v>860</v>
      </c>
      <c r="J8152" t="str">
        <f>"9090147"</f>
        <v>9090147</v>
      </c>
      <c r="K8152">
        <v>2523023705</v>
      </c>
      <c r="L8152">
        <v>2523023705</v>
      </c>
      <c r="M8152" t="s">
        <v>946</v>
      </c>
      <c r="N8152" t="s">
        <v>947</v>
      </c>
      <c r="O8152" t="s">
        <v>948</v>
      </c>
      <c r="P8152">
        <v>66033</v>
      </c>
      <c r="Q8152" t="str">
        <f>"41.315522"</f>
        <v>41.315522</v>
      </c>
      <c r="R8152" t="str">
        <f>"24.002527"</f>
        <v>24.002527</v>
      </c>
      <c r="S8152" t="s">
        <v>26</v>
      </c>
    </row>
    <row r="8153" spans="1:19" x14ac:dyDescent="0.3">
      <c r="A8153" t="s">
        <v>19</v>
      </c>
      <c r="B8153" t="s">
        <v>858</v>
      </c>
      <c r="C8153" t="s">
        <v>963</v>
      </c>
      <c r="D8153" t="s">
        <v>21</v>
      </c>
      <c r="E8153" t="s">
        <v>21</v>
      </c>
      <c r="F8153" t="s">
        <v>21</v>
      </c>
      <c r="G8153" t="s">
        <v>21</v>
      </c>
      <c r="H8153" t="s">
        <v>859</v>
      </c>
      <c r="I8153" t="s">
        <v>860</v>
      </c>
      <c r="J8153" t="str">
        <f>"9090086"</f>
        <v>9090086</v>
      </c>
      <c r="K8153">
        <v>2521031694</v>
      </c>
      <c r="L8153">
        <v>2521031694</v>
      </c>
      <c r="M8153" t="s">
        <v>964</v>
      </c>
      <c r="N8153" t="s">
        <v>21</v>
      </c>
      <c r="O8153" t="s">
        <v>965</v>
      </c>
      <c r="P8153">
        <v>66100</v>
      </c>
      <c r="Q8153" t="str">
        <f>"41.136758"</f>
        <v>41.136758</v>
      </c>
      <c r="R8153" t="str">
        <f>"24.144718"</f>
        <v>24.144718</v>
      </c>
      <c r="S8153" t="s">
        <v>26</v>
      </c>
    </row>
    <row r="8154" spans="1:19" x14ac:dyDescent="0.3">
      <c r="A8154" t="s">
        <v>19</v>
      </c>
      <c r="B8154" t="s">
        <v>858</v>
      </c>
      <c r="C8154" t="s">
        <v>968</v>
      </c>
      <c r="D8154" t="s">
        <v>21</v>
      </c>
      <c r="E8154" t="s">
        <v>21</v>
      </c>
      <c r="F8154" t="s">
        <v>21</v>
      </c>
      <c r="G8154" t="s">
        <v>21</v>
      </c>
      <c r="H8154" t="s">
        <v>859</v>
      </c>
      <c r="I8154" t="s">
        <v>860</v>
      </c>
      <c r="J8154" t="str">
        <f>"9090008"</f>
        <v>9090008</v>
      </c>
      <c r="K8154">
        <v>2521024602</v>
      </c>
      <c r="L8154">
        <v>2521024602</v>
      </c>
      <c r="M8154" t="s">
        <v>969</v>
      </c>
      <c r="N8154" t="s">
        <v>21</v>
      </c>
      <c r="O8154" t="s">
        <v>967</v>
      </c>
      <c r="P8154">
        <v>66132</v>
      </c>
      <c r="Q8154" t="str">
        <f>"41.158342"</f>
        <v>41.158342</v>
      </c>
      <c r="R8154" t="str">
        <f>"24.151929"</f>
        <v>24.151929</v>
      </c>
      <c r="S8154" t="s">
        <v>26</v>
      </c>
    </row>
    <row r="8155" spans="1:19" x14ac:dyDescent="0.3">
      <c r="A8155" t="s">
        <v>19</v>
      </c>
      <c r="B8155" t="s">
        <v>858</v>
      </c>
      <c r="C8155" t="s">
        <v>970</v>
      </c>
      <c r="D8155" t="s">
        <v>21</v>
      </c>
      <c r="E8155" t="s">
        <v>59</v>
      </c>
      <c r="F8155" t="s">
        <v>110</v>
      </c>
      <c r="G8155" t="s">
        <v>110</v>
      </c>
      <c r="H8155" t="s">
        <v>859</v>
      </c>
      <c r="I8155" t="s">
        <v>860</v>
      </c>
      <c r="J8155" t="str">
        <f>"9090206"</f>
        <v>9090206</v>
      </c>
      <c r="K8155">
        <v>2521051920</v>
      </c>
      <c r="L8155">
        <v>2521051920</v>
      </c>
      <c r="M8155" t="s">
        <v>971</v>
      </c>
      <c r="N8155" t="s">
        <v>110</v>
      </c>
      <c r="O8155" t="s">
        <v>972</v>
      </c>
      <c r="P8155">
        <v>66031</v>
      </c>
      <c r="Q8155" t="str">
        <f>"41.045709"</f>
        <v>41.045709</v>
      </c>
      <c r="R8155" t="str">
        <f>"24.183934"</f>
        <v>24.183934</v>
      </c>
      <c r="S8155" t="s">
        <v>26</v>
      </c>
    </row>
    <row r="8156" spans="1:19" x14ac:dyDescent="0.3">
      <c r="A8156" t="s">
        <v>19</v>
      </c>
      <c r="B8156" t="s">
        <v>858</v>
      </c>
      <c r="C8156" t="s">
        <v>974</v>
      </c>
      <c r="D8156" t="s">
        <v>21</v>
      </c>
      <c r="E8156" t="s">
        <v>59</v>
      </c>
      <c r="F8156" t="s">
        <v>110</v>
      </c>
      <c r="G8156" t="s">
        <v>973</v>
      </c>
      <c r="H8156" t="s">
        <v>859</v>
      </c>
      <c r="I8156" t="s">
        <v>860</v>
      </c>
      <c r="J8156" t="str">
        <f>"9090071"</f>
        <v>9090071</v>
      </c>
      <c r="K8156">
        <v>2521066752</v>
      </c>
      <c r="L8156">
        <v>2521066752</v>
      </c>
      <c r="M8156" t="s">
        <v>975</v>
      </c>
      <c r="N8156" t="s">
        <v>973</v>
      </c>
      <c r="O8156" t="s">
        <v>976</v>
      </c>
      <c r="P8156">
        <v>66031</v>
      </c>
      <c r="Q8156" t="str">
        <f>"41.082821"</f>
        <v>41.082821</v>
      </c>
      <c r="R8156" t="str">
        <f>"24.190865"</f>
        <v>24.190865</v>
      </c>
      <c r="S8156" t="s">
        <v>26</v>
      </c>
    </row>
    <row r="8157" spans="1:19" x14ac:dyDescent="0.3">
      <c r="A8157" t="s">
        <v>19</v>
      </c>
      <c r="B8157" t="s">
        <v>858</v>
      </c>
      <c r="C8157" t="s">
        <v>980</v>
      </c>
      <c r="D8157" t="s">
        <v>21</v>
      </c>
      <c r="E8157" t="s">
        <v>59</v>
      </c>
      <c r="F8157" t="s">
        <v>110</v>
      </c>
      <c r="G8157" t="s">
        <v>110</v>
      </c>
      <c r="H8157" t="s">
        <v>859</v>
      </c>
      <c r="I8157" t="s">
        <v>860</v>
      </c>
      <c r="J8157" t="str">
        <f>"9090098"</f>
        <v>9090098</v>
      </c>
      <c r="K8157">
        <v>2521051948</v>
      </c>
      <c r="L8157">
        <v>2521051948</v>
      </c>
      <c r="M8157" t="s">
        <v>981</v>
      </c>
      <c r="N8157" t="s">
        <v>110</v>
      </c>
      <c r="O8157" t="s">
        <v>982</v>
      </c>
      <c r="P8157">
        <v>66031</v>
      </c>
      <c r="Q8157" t="str">
        <f>"41.053142"</f>
        <v>41.053142</v>
      </c>
      <c r="R8157" t="str">
        <f>"24.193000"</f>
        <v>24.193000</v>
      </c>
      <c r="S8157" t="s">
        <v>26</v>
      </c>
    </row>
    <row r="8158" spans="1:19" x14ac:dyDescent="0.3">
      <c r="A8158" t="s">
        <v>19</v>
      </c>
      <c r="B8158" t="s">
        <v>858</v>
      </c>
      <c r="C8158" t="s">
        <v>983</v>
      </c>
      <c r="D8158" t="s">
        <v>21</v>
      </c>
      <c r="E8158" t="s">
        <v>21</v>
      </c>
      <c r="F8158" t="s">
        <v>21</v>
      </c>
      <c r="G8158" t="s">
        <v>955</v>
      </c>
      <c r="H8158" t="s">
        <v>859</v>
      </c>
      <c r="I8158" t="s">
        <v>860</v>
      </c>
      <c r="J8158" t="str">
        <f>"9090102"</f>
        <v>9090102</v>
      </c>
      <c r="K8158">
        <v>2521096189</v>
      </c>
      <c r="M8158" t="s">
        <v>984</v>
      </c>
      <c r="N8158" t="s">
        <v>24</v>
      </c>
      <c r="O8158" t="s">
        <v>959</v>
      </c>
      <c r="P8158">
        <v>66100</v>
      </c>
      <c r="Q8158" t="str">
        <f>"41.107906"</f>
        <v>41.107906</v>
      </c>
      <c r="R8158" t="str">
        <f>"24.086691"</f>
        <v>24.086691</v>
      </c>
      <c r="S8158" t="s">
        <v>26</v>
      </c>
    </row>
    <row r="8159" spans="1:19" x14ac:dyDescent="0.3">
      <c r="A8159" t="s">
        <v>19</v>
      </c>
      <c r="B8159" t="s">
        <v>858</v>
      </c>
      <c r="C8159" t="s">
        <v>985</v>
      </c>
      <c r="D8159" t="s">
        <v>21</v>
      </c>
      <c r="E8159" t="s">
        <v>21</v>
      </c>
      <c r="F8159" t="s">
        <v>21</v>
      </c>
      <c r="G8159" t="s">
        <v>21</v>
      </c>
      <c r="H8159" t="s">
        <v>859</v>
      </c>
      <c r="I8159" t="s">
        <v>860</v>
      </c>
      <c r="J8159" t="str">
        <f>"9090084"</f>
        <v>9090084</v>
      </c>
      <c r="K8159">
        <v>2521031697</v>
      </c>
      <c r="L8159">
        <v>2521031697</v>
      </c>
      <c r="M8159" t="s">
        <v>986</v>
      </c>
      <c r="N8159" t="s">
        <v>21</v>
      </c>
      <c r="O8159" t="s">
        <v>987</v>
      </c>
      <c r="P8159">
        <v>66100</v>
      </c>
      <c r="Q8159" t="str">
        <f>"41.142207"</f>
        <v>41.142207</v>
      </c>
      <c r="R8159" t="str">
        <f>"24.149409"</f>
        <v>24.149409</v>
      </c>
      <c r="S8159" t="s">
        <v>26</v>
      </c>
    </row>
    <row r="8160" spans="1:19" x14ac:dyDescent="0.3">
      <c r="A8160" t="s">
        <v>19</v>
      </c>
      <c r="B8160" t="s">
        <v>858</v>
      </c>
      <c r="C8160" t="s">
        <v>992</v>
      </c>
      <c r="D8160" t="s">
        <v>21</v>
      </c>
      <c r="E8160" t="s">
        <v>21</v>
      </c>
      <c r="F8160" t="s">
        <v>21</v>
      </c>
      <c r="G8160" t="s">
        <v>991</v>
      </c>
      <c r="H8160" t="s">
        <v>859</v>
      </c>
      <c r="I8160" t="s">
        <v>860</v>
      </c>
      <c r="J8160" t="str">
        <f>"9090072"</f>
        <v>9090072</v>
      </c>
      <c r="K8160">
        <v>2521042231</v>
      </c>
      <c r="L8160">
        <v>2521042231</v>
      </c>
      <c r="M8160" t="s">
        <v>993</v>
      </c>
      <c r="N8160" t="s">
        <v>991</v>
      </c>
      <c r="O8160" t="s">
        <v>994</v>
      </c>
      <c r="P8160">
        <v>66100</v>
      </c>
      <c r="Q8160" t="str">
        <f>"41.129939"</f>
        <v>41.129939</v>
      </c>
      <c r="R8160" t="str">
        <f>"24.202885"</f>
        <v>24.202885</v>
      </c>
      <c r="S8160" t="s">
        <v>26</v>
      </c>
    </row>
    <row r="8161" spans="1:19" x14ac:dyDescent="0.3">
      <c r="A8161" t="s">
        <v>19</v>
      </c>
      <c r="B8161" t="s">
        <v>858</v>
      </c>
      <c r="C8161" t="s">
        <v>996</v>
      </c>
      <c r="D8161" t="s">
        <v>21</v>
      </c>
      <c r="E8161" t="s">
        <v>21</v>
      </c>
      <c r="F8161" t="s">
        <v>21</v>
      </c>
      <c r="G8161" t="s">
        <v>995</v>
      </c>
      <c r="H8161" t="s">
        <v>859</v>
      </c>
      <c r="I8161" t="s">
        <v>860</v>
      </c>
      <c r="J8161" t="str">
        <f>"9090117"</f>
        <v>9090117</v>
      </c>
      <c r="K8161">
        <v>2521081002</v>
      </c>
      <c r="M8161" t="s">
        <v>997</v>
      </c>
      <c r="N8161" t="s">
        <v>24</v>
      </c>
      <c r="O8161" t="s">
        <v>998</v>
      </c>
      <c r="P8161">
        <v>66100</v>
      </c>
      <c r="Q8161" t="str">
        <f>"41.150627"</f>
        <v>41.150627</v>
      </c>
      <c r="R8161" t="str">
        <f>"24.069466"</f>
        <v>24.069466</v>
      </c>
      <c r="S8161" t="s">
        <v>26</v>
      </c>
    </row>
    <row r="8162" spans="1:19" x14ac:dyDescent="0.3">
      <c r="A8162" t="s">
        <v>19</v>
      </c>
      <c r="B8162" t="s">
        <v>858</v>
      </c>
      <c r="C8162" t="s">
        <v>1004</v>
      </c>
      <c r="D8162" t="s">
        <v>21</v>
      </c>
      <c r="E8162" t="s">
        <v>21</v>
      </c>
      <c r="F8162" t="s">
        <v>21</v>
      </c>
      <c r="G8162" t="s">
        <v>1003</v>
      </c>
      <c r="H8162" t="s">
        <v>859</v>
      </c>
      <c r="I8162" t="s">
        <v>860</v>
      </c>
      <c r="J8162" t="str">
        <f>"9090121"</f>
        <v>9090121</v>
      </c>
      <c r="K8162">
        <v>2521092296</v>
      </c>
      <c r="L8162">
        <v>2521092261</v>
      </c>
      <c r="M8162" t="s">
        <v>1005</v>
      </c>
      <c r="N8162" t="s">
        <v>1003</v>
      </c>
      <c r="O8162" t="s">
        <v>1006</v>
      </c>
      <c r="P8162">
        <v>66100</v>
      </c>
      <c r="Q8162" t="str">
        <f>"41.191835"</f>
        <v>41.191835</v>
      </c>
      <c r="R8162" t="str">
        <f>"24.099812"</f>
        <v>24.099812</v>
      </c>
      <c r="S8162" t="s">
        <v>26</v>
      </c>
    </row>
    <row r="8163" spans="1:19" x14ac:dyDescent="0.3">
      <c r="A8163" t="s">
        <v>19</v>
      </c>
      <c r="B8163" t="s">
        <v>858</v>
      </c>
      <c r="C8163" t="s">
        <v>1013</v>
      </c>
      <c r="D8163" t="s">
        <v>21</v>
      </c>
      <c r="E8163" t="s">
        <v>21</v>
      </c>
      <c r="F8163" t="s">
        <v>21</v>
      </c>
      <c r="G8163" t="s">
        <v>999</v>
      </c>
      <c r="H8163" t="s">
        <v>859</v>
      </c>
      <c r="I8163" t="s">
        <v>860</v>
      </c>
      <c r="J8163" t="str">
        <f>"9090107"</f>
        <v>9090107</v>
      </c>
      <c r="K8163">
        <v>2521083702</v>
      </c>
      <c r="M8163" t="s">
        <v>1014</v>
      </c>
      <c r="N8163" t="s">
        <v>24</v>
      </c>
      <c r="O8163" t="s">
        <v>1002</v>
      </c>
      <c r="P8163">
        <v>66100</v>
      </c>
      <c r="Q8163" t="str">
        <f>"41.111254"</f>
        <v>41.111254</v>
      </c>
      <c r="R8163" t="str">
        <f>"24.144846"</f>
        <v>24.144846</v>
      </c>
      <c r="S8163" t="s">
        <v>26</v>
      </c>
    </row>
    <row r="8164" spans="1:19" x14ac:dyDescent="0.3">
      <c r="A8164" t="s">
        <v>19</v>
      </c>
      <c r="B8164" t="s">
        <v>858</v>
      </c>
      <c r="C8164" t="s">
        <v>1016</v>
      </c>
      <c r="D8164" t="s">
        <v>21</v>
      </c>
      <c r="E8164" t="s">
        <v>21</v>
      </c>
      <c r="F8164" t="s">
        <v>21</v>
      </c>
      <c r="G8164" t="s">
        <v>1015</v>
      </c>
      <c r="H8164" t="s">
        <v>859</v>
      </c>
      <c r="I8164" t="s">
        <v>860</v>
      </c>
      <c r="J8164" t="str">
        <f>"9090040"</f>
        <v>9090040</v>
      </c>
      <c r="K8164">
        <v>2521083101</v>
      </c>
      <c r="L8164">
        <v>2521083101</v>
      </c>
      <c r="M8164" t="s">
        <v>1017</v>
      </c>
      <c r="N8164" t="s">
        <v>1015</v>
      </c>
      <c r="O8164" t="s">
        <v>1018</v>
      </c>
      <c r="P8164">
        <v>66100</v>
      </c>
      <c r="Q8164" t="str">
        <f>"41.103068"</f>
        <v>41.103068</v>
      </c>
      <c r="R8164" t="str">
        <f>"24.177434"</f>
        <v>24.177434</v>
      </c>
      <c r="S8164" t="s">
        <v>26</v>
      </c>
    </row>
    <row r="8165" spans="1:19" x14ac:dyDescent="0.3">
      <c r="A8165" t="s">
        <v>19</v>
      </c>
      <c r="B8165" t="s">
        <v>858</v>
      </c>
      <c r="C8165" t="s">
        <v>1020</v>
      </c>
      <c r="D8165" t="s">
        <v>21</v>
      </c>
      <c r="E8165" t="s">
        <v>59</v>
      </c>
      <c r="F8165" t="s">
        <v>110</v>
      </c>
      <c r="G8165" t="s">
        <v>1019</v>
      </c>
      <c r="H8165" t="s">
        <v>859</v>
      </c>
      <c r="I8165" t="s">
        <v>860</v>
      </c>
      <c r="J8165" t="str">
        <f>"9090100"</f>
        <v>9090100</v>
      </c>
      <c r="K8165">
        <v>2521094260</v>
      </c>
      <c r="L8165">
        <v>2521094260</v>
      </c>
      <c r="M8165" t="s">
        <v>1021</v>
      </c>
      <c r="N8165" t="s">
        <v>1022</v>
      </c>
      <c r="O8165" t="s">
        <v>1023</v>
      </c>
      <c r="P8165">
        <v>66031</v>
      </c>
      <c r="Q8165" t="str">
        <f>"41.012747"</f>
        <v>41.012747</v>
      </c>
      <c r="R8165" t="str">
        <f>"24.212014"</f>
        <v>24.212014</v>
      </c>
      <c r="S8165" t="s">
        <v>26</v>
      </c>
    </row>
    <row r="8166" spans="1:19" x14ac:dyDescent="0.3">
      <c r="A8166" t="s">
        <v>19</v>
      </c>
      <c r="B8166" t="s">
        <v>858</v>
      </c>
      <c r="C8166" t="s">
        <v>1035</v>
      </c>
      <c r="D8166" t="s">
        <v>21</v>
      </c>
      <c r="E8166" t="s">
        <v>66</v>
      </c>
      <c r="F8166" t="s">
        <v>168</v>
      </c>
      <c r="G8166" t="s">
        <v>1034</v>
      </c>
      <c r="H8166" t="s">
        <v>859</v>
      </c>
      <c r="I8166" t="s">
        <v>860</v>
      </c>
      <c r="J8166" t="str">
        <f>"9090094"</f>
        <v>9090094</v>
      </c>
      <c r="K8166">
        <v>2521095273</v>
      </c>
      <c r="M8166" t="s">
        <v>1036</v>
      </c>
      <c r="N8166" t="s">
        <v>1037</v>
      </c>
      <c r="O8166" t="s">
        <v>1038</v>
      </c>
      <c r="P8166">
        <v>66100</v>
      </c>
      <c r="Q8166" t="str">
        <f>"41.122635"</f>
        <v>41.122635</v>
      </c>
      <c r="R8166" t="str">
        <f>"24.042942"</f>
        <v>24.042942</v>
      </c>
      <c r="S8166" t="s">
        <v>26</v>
      </c>
    </row>
    <row r="8167" spans="1:19" x14ac:dyDescent="0.3">
      <c r="A8167" t="s">
        <v>19</v>
      </c>
      <c r="B8167" t="s">
        <v>858</v>
      </c>
      <c r="C8167" t="s">
        <v>1041</v>
      </c>
      <c r="D8167" t="s">
        <v>21</v>
      </c>
      <c r="E8167" t="s">
        <v>21</v>
      </c>
      <c r="F8167" t="s">
        <v>21</v>
      </c>
      <c r="G8167" t="s">
        <v>21</v>
      </c>
      <c r="H8167" t="s">
        <v>859</v>
      </c>
      <c r="I8167" t="s">
        <v>860</v>
      </c>
      <c r="J8167" t="str">
        <f>"9090220"</f>
        <v>9090220</v>
      </c>
      <c r="K8167">
        <v>2521033771</v>
      </c>
      <c r="L8167">
        <v>2521033771</v>
      </c>
      <c r="M8167" t="s">
        <v>1042</v>
      </c>
      <c r="N8167" t="s">
        <v>21</v>
      </c>
      <c r="O8167" t="s">
        <v>1043</v>
      </c>
      <c r="P8167">
        <v>66100</v>
      </c>
      <c r="Q8167" t="str">
        <f>"41.153173"</f>
        <v>41.153173</v>
      </c>
      <c r="R8167" t="str">
        <f>"24.139214"</f>
        <v>24.139214</v>
      </c>
      <c r="S8167" t="s">
        <v>26</v>
      </c>
    </row>
    <row r="8168" spans="1:19" x14ac:dyDescent="0.3">
      <c r="A8168" t="s">
        <v>19</v>
      </c>
      <c r="B8168" t="s">
        <v>858</v>
      </c>
      <c r="C8168" t="s">
        <v>1051</v>
      </c>
      <c r="D8168" t="s">
        <v>21</v>
      </c>
      <c r="E8168" t="s">
        <v>88</v>
      </c>
      <c r="F8168" t="s">
        <v>160</v>
      </c>
      <c r="G8168" t="s">
        <v>160</v>
      </c>
      <c r="H8168" t="s">
        <v>859</v>
      </c>
      <c r="I8168" t="s">
        <v>860</v>
      </c>
      <c r="J8168" t="str">
        <f>"9090042"</f>
        <v>9090042</v>
      </c>
      <c r="K8168">
        <v>2521090160</v>
      </c>
      <c r="L8168">
        <v>2521090210</v>
      </c>
      <c r="M8168" t="s">
        <v>1052</v>
      </c>
      <c r="N8168" t="s">
        <v>160</v>
      </c>
      <c r="O8168" t="s">
        <v>163</v>
      </c>
      <c r="P8168">
        <v>66037</v>
      </c>
      <c r="Q8168" t="str">
        <f>"41.168393"</f>
        <v>41.168393</v>
      </c>
      <c r="R8168" t="str">
        <f>"24.310984"</f>
        <v>24.310984</v>
      </c>
      <c r="S8168" t="s">
        <v>26</v>
      </c>
    </row>
    <row r="8169" spans="1:19" x14ac:dyDescent="0.3">
      <c r="A8169" t="s">
        <v>19</v>
      </c>
      <c r="B8169" t="s">
        <v>858</v>
      </c>
      <c r="C8169" t="s">
        <v>1059</v>
      </c>
      <c r="D8169" t="s">
        <v>21</v>
      </c>
      <c r="E8169" t="s">
        <v>50</v>
      </c>
      <c r="F8169" t="s">
        <v>50</v>
      </c>
      <c r="G8169" t="s">
        <v>1058</v>
      </c>
      <c r="H8169" t="s">
        <v>859</v>
      </c>
      <c r="I8169" t="s">
        <v>860</v>
      </c>
      <c r="J8169" t="str">
        <f>"9090144"</f>
        <v>9090144</v>
      </c>
      <c r="K8169">
        <v>2523041307</v>
      </c>
      <c r="M8169" t="s">
        <v>1060</v>
      </c>
      <c r="N8169" t="s">
        <v>1058</v>
      </c>
      <c r="O8169" t="s">
        <v>1061</v>
      </c>
      <c r="P8169">
        <v>66033</v>
      </c>
      <c r="Q8169" t="str">
        <f>"41.351567"</f>
        <v>41.351567</v>
      </c>
      <c r="R8169" t="str">
        <f>"23.711732"</f>
        <v>23.711732</v>
      </c>
      <c r="S8169" t="s">
        <v>57</v>
      </c>
    </row>
    <row r="8170" spans="1:19" x14ac:dyDescent="0.3">
      <c r="A8170" t="s">
        <v>19</v>
      </c>
      <c r="B8170" t="s">
        <v>858</v>
      </c>
      <c r="C8170" t="s">
        <v>1063</v>
      </c>
      <c r="D8170" t="s">
        <v>21</v>
      </c>
      <c r="E8170" t="s">
        <v>88</v>
      </c>
      <c r="F8170" t="s">
        <v>160</v>
      </c>
      <c r="G8170" t="s">
        <v>1062</v>
      </c>
      <c r="H8170" t="s">
        <v>859</v>
      </c>
      <c r="I8170" t="s">
        <v>860</v>
      </c>
      <c r="J8170" t="str">
        <f>"9090019"</f>
        <v>9090019</v>
      </c>
      <c r="K8170">
        <v>2521082236</v>
      </c>
      <c r="L8170">
        <v>2521082340</v>
      </c>
      <c r="M8170" t="s">
        <v>1064</v>
      </c>
      <c r="N8170" t="s">
        <v>1062</v>
      </c>
      <c r="O8170" t="s">
        <v>1065</v>
      </c>
      <c r="P8170">
        <v>66100</v>
      </c>
      <c r="Q8170" t="str">
        <f>"41.138059"</f>
        <v>41.138059</v>
      </c>
      <c r="R8170" t="str">
        <f>"24.265723"</f>
        <v>24.265723</v>
      </c>
      <c r="S8170" t="s">
        <v>26</v>
      </c>
    </row>
    <row r="8171" spans="1:19" x14ac:dyDescent="0.3">
      <c r="A8171" t="s">
        <v>19</v>
      </c>
      <c r="B8171" t="s">
        <v>858</v>
      </c>
      <c r="C8171" t="s">
        <v>1066</v>
      </c>
      <c r="D8171" t="s">
        <v>21</v>
      </c>
      <c r="E8171" t="s">
        <v>66</v>
      </c>
      <c r="F8171" t="s">
        <v>168</v>
      </c>
      <c r="G8171" t="s">
        <v>169</v>
      </c>
      <c r="H8171" t="s">
        <v>859</v>
      </c>
      <c r="I8171" t="s">
        <v>860</v>
      </c>
      <c r="J8171" t="str">
        <f>"9090136"</f>
        <v>9090136</v>
      </c>
      <c r="K8171">
        <v>2521093252</v>
      </c>
      <c r="L8171">
        <v>2521093252</v>
      </c>
      <c r="M8171" t="s">
        <v>1067</v>
      </c>
      <c r="N8171" t="s">
        <v>172</v>
      </c>
      <c r="O8171" t="s">
        <v>1068</v>
      </c>
      <c r="P8171">
        <v>66034</v>
      </c>
      <c r="Q8171" t="str">
        <f>"41.058234"</f>
        <v>41.058234</v>
      </c>
      <c r="R8171" t="str">
        <f>"24.052364"</f>
        <v>24.052364</v>
      </c>
      <c r="S8171" t="s">
        <v>26</v>
      </c>
    </row>
    <row r="8172" spans="1:19" x14ac:dyDescent="0.3">
      <c r="A8172" t="s">
        <v>19</v>
      </c>
      <c r="B8172" t="s">
        <v>858</v>
      </c>
      <c r="C8172" t="s">
        <v>1069</v>
      </c>
      <c r="D8172" t="s">
        <v>21</v>
      </c>
      <c r="E8172" t="s">
        <v>21</v>
      </c>
      <c r="F8172" t="s">
        <v>21</v>
      </c>
      <c r="G8172" t="s">
        <v>21</v>
      </c>
      <c r="H8172" t="s">
        <v>859</v>
      </c>
      <c r="I8172" t="s">
        <v>860</v>
      </c>
      <c r="J8172" t="str">
        <f>"9090005"</f>
        <v>9090005</v>
      </c>
      <c r="K8172">
        <v>2521025216</v>
      </c>
      <c r="L8172">
        <v>2521025216</v>
      </c>
      <c r="M8172" t="s">
        <v>1070</v>
      </c>
      <c r="N8172" t="s">
        <v>21</v>
      </c>
      <c r="O8172" t="s">
        <v>1071</v>
      </c>
      <c r="P8172">
        <v>66100</v>
      </c>
      <c r="Q8172" t="str">
        <f>"41.147381"</f>
        <v>41.147381</v>
      </c>
      <c r="R8172" t="str">
        <f>"24.155483"</f>
        <v>24.155483</v>
      </c>
      <c r="S8172" t="s">
        <v>26</v>
      </c>
    </row>
    <row r="8173" spans="1:19" x14ac:dyDescent="0.3">
      <c r="A8173" t="s">
        <v>19</v>
      </c>
      <c r="B8173" t="s">
        <v>858</v>
      </c>
      <c r="C8173" t="s">
        <v>1099</v>
      </c>
      <c r="D8173" t="s">
        <v>21</v>
      </c>
      <c r="E8173" t="s">
        <v>50</v>
      </c>
      <c r="F8173" t="s">
        <v>50</v>
      </c>
      <c r="G8173" t="s">
        <v>949</v>
      </c>
      <c r="H8173" t="s">
        <v>859</v>
      </c>
      <c r="I8173" t="s">
        <v>860</v>
      </c>
      <c r="J8173" t="str">
        <f>"9090184"</f>
        <v>9090184</v>
      </c>
      <c r="K8173">
        <v>2523031121</v>
      </c>
      <c r="M8173" t="s">
        <v>1100</v>
      </c>
      <c r="N8173" t="s">
        <v>949</v>
      </c>
      <c r="O8173" t="s">
        <v>1101</v>
      </c>
      <c r="P8173">
        <v>66033</v>
      </c>
      <c r="Q8173" t="str">
        <f>"41.314307"</f>
        <v>41.314307</v>
      </c>
      <c r="R8173" t="str">
        <f>"23.778137"</f>
        <v>23.778137</v>
      </c>
      <c r="S8173" t="s">
        <v>26</v>
      </c>
    </row>
    <row r="8174" spans="1:19" x14ac:dyDescent="0.3">
      <c r="A8174" t="s">
        <v>19</v>
      </c>
      <c r="B8174" t="s">
        <v>858</v>
      </c>
      <c r="C8174" t="s">
        <v>1103</v>
      </c>
      <c r="D8174" t="s">
        <v>21</v>
      </c>
      <c r="E8174" t="s">
        <v>21</v>
      </c>
      <c r="F8174" t="s">
        <v>21</v>
      </c>
      <c r="G8174" t="s">
        <v>21</v>
      </c>
      <c r="H8174" t="s">
        <v>859</v>
      </c>
      <c r="I8174" t="s">
        <v>1102</v>
      </c>
      <c r="J8174" t="str">
        <f>"9090229"</f>
        <v>9090229</v>
      </c>
      <c r="K8174">
        <v>2521036336</v>
      </c>
      <c r="L8174">
        <v>2521036336</v>
      </c>
      <c r="M8174" t="s">
        <v>1104</v>
      </c>
      <c r="N8174" t="s">
        <v>21</v>
      </c>
      <c r="O8174" t="s">
        <v>1105</v>
      </c>
      <c r="P8174">
        <v>66100</v>
      </c>
      <c r="Q8174" t="str">
        <f>"41.145973"</f>
        <v>41.145973</v>
      </c>
      <c r="R8174" t="str">
        <f>"24.153940"</f>
        <v>24.153940</v>
      </c>
      <c r="S8174" t="s">
        <v>26</v>
      </c>
    </row>
    <row r="8175" spans="1:19" x14ac:dyDescent="0.3">
      <c r="A8175" t="s">
        <v>19</v>
      </c>
      <c r="B8175" t="s">
        <v>858</v>
      </c>
      <c r="C8175" t="s">
        <v>1121</v>
      </c>
      <c r="D8175" t="s">
        <v>21</v>
      </c>
      <c r="E8175" t="s">
        <v>59</v>
      </c>
      <c r="F8175" t="s">
        <v>59</v>
      </c>
      <c r="G8175" t="s">
        <v>60</v>
      </c>
      <c r="H8175" t="s">
        <v>859</v>
      </c>
      <c r="I8175" t="s">
        <v>860</v>
      </c>
      <c r="J8175" t="str">
        <f>"9090017"</f>
        <v>9090017</v>
      </c>
      <c r="K8175">
        <v>2521066583</v>
      </c>
      <c r="L8175">
        <v>2521066583</v>
      </c>
      <c r="M8175" t="s">
        <v>1122</v>
      </c>
      <c r="N8175" t="s">
        <v>60</v>
      </c>
      <c r="O8175" t="s">
        <v>1123</v>
      </c>
      <c r="P8175">
        <v>66300</v>
      </c>
      <c r="Q8175" t="str">
        <f>"41.071593"</f>
        <v>41.071593</v>
      </c>
      <c r="R8175" t="str">
        <f>"24.243601"</f>
        <v>24.243601</v>
      </c>
      <c r="S8175" t="s">
        <v>26</v>
      </c>
    </row>
    <row r="8176" spans="1:19" x14ac:dyDescent="0.3">
      <c r="A8176" t="s">
        <v>19</v>
      </c>
      <c r="B8176" t="s">
        <v>858</v>
      </c>
      <c r="C8176" t="s">
        <v>1124</v>
      </c>
      <c r="D8176" t="s">
        <v>21</v>
      </c>
      <c r="E8176" t="s">
        <v>21</v>
      </c>
      <c r="F8176" t="s">
        <v>21</v>
      </c>
      <c r="G8176" t="s">
        <v>1091</v>
      </c>
      <c r="H8176" t="s">
        <v>859</v>
      </c>
      <c r="I8176" t="s">
        <v>860</v>
      </c>
      <c r="J8176" t="str">
        <f>"9090026"</f>
        <v>9090026</v>
      </c>
      <c r="K8176">
        <v>2521098928</v>
      </c>
      <c r="L8176">
        <v>2521098255</v>
      </c>
      <c r="M8176" t="s">
        <v>1125</v>
      </c>
      <c r="N8176" t="s">
        <v>1091</v>
      </c>
      <c r="O8176" t="s">
        <v>1126</v>
      </c>
      <c r="P8176">
        <v>66100</v>
      </c>
      <c r="Q8176" t="str">
        <f>"41.170669"</f>
        <v>41.170669</v>
      </c>
      <c r="R8176" t="str">
        <f>"24.217897"</f>
        <v>24.217897</v>
      </c>
      <c r="S8176" t="s">
        <v>26</v>
      </c>
    </row>
    <row r="8177" spans="1:19" x14ac:dyDescent="0.3">
      <c r="A8177" t="s">
        <v>19</v>
      </c>
      <c r="B8177" t="s">
        <v>858</v>
      </c>
      <c r="C8177" t="s">
        <v>1127</v>
      </c>
      <c r="D8177" t="s">
        <v>21</v>
      </c>
      <c r="E8177" t="s">
        <v>50</v>
      </c>
      <c r="F8177" t="s">
        <v>50</v>
      </c>
      <c r="G8177" t="s">
        <v>50</v>
      </c>
      <c r="H8177" t="s">
        <v>859</v>
      </c>
      <c r="I8177" t="s">
        <v>860</v>
      </c>
      <c r="J8177" t="str">
        <f>"9090163"</f>
        <v>9090163</v>
      </c>
      <c r="K8177">
        <v>2523022618</v>
      </c>
      <c r="L8177">
        <v>2523022618</v>
      </c>
      <c r="M8177" t="s">
        <v>1128</v>
      </c>
      <c r="N8177" t="s">
        <v>50</v>
      </c>
      <c r="O8177" t="s">
        <v>1129</v>
      </c>
      <c r="P8177">
        <v>66033</v>
      </c>
      <c r="Q8177" t="str">
        <f>"41.341894"</f>
        <v>41.341894</v>
      </c>
      <c r="R8177" t="str">
        <f>"23.867205"</f>
        <v>23.867205</v>
      </c>
      <c r="S8177" t="s">
        <v>26</v>
      </c>
    </row>
    <row r="8178" spans="1:19" x14ac:dyDescent="0.3">
      <c r="A8178" t="s">
        <v>19</v>
      </c>
      <c r="B8178" t="s">
        <v>858</v>
      </c>
      <c r="C8178" t="s">
        <v>1130</v>
      </c>
      <c r="D8178" t="s">
        <v>21</v>
      </c>
      <c r="E8178" t="s">
        <v>50</v>
      </c>
      <c r="F8178" t="s">
        <v>50</v>
      </c>
      <c r="G8178" t="s">
        <v>50</v>
      </c>
      <c r="H8178" t="s">
        <v>859</v>
      </c>
      <c r="I8178" t="s">
        <v>860</v>
      </c>
      <c r="J8178" t="str">
        <f>"9090212"</f>
        <v>9090212</v>
      </c>
      <c r="K8178">
        <v>2523022795</v>
      </c>
      <c r="M8178" t="s">
        <v>1131</v>
      </c>
      <c r="N8178" t="s">
        <v>50</v>
      </c>
      <c r="O8178" t="s">
        <v>1129</v>
      </c>
      <c r="P8178">
        <v>66033</v>
      </c>
      <c r="Q8178" t="str">
        <f>"41.345409"</f>
        <v>41.345409</v>
      </c>
      <c r="R8178" t="str">
        <f>"23.864612"</f>
        <v>23.864612</v>
      </c>
      <c r="S8178" t="s">
        <v>26</v>
      </c>
    </row>
    <row r="8179" spans="1:19" x14ac:dyDescent="0.3">
      <c r="A8179" t="s">
        <v>19</v>
      </c>
      <c r="B8179" t="s">
        <v>858</v>
      </c>
      <c r="C8179" t="s">
        <v>1132</v>
      </c>
      <c r="D8179" t="s">
        <v>21</v>
      </c>
      <c r="E8179" t="s">
        <v>88</v>
      </c>
      <c r="F8179" t="s">
        <v>88</v>
      </c>
      <c r="G8179" t="s">
        <v>88</v>
      </c>
      <c r="H8179" t="s">
        <v>859</v>
      </c>
      <c r="I8179" t="s">
        <v>860</v>
      </c>
      <c r="J8179" t="str">
        <f>"9090047"</f>
        <v>9090047</v>
      </c>
      <c r="K8179">
        <v>2524022498</v>
      </c>
      <c r="L8179">
        <v>2524022498</v>
      </c>
      <c r="M8179" t="s">
        <v>1133</v>
      </c>
      <c r="N8179" t="s">
        <v>88</v>
      </c>
      <c r="O8179" t="s">
        <v>92</v>
      </c>
      <c r="P8179">
        <v>66035</v>
      </c>
      <c r="Q8179" t="str">
        <f>"41.267130"</f>
        <v>41.267130</v>
      </c>
      <c r="R8179" t="str">
        <f>"24.503615"</f>
        <v>24.503615</v>
      </c>
      <c r="S8179" t="s">
        <v>26</v>
      </c>
    </row>
    <row r="8180" spans="1:19" x14ac:dyDescent="0.3">
      <c r="A8180" t="s">
        <v>19</v>
      </c>
      <c r="B8180" t="s">
        <v>858</v>
      </c>
      <c r="C8180" t="s">
        <v>1134</v>
      </c>
      <c r="D8180" t="s">
        <v>21</v>
      </c>
      <c r="E8180" t="s">
        <v>66</v>
      </c>
      <c r="F8180" t="s">
        <v>66</v>
      </c>
      <c r="G8180" t="s">
        <v>66</v>
      </c>
      <c r="H8180" t="s">
        <v>859</v>
      </c>
      <c r="I8180" t="s">
        <v>860</v>
      </c>
      <c r="J8180" t="str">
        <f>"9090140"</f>
        <v>9090140</v>
      </c>
      <c r="K8180">
        <v>2522022757</v>
      </c>
      <c r="M8180" t="s">
        <v>1135</v>
      </c>
      <c r="N8180" t="s">
        <v>66</v>
      </c>
      <c r="O8180" t="s">
        <v>1136</v>
      </c>
      <c r="P8180">
        <v>66200</v>
      </c>
      <c r="Q8180" t="str">
        <f>"41.179119"</f>
        <v>41.179119</v>
      </c>
      <c r="R8180" t="str">
        <f>"23.967263"</f>
        <v>23.967263</v>
      </c>
      <c r="S8180" t="s">
        <v>26</v>
      </c>
    </row>
    <row r="8181" spans="1:19" x14ac:dyDescent="0.3">
      <c r="A8181" t="s">
        <v>19</v>
      </c>
      <c r="B8181" t="s">
        <v>858</v>
      </c>
      <c r="C8181" t="s">
        <v>1140</v>
      </c>
      <c r="D8181" t="s">
        <v>21</v>
      </c>
      <c r="E8181" t="s">
        <v>59</v>
      </c>
      <c r="F8181" t="s">
        <v>59</v>
      </c>
      <c r="G8181" t="s">
        <v>1139</v>
      </c>
      <c r="H8181" t="s">
        <v>859</v>
      </c>
      <c r="I8181" t="s">
        <v>860</v>
      </c>
      <c r="J8181" t="str">
        <f>"9090211"</f>
        <v>9090211</v>
      </c>
      <c r="K8181">
        <v>2521086110</v>
      </c>
      <c r="L8181">
        <v>2521086110</v>
      </c>
      <c r="M8181" t="s">
        <v>1141</v>
      </c>
      <c r="N8181" t="s">
        <v>1142</v>
      </c>
      <c r="O8181" t="s">
        <v>1142</v>
      </c>
      <c r="P8181">
        <v>66032</v>
      </c>
      <c r="Q8181" t="str">
        <f>"41.064759"</f>
        <v>41.064759</v>
      </c>
      <c r="R8181" t="str">
        <f>"24.258709"</f>
        <v>24.258709</v>
      </c>
      <c r="S8181" t="s">
        <v>26</v>
      </c>
    </row>
    <row r="8182" spans="1:19" x14ac:dyDescent="0.3">
      <c r="A8182" t="s">
        <v>19</v>
      </c>
      <c r="B8182" t="s">
        <v>858</v>
      </c>
      <c r="C8182" t="s">
        <v>1143</v>
      </c>
      <c r="D8182" t="s">
        <v>21</v>
      </c>
      <c r="E8182" t="s">
        <v>66</v>
      </c>
      <c r="F8182" t="s">
        <v>66</v>
      </c>
      <c r="G8182" t="s">
        <v>1095</v>
      </c>
      <c r="H8182" t="s">
        <v>859</v>
      </c>
      <c r="I8182" t="s">
        <v>860</v>
      </c>
      <c r="J8182" t="str">
        <f>"9090127"</f>
        <v>9090127</v>
      </c>
      <c r="K8182">
        <v>2522041184</v>
      </c>
      <c r="L8182">
        <v>2522041184</v>
      </c>
      <c r="M8182" t="s">
        <v>1144</v>
      </c>
      <c r="N8182" t="s">
        <v>1098</v>
      </c>
      <c r="O8182" t="s">
        <v>1098</v>
      </c>
      <c r="P8182">
        <v>66200</v>
      </c>
      <c r="Q8182" t="str">
        <f>"41.194723"</f>
        <v>41.194723</v>
      </c>
      <c r="R8182" t="str">
        <f>"24.016074"</f>
        <v>24.016074</v>
      </c>
      <c r="S8182" t="s">
        <v>26</v>
      </c>
    </row>
    <row r="8183" spans="1:19" x14ac:dyDescent="0.3">
      <c r="A8183" t="s">
        <v>19</v>
      </c>
      <c r="B8183" t="s">
        <v>858</v>
      </c>
      <c r="C8183" t="s">
        <v>1145</v>
      </c>
      <c r="D8183" t="s">
        <v>21</v>
      </c>
      <c r="E8183" t="s">
        <v>59</v>
      </c>
      <c r="F8183" t="s">
        <v>59</v>
      </c>
      <c r="G8183" t="s">
        <v>60</v>
      </c>
      <c r="H8183" t="s">
        <v>859</v>
      </c>
      <c r="I8183" t="s">
        <v>860</v>
      </c>
      <c r="J8183" t="str">
        <f>"9090213"</f>
        <v>9090213</v>
      </c>
      <c r="K8183">
        <v>2521067791</v>
      </c>
      <c r="L8183">
        <v>2521067791</v>
      </c>
      <c r="M8183" t="s">
        <v>1146</v>
      </c>
      <c r="N8183" t="s">
        <v>60</v>
      </c>
      <c r="O8183" t="s">
        <v>1147</v>
      </c>
      <c r="P8183">
        <v>66300</v>
      </c>
      <c r="Q8183" t="str">
        <f>"41.075726"</f>
        <v>41.075726</v>
      </c>
      <c r="R8183" t="str">
        <f>"24.246478"</f>
        <v>24.246478</v>
      </c>
      <c r="S8183" t="s">
        <v>26</v>
      </c>
    </row>
    <row r="8184" spans="1:19" x14ac:dyDescent="0.3">
      <c r="A8184" t="s">
        <v>19</v>
      </c>
      <c r="B8184" t="s">
        <v>858</v>
      </c>
      <c r="C8184" t="s">
        <v>1148</v>
      </c>
      <c r="D8184" t="s">
        <v>21</v>
      </c>
      <c r="E8184" t="s">
        <v>21</v>
      </c>
      <c r="F8184" t="s">
        <v>21</v>
      </c>
      <c r="G8184" t="s">
        <v>21</v>
      </c>
      <c r="H8184" t="s">
        <v>859</v>
      </c>
      <c r="I8184" t="s">
        <v>860</v>
      </c>
      <c r="J8184" t="str">
        <f>"9090214"</f>
        <v>9090214</v>
      </c>
      <c r="K8184">
        <v>2521022151</v>
      </c>
      <c r="L8184">
        <v>2521022151</v>
      </c>
      <c r="M8184" t="s">
        <v>1149</v>
      </c>
      <c r="N8184" t="s">
        <v>21</v>
      </c>
      <c r="O8184" t="s">
        <v>1150</v>
      </c>
      <c r="P8184">
        <v>66100</v>
      </c>
      <c r="Q8184" t="str">
        <f>"41.147320"</f>
        <v>41.147320</v>
      </c>
      <c r="R8184" t="str">
        <f>"24.156041"</f>
        <v>24.156041</v>
      </c>
      <c r="S8184" t="s">
        <v>26</v>
      </c>
    </row>
    <row r="8185" spans="1:19" x14ac:dyDescent="0.3">
      <c r="A8185" t="s">
        <v>19</v>
      </c>
      <c r="B8185" t="s">
        <v>858</v>
      </c>
      <c r="C8185" t="s">
        <v>1160</v>
      </c>
      <c r="D8185" t="s">
        <v>21</v>
      </c>
      <c r="E8185" t="s">
        <v>50</v>
      </c>
      <c r="F8185" t="s">
        <v>50</v>
      </c>
      <c r="G8185" t="s">
        <v>50</v>
      </c>
      <c r="H8185" t="s">
        <v>859</v>
      </c>
      <c r="I8185" t="s">
        <v>1102</v>
      </c>
      <c r="J8185" t="str">
        <f>"9521383"</f>
        <v>9521383</v>
      </c>
      <c r="N8185" t="s">
        <v>1159</v>
      </c>
      <c r="O8185" t="s">
        <v>1161</v>
      </c>
      <c r="P8185">
        <v>0</v>
      </c>
      <c r="Q8185" t="str">
        <f>""</f>
        <v/>
      </c>
      <c r="R8185" t="str">
        <f>""</f>
        <v/>
      </c>
      <c r="S8185" t="s">
        <v>26</v>
      </c>
    </row>
    <row r="8186" spans="1:19" x14ac:dyDescent="0.3">
      <c r="A8186" t="s">
        <v>19</v>
      </c>
      <c r="B8186" t="s">
        <v>1165</v>
      </c>
      <c r="C8186" t="s">
        <v>1166</v>
      </c>
      <c r="D8186" t="s">
        <v>27</v>
      </c>
      <c r="E8186" t="s">
        <v>28</v>
      </c>
      <c r="F8186" t="s">
        <v>28</v>
      </c>
      <c r="G8186" t="s">
        <v>28</v>
      </c>
      <c r="H8186" t="s">
        <v>859</v>
      </c>
      <c r="I8186" t="s">
        <v>860</v>
      </c>
      <c r="J8186" t="str">
        <f>"9520821"</f>
        <v>9520821</v>
      </c>
      <c r="K8186">
        <v>2551038505</v>
      </c>
      <c r="M8186" t="s">
        <v>1167</v>
      </c>
      <c r="N8186" t="s">
        <v>28</v>
      </c>
      <c r="O8186" t="s">
        <v>1168</v>
      </c>
      <c r="P8186">
        <v>68131</v>
      </c>
      <c r="Q8186" t="str">
        <f>"40.847806"</f>
        <v>40.847806</v>
      </c>
      <c r="R8186" t="str">
        <f>"25.862704"</f>
        <v>25.862704</v>
      </c>
      <c r="S8186" t="s">
        <v>26</v>
      </c>
    </row>
    <row r="8187" spans="1:19" x14ac:dyDescent="0.3">
      <c r="A8187" t="s">
        <v>19</v>
      </c>
      <c r="B8187" t="s">
        <v>1165</v>
      </c>
      <c r="C8187" t="s">
        <v>1172</v>
      </c>
      <c r="D8187" t="s">
        <v>27</v>
      </c>
      <c r="E8187" t="s">
        <v>28</v>
      </c>
      <c r="F8187" t="s">
        <v>28</v>
      </c>
      <c r="G8187" t="s">
        <v>28</v>
      </c>
      <c r="H8187" t="s">
        <v>859</v>
      </c>
      <c r="I8187" t="s">
        <v>860</v>
      </c>
      <c r="J8187" t="str">
        <f>"9110355"</f>
        <v>9110355</v>
      </c>
      <c r="K8187">
        <v>2551027732</v>
      </c>
      <c r="L8187">
        <v>2551029095</v>
      </c>
      <c r="M8187" t="s">
        <v>1173</v>
      </c>
      <c r="N8187" t="s">
        <v>1174</v>
      </c>
      <c r="O8187" t="s">
        <v>1175</v>
      </c>
      <c r="P8187">
        <v>68131</v>
      </c>
      <c r="Q8187" t="str">
        <f>"40.848575"</f>
        <v>40.848575</v>
      </c>
      <c r="R8187" t="str">
        <f>"25.863293"</f>
        <v>25.863293</v>
      </c>
      <c r="S8187" t="s">
        <v>26</v>
      </c>
    </row>
    <row r="8188" spans="1:19" x14ac:dyDescent="0.3">
      <c r="A8188" t="s">
        <v>19</v>
      </c>
      <c r="B8188" t="s">
        <v>1165</v>
      </c>
      <c r="C8188" t="s">
        <v>1176</v>
      </c>
      <c r="D8188" t="s">
        <v>27</v>
      </c>
      <c r="E8188" t="s">
        <v>28</v>
      </c>
      <c r="F8188" t="s">
        <v>28</v>
      </c>
      <c r="G8188" t="s">
        <v>28</v>
      </c>
      <c r="H8188" t="s">
        <v>859</v>
      </c>
      <c r="I8188" t="s">
        <v>860</v>
      </c>
      <c r="J8188" t="str">
        <f>"9110005"</f>
        <v>9110005</v>
      </c>
      <c r="K8188">
        <v>2551026193</v>
      </c>
      <c r="L8188">
        <v>2551026193</v>
      </c>
      <c r="M8188" t="s">
        <v>1177</v>
      </c>
      <c r="N8188" t="s">
        <v>28</v>
      </c>
      <c r="O8188" t="s">
        <v>1178</v>
      </c>
      <c r="P8188">
        <v>68132</v>
      </c>
      <c r="Q8188" t="str">
        <f>"40.847225"</f>
        <v>40.847225</v>
      </c>
      <c r="R8188" t="str">
        <f>"25.874954"</f>
        <v>25.874954</v>
      </c>
      <c r="S8188" t="s">
        <v>26</v>
      </c>
    </row>
    <row r="8189" spans="1:19" x14ac:dyDescent="0.3">
      <c r="A8189" t="s">
        <v>19</v>
      </c>
      <c r="B8189" t="s">
        <v>1165</v>
      </c>
      <c r="C8189" t="s">
        <v>1179</v>
      </c>
      <c r="D8189" t="s">
        <v>27</v>
      </c>
      <c r="E8189" t="s">
        <v>28</v>
      </c>
      <c r="F8189" t="s">
        <v>28</v>
      </c>
      <c r="G8189" t="s">
        <v>28</v>
      </c>
      <c r="H8189" t="s">
        <v>859</v>
      </c>
      <c r="I8189" t="s">
        <v>860</v>
      </c>
      <c r="J8189" t="str">
        <f>"9110361"</f>
        <v>9110361</v>
      </c>
      <c r="K8189">
        <v>2551031692</v>
      </c>
      <c r="L8189">
        <v>2551031692</v>
      </c>
      <c r="M8189" t="s">
        <v>1180</v>
      </c>
      <c r="N8189" t="s">
        <v>28</v>
      </c>
      <c r="O8189" t="s">
        <v>1181</v>
      </c>
      <c r="P8189">
        <v>68132</v>
      </c>
      <c r="Q8189" t="str">
        <f>"40.847233"</f>
        <v>40.847233</v>
      </c>
      <c r="R8189" t="str">
        <f>"25.878115"</f>
        <v>25.878115</v>
      </c>
      <c r="S8189" t="s">
        <v>26</v>
      </c>
    </row>
    <row r="8190" spans="1:19" x14ac:dyDescent="0.3">
      <c r="A8190" t="s">
        <v>19</v>
      </c>
      <c r="B8190" t="s">
        <v>1165</v>
      </c>
      <c r="C8190" t="s">
        <v>1182</v>
      </c>
      <c r="D8190" t="s">
        <v>27</v>
      </c>
      <c r="E8190" t="s">
        <v>28</v>
      </c>
      <c r="F8190" t="s">
        <v>28</v>
      </c>
      <c r="G8190" t="s">
        <v>28</v>
      </c>
      <c r="H8190" t="s">
        <v>859</v>
      </c>
      <c r="I8190" t="s">
        <v>860</v>
      </c>
      <c r="J8190" t="str">
        <f>"9110359"</f>
        <v>9110359</v>
      </c>
      <c r="K8190">
        <v>2551039239</v>
      </c>
      <c r="L8190">
        <v>2551039239</v>
      </c>
      <c r="M8190" t="s">
        <v>1183</v>
      </c>
      <c r="N8190" t="s">
        <v>28</v>
      </c>
      <c r="O8190" t="s">
        <v>1184</v>
      </c>
      <c r="P8190">
        <v>68131</v>
      </c>
      <c r="Q8190" t="str">
        <f>"40.851681"</f>
        <v>40.851681</v>
      </c>
      <c r="R8190" t="str">
        <f>"25.840374"</f>
        <v>25.840374</v>
      </c>
      <c r="S8190" t="s">
        <v>26</v>
      </c>
    </row>
    <row r="8191" spans="1:19" x14ac:dyDescent="0.3">
      <c r="A8191" t="s">
        <v>19</v>
      </c>
      <c r="B8191" t="s">
        <v>1165</v>
      </c>
      <c r="C8191" t="s">
        <v>1185</v>
      </c>
      <c r="D8191" t="s">
        <v>27</v>
      </c>
      <c r="E8191" t="s">
        <v>28</v>
      </c>
      <c r="F8191" t="s">
        <v>28</v>
      </c>
      <c r="G8191" t="s">
        <v>28</v>
      </c>
      <c r="H8191" t="s">
        <v>859</v>
      </c>
      <c r="I8191" t="s">
        <v>860</v>
      </c>
      <c r="J8191" t="str">
        <f>"9110335"</f>
        <v>9110335</v>
      </c>
      <c r="K8191">
        <v>2551026690</v>
      </c>
      <c r="M8191" t="s">
        <v>1186</v>
      </c>
      <c r="N8191" t="s">
        <v>28</v>
      </c>
      <c r="O8191" t="s">
        <v>1187</v>
      </c>
      <c r="P8191">
        <v>68132</v>
      </c>
      <c r="Q8191" t="str">
        <f>"40.847515"</f>
        <v>40.847515</v>
      </c>
      <c r="R8191" t="str">
        <f>"25.882450"</f>
        <v>25.882450</v>
      </c>
      <c r="S8191" t="s">
        <v>26</v>
      </c>
    </row>
    <row r="8192" spans="1:19" x14ac:dyDescent="0.3">
      <c r="A8192" t="s">
        <v>19</v>
      </c>
      <c r="B8192" t="s">
        <v>1165</v>
      </c>
      <c r="C8192" t="s">
        <v>1197</v>
      </c>
      <c r="D8192" t="s">
        <v>27</v>
      </c>
      <c r="E8192" t="s">
        <v>221</v>
      </c>
      <c r="F8192" t="s">
        <v>221</v>
      </c>
      <c r="G8192" t="s">
        <v>221</v>
      </c>
      <c r="H8192" t="s">
        <v>859</v>
      </c>
      <c r="I8192" t="s">
        <v>860</v>
      </c>
      <c r="J8192" t="str">
        <f>"9110155"</f>
        <v>9110155</v>
      </c>
      <c r="K8192">
        <v>2552024670</v>
      </c>
      <c r="L8192">
        <v>2552024670</v>
      </c>
      <c r="M8192" t="s">
        <v>1198</v>
      </c>
      <c r="N8192" t="s">
        <v>226</v>
      </c>
      <c r="O8192" t="s">
        <v>1199</v>
      </c>
      <c r="P8192">
        <v>68200</v>
      </c>
      <c r="Q8192" t="str">
        <f>"41.510475"</f>
        <v>41.510475</v>
      </c>
      <c r="R8192" t="str">
        <f>"26.531912"</f>
        <v>26.531912</v>
      </c>
      <c r="S8192" t="s">
        <v>26</v>
      </c>
    </row>
    <row r="8193" spans="1:19" x14ac:dyDescent="0.3">
      <c r="A8193" t="s">
        <v>19</v>
      </c>
      <c r="B8193" t="s">
        <v>1165</v>
      </c>
      <c r="C8193" t="s">
        <v>1208</v>
      </c>
      <c r="D8193" t="s">
        <v>27</v>
      </c>
      <c r="E8193" t="s">
        <v>221</v>
      </c>
      <c r="F8193" t="s">
        <v>221</v>
      </c>
      <c r="G8193" t="s">
        <v>221</v>
      </c>
      <c r="H8193" t="s">
        <v>859</v>
      </c>
      <c r="I8193" t="s">
        <v>860</v>
      </c>
      <c r="J8193" t="str">
        <f>"9110165"</f>
        <v>9110165</v>
      </c>
      <c r="K8193">
        <v>2552022706</v>
      </c>
      <c r="M8193" t="s">
        <v>1209</v>
      </c>
      <c r="N8193" t="s">
        <v>1210</v>
      </c>
      <c r="O8193" t="s">
        <v>1211</v>
      </c>
      <c r="P8193">
        <v>68200</v>
      </c>
      <c r="Q8193" t="str">
        <f>"41.495584"</f>
        <v>41.495584</v>
      </c>
      <c r="R8193" t="str">
        <f>"26.503099"</f>
        <v>26.503099</v>
      </c>
      <c r="S8193" t="s">
        <v>26</v>
      </c>
    </row>
    <row r="8194" spans="1:19" x14ac:dyDescent="0.3">
      <c r="A8194" t="s">
        <v>19</v>
      </c>
      <c r="B8194" t="s">
        <v>1165</v>
      </c>
      <c r="C8194" t="s">
        <v>1212</v>
      </c>
      <c r="D8194" t="s">
        <v>27</v>
      </c>
      <c r="E8194" t="s">
        <v>221</v>
      </c>
      <c r="F8194" t="s">
        <v>221</v>
      </c>
      <c r="G8194" t="s">
        <v>221</v>
      </c>
      <c r="H8194" t="s">
        <v>859</v>
      </c>
      <c r="I8194" t="s">
        <v>860</v>
      </c>
      <c r="J8194" t="str">
        <f>"9110153"</f>
        <v>9110153</v>
      </c>
      <c r="K8194">
        <v>2552029441</v>
      </c>
      <c r="L8194">
        <v>2552029441</v>
      </c>
      <c r="M8194" t="s">
        <v>1213</v>
      </c>
      <c r="N8194" t="s">
        <v>224</v>
      </c>
      <c r="O8194" t="s">
        <v>1214</v>
      </c>
      <c r="P8194">
        <v>68200</v>
      </c>
      <c r="Q8194" t="str">
        <f>"41.501809"</f>
        <v>41.501809</v>
      </c>
      <c r="R8194" t="str">
        <f>"26.533595"</f>
        <v>26.533595</v>
      </c>
      <c r="S8194" t="s">
        <v>26</v>
      </c>
    </row>
    <row r="8195" spans="1:19" x14ac:dyDescent="0.3">
      <c r="A8195" t="s">
        <v>19</v>
      </c>
      <c r="B8195" t="s">
        <v>1165</v>
      </c>
      <c r="C8195" t="s">
        <v>1215</v>
      </c>
      <c r="D8195" t="s">
        <v>27</v>
      </c>
      <c r="E8195" t="s">
        <v>28</v>
      </c>
      <c r="F8195" t="s">
        <v>28</v>
      </c>
      <c r="G8195" t="s">
        <v>28</v>
      </c>
      <c r="H8195" t="s">
        <v>859</v>
      </c>
      <c r="I8195" t="s">
        <v>860</v>
      </c>
      <c r="J8195" t="str">
        <f>"9110329"</f>
        <v>9110329</v>
      </c>
      <c r="K8195">
        <v>2551021440</v>
      </c>
      <c r="M8195" t="s">
        <v>1216</v>
      </c>
      <c r="N8195" t="s">
        <v>28</v>
      </c>
      <c r="O8195" t="s">
        <v>1217</v>
      </c>
      <c r="P8195">
        <v>68133</v>
      </c>
      <c r="Q8195" t="str">
        <f>"40.854442"</f>
        <v>40.854442</v>
      </c>
      <c r="R8195" t="str">
        <f>"25.887466"</f>
        <v>25.887466</v>
      </c>
      <c r="S8195" t="s">
        <v>26</v>
      </c>
    </row>
    <row r="8196" spans="1:19" x14ac:dyDescent="0.3">
      <c r="A8196" t="s">
        <v>19</v>
      </c>
      <c r="B8196" t="s">
        <v>1165</v>
      </c>
      <c r="C8196" t="s">
        <v>1227</v>
      </c>
      <c r="D8196" t="s">
        <v>27</v>
      </c>
      <c r="E8196" t="s">
        <v>221</v>
      </c>
      <c r="F8196" t="s">
        <v>221</v>
      </c>
      <c r="G8196" t="s">
        <v>221</v>
      </c>
      <c r="H8196" t="s">
        <v>859</v>
      </c>
      <c r="I8196" t="s">
        <v>860</v>
      </c>
      <c r="J8196" t="str">
        <f>"9110149"</f>
        <v>9110149</v>
      </c>
      <c r="K8196">
        <v>2552092594</v>
      </c>
      <c r="L8196">
        <v>2552092594</v>
      </c>
      <c r="M8196" t="s">
        <v>1228</v>
      </c>
      <c r="O8196" t="s">
        <v>1229</v>
      </c>
      <c r="P8196">
        <v>68200</v>
      </c>
      <c r="Q8196" t="str">
        <f>"41.501429"</f>
        <v>41.501429</v>
      </c>
      <c r="R8196" t="str">
        <f>"26.469769"</f>
        <v>26.469769</v>
      </c>
      <c r="S8196" t="s">
        <v>26</v>
      </c>
    </row>
    <row r="8197" spans="1:19" x14ac:dyDescent="0.3">
      <c r="A8197" t="s">
        <v>19</v>
      </c>
      <c r="B8197" t="s">
        <v>1165</v>
      </c>
      <c r="C8197" t="s">
        <v>1234</v>
      </c>
      <c r="D8197" t="s">
        <v>27</v>
      </c>
      <c r="E8197" t="s">
        <v>248</v>
      </c>
      <c r="F8197" t="s">
        <v>248</v>
      </c>
      <c r="G8197" t="s">
        <v>248</v>
      </c>
      <c r="H8197" t="s">
        <v>859</v>
      </c>
      <c r="I8197" t="s">
        <v>860</v>
      </c>
      <c r="J8197" t="str">
        <f>"9110065"</f>
        <v>9110065</v>
      </c>
      <c r="K8197">
        <v>2553024105</v>
      </c>
      <c r="L8197">
        <v>2553024105</v>
      </c>
      <c r="M8197" t="s">
        <v>1235</v>
      </c>
      <c r="N8197" t="s">
        <v>248</v>
      </c>
      <c r="O8197" t="s">
        <v>1236</v>
      </c>
      <c r="P8197">
        <v>68300</v>
      </c>
      <c r="Q8197" t="str">
        <f>"41.349040"</f>
        <v>41.349040</v>
      </c>
      <c r="R8197" t="str">
        <f>"26.494080"</f>
        <v>26.494080</v>
      </c>
      <c r="S8197" t="s">
        <v>26</v>
      </c>
    </row>
    <row r="8198" spans="1:19" x14ac:dyDescent="0.3">
      <c r="A8198" t="s">
        <v>19</v>
      </c>
      <c r="B8198" t="s">
        <v>1165</v>
      </c>
      <c r="C8198" t="s">
        <v>1247</v>
      </c>
      <c r="D8198" t="s">
        <v>27</v>
      </c>
      <c r="E8198" t="s">
        <v>248</v>
      </c>
      <c r="F8198" t="s">
        <v>248</v>
      </c>
      <c r="G8198" t="s">
        <v>248</v>
      </c>
      <c r="H8198" t="s">
        <v>859</v>
      </c>
      <c r="I8198" t="s">
        <v>860</v>
      </c>
      <c r="J8198" t="str">
        <f>"9110067"</f>
        <v>9110067</v>
      </c>
      <c r="K8198">
        <v>2553024144</v>
      </c>
      <c r="L8198">
        <v>2553024144</v>
      </c>
      <c r="M8198" t="s">
        <v>1248</v>
      </c>
      <c r="N8198" t="s">
        <v>248</v>
      </c>
      <c r="O8198" t="s">
        <v>1249</v>
      </c>
      <c r="P8198">
        <v>68300</v>
      </c>
      <c r="Q8198" t="str">
        <f>"41.353705"</f>
        <v>41.353705</v>
      </c>
      <c r="R8198" t="str">
        <f>"26.506004"</f>
        <v>26.506004</v>
      </c>
      <c r="S8198" t="s">
        <v>26</v>
      </c>
    </row>
    <row r="8199" spans="1:19" x14ac:dyDescent="0.3">
      <c r="A8199" t="s">
        <v>19</v>
      </c>
      <c r="B8199" t="s">
        <v>1165</v>
      </c>
      <c r="C8199" t="s">
        <v>1253</v>
      </c>
      <c r="D8199" t="s">
        <v>27</v>
      </c>
      <c r="E8199" t="s">
        <v>248</v>
      </c>
      <c r="F8199" t="s">
        <v>248</v>
      </c>
      <c r="G8199" t="s">
        <v>248</v>
      </c>
      <c r="H8199" t="s">
        <v>859</v>
      </c>
      <c r="I8199" t="s">
        <v>860</v>
      </c>
      <c r="J8199" t="str">
        <f>"9110069"</f>
        <v>9110069</v>
      </c>
      <c r="K8199">
        <v>2553025150</v>
      </c>
      <c r="M8199" t="s">
        <v>1254</v>
      </c>
      <c r="N8199" t="s">
        <v>251</v>
      </c>
      <c r="O8199" t="s">
        <v>1255</v>
      </c>
      <c r="P8199">
        <v>68300</v>
      </c>
      <c r="Q8199" t="str">
        <f>"41.346950"</f>
        <v>41.346950</v>
      </c>
      <c r="R8199" t="str">
        <f>"26.494884"</f>
        <v>26.494884</v>
      </c>
      <c r="S8199" t="s">
        <v>26</v>
      </c>
    </row>
    <row r="8200" spans="1:19" x14ac:dyDescent="0.3">
      <c r="A8200" t="s">
        <v>19</v>
      </c>
      <c r="B8200" t="s">
        <v>1165</v>
      </c>
      <c r="C8200" t="s">
        <v>1260</v>
      </c>
      <c r="D8200" t="s">
        <v>27</v>
      </c>
      <c r="E8200" t="s">
        <v>248</v>
      </c>
      <c r="F8200" t="s">
        <v>248</v>
      </c>
      <c r="G8200" t="s">
        <v>248</v>
      </c>
      <c r="H8200" t="s">
        <v>859</v>
      </c>
      <c r="I8200" t="s">
        <v>860</v>
      </c>
      <c r="J8200" t="str">
        <f>"9110309"</f>
        <v>9110309</v>
      </c>
      <c r="K8200">
        <v>2553022932</v>
      </c>
      <c r="L8200">
        <v>2553022932</v>
      </c>
      <c r="M8200" t="s">
        <v>1261</v>
      </c>
      <c r="N8200" t="s">
        <v>248</v>
      </c>
      <c r="O8200" t="s">
        <v>1262</v>
      </c>
      <c r="P8200">
        <v>68300</v>
      </c>
      <c r="Q8200" t="str">
        <f>"41.348317"</f>
        <v>41.348317</v>
      </c>
      <c r="R8200" t="str">
        <f>"26.498172"</f>
        <v>26.498172</v>
      </c>
      <c r="S8200" t="s">
        <v>26</v>
      </c>
    </row>
    <row r="8201" spans="1:19" x14ac:dyDescent="0.3">
      <c r="A8201" t="s">
        <v>19</v>
      </c>
      <c r="B8201" t="s">
        <v>1165</v>
      </c>
      <c r="C8201" t="s">
        <v>1263</v>
      </c>
      <c r="D8201" t="s">
        <v>27</v>
      </c>
      <c r="E8201" t="s">
        <v>28</v>
      </c>
      <c r="F8201" t="s">
        <v>28</v>
      </c>
      <c r="G8201" t="s">
        <v>28</v>
      </c>
      <c r="H8201" t="s">
        <v>859</v>
      </c>
      <c r="I8201" t="s">
        <v>860</v>
      </c>
      <c r="J8201" t="str">
        <f>"9110312"</f>
        <v>9110312</v>
      </c>
      <c r="K8201">
        <v>2551024706</v>
      </c>
      <c r="L8201">
        <v>2551024706</v>
      </c>
      <c r="M8201" t="s">
        <v>1264</v>
      </c>
      <c r="N8201" t="s">
        <v>28</v>
      </c>
      <c r="O8201" t="s">
        <v>1265</v>
      </c>
      <c r="P8201">
        <v>68131</v>
      </c>
      <c r="Q8201" t="str">
        <f>"40.842893"</f>
        <v>40.842893</v>
      </c>
      <c r="R8201" t="str">
        <f>"25.868861"</f>
        <v>25.868861</v>
      </c>
      <c r="S8201" t="s">
        <v>26</v>
      </c>
    </row>
    <row r="8202" spans="1:19" x14ac:dyDescent="0.3">
      <c r="A8202" t="s">
        <v>19</v>
      </c>
      <c r="B8202" t="s">
        <v>1165</v>
      </c>
      <c r="C8202" t="s">
        <v>1274</v>
      </c>
      <c r="D8202" t="s">
        <v>27</v>
      </c>
      <c r="E8202" t="s">
        <v>248</v>
      </c>
      <c r="F8202" t="s">
        <v>248</v>
      </c>
      <c r="G8202" t="s">
        <v>248</v>
      </c>
      <c r="H8202" t="s">
        <v>859</v>
      </c>
      <c r="I8202" t="s">
        <v>860</v>
      </c>
      <c r="J8202" t="str">
        <f>"9110346"</f>
        <v>9110346</v>
      </c>
      <c r="K8202">
        <v>2553025544</v>
      </c>
      <c r="L8202">
        <v>2553025544</v>
      </c>
      <c r="M8202" t="s">
        <v>1275</v>
      </c>
      <c r="N8202" t="s">
        <v>248</v>
      </c>
      <c r="O8202" t="s">
        <v>1276</v>
      </c>
      <c r="P8202">
        <v>68300</v>
      </c>
      <c r="Q8202" t="str">
        <f>"41.354062"</f>
        <v>41.354062</v>
      </c>
      <c r="R8202" t="str">
        <f>"26.497875"</f>
        <v>26.497875</v>
      </c>
      <c r="S8202" t="s">
        <v>26</v>
      </c>
    </row>
    <row r="8203" spans="1:19" x14ac:dyDescent="0.3">
      <c r="A8203" t="s">
        <v>19</v>
      </c>
      <c r="B8203" t="s">
        <v>1165</v>
      </c>
      <c r="C8203" t="s">
        <v>1287</v>
      </c>
      <c r="D8203" t="s">
        <v>27</v>
      </c>
      <c r="E8203" t="s">
        <v>28</v>
      </c>
      <c r="F8203" t="s">
        <v>28</v>
      </c>
      <c r="G8203" t="s">
        <v>1200</v>
      </c>
      <c r="H8203" t="s">
        <v>859</v>
      </c>
      <c r="I8203" t="s">
        <v>860</v>
      </c>
      <c r="J8203" t="str">
        <f>"9110287"</f>
        <v>9110287</v>
      </c>
      <c r="K8203">
        <v>2551071216</v>
      </c>
      <c r="L8203">
        <v>2551071216</v>
      </c>
      <c r="M8203" t="s">
        <v>1288</v>
      </c>
      <c r="N8203" t="s">
        <v>1200</v>
      </c>
      <c r="O8203" t="s">
        <v>1233</v>
      </c>
      <c r="P8203">
        <v>68100</v>
      </c>
      <c r="Q8203" t="str">
        <f>"40.852521"</f>
        <v>40.852521</v>
      </c>
      <c r="R8203" t="str">
        <f>"25.744737"</f>
        <v>25.744737</v>
      </c>
      <c r="S8203" t="s">
        <v>26</v>
      </c>
    </row>
    <row r="8204" spans="1:19" x14ac:dyDescent="0.3">
      <c r="A8204" t="s">
        <v>19</v>
      </c>
      <c r="B8204" t="s">
        <v>1165</v>
      </c>
      <c r="C8204" t="s">
        <v>1292</v>
      </c>
      <c r="D8204" t="s">
        <v>27</v>
      </c>
      <c r="E8204" t="s">
        <v>264</v>
      </c>
      <c r="F8204" t="s">
        <v>264</v>
      </c>
      <c r="G8204" t="s">
        <v>264</v>
      </c>
      <c r="H8204" t="s">
        <v>859</v>
      </c>
      <c r="I8204" t="s">
        <v>860</v>
      </c>
      <c r="J8204" t="str">
        <f>"9520712"</f>
        <v>9520712</v>
      </c>
      <c r="K8204">
        <v>2554034422</v>
      </c>
      <c r="L8204">
        <v>2554034422</v>
      </c>
      <c r="M8204" t="s">
        <v>1293</v>
      </c>
      <c r="N8204" t="s">
        <v>1294</v>
      </c>
      <c r="O8204" t="s">
        <v>1295</v>
      </c>
      <c r="P8204">
        <v>68400</v>
      </c>
      <c r="Q8204" t="str">
        <f>"41.247569"</f>
        <v>41.247569</v>
      </c>
      <c r="R8204" t="str">
        <f>"26.127771"</f>
        <v>26.127771</v>
      </c>
      <c r="S8204" t="s">
        <v>26</v>
      </c>
    </row>
    <row r="8205" spans="1:19" x14ac:dyDescent="0.3">
      <c r="A8205" t="s">
        <v>19</v>
      </c>
      <c r="B8205" t="s">
        <v>1165</v>
      </c>
      <c r="C8205" t="s">
        <v>1299</v>
      </c>
      <c r="D8205" t="s">
        <v>27</v>
      </c>
      <c r="E8205" t="s">
        <v>264</v>
      </c>
      <c r="F8205" t="s">
        <v>342</v>
      </c>
      <c r="G8205" t="s">
        <v>1242</v>
      </c>
      <c r="H8205" t="s">
        <v>859</v>
      </c>
      <c r="I8205" t="s">
        <v>860</v>
      </c>
      <c r="J8205" t="str">
        <f>"9520709"</f>
        <v>9520709</v>
      </c>
      <c r="K8205">
        <v>2554081191</v>
      </c>
      <c r="L8205">
        <v>2554081191</v>
      </c>
      <c r="M8205" t="s">
        <v>1300</v>
      </c>
      <c r="N8205" t="s">
        <v>1301</v>
      </c>
      <c r="O8205" t="s">
        <v>1282</v>
      </c>
      <c r="P8205">
        <v>68400</v>
      </c>
      <c r="Q8205" t="str">
        <f>"41.282242"</f>
        <v>41.282242</v>
      </c>
      <c r="R8205" t="str">
        <f>"26.285968"</f>
        <v>26.285968</v>
      </c>
      <c r="S8205" t="s">
        <v>26</v>
      </c>
    </row>
    <row r="8206" spans="1:19" x14ac:dyDescent="0.3">
      <c r="A8206" t="s">
        <v>19</v>
      </c>
      <c r="B8206" t="s">
        <v>1165</v>
      </c>
      <c r="C8206" t="s">
        <v>1305</v>
      </c>
      <c r="D8206" t="s">
        <v>27</v>
      </c>
      <c r="E8206" t="s">
        <v>221</v>
      </c>
      <c r="F8206" t="s">
        <v>221</v>
      </c>
      <c r="G8206" t="s">
        <v>221</v>
      </c>
      <c r="H8206" t="s">
        <v>859</v>
      </c>
      <c r="I8206" t="s">
        <v>860</v>
      </c>
      <c r="J8206" t="str">
        <f>"9110358"</f>
        <v>9110358</v>
      </c>
      <c r="K8206">
        <v>2552024442</v>
      </c>
      <c r="L8206">
        <v>2552024505</v>
      </c>
      <c r="M8206" t="s">
        <v>1306</v>
      </c>
      <c r="N8206" t="s">
        <v>226</v>
      </c>
      <c r="O8206" t="s">
        <v>1307</v>
      </c>
      <c r="P8206">
        <v>68200</v>
      </c>
      <c r="Q8206" t="str">
        <f>"41.498390"</f>
        <v>41.498390</v>
      </c>
      <c r="R8206" t="str">
        <f>"26.527716"</f>
        <v>26.527716</v>
      </c>
      <c r="S8206" t="s">
        <v>26</v>
      </c>
    </row>
    <row r="8207" spans="1:19" x14ac:dyDescent="0.3">
      <c r="A8207" t="s">
        <v>19</v>
      </c>
      <c r="B8207" t="s">
        <v>1165</v>
      </c>
      <c r="C8207" t="s">
        <v>1308</v>
      </c>
      <c r="D8207" t="s">
        <v>27</v>
      </c>
      <c r="E8207" t="s">
        <v>28</v>
      </c>
      <c r="F8207" t="s">
        <v>28</v>
      </c>
      <c r="G8207" t="s">
        <v>28</v>
      </c>
      <c r="H8207" t="s">
        <v>859</v>
      </c>
      <c r="I8207" t="s">
        <v>860</v>
      </c>
      <c r="J8207" t="str">
        <f>"9110341"</f>
        <v>9110341</v>
      </c>
      <c r="K8207">
        <v>2551024331</v>
      </c>
      <c r="L8207">
        <v>2551024331</v>
      </c>
      <c r="M8207" t="s">
        <v>1309</v>
      </c>
      <c r="N8207" t="s">
        <v>28</v>
      </c>
      <c r="O8207" t="s">
        <v>1310</v>
      </c>
      <c r="P8207">
        <v>68131</v>
      </c>
      <c r="Q8207" t="str">
        <f>"40.849161"</f>
        <v>40.849161</v>
      </c>
      <c r="R8207" t="str">
        <f>"25.871268"</f>
        <v>25.871268</v>
      </c>
      <c r="S8207" t="s">
        <v>26</v>
      </c>
    </row>
    <row r="8208" spans="1:19" x14ac:dyDescent="0.3">
      <c r="A8208" t="s">
        <v>19</v>
      </c>
      <c r="B8208" t="s">
        <v>1165</v>
      </c>
      <c r="C8208" t="s">
        <v>1311</v>
      </c>
      <c r="D8208" t="s">
        <v>27</v>
      </c>
      <c r="E8208" t="s">
        <v>28</v>
      </c>
      <c r="F8208" t="s">
        <v>28</v>
      </c>
      <c r="G8208" t="s">
        <v>28</v>
      </c>
      <c r="H8208" t="s">
        <v>859</v>
      </c>
      <c r="I8208" t="s">
        <v>860</v>
      </c>
      <c r="J8208" t="str">
        <f>"9110369"</f>
        <v>9110369</v>
      </c>
      <c r="K8208">
        <v>2551033722</v>
      </c>
      <c r="M8208" t="s">
        <v>1312</v>
      </c>
      <c r="N8208" t="s">
        <v>28</v>
      </c>
      <c r="O8208" t="s">
        <v>1313</v>
      </c>
      <c r="P8208">
        <v>68131</v>
      </c>
      <c r="Q8208" t="str">
        <f>"40.846584"</f>
        <v>40.846584</v>
      </c>
      <c r="R8208" t="str">
        <f>"25.867899"</f>
        <v>25.867899</v>
      </c>
      <c r="S8208" t="s">
        <v>26</v>
      </c>
    </row>
    <row r="8209" spans="1:19" x14ac:dyDescent="0.3">
      <c r="A8209" t="s">
        <v>19</v>
      </c>
      <c r="B8209" t="s">
        <v>1165</v>
      </c>
      <c r="C8209" t="s">
        <v>1314</v>
      </c>
      <c r="D8209" t="s">
        <v>27</v>
      </c>
      <c r="E8209" t="s">
        <v>28</v>
      </c>
      <c r="F8209" t="s">
        <v>28</v>
      </c>
      <c r="G8209" t="s">
        <v>28</v>
      </c>
      <c r="H8209" t="s">
        <v>859</v>
      </c>
      <c r="I8209" t="s">
        <v>860</v>
      </c>
      <c r="J8209" t="str">
        <f>"9110376"</f>
        <v>9110376</v>
      </c>
      <c r="K8209">
        <v>2551035288</v>
      </c>
      <c r="L8209">
        <v>2551035288</v>
      </c>
      <c r="M8209" t="s">
        <v>1315</v>
      </c>
      <c r="N8209" t="s">
        <v>28</v>
      </c>
      <c r="O8209" t="s">
        <v>1316</v>
      </c>
      <c r="P8209">
        <v>68131</v>
      </c>
      <c r="Q8209" t="str">
        <f>"40.856789"</f>
        <v>40.856789</v>
      </c>
      <c r="R8209" t="str">
        <f>"25.866924"</f>
        <v>25.866924</v>
      </c>
      <c r="S8209" t="s">
        <v>26</v>
      </c>
    </row>
    <row r="8210" spans="1:19" x14ac:dyDescent="0.3">
      <c r="A8210" t="s">
        <v>19</v>
      </c>
      <c r="B8210" t="s">
        <v>1165</v>
      </c>
      <c r="C8210" t="s">
        <v>1320</v>
      </c>
      <c r="D8210" t="s">
        <v>27</v>
      </c>
      <c r="E8210" t="s">
        <v>28</v>
      </c>
      <c r="F8210" t="s">
        <v>28</v>
      </c>
      <c r="G8210" t="s">
        <v>28</v>
      </c>
      <c r="H8210" t="s">
        <v>859</v>
      </c>
      <c r="I8210" t="s">
        <v>860</v>
      </c>
      <c r="J8210" t="str">
        <f>"9110285"</f>
        <v>9110285</v>
      </c>
      <c r="K8210">
        <v>2551025185</v>
      </c>
      <c r="L8210">
        <v>2551025185</v>
      </c>
      <c r="M8210" t="s">
        <v>1321</v>
      </c>
      <c r="N8210" t="s">
        <v>28</v>
      </c>
      <c r="O8210" t="s">
        <v>1322</v>
      </c>
      <c r="P8210">
        <v>68132</v>
      </c>
      <c r="Q8210" t="str">
        <f>"40.848892"</f>
        <v>40.848892</v>
      </c>
      <c r="R8210" t="str">
        <f>"25.873144"</f>
        <v>25.873144</v>
      </c>
      <c r="S8210" t="s">
        <v>26</v>
      </c>
    </row>
    <row r="8211" spans="1:19" x14ac:dyDescent="0.3">
      <c r="A8211" t="s">
        <v>19</v>
      </c>
      <c r="B8211" t="s">
        <v>1165</v>
      </c>
      <c r="C8211" t="s">
        <v>1323</v>
      </c>
      <c r="D8211" t="s">
        <v>27</v>
      </c>
      <c r="E8211" t="s">
        <v>264</v>
      </c>
      <c r="F8211" t="s">
        <v>342</v>
      </c>
      <c r="G8211" t="s">
        <v>1237</v>
      </c>
      <c r="H8211" t="s">
        <v>859</v>
      </c>
      <c r="I8211" t="s">
        <v>860</v>
      </c>
      <c r="J8211" t="str">
        <f>"9520710"</f>
        <v>9520710</v>
      </c>
      <c r="K8211">
        <v>2554020055</v>
      </c>
      <c r="L8211">
        <v>2554020055</v>
      </c>
      <c r="M8211" t="s">
        <v>1324</v>
      </c>
      <c r="N8211" t="s">
        <v>1325</v>
      </c>
      <c r="O8211" t="s">
        <v>1325</v>
      </c>
      <c r="P8211">
        <v>68005</v>
      </c>
      <c r="Q8211" t="str">
        <f>"41.234052"</f>
        <v>41.234052</v>
      </c>
      <c r="R8211" t="str">
        <f>"26.025819"</f>
        <v>26.025819</v>
      </c>
      <c r="S8211" t="s">
        <v>57</v>
      </c>
    </row>
    <row r="8212" spans="1:19" x14ac:dyDescent="0.3">
      <c r="A8212" t="s">
        <v>19</v>
      </c>
      <c r="B8212" t="s">
        <v>1165</v>
      </c>
      <c r="C8212" t="s">
        <v>1330</v>
      </c>
      <c r="D8212" t="s">
        <v>27</v>
      </c>
      <c r="E8212" t="s">
        <v>264</v>
      </c>
      <c r="F8212" t="s">
        <v>342</v>
      </c>
      <c r="G8212" t="s">
        <v>1237</v>
      </c>
      <c r="H8212" t="s">
        <v>859</v>
      </c>
      <c r="I8212" t="s">
        <v>860</v>
      </c>
      <c r="J8212" t="str">
        <f>"9520711"</f>
        <v>9520711</v>
      </c>
      <c r="K8212">
        <v>2554034024</v>
      </c>
      <c r="L8212">
        <v>2554034024</v>
      </c>
      <c r="M8212" t="s">
        <v>1331</v>
      </c>
      <c r="N8212" t="s">
        <v>1332</v>
      </c>
      <c r="O8212" t="s">
        <v>1279</v>
      </c>
      <c r="P8212">
        <v>68004</v>
      </c>
      <c r="Q8212" t="str">
        <f>"41.299364"</f>
        <v>41.299364</v>
      </c>
      <c r="R8212" t="str">
        <f>"26.019221"</f>
        <v>26.019221</v>
      </c>
      <c r="S8212" t="s">
        <v>57</v>
      </c>
    </row>
    <row r="8213" spans="1:19" x14ac:dyDescent="0.3">
      <c r="A8213" t="s">
        <v>19</v>
      </c>
      <c r="B8213" t="s">
        <v>1165</v>
      </c>
      <c r="C8213" t="s">
        <v>1341</v>
      </c>
      <c r="D8213" t="s">
        <v>27</v>
      </c>
      <c r="E8213" t="s">
        <v>221</v>
      </c>
      <c r="F8213" t="s">
        <v>221</v>
      </c>
      <c r="G8213" t="s">
        <v>221</v>
      </c>
      <c r="H8213" t="s">
        <v>859</v>
      </c>
      <c r="I8213" t="s">
        <v>860</v>
      </c>
      <c r="J8213" t="str">
        <f>"9110152"</f>
        <v>9110152</v>
      </c>
      <c r="K8213">
        <v>2552024550</v>
      </c>
      <c r="M8213" t="s">
        <v>1342</v>
      </c>
      <c r="N8213" t="s">
        <v>226</v>
      </c>
      <c r="O8213" t="s">
        <v>1343</v>
      </c>
      <c r="P8213">
        <v>68200</v>
      </c>
      <c r="Q8213" t="str">
        <f>"41.504093"</f>
        <v>41.504093</v>
      </c>
      <c r="R8213" t="str">
        <f>"26.528571"</f>
        <v>26.528571</v>
      </c>
      <c r="S8213" t="s">
        <v>26</v>
      </c>
    </row>
    <row r="8214" spans="1:19" x14ac:dyDescent="0.3">
      <c r="A8214" t="s">
        <v>19</v>
      </c>
      <c r="B8214" t="s">
        <v>1165</v>
      </c>
      <c r="C8214" t="s">
        <v>1348</v>
      </c>
      <c r="D8214" t="s">
        <v>27</v>
      </c>
      <c r="E8214" t="s">
        <v>264</v>
      </c>
      <c r="F8214" t="s">
        <v>264</v>
      </c>
      <c r="G8214" t="s">
        <v>264</v>
      </c>
      <c r="H8214" t="s">
        <v>859</v>
      </c>
      <c r="I8214" t="s">
        <v>860</v>
      </c>
      <c r="J8214" t="str">
        <f>"9110223"</f>
        <v>9110223</v>
      </c>
      <c r="K8214">
        <v>2554022962</v>
      </c>
      <c r="L8214">
        <v>2554022962</v>
      </c>
      <c r="M8214" t="s">
        <v>1349</v>
      </c>
      <c r="N8214" t="s">
        <v>1350</v>
      </c>
      <c r="O8214" t="s">
        <v>1351</v>
      </c>
      <c r="P8214">
        <v>68400</v>
      </c>
      <c r="Q8214" t="str">
        <f>"41.195298"</f>
        <v>41.195298</v>
      </c>
      <c r="R8214" t="str">
        <f>"26.298504"</f>
        <v>26.298504</v>
      </c>
      <c r="S8214" t="s">
        <v>26</v>
      </c>
    </row>
    <row r="8215" spans="1:19" x14ac:dyDescent="0.3">
      <c r="A8215" t="s">
        <v>19</v>
      </c>
      <c r="B8215" t="s">
        <v>1165</v>
      </c>
      <c r="C8215" t="s">
        <v>1352</v>
      </c>
      <c r="D8215" t="s">
        <v>27</v>
      </c>
      <c r="E8215" t="s">
        <v>28</v>
      </c>
      <c r="F8215" t="s">
        <v>28</v>
      </c>
      <c r="G8215" t="s">
        <v>28</v>
      </c>
      <c r="H8215" t="s">
        <v>859</v>
      </c>
      <c r="I8215" t="s">
        <v>860</v>
      </c>
      <c r="J8215" t="str">
        <f>"9110003"</f>
        <v>9110003</v>
      </c>
      <c r="K8215">
        <v>2551025088</v>
      </c>
      <c r="M8215" t="s">
        <v>1353</v>
      </c>
      <c r="N8215" t="s">
        <v>28</v>
      </c>
      <c r="O8215" t="s">
        <v>1354</v>
      </c>
      <c r="P8215">
        <v>68132</v>
      </c>
      <c r="Q8215" t="str">
        <f>"40.846112"</f>
        <v>40.846112</v>
      </c>
      <c r="R8215" t="str">
        <f>"25.867521"</f>
        <v>25.867521</v>
      </c>
      <c r="S8215" t="s">
        <v>26</v>
      </c>
    </row>
    <row r="8216" spans="1:19" x14ac:dyDescent="0.3">
      <c r="A8216" t="s">
        <v>19</v>
      </c>
      <c r="B8216" t="s">
        <v>1165</v>
      </c>
      <c r="C8216" t="s">
        <v>1355</v>
      </c>
      <c r="D8216" t="s">
        <v>27</v>
      </c>
      <c r="E8216" t="s">
        <v>221</v>
      </c>
      <c r="F8216" t="s">
        <v>277</v>
      </c>
      <c r="G8216" t="s">
        <v>278</v>
      </c>
      <c r="H8216" t="s">
        <v>859</v>
      </c>
      <c r="I8216" t="s">
        <v>860</v>
      </c>
      <c r="J8216" t="str">
        <f>"9110257"</f>
        <v>9110257</v>
      </c>
      <c r="K8216">
        <v>2556031140</v>
      </c>
      <c r="L8216">
        <v>2556031140</v>
      </c>
      <c r="M8216" t="s">
        <v>1356</v>
      </c>
      <c r="N8216" t="s">
        <v>278</v>
      </c>
      <c r="O8216" t="s">
        <v>364</v>
      </c>
      <c r="P8216">
        <v>68007</v>
      </c>
      <c r="Q8216" t="str">
        <f>"41.706825"</f>
        <v>41.706825</v>
      </c>
      <c r="R8216" t="str">
        <f>"26.294410"</f>
        <v>26.294410</v>
      </c>
      <c r="S8216" t="s">
        <v>57</v>
      </c>
    </row>
    <row r="8217" spans="1:19" x14ac:dyDescent="0.3">
      <c r="A8217" t="s">
        <v>19</v>
      </c>
      <c r="B8217" t="s">
        <v>1165</v>
      </c>
      <c r="C8217" t="s">
        <v>1359</v>
      </c>
      <c r="D8217" t="s">
        <v>27</v>
      </c>
      <c r="E8217" t="s">
        <v>28</v>
      </c>
      <c r="F8217" t="s">
        <v>203</v>
      </c>
      <c r="G8217" t="s">
        <v>203</v>
      </c>
      <c r="H8217" t="s">
        <v>859</v>
      </c>
      <c r="I8217" t="s">
        <v>860</v>
      </c>
      <c r="J8217" t="str">
        <f>"9110323"</f>
        <v>9110323</v>
      </c>
      <c r="K8217">
        <v>2555022879</v>
      </c>
      <c r="M8217" t="s">
        <v>1360</v>
      </c>
      <c r="N8217" t="s">
        <v>203</v>
      </c>
      <c r="O8217" t="s">
        <v>1361</v>
      </c>
      <c r="P8217">
        <v>68500</v>
      </c>
      <c r="Q8217" t="str">
        <f>"40.890085"</f>
        <v>40.890085</v>
      </c>
      <c r="R8217" t="str">
        <f>"26.164781"</f>
        <v>26.164781</v>
      </c>
      <c r="S8217" t="s">
        <v>26</v>
      </c>
    </row>
    <row r="8218" spans="1:19" x14ac:dyDescent="0.3">
      <c r="A8218" t="s">
        <v>19</v>
      </c>
      <c r="B8218" t="s">
        <v>1165</v>
      </c>
      <c r="C8218" t="s">
        <v>1366</v>
      </c>
      <c r="D8218" t="s">
        <v>27</v>
      </c>
      <c r="E8218" t="s">
        <v>264</v>
      </c>
      <c r="F8218" t="s">
        <v>384</v>
      </c>
      <c r="G8218" t="s">
        <v>384</v>
      </c>
      <c r="H8218" t="s">
        <v>859</v>
      </c>
      <c r="I8218" t="s">
        <v>860</v>
      </c>
      <c r="J8218" t="str">
        <f>"9110240"</f>
        <v>9110240</v>
      </c>
      <c r="K8218">
        <v>2554041388</v>
      </c>
      <c r="L8218">
        <v>2554041628</v>
      </c>
      <c r="M8218" t="s">
        <v>1367</v>
      </c>
      <c r="N8218" t="s">
        <v>387</v>
      </c>
      <c r="O8218" t="s">
        <v>1368</v>
      </c>
      <c r="P8218">
        <v>68003</v>
      </c>
      <c r="Q8218" t="str">
        <f>"41.025850"</f>
        <v>41.025850</v>
      </c>
      <c r="R8218" t="str">
        <f>"26.288138"</f>
        <v>26.288138</v>
      </c>
      <c r="S8218" t="s">
        <v>26</v>
      </c>
    </row>
    <row r="8219" spans="1:19" x14ac:dyDescent="0.3">
      <c r="A8219" t="s">
        <v>19</v>
      </c>
      <c r="B8219" t="s">
        <v>1165</v>
      </c>
      <c r="C8219" t="s">
        <v>1369</v>
      </c>
      <c r="D8219" t="s">
        <v>27</v>
      </c>
      <c r="E8219" t="s">
        <v>221</v>
      </c>
      <c r="F8219" t="s">
        <v>312</v>
      </c>
      <c r="G8219" t="s">
        <v>356</v>
      </c>
      <c r="H8219" t="s">
        <v>859</v>
      </c>
      <c r="I8219" t="s">
        <v>860</v>
      </c>
      <c r="J8219" t="str">
        <f>"9110198"</f>
        <v>9110198</v>
      </c>
      <c r="K8219">
        <v>2552071411</v>
      </c>
      <c r="L8219">
        <v>2552071411</v>
      </c>
      <c r="M8219" t="s">
        <v>1370</v>
      </c>
      <c r="N8219" t="s">
        <v>1371</v>
      </c>
      <c r="O8219" t="s">
        <v>360</v>
      </c>
      <c r="P8219">
        <v>68001</v>
      </c>
      <c r="Q8219" t="str">
        <f>"41.585233"</f>
        <v>41.585233</v>
      </c>
      <c r="R8219" t="str">
        <f>"26.546076"</f>
        <v>26.546076</v>
      </c>
      <c r="S8219" t="s">
        <v>26</v>
      </c>
    </row>
    <row r="8220" spans="1:19" x14ac:dyDescent="0.3">
      <c r="A8220" t="s">
        <v>19</v>
      </c>
      <c r="B8220" t="s">
        <v>1165</v>
      </c>
      <c r="C8220" t="s">
        <v>1372</v>
      </c>
      <c r="D8220" t="s">
        <v>27</v>
      </c>
      <c r="E8220" t="s">
        <v>221</v>
      </c>
      <c r="F8220" t="s">
        <v>221</v>
      </c>
      <c r="G8220" t="s">
        <v>221</v>
      </c>
      <c r="H8220" t="s">
        <v>859</v>
      </c>
      <c r="I8220" t="s">
        <v>860</v>
      </c>
      <c r="J8220" t="str">
        <f>"9110164"</f>
        <v>9110164</v>
      </c>
      <c r="K8220">
        <v>2552024710</v>
      </c>
      <c r="L8220">
        <v>2552024710</v>
      </c>
      <c r="M8220" t="s">
        <v>1373</v>
      </c>
      <c r="N8220" t="s">
        <v>224</v>
      </c>
      <c r="O8220" t="s">
        <v>1374</v>
      </c>
      <c r="P8220">
        <v>68200</v>
      </c>
      <c r="Q8220" t="str">
        <f>"41.489356"</f>
        <v>41.489356</v>
      </c>
      <c r="R8220" t="str">
        <f>"26.529541"</f>
        <v>26.529541</v>
      </c>
      <c r="S8220" t="s">
        <v>26</v>
      </c>
    </row>
    <row r="8221" spans="1:19" x14ac:dyDescent="0.3">
      <c r="A8221" t="s">
        <v>19</v>
      </c>
      <c r="B8221" t="s">
        <v>1165</v>
      </c>
      <c r="C8221" t="s">
        <v>1386</v>
      </c>
      <c r="D8221" t="s">
        <v>27</v>
      </c>
      <c r="E8221" t="s">
        <v>221</v>
      </c>
      <c r="F8221" t="s">
        <v>367</v>
      </c>
      <c r="G8221" t="s">
        <v>368</v>
      </c>
      <c r="H8221" t="s">
        <v>859</v>
      </c>
      <c r="I8221" t="s">
        <v>860</v>
      </c>
      <c r="J8221" t="str">
        <f>"9110255"</f>
        <v>9110255</v>
      </c>
      <c r="K8221">
        <v>2556022724</v>
      </c>
      <c r="L8221">
        <v>2556022724</v>
      </c>
      <c r="M8221" t="s">
        <v>1387</v>
      </c>
      <c r="N8221" t="s">
        <v>367</v>
      </c>
      <c r="O8221" t="s">
        <v>368</v>
      </c>
      <c r="P8221">
        <v>68006</v>
      </c>
      <c r="Q8221" t="str">
        <f>"41.572876"</f>
        <v>41.572876</v>
      </c>
      <c r="R8221" t="str">
        <f>"26.229467"</f>
        <v>26.229467</v>
      </c>
      <c r="S8221" t="s">
        <v>57</v>
      </c>
    </row>
    <row r="8222" spans="1:19" x14ac:dyDescent="0.3">
      <c r="A8222" t="s">
        <v>19</v>
      </c>
      <c r="B8222" t="s">
        <v>1165</v>
      </c>
      <c r="C8222" t="s">
        <v>1388</v>
      </c>
      <c r="D8222" t="s">
        <v>27</v>
      </c>
      <c r="E8222" t="s">
        <v>248</v>
      </c>
      <c r="F8222" t="s">
        <v>329</v>
      </c>
      <c r="G8222" t="s">
        <v>329</v>
      </c>
      <c r="H8222" t="s">
        <v>859</v>
      </c>
      <c r="I8222" t="s">
        <v>860</v>
      </c>
      <c r="J8222" t="str">
        <f>"9110299"</f>
        <v>9110299</v>
      </c>
      <c r="K8222">
        <v>2553051214</v>
      </c>
      <c r="L8222">
        <v>2553051214</v>
      </c>
      <c r="M8222" t="s">
        <v>1389</v>
      </c>
      <c r="N8222" t="s">
        <v>329</v>
      </c>
      <c r="O8222" t="s">
        <v>332</v>
      </c>
      <c r="P8222">
        <v>68010</v>
      </c>
      <c r="Q8222" t="str">
        <f>"41.418322"</f>
        <v>41.418322</v>
      </c>
      <c r="R8222" t="str">
        <f>"26.224214"</f>
        <v>26.224214</v>
      </c>
      <c r="S8222" t="s">
        <v>57</v>
      </c>
    </row>
    <row r="8223" spans="1:19" x14ac:dyDescent="0.3">
      <c r="A8223" t="s">
        <v>19</v>
      </c>
      <c r="B8223" t="s">
        <v>1165</v>
      </c>
      <c r="C8223" t="s">
        <v>1398</v>
      </c>
      <c r="D8223" t="s">
        <v>27</v>
      </c>
      <c r="E8223" t="s">
        <v>221</v>
      </c>
      <c r="F8223" t="s">
        <v>221</v>
      </c>
      <c r="G8223" t="s">
        <v>221</v>
      </c>
      <c r="H8223" t="s">
        <v>859</v>
      </c>
      <c r="I8223" t="s">
        <v>860</v>
      </c>
      <c r="J8223" t="str">
        <f>"9110340"</f>
        <v>9110340</v>
      </c>
      <c r="K8223">
        <v>2552029705</v>
      </c>
      <c r="L8223">
        <v>2552029705</v>
      </c>
      <c r="M8223" t="s">
        <v>1399</v>
      </c>
      <c r="N8223" t="s">
        <v>226</v>
      </c>
      <c r="O8223" t="s">
        <v>1400</v>
      </c>
      <c r="P8223">
        <v>68200</v>
      </c>
      <c r="Q8223" t="str">
        <f>"41.505213"</f>
        <v>41.505213</v>
      </c>
      <c r="R8223" t="str">
        <f>"26.520633"</f>
        <v>26.520633</v>
      </c>
      <c r="S8223" t="s">
        <v>26</v>
      </c>
    </row>
    <row r="8224" spans="1:19" x14ac:dyDescent="0.3">
      <c r="A8224" t="s">
        <v>19</v>
      </c>
      <c r="B8224" t="s">
        <v>1165</v>
      </c>
      <c r="C8224" t="s">
        <v>1409</v>
      </c>
      <c r="D8224" t="s">
        <v>27</v>
      </c>
      <c r="E8224" t="s">
        <v>264</v>
      </c>
      <c r="F8224" t="s">
        <v>342</v>
      </c>
      <c r="G8224" t="s">
        <v>343</v>
      </c>
      <c r="H8224" t="s">
        <v>859</v>
      </c>
      <c r="I8224" t="s">
        <v>860</v>
      </c>
      <c r="J8224" t="str">
        <f>"9110253"</f>
        <v>9110253</v>
      </c>
      <c r="K8224">
        <v>2553020505</v>
      </c>
      <c r="M8224" t="s">
        <v>1410</v>
      </c>
      <c r="N8224" t="s">
        <v>343</v>
      </c>
      <c r="O8224" t="s">
        <v>1411</v>
      </c>
      <c r="P8224">
        <v>68004</v>
      </c>
      <c r="Q8224" t="str">
        <f>"41.269851"</f>
        <v>41.269851</v>
      </c>
      <c r="R8224" t="str">
        <f>"26.383627"</f>
        <v>26.383627</v>
      </c>
      <c r="S8224" t="s">
        <v>26</v>
      </c>
    </row>
    <row r="8225" spans="1:19" x14ac:dyDescent="0.3">
      <c r="A8225" t="s">
        <v>19</v>
      </c>
      <c r="B8225" t="s">
        <v>1165</v>
      </c>
      <c r="C8225" t="s">
        <v>1413</v>
      </c>
      <c r="D8225" t="s">
        <v>27</v>
      </c>
      <c r="E8225" t="s">
        <v>221</v>
      </c>
      <c r="F8225" t="s">
        <v>312</v>
      </c>
      <c r="G8225" t="s">
        <v>1412</v>
      </c>
      <c r="H8225" t="s">
        <v>859</v>
      </c>
      <c r="I8225" t="s">
        <v>860</v>
      </c>
      <c r="J8225" t="str">
        <f>"9110215"</f>
        <v>9110215</v>
      </c>
      <c r="K8225">
        <v>2552093073</v>
      </c>
      <c r="M8225" t="s">
        <v>1414</v>
      </c>
      <c r="N8225" t="s">
        <v>1412</v>
      </c>
      <c r="O8225" t="s">
        <v>1415</v>
      </c>
      <c r="P8225">
        <v>68200</v>
      </c>
      <c r="Q8225" t="str">
        <f>"41.569257"</f>
        <v>41.569257</v>
      </c>
      <c r="R8225" t="str">
        <f>"26.466413"</f>
        <v>26.466413</v>
      </c>
      <c r="S8225" t="s">
        <v>26</v>
      </c>
    </row>
    <row r="8226" spans="1:19" x14ac:dyDescent="0.3">
      <c r="A8226" t="s">
        <v>19</v>
      </c>
      <c r="B8226" t="s">
        <v>1165</v>
      </c>
      <c r="C8226" t="s">
        <v>1417</v>
      </c>
      <c r="D8226" t="s">
        <v>27</v>
      </c>
      <c r="E8226" t="s">
        <v>248</v>
      </c>
      <c r="F8226" t="s">
        <v>248</v>
      </c>
      <c r="G8226" t="s">
        <v>1416</v>
      </c>
      <c r="H8226" t="s">
        <v>859</v>
      </c>
      <c r="I8226" t="s">
        <v>860</v>
      </c>
      <c r="J8226" t="str">
        <f>"9110089"</f>
        <v>9110089</v>
      </c>
      <c r="K8226">
        <v>2552031207</v>
      </c>
      <c r="M8226" t="s">
        <v>1418</v>
      </c>
      <c r="N8226" t="s">
        <v>1419</v>
      </c>
      <c r="O8226" t="s">
        <v>1416</v>
      </c>
      <c r="P8226">
        <v>68300</v>
      </c>
      <c r="Q8226" t="str">
        <f>"41.417611"</f>
        <v>41.417611</v>
      </c>
      <c r="R8226" t="str">
        <f>"26.565270"</f>
        <v>26.565270</v>
      </c>
      <c r="S8226" t="s">
        <v>26</v>
      </c>
    </row>
    <row r="8227" spans="1:19" x14ac:dyDescent="0.3">
      <c r="A8227" t="s">
        <v>19</v>
      </c>
      <c r="B8227" t="s">
        <v>1165</v>
      </c>
      <c r="C8227" t="s">
        <v>1420</v>
      </c>
      <c r="D8227" t="s">
        <v>27</v>
      </c>
      <c r="E8227" t="s">
        <v>221</v>
      </c>
      <c r="F8227" t="s">
        <v>221</v>
      </c>
      <c r="G8227" t="s">
        <v>221</v>
      </c>
      <c r="H8227" t="s">
        <v>859</v>
      </c>
      <c r="I8227" t="s">
        <v>860</v>
      </c>
      <c r="J8227" t="str">
        <f>"9110162"</f>
        <v>9110162</v>
      </c>
      <c r="K8227">
        <v>2552023994</v>
      </c>
      <c r="L8227">
        <v>23994</v>
      </c>
      <c r="M8227" t="s">
        <v>1421</v>
      </c>
      <c r="N8227" t="s">
        <v>226</v>
      </c>
      <c r="O8227" t="s">
        <v>1422</v>
      </c>
      <c r="P8227">
        <v>68200</v>
      </c>
      <c r="Q8227" t="str">
        <f>"41.494525"</f>
        <v>41.494525</v>
      </c>
      <c r="R8227" t="str">
        <f>"26.535361"</f>
        <v>26.535361</v>
      </c>
      <c r="S8227" t="s">
        <v>26</v>
      </c>
    </row>
    <row r="8228" spans="1:19" x14ac:dyDescent="0.3">
      <c r="A8228" t="s">
        <v>19</v>
      </c>
      <c r="B8228" t="s">
        <v>1165</v>
      </c>
      <c r="C8228" t="s">
        <v>1424</v>
      </c>
      <c r="D8228" t="s">
        <v>27</v>
      </c>
      <c r="E8228" t="s">
        <v>28</v>
      </c>
      <c r="F8228" t="s">
        <v>28</v>
      </c>
      <c r="G8228" t="s">
        <v>28</v>
      </c>
      <c r="H8228" t="s">
        <v>859</v>
      </c>
      <c r="I8228" t="s">
        <v>860</v>
      </c>
      <c r="J8228" t="str">
        <f>"9110006"</f>
        <v>9110006</v>
      </c>
      <c r="K8228">
        <v>2551025367</v>
      </c>
      <c r="L8228">
        <v>2551025367</v>
      </c>
      <c r="M8228" t="s">
        <v>1425</v>
      </c>
      <c r="N8228" t="s">
        <v>28</v>
      </c>
      <c r="O8228" t="s">
        <v>1426</v>
      </c>
      <c r="P8228">
        <v>68131</v>
      </c>
      <c r="Q8228" t="str">
        <f>"40.848735"</f>
        <v>40.848735</v>
      </c>
      <c r="R8228" t="str">
        <f>"25.864793"</f>
        <v>25.864793</v>
      </c>
      <c r="S8228" t="s">
        <v>26</v>
      </c>
    </row>
    <row r="8229" spans="1:19" x14ac:dyDescent="0.3">
      <c r="A8229" t="s">
        <v>19</v>
      </c>
      <c r="B8229" t="s">
        <v>1165</v>
      </c>
      <c r="C8229" t="s">
        <v>1433</v>
      </c>
      <c r="D8229" t="s">
        <v>27</v>
      </c>
      <c r="E8229" t="s">
        <v>28</v>
      </c>
      <c r="F8229" t="s">
        <v>28</v>
      </c>
      <c r="G8229" t="s">
        <v>28</v>
      </c>
      <c r="H8229" t="s">
        <v>859</v>
      </c>
      <c r="I8229" t="s">
        <v>860</v>
      </c>
      <c r="J8229" t="str">
        <f>"9110360"</f>
        <v>9110360</v>
      </c>
      <c r="K8229">
        <v>2551037517</v>
      </c>
      <c r="L8229">
        <v>2551037517</v>
      </c>
      <c r="M8229" t="s">
        <v>1434</v>
      </c>
      <c r="N8229" t="s">
        <v>28</v>
      </c>
      <c r="O8229" t="s">
        <v>1435</v>
      </c>
      <c r="P8229">
        <v>68133</v>
      </c>
      <c r="Q8229" t="str">
        <f>"40.849312"</f>
        <v>40.849312</v>
      </c>
      <c r="R8229" t="str">
        <f>"25.888010"</f>
        <v>25.888010</v>
      </c>
      <c r="S8229" t="s">
        <v>26</v>
      </c>
    </row>
    <row r="8230" spans="1:19" x14ac:dyDescent="0.3">
      <c r="A8230" t="s">
        <v>19</v>
      </c>
      <c r="B8230" t="s">
        <v>1165</v>
      </c>
      <c r="C8230" t="s">
        <v>1440</v>
      </c>
      <c r="D8230" t="s">
        <v>27</v>
      </c>
      <c r="E8230" t="s">
        <v>28</v>
      </c>
      <c r="F8230" t="s">
        <v>28</v>
      </c>
      <c r="G8230" t="s">
        <v>1439</v>
      </c>
      <c r="H8230" t="s">
        <v>859</v>
      </c>
      <c r="I8230" t="s">
        <v>860</v>
      </c>
      <c r="J8230" t="str">
        <f>"9110020"</f>
        <v>9110020</v>
      </c>
      <c r="K8230">
        <v>2551088977</v>
      </c>
      <c r="L8230">
        <v>2551091277</v>
      </c>
      <c r="M8230" t="s">
        <v>1441</v>
      </c>
      <c r="N8230" t="s">
        <v>1442</v>
      </c>
      <c r="O8230" t="s">
        <v>1443</v>
      </c>
      <c r="P8230">
        <v>68100</v>
      </c>
      <c r="Q8230" t="str">
        <f>"40.929519"</f>
        <v>40.929519</v>
      </c>
      <c r="R8230" t="str">
        <f>"25.915178"</f>
        <v>25.915178</v>
      </c>
      <c r="S8230" t="s">
        <v>26</v>
      </c>
    </row>
    <row r="8231" spans="1:19" x14ac:dyDescent="0.3">
      <c r="A8231" t="s">
        <v>19</v>
      </c>
      <c r="B8231" t="s">
        <v>1165</v>
      </c>
      <c r="C8231" t="s">
        <v>1451</v>
      </c>
      <c r="D8231" t="s">
        <v>27</v>
      </c>
      <c r="E8231" t="s">
        <v>28</v>
      </c>
      <c r="F8231" t="s">
        <v>28</v>
      </c>
      <c r="G8231" t="s">
        <v>28</v>
      </c>
      <c r="H8231" t="s">
        <v>859</v>
      </c>
      <c r="I8231" t="s">
        <v>860</v>
      </c>
      <c r="J8231" t="str">
        <f>"9110015"</f>
        <v>9110015</v>
      </c>
      <c r="K8231">
        <v>2551022507</v>
      </c>
      <c r="L8231">
        <v>2551022507</v>
      </c>
      <c r="M8231" t="s">
        <v>1452</v>
      </c>
      <c r="N8231" t="s">
        <v>28</v>
      </c>
      <c r="O8231" t="s">
        <v>1453</v>
      </c>
      <c r="P8231">
        <v>68132</v>
      </c>
      <c r="Q8231" t="str">
        <f>"40.857193"</f>
        <v>40.857193</v>
      </c>
      <c r="R8231" t="str">
        <f>"25.873131"</f>
        <v>25.873131</v>
      </c>
      <c r="S8231" t="s">
        <v>26</v>
      </c>
    </row>
    <row r="8232" spans="1:19" x14ac:dyDescent="0.3">
      <c r="A8232" t="s">
        <v>19</v>
      </c>
      <c r="B8232" t="s">
        <v>1165</v>
      </c>
      <c r="C8232" t="s">
        <v>1457</v>
      </c>
      <c r="D8232" t="s">
        <v>27</v>
      </c>
      <c r="E8232" t="s">
        <v>28</v>
      </c>
      <c r="F8232" t="s">
        <v>28</v>
      </c>
      <c r="G8232" t="s">
        <v>28</v>
      </c>
      <c r="H8232" t="s">
        <v>859</v>
      </c>
      <c r="I8232" t="s">
        <v>860</v>
      </c>
      <c r="J8232" t="str">
        <f>"9110352"</f>
        <v>9110352</v>
      </c>
      <c r="K8232">
        <v>2551024190</v>
      </c>
      <c r="L8232">
        <v>2551024190</v>
      </c>
      <c r="M8232" t="s">
        <v>1458</v>
      </c>
      <c r="N8232" t="s">
        <v>28</v>
      </c>
      <c r="O8232" t="s">
        <v>1459</v>
      </c>
      <c r="P8232">
        <v>68131</v>
      </c>
      <c r="Q8232" t="str">
        <f>"40.846707"</f>
        <v>40.846707</v>
      </c>
      <c r="R8232" t="str">
        <f>"25.870403"</f>
        <v>25.870403</v>
      </c>
      <c r="S8232" t="s">
        <v>26</v>
      </c>
    </row>
    <row r="8233" spans="1:19" x14ac:dyDescent="0.3">
      <c r="A8233" t="s">
        <v>19</v>
      </c>
      <c r="B8233" t="s">
        <v>1165</v>
      </c>
      <c r="C8233" t="s">
        <v>1461</v>
      </c>
      <c r="D8233" t="s">
        <v>27</v>
      </c>
      <c r="E8233" t="s">
        <v>28</v>
      </c>
      <c r="F8233" t="s">
        <v>349</v>
      </c>
      <c r="G8233" t="s">
        <v>1460</v>
      </c>
      <c r="H8233" t="s">
        <v>859</v>
      </c>
      <c r="I8233" t="s">
        <v>860</v>
      </c>
      <c r="J8233" t="str">
        <f>"9110033"</f>
        <v>9110033</v>
      </c>
      <c r="K8233">
        <v>2551061261</v>
      </c>
      <c r="L8233">
        <v>2551061261</v>
      </c>
      <c r="M8233" t="s">
        <v>1462</v>
      </c>
      <c r="N8233" t="s">
        <v>1460</v>
      </c>
      <c r="O8233" t="s">
        <v>1463</v>
      </c>
      <c r="P8233">
        <v>68100</v>
      </c>
      <c r="Q8233" t="str">
        <f>"40.877893"</f>
        <v>40.877893</v>
      </c>
      <c r="R8233" t="str">
        <f>"26.043150"</f>
        <v>26.043150</v>
      </c>
      <c r="S8233" t="s">
        <v>26</v>
      </c>
    </row>
    <row r="8234" spans="1:19" x14ac:dyDescent="0.3">
      <c r="A8234" t="s">
        <v>19</v>
      </c>
      <c r="B8234" t="s">
        <v>1165</v>
      </c>
      <c r="C8234" t="s">
        <v>1464</v>
      </c>
      <c r="D8234" t="s">
        <v>27</v>
      </c>
      <c r="E8234" t="s">
        <v>28</v>
      </c>
      <c r="F8234" t="s">
        <v>28</v>
      </c>
      <c r="G8234" t="s">
        <v>28</v>
      </c>
      <c r="H8234" t="s">
        <v>859</v>
      </c>
      <c r="I8234" t="s">
        <v>860</v>
      </c>
      <c r="J8234" t="str">
        <f>"9110007"</f>
        <v>9110007</v>
      </c>
      <c r="K8234">
        <v>2551037794</v>
      </c>
      <c r="M8234" t="s">
        <v>1465</v>
      </c>
      <c r="N8234" t="s">
        <v>28</v>
      </c>
      <c r="O8234" t="s">
        <v>1466</v>
      </c>
      <c r="P8234">
        <v>68132</v>
      </c>
      <c r="Q8234" t="str">
        <f>"40.854270"</f>
        <v>40.854270</v>
      </c>
      <c r="R8234" t="str">
        <f>"25.876842"</f>
        <v>25.876842</v>
      </c>
      <c r="S8234" t="s">
        <v>26</v>
      </c>
    </row>
    <row r="8235" spans="1:19" x14ac:dyDescent="0.3">
      <c r="A8235" t="s">
        <v>19</v>
      </c>
      <c r="B8235" t="s">
        <v>1165</v>
      </c>
      <c r="C8235" t="s">
        <v>1471</v>
      </c>
      <c r="D8235" t="s">
        <v>27</v>
      </c>
      <c r="E8235" t="s">
        <v>28</v>
      </c>
      <c r="F8235" t="s">
        <v>28</v>
      </c>
      <c r="G8235" t="s">
        <v>28</v>
      </c>
      <c r="H8235" t="s">
        <v>859</v>
      </c>
      <c r="I8235" t="s">
        <v>860</v>
      </c>
      <c r="J8235" t="str">
        <f>"9110321"</f>
        <v>9110321</v>
      </c>
      <c r="K8235">
        <v>2551039573</v>
      </c>
      <c r="L8235">
        <v>2551039573</v>
      </c>
      <c r="M8235" t="s">
        <v>1472</v>
      </c>
      <c r="N8235" t="s">
        <v>1473</v>
      </c>
      <c r="O8235" t="s">
        <v>1474</v>
      </c>
      <c r="P8235">
        <v>68131</v>
      </c>
      <c r="Q8235" t="str">
        <f>"40.852876"</f>
        <v>40.852876</v>
      </c>
      <c r="R8235" t="str">
        <f>"25.828023"</f>
        <v>25.828023</v>
      </c>
      <c r="S8235" t="s">
        <v>26</v>
      </c>
    </row>
    <row r="8236" spans="1:19" x14ac:dyDescent="0.3">
      <c r="A8236" t="s">
        <v>19</v>
      </c>
      <c r="B8236" t="s">
        <v>1165</v>
      </c>
      <c r="C8236" t="s">
        <v>1475</v>
      </c>
      <c r="D8236" t="s">
        <v>27</v>
      </c>
      <c r="E8236" t="s">
        <v>28</v>
      </c>
      <c r="F8236" t="s">
        <v>28</v>
      </c>
      <c r="G8236" t="s">
        <v>28</v>
      </c>
      <c r="H8236" t="s">
        <v>859</v>
      </c>
      <c r="I8236" t="s">
        <v>860</v>
      </c>
      <c r="J8236" t="str">
        <f>"9110304"</f>
        <v>9110304</v>
      </c>
      <c r="K8236">
        <v>2551045219</v>
      </c>
      <c r="L8236">
        <v>2551045219</v>
      </c>
      <c r="M8236" t="s">
        <v>1476</v>
      </c>
      <c r="N8236" t="s">
        <v>1477</v>
      </c>
      <c r="O8236" t="s">
        <v>1478</v>
      </c>
      <c r="P8236">
        <v>68100</v>
      </c>
      <c r="Q8236" t="str">
        <f>"40.859346"</f>
        <v>40.859346</v>
      </c>
      <c r="R8236" t="str">
        <f>"25.937591"</f>
        <v>25.937591</v>
      </c>
      <c r="S8236" t="s">
        <v>26</v>
      </c>
    </row>
    <row r="8237" spans="1:19" x14ac:dyDescent="0.3">
      <c r="A8237" t="s">
        <v>19</v>
      </c>
      <c r="B8237" t="s">
        <v>1165</v>
      </c>
      <c r="C8237" t="s">
        <v>1479</v>
      </c>
      <c r="D8237" t="s">
        <v>27</v>
      </c>
      <c r="E8237" t="s">
        <v>28</v>
      </c>
      <c r="F8237" t="s">
        <v>28</v>
      </c>
      <c r="G8237" t="s">
        <v>28</v>
      </c>
      <c r="H8237" t="s">
        <v>859</v>
      </c>
      <c r="I8237" t="s">
        <v>860</v>
      </c>
      <c r="J8237" t="str">
        <f>"9110286"</f>
        <v>9110286</v>
      </c>
      <c r="K8237">
        <v>2551028451</v>
      </c>
      <c r="L8237">
        <v>2551028451</v>
      </c>
      <c r="M8237" t="s">
        <v>1480</v>
      </c>
      <c r="N8237" t="s">
        <v>1481</v>
      </c>
      <c r="O8237" t="s">
        <v>1482</v>
      </c>
      <c r="P8237">
        <v>68100</v>
      </c>
      <c r="Q8237" t="str">
        <f>"40.857321"</f>
        <v>40.857321</v>
      </c>
      <c r="R8237" t="str">
        <f>"25.903545"</f>
        <v>25.903545</v>
      </c>
      <c r="S8237" t="s">
        <v>26</v>
      </c>
    </row>
    <row r="8238" spans="1:19" x14ac:dyDescent="0.3">
      <c r="A8238" t="s">
        <v>19</v>
      </c>
      <c r="B8238" t="s">
        <v>1165</v>
      </c>
      <c r="C8238" t="s">
        <v>1485</v>
      </c>
      <c r="D8238" t="s">
        <v>27</v>
      </c>
      <c r="E8238" t="s">
        <v>28</v>
      </c>
      <c r="F8238" t="s">
        <v>28</v>
      </c>
      <c r="G8238" t="s">
        <v>28</v>
      </c>
      <c r="H8238" t="s">
        <v>859</v>
      </c>
      <c r="I8238" t="s">
        <v>860</v>
      </c>
      <c r="J8238" t="str">
        <f>"9110004"</f>
        <v>9110004</v>
      </c>
      <c r="K8238">
        <v>2551026689</v>
      </c>
      <c r="L8238">
        <v>2551026689</v>
      </c>
      <c r="M8238" t="s">
        <v>1486</v>
      </c>
      <c r="N8238" t="s">
        <v>28</v>
      </c>
      <c r="O8238" t="s">
        <v>1487</v>
      </c>
      <c r="P8238">
        <v>68132</v>
      </c>
      <c r="Q8238" t="str">
        <f>"40.848769"</f>
        <v>40.848769</v>
      </c>
      <c r="R8238" t="str">
        <f>"25.880586"</f>
        <v>25.880586</v>
      </c>
      <c r="S8238" t="s">
        <v>26</v>
      </c>
    </row>
    <row r="8239" spans="1:19" x14ac:dyDescent="0.3">
      <c r="A8239" t="s">
        <v>19</v>
      </c>
      <c r="B8239" t="s">
        <v>1165</v>
      </c>
      <c r="C8239" t="s">
        <v>1488</v>
      </c>
      <c r="D8239" t="s">
        <v>27</v>
      </c>
      <c r="E8239" t="s">
        <v>289</v>
      </c>
      <c r="F8239" t="s">
        <v>289</v>
      </c>
      <c r="G8239" t="s">
        <v>289</v>
      </c>
      <c r="H8239" t="s">
        <v>859</v>
      </c>
      <c r="I8239" t="s">
        <v>860</v>
      </c>
      <c r="J8239" t="str">
        <f>"9110060"</f>
        <v>9110060</v>
      </c>
      <c r="K8239">
        <v>2551041767</v>
      </c>
      <c r="L8239">
        <v>2551041767</v>
      </c>
      <c r="M8239" t="s">
        <v>1489</v>
      </c>
      <c r="N8239" t="s">
        <v>1490</v>
      </c>
      <c r="O8239" t="s">
        <v>1491</v>
      </c>
      <c r="P8239">
        <v>68002</v>
      </c>
      <c r="Q8239" t="str">
        <f>"40.470450"</f>
        <v>40.470450</v>
      </c>
      <c r="R8239" t="str">
        <f>"25.525160"</f>
        <v>25.525160</v>
      </c>
      <c r="S8239" t="s">
        <v>57</v>
      </c>
    </row>
    <row r="8240" spans="1:19" x14ac:dyDescent="0.3">
      <c r="A8240" t="s">
        <v>19</v>
      </c>
      <c r="B8240" t="s">
        <v>1165</v>
      </c>
      <c r="C8240" t="s">
        <v>1495</v>
      </c>
      <c r="D8240" t="s">
        <v>27</v>
      </c>
      <c r="E8240" t="s">
        <v>289</v>
      </c>
      <c r="F8240" t="s">
        <v>289</v>
      </c>
      <c r="G8240" t="s">
        <v>289</v>
      </c>
      <c r="H8240" t="s">
        <v>859</v>
      </c>
      <c r="I8240" t="s">
        <v>860</v>
      </c>
      <c r="J8240" t="str">
        <f>"9110325"</f>
        <v>9110325</v>
      </c>
      <c r="K8240">
        <v>2551095025</v>
      </c>
      <c r="M8240" t="s">
        <v>1496</v>
      </c>
      <c r="N8240" t="s">
        <v>1497</v>
      </c>
      <c r="O8240" t="s">
        <v>1498</v>
      </c>
      <c r="P8240">
        <v>68002</v>
      </c>
      <c r="Q8240" t="str">
        <f>"40.429563"</f>
        <v>40.429563</v>
      </c>
      <c r="R8240" t="str">
        <f>"25.531168"</f>
        <v>25.531168</v>
      </c>
      <c r="S8240" t="s">
        <v>57</v>
      </c>
    </row>
    <row r="8241" spans="1:19" x14ac:dyDescent="0.3">
      <c r="A8241" t="s">
        <v>19</v>
      </c>
      <c r="B8241" t="s">
        <v>1165</v>
      </c>
      <c r="C8241" t="s">
        <v>1499</v>
      </c>
      <c r="D8241" t="s">
        <v>27</v>
      </c>
      <c r="E8241" t="s">
        <v>289</v>
      </c>
      <c r="F8241" t="s">
        <v>289</v>
      </c>
      <c r="G8241" t="s">
        <v>289</v>
      </c>
      <c r="H8241" t="s">
        <v>859</v>
      </c>
      <c r="I8241" t="s">
        <v>860</v>
      </c>
      <c r="J8241" t="str">
        <f>"9110324"</f>
        <v>9110324</v>
      </c>
      <c r="K8241">
        <v>2551041090</v>
      </c>
      <c r="L8241">
        <v>2551041090</v>
      </c>
      <c r="M8241" t="s">
        <v>1500</v>
      </c>
      <c r="O8241" t="s">
        <v>293</v>
      </c>
      <c r="P8241">
        <v>68002</v>
      </c>
      <c r="Q8241" t="str">
        <f>"40.475834"</f>
        <v>40.475834</v>
      </c>
      <c r="R8241" t="str">
        <f>"25.474465"</f>
        <v>25.474465</v>
      </c>
      <c r="S8241" t="s">
        <v>57</v>
      </c>
    </row>
    <row r="8242" spans="1:19" x14ac:dyDescent="0.3">
      <c r="A8242" t="s">
        <v>19</v>
      </c>
      <c r="B8242" t="s">
        <v>1165</v>
      </c>
      <c r="C8242" t="s">
        <v>1501</v>
      </c>
      <c r="D8242" t="s">
        <v>27</v>
      </c>
      <c r="E8242" t="s">
        <v>28</v>
      </c>
      <c r="F8242" t="s">
        <v>28</v>
      </c>
      <c r="G8242" t="s">
        <v>28</v>
      </c>
      <c r="H8242" t="s">
        <v>859</v>
      </c>
      <c r="I8242" t="s">
        <v>860</v>
      </c>
      <c r="J8242" t="str">
        <f>"9110373"</f>
        <v>9110373</v>
      </c>
      <c r="K8242">
        <v>2551081714</v>
      </c>
      <c r="L8242">
        <v>2551081714</v>
      </c>
      <c r="M8242" t="s">
        <v>1502</v>
      </c>
      <c r="N8242" t="s">
        <v>28</v>
      </c>
      <c r="O8242" t="s">
        <v>1503</v>
      </c>
      <c r="P8242">
        <v>68133</v>
      </c>
      <c r="Q8242" t="str">
        <f>"40.850465"</f>
        <v>40.850465</v>
      </c>
      <c r="R8242" t="str">
        <f>"25.886538"</f>
        <v>25.886538</v>
      </c>
      <c r="S8242" t="s">
        <v>26</v>
      </c>
    </row>
    <row r="8243" spans="1:19" x14ac:dyDescent="0.3">
      <c r="A8243" t="s">
        <v>19</v>
      </c>
      <c r="B8243" t="s">
        <v>1165</v>
      </c>
      <c r="C8243" t="s">
        <v>1507</v>
      </c>
      <c r="D8243" t="s">
        <v>27</v>
      </c>
      <c r="E8243" t="s">
        <v>28</v>
      </c>
      <c r="F8243" t="s">
        <v>203</v>
      </c>
      <c r="G8243" t="s">
        <v>203</v>
      </c>
      <c r="H8243" t="s">
        <v>859</v>
      </c>
      <c r="I8243" t="s">
        <v>860</v>
      </c>
      <c r="J8243" t="str">
        <f>"9110046"</f>
        <v>9110046</v>
      </c>
      <c r="K8243">
        <v>2555023588</v>
      </c>
      <c r="L8243">
        <v>2555023588</v>
      </c>
      <c r="M8243" t="s">
        <v>1508</v>
      </c>
      <c r="N8243" t="s">
        <v>203</v>
      </c>
      <c r="O8243" t="s">
        <v>1509</v>
      </c>
      <c r="P8243">
        <v>68500</v>
      </c>
      <c r="Q8243" t="str">
        <f>"40.897321"</f>
        <v>40.897321</v>
      </c>
      <c r="R8243" t="str">
        <f>"26.176598"</f>
        <v>26.176598</v>
      </c>
      <c r="S8243" t="s">
        <v>26</v>
      </c>
    </row>
    <row r="8244" spans="1:19" x14ac:dyDescent="0.3">
      <c r="A8244" t="s">
        <v>19</v>
      </c>
      <c r="B8244" t="s">
        <v>1165</v>
      </c>
      <c r="C8244" t="s">
        <v>1510</v>
      </c>
      <c r="D8244" t="s">
        <v>27</v>
      </c>
      <c r="E8244" t="s">
        <v>264</v>
      </c>
      <c r="F8244" t="s">
        <v>264</v>
      </c>
      <c r="G8244" t="s">
        <v>264</v>
      </c>
      <c r="H8244" t="s">
        <v>859</v>
      </c>
      <c r="I8244" t="s">
        <v>860</v>
      </c>
      <c r="J8244" t="str">
        <f>"9110302"</f>
        <v>9110302</v>
      </c>
      <c r="K8244">
        <v>2554022108</v>
      </c>
      <c r="M8244" t="s">
        <v>1511</v>
      </c>
      <c r="N8244" t="s">
        <v>264</v>
      </c>
      <c r="O8244" t="s">
        <v>1512</v>
      </c>
      <c r="P8244">
        <v>68400</v>
      </c>
      <c r="Q8244" t="str">
        <f>"41.192504"</f>
        <v>41.192504</v>
      </c>
      <c r="R8244" t="str">
        <f>"26.298238"</f>
        <v>26.298238</v>
      </c>
      <c r="S8244" t="s">
        <v>26</v>
      </c>
    </row>
    <row r="8245" spans="1:19" x14ac:dyDescent="0.3">
      <c r="A8245" t="s">
        <v>19</v>
      </c>
      <c r="B8245" t="s">
        <v>1165</v>
      </c>
      <c r="C8245" t="s">
        <v>1513</v>
      </c>
      <c r="D8245" t="s">
        <v>27</v>
      </c>
      <c r="E8245" t="s">
        <v>28</v>
      </c>
      <c r="F8245" t="s">
        <v>203</v>
      </c>
      <c r="G8245" t="s">
        <v>203</v>
      </c>
      <c r="H8245" t="s">
        <v>859</v>
      </c>
      <c r="I8245" t="s">
        <v>860</v>
      </c>
      <c r="J8245" t="str">
        <f>"9110251"</f>
        <v>9110251</v>
      </c>
      <c r="K8245">
        <v>2555023589</v>
      </c>
      <c r="L8245">
        <v>2555023589</v>
      </c>
      <c r="M8245" t="s">
        <v>1514</v>
      </c>
      <c r="N8245" t="s">
        <v>203</v>
      </c>
      <c r="O8245" t="s">
        <v>1515</v>
      </c>
      <c r="P8245">
        <v>68500</v>
      </c>
      <c r="Q8245" t="str">
        <f>"40.889988"</f>
        <v>40.889988</v>
      </c>
      <c r="R8245" t="str">
        <f>"26.164416"</f>
        <v>26.164416</v>
      </c>
      <c r="S8245" t="s">
        <v>26</v>
      </c>
    </row>
    <row r="8246" spans="1:19" x14ac:dyDescent="0.3">
      <c r="A8246" t="s">
        <v>19</v>
      </c>
      <c r="B8246" t="s">
        <v>1165</v>
      </c>
      <c r="C8246" t="s">
        <v>1517</v>
      </c>
      <c r="D8246" t="s">
        <v>27</v>
      </c>
      <c r="E8246" t="s">
        <v>28</v>
      </c>
      <c r="F8246" t="s">
        <v>203</v>
      </c>
      <c r="G8246" t="s">
        <v>1516</v>
      </c>
      <c r="H8246" t="s">
        <v>859</v>
      </c>
      <c r="I8246" t="s">
        <v>860</v>
      </c>
      <c r="J8246" t="str">
        <f>"9110235"</f>
        <v>9110235</v>
      </c>
      <c r="K8246">
        <v>2555031555</v>
      </c>
      <c r="L8246">
        <v>2555031555</v>
      </c>
      <c r="M8246" t="s">
        <v>1518</v>
      </c>
      <c r="N8246" t="s">
        <v>1516</v>
      </c>
      <c r="O8246" t="s">
        <v>1519</v>
      </c>
      <c r="P8246">
        <v>68500</v>
      </c>
      <c r="Q8246" t="str">
        <f>"40.958997"</f>
        <v>40.958997</v>
      </c>
      <c r="R8246" t="str">
        <f>"26.267582"</f>
        <v>26.267582</v>
      </c>
      <c r="S8246" t="s">
        <v>26</v>
      </c>
    </row>
    <row r="8247" spans="1:19" x14ac:dyDescent="0.3">
      <c r="A8247" t="s">
        <v>19</v>
      </c>
      <c r="B8247" t="s">
        <v>1165</v>
      </c>
      <c r="C8247" t="s">
        <v>1526</v>
      </c>
      <c r="D8247" t="s">
        <v>27</v>
      </c>
      <c r="E8247" t="s">
        <v>221</v>
      </c>
      <c r="F8247" t="s">
        <v>221</v>
      </c>
      <c r="G8247" t="s">
        <v>1525</v>
      </c>
      <c r="H8247" t="s">
        <v>859</v>
      </c>
      <c r="I8247" t="s">
        <v>1102</v>
      </c>
      <c r="J8247" t="str">
        <f>"9110384"</f>
        <v>9110384</v>
      </c>
      <c r="K8247">
        <v>2552081983</v>
      </c>
      <c r="L8247">
        <v>2552110158</v>
      </c>
      <c r="M8247" t="s">
        <v>1527</v>
      </c>
      <c r="N8247" t="s">
        <v>226</v>
      </c>
      <c r="O8247" t="s">
        <v>1528</v>
      </c>
      <c r="P8247">
        <v>68200</v>
      </c>
      <c r="Q8247" t="str">
        <f>"41.434563"</f>
        <v>41.434563</v>
      </c>
      <c r="R8247" t="str">
        <f>"26.557750"</f>
        <v>26.557750</v>
      </c>
      <c r="S8247" t="s">
        <v>26</v>
      </c>
    </row>
    <row r="8248" spans="1:19" x14ac:dyDescent="0.3">
      <c r="A8248" t="s">
        <v>19</v>
      </c>
      <c r="B8248" t="s">
        <v>1165</v>
      </c>
      <c r="C8248" t="s">
        <v>1551</v>
      </c>
      <c r="D8248" t="s">
        <v>27</v>
      </c>
      <c r="E8248" t="s">
        <v>221</v>
      </c>
      <c r="F8248" t="s">
        <v>312</v>
      </c>
      <c r="G8248" t="s">
        <v>313</v>
      </c>
      <c r="H8248" t="s">
        <v>859</v>
      </c>
      <c r="I8248" t="s">
        <v>860</v>
      </c>
      <c r="J8248" t="str">
        <f>"9110294"</f>
        <v>9110294</v>
      </c>
      <c r="K8248">
        <v>2552094566</v>
      </c>
      <c r="L8248">
        <v>2552094566</v>
      </c>
      <c r="M8248" t="s">
        <v>1552</v>
      </c>
      <c r="N8248" t="s">
        <v>313</v>
      </c>
      <c r="O8248" t="s">
        <v>316</v>
      </c>
      <c r="P8248">
        <v>68014</v>
      </c>
      <c r="Q8248" t="str">
        <f>"41.621765"</f>
        <v>41.621765</v>
      </c>
      <c r="R8248" t="str">
        <f>"26.426949"</f>
        <v>26.426949</v>
      </c>
      <c r="S8248" t="s">
        <v>57</v>
      </c>
    </row>
    <row r="8249" spans="1:19" x14ac:dyDescent="0.3">
      <c r="A8249" t="s">
        <v>19</v>
      </c>
      <c r="B8249" t="s">
        <v>1165</v>
      </c>
      <c r="C8249" t="s">
        <v>1559</v>
      </c>
      <c r="D8249" t="s">
        <v>27</v>
      </c>
      <c r="E8249" t="s">
        <v>221</v>
      </c>
      <c r="F8249" t="s">
        <v>221</v>
      </c>
      <c r="G8249" t="s">
        <v>221</v>
      </c>
      <c r="H8249" t="s">
        <v>859</v>
      </c>
      <c r="I8249" t="s">
        <v>860</v>
      </c>
      <c r="J8249" t="str">
        <f>"9110344"</f>
        <v>9110344</v>
      </c>
      <c r="K8249">
        <v>2552022096</v>
      </c>
      <c r="L8249">
        <v>2552022096</v>
      </c>
      <c r="M8249" t="s">
        <v>1560</v>
      </c>
      <c r="N8249" t="s">
        <v>226</v>
      </c>
      <c r="O8249" t="s">
        <v>1561</v>
      </c>
      <c r="P8249">
        <v>68200</v>
      </c>
      <c r="Q8249" t="str">
        <f>"41.501489"</f>
        <v>41.501489</v>
      </c>
      <c r="R8249" t="str">
        <f>"26.522244"</f>
        <v>26.522244</v>
      </c>
      <c r="S8249" t="s">
        <v>26</v>
      </c>
    </row>
    <row r="8250" spans="1:19" x14ac:dyDescent="0.3">
      <c r="A8250" t="s">
        <v>19</v>
      </c>
      <c r="B8250" t="s">
        <v>1165</v>
      </c>
      <c r="C8250" t="s">
        <v>1579</v>
      </c>
      <c r="D8250" t="s">
        <v>27</v>
      </c>
      <c r="E8250" t="s">
        <v>221</v>
      </c>
      <c r="F8250" t="s">
        <v>221</v>
      </c>
      <c r="G8250" t="s">
        <v>221</v>
      </c>
      <c r="H8250" t="s">
        <v>859</v>
      </c>
      <c r="I8250" t="s">
        <v>860</v>
      </c>
      <c r="J8250" t="str">
        <f>"9110157"</f>
        <v>9110157</v>
      </c>
      <c r="K8250">
        <v>2552022014</v>
      </c>
      <c r="L8250">
        <v>2552022014</v>
      </c>
      <c r="M8250" t="s">
        <v>1580</v>
      </c>
      <c r="N8250" t="s">
        <v>226</v>
      </c>
      <c r="O8250" t="s">
        <v>1581</v>
      </c>
      <c r="P8250">
        <v>68200</v>
      </c>
      <c r="Q8250" t="str">
        <f>"41.513284"</f>
        <v>41.513284</v>
      </c>
      <c r="R8250" t="str">
        <f>"26.529800"</f>
        <v>26.529800</v>
      </c>
      <c r="S8250" t="s">
        <v>26</v>
      </c>
    </row>
    <row r="8251" spans="1:19" x14ac:dyDescent="0.3">
      <c r="A8251" t="s">
        <v>19</v>
      </c>
      <c r="B8251" t="s">
        <v>1165</v>
      </c>
      <c r="C8251" t="s">
        <v>1582</v>
      </c>
      <c r="D8251" t="s">
        <v>27</v>
      </c>
      <c r="E8251" t="s">
        <v>28</v>
      </c>
      <c r="F8251" t="s">
        <v>28</v>
      </c>
      <c r="G8251" t="s">
        <v>28</v>
      </c>
      <c r="H8251" t="s">
        <v>859</v>
      </c>
      <c r="I8251" t="s">
        <v>1102</v>
      </c>
      <c r="J8251" t="str">
        <f>"9110383"</f>
        <v>9110383</v>
      </c>
      <c r="K8251">
        <v>2551032707</v>
      </c>
      <c r="L8251">
        <v>2551023514</v>
      </c>
      <c r="M8251" t="s">
        <v>1583</v>
      </c>
      <c r="N8251" t="s">
        <v>28</v>
      </c>
      <c r="O8251" t="s">
        <v>1584</v>
      </c>
      <c r="P8251">
        <v>68100</v>
      </c>
      <c r="Q8251" t="str">
        <f>"40.867459"</f>
        <v>40.867459</v>
      </c>
      <c r="R8251" t="str">
        <f>"25.869792"</f>
        <v>25.869792</v>
      </c>
      <c r="S8251" t="s">
        <v>26</v>
      </c>
    </row>
    <row r="8252" spans="1:19" x14ac:dyDescent="0.3">
      <c r="A8252" t="s">
        <v>19</v>
      </c>
      <c r="B8252" t="s">
        <v>1165</v>
      </c>
      <c r="C8252" t="s">
        <v>1587</v>
      </c>
      <c r="D8252" t="s">
        <v>27</v>
      </c>
      <c r="E8252" t="s">
        <v>264</v>
      </c>
      <c r="F8252" t="s">
        <v>342</v>
      </c>
      <c r="G8252" t="s">
        <v>1237</v>
      </c>
      <c r="H8252" t="s">
        <v>859</v>
      </c>
      <c r="I8252" t="s">
        <v>860</v>
      </c>
      <c r="J8252" t="str">
        <f>"9521260"</f>
        <v>9521260</v>
      </c>
      <c r="K8252">
        <v>2554034050</v>
      </c>
      <c r="L8252">
        <v>2554034050</v>
      </c>
      <c r="M8252" t="s">
        <v>1588</v>
      </c>
      <c r="N8252" t="s">
        <v>1589</v>
      </c>
      <c r="O8252" t="s">
        <v>1438</v>
      </c>
      <c r="P8252">
        <v>68004</v>
      </c>
      <c r="Q8252" t="str">
        <f>"41.291528"</f>
        <v>41.291528</v>
      </c>
      <c r="R8252" t="str">
        <f>"25.965988"</f>
        <v>25.965988</v>
      </c>
      <c r="S8252" t="s">
        <v>57</v>
      </c>
    </row>
    <row r="8253" spans="1:19" x14ac:dyDescent="0.3">
      <c r="A8253" t="s">
        <v>19</v>
      </c>
      <c r="B8253" t="s">
        <v>1165</v>
      </c>
      <c r="C8253" t="s">
        <v>1590</v>
      </c>
      <c r="D8253" t="s">
        <v>27</v>
      </c>
      <c r="E8253" t="s">
        <v>264</v>
      </c>
      <c r="F8253" t="s">
        <v>264</v>
      </c>
      <c r="G8253" t="s">
        <v>264</v>
      </c>
      <c r="H8253" t="s">
        <v>859</v>
      </c>
      <c r="I8253" t="s">
        <v>860</v>
      </c>
      <c r="J8253" t="str">
        <f>"9521259"</f>
        <v>9521259</v>
      </c>
      <c r="K8253">
        <v>2554022751</v>
      </c>
      <c r="L8253">
        <v>2554022751</v>
      </c>
      <c r="M8253" t="s">
        <v>1591</v>
      </c>
      <c r="N8253" t="s">
        <v>264</v>
      </c>
      <c r="O8253" t="s">
        <v>1592</v>
      </c>
      <c r="P8253">
        <v>68400</v>
      </c>
      <c r="Q8253" t="str">
        <f>"41.198169"</f>
        <v>41.198169</v>
      </c>
      <c r="R8253" t="str">
        <f>"26.304790"</f>
        <v>26.304790</v>
      </c>
      <c r="S8253" t="s">
        <v>26</v>
      </c>
    </row>
    <row r="8254" spans="1:19" x14ac:dyDescent="0.3">
      <c r="A8254" t="s">
        <v>19</v>
      </c>
      <c r="B8254" t="s">
        <v>1165</v>
      </c>
      <c r="C8254" t="s">
        <v>1593</v>
      </c>
      <c r="D8254" t="s">
        <v>27</v>
      </c>
      <c r="E8254" t="s">
        <v>221</v>
      </c>
      <c r="F8254" t="s">
        <v>221</v>
      </c>
      <c r="G8254" t="s">
        <v>221</v>
      </c>
      <c r="H8254" t="s">
        <v>859</v>
      </c>
      <c r="I8254" t="s">
        <v>860</v>
      </c>
      <c r="J8254" t="str">
        <f>"9521125"</f>
        <v>9521125</v>
      </c>
      <c r="K8254">
        <v>2552029403</v>
      </c>
      <c r="L8254">
        <v>2552029403</v>
      </c>
      <c r="M8254" t="s">
        <v>1594</v>
      </c>
      <c r="N8254" t="s">
        <v>1384</v>
      </c>
      <c r="O8254" t="s">
        <v>1595</v>
      </c>
      <c r="P8254">
        <v>68200</v>
      </c>
      <c r="Q8254" t="str">
        <f>"41.497864"</f>
        <v>41.497864</v>
      </c>
      <c r="R8254" t="str">
        <f>"26.534953"</f>
        <v>26.534953</v>
      </c>
      <c r="S8254" t="s">
        <v>26</v>
      </c>
    </row>
    <row r="8255" spans="1:19" x14ac:dyDescent="0.3">
      <c r="A8255" t="s">
        <v>19</v>
      </c>
      <c r="B8255" t="s">
        <v>1165</v>
      </c>
      <c r="C8255" t="s">
        <v>1596</v>
      </c>
      <c r="D8255" t="s">
        <v>27</v>
      </c>
      <c r="E8255" t="s">
        <v>28</v>
      </c>
      <c r="F8255" t="s">
        <v>28</v>
      </c>
      <c r="G8255" t="s">
        <v>28</v>
      </c>
      <c r="H8255" t="s">
        <v>859</v>
      </c>
      <c r="I8255" t="s">
        <v>860</v>
      </c>
      <c r="J8255" t="str">
        <f>"9521269"</f>
        <v>9521269</v>
      </c>
      <c r="K8255">
        <v>2551097130</v>
      </c>
      <c r="L8255">
        <v>2551097131</v>
      </c>
      <c r="M8255" t="s">
        <v>1597</v>
      </c>
      <c r="N8255" t="s">
        <v>1598</v>
      </c>
      <c r="O8255" t="s">
        <v>1335</v>
      </c>
      <c r="P8255">
        <v>68100</v>
      </c>
      <c r="Q8255" t="str">
        <f>"40.885244"</f>
        <v>40.885244</v>
      </c>
      <c r="R8255" t="str">
        <f>"25.872141"</f>
        <v>25.872141</v>
      </c>
      <c r="S8255" t="s">
        <v>26</v>
      </c>
    </row>
    <row r="8256" spans="1:19" x14ac:dyDescent="0.3">
      <c r="A8256" t="s">
        <v>19</v>
      </c>
      <c r="B8256" t="s">
        <v>1165</v>
      </c>
      <c r="C8256" t="s">
        <v>1599</v>
      </c>
      <c r="D8256" t="s">
        <v>27</v>
      </c>
      <c r="E8256" t="s">
        <v>248</v>
      </c>
      <c r="F8256" t="s">
        <v>248</v>
      </c>
      <c r="G8256" t="s">
        <v>248</v>
      </c>
      <c r="H8256" t="s">
        <v>859</v>
      </c>
      <c r="I8256" t="s">
        <v>860</v>
      </c>
      <c r="J8256" t="str">
        <f>"9521366"</f>
        <v>9521366</v>
      </c>
      <c r="K8256">
        <v>2553024267</v>
      </c>
      <c r="L8256">
        <v>2553024267</v>
      </c>
      <c r="M8256" t="s">
        <v>1600</v>
      </c>
      <c r="N8256" t="s">
        <v>251</v>
      </c>
      <c r="O8256" t="s">
        <v>1393</v>
      </c>
      <c r="P8256">
        <v>68300</v>
      </c>
      <c r="Q8256" t="str">
        <f>"41.348846"</f>
        <v>41.348846</v>
      </c>
      <c r="R8256" t="str">
        <f>"26.497966"</f>
        <v>26.497966</v>
      </c>
      <c r="S8256" t="s">
        <v>26</v>
      </c>
    </row>
    <row r="8257" spans="1:19" x14ac:dyDescent="0.3">
      <c r="A8257" t="s">
        <v>19</v>
      </c>
      <c r="B8257" t="s">
        <v>1165</v>
      </c>
      <c r="C8257" t="s">
        <v>1601</v>
      </c>
      <c r="D8257" t="s">
        <v>27</v>
      </c>
      <c r="E8257" t="s">
        <v>264</v>
      </c>
      <c r="F8257" t="s">
        <v>342</v>
      </c>
      <c r="G8257" t="s">
        <v>1237</v>
      </c>
      <c r="H8257" t="s">
        <v>859</v>
      </c>
      <c r="I8257" t="s">
        <v>860</v>
      </c>
      <c r="J8257" t="str">
        <f>"9521364"</f>
        <v>9521364</v>
      </c>
      <c r="N8257" t="s">
        <v>1450</v>
      </c>
      <c r="O8257" t="s">
        <v>1449</v>
      </c>
      <c r="P8257">
        <v>68400</v>
      </c>
      <c r="Q8257" t="str">
        <f>"41.238433"</f>
        <v>41.238433</v>
      </c>
      <c r="R8257" t="str">
        <f>"25.967848"</f>
        <v>25.967848</v>
      </c>
      <c r="S8257" t="s">
        <v>57</v>
      </c>
    </row>
    <row r="8258" spans="1:19" x14ac:dyDescent="0.3">
      <c r="A8258" t="s">
        <v>19</v>
      </c>
      <c r="B8258" t="s">
        <v>1165</v>
      </c>
      <c r="C8258" t="s">
        <v>1613</v>
      </c>
      <c r="D8258" t="s">
        <v>27</v>
      </c>
      <c r="E8258" t="s">
        <v>28</v>
      </c>
      <c r="F8258" t="s">
        <v>349</v>
      </c>
      <c r="G8258" t="s">
        <v>350</v>
      </c>
      <c r="H8258" t="s">
        <v>859</v>
      </c>
      <c r="I8258" t="s">
        <v>860</v>
      </c>
      <c r="J8258" t="str">
        <f>"9110024"</f>
        <v>9110024</v>
      </c>
      <c r="K8258">
        <v>2551051215</v>
      </c>
      <c r="L8258">
        <v>2551051215</v>
      </c>
      <c r="M8258" t="s">
        <v>1614</v>
      </c>
      <c r="N8258" t="s">
        <v>350</v>
      </c>
      <c r="O8258" t="s">
        <v>1545</v>
      </c>
      <c r="P8258">
        <v>68100</v>
      </c>
      <c r="Q8258" t="str">
        <f>"40.872595"</f>
        <v>40.872595</v>
      </c>
      <c r="R8258" t="str">
        <f>"25.994366"</f>
        <v>25.994366</v>
      </c>
      <c r="S8258" t="s">
        <v>26</v>
      </c>
    </row>
    <row r="8259" spans="1:19" x14ac:dyDescent="0.3">
      <c r="A8259" t="s">
        <v>19</v>
      </c>
      <c r="B8259" t="s">
        <v>1165</v>
      </c>
      <c r="C8259" t="s">
        <v>1615</v>
      </c>
      <c r="D8259" t="s">
        <v>27</v>
      </c>
      <c r="E8259" t="s">
        <v>28</v>
      </c>
      <c r="F8259" t="s">
        <v>28</v>
      </c>
      <c r="G8259" t="s">
        <v>28</v>
      </c>
      <c r="H8259" t="s">
        <v>859</v>
      </c>
      <c r="I8259" t="s">
        <v>860</v>
      </c>
      <c r="J8259" t="str">
        <f>"9521362"</f>
        <v>9521362</v>
      </c>
      <c r="K8259">
        <v>2551080510</v>
      </c>
      <c r="L8259">
        <v>2551080521</v>
      </c>
      <c r="M8259" t="s">
        <v>1616</v>
      </c>
      <c r="N8259" t="s">
        <v>28</v>
      </c>
      <c r="O8259" t="s">
        <v>1617</v>
      </c>
      <c r="P8259">
        <v>68133</v>
      </c>
      <c r="Q8259" t="str">
        <f>"40.850662"</f>
        <v>40.850662</v>
      </c>
      <c r="R8259" t="str">
        <f>"25.892921"</f>
        <v>25.892921</v>
      </c>
      <c r="S8259" t="s">
        <v>26</v>
      </c>
    </row>
    <row r="8260" spans="1:19" x14ac:dyDescent="0.3">
      <c r="A8260" t="s">
        <v>19</v>
      </c>
      <c r="B8260" t="s">
        <v>1165</v>
      </c>
      <c r="C8260" t="s">
        <v>1618</v>
      </c>
      <c r="D8260" t="s">
        <v>27</v>
      </c>
      <c r="E8260" t="s">
        <v>28</v>
      </c>
      <c r="F8260" t="s">
        <v>28</v>
      </c>
      <c r="G8260" t="s">
        <v>28</v>
      </c>
      <c r="H8260" t="s">
        <v>859</v>
      </c>
      <c r="I8260" t="s">
        <v>860</v>
      </c>
      <c r="J8260" t="str">
        <f>"9521363"</f>
        <v>9521363</v>
      </c>
      <c r="K8260">
        <v>2551084248</v>
      </c>
      <c r="L8260">
        <v>2551084248</v>
      </c>
      <c r="M8260" t="s">
        <v>1619</v>
      </c>
      <c r="N8260" t="s">
        <v>28</v>
      </c>
      <c r="O8260" t="s">
        <v>1620</v>
      </c>
      <c r="P8260">
        <v>68133</v>
      </c>
      <c r="Q8260" t="str">
        <f>"40.863686"</f>
        <v>40.863686</v>
      </c>
      <c r="R8260" t="str">
        <f>"25.891286"</f>
        <v>25.891286</v>
      </c>
      <c r="S8260" t="s">
        <v>26</v>
      </c>
    </row>
    <row r="8261" spans="1:19" x14ac:dyDescent="0.3">
      <c r="A8261" t="s">
        <v>19</v>
      </c>
      <c r="B8261" t="s">
        <v>1165</v>
      </c>
      <c r="C8261" t="s">
        <v>1621</v>
      </c>
      <c r="D8261" t="s">
        <v>27</v>
      </c>
      <c r="E8261" t="s">
        <v>248</v>
      </c>
      <c r="F8261" t="s">
        <v>248</v>
      </c>
      <c r="G8261" t="s">
        <v>248</v>
      </c>
      <c r="H8261" t="s">
        <v>859</v>
      </c>
      <c r="I8261" t="s">
        <v>860</v>
      </c>
      <c r="J8261" t="str">
        <f>"9521365"</f>
        <v>9521365</v>
      </c>
      <c r="K8261">
        <v>2553024149</v>
      </c>
      <c r="L8261">
        <v>2553024149</v>
      </c>
      <c r="M8261" t="s">
        <v>1622</v>
      </c>
      <c r="N8261" t="s">
        <v>248</v>
      </c>
      <c r="O8261" t="s">
        <v>1623</v>
      </c>
      <c r="P8261">
        <v>68300</v>
      </c>
      <c r="Q8261" t="str">
        <f>"41.356197"</f>
        <v>41.356197</v>
      </c>
      <c r="R8261" t="str">
        <f>"26.487229"</f>
        <v>26.487229</v>
      </c>
      <c r="S8261" t="s">
        <v>26</v>
      </c>
    </row>
    <row r="8262" spans="1:19" x14ac:dyDescent="0.3">
      <c r="A8262" t="s">
        <v>19</v>
      </c>
      <c r="B8262" t="s">
        <v>1165</v>
      </c>
      <c r="C8262" t="s">
        <v>1627</v>
      </c>
      <c r="D8262" t="s">
        <v>27</v>
      </c>
      <c r="E8262" t="s">
        <v>28</v>
      </c>
      <c r="F8262" t="s">
        <v>28</v>
      </c>
      <c r="G8262" t="s">
        <v>1269</v>
      </c>
      <c r="H8262" t="s">
        <v>859</v>
      </c>
      <c r="I8262" t="s">
        <v>860</v>
      </c>
      <c r="J8262" t="str">
        <f>"9521514"</f>
        <v>9521514</v>
      </c>
      <c r="K8262">
        <v>2532031500</v>
      </c>
      <c r="M8262" t="s">
        <v>1628</v>
      </c>
      <c r="N8262" t="s">
        <v>1286</v>
      </c>
      <c r="O8262" t="s">
        <v>1629</v>
      </c>
      <c r="P8262">
        <v>69300</v>
      </c>
      <c r="Q8262" t="str">
        <f>"40.926229"</f>
        <v>40.926229</v>
      </c>
      <c r="R8262" t="str">
        <f>"25.682548"</f>
        <v>25.682548</v>
      </c>
      <c r="S8262" t="s">
        <v>26</v>
      </c>
    </row>
    <row r="8263" spans="1:19" x14ac:dyDescent="0.3">
      <c r="A8263" t="s">
        <v>19</v>
      </c>
      <c r="B8263" t="s">
        <v>1633</v>
      </c>
      <c r="C8263" t="s">
        <v>1634</v>
      </c>
      <c r="D8263" t="s">
        <v>33</v>
      </c>
      <c r="E8263" t="s">
        <v>33</v>
      </c>
      <c r="F8263" t="s">
        <v>33</v>
      </c>
      <c r="G8263" t="s">
        <v>33</v>
      </c>
      <c r="H8263" t="s">
        <v>859</v>
      </c>
      <c r="I8263" t="s">
        <v>860</v>
      </c>
      <c r="J8263" t="str">
        <f>"9210257"</f>
        <v>9210257</v>
      </c>
      <c r="K8263">
        <v>2510250572</v>
      </c>
      <c r="L8263">
        <v>2510250572</v>
      </c>
      <c r="M8263" t="s">
        <v>1635</v>
      </c>
      <c r="N8263" t="s">
        <v>33</v>
      </c>
      <c r="O8263" t="s">
        <v>1636</v>
      </c>
      <c r="P8263">
        <v>65404</v>
      </c>
      <c r="Q8263" t="str">
        <f>"40.938538"</f>
        <v>40.938538</v>
      </c>
      <c r="R8263" t="str">
        <f>"24.393626"</f>
        <v>24.393626</v>
      </c>
      <c r="S8263" t="s">
        <v>26</v>
      </c>
    </row>
    <row r="8264" spans="1:19" x14ac:dyDescent="0.3">
      <c r="A8264" t="s">
        <v>19</v>
      </c>
      <c r="B8264" t="s">
        <v>1633</v>
      </c>
      <c r="C8264" t="s">
        <v>1637</v>
      </c>
      <c r="D8264" t="s">
        <v>33</v>
      </c>
      <c r="E8264" t="s">
        <v>33</v>
      </c>
      <c r="F8264" t="s">
        <v>33</v>
      </c>
      <c r="G8264" t="s">
        <v>33</v>
      </c>
      <c r="H8264" t="s">
        <v>859</v>
      </c>
      <c r="I8264" t="s">
        <v>860</v>
      </c>
      <c r="J8264" t="str">
        <f>"9210142"</f>
        <v>9210142</v>
      </c>
      <c r="K8264">
        <v>2510241512</v>
      </c>
      <c r="L8264">
        <v>2510241512</v>
      </c>
      <c r="M8264" t="s">
        <v>1638</v>
      </c>
      <c r="N8264" t="s">
        <v>33</v>
      </c>
      <c r="O8264" t="s">
        <v>1639</v>
      </c>
      <c r="P8264">
        <v>65404</v>
      </c>
      <c r="Q8264" t="str">
        <f>"40.936382"</f>
        <v>40.936382</v>
      </c>
      <c r="R8264" t="str">
        <f>"24.393462"</f>
        <v>24.393462</v>
      </c>
      <c r="S8264" t="s">
        <v>26</v>
      </c>
    </row>
    <row r="8265" spans="1:19" x14ac:dyDescent="0.3">
      <c r="A8265" t="s">
        <v>19</v>
      </c>
      <c r="B8265" t="s">
        <v>1633</v>
      </c>
      <c r="C8265" t="s">
        <v>1640</v>
      </c>
      <c r="D8265" t="s">
        <v>33</v>
      </c>
      <c r="E8265" t="s">
        <v>33</v>
      </c>
      <c r="F8265" t="s">
        <v>520</v>
      </c>
      <c r="G8265" t="s">
        <v>521</v>
      </c>
      <c r="H8265" t="s">
        <v>859</v>
      </c>
      <c r="I8265" t="s">
        <v>860</v>
      </c>
      <c r="J8265" t="str">
        <f>"9210234"</f>
        <v>9210234</v>
      </c>
      <c r="K8265">
        <v>2510391418</v>
      </c>
      <c r="L8265">
        <v>2510391418</v>
      </c>
      <c r="M8265" t="s">
        <v>1641</v>
      </c>
      <c r="N8265" t="s">
        <v>1642</v>
      </c>
      <c r="O8265" t="s">
        <v>1643</v>
      </c>
      <c r="P8265">
        <v>64012</v>
      </c>
      <c r="Q8265" t="str">
        <f>"40.961876"</f>
        <v>40.961876</v>
      </c>
      <c r="R8265" t="str">
        <f>"24.359057"</f>
        <v>24.359057</v>
      </c>
      <c r="S8265" t="s">
        <v>26</v>
      </c>
    </row>
    <row r="8266" spans="1:19" x14ac:dyDescent="0.3">
      <c r="A8266" t="s">
        <v>19</v>
      </c>
      <c r="B8266" t="s">
        <v>1633</v>
      </c>
      <c r="C8266" t="s">
        <v>1644</v>
      </c>
      <c r="D8266" t="s">
        <v>33</v>
      </c>
      <c r="E8266" t="s">
        <v>33</v>
      </c>
      <c r="F8266" t="s">
        <v>33</v>
      </c>
      <c r="G8266" t="s">
        <v>33</v>
      </c>
      <c r="H8266" t="s">
        <v>859</v>
      </c>
      <c r="I8266" t="s">
        <v>860</v>
      </c>
      <c r="J8266" t="str">
        <f>"9210186"</f>
        <v>9210186</v>
      </c>
      <c r="K8266">
        <v>2510231331</v>
      </c>
      <c r="L8266">
        <v>2510231331</v>
      </c>
      <c r="M8266" t="s">
        <v>1645</v>
      </c>
      <c r="N8266" t="s">
        <v>33</v>
      </c>
      <c r="O8266" t="s">
        <v>1646</v>
      </c>
      <c r="P8266">
        <v>65403</v>
      </c>
      <c r="Q8266" t="str">
        <f>"40.938369"</f>
        <v>40.938369</v>
      </c>
      <c r="R8266" t="str">
        <f>"24.405252"</f>
        <v>24.405252</v>
      </c>
      <c r="S8266" t="s">
        <v>26</v>
      </c>
    </row>
    <row r="8267" spans="1:19" x14ac:dyDescent="0.3">
      <c r="A8267" t="s">
        <v>19</v>
      </c>
      <c r="B8267" t="s">
        <v>1633</v>
      </c>
      <c r="C8267" t="s">
        <v>1647</v>
      </c>
      <c r="D8267" t="s">
        <v>33</v>
      </c>
      <c r="E8267" t="s">
        <v>33</v>
      </c>
      <c r="F8267" t="s">
        <v>33</v>
      </c>
      <c r="G8267" t="s">
        <v>33</v>
      </c>
      <c r="H8267" t="s">
        <v>859</v>
      </c>
      <c r="I8267" t="s">
        <v>860</v>
      </c>
      <c r="J8267" t="str">
        <f>"9210144"</f>
        <v>9210144</v>
      </c>
      <c r="K8267">
        <v>2510247288</v>
      </c>
      <c r="L8267">
        <v>2510247288</v>
      </c>
      <c r="M8267" t="s">
        <v>1648</v>
      </c>
      <c r="N8267" t="s">
        <v>33</v>
      </c>
      <c r="O8267" t="s">
        <v>1649</v>
      </c>
      <c r="P8267">
        <v>65404</v>
      </c>
      <c r="Q8267" t="str">
        <f>"40.933761"</f>
        <v>40.933761</v>
      </c>
      <c r="R8267" t="str">
        <f>"24.387847"</f>
        <v>24.387847</v>
      </c>
      <c r="S8267" t="s">
        <v>26</v>
      </c>
    </row>
    <row r="8268" spans="1:19" x14ac:dyDescent="0.3">
      <c r="A8268" t="s">
        <v>19</v>
      </c>
      <c r="B8268" t="s">
        <v>1633</v>
      </c>
      <c r="C8268" t="s">
        <v>1650</v>
      </c>
      <c r="D8268" t="s">
        <v>33</v>
      </c>
      <c r="E8268" t="s">
        <v>33</v>
      </c>
      <c r="F8268" t="s">
        <v>33</v>
      </c>
      <c r="G8268" t="s">
        <v>33</v>
      </c>
      <c r="H8268" t="s">
        <v>859</v>
      </c>
      <c r="I8268" t="s">
        <v>860</v>
      </c>
      <c r="J8268" t="str">
        <f>"9210223"</f>
        <v>9210223</v>
      </c>
      <c r="K8268">
        <v>2510227575</v>
      </c>
      <c r="L8268">
        <v>2510227575</v>
      </c>
      <c r="M8268" t="s">
        <v>1651</v>
      </c>
      <c r="N8268" t="s">
        <v>33</v>
      </c>
      <c r="O8268" t="s">
        <v>1652</v>
      </c>
      <c r="P8268">
        <v>65403</v>
      </c>
      <c r="Q8268" t="str">
        <f>"40.938914"</f>
        <v>40.938914</v>
      </c>
      <c r="R8268" t="str">
        <f>"24.400241"</f>
        <v>24.400241</v>
      </c>
      <c r="S8268" t="s">
        <v>26</v>
      </c>
    </row>
    <row r="8269" spans="1:19" x14ac:dyDescent="0.3">
      <c r="A8269" t="s">
        <v>19</v>
      </c>
      <c r="B8269" t="s">
        <v>1633</v>
      </c>
      <c r="C8269" t="s">
        <v>1653</v>
      </c>
      <c r="D8269" t="s">
        <v>33</v>
      </c>
      <c r="E8269" t="s">
        <v>33</v>
      </c>
      <c r="F8269" t="s">
        <v>33</v>
      </c>
      <c r="G8269" t="s">
        <v>33</v>
      </c>
      <c r="H8269" t="s">
        <v>859</v>
      </c>
      <c r="I8269" t="s">
        <v>860</v>
      </c>
      <c r="J8269" t="str">
        <f>"9210188"</f>
        <v>9210188</v>
      </c>
      <c r="K8269">
        <v>2510245675</v>
      </c>
      <c r="L8269">
        <v>2510245675</v>
      </c>
      <c r="M8269" t="s">
        <v>1654</v>
      </c>
      <c r="N8269" t="s">
        <v>33</v>
      </c>
      <c r="O8269" t="s">
        <v>1655</v>
      </c>
      <c r="P8269">
        <v>65404</v>
      </c>
      <c r="Q8269" t="str">
        <f>"40.925889"</f>
        <v>40.925889</v>
      </c>
      <c r="R8269" t="str">
        <f>"24.381847"</f>
        <v>24.381847</v>
      </c>
      <c r="S8269" t="s">
        <v>26</v>
      </c>
    </row>
    <row r="8270" spans="1:19" x14ac:dyDescent="0.3">
      <c r="A8270" t="s">
        <v>19</v>
      </c>
      <c r="B8270" t="s">
        <v>1633</v>
      </c>
      <c r="C8270" t="s">
        <v>1656</v>
      </c>
      <c r="D8270" t="s">
        <v>33</v>
      </c>
      <c r="E8270" t="s">
        <v>33</v>
      </c>
      <c r="F8270" t="s">
        <v>33</v>
      </c>
      <c r="G8270" t="s">
        <v>33</v>
      </c>
      <c r="H8270" t="s">
        <v>859</v>
      </c>
      <c r="I8270" t="s">
        <v>860</v>
      </c>
      <c r="J8270" t="str">
        <f>"9210066"</f>
        <v>9210066</v>
      </c>
      <c r="K8270">
        <v>2510225464</v>
      </c>
      <c r="L8270">
        <v>2510225464</v>
      </c>
      <c r="M8270" t="s">
        <v>1657</v>
      </c>
      <c r="N8270" t="s">
        <v>33</v>
      </c>
      <c r="O8270" t="s">
        <v>1658</v>
      </c>
      <c r="P8270">
        <v>65302</v>
      </c>
      <c r="Q8270" t="str">
        <f>"40.942503"</f>
        <v>40.942503</v>
      </c>
      <c r="R8270" t="str">
        <f>"24.407506"</f>
        <v>24.407506</v>
      </c>
      <c r="S8270" t="s">
        <v>26</v>
      </c>
    </row>
    <row r="8271" spans="1:19" x14ac:dyDescent="0.3">
      <c r="A8271" t="s">
        <v>19</v>
      </c>
      <c r="B8271" t="s">
        <v>1633</v>
      </c>
      <c r="C8271" t="s">
        <v>1659</v>
      </c>
      <c r="D8271" t="s">
        <v>33</v>
      </c>
      <c r="E8271" t="s">
        <v>33</v>
      </c>
      <c r="F8271" t="s">
        <v>33</v>
      </c>
      <c r="G8271" t="s">
        <v>33</v>
      </c>
      <c r="H8271" t="s">
        <v>859</v>
      </c>
      <c r="I8271" t="s">
        <v>860</v>
      </c>
      <c r="J8271" t="str">
        <f>"9210145"</f>
        <v>9210145</v>
      </c>
      <c r="K8271">
        <v>2510221862</v>
      </c>
      <c r="M8271" t="s">
        <v>1660</v>
      </c>
      <c r="N8271" t="s">
        <v>33</v>
      </c>
      <c r="O8271" t="s">
        <v>1661</v>
      </c>
      <c r="P8271">
        <v>65403</v>
      </c>
      <c r="Q8271" t="str">
        <f>"40.939796"</f>
        <v>40.939796</v>
      </c>
      <c r="R8271" t="str">
        <f>"24.397386"</f>
        <v>24.397386</v>
      </c>
      <c r="S8271" t="s">
        <v>26</v>
      </c>
    </row>
    <row r="8272" spans="1:19" x14ac:dyDescent="0.3">
      <c r="A8272" t="s">
        <v>19</v>
      </c>
      <c r="B8272" t="s">
        <v>1633</v>
      </c>
      <c r="C8272" t="s">
        <v>1662</v>
      </c>
      <c r="D8272" t="s">
        <v>33</v>
      </c>
      <c r="E8272" t="s">
        <v>33</v>
      </c>
      <c r="F8272" t="s">
        <v>33</v>
      </c>
      <c r="G8272" t="s">
        <v>33</v>
      </c>
      <c r="H8272" t="s">
        <v>859</v>
      </c>
      <c r="I8272" t="s">
        <v>860</v>
      </c>
      <c r="J8272" t="str">
        <f>"9210074"</f>
        <v>9210074</v>
      </c>
      <c r="K8272">
        <v>2510224166</v>
      </c>
      <c r="M8272" t="s">
        <v>1663</v>
      </c>
      <c r="N8272" t="s">
        <v>33</v>
      </c>
      <c r="O8272" t="s">
        <v>1664</v>
      </c>
      <c r="P8272">
        <v>65302</v>
      </c>
      <c r="Q8272" t="str">
        <f>"40.942170"</f>
        <v>40.942170</v>
      </c>
      <c r="R8272" t="str">
        <f>"24.413020"</f>
        <v>24.413020</v>
      </c>
      <c r="S8272" t="s">
        <v>26</v>
      </c>
    </row>
    <row r="8273" spans="1:19" x14ac:dyDescent="0.3">
      <c r="A8273" t="s">
        <v>19</v>
      </c>
      <c r="B8273" t="s">
        <v>1633</v>
      </c>
      <c r="C8273" t="s">
        <v>1665</v>
      </c>
      <c r="D8273" t="s">
        <v>33</v>
      </c>
      <c r="E8273" t="s">
        <v>33</v>
      </c>
      <c r="F8273" t="s">
        <v>33</v>
      </c>
      <c r="G8273" t="s">
        <v>33</v>
      </c>
      <c r="H8273" t="s">
        <v>859</v>
      </c>
      <c r="I8273" t="s">
        <v>860</v>
      </c>
      <c r="J8273" t="str">
        <f>"9210070"</f>
        <v>9210070</v>
      </c>
      <c r="K8273">
        <v>2510836876</v>
      </c>
      <c r="L8273">
        <v>2510836876</v>
      </c>
      <c r="M8273" t="s">
        <v>1666</v>
      </c>
      <c r="N8273" t="s">
        <v>33</v>
      </c>
      <c r="O8273" t="s">
        <v>1667</v>
      </c>
      <c r="P8273">
        <v>65403</v>
      </c>
      <c r="Q8273" t="str">
        <f>"40.941488"</f>
        <v>40.941488</v>
      </c>
      <c r="R8273" t="str">
        <f>"24.403847"</f>
        <v>24.403847</v>
      </c>
      <c r="S8273" t="s">
        <v>26</v>
      </c>
    </row>
    <row r="8274" spans="1:19" x14ac:dyDescent="0.3">
      <c r="A8274" t="s">
        <v>19</v>
      </c>
      <c r="B8274" t="s">
        <v>1633</v>
      </c>
      <c r="C8274" t="s">
        <v>1668</v>
      </c>
      <c r="D8274" t="s">
        <v>33</v>
      </c>
      <c r="E8274" t="s">
        <v>33</v>
      </c>
      <c r="F8274" t="s">
        <v>33</v>
      </c>
      <c r="G8274" t="s">
        <v>33</v>
      </c>
      <c r="H8274" t="s">
        <v>859</v>
      </c>
      <c r="I8274" t="s">
        <v>860</v>
      </c>
      <c r="J8274" t="str">
        <f>"9210192"</f>
        <v>9210192</v>
      </c>
      <c r="K8274">
        <v>6942272050</v>
      </c>
      <c r="L8274">
        <v>2510228130</v>
      </c>
      <c r="M8274" t="s">
        <v>1669</v>
      </c>
      <c r="N8274" t="s">
        <v>33</v>
      </c>
      <c r="O8274" t="s">
        <v>1670</v>
      </c>
      <c r="P8274">
        <v>65201</v>
      </c>
      <c r="Q8274" t="str">
        <f>"40.946285"</f>
        <v>40.946285</v>
      </c>
      <c r="R8274" t="str">
        <f>"24.421075"</f>
        <v>24.421075</v>
      </c>
      <c r="S8274" t="s">
        <v>26</v>
      </c>
    </row>
    <row r="8275" spans="1:19" x14ac:dyDescent="0.3">
      <c r="A8275" t="s">
        <v>19</v>
      </c>
      <c r="B8275" t="s">
        <v>1633</v>
      </c>
      <c r="C8275" t="s">
        <v>1671</v>
      </c>
      <c r="D8275" t="s">
        <v>33</v>
      </c>
      <c r="E8275" t="s">
        <v>33</v>
      </c>
      <c r="F8275" t="s">
        <v>33</v>
      </c>
      <c r="G8275" t="s">
        <v>33</v>
      </c>
      <c r="H8275" t="s">
        <v>859</v>
      </c>
      <c r="I8275" t="s">
        <v>860</v>
      </c>
      <c r="J8275" t="str">
        <f>"9210004"</f>
        <v>9210004</v>
      </c>
      <c r="K8275">
        <v>2510221834</v>
      </c>
      <c r="L8275">
        <v>2510221834</v>
      </c>
      <c r="M8275" t="s">
        <v>1672</v>
      </c>
      <c r="N8275" t="s">
        <v>33</v>
      </c>
      <c r="O8275" t="s">
        <v>1673</v>
      </c>
      <c r="P8275">
        <v>65201</v>
      </c>
      <c r="Q8275" t="str">
        <f>"40.930544"</f>
        <v>40.930544</v>
      </c>
      <c r="R8275" t="str">
        <f>"24.413927"</f>
        <v>24.413927</v>
      </c>
      <c r="S8275" t="s">
        <v>26</v>
      </c>
    </row>
    <row r="8276" spans="1:19" x14ac:dyDescent="0.3">
      <c r="A8276" t="s">
        <v>19</v>
      </c>
      <c r="B8276" t="s">
        <v>1633</v>
      </c>
      <c r="C8276" t="s">
        <v>1674</v>
      </c>
      <c r="D8276" t="s">
        <v>33</v>
      </c>
      <c r="E8276" t="s">
        <v>33</v>
      </c>
      <c r="F8276" t="s">
        <v>33</v>
      </c>
      <c r="G8276" t="s">
        <v>435</v>
      </c>
      <c r="H8276" t="s">
        <v>859</v>
      </c>
      <c r="I8276" t="s">
        <v>860</v>
      </c>
      <c r="J8276" t="str">
        <f>"9210017"</f>
        <v>9210017</v>
      </c>
      <c r="K8276">
        <v>2510317195</v>
      </c>
      <c r="L8276">
        <v>2510317195</v>
      </c>
      <c r="M8276" t="s">
        <v>1675</v>
      </c>
      <c r="N8276" t="s">
        <v>1676</v>
      </c>
      <c r="O8276" t="s">
        <v>438</v>
      </c>
      <c r="P8276">
        <v>64006</v>
      </c>
      <c r="Q8276" t="str">
        <f>"40.960414"</f>
        <v>40.960414</v>
      </c>
      <c r="R8276" t="str">
        <f>"24.509796"</f>
        <v>24.509796</v>
      </c>
      <c r="S8276" t="s">
        <v>26</v>
      </c>
    </row>
    <row r="8277" spans="1:19" x14ac:dyDescent="0.3">
      <c r="A8277" t="s">
        <v>19</v>
      </c>
      <c r="B8277" t="s">
        <v>1633</v>
      </c>
      <c r="C8277" t="s">
        <v>1677</v>
      </c>
      <c r="D8277" t="s">
        <v>33</v>
      </c>
      <c r="E8277" t="s">
        <v>33</v>
      </c>
      <c r="F8277" t="s">
        <v>33</v>
      </c>
      <c r="G8277" t="s">
        <v>435</v>
      </c>
      <c r="H8277" t="s">
        <v>859</v>
      </c>
      <c r="I8277" t="s">
        <v>860</v>
      </c>
      <c r="J8277" t="str">
        <f>"9520981"</f>
        <v>9520981</v>
      </c>
      <c r="K8277">
        <v>2510317195</v>
      </c>
      <c r="L8277">
        <v>2510317195</v>
      </c>
      <c r="M8277" t="s">
        <v>1678</v>
      </c>
      <c r="N8277" t="s">
        <v>1676</v>
      </c>
      <c r="O8277" t="s">
        <v>438</v>
      </c>
      <c r="P8277">
        <v>64006</v>
      </c>
      <c r="Q8277" t="str">
        <f>"40.959189"</f>
        <v>40.959189</v>
      </c>
      <c r="R8277" t="str">
        <f>"24.509204"</f>
        <v>24.509204</v>
      </c>
      <c r="S8277" t="s">
        <v>26</v>
      </c>
    </row>
    <row r="8278" spans="1:19" x14ac:dyDescent="0.3">
      <c r="A8278" t="s">
        <v>19</v>
      </c>
      <c r="B8278" t="s">
        <v>1633</v>
      </c>
      <c r="C8278" t="s">
        <v>1679</v>
      </c>
      <c r="D8278" t="s">
        <v>33</v>
      </c>
      <c r="E8278" t="s">
        <v>33</v>
      </c>
      <c r="F8278" t="s">
        <v>33</v>
      </c>
      <c r="G8278" t="s">
        <v>33</v>
      </c>
      <c r="H8278" t="s">
        <v>859</v>
      </c>
      <c r="I8278" t="s">
        <v>860</v>
      </c>
      <c r="J8278" t="str">
        <f>"9210067"</f>
        <v>9210067</v>
      </c>
      <c r="K8278">
        <v>2510226686</v>
      </c>
      <c r="L8278">
        <v>2510226686</v>
      </c>
      <c r="M8278" t="s">
        <v>1680</v>
      </c>
      <c r="N8278" t="s">
        <v>33</v>
      </c>
      <c r="O8278" t="s">
        <v>1681</v>
      </c>
      <c r="P8278">
        <v>65302</v>
      </c>
      <c r="Q8278" t="str">
        <f>"40.938419"</f>
        <v>40.938419</v>
      </c>
      <c r="R8278" t="str">
        <f>"24.410515"</f>
        <v>24.410515</v>
      </c>
      <c r="S8278" t="s">
        <v>26</v>
      </c>
    </row>
    <row r="8279" spans="1:19" x14ac:dyDescent="0.3">
      <c r="A8279" t="s">
        <v>19</v>
      </c>
      <c r="B8279" t="s">
        <v>1633</v>
      </c>
      <c r="C8279" t="s">
        <v>1691</v>
      </c>
      <c r="D8279" t="s">
        <v>33</v>
      </c>
      <c r="E8279" t="s">
        <v>469</v>
      </c>
      <c r="F8279" t="s">
        <v>470</v>
      </c>
      <c r="G8279" t="s">
        <v>1690</v>
      </c>
      <c r="H8279" t="s">
        <v>859</v>
      </c>
      <c r="I8279" t="s">
        <v>860</v>
      </c>
      <c r="J8279" t="str">
        <f>"9210216"</f>
        <v>9210216</v>
      </c>
      <c r="K8279">
        <v>2591055226</v>
      </c>
      <c r="L8279">
        <v>2591055226</v>
      </c>
      <c r="M8279" t="s">
        <v>1692</v>
      </c>
      <c r="N8279" t="s">
        <v>1693</v>
      </c>
      <c r="O8279" t="s">
        <v>1694</v>
      </c>
      <c r="P8279">
        <v>64200</v>
      </c>
      <c r="Q8279" t="str">
        <f>"41.025273"</f>
        <v>41.025273</v>
      </c>
      <c r="R8279" t="str">
        <f>"24.707294"</f>
        <v>24.707294</v>
      </c>
      <c r="S8279" t="s">
        <v>26</v>
      </c>
    </row>
    <row r="8280" spans="1:19" x14ac:dyDescent="0.3">
      <c r="A8280" t="s">
        <v>19</v>
      </c>
      <c r="B8280" t="s">
        <v>1633</v>
      </c>
      <c r="C8280" t="s">
        <v>1696</v>
      </c>
      <c r="D8280" t="s">
        <v>33</v>
      </c>
      <c r="E8280" t="s">
        <v>411</v>
      </c>
      <c r="F8280" t="s">
        <v>418</v>
      </c>
      <c r="G8280" t="s">
        <v>1695</v>
      </c>
      <c r="H8280" t="s">
        <v>859</v>
      </c>
      <c r="I8280" t="s">
        <v>860</v>
      </c>
      <c r="J8280" t="str">
        <f>"9210082"</f>
        <v>9210082</v>
      </c>
      <c r="K8280">
        <v>2592044292</v>
      </c>
      <c r="L8280">
        <v>2592044212</v>
      </c>
      <c r="M8280" t="s">
        <v>1697</v>
      </c>
      <c r="N8280" t="s">
        <v>1695</v>
      </c>
      <c r="O8280" t="s">
        <v>1698</v>
      </c>
      <c r="P8280">
        <v>64008</v>
      </c>
      <c r="Q8280" t="str">
        <f>"40.787732"</f>
        <v>40.787732</v>
      </c>
      <c r="R8280" t="str">
        <f>"24.033684"</f>
        <v>24.033684</v>
      </c>
      <c r="S8280" t="s">
        <v>26</v>
      </c>
    </row>
    <row r="8281" spans="1:19" x14ac:dyDescent="0.3">
      <c r="A8281" t="s">
        <v>19</v>
      </c>
      <c r="B8281" t="s">
        <v>1633</v>
      </c>
      <c r="C8281" t="s">
        <v>1699</v>
      </c>
      <c r="D8281" t="s">
        <v>33</v>
      </c>
      <c r="E8281" t="s">
        <v>33</v>
      </c>
      <c r="F8281" t="s">
        <v>33</v>
      </c>
      <c r="G8281" t="s">
        <v>33</v>
      </c>
      <c r="H8281" t="s">
        <v>859</v>
      </c>
      <c r="I8281" t="s">
        <v>860</v>
      </c>
      <c r="J8281" t="str">
        <f>"9521717"</f>
        <v>9521717</v>
      </c>
      <c r="K8281">
        <v>2510220460</v>
      </c>
      <c r="M8281" t="s">
        <v>1700</v>
      </c>
      <c r="N8281" t="s">
        <v>33</v>
      </c>
      <c r="O8281" t="s">
        <v>1701</v>
      </c>
      <c r="P8281">
        <v>65302</v>
      </c>
      <c r="Q8281" t="str">
        <f>"40.939931"</f>
        <v>40.939931</v>
      </c>
      <c r="R8281" t="str">
        <f>"24.413040"</f>
        <v>24.413040</v>
      </c>
      <c r="S8281" t="s">
        <v>26</v>
      </c>
    </row>
    <row r="8282" spans="1:19" x14ac:dyDescent="0.3">
      <c r="A8282" t="s">
        <v>19</v>
      </c>
      <c r="B8282" t="s">
        <v>1633</v>
      </c>
      <c r="C8282" t="s">
        <v>1704</v>
      </c>
      <c r="D8282" t="s">
        <v>33</v>
      </c>
      <c r="E8282" t="s">
        <v>33</v>
      </c>
      <c r="F8282" t="s">
        <v>33</v>
      </c>
      <c r="G8282" t="s">
        <v>33</v>
      </c>
      <c r="H8282" t="s">
        <v>859</v>
      </c>
      <c r="I8282" t="s">
        <v>860</v>
      </c>
      <c r="J8282" t="str">
        <f>"9210258"</f>
        <v>9210258</v>
      </c>
      <c r="K8282">
        <v>2510240324</v>
      </c>
      <c r="L8282">
        <v>2510240324</v>
      </c>
      <c r="M8282" t="s">
        <v>1705</v>
      </c>
      <c r="N8282" t="s">
        <v>33</v>
      </c>
      <c r="O8282" t="s">
        <v>1706</v>
      </c>
      <c r="P8282">
        <v>65404</v>
      </c>
      <c r="Q8282" t="str">
        <f>"40.922322"</f>
        <v>40.922322</v>
      </c>
      <c r="R8282" t="str">
        <f>"24.381352"</f>
        <v>24.381352</v>
      </c>
      <c r="S8282" t="s">
        <v>26</v>
      </c>
    </row>
    <row r="8283" spans="1:19" x14ac:dyDescent="0.3">
      <c r="A8283" t="s">
        <v>19</v>
      </c>
      <c r="B8283" t="s">
        <v>1633</v>
      </c>
      <c r="C8283" t="s">
        <v>1710</v>
      </c>
      <c r="D8283" t="s">
        <v>33</v>
      </c>
      <c r="E8283" t="s">
        <v>411</v>
      </c>
      <c r="F8283" t="s">
        <v>461</v>
      </c>
      <c r="G8283" t="s">
        <v>1709</v>
      </c>
      <c r="H8283" t="s">
        <v>859</v>
      </c>
      <c r="I8283" t="s">
        <v>860</v>
      </c>
      <c r="J8283" t="str">
        <f>"9210152"</f>
        <v>9210152</v>
      </c>
      <c r="K8283">
        <v>2510327004</v>
      </c>
      <c r="L8283">
        <v>2510327004</v>
      </c>
      <c r="M8283" t="s">
        <v>1711</v>
      </c>
      <c r="N8283" t="s">
        <v>1709</v>
      </c>
      <c r="O8283" t="s">
        <v>1712</v>
      </c>
      <c r="P8283">
        <v>64100</v>
      </c>
      <c r="Q8283" t="str">
        <f>"40.930829"</f>
        <v>40.930829</v>
      </c>
      <c r="R8283" t="str">
        <f>"24.340948"</f>
        <v>24.340948</v>
      </c>
      <c r="S8283" t="s">
        <v>26</v>
      </c>
    </row>
    <row r="8284" spans="1:19" x14ac:dyDescent="0.3">
      <c r="A8284" t="s">
        <v>19</v>
      </c>
      <c r="B8284" t="s">
        <v>1633</v>
      </c>
      <c r="C8284" t="s">
        <v>1724</v>
      </c>
      <c r="D8284" t="s">
        <v>33</v>
      </c>
      <c r="E8284" t="s">
        <v>33</v>
      </c>
      <c r="F8284" t="s">
        <v>520</v>
      </c>
      <c r="G8284" t="s">
        <v>555</v>
      </c>
      <c r="H8284" t="s">
        <v>859</v>
      </c>
      <c r="I8284" t="s">
        <v>860</v>
      </c>
      <c r="J8284" t="str">
        <f>"9210164"</f>
        <v>9210164</v>
      </c>
      <c r="K8284">
        <v>2510518006</v>
      </c>
      <c r="L8284">
        <v>2510516787</v>
      </c>
      <c r="M8284" t="s">
        <v>1725</v>
      </c>
      <c r="N8284" t="s">
        <v>555</v>
      </c>
      <c r="O8284" t="s">
        <v>1726</v>
      </c>
      <c r="P8284">
        <v>64003</v>
      </c>
      <c r="Q8284" t="str">
        <f>"41.028042"</f>
        <v>41.028042</v>
      </c>
      <c r="R8284" t="str">
        <f>"24.293356"</f>
        <v>24.293356</v>
      </c>
      <c r="S8284" t="s">
        <v>26</v>
      </c>
    </row>
    <row r="8285" spans="1:19" x14ac:dyDescent="0.3">
      <c r="A8285" t="s">
        <v>19</v>
      </c>
      <c r="B8285" t="s">
        <v>1633</v>
      </c>
      <c r="C8285" t="s">
        <v>1727</v>
      </c>
      <c r="D8285" t="s">
        <v>33</v>
      </c>
      <c r="E8285" t="s">
        <v>33</v>
      </c>
      <c r="F8285" t="s">
        <v>33</v>
      </c>
      <c r="G8285" t="s">
        <v>33</v>
      </c>
      <c r="H8285" t="s">
        <v>859</v>
      </c>
      <c r="I8285" t="s">
        <v>860</v>
      </c>
      <c r="J8285" t="str">
        <f>"9210187"</f>
        <v>9210187</v>
      </c>
      <c r="K8285">
        <v>2510223981</v>
      </c>
      <c r="L8285">
        <v>2510223981</v>
      </c>
      <c r="M8285" t="s">
        <v>1728</v>
      </c>
      <c r="N8285" t="s">
        <v>33</v>
      </c>
      <c r="O8285" t="s">
        <v>1729</v>
      </c>
      <c r="P8285">
        <v>65403</v>
      </c>
      <c r="Q8285" t="str">
        <f>"40.936717"</f>
        <v>40.936717</v>
      </c>
      <c r="R8285" t="str">
        <f>"24.402990"</f>
        <v>24.402990</v>
      </c>
      <c r="S8285" t="s">
        <v>26</v>
      </c>
    </row>
    <row r="8286" spans="1:19" x14ac:dyDescent="0.3">
      <c r="A8286" t="s">
        <v>19</v>
      </c>
      <c r="B8286" t="s">
        <v>1633</v>
      </c>
      <c r="C8286" t="s">
        <v>1731</v>
      </c>
      <c r="D8286" t="s">
        <v>33</v>
      </c>
      <c r="E8286" t="s">
        <v>411</v>
      </c>
      <c r="F8286" t="s">
        <v>418</v>
      </c>
      <c r="G8286" t="s">
        <v>1730</v>
      </c>
      <c r="H8286" t="s">
        <v>859</v>
      </c>
      <c r="I8286" t="s">
        <v>860</v>
      </c>
      <c r="J8286" t="str">
        <f>"9210243"</f>
        <v>9210243</v>
      </c>
      <c r="K8286">
        <v>2592041320</v>
      </c>
      <c r="L8286">
        <v>2592041320</v>
      </c>
      <c r="M8286" t="s">
        <v>1732</v>
      </c>
      <c r="N8286" t="s">
        <v>1730</v>
      </c>
      <c r="O8286" t="s">
        <v>1733</v>
      </c>
      <c r="P8286">
        <v>64008</v>
      </c>
      <c r="Q8286" t="str">
        <f>"40.804041"</f>
        <v>40.804041</v>
      </c>
      <c r="R8286" t="str">
        <f>"23.949489"</f>
        <v>23.949489</v>
      </c>
      <c r="S8286" t="s">
        <v>26</v>
      </c>
    </row>
    <row r="8287" spans="1:19" x14ac:dyDescent="0.3">
      <c r="A8287" t="s">
        <v>19</v>
      </c>
      <c r="B8287" t="s">
        <v>1633</v>
      </c>
      <c r="C8287" t="s">
        <v>1736</v>
      </c>
      <c r="D8287" t="s">
        <v>33</v>
      </c>
      <c r="E8287" t="s">
        <v>33</v>
      </c>
      <c r="F8287" t="s">
        <v>33</v>
      </c>
      <c r="G8287" t="s">
        <v>33</v>
      </c>
      <c r="H8287" t="s">
        <v>859</v>
      </c>
      <c r="I8287" t="s">
        <v>860</v>
      </c>
      <c r="J8287" t="str">
        <f>"9210209"</f>
        <v>9210209</v>
      </c>
      <c r="K8287">
        <v>2510246412</v>
      </c>
      <c r="L8287">
        <v>2510246412</v>
      </c>
      <c r="M8287" t="s">
        <v>1737</v>
      </c>
      <c r="N8287" t="s">
        <v>33</v>
      </c>
      <c r="O8287" t="s">
        <v>1708</v>
      </c>
      <c r="P8287">
        <v>65404</v>
      </c>
      <c r="Q8287" t="str">
        <f>"40.938850"</f>
        <v>40.938850</v>
      </c>
      <c r="R8287" t="str">
        <f>"24.388722"</f>
        <v>24.388722</v>
      </c>
      <c r="S8287" t="s">
        <v>26</v>
      </c>
    </row>
    <row r="8288" spans="1:19" x14ac:dyDescent="0.3">
      <c r="A8288" t="s">
        <v>19</v>
      </c>
      <c r="B8288" t="s">
        <v>1633</v>
      </c>
      <c r="C8288" t="s">
        <v>1739</v>
      </c>
      <c r="D8288" t="s">
        <v>33</v>
      </c>
      <c r="E8288" t="s">
        <v>411</v>
      </c>
      <c r="F8288" t="s">
        <v>1718</v>
      </c>
      <c r="G8288" t="s">
        <v>1738</v>
      </c>
      <c r="H8288" t="s">
        <v>859</v>
      </c>
      <c r="I8288" t="s">
        <v>860</v>
      </c>
      <c r="J8288" t="str">
        <f>"9210089"</f>
        <v>9210089</v>
      </c>
      <c r="K8288">
        <v>2592051380</v>
      </c>
      <c r="L8288">
        <v>2592051380</v>
      </c>
      <c r="M8288" t="s">
        <v>1740</v>
      </c>
      <c r="N8288" t="s">
        <v>1738</v>
      </c>
      <c r="O8288" t="s">
        <v>1741</v>
      </c>
      <c r="P8288">
        <v>64008</v>
      </c>
      <c r="Q8288" t="str">
        <f>"40.865399"</f>
        <v>40.865399</v>
      </c>
      <c r="R8288" t="str">
        <f>"24.141711"</f>
        <v>24.141711</v>
      </c>
      <c r="S8288" t="s">
        <v>26</v>
      </c>
    </row>
    <row r="8289" spans="1:19" x14ac:dyDescent="0.3">
      <c r="A8289" t="s">
        <v>19</v>
      </c>
      <c r="B8289" t="s">
        <v>1633</v>
      </c>
      <c r="C8289" t="s">
        <v>1742</v>
      </c>
      <c r="D8289" t="s">
        <v>33</v>
      </c>
      <c r="E8289" t="s">
        <v>469</v>
      </c>
      <c r="F8289" t="s">
        <v>514</v>
      </c>
      <c r="G8289" t="s">
        <v>514</v>
      </c>
      <c r="H8289" t="s">
        <v>859</v>
      </c>
      <c r="I8289" t="s">
        <v>860</v>
      </c>
      <c r="J8289" t="str">
        <f>"9210205"</f>
        <v>9210205</v>
      </c>
      <c r="K8289">
        <v>2591051121</v>
      </c>
      <c r="L8289">
        <v>2591051121</v>
      </c>
      <c r="M8289" t="s">
        <v>1743</v>
      </c>
      <c r="N8289" t="s">
        <v>514</v>
      </c>
      <c r="O8289" t="s">
        <v>518</v>
      </c>
      <c r="P8289">
        <v>64200</v>
      </c>
      <c r="Q8289" t="str">
        <f>"40.860077"</f>
        <v>40.860077</v>
      </c>
      <c r="R8289" t="str">
        <f>"24.705673"</f>
        <v>24.705673</v>
      </c>
      <c r="S8289" t="s">
        <v>26</v>
      </c>
    </row>
    <row r="8290" spans="1:19" x14ac:dyDescent="0.3">
      <c r="A8290" t="s">
        <v>19</v>
      </c>
      <c r="B8290" t="s">
        <v>1633</v>
      </c>
      <c r="C8290" t="s">
        <v>1744</v>
      </c>
      <c r="D8290" t="s">
        <v>33</v>
      </c>
      <c r="E8290" t="s">
        <v>33</v>
      </c>
      <c r="F8290" t="s">
        <v>33</v>
      </c>
      <c r="G8290" t="s">
        <v>33</v>
      </c>
      <c r="H8290" t="s">
        <v>859</v>
      </c>
      <c r="I8290" t="s">
        <v>1102</v>
      </c>
      <c r="J8290" t="str">
        <f>"9210246"</f>
        <v>9210246</v>
      </c>
      <c r="K8290">
        <v>2510837756</v>
      </c>
      <c r="L8290">
        <v>2510837756</v>
      </c>
      <c r="N8290" t="s">
        <v>33</v>
      </c>
      <c r="O8290" t="s">
        <v>1745</v>
      </c>
      <c r="P8290">
        <v>65201</v>
      </c>
      <c r="Q8290" t="str">
        <f>""</f>
        <v/>
      </c>
      <c r="R8290" t="str">
        <f>""</f>
        <v/>
      </c>
      <c r="S8290" t="s">
        <v>26</v>
      </c>
    </row>
    <row r="8291" spans="1:19" x14ac:dyDescent="0.3">
      <c r="A8291" t="s">
        <v>19</v>
      </c>
      <c r="B8291" t="s">
        <v>1633</v>
      </c>
      <c r="C8291" t="s">
        <v>1747</v>
      </c>
      <c r="D8291" t="s">
        <v>33</v>
      </c>
      <c r="E8291" t="s">
        <v>33</v>
      </c>
      <c r="F8291" t="s">
        <v>520</v>
      </c>
      <c r="G8291" t="s">
        <v>1746</v>
      </c>
      <c r="H8291" t="s">
        <v>859</v>
      </c>
      <c r="I8291" t="s">
        <v>860</v>
      </c>
      <c r="J8291" t="str">
        <f>"9210156"</f>
        <v>9210156</v>
      </c>
      <c r="K8291">
        <v>2510612048</v>
      </c>
      <c r="L8291">
        <v>2510612048</v>
      </c>
      <c r="M8291" t="s">
        <v>1748</v>
      </c>
      <c r="N8291" t="s">
        <v>1746</v>
      </c>
      <c r="O8291" t="s">
        <v>1749</v>
      </c>
      <c r="P8291">
        <v>64003</v>
      </c>
      <c r="Q8291" t="str">
        <f>"41.012459"</f>
        <v>41.012459</v>
      </c>
      <c r="R8291" t="str">
        <f>"24.381890"</f>
        <v>24.381890</v>
      </c>
      <c r="S8291" t="s">
        <v>26</v>
      </c>
    </row>
    <row r="8292" spans="1:19" x14ac:dyDescent="0.3">
      <c r="A8292" t="s">
        <v>19</v>
      </c>
      <c r="B8292" t="s">
        <v>1633</v>
      </c>
      <c r="C8292" t="s">
        <v>1750</v>
      </c>
      <c r="D8292" t="s">
        <v>33</v>
      </c>
      <c r="E8292" t="s">
        <v>469</v>
      </c>
      <c r="F8292" t="s">
        <v>470</v>
      </c>
      <c r="G8292" t="s">
        <v>470</v>
      </c>
      <c r="H8292" t="s">
        <v>859</v>
      </c>
      <c r="I8292" t="s">
        <v>860</v>
      </c>
      <c r="J8292" t="str">
        <f>"9210025"</f>
        <v>9210025</v>
      </c>
      <c r="K8292">
        <v>2591022732</v>
      </c>
      <c r="L8292">
        <v>2591022732</v>
      </c>
      <c r="M8292" t="s">
        <v>1751</v>
      </c>
      <c r="N8292" t="s">
        <v>470</v>
      </c>
      <c r="O8292" t="s">
        <v>1752</v>
      </c>
      <c r="P8292">
        <v>64200</v>
      </c>
      <c r="Q8292" t="str">
        <f>"40.979640"</f>
        <v>40.979640</v>
      </c>
      <c r="R8292" t="str">
        <f>"24.707707"</f>
        <v>24.707707</v>
      </c>
      <c r="S8292" t="s">
        <v>26</v>
      </c>
    </row>
    <row r="8293" spans="1:19" x14ac:dyDescent="0.3">
      <c r="A8293" t="s">
        <v>19</v>
      </c>
      <c r="B8293" t="s">
        <v>1633</v>
      </c>
      <c r="C8293" t="s">
        <v>1753</v>
      </c>
      <c r="D8293" t="s">
        <v>33</v>
      </c>
      <c r="E8293" t="s">
        <v>469</v>
      </c>
      <c r="F8293" t="s">
        <v>470</v>
      </c>
      <c r="G8293" t="s">
        <v>470</v>
      </c>
      <c r="H8293" t="s">
        <v>859</v>
      </c>
      <c r="I8293" t="s">
        <v>860</v>
      </c>
      <c r="J8293" t="str">
        <f>"9210022"</f>
        <v>9210022</v>
      </c>
      <c r="K8293">
        <v>2591023705</v>
      </c>
      <c r="M8293" t="s">
        <v>1754</v>
      </c>
      <c r="N8293" t="s">
        <v>470</v>
      </c>
      <c r="O8293" t="s">
        <v>1755</v>
      </c>
      <c r="P8293">
        <v>64200</v>
      </c>
      <c r="Q8293" t="str">
        <f>"40.983005"</f>
        <v>40.983005</v>
      </c>
      <c r="R8293" t="str">
        <f>"24.706241"</f>
        <v>24.706241</v>
      </c>
      <c r="S8293" t="s">
        <v>26</v>
      </c>
    </row>
    <row r="8294" spans="1:19" x14ac:dyDescent="0.3">
      <c r="A8294" t="s">
        <v>19</v>
      </c>
      <c r="B8294" t="s">
        <v>1633</v>
      </c>
      <c r="C8294" t="s">
        <v>1757</v>
      </c>
      <c r="D8294" t="s">
        <v>33</v>
      </c>
      <c r="E8294" t="s">
        <v>33</v>
      </c>
      <c r="F8294" t="s">
        <v>520</v>
      </c>
      <c r="G8294" t="s">
        <v>1756</v>
      </c>
      <c r="H8294" t="s">
        <v>859</v>
      </c>
      <c r="I8294" t="s">
        <v>860</v>
      </c>
      <c r="J8294" t="str">
        <f>"9210247"</f>
        <v>9210247</v>
      </c>
      <c r="K8294">
        <v>2510391380</v>
      </c>
      <c r="L8294">
        <v>2510622713</v>
      </c>
      <c r="M8294" t="s">
        <v>1758</v>
      </c>
      <c r="N8294" t="s">
        <v>1756</v>
      </c>
      <c r="O8294" t="s">
        <v>1759</v>
      </c>
      <c r="P8294">
        <v>64003</v>
      </c>
      <c r="Q8294" t="str">
        <f>"40.984362"</f>
        <v>40.984362</v>
      </c>
      <c r="R8294" t="str">
        <f>"24.328740"</f>
        <v>24.328740</v>
      </c>
      <c r="S8294" t="s">
        <v>26</v>
      </c>
    </row>
    <row r="8295" spans="1:19" x14ac:dyDescent="0.3">
      <c r="A8295" t="s">
        <v>19</v>
      </c>
      <c r="B8295" t="s">
        <v>1633</v>
      </c>
      <c r="C8295" t="s">
        <v>1761</v>
      </c>
      <c r="D8295" t="s">
        <v>33</v>
      </c>
      <c r="E8295" t="s">
        <v>411</v>
      </c>
      <c r="F8295" t="s">
        <v>461</v>
      </c>
      <c r="G8295" t="s">
        <v>1760</v>
      </c>
      <c r="H8295" t="s">
        <v>859</v>
      </c>
      <c r="I8295" t="s">
        <v>860</v>
      </c>
      <c r="J8295" t="str">
        <f>"9210159"</f>
        <v>9210159</v>
      </c>
      <c r="K8295">
        <v>2510326433</v>
      </c>
      <c r="L8295">
        <v>2510326433</v>
      </c>
      <c r="M8295" t="s">
        <v>1762</v>
      </c>
      <c r="N8295" t="s">
        <v>1760</v>
      </c>
      <c r="O8295" t="s">
        <v>1763</v>
      </c>
      <c r="P8295">
        <v>64100</v>
      </c>
      <c r="Q8295" t="str">
        <f>"40.927379"</f>
        <v>40.927379</v>
      </c>
      <c r="R8295" t="str">
        <f>"24.307277"</f>
        <v>24.307277</v>
      </c>
      <c r="S8295" t="s">
        <v>26</v>
      </c>
    </row>
    <row r="8296" spans="1:19" x14ac:dyDescent="0.3">
      <c r="A8296" t="s">
        <v>19</v>
      </c>
      <c r="B8296" t="s">
        <v>1633</v>
      </c>
      <c r="C8296" t="s">
        <v>1765</v>
      </c>
      <c r="D8296" t="s">
        <v>33</v>
      </c>
      <c r="E8296" t="s">
        <v>469</v>
      </c>
      <c r="F8296" t="s">
        <v>470</v>
      </c>
      <c r="G8296" t="s">
        <v>1764</v>
      </c>
      <c r="H8296" t="s">
        <v>859</v>
      </c>
      <c r="I8296" t="s">
        <v>860</v>
      </c>
      <c r="J8296" t="str">
        <f>"9210202"</f>
        <v>9210202</v>
      </c>
      <c r="K8296">
        <v>2591053141</v>
      </c>
      <c r="L8296">
        <v>2591047283</v>
      </c>
      <c r="M8296" t="s">
        <v>1766</v>
      </c>
      <c r="N8296" t="s">
        <v>1767</v>
      </c>
      <c r="O8296" t="s">
        <v>1767</v>
      </c>
      <c r="P8296">
        <v>64200</v>
      </c>
      <c r="Q8296" t="str">
        <f>"40.948385"</f>
        <v>40.948385</v>
      </c>
      <c r="R8296" t="str">
        <f>"24.641011"</f>
        <v>24.641011</v>
      </c>
      <c r="S8296" t="s">
        <v>26</v>
      </c>
    </row>
    <row r="8297" spans="1:19" x14ac:dyDescent="0.3">
      <c r="A8297" t="s">
        <v>19</v>
      </c>
      <c r="B8297" t="s">
        <v>1633</v>
      </c>
      <c r="C8297" t="s">
        <v>1768</v>
      </c>
      <c r="D8297" t="s">
        <v>426</v>
      </c>
      <c r="E8297" t="s">
        <v>426</v>
      </c>
      <c r="F8297" t="s">
        <v>426</v>
      </c>
      <c r="G8297" t="s">
        <v>1713</v>
      </c>
      <c r="H8297" t="s">
        <v>859</v>
      </c>
      <c r="I8297" t="s">
        <v>860</v>
      </c>
      <c r="J8297" t="str">
        <f>"9210224"</f>
        <v>9210224</v>
      </c>
      <c r="K8297">
        <v>2593053152</v>
      </c>
      <c r="L8297">
        <v>2593053152</v>
      </c>
      <c r="M8297" t="s">
        <v>1769</v>
      </c>
      <c r="N8297" t="s">
        <v>426</v>
      </c>
      <c r="O8297" t="s">
        <v>1770</v>
      </c>
      <c r="P8297">
        <v>64002</v>
      </c>
      <c r="Q8297" t="str">
        <f>"40.604299"</f>
        <v>40.604299</v>
      </c>
      <c r="R8297" t="str">
        <f>"24.609487"</f>
        <v>24.609487</v>
      </c>
      <c r="S8297" t="s">
        <v>26</v>
      </c>
    </row>
    <row r="8298" spans="1:19" x14ac:dyDescent="0.3">
      <c r="A8298" t="s">
        <v>19</v>
      </c>
      <c r="B8298" t="s">
        <v>1633</v>
      </c>
      <c r="C8298" t="s">
        <v>1772</v>
      </c>
      <c r="D8298" t="s">
        <v>33</v>
      </c>
      <c r="E8298" t="s">
        <v>469</v>
      </c>
      <c r="F8298" t="s">
        <v>514</v>
      </c>
      <c r="G8298" t="s">
        <v>1771</v>
      </c>
      <c r="H8298" t="s">
        <v>859</v>
      </c>
      <c r="I8298" t="s">
        <v>860</v>
      </c>
      <c r="J8298" t="str">
        <f>"9210050"</f>
        <v>9210050</v>
      </c>
      <c r="K8298">
        <v>2591062054</v>
      </c>
      <c r="L8298">
        <v>2591062054</v>
      </c>
      <c r="M8298" t="s">
        <v>1773</v>
      </c>
      <c r="N8298" t="s">
        <v>1771</v>
      </c>
      <c r="O8298" t="s">
        <v>1774</v>
      </c>
      <c r="P8298">
        <v>64200</v>
      </c>
      <c r="Q8298" t="str">
        <f>"40.907474"</f>
        <v>40.907474</v>
      </c>
      <c r="R8298" t="str">
        <f>"24.706331"</f>
        <v>24.706331</v>
      </c>
      <c r="S8298" t="s">
        <v>26</v>
      </c>
    </row>
    <row r="8299" spans="1:19" x14ac:dyDescent="0.3">
      <c r="A8299" t="s">
        <v>19</v>
      </c>
      <c r="B8299" t="s">
        <v>1633</v>
      </c>
      <c r="C8299" t="s">
        <v>1775</v>
      </c>
      <c r="D8299" t="s">
        <v>33</v>
      </c>
      <c r="E8299" t="s">
        <v>411</v>
      </c>
      <c r="F8299" t="s">
        <v>461</v>
      </c>
      <c r="G8299" t="s">
        <v>461</v>
      </c>
      <c r="H8299" t="s">
        <v>859</v>
      </c>
      <c r="I8299" t="s">
        <v>860</v>
      </c>
      <c r="J8299" t="str">
        <f>"9210078"</f>
        <v>9210078</v>
      </c>
      <c r="K8299">
        <v>2592022165</v>
      </c>
      <c r="M8299" t="s">
        <v>1776</v>
      </c>
      <c r="N8299" t="s">
        <v>461</v>
      </c>
      <c r="O8299" t="s">
        <v>1777</v>
      </c>
      <c r="P8299">
        <v>64100</v>
      </c>
      <c r="Q8299" t="str">
        <f>"40.916638"</f>
        <v>40.916638</v>
      </c>
      <c r="R8299" t="str">
        <f>"24.253701"</f>
        <v>24.253701</v>
      </c>
      <c r="S8299" t="s">
        <v>26</v>
      </c>
    </row>
    <row r="8300" spans="1:19" x14ac:dyDescent="0.3">
      <c r="A8300" t="s">
        <v>19</v>
      </c>
      <c r="B8300" t="s">
        <v>1633</v>
      </c>
      <c r="C8300" t="s">
        <v>1779</v>
      </c>
      <c r="D8300" t="s">
        <v>33</v>
      </c>
      <c r="E8300" t="s">
        <v>469</v>
      </c>
      <c r="F8300" t="s">
        <v>470</v>
      </c>
      <c r="G8300" t="s">
        <v>1778</v>
      </c>
      <c r="H8300" t="s">
        <v>859</v>
      </c>
      <c r="I8300" t="s">
        <v>860</v>
      </c>
      <c r="J8300" t="str">
        <f>"9210038"</f>
        <v>9210038</v>
      </c>
      <c r="K8300">
        <v>2591041492</v>
      </c>
      <c r="L8300">
        <v>2591041492</v>
      </c>
      <c r="M8300" t="s">
        <v>1780</v>
      </c>
      <c r="N8300" t="s">
        <v>1778</v>
      </c>
      <c r="O8300" t="s">
        <v>1781</v>
      </c>
      <c r="P8300">
        <v>64200</v>
      </c>
      <c r="Q8300" t="str">
        <f>"41.018611"</f>
        <v>41.018611</v>
      </c>
      <c r="R8300" t="str">
        <f>"24.637551"</f>
        <v>24.637551</v>
      </c>
      <c r="S8300" t="s">
        <v>26</v>
      </c>
    </row>
    <row r="8301" spans="1:19" x14ac:dyDescent="0.3">
      <c r="A8301" t="s">
        <v>19</v>
      </c>
      <c r="B8301" t="s">
        <v>1633</v>
      </c>
      <c r="C8301" t="s">
        <v>1783</v>
      </c>
      <c r="D8301" t="s">
        <v>426</v>
      </c>
      <c r="E8301" t="s">
        <v>426</v>
      </c>
      <c r="F8301" t="s">
        <v>426</v>
      </c>
      <c r="G8301" t="s">
        <v>1782</v>
      </c>
      <c r="H8301" t="s">
        <v>859</v>
      </c>
      <c r="I8301" t="s">
        <v>860</v>
      </c>
      <c r="J8301" t="str">
        <f>"9210135"</f>
        <v>9210135</v>
      </c>
      <c r="K8301">
        <v>2593061240</v>
      </c>
      <c r="L8301">
        <v>2593061240</v>
      </c>
      <c r="M8301" t="s">
        <v>1784</v>
      </c>
      <c r="N8301" t="s">
        <v>1782</v>
      </c>
      <c r="O8301" t="s">
        <v>1785</v>
      </c>
      <c r="P8301">
        <v>64004</v>
      </c>
      <c r="Q8301" t="str">
        <f>"40.716440"</f>
        <v>40.716440</v>
      </c>
      <c r="R8301" t="str">
        <f>"24.728680"</f>
        <v>24.728680</v>
      </c>
      <c r="S8301" t="s">
        <v>26</v>
      </c>
    </row>
    <row r="8302" spans="1:19" x14ac:dyDescent="0.3">
      <c r="A8302" t="s">
        <v>19</v>
      </c>
      <c r="B8302" t="s">
        <v>1633</v>
      </c>
      <c r="C8302" t="s">
        <v>1789</v>
      </c>
      <c r="D8302" t="s">
        <v>33</v>
      </c>
      <c r="E8302" t="s">
        <v>33</v>
      </c>
      <c r="F8302" t="s">
        <v>33</v>
      </c>
      <c r="G8302" t="s">
        <v>33</v>
      </c>
      <c r="H8302" t="s">
        <v>859</v>
      </c>
      <c r="I8302" t="s">
        <v>860</v>
      </c>
      <c r="J8302" t="str">
        <f>"9210010"</f>
        <v>9210010</v>
      </c>
      <c r="K8302">
        <v>2510224402</v>
      </c>
      <c r="L8302">
        <v>2510224402</v>
      </c>
      <c r="M8302" t="s">
        <v>1790</v>
      </c>
      <c r="N8302" t="s">
        <v>33</v>
      </c>
      <c r="O8302" t="s">
        <v>1791</v>
      </c>
      <c r="P8302">
        <v>65201</v>
      </c>
      <c r="Q8302" t="str">
        <f>"40.939891"</f>
        <v>40.939891</v>
      </c>
      <c r="R8302" t="str">
        <f>"24.418063"</f>
        <v>24.418063</v>
      </c>
      <c r="S8302" t="s">
        <v>26</v>
      </c>
    </row>
    <row r="8303" spans="1:19" x14ac:dyDescent="0.3">
      <c r="A8303" t="s">
        <v>19</v>
      </c>
      <c r="B8303" t="s">
        <v>1633</v>
      </c>
      <c r="C8303" t="s">
        <v>1794</v>
      </c>
      <c r="D8303" t="s">
        <v>33</v>
      </c>
      <c r="E8303" t="s">
        <v>469</v>
      </c>
      <c r="F8303" t="s">
        <v>1792</v>
      </c>
      <c r="G8303" t="s">
        <v>1793</v>
      </c>
      <c r="H8303" t="s">
        <v>859</v>
      </c>
      <c r="I8303" t="s">
        <v>860</v>
      </c>
      <c r="J8303" t="str">
        <f>"9210047"</f>
        <v>9210047</v>
      </c>
      <c r="K8303">
        <v>2591057206</v>
      </c>
      <c r="M8303" t="s">
        <v>1795</v>
      </c>
      <c r="N8303" t="s">
        <v>1793</v>
      </c>
      <c r="O8303" t="s">
        <v>1796</v>
      </c>
      <c r="P8303">
        <v>64009</v>
      </c>
      <c r="Q8303" t="str">
        <f>"41.158840"</f>
        <v>41.158840</v>
      </c>
      <c r="R8303" t="str">
        <f>"24.549558"</f>
        <v>24.549558</v>
      </c>
      <c r="S8303" t="s">
        <v>26</v>
      </c>
    </row>
    <row r="8304" spans="1:19" x14ac:dyDescent="0.3">
      <c r="A8304" t="s">
        <v>19</v>
      </c>
      <c r="B8304" t="s">
        <v>1633</v>
      </c>
      <c r="C8304" t="s">
        <v>1797</v>
      </c>
      <c r="D8304" t="s">
        <v>33</v>
      </c>
      <c r="E8304" t="s">
        <v>33</v>
      </c>
      <c r="F8304" t="s">
        <v>520</v>
      </c>
      <c r="G8304" t="s">
        <v>555</v>
      </c>
      <c r="H8304" t="s">
        <v>859</v>
      </c>
      <c r="I8304" t="s">
        <v>860</v>
      </c>
      <c r="J8304" t="str">
        <f>"9210161"</f>
        <v>9210161</v>
      </c>
      <c r="K8304">
        <v>2510516250</v>
      </c>
      <c r="L8304">
        <v>2510516250</v>
      </c>
      <c r="M8304" t="s">
        <v>1798</v>
      </c>
      <c r="N8304" t="s">
        <v>555</v>
      </c>
      <c r="O8304" t="s">
        <v>1799</v>
      </c>
      <c r="P8304">
        <v>64003</v>
      </c>
      <c r="Q8304" t="str">
        <f>"41.012411"</f>
        <v>41.012411</v>
      </c>
      <c r="R8304" t="str">
        <f>"24.296017"</f>
        <v>24.296017</v>
      </c>
      <c r="S8304" t="s">
        <v>26</v>
      </c>
    </row>
    <row r="8305" spans="1:19" x14ac:dyDescent="0.3">
      <c r="A8305" t="s">
        <v>19</v>
      </c>
      <c r="B8305" t="s">
        <v>1633</v>
      </c>
      <c r="C8305" t="s">
        <v>1801</v>
      </c>
      <c r="D8305" t="s">
        <v>426</v>
      </c>
      <c r="E8305" t="s">
        <v>426</v>
      </c>
      <c r="F8305" t="s">
        <v>426</v>
      </c>
      <c r="G8305" t="s">
        <v>1800</v>
      </c>
      <c r="H8305" t="s">
        <v>859</v>
      </c>
      <c r="I8305" t="s">
        <v>860</v>
      </c>
      <c r="J8305" t="str">
        <f>"9210217"</f>
        <v>9210217</v>
      </c>
      <c r="K8305">
        <v>2593061206</v>
      </c>
      <c r="L8305">
        <v>2593061206</v>
      </c>
      <c r="M8305" t="s">
        <v>1802</v>
      </c>
      <c r="N8305" t="s">
        <v>1800</v>
      </c>
      <c r="O8305" t="s">
        <v>1803</v>
      </c>
      <c r="P8305">
        <v>64004</v>
      </c>
      <c r="Q8305" t="str">
        <f>"40.732085"</f>
        <v>40.732085</v>
      </c>
      <c r="R8305" t="str">
        <f>"24.729600"</f>
        <v>24.729600</v>
      </c>
      <c r="S8305" t="s">
        <v>26</v>
      </c>
    </row>
    <row r="8306" spans="1:19" x14ac:dyDescent="0.3">
      <c r="A8306" t="s">
        <v>19</v>
      </c>
      <c r="B8306" t="s">
        <v>1633</v>
      </c>
      <c r="C8306" t="s">
        <v>1805</v>
      </c>
      <c r="D8306" t="s">
        <v>33</v>
      </c>
      <c r="E8306" t="s">
        <v>33</v>
      </c>
      <c r="F8306" t="s">
        <v>520</v>
      </c>
      <c r="G8306" t="s">
        <v>1804</v>
      </c>
      <c r="H8306" t="s">
        <v>859</v>
      </c>
      <c r="I8306" t="s">
        <v>860</v>
      </c>
      <c r="J8306" t="str">
        <f>"9210173"</f>
        <v>9210173</v>
      </c>
      <c r="K8306">
        <v>2510516853</v>
      </c>
      <c r="L8306">
        <v>2510516853</v>
      </c>
      <c r="M8306" t="s">
        <v>1806</v>
      </c>
      <c r="N8306" t="s">
        <v>1804</v>
      </c>
      <c r="O8306" t="s">
        <v>1807</v>
      </c>
      <c r="P8306">
        <v>64003</v>
      </c>
      <c r="Q8306" t="str">
        <f>"41.010601"</f>
        <v>41.010601</v>
      </c>
      <c r="R8306" t="str">
        <f>"24.296389"</f>
        <v>24.296389</v>
      </c>
      <c r="S8306" t="s">
        <v>26</v>
      </c>
    </row>
    <row r="8307" spans="1:19" x14ac:dyDescent="0.3">
      <c r="A8307" t="s">
        <v>19</v>
      </c>
      <c r="B8307" t="s">
        <v>1633</v>
      </c>
      <c r="C8307" t="s">
        <v>1808</v>
      </c>
      <c r="D8307" t="s">
        <v>33</v>
      </c>
      <c r="E8307" t="s">
        <v>411</v>
      </c>
      <c r="F8307" t="s">
        <v>411</v>
      </c>
      <c r="G8307" t="s">
        <v>412</v>
      </c>
      <c r="H8307" t="s">
        <v>859</v>
      </c>
      <c r="I8307" t="s">
        <v>860</v>
      </c>
      <c r="J8307" t="str">
        <f>"9210104"</f>
        <v>9210104</v>
      </c>
      <c r="K8307">
        <v>2592061213</v>
      </c>
      <c r="L8307">
        <v>2592061213</v>
      </c>
      <c r="M8307" t="s">
        <v>1809</v>
      </c>
      <c r="N8307" t="s">
        <v>411</v>
      </c>
      <c r="O8307" t="s">
        <v>477</v>
      </c>
      <c r="P8307">
        <v>64001</v>
      </c>
      <c r="Q8307" t="str">
        <f>"40.951232"</f>
        <v>40.951232</v>
      </c>
      <c r="R8307" t="str">
        <f>"24.144545"</f>
        <v>24.144545</v>
      </c>
      <c r="S8307" t="s">
        <v>26</v>
      </c>
    </row>
    <row r="8308" spans="1:19" x14ac:dyDescent="0.3">
      <c r="A8308" t="s">
        <v>19</v>
      </c>
      <c r="B8308" t="s">
        <v>1633</v>
      </c>
      <c r="C8308" t="s">
        <v>1810</v>
      </c>
      <c r="D8308" t="s">
        <v>33</v>
      </c>
      <c r="E8308" t="s">
        <v>33</v>
      </c>
      <c r="F8308" t="s">
        <v>33</v>
      </c>
      <c r="G8308" t="s">
        <v>33</v>
      </c>
      <c r="H8308" t="s">
        <v>859</v>
      </c>
      <c r="I8308" t="s">
        <v>860</v>
      </c>
      <c r="J8308" t="str">
        <f>"9210237"</f>
        <v>9210237</v>
      </c>
      <c r="K8308">
        <v>6978053458</v>
      </c>
      <c r="L8308">
        <v>2510441899</v>
      </c>
      <c r="M8308" t="s">
        <v>1811</v>
      </c>
      <c r="N8308" t="s">
        <v>1812</v>
      </c>
      <c r="O8308" t="s">
        <v>1813</v>
      </c>
      <c r="P8308">
        <v>65500</v>
      </c>
      <c r="Q8308" t="str">
        <f>"40.897900"</f>
        <v>40.897900</v>
      </c>
      <c r="R8308" t="str">
        <f>"24.337303"</f>
        <v>24.337303</v>
      </c>
      <c r="S8308" t="s">
        <v>26</v>
      </c>
    </row>
    <row r="8309" spans="1:19" x14ac:dyDescent="0.3">
      <c r="A8309" t="s">
        <v>19</v>
      </c>
      <c r="B8309" t="s">
        <v>1633</v>
      </c>
      <c r="C8309" t="s">
        <v>1814</v>
      </c>
      <c r="D8309" t="s">
        <v>33</v>
      </c>
      <c r="E8309" t="s">
        <v>33</v>
      </c>
      <c r="F8309" t="s">
        <v>520</v>
      </c>
      <c r="G8309" t="s">
        <v>520</v>
      </c>
      <c r="H8309" t="s">
        <v>859</v>
      </c>
      <c r="I8309" t="s">
        <v>860</v>
      </c>
      <c r="J8309" t="str">
        <f>"9210175"</f>
        <v>9210175</v>
      </c>
      <c r="K8309">
        <v>2510518045</v>
      </c>
      <c r="M8309" t="s">
        <v>1815</v>
      </c>
      <c r="N8309" t="s">
        <v>520</v>
      </c>
      <c r="O8309" t="s">
        <v>1816</v>
      </c>
      <c r="P8309">
        <v>64003</v>
      </c>
      <c r="Q8309" t="str">
        <f>"41.026369"</f>
        <v>41.026369</v>
      </c>
      <c r="R8309" t="str">
        <f>"24.341393"</f>
        <v>24.341393</v>
      </c>
      <c r="S8309" t="s">
        <v>26</v>
      </c>
    </row>
    <row r="8310" spans="1:19" x14ac:dyDescent="0.3">
      <c r="A8310" t="s">
        <v>19</v>
      </c>
      <c r="B8310" t="s">
        <v>1633</v>
      </c>
      <c r="C8310" t="s">
        <v>1820</v>
      </c>
      <c r="D8310" t="s">
        <v>33</v>
      </c>
      <c r="E8310" t="s">
        <v>411</v>
      </c>
      <c r="F8310" t="s">
        <v>455</v>
      </c>
      <c r="G8310" t="s">
        <v>1819</v>
      </c>
      <c r="H8310" t="s">
        <v>859</v>
      </c>
      <c r="I8310" t="s">
        <v>860</v>
      </c>
      <c r="J8310" t="str">
        <f>"9210178"</f>
        <v>9210178</v>
      </c>
      <c r="K8310">
        <v>2594092232</v>
      </c>
      <c r="M8310" t="s">
        <v>1821</v>
      </c>
      <c r="N8310" t="s">
        <v>1822</v>
      </c>
      <c r="O8310" t="s">
        <v>1823</v>
      </c>
      <c r="P8310">
        <v>64007</v>
      </c>
      <c r="Q8310" t="str">
        <f>"40.821528"</f>
        <v>40.821528</v>
      </c>
      <c r="R8310" t="str">
        <f>"24.239495"</f>
        <v>24.239495</v>
      </c>
      <c r="S8310" t="s">
        <v>26</v>
      </c>
    </row>
    <row r="8311" spans="1:19" x14ac:dyDescent="0.3">
      <c r="A8311" t="s">
        <v>19</v>
      </c>
      <c r="B8311" t="s">
        <v>1633</v>
      </c>
      <c r="C8311" t="s">
        <v>1824</v>
      </c>
      <c r="D8311" t="s">
        <v>33</v>
      </c>
      <c r="E8311" t="s">
        <v>411</v>
      </c>
      <c r="F8311" t="s">
        <v>455</v>
      </c>
      <c r="G8311" t="s">
        <v>455</v>
      </c>
      <c r="H8311" t="s">
        <v>859</v>
      </c>
      <c r="I8311" t="s">
        <v>860</v>
      </c>
      <c r="J8311" t="str">
        <f>"9210181"</f>
        <v>9210181</v>
      </c>
      <c r="K8311">
        <v>2594041053</v>
      </c>
      <c r="L8311">
        <v>2594041053</v>
      </c>
      <c r="M8311" t="s">
        <v>1825</v>
      </c>
      <c r="N8311" t="s">
        <v>455</v>
      </c>
      <c r="O8311" t="s">
        <v>1826</v>
      </c>
      <c r="P8311">
        <v>64007</v>
      </c>
      <c r="Q8311" t="str">
        <f>"40.846035"</f>
        <v>40.846035</v>
      </c>
      <c r="R8311" t="str">
        <f>"24.253458"</f>
        <v>24.253458</v>
      </c>
      <c r="S8311" t="s">
        <v>26</v>
      </c>
    </row>
    <row r="8312" spans="1:19" x14ac:dyDescent="0.3">
      <c r="A8312" t="s">
        <v>19</v>
      </c>
      <c r="B8312" t="s">
        <v>1633</v>
      </c>
      <c r="C8312" t="s">
        <v>1830</v>
      </c>
      <c r="D8312" t="s">
        <v>33</v>
      </c>
      <c r="E8312" t="s">
        <v>411</v>
      </c>
      <c r="F8312" t="s">
        <v>455</v>
      </c>
      <c r="G8312" t="s">
        <v>456</v>
      </c>
      <c r="H8312" t="s">
        <v>859</v>
      </c>
      <c r="I8312" t="s">
        <v>860</v>
      </c>
      <c r="J8312" t="str">
        <f>"9210197"</f>
        <v>9210197</v>
      </c>
      <c r="K8312">
        <v>2594021052</v>
      </c>
      <c r="L8312">
        <v>2594021052</v>
      </c>
      <c r="M8312" t="s">
        <v>1831</v>
      </c>
      <c r="N8312" t="s">
        <v>1832</v>
      </c>
      <c r="O8312" t="s">
        <v>1833</v>
      </c>
      <c r="P8312">
        <v>64007</v>
      </c>
      <c r="Q8312" t="str">
        <f>"40.833423"</f>
        <v>40.833423</v>
      </c>
      <c r="R8312" t="str">
        <f>"24.304618"</f>
        <v>24.304618</v>
      </c>
      <c r="S8312" t="s">
        <v>26</v>
      </c>
    </row>
    <row r="8313" spans="1:19" x14ac:dyDescent="0.3">
      <c r="A8313" t="s">
        <v>19</v>
      </c>
      <c r="B8313" t="s">
        <v>1633</v>
      </c>
      <c r="C8313" t="s">
        <v>1838</v>
      </c>
      <c r="D8313" t="s">
        <v>33</v>
      </c>
      <c r="E8313" t="s">
        <v>411</v>
      </c>
      <c r="F8313" t="s">
        <v>418</v>
      </c>
      <c r="G8313" t="s">
        <v>1837</v>
      </c>
      <c r="H8313" t="s">
        <v>859</v>
      </c>
      <c r="I8313" t="s">
        <v>860</v>
      </c>
      <c r="J8313" t="str">
        <f>"9210225"</f>
        <v>9210225</v>
      </c>
      <c r="K8313">
        <v>2594051222</v>
      </c>
      <c r="L8313">
        <v>2594051222</v>
      </c>
      <c r="M8313" t="s">
        <v>1839</v>
      </c>
      <c r="N8313" t="s">
        <v>1837</v>
      </c>
      <c r="O8313" t="s">
        <v>1840</v>
      </c>
      <c r="P8313">
        <v>64008</v>
      </c>
      <c r="Q8313" t="str">
        <f>"40.750696"</f>
        <v>40.750696</v>
      </c>
      <c r="R8313" t="str">
        <f>"23.982741"</f>
        <v>23.982741</v>
      </c>
      <c r="S8313" t="s">
        <v>26</v>
      </c>
    </row>
    <row r="8314" spans="1:19" x14ac:dyDescent="0.3">
      <c r="A8314" t="s">
        <v>19</v>
      </c>
      <c r="B8314" t="s">
        <v>1633</v>
      </c>
      <c r="C8314" t="s">
        <v>1842</v>
      </c>
      <c r="D8314" t="s">
        <v>33</v>
      </c>
      <c r="E8314" t="s">
        <v>411</v>
      </c>
      <c r="F8314" t="s">
        <v>1718</v>
      </c>
      <c r="G8314" t="s">
        <v>1841</v>
      </c>
      <c r="H8314" t="s">
        <v>859</v>
      </c>
      <c r="I8314" t="s">
        <v>860</v>
      </c>
      <c r="J8314" t="str">
        <f>"9210100"</f>
        <v>9210100</v>
      </c>
      <c r="K8314">
        <v>2592093212</v>
      </c>
      <c r="L8314">
        <v>2592093212</v>
      </c>
      <c r="M8314" t="s">
        <v>1843</v>
      </c>
      <c r="N8314" t="s">
        <v>1844</v>
      </c>
      <c r="O8314" t="s">
        <v>1845</v>
      </c>
      <c r="P8314">
        <v>64008</v>
      </c>
      <c r="Q8314" t="str">
        <f>"40.864515"</f>
        <v>40.864515</v>
      </c>
      <c r="R8314" t="str">
        <f>"24.082833"</f>
        <v>24.082833</v>
      </c>
      <c r="S8314" t="s">
        <v>26</v>
      </c>
    </row>
    <row r="8315" spans="1:19" x14ac:dyDescent="0.3">
      <c r="A8315" t="s">
        <v>19</v>
      </c>
      <c r="B8315" t="s">
        <v>1633</v>
      </c>
      <c r="C8315" t="s">
        <v>1847</v>
      </c>
      <c r="D8315" t="s">
        <v>33</v>
      </c>
      <c r="E8315" t="s">
        <v>411</v>
      </c>
      <c r="F8315" t="s">
        <v>455</v>
      </c>
      <c r="G8315" t="s">
        <v>1846</v>
      </c>
      <c r="H8315" t="s">
        <v>859</v>
      </c>
      <c r="I8315" t="s">
        <v>860</v>
      </c>
      <c r="J8315" t="str">
        <f>"9210236"</f>
        <v>9210236</v>
      </c>
      <c r="K8315">
        <v>2594021486</v>
      </c>
      <c r="L8315">
        <v>2594021486</v>
      </c>
      <c r="M8315" t="s">
        <v>1848</v>
      </c>
      <c r="N8315" t="s">
        <v>1849</v>
      </c>
      <c r="O8315" t="s">
        <v>1850</v>
      </c>
      <c r="P8315">
        <v>64007</v>
      </c>
      <c r="Q8315" t="str">
        <f>"40.864964"</f>
        <v>40.864964</v>
      </c>
      <c r="R8315" t="str">
        <f>"24.316533"</f>
        <v>24.316533</v>
      </c>
      <c r="S8315" t="s">
        <v>26</v>
      </c>
    </row>
    <row r="8316" spans="1:19" x14ac:dyDescent="0.3">
      <c r="A8316" t="s">
        <v>19</v>
      </c>
      <c r="B8316" t="s">
        <v>1633</v>
      </c>
      <c r="C8316" t="s">
        <v>1851</v>
      </c>
      <c r="D8316" t="s">
        <v>33</v>
      </c>
      <c r="E8316" t="s">
        <v>411</v>
      </c>
      <c r="F8316" t="s">
        <v>455</v>
      </c>
      <c r="G8316" t="s">
        <v>456</v>
      </c>
      <c r="H8316" t="s">
        <v>859</v>
      </c>
      <c r="I8316" t="s">
        <v>860</v>
      </c>
      <c r="J8316" t="str">
        <f>"9210251"</f>
        <v>9210251</v>
      </c>
      <c r="K8316">
        <v>2594350002</v>
      </c>
      <c r="L8316">
        <v>2594350002</v>
      </c>
      <c r="M8316" t="s">
        <v>1852</v>
      </c>
      <c r="N8316" t="s">
        <v>456</v>
      </c>
      <c r="O8316" t="s">
        <v>1853</v>
      </c>
      <c r="P8316">
        <v>64007</v>
      </c>
      <c r="Q8316" t="str">
        <f>"40.839138"</f>
        <v>40.839138</v>
      </c>
      <c r="R8316" t="str">
        <f>"24.302931"</f>
        <v>24.302931</v>
      </c>
      <c r="S8316" t="s">
        <v>26</v>
      </c>
    </row>
    <row r="8317" spans="1:19" x14ac:dyDescent="0.3">
      <c r="A8317" t="s">
        <v>19</v>
      </c>
      <c r="B8317" t="s">
        <v>1633</v>
      </c>
      <c r="C8317" t="s">
        <v>1855</v>
      </c>
      <c r="D8317" t="s">
        <v>426</v>
      </c>
      <c r="E8317" t="s">
        <v>426</v>
      </c>
      <c r="F8317" t="s">
        <v>426</v>
      </c>
      <c r="G8317" t="s">
        <v>1854</v>
      </c>
      <c r="H8317" t="s">
        <v>859</v>
      </c>
      <c r="I8317" t="s">
        <v>860</v>
      </c>
      <c r="J8317" t="str">
        <f>"9210242"</f>
        <v>9210242</v>
      </c>
      <c r="K8317">
        <v>2593081311</v>
      </c>
      <c r="L8317">
        <v>2593081311</v>
      </c>
      <c r="M8317" t="s">
        <v>1856</v>
      </c>
      <c r="N8317" t="s">
        <v>1857</v>
      </c>
      <c r="O8317" t="s">
        <v>1857</v>
      </c>
      <c r="P8317">
        <v>64010</v>
      </c>
      <c r="Q8317" t="str">
        <f>"40.757206"</f>
        <v>40.757206</v>
      </c>
      <c r="R8317" t="str">
        <f>"24.634058"</f>
        <v>24.634058</v>
      </c>
      <c r="S8317" t="s">
        <v>26</v>
      </c>
    </row>
    <row r="8318" spans="1:19" x14ac:dyDescent="0.3">
      <c r="A8318" t="s">
        <v>19</v>
      </c>
      <c r="B8318" t="s">
        <v>1633</v>
      </c>
      <c r="C8318" t="s">
        <v>1858</v>
      </c>
      <c r="D8318" t="s">
        <v>426</v>
      </c>
      <c r="E8318" t="s">
        <v>426</v>
      </c>
      <c r="F8318" t="s">
        <v>426</v>
      </c>
      <c r="G8318" t="s">
        <v>426</v>
      </c>
      <c r="H8318" t="s">
        <v>859</v>
      </c>
      <c r="I8318" t="s">
        <v>860</v>
      </c>
      <c r="J8318" t="str">
        <f>"9210252"</f>
        <v>9210252</v>
      </c>
      <c r="K8318">
        <v>2593023629</v>
      </c>
      <c r="L8318">
        <v>2593023629</v>
      </c>
      <c r="M8318" t="s">
        <v>1859</v>
      </c>
      <c r="N8318" t="s">
        <v>426</v>
      </c>
      <c r="O8318" t="s">
        <v>448</v>
      </c>
      <c r="P8318">
        <v>64004</v>
      </c>
      <c r="Q8318" t="str">
        <f>"40.778565"</f>
        <v>40.778565</v>
      </c>
      <c r="R8318" t="str">
        <f>"24.712225"</f>
        <v>24.712225</v>
      </c>
      <c r="S8318" t="s">
        <v>26</v>
      </c>
    </row>
    <row r="8319" spans="1:19" x14ac:dyDescent="0.3">
      <c r="A8319" t="s">
        <v>19</v>
      </c>
      <c r="B8319" t="s">
        <v>1633</v>
      </c>
      <c r="C8319" t="s">
        <v>1861</v>
      </c>
      <c r="D8319" t="s">
        <v>33</v>
      </c>
      <c r="E8319" t="s">
        <v>469</v>
      </c>
      <c r="F8319" t="s">
        <v>470</v>
      </c>
      <c r="G8319" t="s">
        <v>470</v>
      </c>
      <c r="H8319" t="s">
        <v>859</v>
      </c>
      <c r="I8319" t="s">
        <v>860</v>
      </c>
      <c r="J8319" t="str">
        <f>"9210026"</f>
        <v>9210026</v>
      </c>
      <c r="K8319">
        <v>2591022330</v>
      </c>
      <c r="L8319">
        <v>2591022330</v>
      </c>
      <c r="M8319" t="s">
        <v>1862</v>
      </c>
      <c r="N8319" t="s">
        <v>470</v>
      </c>
      <c r="O8319" t="s">
        <v>1863</v>
      </c>
      <c r="P8319">
        <v>64200</v>
      </c>
      <c r="Q8319" t="str">
        <f>"40.992887"</f>
        <v>40.992887</v>
      </c>
      <c r="R8319" t="str">
        <f>"24.695846"</f>
        <v>24.695846</v>
      </c>
      <c r="S8319" t="s">
        <v>26</v>
      </c>
    </row>
    <row r="8320" spans="1:19" x14ac:dyDescent="0.3">
      <c r="A8320" t="s">
        <v>19</v>
      </c>
      <c r="B8320" t="s">
        <v>1633</v>
      </c>
      <c r="C8320" t="s">
        <v>1867</v>
      </c>
      <c r="D8320" t="s">
        <v>33</v>
      </c>
      <c r="E8320" t="s">
        <v>411</v>
      </c>
      <c r="F8320" t="s">
        <v>418</v>
      </c>
      <c r="G8320" t="s">
        <v>1866</v>
      </c>
      <c r="H8320" t="s">
        <v>859</v>
      </c>
      <c r="I8320" t="s">
        <v>860</v>
      </c>
      <c r="J8320" t="str">
        <f>"9210109"</f>
        <v>9210109</v>
      </c>
      <c r="K8320">
        <v>2592041202</v>
      </c>
      <c r="M8320" t="s">
        <v>1868</v>
      </c>
      <c r="N8320" t="s">
        <v>1866</v>
      </c>
      <c r="O8320" t="s">
        <v>1869</v>
      </c>
      <c r="P8320">
        <v>64008</v>
      </c>
      <c r="Q8320" t="str">
        <f>"40.776170"</f>
        <v>40.776170</v>
      </c>
      <c r="R8320" t="str">
        <f>"23.951252"</f>
        <v>23.951252</v>
      </c>
      <c r="S8320" t="s">
        <v>26</v>
      </c>
    </row>
    <row r="8321" spans="1:19" x14ac:dyDescent="0.3">
      <c r="A8321" t="s">
        <v>19</v>
      </c>
      <c r="B8321" t="s">
        <v>1633</v>
      </c>
      <c r="C8321" t="s">
        <v>1874</v>
      </c>
      <c r="D8321" t="s">
        <v>33</v>
      </c>
      <c r="E8321" t="s">
        <v>411</v>
      </c>
      <c r="F8321" t="s">
        <v>418</v>
      </c>
      <c r="G8321" t="s">
        <v>1873</v>
      </c>
      <c r="H8321" t="s">
        <v>859</v>
      </c>
      <c r="I8321" t="s">
        <v>860</v>
      </c>
      <c r="J8321" t="str">
        <f>"9210218"</f>
        <v>9210218</v>
      </c>
      <c r="K8321">
        <v>2592041323</v>
      </c>
      <c r="L8321">
        <v>2592041323</v>
      </c>
      <c r="M8321" t="s">
        <v>1875</v>
      </c>
      <c r="N8321" t="s">
        <v>1873</v>
      </c>
      <c r="O8321" t="s">
        <v>1876</v>
      </c>
      <c r="P8321">
        <v>64008</v>
      </c>
      <c r="Q8321" t="str">
        <f>"40.795092"</f>
        <v>40.795092</v>
      </c>
      <c r="R8321" t="str">
        <f>"23.908758"</f>
        <v>23.908758</v>
      </c>
      <c r="S8321" t="s">
        <v>26</v>
      </c>
    </row>
    <row r="8322" spans="1:19" x14ac:dyDescent="0.3">
      <c r="A8322" t="s">
        <v>19</v>
      </c>
      <c r="B8322" t="s">
        <v>1633</v>
      </c>
      <c r="C8322" t="s">
        <v>1878</v>
      </c>
      <c r="D8322" t="s">
        <v>33</v>
      </c>
      <c r="E8322" t="s">
        <v>469</v>
      </c>
      <c r="F8322" t="s">
        <v>470</v>
      </c>
      <c r="G8322" t="s">
        <v>1877</v>
      </c>
      <c r="H8322" t="s">
        <v>859</v>
      </c>
      <c r="I8322" t="s">
        <v>860</v>
      </c>
      <c r="J8322" t="str">
        <f>"9210058"</f>
        <v>9210058</v>
      </c>
      <c r="K8322">
        <v>2591041572</v>
      </c>
      <c r="L8322">
        <v>2591041572</v>
      </c>
      <c r="M8322" t="s">
        <v>1879</v>
      </c>
      <c r="N8322" t="s">
        <v>1877</v>
      </c>
      <c r="O8322" t="s">
        <v>1880</v>
      </c>
      <c r="P8322">
        <v>64200</v>
      </c>
      <c r="Q8322" t="str">
        <f>"40.988082"</f>
        <v>40.988082</v>
      </c>
      <c r="R8322" t="str">
        <f>"24.614901"</f>
        <v>24.614901</v>
      </c>
      <c r="S8322" t="s">
        <v>26</v>
      </c>
    </row>
    <row r="8323" spans="1:19" x14ac:dyDescent="0.3">
      <c r="A8323" t="s">
        <v>19</v>
      </c>
      <c r="B8323" t="s">
        <v>1633</v>
      </c>
      <c r="C8323" t="s">
        <v>1888</v>
      </c>
      <c r="D8323" t="s">
        <v>33</v>
      </c>
      <c r="E8323" t="s">
        <v>411</v>
      </c>
      <c r="F8323" t="s">
        <v>411</v>
      </c>
      <c r="G8323" t="s">
        <v>1887</v>
      </c>
      <c r="H8323" t="s">
        <v>859</v>
      </c>
      <c r="I8323" t="s">
        <v>860</v>
      </c>
      <c r="J8323" t="str">
        <f>"9210088"</f>
        <v>9210088</v>
      </c>
      <c r="K8323">
        <v>2592061440</v>
      </c>
      <c r="L8323">
        <v>2592061234</v>
      </c>
      <c r="M8323" t="s">
        <v>1889</v>
      </c>
      <c r="N8323" t="s">
        <v>411</v>
      </c>
      <c r="O8323" t="s">
        <v>1890</v>
      </c>
      <c r="P8323">
        <v>64001</v>
      </c>
      <c r="Q8323" t="str">
        <f>"40.955908"</f>
        <v>40.955908</v>
      </c>
      <c r="R8323" t="str">
        <f>"24.148858"</f>
        <v>24.148858</v>
      </c>
      <c r="S8323" t="s">
        <v>26</v>
      </c>
    </row>
    <row r="8324" spans="1:19" x14ac:dyDescent="0.3">
      <c r="A8324" t="s">
        <v>19</v>
      </c>
      <c r="B8324" t="s">
        <v>1633</v>
      </c>
      <c r="C8324" t="s">
        <v>1892</v>
      </c>
      <c r="D8324" t="s">
        <v>33</v>
      </c>
      <c r="E8324" t="s">
        <v>411</v>
      </c>
      <c r="F8324" t="s">
        <v>461</v>
      </c>
      <c r="G8324" t="s">
        <v>1891</v>
      </c>
      <c r="H8324" t="s">
        <v>859</v>
      </c>
      <c r="I8324" t="s">
        <v>860</v>
      </c>
      <c r="J8324" t="str">
        <f>"9210083"</f>
        <v>9210083</v>
      </c>
      <c r="K8324">
        <v>2592043335</v>
      </c>
      <c r="L8324">
        <v>2592043335</v>
      </c>
      <c r="M8324" t="s">
        <v>1893</v>
      </c>
      <c r="N8324" t="s">
        <v>1891</v>
      </c>
      <c r="O8324" t="s">
        <v>1894</v>
      </c>
      <c r="P8324">
        <v>64100</v>
      </c>
      <c r="Q8324" t="str">
        <f>"40.943586"</f>
        <v>40.943586</v>
      </c>
      <c r="R8324" t="str">
        <f>"24.208997"</f>
        <v>24.208997</v>
      </c>
      <c r="S8324" t="s">
        <v>26</v>
      </c>
    </row>
    <row r="8325" spans="1:19" x14ac:dyDescent="0.3">
      <c r="A8325" t="s">
        <v>19</v>
      </c>
      <c r="B8325" t="s">
        <v>1633</v>
      </c>
      <c r="C8325" t="s">
        <v>1899</v>
      </c>
      <c r="D8325" t="s">
        <v>33</v>
      </c>
      <c r="E8325" t="s">
        <v>411</v>
      </c>
      <c r="F8325" t="s">
        <v>1718</v>
      </c>
      <c r="G8325" t="s">
        <v>1898</v>
      </c>
      <c r="H8325" t="s">
        <v>859</v>
      </c>
      <c r="I8325" t="s">
        <v>860</v>
      </c>
      <c r="J8325" t="str">
        <f>"9210195"</f>
        <v>9210195</v>
      </c>
      <c r="K8325">
        <v>2592044267</v>
      </c>
      <c r="L8325">
        <v>2592044267</v>
      </c>
      <c r="M8325" t="s">
        <v>1900</v>
      </c>
      <c r="N8325" t="s">
        <v>1898</v>
      </c>
      <c r="O8325" t="s">
        <v>1901</v>
      </c>
      <c r="P8325">
        <v>64008</v>
      </c>
      <c r="Q8325" t="str">
        <f>"40.848516"</f>
        <v>40.848516</v>
      </c>
      <c r="R8325" t="str">
        <f>"24.061506"</f>
        <v>24.061506</v>
      </c>
      <c r="S8325" t="s">
        <v>26</v>
      </c>
    </row>
    <row r="8326" spans="1:19" x14ac:dyDescent="0.3">
      <c r="A8326" t="s">
        <v>19</v>
      </c>
      <c r="B8326" t="s">
        <v>1633</v>
      </c>
      <c r="C8326" t="s">
        <v>1902</v>
      </c>
      <c r="D8326" t="s">
        <v>33</v>
      </c>
      <c r="E8326" t="s">
        <v>411</v>
      </c>
      <c r="F8326" t="s">
        <v>418</v>
      </c>
      <c r="G8326" t="s">
        <v>419</v>
      </c>
      <c r="H8326" t="s">
        <v>859</v>
      </c>
      <c r="I8326" t="s">
        <v>860</v>
      </c>
      <c r="J8326" t="str">
        <f>"9210117"</f>
        <v>9210117</v>
      </c>
      <c r="K8326">
        <v>2592044929</v>
      </c>
      <c r="L8326">
        <v>2592044929</v>
      </c>
      <c r="M8326" t="s">
        <v>1903</v>
      </c>
      <c r="N8326" t="s">
        <v>419</v>
      </c>
      <c r="O8326" t="s">
        <v>423</v>
      </c>
      <c r="P8326">
        <v>64008</v>
      </c>
      <c r="Q8326" t="str">
        <f>"40.834650"</f>
        <v>40.834650</v>
      </c>
      <c r="R8326" t="str">
        <f>"24.024340"</f>
        <v>24.024340</v>
      </c>
      <c r="S8326" t="s">
        <v>26</v>
      </c>
    </row>
    <row r="8327" spans="1:19" x14ac:dyDescent="0.3">
      <c r="A8327" t="s">
        <v>19</v>
      </c>
      <c r="B8327" t="s">
        <v>1633</v>
      </c>
      <c r="C8327" t="s">
        <v>1908</v>
      </c>
      <c r="D8327" t="s">
        <v>33</v>
      </c>
      <c r="E8327" t="s">
        <v>469</v>
      </c>
      <c r="F8327" t="s">
        <v>470</v>
      </c>
      <c r="G8327" t="s">
        <v>1907</v>
      </c>
      <c r="H8327" t="s">
        <v>859</v>
      </c>
      <c r="I8327" t="s">
        <v>860</v>
      </c>
      <c r="J8327" t="str">
        <f>"9210057"</f>
        <v>9210057</v>
      </c>
      <c r="K8327">
        <v>2591042373</v>
      </c>
      <c r="L8327">
        <v>2591042373</v>
      </c>
      <c r="M8327" t="s">
        <v>1909</v>
      </c>
      <c r="N8327" t="s">
        <v>1907</v>
      </c>
      <c r="O8327" t="s">
        <v>1910</v>
      </c>
      <c r="P8327">
        <v>64200</v>
      </c>
      <c r="Q8327" t="str">
        <f>"41.000200"</f>
        <v>41.000200</v>
      </c>
      <c r="R8327" t="str">
        <f>"24.636638"</f>
        <v>24.636638</v>
      </c>
      <c r="S8327" t="s">
        <v>26</v>
      </c>
    </row>
    <row r="8328" spans="1:19" x14ac:dyDescent="0.3">
      <c r="A8328" t="s">
        <v>19</v>
      </c>
      <c r="B8328" t="s">
        <v>1633</v>
      </c>
      <c r="C8328" t="s">
        <v>1912</v>
      </c>
      <c r="D8328" t="s">
        <v>426</v>
      </c>
      <c r="E8328" t="s">
        <v>426</v>
      </c>
      <c r="F8328" t="s">
        <v>426</v>
      </c>
      <c r="G8328" t="s">
        <v>1911</v>
      </c>
      <c r="H8328" t="s">
        <v>859</v>
      </c>
      <c r="I8328" t="s">
        <v>860</v>
      </c>
      <c r="J8328" t="str">
        <f>"9210128"</f>
        <v>9210128</v>
      </c>
      <c r="K8328">
        <v>2593091287</v>
      </c>
      <c r="L8328">
        <v>2593091227</v>
      </c>
      <c r="M8328" t="s">
        <v>1913</v>
      </c>
      <c r="N8328" t="s">
        <v>1911</v>
      </c>
      <c r="O8328" t="s">
        <v>1914</v>
      </c>
      <c r="P8328">
        <v>64010</v>
      </c>
      <c r="Q8328" t="str">
        <f>"40.692741"</f>
        <v>40.692741</v>
      </c>
      <c r="R8328" t="str">
        <f>"24.553017"</f>
        <v>24.553017</v>
      </c>
      <c r="S8328" t="s">
        <v>26</v>
      </c>
    </row>
    <row r="8329" spans="1:19" x14ac:dyDescent="0.3">
      <c r="A8329" t="s">
        <v>19</v>
      </c>
      <c r="B8329" t="s">
        <v>1633</v>
      </c>
      <c r="C8329" t="s">
        <v>1916</v>
      </c>
      <c r="D8329" t="s">
        <v>426</v>
      </c>
      <c r="E8329" t="s">
        <v>426</v>
      </c>
      <c r="F8329" t="s">
        <v>426</v>
      </c>
      <c r="G8329" t="s">
        <v>1915</v>
      </c>
      <c r="H8329" t="s">
        <v>859</v>
      </c>
      <c r="I8329" t="s">
        <v>860</v>
      </c>
      <c r="J8329" t="str">
        <f>"9210244"</f>
        <v>9210244</v>
      </c>
      <c r="K8329">
        <v>2593071247</v>
      </c>
      <c r="L8329">
        <v>2593071247</v>
      </c>
      <c r="M8329" t="s">
        <v>1917</v>
      </c>
      <c r="N8329" t="s">
        <v>1918</v>
      </c>
      <c r="O8329" t="s">
        <v>1919</v>
      </c>
      <c r="P8329">
        <v>64010</v>
      </c>
      <c r="Q8329" t="str">
        <f>"40.743766"</f>
        <v>40.743766</v>
      </c>
      <c r="R8329" t="str">
        <f>"24.643043"</f>
        <v>24.643043</v>
      </c>
      <c r="S8329" t="s">
        <v>26</v>
      </c>
    </row>
    <row r="8330" spans="1:19" x14ac:dyDescent="0.3">
      <c r="A8330" t="s">
        <v>19</v>
      </c>
      <c r="B8330" t="s">
        <v>1633</v>
      </c>
      <c r="C8330" t="s">
        <v>1920</v>
      </c>
      <c r="D8330" t="s">
        <v>426</v>
      </c>
      <c r="E8330" t="s">
        <v>426</v>
      </c>
      <c r="F8330" t="s">
        <v>426</v>
      </c>
      <c r="G8330" t="s">
        <v>1713</v>
      </c>
      <c r="H8330" t="s">
        <v>859</v>
      </c>
      <c r="I8330" t="s">
        <v>860</v>
      </c>
      <c r="J8330" t="str">
        <f>"9210125"</f>
        <v>9210125</v>
      </c>
      <c r="K8330">
        <v>2593031266</v>
      </c>
      <c r="L8330">
        <v>2593031335</v>
      </c>
      <c r="M8330" t="s">
        <v>1921</v>
      </c>
      <c r="N8330" t="s">
        <v>1713</v>
      </c>
      <c r="O8330" t="s">
        <v>1717</v>
      </c>
      <c r="P8330">
        <v>64005</v>
      </c>
      <c r="Q8330" t="str">
        <f>"40.657006"</f>
        <v>40.657006</v>
      </c>
      <c r="R8330" t="str">
        <f>"24.689614"</f>
        <v>24.689614</v>
      </c>
      <c r="S8330" t="s">
        <v>57</v>
      </c>
    </row>
    <row r="8331" spans="1:19" x14ac:dyDescent="0.3">
      <c r="A8331" t="s">
        <v>19</v>
      </c>
      <c r="B8331" t="s">
        <v>1633</v>
      </c>
      <c r="C8331" t="s">
        <v>1922</v>
      </c>
      <c r="D8331" t="s">
        <v>33</v>
      </c>
      <c r="E8331" t="s">
        <v>469</v>
      </c>
      <c r="F8331" t="s">
        <v>470</v>
      </c>
      <c r="G8331" t="s">
        <v>470</v>
      </c>
      <c r="H8331" t="s">
        <v>859</v>
      </c>
      <c r="I8331" t="s">
        <v>860</v>
      </c>
      <c r="J8331" t="str">
        <f>"9210222"</f>
        <v>9210222</v>
      </c>
      <c r="K8331">
        <v>2591022811</v>
      </c>
      <c r="L8331">
        <v>2591022080</v>
      </c>
      <c r="M8331" t="s">
        <v>1923</v>
      </c>
      <c r="N8331" t="s">
        <v>470</v>
      </c>
      <c r="O8331" t="s">
        <v>1924</v>
      </c>
      <c r="P8331">
        <v>64200</v>
      </c>
      <c r="Q8331" t="str">
        <f>"40.984335"</f>
        <v>40.984335</v>
      </c>
      <c r="R8331" t="str">
        <f>"24.692737"</f>
        <v>24.692737</v>
      </c>
      <c r="S8331" t="s">
        <v>26</v>
      </c>
    </row>
    <row r="8332" spans="1:19" x14ac:dyDescent="0.3">
      <c r="A8332" t="s">
        <v>19</v>
      </c>
      <c r="B8332" t="s">
        <v>1633</v>
      </c>
      <c r="C8332" t="s">
        <v>1946</v>
      </c>
      <c r="D8332" t="s">
        <v>426</v>
      </c>
      <c r="E8332" t="s">
        <v>426</v>
      </c>
      <c r="F8332" t="s">
        <v>426</v>
      </c>
      <c r="G8332" t="s">
        <v>426</v>
      </c>
      <c r="H8332" t="s">
        <v>859</v>
      </c>
      <c r="I8332" t="s">
        <v>860</v>
      </c>
      <c r="J8332" t="str">
        <f>"9210122"</f>
        <v>9210122</v>
      </c>
      <c r="K8332">
        <v>2593022919</v>
      </c>
      <c r="L8332">
        <v>2593022919</v>
      </c>
      <c r="M8332" t="s">
        <v>1947</v>
      </c>
      <c r="N8332" t="s">
        <v>426</v>
      </c>
      <c r="O8332" t="s">
        <v>448</v>
      </c>
      <c r="P8332">
        <v>64004</v>
      </c>
      <c r="Q8332" t="str">
        <f>"40.774559"</f>
        <v>40.774559</v>
      </c>
      <c r="R8332" t="str">
        <f>"24.706431"</f>
        <v>24.706431</v>
      </c>
      <c r="S8332" t="s">
        <v>26</v>
      </c>
    </row>
    <row r="8333" spans="1:19" x14ac:dyDescent="0.3">
      <c r="A8333" t="s">
        <v>19</v>
      </c>
      <c r="B8333" t="s">
        <v>1633</v>
      </c>
      <c r="C8333" t="s">
        <v>1948</v>
      </c>
      <c r="D8333" t="s">
        <v>426</v>
      </c>
      <c r="E8333" t="s">
        <v>426</v>
      </c>
      <c r="F8333" t="s">
        <v>426</v>
      </c>
      <c r="G8333" t="s">
        <v>445</v>
      </c>
      <c r="H8333" t="s">
        <v>859</v>
      </c>
      <c r="I8333" t="s">
        <v>860</v>
      </c>
      <c r="J8333" t="str">
        <f>"9210131"</f>
        <v>9210131</v>
      </c>
      <c r="K8333">
        <v>2593052922</v>
      </c>
      <c r="L8333">
        <v>2593052922</v>
      </c>
      <c r="M8333" t="s">
        <v>1949</v>
      </c>
      <c r="N8333" t="s">
        <v>445</v>
      </c>
      <c r="O8333" t="s">
        <v>449</v>
      </c>
      <c r="P8333">
        <v>64002</v>
      </c>
      <c r="Q8333" t="str">
        <f>"40.631935"</f>
        <v>40.631935</v>
      </c>
      <c r="R8333" t="str">
        <f>"24.574523"</f>
        <v>24.574523</v>
      </c>
      <c r="S8333" t="s">
        <v>26</v>
      </c>
    </row>
    <row r="8334" spans="1:19" x14ac:dyDescent="0.3">
      <c r="A8334" t="s">
        <v>19</v>
      </c>
      <c r="B8334" t="s">
        <v>1633</v>
      </c>
      <c r="C8334" t="s">
        <v>1954</v>
      </c>
      <c r="D8334" t="s">
        <v>33</v>
      </c>
      <c r="E8334" t="s">
        <v>469</v>
      </c>
      <c r="F8334" t="s">
        <v>470</v>
      </c>
      <c r="G8334" t="s">
        <v>1953</v>
      </c>
      <c r="H8334" t="s">
        <v>859</v>
      </c>
      <c r="I8334" t="s">
        <v>860</v>
      </c>
      <c r="J8334" t="str">
        <f>"9210062"</f>
        <v>9210062</v>
      </c>
      <c r="K8334">
        <v>2591061144</v>
      </c>
      <c r="L8334">
        <v>2591061144</v>
      </c>
      <c r="M8334" t="s">
        <v>1955</v>
      </c>
      <c r="N8334" t="s">
        <v>1953</v>
      </c>
      <c r="O8334" t="s">
        <v>1956</v>
      </c>
      <c r="P8334">
        <v>64200</v>
      </c>
      <c r="Q8334" t="str">
        <f>"40.926751"</f>
        <v>40.926751</v>
      </c>
      <c r="R8334" t="str">
        <f>"24.713206"</f>
        <v>24.713206</v>
      </c>
      <c r="S8334" t="s">
        <v>26</v>
      </c>
    </row>
    <row r="8335" spans="1:19" x14ac:dyDescent="0.3">
      <c r="A8335" t="s">
        <v>19</v>
      </c>
      <c r="B8335" t="s">
        <v>1633</v>
      </c>
      <c r="C8335" t="s">
        <v>1970</v>
      </c>
      <c r="D8335" t="s">
        <v>426</v>
      </c>
      <c r="E8335" t="s">
        <v>426</v>
      </c>
      <c r="F8335" t="s">
        <v>426</v>
      </c>
      <c r="G8335" t="s">
        <v>549</v>
      </c>
      <c r="H8335" t="s">
        <v>859</v>
      </c>
      <c r="I8335" t="s">
        <v>860</v>
      </c>
      <c r="J8335" t="str">
        <f>"9210204"</f>
        <v>9210204</v>
      </c>
      <c r="K8335">
        <v>2593071190</v>
      </c>
      <c r="L8335">
        <v>2593071190</v>
      </c>
      <c r="M8335" t="s">
        <v>1971</v>
      </c>
      <c r="N8335" t="s">
        <v>549</v>
      </c>
      <c r="O8335" t="s">
        <v>552</v>
      </c>
      <c r="P8335">
        <v>64010</v>
      </c>
      <c r="Q8335" t="str">
        <f>"40.740574"</f>
        <v>40.740574</v>
      </c>
      <c r="R8335" t="str">
        <f>"24.574704"</f>
        <v>24.574704</v>
      </c>
      <c r="S8335" t="s">
        <v>26</v>
      </c>
    </row>
    <row r="8336" spans="1:19" x14ac:dyDescent="0.3">
      <c r="A8336" t="s">
        <v>19</v>
      </c>
      <c r="B8336" t="s">
        <v>1633</v>
      </c>
      <c r="C8336" t="s">
        <v>1972</v>
      </c>
      <c r="D8336" t="s">
        <v>33</v>
      </c>
      <c r="E8336" t="s">
        <v>411</v>
      </c>
      <c r="F8336" t="s">
        <v>461</v>
      </c>
      <c r="G8336" t="s">
        <v>461</v>
      </c>
      <c r="H8336" t="s">
        <v>859</v>
      </c>
      <c r="I8336" t="s">
        <v>860</v>
      </c>
      <c r="J8336" t="str">
        <f>"9210220"</f>
        <v>9210220</v>
      </c>
      <c r="K8336">
        <v>2592023240</v>
      </c>
      <c r="L8336">
        <v>2592023240</v>
      </c>
      <c r="M8336" t="s">
        <v>1973</v>
      </c>
      <c r="N8336" t="s">
        <v>461</v>
      </c>
      <c r="O8336" t="s">
        <v>1974</v>
      </c>
      <c r="P8336">
        <v>64100</v>
      </c>
      <c r="Q8336" t="str">
        <f>"40.897950"</f>
        <v>40.897950</v>
      </c>
      <c r="R8336" t="str">
        <f>"24.240697"</f>
        <v>24.240697</v>
      </c>
      <c r="S8336" t="s">
        <v>26</v>
      </c>
    </row>
    <row r="8337" spans="1:19" x14ac:dyDescent="0.3">
      <c r="A8337" t="s">
        <v>19</v>
      </c>
      <c r="B8337" t="s">
        <v>1633</v>
      </c>
      <c r="C8337" t="s">
        <v>1975</v>
      </c>
      <c r="D8337" t="s">
        <v>33</v>
      </c>
      <c r="E8337" t="s">
        <v>411</v>
      </c>
      <c r="F8337" t="s">
        <v>1718</v>
      </c>
      <c r="G8337" t="s">
        <v>1450</v>
      </c>
      <c r="H8337" t="s">
        <v>859</v>
      </c>
      <c r="I8337" t="s">
        <v>860</v>
      </c>
      <c r="J8337" t="str">
        <f>"9210249"</f>
        <v>9210249</v>
      </c>
      <c r="K8337">
        <v>2592051146</v>
      </c>
      <c r="L8337">
        <v>2592051146</v>
      </c>
      <c r="M8337" t="s">
        <v>1976</v>
      </c>
      <c r="N8337" t="s">
        <v>1977</v>
      </c>
      <c r="O8337" t="s">
        <v>1978</v>
      </c>
      <c r="P8337">
        <v>64008</v>
      </c>
      <c r="Q8337" t="str">
        <f>"40.853753"</f>
        <v>40.853753</v>
      </c>
      <c r="R8337" t="str">
        <f>"24.167102"</f>
        <v>24.167102</v>
      </c>
      <c r="S8337" t="s">
        <v>26</v>
      </c>
    </row>
    <row r="8338" spans="1:19" x14ac:dyDescent="0.3">
      <c r="A8338" t="s">
        <v>19</v>
      </c>
      <c r="B8338" t="s">
        <v>1633</v>
      </c>
      <c r="C8338" t="s">
        <v>1979</v>
      </c>
      <c r="D8338" t="s">
        <v>33</v>
      </c>
      <c r="E8338" t="s">
        <v>411</v>
      </c>
      <c r="F8338" t="s">
        <v>411</v>
      </c>
      <c r="G8338" t="s">
        <v>1684</v>
      </c>
      <c r="H8338" t="s">
        <v>859</v>
      </c>
      <c r="I8338" t="s">
        <v>860</v>
      </c>
      <c r="J8338" t="str">
        <f>"9210113"</f>
        <v>9210113</v>
      </c>
      <c r="K8338">
        <v>2592043516</v>
      </c>
      <c r="L8338">
        <v>2592043516</v>
      </c>
      <c r="M8338" t="s">
        <v>1980</v>
      </c>
      <c r="N8338" t="s">
        <v>1684</v>
      </c>
      <c r="O8338" t="s">
        <v>1687</v>
      </c>
      <c r="P8338">
        <v>64001</v>
      </c>
      <c r="Q8338" t="str">
        <f>"40.950064"</f>
        <v>40.950064</v>
      </c>
      <c r="R8338" t="str">
        <f>"24.181982"</f>
        <v>24.181982</v>
      </c>
      <c r="S8338" t="s">
        <v>26</v>
      </c>
    </row>
    <row r="8339" spans="1:19" x14ac:dyDescent="0.3">
      <c r="A8339" t="s">
        <v>19</v>
      </c>
      <c r="B8339" t="s">
        <v>1633</v>
      </c>
      <c r="C8339" t="s">
        <v>1982</v>
      </c>
      <c r="D8339" t="s">
        <v>33</v>
      </c>
      <c r="E8339" t="s">
        <v>469</v>
      </c>
      <c r="F8339" t="s">
        <v>514</v>
      </c>
      <c r="G8339" t="s">
        <v>1981</v>
      </c>
      <c r="H8339" t="s">
        <v>859</v>
      </c>
      <c r="I8339" t="s">
        <v>860</v>
      </c>
      <c r="J8339" t="str">
        <f>"9210207"</f>
        <v>9210207</v>
      </c>
      <c r="K8339">
        <v>2591056650</v>
      </c>
      <c r="M8339" t="s">
        <v>1983</v>
      </c>
      <c r="N8339" t="s">
        <v>1981</v>
      </c>
      <c r="O8339" t="s">
        <v>1984</v>
      </c>
      <c r="P8339">
        <v>64200</v>
      </c>
      <c r="Q8339" t="str">
        <f>"40.908544"</f>
        <v>40.908544</v>
      </c>
      <c r="R8339" t="str">
        <f>"24.675913"</f>
        <v>24.675913</v>
      </c>
      <c r="S8339" t="s">
        <v>26</v>
      </c>
    </row>
    <row r="8340" spans="1:19" x14ac:dyDescent="0.3">
      <c r="A8340" t="s">
        <v>19</v>
      </c>
      <c r="B8340" t="s">
        <v>1633</v>
      </c>
      <c r="C8340" t="s">
        <v>2032</v>
      </c>
      <c r="D8340" t="s">
        <v>33</v>
      </c>
      <c r="E8340" t="s">
        <v>33</v>
      </c>
      <c r="F8340" t="s">
        <v>33</v>
      </c>
      <c r="G8340" t="s">
        <v>33</v>
      </c>
      <c r="H8340" t="s">
        <v>859</v>
      </c>
      <c r="I8340" t="s">
        <v>860</v>
      </c>
      <c r="J8340" t="str">
        <f>"9210206"</f>
        <v>9210206</v>
      </c>
      <c r="K8340">
        <v>2510232548</v>
      </c>
      <c r="L8340">
        <v>2510232548</v>
      </c>
      <c r="M8340" t="s">
        <v>2033</v>
      </c>
      <c r="N8340" t="s">
        <v>33</v>
      </c>
      <c r="O8340" t="s">
        <v>1745</v>
      </c>
      <c r="P8340">
        <v>65201</v>
      </c>
      <c r="Q8340" t="str">
        <f>"40.952000"</f>
        <v>40.952000</v>
      </c>
      <c r="R8340" t="str">
        <f>"24.432721"</f>
        <v>24.432721</v>
      </c>
      <c r="S8340" t="s">
        <v>26</v>
      </c>
    </row>
    <row r="8341" spans="1:19" x14ac:dyDescent="0.3">
      <c r="A8341" t="s">
        <v>19</v>
      </c>
      <c r="B8341" t="s">
        <v>1633</v>
      </c>
      <c r="C8341" t="s">
        <v>2047</v>
      </c>
      <c r="D8341" t="s">
        <v>426</v>
      </c>
      <c r="E8341" t="s">
        <v>426</v>
      </c>
      <c r="F8341" t="s">
        <v>426</v>
      </c>
      <c r="G8341" t="s">
        <v>445</v>
      </c>
      <c r="H8341" t="s">
        <v>859</v>
      </c>
      <c r="I8341" t="s">
        <v>860</v>
      </c>
      <c r="J8341" t="str">
        <f>"9210132"</f>
        <v>9210132</v>
      </c>
      <c r="K8341">
        <v>2593053223</v>
      </c>
      <c r="L8341">
        <v>2593053223</v>
      </c>
      <c r="M8341" t="s">
        <v>2048</v>
      </c>
      <c r="N8341" t="s">
        <v>445</v>
      </c>
      <c r="O8341" t="s">
        <v>449</v>
      </c>
      <c r="P8341">
        <v>64002</v>
      </c>
      <c r="Q8341" t="str">
        <f>"40.631981"</f>
        <v>40.631981</v>
      </c>
      <c r="R8341" t="str">
        <f>"24.574016"</f>
        <v>24.574016</v>
      </c>
      <c r="S8341" t="s">
        <v>26</v>
      </c>
    </row>
    <row r="8342" spans="1:19" x14ac:dyDescent="0.3">
      <c r="A8342" t="s">
        <v>19</v>
      </c>
      <c r="B8342" t="s">
        <v>1633</v>
      </c>
      <c r="C8342" t="s">
        <v>2055</v>
      </c>
      <c r="D8342" t="s">
        <v>33</v>
      </c>
      <c r="E8342" t="s">
        <v>33</v>
      </c>
      <c r="F8342" t="s">
        <v>520</v>
      </c>
      <c r="G8342" t="s">
        <v>521</v>
      </c>
      <c r="H8342" t="s">
        <v>859</v>
      </c>
      <c r="I8342" t="s">
        <v>860</v>
      </c>
      <c r="J8342" t="str">
        <f>"9521131"</f>
        <v>9521131</v>
      </c>
      <c r="K8342">
        <v>2510391053</v>
      </c>
      <c r="L8342">
        <v>2510391053</v>
      </c>
      <c r="M8342" t="s">
        <v>2056</v>
      </c>
      <c r="N8342" t="s">
        <v>1642</v>
      </c>
      <c r="O8342" t="s">
        <v>1643</v>
      </c>
      <c r="P8342">
        <v>64012</v>
      </c>
      <c r="Q8342" t="str">
        <f>"40.966793"</f>
        <v>40.966793</v>
      </c>
      <c r="R8342" t="str">
        <f>"24.355769"</f>
        <v>24.355769</v>
      </c>
      <c r="S8342" t="s">
        <v>26</v>
      </c>
    </row>
    <row r="8343" spans="1:19" x14ac:dyDescent="0.3">
      <c r="A8343" t="s">
        <v>19</v>
      </c>
      <c r="B8343" t="s">
        <v>1633</v>
      </c>
      <c r="C8343" t="s">
        <v>2063</v>
      </c>
      <c r="D8343" t="s">
        <v>33</v>
      </c>
      <c r="E8343" t="s">
        <v>411</v>
      </c>
      <c r="F8343" t="s">
        <v>455</v>
      </c>
      <c r="G8343" t="s">
        <v>456</v>
      </c>
      <c r="H8343" t="s">
        <v>859</v>
      </c>
      <c r="I8343" t="s">
        <v>860</v>
      </c>
      <c r="J8343" t="str">
        <f>"9521226"</f>
        <v>9521226</v>
      </c>
      <c r="K8343">
        <v>2594092480</v>
      </c>
      <c r="L8343">
        <v>2594092480</v>
      </c>
      <c r="M8343" t="s">
        <v>2064</v>
      </c>
      <c r="N8343" t="s">
        <v>2065</v>
      </c>
      <c r="O8343" t="s">
        <v>2066</v>
      </c>
      <c r="P8343">
        <v>64007</v>
      </c>
      <c r="Q8343" t="str">
        <f>"40.849097"</f>
        <v>40.849097</v>
      </c>
      <c r="R8343" t="str">
        <f>"24.309204"</f>
        <v>24.309204</v>
      </c>
      <c r="S8343" t="s">
        <v>26</v>
      </c>
    </row>
    <row r="8344" spans="1:19" x14ac:dyDescent="0.3">
      <c r="A8344" t="s">
        <v>19</v>
      </c>
      <c r="B8344" t="s">
        <v>1633</v>
      </c>
      <c r="C8344" t="s">
        <v>2073</v>
      </c>
      <c r="D8344" t="s">
        <v>33</v>
      </c>
      <c r="E8344" t="s">
        <v>411</v>
      </c>
      <c r="F8344" t="s">
        <v>418</v>
      </c>
      <c r="G8344" t="s">
        <v>1873</v>
      </c>
      <c r="H8344" t="s">
        <v>859</v>
      </c>
      <c r="I8344" t="s">
        <v>860</v>
      </c>
      <c r="J8344" t="str">
        <f>"9521455"</f>
        <v>9521455</v>
      </c>
      <c r="K8344">
        <v>2594031575</v>
      </c>
      <c r="L8344">
        <v>2594031575</v>
      </c>
      <c r="M8344" t="s">
        <v>2074</v>
      </c>
      <c r="N8344" t="s">
        <v>2075</v>
      </c>
      <c r="O8344" t="s">
        <v>2076</v>
      </c>
      <c r="P8344">
        <v>64008</v>
      </c>
      <c r="Q8344" t="str">
        <f>"40.765532"</f>
        <v>40.765532</v>
      </c>
      <c r="R8344" t="str">
        <f>"23.900265"</f>
        <v>23.900265</v>
      </c>
      <c r="S8344" t="s">
        <v>26</v>
      </c>
    </row>
    <row r="8345" spans="1:19" x14ac:dyDescent="0.3">
      <c r="A8345" t="s">
        <v>19</v>
      </c>
      <c r="B8345" t="s">
        <v>1633</v>
      </c>
      <c r="C8345" t="s">
        <v>2077</v>
      </c>
      <c r="D8345" t="s">
        <v>33</v>
      </c>
      <c r="E8345" t="s">
        <v>33</v>
      </c>
      <c r="F8345" t="s">
        <v>33</v>
      </c>
      <c r="G8345" t="s">
        <v>33</v>
      </c>
      <c r="H8345" t="s">
        <v>859</v>
      </c>
      <c r="I8345" t="s">
        <v>860</v>
      </c>
      <c r="J8345" t="str">
        <f>"9210006"</f>
        <v>9210006</v>
      </c>
      <c r="K8345">
        <v>2510228172</v>
      </c>
      <c r="L8345">
        <v>2510228172</v>
      </c>
      <c r="M8345" t="s">
        <v>2078</v>
      </c>
      <c r="N8345" t="s">
        <v>33</v>
      </c>
      <c r="O8345" t="s">
        <v>2079</v>
      </c>
      <c r="P8345">
        <v>65201</v>
      </c>
      <c r="Q8345" t="str">
        <f>"40.936941"</f>
        <v>40.936941</v>
      </c>
      <c r="R8345" t="str">
        <f>"24.421968"</f>
        <v>24.421968</v>
      </c>
      <c r="S8345" t="s">
        <v>26</v>
      </c>
    </row>
    <row r="8346" spans="1:19" x14ac:dyDescent="0.3">
      <c r="A8346" t="s">
        <v>19</v>
      </c>
      <c r="B8346" t="s">
        <v>1633</v>
      </c>
      <c r="C8346" t="s">
        <v>2080</v>
      </c>
      <c r="D8346" t="s">
        <v>33</v>
      </c>
      <c r="E8346" t="s">
        <v>33</v>
      </c>
      <c r="F8346" t="s">
        <v>33</v>
      </c>
      <c r="G8346" t="s">
        <v>33</v>
      </c>
      <c r="H8346" t="s">
        <v>859</v>
      </c>
      <c r="I8346" t="s">
        <v>1102</v>
      </c>
      <c r="J8346" t="str">
        <f>"9210238"</f>
        <v>9210238</v>
      </c>
      <c r="M8346" t="s">
        <v>2081</v>
      </c>
      <c r="N8346" t="s">
        <v>33</v>
      </c>
      <c r="O8346" t="s">
        <v>2072</v>
      </c>
      <c r="P8346">
        <v>65201</v>
      </c>
      <c r="Q8346" t="str">
        <f>"40.932747"</f>
        <v>40.932747</v>
      </c>
      <c r="R8346" t="str">
        <f>"24.387930"</f>
        <v>24.387930</v>
      </c>
      <c r="S8346" t="s">
        <v>26</v>
      </c>
    </row>
    <row r="8347" spans="1:19" x14ac:dyDescent="0.3">
      <c r="A8347" t="s">
        <v>19</v>
      </c>
      <c r="B8347" t="s">
        <v>1633</v>
      </c>
      <c r="C8347" t="s">
        <v>2082</v>
      </c>
      <c r="D8347" t="s">
        <v>33</v>
      </c>
      <c r="E8347" t="s">
        <v>411</v>
      </c>
      <c r="F8347" t="s">
        <v>461</v>
      </c>
      <c r="G8347" t="s">
        <v>461</v>
      </c>
      <c r="H8347" t="s">
        <v>859</v>
      </c>
      <c r="I8347" t="s">
        <v>860</v>
      </c>
      <c r="J8347" t="str">
        <f>"9521535"</f>
        <v>9521535</v>
      </c>
      <c r="K8347">
        <v>2592022708</v>
      </c>
      <c r="L8347">
        <v>2592022708</v>
      </c>
      <c r="M8347" t="s">
        <v>2083</v>
      </c>
      <c r="N8347" t="s">
        <v>461</v>
      </c>
      <c r="O8347" t="s">
        <v>2084</v>
      </c>
      <c r="P8347">
        <v>64100</v>
      </c>
      <c r="Q8347" t="str">
        <f>"40.928176"</f>
        <v>40.928176</v>
      </c>
      <c r="R8347" t="str">
        <f>"24.252960"</f>
        <v>24.252960</v>
      </c>
      <c r="S8347" t="s">
        <v>26</v>
      </c>
    </row>
    <row r="8348" spans="1:19" x14ac:dyDescent="0.3">
      <c r="A8348" t="s">
        <v>19</v>
      </c>
      <c r="B8348" t="s">
        <v>2087</v>
      </c>
      <c r="C8348" t="s">
        <v>2144</v>
      </c>
      <c r="D8348" t="s">
        <v>38</v>
      </c>
      <c r="E8348" t="s">
        <v>663</v>
      </c>
      <c r="F8348" t="s">
        <v>663</v>
      </c>
      <c r="G8348" t="s">
        <v>2143</v>
      </c>
      <c r="H8348" t="s">
        <v>859</v>
      </c>
      <c r="I8348" t="s">
        <v>860</v>
      </c>
      <c r="J8348" t="str">
        <f>"9370087"</f>
        <v>9370087</v>
      </c>
      <c r="K8348">
        <v>2541061761</v>
      </c>
      <c r="L8348">
        <v>2541061761</v>
      </c>
      <c r="M8348" t="s">
        <v>2145</v>
      </c>
      <c r="N8348" t="s">
        <v>2146</v>
      </c>
      <c r="O8348" t="s">
        <v>2146</v>
      </c>
      <c r="P8348">
        <v>67061</v>
      </c>
      <c r="Q8348" t="str">
        <f>"40.942591"</f>
        <v>40.942591</v>
      </c>
      <c r="R8348" t="str">
        <f>"24.873050"</f>
        <v>24.873050</v>
      </c>
      <c r="S8348" t="s">
        <v>26</v>
      </c>
    </row>
    <row r="8349" spans="1:19" x14ac:dyDescent="0.3">
      <c r="A8349" t="s">
        <v>19</v>
      </c>
      <c r="B8349" t="s">
        <v>2087</v>
      </c>
      <c r="C8349" t="s">
        <v>2151</v>
      </c>
      <c r="D8349" t="s">
        <v>38</v>
      </c>
      <c r="E8349" t="s">
        <v>38</v>
      </c>
      <c r="F8349" t="s">
        <v>38</v>
      </c>
      <c r="G8349" t="s">
        <v>38</v>
      </c>
      <c r="H8349" t="s">
        <v>859</v>
      </c>
      <c r="I8349" t="s">
        <v>860</v>
      </c>
      <c r="J8349" t="str">
        <f>"9370005"</f>
        <v>9370005</v>
      </c>
      <c r="K8349">
        <v>2541025944</v>
      </c>
      <c r="L8349">
        <v>2541025944</v>
      </c>
      <c r="M8349" t="s">
        <v>2152</v>
      </c>
      <c r="N8349" t="s">
        <v>41</v>
      </c>
      <c r="O8349" t="s">
        <v>2153</v>
      </c>
      <c r="P8349">
        <v>67131</v>
      </c>
      <c r="Q8349" t="str">
        <f>"41.136717"</f>
        <v>41.136717</v>
      </c>
      <c r="R8349" t="str">
        <f>"24.893533"</f>
        <v>24.893533</v>
      </c>
      <c r="S8349" t="s">
        <v>26</v>
      </c>
    </row>
    <row r="8350" spans="1:19" x14ac:dyDescent="0.3">
      <c r="A8350" t="s">
        <v>19</v>
      </c>
      <c r="B8350" t="s">
        <v>2087</v>
      </c>
      <c r="C8350" t="s">
        <v>2163</v>
      </c>
      <c r="D8350" t="s">
        <v>38</v>
      </c>
      <c r="E8350" t="s">
        <v>663</v>
      </c>
      <c r="F8350" t="s">
        <v>663</v>
      </c>
      <c r="G8350" t="s">
        <v>735</v>
      </c>
      <c r="H8350" t="s">
        <v>859</v>
      </c>
      <c r="I8350" t="s">
        <v>860</v>
      </c>
      <c r="J8350" t="str">
        <f>"9520717"</f>
        <v>9520717</v>
      </c>
      <c r="K8350">
        <v>2541042209</v>
      </c>
      <c r="L8350">
        <v>2541042209</v>
      </c>
      <c r="M8350" t="s">
        <v>2164</v>
      </c>
      <c r="N8350" t="s">
        <v>2165</v>
      </c>
      <c r="O8350" t="s">
        <v>2165</v>
      </c>
      <c r="P8350">
        <v>67200</v>
      </c>
      <c r="Q8350" t="str">
        <f>"40.953856"</f>
        <v>40.953856</v>
      </c>
      <c r="R8350" t="str">
        <f>"24.785431"</f>
        <v>24.785431</v>
      </c>
      <c r="S8350" t="s">
        <v>26</v>
      </c>
    </row>
    <row r="8351" spans="1:19" x14ac:dyDescent="0.3">
      <c r="A8351" t="s">
        <v>19</v>
      </c>
      <c r="B8351" t="s">
        <v>2087</v>
      </c>
      <c r="C8351" t="s">
        <v>2166</v>
      </c>
      <c r="D8351" t="s">
        <v>38</v>
      </c>
      <c r="E8351" t="s">
        <v>38</v>
      </c>
      <c r="F8351" t="s">
        <v>38</v>
      </c>
      <c r="G8351" t="s">
        <v>38</v>
      </c>
      <c r="H8351" t="s">
        <v>859</v>
      </c>
      <c r="I8351" t="s">
        <v>860</v>
      </c>
      <c r="J8351" t="str">
        <f>"9370240"</f>
        <v>9370240</v>
      </c>
      <c r="K8351">
        <v>2541021313</v>
      </c>
      <c r="M8351" t="s">
        <v>2167</v>
      </c>
      <c r="N8351" t="s">
        <v>41</v>
      </c>
      <c r="O8351" t="s">
        <v>2168</v>
      </c>
      <c r="P8351">
        <v>67100</v>
      </c>
      <c r="Q8351" t="str">
        <f>"41.139951"</f>
        <v>41.139951</v>
      </c>
      <c r="R8351" t="str">
        <f>"24.886188"</f>
        <v>24.886188</v>
      </c>
      <c r="S8351" t="s">
        <v>26</v>
      </c>
    </row>
    <row r="8352" spans="1:19" x14ac:dyDescent="0.3">
      <c r="A8352" t="s">
        <v>19</v>
      </c>
      <c r="B8352" t="s">
        <v>2087</v>
      </c>
      <c r="C8352" t="s">
        <v>2170</v>
      </c>
      <c r="D8352" t="s">
        <v>38</v>
      </c>
      <c r="E8352" t="s">
        <v>638</v>
      </c>
      <c r="F8352" t="s">
        <v>2169</v>
      </c>
      <c r="G8352" t="s">
        <v>2169</v>
      </c>
      <c r="H8352" t="s">
        <v>859</v>
      </c>
      <c r="I8352" t="s">
        <v>860</v>
      </c>
      <c r="J8352" t="str">
        <f>"9520995"</f>
        <v>9520995</v>
      </c>
      <c r="K8352">
        <v>2544022551</v>
      </c>
      <c r="M8352" t="s">
        <v>2171</v>
      </c>
      <c r="N8352" t="s">
        <v>2172</v>
      </c>
      <c r="O8352" t="s">
        <v>2172</v>
      </c>
      <c r="P8352">
        <v>67300</v>
      </c>
      <c r="Q8352" t="str">
        <f>"41.359217"</f>
        <v>41.359217</v>
      </c>
      <c r="R8352" t="str">
        <f>"24.966489"</f>
        <v>24.966489</v>
      </c>
      <c r="S8352" t="s">
        <v>57</v>
      </c>
    </row>
    <row r="8353" spans="1:19" x14ac:dyDescent="0.3">
      <c r="A8353" t="s">
        <v>19</v>
      </c>
      <c r="B8353" t="s">
        <v>2087</v>
      </c>
      <c r="C8353" t="s">
        <v>2173</v>
      </c>
      <c r="D8353" t="s">
        <v>38</v>
      </c>
      <c r="E8353" t="s">
        <v>604</v>
      </c>
      <c r="F8353" t="s">
        <v>605</v>
      </c>
      <c r="G8353" t="s">
        <v>606</v>
      </c>
      <c r="H8353" t="s">
        <v>859</v>
      </c>
      <c r="I8353" t="s">
        <v>860</v>
      </c>
      <c r="J8353" t="str">
        <f>"9370018"</f>
        <v>9370018</v>
      </c>
      <c r="K8353">
        <v>2541091166</v>
      </c>
      <c r="L8353">
        <v>2541091166</v>
      </c>
      <c r="M8353" t="s">
        <v>2174</v>
      </c>
      <c r="N8353" t="s">
        <v>38</v>
      </c>
      <c r="O8353" t="s">
        <v>2175</v>
      </c>
      <c r="P8353">
        <v>67100</v>
      </c>
      <c r="Q8353" t="str">
        <f>"41.070240"</f>
        <v>41.070240</v>
      </c>
      <c r="R8353" t="str">
        <f>"24.920244"</f>
        <v>24.920244</v>
      </c>
      <c r="S8353" t="s">
        <v>26</v>
      </c>
    </row>
    <row r="8354" spans="1:19" x14ac:dyDescent="0.3">
      <c r="A8354" t="s">
        <v>19</v>
      </c>
      <c r="B8354" t="s">
        <v>2087</v>
      </c>
      <c r="C8354" t="s">
        <v>2178</v>
      </c>
      <c r="D8354" t="s">
        <v>38</v>
      </c>
      <c r="E8354" t="s">
        <v>604</v>
      </c>
      <c r="F8354" t="s">
        <v>2118</v>
      </c>
      <c r="G8354" t="s">
        <v>2118</v>
      </c>
      <c r="H8354" t="s">
        <v>859</v>
      </c>
      <c r="I8354" t="s">
        <v>860</v>
      </c>
      <c r="J8354" t="str">
        <f>"9370269"</f>
        <v>9370269</v>
      </c>
      <c r="K8354">
        <v>2541032680</v>
      </c>
      <c r="L8354">
        <v>2541032680</v>
      </c>
      <c r="M8354" t="s">
        <v>2179</v>
      </c>
      <c r="N8354" t="s">
        <v>2180</v>
      </c>
      <c r="O8354" t="s">
        <v>2181</v>
      </c>
      <c r="P8354">
        <v>67100</v>
      </c>
      <c r="Q8354" t="str">
        <f>"41.136764"</f>
        <v>41.136764</v>
      </c>
      <c r="R8354" t="str">
        <f>"25.025770"</f>
        <v>25.025770</v>
      </c>
      <c r="S8354" t="s">
        <v>26</v>
      </c>
    </row>
    <row r="8355" spans="1:19" x14ac:dyDescent="0.3">
      <c r="A8355" t="s">
        <v>19</v>
      </c>
      <c r="B8355" t="s">
        <v>2087</v>
      </c>
      <c r="C8355" t="s">
        <v>2192</v>
      </c>
      <c r="D8355" t="s">
        <v>38</v>
      </c>
      <c r="E8355" t="s">
        <v>604</v>
      </c>
      <c r="F8355" t="s">
        <v>2118</v>
      </c>
      <c r="G8355" t="s">
        <v>2118</v>
      </c>
      <c r="H8355" t="s">
        <v>859</v>
      </c>
      <c r="I8355" t="s">
        <v>860</v>
      </c>
      <c r="J8355" t="str">
        <f>"9370244"</f>
        <v>9370244</v>
      </c>
      <c r="K8355">
        <v>2541031224</v>
      </c>
      <c r="L8355">
        <v>2541031224</v>
      </c>
      <c r="M8355" t="s">
        <v>2193</v>
      </c>
      <c r="N8355" t="s">
        <v>2194</v>
      </c>
      <c r="O8355" t="s">
        <v>2194</v>
      </c>
      <c r="P8355">
        <v>67100</v>
      </c>
      <c r="Q8355" t="str">
        <f>"41.134351"</f>
        <v>41.134351</v>
      </c>
      <c r="R8355" t="str">
        <f>"24.980683"</f>
        <v>24.980683</v>
      </c>
      <c r="S8355" t="s">
        <v>26</v>
      </c>
    </row>
    <row r="8356" spans="1:19" x14ac:dyDescent="0.3">
      <c r="A8356" t="s">
        <v>19</v>
      </c>
      <c r="B8356" t="s">
        <v>2087</v>
      </c>
      <c r="C8356" t="s">
        <v>2225</v>
      </c>
      <c r="D8356" t="s">
        <v>38</v>
      </c>
      <c r="E8356" t="s">
        <v>663</v>
      </c>
      <c r="F8356" t="s">
        <v>663</v>
      </c>
      <c r="G8356" t="s">
        <v>664</v>
      </c>
      <c r="H8356" t="s">
        <v>859</v>
      </c>
      <c r="I8356" t="s">
        <v>860</v>
      </c>
      <c r="J8356" t="str">
        <f>"9370102"</f>
        <v>9370102</v>
      </c>
      <c r="K8356">
        <v>2541093881</v>
      </c>
      <c r="L8356">
        <v>2541093881</v>
      </c>
      <c r="M8356" t="s">
        <v>2226</v>
      </c>
      <c r="N8356" t="s">
        <v>668</v>
      </c>
      <c r="O8356" t="s">
        <v>668</v>
      </c>
      <c r="P8356">
        <v>67100</v>
      </c>
      <c r="Q8356" t="str">
        <f>"41.089218"</f>
        <v>41.089218</v>
      </c>
      <c r="R8356" t="str">
        <f>"24.784381"</f>
        <v>24.784381</v>
      </c>
      <c r="S8356" t="s">
        <v>26</v>
      </c>
    </row>
    <row r="8357" spans="1:19" x14ac:dyDescent="0.3">
      <c r="A8357" t="s">
        <v>19</v>
      </c>
      <c r="B8357" t="s">
        <v>2087</v>
      </c>
      <c r="C8357" t="s">
        <v>2232</v>
      </c>
      <c r="D8357" t="s">
        <v>38</v>
      </c>
      <c r="E8357" t="s">
        <v>604</v>
      </c>
      <c r="F8357" t="s">
        <v>605</v>
      </c>
      <c r="G8357" t="s">
        <v>616</v>
      </c>
      <c r="H8357" t="s">
        <v>859</v>
      </c>
      <c r="I8357" t="s">
        <v>860</v>
      </c>
      <c r="J8357" t="str">
        <f>"9370227"</f>
        <v>9370227</v>
      </c>
      <c r="K8357">
        <v>2541081240</v>
      </c>
      <c r="L8357">
        <v>2541081240</v>
      </c>
      <c r="M8357" t="s">
        <v>2233</v>
      </c>
      <c r="N8357" t="s">
        <v>2198</v>
      </c>
      <c r="O8357" t="s">
        <v>2198</v>
      </c>
      <c r="P8357">
        <v>67064</v>
      </c>
      <c r="Q8357" t="str">
        <f>"41.090112"</f>
        <v>41.090112</v>
      </c>
      <c r="R8357" t="str">
        <f>"24.953487"</f>
        <v>24.953487</v>
      </c>
      <c r="S8357" t="s">
        <v>26</v>
      </c>
    </row>
    <row r="8358" spans="1:19" x14ac:dyDescent="0.3">
      <c r="A8358" t="s">
        <v>19</v>
      </c>
      <c r="B8358" t="s">
        <v>2087</v>
      </c>
      <c r="C8358" t="s">
        <v>2238</v>
      </c>
      <c r="D8358" t="s">
        <v>38</v>
      </c>
      <c r="E8358" t="s">
        <v>638</v>
      </c>
      <c r="F8358" t="s">
        <v>638</v>
      </c>
      <c r="G8358" t="s">
        <v>638</v>
      </c>
      <c r="H8358" t="s">
        <v>859</v>
      </c>
      <c r="I8358" t="s">
        <v>860</v>
      </c>
      <c r="J8358" t="str">
        <f>"9520862"</f>
        <v>9520862</v>
      </c>
      <c r="K8358">
        <v>2541064174</v>
      </c>
      <c r="M8358" t="s">
        <v>2239</v>
      </c>
      <c r="N8358" t="s">
        <v>2158</v>
      </c>
      <c r="O8358" t="s">
        <v>2158</v>
      </c>
      <c r="P8358">
        <v>67133</v>
      </c>
      <c r="Q8358" t="str">
        <f>"41.213601"</f>
        <v>41.213601</v>
      </c>
      <c r="R8358" t="str">
        <f>"24.860804"</f>
        <v>24.860804</v>
      </c>
      <c r="S8358" t="s">
        <v>26</v>
      </c>
    </row>
    <row r="8359" spans="1:19" x14ac:dyDescent="0.3">
      <c r="A8359" t="s">
        <v>19</v>
      </c>
      <c r="B8359" t="s">
        <v>2087</v>
      </c>
      <c r="C8359" t="s">
        <v>2241</v>
      </c>
      <c r="D8359" t="s">
        <v>38</v>
      </c>
      <c r="E8359" t="s">
        <v>604</v>
      </c>
      <c r="F8359" t="s">
        <v>605</v>
      </c>
      <c r="G8359" t="s">
        <v>2240</v>
      </c>
      <c r="H8359" t="s">
        <v>859</v>
      </c>
      <c r="I8359" t="s">
        <v>860</v>
      </c>
      <c r="J8359" t="str">
        <f>"9370230"</f>
        <v>9370230</v>
      </c>
      <c r="K8359">
        <v>2541091323</v>
      </c>
      <c r="L8359">
        <v>2541091323</v>
      </c>
      <c r="M8359" t="s">
        <v>2242</v>
      </c>
      <c r="O8359" t="s">
        <v>2243</v>
      </c>
      <c r="P8359">
        <v>67100</v>
      </c>
      <c r="Q8359" t="str">
        <f>"41.066261"</f>
        <v>41.066261</v>
      </c>
      <c r="R8359" t="str">
        <f>"24.900105"</f>
        <v>24.900105</v>
      </c>
      <c r="S8359" t="s">
        <v>26</v>
      </c>
    </row>
    <row r="8360" spans="1:19" x14ac:dyDescent="0.3">
      <c r="A8360" t="s">
        <v>19</v>
      </c>
      <c r="B8360" t="s">
        <v>2087</v>
      </c>
      <c r="C8360" t="s">
        <v>2248</v>
      </c>
      <c r="D8360" t="s">
        <v>38</v>
      </c>
      <c r="E8360" t="s">
        <v>38</v>
      </c>
      <c r="F8360" t="s">
        <v>38</v>
      </c>
      <c r="G8360" t="s">
        <v>38</v>
      </c>
      <c r="H8360" t="s">
        <v>859</v>
      </c>
      <c r="I8360" t="s">
        <v>860</v>
      </c>
      <c r="J8360" t="str">
        <f>"9370047"</f>
        <v>9370047</v>
      </c>
      <c r="K8360">
        <v>2541071819</v>
      </c>
      <c r="L8360">
        <v>2541071819</v>
      </c>
      <c r="M8360" t="s">
        <v>2249</v>
      </c>
      <c r="N8360" t="s">
        <v>41</v>
      </c>
      <c r="O8360" t="s">
        <v>2250</v>
      </c>
      <c r="P8360">
        <v>67100</v>
      </c>
      <c r="Q8360" t="str">
        <f>"41.126592"</f>
        <v>41.126592</v>
      </c>
      <c r="R8360" t="str">
        <f>"24.888144"</f>
        <v>24.888144</v>
      </c>
      <c r="S8360" t="s">
        <v>26</v>
      </c>
    </row>
    <row r="8361" spans="1:19" x14ac:dyDescent="0.3">
      <c r="A8361" t="s">
        <v>19</v>
      </c>
      <c r="B8361" t="s">
        <v>2087</v>
      </c>
      <c r="C8361" t="s">
        <v>2251</v>
      </c>
      <c r="D8361" t="s">
        <v>38</v>
      </c>
      <c r="E8361" t="s">
        <v>38</v>
      </c>
      <c r="F8361" t="s">
        <v>38</v>
      </c>
      <c r="G8361" t="s">
        <v>38</v>
      </c>
      <c r="H8361" t="s">
        <v>859</v>
      </c>
      <c r="I8361" t="s">
        <v>860</v>
      </c>
      <c r="J8361" t="str">
        <f>"9370051"</f>
        <v>9370051</v>
      </c>
      <c r="K8361">
        <v>2541028206</v>
      </c>
      <c r="L8361">
        <v>2541028206</v>
      </c>
      <c r="M8361" t="s">
        <v>2252</v>
      </c>
      <c r="N8361" t="s">
        <v>41</v>
      </c>
      <c r="O8361" t="s">
        <v>2155</v>
      </c>
      <c r="P8361">
        <v>67100</v>
      </c>
      <c r="Q8361" t="str">
        <f>"41.132922"</f>
        <v>41.132922</v>
      </c>
      <c r="R8361" t="str">
        <f>"24.884126"</f>
        <v>24.884126</v>
      </c>
      <c r="S8361" t="s">
        <v>26</v>
      </c>
    </row>
    <row r="8362" spans="1:19" x14ac:dyDescent="0.3">
      <c r="A8362" t="s">
        <v>19</v>
      </c>
      <c r="B8362" t="s">
        <v>2087</v>
      </c>
      <c r="C8362" t="s">
        <v>2253</v>
      </c>
      <c r="D8362" t="s">
        <v>38</v>
      </c>
      <c r="E8362" t="s">
        <v>38</v>
      </c>
      <c r="F8362" t="s">
        <v>38</v>
      </c>
      <c r="G8362" t="s">
        <v>2244</v>
      </c>
      <c r="H8362" t="s">
        <v>859</v>
      </c>
      <c r="I8362" t="s">
        <v>860</v>
      </c>
      <c r="J8362" t="str">
        <f>"9370027"</f>
        <v>9370027</v>
      </c>
      <c r="K8362">
        <v>2541084339</v>
      </c>
      <c r="L8362">
        <v>2541084339</v>
      </c>
      <c r="M8362" t="s">
        <v>2254</v>
      </c>
      <c r="N8362" t="s">
        <v>2247</v>
      </c>
      <c r="O8362" t="s">
        <v>2247</v>
      </c>
      <c r="P8362">
        <v>67100</v>
      </c>
      <c r="Q8362" t="str">
        <f>"41.147654"</f>
        <v>41.147654</v>
      </c>
      <c r="R8362" t="str">
        <f>"24.932299"</f>
        <v>24.932299</v>
      </c>
      <c r="S8362" t="s">
        <v>26</v>
      </c>
    </row>
    <row r="8363" spans="1:19" x14ac:dyDescent="0.3">
      <c r="A8363" t="s">
        <v>19</v>
      </c>
      <c r="B8363" t="s">
        <v>2087</v>
      </c>
      <c r="C8363" t="s">
        <v>2255</v>
      </c>
      <c r="D8363" t="s">
        <v>38</v>
      </c>
      <c r="E8363" t="s">
        <v>604</v>
      </c>
      <c r="F8363" t="s">
        <v>605</v>
      </c>
      <c r="G8363" t="s">
        <v>606</v>
      </c>
      <c r="H8363" t="s">
        <v>859</v>
      </c>
      <c r="I8363" t="s">
        <v>860</v>
      </c>
      <c r="J8363" t="str">
        <f>"9370233"</f>
        <v>9370233</v>
      </c>
      <c r="K8363">
        <v>2541028264</v>
      </c>
      <c r="L8363">
        <v>2541028264</v>
      </c>
      <c r="M8363" t="s">
        <v>2256</v>
      </c>
      <c r="N8363" t="s">
        <v>38</v>
      </c>
      <c r="O8363" t="s">
        <v>2257</v>
      </c>
      <c r="P8363">
        <v>67100</v>
      </c>
      <c r="Q8363" t="str">
        <f>"41.116848"</f>
        <v>41.116848</v>
      </c>
      <c r="R8363" t="str">
        <f>"24.910949"</f>
        <v>24.910949</v>
      </c>
      <c r="S8363" t="s">
        <v>26</v>
      </c>
    </row>
    <row r="8364" spans="1:19" x14ac:dyDescent="0.3">
      <c r="A8364" t="s">
        <v>19</v>
      </c>
      <c r="B8364" t="s">
        <v>2087</v>
      </c>
      <c r="C8364" t="s">
        <v>2258</v>
      </c>
      <c r="D8364" t="s">
        <v>38</v>
      </c>
      <c r="E8364" t="s">
        <v>38</v>
      </c>
      <c r="F8364" t="s">
        <v>38</v>
      </c>
      <c r="G8364" t="s">
        <v>38</v>
      </c>
      <c r="H8364" t="s">
        <v>859</v>
      </c>
      <c r="I8364" t="s">
        <v>860</v>
      </c>
      <c r="J8364" t="str">
        <f>"9370049"</f>
        <v>9370049</v>
      </c>
      <c r="K8364">
        <v>2541026891</v>
      </c>
      <c r="L8364">
        <v>2541026891</v>
      </c>
      <c r="M8364" t="s">
        <v>2259</v>
      </c>
      <c r="N8364" t="s">
        <v>41</v>
      </c>
      <c r="O8364" t="s">
        <v>2260</v>
      </c>
      <c r="P8364">
        <v>67100</v>
      </c>
      <c r="Q8364" t="str">
        <f>"41.132666"</f>
        <v>41.132666</v>
      </c>
      <c r="R8364" t="str">
        <f>"24.889364"</f>
        <v>24.889364</v>
      </c>
      <c r="S8364" t="s">
        <v>26</v>
      </c>
    </row>
    <row r="8365" spans="1:19" x14ac:dyDescent="0.3">
      <c r="A8365" t="s">
        <v>19</v>
      </c>
      <c r="B8365" t="s">
        <v>2087</v>
      </c>
      <c r="C8365" t="s">
        <v>2261</v>
      </c>
      <c r="D8365" t="s">
        <v>38</v>
      </c>
      <c r="E8365" t="s">
        <v>38</v>
      </c>
      <c r="F8365" t="s">
        <v>38</v>
      </c>
      <c r="G8365" t="s">
        <v>38</v>
      </c>
      <c r="H8365" t="s">
        <v>859</v>
      </c>
      <c r="I8365" t="s">
        <v>860</v>
      </c>
      <c r="J8365" t="str">
        <f>"9370267"</f>
        <v>9370267</v>
      </c>
      <c r="K8365">
        <v>2541062267</v>
      </c>
      <c r="M8365" t="s">
        <v>2262</v>
      </c>
      <c r="N8365" t="s">
        <v>41</v>
      </c>
      <c r="O8365" t="s">
        <v>2263</v>
      </c>
      <c r="P8365">
        <v>67133</v>
      </c>
      <c r="Q8365" t="str">
        <f>"41.129161"</f>
        <v>41.129161</v>
      </c>
      <c r="R8365" t="str">
        <f>"24.907523"</f>
        <v>24.907523</v>
      </c>
      <c r="S8365" t="s">
        <v>26</v>
      </c>
    </row>
    <row r="8366" spans="1:19" x14ac:dyDescent="0.3">
      <c r="A8366" t="s">
        <v>19</v>
      </c>
      <c r="B8366" t="s">
        <v>2087</v>
      </c>
      <c r="C8366" t="s">
        <v>2264</v>
      </c>
      <c r="D8366" t="s">
        <v>38</v>
      </c>
      <c r="E8366" t="s">
        <v>638</v>
      </c>
      <c r="F8366" t="s">
        <v>638</v>
      </c>
      <c r="G8366" t="s">
        <v>638</v>
      </c>
      <c r="H8366" t="s">
        <v>859</v>
      </c>
      <c r="I8366" t="s">
        <v>860</v>
      </c>
      <c r="J8366" t="str">
        <f>"9370273"</f>
        <v>9370273</v>
      </c>
      <c r="K8366">
        <v>2544024099</v>
      </c>
      <c r="L8366">
        <v>2544024099</v>
      </c>
      <c r="M8366" t="s">
        <v>2265</v>
      </c>
      <c r="N8366" t="s">
        <v>2266</v>
      </c>
      <c r="O8366" t="s">
        <v>2266</v>
      </c>
      <c r="P8366">
        <v>67300</v>
      </c>
      <c r="Q8366" t="str">
        <f>"41.242988"</f>
        <v>41.242988</v>
      </c>
      <c r="R8366" t="str">
        <f>"24.921651"</f>
        <v>24.921651</v>
      </c>
      <c r="S8366" t="s">
        <v>26</v>
      </c>
    </row>
    <row r="8367" spans="1:19" x14ac:dyDescent="0.3">
      <c r="A8367" t="s">
        <v>19</v>
      </c>
      <c r="B8367" t="s">
        <v>2087</v>
      </c>
      <c r="C8367" t="s">
        <v>2267</v>
      </c>
      <c r="D8367" t="s">
        <v>38</v>
      </c>
      <c r="E8367" t="s">
        <v>663</v>
      </c>
      <c r="F8367" t="s">
        <v>663</v>
      </c>
      <c r="G8367" t="s">
        <v>735</v>
      </c>
      <c r="H8367" t="s">
        <v>859</v>
      </c>
      <c r="I8367" t="s">
        <v>860</v>
      </c>
      <c r="J8367" t="str">
        <f>"9370236"</f>
        <v>9370236</v>
      </c>
      <c r="K8367">
        <v>2541041909</v>
      </c>
      <c r="L8367">
        <v>2541041050</v>
      </c>
      <c r="M8367" t="s">
        <v>2268</v>
      </c>
      <c r="N8367" t="s">
        <v>2269</v>
      </c>
      <c r="O8367" t="s">
        <v>2269</v>
      </c>
      <c r="P8367">
        <v>67200</v>
      </c>
      <c r="Q8367" t="str">
        <f>"40.988860"</f>
        <v>40.988860</v>
      </c>
      <c r="R8367" t="str">
        <f>"24.827147"</f>
        <v>24.827147</v>
      </c>
      <c r="S8367" t="s">
        <v>26</v>
      </c>
    </row>
    <row r="8368" spans="1:19" x14ac:dyDescent="0.3">
      <c r="A8368" t="s">
        <v>19</v>
      </c>
      <c r="B8368" t="s">
        <v>2087</v>
      </c>
      <c r="C8368" t="s">
        <v>2270</v>
      </c>
      <c r="D8368" t="s">
        <v>38</v>
      </c>
      <c r="E8368" t="s">
        <v>38</v>
      </c>
      <c r="F8368" t="s">
        <v>38</v>
      </c>
      <c r="G8368" t="s">
        <v>38</v>
      </c>
      <c r="H8368" t="s">
        <v>859</v>
      </c>
      <c r="I8368" t="s">
        <v>860</v>
      </c>
      <c r="J8368" t="str">
        <f>"9370272"</f>
        <v>9370272</v>
      </c>
      <c r="K8368">
        <v>2541062981</v>
      </c>
      <c r="L8368">
        <v>2541062981</v>
      </c>
      <c r="M8368" t="s">
        <v>2271</v>
      </c>
      <c r="N8368" t="s">
        <v>41</v>
      </c>
      <c r="O8368" t="s">
        <v>2272</v>
      </c>
      <c r="P8368">
        <v>67100</v>
      </c>
      <c r="Q8368" t="str">
        <f>"41.118276"</f>
        <v>41.118276</v>
      </c>
      <c r="R8368" t="str">
        <f>"24.864072"</f>
        <v>24.864072</v>
      </c>
      <c r="S8368" t="s">
        <v>26</v>
      </c>
    </row>
    <row r="8369" spans="1:19" x14ac:dyDescent="0.3">
      <c r="A8369" t="s">
        <v>19</v>
      </c>
      <c r="B8369" t="s">
        <v>2087</v>
      </c>
      <c r="C8369" t="s">
        <v>2297</v>
      </c>
      <c r="D8369" t="s">
        <v>38</v>
      </c>
      <c r="E8369" t="s">
        <v>638</v>
      </c>
      <c r="F8369" t="s">
        <v>2102</v>
      </c>
      <c r="G8369" t="s">
        <v>2102</v>
      </c>
      <c r="H8369" t="s">
        <v>859</v>
      </c>
      <c r="I8369" t="s">
        <v>860</v>
      </c>
      <c r="J8369" t="str">
        <f>"9370275"</f>
        <v>9370275</v>
      </c>
      <c r="K8369">
        <v>2544024408</v>
      </c>
      <c r="M8369" t="s">
        <v>2298</v>
      </c>
      <c r="N8369" t="s">
        <v>2237</v>
      </c>
      <c r="O8369" t="s">
        <v>2237</v>
      </c>
      <c r="P8369">
        <v>67300</v>
      </c>
      <c r="Q8369" t="str">
        <f>"41.305816"</f>
        <v>41.305816</v>
      </c>
      <c r="R8369" t="str">
        <f>"24.893620"</f>
        <v>24.893620</v>
      </c>
      <c r="S8369" t="s">
        <v>26</v>
      </c>
    </row>
    <row r="8370" spans="1:19" x14ac:dyDescent="0.3">
      <c r="A8370" t="s">
        <v>19</v>
      </c>
      <c r="B8370" t="s">
        <v>2087</v>
      </c>
      <c r="C8370" t="s">
        <v>2301</v>
      </c>
      <c r="D8370" t="s">
        <v>38</v>
      </c>
      <c r="E8370" t="s">
        <v>38</v>
      </c>
      <c r="F8370" t="s">
        <v>38</v>
      </c>
      <c r="G8370" t="s">
        <v>38</v>
      </c>
      <c r="H8370" t="s">
        <v>859</v>
      </c>
      <c r="I8370" t="s">
        <v>860</v>
      </c>
      <c r="J8370" t="str">
        <f>"9370053"</f>
        <v>9370053</v>
      </c>
      <c r="K8370">
        <v>2541074232</v>
      </c>
      <c r="L8370">
        <v>2541074232</v>
      </c>
      <c r="M8370" t="s">
        <v>2302</v>
      </c>
      <c r="N8370" t="s">
        <v>41</v>
      </c>
      <c r="O8370" t="s">
        <v>2303</v>
      </c>
      <c r="P8370">
        <v>67133</v>
      </c>
      <c r="Q8370" t="str">
        <f>"41.131754"</f>
        <v>41.131754</v>
      </c>
      <c r="R8370" t="str">
        <f>"24.866491"</f>
        <v>24.866491</v>
      </c>
      <c r="S8370" t="s">
        <v>26</v>
      </c>
    </row>
    <row r="8371" spans="1:19" x14ac:dyDescent="0.3">
      <c r="A8371" t="s">
        <v>19</v>
      </c>
      <c r="B8371" t="s">
        <v>2087</v>
      </c>
      <c r="C8371" t="s">
        <v>2304</v>
      </c>
      <c r="D8371" t="s">
        <v>38</v>
      </c>
      <c r="E8371" t="s">
        <v>38</v>
      </c>
      <c r="F8371" t="s">
        <v>38</v>
      </c>
      <c r="G8371" t="s">
        <v>38</v>
      </c>
      <c r="H8371" t="s">
        <v>859</v>
      </c>
      <c r="I8371" t="s">
        <v>860</v>
      </c>
      <c r="J8371" t="str">
        <f>"9370008"</f>
        <v>9370008</v>
      </c>
      <c r="K8371">
        <v>2541022981</v>
      </c>
      <c r="L8371">
        <v>2541022981</v>
      </c>
      <c r="M8371" t="s">
        <v>2305</v>
      </c>
      <c r="N8371" t="s">
        <v>41</v>
      </c>
      <c r="O8371" t="s">
        <v>2306</v>
      </c>
      <c r="P8371">
        <v>67132</v>
      </c>
      <c r="Q8371" t="str">
        <f>"41.145215"</f>
        <v>41.145215</v>
      </c>
      <c r="R8371" t="str">
        <f>"24.891383"</f>
        <v>24.891383</v>
      </c>
      <c r="S8371" t="s">
        <v>26</v>
      </c>
    </row>
    <row r="8372" spans="1:19" x14ac:dyDescent="0.3">
      <c r="A8372" t="s">
        <v>19</v>
      </c>
      <c r="B8372" t="s">
        <v>2087</v>
      </c>
      <c r="C8372" t="s">
        <v>2307</v>
      </c>
      <c r="D8372" t="s">
        <v>38</v>
      </c>
      <c r="E8372" t="s">
        <v>38</v>
      </c>
      <c r="F8372" t="s">
        <v>38</v>
      </c>
      <c r="G8372" t="s">
        <v>38</v>
      </c>
      <c r="H8372" t="s">
        <v>859</v>
      </c>
      <c r="I8372" t="s">
        <v>860</v>
      </c>
      <c r="J8372" t="str">
        <f>"9370003"</f>
        <v>9370003</v>
      </c>
      <c r="K8372">
        <v>2541021685</v>
      </c>
      <c r="L8372">
        <v>2541021685</v>
      </c>
      <c r="M8372" t="s">
        <v>2308</v>
      </c>
      <c r="N8372" t="s">
        <v>41</v>
      </c>
      <c r="O8372" t="s">
        <v>2309</v>
      </c>
      <c r="P8372">
        <v>67132</v>
      </c>
      <c r="Q8372" t="str">
        <f>"41.138925"</f>
        <v>41.138925</v>
      </c>
      <c r="R8372" t="str">
        <f>"24.879001"</f>
        <v>24.879001</v>
      </c>
      <c r="S8372" t="s">
        <v>26</v>
      </c>
    </row>
    <row r="8373" spans="1:19" x14ac:dyDescent="0.3">
      <c r="A8373" t="s">
        <v>19</v>
      </c>
      <c r="B8373" t="s">
        <v>2087</v>
      </c>
      <c r="C8373" t="s">
        <v>2310</v>
      </c>
      <c r="D8373" t="s">
        <v>38</v>
      </c>
      <c r="E8373" t="s">
        <v>638</v>
      </c>
      <c r="F8373" t="s">
        <v>638</v>
      </c>
      <c r="G8373" t="s">
        <v>638</v>
      </c>
      <c r="H8373" t="s">
        <v>859</v>
      </c>
      <c r="I8373" t="s">
        <v>860</v>
      </c>
      <c r="J8373" t="str">
        <f>"9520994"</f>
        <v>9520994</v>
      </c>
      <c r="K8373">
        <v>2544024140</v>
      </c>
      <c r="L8373">
        <v>2544024140</v>
      </c>
      <c r="M8373" t="s">
        <v>2311</v>
      </c>
      <c r="N8373" t="s">
        <v>2312</v>
      </c>
      <c r="O8373" t="s">
        <v>2187</v>
      </c>
      <c r="P8373">
        <v>67132</v>
      </c>
      <c r="Q8373" t="str">
        <f>"41.251637"</f>
        <v>41.251637</v>
      </c>
      <c r="R8373" t="str">
        <f>"24.894387"</f>
        <v>24.894387</v>
      </c>
      <c r="S8373" t="s">
        <v>26</v>
      </c>
    </row>
    <row r="8374" spans="1:19" x14ac:dyDescent="0.3">
      <c r="A8374" t="s">
        <v>19</v>
      </c>
      <c r="B8374" t="s">
        <v>2087</v>
      </c>
      <c r="C8374" t="s">
        <v>2313</v>
      </c>
      <c r="D8374" t="s">
        <v>38</v>
      </c>
      <c r="E8374" t="s">
        <v>638</v>
      </c>
      <c r="F8374" t="s">
        <v>638</v>
      </c>
      <c r="G8374" t="s">
        <v>638</v>
      </c>
      <c r="H8374" t="s">
        <v>859</v>
      </c>
      <c r="I8374" t="s">
        <v>860</v>
      </c>
      <c r="J8374" t="str">
        <f>"9520610"</f>
        <v>9520610</v>
      </c>
      <c r="K8374">
        <v>2544023691</v>
      </c>
      <c r="M8374" t="s">
        <v>2314</v>
      </c>
      <c r="N8374" t="s">
        <v>2315</v>
      </c>
      <c r="O8374" t="s">
        <v>2315</v>
      </c>
      <c r="P8374">
        <v>67300</v>
      </c>
      <c r="Q8374" t="str">
        <f>"41.229543"</f>
        <v>41.229543</v>
      </c>
      <c r="R8374" t="str">
        <f>"24.952747"</f>
        <v>24.952747</v>
      </c>
      <c r="S8374" t="s">
        <v>26</v>
      </c>
    </row>
    <row r="8375" spans="1:19" x14ac:dyDescent="0.3">
      <c r="A8375" t="s">
        <v>19</v>
      </c>
      <c r="B8375" t="s">
        <v>2087</v>
      </c>
      <c r="C8375" t="s">
        <v>2321</v>
      </c>
      <c r="D8375" t="s">
        <v>38</v>
      </c>
      <c r="E8375" t="s">
        <v>663</v>
      </c>
      <c r="F8375" t="s">
        <v>663</v>
      </c>
      <c r="G8375" t="s">
        <v>735</v>
      </c>
      <c r="H8375" t="s">
        <v>859</v>
      </c>
      <c r="I8375" t="s">
        <v>860</v>
      </c>
      <c r="J8375" t="str">
        <f>"9520803"</f>
        <v>9520803</v>
      </c>
      <c r="K8375">
        <v>2541042056</v>
      </c>
      <c r="L8375">
        <v>2541042056</v>
      </c>
      <c r="M8375" t="s">
        <v>2322</v>
      </c>
      <c r="N8375" t="s">
        <v>2323</v>
      </c>
      <c r="O8375" t="s">
        <v>2323</v>
      </c>
      <c r="P8375">
        <v>67200</v>
      </c>
      <c r="Q8375" t="str">
        <f>"40.985008"</f>
        <v>40.985008</v>
      </c>
      <c r="R8375" t="str">
        <f>"24.788976"</f>
        <v>24.788976</v>
      </c>
      <c r="S8375" t="s">
        <v>26</v>
      </c>
    </row>
    <row r="8376" spans="1:19" x14ac:dyDescent="0.3">
      <c r="A8376" t="s">
        <v>19</v>
      </c>
      <c r="B8376" t="s">
        <v>2087</v>
      </c>
      <c r="C8376" t="s">
        <v>2328</v>
      </c>
      <c r="D8376" t="s">
        <v>38</v>
      </c>
      <c r="E8376" t="s">
        <v>663</v>
      </c>
      <c r="F8376" t="s">
        <v>663</v>
      </c>
      <c r="G8376" t="s">
        <v>2227</v>
      </c>
      <c r="H8376" t="s">
        <v>859</v>
      </c>
      <c r="I8376" t="s">
        <v>860</v>
      </c>
      <c r="J8376" t="str">
        <f>"9370062"</f>
        <v>9370062</v>
      </c>
      <c r="K8376">
        <v>2541041000</v>
      </c>
      <c r="L8376">
        <v>2541041000</v>
      </c>
      <c r="M8376" t="s">
        <v>2329</v>
      </c>
      <c r="N8376" t="s">
        <v>2330</v>
      </c>
      <c r="O8376" t="s">
        <v>2330</v>
      </c>
      <c r="P8376">
        <v>67200</v>
      </c>
      <c r="Q8376" t="str">
        <f>"40.960694"</f>
        <v>40.960694</v>
      </c>
      <c r="R8376" t="str">
        <f>"24.806558"</f>
        <v>24.806558</v>
      </c>
      <c r="S8376" t="s">
        <v>26</v>
      </c>
    </row>
    <row r="8377" spans="1:19" x14ac:dyDescent="0.3">
      <c r="A8377" t="s">
        <v>19</v>
      </c>
      <c r="B8377" t="s">
        <v>2087</v>
      </c>
      <c r="C8377" t="s">
        <v>2338</v>
      </c>
      <c r="D8377" t="s">
        <v>38</v>
      </c>
      <c r="E8377" t="s">
        <v>38</v>
      </c>
      <c r="F8377" t="s">
        <v>38</v>
      </c>
      <c r="G8377" t="s">
        <v>38</v>
      </c>
      <c r="H8377" t="s">
        <v>859</v>
      </c>
      <c r="I8377" t="s">
        <v>860</v>
      </c>
      <c r="J8377" t="str">
        <f>"9370255"</f>
        <v>9370255</v>
      </c>
      <c r="K8377">
        <v>2541020666</v>
      </c>
      <c r="L8377">
        <v>2541020666</v>
      </c>
      <c r="M8377" t="s">
        <v>2339</v>
      </c>
      <c r="N8377" t="s">
        <v>41</v>
      </c>
      <c r="O8377" t="s">
        <v>613</v>
      </c>
      <c r="P8377">
        <v>67100</v>
      </c>
      <c r="Q8377" t="str">
        <f>"41.123918"</f>
        <v>41.123918</v>
      </c>
      <c r="R8377" t="str">
        <f>"24.874699"</f>
        <v>24.874699</v>
      </c>
      <c r="S8377" t="s">
        <v>26</v>
      </c>
    </row>
    <row r="8378" spans="1:19" x14ac:dyDescent="0.3">
      <c r="A8378" t="s">
        <v>19</v>
      </c>
      <c r="B8378" t="s">
        <v>2087</v>
      </c>
      <c r="C8378" t="s">
        <v>2345</v>
      </c>
      <c r="D8378" t="s">
        <v>38</v>
      </c>
      <c r="E8378" t="s">
        <v>663</v>
      </c>
      <c r="F8378" t="s">
        <v>663</v>
      </c>
      <c r="G8378" t="s">
        <v>2344</v>
      </c>
      <c r="H8378" t="s">
        <v>859</v>
      </c>
      <c r="I8378" t="s">
        <v>860</v>
      </c>
      <c r="J8378" t="str">
        <f>"9370260"</f>
        <v>9370260</v>
      </c>
      <c r="K8378">
        <v>2541094419</v>
      </c>
      <c r="L8378">
        <v>2541094419</v>
      </c>
      <c r="M8378" t="s">
        <v>2346</v>
      </c>
      <c r="N8378" t="s">
        <v>2347</v>
      </c>
      <c r="O8378" t="s">
        <v>2347</v>
      </c>
      <c r="P8378">
        <v>67200</v>
      </c>
      <c r="Q8378" t="str">
        <f>"41.029914"</f>
        <v>41.029914</v>
      </c>
      <c r="R8378" t="str">
        <f>"24.862077"</f>
        <v>24.862077</v>
      </c>
      <c r="S8378" t="s">
        <v>26</v>
      </c>
    </row>
    <row r="8379" spans="1:19" x14ac:dyDescent="0.3">
      <c r="A8379" t="s">
        <v>19</v>
      </c>
      <c r="B8379" t="s">
        <v>2087</v>
      </c>
      <c r="C8379" t="s">
        <v>2349</v>
      </c>
      <c r="D8379" t="s">
        <v>38</v>
      </c>
      <c r="E8379" t="s">
        <v>638</v>
      </c>
      <c r="F8379" t="s">
        <v>2348</v>
      </c>
      <c r="G8379" t="s">
        <v>2348</v>
      </c>
      <c r="H8379" t="s">
        <v>859</v>
      </c>
      <c r="I8379" t="s">
        <v>860</v>
      </c>
      <c r="J8379" t="str">
        <f>"9520861"</f>
        <v>9520861</v>
      </c>
      <c r="K8379">
        <v>2544022952</v>
      </c>
      <c r="M8379" t="s">
        <v>2350</v>
      </c>
      <c r="N8379" t="s">
        <v>2351</v>
      </c>
      <c r="O8379" t="s">
        <v>2351</v>
      </c>
      <c r="P8379">
        <v>67300</v>
      </c>
      <c r="Q8379" t="str">
        <f>"41.226268"</f>
        <v>41.226268</v>
      </c>
      <c r="R8379" t="str">
        <f>"25.038423"</f>
        <v>25.038423</v>
      </c>
      <c r="S8379" t="s">
        <v>26</v>
      </c>
    </row>
    <row r="8380" spans="1:19" x14ac:dyDescent="0.3">
      <c r="A8380" t="s">
        <v>19</v>
      </c>
      <c r="B8380" t="s">
        <v>2087</v>
      </c>
      <c r="C8380" t="s">
        <v>2352</v>
      </c>
      <c r="D8380" t="s">
        <v>38</v>
      </c>
      <c r="E8380" t="s">
        <v>604</v>
      </c>
      <c r="F8380" t="s">
        <v>605</v>
      </c>
      <c r="G8380" t="s">
        <v>2334</v>
      </c>
      <c r="H8380" t="s">
        <v>859</v>
      </c>
      <c r="I8380" t="s">
        <v>860</v>
      </c>
      <c r="J8380" t="str">
        <f>"9370226"</f>
        <v>9370226</v>
      </c>
      <c r="K8380">
        <v>2541031300</v>
      </c>
      <c r="L8380">
        <v>2541031300</v>
      </c>
      <c r="M8380" t="s">
        <v>2353</v>
      </c>
      <c r="N8380" t="s">
        <v>2337</v>
      </c>
      <c r="O8380" t="s">
        <v>2337</v>
      </c>
      <c r="P8380">
        <v>67100</v>
      </c>
      <c r="Q8380" t="str">
        <f>"41.128826"</f>
        <v>41.128826</v>
      </c>
      <c r="R8380" t="str">
        <f>"25.041415"</f>
        <v>25.041415</v>
      </c>
      <c r="S8380" t="s">
        <v>26</v>
      </c>
    </row>
    <row r="8381" spans="1:19" x14ac:dyDescent="0.3">
      <c r="A8381" t="s">
        <v>19</v>
      </c>
      <c r="B8381" t="s">
        <v>2087</v>
      </c>
      <c r="C8381" t="s">
        <v>2354</v>
      </c>
      <c r="D8381" t="s">
        <v>38</v>
      </c>
      <c r="E8381" t="s">
        <v>38</v>
      </c>
      <c r="F8381" t="s">
        <v>38</v>
      </c>
      <c r="G8381" t="s">
        <v>38</v>
      </c>
      <c r="H8381" t="s">
        <v>859</v>
      </c>
      <c r="I8381" t="s">
        <v>860</v>
      </c>
      <c r="J8381" t="str">
        <f>"9370054"</f>
        <v>9370054</v>
      </c>
      <c r="K8381">
        <v>2541072169</v>
      </c>
      <c r="L8381">
        <v>2541072169</v>
      </c>
      <c r="M8381" t="s">
        <v>2355</v>
      </c>
      <c r="N8381" t="s">
        <v>41</v>
      </c>
      <c r="O8381" t="s">
        <v>2356</v>
      </c>
      <c r="P8381">
        <v>67100</v>
      </c>
      <c r="Q8381" t="str">
        <f>"41.129954"</f>
        <v>41.129954</v>
      </c>
      <c r="R8381" t="str">
        <f>"24.881015"</f>
        <v>24.881015</v>
      </c>
      <c r="S8381" t="s">
        <v>26</v>
      </c>
    </row>
    <row r="8382" spans="1:19" x14ac:dyDescent="0.3">
      <c r="A8382" t="s">
        <v>19</v>
      </c>
      <c r="B8382" t="s">
        <v>2087</v>
      </c>
      <c r="C8382" t="s">
        <v>2369</v>
      </c>
      <c r="D8382" t="s">
        <v>38</v>
      </c>
      <c r="E8382" t="s">
        <v>604</v>
      </c>
      <c r="F8382" t="s">
        <v>604</v>
      </c>
      <c r="G8382" t="s">
        <v>604</v>
      </c>
      <c r="H8382" t="s">
        <v>859</v>
      </c>
      <c r="I8382" t="s">
        <v>860</v>
      </c>
      <c r="J8382" t="str">
        <f>"9370010"</f>
        <v>9370010</v>
      </c>
      <c r="K8382">
        <v>2541051625</v>
      </c>
      <c r="L8382">
        <v>2541051625</v>
      </c>
      <c r="M8382" t="s">
        <v>2370</v>
      </c>
      <c r="N8382" t="s">
        <v>629</v>
      </c>
      <c r="O8382" t="s">
        <v>629</v>
      </c>
      <c r="P8382">
        <v>67061</v>
      </c>
      <c r="Q8382" t="str">
        <f>"40.981473"</f>
        <v>40.981473</v>
      </c>
      <c r="R8382" t="str">
        <f>"24.951460"</f>
        <v>24.951460</v>
      </c>
      <c r="S8382" t="s">
        <v>26</v>
      </c>
    </row>
    <row r="8383" spans="1:19" x14ac:dyDescent="0.3">
      <c r="A8383" t="s">
        <v>19</v>
      </c>
      <c r="B8383" t="s">
        <v>2087</v>
      </c>
      <c r="C8383" t="s">
        <v>2383</v>
      </c>
      <c r="D8383" t="s">
        <v>38</v>
      </c>
      <c r="E8383" t="s">
        <v>38</v>
      </c>
      <c r="F8383" t="s">
        <v>38</v>
      </c>
      <c r="G8383" t="s">
        <v>38</v>
      </c>
      <c r="H8383" t="s">
        <v>859</v>
      </c>
      <c r="I8383" t="s">
        <v>860</v>
      </c>
      <c r="J8383" t="str">
        <f>"9520609"</f>
        <v>9520609</v>
      </c>
      <c r="K8383">
        <v>2541067622</v>
      </c>
      <c r="M8383" t="s">
        <v>2384</v>
      </c>
      <c r="N8383" t="s">
        <v>41</v>
      </c>
      <c r="O8383" t="s">
        <v>2385</v>
      </c>
      <c r="P8383">
        <v>67100</v>
      </c>
      <c r="Q8383" t="str">
        <f>"41.137435"</f>
        <v>41.137435</v>
      </c>
      <c r="R8383" t="str">
        <f>"24.898329"</f>
        <v>24.898329</v>
      </c>
      <c r="S8383" t="s">
        <v>26</v>
      </c>
    </row>
    <row r="8384" spans="1:19" x14ac:dyDescent="0.3">
      <c r="A8384" t="s">
        <v>19</v>
      </c>
      <c r="B8384" t="s">
        <v>2087</v>
      </c>
      <c r="C8384" t="s">
        <v>2412</v>
      </c>
      <c r="D8384" t="s">
        <v>38</v>
      </c>
      <c r="E8384" t="s">
        <v>638</v>
      </c>
      <c r="F8384" t="s">
        <v>2102</v>
      </c>
      <c r="G8384" t="s">
        <v>2102</v>
      </c>
      <c r="H8384" t="s">
        <v>859</v>
      </c>
      <c r="I8384" t="s">
        <v>860</v>
      </c>
      <c r="J8384" t="str">
        <f>"9520864"</f>
        <v>9520864</v>
      </c>
      <c r="K8384">
        <v>2544023413</v>
      </c>
      <c r="M8384" t="s">
        <v>2413</v>
      </c>
      <c r="N8384" t="s">
        <v>2150</v>
      </c>
      <c r="O8384" t="s">
        <v>2150</v>
      </c>
      <c r="P8384">
        <v>67300</v>
      </c>
      <c r="Q8384" t="str">
        <f>"41.334244"</f>
        <v>41.334244</v>
      </c>
      <c r="R8384" t="str">
        <f>"24.886421"</f>
        <v>24.886421</v>
      </c>
      <c r="S8384" t="s">
        <v>26</v>
      </c>
    </row>
    <row r="8385" spans="1:19" x14ac:dyDescent="0.3">
      <c r="A8385" t="s">
        <v>19</v>
      </c>
      <c r="B8385" t="s">
        <v>2087</v>
      </c>
      <c r="C8385" t="s">
        <v>2434</v>
      </c>
      <c r="D8385" t="s">
        <v>38</v>
      </c>
      <c r="E8385" t="s">
        <v>663</v>
      </c>
      <c r="F8385" t="s">
        <v>663</v>
      </c>
      <c r="G8385" t="s">
        <v>664</v>
      </c>
      <c r="H8385" t="s">
        <v>859</v>
      </c>
      <c r="I8385" t="s">
        <v>860</v>
      </c>
      <c r="J8385" t="str">
        <f>"9370250"</f>
        <v>9370250</v>
      </c>
      <c r="K8385">
        <v>2541095304</v>
      </c>
      <c r="L8385">
        <v>2541095304</v>
      </c>
      <c r="M8385" t="s">
        <v>2435</v>
      </c>
      <c r="N8385" t="s">
        <v>64</v>
      </c>
      <c r="O8385" t="s">
        <v>60</v>
      </c>
      <c r="P8385">
        <v>67200</v>
      </c>
      <c r="Q8385" t="str">
        <f>"41.041941"</f>
        <v>41.041941</v>
      </c>
      <c r="R8385" t="str">
        <f>"24.783828"</f>
        <v>24.783828</v>
      </c>
      <c r="S8385" t="s">
        <v>26</v>
      </c>
    </row>
    <row r="8386" spans="1:19" x14ac:dyDescent="0.3">
      <c r="A8386" t="s">
        <v>19</v>
      </c>
      <c r="B8386" t="s">
        <v>2087</v>
      </c>
      <c r="C8386" t="s">
        <v>2437</v>
      </c>
      <c r="D8386" t="s">
        <v>38</v>
      </c>
      <c r="E8386" t="s">
        <v>38</v>
      </c>
      <c r="F8386" t="s">
        <v>38</v>
      </c>
      <c r="G8386" t="s">
        <v>2423</v>
      </c>
      <c r="H8386" t="s">
        <v>859</v>
      </c>
      <c r="I8386" t="s">
        <v>860</v>
      </c>
      <c r="J8386" t="str">
        <f>"9370247"</f>
        <v>9370247</v>
      </c>
      <c r="K8386">
        <v>2541027634</v>
      </c>
      <c r="M8386" t="s">
        <v>2438</v>
      </c>
      <c r="N8386" t="s">
        <v>2427</v>
      </c>
      <c r="O8386" t="s">
        <v>2427</v>
      </c>
      <c r="P8386">
        <v>67100</v>
      </c>
      <c r="Q8386" t="str">
        <f>"41.112241"</f>
        <v>41.112241</v>
      </c>
      <c r="R8386" t="str">
        <f>"24.858984"</f>
        <v>24.858984</v>
      </c>
      <c r="S8386" t="s">
        <v>26</v>
      </c>
    </row>
    <row r="8387" spans="1:19" x14ac:dyDescent="0.3">
      <c r="A8387" t="s">
        <v>19</v>
      </c>
      <c r="B8387" t="s">
        <v>2087</v>
      </c>
      <c r="C8387" t="s">
        <v>2439</v>
      </c>
      <c r="D8387" t="s">
        <v>38</v>
      </c>
      <c r="E8387" t="s">
        <v>638</v>
      </c>
      <c r="F8387" t="s">
        <v>2102</v>
      </c>
      <c r="G8387" t="s">
        <v>2102</v>
      </c>
      <c r="H8387" t="s">
        <v>859</v>
      </c>
      <c r="I8387" t="s">
        <v>860</v>
      </c>
      <c r="J8387" t="str">
        <f>"9520993"</f>
        <v>9520993</v>
      </c>
      <c r="K8387">
        <v>2544023604</v>
      </c>
      <c r="M8387" t="s">
        <v>2440</v>
      </c>
      <c r="N8387" t="s">
        <v>2142</v>
      </c>
      <c r="O8387" t="s">
        <v>2142</v>
      </c>
      <c r="P8387">
        <v>67300</v>
      </c>
      <c r="Q8387" t="str">
        <f>"41.352758"</f>
        <v>41.352758</v>
      </c>
      <c r="R8387" t="str">
        <f>"24.843220"</f>
        <v>24.843220</v>
      </c>
      <c r="S8387" t="s">
        <v>57</v>
      </c>
    </row>
    <row r="8388" spans="1:19" x14ac:dyDescent="0.3">
      <c r="A8388" t="s">
        <v>19</v>
      </c>
      <c r="B8388" t="s">
        <v>2087</v>
      </c>
      <c r="C8388" t="s">
        <v>2477</v>
      </c>
      <c r="D8388" t="s">
        <v>38</v>
      </c>
      <c r="E8388" t="s">
        <v>604</v>
      </c>
      <c r="F8388" t="s">
        <v>605</v>
      </c>
      <c r="G8388" t="s">
        <v>616</v>
      </c>
      <c r="H8388" t="s">
        <v>859</v>
      </c>
      <c r="I8388" t="s">
        <v>860</v>
      </c>
      <c r="J8388" t="str">
        <f>"9370015"</f>
        <v>9370015</v>
      </c>
      <c r="K8388">
        <v>2541352549</v>
      </c>
      <c r="L8388">
        <v>2541352542</v>
      </c>
      <c r="M8388" t="s">
        <v>2478</v>
      </c>
      <c r="N8388" t="s">
        <v>616</v>
      </c>
      <c r="O8388" t="s">
        <v>658</v>
      </c>
      <c r="P8388">
        <v>67064</v>
      </c>
      <c r="Q8388" t="str">
        <f>"41.059586"</f>
        <v>41.059586</v>
      </c>
      <c r="R8388" t="str">
        <f>"24.963373"</f>
        <v>24.963373</v>
      </c>
      <c r="S8388" t="s">
        <v>26</v>
      </c>
    </row>
    <row r="8389" spans="1:19" x14ac:dyDescent="0.3">
      <c r="A8389" t="s">
        <v>19</v>
      </c>
      <c r="B8389" t="s">
        <v>2087</v>
      </c>
      <c r="C8389" t="s">
        <v>2501</v>
      </c>
      <c r="D8389" t="s">
        <v>38</v>
      </c>
      <c r="E8389" t="s">
        <v>638</v>
      </c>
      <c r="F8389" t="s">
        <v>638</v>
      </c>
      <c r="G8389" t="s">
        <v>638</v>
      </c>
      <c r="H8389" t="s">
        <v>859</v>
      </c>
      <c r="I8389" t="s">
        <v>860</v>
      </c>
      <c r="J8389" t="str">
        <f>"9370268"</f>
        <v>9370268</v>
      </c>
      <c r="K8389">
        <v>2541083245</v>
      </c>
      <c r="L8389">
        <v>2541083245</v>
      </c>
      <c r="M8389" t="s">
        <v>2502</v>
      </c>
      <c r="N8389" t="s">
        <v>2503</v>
      </c>
      <c r="O8389" t="s">
        <v>719</v>
      </c>
      <c r="P8389">
        <v>67100</v>
      </c>
      <c r="Q8389" t="str">
        <f>"41.228771"</f>
        <v>41.228771</v>
      </c>
      <c r="R8389" t="str">
        <f>"24.878952"</f>
        <v>24.878952</v>
      </c>
      <c r="S8389" t="s">
        <v>26</v>
      </c>
    </row>
    <row r="8390" spans="1:19" x14ac:dyDescent="0.3">
      <c r="A8390" t="s">
        <v>19</v>
      </c>
      <c r="B8390" t="s">
        <v>2087</v>
      </c>
      <c r="C8390" t="s">
        <v>2504</v>
      </c>
      <c r="D8390" t="s">
        <v>38</v>
      </c>
      <c r="E8390" t="s">
        <v>38</v>
      </c>
      <c r="F8390" t="s">
        <v>38</v>
      </c>
      <c r="G8390" t="s">
        <v>38</v>
      </c>
      <c r="H8390" t="s">
        <v>859</v>
      </c>
      <c r="I8390" t="s">
        <v>860</v>
      </c>
      <c r="J8390" t="str">
        <f>"9370002"</f>
        <v>9370002</v>
      </c>
      <c r="K8390">
        <v>2541070040</v>
      </c>
      <c r="L8390">
        <v>2541070040</v>
      </c>
      <c r="M8390" t="s">
        <v>2505</v>
      </c>
      <c r="N8390" t="s">
        <v>41</v>
      </c>
      <c r="O8390" t="s">
        <v>2096</v>
      </c>
      <c r="P8390">
        <v>67100</v>
      </c>
      <c r="Q8390" t="str">
        <f>"41.144726"</f>
        <v>41.144726</v>
      </c>
      <c r="R8390" t="str">
        <f>"24.887134"</f>
        <v>24.887134</v>
      </c>
      <c r="S8390" t="s">
        <v>26</v>
      </c>
    </row>
    <row r="8391" spans="1:19" x14ac:dyDescent="0.3">
      <c r="A8391" t="s">
        <v>19</v>
      </c>
      <c r="B8391" t="s">
        <v>2087</v>
      </c>
      <c r="C8391" t="s">
        <v>2534</v>
      </c>
      <c r="D8391" t="s">
        <v>38</v>
      </c>
      <c r="E8391" t="s">
        <v>638</v>
      </c>
      <c r="F8391" t="s">
        <v>638</v>
      </c>
      <c r="G8391" t="s">
        <v>638</v>
      </c>
      <c r="H8391" t="s">
        <v>859</v>
      </c>
      <c r="I8391" t="s">
        <v>860</v>
      </c>
      <c r="J8391" t="str">
        <f>"9370274"</f>
        <v>9370274</v>
      </c>
      <c r="K8391">
        <v>2544023818</v>
      </c>
      <c r="M8391" t="s">
        <v>2535</v>
      </c>
      <c r="N8391" t="s">
        <v>2536</v>
      </c>
      <c r="O8391" t="s">
        <v>641</v>
      </c>
      <c r="P8391">
        <v>67300</v>
      </c>
      <c r="Q8391" t="str">
        <f>"41.264446"</f>
        <v>41.264446</v>
      </c>
      <c r="R8391" t="str">
        <f>"24.925337"</f>
        <v>24.925337</v>
      </c>
      <c r="S8391" t="s">
        <v>26</v>
      </c>
    </row>
    <row r="8392" spans="1:19" x14ac:dyDescent="0.3">
      <c r="A8392" t="s">
        <v>19</v>
      </c>
      <c r="B8392" t="s">
        <v>2087</v>
      </c>
      <c r="C8392" t="s">
        <v>2538</v>
      </c>
      <c r="D8392" t="s">
        <v>38</v>
      </c>
      <c r="E8392" t="s">
        <v>38</v>
      </c>
      <c r="F8392" t="s">
        <v>594</v>
      </c>
      <c r="G8392" t="s">
        <v>2537</v>
      </c>
      <c r="H8392" t="s">
        <v>859</v>
      </c>
      <c r="I8392" t="s">
        <v>860</v>
      </c>
      <c r="J8392" t="str">
        <f>"9370064"</f>
        <v>9370064</v>
      </c>
      <c r="K8392">
        <v>2542022183</v>
      </c>
      <c r="L8392">
        <v>2542022183</v>
      </c>
      <c r="M8392" t="s">
        <v>2539</v>
      </c>
      <c r="N8392" t="s">
        <v>2540</v>
      </c>
      <c r="O8392" t="s">
        <v>2540</v>
      </c>
      <c r="P8392">
        <v>67062</v>
      </c>
      <c r="Q8392" t="str">
        <f>"41.217996"</f>
        <v>41.217996</v>
      </c>
      <c r="R8392" t="str">
        <f>"24.669775"</f>
        <v>24.669775</v>
      </c>
      <c r="S8392" t="s">
        <v>26</v>
      </c>
    </row>
    <row r="8393" spans="1:19" x14ac:dyDescent="0.3">
      <c r="A8393" t="s">
        <v>19</v>
      </c>
      <c r="B8393" t="s">
        <v>2087</v>
      </c>
      <c r="C8393" t="s">
        <v>2551</v>
      </c>
      <c r="D8393" t="s">
        <v>38</v>
      </c>
      <c r="E8393" t="s">
        <v>663</v>
      </c>
      <c r="F8393" t="s">
        <v>663</v>
      </c>
      <c r="G8393" t="s">
        <v>735</v>
      </c>
      <c r="H8393" t="s">
        <v>859</v>
      </c>
      <c r="I8393" t="s">
        <v>860</v>
      </c>
      <c r="J8393" t="str">
        <f>"9521263"</f>
        <v>9521263</v>
      </c>
      <c r="K8393">
        <v>2541041012</v>
      </c>
      <c r="L8393">
        <v>2541041012</v>
      </c>
      <c r="M8393" t="s">
        <v>2552</v>
      </c>
      <c r="N8393" t="s">
        <v>688</v>
      </c>
      <c r="O8393" t="s">
        <v>688</v>
      </c>
      <c r="P8393">
        <v>67200</v>
      </c>
      <c r="Q8393" t="str">
        <f>"40.981773"</f>
        <v>40.981773</v>
      </c>
      <c r="R8393" t="str">
        <f>"24.802714"</f>
        <v>24.802714</v>
      </c>
      <c r="S8393" t="s">
        <v>26</v>
      </c>
    </row>
    <row r="8394" spans="1:19" x14ac:dyDescent="0.3">
      <c r="A8394" t="s">
        <v>19</v>
      </c>
      <c r="B8394" t="s">
        <v>2087</v>
      </c>
      <c r="C8394" t="s">
        <v>2553</v>
      </c>
      <c r="D8394" t="s">
        <v>38</v>
      </c>
      <c r="E8394" t="s">
        <v>663</v>
      </c>
      <c r="F8394" t="s">
        <v>663</v>
      </c>
      <c r="G8394" t="s">
        <v>735</v>
      </c>
      <c r="H8394" t="s">
        <v>859</v>
      </c>
      <c r="I8394" t="s">
        <v>860</v>
      </c>
      <c r="J8394" t="str">
        <f>"9521264"</f>
        <v>9521264</v>
      </c>
      <c r="K8394">
        <v>2541041227</v>
      </c>
      <c r="L8394">
        <v>2541041227</v>
      </c>
      <c r="M8394" t="s">
        <v>2554</v>
      </c>
      <c r="N8394" t="s">
        <v>2528</v>
      </c>
      <c r="O8394" t="s">
        <v>2528</v>
      </c>
      <c r="P8394">
        <v>67200</v>
      </c>
      <c r="Q8394" t="str">
        <f>"40.945987"</f>
        <v>40.945987</v>
      </c>
      <c r="R8394" t="str">
        <f>"24.790531"</f>
        <v>24.790531</v>
      </c>
      <c r="S8394" t="s">
        <v>26</v>
      </c>
    </row>
    <row r="8395" spans="1:19" x14ac:dyDescent="0.3">
      <c r="A8395" t="s">
        <v>19</v>
      </c>
      <c r="B8395" t="s">
        <v>2087</v>
      </c>
      <c r="C8395" t="s">
        <v>2555</v>
      </c>
      <c r="D8395" t="s">
        <v>38</v>
      </c>
      <c r="E8395" t="s">
        <v>604</v>
      </c>
      <c r="F8395" t="s">
        <v>2118</v>
      </c>
      <c r="G8395" t="s">
        <v>2118</v>
      </c>
      <c r="H8395" t="s">
        <v>859</v>
      </c>
      <c r="I8395" t="s">
        <v>860</v>
      </c>
      <c r="J8395" t="str">
        <f>"9521265"</f>
        <v>9521265</v>
      </c>
      <c r="K8395">
        <v>2541032314</v>
      </c>
      <c r="L8395">
        <v>2541032314</v>
      </c>
      <c r="M8395" t="s">
        <v>2556</v>
      </c>
      <c r="N8395" t="s">
        <v>2481</v>
      </c>
      <c r="O8395" t="s">
        <v>2481</v>
      </c>
      <c r="P8395">
        <v>67100</v>
      </c>
      <c r="Q8395" t="str">
        <f>"41.134570"</f>
        <v>41.134570</v>
      </c>
      <c r="R8395" t="str">
        <f>"24.993121"</f>
        <v>24.993121</v>
      </c>
      <c r="S8395" t="s">
        <v>26</v>
      </c>
    </row>
    <row r="8396" spans="1:19" x14ac:dyDescent="0.3">
      <c r="A8396" t="s">
        <v>19</v>
      </c>
      <c r="B8396" t="s">
        <v>2087</v>
      </c>
      <c r="C8396" t="s">
        <v>2557</v>
      </c>
      <c r="D8396" t="s">
        <v>38</v>
      </c>
      <c r="E8396" t="s">
        <v>638</v>
      </c>
      <c r="F8396" t="s">
        <v>638</v>
      </c>
      <c r="G8396" t="s">
        <v>2097</v>
      </c>
      <c r="H8396" t="s">
        <v>859</v>
      </c>
      <c r="I8396" t="s">
        <v>860</v>
      </c>
      <c r="J8396" t="str">
        <f>"9521266"</f>
        <v>9521266</v>
      </c>
      <c r="K8396">
        <v>2541068864</v>
      </c>
      <c r="M8396" t="s">
        <v>2558</v>
      </c>
      <c r="N8396" t="s">
        <v>2476</v>
      </c>
      <c r="O8396" t="s">
        <v>2476</v>
      </c>
      <c r="P8396">
        <v>67300</v>
      </c>
      <c r="Q8396" t="str">
        <f>"41.273843"</f>
        <v>41.273843</v>
      </c>
      <c r="R8396" t="str">
        <f>"24.833447"</f>
        <v>24.833447</v>
      </c>
      <c r="S8396" t="s">
        <v>26</v>
      </c>
    </row>
    <row r="8397" spans="1:19" x14ac:dyDescent="0.3">
      <c r="A8397" t="s">
        <v>19</v>
      </c>
      <c r="B8397" t="s">
        <v>2087</v>
      </c>
      <c r="C8397" t="s">
        <v>2559</v>
      </c>
      <c r="D8397" t="s">
        <v>38</v>
      </c>
      <c r="E8397" t="s">
        <v>604</v>
      </c>
      <c r="F8397" t="s">
        <v>605</v>
      </c>
      <c r="G8397" t="s">
        <v>606</v>
      </c>
      <c r="H8397" t="s">
        <v>859</v>
      </c>
      <c r="I8397" t="s">
        <v>1102</v>
      </c>
      <c r="J8397" t="str">
        <f>"9521079"</f>
        <v>9521079</v>
      </c>
      <c r="K8397">
        <v>2541084658</v>
      </c>
      <c r="L8397">
        <v>2541084658</v>
      </c>
      <c r="M8397" t="s">
        <v>2560</v>
      </c>
      <c r="N8397" t="s">
        <v>2561</v>
      </c>
      <c r="O8397" t="s">
        <v>2562</v>
      </c>
      <c r="P8397">
        <v>67100</v>
      </c>
      <c r="Q8397" t="str">
        <f>"41.116761"</f>
        <v>41.116761</v>
      </c>
      <c r="R8397" t="str">
        <f>"24.911001"</f>
        <v>24.911001</v>
      </c>
      <c r="S8397" t="s">
        <v>26</v>
      </c>
    </row>
    <row r="8398" spans="1:19" x14ac:dyDescent="0.3">
      <c r="A8398" t="s">
        <v>19</v>
      </c>
      <c r="B8398" t="s">
        <v>2087</v>
      </c>
      <c r="C8398" t="s">
        <v>2563</v>
      </c>
      <c r="D8398" t="s">
        <v>38</v>
      </c>
      <c r="E8398" t="s">
        <v>638</v>
      </c>
      <c r="F8398" t="s">
        <v>638</v>
      </c>
      <c r="G8398" t="s">
        <v>638</v>
      </c>
      <c r="H8398" t="s">
        <v>859</v>
      </c>
      <c r="I8398" t="s">
        <v>860</v>
      </c>
      <c r="J8398" t="str">
        <f>"9521261"</f>
        <v>9521261</v>
      </c>
      <c r="K8398">
        <v>2544022115</v>
      </c>
      <c r="M8398" t="s">
        <v>2564</v>
      </c>
      <c r="N8398" t="s">
        <v>2565</v>
      </c>
      <c r="O8398" t="s">
        <v>2315</v>
      </c>
      <c r="P8398">
        <v>67300</v>
      </c>
      <c r="Q8398" t="str">
        <f>"41.231349"</f>
        <v>41.231349</v>
      </c>
      <c r="R8398" t="str">
        <f>"24.952064"</f>
        <v>24.952064</v>
      </c>
      <c r="S8398" t="s">
        <v>26</v>
      </c>
    </row>
    <row r="8399" spans="1:19" x14ac:dyDescent="0.3">
      <c r="A8399" t="s">
        <v>19</v>
      </c>
      <c r="B8399" t="s">
        <v>2087</v>
      </c>
      <c r="C8399" t="s">
        <v>2570</v>
      </c>
      <c r="D8399" t="s">
        <v>38</v>
      </c>
      <c r="E8399" t="s">
        <v>638</v>
      </c>
      <c r="F8399" t="s">
        <v>638</v>
      </c>
      <c r="G8399" t="s">
        <v>701</v>
      </c>
      <c r="H8399" t="s">
        <v>859</v>
      </c>
      <c r="I8399" t="s">
        <v>860</v>
      </c>
      <c r="J8399" t="str">
        <f>"9521541"</f>
        <v>9521541</v>
      </c>
      <c r="K8399">
        <v>2544022842</v>
      </c>
      <c r="M8399" t="s">
        <v>2571</v>
      </c>
      <c r="N8399" t="s">
        <v>701</v>
      </c>
      <c r="O8399" t="s">
        <v>705</v>
      </c>
      <c r="P8399">
        <v>67300</v>
      </c>
      <c r="Q8399" t="str">
        <f>"41.278113"</f>
        <v>41.278113</v>
      </c>
      <c r="R8399" t="str">
        <f>"24.971414"</f>
        <v>24.971414</v>
      </c>
      <c r="S8399" t="s">
        <v>26</v>
      </c>
    </row>
    <row r="8400" spans="1:19" x14ac:dyDescent="0.3">
      <c r="A8400" t="s">
        <v>19</v>
      </c>
      <c r="B8400" t="s">
        <v>2087</v>
      </c>
      <c r="C8400" t="s">
        <v>2572</v>
      </c>
      <c r="D8400" t="s">
        <v>38</v>
      </c>
      <c r="E8400" t="s">
        <v>38</v>
      </c>
      <c r="F8400" t="s">
        <v>38</v>
      </c>
      <c r="G8400" t="s">
        <v>2244</v>
      </c>
      <c r="H8400" t="s">
        <v>859</v>
      </c>
      <c r="I8400" t="s">
        <v>860</v>
      </c>
      <c r="J8400" t="str">
        <f>"9521539"</f>
        <v>9521539</v>
      </c>
      <c r="K8400">
        <v>2541084746</v>
      </c>
      <c r="L8400">
        <v>2541084746</v>
      </c>
      <c r="M8400" t="s">
        <v>2573</v>
      </c>
      <c r="N8400" t="s">
        <v>2574</v>
      </c>
      <c r="O8400" t="s">
        <v>2575</v>
      </c>
      <c r="P8400">
        <v>67100</v>
      </c>
      <c r="Q8400" t="str">
        <f>"41.147513"</f>
        <v>41.147513</v>
      </c>
      <c r="R8400" t="str">
        <f>"24.941970"</f>
        <v>24.941970</v>
      </c>
      <c r="S8400" t="s">
        <v>26</v>
      </c>
    </row>
    <row r="8401" spans="1:19" x14ac:dyDescent="0.3">
      <c r="A8401" t="s">
        <v>19</v>
      </c>
      <c r="B8401" t="s">
        <v>2087</v>
      </c>
      <c r="C8401" t="s">
        <v>2576</v>
      </c>
      <c r="D8401" t="s">
        <v>38</v>
      </c>
      <c r="E8401" t="s">
        <v>38</v>
      </c>
      <c r="F8401" t="s">
        <v>38</v>
      </c>
      <c r="G8401" t="s">
        <v>38</v>
      </c>
      <c r="H8401" t="s">
        <v>859</v>
      </c>
      <c r="I8401" t="s">
        <v>860</v>
      </c>
      <c r="J8401" t="str">
        <f>"9521467"</f>
        <v>9521467</v>
      </c>
      <c r="K8401">
        <v>2541020487</v>
      </c>
      <c r="M8401" t="s">
        <v>2577</v>
      </c>
      <c r="N8401" t="s">
        <v>38</v>
      </c>
      <c r="O8401" t="s">
        <v>2578</v>
      </c>
      <c r="P8401">
        <v>67131</v>
      </c>
      <c r="Q8401" t="str">
        <f>"41.130706"</f>
        <v>41.130706</v>
      </c>
      <c r="R8401" t="str">
        <f>"24.893582"</f>
        <v>24.893582</v>
      </c>
      <c r="S8401" t="s">
        <v>26</v>
      </c>
    </row>
    <row r="8402" spans="1:19" x14ac:dyDescent="0.3">
      <c r="A8402" t="s">
        <v>19</v>
      </c>
      <c r="B8402" t="s">
        <v>2087</v>
      </c>
      <c r="C8402" t="s">
        <v>2580</v>
      </c>
      <c r="D8402" t="s">
        <v>38</v>
      </c>
      <c r="E8402" t="s">
        <v>663</v>
      </c>
      <c r="F8402" t="s">
        <v>663</v>
      </c>
      <c r="G8402" t="s">
        <v>2579</v>
      </c>
      <c r="H8402" t="s">
        <v>859</v>
      </c>
      <c r="I8402" t="s">
        <v>1102</v>
      </c>
      <c r="J8402" t="str">
        <f>"9521559"</f>
        <v>9521559</v>
      </c>
      <c r="N8402" t="s">
        <v>2581</v>
      </c>
      <c r="O8402" t="s">
        <v>2582</v>
      </c>
      <c r="P8402">
        <v>0</v>
      </c>
      <c r="Q8402" t="str">
        <f>""</f>
        <v/>
      </c>
      <c r="R8402" t="str">
        <f>""</f>
        <v/>
      </c>
      <c r="S8402" t="s">
        <v>26</v>
      </c>
    </row>
    <row r="8403" spans="1:19" x14ac:dyDescent="0.3">
      <c r="A8403" t="s">
        <v>19</v>
      </c>
      <c r="B8403" t="s">
        <v>2087</v>
      </c>
      <c r="C8403" t="s">
        <v>2583</v>
      </c>
      <c r="D8403" t="s">
        <v>38</v>
      </c>
      <c r="E8403" t="s">
        <v>663</v>
      </c>
      <c r="F8403" t="s">
        <v>663</v>
      </c>
      <c r="G8403" t="s">
        <v>735</v>
      </c>
      <c r="H8403" t="s">
        <v>859</v>
      </c>
      <c r="I8403" t="s">
        <v>860</v>
      </c>
      <c r="J8403" t="str">
        <f>"9521542"</f>
        <v>9521542</v>
      </c>
      <c r="K8403">
        <v>2541041612</v>
      </c>
      <c r="M8403" t="s">
        <v>2584</v>
      </c>
      <c r="N8403" t="s">
        <v>2464</v>
      </c>
      <c r="O8403" t="s">
        <v>2585</v>
      </c>
      <c r="P8403">
        <v>67200</v>
      </c>
      <c r="Q8403" t="str">
        <f>"40.986958"</f>
        <v>40.986958</v>
      </c>
      <c r="R8403" t="str">
        <f>"24.776773"</f>
        <v>24.776773</v>
      </c>
      <c r="S8403" t="s">
        <v>26</v>
      </c>
    </row>
    <row r="8404" spans="1:19" x14ac:dyDescent="0.3">
      <c r="A8404" t="s">
        <v>19</v>
      </c>
      <c r="B8404" t="s">
        <v>2087</v>
      </c>
      <c r="C8404" t="s">
        <v>2586</v>
      </c>
      <c r="D8404" t="s">
        <v>38</v>
      </c>
      <c r="E8404" t="s">
        <v>638</v>
      </c>
      <c r="F8404" t="s">
        <v>638</v>
      </c>
      <c r="G8404" t="s">
        <v>638</v>
      </c>
      <c r="H8404" t="s">
        <v>859</v>
      </c>
      <c r="I8404" t="s">
        <v>860</v>
      </c>
      <c r="J8404" t="str">
        <f>"9521604"</f>
        <v>9521604</v>
      </c>
      <c r="K8404">
        <v>2541076948</v>
      </c>
      <c r="M8404" t="s">
        <v>2587</v>
      </c>
      <c r="N8404" t="s">
        <v>2588</v>
      </c>
      <c r="O8404" t="s">
        <v>2333</v>
      </c>
      <c r="P8404">
        <v>67100</v>
      </c>
      <c r="Q8404" t="str">
        <f>"41.191857"</f>
        <v>41.191857</v>
      </c>
      <c r="R8404" t="str">
        <f>"24.874393"</f>
        <v>24.874393</v>
      </c>
      <c r="S8404" t="s">
        <v>26</v>
      </c>
    </row>
    <row r="8405" spans="1:19" x14ac:dyDescent="0.3">
      <c r="A8405" t="s">
        <v>19</v>
      </c>
      <c r="B8405" t="s">
        <v>2087</v>
      </c>
      <c r="C8405" t="s">
        <v>2589</v>
      </c>
      <c r="D8405" t="s">
        <v>38</v>
      </c>
      <c r="E8405" t="s">
        <v>638</v>
      </c>
      <c r="F8405" t="s">
        <v>638</v>
      </c>
      <c r="G8405" t="s">
        <v>701</v>
      </c>
      <c r="H8405" t="s">
        <v>859</v>
      </c>
      <c r="I8405" t="s">
        <v>860</v>
      </c>
      <c r="J8405" t="str">
        <f>"9521605"</f>
        <v>9521605</v>
      </c>
      <c r="K8405">
        <v>2544022878</v>
      </c>
      <c r="M8405" t="s">
        <v>2590</v>
      </c>
      <c r="N8405" t="s">
        <v>2591</v>
      </c>
      <c r="O8405" t="s">
        <v>2291</v>
      </c>
      <c r="P8405">
        <v>67300</v>
      </c>
      <c r="Q8405" t="str">
        <f>"41.327138"</f>
        <v>41.327138</v>
      </c>
      <c r="R8405" t="str">
        <f>"24.934175"</f>
        <v>24.934175</v>
      </c>
      <c r="S8405" t="s">
        <v>26</v>
      </c>
    </row>
    <row r="8406" spans="1:19" x14ac:dyDescent="0.3">
      <c r="A8406" t="s">
        <v>19</v>
      </c>
      <c r="B8406" t="s">
        <v>2087</v>
      </c>
      <c r="C8406" t="s">
        <v>2592</v>
      </c>
      <c r="D8406" t="s">
        <v>38</v>
      </c>
      <c r="E8406" t="s">
        <v>604</v>
      </c>
      <c r="F8406" t="s">
        <v>2118</v>
      </c>
      <c r="G8406" t="s">
        <v>2118</v>
      </c>
      <c r="H8406" t="s">
        <v>859</v>
      </c>
      <c r="I8406" t="s">
        <v>860</v>
      </c>
      <c r="J8406" t="str">
        <f>"9521673"</f>
        <v>9521673</v>
      </c>
      <c r="K8406">
        <v>2541032144</v>
      </c>
      <c r="M8406" t="s">
        <v>2593</v>
      </c>
      <c r="N8406" t="s">
        <v>2594</v>
      </c>
      <c r="O8406" t="s">
        <v>2121</v>
      </c>
      <c r="P8406">
        <v>67064</v>
      </c>
      <c r="Q8406" t="str">
        <f>"41.135515"</f>
        <v>41.135515</v>
      </c>
      <c r="R8406" t="str">
        <f>"25.001681"</f>
        <v>25.001681</v>
      </c>
      <c r="S8406" t="s">
        <v>26</v>
      </c>
    </row>
    <row r="8407" spans="1:19" x14ac:dyDescent="0.3">
      <c r="A8407" t="s">
        <v>19</v>
      </c>
      <c r="B8407" t="s">
        <v>2087</v>
      </c>
      <c r="C8407" t="s">
        <v>2595</v>
      </c>
      <c r="D8407" t="s">
        <v>38</v>
      </c>
      <c r="E8407" t="s">
        <v>638</v>
      </c>
      <c r="F8407" t="s">
        <v>638</v>
      </c>
      <c r="G8407" t="s">
        <v>638</v>
      </c>
      <c r="H8407" t="s">
        <v>859</v>
      </c>
      <c r="I8407" t="s">
        <v>860</v>
      </c>
      <c r="J8407" t="str">
        <f>"9521726"</f>
        <v>9521726</v>
      </c>
      <c r="K8407">
        <v>2541029219</v>
      </c>
      <c r="M8407" t="s">
        <v>2596</v>
      </c>
      <c r="N8407" t="s">
        <v>2312</v>
      </c>
      <c r="O8407" t="s">
        <v>2597</v>
      </c>
      <c r="P8407">
        <v>67100</v>
      </c>
      <c r="Q8407" t="str">
        <f>"41.200781"</f>
        <v>41.200781</v>
      </c>
      <c r="R8407" t="str">
        <f>"24.870824"</f>
        <v>24.870824</v>
      </c>
      <c r="S8407" t="s">
        <v>26</v>
      </c>
    </row>
    <row r="8408" spans="1:19" x14ac:dyDescent="0.3">
      <c r="A8408" t="s">
        <v>19</v>
      </c>
      <c r="B8408" t="s">
        <v>2598</v>
      </c>
      <c r="C8408" t="s">
        <v>2778</v>
      </c>
      <c r="D8408" t="s">
        <v>43</v>
      </c>
      <c r="E8408" t="s">
        <v>44</v>
      </c>
      <c r="F8408" t="s">
        <v>814</v>
      </c>
      <c r="G8408" t="s">
        <v>2777</v>
      </c>
      <c r="H8408" t="s">
        <v>859</v>
      </c>
      <c r="I8408" t="s">
        <v>860</v>
      </c>
      <c r="J8408" t="str">
        <f>"9420271"</f>
        <v>9420271</v>
      </c>
      <c r="K8408">
        <v>2535031221</v>
      </c>
      <c r="L8408">
        <v>2535031221</v>
      </c>
      <c r="M8408" t="s">
        <v>2779</v>
      </c>
      <c r="N8408" t="s">
        <v>2777</v>
      </c>
      <c r="O8408" t="s">
        <v>2780</v>
      </c>
      <c r="P8408">
        <v>69100</v>
      </c>
      <c r="Q8408" t="str">
        <f>"40.958134"</f>
        <v>40.958134</v>
      </c>
      <c r="R8408" t="str">
        <f>"25.130145"</f>
        <v>25.130145</v>
      </c>
      <c r="S8408" t="s">
        <v>26</v>
      </c>
    </row>
    <row r="8409" spans="1:19" x14ac:dyDescent="0.3">
      <c r="A8409" t="s">
        <v>19</v>
      </c>
      <c r="B8409" t="s">
        <v>2598</v>
      </c>
      <c r="C8409" t="s">
        <v>2799</v>
      </c>
      <c r="D8409" t="s">
        <v>43</v>
      </c>
      <c r="E8409" t="s">
        <v>44</v>
      </c>
      <c r="F8409" t="s">
        <v>44</v>
      </c>
      <c r="G8409" t="s">
        <v>2798</v>
      </c>
      <c r="H8409" t="s">
        <v>859</v>
      </c>
      <c r="I8409" t="s">
        <v>860</v>
      </c>
      <c r="J8409" t="str">
        <f>"9420084"</f>
        <v>9420084</v>
      </c>
      <c r="K8409">
        <v>2531092202</v>
      </c>
      <c r="L8409">
        <v>2531092202</v>
      </c>
      <c r="M8409" t="s">
        <v>2800</v>
      </c>
      <c r="N8409" t="s">
        <v>43</v>
      </c>
      <c r="O8409" t="s">
        <v>2798</v>
      </c>
      <c r="P8409">
        <v>69100</v>
      </c>
      <c r="Q8409" t="str">
        <f>"41.142078"</f>
        <v>41.142078</v>
      </c>
      <c r="R8409" t="str">
        <f>"25.531271"</f>
        <v>25.531271</v>
      </c>
      <c r="S8409" t="s">
        <v>26</v>
      </c>
    </row>
    <row r="8410" spans="1:19" x14ac:dyDescent="0.3">
      <c r="A8410" t="s">
        <v>19</v>
      </c>
      <c r="B8410" t="s">
        <v>2598</v>
      </c>
      <c r="C8410" t="s">
        <v>2813</v>
      </c>
      <c r="D8410" t="s">
        <v>43</v>
      </c>
      <c r="E8410" t="s">
        <v>746</v>
      </c>
      <c r="F8410" t="s">
        <v>771</v>
      </c>
      <c r="G8410" t="s">
        <v>2781</v>
      </c>
      <c r="H8410" t="s">
        <v>859</v>
      </c>
      <c r="I8410" t="s">
        <v>860</v>
      </c>
      <c r="J8410" t="str">
        <f>"9420292"</f>
        <v>9420292</v>
      </c>
      <c r="K8410">
        <v>2531041600</v>
      </c>
      <c r="L8410">
        <v>2531041600</v>
      </c>
      <c r="M8410" t="s">
        <v>2814</v>
      </c>
      <c r="N8410" t="s">
        <v>2784</v>
      </c>
      <c r="O8410" t="s">
        <v>2815</v>
      </c>
      <c r="P8410">
        <v>69300</v>
      </c>
      <c r="Q8410" t="str">
        <f>"41.082321"</f>
        <v>41.082321</v>
      </c>
      <c r="R8410" t="str">
        <f>"25.615228"</f>
        <v>25.615228</v>
      </c>
      <c r="S8410" t="s">
        <v>26</v>
      </c>
    </row>
    <row r="8411" spans="1:19" x14ac:dyDescent="0.3">
      <c r="A8411" t="s">
        <v>19</v>
      </c>
      <c r="B8411" t="s">
        <v>2598</v>
      </c>
      <c r="C8411" t="s">
        <v>2822</v>
      </c>
      <c r="D8411" t="s">
        <v>43</v>
      </c>
      <c r="E8411" t="s">
        <v>44</v>
      </c>
      <c r="F8411" t="s">
        <v>44</v>
      </c>
      <c r="G8411" t="s">
        <v>44</v>
      </c>
      <c r="H8411" t="s">
        <v>859</v>
      </c>
      <c r="I8411" t="s">
        <v>860</v>
      </c>
      <c r="J8411" t="str">
        <f>"9420003"</f>
        <v>9420003</v>
      </c>
      <c r="K8411">
        <v>2531031304</v>
      </c>
      <c r="L8411">
        <v>2531031304</v>
      </c>
      <c r="M8411" t="s">
        <v>2823</v>
      </c>
      <c r="N8411" t="s">
        <v>44</v>
      </c>
      <c r="O8411" t="s">
        <v>2824</v>
      </c>
      <c r="P8411">
        <v>69133</v>
      </c>
      <c r="Q8411" t="str">
        <f>"41.112759"</f>
        <v>41.112759</v>
      </c>
      <c r="R8411" t="str">
        <f>"25.405818"</f>
        <v>25.405818</v>
      </c>
      <c r="S8411" t="s">
        <v>26</v>
      </c>
    </row>
    <row r="8412" spans="1:19" x14ac:dyDescent="0.3">
      <c r="A8412" t="s">
        <v>19</v>
      </c>
      <c r="B8412" t="s">
        <v>2598</v>
      </c>
      <c r="C8412" t="s">
        <v>2825</v>
      </c>
      <c r="D8412" t="s">
        <v>43</v>
      </c>
      <c r="E8412" t="s">
        <v>778</v>
      </c>
      <c r="F8412" t="s">
        <v>778</v>
      </c>
      <c r="G8412" t="s">
        <v>778</v>
      </c>
      <c r="H8412" t="s">
        <v>859</v>
      </c>
      <c r="I8412" t="s">
        <v>860</v>
      </c>
      <c r="J8412" t="str">
        <f>"9420030"</f>
        <v>9420030</v>
      </c>
      <c r="K8412">
        <v>2534024808</v>
      </c>
      <c r="L8412">
        <v>2534024808</v>
      </c>
      <c r="M8412" t="s">
        <v>2826</v>
      </c>
      <c r="N8412" t="s">
        <v>778</v>
      </c>
      <c r="O8412" t="s">
        <v>2827</v>
      </c>
      <c r="P8412">
        <v>69200</v>
      </c>
      <c r="Q8412" t="str">
        <f>"41.123277"</f>
        <v>41.123277</v>
      </c>
      <c r="R8412" t="str">
        <f>"25.202927"</f>
        <v>25.202927</v>
      </c>
      <c r="S8412" t="s">
        <v>26</v>
      </c>
    </row>
    <row r="8413" spans="1:19" x14ac:dyDescent="0.3">
      <c r="A8413" t="s">
        <v>19</v>
      </c>
      <c r="B8413" t="s">
        <v>2598</v>
      </c>
      <c r="C8413" t="s">
        <v>2881</v>
      </c>
      <c r="D8413" t="s">
        <v>43</v>
      </c>
      <c r="E8413" t="s">
        <v>44</v>
      </c>
      <c r="F8413" t="s">
        <v>44</v>
      </c>
      <c r="G8413" t="s">
        <v>44</v>
      </c>
      <c r="H8413" t="s">
        <v>859</v>
      </c>
      <c r="I8413" t="s">
        <v>860</v>
      </c>
      <c r="J8413" t="str">
        <f>"9420076"</f>
        <v>9420076</v>
      </c>
      <c r="K8413">
        <v>2531021646</v>
      </c>
      <c r="L8413">
        <v>2531021646</v>
      </c>
      <c r="M8413" t="s">
        <v>2882</v>
      </c>
      <c r="N8413" t="s">
        <v>44</v>
      </c>
      <c r="O8413" t="s">
        <v>2883</v>
      </c>
      <c r="P8413">
        <v>69133</v>
      </c>
      <c r="Q8413" t="str">
        <f>"41.122268"</f>
        <v>41.122268</v>
      </c>
      <c r="R8413" t="str">
        <f>"25.414697"</f>
        <v>25.414697</v>
      </c>
      <c r="S8413" t="s">
        <v>26</v>
      </c>
    </row>
    <row r="8414" spans="1:19" x14ac:dyDescent="0.3">
      <c r="A8414" t="s">
        <v>19</v>
      </c>
      <c r="B8414" t="s">
        <v>2598</v>
      </c>
      <c r="C8414" t="s">
        <v>2914</v>
      </c>
      <c r="D8414" t="s">
        <v>43</v>
      </c>
      <c r="E8414" t="s">
        <v>44</v>
      </c>
      <c r="F8414" t="s">
        <v>814</v>
      </c>
      <c r="G8414" t="s">
        <v>815</v>
      </c>
      <c r="H8414" t="s">
        <v>859</v>
      </c>
      <c r="I8414" t="s">
        <v>860</v>
      </c>
      <c r="J8414" t="str">
        <f>"9520941"</f>
        <v>9520941</v>
      </c>
      <c r="K8414">
        <v>2535021259</v>
      </c>
      <c r="L8414">
        <v>2535021259</v>
      </c>
      <c r="M8414" t="s">
        <v>2915</v>
      </c>
      <c r="N8414" t="s">
        <v>2916</v>
      </c>
      <c r="O8414" t="s">
        <v>2917</v>
      </c>
      <c r="P8414">
        <v>69150</v>
      </c>
      <c r="Q8414" t="str">
        <f>"41.036845"</f>
        <v>41.036845</v>
      </c>
      <c r="R8414" t="str">
        <f>"25.214826"</f>
        <v>25.214826</v>
      </c>
      <c r="S8414" t="s">
        <v>26</v>
      </c>
    </row>
    <row r="8415" spans="1:19" x14ac:dyDescent="0.3">
      <c r="A8415" t="s">
        <v>19</v>
      </c>
      <c r="B8415" t="s">
        <v>2598</v>
      </c>
      <c r="C8415" t="s">
        <v>2999</v>
      </c>
      <c r="D8415" t="s">
        <v>43</v>
      </c>
      <c r="E8415" t="s">
        <v>746</v>
      </c>
      <c r="F8415" t="s">
        <v>747</v>
      </c>
      <c r="G8415" t="s">
        <v>748</v>
      </c>
      <c r="H8415" t="s">
        <v>859</v>
      </c>
      <c r="I8415" t="s">
        <v>860</v>
      </c>
      <c r="J8415" t="str">
        <f>"9420102"</f>
        <v>9420102</v>
      </c>
      <c r="K8415">
        <v>2533022944</v>
      </c>
      <c r="L8415">
        <v>2533022944</v>
      </c>
      <c r="M8415" t="s">
        <v>3000</v>
      </c>
      <c r="N8415" t="s">
        <v>748</v>
      </c>
      <c r="O8415" t="s">
        <v>3001</v>
      </c>
      <c r="P8415">
        <v>69400</v>
      </c>
      <c r="Q8415" t="str">
        <f>"40.972227"</f>
        <v>40.972227</v>
      </c>
      <c r="R8415" t="str">
        <f>"25.423008"</f>
        <v>25.423008</v>
      </c>
      <c r="S8415" t="s">
        <v>26</v>
      </c>
    </row>
    <row r="8416" spans="1:19" x14ac:dyDescent="0.3">
      <c r="A8416" t="s">
        <v>19</v>
      </c>
      <c r="B8416" t="s">
        <v>2598</v>
      </c>
      <c r="C8416" t="s">
        <v>3020</v>
      </c>
      <c r="D8416" t="s">
        <v>43</v>
      </c>
      <c r="E8416" t="s">
        <v>746</v>
      </c>
      <c r="F8416" t="s">
        <v>747</v>
      </c>
      <c r="G8416" t="s">
        <v>747</v>
      </c>
      <c r="H8416" t="s">
        <v>859</v>
      </c>
      <c r="I8416" t="s">
        <v>860</v>
      </c>
      <c r="J8416" t="str">
        <f>"9520866"</f>
        <v>9520866</v>
      </c>
      <c r="K8416">
        <v>2532023633</v>
      </c>
      <c r="L8416">
        <v>2532023633</v>
      </c>
      <c r="M8416" t="s">
        <v>3021</v>
      </c>
      <c r="N8416" t="s">
        <v>2886</v>
      </c>
      <c r="O8416" t="s">
        <v>2886</v>
      </c>
      <c r="P8416">
        <v>69300</v>
      </c>
      <c r="Q8416" t="str">
        <f>"41.015012"</f>
        <v>41.015012</v>
      </c>
      <c r="R8416" t="str">
        <f>"25.678143"</f>
        <v>25.678143</v>
      </c>
      <c r="S8416" t="s">
        <v>26</v>
      </c>
    </row>
    <row r="8417" spans="1:19" x14ac:dyDescent="0.3">
      <c r="A8417" t="s">
        <v>19</v>
      </c>
      <c r="B8417" t="s">
        <v>2598</v>
      </c>
      <c r="C8417" t="s">
        <v>3034</v>
      </c>
      <c r="D8417" t="s">
        <v>43</v>
      </c>
      <c r="E8417" t="s">
        <v>44</v>
      </c>
      <c r="F8417" t="s">
        <v>44</v>
      </c>
      <c r="G8417" t="s">
        <v>44</v>
      </c>
      <c r="H8417" t="s">
        <v>859</v>
      </c>
      <c r="I8417" t="s">
        <v>860</v>
      </c>
      <c r="J8417" t="str">
        <f>"9420276"</f>
        <v>9420276</v>
      </c>
      <c r="K8417">
        <v>2531027262</v>
      </c>
      <c r="L8417">
        <v>2531027262</v>
      </c>
      <c r="M8417" t="s">
        <v>3035</v>
      </c>
      <c r="N8417" t="s">
        <v>44</v>
      </c>
      <c r="O8417" t="s">
        <v>3036</v>
      </c>
      <c r="P8417">
        <v>69100</v>
      </c>
      <c r="Q8417" t="str">
        <f>"41.114530"</f>
        <v>41.114530</v>
      </c>
      <c r="R8417" t="str">
        <f>"25.411268"</f>
        <v>25.411268</v>
      </c>
      <c r="S8417" t="s">
        <v>26</v>
      </c>
    </row>
    <row r="8418" spans="1:19" x14ac:dyDescent="0.3">
      <c r="A8418" t="s">
        <v>19</v>
      </c>
      <c r="B8418" t="s">
        <v>2598</v>
      </c>
      <c r="C8418" t="s">
        <v>3063</v>
      </c>
      <c r="D8418" t="s">
        <v>43</v>
      </c>
      <c r="E8418" t="s">
        <v>44</v>
      </c>
      <c r="F8418" t="s">
        <v>44</v>
      </c>
      <c r="G8418" t="s">
        <v>44</v>
      </c>
      <c r="H8418" t="s">
        <v>859</v>
      </c>
      <c r="I8418" t="s">
        <v>860</v>
      </c>
      <c r="J8418" t="str">
        <f>"9420290"</f>
        <v>9420290</v>
      </c>
      <c r="K8418">
        <v>2531030479</v>
      </c>
      <c r="L8418">
        <v>2531030479</v>
      </c>
      <c r="M8418" t="s">
        <v>3064</v>
      </c>
      <c r="N8418" t="s">
        <v>3065</v>
      </c>
      <c r="O8418" t="s">
        <v>3066</v>
      </c>
      <c r="P8418">
        <v>69100</v>
      </c>
      <c r="Q8418" t="str">
        <f>"41.130256"</f>
        <v>41.130256</v>
      </c>
      <c r="R8418" t="str">
        <f>"25.384254"</f>
        <v>25.384254</v>
      </c>
      <c r="S8418" t="s">
        <v>26</v>
      </c>
    </row>
    <row r="8419" spans="1:19" x14ac:dyDescent="0.3">
      <c r="A8419" t="s">
        <v>19</v>
      </c>
      <c r="B8419" t="s">
        <v>2598</v>
      </c>
      <c r="C8419" t="s">
        <v>3115</v>
      </c>
      <c r="D8419" t="s">
        <v>43</v>
      </c>
      <c r="E8419" t="s">
        <v>791</v>
      </c>
      <c r="F8419" t="s">
        <v>791</v>
      </c>
      <c r="G8419" t="s">
        <v>791</v>
      </c>
      <c r="H8419" t="s">
        <v>859</v>
      </c>
      <c r="I8419" t="s">
        <v>860</v>
      </c>
      <c r="J8419" t="str">
        <f>"9520939"</f>
        <v>9520939</v>
      </c>
      <c r="K8419">
        <v>2532041321</v>
      </c>
      <c r="M8419" t="s">
        <v>3116</v>
      </c>
      <c r="N8419" t="s">
        <v>2734</v>
      </c>
      <c r="O8419" t="s">
        <v>2734</v>
      </c>
      <c r="P8419">
        <v>69300</v>
      </c>
      <c r="Q8419" t="str">
        <f>"41.082567"</f>
        <v>41.082567</v>
      </c>
      <c r="R8419" t="str">
        <f>"25.695064"</f>
        <v>25.695064</v>
      </c>
      <c r="S8419" t="s">
        <v>26</v>
      </c>
    </row>
    <row r="8420" spans="1:19" x14ac:dyDescent="0.3">
      <c r="A8420" t="s">
        <v>19</v>
      </c>
      <c r="B8420" t="s">
        <v>2598</v>
      </c>
      <c r="C8420" t="s">
        <v>3117</v>
      </c>
      <c r="D8420" t="s">
        <v>43</v>
      </c>
      <c r="E8420" t="s">
        <v>44</v>
      </c>
      <c r="F8420" t="s">
        <v>814</v>
      </c>
      <c r="G8420" t="s">
        <v>814</v>
      </c>
      <c r="H8420" t="s">
        <v>859</v>
      </c>
      <c r="I8420" t="s">
        <v>860</v>
      </c>
      <c r="J8420" t="str">
        <f>"9420274"</f>
        <v>9420274</v>
      </c>
      <c r="K8420">
        <v>2531097237</v>
      </c>
      <c r="L8420">
        <v>2531097237</v>
      </c>
      <c r="M8420" t="s">
        <v>3118</v>
      </c>
      <c r="N8420" t="s">
        <v>814</v>
      </c>
      <c r="O8420" t="s">
        <v>3100</v>
      </c>
      <c r="P8420">
        <v>69100</v>
      </c>
      <c r="Q8420" t="str">
        <f>"41.086208"</f>
        <v>41.086208</v>
      </c>
      <c r="R8420" t="str">
        <f>"25.283248"</f>
        <v>25.283248</v>
      </c>
      <c r="S8420" t="s">
        <v>26</v>
      </c>
    </row>
    <row r="8421" spans="1:19" x14ac:dyDescent="0.3">
      <c r="A8421" t="s">
        <v>19</v>
      </c>
      <c r="B8421" t="s">
        <v>2598</v>
      </c>
      <c r="C8421" t="s">
        <v>3119</v>
      </c>
      <c r="D8421" t="s">
        <v>43</v>
      </c>
      <c r="E8421" t="s">
        <v>778</v>
      </c>
      <c r="F8421" t="s">
        <v>2676</v>
      </c>
      <c r="G8421" t="s">
        <v>2676</v>
      </c>
      <c r="H8421" t="s">
        <v>859</v>
      </c>
      <c r="I8421" t="s">
        <v>860</v>
      </c>
      <c r="J8421" t="str">
        <f>"9420016"</f>
        <v>9420016</v>
      </c>
      <c r="K8421">
        <v>2534031120</v>
      </c>
      <c r="L8421">
        <v>2534031120</v>
      </c>
      <c r="M8421" t="s">
        <v>3120</v>
      </c>
      <c r="N8421" t="s">
        <v>2676</v>
      </c>
      <c r="O8421" t="s">
        <v>2679</v>
      </c>
      <c r="P8421">
        <v>69200</v>
      </c>
      <c r="Q8421" t="str">
        <f>"41.124495"</f>
        <v>41.124495</v>
      </c>
      <c r="R8421" t="str">
        <f>"25.063561"</f>
        <v>25.063561</v>
      </c>
      <c r="S8421" t="s">
        <v>26</v>
      </c>
    </row>
    <row r="8422" spans="1:19" x14ac:dyDescent="0.3">
      <c r="A8422" t="s">
        <v>19</v>
      </c>
      <c r="B8422" t="s">
        <v>2598</v>
      </c>
      <c r="C8422" t="s">
        <v>3121</v>
      </c>
      <c r="D8422" t="s">
        <v>43</v>
      </c>
      <c r="E8422" t="s">
        <v>746</v>
      </c>
      <c r="F8422" t="s">
        <v>771</v>
      </c>
      <c r="G8422" t="s">
        <v>771</v>
      </c>
      <c r="H8422" t="s">
        <v>859</v>
      </c>
      <c r="I8422" t="s">
        <v>860</v>
      </c>
      <c r="J8422" t="str">
        <f>"9420114"</f>
        <v>9420114</v>
      </c>
      <c r="K8422">
        <v>2532022189</v>
      </c>
      <c r="M8422" t="s">
        <v>3122</v>
      </c>
      <c r="N8422" t="s">
        <v>771</v>
      </c>
      <c r="O8422" t="s">
        <v>3123</v>
      </c>
      <c r="P8422">
        <v>69300</v>
      </c>
      <c r="Q8422" t="str">
        <f>"41.025755"</f>
        <v>41.025755</v>
      </c>
      <c r="R8422" t="str">
        <f>"25.693942"</f>
        <v>25.693942</v>
      </c>
      <c r="S8422" t="s">
        <v>26</v>
      </c>
    </row>
    <row r="8423" spans="1:19" x14ac:dyDescent="0.3">
      <c r="A8423" t="s">
        <v>19</v>
      </c>
      <c r="B8423" t="s">
        <v>2598</v>
      </c>
      <c r="C8423" t="s">
        <v>3124</v>
      </c>
      <c r="D8423" t="s">
        <v>43</v>
      </c>
      <c r="E8423" t="s">
        <v>791</v>
      </c>
      <c r="F8423" t="s">
        <v>2631</v>
      </c>
      <c r="G8423" t="s">
        <v>2637</v>
      </c>
      <c r="H8423" t="s">
        <v>859</v>
      </c>
      <c r="I8423" t="s">
        <v>860</v>
      </c>
      <c r="J8423" t="str">
        <f>"9420118"</f>
        <v>9420118</v>
      </c>
      <c r="K8423">
        <v>2531042205</v>
      </c>
      <c r="L8423">
        <v>2531042205</v>
      </c>
      <c r="M8423" t="s">
        <v>3125</v>
      </c>
      <c r="N8423" t="s">
        <v>2637</v>
      </c>
      <c r="O8423" t="s">
        <v>3106</v>
      </c>
      <c r="P8423">
        <v>69100</v>
      </c>
      <c r="Q8423" t="str">
        <f>"41.080587"</f>
        <v>41.080587</v>
      </c>
      <c r="R8423" t="str">
        <f>"25.549768"</f>
        <v>25.549768</v>
      </c>
      <c r="S8423" t="s">
        <v>26</v>
      </c>
    </row>
    <row r="8424" spans="1:19" x14ac:dyDescent="0.3">
      <c r="A8424" t="s">
        <v>19</v>
      </c>
      <c r="B8424" t="s">
        <v>2598</v>
      </c>
      <c r="C8424" t="s">
        <v>3126</v>
      </c>
      <c r="D8424" t="s">
        <v>43</v>
      </c>
      <c r="E8424" t="s">
        <v>44</v>
      </c>
      <c r="F8424" t="s">
        <v>44</v>
      </c>
      <c r="G8424" t="s">
        <v>44</v>
      </c>
      <c r="H8424" t="s">
        <v>859</v>
      </c>
      <c r="I8424" t="s">
        <v>860</v>
      </c>
      <c r="J8424" t="str">
        <f>"9420002"</f>
        <v>9420002</v>
      </c>
      <c r="K8424">
        <v>2531028942</v>
      </c>
      <c r="L8424">
        <v>2531083595</v>
      </c>
      <c r="M8424" t="s">
        <v>3127</v>
      </c>
      <c r="N8424" t="s">
        <v>44</v>
      </c>
      <c r="O8424" t="s">
        <v>3128</v>
      </c>
      <c r="P8424">
        <v>69100</v>
      </c>
      <c r="Q8424" t="str">
        <f>"41.114288"</f>
        <v>41.114288</v>
      </c>
      <c r="R8424" t="str">
        <f>"25.401297"</f>
        <v>25.401297</v>
      </c>
      <c r="S8424" t="s">
        <v>26</v>
      </c>
    </row>
    <row r="8425" spans="1:19" x14ac:dyDescent="0.3">
      <c r="A8425" t="s">
        <v>19</v>
      </c>
      <c r="B8425" t="s">
        <v>2598</v>
      </c>
      <c r="C8425" t="s">
        <v>3129</v>
      </c>
      <c r="D8425" t="s">
        <v>43</v>
      </c>
      <c r="E8425" t="s">
        <v>44</v>
      </c>
      <c r="F8425" t="s">
        <v>44</v>
      </c>
      <c r="G8425" t="s">
        <v>44</v>
      </c>
      <c r="H8425" t="s">
        <v>859</v>
      </c>
      <c r="I8425" t="s">
        <v>860</v>
      </c>
      <c r="J8425" t="str">
        <f>"9420071"</f>
        <v>9420071</v>
      </c>
      <c r="K8425">
        <v>2531027066</v>
      </c>
      <c r="L8425">
        <v>2531027041</v>
      </c>
      <c r="M8425" t="s">
        <v>3130</v>
      </c>
      <c r="N8425" t="s">
        <v>44</v>
      </c>
      <c r="O8425" t="s">
        <v>3052</v>
      </c>
      <c r="P8425">
        <v>69100</v>
      </c>
      <c r="Q8425" t="str">
        <f>"41.114542"</f>
        <v>41.114542</v>
      </c>
      <c r="R8425" t="str">
        <f>"25.394983"</f>
        <v>25.394983</v>
      </c>
      <c r="S8425" t="s">
        <v>26</v>
      </c>
    </row>
    <row r="8426" spans="1:19" x14ac:dyDescent="0.3">
      <c r="A8426" t="s">
        <v>19</v>
      </c>
      <c r="B8426" t="s">
        <v>2598</v>
      </c>
      <c r="C8426" t="s">
        <v>3131</v>
      </c>
      <c r="D8426" t="s">
        <v>43</v>
      </c>
      <c r="E8426" t="s">
        <v>746</v>
      </c>
      <c r="F8426" t="s">
        <v>771</v>
      </c>
      <c r="G8426" t="s">
        <v>771</v>
      </c>
      <c r="H8426" t="s">
        <v>859</v>
      </c>
      <c r="I8426" t="s">
        <v>860</v>
      </c>
      <c r="J8426" t="str">
        <f>"9420289"</f>
        <v>9420289</v>
      </c>
      <c r="K8426">
        <v>2532023240</v>
      </c>
      <c r="L8426">
        <v>2532023240</v>
      </c>
      <c r="M8426" t="s">
        <v>3132</v>
      </c>
      <c r="N8426" t="s">
        <v>771</v>
      </c>
      <c r="O8426" t="s">
        <v>3133</v>
      </c>
      <c r="P8426">
        <v>69300</v>
      </c>
      <c r="Q8426" t="str">
        <f>"40.984362"</f>
        <v>40.984362</v>
      </c>
      <c r="R8426" t="str">
        <f>"25.647966"</f>
        <v>25.647966</v>
      </c>
      <c r="S8426" t="s">
        <v>26</v>
      </c>
    </row>
    <row r="8427" spans="1:19" x14ac:dyDescent="0.3">
      <c r="A8427" t="s">
        <v>19</v>
      </c>
      <c r="B8427" t="s">
        <v>2598</v>
      </c>
      <c r="C8427" t="s">
        <v>3134</v>
      </c>
      <c r="D8427" t="s">
        <v>43</v>
      </c>
      <c r="E8427" t="s">
        <v>44</v>
      </c>
      <c r="F8427" t="s">
        <v>44</v>
      </c>
      <c r="G8427" t="s">
        <v>3026</v>
      </c>
      <c r="H8427" t="s">
        <v>859</v>
      </c>
      <c r="I8427" t="s">
        <v>860</v>
      </c>
      <c r="J8427" t="str">
        <f>"9420097"</f>
        <v>9420097</v>
      </c>
      <c r="K8427">
        <v>2531032855</v>
      </c>
      <c r="L8427">
        <v>2531032855</v>
      </c>
      <c r="M8427" t="s">
        <v>3135</v>
      </c>
      <c r="N8427" t="s">
        <v>3026</v>
      </c>
      <c r="O8427" t="s">
        <v>3029</v>
      </c>
      <c r="P8427">
        <v>69132</v>
      </c>
      <c r="Q8427" t="str">
        <f>"41.086296"</f>
        <v>41.086296</v>
      </c>
      <c r="R8427" t="str">
        <f>"25.410897"</f>
        <v>25.410897</v>
      </c>
      <c r="S8427" t="s">
        <v>26</v>
      </c>
    </row>
    <row r="8428" spans="1:19" x14ac:dyDescent="0.3">
      <c r="A8428" t="s">
        <v>19</v>
      </c>
      <c r="B8428" t="s">
        <v>2598</v>
      </c>
      <c r="C8428" t="s">
        <v>3136</v>
      </c>
      <c r="D8428" t="s">
        <v>43</v>
      </c>
      <c r="E8428" t="s">
        <v>44</v>
      </c>
      <c r="F8428" t="s">
        <v>44</v>
      </c>
      <c r="G8428" t="s">
        <v>44</v>
      </c>
      <c r="H8428" t="s">
        <v>859</v>
      </c>
      <c r="I8428" t="s">
        <v>860</v>
      </c>
      <c r="J8428" t="str">
        <f>"9420272"</f>
        <v>9420272</v>
      </c>
      <c r="K8428">
        <v>2531021629</v>
      </c>
      <c r="L8428">
        <v>2531083593</v>
      </c>
      <c r="M8428" t="s">
        <v>3137</v>
      </c>
      <c r="N8428" t="s">
        <v>44</v>
      </c>
      <c r="O8428" t="s">
        <v>805</v>
      </c>
      <c r="P8428">
        <v>69132</v>
      </c>
      <c r="Q8428" t="str">
        <f>"41.128602"</f>
        <v>41.128602</v>
      </c>
      <c r="R8428" t="str">
        <f>"25.407344"</f>
        <v>25.407344</v>
      </c>
      <c r="S8428" t="s">
        <v>26</v>
      </c>
    </row>
    <row r="8429" spans="1:19" x14ac:dyDescent="0.3">
      <c r="A8429" t="s">
        <v>19</v>
      </c>
      <c r="B8429" t="s">
        <v>2598</v>
      </c>
      <c r="C8429" t="s">
        <v>3138</v>
      </c>
      <c r="D8429" t="s">
        <v>43</v>
      </c>
      <c r="E8429" t="s">
        <v>44</v>
      </c>
      <c r="F8429" t="s">
        <v>829</v>
      </c>
      <c r="G8429" t="s">
        <v>829</v>
      </c>
      <c r="H8429" t="s">
        <v>859</v>
      </c>
      <c r="I8429" t="s">
        <v>860</v>
      </c>
      <c r="J8429" t="str">
        <f>"9420039"</f>
        <v>9420039</v>
      </c>
      <c r="K8429">
        <v>2531051350</v>
      </c>
      <c r="L8429">
        <v>2531051350</v>
      </c>
      <c r="M8429" t="s">
        <v>3139</v>
      </c>
      <c r="N8429" t="s">
        <v>829</v>
      </c>
      <c r="O8429" t="s">
        <v>833</v>
      </c>
      <c r="P8429">
        <v>69100</v>
      </c>
      <c r="Q8429" t="str">
        <f>"41.023396"</f>
        <v>41.023396</v>
      </c>
      <c r="R8429" t="str">
        <f>"25.354803"</f>
        <v>25.354803</v>
      </c>
      <c r="S8429" t="s">
        <v>26</v>
      </c>
    </row>
    <row r="8430" spans="1:19" x14ac:dyDescent="0.3">
      <c r="A8430" t="s">
        <v>19</v>
      </c>
      <c r="B8430" t="s">
        <v>2598</v>
      </c>
      <c r="C8430" t="s">
        <v>3140</v>
      </c>
      <c r="D8430" t="s">
        <v>43</v>
      </c>
      <c r="E8430" t="s">
        <v>778</v>
      </c>
      <c r="F8430" t="s">
        <v>2611</v>
      </c>
      <c r="G8430" t="s">
        <v>2747</v>
      </c>
      <c r="H8430" t="s">
        <v>859</v>
      </c>
      <c r="I8430" t="s">
        <v>860</v>
      </c>
      <c r="J8430" t="str">
        <f>"9420065"</f>
        <v>9420065</v>
      </c>
      <c r="K8430">
        <v>2531095711</v>
      </c>
      <c r="L8430">
        <v>2531095711</v>
      </c>
      <c r="M8430" t="s">
        <v>3141</v>
      </c>
      <c r="N8430" t="s">
        <v>2747</v>
      </c>
      <c r="O8430" t="s">
        <v>2747</v>
      </c>
      <c r="P8430">
        <v>69200</v>
      </c>
      <c r="Q8430" t="str">
        <f>"41.136516"</f>
        <v>41.136516</v>
      </c>
      <c r="R8430" t="str">
        <f>"25.276742"</f>
        <v>25.276742</v>
      </c>
      <c r="S8430" t="s">
        <v>26</v>
      </c>
    </row>
    <row r="8431" spans="1:19" x14ac:dyDescent="0.3">
      <c r="A8431" t="s">
        <v>19</v>
      </c>
      <c r="B8431" t="s">
        <v>2598</v>
      </c>
      <c r="C8431" t="s">
        <v>3142</v>
      </c>
      <c r="D8431" t="s">
        <v>43</v>
      </c>
      <c r="E8431" t="s">
        <v>778</v>
      </c>
      <c r="F8431" t="s">
        <v>778</v>
      </c>
      <c r="G8431" t="s">
        <v>778</v>
      </c>
      <c r="H8431" t="s">
        <v>859</v>
      </c>
      <c r="I8431" t="s">
        <v>860</v>
      </c>
      <c r="J8431" t="str">
        <f>"9520771"</f>
        <v>9520771</v>
      </c>
      <c r="K8431">
        <v>2534024855</v>
      </c>
      <c r="L8431">
        <v>2534024855</v>
      </c>
      <c r="M8431" t="s">
        <v>3143</v>
      </c>
      <c r="N8431" t="s">
        <v>2703</v>
      </c>
      <c r="O8431" t="s">
        <v>2704</v>
      </c>
      <c r="P8431">
        <v>69200</v>
      </c>
      <c r="Q8431" t="str">
        <f>"41.118949"</f>
        <v>41.118949</v>
      </c>
      <c r="R8431" t="str">
        <f>"25.121592"</f>
        <v>25.121592</v>
      </c>
      <c r="S8431" t="s">
        <v>26</v>
      </c>
    </row>
    <row r="8432" spans="1:19" x14ac:dyDescent="0.3">
      <c r="A8432" t="s">
        <v>19</v>
      </c>
      <c r="B8432" t="s">
        <v>2598</v>
      </c>
      <c r="C8432" t="s">
        <v>3144</v>
      </c>
      <c r="D8432" t="s">
        <v>43</v>
      </c>
      <c r="E8432" t="s">
        <v>44</v>
      </c>
      <c r="F8432" t="s">
        <v>44</v>
      </c>
      <c r="G8432" t="s">
        <v>44</v>
      </c>
      <c r="H8432" t="s">
        <v>859</v>
      </c>
      <c r="I8432" t="s">
        <v>860</v>
      </c>
      <c r="J8432" t="str">
        <f>"9420073"</f>
        <v>9420073</v>
      </c>
      <c r="K8432">
        <v>2531022000</v>
      </c>
      <c r="L8432">
        <v>2531022000</v>
      </c>
      <c r="M8432" t="s">
        <v>3145</v>
      </c>
      <c r="N8432" t="s">
        <v>44</v>
      </c>
      <c r="O8432" t="s">
        <v>3146</v>
      </c>
      <c r="P8432">
        <v>69132</v>
      </c>
      <c r="Q8432" t="str">
        <f>"41.118144"</f>
        <v>41.118144</v>
      </c>
      <c r="R8432" t="str">
        <f>"25.393313"</f>
        <v>25.393313</v>
      </c>
      <c r="S8432" t="s">
        <v>26</v>
      </c>
    </row>
    <row r="8433" spans="1:19" x14ac:dyDescent="0.3">
      <c r="A8433" t="s">
        <v>19</v>
      </c>
      <c r="B8433" t="s">
        <v>2598</v>
      </c>
      <c r="C8433" t="s">
        <v>3150</v>
      </c>
      <c r="D8433" t="s">
        <v>43</v>
      </c>
      <c r="E8433" t="s">
        <v>44</v>
      </c>
      <c r="F8433" t="s">
        <v>44</v>
      </c>
      <c r="G8433" t="s">
        <v>44</v>
      </c>
      <c r="H8433" t="s">
        <v>859</v>
      </c>
      <c r="I8433" t="s">
        <v>860</v>
      </c>
      <c r="J8433" t="str">
        <f>"9420006"</f>
        <v>9420006</v>
      </c>
      <c r="K8433">
        <v>2531023874</v>
      </c>
      <c r="L8433">
        <v>2531023874</v>
      </c>
      <c r="M8433" t="s">
        <v>3151</v>
      </c>
      <c r="N8433" t="s">
        <v>47</v>
      </c>
      <c r="O8433" t="s">
        <v>3152</v>
      </c>
      <c r="P8433">
        <v>69100</v>
      </c>
      <c r="Q8433" t="str">
        <f>"41.109598"</f>
        <v>41.109598</v>
      </c>
      <c r="R8433" t="str">
        <f>"25.405058"</f>
        <v>25.405058</v>
      </c>
      <c r="S8433" t="s">
        <v>26</v>
      </c>
    </row>
    <row r="8434" spans="1:19" x14ac:dyDescent="0.3">
      <c r="A8434" t="s">
        <v>19</v>
      </c>
      <c r="B8434" t="s">
        <v>2598</v>
      </c>
      <c r="C8434" t="s">
        <v>3153</v>
      </c>
      <c r="D8434" t="s">
        <v>43</v>
      </c>
      <c r="E8434" t="s">
        <v>44</v>
      </c>
      <c r="F8434" t="s">
        <v>44</v>
      </c>
      <c r="G8434" t="s">
        <v>44</v>
      </c>
      <c r="H8434" t="s">
        <v>859</v>
      </c>
      <c r="I8434" t="s">
        <v>860</v>
      </c>
      <c r="J8434" t="str">
        <f>"9420075"</f>
        <v>9420075</v>
      </c>
      <c r="K8434">
        <v>2531027491</v>
      </c>
      <c r="L8434">
        <v>2531027491</v>
      </c>
      <c r="M8434" t="s">
        <v>3154</v>
      </c>
      <c r="N8434" t="s">
        <v>44</v>
      </c>
      <c r="O8434" t="s">
        <v>3155</v>
      </c>
      <c r="P8434">
        <v>69100</v>
      </c>
      <c r="Q8434" t="str">
        <f>"41.125932"</f>
        <v>41.125932</v>
      </c>
      <c r="R8434" t="str">
        <f>"25.410090"</f>
        <v>25.410090</v>
      </c>
      <c r="S8434" t="s">
        <v>26</v>
      </c>
    </row>
    <row r="8435" spans="1:19" x14ac:dyDescent="0.3">
      <c r="A8435" t="s">
        <v>19</v>
      </c>
      <c r="B8435" t="s">
        <v>2598</v>
      </c>
      <c r="C8435" t="s">
        <v>3156</v>
      </c>
      <c r="D8435" t="s">
        <v>43</v>
      </c>
      <c r="E8435" t="s">
        <v>44</v>
      </c>
      <c r="F8435" t="s">
        <v>44</v>
      </c>
      <c r="G8435" t="s">
        <v>44</v>
      </c>
      <c r="H8435" t="s">
        <v>859</v>
      </c>
      <c r="I8435" t="s">
        <v>860</v>
      </c>
      <c r="J8435" t="str">
        <f>"9420280"</f>
        <v>9420280</v>
      </c>
      <c r="K8435">
        <v>2531021627</v>
      </c>
      <c r="L8435">
        <v>2531021627</v>
      </c>
      <c r="M8435" t="s">
        <v>3157</v>
      </c>
      <c r="N8435" t="s">
        <v>44</v>
      </c>
      <c r="O8435" t="s">
        <v>3158</v>
      </c>
      <c r="P8435">
        <v>69100</v>
      </c>
      <c r="Q8435" t="str">
        <f>"41.121602"</f>
        <v>41.121602</v>
      </c>
      <c r="R8435" t="str">
        <f>"25.393039"</f>
        <v>25.393039</v>
      </c>
      <c r="S8435" t="s">
        <v>26</v>
      </c>
    </row>
    <row r="8436" spans="1:19" x14ac:dyDescent="0.3">
      <c r="A8436" t="s">
        <v>19</v>
      </c>
      <c r="B8436" t="s">
        <v>2598</v>
      </c>
      <c r="C8436" t="s">
        <v>3159</v>
      </c>
      <c r="D8436" t="s">
        <v>43</v>
      </c>
      <c r="E8436" t="s">
        <v>44</v>
      </c>
      <c r="F8436" t="s">
        <v>44</v>
      </c>
      <c r="G8436" t="s">
        <v>44</v>
      </c>
      <c r="H8436" t="s">
        <v>859</v>
      </c>
      <c r="I8436" t="s">
        <v>860</v>
      </c>
      <c r="J8436" t="str">
        <f>"9420281"</f>
        <v>9420281</v>
      </c>
      <c r="K8436">
        <v>2531027491</v>
      </c>
      <c r="L8436">
        <v>2531027491</v>
      </c>
      <c r="M8436" t="s">
        <v>3160</v>
      </c>
      <c r="N8436" t="s">
        <v>44</v>
      </c>
      <c r="O8436" t="s">
        <v>3155</v>
      </c>
      <c r="P8436">
        <v>69100</v>
      </c>
      <c r="Q8436" t="str">
        <f>"41.125915"</f>
        <v>41.125915</v>
      </c>
      <c r="R8436" t="str">
        <f>"25.409922"</f>
        <v>25.409922</v>
      </c>
      <c r="S8436" t="s">
        <v>26</v>
      </c>
    </row>
    <row r="8437" spans="1:19" x14ac:dyDescent="0.3">
      <c r="A8437" t="s">
        <v>19</v>
      </c>
      <c r="B8437" t="s">
        <v>2598</v>
      </c>
      <c r="C8437" t="s">
        <v>3161</v>
      </c>
      <c r="D8437" t="s">
        <v>43</v>
      </c>
      <c r="E8437" t="s">
        <v>44</v>
      </c>
      <c r="F8437" t="s">
        <v>44</v>
      </c>
      <c r="G8437" t="s">
        <v>44</v>
      </c>
      <c r="H8437" t="s">
        <v>859</v>
      </c>
      <c r="I8437" t="s">
        <v>860</v>
      </c>
      <c r="J8437" t="str">
        <f>"9420282"</f>
        <v>9420282</v>
      </c>
      <c r="K8437">
        <v>2531021767</v>
      </c>
      <c r="M8437" t="s">
        <v>3162</v>
      </c>
      <c r="N8437" t="s">
        <v>44</v>
      </c>
      <c r="O8437" t="s">
        <v>3163</v>
      </c>
      <c r="P8437">
        <v>69100</v>
      </c>
      <c r="Q8437" t="str">
        <f>"41.125296"</f>
        <v>41.125296</v>
      </c>
      <c r="R8437" t="str">
        <f>"25.396237"</f>
        <v>25.396237</v>
      </c>
      <c r="S8437" t="s">
        <v>26</v>
      </c>
    </row>
    <row r="8438" spans="1:19" x14ac:dyDescent="0.3">
      <c r="A8438" t="s">
        <v>19</v>
      </c>
      <c r="B8438" t="s">
        <v>2598</v>
      </c>
      <c r="C8438" t="s">
        <v>3164</v>
      </c>
      <c r="D8438" t="s">
        <v>43</v>
      </c>
      <c r="E8438" t="s">
        <v>44</v>
      </c>
      <c r="F8438" t="s">
        <v>44</v>
      </c>
      <c r="G8438" t="s">
        <v>44</v>
      </c>
      <c r="H8438" t="s">
        <v>859</v>
      </c>
      <c r="I8438" t="s">
        <v>860</v>
      </c>
      <c r="J8438" t="str">
        <f>"9420286"</f>
        <v>9420286</v>
      </c>
      <c r="K8438">
        <v>2531031369</v>
      </c>
      <c r="L8438">
        <v>2531031369</v>
      </c>
      <c r="M8438" t="s">
        <v>3165</v>
      </c>
      <c r="N8438" t="s">
        <v>44</v>
      </c>
      <c r="O8438" t="s">
        <v>3166</v>
      </c>
      <c r="P8438">
        <v>69100</v>
      </c>
      <c r="Q8438" t="str">
        <f>"41.115009"</f>
        <v>41.115009</v>
      </c>
      <c r="R8438" t="str">
        <f>"25.396737"</f>
        <v>25.396737</v>
      </c>
      <c r="S8438" t="s">
        <v>26</v>
      </c>
    </row>
    <row r="8439" spans="1:19" x14ac:dyDescent="0.3">
      <c r="A8439" t="s">
        <v>19</v>
      </c>
      <c r="B8439" t="s">
        <v>2598</v>
      </c>
      <c r="C8439" t="s">
        <v>3175</v>
      </c>
      <c r="D8439" t="s">
        <v>43</v>
      </c>
      <c r="E8439" t="s">
        <v>746</v>
      </c>
      <c r="F8439" t="s">
        <v>747</v>
      </c>
      <c r="G8439" t="s">
        <v>2627</v>
      </c>
      <c r="H8439" t="s">
        <v>859</v>
      </c>
      <c r="I8439" t="s">
        <v>860</v>
      </c>
      <c r="J8439" t="str">
        <f>"9521251"</f>
        <v>9521251</v>
      </c>
      <c r="K8439">
        <v>2533071401</v>
      </c>
      <c r="L8439">
        <v>2533071401</v>
      </c>
      <c r="M8439" t="s">
        <v>3176</v>
      </c>
      <c r="N8439" t="s">
        <v>2944</v>
      </c>
      <c r="O8439" t="s">
        <v>2944</v>
      </c>
      <c r="P8439">
        <v>69400</v>
      </c>
      <c r="Q8439" t="str">
        <f>"41.013419"</f>
        <v>41.013419</v>
      </c>
      <c r="R8439" t="str">
        <f>"25.513512"</f>
        <v>25.513512</v>
      </c>
      <c r="S8439" t="s">
        <v>26</v>
      </c>
    </row>
    <row r="8440" spans="1:19" x14ac:dyDescent="0.3">
      <c r="A8440" t="s">
        <v>19</v>
      </c>
      <c r="B8440" t="s">
        <v>2598</v>
      </c>
      <c r="C8440" t="s">
        <v>3177</v>
      </c>
      <c r="D8440" t="s">
        <v>43</v>
      </c>
      <c r="E8440" t="s">
        <v>791</v>
      </c>
      <c r="F8440" t="s">
        <v>791</v>
      </c>
      <c r="G8440" t="s">
        <v>2723</v>
      </c>
      <c r="H8440" t="s">
        <v>859</v>
      </c>
      <c r="I8440" t="s">
        <v>860</v>
      </c>
      <c r="J8440" t="str">
        <f>"9521254"</f>
        <v>9521254</v>
      </c>
      <c r="K8440">
        <v>2532041818</v>
      </c>
      <c r="M8440" t="s">
        <v>3178</v>
      </c>
      <c r="N8440" t="s">
        <v>2726</v>
      </c>
      <c r="O8440" t="s">
        <v>2723</v>
      </c>
      <c r="P8440">
        <v>69300</v>
      </c>
      <c r="Q8440" t="str">
        <f>"41.063396"</f>
        <v>41.063396</v>
      </c>
      <c r="R8440" t="str">
        <f>"25.686330"</f>
        <v>25.686330</v>
      </c>
      <c r="S8440" t="s">
        <v>26</v>
      </c>
    </row>
    <row r="8441" spans="1:19" x14ac:dyDescent="0.3">
      <c r="A8441" t="s">
        <v>19</v>
      </c>
      <c r="B8441" t="s">
        <v>2598</v>
      </c>
      <c r="C8441" t="s">
        <v>3179</v>
      </c>
      <c r="D8441" t="s">
        <v>43</v>
      </c>
      <c r="E8441" t="s">
        <v>791</v>
      </c>
      <c r="F8441" t="s">
        <v>2631</v>
      </c>
      <c r="G8441" t="s">
        <v>2759</v>
      </c>
      <c r="H8441" t="s">
        <v>859</v>
      </c>
      <c r="I8441" t="s">
        <v>860</v>
      </c>
      <c r="J8441" t="str">
        <f>"9521252"</f>
        <v>9521252</v>
      </c>
      <c r="N8441" t="s">
        <v>2759</v>
      </c>
      <c r="O8441" t="s">
        <v>2759</v>
      </c>
      <c r="P8441">
        <v>0</v>
      </c>
      <c r="Q8441" t="str">
        <f>""</f>
        <v/>
      </c>
      <c r="R8441" t="str">
        <f>""</f>
        <v/>
      </c>
      <c r="S8441" t="s">
        <v>26</v>
      </c>
    </row>
    <row r="8442" spans="1:19" x14ac:dyDescent="0.3">
      <c r="A8442" t="s">
        <v>19</v>
      </c>
      <c r="B8442" t="s">
        <v>2598</v>
      </c>
      <c r="C8442" t="s">
        <v>3181</v>
      </c>
      <c r="D8442" t="s">
        <v>43</v>
      </c>
      <c r="E8442" t="s">
        <v>44</v>
      </c>
      <c r="F8442" t="s">
        <v>44</v>
      </c>
      <c r="G8442" t="s">
        <v>44</v>
      </c>
      <c r="H8442" t="s">
        <v>859</v>
      </c>
      <c r="I8442" t="s">
        <v>860</v>
      </c>
      <c r="J8442" t="str">
        <f>"9521301"</f>
        <v>9521301</v>
      </c>
      <c r="K8442">
        <v>2531020281</v>
      </c>
      <c r="L8442">
        <v>2531020281</v>
      </c>
      <c r="M8442" t="s">
        <v>3182</v>
      </c>
      <c r="N8442" t="s">
        <v>47</v>
      </c>
      <c r="O8442" t="s">
        <v>3183</v>
      </c>
      <c r="P8442">
        <v>69100</v>
      </c>
      <c r="Q8442" t="str">
        <f>"41.114227"</f>
        <v>41.114227</v>
      </c>
      <c r="R8442" t="str">
        <f>"25.414036"</f>
        <v>25.414036</v>
      </c>
      <c r="S8442" t="s">
        <v>26</v>
      </c>
    </row>
    <row r="8443" spans="1:19" x14ac:dyDescent="0.3">
      <c r="A8443" t="s">
        <v>19</v>
      </c>
      <c r="B8443" t="s">
        <v>2598</v>
      </c>
      <c r="C8443" t="s">
        <v>3184</v>
      </c>
      <c r="D8443" t="s">
        <v>43</v>
      </c>
      <c r="E8443" t="s">
        <v>44</v>
      </c>
      <c r="F8443" t="s">
        <v>44</v>
      </c>
      <c r="G8443" t="s">
        <v>2868</v>
      </c>
      <c r="H8443" t="s">
        <v>859</v>
      </c>
      <c r="I8443" t="s">
        <v>860</v>
      </c>
      <c r="J8443" t="str">
        <f>"9420090"</f>
        <v>9420090</v>
      </c>
      <c r="K8443">
        <v>2531098323</v>
      </c>
      <c r="L8443">
        <v>2531098323</v>
      </c>
      <c r="M8443" t="s">
        <v>3185</v>
      </c>
      <c r="N8443" t="s">
        <v>3186</v>
      </c>
      <c r="O8443" t="s">
        <v>3186</v>
      </c>
      <c r="P8443">
        <v>69100</v>
      </c>
      <c r="Q8443" t="str">
        <f>"41.077439"</f>
        <v>41.077439</v>
      </c>
      <c r="R8443" t="str">
        <f>"25.478707"</f>
        <v>25.478707</v>
      </c>
      <c r="S8443" t="s">
        <v>26</v>
      </c>
    </row>
    <row r="8444" spans="1:19" x14ac:dyDescent="0.3">
      <c r="A8444" t="s">
        <v>19</v>
      </c>
      <c r="B8444" t="s">
        <v>2598</v>
      </c>
      <c r="C8444" t="s">
        <v>3187</v>
      </c>
      <c r="D8444" t="s">
        <v>43</v>
      </c>
      <c r="E8444" t="s">
        <v>44</v>
      </c>
      <c r="F8444" t="s">
        <v>44</v>
      </c>
      <c r="G8444" t="s">
        <v>44</v>
      </c>
      <c r="H8444" t="s">
        <v>859</v>
      </c>
      <c r="I8444" t="s">
        <v>860</v>
      </c>
      <c r="J8444" t="str">
        <f>"9521302"</f>
        <v>9521302</v>
      </c>
      <c r="K8444">
        <v>2531020552</v>
      </c>
      <c r="L8444">
        <v>2531021054</v>
      </c>
      <c r="M8444" t="s">
        <v>3188</v>
      </c>
      <c r="N8444" t="s">
        <v>44</v>
      </c>
      <c r="O8444" t="s">
        <v>3052</v>
      </c>
      <c r="P8444">
        <v>69100</v>
      </c>
      <c r="Q8444" t="str">
        <f>"41.115294"</f>
        <v>41.115294</v>
      </c>
      <c r="R8444" t="str">
        <f>"25.395991"</f>
        <v>25.395991</v>
      </c>
      <c r="S8444" t="s">
        <v>26</v>
      </c>
    </row>
    <row r="8445" spans="1:19" x14ac:dyDescent="0.3">
      <c r="A8445" t="s">
        <v>19</v>
      </c>
      <c r="B8445" t="s">
        <v>2598</v>
      </c>
      <c r="C8445" t="s">
        <v>3189</v>
      </c>
      <c r="D8445" t="s">
        <v>43</v>
      </c>
      <c r="E8445" t="s">
        <v>44</v>
      </c>
      <c r="F8445" t="s">
        <v>44</v>
      </c>
      <c r="G8445" t="s">
        <v>44</v>
      </c>
      <c r="H8445" t="s">
        <v>859</v>
      </c>
      <c r="I8445" t="s">
        <v>1102</v>
      </c>
      <c r="J8445" t="str">
        <f>"9420293"</f>
        <v>9420293</v>
      </c>
      <c r="K8445">
        <v>2531026536</v>
      </c>
      <c r="M8445" t="s">
        <v>3190</v>
      </c>
      <c r="N8445" t="s">
        <v>44</v>
      </c>
      <c r="O8445" t="s">
        <v>3191</v>
      </c>
      <c r="P8445">
        <v>69100</v>
      </c>
      <c r="Q8445" t="str">
        <f>"41.115137"</f>
        <v>41.115137</v>
      </c>
      <c r="R8445" t="str">
        <f>"25.381793"</f>
        <v>25.381793</v>
      </c>
      <c r="S8445" t="s">
        <v>26</v>
      </c>
    </row>
    <row r="8446" spans="1:19" x14ac:dyDescent="0.3">
      <c r="A8446" t="s">
        <v>19</v>
      </c>
      <c r="B8446" t="s">
        <v>2598</v>
      </c>
      <c r="C8446" t="s">
        <v>3206</v>
      </c>
      <c r="D8446" t="s">
        <v>43</v>
      </c>
      <c r="E8446" t="s">
        <v>746</v>
      </c>
      <c r="F8446" t="s">
        <v>747</v>
      </c>
      <c r="G8446" t="s">
        <v>2657</v>
      </c>
      <c r="H8446" t="s">
        <v>859</v>
      </c>
      <c r="I8446" t="s">
        <v>860</v>
      </c>
      <c r="J8446" t="str">
        <f>"9521547"</f>
        <v>9521547</v>
      </c>
      <c r="K8446">
        <v>2531087007</v>
      </c>
      <c r="L8446">
        <v>2531087007</v>
      </c>
      <c r="M8446" t="s">
        <v>3207</v>
      </c>
      <c r="N8446" t="s">
        <v>2949</v>
      </c>
      <c r="O8446" t="s">
        <v>2949</v>
      </c>
      <c r="P8446">
        <v>69100</v>
      </c>
      <c r="Q8446" t="str">
        <f>"41.054494"</f>
        <v>41.054494</v>
      </c>
      <c r="R8446" t="str">
        <f>"25.505338"</f>
        <v>25.505338</v>
      </c>
      <c r="S8446" t="s">
        <v>26</v>
      </c>
    </row>
    <row r="8447" spans="1:19" x14ac:dyDescent="0.3">
      <c r="A8447" t="s">
        <v>19</v>
      </c>
      <c r="B8447" t="s">
        <v>2598</v>
      </c>
      <c r="C8447" t="s">
        <v>3208</v>
      </c>
      <c r="D8447" t="s">
        <v>43</v>
      </c>
      <c r="E8447" t="s">
        <v>791</v>
      </c>
      <c r="F8447" t="s">
        <v>792</v>
      </c>
      <c r="G8447" t="s">
        <v>792</v>
      </c>
      <c r="H8447" t="s">
        <v>859</v>
      </c>
      <c r="I8447" t="s">
        <v>860</v>
      </c>
      <c r="J8447" t="str">
        <f>"9521548"</f>
        <v>9521548</v>
      </c>
      <c r="K8447">
        <v>2531070365</v>
      </c>
      <c r="M8447" t="s">
        <v>3209</v>
      </c>
      <c r="N8447" t="s">
        <v>3210</v>
      </c>
      <c r="O8447" t="s">
        <v>2935</v>
      </c>
      <c r="P8447">
        <v>69100</v>
      </c>
      <c r="Q8447" t="str">
        <f>"41.309132"</f>
        <v>41.309132</v>
      </c>
      <c r="R8447" t="str">
        <f>"25.806883"</f>
        <v>25.806883</v>
      </c>
      <c r="S8447" t="s">
        <v>57</v>
      </c>
    </row>
    <row r="8448" spans="1:19" x14ac:dyDescent="0.3">
      <c r="A8448" t="s">
        <v>19</v>
      </c>
      <c r="B8448" t="s">
        <v>2598</v>
      </c>
      <c r="C8448" t="s">
        <v>3211</v>
      </c>
      <c r="D8448" t="s">
        <v>43</v>
      </c>
      <c r="E8448" t="s">
        <v>791</v>
      </c>
      <c r="F8448" t="s">
        <v>792</v>
      </c>
      <c r="G8448" t="s">
        <v>792</v>
      </c>
      <c r="H8448" t="s">
        <v>859</v>
      </c>
      <c r="I8448" t="s">
        <v>860</v>
      </c>
      <c r="J8448" t="str">
        <f>"9521551"</f>
        <v>9521551</v>
      </c>
      <c r="K8448">
        <v>2531084022</v>
      </c>
      <c r="M8448" t="s">
        <v>3212</v>
      </c>
      <c r="N8448" t="s">
        <v>3213</v>
      </c>
      <c r="O8448" t="s">
        <v>2905</v>
      </c>
      <c r="P8448">
        <v>69100</v>
      </c>
      <c r="Q8448" t="str">
        <f>"41.304602"</f>
        <v>41.304602</v>
      </c>
      <c r="R8448" t="str">
        <f>"25.671152"</f>
        <v>25.671152</v>
      </c>
      <c r="S8448" t="s">
        <v>57</v>
      </c>
    </row>
    <row r="8449" spans="1:19" x14ac:dyDescent="0.3">
      <c r="A8449" t="s">
        <v>19</v>
      </c>
      <c r="B8449" t="s">
        <v>2598</v>
      </c>
      <c r="C8449" t="s">
        <v>3214</v>
      </c>
      <c r="D8449" t="s">
        <v>43</v>
      </c>
      <c r="E8449" t="s">
        <v>778</v>
      </c>
      <c r="F8449" t="s">
        <v>2611</v>
      </c>
      <c r="G8449" t="s">
        <v>2707</v>
      </c>
      <c r="H8449" t="s">
        <v>859</v>
      </c>
      <c r="I8449" t="s">
        <v>860</v>
      </c>
      <c r="J8449" t="str">
        <f>"9521549"</f>
        <v>9521549</v>
      </c>
      <c r="K8449">
        <v>2531095583</v>
      </c>
      <c r="M8449" t="s">
        <v>3215</v>
      </c>
      <c r="N8449" t="s">
        <v>3216</v>
      </c>
      <c r="O8449" t="s">
        <v>3217</v>
      </c>
      <c r="P8449">
        <v>69200</v>
      </c>
      <c r="Q8449" t="str">
        <f>"41.146765"</f>
        <v>41.146765</v>
      </c>
      <c r="R8449" t="str">
        <f>"25.300825"</f>
        <v>25.300825</v>
      </c>
      <c r="S8449" t="s">
        <v>26</v>
      </c>
    </row>
    <row r="8450" spans="1:19" x14ac:dyDescent="0.3">
      <c r="A8450" t="s">
        <v>19</v>
      </c>
      <c r="B8450" t="s">
        <v>2598</v>
      </c>
      <c r="C8450" t="s">
        <v>3218</v>
      </c>
      <c r="D8450" t="s">
        <v>43</v>
      </c>
      <c r="E8450" t="s">
        <v>44</v>
      </c>
      <c r="F8450" t="s">
        <v>44</v>
      </c>
      <c r="G8450" t="s">
        <v>2606</v>
      </c>
      <c r="H8450" t="s">
        <v>859</v>
      </c>
      <c r="I8450" t="s">
        <v>860</v>
      </c>
      <c r="J8450" t="str">
        <f>"9521546"</f>
        <v>9521546</v>
      </c>
      <c r="K8450">
        <v>2531087554</v>
      </c>
      <c r="L8450">
        <v>2531087554</v>
      </c>
      <c r="M8450" t="s">
        <v>3219</v>
      </c>
      <c r="N8450" t="s">
        <v>3220</v>
      </c>
      <c r="O8450" t="s">
        <v>3220</v>
      </c>
      <c r="P8450">
        <v>69100</v>
      </c>
      <c r="Q8450" t="str">
        <f>"41.140808"</f>
        <v>41.140808</v>
      </c>
      <c r="R8450" t="str">
        <f>"25.464722"</f>
        <v>25.464722</v>
      </c>
      <c r="S8450" t="s">
        <v>26</v>
      </c>
    </row>
    <row r="8451" spans="1:19" x14ac:dyDescent="0.3">
      <c r="A8451" t="s">
        <v>19</v>
      </c>
      <c r="B8451" t="s">
        <v>2598</v>
      </c>
      <c r="C8451" t="s">
        <v>3224</v>
      </c>
      <c r="D8451" t="s">
        <v>43</v>
      </c>
      <c r="E8451" t="s">
        <v>791</v>
      </c>
      <c r="F8451" t="s">
        <v>2631</v>
      </c>
      <c r="G8451" t="s">
        <v>2895</v>
      </c>
      <c r="H8451" t="s">
        <v>859</v>
      </c>
      <c r="I8451" t="s">
        <v>860</v>
      </c>
      <c r="J8451" t="str">
        <f>"9521715"</f>
        <v>9521715</v>
      </c>
      <c r="K8451">
        <v>2531042059</v>
      </c>
      <c r="M8451" t="s">
        <v>3225</v>
      </c>
      <c r="N8451" t="s">
        <v>43</v>
      </c>
      <c r="O8451" t="s">
        <v>2898</v>
      </c>
      <c r="P8451">
        <v>69132</v>
      </c>
      <c r="Q8451" t="str">
        <f>"41.096242"</f>
        <v>41.096242</v>
      </c>
      <c r="R8451" t="str">
        <f>"25.584806"</f>
        <v>25.584806</v>
      </c>
      <c r="S8451" t="s">
        <v>26</v>
      </c>
    </row>
    <row r="8452" spans="1:19" x14ac:dyDescent="0.3">
      <c r="A8452" t="s">
        <v>19</v>
      </c>
      <c r="B8452" t="s">
        <v>2598</v>
      </c>
      <c r="C8452" t="s">
        <v>3226</v>
      </c>
      <c r="D8452" t="s">
        <v>43</v>
      </c>
      <c r="E8452" t="s">
        <v>791</v>
      </c>
      <c r="F8452" t="s">
        <v>2631</v>
      </c>
      <c r="G8452" t="s">
        <v>2712</v>
      </c>
      <c r="H8452" t="s">
        <v>859</v>
      </c>
      <c r="I8452" t="s">
        <v>860</v>
      </c>
      <c r="J8452" t="str">
        <f>"9521716"</f>
        <v>9521716</v>
      </c>
      <c r="K8452">
        <v>2531041111</v>
      </c>
      <c r="L8452">
        <v>2531041111</v>
      </c>
      <c r="M8452" t="s">
        <v>3227</v>
      </c>
      <c r="N8452" t="s">
        <v>2715</v>
      </c>
      <c r="O8452" t="s">
        <v>2715</v>
      </c>
      <c r="P8452">
        <v>69100</v>
      </c>
      <c r="Q8452" t="str">
        <f>"41.074514"</f>
        <v>41.074514</v>
      </c>
      <c r="R8452" t="str">
        <f>"25.543192"</f>
        <v>25.543192</v>
      </c>
      <c r="S8452" t="s">
        <v>26</v>
      </c>
    </row>
    <row r="8453" spans="1:19" x14ac:dyDescent="0.3">
      <c r="A8453" t="s">
        <v>19</v>
      </c>
      <c r="B8453" t="s">
        <v>2598</v>
      </c>
      <c r="C8453" t="s">
        <v>3228</v>
      </c>
      <c r="D8453" t="s">
        <v>43</v>
      </c>
      <c r="E8453" t="s">
        <v>778</v>
      </c>
      <c r="F8453" t="s">
        <v>2611</v>
      </c>
      <c r="G8453" t="s">
        <v>2612</v>
      </c>
      <c r="H8453" t="s">
        <v>859</v>
      </c>
      <c r="I8453" t="s">
        <v>860</v>
      </c>
      <c r="J8453" t="str">
        <f>"9521727"</f>
        <v>9521727</v>
      </c>
      <c r="K8453">
        <v>2531093441</v>
      </c>
      <c r="L8453">
        <v>2531093441</v>
      </c>
      <c r="M8453" t="s">
        <v>3229</v>
      </c>
      <c r="N8453" t="s">
        <v>3230</v>
      </c>
      <c r="O8453" t="s">
        <v>3231</v>
      </c>
      <c r="P8453">
        <v>69100</v>
      </c>
      <c r="Q8453" t="str">
        <f>"41.156400"</f>
        <v>41.156400</v>
      </c>
      <c r="R8453" t="str">
        <f>"25.343328"</f>
        <v>25.343328</v>
      </c>
      <c r="S8453" t="s">
        <v>26</v>
      </c>
    </row>
    <row r="8454" spans="1:19" x14ac:dyDescent="0.3">
      <c r="A8454" t="s">
        <v>19</v>
      </c>
      <c r="B8454" t="s">
        <v>2598</v>
      </c>
      <c r="C8454" t="s">
        <v>3232</v>
      </c>
      <c r="D8454" t="s">
        <v>43</v>
      </c>
      <c r="E8454" t="s">
        <v>791</v>
      </c>
      <c r="F8454" t="s">
        <v>792</v>
      </c>
      <c r="G8454" t="s">
        <v>792</v>
      </c>
      <c r="H8454" t="s">
        <v>859</v>
      </c>
      <c r="I8454" t="s">
        <v>860</v>
      </c>
      <c r="J8454" t="str">
        <f>"9421001"</f>
        <v>9421001</v>
      </c>
      <c r="K8454">
        <v>6989856773</v>
      </c>
      <c r="M8454" t="s">
        <v>3233</v>
      </c>
      <c r="N8454" t="s">
        <v>795</v>
      </c>
      <c r="O8454" t="s">
        <v>795</v>
      </c>
      <c r="P8454">
        <v>69150</v>
      </c>
      <c r="Q8454" t="str">
        <f>"41.253313"</f>
        <v>41.253313</v>
      </c>
      <c r="R8454" t="str">
        <f>"25.683378"</f>
        <v>25.683378</v>
      </c>
      <c r="S8454" t="s">
        <v>26</v>
      </c>
    </row>
    <row r="8455" spans="1:19" x14ac:dyDescent="0.3">
      <c r="A8455" t="s">
        <v>19</v>
      </c>
      <c r="B8455" t="s">
        <v>2598</v>
      </c>
      <c r="C8455" t="s">
        <v>3234</v>
      </c>
      <c r="D8455" t="s">
        <v>43</v>
      </c>
      <c r="E8455" t="s">
        <v>791</v>
      </c>
      <c r="F8455" t="s">
        <v>2631</v>
      </c>
      <c r="G8455" t="s">
        <v>2877</v>
      </c>
      <c r="H8455" t="s">
        <v>859</v>
      </c>
      <c r="I8455" t="s">
        <v>860</v>
      </c>
      <c r="J8455" t="str">
        <f>"9421003"</f>
        <v>9421003</v>
      </c>
      <c r="K8455">
        <v>6945930258</v>
      </c>
      <c r="M8455" t="s">
        <v>3235</v>
      </c>
      <c r="N8455" t="s">
        <v>3236</v>
      </c>
      <c r="O8455" t="s">
        <v>2880</v>
      </c>
      <c r="P8455">
        <v>6930</v>
      </c>
      <c r="Q8455" t="str">
        <f>"41.234573"</f>
        <v>41.234573</v>
      </c>
      <c r="R8455" t="str">
        <f>"25.773285"</f>
        <v>25.773285</v>
      </c>
      <c r="S8455" t="s">
        <v>26</v>
      </c>
    </row>
    <row r="8456" spans="1:19" x14ac:dyDescent="0.3">
      <c r="A8456" t="s">
        <v>3237</v>
      </c>
      <c r="B8456" t="s">
        <v>6738</v>
      </c>
      <c r="C8456" t="s">
        <v>6739</v>
      </c>
      <c r="D8456" t="s">
        <v>3238</v>
      </c>
      <c r="E8456" t="s">
        <v>3317</v>
      </c>
      <c r="F8456" t="s">
        <v>3317</v>
      </c>
      <c r="G8456" t="s">
        <v>3317</v>
      </c>
      <c r="H8456" t="s">
        <v>859</v>
      </c>
      <c r="I8456" t="s">
        <v>860</v>
      </c>
      <c r="J8456" t="str">
        <f>"9050942"</f>
        <v>9050942</v>
      </c>
      <c r="K8456">
        <v>2107707653</v>
      </c>
      <c r="M8456" t="s">
        <v>6740</v>
      </c>
      <c r="N8456" t="s">
        <v>3317</v>
      </c>
      <c r="O8456" t="s">
        <v>6741</v>
      </c>
      <c r="P8456">
        <v>15773</v>
      </c>
      <c r="Q8456" t="str">
        <f>"37.983565"</f>
        <v>37.983565</v>
      </c>
      <c r="R8456" t="str">
        <f>"23.774606"</f>
        <v>23.774606</v>
      </c>
      <c r="S8456" t="s">
        <v>26</v>
      </c>
    </row>
    <row r="8457" spans="1:19" x14ac:dyDescent="0.3">
      <c r="A8457" t="s">
        <v>3237</v>
      </c>
      <c r="B8457" t="s">
        <v>6738</v>
      </c>
      <c r="C8457" t="s">
        <v>6748</v>
      </c>
      <c r="D8457" t="s">
        <v>3238</v>
      </c>
      <c r="E8457" t="s">
        <v>3358</v>
      </c>
      <c r="F8457" t="s">
        <v>3358</v>
      </c>
      <c r="G8457" t="s">
        <v>3358</v>
      </c>
      <c r="H8457" t="s">
        <v>859</v>
      </c>
      <c r="I8457" t="s">
        <v>860</v>
      </c>
      <c r="J8457" t="str">
        <f>"9050116"</f>
        <v>9050116</v>
      </c>
      <c r="K8457">
        <v>2107237997</v>
      </c>
      <c r="L8457">
        <v>2107237997</v>
      </c>
      <c r="M8457" t="s">
        <v>6749</v>
      </c>
      <c r="N8457" t="s">
        <v>3358</v>
      </c>
      <c r="O8457" t="s">
        <v>6750</v>
      </c>
      <c r="P8457">
        <v>16121</v>
      </c>
      <c r="Q8457" t="str">
        <f>"37.967911"</f>
        <v>37.967911</v>
      </c>
      <c r="R8457" t="str">
        <f>"23.762461"</f>
        <v>23.762461</v>
      </c>
      <c r="S8457" t="s">
        <v>26</v>
      </c>
    </row>
    <row r="8458" spans="1:19" x14ac:dyDescent="0.3">
      <c r="A8458" t="s">
        <v>3237</v>
      </c>
      <c r="B8458" t="s">
        <v>6738</v>
      </c>
      <c r="C8458" t="s">
        <v>6756</v>
      </c>
      <c r="D8458" t="s">
        <v>3238</v>
      </c>
      <c r="E8458" t="s">
        <v>3506</v>
      </c>
      <c r="F8458" t="s">
        <v>3506</v>
      </c>
      <c r="G8458" t="s">
        <v>3506</v>
      </c>
      <c r="H8458" t="s">
        <v>859</v>
      </c>
      <c r="I8458" t="s">
        <v>860</v>
      </c>
      <c r="J8458" t="str">
        <f>"9051493"</f>
        <v>9051493</v>
      </c>
      <c r="K8458">
        <v>2107651570</v>
      </c>
      <c r="M8458" t="s">
        <v>6757</v>
      </c>
      <c r="N8458" t="s">
        <v>3363</v>
      </c>
      <c r="O8458" t="s">
        <v>6758</v>
      </c>
      <c r="P8458">
        <v>16231</v>
      </c>
      <c r="Q8458" t="str">
        <f>"37.961022"</f>
        <v>37.961022</v>
      </c>
      <c r="R8458" t="str">
        <f>"23.753792"</f>
        <v>23.753792</v>
      </c>
      <c r="S8458" t="s">
        <v>26</v>
      </c>
    </row>
    <row r="8459" spans="1:19" x14ac:dyDescent="0.3">
      <c r="A8459" t="s">
        <v>3237</v>
      </c>
      <c r="B8459" t="s">
        <v>6738</v>
      </c>
      <c r="C8459" t="s">
        <v>6759</v>
      </c>
      <c r="D8459" t="s">
        <v>3238</v>
      </c>
      <c r="E8459" t="s">
        <v>3317</v>
      </c>
      <c r="F8459" t="s">
        <v>3317</v>
      </c>
      <c r="G8459" t="s">
        <v>3317</v>
      </c>
      <c r="H8459" t="s">
        <v>859</v>
      </c>
      <c r="I8459" t="s">
        <v>860</v>
      </c>
      <c r="J8459" t="str">
        <f>"9051016"</f>
        <v>9051016</v>
      </c>
      <c r="K8459">
        <v>2107784976</v>
      </c>
      <c r="L8459">
        <v>2107782138</v>
      </c>
      <c r="M8459" t="s">
        <v>6760</v>
      </c>
      <c r="N8459" t="s">
        <v>3317</v>
      </c>
      <c r="O8459" t="s">
        <v>6761</v>
      </c>
      <c r="P8459">
        <v>15773</v>
      </c>
      <c r="Q8459" t="str">
        <f>"37.980469"</f>
        <v>37.980469</v>
      </c>
      <c r="R8459" t="str">
        <f>"23.774016"</f>
        <v>23.774016</v>
      </c>
      <c r="S8459" t="s">
        <v>26</v>
      </c>
    </row>
    <row r="8460" spans="1:19" x14ac:dyDescent="0.3">
      <c r="A8460" t="s">
        <v>3237</v>
      </c>
      <c r="B8460" t="s">
        <v>6738</v>
      </c>
      <c r="C8460" t="s">
        <v>6762</v>
      </c>
      <c r="D8460" t="s">
        <v>3238</v>
      </c>
      <c r="E8460" t="s">
        <v>3317</v>
      </c>
      <c r="F8460" t="s">
        <v>3317</v>
      </c>
      <c r="G8460" t="s">
        <v>3317</v>
      </c>
      <c r="H8460" t="s">
        <v>859</v>
      </c>
      <c r="I8460" t="s">
        <v>860</v>
      </c>
      <c r="J8460" t="str">
        <f>"9050849"</f>
        <v>9050849</v>
      </c>
      <c r="K8460">
        <v>2107782138</v>
      </c>
      <c r="L8460">
        <v>2107782138</v>
      </c>
      <c r="M8460" t="s">
        <v>6763</v>
      </c>
      <c r="N8460" t="s">
        <v>3317</v>
      </c>
      <c r="O8460" t="s">
        <v>6761</v>
      </c>
      <c r="P8460">
        <v>15773</v>
      </c>
      <c r="Q8460" t="str">
        <f>"37.980639"</f>
        <v>37.980639</v>
      </c>
      <c r="R8460" t="str">
        <f>"23.774582"</f>
        <v>23.774582</v>
      </c>
      <c r="S8460" t="s">
        <v>26</v>
      </c>
    </row>
    <row r="8461" spans="1:19" x14ac:dyDescent="0.3">
      <c r="A8461" t="s">
        <v>3237</v>
      </c>
      <c r="B8461" t="s">
        <v>6738</v>
      </c>
      <c r="C8461" t="s">
        <v>6764</v>
      </c>
      <c r="D8461" t="s">
        <v>3238</v>
      </c>
      <c r="E8461" t="s">
        <v>3358</v>
      </c>
      <c r="F8461" t="s">
        <v>3358</v>
      </c>
      <c r="G8461" t="s">
        <v>3358</v>
      </c>
      <c r="H8461" t="s">
        <v>859</v>
      </c>
      <c r="I8461" t="s">
        <v>860</v>
      </c>
      <c r="J8461" t="str">
        <f>"9050981"</f>
        <v>9050981</v>
      </c>
      <c r="K8461">
        <v>2107218016</v>
      </c>
      <c r="L8461">
        <v>2107218016</v>
      </c>
      <c r="M8461" t="s">
        <v>6765</v>
      </c>
      <c r="N8461" t="s">
        <v>3358</v>
      </c>
      <c r="O8461" t="s">
        <v>6766</v>
      </c>
      <c r="P8461">
        <v>16122</v>
      </c>
      <c r="Q8461" t="str">
        <f>"37.967464"</f>
        <v>37.967464</v>
      </c>
      <c r="R8461" t="str">
        <f>"23.762037"</f>
        <v>23.762037</v>
      </c>
      <c r="S8461" t="s">
        <v>26</v>
      </c>
    </row>
    <row r="8462" spans="1:19" x14ac:dyDescent="0.3">
      <c r="A8462" t="s">
        <v>3237</v>
      </c>
      <c r="B8462" t="s">
        <v>6738</v>
      </c>
      <c r="C8462" t="s">
        <v>6767</v>
      </c>
      <c r="D8462" t="s">
        <v>3238</v>
      </c>
      <c r="E8462" t="s">
        <v>3358</v>
      </c>
      <c r="F8462" t="s">
        <v>3358</v>
      </c>
      <c r="G8462" t="s">
        <v>3358</v>
      </c>
      <c r="H8462" t="s">
        <v>859</v>
      </c>
      <c r="I8462" t="s">
        <v>860</v>
      </c>
      <c r="J8462" t="str">
        <f>"9050117"</f>
        <v>9050117</v>
      </c>
      <c r="K8462">
        <v>2107218016</v>
      </c>
      <c r="L8462">
        <v>2107218016</v>
      </c>
      <c r="M8462" t="s">
        <v>6768</v>
      </c>
      <c r="N8462" t="s">
        <v>3358</v>
      </c>
      <c r="O8462" t="s">
        <v>6766</v>
      </c>
      <c r="P8462">
        <v>16122</v>
      </c>
      <c r="Q8462" t="str">
        <f>"37.967278"</f>
        <v>37.967278</v>
      </c>
      <c r="R8462" t="str">
        <f>"23.761964"</f>
        <v>23.761964</v>
      </c>
      <c r="S8462" t="s">
        <v>26</v>
      </c>
    </row>
    <row r="8463" spans="1:19" x14ac:dyDescent="0.3">
      <c r="A8463" t="s">
        <v>3237</v>
      </c>
      <c r="B8463" t="s">
        <v>6738</v>
      </c>
      <c r="C8463" t="s">
        <v>6769</v>
      </c>
      <c r="D8463" t="s">
        <v>3238</v>
      </c>
      <c r="E8463" t="s">
        <v>3317</v>
      </c>
      <c r="F8463" t="s">
        <v>3317</v>
      </c>
      <c r="G8463" t="s">
        <v>3317</v>
      </c>
      <c r="H8463" t="s">
        <v>859</v>
      </c>
      <c r="I8463" t="s">
        <v>860</v>
      </c>
      <c r="J8463" t="str">
        <f>"9051015"</f>
        <v>9051015</v>
      </c>
      <c r="K8463">
        <v>2107709348</v>
      </c>
      <c r="L8463">
        <v>7709348</v>
      </c>
      <c r="M8463" t="s">
        <v>6770</v>
      </c>
      <c r="N8463" t="s">
        <v>3317</v>
      </c>
      <c r="O8463" t="s">
        <v>6771</v>
      </c>
      <c r="P8463">
        <v>15772</v>
      </c>
      <c r="Q8463" t="str">
        <f>"37.971275"</f>
        <v>37.971275</v>
      </c>
      <c r="R8463" t="str">
        <f>"23.780263"</f>
        <v>23.780263</v>
      </c>
      <c r="S8463" t="s">
        <v>26</v>
      </c>
    </row>
    <row r="8464" spans="1:19" x14ac:dyDescent="0.3">
      <c r="A8464" t="s">
        <v>3237</v>
      </c>
      <c r="B8464" t="s">
        <v>6738</v>
      </c>
      <c r="C8464" t="s">
        <v>6775</v>
      </c>
      <c r="D8464" t="s">
        <v>3238</v>
      </c>
      <c r="E8464" t="s">
        <v>3317</v>
      </c>
      <c r="F8464" t="s">
        <v>3317</v>
      </c>
      <c r="G8464" t="s">
        <v>3317</v>
      </c>
      <c r="H8464" t="s">
        <v>859</v>
      </c>
      <c r="I8464" t="s">
        <v>860</v>
      </c>
      <c r="J8464" t="str">
        <f>"9050980"</f>
        <v>9050980</v>
      </c>
      <c r="K8464">
        <v>2107705029</v>
      </c>
      <c r="M8464" t="s">
        <v>6776</v>
      </c>
      <c r="N8464" t="s">
        <v>3317</v>
      </c>
      <c r="O8464" t="s">
        <v>6771</v>
      </c>
      <c r="P8464">
        <v>15772</v>
      </c>
      <c r="Q8464" t="str">
        <f>"37.971275"</f>
        <v>37.971275</v>
      </c>
      <c r="R8464" t="str">
        <f>"23.780263"</f>
        <v>23.780263</v>
      </c>
      <c r="S8464" t="s">
        <v>26</v>
      </c>
    </row>
    <row r="8465" spans="1:19" x14ac:dyDescent="0.3">
      <c r="A8465" t="s">
        <v>3237</v>
      </c>
      <c r="B8465" t="s">
        <v>6738</v>
      </c>
      <c r="C8465" t="s">
        <v>6777</v>
      </c>
      <c r="D8465" t="s">
        <v>3238</v>
      </c>
      <c r="E8465" t="s">
        <v>3358</v>
      </c>
      <c r="F8465" t="s">
        <v>3358</v>
      </c>
      <c r="G8465" t="s">
        <v>3358</v>
      </c>
      <c r="H8465" t="s">
        <v>859</v>
      </c>
      <c r="I8465" t="s">
        <v>860</v>
      </c>
      <c r="J8465" t="str">
        <f>"9051193"</f>
        <v>9051193</v>
      </c>
      <c r="K8465">
        <v>2107660145</v>
      </c>
      <c r="M8465" t="s">
        <v>6778</v>
      </c>
      <c r="N8465" t="s">
        <v>3361</v>
      </c>
      <c r="O8465" t="s">
        <v>6779</v>
      </c>
      <c r="P8465">
        <v>16121</v>
      </c>
      <c r="Q8465" t="str">
        <f>"37.965637"</f>
        <v>37.965637</v>
      </c>
      <c r="R8465" t="str">
        <f>"23.758471"</f>
        <v>23.758471</v>
      </c>
      <c r="S8465" t="s">
        <v>26</v>
      </c>
    </row>
    <row r="8466" spans="1:19" x14ac:dyDescent="0.3">
      <c r="A8466" t="s">
        <v>3237</v>
      </c>
      <c r="B8466" t="s">
        <v>6738</v>
      </c>
      <c r="C8466" t="s">
        <v>6780</v>
      </c>
      <c r="D8466" t="s">
        <v>3238</v>
      </c>
      <c r="E8466" t="s">
        <v>3468</v>
      </c>
      <c r="F8466" t="s">
        <v>3541</v>
      </c>
      <c r="G8466" t="s">
        <v>3541</v>
      </c>
      <c r="H8466" t="s">
        <v>859</v>
      </c>
      <c r="I8466" t="s">
        <v>860</v>
      </c>
      <c r="J8466" t="str">
        <f>"9051021"</f>
        <v>9051021</v>
      </c>
      <c r="K8466">
        <v>2107623444</v>
      </c>
      <c r="L8466">
        <v>2107623444</v>
      </c>
      <c r="M8466" t="s">
        <v>6781</v>
      </c>
      <c r="N8466" t="s">
        <v>3589</v>
      </c>
      <c r="O8466" t="s">
        <v>6782</v>
      </c>
      <c r="P8466">
        <v>17237</v>
      </c>
      <c r="Q8466" t="str">
        <f>"37.953857"</f>
        <v>37.953857</v>
      </c>
      <c r="R8466" t="str">
        <f>"23.741780"</f>
        <v>23.741780</v>
      </c>
      <c r="S8466" t="s">
        <v>26</v>
      </c>
    </row>
    <row r="8467" spans="1:19" x14ac:dyDescent="0.3">
      <c r="A8467" t="s">
        <v>3237</v>
      </c>
      <c r="B8467" t="s">
        <v>6738</v>
      </c>
      <c r="C8467" t="s">
        <v>6783</v>
      </c>
      <c r="D8467" t="s">
        <v>3238</v>
      </c>
      <c r="E8467" t="s">
        <v>3239</v>
      </c>
      <c r="F8467" t="s">
        <v>3239</v>
      </c>
      <c r="G8467" t="s">
        <v>3240</v>
      </c>
      <c r="H8467" t="s">
        <v>859</v>
      </c>
      <c r="I8467" t="s">
        <v>860</v>
      </c>
      <c r="J8467" t="str">
        <f>"9051389"</f>
        <v>9051389</v>
      </c>
      <c r="K8467">
        <v>2103829774</v>
      </c>
      <c r="M8467" t="s">
        <v>6784</v>
      </c>
      <c r="N8467" t="s">
        <v>3325</v>
      </c>
      <c r="O8467" t="s">
        <v>3375</v>
      </c>
      <c r="P8467">
        <v>10682</v>
      </c>
      <c r="Q8467" t="str">
        <f>"37.985862"</f>
        <v>37.985862</v>
      </c>
      <c r="R8467" t="str">
        <f>"23.732955"</f>
        <v>23.732955</v>
      </c>
      <c r="S8467" t="s">
        <v>26</v>
      </c>
    </row>
    <row r="8468" spans="1:19" x14ac:dyDescent="0.3">
      <c r="A8468" t="s">
        <v>3237</v>
      </c>
      <c r="B8468" t="s">
        <v>6738</v>
      </c>
      <c r="C8468" t="s">
        <v>6785</v>
      </c>
      <c r="D8468" t="s">
        <v>3238</v>
      </c>
      <c r="E8468" t="s">
        <v>3239</v>
      </c>
      <c r="F8468" t="s">
        <v>3239</v>
      </c>
      <c r="G8468" t="s">
        <v>3382</v>
      </c>
      <c r="H8468" t="s">
        <v>859</v>
      </c>
      <c r="I8468" t="s">
        <v>860</v>
      </c>
      <c r="J8468" t="str">
        <f>"9051557"</f>
        <v>9051557</v>
      </c>
      <c r="K8468">
        <v>2105142890</v>
      </c>
      <c r="M8468" t="s">
        <v>6786</v>
      </c>
      <c r="N8468" t="s">
        <v>3325</v>
      </c>
      <c r="O8468" t="s">
        <v>6787</v>
      </c>
      <c r="P8468">
        <v>10442</v>
      </c>
      <c r="Q8468" t="str">
        <f>"37.998194"</f>
        <v>37.998194</v>
      </c>
      <c r="R8468" t="str">
        <f>"23.706382"</f>
        <v>23.706382</v>
      </c>
      <c r="S8468" t="s">
        <v>26</v>
      </c>
    </row>
    <row r="8469" spans="1:19" x14ac:dyDescent="0.3">
      <c r="A8469" t="s">
        <v>3237</v>
      </c>
      <c r="B8469" t="s">
        <v>6738</v>
      </c>
      <c r="C8469" t="s">
        <v>6788</v>
      </c>
      <c r="D8469" t="s">
        <v>3238</v>
      </c>
      <c r="E8469" t="s">
        <v>3358</v>
      </c>
      <c r="F8469" t="s">
        <v>3358</v>
      </c>
      <c r="G8469" t="s">
        <v>3358</v>
      </c>
      <c r="H8469" t="s">
        <v>859</v>
      </c>
      <c r="I8469" t="s">
        <v>860</v>
      </c>
      <c r="J8469" t="str">
        <f>"9051194"</f>
        <v>9051194</v>
      </c>
      <c r="K8469">
        <v>2107660486</v>
      </c>
      <c r="L8469">
        <v>2107660486</v>
      </c>
      <c r="M8469" t="s">
        <v>6789</v>
      </c>
      <c r="N8469" t="s">
        <v>3358</v>
      </c>
      <c r="O8469" t="s">
        <v>6779</v>
      </c>
      <c r="P8469">
        <v>16121</v>
      </c>
      <c r="Q8469" t="str">
        <f>"37.965563"</f>
        <v>37.965563</v>
      </c>
      <c r="R8469" t="str">
        <f>"23.758733"</f>
        <v>23.758733</v>
      </c>
      <c r="S8469" t="s">
        <v>26</v>
      </c>
    </row>
    <row r="8470" spans="1:19" x14ac:dyDescent="0.3">
      <c r="A8470" t="s">
        <v>3237</v>
      </c>
      <c r="B8470" t="s">
        <v>6738</v>
      </c>
      <c r="C8470" t="s">
        <v>6790</v>
      </c>
      <c r="D8470" t="s">
        <v>3238</v>
      </c>
      <c r="E8470" t="s">
        <v>3317</v>
      </c>
      <c r="F8470" t="s">
        <v>3317</v>
      </c>
      <c r="G8470" t="s">
        <v>3317</v>
      </c>
      <c r="H8470" t="s">
        <v>859</v>
      </c>
      <c r="I8470" t="s">
        <v>860</v>
      </c>
      <c r="J8470" t="str">
        <f>"9051391"</f>
        <v>9051391</v>
      </c>
      <c r="K8470">
        <v>2107710104</v>
      </c>
      <c r="L8470">
        <v>2107710104</v>
      </c>
      <c r="M8470" t="s">
        <v>6791</v>
      </c>
      <c r="N8470" t="s">
        <v>3317</v>
      </c>
      <c r="O8470" t="s">
        <v>6792</v>
      </c>
      <c r="P8470">
        <v>15771</v>
      </c>
      <c r="Q8470" t="str">
        <f>"37.975398"</f>
        <v>37.975398</v>
      </c>
      <c r="R8470" t="str">
        <f>"23.764932"</f>
        <v>23.764932</v>
      </c>
      <c r="S8470" t="s">
        <v>26</v>
      </c>
    </row>
    <row r="8471" spans="1:19" x14ac:dyDescent="0.3">
      <c r="A8471" t="s">
        <v>3237</v>
      </c>
      <c r="B8471" t="s">
        <v>6738</v>
      </c>
      <c r="C8471" t="s">
        <v>6793</v>
      </c>
      <c r="D8471" t="s">
        <v>3238</v>
      </c>
      <c r="E8471" t="s">
        <v>3317</v>
      </c>
      <c r="F8471" t="s">
        <v>3317</v>
      </c>
      <c r="G8471" t="s">
        <v>3317</v>
      </c>
      <c r="H8471" t="s">
        <v>859</v>
      </c>
      <c r="I8471" t="s">
        <v>860</v>
      </c>
      <c r="J8471" t="str">
        <f>"9050979"</f>
        <v>9050979</v>
      </c>
      <c r="K8471">
        <v>2107799417</v>
      </c>
      <c r="L8471">
        <v>2107799417</v>
      </c>
      <c r="M8471" t="s">
        <v>6794</v>
      </c>
      <c r="N8471" t="s">
        <v>3317</v>
      </c>
      <c r="O8471" t="s">
        <v>6792</v>
      </c>
      <c r="P8471">
        <v>15771</v>
      </c>
      <c r="Q8471" t="str">
        <f>"37.975335"</f>
        <v>37.975335</v>
      </c>
      <c r="R8471" t="str">
        <f>"23.764921"</f>
        <v>23.764921</v>
      </c>
      <c r="S8471" t="s">
        <v>26</v>
      </c>
    </row>
    <row r="8472" spans="1:19" x14ac:dyDescent="0.3">
      <c r="A8472" t="s">
        <v>3237</v>
      </c>
      <c r="B8472" t="s">
        <v>6738</v>
      </c>
      <c r="C8472" t="s">
        <v>6795</v>
      </c>
      <c r="D8472" t="s">
        <v>3238</v>
      </c>
      <c r="E8472" t="s">
        <v>3317</v>
      </c>
      <c r="F8472" t="s">
        <v>3317</v>
      </c>
      <c r="G8472" t="s">
        <v>3317</v>
      </c>
      <c r="H8472" t="s">
        <v>859</v>
      </c>
      <c r="I8472" t="s">
        <v>860</v>
      </c>
      <c r="J8472" t="str">
        <f>"9050978"</f>
        <v>9050978</v>
      </c>
      <c r="K8472">
        <v>2107776694</v>
      </c>
      <c r="L8472">
        <v>2107776694</v>
      </c>
      <c r="M8472" t="s">
        <v>6796</v>
      </c>
      <c r="N8472" t="s">
        <v>3317</v>
      </c>
      <c r="O8472" t="s">
        <v>6797</v>
      </c>
      <c r="P8472">
        <v>15771</v>
      </c>
      <c r="Q8472" t="str">
        <f>"37.976054"</f>
        <v>37.976054</v>
      </c>
      <c r="R8472" t="str">
        <f>"23.759234"</f>
        <v>23.759234</v>
      </c>
      <c r="S8472" t="s">
        <v>26</v>
      </c>
    </row>
    <row r="8473" spans="1:19" x14ac:dyDescent="0.3">
      <c r="A8473" t="s">
        <v>3237</v>
      </c>
      <c r="B8473" t="s">
        <v>6738</v>
      </c>
      <c r="C8473" t="s">
        <v>6798</v>
      </c>
      <c r="D8473" t="s">
        <v>3238</v>
      </c>
      <c r="E8473" t="s">
        <v>3317</v>
      </c>
      <c r="F8473" t="s">
        <v>3317</v>
      </c>
      <c r="G8473" t="s">
        <v>3317</v>
      </c>
      <c r="H8473" t="s">
        <v>859</v>
      </c>
      <c r="I8473" t="s">
        <v>860</v>
      </c>
      <c r="J8473" t="str">
        <f>"9051390"</f>
        <v>9051390</v>
      </c>
      <c r="K8473">
        <v>2107776694</v>
      </c>
      <c r="L8473">
        <v>2107776694</v>
      </c>
      <c r="M8473" t="s">
        <v>6799</v>
      </c>
      <c r="N8473" t="s">
        <v>3317</v>
      </c>
      <c r="O8473" t="s">
        <v>6797</v>
      </c>
      <c r="P8473">
        <v>15771</v>
      </c>
      <c r="Q8473" t="str">
        <f>"37.976054"</f>
        <v>37.976054</v>
      </c>
      <c r="R8473" t="str">
        <f>"23.759234"</f>
        <v>23.759234</v>
      </c>
      <c r="S8473" t="s">
        <v>26</v>
      </c>
    </row>
    <row r="8474" spans="1:19" x14ac:dyDescent="0.3">
      <c r="A8474" t="s">
        <v>3237</v>
      </c>
      <c r="B8474" t="s">
        <v>6738</v>
      </c>
      <c r="C8474" t="s">
        <v>6800</v>
      </c>
      <c r="D8474" t="s">
        <v>3238</v>
      </c>
      <c r="E8474" t="s">
        <v>3317</v>
      </c>
      <c r="F8474" t="s">
        <v>3317</v>
      </c>
      <c r="G8474" t="s">
        <v>3317</v>
      </c>
      <c r="H8474" t="s">
        <v>859</v>
      </c>
      <c r="I8474" t="s">
        <v>860</v>
      </c>
      <c r="J8474" t="str">
        <f>"9050719"</f>
        <v>9050719</v>
      </c>
      <c r="K8474">
        <v>2107703842</v>
      </c>
      <c r="L8474">
        <v>2107789614</v>
      </c>
      <c r="M8474" t="s">
        <v>6801</v>
      </c>
      <c r="N8474" t="s">
        <v>3317</v>
      </c>
      <c r="O8474" t="s">
        <v>6802</v>
      </c>
      <c r="P8474">
        <v>15772</v>
      </c>
      <c r="Q8474" t="str">
        <f>"37.972079"</f>
        <v>37.972079</v>
      </c>
      <c r="R8474" t="str">
        <f>"23.780176"</f>
        <v>23.780176</v>
      </c>
      <c r="S8474" t="s">
        <v>26</v>
      </c>
    </row>
    <row r="8475" spans="1:19" x14ac:dyDescent="0.3">
      <c r="A8475" t="s">
        <v>3237</v>
      </c>
      <c r="B8475" t="s">
        <v>6738</v>
      </c>
      <c r="C8475" t="s">
        <v>6806</v>
      </c>
      <c r="D8475" t="s">
        <v>3238</v>
      </c>
      <c r="E8475" t="s">
        <v>3432</v>
      </c>
      <c r="F8475" t="s">
        <v>3432</v>
      </c>
      <c r="G8475" t="s">
        <v>3432</v>
      </c>
      <c r="H8475" t="s">
        <v>859</v>
      </c>
      <c r="I8475" t="s">
        <v>860</v>
      </c>
      <c r="J8475" t="str">
        <f>"9051205"</f>
        <v>9051205</v>
      </c>
      <c r="K8475">
        <v>2109762130</v>
      </c>
      <c r="L8475">
        <v>2109762130</v>
      </c>
      <c r="M8475" t="s">
        <v>6807</v>
      </c>
      <c r="N8475" t="s">
        <v>3437</v>
      </c>
      <c r="O8475" t="s">
        <v>6808</v>
      </c>
      <c r="P8475">
        <v>16343</v>
      </c>
      <c r="Q8475" t="str">
        <f>"37.943165"</f>
        <v>37.943165</v>
      </c>
      <c r="R8475" t="str">
        <f>"23.764887"</f>
        <v>23.764887</v>
      </c>
      <c r="S8475" t="s">
        <v>26</v>
      </c>
    </row>
    <row r="8476" spans="1:19" x14ac:dyDescent="0.3">
      <c r="A8476" t="s">
        <v>3237</v>
      </c>
      <c r="B8476" t="s">
        <v>6738</v>
      </c>
      <c r="C8476" t="s">
        <v>6809</v>
      </c>
      <c r="D8476" t="s">
        <v>3238</v>
      </c>
      <c r="E8476" t="s">
        <v>3317</v>
      </c>
      <c r="F8476" t="s">
        <v>3317</v>
      </c>
      <c r="G8476" t="s">
        <v>3317</v>
      </c>
      <c r="H8476" t="s">
        <v>859</v>
      </c>
      <c r="I8476" t="s">
        <v>860</v>
      </c>
      <c r="J8476" t="str">
        <f>"9051819"</f>
        <v>9051819</v>
      </c>
      <c r="K8476">
        <v>2107703842</v>
      </c>
      <c r="L8476">
        <v>2107703842</v>
      </c>
      <c r="M8476" t="s">
        <v>6810</v>
      </c>
      <c r="N8476" t="s">
        <v>3317</v>
      </c>
      <c r="O8476" t="s">
        <v>6802</v>
      </c>
      <c r="P8476">
        <v>15772</v>
      </c>
      <c r="Q8476" t="str">
        <f>"37.972079"</f>
        <v>37.972079</v>
      </c>
      <c r="R8476" t="str">
        <f>"23.780176"</f>
        <v>23.780176</v>
      </c>
      <c r="S8476" t="s">
        <v>26</v>
      </c>
    </row>
    <row r="8477" spans="1:19" x14ac:dyDescent="0.3">
      <c r="A8477" t="s">
        <v>3237</v>
      </c>
      <c r="B8477" t="s">
        <v>6738</v>
      </c>
      <c r="C8477" t="s">
        <v>6811</v>
      </c>
      <c r="D8477" t="s">
        <v>3238</v>
      </c>
      <c r="E8477" t="s">
        <v>3506</v>
      </c>
      <c r="F8477" t="s">
        <v>3506</v>
      </c>
      <c r="G8477" t="s">
        <v>3506</v>
      </c>
      <c r="H8477" t="s">
        <v>859</v>
      </c>
      <c r="I8477" t="s">
        <v>860</v>
      </c>
      <c r="J8477" t="str">
        <f>"9051768"</f>
        <v>9051768</v>
      </c>
      <c r="K8477">
        <v>2107644445</v>
      </c>
      <c r="L8477">
        <v>2107644445</v>
      </c>
      <c r="M8477" t="s">
        <v>6812</v>
      </c>
      <c r="N8477" t="s">
        <v>3363</v>
      </c>
      <c r="O8477" t="s">
        <v>6813</v>
      </c>
      <c r="P8477">
        <v>16233</v>
      </c>
      <c r="Q8477" t="str">
        <f>"37.957151"</f>
        <v>37.957151</v>
      </c>
      <c r="R8477" t="str">
        <f>"23.767753"</f>
        <v>23.767753</v>
      </c>
      <c r="S8477" t="s">
        <v>26</v>
      </c>
    </row>
    <row r="8478" spans="1:19" x14ac:dyDescent="0.3">
      <c r="A8478" t="s">
        <v>3237</v>
      </c>
      <c r="B8478" t="s">
        <v>6738</v>
      </c>
      <c r="C8478" t="s">
        <v>6817</v>
      </c>
      <c r="D8478" t="s">
        <v>3238</v>
      </c>
      <c r="E8478" t="s">
        <v>3468</v>
      </c>
      <c r="F8478" t="s">
        <v>3541</v>
      </c>
      <c r="G8478" t="s">
        <v>3541</v>
      </c>
      <c r="H8478" t="s">
        <v>859</v>
      </c>
      <c r="I8478" t="s">
        <v>860</v>
      </c>
      <c r="J8478" t="str">
        <f>"9051442"</f>
        <v>9051442</v>
      </c>
      <c r="K8478">
        <v>2109739100</v>
      </c>
      <c r="L8478">
        <v>2109739100</v>
      </c>
      <c r="M8478" t="s">
        <v>6818</v>
      </c>
      <c r="N8478" t="s">
        <v>3589</v>
      </c>
      <c r="O8478" t="s">
        <v>6819</v>
      </c>
      <c r="P8478">
        <v>17236</v>
      </c>
      <c r="Q8478" t="str">
        <f>"37.947437"</f>
        <v>37.947437</v>
      </c>
      <c r="R8478" t="str">
        <f>"23.744087"</f>
        <v>23.744087</v>
      </c>
      <c r="S8478" t="s">
        <v>26</v>
      </c>
    </row>
    <row r="8479" spans="1:19" x14ac:dyDescent="0.3">
      <c r="A8479" t="s">
        <v>3237</v>
      </c>
      <c r="B8479" t="s">
        <v>6738</v>
      </c>
      <c r="C8479" t="s">
        <v>6820</v>
      </c>
      <c r="D8479" t="s">
        <v>3238</v>
      </c>
      <c r="E8479" t="s">
        <v>3432</v>
      </c>
      <c r="F8479" t="s">
        <v>3432</v>
      </c>
      <c r="G8479" t="s">
        <v>3432</v>
      </c>
      <c r="H8479" t="s">
        <v>859</v>
      </c>
      <c r="I8479" t="s">
        <v>860</v>
      </c>
      <c r="J8479" t="str">
        <f>"9051444"</f>
        <v>9051444</v>
      </c>
      <c r="K8479">
        <v>2109735800</v>
      </c>
      <c r="L8479">
        <v>2109735800</v>
      </c>
      <c r="M8479" t="s">
        <v>6821</v>
      </c>
      <c r="N8479" t="s">
        <v>3437</v>
      </c>
      <c r="O8479" t="s">
        <v>6822</v>
      </c>
      <c r="P8479">
        <v>16344</v>
      </c>
      <c r="Q8479" t="str">
        <f>"37.945460"</f>
        <v>37.945460</v>
      </c>
      <c r="R8479" t="str">
        <f>"23.763250"</f>
        <v>23.763250</v>
      </c>
      <c r="S8479" t="s">
        <v>26</v>
      </c>
    </row>
    <row r="8480" spans="1:19" x14ac:dyDescent="0.3">
      <c r="A8480" t="s">
        <v>3237</v>
      </c>
      <c r="B8480" t="s">
        <v>6738</v>
      </c>
      <c r="C8480" t="s">
        <v>6829</v>
      </c>
      <c r="D8480" t="s">
        <v>3238</v>
      </c>
      <c r="E8480" t="s">
        <v>3432</v>
      </c>
      <c r="F8480" t="s">
        <v>3432</v>
      </c>
      <c r="G8480" t="s">
        <v>3432</v>
      </c>
      <c r="H8480" t="s">
        <v>859</v>
      </c>
      <c r="I8480" t="s">
        <v>860</v>
      </c>
      <c r="J8480" t="str">
        <f>"9051026"</f>
        <v>9051026</v>
      </c>
      <c r="K8480">
        <v>2109923460</v>
      </c>
      <c r="L8480">
        <v>2109923460</v>
      </c>
      <c r="M8480" t="s">
        <v>6830</v>
      </c>
      <c r="N8480" t="s">
        <v>3435</v>
      </c>
      <c r="O8480" t="s">
        <v>6831</v>
      </c>
      <c r="P8480">
        <v>16342</v>
      </c>
      <c r="Q8480" t="str">
        <f>"37.924730"</f>
        <v>37.924730</v>
      </c>
      <c r="R8480" t="str">
        <f>"23.760419"</f>
        <v>23.760419</v>
      </c>
      <c r="S8480" t="s">
        <v>26</v>
      </c>
    </row>
    <row r="8481" spans="1:19" x14ac:dyDescent="0.3">
      <c r="A8481" t="s">
        <v>3237</v>
      </c>
      <c r="B8481" t="s">
        <v>6738</v>
      </c>
      <c r="C8481" t="s">
        <v>6832</v>
      </c>
      <c r="D8481" t="s">
        <v>3238</v>
      </c>
      <c r="E8481" t="s">
        <v>3432</v>
      </c>
      <c r="F8481" t="s">
        <v>3432</v>
      </c>
      <c r="G8481" t="s">
        <v>3432</v>
      </c>
      <c r="H8481" t="s">
        <v>859</v>
      </c>
      <c r="I8481" t="s">
        <v>860</v>
      </c>
      <c r="J8481" t="str">
        <f>"9051204"</f>
        <v>9051204</v>
      </c>
      <c r="K8481">
        <v>2109936605</v>
      </c>
      <c r="L8481">
        <v>2109936605</v>
      </c>
      <c r="M8481" t="s">
        <v>6833</v>
      </c>
      <c r="N8481" t="s">
        <v>3437</v>
      </c>
      <c r="O8481" t="s">
        <v>6834</v>
      </c>
      <c r="P8481">
        <v>16346</v>
      </c>
      <c r="Q8481" t="str">
        <f>"37.934083"</f>
        <v>37.934083</v>
      </c>
      <c r="R8481" t="str">
        <f>"23.749488"</f>
        <v>23.749488</v>
      </c>
      <c r="S8481" t="s">
        <v>26</v>
      </c>
    </row>
    <row r="8482" spans="1:19" x14ac:dyDescent="0.3">
      <c r="A8482" t="s">
        <v>3237</v>
      </c>
      <c r="B8482" t="s">
        <v>6738</v>
      </c>
      <c r="C8482" t="s">
        <v>6835</v>
      </c>
      <c r="D8482" t="s">
        <v>3238</v>
      </c>
      <c r="E8482" t="s">
        <v>3317</v>
      </c>
      <c r="F8482" t="s">
        <v>3317</v>
      </c>
      <c r="G8482" t="s">
        <v>3317</v>
      </c>
      <c r="H8482" t="s">
        <v>859</v>
      </c>
      <c r="I8482" t="s">
        <v>860</v>
      </c>
      <c r="J8482" t="str">
        <f>"9050850"</f>
        <v>9050850</v>
      </c>
      <c r="K8482">
        <v>2107705434</v>
      </c>
      <c r="L8482">
        <v>2107705434</v>
      </c>
      <c r="M8482" t="s">
        <v>6836</v>
      </c>
      <c r="N8482" t="s">
        <v>3317</v>
      </c>
      <c r="O8482" t="s">
        <v>6837</v>
      </c>
      <c r="P8482">
        <v>15772</v>
      </c>
      <c r="Q8482" t="str">
        <f>"37.971773"</f>
        <v>37.971773</v>
      </c>
      <c r="R8482" t="str">
        <f>"23.774577"</f>
        <v>23.774577</v>
      </c>
      <c r="S8482" t="s">
        <v>26</v>
      </c>
    </row>
    <row r="8483" spans="1:19" x14ac:dyDescent="0.3">
      <c r="A8483" t="s">
        <v>3237</v>
      </c>
      <c r="B8483" t="s">
        <v>6738</v>
      </c>
      <c r="C8483" t="s">
        <v>6838</v>
      </c>
      <c r="D8483" t="s">
        <v>3238</v>
      </c>
      <c r="E8483" t="s">
        <v>3432</v>
      </c>
      <c r="F8483" t="s">
        <v>3432</v>
      </c>
      <c r="G8483" t="s">
        <v>3432</v>
      </c>
      <c r="H8483" t="s">
        <v>859</v>
      </c>
      <c r="I8483" t="s">
        <v>860</v>
      </c>
      <c r="J8483" t="str">
        <f>"9051497"</f>
        <v>9051497</v>
      </c>
      <c r="K8483">
        <v>2109921682</v>
      </c>
      <c r="M8483" t="s">
        <v>6839</v>
      </c>
      <c r="N8483" t="s">
        <v>3437</v>
      </c>
      <c r="O8483" t="s">
        <v>6840</v>
      </c>
      <c r="P8483">
        <v>16342</v>
      </c>
      <c r="Q8483" t="str">
        <f>"37.924713"</f>
        <v>37.924713</v>
      </c>
      <c r="R8483" t="str">
        <f>"23.760441"</f>
        <v>23.760441</v>
      </c>
      <c r="S8483" t="s">
        <v>26</v>
      </c>
    </row>
    <row r="8484" spans="1:19" x14ac:dyDescent="0.3">
      <c r="A8484" t="s">
        <v>3237</v>
      </c>
      <c r="B8484" t="s">
        <v>6738</v>
      </c>
      <c r="C8484" t="s">
        <v>6841</v>
      </c>
      <c r="D8484" t="s">
        <v>3238</v>
      </c>
      <c r="E8484" t="s">
        <v>3432</v>
      </c>
      <c r="F8484" t="s">
        <v>3432</v>
      </c>
      <c r="G8484" t="s">
        <v>3432</v>
      </c>
      <c r="H8484" t="s">
        <v>859</v>
      </c>
      <c r="I8484" t="s">
        <v>860</v>
      </c>
      <c r="J8484" t="str">
        <f>"9051769"</f>
        <v>9051769</v>
      </c>
      <c r="K8484">
        <v>2109708320</v>
      </c>
      <c r="L8484">
        <v>2109708320</v>
      </c>
      <c r="M8484" t="s">
        <v>6842</v>
      </c>
      <c r="N8484" t="s">
        <v>3437</v>
      </c>
      <c r="O8484" t="s">
        <v>6843</v>
      </c>
      <c r="P8484">
        <v>16346</v>
      </c>
      <c r="Q8484" t="str">
        <f>"37.943223"</f>
        <v>37.943223</v>
      </c>
      <c r="R8484" t="str">
        <f>"23.748550"</f>
        <v>23.748550</v>
      </c>
      <c r="S8484" t="s">
        <v>26</v>
      </c>
    </row>
    <row r="8485" spans="1:19" x14ac:dyDescent="0.3">
      <c r="A8485" t="s">
        <v>3237</v>
      </c>
      <c r="B8485" t="s">
        <v>6738</v>
      </c>
      <c r="C8485" t="s">
        <v>6844</v>
      </c>
      <c r="D8485" t="s">
        <v>3238</v>
      </c>
      <c r="E8485" t="s">
        <v>3432</v>
      </c>
      <c r="F8485" t="s">
        <v>3432</v>
      </c>
      <c r="G8485" t="s">
        <v>3432</v>
      </c>
      <c r="H8485" t="s">
        <v>859</v>
      </c>
      <c r="I8485" t="s">
        <v>860</v>
      </c>
      <c r="J8485" t="str">
        <f>"9051496"</f>
        <v>9051496</v>
      </c>
      <c r="K8485">
        <v>2109910358</v>
      </c>
      <c r="L8485">
        <v>2109910358</v>
      </c>
      <c r="M8485" t="s">
        <v>6845</v>
      </c>
      <c r="N8485" t="s">
        <v>3437</v>
      </c>
      <c r="O8485" t="s">
        <v>6846</v>
      </c>
      <c r="P8485">
        <v>16345</v>
      </c>
      <c r="Q8485" t="str">
        <f>"37.937086"</f>
        <v>37.937086</v>
      </c>
      <c r="R8485" t="str">
        <f>"23.757542"</f>
        <v>23.757542</v>
      </c>
      <c r="S8485" t="s">
        <v>26</v>
      </c>
    </row>
    <row r="8486" spans="1:19" x14ac:dyDescent="0.3">
      <c r="A8486" t="s">
        <v>3237</v>
      </c>
      <c r="B8486" t="s">
        <v>6738</v>
      </c>
      <c r="C8486" t="s">
        <v>6849</v>
      </c>
      <c r="D8486" t="s">
        <v>3238</v>
      </c>
      <c r="E8486" t="s">
        <v>3432</v>
      </c>
      <c r="F8486" t="s">
        <v>3432</v>
      </c>
      <c r="G8486" t="s">
        <v>3432</v>
      </c>
      <c r="H8486" t="s">
        <v>859</v>
      </c>
      <c r="I8486" t="s">
        <v>860</v>
      </c>
      <c r="J8486" t="str">
        <f>"9051400"</f>
        <v>9051400</v>
      </c>
      <c r="K8486">
        <v>2109923493</v>
      </c>
      <c r="L8486">
        <v>2109923493</v>
      </c>
      <c r="M8486" t="s">
        <v>6850</v>
      </c>
      <c r="N8486" t="s">
        <v>3437</v>
      </c>
      <c r="O8486" t="s">
        <v>6851</v>
      </c>
      <c r="P8486">
        <v>16341</v>
      </c>
      <c r="Q8486" t="str">
        <f>"37.918284"</f>
        <v>37.918284</v>
      </c>
      <c r="R8486" t="str">
        <f>"23.753719"</f>
        <v>23.753719</v>
      </c>
      <c r="S8486" t="s">
        <v>26</v>
      </c>
    </row>
    <row r="8487" spans="1:19" x14ac:dyDescent="0.3">
      <c r="A8487" t="s">
        <v>3237</v>
      </c>
      <c r="B8487" t="s">
        <v>6738</v>
      </c>
      <c r="C8487" t="s">
        <v>6854</v>
      </c>
      <c r="D8487" t="s">
        <v>3238</v>
      </c>
      <c r="E8487" t="s">
        <v>3432</v>
      </c>
      <c r="F8487" t="s">
        <v>3432</v>
      </c>
      <c r="G8487" t="s">
        <v>3432</v>
      </c>
      <c r="H8487" t="s">
        <v>859</v>
      </c>
      <c r="I8487" t="s">
        <v>860</v>
      </c>
      <c r="J8487" t="str">
        <f>"9051499"</f>
        <v>9051499</v>
      </c>
      <c r="K8487">
        <v>2109927222</v>
      </c>
      <c r="L8487">
        <v>2109927222</v>
      </c>
      <c r="M8487" t="s">
        <v>6855</v>
      </c>
      <c r="N8487" t="s">
        <v>3437</v>
      </c>
      <c r="O8487" t="s">
        <v>6856</v>
      </c>
      <c r="P8487">
        <v>16343</v>
      </c>
      <c r="Q8487" t="str">
        <f>"37.941171"</f>
        <v>37.941171</v>
      </c>
      <c r="R8487" t="str">
        <f>"23.764002"</f>
        <v>23.764002</v>
      </c>
      <c r="S8487" t="s">
        <v>26</v>
      </c>
    </row>
    <row r="8488" spans="1:19" x14ac:dyDescent="0.3">
      <c r="A8488" t="s">
        <v>3237</v>
      </c>
      <c r="B8488" t="s">
        <v>6738</v>
      </c>
      <c r="C8488" t="s">
        <v>6857</v>
      </c>
      <c r="D8488" t="s">
        <v>3238</v>
      </c>
      <c r="E8488" t="s">
        <v>3468</v>
      </c>
      <c r="F8488" t="s">
        <v>3541</v>
      </c>
      <c r="G8488" t="s">
        <v>3541</v>
      </c>
      <c r="H8488" t="s">
        <v>859</v>
      </c>
      <c r="I8488" t="s">
        <v>860</v>
      </c>
      <c r="J8488" t="str">
        <f>"9050170"</f>
        <v>9050170</v>
      </c>
      <c r="K8488">
        <v>2107629480</v>
      </c>
      <c r="L8488">
        <v>2107629480</v>
      </c>
      <c r="M8488" t="s">
        <v>6858</v>
      </c>
      <c r="N8488" t="s">
        <v>3589</v>
      </c>
      <c r="O8488" t="s">
        <v>6859</v>
      </c>
      <c r="P8488">
        <v>17237</v>
      </c>
      <c r="Q8488" t="str">
        <f>"37.954679"</f>
        <v>37.954679</v>
      </c>
      <c r="R8488" t="str">
        <f>"23.749710"</f>
        <v>23.749710</v>
      </c>
      <c r="S8488" t="s">
        <v>26</v>
      </c>
    </row>
    <row r="8489" spans="1:19" x14ac:dyDescent="0.3">
      <c r="A8489" t="s">
        <v>3237</v>
      </c>
      <c r="B8489" t="s">
        <v>6738</v>
      </c>
      <c r="C8489" t="s">
        <v>6860</v>
      </c>
      <c r="D8489" t="s">
        <v>3238</v>
      </c>
      <c r="E8489" t="s">
        <v>3432</v>
      </c>
      <c r="F8489" t="s">
        <v>3432</v>
      </c>
      <c r="G8489" t="s">
        <v>3432</v>
      </c>
      <c r="H8489" t="s">
        <v>859</v>
      </c>
      <c r="I8489" t="s">
        <v>860</v>
      </c>
      <c r="J8489" t="str">
        <f>"9051025"</f>
        <v>9051025</v>
      </c>
      <c r="K8489">
        <v>2109707659</v>
      </c>
      <c r="L8489">
        <v>2109707659</v>
      </c>
      <c r="M8489" t="s">
        <v>6861</v>
      </c>
      <c r="N8489" t="s">
        <v>3437</v>
      </c>
      <c r="O8489" t="s">
        <v>6862</v>
      </c>
      <c r="P8489">
        <v>16345</v>
      </c>
      <c r="Q8489" t="str">
        <f>"37.941926"</f>
        <v>37.941926</v>
      </c>
      <c r="R8489" t="str">
        <f>"23.754141"</f>
        <v>23.754141</v>
      </c>
      <c r="S8489" t="s">
        <v>26</v>
      </c>
    </row>
    <row r="8490" spans="1:19" x14ac:dyDescent="0.3">
      <c r="A8490" t="s">
        <v>3237</v>
      </c>
      <c r="B8490" t="s">
        <v>6738</v>
      </c>
      <c r="C8490" t="s">
        <v>6863</v>
      </c>
      <c r="D8490" t="s">
        <v>3238</v>
      </c>
      <c r="E8490" t="s">
        <v>3239</v>
      </c>
      <c r="F8490" t="s">
        <v>3239</v>
      </c>
      <c r="G8490" t="s">
        <v>3340</v>
      </c>
      <c r="H8490" t="s">
        <v>859</v>
      </c>
      <c r="I8490" t="s">
        <v>860</v>
      </c>
      <c r="J8490" t="str">
        <f>"9050700"</f>
        <v>9050700</v>
      </c>
      <c r="K8490">
        <v>2107787075</v>
      </c>
      <c r="L8490">
        <v>2107794972</v>
      </c>
      <c r="M8490" t="s">
        <v>6864</v>
      </c>
      <c r="N8490" t="s">
        <v>3284</v>
      </c>
      <c r="O8490" t="s">
        <v>6865</v>
      </c>
      <c r="P8490">
        <v>11527</v>
      </c>
      <c r="Q8490" t="str">
        <f>"37.988195"</f>
        <v>37.988195</v>
      </c>
      <c r="R8490" t="str">
        <f>"23.769814"</f>
        <v>23.769814</v>
      </c>
      <c r="S8490" t="s">
        <v>26</v>
      </c>
    </row>
    <row r="8491" spans="1:19" x14ac:dyDescent="0.3">
      <c r="A8491" t="s">
        <v>3237</v>
      </c>
      <c r="B8491" t="s">
        <v>6738</v>
      </c>
      <c r="C8491" t="s">
        <v>6866</v>
      </c>
      <c r="D8491" t="s">
        <v>3238</v>
      </c>
      <c r="E8491" t="s">
        <v>3239</v>
      </c>
      <c r="F8491" t="s">
        <v>3239</v>
      </c>
      <c r="G8491" t="s">
        <v>3340</v>
      </c>
      <c r="H8491" t="s">
        <v>859</v>
      </c>
      <c r="I8491" t="s">
        <v>860</v>
      </c>
      <c r="J8491" t="str">
        <f>"9051435"</f>
        <v>9051435</v>
      </c>
      <c r="K8491">
        <v>2107470166</v>
      </c>
      <c r="L8491">
        <v>2107794972</v>
      </c>
      <c r="M8491" t="s">
        <v>6867</v>
      </c>
      <c r="N8491" t="s">
        <v>3325</v>
      </c>
      <c r="O8491" t="s">
        <v>6868</v>
      </c>
      <c r="P8491">
        <v>11527</v>
      </c>
      <c r="Q8491" t="str">
        <f>"37.988029"</f>
        <v>37.988029</v>
      </c>
      <c r="R8491" t="str">
        <f>"23.769730"</f>
        <v>23.769730</v>
      </c>
      <c r="S8491" t="s">
        <v>26</v>
      </c>
    </row>
    <row r="8492" spans="1:19" x14ac:dyDescent="0.3">
      <c r="A8492" t="s">
        <v>3237</v>
      </c>
      <c r="B8492" t="s">
        <v>6738</v>
      </c>
      <c r="C8492" t="s">
        <v>6872</v>
      </c>
      <c r="D8492" t="s">
        <v>3238</v>
      </c>
      <c r="E8492" t="s">
        <v>3506</v>
      </c>
      <c r="F8492" t="s">
        <v>3506</v>
      </c>
      <c r="G8492" t="s">
        <v>3506</v>
      </c>
      <c r="H8492" t="s">
        <v>859</v>
      </c>
      <c r="I8492" t="s">
        <v>860</v>
      </c>
      <c r="J8492" t="str">
        <f>"9051017"</f>
        <v>9051017</v>
      </c>
      <c r="K8492">
        <v>2107663393</v>
      </c>
      <c r="L8492">
        <v>2107663393</v>
      </c>
      <c r="M8492" t="s">
        <v>6873</v>
      </c>
      <c r="N8492" t="s">
        <v>3363</v>
      </c>
      <c r="O8492" t="s">
        <v>6874</v>
      </c>
      <c r="P8492">
        <v>16232</v>
      </c>
      <c r="Q8492" t="str">
        <f>"37.959401"</f>
        <v>37.959401</v>
      </c>
      <c r="R8492" t="str">
        <f>"23.751192"</f>
        <v>23.751192</v>
      </c>
      <c r="S8492" t="s">
        <v>26</v>
      </c>
    </row>
    <row r="8493" spans="1:19" x14ac:dyDescent="0.3">
      <c r="A8493" t="s">
        <v>3237</v>
      </c>
      <c r="B8493" t="s">
        <v>6738</v>
      </c>
      <c r="C8493" t="s">
        <v>6875</v>
      </c>
      <c r="D8493" t="s">
        <v>3238</v>
      </c>
      <c r="E8493" t="s">
        <v>3506</v>
      </c>
      <c r="F8493" t="s">
        <v>3506</v>
      </c>
      <c r="G8493" t="s">
        <v>3506</v>
      </c>
      <c r="H8493" t="s">
        <v>859</v>
      </c>
      <c r="I8493" t="s">
        <v>860</v>
      </c>
      <c r="J8493" t="str">
        <f>"9051727"</f>
        <v>9051727</v>
      </c>
      <c r="K8493">
        <v>2107627055</v>
      </c>
      <c r="M8493" t="s">
        <v>6876</v>
      </c>
      <c r="N8493" t="s">
        <v>3363</v>
      </c>
      <c r="O8493" t="s">
        <v>6877</v>
      </c>
      <c r="P8493">
        <v>16232</v>
      </c>
      <c r="Q8493" t="str">
        <f>"37.956416"</f>
        <v>37.956416</v>
      </c>
      <c r="R8493" t="str">
        <f>"23.751865"</f>
        <v>23.751865</v>
      </c>
      <c r="S8493" t="s">
        <v>26</v>
      </c>
    </row>
    <row r="8494" spans="1:19" x14ac:dyDescent="0.3">
      <c r="A8494" t="s">
        <v>3237</v>
      </c>
      <c r="B8494" t="s">
        <v>6738</v>
      </c>
      <c r="C8494" t="s">
        <v>6878</v>
      </c>
      <c r="D8494" t="s">
        <v>3238</v>
      </c>
      <c r="E8494" t="s">
        <v>3432</v>
      </c>
      <c r="F8494" t="s">
        <v>3432</v>
      </c>
      <c r="G8494" t="s">
        <v>3432</v>
      </c>
      <c r="H8494" t="s">
        <v>859</v>
      </c>
      <c r="I8494" t="s">
        <v>860</v>
      </c>
      <c r="J8494" t="str">
        <f>"9051206"</f>
        <v>9051206</v>
      </c>
      <c r="K8494">
        <v>2109941110</v>
      </c>
      <c r="L8494">
        <v>2109941110</v>
      </c>
      <c r="M8494" t="s">
        <v>6879</v>
      </c>
      <c r="N8494" t="s">
        <v>3437</v>
      </c>
      <c r="O8494" t="s">
        <v>6880</v>
      </c>
      <c r="P8494">
        <v>16341</v>
      </c>
      <c r="Q8494" t="str">
        <f>"37.919438"</f>
        <v>37.919438</v>
      </c>
      <c r="R8494" t="str">
        <f>"23.749622"</f>
        <v>23.749622</v>
      </c>
      <c r="S8494" t="s">
        <v>26</v>
      </c>
    </row>
    <row r="8495" spans="1:19" x14ac:dyDescent="0.3">
      <c r="A8495" t="s">
        <v>3237</v>
      </c>
      <c r="B8495" t="s">
        <v>6738</v>
      </c>
      <c r="C8495" t="s">
        <v>6881</v>
      </c>
      <c r="D8495" t="s">
        <v>3238</v>
      </c>
      <c r="E8495" t="s">
        <v>3432</v>
      </c>
      <c r="F8495" t="s">
        <v>3432</v>
      </c>
      <c r="G8495" t="s">
        <v>3432</v>
      </c>
      <c r="H8495" t="s">
        <v>859</v>
      </c>
      <c r="I8495" t="s">
        <v>860</v>
      </c>
      <c r="J8495" t="str">
        <f>"9050736"</f>
        <v>9050736</v>
      </c>
      <c r="K8495">
        <v>2109925795</v>
      </c>
      <c r="L8495">
        <v>2109925795</v>
      </c>
      <c r="M8495" t="s">
        <v>6882</v>
      </c>
      <c r="N8495" t="s">
        <v>3437</v>
      </c>
      <c r="O8495" t="s">
        <v>6883</v>
      </c>
      <c r="P8495">
        <v>16341</v>
      </c>
      <c r="Q8495" t="str">
        <f>"37.926229"</f>
        <v>37.926229</v>
      </c>
      <c r="R8495" t="str">
        <f>"23.745364"</f>
        <v>23.745364</v>
      </c>
      <c r="S8495" t="s">
        <v>26</v>
      </c>
    </row>
    <row r="8496" spans="1:19" x14ac:dyDescent="0.3">
      <c r="A8496" t="s">
        <v>3237</v>
      </c>
      <c r="B8496" t="s">
        <v>6738</v>
      </c>
      <c r="C8496" t="s">
        <v>6892</v>
      </c>
      <c r="D8496" t="s">
        <v>3238</v>
      </c>
      <c r="E8496" t="s">
        <v>3468</v>
      </c>
      <c r="F8496" t="s">
        <v>3541</v>
      </c>
      <c r="G8496" t="s">
        <v>3541</v>
      </c>
      <c r="H8496" t="s">
        <v>859</v>
      </c>
      <c r="I8496" t="s">
        <v>860</v>
      </c>
      <c r="J8496" t="str">
        <f>"9051553"</f>
        <v>9051553</v>
      </c>
      <c r="K8496">
        <v>2107625435</v>
      </c>
      <c r="L8496">
        <v>2107625435</v>
      </c>
      <c r="M8496" t="s">
        <v>6893</v>
      </c>
      <c r="N8496" t="s">
        <v>3589</v>
      </c>
      <c r="O8496" t="s">
        <v>6894</v>
      </c>
      <c r="P8496">
        <v>17237</v>
      </c>
      <c r="Q8496" t="str">
        <f>"37.951628"</f>
        <v>37.951628</v>
      </c>
      <c r="R8496" t="str">
        <f>"23.753653"</f>
        <v>23.753653</v>
      </c>
      <c r="S8496" t="s">
        <v>26</v>
      </c>
    </row>
    <row r="8497" spans="1:19" x14ac:dyDescent="0.3">
      <c r="A8497" t="s">
        <v>3237</v>
      </c>
      <c r="B8497" t="s">
        <v>6738</v>
      </c>
      <c r="C8497" t="s">
        <v>6895</v>
      </c>
      <c r="D8497" t="s">
        <v>3238</v>
      </c>
      <c r="E8497" t="s">
        <v>3506</v>
      </c>
      <c r="F8497" t="s">
        <v>3506</v>
      </c>
      <c r="G8497" t="s">
        <v>3506</v>
      </c>
      <c r="H8497" t="s">
        <v>859</v>
      </c>
      <c r="I8497" t="s">
        <v>860</v>
      </c>
      <c r="J8497" t="str">
        <f>"9051550"</f>
        <v>9051550</v>
      </c>
      <c r="K8497">
        <v>2107626596</v>
      </c>
      <c r="L8497">
        <v>2107626596</v>
      </c>
      <c r="M8497" t="s">
        <v>6896</v>
      </c>
      <c r="N8497" t="s">
        <v>3363</v>
      </c>
      <c r="O8497" t="s">
        <v>6897</v>
      </c>
      <c r="P8497">
        <v>16232</v>
      </c>
      <c r="Q8497" t="str">
        <f>"37.953664"</f>
        <v>37.953664</v>
      </c>
      <c r="R8497" t="str">
        <f>"23.756094"</f>
        <v>23.756094</v>
      </c>
      <c r="S8497" t="s">
        <v>26</v>
      </c>
    </row>
    <row r="8498" spans="1:19" x14ac:dyDescent="0.3">
      <c r="A8498" t="s">
        <v>3237</v>
      </c>
      <c r="B8498" t="s">
        <v>6738</v>
      </c>
      <c r="C8498" t="s">
        <v>6917</v>
      </c>
      <c r="D8498" t="s">
        <v>3238</v>
      </c>
      <c r="E8498" t="s">
        <v>3239</v>
      </c>
      <c r="F8498" t="s">
        <v>3239</v>
      </c>
      <c r="G8498" t="s">
        <v>3340</v>
      </c>
      <c r="H8498" t="s">
        <v>859</v>
      </c>
      <c r="I8498" t="s">
        <v>860</v>
      </c>
      <c r="J8498" t="str">
        <f>"9051854"</f>
        <v>9051854</v>
      </c>
      <c r="K8498">
        <v>2106431687</v>
      </c>
      <c r="L8498">
        <v>2106431687</v>
      </c>
      <c r="M8498" t="s">
        <v>6918</v>
      </c>
      <c r="N8498" t="s">
        <v>3325</v>
      </c>
      <c r="O8498" t="s">
        <v>6919</v>
      </c>
      <c r="P8498">
        <v>11522</v>
      </c>
      <c r="Q8498" t="str">
        <f>"37.995363"</f>
        <v>37.995363</v>
      </c>
      <c r="R8498" t="str">
        <f>"23.756630"</f>
        <v>23.756630</v>
      </c>
      <c r="S8498" t="s">
        <v>26</v>
      </c>
    </row>
    <row r="8499" spans="1:19" x14ac:dyDescent="0.3">
      <c r="A8499" t="s">
        <v>3237</v>
      </c>
      <c r="B8499" t="s">
        <v>6738</v>
      </c>
      <c r="C8499" t="s">
        <v>6920</v>
      </c>
      <c r="D8499" t="s">
        <v>3238</v>
      </c>
      <c r="E8499" t="s">
        <v>3432</v>
      </c>
      <c r="F8499" t="s">
        <v>3432</v>
      </c>
      <c r="G8499" t="s">
        <v>3432</v>
      </c>
      <c r="H8499" t="s">
        <v>859</v>
      </c>
      <c r="I8499" t="s">
        <v>860</v>
      </c>
      <c r="J8499" t="str">
        <f>"9051495"</f>
        <v>9051495</v>
      </c>
      <c r="K8499">
        <v>2109912346</v>
      </c>
      <c r="L8499">
        <v>2109912346</v>
      </c>
      <c r="M8499" t="s">
        <v>6921</v>
      </c>
      <c r="N8499" t="s">
        <v>3437</v>
      </c>
      <c r="O8499" t="s">
        <v>6922</v>
      </c>
      <c r="P8499">
        <v>16341</v>
      </c>
      <c r="Q8499" t="str">
        <f>"37.925666"</f>
        <v>37.925666</v>
      </c>
      <c r="R8499" t="str">
        <f>"23.753893"</f>
        <v>23.753893</v>
      </c>
      <c r="S8499" t="s">
        <v>26</v>
      </c>
    </row>
    <row r="8500" spans="1:19" x14ac:dyDescent="0.3">
      <c r="A8500" t="s">
        <v>3237</v>
      </c>
      <c r="B8500" t="s">
        <v>6738</v>
      </c>
      <c r="C8500" t="s">
        <v>6949</v>
      </c>
      <c r="D8500" t="s">
        <v>3238</v>
      </c>
      <c r="E8500" t="s">
        <v>3239</v>
      </c>
      <c r="F8500" t="s">
        <v>3239</v>
      </c>
      <c r="G8500" t="s">
        <v>3346</v>
      </c>
      <c r="H8500" t="s">
        <v>859</v>
      </c>
      <c r="I8500" t="s">
        <v>860</v>
      </c>
      <c r="J8500" t="str">
        <f>"9051397"</f>
        <v>9051397</v>
      </c>
      <c r="K8500">
        <v>2102921577</v>
      </c>
      <c r="L8500">
        <v>2102921577</v>
      </c>
      <c r="M8500" t="s">
        <v>6950</v>
      </c>
      <c r="N8500" t="s">
        <v>3325</v>
      </c>
      <c r="O8500" t="s">
        <v>6951</v>
      </c>
      <c r="P8500">
        <v>11142</v>
      </c>
      <c r="Q8500" t="str">
        <f>"38.022455"</f>
        <v>38.022455</v>
      </c>
      <c r="R8500" t="str">
        <f>"23.744792"</f>
        <v>23.744792</v>
      </c>
      <c r="S8500" t="s">
        <v>26</v>
      </c>
    </row>
    <row r="8501" spans="1:19" x14ac:dyDescent="0.3">
      <c r="A8501" t="s">
        <v>3237</v>
      </c>
      <c r="B8501" t="s">
        <v>6738</v>
      </c>
      <c r="C8501" t="s">
        <v>6952</v>
      </c>
      <c r="D8501" t="s">
        <v>3238</v>
      </c>
      <c r="E8501" t="s">
        <v>3239</v>
      </c>
      <c r="F8501" t="s">
        <v>3239</v>
      </c>
      <c r="G8501" t="s">
        <v>3346</v>
      </c>
      <c r="H8501" t="s">
        <v>859</v>
      </c>
      <c r="I8501" t="s">
        <v>860</v>
      </c>
      <c r="J8501" t="str">
        <f>"9051396"</f>
        <v>9051396</v>
      </c>
      <c r="K8501">
        <v>2102921170</v>
      </c>
      <c r="M8501" t="s">
        <v>6953</v>
      </c>
      <c r="N8501" t="s">
        <v>3325</v>
      </c>
      <c r="O8501" t="s">
        <v>6954</v>
      </c>
      <c r="P8501">
        <v>11142</v>
      </c>
      <c r="Q8501" t="str">
        <f>"38.024457"</f>
        <v>38.024457</v>
      </c>
      <c r="R8501" t="str">
        <f>"23.746150"</f>
        <v>23.746150</v>
      </c>
      <c r="S8501" t="s">
        <v>26</v>
      </c>
    </row>
    <row r="8502" spans="1:19" x14ac:dyDescent="0.3">
      <c r="A8502" t="s">
        <v>3237</v>
      </c>
      <c r="B8502" t="s">
        <v>6738</v>
      </c>
      <c r="C8502" t="s">
        <v>6955</v>
      </c>
      <c r="D8502" t="s">
        <v>3238</v>
      </c>
      <c r="E8502" t="s">
        <v>3239</v>
      </c>
      <c r="F8502" t="s">
        <v>3239</v>
      </c>
      <c r="G8502" t="s">
        <v>3340</v>
      </c>
      <c r="H8502" t="s">
        <v>859</v>
      </c>
      <c r="I8502" t="s">
        <v>860</v>
      </c>
      <c r="J8502" t="str">
        <f>"9050702"</f>
        <v>9050702</v>
      </c>
      <c r="K8502">
        <v>2106990248</v>
      </c>
      <c r="L8502">
        <v>2106990248</v>
      </c>
      <c r="M8502" t="s">
        <v>6956</v>
      </c>
      <c r="N8502" t="s">
        <v>3325</v>
      </c>
      <c r="O8502" t="s">
        <v>6948</v>
      </c>
      <c r="P8502">
        <v>11526</v>
      </c>
      <c r="Q8502" t="str">
        <f>"37.993144"</f>
        <v>37.993144</v>
      </c>
      <c r="R8502" t="str">
        <f>"23.770176"</f>
        <v>23.770176</v>
      </c>
      <c r="S8502" t="s">
        <v>26</v>
      </c>
    </row>
    <row r="8503" spans="1:19" x14ac:dyDescent="0.3">
      <c r="A8503" t="s">
        <v>3237</v>
      </c>
      <c r="B8503" t="s">
        <v>6738</v>
      </c>
      <c r="C8503" t="s">
        <v>6964</v>
      </c>
      <c r="D8503" t="s">
        <v>3238</v>
      </c>
      <c r="E8503" t="s">
        <v>3239</v>
      </c>
      <c r="F8503" t="s">
        <v>3239</v>
      </c>
      <c r="G8503" t="s">
        <v>3281</v>
      </c>
      <c r="H8503" t="s">
        <v>859</v>
      </c>
      <c r="I8503" t="s">
        <v>860</v>
      </c>
      <c r="J8503" t="str">
        <f>"9051181"</f>
        <v>9051181</v>
      </c>
      <c r="K8503">
        <v>2107563876</v>
      </c>
      <c r="L8503">
        <v>2107563886</v>
      </c>
      <c r="M8503" t="s">
        <v>6965</v>
      </c>
      <c r="N8503" t="s">
        <v>3325</v>
      </c>
      <c r="O8503" t="s">
        <v>6966</v>
      </c>
      <c r="P8503">
        <v>11631</v>
      </c>
      <c r="Q8503" t="str">
        <f>"37.958057"</f>
        <v>37.958057</v>
      </c>
      <c r="R8503" t="str">
        <f>"23.739542"</f>
        <v>23.739542</v>
      </c>
      <c r="S8503" t="s">
        <v>26</v>
      </c>
    </row>
    <row r="8504" spans="1:19" x14ac:dyDescent="0.3">
      <c r="A8504" t="s">
        <v>3237</v>
      </c>
      <c r="B8504" t="s">
        <v>6738</v>
      </c>
      <c r="C8504" t="s">
        <v>6970</v>
      </c>
      <c r="D8504" t="s">
        <v>3238</v>
      </c>
      <c r="E8504" t="s">
        <v>3432</v>
      </c>
      <c r="F8504" t="s">
        <v>3432</v>
      </c>
      <c r="G8504" t="s">
        <v>3432</v>
      </c>
      <c r="H8504" t="s">
        <v>859</v>
      </c>
      <c r="I8504" t="s">
        <v>860</v>
      </c>
      <c r="J8504" t="str">
        <f>"9051001"</f>
        <v>9051001</v>
      </c>
      <c r="K8504">
        <v>2109734761</v>
      </c>
      <c r="L8504">
        <v>2109734761</v>
      </c>
      <c r="M8504" t="s">
        <v>6971</v>
      </c>
      <c r="N8504" t="s">
        <v>3437</v>
      </c>
      <c r="O8504" t="s">
        <v>6972</v>
      </c>
      <c r="P8504">
        <v>16344</v>
      </c>
      <c r="Q8504" t="str">
        <f>"37.946605"</f>
        <v>37.946605</v>
      </c>
      <c r="R8504" t="str">
        <f>"23.760245"</f>
        <v>23.760245</v>
      </c>
      <c r="S8504" t="s">
        <v>26</v>
      </c>
    </row>
    <row r="8505" spans="1:19" x14ac:dyDescent="0.3">
      <c r="A8505" t="s">
        <v>3237</v>
      </c>
      <c r="B8505" t="s">
        <v>6738</v>
      </c>
      <c r="C8505" t="s">
        <v>6979</v>
      </c>
      <c r="D8505" t="s">
        <v>3238</v>
      </c>
      <c r="E8505" t="s">
        <v>3358</v>
      </c>
      <c r="F8505" t="s">
        <v>3358</v>
      </c>
      <c r="G8505" t="s">
        <v>3358</v>
      </c>
      <c r="H8505" t="s">
        <v>859</v>
      </c>
      <c r="I8505" t="s">
        <v>860</v>
      </c>
      <c r="J8505" t="str">
        <f>"9051018"</f>
        <v>9051018</v>
      </c>
      <c r="K8505">
        <v>2107242073</v>
      </c>
      <c r="L8505">
        <v>2107242073</v>
      </c>
      <c r="M8505" t="s">
        <v>6980</v>
      </c>
      <c r="N8505" t="s">
        <v>3361</v>
      </c>
      <c r="O8505" t="s">
        <v>6981</v>
      </c>
      <c r="P8505">
        <v>16122</v>
      </c>
      <c r="Q8505" t="str">
        <f>"37.964079"</f>
        <v>37.964079</v>
      </c>
      <c r="R8505" t="str">
        <f>"23.767311"</f>
        <v>23.767311</v>
      </c>
      <c r="S8505" t="s">
        <v>26</v>
      </c>
    </row>
    <row r="8506" spans="1:19" x14ac:dyDescent="0.3">
      <c r="A8506" t="s">
        <v>3237</v>
      </c>
      <c r="B8506" t="s">
        <v>6738</v>
      </c>
      <c r="C8506" t="s">
        <v>6982</v>
      </c>
      <c r="D8506" t="s">
        <v>3238</v>
      </c>
      <c r="E8506" t="s">
        <v>3239</v>
      </c>
      <c r="F8506" t="s">
        <v>3239</v>
      </c>
      <c r="G8506" t="s">
        <v>3281</v>
      </c>
      <c r="H8506" t="s">
        <v>859</v>
      </c>
      <c r="I8506" t="s">
        <v>860</v>
      </c>
      <c r="J8506" t="str">
        <f>"9051350"</f>
        <v>9051350</v>
      </c>
      <c r="K8506">
        <v>2109023685</v>
      </c>
      <c r="L8506">
        <v>2109023685</v>
      </c>
      <c r="M8506" t="s">
        <v>6983</v>
      </c>
      <c r="N8506" t="s">
        <v>3284</v>
      </c>
      <c r="O8506" t="s">
        <v>6984</v>
      </c>
      <c r="P8506">
        <v>11744</v>
      </c>
      <c r="Q8506" t="str">
        <f>"37.957916"</f>
        <v>37.957916</v>
      </c>
      <c r="R8506" t="str">
        <f>"23.731574"</f>
        <v>23.731574</v>
      </c>
      <c r="S8506" t="s">
        <v>26</v>
      </c>
    </row>
    <row r="8507" spans="1:19" x14ac:dyDescent="0.3">
      <c r="A8507" t="s">
        <v>3237</v>
      </c>
      <c r="B8507" t="s">
        <v>6738</v>
      </c>
      <c r="C8507" t="s">
        <v>6985</v>
      </c>
      <c r="D8507" t="s">
        <v>3238</v>
      </c>
      <c r="E8507" t="s">
        <v>3317</v>
      </c>
      <c r="F8507" t="s">
        <v>3317</v>
      </c>
      <c r="G8507" t="s">
        <v>3317</v>
      </c>
      <c r="H8507" t="s">
        <v>859</v>
      </c>
      <c r="I8507" t="s">
        <v>860</v>
      </c>
      <c r="J8507" t="str">
        <f>"9051014"</f>
        <v>9051014</v>
      </c>
      <c r="K8507">
        <v>2107799440</v>
      </c>
      <c r="L8507">
        <v>2107799440</v>
      </c>
      <c r="M8507" t="s">
        <v>6986</v>
      </c>
      <c r="N8507" t="s">
        <v>3317</v>
      </c>
      <c r="O8507" t="s">
        <v>6987</v>
      </c>
      <c r="P8507">
        <v>15772</v>
      </c>
      <c r="Q8507" t="str">
        <f>"37.971289"</f>
        <v>37.971289</v>
      </c>
      <c r="R8507" t="str">
        <f>"23.775918"</f>
        <v>23.775918</v>
      </c>
      <c r="S8507" t="s">
        <v>26</v>
      </c>
    </row>
    <row r="8508" spans="1:19" x14ac:dyDescent="0.3">
      <c r="A8508" t="s">
        <v>3237</v>
      </c>
      <c r="B8508" t="s">
        <v>6738</v>
      </c>
      <c r="C8508" t="s">
        <v>6988</v>
      </c>
      <c r="D8508" t="s">
        <v>3238</v>
      </c>
      <c r="E8508" t="s">
        <v>3317</v>
      </c>
      <c r="F8508" t="s">
        <v>3317</v>
      </c>
      <c r="G8508" t="s">
        <v>3317</v>
      </c>
      <c r="H8508" t="s">
        <v>859</v>
      </c>
      <c r="I8508" t="s">
        <v>860</v>
      </c>
      <c r="J8508" t="str">
        <f>"9051519"</f>
        <v>9051519</v>
      </c>
      <c r="K8508">
        <v>2114116558</v>
      </c>
      <c r="L8508">
        <v>2107799440</v>
      </c>
      <c r="M8508" t="s">
        <v>6989</v>
      </c>
      <c r="N8508" t="s">
        <v>3317</v>
      </c>
      <c r="O8508" t="s">
        <v>6990</v>
      </c>
      <c r="P8508">
        <v>15772</v>
      </c>
      <c r="Q8508" t="str">
        <f>"37.971311"</f>
        <v>37.971311</v>
      </c>
      <c r="R8508" t="str">
        <f>"23.776158"</f>
        <v>23.776158</v>
      </c>
      <c r="S8508" t="s">
        <v>26</v>
      </c>
    </row>
    <row r="8509" spans="1:19" x14ac:dyDescent="0.3">
      <c r="A8509" t="s">
        <v>3237</v>
      </c>
      <c r="B8509" t="s">
        <v>6738</v>
      </c>
      <c r="C8509" t="s">
        <v>6996</v>
      </c>
      <c r="D8509" t="s">
        <v>3238</v>
      </c>
      <c r="E8509" t="s">
        <v>3317</v>
      </c>
      <c r="F8509" t="s">
        <v>3317</v>
      </c>
      <c r="G8509" t="s">
        <v>3317</v>
      </c>
      <c r="H8509" t="s">
        <v>859</v>
      </c>
      <c r="I8509" t="s">
        <v>860</v>
      </c>
      <c r="J8509" t="str">
        <f>"9051624"</f>
        <v>9051624</v>
      </c>
      <c r="K8509">
        <v>2107707653</v>
      </c>
      <c r="M8509" t="s">
        <v>6997</v>
      </c>
      <c r="N8509" t="s">
        <v>3317</v>
      </c>
      <c r="O8509" t="s">
        <v>6741</v>
      </c>
      <c r="P8509">
        <v>15773</v>
      </c>
      <c r="Q8509" t="str">
        <f>"37.983507"</f>
        <v>37.983507</v>
      </c>
      <c r="R8509" t="str">
        <f>"23.775102"</f>
        <v>23.775102</v>
      </c>
      <c r="S8509" t="s">
        <v>26</v>
      </c>
    </row>
    <row r="8510" spans="1:19" x14ac:dyDescent="0.3">
      <c r="A8510" t="s">
        <v>3237</v>
      </c>
      <c r="B8510" t="s">
        <v>6738</v>
      </c>
      <c r="C8510" t="s">
        <v>7001</v>
      </c>
      <c r="D8510" t="s">
        <v>3238</v>
      </c>
      <c r="E8510" t="s">
        <v>3239</v>
      </c>
      <c r="F8510" t="s">
        <v>3239</v>
      </c>
      <c r="G8510" t="s">
        <v>3382</v>
      </c>
      <c r="H8510" t="s">
        <v>859</v>
      </c>
      <c r="I8510" t="s">
        <v>860</v>
      </c>
      <c r="J8510" t="str">
        <f>"9051380"</f>
        <v>9051380</v>
      </c>
      <c r="K8510">
        <v>2105150364</v>
      </c>
      <c r="M8510" t="s">
        <v>7002</v>
      </c>
      <c r="N8510" t="s">
        <v>3325</v>
      </c>
      <c r="O8510" t="s">
        <v>7003</v>
      </c>
      <c r="P8510">
        <v>10443</v>
      </c>
      <c r="Q8510" t="str">
        <f>"38.007694"</f>
        <v>38.007694</v>
      </c>
      <c r="R8510" t="str">
        <f>"23.716761"</f>
        <v>23.716761</v>
      </c>
      <c r="S8510" t="s">
        <v>26</v>
      </c>
    </row>
    <row r="8511" spans="1:19" x14ac:dyDescent="0.3">
      <c r="A8511" t="s">
        <v>3237</v>
      </c>
      <c r="B8511" t="s">
        <v>6738</v>
      </c>
      <c r="C8511" t="s">
        <v>7004</v>
      </c>
      <c r="D8511" t="s">
        <v>3238</v>
      </c>
      <c r="E8511" t="s">
        <v>3239</v>
      </c>
      <c r="F8511" t="s">
        <v>3239</v>
      </c>
      <c r="G8511" t="s">
        <v>3382</v>
      </c>
      <c r="H8511" t="s">
        <v>859</v>
      </c>
      <c r="I8511" t="s">
        <v>860</v>
      </c>
      <c r="J8511" t="str">
        <f>"9051008"</f>
        <v>9051008</v>
      </c>
      <c r="K8511">
        <v>2105125109</v>
      </c>
      <c r="L8511">
        <v>2105125109</v>
      </c>
      <c r="M8511" t="s">
        <v>7005</v>
      </c>
      <c r="N8511" t="s">
        <v>3325</v>
      </c>
      <c r="O8511" t="s">
        <v>7006</v>
      </c>
      <c r="P8511">
        <v>10444</v>
      </c>
      <c r="Q8511" t="str">
        <f>"37.997239"</f>
        <v>37.997239</v>
      </c>
      <c r="R8511" t="str">
        <f>"23.718097"</f>
        <v>23.718097</v>
      </c>
      <c r="S8511" t="s">
        <v>26</v>
      </c>
    </row>
    <row r="8512" spans="1:19" x14ac:dyDescent="0.3">
      <c r="A8512" t="s">
        <v>3237</v>
      </c>
      <c r="B8512" t="s">
        <v>6738</v>
      </c>
      <c r="C8512" t="s">
        <v>7012</v>
      </c>
      <c r="D8512" t="s">
        <v>3238</v>
      </c>
      <c r="E8512" t="s">
        <v>3239</v>
      </c>
      <c r="F8512" t="s">
        <v>3239</v>
      </c>
      <c r="G8512" t="s">
        <v>3312</v>
      </c>
      <c r="H8512" t="s">
        <v>859</v>
      </c>
      <c r="I8512" t="s">
        <v>860</v>
      </c>
      <c r="J8512" t="str">
        <f>"9051438"</f>
        <v>9051438</v>
      </c>
      <c r="K8512">
        <v>2108323838</v>
      </c>
      <c r="L8512">
        <v>2108323838</v>
      </c>
      <c r="M8512" t="s">
        <v>7013</v>
      </c>
      <c r="N8512" t="s">
        <v>3325</v>
      </c>
      <c r="O8512" t="s">
        <v>7014</v>
      </c>
      <c r="P8512">
        <v>10445</v>
      </c>
      <c r="Q8512" t="str">
        <f>"38.007277"</f>
        <v>38.007277</v>
      </c>
      <c r="R8512" t="str">
        <f>"23.723982"</f>
        <v>23.723982</v>
      </c>
      <c r="S8512" t="s">
        <v>26</v>
      </c>
    </row>
    <row r="8513" spans="1:19" x14ac:dyDescent="0.3">
      <c r="A8513" t="s">
        <v>3237</v>
      </c>
      <c r="B8513" t="s">
        <v>6738</v>
      </c>
      <c r="C8513" t="s">
        <v>7017</v>
      </c>
      <c r="D8513" t="s">
        <v>3238</v>
      </c>
      <c r="E8513" t="s">
        <v>3432</v>
      </c>
      <c r="F8513" t="s">
        <v>3432</v>
      </c>
      <c r="G8513" t="s">
        <v>3432</v>
      </c>
      <c r="H8513" t="s">
        <v>859</v>
      </c>
      <c r="I8513" t="s">
        <v>860</v>
      </c>
      <c r="J8513" t="str">
        <f>"9051027"</f>
        <v>9051027</v>
      </c>
      <c r="K8513">
        <v>2109940925</v>
      </c>
      <c r="L8513">
        <v>2109940925</v>
      </c>
      <c r="M8513" t="s">
        <v>7018</v>
      </c>
      <c r="N8513" t="s">
        <v>3437</v>
      </c>
      <c r="O8513" t="s">
        <v>7019</v>
      </c>
      <c r="P8513">
        <v>16346</v>
      </c>
      <c r="Q8513" t="str">
        <f>"37.934350"</f>
        <v>37.934350</v>
      </c>
      <c r="R8513" t="str">
        <f>"23.751927"</f>
        <v>23.751927</v>
      </c>
      <c r="S8513" t="s">
        <v>26</v>
      </c>
    </row>
    <row r="8514" spans="1:19" x14ac:dyDescent="0.3">
      <c r="A8514" t="s">
        <v>3237</v>
      </c>
      <c r="B8514" t="s">
        <v>6738</v>
      </c>
      <c r="C8514" t="s">
        <v>7020</v>
      </c>
      <c r="D8514" t="s">
        <v>3238</v>
      </c>
      <c r="E8514" t="s">
        <v>3468</v>
      </c>
      <c r="F8514" t="s">
        <v>3469</v>
      </c>
      <c r="G8514" t="s">
        <v>3469</v>
      </c>
      <c r="H8514" t="s">
        <v>859</v>
      </c>
      <c r="I8514" t="s">
        <v>860</v>
      </c>
      <c r="J8514" t="str">
        <f>"9051195"</f>
        <v>9051195</v>
      </c>
      <c r="K8514">
        <v>2109710300</v>
      </c>
      <c r="L8514">
        <v>2109710300</v>
      </c>
      <c r="M8514" t="s">
        <v>7021</v>
      </c>
      <c r="N8514" t="s">
        <v>3549</v>
      </c>
      <c r="O8514" t="s">
        <v>7022</v>
      </c>
      <c r="P8514">
        <v>17235</v>
      </c>
      <c r="Q8514" t="str">
        <f>"37.952052"</f>
        <v>37.952052</v>
      </c>
      <c r="R8514" t="str">
        <f>"23.732939"</f>
        <v>23.732939</v>
      </c>
      <c r="S8514" t="s">
        <v>26</v>
      </c>
    </row>
    <row r="8515" spans="1:19" x14ac:dyDescent="0.3">
      <c r="A8515" t="s">
        <v>3237</v>
      </c>
      <c r="B8515" t="s">
        <v>6738</v>
      </c>
      <c r="C8515" t="s">
        <v>7031</v>
      </c>
      <c r="D8515" t="s">
        <v>3238</v>
      </c>
      <c r="E8515" t="s">
        <v>3239</v>
      </c>
      <c r="F8515" t="s">
        <v>3239</v>
      </c>
      <c r="G8515" t="s">
        <v>3346</v>
      </c>
      <c r="H8515" t="s">
        <v>859</v>
      </c>
      <c r="I8515" t="s">
        <v>860</v>
      </c>
      <c r="J8515" t="str">
        <f>"9051022"</f>
        <v>9051022</v>
      </c>
      <c r="K8515">
        <v>2102922347</v>
      </c>
      <c r="L8515">
        <v>2102922347</v>
      </c>
      <c r="M8515" t="s">
        <v>7032</v>
      </c>
      <c r="N8515" t="s">
        <v>3325</v>
      </c>
      <c r="O8515" t="s">
        <v>7033</v>
      </c>
      <c r="P8515">
        <v>11142</v>
      </c>
      <c r="Q8515" t="str">
        <f>"38.020750"</f>
        <v>38.020750</v>
      </c>
      <c r="R8515" t="str">
        <f>"23.747642"</f>
        <v>23.747642</v>
      </c>
      <c r="S8515" t="s">
        <v>26</v>
      </c>
    </row>
    <row r="8516" spans="1:19" x14ac:dyDescent="0.3">
      <c r="A8516" t="s">
        <v>3237</v>
      </c>
      <c r="B8516" t="s">
        <v>6738</v>
      </c>
      <c r="C8516" t="s">
        <v>7041</v>
      </c>
      <c r="D8516" t="s">
        <v>3238</v>
      </c>
      <c r="E8516" t="s">
        <v>3239</v>
      </c>
      <c r="F8516" t="s">
        <v>3239</v>
      </c>
      <c r="G8516" t="s">
        <v>3382</v>
      </c>
      <c r="H8516" t="s">
        <v>859</v>
      </c>
      <c r="I8516" t="s">
        <v>860</v>
      </c>
      <c r="J8516" t="str">
        <f>"9051619"</f>
        <v>9051619</v>
      </c>
      <c r="K8516">
        <v>2105125129</v>
      </c>
      <c r="L8516">
        <v>2105125367</v>
      </c>
      <c r="M8516" t="s">
        <v>7042</v>
      </c>
      <c r="N8516" t="s">
        <v>3325</v>
      </c>
      <c r="O8516" t="s">
        <v>7043</v>
      </c>
      <c r="P8516">
        <v>10444</v>
      </c>
      <c r="Q8516" t="str">
        <f>"37.993845"</f>
        <v>37.993845</v>
      </c>
      <c r="R8516" t="str">
        <f>"23.716638"</f>
        <v>23.716638</v>
      </c>
      <c r="S8516" t="s">
        <v>26</v>
      </c>
    </row>
    <row r="8517" spans="1:19" x14ac:dyDescent="0.3">
      <c r="A8517" t="s">
        <v>3237</v>
      </c>
      <c r="B8517" t="s">
        <v>6738</v>
      </c>
      <c r="C8517" t="s">
        <v>7044</v>
      </c>
      <c r="D8517" t="s">
        <v>3238</v>
      </c>
      <c r="E8517" t="s">
        <v>3239</v>
      </c>
      <c r="F8517" t="s">
        <v>3239</v>
      </c>
      <c r="G8517" t="s">
        <v>3382</v>
      </c>
      <c r="H8517" t="s">
        <v>859</v>
      </c>
      <c r="I8517" t="s">
        <v>860</v>
      </c>
      <c r="J8517" t="str">
        <f>"9050758"</f>
        <v>9050758</v>
      </c>
      <c r="K8517">
        <v>2105125367</v>
      </c>
      <c r="L8517">
        <v>2105125367</v>
      </c>
      <c r="M8517" t="s">
        <v>7045</v>
      </c>
      <c r="N8517" t="s">
        <v>3325</v>
      </c>
      <c r="O8517" t="s">
        <v>7043</v>
      </c>
      <c r="P8517">
        <v>10444</v>
      </c>
      <c r="Q8517" t="str">
        <f>"37.993845"</f>
        <v>37.993845</v>
      </c>
      <c r="R8517" t="str">
        <f>"23.716638"</f>
        <v>23.716638</v>
      </c>
      <c r="S8517" t="s">
        <v>26</v>
      </c>
    </row>
    <row r="8518" spans="1:19" x14ac:dyDescent="0.3">
      <c r="A8518" t="s">
        <v>3237</v>
      </c>
      <c r="B8518" t="s">
        <v>6738</v>
      </c>
      <c r="C8518" t="s">
        <v>7046</v>
      </c>
      <c r="D8518" t="s">
        <v>3238</v>
      </c>
      <c r="E8518" t="s">
        <v>3239</v>
      </c>
      <c r="F8518" t="s">
        <v>3239</v>
      </c>
      <c r="G8518" t="s">
        <v>3240</v>
      </c>
      <c r="H8518" t="s">
        <v>859</v>
      </c>
      <c r="I8518" t="s">
        <v>860</v>
      </c>
      <c r="J8518" t="str">
        <f>"9051289"</f>
        <v>9051289</v>
      </c>
      <c r="K8518">
        <v>2108251454</v>
      </c>
      <c r="L8518">
        <v>2108251454</v>
      </c>
      <c r="M8518" t="s">
        <v>7047</v>
      </c>
      <c r="N8518" t="s">
        <v>3461</v>
      </c>
      <c r="O8518" t="s">
        <v>6816</v>
      </c>
      <c r="P8518">
        <v>11473</v>
      </c>
      <c r="Q8518" t="str">
        <f>"37.989645"</f>
        <v>37.989645</v>
      </c>
      <c r="R8518" t="str">
        <f>"23.738820"</f>
        <v>23.738820</v>
      </c>
      <c r="S8518" t="s">
        <v>26</v>
      </c>
    </row>
    <row r="8519" spans="1:19" x14ac:dyDescent="0.3">
      <c r="A8519" t="s">
        <v>3237</v>
      </c>
      <c r="B8519" t="s">
        <v>6738</v>
      </c>
      <c r="C8519" t="s">
        <v>7048</v>
      </c>
      <c r="D8519" t="s">
        <v>3238</v>
      </c>
      <c r="E8519" t="s">
        <v>3239</v>
      </c>
      <c r="F8519" t="s">
        <v>3239</v>
      </c>
      <c r="G8519" t="s">
        <v>3346</v>
      </c>
      <c r="H8519" t="s">
        <v>859</v>
      </c>
      <c r="I8519" t="s">
        <v>860</v>
      </c>
      <c r="J8519" t="str">
        <f>"9051437"</f>
        <v>9051437</v>
      </c>
      <c r="K8519">
        <v>2105151246</v>
      </c>
      <c r="L8519">
        <v>2105151246</v>
      </c>
      <c r="M8519" t="s">
        <v>7049</v>
      </c>
      <c r="N8519" t="s">
        <v>3325</v>
      </c>
      <c r="O8519" t="s">
        <v>7003</v>
      </c>
      <c r="P8519">
        <v>10443</v>
      </c>
      <c r="Q8519" t="str">
        <f>"38.007694"</f>
        <v>38.007694</v>
      </c>
      <c r="R8519" t="str">
        <f>"23.716761"</f>
        <v>23.716761</v>
      </c>
      <c r="S8519" t="s">
        <v>26</v>
      </c>
    </row>
    <row r="8520" spans="1:19" x14ac:dyDescent="0.3">
      <c r="A8520" t="s">
        <v>3237</v>
      </c>
      <c r="B8520" t="s">
        <v>6738</v>
      </c>
      <c r="C8520" t="s">
        <v>7055</v>
      </c>
      <c r="D8520" t="s">
        <v>3238</v>
      </c>
      <c r="E8520" t="s">
        <v>3239</v>
      </c>
      <c r="F8520" t="s">
        <v>3239</v>
      </c>
      <c r="G8520" t="s">
        <v>3281</v>
      </c>
      <c r="H8520" t="s">
        <v>859</v>
      </c>
      <c r="I8520" t="s">
        <v>860</v>
      </c>
      <c r="J8520" t="str">
        <f>"9050725"</f>
        <v>9050725</v>
      </c>
      <c r="K8520">
        <v>2107512760</v>
      </c>
      <c r="L8520">
        <v>2107512760</v>
      </c>
      <c r="M8520" t="s">
        <v>7056</v>
      </c>
      <c r="N8520" t="s">
        <v>3284</v>
      </c>
      <c r="O8520" t="s">
        <v>7057</v>
      </c>
      <c r="P8520">
        <v>11633</v>
      </c>
      <c r="Q8520" t="str">
        <f>"37.965957"</f>
        <v>37.965957</v>
      </c>
      <c r="R8520" t="str">
        <f>"23.749470"</f>
        <v>23.749470</v>
      </c>
      <c r="S8520" t="s">
        <v>26</v>
      </c>
    </row>
    <row r="8521" spans="1:19" x14ac:dyDescent="0.3">
      <c r="A8521" t="s">
        <v>3237</v>
      </c>
      <c r="B8521" t="s">
        <v>6738</v>
      </c>
      <c r="C8521" t="s">
        <v>7069</v>
      </c>
      <c r="D8521" t="s">
        <v>3238</v>
      </c>
      <c r="E8521" t="s">
        <v>3239</v>
      </c>
      <c r="F8521" t="s">
        <v>3239</v>
      </c>
      <c r="G8521" t="s">
        <v>3346</v>
      </c>
      <c r="H8521" t="s">
        <v>859</v>
      </c>
      <c r="I8521" t="s">
        <v>860</v>
      </c>
      <c r="J8521" t="str">
        <f>"9050783"</f>
        <v>9050783</v>
      </c>
      <c r="K8521">
        <v>2102922655</v>
      </c>
      <c r="L8521">
        <v>2102922655</v>
      </c>
      <c r="M8521" t="s">
        <v>7070</v>
      </c>
      <c r="N8521" t="s">
        <v>3325</v>
      </c>
      <c r="O8521" t="s">
        <v>7071</v>
      </c>
      <c r="P8521">
        <v>11142</v>
      </c>
      <c r="Q8521" t="str">
        <f>"38.021942"</f>
        <v>38.021942</v>
      </c>
      <c r="R8521" t="str">
        <f>"23.748514"</f>
        <v>23.748514</v>
      </c>
      <c r="S8521" t="s">
        <v>26</v>
      </c>
    </row>
    <row r="8522" spans="1:19" x14ac:dyDescent="0.3">
      <c r="A8522" t="s">
        <v>3237</v>
      </c>
      <c r="B8522" t="s">
        <v>6738</v>
      </c>
      <c r="C8522" t="s">
        <v>7072</v>
      </c>
      <c r="D8522" t="s">
        <v>3238</v>
      </c>
      <c r="E8522" t="s">
        <v>3239</v>
      </c>
      <c r="F8522" t="s">
        <v>3239</v>
      </c>
      <c r="G8522" t="s">
        <v>3346</v>
      </c>
      <c r="H8522" t="s">
        <v>859</v>
      </c>
      <c r="I8522" t="s">
        <v>860</v>
      </c>
      <c r="J8522" t="str">
        <f>"9051554"</f>
        <v>9051554</v>
      </c>
      <c r="K8522">
        <v>2102023106</v>
      </c>
      <c r="L8522">
        <v>2102023106</v>
      </c>
      <c r="M8522" t="s">
        <v>7073</v>
      </c>
      <c r="N8522" t="s">
        <v>3325</v>
      </c>
      <c r="O8522" t="s">
        <v>3687</v>
      </c>
      <c r="P8522">
        <v>11255</v>
      </c>
      <c r="Q8522" t="str">
        <f>"38.012819"</f>
        <v>38.012819</v>
      </c>
      <c r="R8522" t="str">
        <f>"23.739058"</f>
        <v>23.739058</v>
      </c>
      <c r="S8522" t="s">
        <v>26</v>
      </c>
    </row>
    <row r="8523" spans="1:19" x14ac:dyDescent="0.3">
      <c r="A8523" t="s">
        <v>3237</v>
      </c>
      <c r="B8523" t="s">
        <v>6738</v>
      </c>
      <c r="C8523" t="s">
        <v>7076</v>
      </c>
      <c r="D8523" t="s">
        <v>3238</v>
      </c>
      <c r="E8523" t="s">
        <v>3239</v>
      </c>
      <c r="F8523" t="s">
        <v>3239</v>
      </c>
      <c r="G8523" t="s">
        <v>3346</v>
      </c>
      <c r="H8523" t="s">
        <v>859</v>
      </c>
      <c r="I8523" t="s">
        <v>860</v>
      </c>
      <c r="J8523" t="str">
        <f>"9051198"</f>
        <v>9051198</v>
      </c>
      <c r="K8523">
        <v>2102281930</v>
      </c>
      <c r="L8523">
        <v>2102281930</v>
      </c>
      <c r="M8523" t="s">
        <v>7077</v>
      </c>
      <c r="N8523" t="s">
        <v>3325</v>
      </c>
      <c r="O8523" t="s">
        <v>7078</v>
      </c>
      <c r="P8523">
        <v>11144</v>
      </c>
      <c r="Q8523" t="str">
        <f>"38.019842"</f>
        <v>38.019842</v>
      </c>
      <c r="R8523" t="str">
        <f>"23.733985"</f>
        <v>23.733985</v>
      </c>
      <c r="S8523" t="s">
        <v>26</v>
      </c>
    </row>
    <row r="8524" spans="1:19" x14ac:dyDescent="0.3">
      <c r="A8524" t="s">
        <v>3237</v>
      </c>
      <c r="B8524" t="s">
        <v>6738</v>
      </c>
      <c r="C8524" t="s">
        <v>7079</v>
      </c>
      <c r="D8524" t="s">
        <v>3238</v>
      </c>
      <c r="E8524" t="s">
        <v>3239</v>
      </c>
      <c r="F8524" t="s">
        <v>3239</v>
      </c>
      <c r="G8524" t="s">
        <v>3340</v>
      </c>
      <c r="H8524" t="s">
        <v>859</v>
      </c>
      <c r="I8524" t="s">
        <v>860</v>
      </c>
      <c r="J8524" t="str">
        <f>"9520555"</f>
        <v>9520555</v>
      </c>
      <c r="K8524">
        <v>2107750065</v>
      </c>
      <c r="L8524">
        <v>2107750065</v>
      </c>
      <c r="M8524" t="s">
        <v>7080</v>
      </c>
      <c r="N8524" t="s">
        <v>3325</v>
      </c>
      <c r="O8524" t="s">
        <v>6946</v>
      </c>
      <c r="P8524">
        <v>11527</v>
      </c>
      <c r="Q8524" t="str">
        <f>"37.985283"</f>
        <v>37.985283</v>
      </c>
      <c r="R8524" t="str">
        <f>"23.766911"</f>
        <v>23.766911</v>
      </c>
      <c r="S8524" t="s">
        <v>26</v>
      </c>
    </row>
    <row r="8525" spans="1:19" x14ac:dyDescent="0.3">
      <c r="A8525" t="s">
        <v>3237</v>
      </c>
      <c r="B8525" t="s">
        <v>6738</v>
      </c>
      <c r="C8525" t="s">
        <v>7081</v>
      </c>
      <c r="D8525" t="s">
        <v>3238</v>
      </c>
      <c r="E8525" t="s">
        <v>3239</v>
      </c>
      <c r="F8525" t="s">
        <v>3239</v>
      </c>
      <c r="G8525" t="s">
        <v>3346</v>
      </c>
      <c r="H8525" t="s">
        <v>859</v>
      </c>
      <c r="I8525" t="s">
        <v>860</v>
      </c>
      <c r="J8525" t="str">
        <f>"9050856"</f>
        <v>9050856</v>
      </c>
      <c r="K8525">
        <v>2102285885</v>
      </c>
      <c r="L8525">
        <v>2102285885</v>
      </c>
      <c r="M8525" t="s">
        <v>7082</v>
      </c>
      <c r="N8525" t="s">
        <v>3325</v>
      </c>
      <c r="O8525" t="s">
        <v>7083</v>
      </c>
      <c r="P8525">
        <v>11144</v>
      </c>
      <c r="Q8525" t="str">
        <f>"38.020697"</f>
        <v>38.020697</v>
      </c>
      <c r="R8525" t="str">
        <f>"23.732443"</f>
        <v>23.732443</v>
      </c>
      <c r="S8525" t="s">
        <v>26</v>
      </c>
    </row>
    <row r="8526" spans="1:19" x14ac:dyDescent="0.3">
      <c r="A8526" t="s">
        <v>3237</v>
      </c>
      <c r="B8526" t="s">
        <v>6738</v>
      </c>
      <c r="C8526" t="s">
        <v>7089</v>
      </c>
      <c r="D8526" t="s">
        <v>3238</v>
      </c>
      <c r="E8526" t="s">
        <v>3506</v>
      </c>
      <c r="F8526" t="s">
        <v>3506</v>
      </c>
      <c r="G8526" t="s">
        <v>3506</v>
      </c>
      <c r="H8526" t="s">
        <v>859</v>
      </c>
      <c r="I8526" t="s">
        <v>860</v>
      </c>
      <c r="J8526" t="str">
        <f>"9051618"</f>
        <v>9051618</v>
      </c>
      <c r="K8526">
        <v>2107626596</v>
      </c>
      <c r="L8526">
        <v>2107626596</v>
      </c>
      <c r="M8526" t="s">
        <v>7090</v>
      </c>
      <c r="N8526" t="s">
        <v>3363</v>
      </c>
      <c r="O8526" t="s">
        <v>6897</v>
      </c>
      <c r="P8526">
        <v>16232</v>
      </c>
      <c r="Q8526" t="str">
        <f>"37.953664"</f>
        <v>37.953664</v>
      </c>
      <c r="R8526" t="str">
        <f>"23.756094"</f>
        <v>23.756094</v>
      </c>
      <c r="S8526" t="s">
        <v>26</v>
      </c>
    </row>
    <row r="8527" spans="1:19" x14ac:dyDescent="0.3">
      <c r="A8527" t="s">
        <v>3237</v>
      </c>
      <c r="B8527" t="s">
        <v>6738</v>
      </c>
      <c r="C8527" t="s">
        <v>7096</v>
      </c>
      <c r="D8527" t="s">
        <v>3238</v>
      </c>
      <c r="E8527" t="s">
        <v>3432</v>
      </c>
      <c r="F8527" t="s">
        <v>3432</v>
      </c>
      <c r="G8527" t="s">
        <v>3432</v>
      </c>
      <c r="H8527" t="s">
        <v>859</v>
      </c>
      <c r="I8527" t="s">
        <v>860</v>
      </c>
      <c r="J8527" t="str">
        <f>"9051401"</f>
        <v>9051401</v>
      </c>
      <c r="K8527">
        <v>2109951507</v>
      </c>
      <c r="L8527">
        <v>2109951507</v>
      </c>
      <c r="M8527" t="s">
        <v>7097</v>
      </c>
      <c r="N8527" t="s">
        <v>3437</v>
      </c>
      <c r="O8527" t="s">
        <v>7098</v>
      </c>
      <c r="P8527">
        <v>16343</v>
      </c>
      <c r="Q8527" t="str">
        <f>"37.934913"</f>
        <v>37.934913</v>
      </c>
      <c r="R8527" t="str">
        <f>"23.760508"</f>
        <v>23.760508</v>
      </c>
      <c r="S8527" t="s">
        <v>26</v>
      </c>
    </row>
    <row r="8528" spans="1:19" x14ac:dyDescent="0.3">
      <c r="A8528" t="s">
        <v>3237</v>
      </c>
      <c r="B8528" t="s">
        <v>6738</v>
      </c>
      <c r="C8528" t="s">
        <v>7104</v>
      </c>
      <c r="D8528" t="s">
        <v>3238</v>
      </c>
      <c r="E8528" t="s">
        <v>3358</v>
      </c>
      <c r="F8528" t="s">
        <v>3358</v>
      </c>
      <c r="G8528" t="s">
        <v>3358</v>
      </c>
      <c r="H8528" t="s">
        <v>859</v>
      </c>
      <c r="I8528" t="s">
        <v>1102</v>
      </c>
      <c r="J8528" t="str">
        <f>"9051179"</f>
        <v>9051179</v>
      </c>
      <c r="K8528">
        <v>2107252445</v>
      </c>
      <c r="L8528">
        <v>2107252448</v>
      </c>
      <c r="M8528" t="s">
        <v>7105</v>
      </c>
      <c r="N8528" t="s">
        <v>3361</v>
      </c>
      <c r="O8528" t="s">
        <v>7106</v>
      </c>
      <c r="P8528">
        <v>16121</v>
      </c>
      <c r="Q8528" t="str">
        <f>"37.966487"</f>
        <v>37.966487</v>
      </c>
      <c r="R8528" t="str">
        <f>"23.761453"</f>
        <v>23.761453</v>
      </c>
      <c r="S8528" t="s">
        <v>26</v>
      </c>
    </row>
    <row r="8529" spans="1:19" x14ac:dyDescent="0.3">
      <c r="A8529" t="s">
        <v>3237</v>
      </c>
      <c r="B8529" t="s">
        <v>6738</v>
      </c>
      <c r="C8529" t="s">
        <v>7107</v>
      </c>
      <c r="D8529" t="s">
        <v>3238</v>
      </c>
      <c r="E8529" t="s">
        <v>3239</v>
      </c>
      <c r="F8529" t="s">
        <v>3239</v>
      </c>
      <c r="G8529" t="s">
        <v>3346</v>
      </c>
      <c r="H8529" t="s">
        <v>859</v>
      </c>
      <c r="I8529" t="s">
        <v>860</v>
      </c>
      <c r="J8529" t="str">
        <f>"9050514"</f>
        <v>9050514</v>
      </c>
      <c r="K8529">
        <v>2102525374</v>
      </c>
      <c r="L8529">
        <v>2102525374</v>
      </c>
      <c r="M8529" t="s">
        <v>7108</v>
      </c>
      <c r="N8529" t="s">
        <v>3325</v>
      </c>
      <c r="O8529" t="s">
        <v>7109</v>
      </c>
      <c r="P8529">
        <v>11142</v>
      </c>
      <c r="Q8529" t="str">
        <f>"38.028908"</f>
        <v>38.028908</v>
      </c>
      <c r="R8529" t="str">
        <f>"23.749468"</f>
        <v>23.749468</v>
      </c>
      <c r="S8529" t="s">
        <v>26</v>
      </c>
    </row>
    <row r="8530" spans="1:19" x14ac:dyDescent="0.3">
      <c r="A8530" t="s">
        <v>3237</v>
      </c>
      <c r="B8530" t="s">
        <v>6738</v>
      </c>
      <c r="C8530" t="s">
        <v>7116</v>
      </c>
      <c r="D8530" t="s">
        <v>3238</v>
      </c>
      <c r="E8530" t="s">
        <v>3239</v>
      </c>
      <c r="F8530" t="s">
        <v>3239</v>
      </c>
      <c r="G8530" t="s">
        <v>3240</v>
      </c>
      <c r="H8530" t="s">
        <v>859</v>
      </c>
      <c r="I8530" t="s">
        <v>860</v>
      </c>
      <c r="J8530" t="str">
        <f>"9050755"</f>
        <v>9050755</v>
      </c>
      <c r="K8530">
        <v>2103224084</v>
      </c>
      <c r="L8530">
        <v>2103229133</v>
      </c>
      <c r="M8530" t="s">
        <v>7117</v>
      </c>
      <c r="N8530" t="s">
        <v>3374</v>
      </c>
      <c r="O8530" t="s">
        <v>7118</v>
      </c>
      <c r="P8530">
        <v>10556</v>
      </c>
      <c r="Q8530" t="str">
        <f>"37.973663"</f>
        <v>37.973663</v>
      </c>
      <c r="R8530" t="str">
        <f>"23.729827"</f>
        <v>23.729827</v>
      </c>
      <c r="S8530" t="s">
        <v>26</v>
      </c>
    </row>
    <row r="8531" spans="1:19" x14ac:dyDescent="0.3">
      <c r="A8531" t="s">
        <v>3237</v>
      </c>
      <c r="B8531" t="s">
        <v>6738</v>
      </c>
      <c r="C8531" t="s">
        <v>7122</v>
      </c>
      <c r="D8531" t="s">
        <v>3238</v>
      </c>
      <c r="E8531" t="s">
        <v>3404</v>
      </c>
      <c r="F8531" t="s">
        <v>3405</v>
      </c>
      <c r="G8531" t="s">
        <v>3405</v>
      </c>
      <c r="H8531" t="s">
        <v>859</v>
      </c>
      <c r="I8531" t="s">
        <v>860</v>
      </c>
      <c r="J8531" t="str">
        <f>"9050854"</f>
        <v>9050854</v>
      </c>
      <c r="K8531">
        <v>2102533300</v>
      </c>
      <c r="L8531">
        <v>2102533300</v>
      </c>
      <c r="M8531" t="s">
        <v>7123</v>
      </c>
      <c r="N8531" t="s">
        <v>3570</v>
      </c>
      <c r="O8531" t="s">
        <v>7124</v>
      </c>
      <c r="P8531">
        <v>14341</v>
      </c>
      <c r="Q8531" t="str">
        <f>"38.032504"</f>
        <v>38.032504</v>
      </c>
      <c r="R8531" t="str">
        <f>"23.734238"</f>
        <v>23.734238</v>
      </c>
      <c r="S8531" t="s">
        <v>26</v>
      </c>
    </row>
    <row r="8532" spans="1:19" x14ac:dyDescent="0.3">
      <c r="A8532" t="s">
        <v>3237</v>
      </c>
      <c r="B8532" t="s">
        <v>6738</v>
      </c>
      <c r="C8532" t="s">
        <v>7125</v>
      </c>
      <c r="D8532" t="s">
        <v>3238</v>
      </c>
      <c r="E8532" t="s">
        <v>3239</v>
      </c>
      <c r="F8532" t="s">
        <v>3239</v>
      </c>
      <c r="G8532" t="s">
        <v>3240</v>
      </c>
      <c r="H8532" t="s">
        <v>859</v>
      </c>
      <c r="I8532" t="s">
        <v>860</v>
      </c>
      <c r="J8532" t="str">
        <f>"9051439"</f>
        <v>9051439</v>
      </c>
      <c r="K8532">
        <v>2108811078</v>
      </c>
      <c r="L8532">
        <v>2108818978</v>
      </c>
      <c r="M8532" t="s">
        <v>7126</v>
      </c>
      <c r="N8532" t="s">
        <v>3325</v>
      </c>
      <c r="O8532" t="s">
        <v>7127</v>
      </c>
      <c r="P8532">
        <v>10439</v>
      </c>
      <c r="Q8532" t="str">
        <f>"37.990220"</f>
        <v>37.990220</v>
      </c>
      <c r="R8532" t="str">
        <f>"23.724919"</f>
        <v>23.724919</v>
      </c>
      <c r="S8532" t="s">
        <v>26</v>
      </c>
    </row>
    <row r="8533" spans="1:19" x14ac:dyDescent="0.3">
      <c r="A8533" t="s">
        <v>3237</v>
      </c>
      <c r="B8533" t="s">
        <v>6738</v>
      </c>
      <c r="C8533" t="s">
        <v>7130</v>
      </c>
      <c r="D8533" t="s">
        <v>3238</v>
      </c>
      <c r="E8533" t="s">
        <v>3239</v>
      </c>
      <c r="F8533" t="s">
        <v>3239</v>
      </c>
      <c r="G8533" t="s">
        <v>3346</v>
      </c>
      <c r="H8533" t="s">
        <v>859</v>
      </c>
      <c r="I8533" t="s">
        <v>860</v>
      </c>
      <c r="J8533" t="str">
        <f>"9051395"</f>
        <v>9051395</v>
      </c>
      <c r="K8533">
        <v>2102027240</v>
      </c>
      <c r="L8533">
        <v>2102027240</v>
      </c>
      <c r="M8533" t="s">
        <v>7131</v>
      </c>
      <c r="N8533" t="s">
        <v>3325</v>
      </c>
      <c r="O8533" t="s">
        <v>7132</v>
      </c>
      <c r="P8533">
        <v>11143</v>
      </c>
      <c r="Q8533" t="str">
        <f>"38.021340"</f>
        <v>38.021340</v>
      </c>
      <c r="R8533" t="str">
        <f>"23.729632"</f>
        <v>23.729632</v>
      </c>
      <c r="S8533" t="s">
        <v>26</v>
      </c>
    </row>
    <row r="8534" spans="1:19" x14ac:dyDescent="0.3">
      <c r="A8534" t="s">
        <v>3237</v>
      </c>
      <c r="B8534" t="s">
        <v>6738</v>
      </c>
      <c r="C8534" t="s">
        <v>7133</v>
      </c>
      <c r="D8534" t="s">
        <v>3238</v>
      </c>
      <c r="E8534" t="s">
        <v>3239</v>
      </c>
      <c r="F8534" t="s">
        <v>3239</v>
      </c>
      <c r="G8534" t="s">
        <v>3240</v>
      </c>
      <c r="H8534" t="s">
        <v>859</v>
      </c>
      <c r="I8534" t="s">
        <v>860</v>
      </c>
      <c r="J8534" t="str">
        <f>"9050855"</f>
        <v>9050855</v>
      </c>
      <c r="K8534">
        <v>2108818978</v>
      </c>
      <c r="L8534">
        <v>2108818978</v>
      </c>
      <c r="M8534" t="s">
        <v>7134</v>
      </c>
      <c r="N8534" t="s">
        <v>3325</v>
      </c>
      <c r="O8534" t="s">
        <v>7127</v>
      </c>
      <c r="P8534">
        <v>10439</v>
      </c>
      <c r="Q8534" t="str">
        <f>"37.990125"</f>
        <v>37.990125</v>
      </c>
      <c r="R8534" t="str">
        <f>"23.724913"</f>
        <v>23.724913</v>
      </c>
      <c r="S8534" t="s">
        <v>26</v>
      </c>
    </row>
    <row r="8535" spans="1:19" x14ac:dyDescent="0.3">
      <c r="A8535" t="s">
        <v>3237</v>
      </c>
      <c r="B8535" t="s">
        <v>6738</v>
      </c>
      <c r="C8535" t="s">
        <v>7135</v>
      </c>
      <c r="D8535" t="s">
        <v>3238</v>
      </c>
      <c r="E8535" t="s">
        <v>3239</v>
      </c>
      <c r="F8535" t="s">
        <v>3239</v>
      </c>
      <c r="G8535" t="s">
        <v>3281</v>
      </c>
      <c r="H8535" t="s">
        <v>859</v>
      </c>
      <c r="I8535" t="s">
        <v>860</v>
      </c>
      <c r="J8535" t="str">
        <f>"9050724"</f>
        <v>9050724</v>
      </c>
      <c r="K8535">
        <v>2107519289</v>
      </c>
      <c r="L8535">
        <v>2107519289</v>
      </c>
      <c r="M8535" t="s">
        <v>7136</v>
      </c>
      <c r="N8535" t="s">
        <v>3284</v>
      </c>
      <c r="O8535" t="s">
        <v>7137</v>
      </c>
      <c r="P8535">
        <v>11636</v>
      </c>
      <c r="Q8535" t="str">
        <f>"37.966296"</f>
        <v>37.966296</v>
      </c>
      <c r="R8535" t="str">
        <f>"23.742675"</f>
        <v>23.742675</v>
      </c>
      <c r="S8535" t="s">
        <v>26</v>
      </c>
    </row>
    <row r="8536" spans="1:19" x14ac:dyDescent="0.3">
      <c r="A8536" t="s">
        <v>3237</v>
      </c>
      <c r="B8536" t="s">
        <v>6738</v>
      </c>
      <c r="C8536" t="s">
        <v>7145</v>
      </c>
      <c r="D8536" t="s">
        <v>3238</v>
      </c>
      <c r="E8536" t="s">
        <v>3239</v>
      </c>
      <c r="F8536" t="s">
        <v>3239</v>
      </c>
      <c r="G8536" t="s">
        <v>3340</v>
      </c>
      <c r="H8536" t="s">
        <v>859</v>
      </c>
      <c r="I8536" t="s">
        <v>860</v>
      </c>
      <c r="J8536" t="str">
        <f>"9050693"</f>
        <v>9050693</v>
      </c>
      <c r="K8536">
        <v>2106919680</v>
      </c>
      <c r="L8536">
        <v>2106919680</v>
      </c>
      <c r="M8536" t="s">
        <v>7146</v>
      </c>
      <c r="N8536" t="s">
        <v>3325</v>
      </c>
      <c r="O8536" t="s">
        <v>3720</v>
      </c>
      <c r="P8536">
        <v>11523</v>
      </c>
      <c r="Q8536" t="str">
        <f>"37.990147"</f>
        <v>37.990147</v>
      </c>
      <c r="R8536" t="str">
        <f>"23.764031"</f>
        <v>23.764031</v>
      </c>
      <c r="S8536" t="s">
        <v>26</v>
      </c>
    </row>
    <row r="8537" spans="1:19" x14ac:dyDescent="0.3">
      <c r="A8537" t="s">
        <v>3237</v>
      </c>
      <c r="B8537" t="s">
        <v>6738</v>
      </c>
      <c r="C8537" t="s">
        <v>7147</v>
      </c>
      <c r="D8537" t="s">
        <v>3238</v>
      </c>
      <c r="E8537" t="s">
        <v>3239</v>
      </c>
      <c r="F8537" t="s">
        <v>3239</v>
      </c>
      <c r="G8537" t="s">
        <v>3340</v>
      </c>
      <c r="H8537" t="s">
        <v>859</v>
      </c>
      <c r="I8537" t="s">
        <v>860</v>
      </c>
      <c r="J8537" t="str">
        <f>"9050017"</f>
        <v>9050017</v>
      </c>
      <c r="K8537">
        <v>2106982902</v>
      </c>
      <c r="M8537" t="s">
        <v>7148</v>
      </c>
      <c r="N8537" t="s">
        <v>3284</v>
      </c>
      <c r="O8537" t="s">
        <v>3720</v>
      </c>
      <c r="P8537">
        <v>11523</v>
      </c>
      <c r="Q8537" t="str">
        <f>"37.990008"</f>
        <v>37.990008</v>
      </c>
      <c r="R8537" t="str">
        <f>"23.764386"</f>
        <v>23.764386</v>
      </c>
      <c r="S8537" t="s">
        <v>26</v>
      </c>
    </row>
    <row r="8538" spans="1:19" x14ac:dyDescent="0.3">
      <c r="A8538" t="s">
        <v>3237</v>
      </c>
      <c r="B8538" t="s">
        <v>6738</v>
      </c>
      <c r="C8538" t="s">
        <v>7166</v>
      </c>
      <c r="D8538" t="s">
        <v>3238</v>
      </c>
      <c r="E8538" t="s">
        <v>3239</v>
      </c>
      <c r="F8538" t="s">
        <v>3239</v>
      </c>
      <c r="G8538" t="s">
        <v>3240</v>
      </c>
      <c r="H8538" t="s">
        <v>859</v>
      </c>
      <c r="I8538" t="s">
        <v>860</v>
      </c>
      <c r="J8538" t="str">
        <f>"9050092"</f>
        <v>9050092</v>
      </c>
      <c r="K8538">
        <v>2109216653</v>
      </c>
      <c r="L8538">
        <v>2109216653</v>
      </c>
      <c r="M8538" t="s">
        <v>7167</v>
      </c>
      <c r="N8538" t="s">
        <v>3325</v>
      </c>
      <c r="O8538" t="s">
        <v>7168</v>
      </c>
      <c r="P8538">
        <v>11741</v>
      </c>
      <c r="Q8538" t="str">
        <f>"37.963807"</f>
        <v>37.963807</v>
      </c>
      <c r="R8538" t="str">
        <f>"23.716894"</f>
        <v>23.716894</v>
      </c>
      <c r="S8538" t="s">
        <v>26</v>
      </c>
    </row>
    <row r="8539" spans="1:19" x14ac:dyDescent="0.3">
      <c r="A8539" t="s">
        <v>3237</v>
      </c>
      <c r="B8539" t="s">
        <v>6738</v>
      </c>
      <c r="C8539" t="s">
        <v>7171</v>
      </c>
      <c r="D8539" t="s">
        <v>3238</v>
      </c>
      <c r="E8539" t="s">
        <v>3239</v>
      </c>
      <c r="F8539" t="s">
        <v>3239</v>
      </c>
      <c r="G8539" t="s">
        <v>3240</v>
      </c>
      <c r="H8539" t="s">
        <v>859</v>
      </c>
      <c r="I8539" t="s">
        <v>860</v>
      </c>
      <c r="J8539" t="str">
        <f>"9050688"</f>
        <v>9050688</v>
      </c>
      <c r="K8539">
        <v>2107238598</v>
      </c>
      <c r="L8539">
        <v>2107238598</v>
      </c>
      <c r="M8539" t="s">
        <v>7172</v>
      </c>
      <c r="N8539" t="s">
        <v>3325</v>
      </c>
      <c r="O8539" t="s">
        <v>7173</v>
      </c>
      <c r="P8539">
        <v>16121</v>
      </c>
      <c r="Q8539" t="str">
        <f>"37.972392"</f>
        <v>37.972392</v>
      </c>
      <c r="R8539" t="str">
        <f>"23.755865"</f>
        <v>23.755865</v>
      </c>
      <c r="S8539" t="s">
        <v>26</v>
      </c>
    </row>
    <row r="8540" spans="1:19" x14ac:dyDescent="0.3">
      <c r="A8540" t="s">
        <v>3237</v>
      </c>
      <c r="B8540" t="s">
        <v>6738</v>
      </c>
      <c r="C8540" t="s">
        <v>7176</v>
      </c>
      <c r="D8540" t="s">
        <v>3238</v>
      </c>
      <c r="E8540" t="s">
        <v>3443</v>
      </c>
      <c r="F8540" t="s">
        <v>3443</v>
      </c>
      <c r="G8540" t="s">
        <v>3443</v>
      </c>
      <c r="H8540" t="s">
        <v>859</v>
      </c>
      <c r="I8540" t="s">
        <v>860</v>
      </c>
      <c r="J8540" t="str">
        <f>"9050786"</f>
        <v>9050786</v>
      </c>
      <c r="K8540">
        <v>2102912230</v>
      </c>
      <c r="L8540">
        <v>2102912230</v>
      </c>
      <c r="M8540" t="s">
        <v>7177</v>
      </c>
      <c r="N8540" t="s">
        <v>3446</v>
      </c>
      <c r="O8540" t="s">
        <v>7178</v>
      </c>
      <c r="P8540">
        <v>11146</v>
      </c>
      <c r="Q8540" t="str">
        <f>"38.017729"</f>
        <v>38.017729</v>
      </c>
      <c r="R8540" t="str">
        <f>"23.753971"</f>
        <v>23.753971</v>
      </c>
      <c r="S8540" t="s">
        <v>26</v>
      </c>
    </row>
    <row r="8541" spans="1:19" x14ac:dyDescent="0.3">
      <c r="A8541" t="s">
        <v>3237</v>
      </c>
      <c r="B8541" t="s">
        <v>6738</v>
      </c>
      <c r="C8541" t="s">
        <v>7179</v>
      </c>
      <c r="D8541" t="s">
        <v>3238</v>
      </c>
      <c r="E8541" t="s">
        <v>3506</v>
      </c>
      <c r="F8541" t="s">
        <v>3506</v>
      </c>
      <c r="G8541" t="s">
        <v>3506</v>
      </c>
      <c r="H8541" t="s">
        <v>859</v>
      </c>
      <c r="I8541" t="s">
        <v>860</v>
      </c>
      <c r="J8541" t="str">
        <f>"9050110"</f>
        <v>9050110</v>
      </c>
      <c r="K8541">
        <v>2107652005</v>
      </c>
      <c r="L8541">
        <v>2107652005</v>
      </c>
      <c r="M8541" t="s">
        <v>7180</v>
      </c>
      <c r="N8541" t="s">
        <v>3363</v>
      </c>
      <c r="O8541" t="s">
        <v>6744</v>
      </c>
      <c r="P8541">
        <v>16231</v>
      </c>
      <c r="Q8541" t="str">
        <f>"37.961766"</f>
        <v>37.961766</v>
      </c>
      <c r="R8541" t="str">
        <f>"23.754386"</f>
        <v>23.754386</v>
      </c>
      <c r="S8541" t="s">
        <v>26</v>
      </c>
    </row>
    <row r="8542" spans="1:19" x14ac:dyDescent="0.3">
      <c r="A8542" t="s">
        <v>3237</v>
      </c>
      <c r="B8542" t="s">
        <v>6738</v>
      </c>
      <c r="C8542" t="s">
        <v>7181</v>
      </c>
      <c r="D8542" t="s">
        <v>3238</v>
      </c>
      <c r="E8542" t="s">
        <v>3443</v>
      </c>
      <c r="F8542" t="s">
        <v>3443</v>
      </c>
      <c r="G8542" t="s">
        <v>3443</v>
      </c>
      <c r="H8542" t="s">
        <v>859</v>
      </c>
      <c r="I8542" t="s">
        <v>860</v>
      </c>
      <c r="J8542" t="str">
        <f>"9051023"</f>
        <v>9051023</v>
      </c>
      <c r="K8542">
        <v>2102024410</v>
      </c>
      <c r="L8542">
        <v>2102024410</v>
      </c>
      <c r="M8542" t="s">
        <v>7182</v>
      </c>
      <c r="N8542" t="s">
        <v>3446</v>
      </c>
      <c r="O8542" t="s">
        <v>7183</v>
      </c>
      <c r="P8542">
        <v>11146</v>
      </c>
      <c r="Q8542" t="str">
        <f>"38.014822"</f>
        <v>38.014822</v>
      </c>
      <c r="R8542" t="str">
        <f>"23.748271"</f>
        <v>23.748271</v>
      </c>
      <c r="S8542" t="s">
        <v>26</v>
      </c>
    </row>
    <row r="8543" spans="1:19" x14ac:dyDescent="0.3">
      <c r="A8543" t="s">
        <v>3237</v>
      </c>
      <c r="B8543" t="s">
        <v>6738</v>
      </c>
      <c r="C8543" t="s">
        <v>7186</v>
      </c>
      <c r="D8543" t="s">
        <v>3238</v>
      </c>
      <c r="E8543" t="s">
        <v>3239</v>
      </c>
      <c r="F8543" t="s">
        <v>3239</v>
      </c>
      <c r="G8543" t="s">
        <v>3322</v>
      </c>
      <c r="H8543" t="s">
        <v>859</v>
      </c>
      <c r="I8543" t="s">
        <v>860</v>
      </c>
      <c r="J8543" t="str">
        <f>"9050751"</f>
        <v>9050751</v>
      </c>
      <c r="K8543">
        <v>2103463663</v>
      </c>
      <c r="L8543">
        <v>2103463663</v>
      </c>
      <c r="M8543" t="s">
        <v>7187</v>
      </c>
      <c r="N8543" t="s">
        <v>3325</v>
      </c>
      <c r="O8543" t="s">
        <v>7188</v>
      </c>
      <c r="P8543">
        <v>11851</v>
      </c>
      <c r="Q8543" t="str">
        <f>"37.971551"</f>
        <v>37.971551</v>
      </c>
      <c r="R8543" t="str">
        <f>"23.712724"</f>
        <v>23.712724</v>
      </c>
      <c r="S8543" t="s">
        <v>26</v>
      </c>
    </row>
    <row r="8544" spans="1:19" x14ac:dyDescent="0.3">
      <c r="A8544" t="s">
        <v>3237</v>
      </c>
      <c r="B8544" t="s">
        <v>6738</v>
      </c>
      <c r="C8544" t="s">
        <v>7191</v>
      </c>
      <c r="D8544" t="s">
        <v>3238</v>
      </c>
      <c r="E8544" t="s">
        <v>3443</v>
      </c>
      <c r="F8544" t="s">
        <v>3443</v>
      </c>
      <c r="G8544" t="s">
        <v>3443</v>
      </c>
      <c r="H8544" t="s">
        <v>859</v>
      </c>
      <c r="I8544" t="s">
        <v>860</v>
      </c>
      <c r="J8544" t="str">
        <f>"9051202"</f>
        <v>9051202</v>
      </c>
      <c r="K8544">
        <v>2102921827</v>
      </c>
      <c r="L8544">
        <v>2102921827</v>
      </c>
      <c r="M8544" t="s">
        <v>7192</v>
      </c>
      <c r="N8544" t="s">
        <v>3446</v>
      </c>
      <c r="O8544" t="s">
        <v>7193</v>
      </c>
      <c r="P8544">
        <v>11146</v>
      </c>
      <c r="Q8544" t="str">
        <f>"38.017778"</f>
        <v>38.017778</v>
      </c>
      <c r="R8544" t="str">
        <f>"23.753829"</f>
        <v>23.753829</v>
      </c>
      <c r="S8544" t="s">
        <v>26</v>
      </c>
    </row>
    <row r="8545" spans="1:19" x14ac:dyDescent="0.3">
      <c r="A8545" t="s">
        <v>3237</v>
      </c>
      <c r="B8545" t="s">
        <v>6738</v>
      </c>
      <c r="C8545" t="s">
        <v>7197</v>
      </c>
      <c r="D8545" t="s">
        <v>3238</v>
      </c>
      <c r="E8545" t="s">
        <v>3443</v>
      </c>
      <c r="F8545" t="s">
        <v>3443</v>
      </c>
      <c r="G8545" t="s">
        <v>3443</v>
      </c>
      <c r="H8545" t="s">
        <v>859</v>
      </c>
      <c r="I8545" t="s">
        <v>860</v>
      </c>
      <c r="J8545" t="str">
        <f>"9051500"</f>
        <v>9051500</v>
      </c>
      <c r="K8545">
        <v>2102933523</v>
      </c>
      <c r="L8545">
        <v>2110120438</v>
      </c>
      <c r="M8545" t="s">
        <v>7198</v>
      </c>
      <c r="N8545" t="s">
        <v>3446</v>
      </c>
      <c r="O8545" t="s">
        <v>7199</v>
      </c>
      <c r="P8545">
        <v>11146</v>
      </c>
      <c r="Q8545" t="str">
        <f>"38.024788"</f>
        <v>38.024788</v>
      </c>
      <c r="R8545" t="str">
        <f>"23.755924"</f>
        <v>23.755924</v>
      </c>
      <c r="S8545" t="s">
        <v>26</v>
      </c>
    </row>
    <row r="8546" spans="1:19" x14ac:dyDescent="0.3">
      <c r="A8546" t="s">
        <v>3237</v>
      </c>
      <c r="B8546" t="s">
        <v>6738</v>
      </c>
      <c r="C8546" t="s">
        <v>7200</v>
      </c>
      <c r="D8546" t="s">
        <v>3238</v>
      </c>
      <c r="E8546" t="s">
        <v>3239</v>
      </c>
      <c r="F8546" t="s">
        <v>3239</v>
      </c>
      <c r="G8546" t="s">
        <v>3322</v>
      </c>
      <c r="H8546" t="s">
        <v>859</v>
      </c>
      <c r="I8546" t="s">
        <v>860</v>
      </c>
      <c r="J8546" t="str">
        <f>"9050327"</f>
        <v>9050327</v>
      </c>
      <c r="K8546">
        <v>2103466114</v>
      </c>
      <c r="L8546">
        <v>2103466114</v>
      </c>
      <c r="M8546" t="s">
        <v>7201</v>
      </c>
      <c r="N8546" t="s">
        <v>3325</v>
      </c>
      <c r="O8546" t="s">
        <v>7188</v>
      </c>
      <c r="P8546">
        <v>11851</v>
      </c>
      <c r="Q8546" t="str">
        <f>"37.971398"</f>
        <v>37.971398</v>
      </c>
      <c r="R8546" t="str">
        <f>"23.712608"</f>
        <v>23.712608</v>
      </c>
      <c r="S8546" t="s">
        <v>26</v>
      </c>
    </row>
    <row r="8547" spans="1:19" x14ac:dyDescent="0.3">
      <c r="A8547" t="s">
        <v>3237</v>
      </c>
      <c r="B8547" t="s">
        <v>6738</v>
      </c>
      <c r="C8547" t="s">
        <v>7202</v>
      </c>
      <c r="D8547" t="s">
        <v>3238</v>
      </c>
      <c r="E8547" t="s">
        <v>3239</v>
      </c>
      <c r="F8547" t="s">
        <v>3239</v>
      </c>
      <c r="G8547" t="s">
        <v>3382</v>
      </c>
      <c r="H8547" t="s">
        <v>859</v>
      </c>
      <c r="I8547" t="s">
        <v>860</v>
      </c>
      <c r="J8547" t="str">
        <f>"9051010"</f>
        <v>9051010</v>
      </c>
      <c r="K8547">
        <v>2108540320</v>
      </c>
      <c r="L8547">
        <v>2108323838</v>
      </c>
      <c r="M8547" t="s">
        <v>7203</v>
      </c>
      <c r="N8547" t="s">
        <v>3325</v>
      </c>
      <c r="O8547" t="s">
        <v>7014</v>
      </c>
      <c r="P8547">
        <v>10445</v>
      </c>
      <c r="Q8547" t="str">
        <f>"38.007233"</f>
        <v>38.007233</v>
      </c>
      <c r="R8547" t="str">
        <f>"23.725025"</f>
        <v>23.725025</v>
      </c>
      <c r="S8547" t="s">
        <v>26</v>
      </c>
    </row>
    <row r="8548" spans="1:19" x14ac:dyDescent="0.3">
      <c r="A8548" t="s">
        <v>3237</v>
      </c>
      <c r="B8548" t="s">
        <v>6738</v>
      </c>
      <c r="C8548" t="s">
        <v>7204</v>
      </c>
      <c r="D8548" t="s">
        <v>3238</v>
      </c>
      <c r="E8548" t="s">
        <v>3443</v>
      </c>
      <c r="F8548" t="s">
        <v>3443</v>
      </c>
      <c r="G8548" t="s">
        <v>3443</v>
      </c>
      <c r="H8548" t="s">
        <v>859</v>
      </c>
      <c r="I8548" t="s">
        <v>860</v>
      </c>
      <c r="J8548" t="str">
        <f>"9051201"</f>
        <v>9051201</v>
      </c>
      <c r="K8548">
        <v>2102910120</v>
      </c>
      <c r="L8548">
        <v>2102910120</v>
      </c>
      <c r="M8548" t="s">
        <v>7205</v>
      </c>
      <c r="N8548" t="s">
        <v>3446</v>
      </c>
      <c r="O8548" t="s">
        <v>7206</v>
      </c>
      <c r="P8548">
        <v>11147</v>
      </c>
      <c r="Q8548" t="str">
        <f>"38.011607"</f>
        <v>38.011607</v>
      </c>
      <c r="R8548" t="str">
        <f>"23.759716"</f>
        <v>23.759716</v>
      </c>
      <c r="S8548" t="s">
        <v>26</v>
      </c>
    </row>
    <row r="8549" spans="1:19" x14ac:dyDescent="0.3">
      <c r="A8549" t="s">
        <v>3237</v>
      </c>
      <c r="B8549" t="s">
        <v>6738</v>
      </c>
      <c r="C8549" t="s">
        <v>7207</v>
      </c>
      <c r="D8549" t="s">
        <v>3238</v>
      </c>
      <c r="E8549" t="s">
        <v>3506</v>
      </c>
      <c r="F8549" t="s">
        <v>3506</v>
      </c>
      <c r="G8549" t="s">
        <v>3506</v>
      </c>
      <c r="H8549" t="s">
        <v>859</v>
      </c>
      <c r="I8549" t="s">
        <v>860</v>
      </c>
      <c r="J8549" t="str">
        <f>"9051190"</f>
        <v>9051190</v>
      </c>
      <c r="K8549">
        <v>2107652005</v>
      </c>
      <c r="L8549">
        <v>2107652005</v>
      </c>
      <c r="M8549" t="s">
        <v>7208</v>
      </c>
      <c r="N8549" t="s">
        <v>3363</v>
      </c>
      <c r="O8549" t="s">
        <v>6744</v>
      </c>
      <c r="P8549">
        <v>16231</v>
      </c>
      <c r="Q8549" t="str">
        <f>"37.961766"</f>
        <v>37.961766</v>
      </c>
      <c r="R8549" t="str">
        <f>"23.754386"</f>
        <v>23.754386</v>
      </c>
      <c r="S8549" t="s">
        <v>26</v>
      </c>
    </row>
    <row r="8550" spans="1:19" x14ac:dyDescent="0.3">
      <c r="A8550" t="s">
        <v>3237</v>
      </c>
      <c r="B8550" t="s">
        <v>6738</v>
      </c>
      <c r="C8550" t="s">
        <v>7209</v>
      </c>
      <c r="D8550" t="s">
        <v>3238</v>
      </c>
      <c r="E8550" t="s">
        <v>3239</v>
      </c>
      <c r="F8550" t="s">
        <v>3239</v>
      </c>
      <c r="G8550" t="s">
        <v>3382</v>
      </c>
      <c r="H8550" t="s">
        <v>859</v>
      </c>
      <c r="I8550" t="s">
        <v>860</v>
      </c>
      <c r="J8550" t="str">
        <f>"9051816"</f>
        <v>9051816</v>
      </c>
      <c r="K8550">
        <v>2105129581</v>
      </c>
      <c r="L8550">
        <v>2105128202</v>
      </c>
      <c r="M8550" t="s">
        <v>7210</v>
      </c>
      <c r="N8550" t="s">
        <v>3325</v>
      </c>
      <c r="O8550" t="s">
        <v>7121</v>
      </c>
      <c r="P8550">
        <v>10441</v>
      </c>
      <c r="Q8550" t="str">
        <f>"37.986981"</f>
        <v>37.986981</v>
      </c>
      <c r="R8550" t="str">
        <f>"23.715663"</f>
        <v>23.715663</v>
      </c>
      <c r="S8550" t="s">
        <v>26</v>
      </c>
    </row>
    <row r="8551" spans="1:19" x14ac:dyDescent="0.3">
      <c r="A8551" t="s">
        <v>3237</v>
      </c>
      <c r="B8551" t="s">
        <v>6738</v>
      </c>
      <c r="C8551" t="s">
        <v>7211</v>
      </c>
      <c r="D8551" t="s">
        <v>3238</v>
      </c>
      <c r="E8551" t="s">
        <v>3443</v>
      </c>
      <c r="F8551" t="s">
        <v>3443</v>
      </c>
      <c r="G8551" t="s">
        <v>3443</v>
      </c>
      <c r="H8551" t="s">
        <v>859</v>
      </c>
      <c r="I8551" t="s">
        <v>860</v>
      </c>
      <c r="J8551" t="str">
        <f>"9051575"</f>
        <v>9051575</v>
      </c>
      <c r="K8551">
        <v>2102137494</v>
      </c>
      <c r="L8551">
        <v>2102919454</v>
      </c>
      <c r="M8551" t="s">
        <v>7212</v>
      </c>
      <c r="N8551" t="s">
        <v>3446</v>
      </c>
      <c r="O8551" t="s">
        <v>7213</v>
      </c>
      <c r="P8551">
        <v>11147</v>
      </c>
      <c r="Q8551" t="str">
        <f>"38.020333"</f>
        <v>38.020333</v>
      </c>
      <c r="R8551" t="str">
        <f>"23.759140"</f>
        <v>23.759140</v>
      </c>
      <c r="S8551" t="s">
        <v>26</v>
      </c>
    </row>
    <row r="8552" spans="1:19" x14ac:dyDescent="0.3">
      <c r="A8552" t="s">
        <v>3237</v>
      </c>
      <c r="B8552" t="s">
        <v>6738</v>
      </c>
      <c r="C8552" t="s">
        <v>7214</v>
      </c>
      <c r="D8552" t="s">
        <v>3238</v>
      </c>
      <c r="E8552" t="s">
        <v>3443</v>
      </c>
      <c r="F8552" t="s">
        <v>3443</v>
      </c>
      <c r="G8552" t="s">
        <v>3443</v>
      </c>
      <c r="H8552" t="s">
        <v>859</v>
      </c>
      <c r="I8552" t="s">
        <v>860</v>
      </c>
      <c r="J8552" t="str">
        <f>"9050536"</f>
        <v>9050536</v>
      </c>
      <c r="K8552">
        <v>2102010331</v>
      </c>
      <c r="L8552">
        <v>2102010331</v>
      </c>
      <c r="M8552" t="s">
        <v>7215</v>
      </c>
      <c r="N8552" t="s">
        <v>3446</v>
      </c>
      <c r="O8552" t="s">
        <v>7216</v>
      </c>
      <c r="P8552">
        <v>11146</v>
      </c>
      <c r="Q8552" t="str">
        <f>"38.014451"</f>
        <v>38.014451</v>
      </c>
      <c r="R8552" t="str">
        <f>"23.748103"</f>
        <v>23.748103</v>
      </c>
      <c r="S8552" t="s">
        <v>26</v>
      </c>
    </row>
    <row r="8553" spans="1:19" x14ac:dyDescent="0.3">
      <c r="A8553" t="s">
        <v>3237</v>
      </c>
      <c r="B8553" t="s">
        <v>6738</v>
      </c>
      <c r="C8553" t="s">
        <v>7217</v>
      </c>
      <c r="D8553" t="s">
        <v>3238</v>
      </c>
      <c r="E8553" t="s">
        <v>3239</v>
      </c>
      <c r="F8553" t="s">
        <v>3239</v>
      </c>
      <c r="G8553" t="s">
        <v>3382</v>
      </c>
      <c r="H8553" t="s">
        <v>859</v>
      </c>
      <c r="I8553" t="s">
        <v>860</v>
      </c>
      <c r="J8553" t="str">
        <f>"9051286"</f>
        <v>9051286</v>
      </c>
      <c r="K8553">
        <v>2105146063</v>
      </c>
      <c r="L8553">
        <v>2105146063</v>
      </c>
      <c r="M8553" t="s">
        <v>7218</v>
      </c>
      <c r="N8553" t="s">
        <v>3325</v>
      </c>
      <c r="O8553" t="s">
        <v>7219</v>
      </c>
      <c r="P8553">
        <v>10443</v>
      </c>
      <c r="Q8553" t="str">
        <f>"38.005593"</f>
        <v>38.005593</v>
      </c>
      <c r="R8553" t="str">
        <f>"23.715506"</f>
        <v>23.715506</v>
      </c>
      <c r="S8553" t="s">
        <v>26</v>
      </c>
    </row>
    <row r="8554" spans="1:19" x14ac:dyDescent="0.3">
      <c r="A8554" t="s">
        <v>3237</v>
      </c>
      <c r="B8554" t="s">
        <v>6738</v>
      </c>
      <c r="C8554" t="s">
        <v>7220</v>
      </c>
      <c r="D8554" t="s">
        <v>3238</v>
      </c>
      <c r="E8554" t="s">
        <v>3443</v>
      </c>
      <c r="F8554" t="s">
        <v>3443</v>
      </c>
      <c r="G8554" t="s">
        <v>3443</v>
      </c>
      <c r="H8554" t="s">
        <v>859</v>
      </c>
      <c r="I8554" t="s">
        <v>860</v>
      </c>
      <c r="J8554" t="str">
        <f>"9050537"</f>
        <v>9050537</v>
      </c>
      <c r="K8554">
        <v>2102924276</v>
      </c>
      <c r="M8554" t="s">
        <v>7221</v>
      </c>
      <c r="N8554" t="s">
        <v>3446</v>
      </c>
      <c r="O8554" t="s">
        <v>7222</v>
      </c>
      <c r="P8554">
        <v>11147</v>
      </c>
      <c r="Q8554" t="str">
        <f>"38.020401"</f>
        <v>38.020401</v>
      </c>
      <c r="R8554" t="str">
        <f>"23.759087"</f>
        <v>23.759087</v>
      </c>
      <c r="S8554" t="s">
        <v>26</v>
      </c>
    </row>
    <row r="8555" spans="1:19" x14ac:dyDescent="0.3">
      <c r="A8555" t="s">
        <v>3237</v>
      </c>
      <c r="B8555" t="s">
        <v>6738</v>
      </c>
      <c r="C8555" t="s">
        <v>7226</v>
      </c>
      <c r="D8555" t="s">
        <v>3238</v>
      </c>
      <c r="E8555" t="s">
        <v>3506</v>
      </c>
      <c r="F8555" t="s">
        <v>3506</v>
      </c>
      <c r="G8555" t="s">
        <v>3506</v>
      </c>
      <c r="H8555" t="s">
        <v>859</v>
      </c>
      <c r="I8555" t="s">
        <v>860</v>
      </c>
      <c r="J8555" t="str">
        <f>"9051549"</f>
        <v>9051549</v>
      </c>
      <c r="K8555">
        <v>2107667446</v>
      </c>
      <c r="L8555">
        <v>2107651570</v>
      </c>
      <c r="M8555" t="s">
        <v>7227</v>
      </c>
      <c r="N8555" t="s">
        <v>3363</v>
      </c>
      <c r="O8555" t="s">
        <v>6758</v>
      </c>
      <c r="P8555">
        <v>16231</v>
      </c>
      <c r="Q8555" t="str">
        <f>"37.961022"</f>
        <v>37.961022</v>
      </c>
      <c r="R8555" t="str">
        <f>"23.753792"</f>
        <v>23.753792</v>
      </c>
      <c r="S8555" t="s">
        <v>26</v>
      </c>
    </row>
    <row r="8556" spans="1:19" x14ac:dyDescent="0.3">
      <c r="A8556" t="s">
        <v>3237</v>
      </c>
      <c r="B8556" t="s">
        <v>6738</v>
      </c>
      <c r="C8556" t="s">
        <v>7228</v>
      </c>
      <c r="D8556" t="s">
        <v>3238</v>
      </c>
      <c r="E8556" t="s">
        <v>3239</v>
      </c>
      <c r="F8556" t="s">
        <v>3239</v>
      </c>
      <c r="G8556" t="s">
        <v>3346</v>
      </c>
      <c r="H8556" t="s">
        <v>859</v>
      </c>
      <c r="I8556" t="s">
        <v>860</v>
      </c>
      <c r="J8556" t="str">
        <f>"9050521"</f>
        <v>9050521</v>
      </c>
      <c r="K8556">
        <v>2102231780</v>
      </c>
      <c r="L8556">
        <v>2102231780</v>
      </c>
      <c r="M8556" t="s">
        <v>7229</v>
      </c>
      <c r="N8556" t="s">
        <v>3325</v>
      </c>
      <c r="O8556" t="s">
        <v>7230</v>
      </c>
      <c r="P8556">
        <v>11141</v>
      </c>
      <c r="Q8556" t="str">
        <f>"38.015824"</f>
        <v>38.015824</v>
      </c>
      <c r="R8556" t="str">
        <f>"23.742169"</f>
        <v>23.742169</v>
      </c>
      <c r="S8556" t="s">
        <v>26</v>
      </c>
    </row>
    <row r="8557" spans="1:19" x14ac:dyDescent="0.3">
      <c r="A8557" t="s">
        <v>3237</v>
      </c>
      <c r="B8557" t="s">
        <v>6738</v>
      </c>
      <c r="C8557" t="s">
        <v>7231</v>
      </c>
      <c r="D8557" t="s">
        <v>3238</v>
      </c>
      <c r="E8557" t="s">
        <v>3317</v>
      </c>
      <c r="F8557" t="s">
        <v>3317</v>
      </c>
      <c r="G8557" t="s">
        <v>3317</v>
      </c>
      <c r="H8557" t="s">
        <v>859</v>
      </c>
      <c r="I8557" t="s">
        <v>860</v>
      </c>
      <c r="J8557" t="str">
        <f>"9051623"</f>
        <v>9051623</v>
      </c>
      <c r="K8557">
        <v>2107707531</v>
      </c>
      <c r="L8557">
        <v>2107707531</v>
      </c>
      <c r="M8557" t="s">
        <v>7232</v>
      </c>
      <c r="N8557" t="s">
        <v>3317</v>
      </c>
      <c r="O8557" t="s">
        <v>7233</v>
      </c>
      <c r="P8557">
        <v>15772</v>
      </c>
      <c r="Q8557" t="str">
        <f>"37.974301"</f>
        <v>37.974301</v>
      </c>
      <c r="R8557" t="str">
        <f>"23.771655"</f>
        <v>23.771655</v>
      </c>
      <c r="S8557" t="s">
        <v>26</v>
      </c>
    </row>
    <row r="8558" spans="1:19" x14ac:dyDescent="0.3">
      <c r="A8558" t="s">
        <v>3237</v>
      </c>
      <c r="B8558" t="s">
        <v>6738</v>
      </c>
      <c r="C8558" t="s">
        <v>7234</v>
      </c>
      <c r="D8558" t="s">
        <v>3238</v>
      </c>
      <c r="E8558" t="s">
        <v>3432</v>
      </c>
      <c r="F8558" t="s">
        <v>3432</v>
      </c>
      <c r="G8558" t="s">
        <v>3432</v>
      </c>
      <c r="H8558" t="s">
        <v>859</v>
      </c>
      <c r="I8558" t="s">
        <v>860</v>
      </c>
      <c r="J8558" t="str">
        <f>"9050890"</f>
        <v>9050890</v>
      </c>
      <c r="K8558">
        <v>2109935923</v>
      </c>
      <c r="L8558">
        <v>2109935923</v>
      </c>
      <c r="M8558" t="s">
        <v>7235</v>
      </c>
      <c r="N8558" t="s">
        <v>3437</v>
      </c>
      <c r="O8558" t="s">
        <v>6913</v>
      </c>
      <c r="P8558">
        <v>16343</v>
      </c>
      <c r="Q8558" t="str">
        <f>"37.934888"</f>
        <v>37.934888</v>
      </c>
      <c r="R8558" t="str">
        <f>"23.761780"</f>
        <v>23.761780</v>
      </c>
      <c r="S8558" t="s">
        <v>26</v>
      </c>
    </row>
    <row r="8559" spans="1:19" x14ac:dyDescent="0.3">
      <c r="A8559" t="s">
        <v>3237</v>
      </c>
      <c r="B8559" t="s">
        <v>6738</v>
      </c>
      <c r="C8559" t="s">
        <v>7236</v>
      </c>
      <c r="D8559" t="s">
        <v>3238</v>
      </c>
      <c r="E8559" t="s">
        <v>3239</v>
      </c>
      <c r="F8559" t="s">
        <v>3239</v>
      </c>
      <c r="G8559" t="s">
        <v>3346</v>
      </c>
      <c r="H8559" t="s">
        <v>859</v>
      </c>
      <c r="I8559" t="s">
        <v>860</v>
      </c>
      <c r="J8559" t="str">
        <f>"9050785"</f>
        <v>9050785</v>
      </c>
      <c r="K8559">
        <v>2102236300</v>
      </c>
      <c r="L8559">
        <v>2102236300</v>
      </c>
      <c r="M8559" t="s">
        <v>7237</v>
      </c>
      <c r="N8559" t="s">
        <v>3325</v>
      </c>
      <c r="O8559" t="s">
        <v>3687</v>
      </c>
      <c r="P8559">
        <v>11255</v>
      </c>
      <c r="Q8559" t="str">
        <f>"38.012819"</f>
        <v>38.012819</v>
      </c>
      <c r="R8559" t="str">
        <f>"23.739058"</f>
        <v>23.739058</v>
      </c>
      <c r="S8559" t="s">
        <v>26</v>
      </c>
    </row>
    <row r="8560" spans="1:19" x14ac:dyDescent="0.3">
      <c r="A8560" t="s">
        <v>3237</v>
      </c>
      <c r="B8560" t="s">
        <v>6738</v>
      </c>
      <c r="C8560" t="s">
        <v>7238</v>
      </c>
      <c r="D8560" t="s">
        <v>3238</v>
      </c>
      <c r="E8560" t="s">
        <v>3317</v>
      </c>
      <c r="F8560" t="s">
        <v>3317</v>
      </c>
      <c r="G8560" t="s">
        <v>3317</v>
      </c>
      <c r="H8560" t="s">
        <v>859</v>
      </c>
      <c r="I8560" t="s">
        <v>860</v>
      </c>
      <c r="J8560" t="str">
        <f>"9051392"</f>
        <v>9051392</v>
      </c>
      <c r="K8560">
        <v>2107707531</v>
      </c>
      <c r="L8560">
        <v>2107707531</v>
      </c>
      <c r="M8560" t="s">
        <v>7239</v>
      </c>
      <c r="N8560" t="s">
        <v>3317</v>
      </c>
      <c r="O8560" t="s">
        <v>7233</v>
      </c>
      <c r="P8560">
        <v>15772</v>
      </c>
      <c r="Q8560" t="str">
        <f>"37.974127"</f>
        <v>37.974127</v>
      </c>
      <c r="R8560" t="str">
        <f>"23.771868"</f>
        <v>23.771868</v>
      </c>
      <c r="S8560" t="s">
        <v>26</v>
      </c>
    </row>
    <row r="8561" spans="1:19" x14ac:dyDescent="0.3">
      <c r="A8561" t="s">
        <v>3237</v>
      </c>
      <c r="B8561" t="s">
        <v>6738</v>
      </c>
      <c r="C8561" t="s">
        <v>7240</v>
      </c>
      <c r="D8561" t="s">
        <v>3238</v>
      </c>
      <c r="E8561" t="s">
        <v>3239</v>
      </c>
      <c r="F8561" t="s">
        <v>3239</v>
      </c>
      <c r="G8561" t="s">
        <v>3312</v>
      </c>
      <c r="H8561" t="s">
        <v>859</v>
      </c>
      <c r="I8561" t="s">
        <v>860</v>
      </c>
      <c r="J8561" t="str">
        <f>"9050530"</f>
        <v>9050530</v>
      </c>
      <c r="K8561">
        <v>2108654392</v>
      </c>
      <c r="M8561" t="s">
        <v>7241</v>
      </c>
      <c r="N8561" t="s">
        <v>3284</v>
      </c>
      <c r="O8561" t="s">
        <v>7242</v>
      </c>
      <c r="P8561">
        <v>11364</v>
      </c>
      <c r="Q8561" t="str">
        <f>"38.008014"</f>
        <v>38.008014</v>
      </c>
      <c r="R8561" t="str">
        <f>"23.746017"</f>
        <v>23.746017</v>
      </c>
      <c r="S8561" t="s">
        <v>26</v>
      </c>
    </row>
    <row r="8562" spans="1:19" x14ac:dyDescent="0.3">
      <c r="A8562" t="s">
        <v>3237</v>
      </c>
      <c r="B8562" t="s">
        <v>6738</v>
      </c>
      <c r="C8562" t="s">
        <v>7243</v>
      </c>
      <c r="D8562" t="s">
        <v>3238</v>
      </c>
      <c r="E8562" t="s">
        <v>3404</v>
      </c>
      <c r="F8562" t="s">
        <v>3405</v>
      </c>
      <c r="G8562" t="s">
        <v>3405</v>
      </c>
      <c r="H8562" t="s">
        <v>859</v>
      </c>
      <c r="I8562" t="s">
        <v>860</v>
      </c>
      <c r="J8562" t="str">
        <f>"9050774"</f>
        <v>9050774</v>
      </c>
      <c r="K8562">
        <v>2102526223</v>
      </c>
      <c r="L8562">
        <v>2102526223</v>
      </c>
      <c r="M8562" t="s">
        <v>7244</v>
      </c>
      <c r="N8562" t="s">
        <v>3405</v>
      </c>
      <c r="O8562" t="s">
        <v>7245</v>
      </c>
      <c r="P8562">
        <v>14341</v>
      </c>
      <c r="Q8562" t="str">
        <f>"38.033943"</f>
        <v>38.033943</v>
      </c>
      <c r="R8562" t="str">
        <f>"23.740102"</f>
        <v>23.740102</v>
      </c>
      <c r="S8562" t="s">
        <v>26</v>
      </c>
    </row>
    <row r="8563" spans="1:19" x14ac:dyDescent="0.3">
      <c r="A8563" t="s">
        <v>3237</v>
      </c>
      <c r="B8563" t="s">
        <v>6738</v>
      </c>
      <c r="C8563" t="s">
        <v>7249</v>
      </c>
      <c r="D8563" t="s">
        <v>3238</v>
      </c>
      <c r="E8563" t="s">
        <v>3239</v>
      </c>
      <c r="F8563" t="s">
        <v>3239</v>
      </c>
      <c r="G8563" t="s">
        <v>3312</v>
      </c>
      <c r="H8563" t="s">
        <v>859</v>
      </c>
      <c r="I8563" t="s">
        <v>860</v>
      </c>
      <c r="J8563" t="str">
        <f>"9050779"</f>
        <v>9050779</v>
      </c>
      <c r="K8563">
        <v>2108663586</v>
      </c>
      <c r="L8563">
        <v>2108663586</v>
      </c>
      <c r="M8563" t="s">
        <v>7250</v>
      </c>
      <c r="N8563" t="s">
        <v>3325</v>
      </c>
      <c r="O8563" t="s">
        <v>7251</v>
      </c>
      <c r="P8563">
        <v>11361</v>
      </c>
      <c r="Q8563" t="str">
        <f>"38.002419"</f>
        <v>38.002419</v>
      </c>
      <c r="R8563" t="str">
        <f>"23.740011"</f>
        <v>23.740011</v>
      </c>
      <c r="S8563" t="s">
        <v>26</v>
      </c>
    </row>
    <row r="8564" spans="1:19" x14ac:dyDescent="0.3">
      <c r="A8564" t="s">
        <v>3237</v>
      </c>
      <c r="B8564" t="s">
        <v>6738</v>
      </c>
      <c r="C8564" t="s">
        <v>7252</v>
      </c>
      <c r="D8564" t="s">
        <v>3238</v>
      </c>
      <c r="E8564" t="s">
        <v>3239</v>
      </c>
      <c r="F8564" t="s">
        <v>3239</v>
      </c>
      <c r="G8564" t="s">
        <v>3382</v>
      </c>
      <c r="H8564" t="s">
        <v>859</v>
      </c>
      <c r="I8564" t="s">
        <v>860</v>
      </c>
      <c r="J8564" t="str">
        <f>"9051566"</f>
        <v>9051566</v>
      </c>
      <c r="K8564">
        <v>2105125024</v>
      </c>
      <c r="L8564">
        <v>2105125024</v>
      </c>
      <c r="M8564" t="s">
        <v>7253</v>
      </c>
      <c r="N8564" t="s">
        <v>3325</v>
      </c>
      <c r="O8564" t="s">
        <v>6902</v>
      </c>
      <c r="P8564">
        <v>10444</v>
      </c>
      <c r="Q8564" t="str">
        <f>"37.995487"</f>
        <v>37.995487</v>
      </c>
      <c r="R8564" t="str">
        <f>"23.714305"</f>
        <v>23.714305</v>
      </c>
      <c r="S8564" t="s">
        <v>26</v>
      </c>
    </row>
    <row r="8565" spans="1:19" x14ac:dyDescent="0.3">
      <c r="A8565" t="s">
        <v>3237</v>
      </c>
      <c r="B8565" t="s">
        <v>6738</v>
      </c>
      <c r="C8565" t="s">
        <v>7254</v>
      </c>
      <c r="D8565" t="s">
        <v>3238</v>
      </c>
      <c r="E8565" t="s">
        <v>3239</v>
      </c>
      <c r="F8565" t="s">
        <v>3239</v>
      </c>
      <c r="G8565" t="s">
        <v>3312</v>
      </c>
      <c r="H8565" t="s">
        <v>859</v>
      </c>
      <c r="I8565" t="s">
        <v>860</v>
      </c>
      <c r="J8565" t="str">
        <f>"9050780"</f>
        <v>9050780</v>
      </c>
      <c r="K8565">
        <v>2108821300</v>
      </c>
      <c r="L8565">
        <v>2108821400</v>
      </c>
      <c r="M8565" t="s">
        <v>7255</v>
      </c>
      <c r="N8565" t="s">
        <v>3325</v>
      </c>
      <c r="O8565" t="s">
        <v>7256</v>
      </c>
      <c r="P8565">
        <v>11363</v>
      </c>
      <c r="Q8565" t="str">
        <f>"38.001610"</f>
        <v>38.001610</v>
      </c>
      <c r="R8565" t="str">
        <f>"23.743744"</f>
        <v>23.743744</v>
      </c>
      <c r="S8565" t="s">
        <v>26</v>
      </c>
    </row>
    <row r="8566" spans="1:19" x14ac:dyDescent="0.3">
      <c r="A8566" t="s">
        <v>3237</v>
      </c>
      <c r="B8566" t="s">
        <v>6738</v>
      </c>
      <c r="C8566" t="s">
        <v>7259</v>
      </c>
      <c r="D8566" t="s">
        <v>3238</v>
      </c>
      <c r="E8566" t="s">
        <v>3239</v>
      </c>
      <c r="F8566" t="s">
        <v>3239</v>
      </c>
      <c r="G8566" t="s">
        <v>3340</v>
      </c>
      <c r="H8566" t="s">
        <v>859</v>
      </c>
      <c r="I8566" t="s">
        <v>860</v>
      </c>
      <c r="J8566" t="str">
        <f>"9050695"</f>
        <v>9050695</v>
      </c>
      <c r="K8566">
        <v>2106925668</v>
      </c>
      <c r="L8566">
        <v>2106925668</v>
      </c>
      <c r="M8566" t="s">
        <v>7260</v>
      </c>
      <c r="N8566" t="s">
        <v>3325</v>
      </c>
      <c r="O8566" t="s">
        <v>7261</v>
      </c>
      <c r="P8566">
        <v>11524</v>
      </c>
      <c r="Q8566" t="str">
        <f>"37.999695"</f>
        <v>37.999695</v>
      </c>
      <c r="R8566" t="str">
        <f>"23.763400"</f>
        <v>23.763400</v>
      </c>
      <c r="S8566" t="s">
        <v>26</v>
      </c>
    </row>
    <row r="8567" spans="1:19" x14ac:dyDescent="0.3">
      <c r="A8567" t="s">
        <v>3237</v>
      </c>
      <c r="B8567" t="s">
        <v>6738</v>
      </c>
      <c r="C8567" t="s">
        <v>7264</v>
      </c>
      <c r="D8567" t="s">
        <v>3238</v>
      </c>
      <c r="E8567" t="s">
        <v>3239</v>
      </c>
      <c r="F8567" t="s">
        <v>3239</v>
      </c>
      <c r="G8567" t="s">
        <v>3382</v>
      </c>
      <c r="H8567" t="s">
        <v>859</v>
      </c>
      <c r="I8567" t="s">
        <v>860</v>
      </c>
      <c r="J8567" t="str">
        <f>"9051728"</f>
        <v>9051728</v>
      </c>
      <c r="K8567">
        <v>2108620532</v>
      </c>
      <c r="L8567">
        <v>2108620532</v>
      </c>
      <c r="M8567" t="s">
        <v>7265</v>
      </c>
      <c r="N8567" t="s">
        <v>3325</v>
      </c>
      <c r="O8567" t="s">
        <v>7266</v>
      </c>
      <c r="P8567">
        <v>10446</v>
      </c>
      <c r="Q8567" t="str">
        <f>"38.004733"</f>
        <v>38.004733</v>
      </c>
      <c r="R8567" t="str">
        <f>"23.727721"</f>
        <v>23.727721</v>
      </c>
      <c r="S8567" t="s">
        <v>26</v>
      </c>
    </row>
    <row r="8568" spans="1:19" x14ac:dyDescent="0.3">
      <c r="A8568" t="s">
        <v>3237</v>
      </c>
      <c r="B8568" t="s">
        <v>6738</v>
      </c>
      <c r="C8568" t="s">
        <v>7267</v>
      </c>
      <c r="D8568" t="s">
        <v>3238</v>
      </c>
      <c r="E8568" t="s">
        <v>3239</v>
      </c>
      <c r="F8568" t="s">
        <v>3239</v>
      </c>
      <c r="G8568" t="s">
        <v>3340</v>
      </c>
      <c r="H8568" t="s">
        <v>859</v>
      </c>
      <c r="I8568" t="s">
        <v>860</v>
      </c>
      <c r="J8568" t="str">
        <f>"9050016"</f>
        <v>9050016</v>
      </c>
      <c r="K8568">
        <v>2106420238</v>
      </c>
      <c r="L8568">
        <v>2106420238</v>
      </c>
      <c r="M8568" t="s">
        <v>7268</v>
      </c>
      <c r="N8568" t="s">
        <v>3325</v>
      </c>
      <c r="O8568" t="s">
        <v>7269</v>
      </c>
      <c r="P8568">
        <v>11521</v>
      </c>
      <c r="Q8568" t="str">
        <f>"37.985820"</f>
        <v>37.985820</v>
      </c>
      <c r="R8568" t="str">
        <f>"23.753990"</f>
        <v>23.753990</v>
      </c>
      <c r="S8568" t="s">
        <v>26</v>
      </c>
    </row>
    <row r="8569" spans="1:19" x14ac:dyDescent="0.3">
      <c r="A8569" t="s">
        <v>3237</v>
      </c>
      <c r="B8569" t="s">
        <v>6738</v>
      </c>
      <c r="C8569" t="s">
        <v>7270</v>
      </c>
      <c r="D8569" t="s">
        <v>3238</v>
      </c>
      <c r="E8569" t="s">
        <v>3239</v>
      </c>
      <c r="F8569" t="s">
        <v>3239</v>
      </c>
      <c r="G8569" t="s">
        <v>3312</v>
      </c>
      <c r="H8569" t="s">
        <v>859</v>
      </c>
      <c r="I8569" t="s">
        <v>860</v>
      </c>
      <c r="J8569" t="str">
        <f>"9050781"</f>
        <v>9050781</v>
      </c>
      <c r="K8569">
        <v>2108827260</v>
      </c>
      <c r="L8569">
        <v>2108827260</v>
      </c>
      <c r="M8569" t="s">
        <v>7271</v>
      </c>
      <c r="N8569" t="s">
        <v>3325</v>
      </c>
      <c r="O8569" t="s">
        <v>7165</v>
      </c>
      <c r="P8569">
        <v>11362</v>
      </c>
      <c r="Q8569" t="str">
        <f>"37.998240"</f>
        <v>37.998240</v>
      </c>
      <c r="R8569" t="str">
        <f>"23.739797"</f>
        <v>23.739797</v>
      </c>
      <c r="S8569" t="s">
        <v>26</v>
      </c>
    </row>
    <row r="8570" spans="1:19" x14ac:dyDescent="0.3">
      <c r="A8570" t="s">
        <v>3237</v>
      </c>
      <c r="B8570" t="s">
        <v>6738</v>
      </c>
      <c r="C8570" t="s">
        <v>7272</v>
      </c>
      <c r="D8570" t="s">
        <v>3238</v>
      </c>
      <c r="E8570" t="s">
        <v>3239</v>
      </c>
      <c r="F8570" t="s">
        <v>3239</v>
      </c>
      <c r="G8570" t="s">
        <v>3312</v>
      </c>
      <c r="H8570" t="s">
        <v>859</v>
      </c>
      <c r="I8570" t="s">
        <v>860</v>
      </c>
      <c r="J8570" t="str">
        <f>"9050782"</f>
        <v>9050782</v>
      </c>
      <c r="K8570">
        <v>2106430175</v>
      </c>
      <c r="L8570">
        <v>2106430175</v>
      </c>
      <c r="M8570" t="s">
        <v>7273</v>
      </c>
      <c r="N8570" t="s">
        <v>3325</v>
      </c>
      <c r="O8570" t="s">
        <v>7274</v>
      </c>
      <c r="P8570">
        <v>11473</v>
      </c>
      <c r="Q8570" t="str">
        <f>"37.992660"</f>
        <v>37.992660</v>
      </c>
      <c r="R8570" t="str">
        <f>"23.740922"</f>
        <v>23.740922</v>
      </c>
      <c r="S8570" t="s">
        <v>26</v>
      </c>
    </row>
    <row r="8571" spans="1:19" x14ac:dyDescent="0.3">
      <c r="A8571" t="s">
        <v>3237</v>
      </c>
      <c r="B8571" t="s">
        <v>6738</v>
      </c>
      <c r="C8571" t="s">
        <v>7277</v>
      </c>
      <c r="D8571" t="s">
        <v>3238</v>
      </c>
      <c r="E8571" t="s">
        <v>3239</v>
      </c>
      <c r="F8571" t="s">
        <v>3239</v>
      </c>
      <c r="G8571" t="s">
        <v>3312</v>
      </c>
      <c r="H8571" t="s">
        <v>859</v>
      </c>
      <c r="I8571" t="s">
        <v>860</v>
      </c>
      <c r="J8571" t="str">
        <f>"9050771"</f>
        <v>9050771</v>
      </c>
      <c r="K8571">
        <v>2108647156</v>
      </c>
      <c r="L8571">
        <v>2108647156</v>
      </c>
      <c r="M8571" t="s">
        <v>7278</v>
      </c>
      <c r="N8571" t="s">
        <v>3325</v>
      </c>
      <c r="O8571" t="s">
        <v>7279</v>
      </c>
      <c r="P8571">
        <v>11253</v>
      </c>
      <c r="Q8571" t="str">
        <f>"38.004324"</f>
        <v>38.004324</v>
      </c>
      <c r="R8571" t="str">
        <f>"23.733633"</f>
        <v>23.733633</v>
      </c>
      <c r="S8571" t="s">
        <v>26</v>
      </c>
    </row>
    <row r="8572" spans="1:19" x14ac:dyDescent="0.3">
      <c r="A8572" t="s">
        <v>3237</v>
      </c>
      <c r="B8572" t="s">
        <v>6738</v>
      </c>
      <c r="C8572" t="s">
        <v>7282</v>
      </c>
      <c r="D8572" t="s">
        <v>3238</v>
      </c>
      <c r="E8572" t="s">
        <v>3239</v>
      </c>
      <c r="F8572" t="s">
        <v>3239</v>
      </c>
      <c r="G8572" t="s">
        <v>3382</v>
      </c>
      <c r="H8572" t="s">
        <v>859</v>
      </c>
      <c r="I8572" t="s">
        <v>860</v>
      </c>
      <c r="J8572" t="str">
        <f>"9050853"</f>
        <v>9050853</v>
      </c>
      <c r="K8572">
        <v>2105125338</v>
      </c>
      <c r="M8572" t="s">
        <v>7283</v>
      </c>
      <c r="N8572" t="s">
        <v>3325</v>
      </c>
      <c r="O8572" t="s">
        <v>6902</v>
      </c>
      <c r="P8572">
        <v>10444</v>
      </c>
      <c r="Q8572" t="str">
        <f>"37.995487"</f>
        <v>37.995487</v>
      </c>
      <c r="R8572" t="str">
        <f>"23.714305"</f>
        <v>23.714305</v>
      </c>
      <c r="S8572" t="s">
        <v>26</v>
      </c>
    </row>
    <row r="8573" spans="1:19" x14ac:dyDescent="0.3">
      <c r="A8573" t="s">
        <v>3237</v>
      </c>
      <c r="B8573" t="s">
        <v>6738</v>
      </c>
      <c r="C8573" t="s">
        <v>7284</v>
      </c>
      <c r="D8573" t="s">
        <v>3238</v>
      </c>
      <c r="E8573" t="s">
        <v>3239</v>
      </c>
      <c r="F8573" t="s">
        <v>3239</v>
      </c>
      <c r="G8573" t="s">
        <v>3312</v>
      </c>
      <c r="H8573" t="s">
        <v>859</v>
      </c>
      <c r="I8573" t="s">
        <v>860</v>
      </c>
      <c r="J8573" t="str">
        <f>"9050772"</f>
        <v>9050772</v>
      </c>
      <c r="K8573">
        <v>2108326069</v>
      </c>
      <c r="L8573">
        <v>2108326069</v>
      </c>
      <c r="M8573" t="s">
        <v>7285</v>
      </c>
      <c r="N8573" t="s">
        <v>3325</v>
      </c>
      <c r="O8573" t="s">
        <v>7159</v>
      </c>
      <c r="P8573">
        <v>10445</v>
      </c>
      <c r="Q8573" t="str">
        <f>"38.008742"</f>
        <v>38.008742</v>
      </c>
      <c r="R8573" t="str">
        <f>"23.725007"</f>
        <v>23.725007</v>
      </c>
      <c r="S8573" t="s">
        <v>26</v>
      </c>
    </row>
    <row r="8574" spans="1:19" x14ac:dyDescent="0.3">
      <c r="A8574" t="s">
        <v>3237</v>
      </c>
      <c r="B8574" t="s">
        <v>6738</v>
      </c>
      <c r="C8574" t="s">
        <v>7289</v>
      </c>
      <c r="D8574" t="s">
        <v>3238</v>
      </c>
      <c r="E8574" t="s">
        <v>3239</v>
      </c>
      <c r="F8574" t="s">
        <v>3239</v>
      </c>
      <c r="G8574" t="s">
        <v>3312</v>
      </c>
      <c r="H8574" t="s">
        <v>859</v>
      </c>
      <c r="I8574" t="s">
        <v>860</v>
      </c>
      <c r="J8574" t="str">
        <f>"9051187"</f>
        <v>9051187</v>
      </c>
      <c r="K8574">
        <v>2108651935</v>
      </c>
      <c r="L8574">
        <v>2108651935</v>
      </c>
      <c r="M8574" t="s">
        <v>7290</v>
      </c>
      <c r="N8574" t="s">
        <v>3325</v>
      </c>
      <c r="O8574" t="s">
        <v>7291</v>
      </c>
      <c r="P8574">
        <v>10446</v>
      </c>
      <c r="Q8574" t="str">
        <f>"38.000742"</f>
        <v>38.000742</v>
      </c>
      <c r="R8574" t="str">
        <f>"23.723656"</f>
        <v>23.723656</v>
      </c>
      <c r="S8574" t="s">
        <v>26</v>
      </c>
    </row>
    <row r="8575" spans="1:19" x14ac:dyDescent="0.3">
      <c r="A8575" t="s">
        <v>3237</v>
      </c>
      <c r="B8575" t="s">
        <v>6738</v>
      </c>
      <c r="C8575" t="s">
        <v>7292</v>
      </c>
      <c r="D8575" t="s">
        <v>3238</v>
      </c>
      <c r="E8575" t="s">
        <v>3239</v>
      </c>
      <c r="F8575" t="s">
        <v>3239</v>
      </c>
      <c r="G8575" t="s">
        <v>3322</v>
      </c>
      <c r="H8575" t="s">
        <v>859</v>
      </c>
      <c r="I8575" t="s">
        <v>860</v>
      </c>
      <c r="J8575" t="str">
        <f>"9051291"</f>
        <v>9051291</v>
      </c>
      <c r="K8575">
        <v>2103252863</v>
      </c>
      <c r="M8575" t="s">
        <v>7293</v>
      </c>
      <c r="N8575" t="s">
        <v>3325</v>
      </c>
      <c r="O8575" t="s">
        <v>7294</v>
      </c>
      <c r="P8575">
        <v>10553</v>
      </c>
      <c r="Q8575" t="str">
        <f>"37.979547"</f>
        <v>37.979547</v>
      </c>
      <c r="R8575" t="str">
        <f>"23.719725"</f>
        <v>23.719725</v>
      </c>
      <c r="S8575" t="s">
        <v>26</v>
      </c>
    </row>
    <row r="8576" spans="1:19" x14ac:dyDescent="0.3">
      <c r="A8576" t="s">
        <v>3237</v>
      </c>
      <c r="B8576" t="s">
        <v>6738</v>
      </c>
      <c r="C8576" t="s">
        <v>7295</v>
      </c>
      <c r="D8576" t="s">
        <v>3238</v>
      </c>
      <c r="E8576" t="s">
        <v>3239</v>
      </c>
      <c r="F8576" t="s">
        <v>3239</v>
      </c>
      <c r="G8576" t="s">
        <v>3312</v>
      </c>
      <c r="H8576" t="s">
        <v>859</v>
      </c>
      <c r="I8576" t="s">
        <v>860</v>
      </c>
      <c r="J8576" t="str">
        <f>"9051188"</f>
        <v>9051188</v>
      </c>
      <c r="K8576">
        <v>2108210958</v>
      </c>
      <c r="L8576">
        <v>2108210958</v>
      </c>
      <c r="M8576" t="s">
        <v>7296</v>
      </c>
      <c r="N8576" t="s">
        <v>3325</v>
      </c>
      <c r="O8576" t="s">
        <v>7297</v>
      </c>
      <c r="P8576">
        <v>10446</v>
      </c>
      <c r="Q8576" t="str">
        <f>"37.997318"</f>
        <v>37.997318</v>
      </c>
      <c r="R8576" t="str">
        <f>"23.725623"</f>
        <v>23.725623</v>
      </c>
      <c r="S8576" t="s">
        <v>26</v>
      </c>
    </row>
    <row r="8577" spans="1:19" x14ac:dyDescent="0.3">
      <c r="A8577" t="s">
        <v>3237</v>
      </c>
      <c r="B8577" t="s">
        <v>6738</v>
      </c>
      <c r="C8577" t="s">
        <v>7298</v>
      </c>
      <c r="D8577" t="s">
        <v>3238</v>
      </c>
      <c r="E8577" t="s">
        <v>3239</v>
      </c>
      <c r="F8577" t="s">
        <v>3239</v>
      </c>
      <c r="G8577" t="s">
        <v>3312</v>
      </c>
      <c r="H8577" t="s">
        <v>859</v>
      </c>
      <c r="I8577" t="s">
        <v>860</v>
      </c>
      <c r="J8577" t="str">
        <f>"9051189"</f>
        <v>9051189</v>
      </c>
      <c r="K8577">
        <v>2108626800</v>
      </c>
      <c r="L8577">
        <v>2108626800</v>
      </c>
      <c r="M8577" t="s">
        <v>7299</v>
      </c>
      <c r="N8577" t="s">
        <v>3325</v>
      </c>
      <c r="O8577" t="s">
        <v>7300</v>
      </c>
      <c r="P8577">
        <v>11253</v>
      </c>
      <c r="Q8577" t="str">
        <f>"38.008170"</f>
        <v>38.008170</v>
      </c>
      <c r="R8577" t="str">
        <f>"23.733184"</f>
        <v>23.733184</v>
      </c>
      <c r="S8577" t="s">
        <v>26</v>
      </c>
    </row>
    <row r="8578" spans="1:19" x14ac:dyDescent="0.3">
      <c r="A8578" t="s">
        <v>3237</v>
      </c>
      <c r="B8578" t="s">
        <v>6738</v>
      </c>
      <c r="C8578" t="s">
        <v>7301</v>
      </c>
      <c r="D8578" t="s">
        <v>3238</v>
      </c>
      <c r="E8578" t="s">
        <v>3506</v>
      </c>
      <c r="F8578" t="s">
        <v>3506</v>
      </c>
      <c r="G8578" t="s">
        <v>3506</v>
      </c>
      <c r="H8578" t="s">
        <v>859</v>
      </c>
      <c r="I8578" t="s">
        <v>860</v>
      </c>
      <c r="J8578" t="str">
        <f>"9051192"</f>
        <v>9051192</v>
      </c>
      <c r="K8578">
        <v>2107647020</v>
      </c>
      <c r="L8578">
        <v>2107647020</v>
      </c>
      <c r="M8578" t="s">
        <v>7302</v>
      </c>
      <c r="N8578" t="s">
        <v>3363</v>
      </c>
      <c r="O8578" t="s">
        <v>7303</v>
      </c>
      <c r="P8578">
        <v>16233</v>
      </c>
      <c r="Q8578" t="str">
        <f>"37.953519"</f>
        <v>37.953519</v>
      </c>
      <c r="R8578" t="str">
        <f>"23.763209"</f>
        <v>23.763209</v>
      </c>
      <c r="S8578" t="s">
        <v>26</v>
      </c>
    </row>
    <row r="8579" spans="1:19" x14ac:dyDescent="0.3">
      <c r="A8579" t="s">
        <v>3237</v>
      </c>
      <c r="B8579" t="s">
        <v>6738</v>
      </c>
      <c r="C8579" t="s">
        <v>7304</v>
      </c>
      <c r="D8579" t="s">
        <v>3238</v>
      </c>
      <c r="E8579" t="s">
        <v>3239</v>
      </c>
      <c r="F8579" t="s">
        <v>3239</v>
      </c>
      <c r="G8579" t="s">
        <v>3322</v>
      </c>
      <c r="H8579" t="s">
        <v>859</v>
      </c>
      <c r="I8579" t="s">
        <v>860</v>
      </c>
      <c r="J8579" t="str">
        <f>"9050752"</f>
        <v>9050752</v>
      </c>
      <c r="K8579">
        <v>2103473766</v>
      </c>
      <c r="L8579">
        <v>2103473766</v>
      </c>
      <c r="M8579" t="s">
        <v>7305</v>
      </c>
      <c r="N8579" t="s">
        <v>3325</v>
      </c>
      <c r="O8579" t="s">
        <v>7306</v>
      </c>
      <c r="P8579">
        <v>11852</v>
      </c>
      <c r="Q8579" t="str">
        <f>"37.966844"</f>
        <v>37.966844</v>
      </c>
      <c r="R8579" t="str">
        <f>"23.708406"</f>
        <v>23.708406</v>
      </c>
      <c r="S8579" t="s">
        <v>26</v>
      </c>
    </row>
    <row r="8580" spans="1:19" x14ac:dyDescent="0.3">
      <c r="A8580" t="s">
        <v>3237</v>
      </c>
      <c r="B8580" t="s">
        <v>6738</v>
      </c>
      <c r="C8580" t="s">
        <v>7309</v>
      </c>
      <c r="D8580" t="s">
        <v>3238</v>
      </c>
      <c r="E8580" t="s">
        <v>3239</v>
      </c>
      <c r="F8580" t="s">
        <v>3239</v>
      </c>
      <c r="G8580" t="s">
        <v>3322</v>
      </c>
      <c r="H8580" t="s">
        <v>859</v>
      </c>
      <c r="I8580" t="s">
        <v>860</v>
      </c>
      <c r="J8580" t="str">
        <f>"9050756"</f>
        <v>9050756</v>
      </c>
      <c r="K8580">
        <v>2103460898</v>
      </c>
      <c r="L8580">
        <v>2103460898</v>
      </c>
      <c r="M8580" t="s">
        <v>7310</v>
      </c>
      <c r="N8580" t="s">
        <v>3325</v>
      </c>
      <c r="O8580" t="s">
        <v>7311</v>
      </c>
      <c r="P8580">
        <v>11854</v>
      </c>
      <c r="Q8580" t="str">
        <f>"37.977232"</f>
        <v>37.977232</v>
      </c>
      <c r="R8580" t="str">
        <f>"23.708660"</f>
        <v>23.708660</v>
      </c>
      <c r="S8580" t="s">
        <v>26</v>
      </c>
    </row>
    <row r="8581" spans="1:19" x14ac:dyDescent="0.3">
      <c r="A8581" t="s">
        <v>3237</v>
      </c>
      <c r="B8581" t="s">
        <v>6738</v>
      </c>
      <c r="C8581" t="s">
        <v>7312</v>
      </c>
      <c r="D8581" t="s">
        <v>3238</v>
      </c>
      <c r="E8581" t="s">
        <v>3239</v>
      </c>
      <c r="F8581" t="s">
        <v>3239</v>
      </c>
      <c r="G8581" t="s">
        <v>3312</v>
      </c>
      <c r="H8581" t="s">
        <v>859</v>
      </c>
      <c r="I8581" t="s">
        <v>860</v>
      </c>
      <c r="J8581" t="str">
        <f>"9051287"</f>
        <v>9051287</v>
      </c>
      <c r="K8581">
        <v>2108210958</v>
      </c>
      <c r="L8581">
        <v>2108210958</v>
      </c>
      <c r="M8581" t="s">
        <v>7313</v>
      </c>
      <c r="N8581" t="s">
        <v>3325</v>
      </c>
      <c r="O8581" t="s">
        <v>7314</v>
      </c>
      <c r="P8581">
        <v>10446</v>
      </c>
      <c r="Q8581" t="str">
        <f>"37.997318"</f>
        <v>37.997318</v>
      </c>
      <c r="R8581" t="str">
        <f>"23.725623"</f>
        <v>23.725623</v>
      </c>
      <c r="S8581" t="s">
        <v>26</v>
      </c>
    </row>
    <row r="8582" spans="1:19" x14ac:dyDescent="0.3">
      <c r="A8582" t="s">
        <v>3237</v>
      </c>
      <c r="B8582" t="s">
        <v>6738</v>
      </c>
      <c r="C8582" t="s">
        <v>7315</v>
      </c>
      <c r="D8582" t="s">
        <v>3238</v>
      </c>
      <c r="E8582" t="s">
        <v>3239</v>
      </c>
      <c r="F8582" t="s">
        <v>3239</v>
      </c>
      <c r="G8582" t="s">
        <v>3240</v>
      </c>
      <c r="H8582" t="s">
        <v>859</v>
      </c>
      <c r="I8582" t="s">
        <v>860</v>
      </c>
      <c r="J8582" t="str">
        <f>"9051184"</f>
        <v>9051184</v>
      </c>
      <c r="K8582">
        <v>2109216610</v>
      </c>
      <c r="L8582">
        <v>2109216610</v>
      </c>
      <c r="M8582" t="s">
        <v>7316</v>
      </c>
      <c r="N8582" t="s">
        <v>3325</v>
      </c>
      <c r="O8582" t="s">
        <v>7317</v>
      </c>
      <c r="P8582">
        <v>11741</v>
      </c>
      <c r="Q8582" t="str">
        <f>"37.977531"</f>
        <v>37.977531</v>
      </c>
      <c r="R8582" t="str">
        <f>"23.731128"</f>
        <v>23.731128</v>
      </c>
      <c r="S8582" t="s">
        <v>26</v>
      </c>
    </row>
    <row r="8583" spans="1:19" x14ac:dyDescent="0.3">
      <c r="A8583" t="s">
        <v>3237</v>
      </c>
      <c r="B8583" t="s">
        <v>6738</v>
      </c>
      <c r="C8583" t="s">
        <v>7318</v>
      </c>
      <c r="D8583" t="s">
        <v>3238</v>
      </c>
      <c r="E8583" t="s">
        <v>3239</v>
      </c>
      <c r="F8583" t="s">
        <v>3239</v>
      </c>
      <c r="G8583" t="s">
        <v>3322</v>
      </c>
      <c r="H8583" t="s">
        <v>859</v>
      </c>
      <c r="I8583" t="s">
        <v>860</v>
      </c>
      <c r="J8583" t="str">
        <f>"9050750"</f>
        <v>9050750</v>
      </c>
      <c r="K8583">
        <v>2103477341</v>
      </c>
      <c r="L8583">
        <v>2103477341</v>
      </c>
      <c r="M8583" t="s">
        <v>7319</v>
      </c>
      <c r="N8583" t="s">
        <v>3325</v>
      </c>
      <c r="O8583" t="s">
        <v>7320</v>
      </c>
      <c r="P8583">
        <v>11851</v>
      </c>
      <c r="Q8583" t="str">
        <f>"37.976754"</f>
        <v>37.976754</v>
      </c>
      <c r="R8583" t="str">
        <f>"23.717403"</f>
        <v>23.717403</v>
      </c>
      <c r="S8583" t="s">
        <v>26</v>
      </c>
    </row>
    <row r="8584" spans="1:19" x14ac:dyDescent="0.3">
      <c r="A8584" t="s">
        <v>3237</v>
      </c>
      <c r="B8584" t="s">
        <v>6738</v>
      </c>
      <c r="C8584" t="s">
        <v>7321</v>
      </c>
      <c r="D8584" t="s">
        <v>3238</v>
      </c>
      <c r="E8584" t="s">
        <v>3239</v>
      </c>
      <c r="F8584" t="s">
        <v>3239</v>
      </c>
      <c r="G8584" t="s">
        <v>3312</v>
      </c>
      <c r="H8584" t="s">
        <v>859</v>
      </c>
      <c r="I8584" t="s">
        <v>860</v>
      </c>
      <c r="J8584" t="str">
        <f>"9051382"</f>
        <v>9051382</v>
      </c>
      <c r="K8584">
        <v>2108614424</v>
      </c>
      <c r="L8584">
        <v>2108614424</v>
      </c>
      <c r="M8584" t="s">
        <v>7322</v>
      </c>
      <c r="N8584" t="s">
        <v>3325</v>
      </c>
      <c r="O8584" t="s">
        <v>5548</v>
      </c>
      <c r="P8584">
        <v>11253</v>
      </c>
      <c r="Q8584" t="str">
        <f>"38.006717"</f>
        <v>38.006717</v>
      </c>
      <c r="R8584" t="str">
        <f>"23.732538"</f>
        <v>23.732538</v>
      </c>
      <c r="S8584" t="s">
        <v>26</v>
      </c>
    </row>
    <row r="8585" spans="1:19" x14ac:dyDescent="0.3">
      <c r="A8585" t="s">
        <v>3237</v>
      </c>
      <c r="B8585" t="s">
        <v>6738</v>
      </c>
      <c r="C8585" t="s">
        <v>7323</v>
      </c>
      <c r="D8585" t="s">
        <v>3238</v>
      </c>
      <c r="E8585" t="s">
        <v>3239</v>
      </c>
      <c r="F8585" t="s">
        <v>3239</v>
      </c>
      <c r="G8585" t="s">
        <v>3346</v>
      </c>
      <c r="H8585" t="s">
        <v>859</v>
      </c>
      <c r="I8585" t="s">
        <v>860</v>
      </c>
      <c r="J8585" t="str">
        <f>"9051567"</f>
        <v>9051567</v>
      </c>
      <c r="K8585">
        <v>2108319552</v>
      </c>
      <c r="L8585">
        <v>2108319552</v>
      </c>
      <c r="M8585" t="s">
        <v>7324</v>
      </c>
      <c r="N8585" t="s">
        <v>3325</v>
      </c>
      <c r="O8585" t="s">
        <v>7325</v>
      </c>
      <c r="P8585">
        <v>10445</v>
      </c>
      <c r="Q8585" t="str">
        <f>"38.012205"</f>
        <v>38.012205</v>
      </c>
      <c r="R8585" t="str">
        <f>"23.721125"</f>
        <v>23.721125</v>
      </c>
      <c r="S8585" t="s">
        <v>26</v>
      </c>
    </row>
    <row r="8586" spans="1:19" x14ac:dyDescent="0.3">
      <c r="A8586" t="s">
        <v>3237</v>
      </c>
      <c r="B8586" t="s">
        <v>6738</v>
      </c>
      <c r="C8586" t="s">
        <v>7326</v>
      </c>
      <c r="D8586" t="s">
        <v>3238</v>
      </c>
      <c r="E8586" t="s">
        <v>3239</v>
      </c>
      <c r="F8586" t="s">
        <v>3239</v>
      </c>
      <c r="G8586" t="s">
        <v>3322</v>
      </c>
      <c r="H8586" t="s">
        <v>859</v>
      </c>
      <c r="I8586" t="s">
        <v>860</v>
      </c>
      <c r="J8586" t="str">
        <f>"9051394"</f>
        <v>9051394</v>
      </c>
      <c r="K8586">
        <v>2103458944</v>
      </c>
      <c r="L8586">
        <v>2103458944</v>
      </c>
      <c r="M8586" t="s">
        <v>7327</v>
      </c>
      <c r="N8586" t="s">
        <v>3325</v>
      </c>
      <c r="O8586" t="s">
        <v>7328</v>
      </c>
      <c r="P8586">
        <v>11853</v>
      </c>
      <c r="Q8586" t="str">
        <f>"37.967925"</f>
        <v>37.967925</v>
      </c>
      <c r="R8586" t="str">
        <f>"23.707566"</f>
        <v>23.707566</v>
      </c>
      <c r="S8586" t="s">
        <v>26</v>
      </c>
    </row>
    <row r="8587" spans="1:19" x14ac:dyDescent="0.3">
      <c r="A8587" t="s">
        <v>3237</v>
      </c>
      <c r="B8587" t="s">
        <v>6738</v>
      </c>
      <c r="C8587" t="s">
        <v>7329</v>
      </c>
      <c r="D8587" t="s">
        <v>3238</v>
      </c>
      <c r="E8587" t="s">
        <v>3239</v>
      </c>
      <c r="F8587" t="s">
        <v>3239</v>
      </c>
      <c r="G8587" t="s">
        <v>3312</v>
      </c>
      <c r="H8587" t="s">
        <v>859</v>
      </c>
      <c r="I8587" t="s">
        <v>860</v>
      </c>
      <c r="J8587" t="str">
        <f>"9051383"</f>
        <v>9051383</v>
      </c>
      <c r="K8587">
        <v>2108610066</v>
      </c>
      <c r="M8587" t="s">
        <v>7330</v>
      </c>
      <c r="N8587" t="s">
        <v>3325</v>
      </c>
      <c r="O8587" t="s">
        <v>7331</v>
      </c>
      <c r="P8587">
        <v>10446</v>
      </c>
      <c r="Q8587" t="str">
        <f>"37.999830"</f>
        <v>37.999830</v>
      </c>
      <c r="R8587" t="str">
        <f>"23.723506"</f>
        <v>23.723506</v>
      </c>
      <c r="S8587" t="s">
        <v>26</v>
      </c>
    </row>
    <row r="8588" spans="1:19" x14ac:dyDescent="0.3">
      <c r="A8588" t="s">
        <v>3237</v>
      </c>
      <c r="B8588" t="s">
        <v>6738</v>
      </c>
      <c r="C8588" t="s">
        <v>7332</v>
      </c>
      <c r="D8588" t="s">
        <v>3238</v>
      </c>
      <c r="E8588" t="s">
        <v>3239</v>
      </c>
      <c r="F8588" t="s">
        <v>3239</v>
      </c>
      <c r="G8588" t="s">
        <v>3312</v>
      </c>
      <c r="H8588" t="s">
        <v>859</v>
      </c>
      <c r="I8588" t="s">
        <v>860</v>
      </c>
      <c r="J8588" t="str">
        <f>"9051387"</f>
        <v>9051387</v>
      </c>
      <c r="K8588">
        <v>2108821400</v>
      </c>
      <c r="L8588">
        <v>2108821400</v>
      </c>
      <c r="M8588" t="s">
        <v>7333</v>
      </c>
      <c r="N8588" t="s">
        <v>3325</v>
      </c>
      <c r="O8588" t="s">
        <v>7256</v>
      </c>
      <c r="P8588">
        <v>11363</v>
      </c>
      <c r="Q8588" t="str">
        <f>"38.001610"</f>
        <v>38.001610</v>
      </c>
      <c r="R8588" t="str">
        <f>"23.743744"</f>
        <v>23.743744</v>
      </c>
      <c r="S8588" t="s">
        <v>26</v>
      </c>
    </row>
    <row r="8589" spans="1:19" x14ac:dyDescent="0.3">
      <c r="A8589" t="s">
        <v>3237</v>
      </c>
      <c r="B8589" t="s">
        <v>6738</v>
      </c>
      <c r="C8589" t="s">
        <v>7334</v>
      </c>
      <c r="D8589" t="s">
        <v>3238</v>
      </c>
      <c r="E8589" t="s">
        <v>3239</v>
      </c>
      <c r="F8589" t="s">
        <v>3239</v>
      </c>
      <c r="G8589" t="s">
        <v>3322</v>
      </c>
      <c r="H8589" t="s">
        <v>859</v>
      </c>
      <c r="I8589" t="s">
        <v>860</v>
      </c>
      <c r="J8589" t="str">
        <f>"9050753"</f>
        <v>9050753</v>
      </c>
      <c r="K8589">
        <v>2103425004</v>
      </c>
      <c r="L8589">
        <v>2103425004</v>
      </c>
      <c r="M8589" t="s">
        <v>7335</v>
      </c>
      <c r="N8589" t="s">
        <v>3325</v>
      </c>
      <c r="O8589" t="s">
        <v>7336</v>
      </c>
      <c r="P8589">
        <v>11853</v>
      </c>
      <c r="Q8589" t="str">
        <f>"37.971041"</f>
        <v>37.971041</v>
      </c>
      <c r="R8589" t="str">
        <f>"23.705477"</f>
        <v>23.705477</v>
      </c>
      <c r="S8589" t="s">
        <v>26</v>
      </c>
    </row>
    <row r="8590" spans="1:19" x14ac:dyDescent="0.3">
      <c r="A8590" t="s">
        <v>3237</v>
      </c>
      <c r="B8590" t="s">
        <v>6738</v>
      </c>
      <c r="C8590" t="s">
        <v>7337</v>
      </c>
      <c r="D8590" t="s">
        <v>3238</v>
      </c>
      <c r="E8590" t="s">
        <v>3239</v>
      </c>
      <c r="F8590" t="s">
        <v>3239</v>
      </c>
      <c r="G8590" t="s">
        <v>3312</v>
      </c>
      <c r="H8590" t="s">
        <v>859</v>
      </c>
      <c r="I8590" t="s">
        <v>860</v>
      </c>
      <c r="J8590" t="str">
        <f>"9051570"</f>
        <v>9051570</v>
      </c>
      <c r="K8590">
        <v>2114095736</v>
      </c>
      <c r="L8590">
        <v>2108821400</v>
      </c>
      <c r="M8590" t="s">
        <v>7338</v>
      </c>
      <c r="N8590" t="s">
        <v>3325</v>
      </c>
      <c r="O8590" t="s">
        <v>7256</v>
      </c>
      <c r="P8590">
        <v>11363</v>
      </c>
      <c r="Q8590" t="str">
        <f>"38.001610"</f>
        <v>38.001610</v>
      </c>
      <c r="R8590" t="str">
        <f>"23.743744"</f>
        <v>23.743744</v>
      </c>
      <c r="S8590" t="s">
        <v>26</v>
      </c>
    </row>
    <row r="8591" spans="1:19" x14ac:dyDescent="0.3">
      <c r="A8591" t="s">
        <v>3237</v>
      </c>
      <c r="B8591" t="s">
        <v>6738</v>
      </c>
      <c r="C8591" t="s">
        <v>7339</v>
      </c>
      <c r="D8591" t="s">
        <v>3238</v>
      </c>
      <c r="E8591" t="s">
        <v>3506</v>
      </c>
      <c r="F8591" t="s">
        <v>3506</v>
      </c>
      <c r="G8591" t="s">
        <v>3506</v>
      </c>
      <c r="H8591" t="s">
        <v>859</v>
      </c>
      <c r="I8591" t="s">
        <v>860</v>
      </c>
      <c r="J8591" t="str">
        <f>"9051191"</f>
        <v>9051191</v>
      </c>
      <c r="K8591">
        <v>2107658752</v>
      </c>
      <c r="L8591">
        <v>2107658752</v>
      </c>
      <c r="M8591" t="s">
        <v>7340</v>
      </c>
      <c r="N8591" t="s">
        <v>3363</v>
      </c>
      <c r="O8591" t="s">
        <v>7341</v>
      </c>
      <c r="P8591">
        <v>16233</v>
      </c>
      <c r="Q8591" t="str">
        <f>"37.953871"</f>
        <v>37.953871</v>
      </c>
      <c r="R8591" t="str">
        <f>"23.763855"</f>
        <v>23.763855</v>
      </c>
      <c r="S8591" t="s">
        <v>26</v>
      </c>
    </row>
    <row r="8592" spans="1:19" x14ac:dyDescent="0.3">
      <c r="A8592" t="s">
        <v>3237</v>
      </c>
      <c r="B8592" t="s">
        <v>6738</v>
      </c>
      <c r="C8592" t="s">
        <v>7342</v>
      </c>
      <c r="D8592" t="s">
        <v>3238</v>
      </c>
      <c r="E8592" t="s">
        <v>3239</v>
      </c>
      <c r="F8592" t="s">
        <v>3239</v>
      </c>
      <c r="G8592" t="s">
        <v>3312</v>
      </c>
      <c r="H8592" t="s">
        <v>859</v>
      </c>
      <c r="I8592" t="s">
        <v>860</v>
      </c>
      <c r="J8592" t="str">
        <f>"9051573"</f>
        <v>9051573</v>
      </c>
      <c r="K8592">
        <v>2108621530</v>
      </c>
      <c r="L8592">
        <v>2108621530</v>
      </c>
      <c r="M8592" t="s">
        <v>7343</v>
      </c>
      <c r="N8592" t="s">
        <v>3325</v>
      </c>
      <c r="O8592" t="s">
        <v>7344</v>
      </c>
      <c r="P8592">
        <v>11363</v>
      </c>
      <c r="Q8592" t="str">
        <f>"38.007573"</f>
        <v>38.007573</v>
      </c>
      <c r="R8592" t="str">
        <f>"23.750373"</f>
        <v>23.750373</v>
      </c>
      <c r="S8592" t="s">
        <v>26</v>
      </c>
    </row>
    <row r="8593" spans="1:19" x14ac:dyDescent="0.3">
      <c r="A8593" t="s">
        <v>3237</v>
      </c>
      <c r="B8593" t="s">
        <v>6738</v>
      </c>
      <c r="C8593" t="s">
        <v>7345</v>
      </c>
      <c r="D8593" t="s">
        <v>3238</v>
      </c>
      <c r="E8593" t="s">
        <v>3239</v>
      </c>
      <c r="F8593" t="s">
        <v>3239</v>
      </c>
      <c r="G8593" t="s">
        <v>3312</v>
      </c>
      <c r="H8593" t="s">
        <v>859</v>
      </c>
      <c r="I8593" t="s">
        <v>860</v>
      </c>
      <c r="J8593" t="str">
        <f>"9051574"</f>
        <v>9051574</v>
      </c>
      <c r="K8593">
        <v>2108645348</v>
      </c>
      <c r="M8593" t="s">
        <v>7346</v>
      </c>
      <c r="N8593" t="s">
        <v>3325</v>
      </c>
      <c r="O8593" t="s">
        <v>7344</v>
      </c>
      <c r="P8593">
        <v>11363</v>
      </c>
      <c r="Q8593" t="str">
        <f>"38.007573"</f>
        <v>38.007573</v>
      </c>
      <c r="R8593" t="str">
        <f>"23.750373"</f>
        <v>23.750373</v>
      </c>
      <c r="S8593" t="s">
        <v>26</v>
      </c>
    </row>
    <row r="8594" spans="1:19" x14ac:dyDescent="0.3">
      <c r="A8594" t="s">
        <v>3237</v>
      </c>
      <c r="B8594" t="s">
        <v>6738</v>
      </c>
      <c r="C8594" t="s">
        <v>7352</v>
      </c>
      <c r="D8594" t="s">
        <v>3238</v>
      </c>
      <c r="E8594" t="s">
        <v>3239</v>
      </c>
      <c r="F8594" t="s">
        <v>3239</v>
      </c>
      <c r="G8594" t="s">
        <v>3312</v>
      </c>
      <c r="H8594" t="s">
        <v>859</v>
      </c>
      <c r="I8594" t="s">
        <v>860</v>
      </c>
      <c r="J8594" t="str">
        <f>"9051620"</f>
        <v>9051620</v>
      </c>
      <c r="K8594">
        <v>2108231953</v>
      </c>
      <c r="L8594">
        <v>2108231953</v>
      </c>
      <c r="M8594" t="s">
        <v>7353</v>
      </c>
      <c r="N8594" t="s">
        <v>3325</v>
      </c>
      <c r="O8594" t="s">
        <v>7165</v>
      </c>
      <c r="P8594">
        <v>11362</v>
      </c>
      <c r="Q8594" t="str">
        <f>"37.998240"</f>
        <v>37.998240</v>
      </c>
      <c r="R8594" t="str">
        <f>"23.739797"</f>
        <v>23.739797</v>
      </c>
      <c r="S8594" t="s">
        <v>26</v>
      </c>
    </row>
    <row r="8595" spans="1:19" x14ac:dyDescent="0.3">
      <c r="A8595" t="s">
        <v>3237</v>
      </c>
      <c r="B8595" t="s">
        <v>6738</v>
      </c>
      <c r="C8595" t="s">
        <v>7354</v>
      </c>
      <c r="D8595" t="s">
        <v>3238</v>
      </c>
      <c r="E8595" t="s">
        <v>3239</v>
      </c>
      <c r="F8595" t="s">
        <v>3239</v>
      </c>
      <c r="G8595" t="s">
        <v>3312</v>
      </c>
      <c r="H8595" t="s">
        <v>859</v>
      </c>
      <c r="I8595" t="s">
        <v>860</v>
      </c>
      <c r="J8595" t="str">
        <f>"9051492"</f>
        <v>9051492</v>
      </c>
      <c r="K8595">
        <v>2108811202</v>
      </c>
      <c r="M8595" t="s">
        <v>7355</v>
      </c>
      <c r="N8595" t="s">
        <v>3325</v>
      </c>
      <c r="O8595" t="s">
        <v>7165</v>
      </c>
      <c r="P8595">
        <v>11362</v>
      </c>
      <c r="Q8595" t="str">
        <f>"37.998240"</f>
        <v>37.998240</v>
      </c>
      <c r="R8595" t="str">
        <f>"23.739797"</f>
        <v>23.739797</v>
      </c>
      <c r="S8595" t="s">
        <v>26</v>
      </c>
    </row>
    <row r="8596" spans="1:19" x14ac:dyDescent="0.3">
      <c r="A8596" t="s">
        <v>3237</v>
      </c>
      <c r="B8596" t="s">
        <v>6738</v>
      </c>
      <c r="C8596" t="s">
        <v>7356</v>
      </c>
      <c r="D8596" t="s">
        <v>3238</v>
      </c>
      <c r="E8596" t="s">
        <v>3239</v>
      </c>
      <c r="F8596" t="s">
        <v>3239</v>
      </c>
      <c r="G8596" t="s">
        <v>3312</v>
      </c>
      <c r="H8596" t="s">
        <v>859</v>
      </c>
      <c r="I8596" t="s">
        <v>860</v>
      </c>
      <c r="J8596" t="str">
        <f>"9051895"</f>
        <v>9051895</v>
      </c>
      <c r="K8596">
        <v>2108611776</v>
      </c>
      <c r="L8596">
        <v>2108611776</v>
      </c>
      <c r="M8596" t="s">
        <v>7357</v>
      </c>
      <c r="N8596" t="s">
        <v>3325</v>
      </c>
      <c r="O8596" t="s">
        <v>7251</v>
      </c>
      <c r="P8596">
        <v>11361</v>
      </c>
      <c r="Q8596" t="str">
        <f>"38.002622"</f>
        <v>38.002622</v>
      </c>
      <c r="R8596" t="str">
        <f>"23.740453"</f>
        <v>23.740453</v>
      </c>
      <c r="S8596" t="s">
        <v>26</v>
      </c>
    </row>
    <row r="8597" spans="1:19" x14ac:dyDescent="0.3">
      <c r="A8597" t="s">
        <v>3237</v>
      </c>
      <c r="B8597" t="s">
        <v>6738</v>
      </c>
      <c r="C8597" t="s">
        <v>7373</v>
      </c>
      <c r="D8597" t="s">
        <v>3238</v>
      </c>
      <c r="E8597" t="s">
        <v>3432</v>
      </c>
      <c r="F8597" t="s">
        <v>3432</v>
      </c>
      <c r="G8597" t="s">
        <v>3432</v>
      </c>
      <c r="H8597" t="s">
        <v>859</v>
      </c>
      <c r="I8597" t="s">
        <v>860</v>
      </c>
      <c r="J8597" t="str">
        <f>"9051000"</f>
        <v>9051000</v>
      </c>
      <c r="K8597">
        <v>2109755132</v>
      </c>
      <c r="L8597">
        <v>2109755132</v>
      </c>
      <c r="M8597" t="s">
        <v>7374</v>
      </c>
      <c r="N8597" t="s">
        <v>3437</v>
      </c>
      <c r="O8597" t="s">
        <v>7375</v>
      </c>
      <c r="P8597">
        <v>16346</v>
      </c>
      <c r="Q8597" t="str">
        <f>"37.939140"</f>
        <v>37.939140</v>
      </c>
      <c r="R8597" t="str">
        <f>"23.745141"</f>
        <v>23.745141</v>
      </c>
      <c r="S8597" t="s">
        <v>26</v>
      </c>
    </row>
    <row r="8598" spans="1:19" x14ac:dyDescent="0.3">
      <c r="A8598" t="s">
        <v>3237</v>
      </c>
      <c r="B8598" t="s">
        <v>6738</v>
      </c>
      <c r="C8598" t="s">
        <v>7382</v>
      </c>
      <c r="D8598" t="s">
        <v>3238</v>
      </c>
      <c r="E8598" t="s">
        <v>3239</v>
      </c>
      <c r="F8598" t="s">
        <v>3239</v>
      </c>
      <c r="G8598" t="s">
        <v>3281</v>
      </c>
      <c r="H8598" t="s">
        <v>859</v>
      </c>
      <c r="I8598" t="s">
        <v>860</v>
      </c>
      <c r="J8598" t="str">
        <f>"9051180"</f>
        <v>9051180</v>
      </c>
      <c r="K8598">
        <v>2107512760</v>
      </c>
      <c r="L8598">
        <v>2107512760</v>
      </c>
      <c r="M8598" t="s">
        <v>7383</v>
      </c>
      <c r="N8598" t="s">
        <v>3284</v>
      </c>
      <c r="O8598" t="s">
        <v>7057</v>
      </c>
      <c r="P8598">
        <v>11633</v>
      </c>
      <c r="Q8598" t="str">
        <f>"37.965957"</f>
        <v>37.965957</v>
      </c>
      <c r="R8598" t="str">
        <f>"23.749470"</f>
        <v>23.749470</v>
      </c>
      <c r="S8598" t="s">
        <v>26</v>
      </c>
    </row>
    <row r="8599" spans="1:19" x14ac:dyDescent="0.3">
      <c r="A8599" t="s">
        <v>3237</v>
      </c>
      <c r="B8599" t="s">
        <v>6738</v>
      </c>
      <c r="C8599" t="s">
        <v>7384</v>
      </c>
      <c r="D8599" t="s">
        <v>3238</v>
      </c>
      <c r="E8599" t="s">
        <v>3468</v>
      </c>
      <c r="F8599" t="s">
        <v>3541</v>
      </c>
      <c r="G8599" t="s">
        <v>3541</v>
      </c>
      <c r="H8599" t="s">
        <v>859</v>
      </c>
      <c r="I8599" t="s">
        <v>860</v>
      </c>
      <c r="J8599" t="str">
        <f>"9050168"</f>
        <v>9050168</v>
      </c>
      <c r="K8599">
        <v>2109752884</v>
      </c>
      <c r="L8599">
        <v>2109752884</v>
      </c>
      <c r="M8599" t="s">
        <v>7385</v>
      </c>
      <c r="N8599" t="s">
        <v>3589</v>
      </c>
      <c r="O8599" t="s">
        <v>7386</v>
      </c>
      <c r="P8599">
        <v>17236</v>
      </c>
      <c r="Q8599" t="str">
        <f>"37.947155"</f>
        <v>37.947155</v>
      </c>
      <c r="R8599" t="str">
        <f>"23.748168"</f>
        <v>23.748168</v>
      </c>
      <c r="S8599" t="s">
        <v>26</v>
      </c>
    </row>
    <row r="8600" spans="1:19" x14ac:dyDescent="0.3">
      <c r="A8600" t="s">
        <v>3237</v>
      </c>
      <c r="B8600" t="s">
        <v>6738</v>
      </c>
      <c r="C8600" t="s">
        <v>7387</v>
      </c>
      <c r="D8600" t="s">
        <v>3238</v>
      </c>
      <c r="E8600" t="s">
        <v>3239</v>
      </c>
      <c r="F8600" t="s">
        <v>3239</v>
      </c>
      <c r="G8600" t="s">
        <v>3281</v>
      </c>
      <c r="H8600" t="s">
        <v>859</v>
      </c>
      <c r="I8600" t="s">
        <v>860</v>
      </c>
      <c r="J8600" t="str">
        <f>"9051378"</f>
        <v>9051378</v>
      </c>
      <c r="K8600">
        <v>2107015921</v>
      </c>
      <c r="L8600">
        <v>2107015921</v>
      </c>
      <c r="M8600" t="s">
        <v>7388</v>
      </c>
      <c r="N8600" t="s">
        <v>3284</v>
      </c>
      <c r="O8600" t="s">
        <v>7389</v>
      </c>
      <c r="P8600">
        <v>11631</v>
      </c>
      <c r="Q8600" t="str">
        <f>"37.958057"</f>
        <v>37.958057</v>
      </c>
      <c r="R8600" t="str">
        <f>"23.739542"</f>
        <v>23.739542</v>
      </c>
      <c r="S8600" t="s">
        <v>26</v>
      </c>
    </row>
    <row r="8601" spans="1:19" x14ac:dyDescent="0.3">
      <c r="A8601" t="s">
        <v>3237</v>
      </c>
      <c r="B8601" t="s">
        <v>6738</v>
      </c>
      <c r="C8601" t="s">
        <v>7390</v>
      </c>
      <c r="D8601" t="s">
        <v>3238</v>
      </c>
      <c r="E8601" t="s">
        <v>3239</v>
      </c>
      <c r="F8601" t="s">
        <v>3239</v>
      </c>
      <c r="G8601" t="s">
        <v>3382</v>
      </c>
      <c r="H8601" t="s">
        <v>859</v>
      </c>
      <c r="I8601" t="s">
        <v>860</v>
      </c>
      <c r="J8601" t="str">
        <f>"9050759"</f>
        <v>9050759</v>
      </c>
      <c r="K8601">
        <v>2105220992</v>
      </c>
      <c r="L8601">
        <v>2105220992</v>
      </c>
      <c r="M8601" t="s">
        <v>7391</v>
      </c>
      <c r="N8601" t="s">
        <v>3325</v>
      </c>
      <c r="O8601" t="s">
        <v>6755</v>
      </c>
      <c r="P8601">
        <v>10438</v>
      </c>
      <c r="Q8601" t="str">
        <f>"37.987094"</f>
        <v>37.987094</v>
      </c>
      <c r="R8601" t="str">
        <f>"23.723564"</f>
        <v>23.723564</v>
      </c>
      <c r="S8601" t="s">
        <v>26</v>
      </c>
    </row>
    <row r="8602" spans="1:19" x14ac:dyDescent="0.3">
      <c r="A8602" t="s">
        <v>3237</v>
      </c>
      <c r="B8602" t="s">
        <v>6738</v>
      </c>
      <c r="C8602" t="s">
        <v>7392</v>
      </c>
      <c r="D8602" t="s">
        <v>3238</v>
      </c>
      <c r="E8602" t="s">
        <v>3468</v>
      </c>
      <c r="F8602" t="s">
        <v>3469</v>
      </c>
      <c r="G8602" t="s">
        <v>3469</v>
      </c>
      <c r="H8602" t="s">
        <v>859</v>
      </c>
      <c r="I8602" t="s">
        <v>860</v>
      </c>
      <c r="J8602" t="str">
        <f>"9051020"</f>
        <v>9051020</v>
      </c>
      <c r="K8602">
        <v>2109701818</v>
      </c>
      <c r="L8602">
        <v>2109701818</v>
      </c>
      <c r="M8602" t="s">
        <v>7393</v>
      </c>
      <c r="N8602" t="s">
        <v>3549</v>
      </c>
      <c r="O8602" t="s">
        <v>7394</v>
      </c>
      <c r="P8602">
        <v>17237</v>
      </c>
      <c r="Q8602" t="str">
        <f>"37.953746"</f>
        <v>37.953746</v>
      </c>
      <c r="R8602" t="str">
        <f>"23.738076"</f>
        <v>23.738076</v>
      </c>
      <c r="S8602" t="s">
        <v>26</v>
      </c>
    </row>
    <row r="8603" spans="1:19" x14ac:dyDescent="0.3">
      <c r="A8603" t="s">
        <v>3237</v>
      </c>
      <c r="B8603" t="s">
        <v>6738</v>
      </c>
      <c r="C8603" t="s">
        <v>7397</v>
      </c>
      <c r="D8603" t="s">
        <v>3238</v>
      </c>
      <c r="E8603" t="s">
        <v>3239</v>
      </c>
      <c r="F8603" t="s">
        <v>3239</v>
      </c>
      <c r="G8603" t="s">
        <v>3340</v>
      </c>
      <c r="H8603" t="s">
        <v>859</v>
      </c>
      <c r="I8603" t="s">
        <v>860</v>
      </c>
      <c r="J8603" t="str">
        <f>"9050687"</f>
        <v>9050687</v>
      </c>
      <c r="K8603">
        <v>2107702588</v>
      </c>
      <c r="L8603">
        <v>2107711250</v>
      </c>
      <c r="M8603" t="s">
        <v>7398</v>
      </c>
      <c r="N8603" t="s">
        <v>3325</v>
      </c>
      <c r="O8603" t="s">
        <v>7399</v>
      </c>
      <c r="P8603">
        <v>11527</v>
      </c>
      <c r="Q8603" t="str">
        <f>"37.983099"</f>
        <v>37.983099</v>
      </c>
      <c r="R8603" t="str">
        <f>"23.764192"</f>
        <v>23.764192</v>
      </c>
      <c r="S8603" t="s">
        <v>26</v>
      </c>
    </row>
    <row r="8604" spans="1:19" x14ac:dyDescent="0.3">
      <c r="A8604" t="s">
        <v>3237</v>
      </c>
      <c r="B8604" t="s">
        <v>6738</v>
      </c>
      <c r="C8604" t="s">
        <v>7400</v>
      </c>
      <c r="D8604" t="s">
        <v>3238</v>
      </c>
      <c r="E8604" t="s">
        <v>3468</v>
      </c>
      <c r="F8604" t="s">
        <v>3469</v>
      </c>
      <c r="G8604" t="s">
        <v>3469</v>
      </c>
      <c r="H8604" t="s">
        <v>859</v>
      </c>
      <c r="I8604" t="s">
        <v>860</v>
      </c>
      <c r="J8604" t="str">
        <f>"9051196"</f>
        <v>9051196</v>
      </c>
      <c r="K8604">
        <v>2109768568</v>
      </c>
      <c r="L8604">
        <v>2109768568</v>
      </c>
      <c r="M8604" t="s">
        <v>7401</v>
      </c>
      <c r="N8604" t="s">
        <v>3549</v>
      </c>
      <c r="O8604" t="s">
        <v>7402</v>
      </c>
      <c r="P8604">
        <v>17237</v>
      </c>
      <c r="Q8604" t="str">
        <f>"37.953815"</f>
        <v>37.953815</v>
      </c>
      <c r="R8604" t="str">
        <f>"23.740632"</f>
        <v>23.740632</v>
      </c>
      <c r="S8604" t="s">
        <v>26</v>
      </c>
    </row>
    <row r="8605" spans="1:19" x14ac:dyDescent="0.3">
      <c r="A8605" t="s">
        <v>3237</v>
      </c>
      <c r="B8605" t="s">
        <v>6738</v>
      </c>
      <c r="C8605" t="s">
        <v>7406</v>
      </c>
      <c r="D8605" t="s">
        <v>3238</v>
      </c>
      <c r="E8605" t="s">
        <v>3239</v>
      </c>
      <c r="F8605" t="s">
        <v>3239</v>
      </c>
      <c r="G8605" t="s">
        <v>3340</v>
      </c>
      <c r="H8605" t="s">
        <v>859</v>
      </c>
      <c r="I8605" t="s">
        <v>860</v>
      </c>
      <c r="J8605" t="str">
        <f>"9051617"</f>
        <v>9051617</v>
      </c>
      <c r="K8605">
        <v>2106436282</v>
      </c>
      <c r="L8605">
        <v>2106436282</v>
      </c>
      <c r="M8605" t="s">
        <v>7407</v>
      </c>
      <c r="N8605" t="s">
        <v>3325</v>
      </c>
      <c r="O8605" t="s">
        <v>3932</v>
      </c>
      <c r="P8605">
        <v>11522</v>
      </c>
      <c r="Q8605" t="str">
        <f>"37.987828"</f>
        <v>37.987828</v>
      </c>
      <c r="R8605" t="str">
        <f>"23.757892"</f>
        <v>23.757892</v>
      </c>
      <c r="S8605" t="s">
        <v>26</v>
      </c>
    </row>
    <row r="8606" spans="1:19" x14ac:dyDescent="0.3">
      <c r="A8606" t="s">
        <v>3237</v>
      </c>
      <c r="B8606" t="s">
        <v>6738</v>
      </c>
      <c r="C8606" t="s">
        <v>7414</v>
      </c>
      <c r="D8606" t="s">
        <v>3238</v>
      </c>
      <c r="E8606" t="s">
        <v>3239</v>
      </c>
      <c r="F8606" t="s">
        <v>3239</v>
      </c>
      <c r="G8606" t="s">
        <v>3281</v>
      </c>
      <c r="H8606" t="s">
        <v>859</v>
      </c>
      <c r="I8606" t="s">
        <v>860</v>
      </c>
      <c r="J8606" t="str">
        <f>"9051552"</f>
        <v>9051552</v>
      </c>
      <c r="K8606">
        <v>2109022242</v>
      </c>
      <c r="L8606">
        <v>2109022242</v>
      </c>
      <c r="M8606" t="s">
        <v>7415</v>
      </c>
      <c r="N8606" t="s">
        <v>3284</v>
      </c>
      <c r="O8606" t="s">
        <v>7416</v>
      </c>
      <c r="P8606">
        <v>11745</v>
      </c>
      <c r="Q8606" t="str">
        <f>"37.956071"</f>
        <v>37.956071</v>
      </c>
      <c r="R8606" t="str">
        <f>"23.724159"</f>
        <v>23.724159</v>
      </c>
      <c r="S8606" t="s">
        <v>26</v>
      </c>
    </row>
    <row r="8607" spans="1:19" x14ac:dyDescent="0.3">
      <c r="A8607" t="s">
        <v>3237</v>
      </c>
      <c r="B8607" t="s">
        <v>6738</v>
      </c>
      <c r="C8607" t="s">
        <v>7417</v>
      </c>
      <c r="D8607" t="s">
        <v>3238</v>
      </c>
      <c r="E8607" t="s">
        <v>3239</v>
      </c>
      <c r="F8607" t="s">
        <v>3239</v>
      </c>
      <c r="G8607" t="s">
        <v>3240</v>
      </c>
      <c r="H8607" t="s">
        <v>859</v>
      </c>
      <c r="I8607" t="s">
        <v>860</v>
      </c>
      <c r="J8607" t="str">
        <f>"9050091"</f>
        <v>9050091</v>
      </c>
      <c r="K8607">
        <v>2109232066</v>
      </c>
      <c r="L8607">
        <v>2109244124</v>
      </c>
      <c r="M8607" t="s">
        <v>7418</v>
      </c>
      <c r="N8607" t="s">
        <v>3325</v>
      </c>
      <c r="O8607" t="s">
        <v>6934</v>
      </c>
      <c r="P8607">
        <v>11742</v>
      </c>
      <c r="Q8607" t="str">
        <f>"37.969045"</f>
        <v>37.969045</v>
      </c>
      <c r="R8607" t="str">
        <f>"23.727709"</f>
        <v>23.727709</v>
      </c>
      <c r="S8607" t="s">
        <v>26</v>
      </c>
    </row>
    <row r="8608" spans="1:19" x14ac:dyDescent="0.3">
      <c r="A8608" t="s">
        <v>3237</v>
      </c>
      <c r="B8608" t="s">
        <v>6738</v>
      </c>
      <c r="C8608" t="s">
        <v>7421</v>
      </c>
      <c r="D8608" t="s">
        <v>3238</v>
      </c>
      <c r="E8608" t="s">
        <v>3468</v>
      </c>
      <c r="F8608" t="s">
        <v>3469</v>
      </c>
      <c r="G8608" t="s">
        <v>3469</v>
      </c>
      <c r="H8608" t="s">
        <v>859</v>
      </c>
      <c r="I8608" t="s">
        <v>860</v>
      </c>
      <c r="J8608" t="str">
        <f>"9050733"</f>
        <v>9050733</v>
      </c>
      <c r="K8608">
        <v>2109716300</v>
      </c>
      <c r="L8608">
        <v>2109716300</v>
      </c>
      <c r="M8608" t="s">
        <v>7422</v>
      </c>
      <c r="N8608" t="s">
        <v>3549</v>
      </c>
      <c r="O8608" t="s">
        <v>7423</v>
      </c>
      <c r="P8608">
        <v>17236</v>
      </c>
      <c r="Q8608" t="str">
        <f>"37.946194"</f>
        <v>37.946194</v>
      </c>
      <c r="R8608" t="str">
        <f>"23.740373"</f>
        <v>23.740373</v>
      </c>
      <c r="S8608" t="s">
        <v>26</v>
      </c>
    </row>
    <row r="8609" spans="1:19" x14ac:dyDescent="0.3">
      <c r="A8609" t="s">
        <v>3237</v>
      </c>
      <c r="B8609" t="s">
        <v>6738</v>
      </c>
      <c r="C8609" t="s">
        <v>7424</v>
      </c>
      <c r="D8609" t="s">
        <v>3238</v>
      </c>
      <c r="E8609" t="s">
        <v>3443</v>
      </c>
      <c r="F8609" t="s">
        <v>3443</v>
      </c>
      <c r="G8609" t="s">
        <v>3443</v>
      </c>
      <c r="H8609" t="s">
        <v>859</v>
      </c>
      <c r="I8609" t="s">
        <v>860</v>
      </c>
      <c r="J8609" t="str">
        <f>"9051203"</f>
        <v>9051203</v>
      </c>
      <c r="K8609">
        <v>2102224398</v>
      </c>
      <c r="L8609">
        <v>2102224398</v>
      </c>
      <c r="M8609" t="s">
        <v>7425</v>
      </c>
      <c r="N8609" t="s">
        <v>3446</v>
      </c>
      <c r="O8609" t="s">
        <v>7426</v>
      </c>
      <c r="P8609">
        <v>11146</v>
      </c>
      <c r="Q8609" t="str">
        <f>"38.024291"</f>
        <v>38.024291</v>
      </c>
      <c r="R8609" t="str">
        <f>"23.755898"</f>
        <v>23.755898</v>
      </c>
      <c r="S8609" t="s">
        <v>26</v>
      </c>
    </row>
    <row r="8610" spans="1:19" x14ac:dyDescent="0.3">
      <c r="A8610" t="s">
        <v>3237</v>
      </c>
      <c r="B8610" t="s">
        <v>6738</v>
      </c>
      <c r="C8610" t="s">
        <v>7431</v>
      </c>
      <c r="D8610" t="s">
        <v>3238</v>
      </c>
      <c r="E8610" t="s">
        <v>3239</v>
      </c>
      <c r="F8610" t="s">
        <v>3239</v>
      </c>
      <c r="G8610" t="s">
        <v>3322</v>
      </c>
      <c r="H8610" t="s">
        <v>859</v>
      </c>
      <c r="I8610" t="s">
        <v>860</v>
      </c>
      <c r="J8610" t="str">
        <f>"9050754"</f>
        <v>9050754</v>
      </c>
      <c r="K8610">
        <v>2103461480</v>
      </c>
      <c r="L8610">
        <v>2103461480</v>
      </c>
      <c r="M8610" t="s">
        <v>7432</v>
      </c>
      <c r="N8610" t="s">
        <v>3325</v>
      </c>
      <c r="O8610" t="s">
        <v>7433</v>
      </c>
      <c r="P8610">
        <v>11853</v>
      </c>
      <c r="Q8610" t="str">
        <f>"37.971051"</f>
        <v>37.971051</v>
      </c>
      <c r="R8610" t="str">
        <f>"23.705893"</f>
        <v>23.705893</v>
      </c>
      <c r="S8610" t="s">
        <v>26</v>
      </c>
    </row>
    <row r="8611" spans="1:19" x14ac:dyDescent="0.3">
      <c r="A8611" t="s">
        <v>3237</v>
      </c>
      <c r="B8611" t="s">
        <v>6738</v>
      </c>
      <c r="C8611" t="s">
        <v>7434</v>
      </c>
      <c r="D8611" t="s">
        <v>3238</v>
      </c>
      <c r="E8611" t="s">
        <v>3239</v>
      </c>
      <c r="F8611" t="s">
        <v>3239</v>
      </c>
      <c r="G8611" t="s">
        <v>3312</v>
      </c>
      <c r="H8611" t="s">
        <v>859</v>
      </c>
      <c r="I8611" t="s">
        <v>860</v>
      </c>
      <c r="J8611" t="str">
        <f>"9050784"</f>
        <v>9050784</v>
      </c>
      <c r="K8611">
        <v>2108832766</v>
      </c>
      <c r="L8611">
        <v>2108832766</v>
      </c>
      <c r="M8611" t="s">
        <v>7435</v>
      </c>
      <c r="N8611" t="s">
        <v>3325</v>
      </c>
      <c r="O8611" t="s">
        <v>7436</v>
      </c>
      <c r="P8611">
        <v>10433</v>
      </c>
      <c r="Q8611" t="str">
        <f>"37.991242"</f>
        <v>37.991242</v>
      </c>
      <c r="R8611" t="str">
        <f>"23.728510"</f>
        <v>23.728510</v>
      </c>
      <c r="S8611" t="s">
        <v>26</v>
      </c>
    </row>
    <row r="8612" spans="1:19" x14ac:dyDescent="0.3">
      <c r="A8612" t="s">
        <v>3237</v>
      </c>
      <c r="B8612" t="s">
        <v>6738</v>
      </c>
      <c r="C8612" t="s">
        <v>7437</v>
      </c>
      <c r="D8612" t="s">
        <v>3238</v>
      </c>
      <c r="E8612" t="s">
        <v>3239</v>
      </c>
      <c r="F8612" t="s">
        <v>3239</v>
      </c>
      <c r="G8612" t="s">
        <v>3382</v>
      </c>
      <c r="H8612" t="s">
        <v>859</v>
      </c>
      <c r="I8612" t="s">
        <v>860</v>
      </c>
      <c r="J8612" t="str">
        <f>"9051568"</f>
        <v>9051568</v>
      </c>
      <c r="K8612">
        <v>2108310227</v>
      </c>
      <c r="L8612">
        <v>2108310227</v>
      </c>
      <c r="M8612" t="s">
        <v>7438</v>
      </c>
      <c r="N8612" t="s">
        <v>3325</v>
      </c>
      <c r="O8612" t="s">
        <v>7439</v>
      </c>
      <c r="P8612">
        <v>11145</v>
      </c>
      <c r="Q8612" t="str">
        <f>"38.013879"</f>
        <v>38.013879</v>
      </c>
      <c r="R8612" t="str">
        <f>"23.722194"</f>
        <v>23.722194</v>
      </c>
      <c r="S8612" t="s">
        <v>26</v>
      </c>
    </row>
    <row r="8613" spans="1:19" x14ac:dyDescent="0.3">
      <c r="A8613" t="s">
        <v>3237</v>
      </c>
      <c r="B8613" t="s">
        <v>6738</v>
      </c>
      <c r="C8613" t="s">
        <v>7440</v>
      </c>
      <c r="D8613" t="s">
        <v>3238</v>
      </c>
      <c r="E8613" t="s">
        <v>3432</v>
      </c>
      <c r="F8613" t="s">
        <v>3432</v>
      </c>
      <c r="G8613" t="s">
        <v>3432</v>
      </c>
      <c r="H8613" t="s">
        <v>859</v>
      </c>
      <c r="I8613" t="s">
        <v>860</v>
      </c>
      <c r="J8613" t="str">
        <f>"9051498"</f>
        <v>9051498</v>
      </c>
      <c r="K8613">
        <v>2109712641</v>
      </c>
      <c r="L8613">
        <v>2109712641</v>
      </c>
      <c r="M8613" t="s">
        <v>7441</v>
      </c>
      <c r="N8613" t="s">
        <v>3437</v>
      </c>
      <c r="O8613" t="s">
        <v>7442</v>
      </c>
      <c r="P8613">
        <v>16345</v>
      </c>
      <c r="Q8613" t="str">
        <f>"37.945966"</f>
        <v>37.945966</v>
      </c>
      <c r="R8613" t="str">
        <f>"23.753172"</f>
        <v>23.753172</v>
      </c>
      <c r="S8613" t="s">
        <v>26</v>
      </c>
    </row>
    <row r="8614" spans="1:19" x14ac:dyDescent="0.3">
      <c r="A8614" t="s">
        <v>3237</v>
      </c>
      <c r="B8614" t="s">
        <v>6738</v>
      </c>
      <c r="C8614" t="s">
        <v>7443</v>
      </c>
      <c r="D8614" t="s">
        <v>3238</v>
      </c>
      <c r="E8614" t="s">
        <v>3239</v>
      </c>
      <c r="F8614" t="s">
        <v>3239</v>
      </c>
      <c r="G8614" t="s">
        <v>3382</v>
      </c>
      <c r="H8614" t="s">
        <v>859</v>
      </c>
      <c r="I8614" t="s">
        <v>860</v>
      </c>
      <c r="J8614" t="str">
        <f>"9051290"</f>
        <v>9051290</v>
      </c>
      <c r="K8614">
        <v>2105140924</v>
      </c>
      <c r="L8614">
        <v>2105140924</v>
      </c>
      <c r="M8614" t="s">
        <v>7444</v>
      </c>
      <c r="N8614" t="s">
        <v>3325</v>
      </c>
      <c r="O8614" t="s">
        <v>7445</v>
      </c>
      <c r="P8614">
        <v>10441</v>
      </c>
      <c r="Q8614" t="str">
        <f>"37.986940"</f>
        <v>37.986940</v>
      </c>
      <c r="R8614" t="str">
        <f>"23.711496"</f>
        <v>23.711496</v>
      </c>
      <c r="S8614" t="s">
        <v>26</v>
      </c>
    </row>
    <row r="8615" spans="1:19" x14ac:dyDescent="0.3">
      <c r="A8615" t="s">
        <v>3237</v>
      </c>
      <c r="B8615" t="s">
        <v>6738</v>
      </c>
      <c r="C8615" t="s">
        <v>7446</v>
      </c>
      <c r="D8615" t="s">
        <v>3238</v>
      </c>
      <c r="E8615" t="s">
        <v>3239</v>
      </c>
      <c r="F8615" t="s">
        <v>3239</v>
      </c>
      <c r="G8615" t="s">
        <v>3382</v>
      </c>
      <c r="H8615" t="s">
        <v>859</v>
      </c>
      <c r="I8615" t="s">
        <v>860</v>
      </c>
      <c r="J8615" t="str">
        <f>"9051765"</f>
        <v>9051765</v>
      </c>
      <c r="K8615">
        <v>2108310603</v>
      </c>
      <c r="M8615" t="s">
        <v>7447</v>
      </c>
      <c r="N8615" t="s">
        <v>3325</v>
      </c>
      <c r="O8615" t="s">
        <v>7448</v>
      </c>
      <c r="P8615">
        <v>11145</v>
      </c>
      <c r="Q8615" t="str">
        <f>"38.014121"</f>
        <v>38.014121</v>
      </c>
      <c r="R8615" t="str">
        <f>"23.721336"</f>
        <v>23.721336</v>
      </c>
      <c r="S8615" t="s">
        <v>26</v>
      </c>
    </row>
    <row r="8616" spans="1:19" x14ac:dyDescent="0.3">
      <c r="A8616" t="s">
        <v>3237</v>
      </c>
      <c r="B8616" t="s">
        <v>6738</v>
      </c>
      <c r="C8616" t="s">
        <v>7451</v>
      </c>
      <c r="D8616" t="s">
        <v>3238</v>
      </c>
      <c r="E8616" t="s">
        <v>3239</v>
      </c>
      <c r="F8616" t="s">
        <v>3239</v>
      </c>
      <c r="G8616" t="s">
        <v>3322</v>
      </c>
      <c r="H8616" t="s">
        <v>859</v>
      </c>
      <c r="I8616" t="s">
        <v>860</v>
      </c>
      <c r="J8616" t="str">
        <f>"9051349"</f>
        <v>9051349</v>
      </c>
      <c r="K8616">
        <v>2103473766</v>
      </c>
      <c r="L8616">
        <v>2103473766</v>
      </c>
      <c r="M8616" t="s">
        <v>7452</v>
      </c>
      <c r="N8616" t="s">
        <v>3325</v>
      </c>
      <c r="O8616" t="s">
        <v>7306</v>
      </c>
      <c r="P8616">
        <v>11852</v>
      </c>
      <c r="Q8616" t="str">
        <f>"37.966862"</f>
        <v>37.966862</v>
      </c>
      <c r="R8616" t="str">
        <f>"23.708545"</f>
        <v>23.708545</v>
      </c>
      <c r="S8616" t="s">
        <v>26</v>
      </c>
    </row>
    <row r="8617" spans="1:19" x14ac:dyDescent="0.3">
      <c r="A8617" t="s">
        <v>3237</v>
      </c>
      <c r="B8617" t="s">
        <v>6738</v>
      </c>
      <c r="C8617" t="s">
        <v>7453</v>
      </c>
      <c r="D8617" t="s">
        <v>3238</v>
      </c>
      <c r="E8617" t="s">
        <v>3239</v>
      </c>
      <c r="F8617" t="s">
        <v>3239</v>
      </c>
      <c r="G8617" t="s">
        <v>3340</v>
      </c>
      <c r="H8617" t="s">
        <v>859</v>
      </c>
      <c r="I8617" t="s">
        <v>860</v>
      </c>
      <c r="J8617" t="str">
        <f>"9050692"</f>
        <v>9050692</v>
      </c>
      <c r="K8617">
        <v>2106462115</v>
      </c>
      <c r="L8617">
        <v>2106462115</v>
      </c>
      <c r="M8617" t="s">
        <v>7454</v>
      </c>
      <c r="N8617" t="s">
        <v>3325</v>
      </c>
      <c r="O8617" t="s">
        <v>3932</v>
      </c>
      <c r="P8617">
        <v>11522</v>
      </c>
      <c r="Q8617" t="str">
        <f>"37.988228"</f>
        <v>37.988228</v>
      </c>
      <c r="R8617" t="str">
        <f>"23.757704"</f>
        <v>23.757704</v>
      </c>
      <c r="S8617" t="s">
        <v>26</v>
      </c>
    </row>
    <row r="8618" spans="1:19" x14ac:dyDescent="0.3">
      <c r="A8618" t="s">
        <v>3237</v>
      </c>
      <c r="B8618" t="s">
        <v>6738</v>
      </c>
      <c r="C8618" t="s">
        <v>7455</v>
      </c>
      <c r="D8618" t="s">
        <v>3238</v>
      </c>
      <c r="E8618" t="s">
        <v>3239</v>
      </c>
      <c r="F8618" t="s">
        <v>3239</v>
      </c>
      <c r="G8618" t="s">
        <v>3322</v>
      </c>
      <c r="H8618" t="s">
        <v>859</v>
      </c>
      <c r="I8618" t="s">
        <v>860</v>
      </c>
      <c r="J8618" t="str">
        <f>"9050852"</f>
        <v>9050852</v>
      </c>
      <c r="K8618">
        <v>2103465142</v>
      </c>
      <c r="L8618">
        <v>2103465142</v>
      </c>
      <c r="M8618" t="s">
        <v>7456</v>
      </c>
      <c r="N8618" t="s">
        <v>3325</v>
      </c>
      <c r="O8618" t="s">
        <v>7457</v>
      </c>
      <c r="P8618">
        <v>11855</v>
      </c>
      <c r="Q8618" t="str">
        <f>"37.979080"</f>
        <v>37.979080</v>
      </c>
      <c r="R8618" t="str">
        <f>"23.708326"</f>
        <v>23.708326</v>
      </c>
      <c r="S8618" t="s">
        <v>26</v>
      </c>
    </row>
    <row r="8619" spans="1:19" x14ac:dyDescent="0.3">
      <c r="A8619" t="s">
        <v>3237</v>
      </c>
      <c r="B8619" t="s">
        <v>6738</v>
      </c>
      <c r="C8619" t="s">
        <v>7460</v>
      </c>
      <c r="D8619" t="s">
        <v>3238</v>
      </c>
      <c r="E8619" t="s">
        <v>3239</v>
      </c>
      <c r="F8619" t="s">
        <v>3239</v>
      </c>
      <c r="G8619" t="s">
        <v>3382</v>
      </c>
      <c r="H8619" t="s">
        <v>859</v>
      </c>
      <c r="I8619" t="s">
        <v>860</v>
      </c>
      <c r="J8619" t="str">
        <f>"9051764"</f>
        <v>9051764</v>
      </c>
      <c r="K8619">
        <v>2105146690</v>
      </c>
      <c r="M8619" t="s">
        <v>7461</v>
      </c>
      <c r="N8619" t="s">
        <v>3284</v>
      </c>
      <c r="O8619" t="s">
        <v>7462</v>
      </c>
      <c r="P8619">
        <v>10442</v>
      </c>
      <c r="Q8619" t="str">
        <f>"37.994727"</f>
        <v>37.994727</v>
      </c>
      <c r="R8619" t="str">
        <f>"23.709797"</f>
        <v>23.709797</v>
      </c>
      <c r="S8619" t="s">
        <v>26</v>
      </c>
    </row>
    <row r="8620" spans="1:19" x14ac:dyDescent="0.3">
      <c r="A8620" t="s">
        <v>3237</v>
      </c>
      <c r="B8620" t="s">
        <v>6738</v>
      </c>
      <c r="C8620" t="s">
        <v>7463</v>
      </c>
      <c r="D8620" t="s">
        <v>3238</v>
      </c>
      <c r="E8620" t="s">
        <v>3239</v>
      </c>
      <c r="F8620" t="s">
        <v>3239</v>
      </c>
      <c r="G8620" t="s">
        <v>3382</v>
      </c>
      <c r="H8620" t="s">
        <v>859</v>
      </c>
      <c r="I8620" t="s">
        <v>860</v>
      </c>
      <c r="J8620" t="str">
        <f>"9051009"</f>
        <v>9051009</v>
      </c>
      <c r="K8620">
        <v>2105149503</v>
      </c>
      <c r="L8620">
        <v>2105149503</v>
      </c>
      <c r="M8620" t="s">
        <v>7464</v>
      </c>
      <c r="N8620" t="s">
        <v>3325</v>
      </c>
      <c r="O8620" t="s">
        <v>3385</v>
      </c>
      <c r="P8620">
        <v>10443</v>
      </c>
      <c r="Q8620" t="str">
        <f>"38.003052"</f>
        <v>38.003052</v>
      </c>
      <c r="R8620" t="str">
        <f>"23.711838"</f>
        <v>23.711838</v>
      </c>
      <c r="S8620" t="s">
        <v>26</v>
      </c>
    </row>
    <row r="8621" spans="1:19" x14ac:dyDescent="0.3">
      <c r="A8621" t="s">
        <v>3237</v>
      </c>
      <c r="B8621" t="s">
        <v>6738</v>
      </c>
      <c r="C8621" t="s">
        <v>7465</v>
      </c>
      <c r="D8621" t="s">
        <v>3238</v>
      </c>
      <c r="E8621" t="s">
        <v>3239</v>
      </c>
      <c r="F8621" t="s">
        <v>3239</v>
      </c>
      <c r="G8621" t="s">
        <v>3322</v>
      </c>
      <c r="H8621" t="s">
        <v>859</v>
      </c>
      <c r="I8621" t="s">
        <v>860</v>
      </c>
      <c r="J8621" t="str">
        <f>"9051292"</f>
        <v>9051292</v>
      </c>
      <c r="K8621">
        <v>2105223561</v>
      </c>
      <c r="L8621">
        <v>2105223561</v>
      </c>
      <c r="M8621" t="s">
        <v>7466</v>
      </c>
      <c r="N8621" t="s">
        <v>3325</v>
      </c>
      <c r="O8621" t="s">
        <v>7467</v>
      </c>
      <c r="P8621">
        <v>10435</v>
      </c>
      <c r="Q8621" t="str">
        <f>"38.027662"</f>
        <v>38.027662</v>
      </c>
      <c r="R8621" t="str">
        <f>"23.841867"</f>
        <v>23.841867</v>
      </c>
      <c r="S8621" t="s">
        <v>26</v>
      </c>
    </row>
    <row r="8622" spans="1:19" x14ac:dyDescent="0.3">
      <c r="A8622" t="s">
        <v>3237</v>
      </c>
      <c r="B8622" t="s">
        <v>6738</v>
      </c>
      <c r="C8622" t="s">
        <v>7485</v>
      </c>
      <c r="D8622" t="s">
        <v>3238</v>
      </c>
      <c r="E8622" t="s">
        <v>3239</v>
      </c>
      <c r="F8622" t="s">
        <v>3239</v>
      </c>
      <c r="G8622" t="s">
        <v>3346</v>
      </c>
      <c r="H8622" t="s">
        <v>859</v>
      </c>
      <c r="I8622" t="s">
        <v>860</v>
      </c>
      <c r="J8622" t="str">
        <f>"9051011"</f>
        <v>9051011</v>
      </c>
      <c r="K8622">
        <v>2102288575</v>
      </c>
      <c r="L8622">
        <v>2102288575</v>
      </c>
      <c r="M8622" t="s">
        <v>7486</v>
      </c>
      <c r="N8622" t="s">
        <v>3325</v>
      </c>
      <c r="O8622" t="s">
        <v>7487</v>
      </c>
      <c r="P8622">
        <v>11254</v>
      </c>
      <c r="Q8622" t="str">
        <f>"38.009531"</f>
        <v>38.009531</v>
      </c>
      <c r="R8622" t="str">
        <f>"23.732349"</f>
        <v>23.732349</v>
      </c>
      <c r="S8622" t="s">
        <v>26</v>
      </c>
    </row>
    <row r="8623" spans="1:19" x14ac:dyDescent="0.3">
      <c r="A8623" t="s">
        <v>3237</v>
      </c>
      <c r="B8623" t="s">
        <v>6738</v>
      </c>
      <c r="C8623" t="s">
        <v>7491</v>
      </c>
      <c r="D8623" t="s">
        <v>3238</v>
      </c>
      <c r="E8623" t="s">
        <v>3239</v>
      </c>
      <c r="F8623" t="s">
        <v>3239</v>
      </c>
      <c r="G8623" t="s">
        <v>3346</v>
      </c>
      <c r="H8623" t="s">
        <v>859</v>
      </c>
      <c r="I8623" t="s">
        <v>860</v>
      </c>
      <c r="J8623" t="str">
        <f>"9520906"</f>
        <v>9520906</v>
      </c>
      <c r="K8623">
        <v>2102110763</v>
      </c>
      <c r="L8623">
        <v>2102110763</v>
      </c>
      <c r="M8623" t="s">
        <v>7492</v>
      </c>
      <c r="N8623" t="s">
        <v>3325</v>
      </c>
      <c r="O8623" t="s">
        <v>7493</v>
      </c>
      <c r="P8623">
        <v>11254</v>
      </c>
      <c r="Q8623" t="str">
        <f>"38.012831"</f>
        <v>38.012831</v>
      </c>
      <c r="R8623" t="str">
        <f>"23.733963"</f>
        <v>23.733963</v>
      </c>
      <c r="S8623" t="s">
        <v>26</v>
      </c>
    </row>
    <row r="8624" spans="1:19" x14ac:dyDescent="0.3">
      <c r="A8624" t="s">
        <v>3237</v>
      </c>
      <c r="B8624" t="s">
        <v>6738</v>
      </c>
      <c r="C8624" t="s">
        <v>7504</v>
      </c>
      <c r="D8624" t="s">
        <v>3238</v>
      </c>
      <c r="E8624" t="s">
        <v>3239</v>
      </c>
      <c r="F8624" t="s">
        <v>3239</v>
      </c>
      <c r="G8624" t="s">
        <v>3281</v>
      </c>
      <c r="H8624" t="s">
        <v>859</v>
      </c>
      <c r="I8624" t="s">
        <v>860</v>
      </c>
      <c r="J8624" t="str">
        <f>"9051626"</f>
        <v>9051626</v>
      </c>
      <c r="K8624">
        <v>2109327081</v>
      </c>
      <c r="L8624">
        <v>2109327081</v>
      </c>
      <c r="M8624" t="s">
        <v>7505</v>
      </c>
      <c r="N8624" t="s">
        <v>3284</v>
      </c>
      <c r="O8624" t="s">
        <v>7506</v>
      </c>
      <c r="P8624">
        <v>11745</v>
      </c>
      <c r="Q8624" t="str">
        <f>"37.951831"</f>
        <v>37.951831</v>
      </c>
      <c r="R8624" t="str">
        <f>"23.719895"</f>
        <v>23.719895</v>
      </c>
      <c r="S8624" t="s">
        <v>26</v>
      </c>
    </row>
    <row r="8625" spans="1:19" x14ac:dyDescent="0.3">
      <c r="A8625" t="s">
        <v>3237</v>
      </c>
      <c r="B8625" t="s">
        <v>6738</v>
      </c>
      <c r="C8625" t="s">
        <v>7507</v>
      </c>
      <c r="D8625" t="s">
        <v>3238</v>
      </c>
      <c r="E8625" t="s">
        <v>3468</v>
      </c>
      <c r="F8625" t="s">
        <v>3469</v>
      </c>
      <c r="G8625" t="s">
        <v>3469</v>
      </c>
      <c r="H8625" t="s">
        <v>859</v>
      </c>
      <c r="I8625" t="s">
        <v>860</v>
      </c>
      <c r="J8625" t="str">
        <f>"9050895"</f>
        <v>9050895</v>
      </c>
      <c r="K8625">
        <v>2109027957</v>
      </c>
      <c r="L8625">
        <v>2109027957</v>
      </c>
      <c r="M8625" t="s">
        <v>7508</v>
      </c>
      <c r="N8625" t="s">
        <v>3549</v>
      </c>
      <c r="O8625" t="s">
        <v>7509</v>
      </c>
      <c r="P8625">
        <v>17234</v>
      </c>
      <c r="Q8625" t="str">
        <f>"37.949124"</f>
        <v>37.949124</v>
      </c>
      <c r="R8625" t="str">
        <f>"23.730095"</f>
        <v>23.730095</v>
      </c>
      <c r="S8625" t="s">
        <v>26</v>
      </c>
    </row>
    <row r="8626" spans="1:19" x14ac:dyDescent="0.3">
      <c r="A8626" t="s">
        <v>3237</v>
      </c>
      <c r="B8626" t="s">
        <v>6738</v>
      </c>
      <c r="C8626" t="s">
        <v>7510</v>
      </c>
      <c r="D8626" t="s">
        <v>3238</v>
      </c>
      <c r="E8626" t="s">
        <v>3239</v>
      </c>
      <c r="F8626" t="s">
        <v>3239</v>
      </c>
      <c r="G8626" t="s">
        <v>3281</v>
      </c>
      <c r="H8626" t="s">
        <v>859</v>
      </c>
      <c r="I8626" t="s">
        <v>860</v>
      </c>
      <c r="J8626" t="str">
        <f>"9051436"</f>
        <v>9051436</v>
      </c>
      <c r="K8626">
        <v>2107219777</v>
      </c>
      <c r="L8626">
        <v>2107219775</v>
      </c>
      <c r="M8626" t="s">
        <v>7511</v>
      </c>
      <c r="N8626" t="s">
        <v>3284</v>
      </c>
      <c r="O8626" t="s">
        <v>3789</v>
      </c>
      <c r="P8626">
        <v>11634</v>
      </c>
      <c r="Q8626" t="str">
        <f>"37.969632"</f>
        <v>37.969632</v>
      </c>
      <c r="R8626" t="str">
        <f>"23.747524"</f>
        <v>23.747524</v>
      </c>
      <c r="S8626" t="s">
        <v>26</v>
      </c>
    </row>
    <row r="8627" spans="1:19" x14ac:dyDescent="0.3">
      <c r="A8627" t="s">
        <v>3237</v>
      </c>
      <c r="B8627" t="s">
        <v>6738</v>
      </c>
      <c r="C8627" t="s">
        <v>7518</v>
      </c>
      <c r="D8627" t="s">
        <v>3238</v>
      </c>
      <c r="E8627" t="s">
        <v>3432</v>
      </c>
      <c r="F8627" t="s">
        <v>3432</v>
      </c>
      <c r="G8627" t="s">
        <v>3432</v>
      </c>
      <c r="H8627" t="s">
        <v>859</v>
      </c>
      <c r="I8627" t="s">
        <v>860</v>
      </c>
      <c r="J8627" t="str">
        <f>"9051443"</f>
        <v>9051443</v>
      </c>
      <c r="K8627">
        <v>2109709550</v>
      </c>
      <c r="L8627">
        <v>2109709550</v>
      </c>
      <c r="M8627" t="s">
        <v>7519</v>
      </c>
      <c r="N8627" t="s">
        <v>3437</v>
      </c>
      <c r="O8627" t="s">
        <v>7520</v>
      </c>
      <c r="P8627">
        <v>16346</v>
      </c>
      <c r="Q8627" t="str">
        <f>"37.938607"</f>
        <v>37.938607</v>
      </c>
      <c r="R8627" t="str">
        <f>"23.744390"</f>
        <v>23.744390</v>
      </c>
      <c r="S8627" t="s">
        <v>26</v>
      </c>
    </row>
    <row r="8628" spans="1:19" x14ac:dyDescent="0.3">
      <c r="A8628" t="s">
        <v>3237</v>
      </c>
      <c r="B8628" t="s">
        <v>6738</v>
      </c>
      <c r="C8628" t="s">
        <v>7521</v>
      </c>
      <c r="D8628" t="s">
        <v>3238</v>
      </c>
      <c r="E8628" t="s">
        <v>3432</v>
      </c>
      <c r="F8628" t="s">
        <v>3432</v>
      </c>
      <c r="G8628" t="s">
        <v>3432</v>
      </c>
      <c r="H8628" t="s">
        <v>859</v>
      </c>
      <c r="I8628" t="s">
        <v>860</v>
      </c>
      <c r="J8628" t="str">
        <f>"9050896"</f>
        <v>9050896</v>
      </c>
      <c r="K8628">
        <v>2109927100</v>
      </c>
      <c r="L8628">
        <v>2109927100</v>
      </c>
      <c r="M8628" t="s">
        <v>7522</v>
      </c>
      <c r="N8628" t="s">
        <v>3437</v>
      </c>
      <c r="O8628" t="s">
        <v>7523</v>
      </c>
      <c r="P8628">
        <v>16345</v>
      </c>
      <c r="Q8628" t="str">
        <f>"37.938159"</f>
        <v>37.938159</v>
      </c>
      <c r="R8628" t="str">
        <f>"23.756900"</f>
        <v>23.756900</v>
      </c>
      <c r="S8628" t="s">
        <v>26</v>
      </c>
    </row>
    <row r="8629" spans="1:19" x14ac:dyDescent="0.3">
      <c r="A8629" t="s">
        <v>3237</v>
      </c>
      <c r="B8629" t="s">
        <v>6738</v>
      </c>
      <c r="C8629" t="s">
        <v>7524</v>
      </c>
      <c r="D8629" t="s">
        <v>3238</v>
      </c>
      <c r="E8629" t="s">
        <v>3432</v>
      </c>
      <c r="F8629" t="s">
        <v>3432</v>
      </c>
      <c r="G8629" t="s">
        <v>3432</v>
      </c>
      <c r="H8629" t="s">
        <v>859</v>
      </c>
      <c r="I8629" t="s">
        <v>860</v>
      </c>
      <c r="J8629" t="str">
        <f>"9050889"</f>
        <v>9050889</v>
      </c>
      <c r="K8629">
        <v>2109925787</v>
      </c>
      <c r="L8629">
        <v>2109925787</v>
      </c>
      <c r="M8629" t="s">
        <v>7525</v>
      </c>
      <c r="N8629" t="s">
        <v>3435</v>
      </c>
      <c r="O8629" t="s">
        <v>7526</v>
      </c>
      <c r="P8629">
        <v>16346</v>
      </c>
      <c r="Q8629" t="str">
        <f>"37.932403"</f>
        <v>37.932403</v>
      </c>
      <c r="R8629" t="str">
        <f>"23.753403"</f>
        <v>23.753403</v>
      </c>
      <c r="S8629" t="s">
        <v>26</v>
      </c>
    </row>
    <row r="8630" spans="1:19" x14ac:dyDescent="0.3">
      <c r="A8630" t="s">
        <v>3237</v>
      </c>
      <c r="B8630" t="s">
        <v>6738</v>
      </c>
      <c r="C8630" t="s">
        <v>7530</v>
      </c>
      <c r="D8630" t="s">
        <v>3238</v>
      </c>
      <c r="E8630" t="s">
        <v>3506</v>
      </c>
      <c r="F8630" t="s">
        <v>3506</v>
      </c>
      <c r="G8630" t="s">
        <v>3506</v>
      </c>
      <c r="H8630" t="s">
        <v>859</v>
      </c>
      <c r="I8630" t="s">
        <v>860</v>
      </c>
      <c r="J8630" t="str">
        <f>"9050118"</f>
        <v>9050118</v>
      </c>
      <c r="K8630">
        <v>2107659130</v>
      </c>
      <c r="L8630">
        <v>2107659130</v>
      </c>
      <c r="M8630" t="s">
        <v>7531</v>
      </c>
      <c r="N8630" t="s">
        <v>3363</v>
      </c>
      <c r="O8630" t="s">
        <v>7532</v>
      </c>
      <c r="P8630">
        <v>16233</v>
      </c>
      <c r="Q8630" t="str">
        <f>"37.944237"</f>
        <v>37.944237</v>
      </c>
      <c r="R8630" t="str">
        <f>"23.770000"</f>
        <v>23.770000</v>
      </c>
      <c r="S8630" t="s">
        <v>26</v>
      </c>
    </row>
    <row r="8631" spans="1:19" x14ac:dyDescent="0.3">
      <c r="A8631" t="s">
        <v>3237</v>
      </c>
      <c r="B8631" t="s">
        <v>6738</v>
      </c>
      <c r="C8631" t="s">
        <v>7533</v>
      </c>
      <c r="D8631" t="s">
        <v>3238</v>
      </c>
      <c r="E8631" t="s">
        <v>3239</v>
      </c>
      <c r="F8631" t="s">
        <v>3239</v>
      </c>
      <c r="G8631" t="s">
        <v>3340</v>
      </c>
      <c r="H8631" t="s">
        <v>859</v>
      </c>
      <c r="I8631" t="s">
        <v>860</v>
      </c>
      <c r="J8631" t="str">
        <f>"9520904"</f>
        <v>9520904</v>
      </c>
      <c r="K8631">
        <v>2107452028</v>
      </c>
      <c r="L8631">
        <v>2107717545</v>
      </c>
      <c r="M8631" t="s">
        <v>7534</v>
      </c>
      <c r="N8631" t="s">
        <v>3325</v>
      </c>
      <c r="O8631" t="s">
        <v>7535</v>
      </c>
      <c r="P8631">
        <v>11527</v>
      </c>
      <c r="Q8631" t="str">
        <f>"37.984247"</f>
        <v>37.984247</v>
      </c>
      <c r="R8631" t="str">
        <f>"23.767973"</f>
        <v>23.767973</v>
      </c>
      <c r="S8631" t="s">
        <v>26</v>
      </c>
    </row>
    <row r="8632" spans="1:19" x14ac:dyDescent="0.3">
      <c r="A8632" t="s">
        <v>3237</v>
      </c>
      <c r="B8632" t="s">
        <v>6738</v>
      </c>
      <c r="C8632" t="s">
        <v>7547</v>
      </c>
      <c r="D8632" t="s">
        <v>3238</v>
      </c>
      <c r="E8632" t="s">
        <v>3432</v>
      </c>
      <c r="F8632" t="s">
        <v>3432</v>
      </c>
      <c r="G8632" t="s">
        <v>3432</v>
      </c>
      <c r="H8632" t="s">
        <v>859</v>
      </c>
      <c r="I8632" t="s">
        <v>860</v>
      </c>
      <c r="J8632" t="str">
        <f>"9050735"</f>
        <v>9050735</v>
      </c>
      <c r="K8632">
        <v>2109706085</v>
      </c>
      <c r="L8632">
        <v>2109706085</v>
      </c>
      <c r="M8632" t="s">
        <v>7548</v>
      </c>
      <c r="N8632" t="s">
        <v>3437</v>
      </c>
      <c r="O8632" t="s">
        <v>7549</v>
      </c>
      <c r="P8632">
        <v>16345</v>
      </c>
      <c r="Q8632" t="str">
        <f>"37.941721"</f>
        <v>37.941721</v>
      </c>
      <c r="R8632" t="str">
        <f>"23.759576"</f>
        <v>23.759576</v>
      </c>
      <c r="S8632" t="s">
        <v>26</v>
      </c>
    </row>
    <row r="8633" spans="1:19" x14ac:dyDescent="0.3">
      <c r="A8633" t="s">
        <v>3237</v>
      </c>
      <c r="B8633" t="s">
        <v>6738</v>
      </c>
      <c r="C8633" t="s">
        <v>7550</v>
      </c>
      <c r="D8633" t="s">
        <v>3238</v>
      </c>
      <c r="E8633" t="s">
        <v>3432</v>
      </c>
      <c r="F8633" t="s">
        <v>3432</v>
      </c>
      <c r="G8633" t="s">
        <v>3432</v>
      </c>
      <c r="H8633" t="s">
        <v>859</v>
      </c>
      <c r="I8633" t="s">
        <v>860</v>
      </c>
      <c r="J8633" t="str">
        <f>"9051399"</f>
        <v>9051399</v>
      </c>
      <c r="K8633">
        <v>2109912574</v>
      </c>
      <c r="L8633">
        <v>2109912574</v>
      </c>
      <c r="M8633" t="s">
        <v>7551</v>
      </c>
      <c r="N8633" t="s">
        <v>3437</v>
      </c>
      <c r="O8633" t="s">
        <v>7552</v>
      </c>
      <c r="P8633">
        <v>16342</v>
      </c>
      <c r="Q8633" t="str">
        <f>"37.919823"</f>
        <v>37.919823</v>
      </c>
      <c r="R8633" t="str">
        <f>"23.755824"</f>
        <v>23.755824</v>
      </c>
      <c r="S8633" t="s">
        <v>26</v>
      </c>
    </row>
    <row r="8634" spans="1:19" x14ac:dyDescent="0.3">
      <c r="A8634" t="s">
        <v>3237</v>
      </c>
      <c r="B8634" t="s">
        <v>6738</v>
      </c>
      <c r="C8634" t="s">
        <v>7558</v>
      </c>
      <c r="D8634" t="s">
        <v>3238</v>
      </c>
      <c r="E8634" t="s">
        <v>3506</v>
      </c>
      <c r="F8634" t="s">
        <v>3506</v>
      </c>
      <c r="G8634" t="s">
        <v>3506</v>
      </c>
      <c r="H8634" t="s">
        <v>859</v>
      </c>
      <c r="I8634" t="s">
        <v>860</v>
      </c>
      <c r="J8634" t="str">
        <f>"9050728"</f>
        <v>9050728</v>
      </c>
      <c r="K8634">
        <v>2107666966</v>
      </c>
      <c r="M8634" t="s">
        <v>7559</v>
      </c>
      <c r="N8634" t="s">
        <v>3363</v>
      </c>
      <c r="O8634" t="s">
        <v>6975</v>
      </c>
      <c r="P8634">
        <v>16231</v>
      </c>
      <c r="Q8634" t="str">
        <f>"37.957729"</f>
        <v>37.957729</v>
      </c>
      <c r="R8634" t="str">
        <f>"23.762100"</f>
        <v>23.762100</v>
      </c>
      <c r="S8634" t="s">
        <v>26</v>
      </c>
    </row>
    <row r="8635" spans="1:19" x14ac:dyDescent="0.3">
      <c r="A8635" t="s">
        <v>3237</v>
      </c>
      <c r="B8635" t="s">
        <v>6738</v>
      </c>
      <c r="C8635" t="s">
        <v>7577</v>
      </c>
      <c r="D8635" t="s">
        <v>3238</v>
      </c>
      <c r="E8635" t="s">
        <v>3239</v>
      </c>
      <c r="F8635" t="s">
        <v>3239</v>
      </c>
      <c r="G8635" t="s">
        <v>3340</v>
      </c>
      <c r="H8635" t="s">
        <v>859</v>
      </c>
      <c r="I8635" t="s">
        <v>860</v>
      </c>
      <c r="J8635" t="str">
        <f>"9050691"</f>
        <v>9050691</v>
      </c>
      <c r="K8635">
        <v>2106923372</v>
      </c>
      <c r="L8635">
        <v>2106923372</v>
      </c>
      <c r="M8635" t="s">
        <v>7578</v>
      </c>
      <c r="N8635" t="s">
        <v>3325</v>
      </c>
      <c r="O8635" t="s">
        <v>7579</v>
      </c>
      <c r="P8635">
        <v>11524</v>
      </c>
      <c r="Q8635" t="str">
        <f>"37.995679"</f>
        <v>37.995679</v>
      </c>
      <c r="R8635" t="str">
        <f>"23.764436"</f>
        <v>23.764436</v>
      </c>
      <c r="S8635" t="s">
        <v>26</v>
      </c>
    </row>
    <row r="8636" spans="1:19" x14ac:dyDescent="0.3">
      <c r="A8636" t="s">
        <v>3237</v>
      </c>
      <c r="B8636" t="s">
        <v>6738</v>
      </c>
      <c r="C8636" t="s">
        <v>7587</v>
      </c>
      <c r="D8636" t="s">
        <v>3238</v>
      </c>
      <c r="E8636" t="s">
        <v>3239</v>
      </c>
      <c r="F8636" t="s">
        <v>3239</v>
      </c>
      <c r="G8636" t="s">
        <v>3340</v>
      </c>
      <c r="H8636" t="s">
        <v>859</v>
      </c>
      <c r="I8636" t="s">
        <v>860</v>
      </c>
      <c r="J8636" t="str">
        <f>"9051284"</f>
        <v>9051284</v>
      </c>
      <c r="K8636">
        <v>2106923372</v>
      </c>
      <c r="L8636">
        <v>2106923372</v>
      </c>
      <c r="M8636" t="s">
        <v>7588</v>
      </c>
      <c r="N8636" t="s">
        <v>3284</v>
      </c>
      <c r="O8636" t="s">
        <v>7589</v>
      </c>
      <c r="P8636">
        <v>11524</v>
      </c>
      <c r="Q8636" t="str">
        <f>"37.995434"</f>
        <v>37.995434</v>
      </c>
      <c r="R8636" t="str">
        <f>"23.765048"</f>
        <v>23.765048</v>
      </c>
      <c r="S8636" t="s">
        <v>26</v>
      </c>
    </row>
    <row r="8637" spans="1:19" x14ac:dyDescent="0.3">
      <c r="A8637" t="s">
        <v>3237</v>
      </c>
      <c r="B8637" t="s">
        <v>6738</v>
      </c>
      <c r="C8637" t="s">
        <v>7607</v>
      </c>
      <c r="D8637" t="s">
        <v>3238</v>
      </c>
      <c r="E8637" t="s">
        <v>3239</v>
      </c>
      <c r="F8637" t="s">
        <v>3239</v>
      </c>
      <c r="G8637" t="s">
        <v>3340</v>
      </c>
      <c r="H8637" t="s">
        <v>859</v>
      </c>
      <c r="I8637" t="s">
        <v>860</v>
      </c>
      <c r="J8637" t="str">
        <f>"9051441"</f>
        <v>9051441</v>
      </c>
      <c r="K8637">
        <v>2106469454</v>
      </c>
      <c r="L8637">
        <v>2111828295</v>
      </c>
      <c r="M8637" t="s">
        <v>7608</v>
      </c>
      <c r="N8637" t="s">
        <v>3325</v>
      </c>
      <c r="O8637" t="s">
        <v>7609</v>
      </c>
      <c r="P8637">
        <v>11476</v>
      </c>
      <c r="Q8637" t="str">
        <f>"37.996989"</f>
        <v>37.996989</v>
      </c>
      <c r="R8637" t="str">
        <f>"23.753942"</f>
        <v>23.753942</v>
      </c>
      <c r="S8637" t="s">
        <v>26</v>
      </c>
    </row>
    <row r="8638" spans="1:19" x14ac:dyDescent="0.3">
      <c r="A8638" t="s">
        <v>3237</v>
      </c>
      <c r="B8638" t="s">
        <v>6738</v>
      </c>
      <c r="C8638" t="s">
        <v>7610</v>
      </c>
      <c r="D8638" t="s">
        <v>3238</v>
      </c>
      <c r="E8638" t="s">
        <v>3239</v>
      </c>
      <c r="F8638" t="s">
        <v>3239</v>
      </c>
      <c r="G8638" t="s">
        <v>3382</v>
      </c>
      <c r="H8638" t="s">
        <v>859</v>
      </c>
      <c r="I8638" t="s">
        <v>860</v>
      </c>
      <c r="J8638" t="str">
        <f>"9051906"</f>
        <v>9051906</v>
      </c>
      <c r="K8638">
        <v>2105136352</v>
      </c>
      <c r="L8638">
        <v>2105136352</v>
      </c>
      <c r="M8638" t="s">
        <v>7611</v>
      </c>
      <c r="N8638" t="s">
        <v>3325</v>
      </c>
      <c r="O8638" t="s">
        <v>7612</v>
      </c>
      <c r="P8638">
        <v>10443</v>
      </c>
      <c r="Q8638" t="str">
        <f>"38.001229"</f>
        <v>38.001229</v>
      </c>
      <c r="R8638" t="str">
        <f>"23.711023"</f>
        <v>23.711023</v>
      </c>
      <c r="S8638" t="s">
        <v>26</v>
      </c>
    </row>
    <row r="8639" spans="1:19" x14ac:dyDescent="0.3">
      <c r="A8639" t="s">
        <v>3237</v>
      </c>
      <c r="B8639" t="s">
        <v>6738</v>
      </c>
      <c r="C8639" t="s">
        <v>7615</v>
      </c>
      <c r="D8639" t="s">
        <v>3238</v>
      </c>
      <c r="E8639" t="s">
        <v>3239</v>
      </c>
      <c r="F8639" t="s">
        <v>3239</v>
      </c>
      <c r="G8639" t="s">
        <v>3312</v>
      </c>
      <c r="H8639" t="s">
        <v>859</v>
      </c>
      <c r="I8639" t="s">
        <v>860</v>
      </c>
      <c r="J8639" t="str">
        <f>"9051012"</f>
        <v>9051012</v>
      </c>
      <c r="K8639">
        <v>2108818873</v>
      </c>
      <c r="L8639">
        <v>2108227317</v>
      </c>
      <c r="M8639" t="s">
        <v>7616</v>
      </c>
      <c r="N8639" t="s">
        <v>3325</v>
      </c>
      <c r="O8639" t="s">
        <v>7617</v>
      </c>
      <c r="P8639">
        <v>11251</v>
      </c>
      <c r="Q8639" t="str">
        <f>"37.998200"</f>
        <v>37.998200</v>
      </c>
      <c r="R8639" t="str">
        <f>"23.728177"</f>
        <v>23.728177</v>
      </c>
      <c r="S8639" t="s">
        <v>26</v>
      </c>
    </row>
    <row r="8640" spans="1:19" x14ac:dyDescent="0.3">
      <c r="A8640" t="s">
        <v>3237</v>
      </c>
      <c r="B8640" t="s">
        <v>6738</v>
      </c>
      <c r="C8640" t="s">
        <v>7618</v>
      </c>
      <c r="D8640" t="s">
        <v>3238</v>
      </c>
      <c r="E8640" t="s">
        <v>3239</v>
      </c>
      <c r="F8640" t="s">
        <v>3239</v>
      </c>
      <c r="G8640" t="s">
        <v>3312</v>
      </c>
      <c r="H8640" t="s">
        <v>859</v>
      </c>
      <c r="I8640" t="s">
        <v>860</v>
      </c>
      <c r="J8640" t="str">
        <f>"9050778"</f>
        <v>9050778</v>
      </c>
      <c r="K8640">
        <v>2108816344</v>
      </c>
      <c r="L8640">
        <v>2108816344</v>
      </c>
      <c r="M8640" t="s">
        <v>7619</v>
      </c>
      <c r="N8640" t="s">
        <v>3325</v>
      </c>
      <c r="O8640" t="s">
        <v>7396</v>
      </c>
      <c r="P8640">
        <v>11251</v>
      </c>
      <c r="Q8640" t="str">
        <f>"37.998286"</f>
        <v>37.998286</v>
      </c>
      <c r="R8640" t="str">
        <f>"23.728420"</f>
        <v>23.728420</v>
      </c>
      <c r="S8640" t="s">
        <v>26</v>
      </c>
    </row>
    <row r="8641" spans="1:19" x14ac:dyDescent="0.3">
      <c r="A8641" t="s">
        <v>3237</v>
      </c>
      <c r="B8641" t="s">
        <v>6738</v>
      </c>
      <c r="C8641" t="s">
        <v>7632</v>
      </c>
      <c r="D8641" t="s">
        <v>3238</v>
      </c>
      <c r="E8641" t="s">
        <v>3239</v>
      </c>
      <c r="F8641" t="s">
        <v>3239</v>
      </c>
      <c r="G8641" t="s">
        <v>3281</v>
      </c>
      <c r="H8641" t="s">
        <v>859</v>
      </c>
      <c r="I8641" t="s">
        <v>860</v>
      </c>
      <c r="J8641" t="str">
        <f>"9051185"</f>
        <v>9051185</v>
      </c>
      <c r="K8641">
        <v>2109023288</v>
      </c>
      <c r="M8641" t="s">
        <v>7633</v>
      </c>
      <c r="N8641" t="s">
        <v>3284</v>
      </c>
      <c r="O8641" t="s">
        <v>6984</v>
      </c>
      <c r="P8641">
        <v>11743</v>
      </c>
      <c r="Q8641" t="str">
        <f>"37.957795"</f>
        <v>37.957795</v>
      </c>
      <c r="R8641" t="str">
        <f>"23.731688"</f>
        <v>23.731688</v>
      </c>
      <c r="S8641" t="s">
        <v>26</v>
      </c>
    </row>
    <row r="8642" spans="1:19" x14ac:dyDescent="0.3">
      <c r="A8642" t="s">
        <v>3237</v>
      </c>
      <c r="B8642" t="s">
        <v>6738</v>
      </c>
      <c r="C8642" t="s">
        <v>7637</v>
      </c>
      <c r="D8642" t="s">
        <v>3238</v>
      </c>
      <c r="E8642" t="s">
        <v>3239</v>
      </c>
      <c r="F8642" t="s">
        <v>3239</v>
      </c>
      <c r="G8642" t="s">
        <v>3312</v>
      </c>
      <c r="H8642" t="s">
        <v>859</v>
      </c>
      <c r="I8642" t="s">
        <v>860</v>
      </c>
      <c r="J8642" t="str">
        <f>"9051440"</f>
        <v>9051440</v>
      </c>
      <c r="K8642">
        <v>2108651805</v>
      </c>
      <c r="M8642" t="s">
        <v>7638</v>
      </c>
      <c r="N8642" t="s">
        <v>3446</v>
      </c>
      <c r="O8642" t="s">
        <v>7529</v>
      </c>
      <c r="P8642">
        <v>11146</v>
      </c>
      <c r="Q8642" t="str">
        <f>"38.008090"</f>
        <v>38.008090</v>
      </c>
      <c r="R8642" t="str">
        <f>"23.745202"</f>
        <v>23.745202</v>
      </c>
      <c r="S8642" t="s">
        <v>26</v>
      </c>
    </row>
    <row r="8643" spans="1:19" x14ac:dyDescent="0.3">
      <c r="A8643" t="s">
        <v>3237</v>
      </c>
      <c r="B8643" t="s">
        <v>6738</v>
      </c>
      <c r="C8643" t="s">
        <v>7652</v>
      </c>
      <c r="D8643" t="s">
        <v>3238</v>
      </c>
      <c r="E8643" t="s">
        <v>3239</v>
      </c>
      <c r="F8643" t="s">
        <v>3239</v>
      </c>
      <c r="G8643" t="s">
        <v>3281</v>
      </c>
      <c r="H8643" t="s">
        <v>859</v>
      </c>
      <c r="I8643" t="s">
        <v>860</v>
      </c>
      <c r="J8643" t="str">
        <f>"9051556"</f>
        <v>9051556</v>
      </c>
      <c r="K8643">
        <v>2107518390</v>
      </c>
      <c r="L8643">
        <v>2107518390</v>
      </c>
      <c r="M8643" t="s">
        <v>7653</v>
      </c>
      <c r="N8643" t="s">
        <v>3284</v>
      </c>
      <c r="O8643" t="s">
        <v>7654</v>
      </c>
      <c r="P8643">
        <v>11632</v>
      </c>
      <c r="Q8643" t="str">
        <f>"37.961900"</f>
        <v>37.961900</v>
      </c>
      <c r="R8643" t="str">
        <f>"23.741917"</f>
        <v>23.741917</v>
      </c>
      <c r="S8643" t="s">
        <v>26</v>
      </c>
    </row>
    <row r="8644" spans="1:19" x14ac:dyDescent="0.3">
      <c r="A8644" t="s">
        <v>3237</v>
      </c>
      <c r="B8644" t="s">
        <v>6738</v>
      </c>
      <c r="C8644" t="s">
        <v>7666</v>
      </c>
      <c r="D8644" t="s">
        <v>3238</v>
      </c>
      <c r="E8644" t="s">
        <v>3239</v>
      </c>
      <c r="F8644" t="s">
        <v>3239</v>
      </c>
      <c r="G8644" t="s">
        <v>3281</v>
      </c>
      <c r="H8644" t="s">
        <v>859</v>
      </c>
      <c r="I8644" t="s">
        <v>860</v>
      </c>
      <c r="J8644" t="str">
        <f>"9050729"</f>
        <v>9050729</v>
      </c>
      <c r="K8644">
        <v>2107518390</v>
      </c>
      <c r="L8644">
        <v>2107518390</v>
      </c>
      <c r="M8644" t="s">
        <v>7667</v>
      </c>
      <c r="N8644" t="s">
        <v>3284</v>
      </c>
      <c r="O8644" t="s">
        <v>7654</v>
      </c>
      <c r="P8644">
        <v>11632</v>
      </c>
      <c r="Q8644" t="str">
        <f>"37.962060"</f>
        <v>37.962060</v>
      </c>
      <c r="R8644" t="str">
        <f>"23.741957"</f>
        <v>23.741957</v>
      </c>
      <c r="S8644" t="s">
        <v>26</v>
      </c>
    </row>
    <row r="8645" spans="1:19" x14ac:dyDescent="0.3">
      <c r="A8645" t="s">
        <v>3237</v>
      </c>
      <c r="B8645" t="s">
        <v>6738</v>
      </c>
      <c r="C8645" t="s">
        <v>7668</v>
      </c>
      <c r="D8645" t="s">
        <v>3238</v>
      </c>
      <c r="E8645" t="s">
        <v>3239</v>
      </c>
      <c r="F8645" t="s">
        <v>3239</v>
      </c>
      <c r="G8645" t="s">
        <v>3340</v>
      </c>
      <c r="H8645" t="s">
        <v>859</v>
      </c>
      <c r="I8645" t="s">
        <v>860</v>
      </c>
      <c r="J8645" t="str">
        <f>"9050534"</f>
        <v>9050534</v>
      </c>
      <c r="K8645">
        <v>2111828295</v>
      </c>
      <c r="L8645">
        <v>2111828295</v>
      </c>
      <c r="M8645" t="s">
        <v>7669</v>
      </c>
      <c r="N8645" t="s">
        <v>3461</v>
      </c>
      <c r="O8645" t="s">
        <v>7670</v>
      </c>
      <c r="P8645">
        <v>11476</v>
      </c>
      <c r="Q8645" t="str">
        <f>"37.996300"</f>
        <v>37.996300</v>
      </c>
      <c r="R8645" t="str">
        <f>"23.753448"</f>
        <v>23.753448</v>
      </c>
      <c r="S8645" t="s">
        <v>26</v>
      </c>
    </row>
    <row r="8646" spans="1:19" x14ac:dyDescent="0.3">
      <c r="A8646" t="s">
        <v>3237</v>
      </c>
      <c r="B8646" t="s">
        <v>6738</v>
      </c>
      <c r="C8646" t="s">
        <v>7673</v>
      </c>
      <c r="D8646" t="s">
        <v>3238</v>
      </c>
      <c r="E8646" t="s">
        <v>3239</v>
      </c>
      <c r="F8646" t="s">
        <v>3239</v>
      </c>
      <c r="G8646" t="s">
        <v>3281</v>
      </c>
      <c r="H8646" t="s">
        <v>859</v>
      </c>
      <c r="I8646" t="s">
        <v>860</v>
      </c>
      <c r="J8646" t="str">
        <f>"9050726"</f>
        <v>9050726</v>
      </c>
      <c r="K8646">
        <v>2107012278</v>
      </c>
      <c r="L8646">
        <v>2107520619</v>
      </c>
      <c r="M8646" t="s">
        <v>7674</v>
      </c>
      <c r="N8646" t="s">
        <v>3284</v>
      </c>
      <c r="O8646" t="s">
        <v>7675</v>
      </c>
      <c r="P8646">
        <v>11636</v>
      </c>
      <c r="Q8646" t="str">
        <f>"37.964482"</f>
        <v>37.964482</v>
      </c>
      <c r="R8646" t="str">
        <f>"23.740463"</f>
        <v>23.740463</v>
      </c>
      <c r="S8646" t="s">
        <v>26</v>
      </c>
    </row>
    <row r="8647" spans="1:19" x14ac:dyDescent="0.3">
      <c r="A8647" t="s">
        <v>3237</v>
      </c>
      <c r="B8647" t="s">
        <v>6738</v>
      </c>
      <c r="C8647" t="s">
        <v>7684</v>
      </c>
      <c r="D8647" t="s">
        <v>3238</v>
      </c>
      <c r="E8647" t="s">
        <v>3239</v>
      </c>
      <c r="F8647" t="s">
        <v>3239</v>
      </c>
      <c r="G8647" t="s">
        <v>3281</v>
      </c>
      <c r="H8647" t="s">
        <v>859</v>
      </c>
      <c r="I8647" t="s">
        <v>860</v>
      </c>
      <c r="J8647" t="str">
        <f>"9050727"</f>
        <v>9050727</v>
      </c>
      <c r="K8647">
        <v>2107520619</v>
      </c>
      <c r="L8647">
        <v>2107520619</v>
      </c>
      <c r="M8647" t="s">
        <v>7685</v>
      </c>
      <c r="N8647" t="s">
        <v>3284</v>
      </c>
      <c r="O8647" t="s">
        <v>7675</v>
      </c>
      <c r="P8647">
        <v>11636</v>
      </c>
      <c r="Q8647" t="str">
        <f>"37.964481"</f>
        <v>37.964481</v>
      </c>
      <c r="R8647" t="str">
        <f>"23.740452"</f>
        <v>23.740452</v>
      </c>
      <c r="S8647" t="s">
        <v>26</v>
      </c>
    </row>
    <row r="8648" spans="1:19" x14ac:dyDescent="0.3">
      <c r="A8648" t="s">
        <v>3237</v>
      </c>
      <c r="B8648" t="s">
        <v>6738</v>
      </c>
      <c r="C8648" t="s">
        <v>7688</v>
      </c>
      <c r="D8648" t="s">
        <v>3238</v>
      </c>
      <c r="E8648" t="s">
        <v>3239</v>
      </c>
      <c r="F8648" t="s">
        <v>3239</v>
      </c>
      <c r="G8648" t="s">
        <v>3281</v>
      </c>
      <c r="H8648" t="s">
        <v>859</v>
      </c>
      <c r="I8648" t="s">
        <v>860</v>
      </c>
      <c r="J8648" t="str">
        <f>"9051007"</f>
        <v>9051007</v>
      </c>
      <c r="K8648">
        <v>2109022546</v>
      </c>
      <c r="L8648">
        <v>2109022546</v>
      </c>
      <c r="M8648" t="s">
        <v>7689</v>
      </c>
      <c r="N8648" t="s">
        <v>3284</v>
      </c>
      <c r="O8648" t="s">
        <v>7416</v>
      </c>
      <c r="P8648">
        <v>11745</v>
      </c>
      <c r="Q8648" t="str">
        <f>"37.956689"</f>
        <v>37.956689</v>
      </c>
      <c r="R8648" t="str">
        <f>"23.724127"</f>
        <v>23.724127</v>
      </c>
      <c r="S8648" t="s">
        <v>26</v>
      </c>
    </row>
    <row r="8649" spans="1:19" x14ac:dyDescent="0.3">
      <c r="A8649" t="s">
        <v>3237</v>
      </c>
      <c r="B8649" t="s">
        <v>6738</v>
      </c>
      <c r="C8649" t="s">
        <v>7699</v>
      </c>
      <c r="D8649" t="s">
        <v>3238</v>
      </c>
      <c r="E8649" t="s">
        <v>3239</v>
      </c>
      <c r="F8649" t="s">
        <v>3239</v>
      </c>
      <c r="G8649" t="s">
        <v>3281</v>
      </c>
      <c r="H8649" t="s">
        <v>859</v>
      </c>
      <c r="I8649" t="s">
        <v>860</v>
      </c>
      <c r="J8649" t="str">
        <f>"9051019"</f>
        <v>9051019</v>
      </c>
      <c r="K8649">
        <v>2109011286</v>
      </c>
      <c r="L8649">
        <v>2109011286</v>
      </c>
      <c r="M8649" t="s">
        <v>7700</v>
      </c>
      <c r="N8649" t="s">
        <v>3284</v>
      </c>
      <c r="O8649" t="s">
        <v>7103</v>
      </c>
      <c r="P8649">
        <v>11745</v>
      </c>
      <c r="Q8649" t="str">
        <f>"37.952962"</f>
        <v>37.952962</v>
      </c>
      <c r="R8649" t="str">
        <f>"23.721867"</f>
        <v>23.721867</v>
      </c>
      <c r="S8649" t="s">
        <v>26</v>
      </c>
    </row>
    <row r="8650" spans="1:19" x14ac:dyDescent="0.3">
      <c r="A8650" t="s">
        <v>3237</v>
      </c>
      <c r="B8650" t="s">
        <v>6738</v>
      </c>
      <c r="C8650" t="s">
        <v>7705</v>
      </c>
      <c r="D8650" t="s">
        <v>3238</v>
      </c>
      <c r="E8650" t="s">
        <v>3404</v>
      </c>
      <c r="F8650" t="s">
        <v>3405</v>
      </c>
      <c r="G8650" t="s">
        <v>3405</v>
      </c>
      <c r="H8650" t="s">
        <v>859</v>
      </c>
      <c r="I8650" t="s">
        <v>860</v>
      </c>
      <c r="J8650" t="str">
        <f>"9050460"</f>
        <v>9050460</v>
      </c>
      <c r="K8650">
        <v>2102519004</v>
      </c>
      <c r="L8650">
        <v>2102519004</v>
      </c>
      <c r="M8650" t="s">
        <v>7706</v>
      </c>
      <c r="N8650" t="s">
        <v>3570</v>
      </c>
      <c r="O8650" t="s">
        <v>7707</v>
      </c>
      <c r="P8650">
        <v>14341</v>
      </c>
      <c r="Q8650" t="str">
        <f>"38.033916"</f>
        <v>38.033916</v>
      </c>
      <c r="R8650" t="str">
        <f>"23.737403"</f>
        <v>23.737403</v>
      </c>
      <c r="S8650" t="s">
        <v>26</v>
      </c>
    </row>
    <row r="8651" spans="1:19" x14ac:dyDescent="0.3">
      <c r="A8651" t="s">
        <v>3237</v>
      </c>
      <c r="B8651" t="s">
        <v>6738</v>
      </c>
      <c r="C8651" t="s">
        <v>7708</v>
      </c>
      <c r="D8651" t="s">
        <v>3238</v>
      </c>
      <c r="E8651" t="s">
        <v>3239</v>
      </c>
      <c r="F8651" t="s">
        <v>3239</v>
      </c>
      <c r="G8651" t="s">
        <v>3346</v>
      </c>
      <c r="H8651" t="s">
        <v>859</v>
      </c>
      <c r="I8651" t="s">
        <v>860</v>
      </c>
      <c r="J8651" t="str">
        <f>"9050452"</f>
        <v>9050452</v>
      </c>
      <c r="K8651">
        <v>2102523300</v>
      </c>
      <c r="L8651">
        <v>2102523300</v>
      </c>
      <c r="M8651" t="s">
        <v>7709</v>
      </c>
      <c r="N8651" t="s">
        <v>3325</v>
      </c>
      <c r="O8651" t="s">
        <v>7710</v>
      </c>
      <c r="P8651">
        <v>11143</v>
      </c>
      <c r="Q8651" t="str">
        <f>"38.029152"</f>
        <v>38.029152</v>
      </c>
      <c r="R8651" t="str">
        <f>"23.739025"</f>
        <v>23.739025</v>
      </c>
      <c r="S8651" t="s">
        <v>26</v>
      </c>
    </row>
    <row r="8652" spans="1:19" x14ac:dyDescent="0.3">
      <c r="A8652" t="s">
        <v>3237</v>
      </c>
      <c r="B8652" t="s">
        <v>6738</v>
      </c>
      <c r="C8652" t="s">
        <v>7711</v>
      </c>
      <c r="D8652" t="s">
        <v>3238</v>
      </c>
      <c r="E8652" t="s">
        <v>3239</v>
      </c>
      <c r="F8652" t="s">
        <v>3239</v>
      </c>
      <c r="G8652" t="s">
        <v>3346</v>
      </c>
      <c r="H8652" t="s">
        <v>859</v>
      </c>
      <c r="I8652" t="s">
        <v>860</v>
      </c>
      <c r="J8652" t="str">
        <f>"9051199"</f>
        <v>9051199</v>
      </c>
      <c r="K8652">
        <v>2102283179</v>
      </c>
      <c r="L8652">
        <v>2102283179</v>
      </c>
      <c r="M8652" t="s">
        <v>7712</v>
      </c>
      <c r="N8652" t="s">
        <v>3325</v>
      </c>
      <c r="O8652" t="s">
        <v>7713</v>
      </c>
      <c r="P8652">
        <v>11144</v>
      </c>
      <c r="Q8652" t="str">
        <f>"38.017497"</f>
        <v>38.017497</v>
      </c>
      <c r="R8652" t="str">
        <f>"23.734480"</f>
        <v>23.734480</v>
      </c>
      <c r="S8652" t="s">
        <v>26</v>
      </c>
    </row>
    <row r="8653" spans="1:19" x14ac:dyDescent="0.3">
      <c r="A8653" t="s">
        <v>3237</v>
      </c>
      <c r="B8653" t="s">
        <v>6738</v>
      </c>
      <c r="C8653" t="s">
        <v>7714</v>
      </c>
      <c r="D8653" t="s">
        <v>3238</v>
      </c>
      <c r="E8653" t="s">
        <v>3239</v>
      </c>
      <c r="F8653" t="s">
        <v>3239</v>
      </c>
      <c r="G8653" t="s">
        <v>3312</v>
      </c>
      <c r="H8653" t="s">
        <v>859</v>
      </c>
      <c r="I8653" t="s">
        <v>860</v>
      </c>
      <c r="J8653" t="str">
        <f>"9051288"</f>
        <v>9051288</v>
      </c>
      <c r="K8653">
        <v>2102282317</v>
      </c>
      <c r="L8653">
        <v>2102282317</v>
      </c>
      <c r="M8653" t="s">
        <v>7715</v>
      </c>
      <c r="N8653" t="s">
        <v>3325</v>
      </c>
      <c r="O8653" t="s">
        <v>3687</v>
      </c>
      <c r="P8653">
        <v>11255</v>
      </c>
      <c r="Q8653" t="str">
        <f>"38.012232"</f>
        <v>38.012232</v>
      </c>
      <c r="R8653" t="str">
        <f>"23.739412"</f>
        <v>23.739412</v>
      </c>
      <c r="S8653" t="s">
        <v>26</v>
      </c>
    </row>
    <row r="8654" spans="1:19" x14ac:dyDescent="0.3">
      <c r="A8654" t="s">
        <v>3237</v>
      </c>
      <c r="B8654" t="s">
        <v>6738</v>
      </c>
      <c r="C8654" t="s">
        <v>7719</v>
      </c>
      <c r="D8654" t="s">
        <v>3238</v>
      </c>
      <c r="E8654" t="s">
        <v>3239</v>
      </c>
      <c r="F8654" t="s">
        <v>3239</v>
      </c>
      <c r="G8654" t="s">
        <v>3346</v>
      </c>
      <c r="H8654" t="s">
        <v>859</v>
      </c>
      <c r="I8654" t="s">
        <v>860</v>
      </c>
      <c r="J8654" t="str">
        <f>"9051398"</f>
        <v>9051398</v>
      </c>
      <c r="K8654">
        <v>2102281851</v>
      </c>
      <c r="L8654">
        <v>2102281851</v>
      </c>
      <c r="M8654" t="s">
        <v>7720</v>
      </c>
      <c r="N8654" t="s">
        <v>3325</v>
      </c>
      <c r="O8654" t="s">
        <v>7721</v>
      </c>
      <c r="P8654">
        <v>11141</v>
      </c>
      <c r="Q8654" t="str">
        <f>"38.017210"</f>
        <v>38.017210</v>
      </c>
      <c r="R8654" t="str">
        <f>"23.735990"</f>
        <v>23.735990</v>
      </c>
      <c r="S8654" t="s">
        <v>26</v>
      </c>
    </row>
    <row r="8655" spans="1:19" x14ac:dyDescent="0.3">
      <c r="A8655" t="s">
        <v>3237</v>
      </c>
      <c r="B8655" t="s">
        <v>6738</v>
      </c>
      <c r="C8655" t="s">
        <v>7722</v>
      </c>
      <c r="D8655" t="s">
        <v>3238</v>
      </c>
      <c r="E8655" t="s">
        <v>3239</v>
      </c>
      <c r="F8655" t="s">
        <v>3239</v>
      </c>
      <c r="G8655" t="s">
        <v>3346</v>
      </c>
      <c r="H8655" t="s">
        <v>859</v>
      </c>
      <c r="I8655" t="s">
        <v>860</v>
      </c>
      <c r="J8655" t="str">
        <f>"9051494"</f>
        <v>9051494</v>
      </c>
      <c r="K8655">
        <v>2108314213</v>
      </c>
      <c r="M8655" t="s">
        <v>7723</v>
      </c>
      <c r="N8655" t="s">
        <v>3325</v>
      </c>
      <c r="O8655" t="s">
        <v>7631</v>
      </c>
      <c r="P8655">
        <v>11145</v>
      </c>
      <c r="Q8655" t="str">
        <f>"38.016532"</f>
        <v>38.016532</v>
      </c>
      <c r="R8655" t="str">
        <f>"23.723532"</f>
        <v>23.723532</v>
      </c>
      <c r="S8655" t="s">
        <v>26</v>
      </c>
    </row>
    <row r="8656" spans="1:19" x14ac:dyDescent="0.3">
      <c r="A8656" t="s">
        <v>3237</v>
      </c>
      <c r="B8656" t="s">
        <v>6738</v>
      </c>
      <c r="C8656" t="s">
        <v>7724</v>
      </c>
      <c r="D8656" t="s">
        <v>3238</v>
      </c>
      <c r="E8656" t="s">
        <v>3239</v>
      </c>
      <c r="F8656" t="s">
        <v>3239</v>
      </c>
      <c r="G8656" t="s">
        <v>3346</v>
      </c>
      <c r="H8656" t="s">
        <v>859</v>
      </c>
      <c r="I8656" t="s">
        <v>860</v>
      </c>
      <c r="J8656" t="str">
        <f>"9051572"</f>
        <v>9051572</v>
      </c>
      <c r="K8656">
        <v>2102131386</v>
      </c>
      <c r="L8656">
        <v>2102131386</v>
      </c>
      <c r="M8656" t="s">
        <v>7725</v>
      </c>
      <c r="N8656" t="s">
        <v>3325</v>
      </c>
      <c r="O8656" t="s">
        <v>7726</v>
      </c>
      <c r="P8656">
        <v>11142</v>
      </c>
      <c r="Q8656" t="str">
        <f>"38.024596"</f>
        <v>38.024596</v>
      </c>
      <c r="R8656" t="str">
        <f>"23.746202"</f>
        <v>23.746202</v>
      </c>
      <c r="S8656" t="s">
        <v>26</v>
      </c>
    </row>
    <row r="8657" spans="1:19" x14ac:dyDescent="0.3">
      <c r="A8657" t="s">
        <v>3237</v>
      </c>
      <c r="B8657" t="s">
        <v>6738</v>
      </c>
      <c r="C8657" t="s">
        <v>7730</v>
      </c>
      <c r="D8657" t="s">
        <v>3238</v>
      </c>
      <c r="E8657" t="s">
        <v>3239</v>
      </c>
      <c r="F8657" t="s">
        <v>3239</v>
      </c>
      <c r="G8657" t="s">
        <v>3346</v>
      </c>
      <c r="H8657" t="s">
        <v>859</v>
      </c>
      <c r="I8657" t="s">
        <v>860</v>
      </c>
      <c r="J8657" t="str">
        <f>"9051767"</f>
        <v>9051767</v>
      </c>
      <c r="K8657">
        <v>2102581072</v>
      </c>
      <c r="L8657">
        <v>2102581072</v>
      </c>
      <c r="M8657" t="s">
        <v>7731</v>
      </c>
      <c r="N8657" t="s">
        <v>3325</v>
      </c>
      <c r="O8657" t="s">
        <v>7732</v>
      </c>
      <c r="P8657">
        <v>11142</v>
      </c>
      <c r="Q8657" t="str">
        <f>"38.028894"</f>
        <v>38.028894</v>
      </c>
      <c r="R8657" t="str">
        <f>"23.749283"</f>
        <v>23.749283</v>
      </c>
      <c r="S8657" t="s">
        <v>26</v>
      </c>
    </row>
    <row r="8658" spans="1:19" x14ac:dyDescent="0.3">
      <c r="A8658" t="s">
        <v>3237</v>
      </c>
      <c r="B8658" t="s">
        <v>6738</v>
      </c>
      <c r="C8658" t="s">
        <v>7735</v>
      </c>
      <c r="D8658" t="s">
        <v>3238</v>
      </c>
      <c r="E8658" t="s">
        <v>3239</v>
      </c>
      <c r="F8658" t="s">
        <v>3239</v>
      </c>
      <c r="G8658" t="s">
        <v>3346</v>
      </c>
      <c r="H8658" t="s">
        <v>859</v>
      </c>
      <c r="I8658" t="s">
        <v>860</v>
      </c>
      <c r="J8658" t="str">
        <f>"9051024"</f>
        <v>9051024</v>
      </c>
      <c r="K8658">
        <v>2114118874</v>
      </c>
      <c r="L8658">
        <v>2114118874</v>
      </c>
      <c r="M8658" t="s">
        <v>7736</v>
      </c>
      <c r="N8658" t="s">
        <v>3325</v>
      </c>
      <c r="O8658" t="s">
        <v>7033</v>
      </c>
      <c r="P8658">
        <v>11142</v>
      </c>
      <c r="Q8658" t="str">
        <f>"38.020750"</f>
        <v>38.020750</v>
      </c>
      <c r="R8658" t="str">
        <f>"23.747642"</f>
        <v>23.747642</v>
      </c>
      <c r="S8658" t="s">
        <v>26</v>
      </c>
    </row>
    <row r="8659" spans="1:19" x14ac:dyDescent="0.3">
      <c r="A8659" t="s">
        <v>3237</v>
      </c>
      <c r="B8659" t="s">
        <v>6738</v>
      </c>
      <c r="C8659" t="s">
        <v>7737</v>
      </c>
      <c r="D8659" t="s">
        <v>3238</v>
      </c>
      <c r="E8659" t="s">
        <v>3239</v>
      </c>
      <c r="F8659" t="s">
        <v>3239</v>
      </c>
      <c r="G8659" t="s">
        <v>3346</v>
      </c>
      <c r="H8659" t="s">
        <v>859</v>
      </c>
      <c r="I8659" t="s">
        <v>860</v>
      </c>
      <c r="J8659" t="str">
        <f>"9051627"</f>
        <v>9051627</v>
      </c>
      <c r="K8659">
        <v>2102138827</v>
      </c>
      <c r="M8659" t="s">
        <v>7738</v>
      </c>
      <c r="N8659" t="s">
        <v>3325</v>
      </c>
      <c r="O8659" t="s">
        <v>7071</v>
      </c>
      <c r="P8659">
        <v>11142</v>
      </c>
      <c r="Q8659" t="str">
        <f>"38.021942"</f>
        <v>38.021942</v>
      </c>
      <c r="R8659" t="str">
        <f>"23.748514"</f>
        <v>23.748514</v>
      </c>
      <c r="S8659" t="s">
        <v>26</v>
      </c>
    </row>
    <row r="8660" spans="1:19" x14ac:dyDescent="0.3">
      <c r="A8660" t="s">
        <v>3237</v>
      </c>
      <c r="B8660" t="s">
        <v>6738</v>
      </c>
      <c r="C8660" t="s">
        <v>7739</v>
      </c>
      <c r="D8660" t="s">
        <v>3238</v>
      </c>
      <c r="E8660" t="s">
        <v>3239</v>
      </c>
      <c r="F8660" t="s">
        <v>3239</v>
      </c>
      <c r="G8660" t="s">
        <v>3281</v>
      </c>
      <c r="H8660" t="s">
        <v>859</v>
      </c>
      <c r="I8660" t="s">
        <v>1102</v>
      </c>
      <c r="J8660" t="str">
        <f>"9051379"</f>
        <v>9051379</v>
      </c>
      <c r="K8660">
        <v>2107240078</v>
      </c>
      <c r="L8660">
        <v>2107240078</v>
      </c>
      <c r="M8660" t="s">
        <v>7740</v>
      </c>
      <c r="N8660" t="s">
        <v>3284</v>
      </c>
      <c r="O8660" t="s">
        <v>7718</v>
      </c>
      <c r="P8660">
        <v>11634</v>
      </c>
      <c r="Q8660" t="str">
        <f>"37.970258"</f>
        <v>37.970258</v>
      </c>
      <c r="R8660" t="str">
        <f>"23.750584"</f>
        <v>23.750584</v>
      </c>
      <c r="S8660" t="s">
        <v>26</v>
      </c>
    </row>
    <row r="8661" spans="1:19" x14ac:dyDescent="0.3">
      <c r="A8661" t="s">
        <v>3237</v>
      </c>
      <c r="B8661" t="s">
        <v>6738</v>
      </c>
      <c r="C8661" t="s">
        <v>7741</v>
      </c>
      <c r="D8661" t="s">
        <v>3238</v>
      </c>
      <c r="E8661" t="s">
        <v>3404</v>
      </c>
      <c r="F8661" t="s">
        <v>3405</v>
      </c>
      <c r="G8661" t="s">
        <v>3405</v>
      </c>
      <c r="H8661" t="s">
        <v>859</v>
      </c>
      <c r="I8661" t="s">
        <v>860</v>
      </c>
      <c r="J8661" t="str">
        <f>"9050844"</f>
        <v>9050844</v>
      </c>
      <c r="K8661">
        <v>2102584274</v>
      </c>
      <c r="L8661">
        <v>2102584274</v>
      </c>
      <c r="M8661" t="s">
        <v>7742</v>
      </c>
      <c r="N8661" t="s">
        <v>3405</v>
      </c>
      <c r="O8661" t="s">
        <v>7743</v>
      </c>
      <c r="P8661">
        <v>14342</v>
      </c>
      <c r="Q8661" t="str">
        <f>"38.042830"</f>
        <v>38.042830</v>
      </c>
      <c r="R8661" t="str">
        <f>"23.739224"</f>
        <v>23.739224</v>
      </c>
      <c r="S8661" t="s">
        <v>26</v>
      </c>
    </row>
    <row r="8662" spans="1:19" x14ac:dyDescent="0.3">
      <c r="A8662" t="s">
        <v>3237</v>
      </c>
      <c r="B8662" t="s">
        <v>6738</v>
      </c>
      <c r="C8662" t="s">
        <v>7744</v>
      </c>
      <c r="D8662" t="s">
        <v>3238</v>
      </c>
      <c r="E8662" t="s">
        <v>3404</v>
      </c>
      <c r="F8662" t="s">
        <v>3405</v>
      </c>
      <c r="G8662" t="s">
        <v>3405</v>
      </c>
      <c r="H8662" t="s">
        <v>859</v>
      </c>
      <c r="I8662" t="s">
        <v>860</v>
      </c>
      <c r="J8662" t="str">
        <f>"9050479"</f>
        <v>9050479</v>
      </c>
      <c r="K8662">
        <v>2102524475</v>
      </c>
      <c r="M8662" t="s">
        <v>7745</v>
      </c>
      <c r="N8662" t="s">
        <v>3570</v>
      </c>
      <c r="O8662" t="s">
        <v>7746</v>
      </c>
      <c r="P8662">
        <v>14342</v>
      </c>
      <c r="Q8662" t="str">
        <f>"38.051698"</f>
        <v>38.051698</v>
      </c>
      <c r="R8662" t="str">
        <f>"23.740238"</f>
        <v>23.740238</v>
      </c>
      <c r="S8662" t="s">
        <v>26</v>
      </c>
    </row>
    <row r="8663" spans="1:19" x14ac:dyDescent="0.3">
      <c r="A8663" t="s">
        <v>3237</v>
      </c>
      <c r="B8663" t="s">
        <v>6738</v>
      </c>
      <c r="C8663" t="s">
        <v>7747</v>
      </c>
      <c r="D8663" t="s">
        <v>3238</v>
      </c>
      <c r="E8663" t="s">
        <v>3404</v>
      </c>
      <c r="F8663" t="s">
        <v>3405</v>
      </c>
      <c r="G8663" t="s">
        <v>3405</v>
      </c>
      <c r="H8663" t="s">
        <v>859</v>
      </c>
      <c r="I8663" t="s">
        <v>860</v>
      </c>
      <c r="J8663" t="str">
        <f>"9051200"</f>
        <v>9051200</v>
      </c>
      <c r="K8663">
        <v>2102530413</v>
      </c>
      <c r="L8663">
        <v>2102530413</v>
      </c>
      <c r="M8663" t="s">
        <v>7748</v>
      </c>
      <c r="N8663" t="s">
        <v>3570</v>
      </c>
      <c r="O8663" t="s">
        <v>7749</v>
      </c>
      <c r="P8663">
        <v>14342</v>
      </c>
      <c r="Q8663" t="str">
        <f>"38.047968"</f>
        <v>38.047968</v>
      </c>
      <c r="R8663" t="str">
        <f>"23.745233"</f>
        <v>23.745233</v>
      </c>
      <c r="S8663" t="s">
        <v>26</v>
      </c>
    </row>
    <row r="8664" spans="1:19" x14ac:dyDescent="0.3">
      <c r="A8664" t="s">
        <v>3237</v>
      </c>
      <c r="B8664" t="s">
        <v>6738</v>
      </c>
      <c r="C8664" t="s">
        <v>7752</v>
      </c>
      <c r="D8664" t="s">
        <v>3238</v>
      </c>
      <c r="E8664" t="s">
        <v>3404</v>
      </c>
      <c r="F8664" t="s">
        <v>3405</v>
      </c>
      <c r="G8664" t="s">
        <v>3405</v>
      </c>
      <c r="H8664" t="s">
        <v>859</v>
      </c>
      <c r="I8664" t="s">
        <v>860</v>
      </c>
      <c r="J8664" t="str">
        <f>"9051569"</f>
        <v>9051569</v>
      </c>
      <c r="K8664">
        <v>2102525756</v>
      </c>
      <c r="L8664">
        <v>2102525756</v>
      </c>
      <c r="M8664" t="s">
        <v>7753</v>
      </c>
      <c r="N8664" t="s">
        <v>3405</v>
      </c>
      <c r="O8664" t="s">
        <v>7754</v>
      </c>
      <c r="P8664">
        <v>14342</v>
      </c>
      <c r="Q8664" t="str">
        <f>"38.047759"</f>
        <v>38.047759</v>
      </c>
      <c r="R8664" t="str">
        <f>"23.737390"</f>
        <v>23.737390</v>
      </c>
      <c r="S8664" t="s">
        <v>26</v>
      </c>
    </row>
    <row r="8665" spans="1:19" x14ac:dyDescent="0.3">
      <c r="A8665" t="s">
        <v>3237</v>
      </c>
      <c r="B8665" t="s">
        <v>6738</v>
      </c>
      <c r="C8665" t="s">
        <v>7755</v>
      </c>
      <c r="D8665" t="s">
        <v>3238</v>
      </c>
      <c r="E8665" t="s">
        <v>3239</v>
      </c>
      <c r="F8665" t="s">
        <v>3239</v>
      </c>
      <c r="G8665" t="s">
        <v>3340</v>
      </c>
      <c r="H8665" t="s">
        <v>859</v>
      </c>
      <c r="I8665" t="s">
        <v>860</v>
      </c>
      <c r="J8665" t="str">
        <f>"9051571"</f>
        <v>9051571</v>
      </c>
      <c r="K8665">
        <v>2106442911</v>
      </c>
      <c r="L8665">
        <v>2106442911</v>
      </c>
      <c r="M8665" t="s">
        <v>7756</v>
      </c>
      <c r="N8665" t="s">
        <v>3325</v>
      </c>
      <c r="O8665" t="s">
        <v>7757</v>
      </c>
      <c r="P8665">
        <v>11522</v>
      </c>
      <c r="Q8665" t="str">
        <f>"37.991174"</f>
        <v>37.991174</v>
      </c>
      <c r="R8665" t="str">
        <f>"23.754715"</f>
        <v>23.754715</v>
      </c>
      <c r="S8665" t="s">
        <v>26</v>
      </c>
    </row>
    <row r="8666" spans="1:19" x14ac:dyDescent="0.3">
      <c r="A8666" t="s">
        <v>3237</v>
      </c>
      <c r="B8666" t="s">
        <v>6738</v>
      </c>
      <c r="C8666" t="s">
        <v>7758</v>
      </c>
      <c r="D8666" t="s">
        <v>3238</v>
      </c>
      <c r="E8666" t="s">
        <v>3404</v>
      </c>
      <c r="F8666" t="s">
        <v>3405</v>
      </c>
      <c r="G8666" t="s">
        <v>3405</v>
      </c>
      <c r="H8666" t="s">
        <v>859</v>
      </c>
      <c r="I8666" t="s">
        <v>860</v>
      </c>
      <c r="J8666" t="str">
        <f>"9051824"</f>
        <v>9051824</v>
      </c>
      <c r="K8666">
        <v>2102792538</v>
      </c>
      <c r="L8666">
        <v>2102792580</v>
      </c>
      <c r="M8666" t="s">
        <v>7759</v>
      </c>
      <c r="N8666" t="s">
        <v>3405</v>
      </c>
      <c r="O8666" t="s">
        <v>7760</v>
      </c>
      <c r="P8666">
        <v>14342</v>
      </c>
      <c r="Q8666" t="str">
        <f>"38.052748"</f>
        <v>38.052748</v>
      </c>
      <c r="R8666" t="str">
        <f>"23.747721"</f>
        <v>23.747721</v>
      </c>
      <c r="S8666" t="s">
        <v>26</v>
      </c>
    </row>
    <row r="8667" spans="1:19" x14ac:dyDescent="0.3">
      <c r="A8667" t="s">
        <v>3237</v>
      </c>
      <c r="B8667" t="s">
        <v>6738</v>
      </c>
      <c r="C8667" t="s">
        <v>7761</v>
      </c>
      <c r="D8667" t="s">
        <v>3238</v>
      </c>
      <c r="E8667" t="s">
        <v>3404</v>
      </c>
      <c r="F8667" t="s">
        <v>3405</v>
      </c>
      <c r="G8667" t="s">
        <v>3405</v>
      </c>
      <c r="H8667" t="s">
        <v>859</v>
      </c>
      <c r="I8667" t="s">
        <v>860</v>
      </c>
      <c r="J8667" t="str">
        <f>"9051884"</f>
        <v>9051884</v>
      </c>
      <c r="K8667">
        <v>2102516164</v>
      </c>
      <c r="L8667">
        <v>2102516164</v>
      </c>
      <c r="M8667" t="s">
        <v>7762</v>
      </c>
      <c r="N8667" t="s">
        <v>3405</v>
      </c>
      <c r="O8667" t="s">
        <v>7763</v>
      </c>
      <c r="P8667">
        <v>14341</v>
      </c>
      <c r="Q8667" t="str">
        <f>"38.039890"</f>
        <v>38.039890</v>
      </c>
      <c r="R8667" t="str">
        <f>"23.735201"</f>
        <v>23.735201</v>
      </c>
      <c r="S8667" t="s">
        <v>26</v>
      </c>
    </row>
    <row r="8668" spans="1:19" x14ac:dyDescent="0.3">
      <c r="A8668" t="s">
        <v>3237</v>
      </c>
      <c r="B8668" t="s">
        <v>6738</v>
      </c>
      <c r="C8668" t="s">
        <v>7764</v>
      </c>
      <c r="D8668" t="s">
        <v>3238</v>
      </c>
      <c r="E8668" t="s">
        <v>3404</v>
      </c>
      <c r="F8668" t="s">
        <v>3658</v>
      </c>
      <c r="G8668" t="s">
        <v>3658</v>
      </c>
      <c r="H8668" t="s">
        <v>859</v>
      </c>
      <c r="I8668" t="s">
        <v>860</v>
      </c>
      <c r="J8668" t="str">
        <f>"9051197"</f>
        <v>9051197</v>
      </c>
      <c r="K8668">
        <v>2102532111</v>
      </c>
      <c r="L8668">
        <v>2102532111</v>
      </c>
      <c r="M8668" t="s">
        <v>7765</v>
      </c>
      <c r="N8668" t="s">
        <v>7766</v>
      </c>
      <c r="O8668" t="s">
        <v>7767</v>
      </c>
      <c r="P8668">
        <v>14343</v>
      </c>
      <c r="Q8668" t="str">
        <f>"38.026876"</f>
        <v>38.026876</v>
      </c>
      <c r="R8668" t="str">
        <f>"23.731846"</f>
        <v>23.731846</v>
      </c>
      <c r="S8668" t="s">
        <v>26</v>
      </c>
    </row>
    <row r="8669" spans="1:19" x14ac:dyDescent="0.3">
      <c r="A8669" t="s">
        <v>3237</v>
      </c>
      <c r="B8669" t="s">
        <v>6738</v>
      </c>
      <c r="C8669" t="s">
        <v>7772</v>
      </c>
      <c r="D8669" t="s">
        <v>3238</v>
      </c>
      <c r="E8669" t="s">
        <v>3239</v>
      </c>
      <c r="F8669" t="s">
        <v>3239</v>
      </c>
      <c r="G8669" t="s">
        <v>3312</v>
      </c>
      <c r="H8669" t="s">
        <v>859</v>
      </c>
      <c r="I8669" t="s">
        <v>860</v>
      </c>
      <c r="J8669" t="str">
        <f>"9051381"</f>
        <v>9051381</v>
      </c>
      <c r="K8669">
        <v>2108650063</v>
      </c>
      <c r="L8669">
        <v>2108650063</v>
      </c>
      <c r="M8669" t="s">
        <v>7773</v>
      </c>
      <c r="N8669" t="s">
        <v>3325</v>
      </c>
      <c r="O8669" t="s">
        <v>7163</v>
      </c>
      <c r="P8669">
        <v>10446</v>
      </c>
      <c r="Q8669" t="str">
        <f>"38.002909"</f>
        <v>38.002909</v>
      </c>
      <c r="R8669" t="str">
        <f>"23.725724"</f>
        <v>23.725724</v>
      </c>
      <c r="S8669" t="s">
        <v>26</v>
      </c>
    </row>
    <row r="8670" spans="1:19" x14ac:dyDescent="0.3">
      <c r="A8670" t="s">
        <v>3237</v>
      </c>
      <c r="B8670" t="s">
        <v>6738</v>
      </c>
      <c r="C8670" t="s">
        <v>7774</v>
      </c>
      <c r="D8670" t="s">
        <v>3238</v>
      </c>
      <c r="E8670" t="s">
        <v>3239</v>
      </c>
      <c r="F8670" t="s">
        <v>3239</v>
      </c>
      <c r="G8670" t="s">
        <v>3281</v>
      </c>
      <c r="H8670" t="s">
        <v>859</v>
      </c>
      <c r="I8670" t="s">
        <v>860</v>
      </c>
      <c r="J8670" t="str">
        <f>"9050111"</f>
        <v>9050111</v>
      </c>
      <c r="K8670">
        <v>2109218784</v>
      </c>
      <c r="L8670">
        <v>2109218784</v>
      </c>
      <c r="M8670" t="s">
        <v>7775</v>
      </c>
      <c r="N8670" t="s">
        <v>3284</v>
      </c>
      <c r="O8670" t="s">
        <v>7771</v>
      </c>
      <c r="P8670">
        <v>11745</v>
      </c>
      <c r="Q8670" t="str">
        <f>"37.961066"</f>
        <v>37.961066</v>
      </c>
      <c r="R8670" t="str">
        <f>"23.726082"</f>
        <v>23.726082</v>
      </c>
      <c r="S8670" t="s">
        <v>26</v>
      </c>
    </row>
    <row r="8671" spans="1:19" x14ac:dyDescent="0.3">
      <c r="A8671" t="s">
        <v>3237</v>
      </c>
      <c r="B8671" t="s">
        <v>6738</v>
      </c>
      <c r="C8671" t="s">
        <v>7778</v>
      </c>
      <c r="D8671" t="s">
        <v>3238</v>
      </c>
      <c r="E8671" t="s">
        <v>3239</v>
      </c>
      <c r="F8671" t="s">
        <v>3239</v>
      </c>
      <c r="G8671" t="s">
        <v>3281</v>
      </c>
      <c r="H8671" t="s">
        <v>859</v>
      </c>
      <c r="I8671" t="s">
        <v>860</v>
      </c>
      <c r="J8671" t="str">
        <f>"9050723"</f>
        <v>9050723</v>
      </c>
      <c r="K8671">
        <v>6976212005</v>
      </c>
      <c r="L8671">
        <v>2107253323</v>
      </c>
      <c r="M8671" t="s">
        <v>7779</v>
      </c>
      <c r="N8671" t="s">
        <v>3284</v>
      </c>
      <c r="O8671" t="s">
        <v>7780</v>
      </c>
      <c r="P8671">
        <v>11634</v>
      </c>
      <c r="Q8671" t="str">
        <f>"37.971698"</f>
        <v>37.971698</v>
      </c>
      <c r="R8671" t="str">
        <f>"23.749919"</f>
        <v>23.749919</v>
      </c>
      <c r="S8671" t="s">
        <v>26</v>
      </c>
    </row>
    <row r="8672" spans="1:19" x14ac:dyDescent="0.3">
      <c r="A8672" t="s">
        <v>3237</v>
      </c>
      <c r="B8672" t="s">
        <v>6738</v>
      </c>
      <c r="C8672" t="s">
        <v>7781</v>
      </c>
      <c r="D8672" t="s">
        <v>3238</v>
      </c>
      <c r="E8672" t="s">
        <v>3443</v>
      </c>
      <c r="F8672" t="s">
        <v>3443</v>
      </c>
      <c r="G8672" t="s">
        <v>3443</v>
      </c>
      <c r="H8672" t="s">
        <v>859</v>
      </c>
      <c r="I8672" t="s">
        <v>860</v>
      </c>
      <c r="J8672" t="str">
        <f>"9050787"</f>
        <v>9050787</v>
      </c>
      <c r="K8672">
        <v>2102917293</v>
      </c>
      <c r="L8672">
        <v>2102917293</v>
      </c>
      <c r="M8672" t="s">
        <v>7782</v>
      </c>
      <c r="N8672" t="s">
        <v>3446</v>
      </c>
      <c r="O8672" t="s">
        <v>7225</v>
      </c>
      <c r="P8672">
        <v>11147</v>
      </c>
      <c r="Q8672" t="str">
        <f>"38.012149"</f>
        <v>38.012149</v>
      </c>
      <c r="R8672" t="str">
        <f>"23.753999"</f>
        <v>23.753999</v>
      </c>
      <c r="S8672" t="s">
        <v>26</v>
      </c>
    </row>
    <row r="8673" spans="1:19" x14ac:dyDescent="0.3">
      <c r="A8673" t="s">
        <v>3237</v>
      </c>
      <c r="B8673" t="s">
        <v>6738</v>
      </c>
      <c r="C8673" t="s">
        <v>7783</v>
      </c>
      <c r="D8673" t="s">
        <v>3238</v>
      </c>
      <c r="E8673" t="s">
        <v>3239</v>
      </c>
      <c r="F8673" t="s">
        <v>3239</v>
      </c>
      <c r="G8673" t="s">
        <v>3281</v>
      </c>
      <c r="H8673" t="s">
        <v>859</v>
      </c>
      <c r="I8673" t="s">
        <v>860</v>
      </c>
      <c r="J8673" t="str">
        <f>"9051182"</f>
        <v>9051182</v>
      </c>
      <c r="K8673">
        <v>2107253323</v>
      </c>
      <c r="L8673">
        <v>2107253323</v>
      </c>
      <c r="M8673" t="s">
        <v>7784</v>
      </c>
      <c r="N8673" t="s">
        <v>3284</v>
      </c>
      <c r="O8673" t="s">
        <v>7780</v>
      </c>
      <c r="P8673">
        <v>11634</v>
      </c>
      <c r="Q8673" t="str">
        <f>"37.971654"</f>
        <v>37.971654</v>
      </c>
      <c r="R8673" t="str">
        <f>"23.750203"</f>
        <v>23.750203</v>
      </c>
      <c r="S8673" t="s">
        <v>26</v>
      </c>
    </row>
    <row r="8674" spans="1:19" x14ac:dyDescent="0.3">
      <c r="A8674" t="s">
        <v>3237</v>
      </c>
      <c r="B8674" t="s">
        <v>6738</v>
      </c>
      <c r="C8674" t="s">
        <v>7785</v>
      </c>
      <c r="D8674" t="s">
        <v>3238</v>
      </c>
      <c r="E8674" t="s">
        <v>3443</v>
      </c>
      <c r="F8674" t="s">
        <v>3443</v>
      </c>
      <c r="G8674" t="s">
        <v>3443</v>
      </c>
      <c r="H8674" t="s">
        <v>859</v>
      </c>
      <c r="I8674" t="s">
        <v>860</v>
      </c>
      <c r="J8674" t="str">
        <f>"9051896"</f>
        <v>9051896</v>
      </c>
      <c r="K8674">
        <v>2102138132</v>
      </c>
      <c r="L8674">
        <v>2102138132</v>
      </c>
      <c r="M8674" t="s">
        <v>7786</v>
      </c>
      <c r="N8674" t="s">
        <v>3446</v>
      </c>
      <c r="O8674" t="s">
        <v>7225</v>
      </c>
      <c r="P8674">
        <v>11147</v>
      </c>
      <c r="Q8674" t="str">
        <f>"38.012175"</f>
        <v>38.012175</v>
      </c>
      <c r="R8674" t="str">
        <f>"23.754128"</f>
        <v>23.754128</v>
      </c>
      <c r="S8674" t="s">
        <v>26</v>
      </c>
    </row>
    <row r="8675" spans="1:19" x14ac:dyDescent="0.3">
      <c r="A8675" t="s">
        <v>3237</v>
      </c>
      <c r="B8675" t="s">
        <v>6738</v>
      </c>
      <c r="C8675" t="s">
        <v>7787</v>
      </c>
      <c r="D8675" t="s">
        <v>3238</v>
      </c>
      <c r="E8675" t="s">
        <v>3239</v>
      </c>
      <c r="F8675" t="s">
        <v>3239</v>
      </c>
      <c r="G8675" t="s">
        <v>3340</v>
      </c>
      <c r="H8675" t="s">
        <v>859</v>
      </c>
      <c r="I8675" t="s">
        <v>860</v>
      </c>
      <c r="J8675" t="str">
        <f>"9051393"</f>
        <v>9051393</v>
      </c>
      <c r="K8675">
        <v>2107774786</v>
      </c>
      <c r="L8675">
        <v>2107711250</v>
      </c>
      <c r="M8675" t="s">
        <v>7788</v>
      </c>
      <c r="N8675" t="s">
        <v>3325</v>
      </c>
      <c r="O8675" t="s">
        <v>7399</v>
      </c>
      <c r="P8675">
        <v>11527</v>
      </c>
      <c r="Q8675" t="str">
        <f>"37.983228"</f>
        <v>37.983228</v>
      </c>
      <c r="R8675" t="str">
        <f>"23.764202"</f>
        <v>23.764202</v>
      </c>
      <c r="S8675" t="s">
        <v>26</v>
      </c>
    </row>
    <row r="8676" spans="1:19" x14ac:dyDescent="0.3">
      <c r="A8676" t="s">
        <v>3237</v>
      </c>
      <c r="B8676" t="s">
        <v>6738</v>
      </c>
      <c r="C8676" t="s">
        <v>7789</v>
      </c>
      <c r="D8676" t="s">
        <v>3238</v>
      </c>
      <c r="E8676" t="s">
        <v>3239</v>
      </c>
      <c r="F8676" t="s">
        <v>3239</v>
      </c>
      <c r="G8676" t="s">
        <v>3340</v>
      </c>
      <c r="H8676" t="s">
        <v>859</v>
      </c>
      <c r="I8676" t="s">
        <v>860</v>
      </c>
      <c r="J8676" t="str">
        <f>"9051766"</f>
        <v>9051766</v>
      </c>
      <c r="K8676">
        <v>2107787825</v>
      </c>
      <c r="L8676">
        <v>2107711250</v>
      </c>
      <c r="M8676" t="s">
        <v>7790</v>
      </c>
      <c r="N8676" t="s">
        <v>7791</v>
      </c>
      <c r="O8676" t="s">
        <v>7792</v>
      </c>
      <c r="P8676">
        <v>11527</v>
      </c>
      <c r="Q8676" t="str">
        <f>"37.983332"</f>
        <v>37.983332</v>
      </c>
      <c r="R8676" t="str">
        <f>"23.764383"</f>
        <v>23.764383</v>
      </c>
      <c r="S8676" t="s">
        <v>26</v>
      </c>
    </row>
    <row r="8677" spans="1:19" x14ac:dyDescent="0.3">
      <c r="A8677" t="s">
        <v>3237</v>
      </c>
      <c r="B8677" t="s">
        <v>6738</v>
      </c>
      <c r="C8677" t="s">
        <v>7793</v>
      </c>
      <c r="D8677" t="s">
        <v>3238</v>
      </c>
      <c r="E8677" t="s">
        <v>3404</v>
      </c>
      <c r="F8677" t="s">
        <v>3658</v>
      </c>
      <c r="G8677" t="s">
        <v>3658</v>
      </c>
      <c r="H8677" t="s">
        <v>859</v>
      </c>
      <c r="I8677" t="s">
        <v>860</v>
      </c>
      <c r="J8677" t="str">
        <f>"9050982"</f>
        <v>9050982</v>
      </c>
      <c r="K8677">
        <v>2102520872</v>
      </c>
      <c r="L8677">
        <v>2102520872</v>
      </c>
      <c r="M8677" t="s">
        <v>7794</v>
      </c>
      <c r="N8677" t="s">
        <v>7795</v>
      </c>
      <c r="O8677" t="s">
        <v>7796</v>
      </c>
      <c r="P8677">
        <v>14343</v>
      </c>
      <c r="Q8677" t="str">
        <f>"38.027565"</f>
        <v>38.027565</v>
      </c>
      <c r="R8677" t="str">
        <f>"23.731797"</f>
        <v>23.731797</v>
      </c>
      <c r="S8677" t="s">
        <v>26</v>
      </c>
    </row>
    <row r="8678" spans="1:19" x14ac:dyDescent="0.3">
      <c r="A8678" t="s">
        <v>3237</v>
      </c>
      <c r="B8678" t="s">
        <v>6738</v>
      </c>
      <c r="C8678" t="s">
        <v>7798</v>
      </c>
      <c r="D8678" t="s">
        <v>3238</v>
      </c>
      <c r="E8678" t="s">
        <v>3239</v>
      </c>
      <c r="F8678" t="s">
        <v>3239</v>
      </c>
      <c r="G8678" t="s">
        <v>3340</v>
      </c>
      <c r="H8678" t="s">
        <v>859</v>
      </c>
      <c r="I8678" t="s">
        <v>860</v>
      </c>
      <c r="J8678" t="str">
        <f>"9050690"</f>
        <v>9050690</v>
      </c>
      <c r="K8678">
        <v>2107219051</v>
      </c>
      <c r="L8678">
        <v>2107219051</v>
      </c>
      <c r="M8678" t="s">
        <v>7799</v>
      </c>
      <c r="N8678" t="s">
        <v>3284</v>
      </c>
      <c r="O8678" t="s">
        <v>7800</v>
      </c>
      <c r="P8678">
        <v>11521</v>
      </c>
      <c r="Q8678" t="str">
        <f>"37.977200"</f>
        <v>37.977200</v>
      </c>
      <c r="R8678" t="str">
        <f>"23.746687"</f>
        <v>23.746687</v>
      </c>
      <c r="S8678" t="s">
        <v>26</v>
      </c>
    </row>
    <row r="8679" spans="1:19" x14ac:dyDescent="0.3">
      <c r="A8679" t="s">
        <v>3237</v>
      </c>
      <c r="B8679" t="s">
        <v>6738</v>
      </c>
      <c r="C8679" t="s">
        <v>7803</v>
      </c>
      <c r="D8679" t="s">
        <v>3238</v>
      </c>
      <c r="E8679" t="s">
        <v>3239</v>
      </c>
      <c r="F8679" t="s">
        <v>3239</v>
      </c>
      <c r="G8679" t="s">
        <v>3340</v>
      </c>
      <c r="H8679" t="s">
        <v>859</v>
      </c>
      <c r="I8679" t="s">
        <v>860</v>
      </c>
      <c r="J8679" t="str">
        <f>"9050976"</f>
        <v>9050976</v>
      </c>
      <c r="K8679">
        <v>2106983354</v>
      </c>
      <c r="L8679">
        <v>2106983354</v>
      </c>
      <c r="M8679" t="s">
        <v>7804</v>
      </c>
      <c r="N8679" t="s">
        <v>3325</v>
      </c>
      <c r="O8679" t="s">
        <v>6948</v>
      </c>
      <c r="P8679">
        <v>11526</v>
      </c>
      <c r="Q8679" t="str">
        <f>"37.993144"</f>
        <v>37.993144</v>
      </c>
      <c r="R8679" t="str">
        <f>"23.770176"</f>
        <v>23.770176</v>
      </c>
      <c r="S8679" t="s">
        <v>26</v>
      </c>
    </row>
    <row r="8680" spans="1:19" x14ac:dyDescent="0.3">
      <c r="A8680" t="s">
        <v>3237</v>
      </c>
      <c r="B8680" t="s">
        <v>6738</v>
      </c>
      <c r="C8680" t="s">
        <v>7809</v>
      </c>
      <c r="D8680" t="s">
        <v>3238</v>
      </c>
      <c r="E8680" t="s">
        <v>3239</v>
      </c>
      <c r="F8680" t="s">
        <v>3239</v>
      </c>
      <c r="G8680" t="s">
        <v>3340</v>
      </c>
      <c r="H8680" t="s">
        <v>859</v>
      </c>
      <c r="I8680" t="s">
        <v>860</v>
      </c>
      <c r="J8680" t="str">
        <f>"9051621"</f>
        <v>9051621</v>
      </c>
      <c r="K8680">
        <v>2106426888</v>
      </c>
      <c r="L8680">
        <v>2106426888</v>
      </c>
      <c r="M8680" t="s">
        <v>7810</v>
      </c>
      <c r="N8680" t="s">
        <v>3325</v>
      </c>
      <c r="O8680" t="s">
        <v>7480</v>
      </c>
      <c r="P8680">
        <v>11474</v>
      </c>
      <c r="Q8680" t="str">
        <f>"37.991240"</f>
        <v>37.991240</v>
      </c>
      <c r="R8680" t="str">
        <f>"23.746180"</f>
        <v>23.746180</v>
      </c>
      <c r="S8680" t="s">
        <v>26</v>
      </c>
    </row>
    <row r="8681" spans="1:19" x14ac:dyDescent="0.3">
      <c r="A8681" t="s">
        <v>3237</v>
      </c>
      <c r="B8681" t="s">
        <v>6738</v>
      </c>
      <c r="C8681" t="s">
        <v>7811</v>
      </c>
      <c r="D8681" t="s">
        <v>3238</v>
      </c>
      <c r="E8681" t="s">
        <v>3239</v>
      </c>
      <c r="F8681" t="s">
        <v>3239</v>
      </c>
      <c r="G8681" t="s">
        <v>3240</v>
      </c>
      <c r="H8681" t="s">
        <v>859</v>
      </c>
      <c r="I8681" t="s">
        <v>860</v>
      </c>
      <c r="J8681" t="str">
        <f>"9050689"</f>
        <v>9050689</v>
      </c>
      <c r="K8681">
        <v>2103632385</v>
      </c>
      <c r="L8681">
        <v>2103624183</v>
      </c>
      <c r="M8681" t="s">
        <v>7812</v>
      </c>
      <c r="N8681" t="s">
        <v>3325</v>
      </c>
      <c r="O8681" t="s">
        <v>3612</v>
      </c>
      <c r="P8681">
        <v>10672</v>
      </c>
      <c r="Q8681" t="str">
        <f>"37.982755"</f>
        <v>37.982755</v>
      </c>
      <c r="R8681" t="str">
        <f>"23.739965"</f>
        <v>23.739965</v>
      </c>
      <c r="S8681" t="s">
        <v>26</v>
      </c>
    </row>
    <row r="8682" spans="1:19" x14ac:dyDescent="0.3">
      <c r="A8682" t="s">
        <v>3237</v>
      </c>
      <c r="B8682" t="s">
        <v>6738</v>
      </c>
      <c r="C8682" t="s">
        <v>7813</v>
      </c>
      <c r="D8682" t="s">
        <v>3238</v>
      </c>
      <c r="E8682" t="s">
        <v>3239</v>
      </c>
      <c r="F8682" t="s">
        <v>3239</v>
      </c>
      <c r="G8682" t="s">
        <v>3281</v>
      </c>
      <c r="H8682" t="s">
        <v>859</v>
      </c>
      <c r="I8682" t="s">
        <v>860</v>
      </c>
      <c r="J8682" t="str">
        <f>"9050730"</f>
        <v>9050730</v>
      </c>
      <c r="K8682">
        <v>2109220158</v>
      </c>
      <c r="L8682">
        <v>2109220158</v>
      </c>
      <c r="M8682" t="s">
        <v>7814</v>
      </c>
      <c r="N8682" t="s">
        <v>3284</v>
      </c>
      <c r="O8682" t="s">
        <v>7815</v>
      </c>
      <c r="P8682">
        <v>11743</v>
      </c>
      <c r="Q8682" t="str">
        <f>"37.961543"</f>
        <v>37.961543</v>
      </c>
      <c r="R8682" t="str">
        <f>"23.732732"</f>
        <v>23.732732</v>
      </c>
      <c r="S8682" t="s">
        <v>26</v>
      </c>
    </row>
    <row r="8683" spans="1:19" x14ac:dyDescent="0.3">
      <c r="A8683" t="s">
        <v>3237</v>
      </c>
      <c r="B8683" t="s">
        <v>6738</v>
      </c>
      <c r="C8683" t="s">
        <v>7816</v>
      </c>
      <c r="D8683" t="s">
        <v>3238</v>
      </c>
      <c r="E8683" t="s">
        <v>3239</v>
      </c>
      <c r="F8683" t="s">
        <v>3239</v>
      </c>
      <c r="G8683" t="s">
        <v>3281</v>
      </c>
      <c r="H8683" t="s">
        <v>859</v>
      </c>
      <c r="I8683" t="s">
        <v>860</v>
      </c>
      <c r="J8683" t="str">
        <f>"9051186"</f>
        <v>9051186</v>
      </c>
      <c r="K8683">
        <v>2109220158</v>
      </c>
      <c r="L8683">
        <v>2109220158</v>
      </c>
      <c r="M8683" t="s">
        <v>7817</v>
      </c>
      <c r="N8683" t="s">
        <v>3284</v>
      </c>
      <c r="O8683" t="s">
        <v>7815</v>
      </c>
      <c r="P8683">
        <v>11743</v>
      </c>
      <c r="Q8683" t="str">
        <f>"37.961543"</f>
        <v>37.961543</v>
      </c>
      <c r="R8683" t="str">
        <f>"23.732732"</f>
        <v>23.732732</v>
      </c>
      <c r="S8683" t="s">
        <v>26</v>
      </c>
    </row>
    <row r="8684" spans="1:19" x14ac:dyDescent="0.3">
      <c r="A8684" t="s">
        <v>3237</v>
      </c>
      <c r="B8684" t="s">
        <v>6738</v>
      </c>
      <c r="C8684" t="s">
        <v>7822</v>
      </c>
      <c r="D8684" t="s">
        <v>3238</v>
      </c>
      <c r="E8684" t="s">
        <v>3239</v>
      </c>
      <c r="F8684" t="s">
        <v>3239</v>
      </c>
      <c r="G8684" t="s">
        <v>3281</v>
      </c>
      <c r="H8684" t="s">
        <v>859</v>
      </c>
      <c r="I8684" t="s">
        <v>860</v>
      </c>
      <c r="J8684" t="str">
        <f>"9051348"</f>
        <v>9051348</v>
      </c>
      <c r="K8684">
        <v>2109024200</v>
      </c>
      <c r="L8684">
        <v>2109024200</v>
      </c>
      <c r="M8684" t="s">
        <v>7823</v>
      </c>
      <c r="N8684" t="s">
        <v>3284</v>
      </c>
      <c r="O8684" t="s">
        <v>7824</v>
      </c>
      <c r="P8684">
        <v>11631</v>
      </c>
      <c r="Q8684" t="str">
        <f>"37.958596"</f>
        <v>37.958596</v>
      </c>
      <c r="R8684" t="str">
        <f>"23.734921"</f>
        <v>23.734921</v>
      </c>
      <c r="S8684" t="s">
        <v>26</v>
      </c>
    </row>
    <row r="8685" spans="1:19" x14ac:dyDescent="0.3">
      <c r="A8685" t="s">
        <v>3237</v>
      </c>
      <c r="B8685" t="s">
        <v>6738</v>
      </c>
      <c r="C8685" t="s">
        <v>7825</v>
      </c>
      <c r="D8685" t="s">
        <v>3238</v>
      </c>
      <c r="E8685" t="s">
        <v>3239</v>
      </c>
      <c r="F8685" t="s">
        <v>3239</v>
      </c>
      <c r="G8685" t="s">
        <v>3340</v>
      </c>
      <c r="H8685" t="s">
        <v>859</v>
      </c>
      <c r="I8685" t="s">
        <v>860</v>
      </c>
      <c r="J8685" t="str">
        <f>"9050697"</f>
        <v>9050697</v>
      </c>
      <c r="K8685">
        <v>2106431687</v>
      </c>
      <c r="L8685">
        <v>2106431687</v>
      </c>
      <c r="M8685" t="s">
        <v>7826</v>
      </c>
      <c r="N8685" t="s">
        <v>3325</v>
      </c>
      <c r="O8685" t="s">
        <v>7827</v>
      </c>
      <c r="P8685">
        <v>11522</v>
      </c>
      <c r="Q8685" t="str">
        <f>"37.988494"</f>
        <v>37.988494</v>
      </c>
      <c r="R8685" t="str">
        <f>"23.756586"</f>
        <v>23.756586</v>
      </c>
      <c r="S8685" t="s">
        <v>26</v>
      </c>
    </row>
    <row r="8686" spans="1:19" x14ac:dyDescent="0.3">
      <c r="A8686" t="s">
        <v>3237</v>
      </c>
      <c r="B8686" t="s">
        <v>6738</v>
      </c>
      <c r="C8686" t="s">
        <v>7833</v>
      </c>
      <c r="D8686" t="s">
        <v>3238</v>
      </c>
      <c r="E8686" t="s">
        <v>3239</v>
      </c>
      <c r="F8686" t="s">
        <v>3239</v>
      </c>
      <c r="G8686" t="s">
        <v>3281</v>
      </c>
      <c r="H8686" t="s">
        <v>859</v>
      </c>
      <c r="I8686" t="s">
        <v>860</v>
      </c>
      <c r="J8686" t="str">
        <f>"9051817"</f>
        <v>9051817</v>
      </c>
      <c r="K8686">
        <v>2109211919</v>
      </c>
      <c r="L8686">
        <v>2109211927</v>
      </c>
      <c r="M8686" t="s">
        <v>7834</v>
      </c>
      <c r="N8686" t="s">
        <v>3284</v>
      </c>
      <c r="O8686" t="s">
        <v>7771</v>
      </c>
      <c r="P8686">
        <v>11745</v>
      </c>
      <c r="Q8686" t="str">
        <f>"37.961149"</f>
        <v>37.961149</v>
      </c>
      <c r="R8686" t="str">
        <f>"23.726045"</f>
        <v>23.726045</v>
      </c>
      <c r="S8686" t="s">
        <v>26</v>
      </c>
    </row>
    <row r="8687" spans="1:19" x14ac:dyDescent="0.3">
      <c r="A8687" t="s">
        <v>3237</v>
      </c>
      <c r="B8687" t="s">
        <v>6738</v>
      </c>
      <c r="C8687" t="s">
        <v>7838</v>
      </c>
      <c r="D8687" t="s">
        <v>3238</v>
      </c>
      <c r="E8687" t="s">
        <v>3239</v>
      </c>
      <c r="F8687" t="s">
        <v>3239</v>
      </c>
      <c r="G8687" t="s">
        <v>3382</v>
      </c>
      <c r="H8687" t="s">
        <v>859</v>
      </c>
      <c r="I8687" t="s">
        <v>860</v>
      </c>
      <c r="J8687" t="str">
        <f>"9051921"</f>
        <v>9051921</v>
      </c>
      <c r="K8687">
        <v>2105136478</v>
      </c>
      <c r="L8687">
        <v>2105136478</v>
      </c>
      <c r="M8687" t="s">
        <v>7839</v>
      </c>
      <c r="N8687" t="s">
        <v>3284</v>
      </c>
      <c r="O8687" t="s">
        <v>7840</v>
      </c>
      <c r="P8687">
        <v>10443</v>
      </c>
      <c r="Q8687" t="str">
        <f>"38.003891"</f>
        <v>38.003891</v>
      </c>
      <c r="R8687" t="str">
        <f>"23.713334"</f>
        <v>23.713334</v>
      </c>
      <c r="S8687" t="s">
        <v>26</v>
      </c>
    </row>
    <row r="8688" spans="1:19" x14ac:dyDescent="0.3">
      <c r="A8688" t="s">
        <v>3237</v>
      </c>
      <c r="B8688" t="s">
        <v>6738</v>
      </c>
      <c r="C8688" t="s">
        <v>7842</v>
      </c>
      <c r="D8688" t="s">
        <v>3238</v>
      </c>
      <c r="E8688" t="s">
        <v>3239</v>
      </c>
      <c r="F8688" t="s">
        <v>3239</v>
      </c>
      <c r="G8688" t="s">
        <v>3340</v>
      </c>
      <c r="H8688" t="s">
        <v>859</v>
      </c>
      <c r="I8688" t="s">
        <v>860</v>
      </c>
      <c r="J8688" t="str">
        <f>"9050696"</f>
        <v>9050696</v>
      </c>
      <c r="K8688">
        <v>2106427373</v>
      </c>
      <c r="M8688" t="s">
        <v>7843</v>
      </c>
      <c r="N8688" t="s">
        <v>3325</v>
      </c>
      <c r="O8688" t="s">
        <v>7480</v>
      </c>
      <c r="P8688">
        <v>11474</v>
      </c>
      <c r="Q8688" t="str">
        <f>"37.991047"</f>
        <v>37.991047</v>
      </c>
      <c r="R8688" t="str">
        <f>"23.746191"</f>
        <v>23.746191</v>
      </c>
      <c r="S8688" t="s">
        <v>26</v>
      </c>
    </row>
    <row r="8689" spans="1:19" x14ac:dyDescent="0.3">
      <c r="A8689" t="s">
        <v>3237</v>
      </c>
      <c r="B8689" t="s">
        <v>6738</v>
      </c>
      <c r="C8689" t="s">
        <v>7844</v>
      </c>
      <c r="D8689" t="s">
        <v>3238</v>
      </c>
      <c r="E8689" t="s">
        <v>3239</v>
      </c>
      <c r="F8689" t="s">
        <v>3239</v>
      </c>
      <c r="G8689" t="s">
        <v>3340</v>
      </c>
      <c r="H8689" t="s">
        <v>859</v>
      </c>
      <c r="I8689" t="s">
        <v>860</v>
      </c>
      <c r="J8689" t="str">
        <f>"9050694"</f>
        <v>9050694</v>
      </c>
      <c r="K8689">
        <v>2106411368</v>
      </c>
      <c r="L8689">
        <v>2106411368</v>
      </c>
      <c r="M8689" t="s">
        <v>7845</v>
      </c>
      <c r="N8689" t="s">
        <v>3325</v>
      </c>
      <c r="O8689" t="s">
        <v>7846</v>
      </c>
      <c r="P8689">
        <v>11475</v>
      </c>
      <c r="Q8689" t="str">
        <f>"37.990410"</f>
        <v>37.990410</v>
      </c>
      <c r="R8689" t="str">
        <f>"23.750851"</f>
        <v>23.750851</v>
      </c>
      <c r="S8689" t="s">
        <v>26</v>
      </c>
    </row>
    <row r="8690" spans="1:19" x14ac:dyDescent="0.3">
      <c r="A8690" t="s">
        <v>3237</v>
      </c>
      <c r="B8690" t="s">
        <v>6738</v>
      </c>
      <c r="C8690" t="s">
        <v>7847</v>
      </c>
      <c r="D8690" t="s">
        <v>3238</v>
      </c>
      <c r="E8690" t="s">
        <v>3239</v>
      </c>
      <c r="F8690" t="s">
        <v>3239</v>
      </c>
      <c r="G8690" t="s">
        <v>3322</v>
      </c>
      <c r="H8690" t="s">
        <v>859</v>
      </c>
      <c r="I8690" t="s">
        <v>860</v>
      </c>
      <c r="J8690" t="str">
        <f>"9051551"</f>
        <v>9051551</v>
      </c>
      <c r="K8690">
        <v>2106411368</v>
      </c>
      <c r="L8690">
        <v>2106411368</v>
      </c>
      <c r="M8690" t="s">
        <v>7848</v>
      </c>
      <c r="N8690" t="s">
        <v>3325</v>
      </c>
      <c r="O8690" t="s">
        <v>7846</v>
      </c>
      <c r="P8690">
        <v>11475</v>
      </c>
      <c r="Q8690" t="str">
        <f>"37.990594"</f>
        <v>37.990594</v>
      </c>
      <c r="R8690" t="str">
        <f>"23.750910"</f>
        <v>23.750910</v>
      </c>
      <c r="S8690" t="s">
        <v>26</v>
      </c>
    </row>
    <row r="8691" spans="1:19" x14ac:dyDescent="0.3">
      <c r="A8691" t="s">
        <v>3237</v>
      </c>
      <c r="B8691" t="s">
        <v>6738</v>
      </c>
      <c r="C8691" t="s">
        <v>7849</v>
      </c>
      <c r="D8691" t="s">
        <v>3238</v>
      </c>
      <c r="E8691" t="s">
        <v>3239</v>
      </c>
      <c r="F8691" t="s">
        <v>3239</v>
      </c>
      <c r="G8691" t="s">
        <v>3240</v>
      </c>
      <c r="H8691" t="s">
        <v>859</v>
      </c>
      <c r="I8691" t="s">
        <v>1102</v>
      </c>
      <c r="J8691" t="str">
        <f>"9520888"</f>
        <v>9520888</v>
      </c>
      <c r="K8691">
        <v>2107247147</v>
      </c>
      <c r="L8691">
        <v>2107247147</v>
      </c>
      <c r="M8691" t="s">
        <v>7850</v>
      </c>
      <c r="N8691" t="s">
        <v>3284</v>
      </c>
      <c r="O8691" t="s">
        <v>7851</v>
      </c>
      <c r="P8691">
        <v>11634</v>
      </c>
      <c r="Q8691" t="str">
        <f>"37.969876"</f>
        <v>37.969876</v>
      </c>
      <c r="R8691" t="str">
        <f>"23.749807"</f>
        <v>23.749807</v>
      </c>
      <c r="S8691" t="s">
        <v>26</v>
      </c>
    </row>
    <row r="8692" spans="1:19" x14ac:dyDescent="0.3">
      <c r="A8692" t="s">
        <v>3237</v>
      </c>
      <c r="B8692" t="s">
        <v>6738</v>
      </c>
      <c r="C8692" t="s">
        <v>7852</v>
      </c>
      <c r="D8692" t="s">
        <v>3238</v>
      </c>
      <c r="E8692" t="s">
        <v>3239</v>
      </c>
      <c r="F8692" t="s">
        <v>3239</v>
      </c>
      <c r="G8692" t="s">
        <v>3382</v>
      </c>
      <c r="H8692" t="s">
        <v>859</v>
      </c>
      <c r="I8692" t="s">
        <v>860</v>
      </c>
      <c r="J8692" t="str">
        <f>"9050773"</f>
        <v>9050773</v>
      </c>
      <c r="K8692">
        <v>2105133401</v>
      </c>
      <c r="M8692" t="s">
        <v>7853</v>
      </c>
      <c r="N8692" t="s">
        <v>3325</v>
      </c>
      <c r="O8692" t="s">
        <v>7854</v>
      </c>
      <c r="P8692">
        <v>10443</v>
      </c>
      <c r="Q8692" t="str">
        <f>"38.008372"</f>
        <v>38.008372</v>
      </c>
      <c r="R8692" t="str">
        <f>"23.717524"</f>
        <v>23.717524</v>
      </c>
      <c r="S8692" t="s">
        <v>26</v>
      </c>
    </row>
    <row r="8693" spans="1:19" x14ac:dyDescent="0.3">
      <c r="A8693" t="s">
        <v>3237</v>
      </c>
      <c r="B8693" t="s">
        <v>6738</v>
      </c>
      <c r="C8693" t="s">
        <v>7863</v>
      </c>
      <c r="D8693" t="s">
        <v>3238</v>
      </c>
      <c r="E8693" t="s">
        <v>3239</v>
      </c>
      <c r="F8693" t="s">
        <v>3239</v>
      </c>
      <c r="G8693" t="s">
        <v>3281</v>
      </c>
      <c r="H8693" t="s">
        <v>859</v>
      </c>
      <c r="I8693" t="s">
        <v>860</v>
      </c>
      <c r="J8693" t="str">
        <f>"9051183"</f>
        <v>9051183</v>
      </c>
      <c r="K8693">
        <v>2109012177</v>
      </c>
      <c r="M8693" t="s">
        <v>7864</v>
      </c>
      <c r="N8693" t="s">
        <v>3284</v>
      </c>
      <c r="O8693" t="s">
        <v>7824</v>
      </c>
      <c r="P8693">
        <v>11631</v>
      </c>
      <c r="Q8693" t="str">
        <f>"37.958600"</f>
        <v>37.958600</v>
      </c>
      <c r="R8693" t="str">
        <f>"23.734923"</f>
        <v>23.734923</v>
      </c>
      <c r="S8693" t="s">
        <v>26</v>
      </c>
    </row>
    <row r="8694" spans="1:19" x14ac:dyDescent="0.3">
      <c r="A8694" t="s">
        <v>3237</v>
      </c>
      <c r="B8694" t="s">
        <v>6738</v>
      </c>
      <c r="C8694" t="s">
        <v>7867</v>
      </c>
      <c r="D8694" t="s">
        <v>3238</v>
      </c>
      <c r="E8694" t="s">
        <v>3443</v>
      </c>
      <c r="F8694" t="s">
        <v>3443</v>
      </c>
      <c r="G8694" t="s">
        <v>3443</v>
      </c>
      <c r="H8694" t="s">
        <v>859</v>
      </c>
      <c r="I8694" t="s">
        <v>860</v>
      </c>
      <c r="J8694" t="str">
        <f>"9051555"</f>
        <v>9051555</v>
      </c>
      <c r="K8694">
        <v>2102933645</v>
      </c>
      <c r="L8694">
        <v>2102933645</v>
      </c>
      <c r="M8694" t="s">
        <v>7868</v>
      </c>
      <c r="N8694" t="s">
        <v>3446</v>
      </c>
      <c r="O8694" t="s">
        <v>7869</v>
      </c>
      <c r="P8694">
        <v>11147</v>
      </c>
      <c r="Q8694" t="str">
        <f>"38.016324"</f>
        <v>38.016324</v>
      </c>
      <c r="R8694" t="str">
        <f>"23.756050"</f>
        <v>23.756050</v>
      </c>
      <c r="S8694" t="s">
        <v>26</v>
      </c>
    </row>
    <row r="8695" spans="1:19" x14ac:dyDescent="0.3">
      <c r="A8695" t="s">
        <v>3237</v>
      </c>
      <c r="B8695" t="s">
        <v>6738</v>
      </c>
      <c r="C8695" t="s">
        <v>7883</v>
      </c>
      <c r="D8695" t="s">
        <v>3238</v>
      </c>
      <c r="E8695" t="s">
        <v>3468</v>
      </c>
      <c r="F8695" t="s">
        <v>3469</v>
      </c>
      <c r="G8695" t="s">
        <v>3469</v>
      </c>
      <c r="H8695" t="s">
        <v>859</v>
      </c>
      <c r="I8695" t="s">
        <v>860</v>
      </c>
      <c r="J8695" t="str">
        <f>"9050734"</f>
        <v>9050734</v>
      </c>
      <c r="K8695">
        <v>2109719543</v>
      </c>
      <c r="L8695">
        <v>2109719543</v>
      </c>
      <c r="M8695" t="s">
        <v>7884</v>
      </c>
      <c r="N8695" t="s">
        <v>3549</v>
      </c>
      <c r="O8695" t="s">
        <v>7885</v>
      </c>
      <c r="P8695">
        <v>17235</v>
      </c>
      <c r="Q8695" t="str">
        <f>"37.945669"</f>
        <v>37.945669</v>
      </c>
      <c r="R8695" t="str">
        <f>"23.729974"</f>
        <v>23.729974</v>
      </c>
      <c r="S8695" t="s">
        <v>26</v>
      </c>
    </row>
    <row r="8696" spans="1:19" x14ac:dyDescent="0.3">
      <c r="A8696" t="s">
        <v>3237</v>
      </c>
      <c r="B8696" t="s">
        <v>6738</v>
      </c>
      <c r="C8696" t="s">
        <v>7886</v>
      </c>
      <c r="D8696" t="s">
        <v>3238</v>
      </c>
      <c r="E8696" t="s">
        <v>3239</v>
      </c>
      <c r="F8696" t="s">
        <v>3239</v>
      </c>
      <c r="G8696" t="s">
        <v>3240</v>
      </c>
      <c r="H8696" t="s">
        <v>859</v>
      </c>
      <c r="I8696" t="s">
        <v>860</v>
      </c>
      <c r="J8696" t="str">
        <f>"9521190"</f>
        <v>9521190</v>
      </c>
      <c r="K8696">
        <v>2108822333</v>
      </c>
      <c r="M8696" t="s">
        <v>7887</v>
      </c>
      <c r="N8696" t="s">
        <v>3284</v>
      </c>
      <c r="O8696" t="s">
        <v>7538</v>
      </c>
      <c r="P8696">
        <v>11362</v>
      </c>
      <c r="Q8696" t="str">
        <f>"37.995982"</f>
        <v>37.995982</v>
      </c>
      <c r="R8696" t="str">
        <f>"23.734802"</f>
        <v>23.734802</v>
      </c>
      <c r="S8696" t="s">
        <v>26</v>
      </c>
    </row>
    <row r="8697" spans="1:19" x14ac:dyDescent="0.3">
      <c r="A8697" t="s">
        <v>3237</v>
      </c>
      <c r="B8697" t="s">
        <v>6738</v>
      </c>
      <c r="C8697" t="s">
        <v>7888</v>
      </c>
      <c r="D8697" t="s">
        <v>3238</v>
      </c>
      <c r="E8697" t="s">
        <v>3239</v>
      </c>
      <c r="F8697" t="s">
        <v>3239</v>
      </c>
      <c r="G8697" t="s">
        <v>3312</v>
      </c>
      <c r="H8697" t="s">
        <v>859</v>
      </c>
      <c r="I8697" t="s">
        <v>860</v>
      </c>
      <c r="J8697" t="str">
        <f>"9521191"</f>
        <v>9521191</v>
      </c>
      <c r="K8697">
        <v>2108620532</v>
      </c>
      <c r="L8697">
        <v>2108620532</v>
      </c>
      <c r="M8697" t="s">
        <v>7889</v>
      </c>
      <c r="N8697" t="s">
        <v>7890</v>
      </c>
      <c r="O8697" t="s">
        <v>7891</v>
      </c>
      <c r="P8697">
        <v>10446</v>
      </c>
      <c r="Q8697" t="str">
        <f>"38.004733"</f>
        <v>38.004733</v>
      </c>
      <c r="R8697" t="str">
        <f>"23.727721"</f>
        <v>23.727721</v>
      </c>
      <c r="S8697" t="s">
        <v>26</v>
      </c>
    </row>
    <row r="8698" spans="1:19" x14ac:dyDescent="0.3">
      <c r="A8698" t="s">
        <v>3237</v>
      </c>
      <c r="B8698" t="s">
        <v>6738</v>
      </c>
      <c r="C8698" t="s">
        <v>7892</v>
      </c>
      <c r="D8698" t="s">
        <v>3238</v>
      </c>
      <c r="E8698" t="s">
        <v>3468</v>
      </c>
      <c r="F8698" t="s">
        <v>3469</v>
      </c>
      <c r="G8698" t="s">
        <v>3469</v>
      </c>
      <c r="H8698" t="s">
        <v>859</v>
      </c>
      <c r="I8698" t="s">
        <v>860</v>
      </c>
      <c r="J8698" t="str">
        <f>"9521401"</f>
        <v>9521401</v>
      </c>
      <c r="K8698">
        <v>2109719661</v>
      </c>
      <c r="L8698">
        <v>2109719661</v>
      </c>
      <c r="M8698" t="s">
        <v>7893</v>
      </c>
      <c r="N8698" t="s">
        <v>3549</v>
      </c>
      <c r="O8698" t="s">
        <v>7602</v>
      </c>
      <c r="P8698">
        <v>17234</v>
      </c>
      <c r="Q8698" t="str">
        <f>"37.945658"</f>
        <v>37.945658</v>
      </c>
      <c r="R8698" t="str">
        <f>"23.729986"</f>
        <v>23.729986</v>
      </c>
      <c r="S8698" t="s">
        <v>26</v>
      </c>
    </row>
    <row r="8699" spans="1:19" x14ac:dyDescent="0.3">
      <c r="A8699" t="s">
        <v>3237</v>
      </c>
      <c r="B8699" t="s">
        <v>6738</v>
      </c>
      <c r="C8699" t="s">
        <v>7898</v>
      </c>
      <c r="D8699" t="s">
        <v>3238</v>
      </c>
      <c r="E8699" t="s">
        <v>3404</v>
      </c>
      <c r="F8699" t="s">
        <v>3405</v>
      </c>
      <c r="G8699" t="s">
        <v>3405</v>
      </c>
      <c r="H8699" t="s">
        <v>859</v>
      </c>
      <c r="I8699" t="s">
        <v>1102</v>
      </c>
      <c r="J8699" t="str">
        <f>"9521285"</f>
        <v>9521285</v>
      </c>
      <c r="N8699" t="s">
        <v>3570</v>
      </c>
      <c r="O8699" t="s">
        <v>7582</v>
      </c>
      <c r="P8699">
        <v>0</v>
      </c>
      <c r="Q8699" t="str">
        <f>""</f>
        <v/>
      </c>
      <c r="R8699" t="str">
        <f>""</f>
        <v/>
      </c>
      <c r="S8699" t="s">
        <v>26</v>
      </c>
    </row>
    <row r="8700" spans="1:19" x14ac:dyDescent="0.3">
      <c r="A8700" t="s">
        <v>3237</v>
      </c>
      <c r="B8700" t="s">
        <v>6738</v>
      </c>
      <c r="C8700" t="s">
        <v>7900</v>
      </c>
      <c r="D8700" t="s">
        <v>3238</v>
      </c>
      <c r="E8700" t="s">
        <v>3239</v>
      </c>
      <c r="F8700" t="s">
        <v>3239</v>
      </c>
      <c r="G8700" t="s">
        <v>3382</v>
      </c>
      <c r="H8700" t="s">
        <v>859</v>
      </c>
      <c r="I8700" t="s">
        <v>1102</v>
      </c>
      <c r="J8700" t="str">
        <f>"9051930"</f>
        <v>9051930</v>
      </c>
      <c r="K8700">
        <v>2105157399</v>
      </c>
      <c r="L8700">
        <v>2105157399</v>
      </c>
      <c r="M8700" t="s">
        <v>7901</v>
      </c>
      <c r="N8700" t="s">
        <v>3325</v>
      </c>
      <c r="O8700" t="s">
        <v>7902</v>
      </c>
      <c r="P8700">
        <v>11253</v>
      </c>
      <c r="Q8700" t="str">
        <f>"38.008519"</f>
        <v>38.008519</v>
      </c>
      <c r="R8700" t="str">
        <f>"23.732505"</f>
        <v>23.732505</v>
      </c>
      <c r="S8700" t="s">
        <v>26</v>
      </c>
    </row>
    <row r="8701" spans="1:19" x14ac:dyDescent="0.3">
      <c r="A8701" t="s">
        <v>3237</v>
      </c>
      <c r="B8701" t="s">
        <v>6738</v>
      </c>
      <c r="C8701" t="s">
        <v>7903</v>
      </c>
      <c r="D8701" t="s">
        <v>3238</v>
      </c>
      <c r="E8701" t="s">
        <v>3506</v>
      </c>
      <c r="F8701" t="s">
        <v>3506</v>
      </c>
      <c r="G8701" t="s">
        <v>3506</v>
      </c>
      <c r="H8701" t="s">
        <v>859</v>
      </c>
      <c r="I8701" t="s">
        <v>1102</v>
      </c>
      <c r="J8701" t="str">
        <f>"9521286"</f>
        <v>9521286</v>
      </c>
      <c r="N8701" t="s">
        <v>3509</v>
      </c>
      <c r="Q8701" t="str">
        <f>""</f>
        <v/>
      </c>
      <c r="R8701" t="str">
        <f>""</f>
        <v/>
      </c>
      <c r="S8701" t="s">
        <v>26</v>
      </c>
    </row>
    <row r="8702" spans="1:19" x14ac:dyDescent="0.3">
      <c r="A8702" t="s">
        <v>3237</v>
      </c>
      <c r="B8702" t="s">
        <v>6738</v>
      </c>
      <c r="C8702" t="s">
        <v>7905</v>
      </c>
      <c r="D8702" t="s">
        <v>3238</v>
      </c>
      <c r="E8702" t="s">
        <v>3239</v>
      </c>
      <c r="F8702" t="s">
        <v>3239</v>
      </c>
      <c r="G8702" t="s">
        <v>3240</v>
      </c>
      <c r="H8702" t="s">
        <v>859</v>
      </c>
      <c r="I8702" t="s">
        <v>1102</v>
      </c>
      <c r="J8702" t="str">
        <f>"9051931"</f>
        <v>9051931</v>
      </c>
      <c r="Q8702" t="str">
        <f>""</f>
        <v/>
      </c>
      <c r="R8702" t="str">
        <f>""</f>
        <v/>
      </c>
      <c r="S8702" t="s">
        <v>26</v>
      </c>
    </row>
    <row r="8703" spans="1:19" x14ac:dyDescent="0.3">
      <c r="A8703" t="s">
        <v>3237</v>
      </c>
      <c r="B8703" t="s">
        <v>6738</v>
      </c>
      <c r="C8703" t="s">
        <v>7906</v>
      </c>
      <c r="D8703" t="s">
        <v>3238</v>
      </c>
      <c r="E8703" t="s">
        <v>3317</v>
      </c>
      <c r="F8703" t="s">
        <v>3317</v>
      </c>
      <c r="G8703" t="s">
        <v>3317</v>
      </c>
      <c r="H8703" t="s">
        <v>859</v>
      </c>
      <c r="I8703" t="s">
        <v>860</v>
      </c>
      <c r="J8703" t="str">
        <f>"9521496"</f>
        <v>9521496</v>
      </c>
      <c r="K8703">
        <v>2107277920</v>
      </c>
      <c r="M8703" t="s">
        <v>7907</v>
      </c>
      <c r="N8703" t="s">
        <v>3317</v>
      </c>
      <c r="O8703" t="s">
        <v>7908</v>
      </c>
      <c r="P8703">
        <v>15772</v>
      </c>
      <c r="Q8703" t="str">
        <f>"37.969018"</f>
        <v>37.969018</v>
      </c>
      <c r="R8703" t="str">
        <f>"23.780152"</f>
        <v>23.780152</v>
      </c>
      <c r="S8703" t="s">
        <v>26</v>
      </c>
    </row>
    <row r="8704" spans="1:19" x14ac:dyDescent="0.3">
      <c r="A8704" t="s">
        <v>3237</v>
      </c>
      <c r="B8704" t="s">
        <v>6738</v>
      </c>
      <c r="C8704" t="s">
        <v>7909</v>
      </c>
      <c r="D8704" t="s">
        <v>3238</v>
      </c>
      <c r="E8704" t="s">
        <v>3358</v>
      </c>
      <c r="F8704" t="s">
        <v>3358</v>
      </c>
      <c r="G8704" t="s">
        <v>3358</v>
      </c>
      <c r="H8704" t="s">
        <v>859</v>
      </c>
      <c r="I8704" t="s">
        <v>860</v>
      </c>
      <c r="J8704" t="str">
        <f>"9521497"</f>
        <v>9521497</v>
      </c>
      <c r="K8704">
        <v>2107215572</v>
      </c>
      <c r="L8704">
        <v>2107215572</v>
      </c>
      <c r="M8704" t="s">
        <v>7910</v>
      </c>
      <c r="N8704" t="s">
        <v>3358</v>
      </c>
      <c r="O8704" t="s">
        <v>7911</v>
      </c>
      <c r="P8704">
        <v>16121</v>
      </c>
      <c r="Q8704" t="str">
        <f>"37.970787"</f>
        <v>37.970787</v>
      </c>
      <c r="R8704" t="str">
        <f>"23.754352"</f>
        <v>23.754352</v>
      </c>
      <c r="S8704" t="s">
        <v>26</v>
      </c>
    </row>
    <row r="8705" spans="1:19" x14ac:dyDescent="0.3">
      <c r="A8705" t="s">
        <v>3237</v>
      </c>
      <c r="B8705" t="s">
        <v>6738</v>
      </c>
      <c r="C8705" t="s">
        <v>7916</v>
      </c>
      <c r="D8705" t="s">
        <v>3238</v>
      </c>
      <c r="E8705" t="s">
        <v>3404</v>
      </c>
      <c r="F8705" t="s">
        <v>3658</v>
      </c>
      <c r="G8705" t="s">
        <v>3658</v>
      </c>
      <c r="H8705" t="s">
        <v>859</v>
      </c>
      <c r="I8705" t="s">
        <v>860</v>
      </c>
      <c r="J8705" t="str">
        <f>"9051013"</f>
        <v>9051013</v>
      </c>
      <c r="K8705">
        <v>2102518097</v>
      </c>
      <c r="L8705">
        <v>2102518097</v>
      </c>
      <c r="M8705" t="s">
        <v>7917</v>
      </c>
      <c r="N8705" t="s">
        <v>7640</v>
      </c>
      <c r="O8705" t="s">
        <v>7918</v>
      </c>
      <c r="P8705">
        <v>14343</v>
      </c>
      <c r="Q8705" t="str">
        <f>"38.022889"</f>
        <v>38.022889</v>
      </c>
      <c r="R8705" t="str">
        <f>"23.724542"</f>
        <v>23.724542</v>
      </c>
      <c r="S8705" t="s">
        <v>26</v>
      </c>
    </row>
    <row r="8706" spans="1:19" x14ac:dyDescent="0.3">
      <c r="A8706" t="s">
        <v>3237</v>
      </c>
      <c r="B8706" t="s">
        <v>7919</v>
      </c>
      <c r="C8706" t="s">
        <v>7923</v>
      </c>
      <c r="D8706" t="s">
        <v>3262</v>
      </c>
      <c r="E8706" t="s">
        <v>3298</v>
      </c>
      <c r="F8706" t="s">
        <v>3298</v>
      </c>
      <c r="G8706" t="s">
        <v>3298</v>
      </c>
      <c r="H8706" t="s">
        <v>859</v>
      </c>
      <c r="I8706" t="s">
        <v>860</v>
      </c>
      <c r="J8706" t="str">
        <f>"9050244"</f>
        <v>9050244</v>
      </c>
      <c r="K8706">
        <v>2102462104</v>
      </c>
      <c r="L8706">
        <v>2102462104</v>
      </c>
      <c r="M8706" t="s">
        <v>7924</v>
      </c>
      <c r="N8706" t="s">
        <v>3298</v>
      </c>
      <c r="O8706" t="s">
        <v>7925</v>
      </c>
      <c r="P8706">
        <v>13671</v>
      </c>
      <c r="Q8706" t="str">
        <f>"38.079904"</f>
        <v>38.079904</v>
      </c>
      <c r="R8706" t="str">
        <f>"23.739166"</f>
        <v>23.739166</v>
      </c>
      <c r="S8706" t="s">
        <v>26</v>
      </c>
    </row>
    <row r="8707" spans="1:19" x14ac:dyDescent="0.3">
      <c r="A8707" t="s">
        <v>3237</v>
      </c>
      <c r="B8707" t="s">
        <v>7919</v>
      </c>
      <c r="C8707" t="s">
        <v>7926</v>
      </c>
      <c r="D8707" t="s">
        <v>3262</v>
      </c>
      <c r="E8707" t="s">
        <v>3298</v>
      </c>
      <c r="F8707" t="s">
        <v>3298</v>
      </c>
      <c r="G8707" t="s">
        <v>3298</v>
      </c>
      <c r="H8707" t="s">
        <v>859</v>
      </c>
      <c r="I8707" t="s">
        <v>860</v>
      </c>
      <c r="J8707" t="str">
        <f>"9051796"</f>
        <v>9051796</v>
      </c>
      <c r="K8707">
        <v>2102443537</v>
      </c>
      <c r="M8707" t="s">
        <v>7927</v>
      </c>
      <c r="N8707" t="s">
        <v>3298</v>
      </c>
      <c r="O8707" t="s">
        <v>7928</v>
      </c>
      <c r="P8707">
        <v>13672</v>
      </c>
      <c r="Q8707" t="str">
        <f>"38.083514"</f>
        <v>38.083514</v>
      </c>
      <c r="R8707" t="str">
        <f>"23.725513"</f>
        <v>23.725513</v>
      </c>
      <c r="S8707" t="s">
        <v>26</v>
      </c>
    </row>
    <row r="8708" spans="1:19" x14ac:dyDescent="0.3">
      <c r="A8708" t="s">
        <v>3237</v>
      </c>
      <c r="B8708" t="s">
        <v>7919</v>
      </c>
      <c r="C8708" t="s">
        <v>7929</v>
      </c>
      <c r="D8708" t="s">
        <v>3262</v>
      </c>
      <c r="E8708" t="s">
        <v>3298</v>
      </c>
      <c r="F8708" t="s">
        <v>3298</v>
      </c>
      <c r="G8708" t="s">
        <v>3298</v>
      </c>
      <c r="H8708" t="s">
        <v>859</v>
      </c>
      <c r="I8708" t="s">
        <v>860</v>
      </c>
      <c r="J8708" t="str">
        <f>"9051045"</f>
        <v>9051045</v>
      </c>
      <c r="K8708">
        <v>2102465104</v>
      </c>
      <c r="L8708">
        <v>2102463638</v>
      </c>
      <c r="M8708" t="s">
        <v>7930</v>
      </c>
      <c r="N8708" t="s">
        <v>4028</v>
      </c>
      <c r="O8708" t="s">
        <v>7931</v>
      </c>
      <c r="P8708">
        <v>13678</v>
      </c>
      <c r="Q8708" t="str">
        <f>"38.089201"</f>
        <v>38.089201</v>
      </c>
      <c r="R8708" t="str">
        <f>"23.745112"</f>
        <v>23.745112</v>
      </c>
      <c r="S8708" t="s">
        <v>26</v>
      </c>
    </row>
    <row r="8709" spans="1:19" x14ac:dyDescent="0.3">
      <c r="A8709" t="s">
        <v>3237</v>
      </c>
      <c r="B8709" t="s">
        <v>7919</v>
      </c>
      <c r="C8709" t="s">
        <v>7935</v>
      </c>
      <c r="D8709" t="s">
        <v>3262</v>
      </c>
      <c r="E8709" t="s">
        <v>4118</v>
      </c>
      <c r="F8709" t="s">
        <v>4248</v>
      </c>
      <c r="G8709" t="s">
        <v>4249</v>
      </c>
      <c r="H8709" t="s">
        <v>859</v>
      </c>
      <c r="I8709" t="s">
        <v>860</v>
      </c>
      <c r="J8709" t="str">
        <f>"9051908"</f>
        <v>9051908</v>
      </c>
      <c r="K8709">
        <v>2294089800</v>
      </c>
      <c r="L8709">
        <v>2294085674</v>
      </c>
      <c r="M8709" t="s">
        <v>7936</v>
      </c>
      <c r="N8709" t="s">
        <v>4248</v>
      </c>
      <c r="O8709" t="s">
        <v>7937</v>
      </c>
      <c r="P8709">
        <v>19016</v>
      </c>
      <c r="Q8709" t="str">
        <f>"37.958132"</f>
        <v>37.958132</v>
      </c>
      <c r="R8709" t="str">
        <f>"24.005538"</f>
        <v>24.005538</v>
      </c>
      <c r="S8709" t="s">
        <v>26</v>
      </c>
    </row>
    <row r="8710" spans="1:19" x14ac:dyDescent="0.3">
      <c r="A8710" t="s">
        <v>3237</v>
      </c>
      <c r="B8710" t="s">
        <v>7919</v>
      </c>
      <c r="C8710" t="s">
        <v>7938</v>
      </c>
      <c r="D8710" t="s">
        <v>3262</v>
      </c>
      <c r="E8710" t="s">
        <v>4024</v>
      </c>
      <c r="F8710" t="s">
        <v>2199</v>
      </c>
      <c r="G8710" t="s">
        <v>2199</v>
      </c>
      <c r="H8710" t="s">
        <v>859</v>
      </c>
      <c r="I8710" t="s">
        <v>860</v>
      </c>
      <c r="J8710" t="str">
        <f>"9050593"</f>
        <v>9050593</v>
      </c>
      <c r="K8710">
        <v>2106612076</v>
      </c>
      <c r="L8710">
        <v>2106612076</v>
      </c>
      <c r="M8710" t="s">
        <v>7939</v>
      </c>
      <c r="N8710" t="s">
        <v>2199</v>
      </c>
      <c r="O8710" t="s">
        <v>7940</v>
      </c>
      <c r="P8710">
        <v>15344</v>
      </c>
      <c r="Q8710" t="str">
        <f>"38.010048"</f>
        <v>38.010048</v>
      </c>
      <c r="R8710" t="str">
        <f>"23.858062"</f>
        <v>23.858062</v>
      </c>
      <c r="S8710" t="s">
        <v>26</v>
      </c>
    </row>
    <row r="8711" spans="1:19" x14ac:dyDescent="0.3">
      <c r="A8711" t="s">
        <v>3237</v>
      </c>
      <c r="B8711" t="s">
        <v>7919</v>
      </c>
      <c r="C8711" t="s">
        <v>7941</v>
      </c>
      <c r="D8711" t="s">
        <v>3262</v>
      </c>
      <c r="E8711" t="s">
        <v>4024</v>
      </c>
      <c r="F8711" t="s">
        <v>2199</v>
      </c>
      <c r="G8711" t="s">
        <v>2199</v>
      </c>
      <c r="H8711" t="s">
        <v>859</v>
      </c>
      <c r="I8711" t="s">
        <v>860</v>
      </c>
      <c r="J8711" t="str">
        <f>"9050799"</f>
        <v>9050799</v>
      </c>
      <c r="K8711">
        <v>2106612222</v>
      </c>
      <c r="L8711">
        <v>2106612222</v>
      </c>
      <c r="M8711" t="s">
        <v>7942</v>
      </c>
      <c r="N8711" t="s">
        <v>2199</v>
      </c>
      <c r="O8711" t="s">
        <v>7943</v>
      </c>
      <c r="P8711">
        <v>15344</v>
      </c>
      <c r="Q8711" t="str">
        <f>"38.022364"</f>
        <v>38.022364</v>
      </c>
      <c r="R8711" t="str">
        <f>"23.855160"</f>
        <v>23.855160</v>
      </c>
      <c r="S8711" t="s">
        <v>26</v>
      </c>
    </row>
    <row r="8712" spans="1:19" x14ac:dyDescent="0.3">
      <c r="A8712" t="s">
        <v>3237</v>
      </c>
      <c r="B8712" t="s">
        <v>7919</v>
      </c>
      <c r="C8712" t="s">
        <v>7944</v>
      </c>
      <c r="D8712" t="s">
        <v>3262</v>
      </c>
      <c r="E8712" t="s">
        <v>3298</v>
      </c>
      <c r="F8712" t="s">
        <v>3298</v>
      </c>
      <c r="G8712" t="s">
        <v>3298</v>
      </c>
      <c r="H8712" t="s">
        <v>859</v>
      </c>
      <c r="I8712" t="s">
        <v>860</v>
      </c>
      <c r="J8712" t="str">
        <f>"9050246"</f>
        <v>9050246</v>
      </c>
      <c r="K8712">
        <v>2102316232</v>
      </c>
      <c r="L8712">
        <v>2102316232</v>
      </c>
      <c r="M8712" t="s">
        <v>7945</v>
      </c>
      <c r="N8712" t="s">
        <v>3298</v>
      </c>
      <c r="O8712" t="s">
        <v>7946</v>
      </c>
      <c r="P8712">
        <v>13671</v>
      </c>
      <c r="Q8712" t="str">
        <f>"38.053201"</f>
        <v>38.053201</v>
      </c>
      <c r="R8712" t="str">
        <f>"23.735448"</f>
        <v>23.735448</v>
      </c>
      <c r="S8712" t="s">
        <v>26</v>
      </c>
    </row>
    <row r="8713" spans="1:19" x14ac:dyDescent="0.3">
      <c r="A8713" t="s">
        <v>3237</v>
      </c>
      <c r="B8713" t="s">
        <v>7919</v>
      </c>
      <c r="C8713" t="s">
        <v>7947</v>
      </c>
      <c r="D8713" t="s">
        <v>3262</v>
      </c>
      <c r="E8713" t="s">
        <v>4024</v>
      </c>
      <c r="F8713" t="s">
        <v>2199</v>
      </c>
      <c r="G8713" t="s">
        <v>2199</v>
      </c>
      <c r="H8713" t="s">
        <v>859</v>
      </c>
      <c r="I8713" t="s">
        <v>860</v>
      </c>
      <c r="J8713" t="str">
        <f>"9051893"</f>
        <v>9051893</v>
      </c>
      <c r="K8713">
        <v>2106047562</v>
      </c>
      <c r="L8713">
        <v>2106617596</v>
      </c>
      <c r="M8713" t="s">
        <v>7948</v>
      </c>
      <c r="N8713" t="s">
        <v>2199</v>
      </c>
      <c r="O8713" t="s">
        <v>7949</v>
      </c>
      <c r="P8713">
        <v>15344</v>
      </c>
      <c r="Q8713" t="str">
        <f>"38.029949"</f>
        <v>38.029949</v>
      </c>
      <c r="R8713" t="str">
        <f>"23.856706"</f>
        <v>23.856706</v>
      </c>
      <c r="S8713" t="s">
        <v>26</v>
      </c>
    </row>
    <row r="8714" spans="1:19" x14ac:dyDescent="0.3">
      <c r="A8714" t="s">
        <v>3237</v>
      </c>
      <c r="B8714" t="s">
        <v>7919</v>
      </c>
      <c r="C8714" t="s">
        <v>7950</v>
      </c>
      <c r="D8714" t="s">
        <v>3262</v>
      </c>
      <c r="E8714" t="s">
        <v>4024</v>
      </c>
      <c r="F8714" t="s">
        <v>2199</v>
      </c>
      <c r="G8714" t="s">
        <v>2199</v>
      </c>
      <c r="H8714" t="s">
        <v>859</v>
      </c>
      <c r="I8714" t="s">
        <v>860</v>
      </c>
      <c r="J8714" t="str">
        <f>"9051922"</f>
        <v>9051922</v>
      </c>
      <c r="K8714">
        <v>2106049553</v>
      </c>
      <c r="L8714">
        <v>2106049553</v>
      </c>
      <c r="M8714" t="s">
        <v>7951</v>
      </c>
      <c r="N8714" t="s">
        <v>2199</v>
      </c>
      <c r="O8714" t="s">
        <v>7952</v>
      </c>
      <c r="P8714">
        <v>15344</v>
      </c>
      <c r="Q8714" t="str">
        <f>"38.001152"</f>
        <v>38.001152</v>
      </c>
      <c r="R8714" t="str">
        <f>"23.857310"</f>
        <v>23.857310</v>
      </c>
      <c r="S8714" t="s">
        <v>26</v>
      </c>
    </row>
    <row r="8715" spans="1:19" x14ac:dyDescent="0.3">
      <c r="A8715" t="s">
        <v>3237</v>
      </c>
      <c r="B8715" t="s">
        <v>7919</v>
      </c>
      <c r="C8715" t="s">
        <v>7953</v>
      </c>
      <c r="D8715" t="s">
        <v>3262</v>
      </c>
      <c r="E8715" t="s">
        <v>4075</v>
      </c>
      <c r="F8715" t="s">
        <v>4076</v>
      </c>
      <c r="G8715" t="s">
        <v>4076</v>
      </c>
      <c r="H8715" t="s">
        <v>859</v>
      </c>
      <c r="I8715" t="s">
        <v>860</v>
      </c>
      <c r="J8715" t="str">
        <f>"9520644"</f>
        <v>9520644</v>
      </c>
      <c r="K8715">
        <v>2106040561</v>
      </c>
      <c r="L8715">
        <v>2106040561</v>
      </c>
      <c r="M8715" t="s">
        <v>7954</v>
      </c>
      <c r="N8715" t="s">
        <v>4076</v>
      </c>
      <c r="O8715" t="s">
        <v>7955</v>
      </c>
      <c r="P8715">
        <v>15354</v>
      </c>
      <c r="Q8715" t="str">
        <f>"37.989331"</f>
        <v>37.989331</v>
      </c>
      <c r="R8715" t="str">
        <f>"23.846239"</f>
        <v>23.846239</v>
      </c>
      <c r="S8715" t="s">
        <v>26</v>
      </c>
    </row>
    <row r="8716" spans="1:19" x14ac:dyDescent="0.3">
      <c r="A8716" t="s">
        <v>3237</v>
      </c>
      <c r="B8716" t="s">
        <v>7919</v>
      </c>
      <c r="C8716" t="s">
        <v>7956</v>
      </c>
      <c r="D8716" t="s">
        <v>3262</v>
      </c>
      <c r="E8716" t="s">
        <v>4024</v>
      </c>
      <c r="F8716" t="s">
        <v>4024</v>
      </c>
      <c r="G8716" t="s">
        <v>4024</v>
      </c>
      <c r="H8716" t="s">
        <v>859</v>
      </c>
      <c r="I8716" t="s">
        <v>860</v>
      </c>
      <c r="J8716" t="str">
        <f>"9051910"</f>
        <v>9051910</v>
      </c>
      <c r="K8716">
        <v>2106033346</v>
      </c>
      <c r="L8716">
        <v>2106033346</v>
      </c>
      <c r="M8716" t="s">
        <v>7957</v>
      </c>
      <c r="N8716" t="s">
        <v>4024</v>
      </c>
      <c r="O8716" t="s">
        <v>7958</v>
      </c>
      <c r="P8716">
        <v>15351</v>
      </c>
      <c r="Q8716" t="str">
        <f>"38.004882"</f>
        <v>38.004882</v>
      </c>
      <c r="R8716" t="str">
        <f>"23.884400"</f>
        <v>23.884400</v>
      </c>
      <c r="S8716" t="s">
        <v>26</v>
      </c>
    </row>
    <row r="8717" spans="1:19" x14ac:dyDescent="0.3">
      <c r="A8717" t="s">
        <v>3237</v>
      </c>
      <c r="B8717" t="s">
        <v>7919</v>
      </c>
      <c r="C8717" t="s">
        <v>7959</v>
      </c>
      <c r="D8717" t="s">
        <v>3262</v>
      </c>
      <c r="E8717" t="s">
        <v>4024</v>
      </c>
      <c r="F8717" t="s">
        <v>4024</v>
      </c>
      <c r="G8717" t="s">
        <v>4024</v>
      </c>
      <c r="H8717" t="s">
        <v>859</v>
      </c>
      <c r="I8717" t="s">
        <v>860</v>
      </c>
      <c r="J8717" t="str">
        <f>"9051923"</f>
        <v>9051923</v>
      </c>
      <c r="K8717">
        <v>2106665355</v>
      </c>
      <c r="L8717">
        <v>2106665355</v>
      </c>
      <c r="M8717" t="s">
        <v>7960</v>
      </c>
      <c r="N8717" t="s">
        <v>4024</v>
      </c>
      <c r="O8717" t="s">
        <v>7961</v>
      </c>
      <c r="P8717">
        <v>15351</v>
      </c>
      <c r="Q8717" t="str">
        <f>"38.005536"</f>
        <v>38.005536</v>
      </c>
      <c r="R8717" t="str">
        <f>"23.918790"</f>
        <v>23.918790</v>
      </c>
      <c r="S8717" t="s">
        <v>26</v>
      </c>
    </row>
    <row r="8718" spans="1:19" x14ac:dyDescent="0.3">
      <c r="A8718" t="s">
        <v>3237</v>
      </c>
      <c r="B8718" t="s">
        <v>7919</v>
      </c>
      <c r="C8718" t="s">
        <v>7965</v>
      </c>
      <c r="D8718" t="s">
        <v>3262</v>
      </c>
      <c r="E8718" t="s">
        <v>4060</v>
      </c>
      <c r="F8718" t="s">
        <v>4061</v>
      </c>
      <c r="G8718" t="s">
        <v>4061</v>
      </c>
      <c r="H8718" t="s">
        <v>859</v>
      </c>
      <c r="I8718" t="s">
        <v>860</v>
      </c>
      <c r="J8718" t="str">
        <f>"9051909"</f>
        <v>9051909</v>
      </c>
      <c r="K8718">
        <v>2294079760</v>
      </c>
      <c r="L8718">
        <v>2294079760</v>
      </c>
      <c r="M8718" t="s">
        <v>7966</v>
      </c>
      <c r="N8718" t="s">
        <v>4061</v>
      </c>
      <c r="O8718" t="s">
        <v>7967</v>
      </c>
      <c r="P8718">
        <v>19009</v>
      </c>
      <c r="Q8718" t="str">
        <f>"38.027508"</f>
        <v>38.027508</v>
      </c>
      <c r="R8718" t="str">
        <f>"23.996876"</f>
        <v>23.996876</v>
      </c>
      <c r="S8718" t="s">
        <v>26</v>
      </c>
    </row>
    <row r="8719" spans="1:19" x14ac:dyDescent="0.3">
      <c r="A8719" t="s">
        <v>3237</v>
      </c>
      <c r="B8719" t="s">
        <v>7919</v>
      </c>
      <c r="C8719" t="s">
        <v>7968</v>
      </c>
      <c r="D8719" t="s">
        <v>3262</v>
      </c>
      <c r="E8719" t="s">
        <v>4024</v>
      </c>
      <c r="F8719" t="s">
        <v>4024</v>
      </c>
      <c r="G8719" t="s">
        <v>4024</v>
      </c>
      <c r="H8719" t="s">
        <v>859</v>
      </c>
      <c r="I8719" t="s">
        <v>860</v>
      </c>
      <c r="J8719" t="str">
        <f>"9051631"</f>
        <v>9051631</v>
      </c>
      <c r="K8719">
        <v>2106667177</v>
      </c>
      <c r="L8719">
        <v>2106667177</v>
      </c>
      <c r="M8719" t="s">
        <v>7969</v>
      </c>
      <c r="N8719" t="s">
        <v>4024</v>
      </c>
      <c r="O8719" t="s">
        <v>7970</v>
      </c>
      <c r="P8719">
        <v>15351</v>
      </c>
      <c r="Q8719" t="str">
        <f>"38.004075"</f>
        <v>38.004075</v>
      </c>
      <c r="R8719" t="str">
        <f>"23.883581"</f>
        <v>23.883581</v>
      </c>
      <c r="S8719" t="s">
        <v>26</v>
      </c>
    </row>
    <row r="8720" spans="1:19" x14ac:dyDescent="0.3">
      <c r="A8720" t="s">
        <v>3237</v>
      </c>
      <c r="B8720" t="s">
        <v>7919</v>
      </c>
      <c r="C8720" t="s">
        <v>7971</v>
      </c>
      <c r="D8720" t="s">
        <v>3262</v>
      </c>
      <c r="E8720" t="s">
        <v>4024</v>
      </c>
      <c r="F8720" t="s">
        <v>4024</v>
      </c>
      <c r="G8720" t="s">
        <v>4024</v>
      </c>
      <c r="H8720" t="s">
        <v>859</v>
      </c>
      <c r="I8720" t="s">
        <v>860</v>
      </c>
      <c r="J8720" t="str">
        <f>"9520813"</f>
        <v>9520813</v>
      </c>
      <c r="K8720">
        <v>2106033735</v>
      </c>
      <c r="M8720" t="s">
        <v>7972</v>
      </c>
      <c r="N8720" t="s">
        <v>7973</v>
      </c>
      <c r="O8720" t="s">
        <v>7974</v>
      </c>
      <c r="P8720">
        <v>15351</v>
      </c>
      <c r="Q8720" t="str">
        <f>"38.000942"</f>
        <v>38.000942</v>
      </c>
      <c r="R8720" t="str">
        <f>"23.867539"</f>
        <v>23.867539</v>
      </c>
      <c r="S8720" t="s">
        <v>26</v>
      </c>
    </row>
    <row r="8721" spans="1:19" x14ac:dyDescent="0.3">
      <c r="A8721" t="s">
        <v>3237</v>
      </c>
      <c r="B8721" t="s">
        <v>7919</v>
      </c>
      <c r="C8721" t="s">
        <v>7975</v>
      </c>
      <c r="D8721" t="s">
        <v>3262</v>
      </c>
      <c r="E8721" t="s">
        <v>4024</v>
      </c>
      <c r="F8721" t="s">
        <v>2199</v>
      </c>
      <c r="G8721" t="s">
        <v>2199</v>
      </c>
      <c r="H8721" t="s">
        <v>859</v>
      </c>
      <c r="I8721" t="s">
        <v>860</v>
      </c>
      <c r="J8721" t="str">
        <f>"9051865"</f>
        <v>9051865</v>
      </c>
      <c r="K8721">
        <v>2106048141</v>
      </c>
      <c r="L8721">
        <v>2106048141</v>
      </c>
      <c r="M8721" t="s">
        <v>7976</v>
      </c>
      <c r="N8721" t="s">
        <v>2199</v>
      </c>
      <c r="O8721" t="s">
        <v>7977</v>
      </c>
      <c r="P8721">
        <v>15344</v>
      </c>
      <c r="Q8721" t="str">
        <f>"38.012525"</f>
        <v>38.012525</v>
      </c>
      <c r="R8721" t="str">
        <f>"23.846447"</f>
        <v>23.846447</v>
      </c>
      <c r="S8721" t="s">
        <v>26</v>
      </c>
    </row>
    <row r="8722" spans="1:19" x14ac:dyDescent="0.3">
      <c r="A8722" t="s">
        <v>3237</v>
      </c>
      <c r="B8722" t="s">
        <v>7919</v>
      </c>
      <c r="C8722" t="s">
        <v>7978</v>
      </c>
      <c r="D8722" t="s">
        <v>3262</v>
      </c>
      <c r="E8722" t="s">
        <v>4024</v>
      </c>
      <c r="F8722" t="s">
        <v>4024</v>
      </c>
      <c r="G8722" t="s">
        <v>4024</v>
      </c>
      <c r="H8722" t="s">
        <v>859</v>
      </c>
      <c r="I8722" t="s">
        <v>860</v>
      </c>
      <c r="J8722" t="str">
        <f>"9520913"</f>
        <v>9520913</v>
      </c>
      <c r="K8722">
        <v>2106042820</v>
      </c>
      <c r="L8722">
        <v>2106042820</v>
      </c>
      <c r="M8722" t="s">
        <v>7979</v>
      </c>
      <c r="N8722" t="s">
        <v>4024</v>
      </c>
      <c r="O8722" t="s">
        <v>7980</v>
      </c>
      <c r="P8722">
        <v>15351</v>
      </c>
      <c r="Q8722" t="str">
        <f>"37.990337"</f>
        <v>37.990337</v>
      </c>
      <c r="R8722" t="str">
        <f>"23.851754"</f>
        <v>23.851754</v>
      </c>
      <c r="S8722" t="s">
        <v>26</v>
      </c>
    </row>
    <row r="8723" spans="1:19" x14ac:dyDescent="0.3">
      <c r="A8723" t="s">
        <v>3237</v>
      </c>
      <c r="B8723" t="s">
        <v>7919</v>
      </c>
      <c r="C8723" t="s">
        <v>7983</v>
      </c>
      <c r="D8723" t="s">
        <v>3262</v>
      </c>
      <c r="E8723" t="s">
        <v>4118</v>
      </c>
      <c r="F8723" t="s">
        <v>4119</v>
      </c>
      <c r="G8723" t="s">
        <v>4119</v>
      </c>
      <c r="H8723" t="s">
        <v>859</v>
      </c>
      <c r="I8723" t="s">
        <v>860</v>
      </c>
      <c r="J8723" t="str">
        <f>"9051924"</f>
        <v>9051924</v>
      </c>
      <c r="K8723">
        <v>2106635687</v>
      </c>
      <c r="L8723">
        <v>2106635687</v>
      </c>
      <c r="M8723" t="s">
        <v>7984</v>
      </c>
      <c r="N8723" t="s">
        <v>7985</v>
      </c>
      <c r="O8723" t="s">
        <v>7986</v>
      </c>
      <c r="P8723">
        <v>19004</v>
      </c>
      <c r="Q8723" t="str">
        <f>"37.979588"</f>
        <v>37.979588</v>
      </c>
      <c r="R8723" t="str">
        <f>"23.917621"</f>
        <v>23.917621</v>
      </c>
      <c r="S8723" t="s">
        <v>26</v>
      </c>
    </row>
    <row r="8724" spans="1:19" x14ac:dyDescent="0.3">
      <c r="A8724" t="s">
        <v>3237</v>
      </c>
      <c r="B8724" t="s">
        <v>7919</v>
      </c>
      <c r="C8724" t="s">
        <v>7987</v>
      </c>
      <c r="D8724" t="s">
        <v>3262</v>
      </c>
      <c r="E8724" t="s">
        <v>4011</v>
      </c>
      <c r="F8724" t="s">
        <v>4112</v>
      </c>
      <c r="G8724" t="s">
        <v>4112</v>
      </c>
      <c r="H8724" t="s">
        <v>859</v>
      </c>
      <c r="I8724" t="s">
        <v>860</v>
      </c>
      <c r="J8724" t="str">
        <f>"9520956"</f>
        <v>9520956</v>
      </c>
      <c r="K8724">
        <v>2109653857</v>
      </c>
      <c r="L8724">
        <v>2109653857</v>
      </c>
      <c r="M8724" t="s">
        <v>7988</v>
      </c>
      <c r="N8724" t="s">
        <v>4144</v>
      </c>
      <c r="O8724" t="s">
        <v>7989</v>
      </c>
      <c r="P8724">
        <v>16672</v>
      </c>
      <c r="Q8724" t="str">
        <f>"37.834617"</f>
        <v>37.834617</v>
      </c>
      <c r="R8724" t="str">
        <f>"23.811375"</f>
        <v>23.811375</v>
      </c>
      <c r="S8724" t="s">
        <v>26</v>
      </c>
    </row>
    <row r="8725" spans="1:19" x14ac:dyDescent="0.3">
      <c r="A8725" t="s">
        <v>3237</v>
      </c>
      <c r="B8725" t="s">
        <v>7919</v>
      </c>
      <c r="C8725" t="s">
        <v>7994</v>
      </c>
      <c r="D8725" t="s">
        <v>3262</v>
      </c>
      <c r="E8725" t="s">
        <v>4075</v>
      </c>
      <c r="F8725" t="s">
        <v>4076</v>
      </c>
      <c r="G8725" t="s">
        <v>4076</v>
      </c>
      <c r="H8725" t="s">
        <v>859</v>
      </c>
      <c r="I8725" t="s">
        <v>860</v>
      </c>
      <c r="J8725" t="str">
        <f>"9051428"</f>
        <v>9051428</v>
      </c>
      <c r="K8725">
        <v>2106658650</v>
      </c>
      <c r="L8725">
        <v>2106658650</v>
      </c>
      <c r="M8725" t="s">
        <v>7995</v>
      </c>
      <c r="N8725" t="s">
        <v>4076</v>
      </c>
      <c r="O8725" t="s">
        <v>7996</v>
      </c>
      <c r="P8725">
        <v>15354</v>
      </c>
      <c r="Q8725" t="str">
        <f>"37.988930"</f>
        <v>37.988930</v>
      </c>
      <c r="R8725" t="str">
        <f>"23.845561"</f>
        <v>23.845561</v>
      </c>
      <c r="S8725" t="s">
        <v>26</v>
      </c>
    </row>
    <row r="8726" spans="1:19" x14ac:dyDescent="0.3">
      <c r="A8726" t="s">
        <v>3237</v>
      </c>
      <c r="B8726" t="s">
        <v>7919</v>
      </c>
      <c r="C8726" t="s">
        <v>7997</v>
      </c>
      <c r="D8726" t="s">
        <v>3262</v>
      </c>
      <c r="E8726" t="s">
        <v>4024</v>
      </c>
      <c r="F8726" t="s">
        <v>4024</v>
      </c>
      <c r="G8726" t="s">
        <v>4024</v>
      </c>
      <c r="H8726" t="s">
        <v>859</v>
      </c>
      <c r="I8726" t="s">
        <v>860</v>
      </c>
      <c r="J8726" t="str">
        <f>"9050886"</f>
        <v>9050886</v>
      </c>
      <c r="K8726">
        <v>2106658411</v>
      </c>
      <c r="L8726">
        <v>2106658411</v>
      </c>
      <c r="M8726" t="s">
        <v>7998</v>
      </c>
      <c r="N8726" t="s">
        <v>4024</v>
      </c>
      <c r="O8726" t="s">
        <v>7999</v>
      </c>
      <c r="P8726">
        <v>15351</v>
      </c>
      <c r="Q8726" t="str">
        <f>"37.989319"</f>
        <v>37.989319</v>
      </c>
      <c r="R8726" t="str">
        <f>"23.862546"</f>
        <v>23.862546</v>
      </c>
      <c r="S8726" t="s">
        <v>26</v>
      </c>
    </row>
    <row r="8727" spans="1:19" x14ac:dyDescent="0.3">
      <c r="A8727" t="s">
        <v>3237</v>
      </c>
      <c r="B8727" t="s">
        <v>7919</v>
      </c>
      <c r="C8727" t="s">
        <v>8000</v>
      </c>
      <c r="D8727" t="s">
        <v>3262</v>
      </c>
      <c r="E8727" t="s">
        <v>4060</v>
      </c>
      <c r="F8727" t="s">
        <v>4082</v>
      </c>
      <c r="G8727" t="s">
        <v>4082</v>
      </c>
      <c r="H8727" t="s">
        <v>859</v>
      </c>
      <c r="I8727" t="s">
        <v>860</v>
      </c>
      <c r="J8727" t="str">
        <f>"9051826"</f>
        <v>9051826</v>
      </c>
      <c r="K8727">
        <v>2106036243</v>
      </c>
      <c r="L8727">
        <v>2106036243</v>
      </c>
      <c r="M8727" t="s">
        <v>8001</v>
      </c>
      <c r="N8727" t="s">
        <v>4082</v>
      </c>
      <c r="O8727" t="s">
        <v>8002</v>
      </c>
      <c r="P8727">
        <v>19009</v>
      </c>
      <c r="Q8727" t="str">
        <f>"38.004431"</f>
        <v>38.004431</v>
      </c>
      <c r="R8727" t="str">
        <f>"23.938275"</f>
        <v>23.938275</v>
      </c>
      <c r="S8727" t="s">
        <v>26</v>
      </c>
    </row>
    <row r="8728" spans="1:19" x14ac:dyDescent="0.3">
      <c r="A8728" t="s">
        <v>3237</v>
      </c>
      <c r="B8728" t="s">
        <v>7919</v>
      </c>
      <c r="C8728" t="s">
        <v>8003</v>
      </c>
      <c r="D8728" t="s">
        <v>3262</v>
      </c>
      <c r="E8728" t="s">
        <v>4118</v>
      </c>
      <c r="F8728" t="s">
        <v>4119</v>
      </c>
      <c r="G8728" t="s">
        <v>4119</v>
      </c>
      <c r="H8728" t="s">
        <v>859</v>
      </c>
      <c r="I8728" t="s">
        <v>860</v>
      </c>
      <c r="J8728" t="str">
        <f>"9050563"</f>
        <v>9050563</v>
      </c>
      <c r="K8728">
        <v>2106634300</v>
      </c>
      <c r="L8728">
        <v>2106634300</v>
      </c>
      <c r="M8728" t="s">
        <v>8004</v>
      </c>
      <c r="N8728" t="s">
        <v>8005</v>
      </c>
      <c r="O8728" t="s">
        <v>8006</v>
      </c>
      <c r="P8728">
        <v>19004</v>
      </c>
      <c r="Q8728" t="str">
        <f>"37.962468"</f>
        <v>37.962468</v>
      </c>
      <c r="R8728" t="str">
        <f>"23.924056"</f>
        <v>23.924056</v>
      </c>
      <c r="S8728" t="s">
        <v>26</v>
      </c>
    </row>
    <row r="8729" spans="1:19" x14ac:dyDescent="0.3">
      <c r="A8729" t="s">
        <v>3237</v>
      </c>
      <c r="B8729" t="s">
        <v>7919</v>
      </c>
      <c r="C8729" t="s">
        <v>8007</v>
      </c>
      <c r="D8729" t="s">
        <v>3262</v>
      </c>
      <c r="E8729" t="s">
        <v>4118</v>
      </c>
      <c r="F8729" t="s">
        <v>4119</v>
      </c>
      <c r="G8729" t="s">
        <v>4119</v>
      </c>
      <c r="H8729" t="s">
        <v>859</v>
      </c>
      <c r="I8729" t="s">
        <v>860</v>
      </c>
      <c r="J8729" t="str">
        <f>"9050565"</f>
        <v>9050565</v>
      </c>
      <c r="K8729">
        <v>2106634111</v>
      </c>
      <c r="L8729">
        <v>2106634111</v>
      </c>
      <c r="M8729" t="s">
        <v>8008</v>
      </c>
      <c r="N8729" t="s">
        <v>4122</v>
      </c>
      <c r="O8729" t="s">
        <v>8009</v>
      </c>
      <c r="P8729">
        <v>19004</v>
      </c>
      <c r="Q8729" t="str">
        <f>"37.958045"</f>
        <v>37.958045</v>
      </c>
      <c r="R8729" t="str">
        <f>"23.915803"</f>
        <v>23.915803</v>
      </c>
      <c r="S8729" t="s">
        <v>26</v>
      </c>
    </row>
    <row r="8730" spans="1:19" x14ac:dyDescent="0.3">
      <c r="A8730" t="s">
        <v>3237</v>
      </c>
      <c r="B8730" t="s">
        <v>7919</v>
      </c>
      <c r="C8730" t="s">
        <v>8019</v>
      </c>
      <c r="D8730" t="s">
        <v>3262</v>
      </c>
      <c r="E8730" t="s">
        <v>4011</v>
      </c>
      <c r="F8730" t="s">
        <v>4112</v>
      </c>
      <c r="G8730" t="s">
        <v>4112</v>
      </c>
      <c r="H8730" t="s">
        <v>859</v>
      </c>
      <c r="I8730" t="s">
        <v>860</v>
      </c>
      <c r="J8730" t="str">
        <f>"9050570"</f>
        <v>9050570</v>
      </c>
      <c r="K8730">
        <v>2108973629</v>
      </c>
      <c r="L8730">
        <v>2108973629</v>
      </c>
      <c r="M8730" t="s">
        <v>8020</v>
      </c>
      <c r="N8730" t="s">
        <v>4112</v>
      </c>
      <c r="O8730" t="s">
        <v>8021</v>
      </c>
      <c r="P8730">
        <v>16672</v>
      </c>
      <c r="Q8730" t="str">
        <f>"37.830769"</f>
        <v>37.830769</v>
      </c>
      <c r="R8730" t="str">
        <f>"23.802266"</f>
        <v>23.802266</v>
      </c>
      <c r="S8730" t="s">
        <v>26</v>
      </c>
    </row>
    <row r="8731" spans="1:19" x14ac:dyDescent="0.3">
      <c r="A8731" t="s">
        <v>3237</v>
      </c>
      <c r="B8731" t="s">
        <v>7919</v>
      </c>
      <c r="C8731" t="s">
        <v>8041</v>
      </c>
      <c r="D8731" t="s">
        <v>3262</v>
      </c>
      <c r="E8731" t="s">
        <v>3997</v>
      </c>
      <c r="F8731" t="s">
        <v>4239</v>
      </c>
      <c r="G8731" t="s">
        <v>4239</v>
      </c>
      <c r="H8731" t="s">
        <v>859</v>
      </c>
      <c r="I8731" t="s">
        <v>860</v>
      </c>
      <c r="J8731" t="str">
        <f>"9050567"</f>
        <v>9050567</v>
      </c>
      <c r="K8731">
        <v>2291037746</v>
      </c>
      <c r="L8731">
        <v>2291037746</v>
      </c>
      <c r="M8731" t="s">
        <v>8042</v>
      </c>
      <c r="N8731" t="s">
        <v>4239</v>
      </c>
      <c r="O8731" t="s">
        <v>8043</v>
      </c>
      <c r="P8731">
        <v>19013</v>
      </c>
      <c r="Q8731" t="str">
        <f>"37.737165"</f>
        <v>37.737165</v>
      </c>
      <c r="R8731" t="str">
        <f>"23.951102"</f>
        <v>23.951102</v>
      </c>
      <c r="S8731" t="s">
        <v>26</v>
      </c>
    </row>
    <row r="8732" spans="1:19" x14ac:dyDescent="0.3">
      <c r="A8732" t="s">
        <v>3237</v>
      </c>
      <c r="B8732" t="s">
        <v>7919</v>
      </c>
      <c r="C8732" t="s">
        <v>8044</v>
      </c>
      <c r="D8732" t="s">
        <v>3262</v>
      </c>
      <c r="E8732" t="s">
        <v>3263</v>
      </c>
      <c r="F8732" t="s">
        <v>3263</v>
      </c>
      <c r="G8732" t="s">
        <v>3263</v>
      </c>
      <c r="H8732" t="s">
        <v>859</v>
      </c>
      <c r="I8732" t="s">
        <v>860</v>
      </c>
      <c r="J8732" t="str">
        <f>"9050550"</f>
        <v>9050550</v>
      </c>
      <c r="K8732">
        <v>2106622171</v>
      </c>
      <c r="L8732">
        <v>2106622171</v>
      </c>
      <c r="M8732" t="s">
        <v>8045</v>
      </c>
      <c r="N8732" t="s">
        <v>4003</v>
      </c>
      <c r="O8732" t="s">
        <v>8046</v>
      </c>
      <c r="P8732">
        <v>19400</v>
      </c>
      <c r="Q8732" t="str">
        <f>"37.901000"</f>
        <v>37.901000</v>
      </c>
      <c r="R8732" t="str">
        <f>"23.870661"</f>
        <v>23.870661</v>
      </c>
      <c r="S8732" t="s">
        <v>26</v>
      </c>
    </row>
    <row r="8733" spans="1:19" x14ac:dyDescent="0.3">
      <c r="A8733" t="s">
        <v>3237</v>
      </c>
      <c r="B8733" t="s">
        <v>7919</v>
      </c>
      <c r="C8733" t="s">
        <v>8047</v>
      </c>
      <c r="D8733" t="s">
        <v>3262</v>
      </c>
      <c r="E8733" t="s">
        <v>3997</v>
      </c>
      <c r="F8733" t="s">
        <v>3998</v>
      </c>
      <c r="G8733" t="s">
        <v>3998</v>
      </c>
      <c r="H8733" t="s">
        <v>859</v>
      </c>
      <c r="I8733" t="s">
        <v>860</v>
      </c>
      <c r="J8733" t="str">
        <f>"9520957"</f>
        <v>9520957</v>
      </c>
      <c r="K8733">
        <v>2291071241</v>
      </c>
      <c r="L8733">
        <v>2291071241</v>
      </c>
      <c r="M8733" t="s">
        <v>8048</v>
      </c>
      <c r="N8733" t="s">
        <v>2921</v>
      </c>
      <c r="O8733" t="s">
        <v>8049</v>
      </c>
      <c r="P8733">
        <v>19010</v>
      </c>
      <c r="Q8733" t="str">
        <f>"37.798961"</f>
        <v>37.798961</v>
      </c>
      <c r="R8733" t="str">
        <f>"23.890992"</f>
        <v>23.890992</v>
      </c>
      <c r="S8733" t="s">
        <v>26</v>
      </c>
    </row>
    <row r="8734" spans="1:19" x14ac:dyDescent="0.3">
      <c r="A8734" t="s">
        <v>3237</v>
      </c>
      <c r="B8734" t="s">
        <v>7919</v>
      </c>
      <c r="C8734" t="s">
        <v>8050</v>
      </c>
      <c r="D8734" t="s">
        <v>3262</v>
      </c>
      <c r="E8734" t="s">
        <v>4207</v>
      </c>
      <c r="F8734" t="s">
        <v>4207</v>
      </c>
      <c r="G8734" t="s">
        <v>4207</v>
      </c>
      <c r="H8734" t="s">
        <v>859</v>
      </c>
      <c r="I8734" t="s">
        <v>860</v>
      </c>
      <c r="J8734" t="str">
        <f>"9050797"</f>
        <v>9050797</v>
      </c>
      <c r="K8734">
        <v>2299063053</v>
      </c>
      <c r="L8734">
        <v>2299022241</v>
      </c>
      <c r="M8734" t="s">
        <v>8051</v>
      </c>
      <c r="N8734" t="s">
        <v>8052</v>
      </c>
      <c r="O8734" t="s">
        <v>8053</v>
      </c>
      <c r="P8734">
        <v>19003</v>
      </c>
      <c r="Q8734" t="str">
        <f>"37.881637"</f>
        <v>37.881637</v>
      </c>
      <c r="R8734" t="str">
        <f>"23.935331"</f>
        <v>23.935331</v>
      </c>
      <c r="S8734" t="s">
        <v>26</v>
      </c>
    </row>
    <row r="8735" spans="1:19" x14ac:dyDescent="0.3">
      <c r="A8735" t="s">
        <v>3237</v>
      </c>
      <c r="B8735" t="s">
        <v>7919</v>
      </c>
      <c r="C8735" t="s">
        <v>8054</v>
      </c>
      <c r="D8735" t="s">
        <v>3262</v>
      </c>
      <c r="E8735" t="s">
        <v>4031</v>
      </c>
      <c r="F8735" t="s">
        <v>4037</v>
      </c>
      <c r="G8735" t="s">
        <v>4037</v>
      </c>
      <c r="H8735" t="s">
        <v>859</v>
      </c>
      <c r="I8735" t="s">
        <v>860</v>
      </c>
      <c r="J8735" t="str">
        <f>"9050546"</f>
        <v>9050546</v>
      </c>
      <c r="K8735">
        <v>2299068532</v>
      </c>
      <c r="L8735">
        <v>2299068525</v>
      </c>
      <c r="M8735" t="s">
        <v>8055</v>
      </c>
      <c r="N8735" t="s">
        <v>4037</v>
      </c>
      <c r="O8735" t="s">
        <v>8056</v>
      </c>
      <c r="P8735">
        <v>19001</v>
      </c>
      <c r="Q8735" t="str">
        <f>"37.804890"</f>
        <v>37.804890</v>
      </c>
      <c r="R8735" t="str">
        <f>"23.972028"</f>
        <v>23.972028</v>
      </c>
      <c r="S8735" t="s">
        <v>26</v>
      </c>
    </row>
    <row r="8736" spans="1:19" x14ac:dyDescent="0.3">
      <c r="A8736" t="s">
        <v>3237</v>
      </c>
      <c r="B8736" t="s">
        <v>7919</v>
      </c>
      <c r="C8736" t="s">
        <v>8057</v>
      </c>
      <c r="D8736" t="s">
        <v>3262</v>
      </c>
      <c r="E8736" t="s">
        <v>4075</v>
      </c>
      <c r="F8736" t="s">
        <v>4075</v>
      </c>
      <c r="G8736" t="s">
        <v>4075</v>
      </c>
      <c r="H8736" t="s">
        <v>859</v>
      </c>
      <c r="I8736" t="s">
        <v>860</v>
      </c>
      <c r="J8736" t="str">
        <f>"9050594"</f>
        <v>9050594</v>
      </c>
      <c r="K8736">
        <v>2106642658</v>
      </c>
      <c r="L8736">
        <v>2106642658</v>
      </c>
      <c r="M8736" t="s">
        <v>8058</v>
      </c>
      <c r="N8736" t="s">
        <v>4075</v>
      </c>
      <c r="O8736" t="s">
        <v>8059</v>
      </c>
      <c r="P8736">
        <v>19002</v>
      </c>
      <c r="Q8736" t="str">
        <f>"37.958270"</f>
        <v>37.958270</v>
      </c>
      <c r="R8736" t="str">
        <f>"23.847380"</f>
        <v>23.847380</v>
      </c>
      <c r="S8736" t="s">
        <v>26</v>
      </c>
    </row>
    <row r="8737" spans="1:19" x14ac:dyDescent="0.3">
      <c r="A8737" t="s">
        <v>3237</v>
      </c>
      <c r="B8737" t="s">
        <v>7919</v>
      </c>
      <c r="C8737" t="s">
        <v>8062</v>
      </c>
      <c r="D8737" t="s">
        <v>3262</v>
      </c>
      <c r="E8737" t="s">
        <v>4019</v>
      </c>
      <c r="F8737" t="s">
        <v>4054</v>
      </c>
      <c r="G8737" t="s">
        <v>4054</v>
      </c>
      <c r="H8737" t="s">
        <v>859</v>
      </c>
      <c r="I8737" t="s">
        <v>860</v>
      </c>
      <c r="J8737" t="str">
        <f>"9051876"</f>
        <v>9051876</v>
      </c>
      <c r="K8737">
        <v>2294098877</v>
      </c>
      <c r="L8737">
        <v>2294098036</v>
      </c>
      <c r="M8737" t="s">
        <v>8063</v>
      </c>
      <c r="N8737" t="s">
        <v>4054</v>
      </c>
      <c r="O8737" t="s">
        <v>8064</v>
      </c>
      <c r="P8737">
        <v>19005</v>
      </c>
      <c r="Q8737" t="str">
        <f>"38.082663"</f>
        <v>38.082663</v>
      </c>
      <c r="R8737" t="str">
        <f>"23.975386"</f>
        <v>23.975386</v>
      </c>
      <c r="S8737" t="s">
        <v>26</v>
      </c>
    </row>
    <row r="8738" spans="1:19" x14ac:dyDescent="0.3">
      <c r="A8738" t="s">
        <v>3237</v>
      </c>
      <c r="B8738" t="s">
        <v>7919</v>
      </c>
      <c r="C8738" t="s">
        <v>8065</v>
      </c>
      <c r="D8738" t="s">
        <v>3262</v>
      </c>
      <c r="E8738" t="s">
        <v>4019</v>
      </c>
      <c r="F8738" t="s">
        <v>4054</v>
      </c>
      <c r="G8738" t="s">
        <v>4054</v>
      </c>
      <c r="H8738" t="s">
        <v>859</v>
      </c>
      <c r="I8738" t="s">
        <v>860</v>
      </c>
      <c r="J8738" t="str">
        <f>"9050589"</f>
        <v>9050589</v>
      </c>
      <c r="K8738">
        <v>2294094451</v>
      </c>
      <c r="L8738">
        <v>2294099679</v>
      </c>
      <c r="M8738" t="s">
        <v>8066</v>
      </c>
      <c r="N8738" t="s">
        <v>4054</v>
      </c>
      <c r="O8738" t="s">
        <v>8067</v>
      </c>
      <c r="P8738">
        <v>19005</v>
      </c>
      <c r="Q8738" t="str">
        <f>"38.082333"</f>
        <v>38.082333</v>
      </c>
      <c r="R8738" t="str">
        <f>"23.975885"</f>
        <v>23.975885</v>
      </c>
      <c r="S8738" t="s">
        <v>26</v>
      </c>
    </row>
    <row r="8739" spans="1:19" x14ac:dyDescent="0.3">
      <c r="A8739" t="s">
        <v>3237</v>
      </c>
      <c r="B8739" t="s">
        <v>7919</v>
      </c>
      <c r="C8739" t="s">
        <v>8068</v>
      </c>
      <c r="D8739" t="s">
        <v>3262</v>
      </c>
      <c r="E8739" t="s">
        <v>4031</v>
      </c>
      <c r="F8739" t="s">
        <v>4037</v>
      </c>
      <c r="G8739" t="s">
        <v>4037</v>
      </c>
      <c r="H8739" t="s">
        <v>859</v>
      </c>
      <c r="I8739" t="s">
        <v>860</v>
      </c>
      <c r="J8739" t="str">
        <f>"9051745"</f>
        <v>9051745</v>
      </c>
      <c r="K8739">
        <v>2299067370</v>
      </c>
      <c r="L8739">
        <v>2299066992</v>
      </c>
      <c r="M8739" t="s">
        <v>8069</v>
      </c>
      <c r="N8739" t="s">
        <v>4037</v>
      </c>
      <c r="O8739" t="s">
        <v>8070</v>
      </c>
      <c r="P8739">
        <v>19001</v>
      </c>
      <c r="Q8739" t="str">
        <f>"37.806857"</f>
        <v>37.806857</v>
      </c>
      <c r="R8739" t="str">
        <f>"23.980442"</f>
        <v>23.980442</v>
      </c>
      <c r="S8739" t="s">
        <v>26</v>
      </c>
    </row>
    <row r="8740" spans="1:19" x14ac:dyDescent="0.3">
      <c r="A8740" t="s">
        <v>3237</v>
      </c>
      <c r="B8740" t="s">
        <v>7919</v>
      </c>
      <c r="C8740" t="s">
        <v>8071</v>
      </c>
      <c r="D8740" t="s">
        <v>3262</v>
      </c>
      <c r="E8740" t="s">
        <v>3263</v>
      </c>
      <c r="F8740" t="s">
        <v>3263</v>
      </c>
      <c r="G8740" t="s">
        <v>3263</v>
      </c>
      <c r="H8740" t="s">
        <v>859</v>
      </c>
      <c r="I8740" t="s">
        <v>860</v>
      </c>
      <c r="J8740" t="str">
        <f>"9050795"</f>
        <v>9050795</v>
      </c>
      <c r="K8740">
        <v>2106627753</v>
      </c>
      <c r="L8740">
        <v>2106627753</v>
      </c>
      <c r="M8740" t="s">
        <v>8072</v>
      </c>
      <c r="N8740" t="s">
        <v>4003</v>
      </c>
      <c r="O8740" t="s">
        <v>8073</v>
      </c>
      <c r="P8740">
        <v>19400</v>
      </c>
      <c r="Q8740" t="str">
        <f>"37.906520"</f>
        <v>37.906520</v>
      </c>
      <c r="R8740" t="str">
        <f>"23.873744"</f>
        <v>23.873744</v>
      </c>
      <c r="S8740" t="s">
        <v>26</v>
      </c>
    </row>
    <row r="8741" spans="1:19" x14ac:dyDescent="0.3">
      <c r="A8741" t="s">
        <v>3237</v>
      </c>
      <c r="B8741" t="s">
        <v>7919</v>
      </c>
      <c r="C8741" t="s">
        <v>8082</v>
      </c>
      <c r="D8741" t="s">
        <v>3262</v>
      </c>
      <c r="E8741" t="s">
        <v>3263</v>
      </c>
      <c r="F8741" t="s">
        <v>3263</v>
      </c>
      <c r="G8741" t="s">
        <v>3263</v>
      </c>
      <c r="H8741" t="s">
        <v>859</v>
      </c>
      <c r="I8741" t="s">
        <v>860</v>
      </c>
      <c r="J8741" t="str">
        <f>"9051848"</f>
        <v>9051848</v>
      </c>
      <c r="K8741">
        <v>2109653495</v>
      </c>
      <c r="L8741">
        <v>2109653495</v>
      </c>
      <c r="M8741" t="s">
        <v>8083</v>
      </c>
      <c r="N8741" t="s">
        <v>8084</v>
      </c>
      <c r="O8741" t="s">
        <v>8085</v>
      </c>
      <c r="P8741">
        <v>19400</v>
      </c>
      <c r="Q8741" t="str">
        <f>"37.846792"</f>
        <v>37.846792</v>
      </c>
      <c r="R8741" t="str">
        <f>"23.838557"</f>
        <v>23.838557</v>
      </c>
      <c r="S8741" t="s">
        <v>26</v>
      </c>
    </row>
    <row r="8742" spans="1:19" x14ac:dyDescent="0.3">
      <c r="A8742" t="s">
        <v>3237</v>
      </c>
      <c r="B8742" t="s">
        <v>7919</v>
      </c>
      <c r="C8742" t="s">
        <v>8086</v>
      </c>
      <c r="D8742" t="s">
        <v>3262</v>
      </c>
      <c r="E8742" t="s">
        <v>4024</v>
      </c>
      <c r="F8742" t="s">
        <v>4526</v>
      </c>
      <c r="G8742" t="s">
        <v>4527</v>
      </c>
      <c r="H8742" t="s">
        <v>859</v>
      </c>
      <c r="I8742" t="s">
        <v>860</v>
      </c>
      <c r="J8742" t="str">
        <f>"9051586"</f>
        <v>9051586</v>
      </c>
      <c r="K8742">
        <v>2106668577</v>
      </c>
      <c r="L8742">
        <v>2106668752</v>
      </c>
      <c r="M8742" t="s">
        <v>8087</v>
      </c>
      <c r="N8742" t="s">
        <v>4527</v>
      </c>
      <c r="O8742" t="s">
        <v>8088</v>
      </c>
      <c r="P8742">
        <v>15349</v>
      </c>
      <c r="Q8742" t="str">
        <f>"38.027961"</f>
        <v>38.027961</v>
      </c>
      <c r="R8742" t="str">
        <f>"23.878011"</f>
        <v>23.878011</v>
      </c>
      <c r="S8742" t="s">
        <v>26</v>
      </c>
    </row>
    <row r="8743" spans="1:19" x14ac:dyDescent="0.3">
      <c r="A8743" t="s">
        <v>3237</v>
      </c>
      <c r="B8743" t="s">
        <v>7919</v>
      </c>
      <c r="C8743" t="s">
        <v>8089</v>
      </c>
      <c r="D8743" t="s">
        <v>3262</v>
      </c>
      <c r="E8743" t="s">
        <v>4207</v>
      </c>
      <c r="F8743" t="s">
        <v>4207</v>
      </c>
      <c r="G8743" t="s">
        <v>4207</v>
      </c>
      <c r="H8743" t="s">
        <v>859</v>
      </c>
      <c r="I8743" t="s">
        <v>860</v>
      </c>
      <c r="J8743" t="str">
        <f>"9520649"</f>
        <v>9520649</v>
      </c>
      <c r="K8743">
        <v>2299072381</v>
      </c>
      <c r="L8743">
        <v>2299072286</v>
      </c>
      <c r="M8743" t="s">
        <v>8090</v>
      </c>
      <c r="N8743" t="s">
        <v>8091</v>
      </c>
      <c r="O8743" t="s">
        <v>8092</v>
      </c>
      <c r="P8743">
        <v>19003</v>
      </c>
      <c r="Q8743" t="str">
        <f>"37.884160"</f>
        <v>37.884160</v>
      </c>
      <c r="R8743" t="str">
        <f>"24.012128"</f>
        <v>24.012128</v>
      </c>
      <c r="S8743" t="s">
        <v>26</v>
      </c>
    </row>
    <row r="8744" spans="1:19" x14ac:dyDescent="0.3">
      <c r="A8744" t="s">
        <v>3237</v>
      </c>
      <c r="B8744" t="s">
        <v>7919</v>
      </c>
      <c r="C8744" t="s">
        <v>8093</v>
      </c>
      <c r="D8744" t="s">
        <v>3262</v>
      </c>
      <c r="E8744" t="s">
        <v>4011</v>
      </c>
      <c r="F8744" t="s">
        <v>4160</v>
      </c>
      <c r="G8744" t="s">
        <v>4160</v>
      </c>
      <c r="H8744" t="s">
        <v>859</v>
      </c>
      <c r="I8744" t="s">
        <v>860</v>
      </c>
      <c r="J8744" t="str">
        <f>"9520495"</f>
        <v>9520495</v>
      </c>
      <c r="K8744">
        <v>2108957687</v>
      </c>
      <c r="L8744">
        <v>2108957687</v>
      </c>
      <c r="M8744" t="s">
        <v>8094</v>
      </c>
      <c r="N8744" t="s">
        <v>4160</v>
      </c>
      <c r="O8744" t="s">
        <v>8095</v>
      </c>
      <c r="P8744">
        <v>16673</v>
      </c>
      <c r="Q8744" t="str">
        <f>"37.852004"</f>
        <v>37.852004</v>
      </c>
      <c r="R8744" t="str">
        <f>"23.769493"</f>
        <v>23.769493</v>
      </c>
      <c r="S8744" t="s">
        <v>26</v>
      </c>
    </row>
    <row r="8745" spans="1:19" x14ac:dyDescent="0.3">
      <c r="A8745" t="s">
        <v>3237</v>
      </c>
      <c r="B8745" t="s">
        <v>7919</v>
      </c>
      <c r="C8745" t="s">
        <v>8100</v>
      </c>
      <c r="D8745" t="s">
        <v>3262</v>
      </c>
      <c r="E8745" t="s">
        <v>4031</v>
      </c>
      <c r="F8745" t="s">
        <v>4031</v>
      </c>
      <c r="G8745" t="s">
        <v>4031</v>
      </c>
      <c r="H8745" t="s">
        <v>859</v>
      </c>
      <c r="I8745" t="s">
        <v>860</v>
      </c>
      <c r="J8745" t="str">
        <f>"9050557"</f>
        <v>9050557</v>
      </c>
      <c r="K8745">
        <v>2292060134</v>
      </c>
      <c r="L8745">
        <v>2292060134</v>
      </c>
      <c r="M8745" t="s">
        <v>8101</v>
      </c>
      <c r="N8745" t="s">
        <v>4236</v>
      </c>
      <c r="O8745" t="s">
        <v>8102</v>
      </c>
      <c r="P8745">
        <v>19500</v>
      </c>
      <c r="Q8745" t="str">
        <f>"37.718692"</f>
        <v>37.718692</v>
      </c>
      <c r="R8745" t="str">
        <f>"24.055267"</f>
        <v>24.055267</v>
      </c>
      <c r="S8745" t="s">
        <v>26</v>
      </c>
    </row>
    <row r="8746" spans="1:19" x14ac:dyDescent="0.3">
      <c r="A8746" t="s">
        <v>3237</v>
      </c>
      <c r="B8746" t="s">
        <v>7919</v>
      </c>
      <c r="C8746" t="s">
        <v>8103</v>
      </c>
      <c r="D8746" t="s">
        <v>3262</v>
      </c>
      <c r="E8746" t="s">
        <v>3263</v>
      </c>
      <c r="F8746" t="s">
        <v>3263</v>
      </c>
      <c r="G8746" t="s">
        <v>3263</v>
      </c>
      <c r="H8746" t="s">
        <v>859</v>
      </c>
      <c r="I8746" t="s">
        <v>860</v>
      </c>
      <c r="J8746" t="str">
        <f>"9051864"</f>
        <v>9051864</v>
      </c>
      <c r="K8746">
        <v>2291091505</v>
      </c>
      <c r="L8746">
        <v>2291091505</v>
      </c>
      <c r="M8746" t="s">
        <v>8104</v>
      </c>
      <c r="N8746" t="s">
        <v>8105</v>
      </c>
      <c r="O8746" t="s">
        <v>8106</v>
      </c>
      <c r="P8746">
        <v>19400</v>
      </c>
      <c r="Q8746" t="str">
        <f>"37.833209"</f>
        <v>37.833209</v>
      </c>
      <c r="R8746" t="str">
        <f>"23.855806"</f>
        <v>23.855806</v>
      </c>
      <c r="S8746" t="s">
        <v>26</v>
      </c>
    </row>
    <row r="8747" spans="1:19" x14ac:dyDescent="0.3">
      <c r="A8747" t="s">
        <v>3237</v>
      </c>
      <c r="B8747" t="s">
        <v>7919</v>
      </c>
      <c r="C8747" t="s">
        <v>8113</v>
      </c>
      <c r="D8747" t="s">
        <v>3262</v>
      </c>
      <c r="E8747" t="s">
        <v>4075</v>
      </c>
      <c r="F8747" t="s">
        <v>4075</v>
      </c>
      <c r="G8747" t="s">
        <v>4075</v>
      </c>
      <c r="H8747" t="s">
        <v>859</v>
      </c>
      <c r="I8747" t="s">
        <v>860</v>
      </c>
      <c r="J8747" t="str">
        <f>"9051849"</f>
        <v>9051849</v>
      </c>
      <c r="K8747">
        <v>2106029488</v>
      </c>
      <c r="L8747">
        <v>2106029488</v>
      </c>
      <c r="M8747" t="s">
        <v>8114</v>
      </c>
      <c r="N8747" t="s">
        <v>4075</v>
      </c>
      <c r="O8747" t="s">
        <v>8115</v>
      </c>
      <c r="P8747">
        <v>19002</v>
      </c>
      <c r="Q8747" t="str">
        <f>"37.949573"</f>
        <v>37.949573</v>
      </c>
      <c r="R8747" t="str">
        <f>"23.852121"</f>
        <v>23.852121</v>
      </c>
      <c r="S8747" t="s">
        <v>26</v>
      </c>
    </row>
    <row r="8748" spans="1:19" x14ac:dyDescent="0.3">
      <c r="A8748" t="s">
        <v>3237</v>
      </c>
      <c r="B8748" t="s">
        <v>7919</v>
      </c>
      <c r="C8748" t="s">
        <v>8118</v>
      </c>
      <c r="D8748" t="s">
        <v>3262</v>
      </c>
      <c r="E8748" t="s">
        <v>4011</v>
      </c>
      <c r="F8748" t="s">
        <v>4112</v>
      </c>
      <c r="G8748" t="s">
        <v>4112</v>
      </c>
      <c r="H8748" t="s">
        <v>859</v>
      </c>
      <c r="I8748" t="s">
        <v>860</v>
      </c>
      <c r="J8748" t="str">
        <f>"9520424"</f>
        <v>9520424</v>
      </c>
      <c r="K8748">
        <v>2109659886</v>
      </c>
      <c r="M8748" t="s">
        <v>8119</v>
      </c>
      <c r="N8748" t="s">
        <v>8120</v>
      </c>
      <c r="O8748" t="s">
        <v>8121</v>
      </c>
      <c r="P8748">
        <v>16672</v>
      </c>
      <c r="Q8748" t="str">
        <f>"37.833787"</f>
        <v>37.833787</v>
      </c>
      <c r="R8748" t="str">
        <f>"23.795008"</f>
        <v>23.795008</v>
      </c>
      <c r="S8748" t="s">
        <v>26</v>
      </c>
    </row>
    <row r="8749" spans="1:19" x14ac:dyDescent="0.3">
      <c r="A8749" t="s">
        <v>3237</v>
      </c>
      <c r="B8749" t="s">
        <v>7919</v>
      </c>
      <c r="C8749" t="s">
        <v>8122</v>
      </c>
      <c r="D8749" t="s">
        <v>3262</v>
      </c>
      <c r="E8749" t="s">
        <v>3997</v>
      </c>
      <c r="F8749" t="s">
        <v>4239</v>
      </c>
      <c r="G8749" t="s">
        <v>4239</v>
      </c>
      <c r="H8749" t="s">
        <v>859</v>
      </c>
      <c r="I8749" t="s">
        <v>860</v>
      </c>
      <c r="J8749" t="str">
        <f>"9051912"</f>
        <v>9051912</v>
      </c>
      <c r="K8749">
        <v>2291053727</v>
      </c>
      <c r="L8749">
        <v>2291053727</v>
      </c>
      <c r="M8749" t="s">
        <v>8123</v>
      </c>
      <c r="N8749" t="s">
        <v>4239</v>
      </c>
      <c r="O8749" t="s">
        <v>8124</v>
      </c>
      <c r="P8749">
        <v>19013</v>
      </c>
      <c r="Q8749" t="str">
        <f>"37.741457"</f>
        <v>37.741457</v>
      </c>
      <c r="R8749" t="str">
        <f>"23.923036"</f>
        <v>23.923036</v>
      </c>
      <c r="S8749" t="s">
        <v>26</v>
      </c>
    </row>
    <row r="8750" spans="1:19" x14ac:dyDescent="0.3">
      <c r="A8750" t="s">
        <v>3237</v>
      </c>
      <c r="B8750" t="s">
        <v>7919</v>
      </c>
      <c r="C8750" t="s">
        <v>8125</v>
      </c>
      <c r="D8750" t="s">
        <v>3262</v>
      </c>
      <c r="E8750" t="s">
        <v>3263</v>
      </c>
      <c r="F8750" t="s">
        <v>3263</v>
      </c>
      <c r="G8750" t="s">
        <v>3263</v>
      </c>
      <c r="H8750" t="s">
        <v>859</v>
      </c>
      <c r="I8750" t="s">
        <v>860</v>
      </c>
      <c r="J8750" t="str">
        <f>"9051216"</f>
        <v>9051216</v>
      </c>
      <c r="K8750">
        <v>2106021006</v>
      </c>
      <c r="L8750">
        <v>2106021006</v>
      </c>
      <c r="M8750" t="s">
        <v>8126</v>
      </c>
      <c r="N8750" t="s">
        <v>4003</v>
      </c>
      <c r="O8750" t="s">
        <v>8127</v>
      </c>
      <c r="P8750">
        <v>19400</v>
      </c>
      <c r="Q8750" t="str">
        <f>"37.895493"</f>
        <v>37.895493</v>
      </c>
      <c r="R8750" t="str">
        <f>"23.865637"</f>
        <v>23.865637</v>
      </c>
      <c r="S8750" t="s">
        <v>26</v>
      </c>
    </row>
    <row r="8751" spans="1:19" x14ac:dyDescent="0.3">
      <c r="A8751" t="s">
        <v>3237</v>
      </c>
      <c r="B8751" t="s">
        <v>7919</v>
      </c>
      <c r="C8751" t="s">
        <v>8145</v>
      </c>
      <c r="D8751" t="s">
        <v>3262</v>
      </c>
      <c r="E8751" t="s">
        <v>4118</v>
      </c>
      <c r="F8751" t="s">
        <v>4248</v>
      </c>
      <c r="G8751" t="s">
        <v>4249</v>
      </c>
      <c r="H8751" t="s">
        <v>859</v>
      </c>
      <c r="I8751" t="s">
        <v>860</v>
      </c>
      <c r="J8751" t="str">
        <f>"9051502"</f>
        <v>9051502</v>
      </c>
      <c r="K8751">
        <v>2294084700</v>
      </c>
      <c r="L8751">
        <v>2294084700</v>
      </c>
      <c r="M8751" t="s">
        <v>8146</v>
      </c>
      <c r="N8751" t="s">
        <v>4248</v>
      </c>
      <c r="O8751" t="s">
        <v>8147</v>
      </c>
      <c r="P8751">
        <v>19016</v>
      </c>
      <c r="Q8751" t="str">
        <f>"37.987012"</f>
        <v>37.987012</v>
      </c>
      <c r="R8751" t="str">
        <f>"24.009808"</f>
        <v>24.009808</v>
      </c>
      <c r="S8751" t="s">
        <v>26</v>
      </c>
    </row>
    <row r="8752" spans="1:19" x14ac:dyDescent="0.3">
      <c r="A8752" t="s">
        <v>3237</v>
      </c>
      <c r="B8752" t="s">
        <v>7919</v>
      </c>
      <c r="C8752" t="s">
        <v>8152</v>
      </c>
      <c r="D8752" t="s">
        <v>3262</v>
      </c>
      <c r="E8752" t="s">
        <v>4024</v>
      </c>
      <c r="F8752" t="s">
        <v>4024</v>
      </c>
      <c r="G8752" t="s">
        <v>4024</v>
      </c>
      <c r="H8752" t="s">
        <v>859</v>
      </c>
      <c r="I8752" t="s">
        <v>860</v>
      </c>
      <c r="J8752" t="str">
        <f>"9050605"</f>
        <v>9050605</v>
      </c>
      <c r="K8752">
        <v>2106667690</v>
      </c>
      <c r="M8752" t="s">
        <v>8153</v>
      </c>
      <c r="N8752" t="s">
        <v>4024</v>
      </c>
      <c r="O8752" t="s">
        <v>8154</v>
      </c>
      <c r="P8752">
        <v>15351</v>
      </c>
      <c r="Q8752" t="str">
        <f>"38.001635"</f>
        <v>38.001635</v>
      </c>
      <c r="R8752" t="str">
        <f>"23.881627"</f>
        <v>23.881627</v>
      </c>
      <c r="S8752" t="s">
        <v>26</v>
      </c>
    </row>
    <row r="8753" spans="1:19" x14ac:dyDescent="0.3">
      <c r="A8753" t="s">
        <v>3237</v>
      </c>
      <c r="B8753" t="s">
        <v>7919</v>
      </c>
      <c r="C8753" t="s">
        <v>8155</v>
      </c>
      <c r="D8753" t="s">
        <v>3262</v>
      </c>
      <c r="E8753" t="s">
        <v>3997</v>
      </c>
      <c r="F8753" t="s">
        <v>3998</v>
      </c>
      <c r="G8753" t="s">
        <v>3998</v>
      </c>
      <c r="H8753" t="s">
        <v>859</v>
      </c>
      <c r="I8753" t="s">
        <v>860</v>
      </c>
      <c r="J8753" t="str">
        <f>"9051875"</f>
        <v>9051875</v>
      </c>
      <c r="K8753">
        <v>2299048643</v>
      </c>
      <c r="L8753">
        <v>2299048680</v>
      </c>
      <c r="M8753" t="s">
        <v>8156</v>
      </c>
      <c r="N8753" t="s">
        <v>2921</v>
      </c>
      <c r="O8753" t="s">
        <v>8157</v>
      </c>
      <c r="P8753">
        <v>19010</v>
      </c>
      <c r="Q8753" t="str">
        <f>"37.835350"</f>
        <v>37.835350</v>
      </c>
      <c r="R8753" t="str">
        <f>"23.924487"</f>
        <v>23.924487</v>
      </c>
      <c r="S8753" t="s">
        <v>26</v>
      </c>
    </row>
    <row r="8754" spans="1:19" x14ac:dyDescent="0.3">
      <c r="A8754" t="s">
        <v>3237</v>
      </c>
      <c r="B8754" t="s">
        <v>7919</v>
      </c>
      <c r="C8754" t="s">
        <v>8172</v>
      </c>
      <c r="D8754" t="s">
        <v>3262</v>
      </c>
      <c r="E8754" t="s">
        <v>4011</v>
      </c>
      <c r="F8754" t="s">
        <v>4160</v>
      </c>
      <c r="G8754" t="s">
        <v>4160</v>
      </c>
      <c r="H8754" t="s">
        <v>859</v>
      </c>
      <c r="I8754" t="s">
        <v>860</v>
      </c>
      <c r="J8754" t="str">
        <f>"9520547"</f>
        <v>9520547</v>
      </c>
      <c r="K8754">
        <v>2108955678</v>
      </c>
      <c r="L8754">
        <v>2108955678</v>
      </c>
      <c r="M8754" t="s">
        <v>8173</v>
      </c>
      <c r="N8754" t="s">
        <v>4163</v>
      </c>
      <c r="O8754" t="s">
        <v>8174</v>
      </c>
      <c r="P8754">
        <v>16673</v>
      </c>
      <c r="Q8754" t="str">
        <f>"37.830778"</f>
        <v>37.830778</v>
      </c>
      <c r="R8754" t="str">
        <f>"23.774548"</f>
        <v>23.774548</v>
      </c>
      <c r="S8754" t="s">
        <v>26</v>
      </c>
    </row>
    <row r="8755" spans="1:19" x14ac:dyDescent="0.3">
      <c r="A8755" t="s">
        <v>3237</v>
      </c>
      <c r="B8755" t="s">
        <v>7919</v>
      </c>
      <c r="C8755" t="s">
        <v>8177</v>
      </c>
      <c r="D8755" t="s">
        <v>3262</v>
      </c>
      <c r="E8755" t="s">
        <v>4011</v>
      </c>
      <c r="F8755" t="s">
        <v>4112</v>
      </c>
      <c r="G8755" t="s">
        <v>4112</v>
      </c>
      <c r="H8755" t="s">
        <v>859</v>
      </c>
      <c r="I8755" t="s">
        <v>860</v>
      </c>
      <c r="J8755" t="str">
        <f>"9051252"</f>
        <v>9051252</v>
      </c>
      <c r="K8755">
        <v>2109653157</v>
      </c>
      <c r="L8755">
        <v>2109653157</v>
      </c>
      <c r="M8755" t="s">
        <v>8178</v>
      </c>
      <c r="N8755" t="s">
        <v>8080</v>
      </c>
      <c r="O8755" t="s">
        <v>8179</v>
      </c>
      <c r="P8755">
        <v>16672</v>
      </c>
      <c r="Q8755" t="str">
        <f>"37.818921"</f>
        <v>37.818921</v>
      </c>
      <c r="R8755" t="str">
        <f>"23.795729"</f>
        <v>23.795729</v>
      </c>
      <c r="S8755" t="s">
        <v>26</v>
      </c>
    </row>
    <row r="8756" spans="1:19" x14ac:dyDescent="0.3">
      <c r="A8756" t="s">
        <v>3237</v>
      </c>
      <c r="B8756" t="s">
        <v>7919</v>
      </c>
      <c r="C8756" t="s">
        <v>8184</v>
      </c>
      <c r="D8756" t="s">
        <v>3262</v>
      </c>
      <c r="E8756" t="s">
        <v>3263</v>
      </c>
      <c r="F8756" t="s">
        <v>3263</v>
      </c>
      <c r="G8756" t="s">
        <v>3263</v>
      </c>
      <c r="H8756" t="s">
        <v>859</v>
      </c>
      <c r="I8756" t="s">
        <v>860</v>
      </c>
      <c r="J8756" t="str">
        <f>"9050552"</f>
        <v>9050552</v>
      </c>
      <c r="K8756">
        <v>2106626074</v>
      </c>
      <c r="L8756">
        <v>2106626074</v>
      </c>
      <c r="M8756" t="s">
        <v>8185</v>
      </c>
      <c r="N8756" t="s">
        <v>4003</v>
      </c>
      <c r="O8756" t="s">
        <v>7934</v>
      </c>
      <c r="P8756">
        <v>19400</v>
      </c>
      <c r="Q8756" t="str">
        <f>"37.894964"</f>
        <v>37.894964</v>
      </c>
      <c r="R8756" t="str">
        <f>"23.878587"</f>
        <v>23.878587</v>
      </c>
      <c r="S8756" t="s">
        <v>26</v>
      </c>
    </row>
    <row r="8757" spans="1:19" x14ac:dyDescent="0.3">
      <c r="A8757" t="s">
        <v>3237</v>
      </c>
      <c r="B8757" t="s">
        <v>7919</v>
      </c>
      <c r="C8757" t="s">
        <v>8192</v>
      </c>
      <c r="D8757" t="s">
        <v>3262</v>
      </c>
      <c r="E8757" t="s">
        <v>4024</v>
      </c>
      <c r="F8757" t="s">
        <v>4024</v>
      </c>
      <c r="G8757" t="s">
        <v>4024</v>
      </c>
      <c r="H8757" t="s">
        <v>859</v>
      </c>
      <c r="I8757" t="s">
        <v>860</v>
      </c>
      <c r="J8757" t="str">
        <f>"9051834"</f>
        <v>9051834</v>
      </c>
      <c r="K8757">
        <v>2106668203</v>
      </c>
      <c r="L8757">
        <v>2106668203</v>
      </c>
      <c r="M8757" t="s">
        <v>8193</v>
      </c>
      <c r="N8757" t="s">
        <v>4352</v>
      </c>
      <c r="O8757" t="s">
        <v>8194</v>
      </c>
      <c r="P8757">
        <v>15351</v>
      </c>
      <c r="Q8757" t="str">
        <f>"37.990677"</f>
        <v>37.990677</v>
      </c>
      <c r="R8757" t="str">
        <f>"23.867921"</f>
        <v>23.867921</v>
      </c>
      <c r="S8757" t="s">
        <v>26</v>
      </c>
    </row>
    <row r="8758" spans="1:19" x14ac:dyDescent="0.3">
      <c r="A8758" t="s">
        <v>3237</v>
      </c>
      <c r="B8758" t="s">
        <v>7919</v>
      </c>
      <c r="C8758" t="s">
        <v>8195</v>
      </c>
      <c r="D8758" t="s">
        <v>3262</v>
      </c>
      <c r="E8758" t="s">
        <v>4011</v>
      </c>
      <c r="F8758" t="s">
        <v>4160</v>
      </c>
      <c r="G8758" t="s">
        <v>4160</v>
      </c>
      <c r="H8758" t="s">
        <v>859</v>
      </c>
      <c r="I8758" t="s">
        <v>1102</v>
      </c>
      <c r="J8758" t="str">
        <f>"9520502"</f>
        <v>9520502</v>
      </c>
      <c r="K8758">
        <v>2108950330</v>
      </c>
      <c r="M8758" t="s">
        <v>8196</v>
      </c>
      <c r="N8758" t="s">
        <v>4163</v>
      </c>
      <c r="O8758" t="s">
        <v>8197</v>
      </c>
      <c r="P8758">
        <v>16673</v>
      </c>
      <c r="Q8758" t="str">
        <f>"37.850378"</f>
        <v>37.850378</v>
      </c>
      <c r="R8758" t="str">
        <f>"23.744119"</f>
        <v>23.744119</v>
      </c>
      <c r="S8758" t="s">
        <v>26</v>
      </c>
    </row>
    <row r="8759" spans="1:19" x14ac:dyDescent="0.3">
      <c r="A8759" t="s">
        <v>3237</v>
      </c>
      <c r="B8759" t="s">
        <v>7919</v>
      </c>
      <c r="C8759" t="s">
        <v>8198</v>
      </c>
      <c r="D8759" t="s">
        <v>3262</v>
      </c>
      <c r="E8759" t="s">
        <v>4075</v>
      </c>
      <c r="F8759" t="s">
        <v>4075</v>
      </c>
      <c r="G8759" t="s">
        <v>4075</v>
      </c>
      <c r="H8759" t="s">
        <v>859</v>
      </c>
      <c r="I8759" t="s">
        <v>860</v>
      </c>
      <c r="J8759" t="str">
        <f>"9051850"</f>
        <v>9051850</v>
      </c>
      <c r="K8759">
        <v>2106645951</v>
      </c>
      <c r="L8759">
        <v>2106645951</v>
      </c>
      <c r="M8759" t="s">
        <v>8199</v>
      </c>
      <c r="N8759" t="s">
        <v>4075</v>
      </c>
      <c r="O8759" t="s">
        <v>8200</v>
      </c>
      <c r="P8759">
        <v>19002</v>
      </c>
      <c r="Q8759" t="str">
        <f>"37.953732"</f>
        <v>37.953732</v>
      </c>
      <c r="R8759" t="str">
        <f>"23.852780"</f>
        <v>23.852780</v>
      </c>
      <c r="S8759" t="s">
        <v>26</v>
      </c>
    </row>
    <row r="8760" spans="1:19" x14ac:dyDescent="0.3">
      <c r="A8760" t="s">
        <v>3237</v>
      </c>
      <c r="B8760" t="s">
        <v>7919</v>
      </c>
      <c r="C8760" t="s">
        <v>8201</v>
      </c>
      <c r="D8760" t="s">
        <v>3262</v>
      </c>
      <c r="E8760" t="s">
        <v>4207</v>
      </c>
      <c r="F8760" t="s">
        <v>4207</v>
      </c>
      <c r="G8760" t="s">
        <v>4207</v>
      </c>
      <c r="H8760" t="s">
        <v>859</v>
      </c>
      <c r="I8760" t="s">
        <v>860</v>
      </c>
      <c r="J8760" t="str">
        <f>"9520647"</f>
        <v>9520647</v>
      </c>
      <c r="K8760">
        <v>2299024564</v>
      </c>
      <c r="L8760">
        <v>2299024564</v>
      </c>
      <c r="M8760" t="s">
        <v>8202</v>
      </c>
      <c r="N8760" t="s">
        <v>8203</v>
      </c>
      <c r="O8760" t="s">
        <v>8204</v>
      </c>
      <c r="P8760">
        <v>19003</v>
      </c>
      <c r="Q8760" t="str">
        <f>"37.889507"</f>
        <v>37.889507</v>
      </c>
      <c r="R8760" t="str">
        <f>"23.941445"</f>
        <v>23.941445</v>
      </c>
      <c r="S8760" t="s">
        <v>26</v>
      </c>
    </row>
    <row r="8761" spans="1:19" x14ac:dyDescent="0.3">
      <c r="A8761" t="s">
        <v>3237</v>
      </c>
      <c r="B8761" t="s">
        <v>7919</v>
      </c>
      <c r="C8761" t="s">
        <v>8209</v>
      </c>
      <c r="D8761" t="s">
        <v>3262</v>
      </c>
      <c r="E8761" t="s">
        <v>4207</v>
      </c>
      <c r="F8761" t="s">
        <v>4207</v>
      </c>
      <c r="G8761" t="s">
        <v>4207</v>
      </c>
      <c r="H8761" t="s">
        <v>859</v>
      </c>
      <c r="I8761" t="s">
        <v>860</v>
      </c>
      <c r="J8761" t="str">
        <f>"9051427"</f>
        <v>9051427</v>
      </c>
      <c r="K8761">
        <v>2299072867</v>
      </c>
      <c r="L8761">
        <v>2299072867</v>
      </c>
      <c r="M8761" t="s">
        <v>8210</v>
      </c>
      <c r="N8761" t="s">
        <v>4541</v>
      </c>
      <c r="O8761" t="s">
        <v>8211</v>
      </c>
      <c r="P8761">
        <v>19003</v>
      </c>
      <c r="Q8761" t="str">
        <f>"37.889302"</f>
        <v>37.889302</v>
      </c>
      <c r="R8761" t="str">
        <f>"24.001779"</f>
        <v>24.001779</v>
      </c>
      <c r="S8761" t="s">
        <v>26</v>
      </c>
    </row>
    <row r="8762" spans="1:19" x14ac:dyDescent="0.3">
      <c r="A8762" t="s">
        <v>3237</v>
      </c>
      <c r="B8762" t="s">
        <v>7919</v>
      </c>
      <c r="C8762" t="s">
        <v>8241</v>
      </c>
      <c r="D8762" t="s">
        <v>3262</v>
      </c>
      <c r="E8762" t="s">
        <v>3997</v>
      </c>
      <c r="F8762" t="s">
        <v>3998</v>
      </c>
      <c r="G8762" t="s">
        <v>3998</v>
      </c>
      <c r="H8762" t="s">
        <v>859</v>
      </c>
      <c r="I8762" t="s">
        <v>860</v>
      </c>
      <c r="J8762" t="str">
        <f>"9050575"</f>
        <v>9050575</v>
      </c>
      <c r="K8762">
        <v>2299049039</v>
      </c>
      <c r="L8762">
        <v>2299049039</v>
      </c>
      <c r="M8762" t="s">
        <v>8242</v>
      </c>
      <c r="N8762" t="s">
        <v>2920</v>
      </c>
      <c r="O8762" t="s">
        <v>8243</v>
      </c>
      <c r="P8762">
        <v>19010</v>
      </c>
      <c r="Q8762" t="str">
        <f>"37.790568"</f>
        <v>37.790568</v>
      </c>
      <c r="R8762" t="str">
        <f>"23.890804"</f>
        <v>23.890804</v>
      </c>
      <c r="S8762" t="s">
        <v>26</v>
      </c>
    </row>
    <row r="8763" spans="1:19" x14ac:dyDescent="0.3">
      <c r="A8763" t="s">
        <v>3237</v>
      </c>
      <c r="B8763" t="s">
        <v>7919</v>
      </c>
      <c r="C8763" t="s">
        <v>8258</v>
      </c>
      <c r="D8763" t="s">
        <v>3262</v>
      </c>
      <c r="E8763" t="s">
        <v>3997</v>
      </c>
      <c r="F8763" t="s">
        <v>4516</v>
      </c>
      <c r="G8763" t="s">
        <v>4516</v>
      </c>
      <c r="H8763" t="s">
        <v>859</v>
      </c>
      <c r="I8763" t="s">
        <v>860</v>
      </c>
      <c r="J8763" t="str">
        <f>"9051913"</f>
        <v>9051913</v>
      </c>
      <c r="K8763">
        <v>2291052344</v>
      </c>
      <c r="L8763">
        <v>2291052344</v>
      </c>
      <c r="M8763" t="s">
        <v>8259</v>
      </c>
      <c r="N8763" t="s">
        <v>8260</v>
      </c>
      <c r="O8763" t="s">
        <v>8261</v>
      </c>
      <c r="P8763">
        <v>19013</v>
      </c>
      <c r="Q8763" t="str">
        <f>"37.750125"</f>
        <v>37.750125</v>
      </c>
      <c r="R8763" t="str">
        <f>"23.912580"</f>
        <v>23.912580</v>
      </c>
      <c r="S8763" t="s">
        <v>26</v>
      </c>
    </row>
    <row r="8764" spans="1:19" x14ac:dyDescent="0.3">
      <c r="A8764" t="s">
        <v>3237</v>
      </c>
      <c r="B8764" t="s">
        <v>7919</v>
      </c>
      <c r="C8764" t="s">
        <v>8262</v>
      </c>
      <c r="D8764" t="s">
        <v>3262</v>
      </c>
      <c r="E8764" t="s">
        <v>4019</v>
      </c>
      <c r="F8764" t="s">
        <v>4019</v>
      </c>
      <c r="G8764" t="s">
        <v>4019</v>
      </c>
      <c r="H8764" t="s">
        <v>859</v>
      </c>
      <c r="I8764" t="s">
        <v>860</v>
      </c>
      <c r="J8764" t="str">
        <f>"9051563"</f>
        <v>9051563</v>
      </c>
      <c r="K8764">
        <v>2294055922</v>
      </c>
      <c r="L8764">
        <v>2294055922</v>
      </c>
      <c r="M8764" t="s">
        <v>8263</v>
      </c>
      <c r="N8764" t="s">
        <v>8264</v>
      </c>
      <c r="O8764" t="s">
        <v>8265</v>
      </c>
      <c r="P8764">
        <v>19007</v>
      </c>
      <c r="Q8764" t="str">
        <f>"38.124996"</f>
        <v>38.124996</v>
      </c>
      <c r="R8764" t="str">
        <f>"23.980727"</f>
        <v>23.980727</v>
      </c>
      <c r="S8764" t="s">
        <v>26</v>
      </c>
    </row>
    <row r="8765" spans="1:19" x14ac:dyDescent="0.3">
      <c r="A8765" t="s">
        <v>3237</v>
      </c>
      <c r="B8765" t="s">
        <v>7919</v>
      </c>
      <c r="C8765" t="s">
        <v>8266</v>
      </c>
      <c r="D8765" t="s">
        <v>3262</v>
      </c>
      <c r="E8765" t="s">
        <v>4031</v>
      </c>
      <c r="F8765" t="s">
        <v>4031</v>
      </c>
      <c r="G8765" t="s">
        <v>4031</v>
      </c>
      <c r="H8765" t="s">
        <v>859</v>
      </c>
      <c r="I8765" t="s">
        <v>860</v>
      </c>
      <c r="J8765" t="str">
        <f>"9520914"</f>
        <v>9520914</v>
      </c>
      <c r="K8765">
        <v>2292051650</v>
      </c>
      <c r="L8765">
        <v>2292051650</v>
      </c>
      <c r="M8765" t="s">
        <v>8267</v>
      </c>
      <c r="N8765" t="s">
        <v>8268</v>
      </c>
      <c r="O8765" t="s">
        <v>8269</v>
      </c>
      <c r="P8765">
        <v>19500</v>
      </c>
      <c r="Q8765" t="str">
        <f>"37.668781"</f>
        <v>37.668781</v>
      </c>
      <c r="R8765" t="str">
        <f>"23.997803"</f>
        <v>23.997803</v>
      </c>
      <c r="S8765" t="s">
        <v>26</v>
      </c>
    </row>
    <row r="8766" spans="1:19" x14ac:dyDescent="0.3">
      <c r="A8766" t="s">
        <v>3237</v>
      </c>
      <c r="B8766" t="s">
        <v>7919</v>
      </c>
      <c r="C8766" t="s">
        <v>8271</v>
      </c>
      <c r="D8766" t="s">
        <v>3262</v>
      </c>
      <c r="E8766" t="s">
        <v>3997</v>
      </c>
      <c r="F8766" t="s">
        <v>8270</v>
      </c>
      <c r="G8766" t="s">
        <v>8270</v>
      </c>
      <c r="H8766" t="s">
        <v>859</v>
      </c>
      <c r="I8766" t="s">
        <v>860</v>
      </c>
      <c r="J8766" t="str">
        <f>"9051041"</f>
        <v>9051041</v>
      </c>
      <c r="K8766">
        <v>2291037786</v>
      </c>
      <c r="L8766">
        <v>2291037786</v>
      </c>
      <c r="M8766" t="s">
        <v>8272</v>
      </c>
      <c r="N8766" t="s">
        <v>8270</v>
      </c>
      <c r="O8766" t="s">
        <v>8273</v>
      </c>
      <c r="P8766">
        <v>19013</v>
      </c>
      <c r="Q8766" t="str">
        <f>"37.718733"</f>
        <v>37.718733</v>
      </c>
      <c r="R8766" t="str">
        <f>"23.950109"</f>
        <v>23.950109</v>
      </c>
      <c r="S8766" t="s">
        <v>26</v>
      </c>
    </row>
    <row r="8767" spans="1:19" x14ac:dyDescent="0.3">
      <c r="A8767" t="s">
        <v>3237</v>
      </c>
      <c r="B8767" t="s">
        <v>7919</v>
      </c>
      <c r="C8767" t="s">
        <v>8278</v>
      </c>
      <c r="D8767" t="s">
        <v>3262</v>
      </c>
      <c r="E8767" t="s">
        <v>4019</v>
      </c>
      <c r="F8767" t="s">
        <v>4054</v>
      </c>
      <c r="G8767" t="s">
        <v>4054</v>
      </c>
      <c r="H8767" t="s">
        <v>859</v>
      </c>
      <c r="I8767" t="s">
        <v>860</v>
      </c>
      <c r="J8767" t="str">
        <f>"9051503"</f>
        <v>9051503</v>
      </c>
      <c r="K8767">
        <v>2294096444</v>
      </c>
      <c r="L8767">
        <v>2294096444</v>
      </c>
      <c r="M8767" t="s">
        <v>8279</v>
      </c>
      <c r="N8767" t="s">
        <v>8280</v>
      </c>
      <c r="O8767" t="s">
        <v>8281</v>
      </c>
      <c r="P8767">
        <v>19005</v>
      </c>
      <c r="Q8767" t="str">
        <f>"38.061608"</f>
        <v>38.061608</v>
      </c>
      <c r="R8767" t="str">
        <f>"23.984209"</f>
        <v>23.984209</v>
      </c>
      <c r="S8767" t="s">
        <v>26</v>
      </c>
    </row>
    <row r="8768" spans="1:19" x14ac:dyDescent="0.3">
      <c r="A8768" t="s">
        <v>3237</v>
      </c>
      <c r="B8768" t="s">
        <v>7919</v>
      </c>
      <c r="C8768" t="s">
        <v>8284</v>
      </c>
      <c r="D8768" t="s">
        <v>3262</v>
      </c>
      <c r="E8768" t="s">
        <v>4019</v>
      </c>
      <c r="F8768" t="s">
        <v>4054</v>
      </c>
      <c r="G8768" t="s">
        <v>4054</v>
      </c>
      <c r="H8768" t="s">
        <v>859</v>
      </c>
      <c r="I8768" t="s">
        <v>860</v>
      </c>
      <c r="J8768" t="str">
        <f>"9051820"</f>
        <v>9051820</v>
      </c>
      <c r="K8768">
        <v>2294095000</v>
      </c>
      <c r="L8768">
        <v>2294091947</v>
      </c>
      <c r="M8768" t="s">
        <v>8285</v>
      </c>
      <c r="N8768" t="s">
        <v>8286</v>
      </c>
      <c r="O8768" t="s">
        <v>8287</v>
      </c>
      <c r="P8768">
        <v>19005</v>
      </c>
      <c r="Q8768" t="str">
        <f>"38.095156"</f>
        <v>38.095156</v>
      </c>
      <c r="R8768" t="str">
        <f>"23.972838"</f>
        <v>23.972838</v>
      </c>
      <c r="S8768" t="s">
        <v>26</v>
      </c>
    </row>
    <row r="8769" spans="1:19" x14ac:dyDescent="0.3">
      <c r="A8769" t="s">
        <v>3237</v>
      </c>
      <c r="B8769" t="s">
        <v>7919</v>
      </c>
      <c r="C8769" t="s">
        <v>8307</v>
      </c>
      <c r="D8769" t="s">
        <v>3262</v>
      </c>
      <c r="E8769" t="s">
        <v>4011</v>
      </c>
      <c r="F8769" t="s">
        <v>4160</v>
      </c>
      <c r="G8769" t="s">
        <v>4160</v>
      </c>
      <c r="H8769" t="s">
        <v>859</v>
      </c>
      <c r="I8769" t="s">
        <v>860</v>
      </c>
      <c r="J8769" t="str">
        <f>"9051323"</f>
        <v>9051323</v>
      </c>
      <c r="K8769">
        <v>2108958441</v>
      </c>
      <c r="L8769">
        <v>2108958441</v>
      </c>
      <c r="M8769" t="s">
        <v>8308</v>
      </c>
      <c r="N8769" t="s">
        <v>4160</v>
      </c>
      <c r="O8769" t="s">
        <v>8309</v>
      </c>
      <c r="P8769">
        <v>16673</v>
      </c>
      <c r="Q8769" t="str">
        <f>"37.850036"</f>
        <v>37.850036</v>
      </c>
      <c r="R8769" t="str">
        <f>"23.762338"</f>
        <v>23.762338</v>
      </c>
      <c r="S8769" t="s">
        <v>26</v>
      </c>
    </row>
    <row r="8770" spans="1:19" x14ac:dyDescent="0.3">
      <c r="A8770" t="s">
        <v>3237</v>
      </c>
      <c r="B8770" t="s">
        <v>7919</v>
      </c>
      <c r="C8770" t="s">
        <v>8312</v>
      </c>
      <c r="D8770" t="s">
        <v>3262</v>
      </c>
      <c r="E8770" t="s">
        <v>3298</v>
      </c>
      <c r="F8770" t="s">
        <v>3298</v>
      </c>
      <c r="G8770" t="s">
        <v>3298</v>
      </c>
      <c r="H8770" t="s">
        <v>859</v>
      </c>
      <c r="I8770" t="s">
        <v>860</v>
      </c>
      <c r="J8770" t="str">
        <f>"9050248"</f>
        <v>9050248</v>
      </c>
      <c r="K8770">
        <v>2102460009</v>
      </c>
      <c r="L8770">
        <v>2102460009</v>
      </c>
      <c r="M8770" t="s">
        <v>8313</v>
      </c>
      <c r="N8770" t="s">
        <v>3298</v>
      </c>
      <c r="O8770" t="s">
        <v>8314</v>
      </c>
      <c r="P8770">
        <v>13674</v>
      </c>
      <c r="Q8770" t="str">
        <f>"38.079515"</f>
        <v>38.079515</v>
      </c>
      <c r="R8770" t="str">
        <f>"23.736196"</f>
        <v>23.736196</v>
      </c>
      <c r="S8770" t="s">
        <v>26</v>
      </c>
    </row>
    <row r="8771" spans="1:19" x14ac:dyDescent="0.3">
      <c r="A8771" t="s">
        <v>3237</v>
      </c>
      <c r="B8771" t="s">
        <v>7919</v>
      </c>
      <c r="C8771" t="s">
        <v>8315</v>
      </c>
      <c r="D8771" t="s">
        <v>3262</v>
      </c>
      <c r="E8771" t="s">
        <v>3298</v>
      </c>
      <c r="F8771" t="s">
        <v>3298</v>
      </c>
      <c r="G8771" t="s">
        <v>3298</v>
      </c>
      <c r="H8771" t="s">
        <v>859</v>
      </c>
      <c r="I8771" t="s">
        <v>860</v>
      </c>
      <c r="J8771" t="str">
        <f>"9050789"</f>
        <v>9050789</v>
      </c>
      <c r="K8771">
        <v>2102460760</v>
      </c>
      <c r="L8771">
        <v>2102460760</v>
      </c>
      <c r="M8771" t="s">
        <v>8316</v>
      </c>
      <c r="N8771" t="s">
        <v>4028</v>
      </c>
      <c r="O8771" t="s">
        <v>8317</v>
      </c>
      <c r="P8771">
        <v>13678</v>
      </c>
      <c r="Q8771" t="str">
        <f>"38.090886"</f>
        <v>38.090886</v>
      </c>
      <c r="R8771" t="str">
        <f>"23.739424"</f>
        <v>23.739424</v>
      </c>
      <c r="S8771" t="s">
        <v>26</v>
      </c>
    </row>
    <row r="8772" spans="1:19" x14ac:dyDescent="0.3">
      <c r="A8772" t="s">
        <v>3237</v>
      </c>
      <c r="B8772" t="s">
        <v>7919</v>
      </c>
      <c r="C8772" t="s">
        <v>8318</v>
      </c>
      <c r="D8772" t="s">
        <v>3262</v>
      </c>
      <c r="E8772" t="s">
        <v>3298</v>
      </c>
      <c r="F8772" t="s">
        <v>3298</v>
      </c>
      <c r="G8772" t="s">
        <v>3298</v>
      </c>
      <c r="H8772" t="s">
        <v>859</v>
      </c>
      <c r="I8772" t="s">
        <v>860</v>
      </c>
      <c r="J8772" t="str">
        <f>"9050790"</f>
        <v>9050790</v>
      </c>
      <c r="K8772">
        <v>2102466655</v>
      </c>
      <c r="L8772">
        <v>2102466655</v>
      </c>
      <c r="M8772" t="s">
        <v>8319</v>
      </c>
      <c r="N8772" t="s">
        <v>3298</v>
      </c>
      <c r="O8772" t="s">
        <v>8320</v>
      </c>
      <c r="P8772">
        <v>13674</v>
      </c>
      <c r="Q8772" t="str">
        <f>"38.085472"</f>
        <v>38.085472</v>
      </c>
      <c r="R8772" t="str">
        <f>"23.737951"</f>
        <v>23.737951</v>
      </c>
      <c r="S8772" t="s">
        <v>26</v>
      </c>
    </row>
    <row r="8773" spans="1:19" x14ac:dyDescent="0.3">
      <c r="A8773" t="s">
        <v>3237</v>
      </c>
      <c r="B8773" t="s">
        <v>7919</v>
      </c>
      <c r="C8773" t="s">
        <v>8321</v>
      </c>
      <c r="D8773" t="s">
        <v>3262</v>
      </c>
      <c r="E8773" t="s">
        <v>3298</v>
      </c>
      <c r="F8773" t="s">
        <v>3298</v>
      </c>
      <c r="G8773" t="s">
        <v>3298</v>
      </c>
      <c r="H8773" t="s">
        <v>859</v>
      </c>
      <c r="I8773" t="s">
        <v>860</v>
      </c>
      <c r="J8773" t="str">
        <f>"9050791"</f>
        <v>9050791</v>
      </c>
      <c r="K8773">
        <v>2102466720</v>
      </c>
      <c r="L8773">
        <v>2102466720</v>
      </c>
      <c r="M8773" t="s">
        <v>8322</v>
      </c>
      <c r="N8773" t="s">
        <v>3298</v>
      </c>
      <c r="O8773" t="s">
        <v>8323</v>
      </c>
      <c r="P8773">
        <v>13671</v>
      </c>
      <c r="Q8773" t="str">
        <f>"38.076965"</f>
        <v>38.076965</v>
      </c>
      <c r="R8773" t="str">
        <f>"23.742464"</f>
        <v>23.742464</v>
      </c>
      <c r="S8773" t="s">
        <v>26</v>
      </c>
    </row>
    <row r="8774" spans="1:19" x14ac:dyDescent="0.3">
      <c r="A8774" t="s">
        <v>3237</v>
      </c>
      <c r="B8774" t="s">
        <v>7919</v>
      </c>
      <c r="C8774" t="s">
        <v>8324</v>
      </c>
      <c r="D8774" t="s">
        <v>3262</v>
      </c>
      <c r="E8774" t="s">
        <v>3298</v>
      </c>
      <c r="F8774" t="s">
        <v>3298</v>
      </c>
      <c r="G8774" t="s">
        <v>3298</v>
      </c>
      <c r="H8774" t="s">
        <v>859</v>
      </c>
      <c r="I8774" t="s">
        <v>860</v>
      </c>
      <c r="J8774" t="str">
        <f>"9050792"</f>
        <v>9050792</v>
      </c>
      <c r="K8774">
        <v>2102464880</v>
      </c>
      <c r="L8774">
        <v>2102464880</v>
      </c>
      <c r="M8774" t="s">
        <v>8325</v>
      </c>
      <c r="N8774" t="s">
        <v>3298</v>
      </c>
      <c r="O8774" t="s">
        <v>8326</v>
      </c>
      <c r="P8774">
        <v>13671</v>
      </c>
      <c r="Q8774" t="str">
        <f>"38.071856"</f>
        <v>38.071856</v>
      </c>
      <c r="R8774" t="str">
        <f>"23.745728"</f>
        <v>23.745728</v>
      </c>
      <c r="S8774" t="s">
        <v>26</v>
      </c>
    </row>
    <row r="8775" spans="1:19" x14ac:dyDescent="0.3">
      <c r="A8775" t="s">
        <v>3237</v>
      </c>
      <c r="B8775" t="s">
        <v>7919</v>
      </c>
      <c r="C8775" t="s">
        <v>8327</v>
      </c>
      <c r="D8775" t="s">
        <v>3262</v>
      </c>
      <c r="E8775" t="s">
        <v>3298</v>
      </c>
      <c r="F8775" t="s">
        <v>3298</v>
      </c>
      <c r="G8775" t="s">
        <v>3298</v>
      </c>
      <c r="H8775" t="s">
        <v>859</v>
      </c>
      <c r="I8775" t="s">
        <v>860</v>
      </c>
      <c r="J8775" t="str">
        <f>"9050885"</f>
        <v>9050885</v>
      </c>
      <c r="K8775">
        <v>2102466666</v>
      </c>
      <c r="L8775">
        <v>2102466666</v>
      </c>
      <c r="M8775" t="s">
        <v>8328</v>
      </c>
      <c r="N8775" t="s">
        <v>3298</v>
      </c>
      <c r="O8775" t="s">
        <v>8329</v>
      </c>
      <c r="P8775">
        <v>13675</v>
      </c>
      <c r="Q8775" t="str">
        <f>"38.093984"</f>
        <v>38.093984</v>
      </c>
      <c r="R8775" t="str">
        <f>"23.734541"</f>
        <v>23.734541</v>
      </c>
      <c r="S8775" t="s">
        <v>26</v>
      </c>
    </row>
    <row r="8776" spans="1:19" x14ac:dyDescent="0.3">
      <c r="A8776" t="s">
        <v>3237</v>
      </c>
      <c r="B8776" t="s">
        <v>7919</v>
      </c>
      <c r="C8776" t="s">
        <v>8330</v>
      </c>
      <c r="D8776" t="s">
        <v>3262</v>
      </c>
      <c r="E8776" t="s">
        <v>3298</v>
      </c>
      <c r="F8776" t="s">
        <v>3298</v>
      </c>
      <c r="G8776" t="s">
        <v>3298</v>
      </c>
      <c r="H8776" t="s">
        <v>859</v>
      </c>
      <c r="I8776" t="s">
        <v>860</v>
      </c>
      <c r="J8776" t="str">
        <f>"9050788"</f>
        <v>9050788</v>
      </c>
      <c r="K8776">
        <v>2102315040</v>
      </c>
      <c r="L8776">
        <v>2102315040</v>
      </c>
      <c r="M8776" t="s">
        <v>8331</v>
      </c>
      <c r="N8776" t="s">
        <v>3298</v>
      </c>
      <c r="O8776" t="s">
        <v>8332</v>
      </c>
      <c r="P8776">
        <v>13671</v>
      </c>
      <c r="Q8776" t="str">
        <f>"38.061399"</f>
        <v>38.061399</v>
      </c>
      <c r="R8776" t="str">
        <f>"23.727656"</f>
        <v>23.727656</v>
      </c>
      <c r="S8776" t="s">
        <v>26</v>
      </c>
    </row>
    <row r="8777" spans="1:19" x14ac:dyDescent="0.3">
      <c r="A8777" t="s">
        <v>3237</v>
      </c>
      <c r="B8777" t="s">
        <v>7919</v>
      </c>
      <c r="C8777" t="s">
        <v>8333</v>
      </c>
      <c r="D8777" t="s">
        <v>3262</v>
      </c>
      <c r="E8777" t="s">
        <v>3298</v>
      </c>
      <c r="F8777" t="s">
        <v>3298</v>
      </c>
      <c r="G8777" t="s">
        <v>3298</v>
      </c>
      <c r="H8777" t="s">
        <v>859</v>
      </c>
      <c r="I8777" t="s">
        <v>860</v>
      </c>
      <c r="J8777" t="str">
        <f>"9050998"</f>
        <v>9050998</v>
      </c>
      <c r="K8777">
        <v>2102465749</v>
      </c>
      <c r="M8777" t="s">
        <v>8334</v>
      </c>
      <c r="N8777" t="s">
        <v>3298</v>
      </c>
      <c r="O8777" t="s">
        <v>8335</v>
      </c>
      <c r="P8777">
        <v>13675</v>
      </c>
      <c r="Q8777" t="str">
        <f>"38.088272"</f>
        <v>38.088272</v>
      </c>
      <c r="R8777" t="str">
        <f>"23.732469"</f>
        <v>23.732469</v>
      </c>
      <c r="S8777" t="s">
        <v>26</v>
      </c>
    </row>
    <row r="8778" spans="1:19" x14ac:dyDescent="0.3">
      <c r="A8778" t="s">
        <v>3237</v>
      </c>
      <c r="B8778" t="s">
        <v>7919</v>
      </c>
      <c r="C8778" t="s">
        <v>8336</v>
      </c>
      <c r="D8778" t="s">
        <v>3262</v>
      </c>
      <c r="E8778" t="s">
        <v>3298</v>
      </c>
      <c r="F8778" t="s">
        <v>3298</v>
      </c>
      <c r="G8778" t="s">
        <v>3298</v>
      </c>
      <c r="H8778" t="s">
        <v>859</v>
      </c>
      <c r="I8778" t="s">
        <v>860</v>
      </c>
      <c r="J8778" t="str">
        <f>"9051043"</f>
        <v>9051043</v>
      </c>
      <c r="K8778">
        <v>2102460969</v>
      </c>
      <c r="L8778">
        <v>2102460969</v>
      </c>
      <c r="M8778" t="s">
        <v>8337</v>
      </c>
      <c r="N8778" t="s">
        <v>3298</v>
      </c>
      <c r="O8778" t="s">
        <v>8338</v>
      </c>
      <c r="P8778">
        <v>13671</v>
      </c>
      <c r="Q8778" t="str">
        <f>"38.021171"</f>
        <v>38.021171</v>
      </c>
      <c r="R8778" t="str">
        <f>"23.736873"</f>
        <v>23.736873</v>
      </c>
      <c r="S8778" t="s">
        <v>26</v>
      </c>
    </row>
    <row r="8779" spans="1:19" x14ac:dyDescent="0.3">
      <c r="A8779" t="s">
        <v>3237</v>
      </c>
      <c r="B8779" t="s">
        <v>7919</v>
      </c>
      <c r="C8779" t="s">
        <v>8339</v>
      </c>
      <c r="D8779" t="s">
        <v>3262</v>
      </c>
      <c r="E8779" t="s">
        <v>3298</v>
      </c>
      <c r="F8779" t="s">
        <v>3298</v>
      </c>
      <c r="G8779" t="s">
        <v>3298</v>
      </c>
      <c r="H8779" t="s">
        <v>859</v>
      </c>
      <c r="I8779" t="s">
        <v>860</v>
      </c>
      <c r="J8779" t="str">
        <f>"9051044"</f>
        <v>9051044</v>
      </c>
      <c r="K8779">
        <v>2102466790</v>
      </c>
      <c r="M8779" t="s">
        <v>8340</v>
      </c>
      <c r="N8779" t="s">
        <v>3298</v>
      </c>
      <c r="O8779" t="s">
        <v>8341</v>
      </c>
      <c r="P8779">
        <v>13671</v>
      </c>
      <c r="Q8779" t="str">
        <f>"38.082773"</f>
        <v>38.082773</v>
      </c>
      <c r="R8779" t="str">
        <f>"23.742091"</f>
        <v>23.742091</v>
      </c>
      <c r="S8779" t="s">
        <v>26</v>
      </c>
    </row>
    <row r="8780" spans="1:19" x14ac:dyDescent="0.3">
      <c r="A8780" t="s">
        <v>3237</v>
      </c>
      <c r="B8780" t="s">
        <v>7919</v>
      </c>
      <c r="C8780" t="s">
        <v>8342</v>
      </c>
      <c r="D8780" t="s">
        <v>3262</v>
      </c>
      <c r="E8780" t="s">
        <v>3298</v>
      </c>
      <c r="F8780" t="s">
        <v>3298</v>
      </c>
      <c r="G8780" t="s">
        <v>3298</v>
      </c>
      <c r="H8780" t="s">
        <v>859</v>
      </c>
      <c r="I8780" t="s">
        <v>860</v>
      </c>
      <c r="J8780" t="str">
        <f>"9051219"</f>
        <v>9051219</v>
      </c>
      <c r="K8780">
        <v>2102317485</v>
      </c>
      <c r="L8780">
        <v>2102317485</v>
      </c>
      <c r="M8780" t="s">
        <v>8343</v>
      </c>
      <c r="N8780" t="s">
        <v>4028</v>
      </c>
      <c r="O8780" t="s">
        <v>8344</v>
      </c>
      <c r="P8780">
        <v>13671</v>
      </c>
      <c r="Q8780" t="str">
        <f>"38.063386"</f>
        <v>38.063386</v>
      </c>
      <c r="R8780" t="str">
        <f>"23.737481"</f>
        <v>23.737481</v>
      </c>
      <c r="S8780" t="s">
        <v>26</v>
      </c>
    </row>
    <row r="8781" spans="1:19" x14ac:dyDescent="0.3">
      <c r="A8781" t="s">
        <v>3237</v>
      </c>
      <c r="B8781" t="s">
        <v>7919</v>
      </c>
      <c r="C8781" t="s">
        <v>8345</v>
      </c>
      <c r="D8781" t="s">
        <v>3262</v>
      </c>
      <c r="E8781" t="s">
        <v>3298</v>
      </c>
      <c r="F8781" t="s">
        <v>3298</v>
      </c>
      <c r="G8781" t="s">
        <v>3298</v>
      </c>
      <c r="H8781" t="s">
        <v>859</v>
      </c>
      <c r="I8781" t="s">
        <v>860</v>
      </c>
      <c r="J8781" t="str">
        <f>"9051301"</f>
        <v>9051301</v>
      </c>
      <c r="K8781">
        <v>2102432950</v>
      </c>
      <c r="L8781">
        <v>2102432950</v>
      </c>
      <c r="M8781" t="s">
        <v>8346</v>
      </c>
      <c r="N8781" t="s">
        <v>3298</v>
      </c>
      <c r="O8781" t="s">
        <v>4836</v>
      </c>
      <c r="P8781">
        <v>13679</v>
      </c>
      <c r="Q8781" t="str">
        <f>"38.111364"</f>
        <v>38.111364</v>
      </c>
      <c r="R8781" t="str">
        <f>"23.745887"</f>
        <v>23.745887</v>
      </c>
      <c r="S8781" t="s">
        <v>26</v>
      </c>
    </row>
    <row r="8782" spans="1:19" x14ac:dyDescent="0.3">
      <c r="A8782" t="s">
        <v>3237</v>
      </c>
      <c r="B8782" t="s">
        <v>7919</v>
      </c>
      <c r="C8782" t="s">
        <v>8347</v>
      </c>
      <c r="D8782" t="s">
        <v>3262</v>
      </c>
      <c r="E8782" t="s">
        <v>3298</v>
      </c>
      <c r="F8782" t="s">
        <v>3298</v>
      </c>
      <c r="G8782" t="s">
        <v>3298</v>
      </c>
      <c r="H8782" t="s">
        <v>859</v>
      </c>
      <c r="I8782" t="s">
        <v>860</v>
      </c>
      <c r="J8782" t="str">
        <f>"9051431"</f>
        <v>9051431</v>
      </c>
      <c r="K8782">
        <v>2102316909</v>
      </c>
      <c r="M8782" t="s">
        <v>8348</v>
      </c>
      <c r="N8782" t="s">
        <v>3298</v>
      </c>
      <c r="O8782" t="s">
        <v>8349</v>
      </c>
      <c r="P8782">
        <v>13671</v>
      </c>
      <c r="Q8782" t="str">
        <f>"38.056755"</f>
        <v>38.056755</v>
      </c>
      <c r="R8782" t="str">
        <f>"23.743019"</f>
        <v>23.743019</v>
      </c>
      <c r="S8782" t="s">
        <v>26</v>
      </c>
    </row>
    <row r="8783" spans="1:19" x14ac:dyDescent="0.3">
      <c r="A8783" t="s">
        <v>3237</v>
      </c>
      <c r="B8783" t="s">
        <v>7919</v>
      </c>
      <c r="C8783" t="s">
        <v>8350</v>
      </c>
      <c r="D8783" t="s">
        <v>3262</v>
      </c>
      <c r="E8783" t="s">
        <v>3298</v>
      </c>
      <c r="F8783" t="s">
        <v>3298</v>
      </c>
      <c r="G8783" t="s">
        <v>3298</v>
      </c>
      <c r="H8783" t="s">
        <v>859</v>
      </c>
      <c r="I8783" t="s">
        <v>860</v>
      </c>
      <c r="J8783" t="str">
        <f>"9051505"</f>
        <v>9051505</v>
      </c>
      <c r="K8783">
        <v>2102466001</v>
      </c>
      <c r="L8783">
        <v>2466001</v>
      </c>
      <c r="M8783" t="s">
        <v>8351</v>
      </c>
      <c r="N8783" t="s">
        <v>3298</v>
      </c>
      <c r="O8783" t="s">
        <v>7386</v>
      </c>
      <c r="P8783">
        <v>13671</v>
      </c>
      <c r="Q8783" t="str">
        <f>"38.085087"</f>
        <v>38.085087</v>
      </c>
      <c r="R8783" t="str">
        <f>"23.727239"</f>
        <v>23.727239</v>
      </c>
      <c r="S8783" t="s">
        <v>26</v>
      </c>
    </row>
    <row r="8784" spans="1:19" x14ac:dyDescent="0.3">
      <c r="A8784" t="s">
        <v>3237</v>
      </c>
      <c r="B8784" t="s">
        <v>7919</v>
      </c>
      <c r="C8784" t="s">
        <v>8352</v>
      </c>
      <c r="D8784" t="s">
        <v>3262</v>
      </c>
      <c r="E8784" t="s">
        <v>3298</v>
      </c>
      <c r="F8784" t="s">
        <v>3298</v>
      </c>
      <c r="G8784" t="s">
        <v>3298</v>
      </c>
      <c r="H8784" t="s">
        <v>859</v>
      </c>
      <c r="I8784" t="s">
        <v>860</v>
      </c>
      <c r="J8784" t="str">
        <f>"9051562"</f>
        <v>9051562</v>
      </c>
      <c r="K8784">
        <v>2102432737</v>
      </c>
      <c r="L8784">
        <v>2102432737</v>
      </c>
      <c r="M8784" t="s">
        <v>8353</v>
      </c>
      <c r="N8784" t="s">
        <v>3298</v>
      </c>
      <c r="O8784" t="s">
        <v>8354</v>
      </c>
      <c r="P8784">
        <v>13678</v>
      </c>
      <c r="Q8784" t="str">
        <f>"38.098440"</f>
        <v>38.098440</v>
      </c>
      <c r="R8784" t="str">
        <f>"23.741203"</f>
        <v>23.741203</v>
      </c>
      <c r="S8784" t="s">
        <v>26</v>
      </c>
    </row>
    <row r="8785" spans="1:19" x14ac:dyDescent="0.3">
      <c r="A8785" t="s">
        <v>3237</v>
      </c>
      <c r="B8785" t="s">
        <v>7919</v>
      </c>
      <c r="C8785" t="s">
        <v>8355</v>
      </c>
      <c r="D8785" t="s">
        <v>3262</v>
      </c>
      <c r="E8785" t="s">
        <v>3298</v>
      </c>
      <c r="F8785" t="s">
        <v>3298</v>
      </c>
      <c r="G8785" t="s">
        <v>3298</v>
      </c>
      <c r="H8785" t="s">
        <v>859</v>
      </c>
      <c r="I8785" t="s">
        <v>860</v>
      </c>
      <c r="J8785" t="str">
        <f>"9051775"</f>
        <v>9051775</v>
      </c>
      <c r="K8785">
        <v>2102440488</v>
      </c>
      <c r="L8785">
        <v>2102440488</v>
      </c>
      <c r="M8785" t="s">
        <v>8356</v>
      </c>
      <c r="N8785" t="s">
        <v>4028</v>
      </c>
      <c r="O8785" t="s">
        <v>8357</v>
      </c>
      <c r="P8785">
        <v>13673</v>
      </c>
      <c r="Q8785" t="str">
        <f>"38.076215"</f>
        <v>38.076215</v>
      </c>
      <c r="R8785" t="str">
        <f>"23.736439"</f>
        <v>23.736439</v>
      </c>
      <c r="S8785" t="s">
        <v>26</v>
      </c>
    </row>
    <row r="8786" spans="1:19" x14ac:dyDescent="0.3">
      <c r="A8786" t="s">
        <v>3237</v>
      </c>
      <c r="B8786" t="s">
        <v>7919</v>
      </c>
      <c r="C8786" t="s">
        <v>8358</v>
      </c>
      <c r="D8786" t="s">
        <v>3262</v>
      </c>
      <c r="E8786" t="s">
        <v>3298</v>
      </c>
      <c r="F8786" t="s">
        <v>3298</v>
      </c>
      <c r="G8786" t="s">
        <v>3298</v>
      </c>
      <c r="H8786" t="s">
        <v>859</v>
      </c>
      <c r="I8786" t="s">
        <v>860</v>
      </c>
      <c r="J8786" t="str">
        <f>"9051795"</f>
        <v>9051795</v>
      </c>
      <c r="K8786">
        <v>2102466240</v>
      </c>
      <c r="L8786">
        <v>2102466240</v>
      </c>
      <c r="M8786" t="s">
        <v>8359</v>
      </c>
      <c r="N8786" t="s">
        <v>4028</v>
      </c>
      <c r="O8786" t="s">
        <v>8360</v>
      </c>
      <c r="P8786">
        <v>13671</v>
      </c>
      <c r="Q8786" t="str">
        <f>"38.097130"</f>
        <v>38.097130</v>
      </c>
      <c r="R8786" t="str">
        <f>"23.727520"</f>
        <v>23.727520</v>
      </c>
      <c r="S8786" t="s">
        <v>26</v>
      </c>
    </row>
    <row r="8787" spans="1:19" x14ac:dyDescent="0.3">
      <c r="A8787" t="s">
        <v>3237</v>
      </c>
      <c r="B8787" t="s">
        <v>7919</v>
      </c>
      <c r="C8787" t="s">
        <v>8361</v>
      </c>
      <c r="D8787" t="s">
        <v>3262</v>
      </c>
      <c r="E8787" t="s">
        <v>3298</v>
      </c>
      <c r="F8787" t="s">
        <v>3298</v>
      </c>
      <c r="G8787" t="s">
        <v>3298</v>
      </c>
      <c r="H8787" t="s">
        <v>859</v>
      </c>
      <c r="I8787" t="s">
        <v>860</v>
      </c>
      <c r="J8787" t="str">
        <f>"9051911"</f>
        <v>9051911</v>
      </c>
      <c r="K8787">
        <v>2102441510</v>
      </c>
      <c r="L8787">
        <v>2102441510</v>
      </c>
      <c r="M8787" t="s">
        <v>8362</v>
      </c>
      <c r="N8787" t="s">
        <v>4028</v>
      </c>
      <c r="O8787" t="s">
        <v>8363</v>
      </c>
      <c r="P8787">
        <v>13671</v>
      </c>
      <c r="Q8787" t="str">
        <f>"38.091870"</f>
        <v>38.091870</v>
      </c>
      <c r="R8787" t="str">
        <f>"23.722864"</f>
        <v>23.722864</v>
      </c>
      <c r="S8787" t="s">
        <v>26</v>
      </c>
    </row>
    <row r="8788" spans="1:19" x14ac:dyDescent="0.3">
      <c r="A8788" t="s">
        <v>3237</v>
      </c>
      <c r="B8788" t="s">
        <v>7919</v>
      </c>
      <c r="C8788" t="s">
        <v>8364</v>
      </c>
      <c r="D8788" t="s">
        <v>3262</v>
      </c>
      <c r="E8788" t="s">
        <v>3298</v>
      </c>
      <c r="F8788" t="s">
        <v>3298</v>
      </c>
      <c r="G8788" t="s">
        <v>3298</v>
      </c>
      <c r="H8788" t="s">
        <v>859</v>
      </c>
      <c r="I8788" t="s">
        <v>860</v>
      </c>
      <c r="J8788" t="str">
        <f>"9051925"</f>
        <v>9051925</v>
      </c>
      <c r="K8788">
        <v>2102444830</v>
      </c>
      <c r="L8788">
        <v>2102444830</v>
      </c>
      <c r="M8788" t="s">
        <v>8365</v>
      </c>
      <c r="N8788" t="s">
        <v>3298</v>
      </c>
      <c r="O8788" t="s">
        <v>8366</v>
      </c>
      <c r="P8788">
        <v>13679</v>
      </c>
      <c r="Q8788" t="str">
        <f>"38.110473"</f>
        <v>38.110473</v>
      </c>
      <c r="R8788" t="str">
        <f>"23.739463"</f>
        <v>23.739463</v>
      </c>
      <c r="S8788" t="s">
        <v>26</v>
      </c>
    </row>
    <row r="8789" spans="1:19" x14ac:dyDescent="0.3">
      <c r="A8789" t="s">
        <v>3237</v>
      </c>
      <c r="B8789" t="s">
        <v>7919</v>
      </c>
      <c r="C8789" t="s">
        <v>8367</v>
      </c>
      <c r="D8789" t="s">
        <v>3262</v>
      </c>
      <c r="E8789" t="s">
        <v>3298</v>
      </c>
      <c r="F8789" t="s">
        <v>3298</v>
      </c>
      <c r="G8789" t="s">
        <v>3298</v>
      </c>
      <c r="H8789" t="s">
        <v>859</v>
      </c>
      <c r="I8789" t="s">
        <v>860</v>
      </c>
      <c r="J8789" t="str">
        <f>"9051926"</f>
        <v>9051926</v>
      </c>
      <c r="K8789">
        <v>2102404455</v>
      </c>
      <c r="L8789">
        <v>2102404455</v>
      </c>
      <c r="M8789" t="s">
        <v>8368</v>
      </c>
      <c r="N8789" t="s">
        <v>3298</v>
      </c>
      <c r="O8789" t="s">
        <v>7928</v>
      </c>
      <c r="P8789">
        <v>13672</v>
      </c>
      <c r="Q8789" t="str">
        <f>"38.100992"</f>
        <v>38.100992</v>
      </c>
      <c r="R8789" t="str">
        <f>"23.753762"</f>
        <v>23.753762</v>
      </c>
      <c r="S8789" t="s">
        <v>26</v>
      </c>
    </row>
    <row r="8790" spans="1:19" x14ac:dyDescent="0.3">
      <c r="A8790" t="s">
        <v>3237</v>
      </c>
      <c r="B8790" t="s">
        <v>7919</v>
      </c>
      <c r="C8790" t="s">
        <v>8369</v>
      </c>
      <c r="D8790" t="s">
        <v>3262</v>
      </c>
      <c r="E8790" t="s">
        <v>3298</v>
      </c>
      <c r="F8790" t="s">
        <v>3298</v>
      </c>
      <c r="G8790" t="s">
        <v>3298</v>
      </c>
      <c r="H8790" t="s">
        <v>859</v>
      </c>
      <c r="I8790" t="s">
        <v>860</v>
      </c>
      <c r="J8790" t="str">
        <f>"9520818"</f>
        <v>9520818</v>
      </c>
      <c r="K8790">
        <v>2102401134</v>
      </c>
      <c r="L8790">
        <v>2102401134</v>
      </c>
      <c r="M8790" t="s">
        <v>8370</v>
      </c>
      <c r="N8790" t="s">
        <v>4028</v>
      </c>
      <c r="O8790" t="s">
        <v>8371</v>
      </c>
      <c r="P8790">
        <v>13671</v>
      </c>
      <c r="Q8790" t="str">
        <f>"38.093628"</f>
        <v>38.093628</v>
      </c>
      <c r="R8790" t="str">
        <f>"23.743006"</f>
        <v>23.743006</v>
      </c>
      <c r="S8790" t="s">
        <v>26</v>
      </c>
    </row>
    <row r="8791" spans="1:19" x14ac:dyDescent="0.3">
      <c r="A8791" t="s">
        <v>3237</v>
      </c>
      <c r="B8791" t="s">
        <v>7919</v>
      </c>
      <c r="C8791" t="s">
        <v>8372</v>
      </c>
      <c r="D8791" t="s">
        <v>3262</v>
      </c>
      <c r="E8791" t="s">
        <v>3298</v>
      </c>
      <c r="F8791" t="s">
        <v>3298</v>
      </c>
      <c r="G8791" t="s">
        <v>3298</v>
      </c>
      <c r="H8791" t="s">
        <v>859</v>
      </c>
      <c r="I8791" t="s">
        <v>860</v>
      </c>
      <c r="J8791" t="str">
        <f>"9520819"</f>
        <v>9520819</v>
      </c>
      <c r="K8791">
        <v>2102446944</v>
      </c>
      <c r="L8791">
        <v>2102446944</v>
      </c>
      <c r="M8791" t="s">
        <v>8373</v>
      </c>
      <c r="N8791" t="s">
        <v>4028</v>
      </c>
      <c r="O8791" t="s">
        <v>8374</v>
      </c>
      <c r="P8791">
        <v>13678</v>
      </c>
      <c r="Q8791" t="str">
        <f>"38.093501"</f>
        <v>38.093501</v>
      </c>
      <c r="R8791" t="str">
        <f>"23.741205"</f>
        <v>23.741205</v>
      </c>
      <c r="S8791" t="s">
        <v>26</v>
      </c>
    </row>
    <row r="8792" spans="1:19" x14ac:dyDescent="0.3">
      <c r="A8792" t="s">
        <v>3237</v>
      </c>
      <c r="B8792" t="s">
        <v>7919</v>
      </c>
      <c r="C8792" t="s">
        <v>8375</v>
      </c>
      <c r="D8792" t="s">
        <v>3262</v>
      </c>
      <c r="E8792" t="s">
        <v>3298</v>
      </c>
      <c r="F8792" t="s">
        <v>3298</v>
      </c>
      <c r="G8792" t="s">
        <v>3298</v>
      </c>
      <c r="H8792" t="s">
        <v>859</v>
      </c>
      <c r="I8792" t="s">
        <v>860</v>
      </c>
      <c r="J8792" t="str">
        <f>"9051898"</f>
        <v>9051898</v>
      </c>
      <c r="K8792">
        <v>2108169464</v>
      </c>
      <c r="L8792">
        <v>2108969464</v>
      </c>
      <c r="M8792" t="s">
        <v>8376</v>
      </c>
      <c r="N8792" t="s">
        <v>8377</v>
      </c>
      <c r="O8792" t="s">
        <v>8378</v>
      </c>
      <c r="P8792">
        <v>13677</v>
      </c>
      <c r="Q8792" t="str">
        <f>"38.132192"</f>
        <v>38.132192</v>
      </c>
      <c r="R8792" t="str">
        <f>"23.789510"</f>
        <v>23.789510</v>
      </c>
      <c r="S8792" t="s">
        <v>26</v>
      </c>
    </row>
    <row r="8793" spans="1:19" x14ac:dyDescent="0.3">
      <c r="A8793" t="s">
        <v>3237</v>
      </c>
      <c r="B8793" t="s">
        <v>7919</v>
      </c>
      <c r="C8793" t="s">
        <v>8379</v>
      </c>
      <c r="D8793" t="s">
        <v>3262</v>
      </c>
      <c r="E8793" t="s">
        <v>3298</v>
      </c>
      <c r="F8793" t="s">
        <v>4005</v>
      </c>
      <c r="G8793" t="s">
        <v>4005</v>
      </c>
      <c r="H8793" t="s">
        <v>859</v>
      </c>
      <c r="I8793" t="s">
        <v>860</v>
      </c>
      <c r="J8793" t="str">
        <f>"9051415"</f>
        <v>9051415</v>
      </c>
      <c r="K8793">
        <v>2102432095</v>
      </c>
      <c r="L8793">
        <v>2102432095</v>
      </c>
      <c r="M8793" t="s">
        <v>8380</v>
      </c>
      <c r="N8793" t="s">
        <v>4005</v>
      </c>
      <c r="O8793" t="s">
        <v>8381</v>
      </c>
      <c r="P8793">
        <v>13676</v>
      </c>
      <c r="Q8793" t="str">
        <f>"38.129354"</f>
        <v>38.129354</v>
      </c>
      <c r="R8793" t="str">
        <f>"23.756119"</f>
        <v>23.756119</v>
      </c>
      <c r="S8793" t="s">
        <v>26</v>
      </c>
    </row>
    <row r="8794" spans="1:19" x14ac:dyDescent="0.3">
      <c r="A8794" t="s">
        <v>3237</v>
      </c>
      <c r="B8794" t="s">
        <v>7919</v>
      </c>
      <c r="C8794" t="s">
        <v>8382</v>
      </c>
      <c r="D8794" t="s">
        <v>3262</v>
      </c>
      <c r="E8794" t="s">
        <v>3298</v>
      </c>
      <c r="F8794" t="s">
        <v>4005</v>
      </c>
      <c r="G8794" t="s">
        <v>4005</v>
      </c>
      <c r="H8794" t="s">
        <v>859</v>
      </c>
      <c r="I8794" t="s">
        <v>860</v>
      </c>
      <c r="J8794" t="str">
        <f>"9520559"</f>
        <v>9520559</v>
      </c>
      <c r="K8794">
        <v>2102435160</v>
      </c>
      <c r="L8794">
        <v>2102435160</v>
      </c>
      <c r="M8794" t="s">
        <v>8383</v>
      </c>
      <c r="N8794" t="s">
        <v>4005</v>
      </c>
      <c r="O8794" t="s">
        <v>8384</v>
      </c>
      <c r="P8794">
        <v>13676</v>
      </c>
      <c r="Q8794" t="str">
        <f>"38.141645"</f>
        <v>38.141645</v>
      </c>
      <c r="R8794" t="str">
        <f>"23.752378"</f>
        <v>23.752378</v>
      </c>
      <c r="S8794" t="s">
        <v>26</v>
      </c>
    </row>
    <row r="8795" spans="1:19" x14ac:dyDescent="0.3">
      <c r="A8795" t="s">
        <v>3237</v>
      </c>
      <c r="B8795" t="s">
        <v>7919</v>
      </c>
      <c r="C8795" t="s">
        <v>8385</v>
      </c>
      <c r="D8795" t="s">
        <v>3262</v>
      </c>
      <c r="E8795" t="s">
        <v>4067</v>
      </c>
      <c r="F8795" t="s">
        <v>4470</v>
      </c>
      <c r="G8795" t="s">
        <v>4470</v>
      </c>
      <c r="H8795" t="s">
        <v>859</v>
      </c>
      <c r="I8795" t="s">
        <v>860</v>
      </c>
      <c r="J8795" t="str">
        <f>"9051863"</f>
        <v>9051863</v>
      </c>
      <c r="K8795">
        <v>2295080800</v>
      </c>
      <c r="L8795">
        <v>2295080800</v>
      </c>
      <c r="M8795" t="s">
        <v>8386</v>
      </c>
      <c r="N8795" t="s">
        <v>8387</v>
      </c>
      <c r="O8795" t="s">
        <v>8388</v>
      </c>
      <c r="P8795">
        <v>19014</v>
      </c>
      <c r="Q8795" t="str">
        <f>"38.296670"</f>
        <v>38.296670</v>
      </c>
      <c r="R8795" t="str">
        <f>"23.908917"</f>
        <v>23.908917</v>
      </c>
      <c r="S8795" t="s">
        <v>26</v>
      </c>
    </row>
    <row r="8796" spans="1:19" x14ac:dyDescent="0.3">
      <c r="A8796" t="s">
        <v>3237</v>
      </c>
      <c r="B8796" t="s">
        <v>7919</v>
      </c>
      <c r="C8796" t="s">
        <v>8389</v>
      </c>
      <c r="D8796" t="s">
        <v>3262</v>
      </c>
      <c r="E8796" t="s">
        <v>4043</v>
      </c>
      <c r="F8796" t="s">
        <v>4073</v>
      </c>
      <c r="G8796" t="s">
        <v>4073</v>
      </c>
      <c r="H8796" t="s">
        <v>859</v>
      </c>
      <c r="I8796" t="s">
        <v>860</v>
      </c>
      <c r="J8796" t="str">
        <f>"9050262"</f>
        <v>9050262</v>
      </c>
      <c r="K8796">
        <v>2108141946</v>
      </c>
      <c r="L8796">
        <v>2106216003</v>
      </c>
      <c r="M8796" t="s">
        <v>8390</v>
      </c>
      <c r="N8796" t="s">
        <v>4073</v>
      </c>
      <c r="O8796" t="s">
        <v>8391</v>
      </c>
      <c r="P8796">
        <v>14565</v>
      </c>
      <c r="Q8796" t="str">
        <f>"38.141913"</f>
        <v>38.141913</v>
      </c>
      <c r="R8796" t="str">
        <f>"23.859836"</f>
        <v>23.859836</v>
      </c>
      <c r="S8796" t="s">
        <v>26</v>
      </c>
    </row>
    <row r="8797" spans="1:19" x14ac:dyDescent="0.3">
      <c r="A8797" t="s">
        <v>3237</v>
      </c>
      <c r="B8797" t="s">
        <v>7919</v>
      </c>
      <c r="C8797" t="s">
        <v>8392</v>
      </c>
      <c r="D8797" t="s">
        <v>3262</v>
      </c>
      <c r="E8797" t="s">
        <v>4043</v>
      </c>
      <c r="F8797" t="s">
        <v>4073</v>
      </c>
      <c r="G8797" t="s">
        <v>4073</v>
      </c>
      <c r="H8797" t="s">
        <v>859</v>
      </c>
      <c r="I8797" t="s">
        <v>860</v>
      </c>
      <c r="J8797" t="str">
        <f>"9520645"</f>
        <v>9520645</v>
      </c>
      <c r="K8797">
        <v>2106217337</v>
      </c>
      <c r="L8797">
        <v>2106217337</v>
      </c>
      <c r="M8797" t="s">
        <v>8393</v>
      </c>
      <c r="N8797" t="s">
        <v>4073</v>
      </c>
      <c r="O8797" t="s">
        <v>8391</v>
      </c>
      <c r="P8797">
        <v>14565</v>
      </c>
      <c r="Q8797" t="str">
        <f>"38.141913"</f>
        <v>38.141913</v>
      </c>
      <c r="R8797" t="str">
        <f>"23.859836"</f>
        <v>23.859836</v>
      </c>
      <c r="S8797" t="s">
        <v>26</v>
      </c>
    </row>
    <row r="8798" spans="1:19" x14ac:dyDescent="0.3">
      <c r="A8798" t="s">
        <v>3237</v>
      </c>
      <c r="B8798" t="s">
        <v>7919</v>
      </c>
      <c r="C8798" t="s">
        <v>8394</v>
      </c>
      <c r="D8798" t="s">
        <v>3262</v>
      </c>
      <c r="E8798" t="s">
        <v>4043</v>
      </c>
      <c r="F8798" t="s">
        <v>4179</v>
      </c>
      <c r="G8798" t="s">
        <v>4179</v>
      </c>
      <c r="H8798" t="s">
        <v>859</v>
      </c>
      <c r="I8798" t="s">
        <v>860</v>
      </c>
      <c r="J8798" t="str">
        <f>"9051034"</f>
        <v>9051034</v>
      </c>
      <c r="K8798">
        <v>2108141115</v>
      </c>
      <c r="L8798">
        <v>2108141115</v>
      </c>
      <c r="M8798" t="s">
        <v>8395</v>
      </c>
      <c r="N8798" t="s">
        <v>8396</v>
      </c>
      <c r="O8798" t="s">
        <v>8397</v>
      </c>
      <c r="P8798">
        <v>14569</v>
      </c>
      <c r="Q8798" t="str">
        <f>"38.132687"</f>
        <v>38.132687</v>
      </c>
      <c r="R8798" t="str">
        <f>"23.855402"</f>
        <v>23.855402</v>
      </c>
      <c r="S8798" t="s">
        <v>26</v>
      </c>
    </row>
    <row r="8799" spans="1:19" x14ac:dyDescent="0.3">
      <c r="A8799" t="s">
        <v>3237</v>
      </c>
      <c r="B8799" t="s">
        <v>7919</v>
      </c>
      <c r="C8799" t="s">
        <v>8398</v>
      </c>
      <c r="D8799" t="s">
        <v>3262</v>
      </c>
      <c r="E8799" t="s">
        <v>4067</v>
      </c>
      <c r="F8799" t="s">
        <v>4068</v>
      </c>
      <c r="G8799" t="s">
        <v>4068</v>
      </c>
      <c r="H8799" t="s">
        <v>859</v>
      </c>
      <c r="I8799" t="s">
        <v>860</v>
      </c>
      <c r="J8799" t="str">
        <f>"9050270"</f>
        <v>9050270</v>
      </c>
      <c r="K8799">
        <v>2295041008</v>
      </c>
      <c r="L8799">
        <v>2295041008</v>
      </c>
      <c r="M8799" t="s">
        <v>8399</v>
      </c>
      <c r="N8799" t="s">
        <v>4204</v>
      </c>
      <c r="O8799" t="s">
        <v>8400</v>
      </c>
      <c r="P8799">
        <v>19011</v>
      </c>
      <c r="Q8799" t="str">
        <f>"38.252767"</f>
        <v>38.252767</v>
      </c>
      <c r="R8799" t="str">
        <f>"23.692859"</f>
        <v>23.692859</v>
      </c>
      <c r="S8799" t="s">
        <v>26</v>
      </c>
    </row>
    <row r="8800" spans="1:19" x14ac:dyDescent="0.3">
      <c r="A8800" t="s">
        <v>3237</v>
      </c>
      <c r="B8800" t="s">
        <v>7919</v>
      </c>
      <c r="C8800" t="s">
        <v>8401</v>
      </c>
      <c r="D8800" t="s">
        <v>3262</v>
      </c>
      <c r="E8800" t="s">
        <v>4067</v>
      </c>
      <c r="F8800" t="s">
        <v>4068</v>
      </c>
      <c r="G8800" t="s">
        <v>4068</v>
      </c>
      <c r="H8800" t="s">
        <v>859</v>
      </c>
      <c r="I8800" t="s">
        <v>860</v>
      </c>
      <c r="J8800" t="str">
        <f>"9051429"</f>
        <v>9051429</v>
      </c>
      <c r="K8800">
        <v>2295042747</v>
      </c>
      <c r="M8800" t="s">
        <v>8402</v>
      </c>
      <c r="N8800" t="s">
        <v>4071</v>
      </c>
      <c r="O8800" t="s">
        <v>8403</v>
      </c>
      <c r="P8800">
        <v>19011</v>
      </c>
      <c r="Q8800" t="str">
        <f>"38.247514"</f>
        <v>38.247514</v>
      </c>
      <c r="R8800" t="str">
        <f>"23.701194"</f>
        <v>23.701194</v>
      </c>
      <c r="S8800" t="s">
        <v>26</v>
      </c>
    </row>
    <row r="8801" spans="1:19" x14ac:dyDescent="0.3">
      <c r="A8801" t="s">
        <v>3237</v>
      </c>
      <c r="B8801" t="s">
        <v>7919</v>
      </c>
      <c r="C8801" t="s">
        <v>8404</v>
      </c>
      <c r="D8801" t="s">
        <v>3262</v>
      </c>
      <c r="E8801" t="s">
        <v>4067</v>
      </c>
      <c r="F8801" t="s">
        <v>4546</v>
      </c>
      <c r="G8801" t="s">
        <v>4546</v>
      </c>
      <c r="H8801" t="s">
        <v>859</v>
      </c>
      <c r="I8801" t="s">
        <v>860</v>
      </c>
      <c r="J8801" t="str">
        <f>"9050271"</f>
        <v>9050271</v>
      </c>
      <c r="K8801">
        <v>2295772201</v>
      </c>
      <c r="L8801">
        <v>2295772201</v>
      </c>
      <c r="M8801" t="s">
        <v>8405</v>
      </c>
      <c r="N8801" t="s">
        <v>4546</v>
      </c>
      <c r="O8801" t="s">
        <v>8406</v>
      </c>
      <c r="P8801">
        <v>19014</v>
      </c>
      <c r="Q8801" t="str">
        <f>"38.170458"</f>
        <v>38.170458</v>
      </c>
      <c r="R8801" t="str">
        <f>"23.838798"</f>
        <v>23.838798</v>
      </c>
      <c r="S8801" t="s">
        <v>26</v>
      </c>
    </row>
    <row r="8802" spans="1:19" x14ac:dyDescent="0.3">
      <c r="A8802" t="s">
        <v>3237</v>
      </c>
      <c r="B8802" t="s">
        <v>7919</v>
      </c>
      <c r="C8802" t="s">
        <v>8408</v>
      </c>
      <c r="D8802" t="s">
        <v>3262</v>
      </c>
      <c r="E8802" t="s">
        <v>4019</v>
      </c>
      <c r="F8802" t="s">
        <v>8407</v>
      </c>
      <c r="G8802" t="s">
        <v>8407</v>
      </c>
      <c r="H8802" t="s">
        <v>859</v>
      </c>
      <c r="I8802" t="s">
        <v>860</v>
      </c>
      <c r="J8802" t="str">
        <f>"9050273"</f>
        <v>9050273</v>
      </c>
      <c r="K8802">
        <v>2295097110</v>
      </c>
      <c r="L8802">
        <v>2295097110</v>
      </c>
      <c r="M8802" t="s">
        <v>8409</v>
      </c>
      <c r="N8802" t="s">
        <v>8407</v>
      </c>
      <c r="O8802" t="s">
        <v>8410</v>
      </c>
      <c r="P8802">
        <v>19014</v>
      </c>
      <c r="Q8802" t="str">
        <f>"38.221328"</f>
        <v>38.221328</v>
      </c>
      <c r="R8802" t="str">
        <f>"23.921697"</f>
        <v>23.921697</v>
      </c>
      <c r="S8802" t="s">
        <v>26</v>
      </c>
    </row>
    <row r="8803" spans="1:19" x14ac:dyDescent="0.3">
      <c r="A8803" t="s">
        <v>3237</v>
      </c>
      <c r="B8803" t="s">
        <v>7919</v>
      </c>
      <c r="C8803" t="s">
        <v>8411</v>
      </c>
      <c r="D8803" t="s">
        <v>3262</v>
      </c>
      <c r="E8803" t="s">
        <v>4043</v>
      </c>
      <c r="F8803" t="s">
        <v>4043</v>
      </c>
      <c r="G8803" t="s">
        <v>4043</v>
      </c>
      <c r="H8803" t="s">
        <v>859</v>
      </c>
      <c r="I8803" t="s">
        <v>860</v>
      </c>
      <c r="J8803" t="str">
        <f>"9051461"</f>
        <v>9051461</v>
      </c>
      <c r="K8803">
        <v>2108150000</v>
      </c>
      <c r="L8803">
        <v>2108150000</v>
      </c>
      <c r="M8803" t="s">
        <v>8412</v>
      </c>
      <c r="N8803" t="s">
        <v>4043</v>
      </c>
      <c r="O8803" t="s">
        <v>8413</v>
      </c>
      <c r="P8803">
        <v>14576</v>
      </c>
      <c r="Q8803" t="str">
        <f>"38.097978"</f>
        <v>38.097978</v>
      </c>
      <c r="R8803" t="str">
        <f>"23.872719"</f>
        <v>23.872719</v>
      </c>
      <c r="S8803" t="s">
        <v>26</v>
      </c>
    </row>
    <row r="8804" spans="1:19" x14ac:dyDescent="0.3">
      <c r="A8804" t="s">
        <v>3237</v>
      </c>
      <c r="B8804" t="s">
        <v>7919</v>
      </c>
      <c r="C8804" t="s">
        <v>8414</v>
      </c>
      <c r="D8804" t="s">
        <v>3262</v>
      </c>
      <c r="E8804" t="s">
        <v>4043</v>
      </c>
      <c r="F8804" t="s">
        <v>4179</v>
      </c>
      <c r="G8804" t="s">
        <v>4179</v>
      </c>
      <c r="H8804" t="s">
        <v>859</v>
      </c>
      <c r="I8804" t="s">
        <v>860</v>
      </c>
      <c r="J8804" t="str">
        <f>"9520646"</f>
        <v>9520646</v>
      </c>
      <c r="K8804">
        <v>2106219456</v>
      </c>
      <c r="L8804">
        <v>2106219456</v>
      </c>
      <c r="M8804" t="s">
        <v>8415</v>
      </c>
      <c r="N8804" t="s">
        <v>4182</v>
      </c>
      <c r="O8804" t="s">
        <v>8397</v>
      </c>
      <c r="P8804">
        <v>14569</v>
      </c>
      <c r="Q8804" t="str">
        <f>"38.132679"</f>
        <v>38.132679</v>
      </c>
      <c r="R8804" t="str">
        <f>"23.855445"</f>
        <v>23.855445</v>
      </c>
      <c r="S8804" t="s">
        <v>26</v>
      </c>
    </row>
    <row r="8805" spans="1:19" x14ac:dyDescent="0.3">
      <c r="A8805" t="s">
        <v>3237</v>
      </c>
      <c r="B8805" t="s">
        <v>7919</v>
      </c>
      <c r="C8805" t="s">
        <v>8416</v>
      </c>
      <c r="D8805" t="s">
        <v>3262</v>
      </c>
      <c r="E8805" t="s">
        <v>4043</v>
      </c>
      <c r="F8805" t="s">
        <v>4043</v>
      </c>
      <c r="G8805" t="s">
        <v>4043</v>
      </c>
      <c r="H8805" t="s">
        <v>859</v>
      </c>
      <c r="I8805" t="s">
        <v>860</v>
      </c>
      <c r="J8805" t="str">
        <f>"9520823"</f>
        <v>9520823</v>
      </c>
      <c r="K8805">
        <v>2106211207</v>
      </c>
      <c r="L8805">
        <v>2108152870</v>
      </c>
      <c r="M8805" t="s">
        <v>8417</v>
      </c>
      <c r="N8805" t="s">
        <v>4043</v>
      </c>
      <c r="O8805" t="s">
        <v>8418</v>
      </c>
      <c r="P8805">
        <v>14576</v>
      </c>
      <c r="Q8805" t="str">
        <f>"38.101673"</f>
        <v>38.101673</v>
      </c>
      <c r="R8805" t="str">
        <f>"23.883391"</f>
        <v>23.883391</v>
      </c>
      <c r="S8805" t="s">
        <v>26</v>
      </c>
    </row>
    <row r="8806" spans="1:19" x14ac:dyDescent="0.3">
      <c r="A8806" t="s">
        <v>3237</v>
      </c>
      <c r="B8806" t="s">
        <v>7919</v>
      </c>
      <c r="C8806" t="s">
        <v>8419</v>
      </c>
      <c r="D8806" t="s">
        <v>3262</v>
      </c>
      <c r="E8806" t="s">
        <v>4043</v>
      </c>
      <c r="F8806" t="s">
        <v>2808</v>
      </c>
      <c r="G8806" t="s">
        <v>2808</v>
      </c>
      <c r="H8806" t="s">
        <v>859</v>
      </c>
      <c r="I8806" t="s">
        <v>860</v>
      </c>
      <c r="J8806" t="str">
        <f>"9051036"</f>
        <v>9051036</v>
      </c>
      <c r="K8806">
        <v>2108134484</v>
      </c>
      <c r="L8806">
        <v>2108134484</v>
      </c>
      <c r="M8806" t="s">
        <v>8420</v>
      </c>
      <c r="N8806" t="s">
        <v>2805</v>
      </c>
      <c r="O8806" t="s">
        <v>8421</v>
      </c>
      <c r="P8806">
        <v>14572</v>
      </c>
      <c r="Q8806" t="str">
        <f>"38.118925"</f>
        <v>38.118925</v>
      </c>
      <c r="R8806" t="str">
        <f>"23.859210"</f>
        <v>23.859210</v>
      </c>
      <c r="S8806" t="s">
        <v>26</v>
      </c>
    </row>
    <row r="8807" spans="1:19" x14ac:dyDescent="0.3">
      <c r="A8807" t="s">
        <v>3237</v>
      </c>
      <c r="B8807" t="s">
        <v>7919</v>
      </c>
      <c r="C8807" t="s">
        <v>8424</v>
      </c>
      <c r="D8807" t="s">
        <v>3262</v>
      </c>
      <c r="E8807" t="s">
        <v>3298</v>
      </c>
      <c r="F8807" t="s">
        <v>3298</v>
      </c>
      <c r="G8807" t="s">
        <v>3298</v>
      </c>
      <c r="H8807" t="s">
        <v>859</v>
      </c>
      <c r="I8807" t="s">
        <v>1102</v>
      </c>
      <c r="J8807" t="str">
        <f>"9051934"</f>
        <v>9051934</v>
      </c>
      <c r="K8807">
        <v>2102462695</v>
      </c>
      <c r="M8807" t="s">
        <v>8425</v>
      </c>
      <c r="N8807" t="s">
        <v>4318</v>
      </c>
      <c r="O8807" t="s">
        <v>8426</v>
      </c>
      <c r="P8807">
        <v>13671</v>
      </c>
      <c r="Q8807" t="str">
        <f>"38.094466"</f>
        <v>38.094466</v>
      </c>
      <c r="R8807" t="str">
        <f>"23.744465"</f>
        <v>23.744465</v>
      </c>
      <c r="S8807" t="s">
        <v>26</v>
      </c>
    </row>
    <row r="8808" spans="1:19" x14ac:dyDescent="0.3">
      <c r="A8808" t="s">
        <v>3237</v>
      </c>
      <c r="B8808" t="s">
        <v>7919</v>
      </c>
      <c r="C8808" t="s">
        <v>8427</v>
      </c>
      <c r="D8808" t="s">
        <v>3262</v>
      </c>
      <c r="E8808" t="s">
        <v>4031</v>
      </c>
      <c r="F8808" t="s">
        <v>4037</v>
      </c>
      <c r="G8808" t="s">
        <v>4037</v>
      </c>
      <c r="H8808" t="s">
        <v>859</v>
      </c>
      <c r="I8808" t="s">
        <v>860</v>
      </c>
      <c r="J8808" t="str">
        <f>"9050544"</f>
        <v>9050544</v>
      </c>
      <c r="K8808">
        <v>2299042140</v>
      </c>
      <c r="L8808">
        <v>2299042140</v>
      </c>
      <c r="M8808" t="s">
        <v>8428</v>
      </c>
      <c r="N8808" t="s">
        <v>4037</v>
      </c>
      <c r="O8808" t="s">
        <v>8235</v>
      </c>
      <c r="P8808">
        <v>19001</v>
      </c>
      <c r="Q8808" t="str">
        <f>"37.801912"</f>
        <v>37.801912</v>
      </c>
      <c r="R8808" t="str">
        <f>"23.983026"</f>
        <v>23.983026</v>
      </c>
      <c r="S8808" t="s">
        <v>26</v>
      </c>
    </row>
    <row r="8809" spans="1:19" x14ac:dyDescent="0.3">
      <c r="A8809" t="s">
        <v>3237</v>
      </c>
      <c r="B8809" t="s">
        <v>7919</v>
      </c>
      <c r="C8809" t="s">
        <v>8429</v>
      </c>
      <c r="D8809" t="s">
        <v>3262</v>
      </c>
      <c r="E8809" t="s">
        <v>4067</v>
      </c>
      <c r="F8809" t="s">
        <v>4470</v>
      </c>
      <c r="G8809" t="s">
        <v>4470</v>
      </c>
      <c r="H8809" t="s">
        <v>859</v>
      </c>
      <c r="I8809" t="s">
        <v>860</v>
      </c>
      <c r="J8809" t="str">
        <f>"9050277"</f>
        <v>9050277</v>
      </c>
      <c r="K8809">
        <v>2295062746</v>
      </c>
      <c r="L8809">
        <v>2295062746</v>
      </c>
      <c r="M8809" t="s">
        <v>8430</v>
      </c>
      <c r="N8809" t="s">
        <v>4470</v>
      </c>
      <c r="O8809" t="s">
        <v>8431</v>
      </c>
      <c r="P8809">
        <v>19017</v>
      </c>
      <c r="Q8809" t="str">
        <f>"38.286598"</f>
        <v>38.286598</v>
      </c>
      <c r="R8809" t="str">
        <f>"23.857488"</f>
        <v>23.857488</v>
      </c>
      <c r="S8809" t="s">
        <v>26</v>
      </c>
    </row>
    <row r="8810" spans="1:19" x14ac:dyDescent="0.3">
      <c r="A8810" t="s">
        <v>3237</v>
      </c>
      <c r="B8810" t="s">
        <v>7919</v>
      </c>
      <c r="C8810" t="s">
        <v>8432</v>
      </c>
      <c r="D8810" t="s">
        <v>3262</v>
      </c>
      <c r="E8810" t="s">
        <v>4067</v>
      </c>
      <c r="F8810" t="s">
        <v>4125</v>
      </c>
      <c r="G8810" t="s">
        <v>4125</v>
      </c>
      <c r="H8810" t="s">
        <v>859</v>
      </c>
      <c r="I8810" t="s">
        <v>860</v>
      </c>
      <c r="J8810" t="str">
        <f>"9050279"</f>
        <v>9050279</v>
      </c>
      <c r="K8810">
        <v>2295053068</v>
      </c>
      <c r="L8810">
        <v>2295053068</v>
      </c>
      <c r="M8810" t="s">
        <v>8433</v>
      </c>
      <c r="N8810" t="s">
        <v>4125</v>
      </c>
      <c r="O8810" t="s">
        <v>4128</v>
      </c>
      <c r="P8810">
        <v>19014</v>
      </c>
      <c r="Q8810" t="str">
        <f>"38.216309"</f>
        <v>38.216309</v>
      </c>
      <c r="R8810" t="str">
        <f>"23.877970"</f>
        <v>23.877970</v>
      </c>
      <c r="S8810" t="s">
        <v>26</v>
      </c>
    </row>
    <row r="8811" spans="1:19" x14ac:dyDescent="0.3">
      <c r="A8811" t="s">
        <v>3237</v>
      </c>
      <c r="B8811" t="s">
        <v>7919</v>
      </c>
      <c r="C8811" t="s">
        <v>8442</v>
      </c>
      <c r="D8811" t="s">
        <v>3262</v>
      </c>
      <c r="E8811" t="s">
        <v>4011</v>
      </c>
      <c r="F8811" t="s">
        <v>4160</v>
      </c>
      <c r="G8811" t="s">
        <v>4160</v>
      </c>
      <c r="H8811" t="s">
        <v>859</v>
      </c>
      <c r="I8811" t="s">
        <v>860</v>
      </c>
      <c r="J8811" t="str">
        <f>"9050190"</f>
        <v>9050190</v>
      </c>
      <c r="K8811">
        <v>2108954639</v>
      </c>
      <c r="L8811">
        <v>2108954639</v>
      </c>
      <c r="M8811" t="s">
        <v>8443</v>
      </c>
      <c r="N8811" t="s">
        <v>4160</v>
      </c>
      <c r="O8811" t="s">
        <v>8444</v>
      </c>
      <c r="P8811">
        <v>16673</v>
      </c>
      <c r="Q8811" t="str">
        <f>"37.841540"</f>
        <v>37.841540</v>
      </c>
      <c r="R8811" t="str">
        <f>"23.769627"</f>
        <v>23.769627</v>
      </c>
      <c r="S8811" t="s">
        <v>26</v>
      </c>
    </row>
    <row r="8812" spans="1:19" x14ac:dyDescent="0.3">
      <c r="A8812" t="s">
        <v>3237</v>
      </c>
      <c r="B8812" t="s">
        <v>7919</v>
      </c>
      <c r="C8812" t="s">
        <v>8445</v>
      </c>
      <c r="D8812" t="s">
        <v>3262</v>
      </c>
      <c r="E8812" t="s">
        <v>4043</v>
      </c>
      <c r="F8812" t="s">
        <v>4044</v>
      </c>
      <c r="G8812" t="s">
        <v>4044</v>
      </c>
      <c r="H8812" t="s">
        <v>859</v>
      </c>
      <c r="I8812" t="s">
        <v>860</v>
      </c>
      <c r="J8812" t="str">
        <f>"9051035"</f>
        <v>9051035</v>
      </c>
      <c r="K8812">
        <v>2108161811</v>
      </c>
      <c r="L8812">
        <v>2108161811</v>
      </c>
      <c r="M8812" t="s">
        <v>8446</v>
      </c>
      <c r="N8812" t="s">
        <v>8447</v>
      </c>
      <c r="O8812" t="s">
        <v>8448</v>
      </c>
      <c r="P8812">
        <v>14568</v>
      </c>
      <c r="Q8812" t="str">
        <f>"38.141206"</f>
        <v>38.141206</v>
      </c>
      <c r="R8812" t="str">
        <f>"23.834067"</f>
        <v>23.834067</v>
      </c>
      <c r="S8812" t="s">
        <v>26</v>
      </c>
    </row>
    <row r="8813" spans="1:19" x14ac:dyDescent="0.3">
      <c r="A8813" t="s">
        <v>3237</v>
      </c>
      <c r="B8813" t="s">
        <v>7919</v>
      </c>
      <c r="C8813" t="s">
        <v>8449</v>
      </c>
      <c r="D8813" t="s">
        <v>3262</v>
      </c>
      <c r="E8813" t="s">
        <v>4031</v>
      </c>
      <c r="F8813" t="s">
        <v>4031</v>
      </c>
      <c r="G8813" t="s">
        <v>4031</v>
      </c>
      <c r="H8813" t="s">
        <v>859</v>
      </c>
      <c r="I8813" t="s">
        <v>860</v>
      </c>
      <c r="J8813" t="str">
        <f>"9051042"</f>
        <v>9051042</v>
      </c>
      <c r="K8813">
        <v>2292022733</v>
      </c>
      <c r="L8813">
        <v>2292022733</v>
      </c>
      <c r="M8813" t="s">
        <v>8450</v>
      </c>
      <c r="N8813" t="s">
        <v>4236</v>
      </c>
      <c r="O8813" t="s">
        <v>8208</v>
      </c>
      <c r="P8813">
        <v>19500</v>
      </c>
      <c r="Q8813" t="str">
        <f>"37.711431"</f>
        <v>37.711431</v>
      </c>
      <c r="R8813" t="str">
        <f>"24.051905"</f>
        <v>24.051905</v>
      </c>
      <c r="S8813" t="s">
        <v>26</v>
      </c>
    </row>
    <row r="8814" spans="1:19" x14ac:dyDescent="0.3">
      <c r="A8814" t="s">
        <v>3237</v>
      </c>
      <c r="B8814" t="s">
        <v>7919</v>
      </c>
      <c r="C8814" t="s">
        <v>8451</v>
      </c>
      <c r="D8814" t="s">
        <v>3262</v>
      </c>
      <c r="E8814" t="s">
        <v>4043</v>
      </c>
      <c r="F8814" t="s">
        <v>4044</v>
      </c>
      <c r="G8814" t="s">
        <v>4044</v>
      </c>
      <c r="H8814" t="s">
        <v>859</v>
      </c>
      <c r="I8814" t="s">
        <v>860</v>
      </c>
      <c r="J8814" t="str">
        <f>"9520959"</f>
        <v>9520959</v>
      </c>
      <c r="K8814">
        <v>2106220687</v>
      </c>
      <c r="L8814">
        <v>2106220687</v>
      </c>
      <c r="M8814" t="s">
        <v>8452</v>
      </c>
      <c r="N8814" t="s">
        <v>8447</v>
      </c>
      <c r="O8814" t="s">
        <v>8453</v>
      </c>
      <c r="P8814">
        <v>14568</v>
      </c>
      <c r="Q8814" t="str">
        <f>"38.134593"</f>
        <v>38.134593</v>
      </c>
      <c r="R8814" t="str">
        <f>"23.827192"</f>
        <v>23.827192</v>
      </c>
      <c r="S8814" t="s">
        <v>26</v>
      </c>
    </row>
    <row r="8815" spans="1:19" x14ac:dyDescent="0.3">
      <c r="A8815" t="s">
        <v>3237</v>
      </c>
      <c r="B8815" t="s">
        <v>7919</v>
      </c>
      <c r="C8815" t="s">
        <v>8455</v>
      </c>
      <c r="D8815" t="s">
        <v>3262</v>
      </c>
      <c r="E8815" t="s">
        <v>4067</v>
      </c>
      <c r="F8815" t="s">
        <v>8454</v>
      </c>
      <c r="G8815" t="s">
        <v>8454</v>
      </c>
      <c r="H8815" t="s">
        <v>859</v>
      </c>
      <c r="I8815" t="s">
        <v>860</v>
      </c>
      <c r="J8815" t="str">
        <f>"9051510"</f>
        <v>9051510</v>
      </c>
      <c r="K8815">
        <v>2295098460</v>
      </c>
      <c r="L8815">
        <v>2295098460</v>
      </c>
      <c r="M8815" t="s">
        <v>8456</v>
      </c>
      <c r="N8815" t="s">
        <v>8457</v>
      </c>
      <c r="O8815" t="s">
        <v>8458</v>
      </c>
      <c r="P8815">
        <v>19011</v>
      </c>
      <c r="Q8815" t="str">
        <f>"38.237513"</f>
        <v>38.237513</v>
      </c>
      <c r="R8815" t="str">
        <f>"23.794847"</f>
        <v>23.794847</v>
      </c>
      <c r="S8815" t="s">
        <v>26</v>
      </c>
    </row>
    <row r="8816" spans="1:19" x14ac:dyDescent="0.3">
      <c r="A8816" t="s">
        <v>3237</v>
      </c>
      <c r="B8816" t="s">
        <v>7919</v>
      </c>
      <c r="C8816" t="s">
        <v>8459</v>
      </c>
      <c r="D8816" t="s">
        <v>3262</v>
      </c>
      <c r="E8816" t="s">
        <v>4067</v>
      </c>
      <c r="F8816" t="s">
        <v>4094</v>
      </c>
      <c r="G8816" t="s">
        <v>4094</v>
      </c>
      <c r="H8816" t="s">
        <v>859</v>
      </c>
      <c r="I8816" t="s">
        <v>860</v>
      </c>
      <c r="J8816" t="str">
        <f>"9050286"</f>
        <v>9050286</v>
      </c>
      <c r="K8816">
        <v>2295032423</v>
      </c>
      <c r="L8816">
        <v>2295032423</v>
      </c>
      <c r="M8816" t="s">
        <v>8460</v>
      </c>
      <c r="N8816" t="s">
        <v>4094</v>
      </c>
      <c r="O8816" t="s">
        <v>8461</v>
      </c>
      <c r="P8816">
        <v>19015</v>
      </c>
      <c r="Q8816" t="str">
        <f>"38.289224"</f>
        <v>38.289224</v>
      </c>
      <c r="R8816" t="str">
        <f>"23.824896"</f>
        <v>23.824896</v>
      </c>
      <c r="S8816" t="s">
        <v>26</v>
      </c>
    </row>
    <row r="8817" spans="1:19" x14ac:dyDescent="0.3">
      <c r="A8817" t="s">
        <v>3237</v>
      </c>
      <c r="B8817" t="s">
        <v>7919</v>
      </c>
      <c r="C8817" t="s">
        <v>8462</v>
      </c>
      <c r="D8817" t="s">
        <v>3262</v>
      </c>
      <c r="E8817" t="s">
        <v>4067</v>
      </c>
      <c r="F8817" t="s">
        <v>4073</v>
      </c>
      <c r="G8817" t="s">
        <v>4068</v>
      </c>
      <c r="H8817" t="s">
        <v>859</v>
      </c>
      <c r="I8817" t="s">
        <v>860</v>
      </c>
      <c r="J8817" t="str">
        <f>"9051509"</f>
        <v>9051509</v>
      </c>
      <c r="K8817">
        <v>2295099500</v>
      </c>
      <c r="L8817">
        <v>2295099500</v>
      </c>
      <c r="M8817" t="s">
        <v>8463</v>
      </c>
      <c r="N8817" t="s">
        <v>8464</v>
      </c>
      <c r="O8817" t="s">
        <v>8465</v>
      </c>
      <c r="P8817">
        <v>19015</v>
      </c>
      <c r="Q8817" t="str">
        <f>""</f>
        <v/>
      </c>
      <c r="R8817" t="str">
        <f>""</f>
        <v/>
      </c>
      <c r="S8817" t="s">
        <v>26</v>
      </c>
    </row>
    <row r="8818" spans="1:19" x14ac:dyDescent="0.3">
      <c r="A8818" t="s">
        <v>3237</v>
      </c>
      <c r="B8818" t="s">
        <v>7919</v>
      </c>
      <c r="C8818" t="s">
        <v>8466</v>
      </c>
      <c r="D8818" t="s">
        <v>3262</v>
      </c>
      <c r="E8818" t="s">
        <v>4031</v>
      </c>
      <c r="F8818" t="s">
        <v>4031</v>
      </c>
      <c r="G8818" t="s">
        <v>4031</v>
      </c>
      <c r="H8818" t="s">
        <v>859</v>
      </c>
      <c r="I8818" t="s">
        <v>860</v>
      </c>
      <c r="J8818" t="str">
        <f>"9050555"</f>
        <v>9050555</v>
      </c>
      <c r="K8818">
        <v>2292060214</v>
      </c>
      <c r="L8818">
        <v>2292060214</v>
      </c>
      <c r="M8818" t="s">
        <v>8467</v>
      </c>
      <c r="N8818" t="s">
        <v>4236</v>
      </c>
      <c r="O8818" t="s">
        <v>8208</v>
      </c>
      <c r="P8818">
        <v>19500</v>
      </c>
      <c r="Q8818" t="str">
        <f>"37.690455"</f>
        <v>37.690455</v>
      </c>
      <c r="R8818" t="str">
        <f>"24.051937"</f>
        <v>24.051937</v>
      </c>
      <c r="S8818" t="s">
        <v>26</v>
      </c>
    </row>
    <row r="8819" spans="1:19" x14ac:dyDescent="0.3">
      <c r="A8819" t="s">
        <v>3237</v>
      </c>
      <c r="B8819" t="s">
        <v>7919</v>
      </c>
      <c r="C8819" t="s">
        <v>8469</v>
      </c>
      <c r="D8819" t="s">
        <v>3262</v>
      </c>
      <c r="E8819" t="s">
        <v>4067</v>
      </c>
      <c r="F8819" t="s">
        <v>4262</v>
      </c>
      <c r="G8819" t="s">
        <v>8468</v>
      </c>
      <c r="H8819" t="s">
        <v>859</v>
      </c>
      <c r="I8819" t="s">
        <v>860</v>
      </c>
      <c r="J8819" t="str">
        <f>"9050919"</f>
        <v>9050919</v>
      </c>
      <c r="K8819">
        <v>2295031883</v>
      </c>
      <c r="L8819">
        <v>2295031883</v>
      </c>
      <c r="M8819" t="s">
        <v>8470</v>
      </c>
      <c r="N8819" t="s">
        <v>8471</v>
      </c>
      <c r="O8819" t="s">
        <v>8472</v>
      </c>
      <c r="P8819">
        <v>19015</v>
      </c>
      <c r="Q8819" t="str">
        <f>"38.317592"</f>
        <v>38.317592</v>
      </c>
      <c r="R8819" t="str">
        <f>"23.798253"</f>
        <v>23.798253</v>
      </c>
      <c r="S8819" t="s">
        <v>26</v>
      </c>
    </row>
    <row r="8820" spans="1:19" x14ac:dyDescent="0.3">
      <c r="A8820" t="s">
        <v>3237</v>
      </c>
      <c r="B8820" t="s">
        <v>7919</v>
      </c>
      <c r="C8820" t="s">
        <v>8473</v>
      </c>
      <c r="D8820" t="s">
        <v>3262</v>
      </c>
      <c r="E8820" t="s">
        <v>4067</v>
      </c>
      <c r="F8820" t="s">
        <v>4262</v>
      </c>
      <c r="G8820" t="s">
        <v>8468</v>
      </c>
      <c r="H8820" t="s">
        <v>859</v>
      </c>
      <c r="I8820" t="s">
        <v>860</v>
      </c>
      <c r="J8820" t="str">
        <f>"9051776"</f>
        <v>9051776</v>
      </c>
      <c r="K8820">
        <v>2295031805</v>
      </c>
      <c r="L8820">
        <v>2295031805</v>
      </c>
      <c r="M8820" t="s">
        <v>8474</v>
      </c>
      <c r="N8820" t="s">
        <v>8468</v>
      </c>
      <c r="O8820" t="s">
        <v>8475</v>
      </c>
      <c r="P8820">
        <v>19015</v>
      </c>
      <c r="Q8820" t="str">
        <f>"38.334627"</f>
        <v>38.334627</v>
      </c>
      <c r="R8820" t="str">
        <f>"23.740896"</f>
        <v>23.740896</v>
      </c>
      <c r="S8820" t="s">
        <v>26</v>
      </c>
    </row>
    <row r="8821" spans="1:19" x14ac:dyDescent="0.3">
      <c r="A8821" t="s">
        <v>3237</v>
      </c>
      <c r="B8821" t="s">
        <v>7919</v>
      </c>
      <c r="C8821" t="s">
        <v>8477</v>
      </c>
      <c r="D8821" t="s">
        <v>3262</v>
      </c>
      <c r="E8821" t="s">
        <v>4067</v>
      </c>
      <c r="F8821" t="s">
        <v>8476</v>
      </c>
      <c r="G8821" t="s">
        <v>8476</v>
      </c>
      <c r="H8821" t="s">
        <v>859</v>
      </c>
      <c r="I8821" t="s">
        <v>860</v>
      </c>
      <c r="J8821" t="str">
        <f>"9051217"</f>
        <v>9051217</v>
      </c>
      <c r="K8821">
        <v>2295052922</v>
      </c>
      <c r="L8821">
        <v>2295052922</v>
      </c>
      <c r="M8821" t="s">
        <v>8478</v>
      </c>
      <c r="N8821" t="s">
        <v>8476</v>
      </c>
      <c r="O8821" t="s">
        <v>8479</v>
      </c>
      <c r="P8821">
        <v>19014</v>
      </c>
      <c r="Q8821" t="str">
        <f>"38.212624"</f>
        <v>38.212624</v>
      </c>
      <c r="R8821" t="str">
        <f>"23.866910"</f>
        <v>23.866910</v>
      </c>
      <c r="S8821" t="s">
        <v>26</v>
      </c>
    </row>
    <row r="8822" spans="1:19" x14ac:dyDescent="0.3">
      <c r="A8822" t="s">
        <v>3237</v>
      </c>
      <c r="B8822" t="s">
        <v>7919</v>
      </c>
      <c r="C8822" t="s">
        <v>8480</v>
      </c>
      <c r="D8822" t="s">
        <v>3262</v>
      </c>
      <c r="E8822" t="s">
        <v>4043</v>
      </c>
      <c r="F8822" t="s">
        <v>4330</v>
      </c>
      <c r="G8822" t="s">
        <v>4330</v>
      </c>
      <c r="H8822" t="s">
        <v>859</v>
      </c>
      <c r="I8822" t="s">
        <v>860</v>
      </c>
      <c r="J8822" t="str">
        <f>"9051407"</f>
        <v>9051407</v>
      </c>
      <c r="K8822">
        <v>2106211111</v>
      </c>
      <c r="L8822">
        <v>2106211111</v>
      </c>
      <c r="M8822" t="s">
        <v>8481</v>
      </c>
      <c r="N8822" t="s">
        <v>8482</v>
      </c>
      <c r="O8822" t="s">
        <v>8483</v>
      </c>
      <c r="P8822">
        <v>14574</v>
      </c>
      <c r="Q8822" t="str">
        <f>"38.118827"</f>
        <v>38.118827</v>
      </c>
      <c r="R8822" t="str">
        <f>"23.872383"</f>
        <v>23.872383</v>
      </c>
      <c r="S8822" t="s">
        <v>26</v>
      </c>
    </row>
    <row r="8823" spans="1:19" x14ac:dyDescent="0.3">
      <c r="A8823" t="s">
        <v>3237</v>
      </c>
      <c r="B8823" t="s">
        <v>7919</v>
      </c>
      <c r="C8823" t="s">
        <v>8484</v>
      </c>
      <c r="D8823" t="s">
        <v>3262</v>
      </c>
      <c r="E8823" t="s">
        <v>4067</v>
      </c>
      <c r="F8823" t="s">
        <v>4262</v>
      </c>
      <c r="G8823" t="s">
        <v>4263</v>
      </c>
      <c r="H8823" t="s">
        <v>859</v>
      </c>
      <c r="I8823" t="s">
        <v>860</v>
      </c>
      <c r="J8823" t="str">
        <f>"9050289"</f>
        <v>9050289</v>
      </c>
      <c r="K8823">
        <v>2295032988</v>
      </c>
      <c r="L8823">
        <v>2295032988</v>
      </c>
      <c r="M8823" t="s">
        <v>8485</v>
      </c>
      <c r="N8823" t="s">
        <v>4263</v>
      </c>
      <c r="O8823" t="s">
        <v>8486</v>
      </c>
      <c r="P8823">
        <v>19015</v>
      </c>
      <c r="Q8823" t="str">
        <f>"38.327438"</f>
        <v>38.327438</v>
      </c>
      <c r="R8823" t="str">
        <f>"23.776062"</f>
        <v>23.776062</v>
      </c>
      <c r="S8823" t="s">
        <v>26</v>
      </c>
    </row>
    <row r="8824" spans="1:19" x14ac:dyDescent="0.3">
      <c r="A8824" t="s">
        <v>3237</v>
      </c>
      <c r="B8824" t="s">
        <v>7919</v>
      </c>
      <c r="C8824" t="s">
        <v>8487</v>
      </c>
      <c r="D8824" t="s">
        <v>3262</v>
      </c>
      <c r="E8824" t="s">
        <v>4043</v>
      </c>
      <c r="F8824" t="s">
        <v>4088</v>
      </c>
      <c r="G8824" t="s">
        <v>4088</v>
      </c>
      <c r="H8824" t="s">
        <v>859</v>
      </c>
      <c r="I8824" t="s">
        <v>860</v>
      </c>
      <c r="J8824" t="str">
        <f>"9051508"</f>
        <v>9051508</v>
      </c>
      <c r="K8824">
        <v>2106219662</v>
      </c>
      <c r="L8824">
        <v>2106219662</v>
      </c>
      <c r="M8824" t="s">
        <v>8488</v>
      </c>
      <c r="N8824" t="s">
        <v>4088</v>
      </c>
      <c r="O8824" t="s">
        <v>8489</v>
      </c>
      <c r="P8824">
        <v>14575</v>
      </c>
      <c r="Q8824" t="str">
        <f>"38.125300"</f>
        <v>38.125300</v>
      </c>
      <c r="R8824" t="str">
        <f>"23.879022"</f>
        <v>23.879022</v>
      </c>
      <c r="S8824" t="s">
        <v>26</v>
      </c>
    </row>
    <row r="8825" spans="1:19" x14ac:dyDescent="0.3">
      <c r="A8825" t="s">
        <v>3237</v>
      </c>
      <c r="B8825" t="s">
        <v>7919</v>
      </c>
      <c r="C8825" t="s">
        <v>8490</v>
      </c>
      <c r="D8825" t="s">
        <v>3262</v>
      </c>
      <c r="E8825" t="s">
        <v>4067</v>
      </c>
      <c r="F8825" t="s">
        <v>8291</v>
      </c>
      <c r="G8825" t="s">
        <v>8291</v>
      </c>
      <c r="H8825" t="s">
        <v>859</v>
      </c>
      <c r="I8825" t="s">
        <v>860</v>
      </c>
      <c r="J8825" t="str">
        <f>"9051218"</f>
        <v>9051218</v>
      </c>
      <c r="K8825">
        <v>2295071924</v>
      </c>
      <c r="L8825">
        <v>2295071924</v>
      </c>
      <c r="M8825" t="s">
        <v>8491</v>
      </c>
      <c r="N8825" t="s">
        <v>8291</v>
      </c>
      <c r="O8825" t="s">
        <v>3295</v>
      </c>
      <c r="P8825">
        <v>19015</v>
      </c>
      <c r="Q8825" t="str">
        <f>"38.305495"</f>
        <v>38.305495</v>
      </c>
      <c r="R8825" t="str">
        <f>"23.734120"</f>
        <v>23.734120</v>
      </c>
      <c r="S8825" t="s">
        <v>26</v>
      </c>
    </row>
    <row r="8826" spans="1:19" x14ac:dyDescent="0.3">
      <c r="A8826" t="s">
        <v>3237</v>
      </c>
      <c r="B8826" t="s">
        <v>7919</v>
      </c>
      <c r="C8826" t="s">
        <v>8492</v>
      </c>
      <c r="D8826" t="s">
        <v>3262</v>
      </c>
      <c r="E8826" t="s">
        <v>4067</v>
      </c>
      <c r="F8826" t="s">
        <v>4262</v>
      </c>
      <c r="G8826" t="s">
        <v>4263</v>
      </c>
      <c r="H8826" t="s">
        <v>859</v>
      </c>
      <c r="I8826" t="s">
        <v>860</v>
      </c>
      <c r="J8826" t="str">
        <f>"9051416"</f>
        <v>9051416</v>
      </c>
      <c r="K8826">
        <v>2295071922</v>
      </c>
      <c r="L8826">
        <v>2295071922</v>
      </c>
      <c r="M8826" t="s">
        <v>8493</v>
      </c>
      <c r="N8826" t="s">
        <v>8494</v>
      </c>
      <c r="O8826" t="s">
        <v>5085</v>
      </c>
      <c r="P8826">
        <v>19015</v>
      </c>
      <c r="Q8826" t="str">
        <f>"38.330804"</f>
        <v>38.330804</v>
      </c>
      <c r="R8826" t="str">
        <f>"23.737029"</f>
        <v>23.737029</v>
      </c>
      <c r="S8826" t="s">
        <v>26</v>
      </c>
    </row>
    <row r="8827" spans="1:19" x14ac:dyDescent="0.3">
      <c r="A8827" t="s">
        <v>3237</v>
      </c>
      <c r="B8827" t="s">
        <v>7919</v>
      </c>
      <c r="C8827" t="s">
        <v>8496</v>
      </c>
      <c r="D8827" t="s">
        <v>3262</v>
      </c>
      <c r="E8827" t="s">
        <v>3997</v>
      </c>
      <c r="F8827" t="s">
        <v>3998</v>
      </c>
      <c r="G8827" t="s">
        <v>3998</v>
      </c>
      <c r="H8827" t="s">
        <v>859</v>
      </c>
      <c r="I8827" t="s">
        <v>860</v>
      </c>
      <c r="J8827" t="str">
        <f>"9051899"</f>
        <v>9051899</v>
      </c>
      <c r="K8827">
        <v>2291071510</v>
      </c>
      <c r="L8827">
        <v>2291071510</v>
      </c>
      <c r="M8827" t="s">
        <v>8497</v>
      </c>
      <c r="N8827" t="s">
        <v>2920</v>
      </c>
      <c r="O8827" t="s">
        <v>8498</v>
      </c>
      <c r="P8827">
        <v>19010</v>
      </c>
      <c r="Q8827" t="str">
        <f>"37.782085"</f>
        <v>37.782085</v>
      </c>
      <c r="R8827" t="str">
        <f>"23.898094"</f>
        <v>23.898094</v>
      </c>
      <c r="S8827" t="s">
        <v>26</v>
      </c>
    </row>
    <row r="8828" spans="1:19" x14ac:dyDescent="0.3">
      <c r="A8828" t="s">
        <v>3237</v>
      </c>
      <c r="B8828" t="s">
        <v>7919</v>
      </c>
      <c r="C8828" t="s">
        <v>8521</v>
      </c>
      <c r="D8828" t="s">
        <v>3262</v>
      </c>
      <c r="E8828" t="s">
        <v>4075</v>
      </c>
      <c r="F8828" t="s">
        <v>4075</v>
      </c>
      <c r="G8828" t="s">
        <v>4075</v>
      </c>
      <c r="H8828" t="s">
        <v>859</v>
      </c>
      <c r="I8828" t="s">
        <v>860</v>
      </c>
      <c r="J8828" t="str">
        <f>"9050597"</f>
        <v>9050597</v>
      </c>
      <c r="K8828">
        <v>2106645240</v>
      </c>
      <c r="L8828">
        <v>2106645240</v>
      </c>
      <c r="M8828" t="s">
        <v>8522</v>
      </c>
      <c r="N8828" t="s">
        <v>4075</v>
      </c>
      <c r="O8828" t="s">
        <v>8523</v>
      </c>
      <c r="P8828">
        <v>19002</v>
      </c>
      <c r="Q8828" t="str">
        <f>"37.955552"</f>
        <v>37.955552</v>
      </c>
      <c r="R8828" t="str">
        <f>"23.846696"</f>
        <v>23.846696</v>
      </c>
      <c r="S8828" t="s">
        <v>26</v>
      </c>
    </row>
    <row r="8829" spans="1:19" x14ac:dyDescent="0.3">
      <c r="A8829" t="s">
        <v>3237</v>
      </c>
      <c r="B8829" t="s">
        <v>7919</v>
      </c>
      <c r="C8829" t="s">
        <v>8590</v>
      </c>
      <c r="D8829" t="s">
        <v>3262</v>
      </c>
      <c r="E8829" t="s">
        <v>4118</v>
      </c>
      <c r="F8829" t="s">
        <v>4248</v>
      </c>
      <c r="G8829" t="s">
        <v>4249</v>
      </c>
      <c r="H8829" t="s">
        <v>859</v>
      </c>
      <c r="I8829" t="s">
        <v>860</v>
      </c>
      <c r="J8829" t="str">
        <f>"9051741"</f>
        <v>9051741</v>
      </c>
      <c r="K8829">
        <v>2294046993</v>
      </c>
      <c r="L8829">
        <v>2294046993</v>
      </c>
      <c r="M8829" t="s">
        <v>8591</v>
      </c>
      <c r="N8829" t="s">
        <v>4248</v>
      </c>
      <c r="O8829" t="s">
        <v>8592</v>
      </c>
      <c r="P8829">
        <v>19016</v>
      </c>
      <c r="Q8829" t="str">
        <f>"37.942485"</f>
        <v>37.942485</v>
      </c>
      <c r="R8829" t="str">
        <f>"24.006971"</f>
        <v>24.006971</v>
      </c>
      <c r="S8829" t="s">
        <v>26</v>
      </c>
    </row>
    <row r="8830" spans="1:19" x14ac:dyDescent="0.3">
      <c r="A8830" t="s">
        <v>3237</v>
      </c>
      <c r="B8830" t="s">
        <v>7919</v>
      </c>
      <c r="C8830" t="s">
        <v>8593</v>
      </c>
      <c r="D8830" t="s">
        <v>3262</v>
      </c>
      <c r="E8830" t="s">
        <v>4118</v>
      </c>
      <c r="F8830" t="s">
        <v>4248</v>
      </c>
      <c r="G8830" t="s">
        <v>4249</v>
      </c>
      <c r="H8830" t="s">
        <v>859</v>
      </c>
      <c r="I8830" t="s">
        <v>860</v>
      </c>
      <c r="J8830" t="str">
        <f>"9520815"</f>
        <v>9520815</v>
      </c>
      <c r="K8830">
        <v>2294046402</v>
      </c>
      <c r="L8830">
        <v>2294046402</v>
      </c>
      <c r="M8830" t="s">
        <v>8594</v>
      </c>
      <c r="N8830" t="s">
        <v>4248</v>
      </c>
      <c r="O8830" t="s">
        <v>8595</v>
      </c>
      <c r="P8830">
        <v>19016</v>
      </c>
      <c r="Q8830" t="str">
        <f>"37.944154"</f>
        <v>37.944154</v>
      </c>
      <c r="R8830" t="str">
        <f>"24.007684"</f>
        <v>24.007684</v>
      </c>
      <c r="S8830" t="s">
        <v>26</v>
      </c>
    </row>
    <row r="8831" spans="1:19" x14ac:dyDescent="0.3">
      <c r="A8831" t="s">
        <v>3237</v>
      </c>
      <c r="B8831" t="s">
        <v>7919</v>
      </c>
      <c r="C8831" t="s">
        <v>8616</v>
      </c>
      <c r="D8831" t="s">
        <v>3262</v>
      </c>
      <c r="E8831" t="s">
        <v>4024</v>
      </c>
      <c r="F8831" t="s">
        <v>2199</v>
      </c>
      <c r="G8831" t="s">
        <v>2199</v>
      </c>
      <c r="H8831" t="s">
        <v>859</v>
      </c>
      <c r="I8831" t="s">
        <v>860</v>
      </c>
      <c r="J8831" t="str">
        <f>"9520822"</f>
        <v>9520822</v>
      </c>
      <c r="K8831">
        <v>2106614104</v>
      </c>
      <c r="L8831">
        <v>2106614104</v>
      </c>
      <c r="M8831" t="s">
        <v>8617</v>
      </c>
      <c r="N8831" t="s">
        <v>2199</v>
      </c>
      <c r="O8831" t="s">
        <v>8618</v>
      </c>
      <c r="P8831">
        <v>15344</v>
      </c>
      <c r="Q8831" t="str">
        <f>"38.026414"</f>
        <v>38.026414</v>
      </c>
      <c r="R8831" t="str">
        <f>"23.846672"</f>
        <v>23.846672</v>
      </c>
      <c r="S8831" t="s">
        <v>26</v>
      </c>
    </row>
    <row r="8832" spans="1:19" x14ac:dyDescent="0.3">
      <c r="A8832" t="s">
        <v>3237</v>
      </c>
      <c r="B8832" t="s">
        <v>7919</v>
      </c>
      <c r="C8832" t="s">
        <v>8648</v>
      </c>
      <c r="D8832" t="s">
        <v>3262</v>
      </c>
      <c r="E8832" t="s">
        <v>4019</v>
      </c>
      <c r="F8832" t="s">
        <v>4019</v>
      </c>
      <c r="G8832" t="s">
        <v>4019</v>
      </c>
      <c r="H8832" t="s">
        <v>859</v>
      </c>
      <c r="I8832" t="s">
        <v>860</v>
      </c>
      <c r="J8832" t="str">
        <f>"9051742"</f>
        <v>9051742</v>
      </c>
      <c r="K8832">
        <v>2294063200</v>
      </c>
      <c r="L8832">
        <v>2294063200</v>
      </c>
      <c r="M8832" t="s">
        <v>8649</v>
      </c>
      <c r="N8832" t="s">
        <v>8650</v>
      </c>
      <c r="O8832" t="s">
        <v>8037</v>
      </c>
      <c r="P8832">
        <v>19007</v>
      </c>
      <c r="Q8832" t="str">
        <f>"38.168237"</f>
        <v>38.168237</v>
      </c>
      <c r="R8832" t="str">
        <f>"24.020557"</f>
        <v>24.020557</v>
      </c>
      <c r="S8832" t="s">
        <v>26</v>
      </c>
    </row>
    <row r="8833" spans="1:19" x14ac:dyDescent="0.3">
      <c r="A8833" t="s">
        <v>3237</v>
      </c>
      <c r="B8833" t="s">
        <v>7919</v>
      </c>
      <c r="C8833" t="s">
        <v>8656</v>
      </c>
      <c r="D8833" t="s">
        <v>3262</v>
      </c>
      <c r="E8833" t="s">
        <v>4060</v>
      </c>
      <c r="F8833" t="s">
        <v>4061</v>
      </c>
      <c r="G8833" t="s">
        <v>4061</v>
      </c>
      <c r="H8833" t="s">
        <v>859</v>
      </c>
      <c r="I8833" t="s">
        <v>860</v>
      </c>
      <c r="J8833" t="str">
        <f>"9050607"</f>
        <v>9050607</v>
      </c>
      <c r="K8833">
        <v>2294023423</v>
      </c>
      <c r="L8833">
        <v>2294023423</v>
      </c>
      <c r="M8833" t="s">
        <v>8657</v>
      </c>
      <c r="N8833" t="s">
        <v>4061</v>
      </c>
      <c r="O8833" t="s">
        <v>8658</v>
      </c>
      <c r="P8833">
        <v>19009</v>
      </c>
      <c r="Q8833" t="str">
        <f>"38.017881"</f>
        <v>38.017881</v>
      </c>
      <c r="R8833" t="str">
        <f>"23.997981"</f>
        <v>23.997981</v>
      </c>
      <c r="S8833" t="s">
        <v>26</v>
      </c>
    </row>
    <row r="8834" spans="1:19" x14ac:dyDescent="0.3">
      <c r="A8834" t="s">
        <v>3237</v>
      </c>
      <c r="B8834" t="s">
        <v>7919</v>
      </c>
      <c r="C8834" t="s">
        <v>8659</v>
      </c>
      <c r="D8834" t="s">
        <v>3262</v>
      </c>
      <c r="E8834" t="s">
        <v>4207</v>
      </c>
      <c r="F8834" t="s">
        <v>4207</v>
      </c>
      <c r="G8834" t="s">
        <v>4207</v>
      </c>
      <c r="H8834" t="s">
        <v>859</v>
      </c>
      <c r="I8834" t="s">
        <v>860</v>
      </c>
      <c r="J8834" t="str">
        <f>"9050583"</f>
        <v>9050583</v>
      </c>
      <c r="K8834">
        <v>2299022241</v>
      </c>
      <c r="L8834">
        <v>2299022241</v>
      </c>
      <c r="M8834" t="s">
        <v>8660</v>
      </c>
      <c r="N8834" t="s">
        <v>8203</v>
      </c>
      <c r="O8834" t="s">
        <v>8053</v>
      </c>
      <c r="P8834">
        <v>19003</v>
      </c>
      <c r="Q8834" t="str">
        <f>"37.881135"</f>
        <v>37.881135</v>
      </c>
      <c r="R8834" t="str">
        <f>"23.935172"</f>
        <v>23.935172</v>
      </c>
      <c r="S8834" t="s">
        <v>26</v>
      </c>
    </row>
    <row r="8835" spans="1:19" x14ac:dyDescent="0.3">
      <c r="A8835" t="s">
        <v>3237</v>
      </c>
      <c r="B8835" t="s">
        <v>7919</v>
      </c>
      <c r="C8835" t="s">
        <v>8661</v>
      </c>
      <c r="D8835" t="s">
        <v>3262</v>
      </c>
      <c r="E8835" t="s">
        <v>4060</v>
      </c>
      <c r="F8835" t="s">
        <v>4061</v>
      </c>
      <c r="G8835" t="s">
        <v>4061</v>
      </c>
      <c r="H8835" t="s">
        <v>859</v>
      </c>
      <c r="I8835" t="s">
        <v>860</v>
      </c>
      <c r="J8835" t="str">
        <f>"9520817"</f>
        <v>9520817</v>
      </c>
      <c r="K8835">
        <v>2294306717</v>
      </c>
      <c r="M8835" t="s">
        <v>8662</v>
      </c>
      <c r="N8835" t="s">
        <v>4061</v>
      </c>
      <c r="O8835" t="s">
        <v>8663</v>
      </c>
      <c r="P8835">
        <v>19009</v>
      </c>
      <c r="Q8835" t="str">
        <f>"38.017752"</f>
        <v>38.017752</v>
      </c>
      <c r="R8835" t="str">
        <f>"24.009304"</f>
        <v>24.009304</v>
      </c>
      <c r="S8835" t="s">
        <v>26</v>
      </c>
    </row>
    <row r="8836" spans="1:19" x14ac:dyDescent="0.3">
      <c r="A8836" t="s">
        <v>3237</v>
      </c>
      <c r="B8836" t="s">
        <v>7919</v>
      </c>
      <c r="C8836" t="s">
        <v>8664</v>
      </c>
      <c r="D8836" t="s">
        <v>3262</v>
      </c>
      <c r="E8836" t="s">
        <v>4031</v>
      </c>
      <c r="F8836" t="s">
        <v>4031</v>
      </c>
      <c r="G8836" t="s">
        <v>4031</v>
      </c>
      <c r="H8836" t="s">
        <v>859</v>
      </c>
      <c r="I8836" t="s">
        <v>860</v>
      </c>
      <c r="J8836" t="str">
        <f>"9050796"</f>
        <v>9050796</v>
      </c>
      <c r="K8836">
        <v>2292060133</v>
      </c>
      <c r="L8836">
        <v>2292060133</v>
      </c>
      <c r="M8836" t="s">
        <v>8665</v>
      </c>
      <c r="N8836" t="s">
        <v>4236</v>
      </c>
      <c r="O8836" t="s">
        <v>8666</v>
      </c>
      <c r="P8836">
        <v>19500</v>
      </c>
      <c r="Q8836" t="str">
        <f>"37.719027"</f>
        <v>37.719027</v>
      </c>
      <c r="R8836" t="str">
        <f>"24.055816"</f>
        <v>24.055816</v>
      </c>
      <c r="S8836" t="s">
        <v>26</v>
      </c>
    </row>
    <row r="8837" spans="1:19" x14ac:dyDescent="0.3">
      <c r="A8837" t="s">
        <v>3237</v>
      </c>
      <c r="B8837" t="s">
        <v>7919</v>
      </c>
      <c r="C8837" t="s">
        <v>8669</v>
      </c>
      <c r="D8837" t="s">
        <v>3262</v>
      </c>
      <c r="E8837" t="s">
        <v>4060</v>
      </c>
      <c r="F8837" t="s">
        <v>4061</v>
      </c>
      <c r="G8837" t="s">
        <v>4061</v>
      </c>
      <c r="H8837" t="s">
        <v>859</v>
      </c>
      <c r="I8837" t="s">
        <v>860</v>
      </c>
      <c r="J8837" t="str">
        <f>"9050798"</f>
        <v>9050798</v>
      </c>
      <c r="K8837">
        <v>2294076100</v>
      </c>
      <c r="L8837">
        <v>2294076100</v>
      </c>
      <c r="M8837" t="s">
        <v>8670</v>
      </c>
      <c r="N8837" t="s">
        <v>4061</v>
      </c>
      <c r="O8837" t="s">
        <v>8671</v>
      </c>
      <c r="P8837">
        <v>19009</v>
      </c>
      <c r="Q8837" t="str">
        <f>"38.020660"</f>
        <v>38.020660</v>
      </c>
      <c r="R8837" t="str">
        <f>"23.982638"</f>
        <v>23.982638</v>
      </c>
      <c r="S8837" t="s">
        <v>26</v>
      </c>
    </row>
    <row r="8838" spans="1:19" x14ac:dyDescent="0.3">
      <c r="A8838" t="s">
        <v>3237</v>
      </c>
      <c r="B8838" t="s">
        <v>7919</v>
      </c>
      <c r="C8838" t="s">
        <v>8672</v>
      </c>
      <c r="D8838" t="s">
        <v>3262</v>
      </c>
      <c r="E8838" t="s">
        <v>4011</v>
      </c>
      <c r="F8838" t="s">
        <v>4160</v>
      </c>
      <c r="G8838" t="s">
        <v>4160</v>
      </c>
      <c r="H8838" t="s">
        <v>859</v>
      </c>
      <c r="I8838" t="s">
        <v>860</v>
      </c>
      <c r="J8838" t="str">
        <f>"9520648"</f>
        <v>9520648</v>
      </c>
      <c r="K8838">
        <v>2108954025</v>
      </c>
      <c r="L8838">
        <v>2108954025</v>
      </c>
      <c r="M8838" t="s">
        <v>8673</v>
      </c>
      <c r="N8838" t="s">
        <v>4160</v>
      </c>
      <c r="O8838" t="s">
        <v>8674</v>
      </c>
      <c r="P8838">
        <v>16673</v>
      </c>
      <c r="Q8838" t="str">
        <f>"37.837052"</f>
        <v>37.837052</v>
      </c>
      <c r="R8838" t="str">
        <f>"23.773673"</f>
        <v>23.773673</v>
      </c>
      <c r="S8838" t="s">
        <v>26</v>
      </c>
    </row>
    <row r="8839" spans="1:19" x14ac:dyDescent="0.3">
      <c r="A8839" t="s">
        <v>3237</v>
      </c>
      <c r="B8839" t="s">
        <v>7919</v>
      </c>
      <c r="C8839" t="s">
        <v>8675</v>
      </c>
      <c r="D8839" t="s">
        <v>3262</v>
      </c>
      <c r="E8839" t="s">
        <v>4019</v>
      </c>
      <c r="F8839" t="s">
        <v>4019</v>
      </c>
      <c r="G8839" t="s">
        <v>4019</v>
      </c>
      <c r="H8839" t="s">
        <v>859</v>
      </c>
      <c r="I8839" t="s">
        <v>860</v>
      </c>
      <c r="J8839" t="str">
        <f>"9050581"</f>
        <v>9050581</v>
      </c>
      <c r="K8839">
        <v>2294066477</v>
      </c>
      <c r="L8839">
        <v>2294067840</v>
      </c>
      <c r="M8839" t="s">
        <v>8676</v>
      </c>
      <c r="N8839" t="s">
        <v>8275</v>
      </c>
      <c r="O8839" t="s">
        <v>8277</v>
      </c>
      <c r="P8839">
        <v>19007</v>
      </c>
      <c r="Q8839" t="str">
        <f>"38.159625"</f>
        <v>38.159625</v>
      </c>
      <c r="R8839" t="str">
        <f>"23.956378"</f>
        <v>23.956378</v>
      </c>
      <c r="S8839" t="s">
        <v>26</v>
      </c>
    </row>
    <row r="8840" spans="1:19" x14ac:dyDescent="0.3">
      <c r="A8840" t="s">
        <v>3237</v>
      </c>
      <c r="B8840" t="s">
        <v>7919</v>
      </c>
      <c r="C8840" t="s">
        <v>8677</v>
      </c>
      <c r="D8840" t="s">
        <v>3262</v>
      </c>
      <c r="E8840" t="s">
        <v>4011</v>
      </c>
      <c r="F8840" t="s">
        <v>4012</v>
      </c>
      <c r="G8840" t="s">
        <v>4012</v>
      </c>
      <c r="H8840" t="s">
        <v>859</v>
      </c>
      <c r="I8840" t="s">
        <v>860</v>
      </c>
      <c r="J8840" t="str">
        <f>"9051253"</f>
        <v>9051253</v>
      </c>
      <c r="K8840">
        <v>2108962001</v>
      </c>
      <c r="L8840">
        <v>2108962001</v>
      </c>
      <c r="M8840" t="s">
        <v>8678</v>
      </c>
      <c r="N8840" t="s">
        <v>4012</v>
      </c>
      <c r="O8840" t="s">
        <v>8679</v>
      </c>
      <c r="P8840">
        <v>16671</v>
      </c>
      <c r="Q8840" t="str">
        <f>"37.811508"</f>
        <v>37.811508</v>
      </c>
      <c r="R8840" t="str">
        <f>"23.783683"</f>
        <v>23.783683</v>
      </c>
      <c r="S8840" t="s">
        <v>26</v>
      </c>
    </row>
    <row r="8841" spans="1:19" x14ac:dyDescent="0.3">
      <c r="A8841" t="s">
        <v>3237</v>
      </c>
      <c r="B8841" t="s">
        <v>7919</v>
      </c>
      <c r="C8841" t="s">
        <v>8680</v>
      </c>
      <c r="D8841" t="s">
        <v>3262</v>
      </c>
      <c r="E8841" t="s">
        <v>4011</v>
      </c>
      <c r="F8841" t="s">
        <v>4112</v>
      </c>
      <c r="G8841" t="s">
        <v>4112</v>
      </c>
      <c r="H8841" t="s">
        <v>859</v>
      </c>
      <c r="I8841" t="s">
        <v>860</v>
      </c>
      <c r="J8841" t="str">
        <f>"9520450"</f>
        <v>9520450</v>
      </c>
      <c r="K8841">
        <v>2108973138</v>
      </c>
      <c r="M8841" t="s">
        <v>8681</v>
      </c>
      <c r="N8841" t="s">
        <v>4112</v>
      </c>
      <c r="O8841" t="s">
        <v>8682</v>
      </c>
      <c r="P8841">
        <v>16672</v>
      </c>
      <c r="Q8841" t="str">
        <f>"37.831662"</f>
        <v>37.831662</v>
      </c>
      <c r="R8841" t="str">
        <f>"23.804439"</f>
        <v>23.804439</v>
      </c>
      <c r="S8841" t="s">
        <v>26</v>
      </c>
    </row>
    <row r="8842" spans="1:19" x14ac:dyDescent="0.3">
      <c r="A8842" t="s">
        <v>3237</v>
      </c>
      <c r="B8842" t="s">
        <v>7919</v>
      </c>
      <c r="C8842" t="s">
        <v>8683</v>
      </c>
      <c r="D8842" t="s">
        <v>3262</v>
      </c>
      <c r="E8842" t="s">
        <v>3997</v>
      </c>
      <c r="F8842" t="s">
        <v>4496</v>
      </c>
      <c r="G8842" t="s">
        <v>4496</v>
      </c>
      <c r="H8842" t="s">
        <v>859</v>
      </c>
      <c r="I8842" t="s">
        <v>860</v>
      </c>
      <c r="J8842" t="str">
        <f>"9050576"</f>
        <v>9050576</v>
      </c>
      <c r="K8842">
        <v>2299042402</v>
      </c>
      <c r="L8842">
        <v>2299042402</v>
      </c>
      <c r="M8842" t="s">
        <v>8684</v>
      </c>
      <c r="N8842" t="s">
        <v>4496</v>
      </c>
      <c r="O8842" t="s">
        <v>8217</v>
      </c>
      <c r="P8842">
        <v>19001</v>
      </c>
      <c r="Q8842" t="str">
        <f>"37.828612"</f>
        <v>37.828612</v>
      </c>
      <c r="R8842" t="str">
        <f>"23.967812"</f>
        <v>23.967812</v>
      </c>
      <c r="S8842" t="s">
        <v>26</v>
      </c>
    </row>
    <row r="8843" spans="1:19" x14ac:dyDescent="0.3">
      <c r="A8843" t="s">
        <v>3237</v>
      </c>
      <c r="B8843" t="s">
        <v>7919</v>
      </c>
      <c r="C8843" t="s">
        <v>8685</v>
      </c>
      <c r="D8843" t="s">
        <v>3262</v>
      </c>
      <c r="E8843" t="s">
        <v>4019</v>
      </c>
      <c r="F8843" t="s">
        <v>4019</v>
      </c>
      <c r="G8843" t="s">
        <v>4019</v>
      </c>
      <c r="H8843" t="s">
        <v>859</v>
      </c>
      <c r="I8843" t="s">
        <v>860</v>
      </c>
      <c r="J8843" t="str">
        <f>"9520816"</f>
        <v>9520816</v>
      </c>
      <c r="K8843">
        <v>2294067885</v>
      </c>
      <c r="L8843">
        <v>2294067885</v>
      </c>
      <c r="M8843" t="s">
        <v>8686</v>
      </c>
      <c r="N8843" t="s">
        <v>8275</v>
      </c>
      <c r="O8843" t="s">
        <v>8687</v>
      </c>
      <c r="P8843">
        <v>19007</v>
      </c>
      <c r="Q8843" t="str">
        <f>"38.159375"</f>
        <v>38.159375</v>
      </c>
      <c r="R8843" t="str">
        <f>"23.956420"</f>
        <v>23.956420</v>
      </c>
      <c r="S8843" t="s">
        <v>26</v>
      </c>
    </row>
    <row r="8844" spans="1:19" x14ac:dyDescent="0.3">
      <c r="A8844" t="s">
        <v>3237</v>
      </c>
      <c r="B8844" t="s">
        <v>7919</v>
      </c>
      <c r="C8844" t="s">
        <v>8691</v>
      </c>
      <c r="D8844" t="s">
        <v>3262</v>
      </c>
      <c r="E8844" t="s">
        <v>4075</v>
      </c>
      <c r="F8844" t="s">
        <v>4076</v>
      </c>
      <c r="G8844" t="s">
        <v>4076</v>
      </c>
      <c r="H8844" t="s">
        <v>859</v>
      </c>
      <c r="I8844" t="s">
        <v>860</v>
      </c>
      <c r="J8844" t="str">
        <f>"9051300"</f>
        <v>9051300</v>
      </c>
      <c r="K8844">
        <v>2106612084</v>
      </c>
      <c r="L8844">
        <v>2106612084</v>
      </c>
      <c r="M8844" t="s">
        <v>8692</v>
      </c>
      <c r="N8844" t="s">
        <v>4076</v>
      </c>
      <c r="O8844" t="s">
        <v>8693</v>
      </c>
      <c r="P8844">
        <v>15354</v>
      </c>
      <c r="Q8844" t="str">
        <f>"38.004092"</f>
        <v>38.004092</v>
      </c>
      <c r="R8844" t="str">
        <f>"23.852541"</f>
        <v>23.852541</v>
      </c>
      <c r="S8844" t="s">
        <v>26</v>
      </c>
    </row>
    <row r="8845" spans="1:19" x14ac:dyDescent="0.3">
      <c r="A8845" t="s">
        <v>3237</v>
      </c>
      <c r="B8845" t="s">
        <v>7919</v>
      </c>
      <c r="C8845" t="s">
        <v>8699</v>
      </c>
      <c r="D8845" t="s">
        <v>3262</v>
      </c>
      <c r="E8845" t="s">
        <v>4075</v>
      </c>
      <c r="F8845" t="s">
        <v>4075</v>
      </c>
      <c r="G8845" t="s">
        <v>4075</v>
      </c>
      <c r="H8845" t="s">
        <v>859</v>
      </c>
      <c r="I8845" t="s">
        <v>860</v>
      </c>
      <c r="J8845" t="str">
        <f>"9521053"</f>
        <v>9521053</v>
      </c>
      <c r="K8845">
        <v>2106028776</v>
      </c>
      <c r="M8845" t="s">
        <v>8700</v>
      </c>
      <c r="N8845" t="s">
        <v>8076</v>
      </c>
      <c r="O8845" t="s">
        <v>8701</v>
      </c>
      <c r="P8845">
        <v>19002</v>
      </c>
      <c r="Q8845" t="str">
        <f>"37.952012"</f>
        <v>37.952012</v>
      </c>
      <c r="R8845" t="str">
        <f>"23.847234"</f>
        <v>23.847234</v>
      </c>
      <c r="S8845" t="s">
        <v>26</v>
      </c>
    </row>
    <row r="8846" spans="1:19" x14ac:dyDescent="0.3">
      <c r="A8846" t="s">
        <v>3237</v>
      </c>
      <c r="B8846" t="s">
        <v>7919</v>
      </c>
      <c r="C8846" t="s">
        <v>8702</v>
      </c>
      <c r="D8846" t="s">
        <v>3262</v>
      </c>
      <c r="E8846" t="s">
        <v>4207</v>
      </c>
      <c r="F8846" t="s">
        <v>4207</v>
      </c>
      <c r="G8846" t="s">
        <v>4207</v>
      </c>
      <c r="H8846" t="s">
        <v>859</v>
      </c>
      <c r="I8846" t="s">
        <v>860</v>
      </c>
      <c r="J8846" t="str">
        <f>"9521055"</f>
        <v>9521055</v>
      </c>
      <c r="K8846">
        <v>2299025402</v>
      </c>
      <c r="L8846">
        <v>2299025402</v>
      </c>
      <c r="M8846" t="s">
        <v>8703</v>
      </c>
      <c r="N8846" t="s">
        <v>4210</v>
      </c>
      <c r="O8846" t="s">
        <v>8704</v>
      </c>
      <c r="P8846">
        <v>19003</v>
      </c>
      <c r="Q8846" t="str">
        <f>"37.876569"</f>
        <v>37.876569</v>
      </c>
      <c r="R8846" t="str">
        <f>"23.934261"</f>
        <v>23.934261</v>
      </c>
      <c r="S8846" t="s">
        <v>26</v>
      </c>
    </row>
    <row r="8847" spans="1:19" x14ac:dyDescent="0.3">
      <c r="A8847" t="s">
        <v>3237</v>
      </c>
      <c r="B8847" t="s">
        <v>7919</v>
      </c>
      <c r="C8847" t="s">
        <v>8705</v>
      </c>
      <c r="D8847" t="s">
        <v>3262</v>
      </c>
      <c r="E8847" t="s">
        <v>4207</v>
      </c>
      <c r="F8847" t="s">
        <v>4207</v>
      </c>
      <c r="G8847" t="s">
        <v>4207</v>
      </c>
      <c r="H8847" t="s">
        <v>859</v>
      </c>
      <c r="I8847" t="s">
        <v>860</v>
      </c>
      <c r="J8847" t="str">
        <f>"9521056"</f>
        <v>9521056</v>
      </c>
      <c r="K8847">
        <v>2299085304</v>
      </c>
      <c r="L8847">
        <v>2299085304</v>
      </c>
      <c r="M8847" t="s">
        <v>8706</v>
      </c>
      <c r="N8847" t="s">
        <v>4541</v>
      </c>
      <c r="O8847" t="s">
        <v>8707</v>
      </c>
      <c r="P8847">
        <v>19003</v>
      </c>
      <c r="Q8847" t="str">
        <f>"37.888042"</f>
        <v>37.888042</v>
      </c>
      <c r="R8847" t="str">
        <f>"23.999582"</f>
        <v>23.999582</v>
      </c>
      <c r="S8847" t="s">
        <v>26</v>
      </c>
    </row>
    <row r="8848" spans="1:19" x14ac:dyDescent="0.3">
      <c r="A8848" t="s">
        <v>3237</v>
      </c>
      <c r="B8848" t="s">
        <v>7919</v>
      </c>
      <c r="C8848" t="s">
        <v>8708</v>
      </c>
      <c r="D8848" t="s">
        <v>3262</v>
      </c>
      <c r="E8848" t="s">
        <v>4043</v>
      </c>
      <c r="F8848" t="s">
        <v>4073</v>
      </c>
      <c r="G8848" t="s">
        <v>4073</v>
      </c>
      <c r="H8848" t="s">
        <v>859</v>
      </c>
      <c r="I8848" t="s">
        <v>860</v>
      </c>
      <c r="J8848" t="str">
        <f>"9521057"</f>
        <v>9521057</v>
      </c>
      <c r="K8848">
        <v>2106216003</v>
      </c>
      <c r="L8848">
        <v>2106216003</v>
      </c>
      <c r="M8848" t="s">
        <v>8709</v>
      </c>
      <c r="N8848" t="s">
        <v>4191</v>
      </c>
      <c r="O8848" t="s">
        <v>8710</v>
      </c>
      <c r="P8848">
        <v>14565</v>
      </c>
      <c r="Q8848" t="str">
        <f>"38.141913"</f>
        <v>38.141913</v>
      </c>
      <c r="R8848" t="str">
        <f>"23.859836"</f>
        <v>23.859836</v>
      </c>
      <c r="S8848" t="s">
        <v>26</v>
      </c>
    </row>
    <row r="8849" spans="1:19" x14ac:dyDescent="0.3">
      <c r="A8849" t="s">
        <v>3237</v>
      </c>
      <c r="B8849" t="s">
        <v>7919</v>
      </c>
      <c r="C8849" t="s">
        <v>8716</v>
      </c>
      <c r="D8849" t="s">
        <v>3262</v>
      </c>
      <c r="E8849" t="s">
        <v>4067</v>
      </c>
      <c r="F8849" t="s">
        <v>4262</v>
      </c>
      <c r="G8849" t="s">
        <v>4067</v>
      </c>
      <c r="H8849" t="s">
        <v>859</v>
      </c>
      <c r="I8849" t="s">
        <v>860</v>
      </c>
      <c r="J8849" t="str">
        <f>"9051462"</f>
        <v>9051462</v>
      </c>
      <c r="K8849">
        <v>2295036489</v>
      </c>
      <c r="L8849">
        <v>2295036489</v>
      </c>
      <c r="M8849" t="s">
        <v>8717</v>
      </c>
      <c r="N8849" t="s">
        <v>4067</v>
      </c>
      <c r="O8849" t="s">
        <v>8718</v>
      </c>
      <c r="P8849">
        <v>19015</v>
      </c>
      <c r="Q8849" t="str">
        <f>"38.305596"</f>
        <v>38.305596</v>
      </c>
      <c r="R8849" t="str">
        <f>"23.757011"</f>
        <v>23.757011</v>
      </c>
      <c r="S8849" t="s">
        <v>26</v>
      </c>
    </row>
    <row r="8850" spans="1:19" x14ac:dyDescent="0.3">
      <c r="A8850" t="s">
        <v>3237</v>
      </c>
      <c r="B8850" t="s">
        <v>7919</v>
      </c>
      <c r="C8850" t="s">
        <v>8719</v>
      </c>
      <c r="D8850" t="s">
        <v>3262</v>
      </c>
      <c r="E8850" t="s">
        <v>3298</v>
      </c>
      <c r="F8850" t="s">
        <v>3298</v>
      </c>
      <c r="G8850" t="s">
        <v>3298</v>
      </c>
      <c r="H8850" t="s">
        <v>859</v>
      </c>
      <c r="I8850" t="s">
        <v>860</v>
      </c>
      <c r="J8850" t="str">
        <f>"9521176"</f>
        <v>9521176</v>
      </c>
      <c r="K8850">
        <v>2102477601</v>
      </c>
      <c r="L8850">
        <v>2102477601</v>
      </c>
      <c r="M8850" t="s">
        <v>8720</v>
      </c>
      <c r="N8850" t="s">
        <v>3298</v>
      </c>
      <c r="O8850" t="s">
        <v>8721</v>
      </c>
      <c r="P8850">
        <v>13671</v>
      </c>
      <c r="Q8850" t="str">
        <f>"38.090232"</f>
        <v>38.090232</v>
      </c>
      <c r="R8850" t="str">
        <f>"23.725423"</f>
        <v>23.725423</v>
      </c>
      <c r="S8850" t="s">
        <v>26</v>
      </c>
    </row>
    <row r="8851" spans="1:19" x14ac:dyDescent="0.3">
      <c r="A8851" t="s">
        <v>3237</v>
      </c>
      <c r="B8851" t="s">
        <v>7919</v>
      </c>
      <c r="C8851" t="s">
        <v>8722</v>
      </c>
      <c r="D8851" t="s">
        <v>3262</v>
      </c>
      <c r="E8851" t="s">
        <v>3298</v>
      </c>
      <c r="F8851" t="s">
        <v>3298</v>
      </c>
      <c r="G8851" t="s">
        <v>3298</v>
      </c>
      <c r="H8851" t="s">
        <v>859</v>
      </c>
      <c r="I8851" t="s">
        <v>860</v>
      </c>
      <c r="J8851" t="str">
        <f>"9521051"</f>
        <v>9521051</v>
      </c>
      <c r="K8851">
        <v>2102476800</v>
      </c>
      <c r="L8851">
        <v>2102447915</v>
      </c>
      <c r="M8851" t="s">
        <v>8723</v>
      </c>
      <c r="N8851" t="s">
        <v>3298</v>
      </c>
      <c r="O8851" t="s">
        <v>8724</v>
      </c>
      <c r="P8851">
        <v>13677</v>
      </c>
      <c r="Q8851" t="str">
        <f>"38.116121"</f>
        <v>38.116121</v>
      </c>
      <c r="R8851" t="str">
        <f>"23.772627"</f>
        <v>23.772627</v>
      </c>
      <c r="S8851" t="s">
        <v>26</v>
      </c>
    </row>
    <row r="8852" spans="1:19" x14ac:dyDescent="0.3">
      <c r="A8852" t="s">
        <v>3237</v>
      </c>
      <c r="B8852" t="s">
        <v>7919</v>
      </c>
      <c r="C8852" t="s">
        <v>8725</v>
      </c>
      <c r="D8852" t="s">
        <v>3262</v>
      </c>
      <c r="E8852" t="s">
        <v>3298</v>
      </c>
      <c r="F8852" t="s">
        <v>3298</v>
      </c>
      <c r="G8852" t="s">
        <v>3298</v>
      </c>
      <c r="H8852" t="s">
        <v>859</v>
      </c>
      <c r="I8852" t="s">
        <v>860</v>
      </c>
      <c r="J8852" t="str">
        <f>"9521052"</f>
        <v>9521052</v>
      </c>
      <c r="K8852">
        <v>2102478873</v>
      </c>
      <c r="L8852">
        <v>2102478873</v>
      </c>
      <c r="M8852" t="s">
        <v>8726</v>
      </c>
      <c r="N8852" t="s">
        <v>4028</v>
      </c>
      <c r="O8852" t="s">
        <v>8727</v>
      </c>
      <c r="P8852">
        <v>13677</v>
      </c>
      <c r="Q8852" t="str">
        <f>"38.107916"</f>
        <v>38.107916</v>
      </c>
      <c r="R8852" t="str">
        <f>"23.770215"</f>
        <v>23.770215</v>
      </c>
      <c r="S8852" t="s">
        <v>26</v>
      </c>
    </row>
    <row r="8853" spans="1:19" x14ac:dyDescent="0.3">
      <c r="A8853" t="s">
        <v>3237</v>
      </c>
      <c r="B8853" t="s">
        <v>7919</v>
      </c>
      <c r="C8853" t="s">
        <v>8728</v>
      </c>
      <c r="D8853" t="s">
        <v>3262</v>
      </c>
      <c r="E8853" t="s">
        <v>3298</v>
      </c>
      <c r="F8853" t="s">
        <v>3298</v>
      </c>
      <c r="G8853" t="s">
        <v>3298</v>
      </c>
      <c r="H8853" t="s">
        <v>859</v>
      </c>
      <c r="I8853" t="s">
        <v>860</v>
      </c>
      <c r="J8853" t="str">
        <f>"9521308"</f>
        <v>9521308</v>
      </c>
      <c r="K8853">
        <v>2102448890</v>
      </c>
      <c r="L8853">
        <v>2102448890</v>
      </c>
      <c r="M8853" t="s">
        <v>8729</v>
      </c>
      <c r="N8853" t="s">
        <v>4028</v>
      </c>
      <c r="O8853" t="s">
        <v>8730</v>
      </c>
      <c r="P8853">
        <v>13677</v>
      </c>
      <c r="Q8853" t="str">
        <f>"38.105410"</f>
        <v>38.105410</v>
      </c>
      <c r="R8853" t="str">
        <f>"23.767238"</f>
        <v>23.767238</v>
      </c>
      <c r="S8853" t="s">
        <v>26</v>
      </c>
    </row>
    <row r="8854" spans="1:19" x14ac:dyDescent="0.3">
      <c r="A8854" t="s">
        <v>3237</v>
      </c>
      <c r="B8854" t="s">
        <v>7919</v>
      </c>
      <c r="C8854" t="s">
        <v>8731</v>
      </c>
      <c r="D8854" t="s">
        <v>3262</v>
      </c>
      <c r="E8854" t="s">
        <v>3298</v>
      </c>
      <c r="F8854" t="s">
        <v>3298</v>
      </c>
      <c r="G8854" t="s">
        <v>3298</v>
      </c>
      <c r="H8854" t="s">
        <v>859</v>
      </c>
      <c r="I8854" t="s">
        <v>860</v>
      </c>
      <c r="J8854" t="str">
        <f>"9521425"</f>
        <v>9521425</v>
      </c>
      <c r="K8854">
        <v>2102409956</v>
      </c>
      <c r="L8854">
        <v>2102409956</v>
      </c>
      <c r="M8854" t="s">
        <v>8732</v>
      </c>
      <c r="N8854" t="s">
        <v>8733</v>
      </c>
      <c r="O8854" t="s">
        <v>8734</v>
      </c>
      <c r="P8854">
        <v>13678</v>
      </c>
      <c r="Q8854" t="str">
        <f>"38.091401"</f>
        <v>38.091401</v>
      </c>
      <c r="R8854" t="str">
        <f>"23.739164"</f>
        <v>23.739164</v>
      </c>
      <c r="S8854" t="s">
        <v>26</v>
      </c>
    </row>
    <row r="8855" spans="1:19" x14ac:dyDescent="0.3">
      <c r="A8855" t="s">
        <v>3237</v>
      </c>
      <c r="B8855" t="s">
        <v>7919</v>
      </c>
      <c r="C8855" t="s">
        <v>8735</v>
      </c>
      <c r="D8855" t="s">
        <v>3262</v>
      </c>
      <c r="E8855" t="s">
        <v>3298</v>
      </c>
      <c r="F8855" t="s">
        <v>3298</v>
      </c>
      <c r="G8855" t="s">
        <v>3298</v>
      </c>
      <c r="H8855" t="s">
        <v>859</v>
      </c>
      <c r="I8855" t="s">
        <v>860</v>
      </c>
      <c r="J8855" t="str">
        <f>"9521426"</f>
        <v>9521426</v>
      </c>
      <c r="K8855">
        <v>2102464854</v>
      </c>
      <c r="L8855">
        <v>2102464854</v>
      </c>
      <c r="M8855" t="s">
        <v>8736</v>
      </c>
      <c r="N8855" t="s">
        <v>3298</v>
      </c>
      <c r="O8855" t="s">
        <v>8737</v>
      </c>
      <c r="P8855">
        <v>13674</v>
      </c>
      <c r="Q8855" t="str">
        <f>"38.083275"</f>
        <v>38.083275</v>
      </c>
      <c r="R8855" t="str">
        <f>"23.746143"</f>
        <v>23.746143</v>
      </c>
      <c r="S8855" t="s">
        <v>26</v>
      </c>
    </row>
    <row r="8856" spans="1:19" x14ac:dyDescent="0.3">
      <c r="A8856" t="s">
        <v>3237</v>
      </c>
      <c r="B8856" t="s">
        <v>7919</v>
      </c>
      <c r="C8856" t="s">
        <v>8754</v>
      </c>
      <c r="D8856" t="s">
        <v>3262</v>
      </c>
      <c r="E8856" t="s">
        <v>3997</v>
      </c>
      <c r="F8856" t="s">
        <v>4516</v>
      </c>
      <c r="G8856" t="s">
        <v>4516</v>
      </c>
      <c r="H8856" t="s">
        <v>859</v>
      </c>
      <c r="I8856" t="s">
        <v>860</v>
      </c>
      <c r="J8856" t="str">
        <f>"9521307"</f>
        <v>9521307</v>
      </c>
      <c r="K8856">
        <v>2291053531</v>
      </c>
      <c r="L8856">
        <v>2291053531</v>
      </c>
      <c r="M8856" t="s">
        <v>8755</v>
      </c>
      <c r="N8856" t="s">
        <v>8260</v>
      </c>
      <c r="O8856" t="s">
        <v>8756</v>
      </c>
      <c r="P8856">
        <v>19013</v>
      </c>
      <c r="Q8856" t="str">
        <f>"37.748407"</f>
        <v>37.748407</v>
      </c>
      <c r="R8856" t="str">
        <f>"23.907975"</f>
        <v>23.907975</v>
      </c>
      <c r="S8856" t="s">
        <v>26</v>
      </c>
    </row>
    <row r="8857" spans="1:19" x14ac:dyDescent="0.3">
      <c r="A8857" t="s">
        <v>3237</v>
      </c>
      <c r="B8857" t="s">
        <v>7919</v>
      </c>
      <c r="C8857" t="s">
        <v>8757</v>
      </c>
      <c r="D8857" t="s">
        <v>3262</v>
      </c>
      <c r="E8857" t="s">
        <v>3263</v>
      </c>
      <c r="F8857" t="s">
        <v>3263</v>
      </c>
      <c r="G8857" t="s">
        <v>3263</v>
      </c>
      <c r="H8857" t="s">
        <v>859</v>
      </c>
      <c r="I8857" t="s">
        <v>860</v>
      </c>
      <c r="J8857" t="str">
        <f>"9521199"</f>
        <v>9521199</v>
      </c>
      <c r="K8857">
        <v>2106624951</v>
      </c>
      <c r="L8857">
        <v>2106624951</v>
      </c>
      <c r="M8857" t="s">
        <v>8758</v>
      </c>
      <c r="N8857" t="s">
        <v>4003</v>
      </c>
      <c r="O8857" t="s">
        <v>8759</v>
      </c>
      <c r="P8857">
        <v>19400</v>
      </c>
      <c r="Q8857" t="str">
        <f>"37.908646"</f>
        <v>37.908646</v>
      </c>
      <c r="R8857" t="str">
        <f>"23.880163"</f>
        <v>23.880163</v>
      </c>
      <c r="S8857" t="s">
        <v>26</v>
      </c>
    </row>
    <row r="8858" spans="1:19" x14ac:dyDescent="0.3">
      <c r="A8858" t="s">
        <v>3237</v>
      </c>
      <c r="B8858" t="s">
        <v>7919</v>
      </c>
      <c r="C8858" t="s">
        <v>8760</v>
      </c>
      <c r="D8858" t="s">
        <v>3262</v>
      </c>
      <c r="E8858" t="s">
        <v>4118</v>
      </c>
      <c r="F8858" t="s">
        <v>4248</v>
      </c>
      <c r="G8858" t="s">
        <v>4249</v>
      </c>
      <c r="H8858" t="s">
        <v>859</v>
      </c>
      <c r="I8858" t="s">
        <v>860</v>
      </c>
      <c r="J8858" t="str">
        <f>"9521054"</f>
        <v>9521054</v>
      </c>
      <c r="K8858">
        <v>2294083889</v>
      </c>
      <c r="L8858">
        <v>2294083889</v>
      </c>
      <c r="M8858" t="s">
        <v>8761</v>
      </c>
      <c r="N8858" t="s">
        <v>4248</v>
      </c>
      <c r="O8858" t="s">
        <v>8762</v>
      </c>
      <c r="P8858">
        <v>19016</v>
      </c>
      <c r="Q8858" t="str">
        <f>"37.986908"</f>
        <v>37.986908</v>
      </c>
      <c r="R8858" t="str">
        <f>"24.010889"</f>
        <v>24.010889</v>
      </c>
      <c r="S8858" t="s">
        <v>26</v>
      </c>
    </row>
    <row r="8859" spans="1:19" x14ac:dyDescent="0.3">
      <c r="A8859" t="s">
        <v>3237</v>
      </c>
      <c r="B8859" t="s">
        <v>7919</v>
      </c>
      <c r="C8859" t="s">
        <v>8763</v>
      </c>
      <c r="D8859" t="s">
        <v>3262</v>
      </c>
      <c r="E8859" t="s">
        <v>4024</v>
      </c>
      <c r="F8859" t="s">
        <v>2199</v>
      </c>
      <c r="G8859" t="s">
        <v>2199</v>
      </c>
      <c r="H8859" t="s">
        <v>859</v>
      </c>
      <c r="I8859" t="s">
        <v>860</v>
      </c>
      <c r="J8859" t="str">
        <f>"9521202"</f>
        <v>9521202</v>
      </c>
      <c r="K8859">
        <v>2106618889</v>
      </c>
      <c r="L8859">
        <v>2106618889</v>
      </c>
      <c r="M8859" t="s">
        <v>8764</v>
      </c>
      <c r="N8859" t="s">
        <v>2199</v>
      </c>
      <c r="O8859" t="s">
        <v>8765</v>
      </c>
      <c r="P8859">
        <v>15344</v>
      </c>
      <c r="Q8859" t="str">
        <f>"38.021828"</f>
        <v>38.021828</v>
      </c>
      <c r="R8859" t="str">
        <f>"23.862388"</f>
        <v>23.862388</v>
      </c>
      <c r="S8859" t="s">
        <v>26</v>
      </c>
    </row>
    <row r="8860" spans="1:19" x14ac:dyDescent="0.3">
      <c r="A8860" t="s">
        <v>3237</v>
      </c>
      <c r="B8860" t="s">
        <v>7919</v>
      </c>
      <c r="C8860" t="s">
        <v>8766</v>
      </c>
      <c r="D8860" t="s">
        <v>3262</v>
      </c>
      <c r="E8860" t="s">
        <v>4024</v>
      </c>
      <c r="F8860" t="s">
        <v>2199</v>
      </c>
      <c r="G8860" t="s">
        <v>2199</v>
      </c>
      <c r="H8860" t="s">
        <v>859</v>
      </c>
      <c r="I8860" t="s">
        <v>860</v>
      </c>
      <c r="J8860" t="str">
        <f>"9521203"</f>
        <v>9521203</v>
      </c>
      <c r="K8860">
        <v>2106618135</v>
      </c>
      <c r="L8860">
        <v>2106618135</v>
      </c>
      <c r="M8860" t="s">
        <v>8767</v>
      </c>
      <c r="N8860" t="s">
        <v>2199</v>
      </c>
      <c r="O8860" t="s">
        <v>8768</v>
      </c>
      <c r="P8860">
        <v>15344</v>
      </c>
      <c r="Q8860" t="str">
        <f>"38.016873"</f>
        <v>38.016873</v>
      </c>
      <c r="R8860" t="str">
        <f>"23.861148"</f>
        <v>23.861148</v>
      </c>
      <c r="S8860" t="s">
        <v>26</v>
      </c>
    </row>
    <row r="8861" spans="1:19" x14ac:dyDescent="0.3">
      <c r="A8861" t="s">
        <v>3237</v>
      </c>
      <c r="B8861" t="s">
        <v>7919</v>
      </c>
      <c r="C8861" t="s">
        <v>8769</v>
      </c>
      <c r="D8861" t="s">
        <v>3262</v>
      </c>
      <c r="E8861" t="s">
        <v>4019</v>
      </c>
      <c r="F8861" t="s">
        <v>8133</v>
      </c>
      <c r="G8861" t="s">
        <v>8133</v>
      </c>
      <c r="H8861" t="s">
        <v>859</v>
      </c>
      <c r="I8861" t="s">
        <v>860</v>
      </c>
      <c r="J8861" t="str">
        <f>"9050573"</f>
        <v>9050573</v>
      </c>
      <c r="K8861">
        <v>2294061655</v>
      </c>
      <c r="L8861">
        <v>2294061655</v>
      </c>
      <c r="M8861" t="s">
        <v>8770</v>
      </c>
      <c r="N8861" t="s">
        <v>8136</v>
      </c>
      <c r="O8861" t="s">
        <v>8771</v>
      </c>
      <c r="P8861">
        <v>19007</v>
      </c>
      <c r="Q8861" t="str">
        <f>"38.203119"</f>
        <v>38.203119</v>
      </c>
      <c r="R8861" t="str">
        <f>"23.963219"</f>
        <v>23.963219</v>
      </c>
      <c r="S8861" t="s">
        <v>26</v>
      </c>
    </row>
    <row r="8862" spans="1:19" x14ac:dyDescent="0.3">
      <c r="A8862" t="s">
        <v>3237</v>
      </c>
      <c r="B8862" t="s">
        <v>7919</v>
      </c>
      <c r="C8862" t="s">
        <v>8772</v>
      </c>
      <c r="D8862" t="s">
        <v>3262</v>
      </c>
      <c r="E8862" t="s">
        <v>4019</v>
      </c>
      <c r="F8862" t="s">
        <v>4019</v>
      </c>
      <c r="G8862" t="s">
        <v>4019</v>
      </c>
      <c r="H8862" t="s">
        <v>859</v>
      </c>
      <c r="I8862" t="s">
        <v>860</v>
      </c>
      <c r="J8862" t="str">
        <f>"9521431"</f>
        <v>9521431</v>
      </c>
      <c r="K8862">
        <v>2294066324</v>
      </c>
      <c r="L8862">
        <v>2294066324</v>
      </c>
      <c r="M8862" t="s">
        <v>8773</v>
      </c>
      <c r="N8862" t="s">
        <v>8275</v>
      </c>
      <c r="O8862" t="s">
        <v>8774</v>
      </c>
      <c r="P8862">
        <v>19009</v>
      </c>
      <c r="Q8862" t="str">
        <f>""</f>
        <v/>
      </c>
      <c r="R8862" t="str">
        <f>""</f>
        <v/>
      </c>
      <c r="S8862" t="s">
        <v>26</v>
      </c>
    </row>
    <row r="8863" spans="1:19" x14ac:dyDescent="0.3">
      <c r="A8863" t="s">
        <v>3237</v>
      </c>
      <c r="B8863" t="s">
        <v>7919</v>
      </c>
      <c r="C8863" t="s">
        <v>8775</v>
      </c>
      <c r="D8863" t="s">
        <v>3262</v>
      </c>
      <c r="E8863" t="s">
        <v>4019</v>
      </c>
      <c r="F8863" t="s">
        <v>4054</v>
      </c>
      <c r="G8863" t="s">
        <v>4054</v>
      </c>
      <c r="H8863" t="s">
        <v>859</v>
      </c>
      <c r="I8863" t="s">
        <v>860</v>
      </c>
      <c r="J8863" t="str">
        <f>"9521200"</f>
        <v>9521200</v>
      </c>
      <c r="K8863">
        <v>2294069167</v>
      </c>
      <c r="L8863">
        <v>2294094080</v>
      </c>
      <c r="M8863" t="s">
        <v>8776</v>
      </c>
      <c r="N8863" t="s">
        <v>4054</v>
      </c>
      <c r="O8863" t="s">
        <v>8777</v>
      </c>
      <c r="P8863">
        <v>19005</v>
      </c>
      <c r="Q8863" t="str">
        <f>"38.083763"</f>
        <v>38.083763</v>
      </c>
      <c r="R8863" t="str">
        <f>"23.976588"</f>
        <v>23.976588</v>
      </c>
      <c r="S8863" t="s">
        <v>26</v>
      </c>
    </row>
    <row r="8864" spans="1:19" x14ac:dyDescent="0.3">
      <c r="A8864" t="s">
        <v>3237</v>
      </c>
      <c r="B8864" t="s">
        <v>7919</v>
      </c>
      <c r="C8864" t="s">
        <v>8778</v>
      </c>
      <c r="D8864" t="s">
        <v>3262</v>
      </c>
      <c r="E8864" t="s">
        <v>4024</v>
      </c>
      <c r="F8864" t="s">
        <v>4024</v>
      </c>
      <c r="G8864" t="s">
        <v>4024</v>
      </c>
      <c r="H8864" t="s">
        <v>859</v>
      </c>
      <c r="I8864" t="s">
        <v>860</v>
      </c>
      <c r="J8864" t="str">
        <f>"9521177"</f>
        <v>9521177</v>
      </c>
      <c r="K8864">
        <v>2106034407</v>
      </c>
      <c r="L8864">
        <v>2106034407</v>
      </c>
      <c r="M8864" t="s">
        <v>8779</v>
      </c>
      <c r="N8864" t="s">
        <v>8780</v>
      </c>
      <c r="O8864" t="s">
        <v>8781</v>
      </c>
      <c r="P8864">
        <v>15351</v>
      </c>
      <c r="Q8864" t="str">
        <f>"37.999448"</f>
        <v>37.999448</v>
      </c>
      <c r="R8864" t="str">
        <f>"23.909089"</f>
        <v>23.909089</v>
      </c>
      <c r="S8864" t="s">
        <v>26</v>
      </c>
    </row>
    <row r="8865" spans="1:19" x14ac:dyDescent="0.3">
      <c r="A8865" t="s">
        <v>3237</v>
      </c>
      <c r="B8865" t="s">
        <v>7919</v>
      </c>
      <c r="C8865" t="s">
        <v>8782</v>
      </c>
      <c r="D8865" t="s">
        <v>3262</v>
      </c>
      <c r="E8865" t="s">
        <v>4118</v>
      </c>
      <c r="F8865" t="s">
        <v>4119</v>
      </c>
      <c r="G8865" t="s">
        <v>4119</v>
      </c>
      <c r="H8865" t="s">
        <v>859</v>
      </c>
      <c r="I8865" t="s">
        <v>860</v>
      </c>
      <c r="J8865" t="str">
        <f>"9521352"</f>
        <v>9521352</v>
      </c>
      <c r="K8865">
        <v>2106025001</v>
      </c>
      <c r="L8865">
        <v>2106025001</v>
      </c>
      <c r="M8865" t="s">
        <v>8783</v>
      </c>
      <c r="N8865" t="s">
        <v>8005</v>
      </c>
      <c r="O8865" t="s">
        <v>8784</v>
      </c>
      <c r="P8865">
        <v>19004</v>
      </c>
      <c r="Q8865" t="str">
        <f>"37.965712"</f>
        <v>37.965712</v>
      </c>
      <c r="R8865" t="str">
        <f>"23.907157"</f>
        <v>23.907157</v>
      </c>
      <c r="S8865" t="s">
        <v>26</v>
      </c>
    </row>
    <row r="8866" spans="1:19" x14ac:dyDescent="0.3">
      <c r="A8866" t="s">
        <v>3237</v>
      </c>
      <c r="B8866" t="s">
        <v>7919</v>
      </c>
      <c r="C8866" t="s">
        <v>8800</v>
      </c>
      <c r="D8866" t="s">
        <v>3262</v>
      </c>
      <c r="E8866" t="s">
        <v>4031</v>
      </c>
      <c r="F8866" t="s">
        <v>4031</v>
      </c>
      <c r="G8866" t="s">
        <v>4031</v>
      </c>
      <c r="H8866" t="s">
        <v>859</v>
      </c>
      <c r="I8866" t="s">
        <v>1102</v>
      </c>
      <c r="J8866" t="str">
        <f>"9521039"</f>
        <v>9521039</v>
      </c>
      <c r="K8866">
        <v>2292022095</v>
      </c>
      <c r="L8866">
        <v>2292022095</v>
      </c>
      <c r="M8866" t="s">
        <v>8801</v>
      </c>
      <c r="N8866" t="s">
        <v>4236</v>
      </c>
      <c r="O8866" t="s">
        <v>8802</v>
      </c>
      <c r="P8866">
        <v>19500</v>
      </c>
      <c r="Q8866" t="str">
        <f>"37.714908"</f>
        <v>37.714908</v>
      </c>
      <c r="R8866" t="str">
        <f>"24.053001"</f>
        <v>24.053001</v>
      </c>
      <c r="S8866" t="s">
        <v>26</v>
      </c>
    </row>
    <row r="8867" spans="1:19" x14ac:dyDescent="0.3">
      <c r="A8867" t="s">
        <v>3237</v>
      </c>
      <c r="B8867" t="s">
        <v>7919</v>
      </c>
      <c r="C8867" t="s">
        <v>8803</v>
      </c>
      <c r="D8867" t="s">
        <v>3262</v>
      </c>
      <c r="E8867" t="s">
        <v>4060</v>
      </c>
      <c r="F8867" t="s">
        <v>4061</v>
      </c>
      <c r="G8867" t="s">
        <v>4061</v>
      </c>
      <c r="H8867" t="s">
        <v>859</v>
      </c>
      <c r="I8867" t="s">
        <v>1102</v>
      </c>
      <c r="J8867" t="str">
        <f>"9051933"</f>
        <v>9051933</v>
      </c>
      <c r="K8867">
        <v>2294079518</v>
      </c>
      <c r="L8867">
        <v>2294079518</v>
      </c>
      <c r="M8867" t="s">
        <v>8804</v>
      </c>
      <c r="N8867" t="s">
        <v>8805</v>
      </c>
      <c r="O8867" t="s">
        <v>8806</v>
      </c>
      <c r="P8867">
        <v>19009</v>
      </c>
      <c r="Q8867" t="str">
        <f>"38.025406"</f>
        <v>38.025406</v>
      </c>
      <c r="R8867" t="str">
        <f>"23.974701"</f>
        <v>23.974701</v>
      </c>
      <c r="S8867" t="s">
        <v>26</v>
      </c>
    </row>
    <row r="8868" spans="1:19" x14ac:dyDescent="0.3">
      <c r="A8868" t="s">
        <v>3237</v>
      </c>
      <c r="B8868" t="s">
        <v>7919</v>
      </c>
      <c r="C8868" t="s">
        <v>8816</v>
      </c>
      <c r="D8868" t="s">
        <v>3262</v>
      </c>
      <c r="E8868" t="s">
        <v>4118</v>
      </c>
      <c r="F8868" t="s">
        <v>4248</v>
      </c>
      <c r="G8868" t="s">
        <v>4249</v>
      </c>
      <c r="H8868" t="s">
        <v>859</v>
      </c>
      <c r="I8868" t="s">
        <v>860</v>
      </c>
      <c r="J8868" t="str">
        <f>"9521201"</f>
        <v>9521201</v>
      </c>
      <c r="K8868">
        <v>2294088720</v>
      </c>
      <c r="L8868">
        <v>2294088720</v>
      </c>
      <c r="M8868" t="s">
        <v>8817</v>
      </c>
      <c r="N8868" t="s">
        <v>8818</v>
      </c>
      <c r="O8868" t="s">
        <v>8819</v>
      </c>
      <c r="P8868">
        <v>19016</v>
      </c>
      <c r="Q8868" t="str">
        <f>"37.989457"</f>
        <v>37.989457</v>
      </c>
      <c r="R8868" t="str">
        <f>"24.011122"</f>
        <v>24.011122</v>
      </c>
      <c r="S8868" t="s">
        <v>26</v>
      </c>
    </row>
    <row r="8869" spans="1:19" x14ac:dyDescent="0.3">
      <c r="A8869" t="s">
        <v>3237</v>
      </c>
      <c r="B8869" t="s">
        <v>7919</v>
      </c>
      <c r="C8869" t="s">
        <v>8820</v>
      </c>
      <c r="D8869" t="s">
        <v>3262</v>
      </c>
      <c r="E8869" t="s">
        <v>4060</v>
      </c>
      <c r="F8869" t="s">
        <v>4082</v>
      </c>
      <c r="G8869" t="s">
        <v>4082</v>
      </c>
      <c r="H8869" t="s">
        <v>859</v>
      </c>
      <c r="I8869" t="s">
        <v>860</v>
      </c>
      <c r="J8869" t="str">
        <f>"9521351"</f>
        <v>9521351</v>
      </c>
      <c r="K8869">
        <v>2169000789</v>
      </c>
      <c r="L8869">
        <v>2106036243</v>
      </c>
      <c r="M8869" t="s">
        <v>8821</v>
      </c>
      <c r="N8869" t="s">
        <v>4082</v>
      </c>
      <c r="O8869" t="s">
        <v>8002</v>
      </c>
      <c r="P8869">
        <v>19009</v>
      </c>
      <c r="Q8869" t="str">
        <f>"38.004418"</f>
        <v>38.004418</v>
      </c>
      <c r="R8869" t="str">
        <f>"23.938266"</f>
        <v>23.938266</v>
      </c>
      <c r="S8869" t="s">
        <v>26</v>
      </c>
    </row>
    <row r="8870" spans="1:19" x14ac:dyDescent="0.3">
      <c r="A8870" t="s">
        <v>3237</v>
      </c>
      <c r="B8870" t="s">
        <v>7919</v>
      </c>
      <c r="C8870" t="s">
        <v>8825</v>
      </c>
      <c r="D8870" t="s">
        <v>3262</v>
      </c>
      <c r="E8870" t="s">
        <v>4118</v>
      </c>
      <c r="F8870" t="s">
        <v>4248</v>
      </c>
      <c r="G8870" t="s">
        <v>4249</v>
      </c>
      <c r="H8870" t="s">
        <v>859</v>
      </c>
      <c r="I8870" t="s">
        <v>860</v>
      </c>
      <c r="J8870" t="str">
        <f>"9521430"</f>
        <v>9521430</v>
      </c>
      <c r="K8870">
        <v>2294049101</v>
      </c>
      <c r="L8870">
        <v>2294049101</v>
      </c>
      <c r="M8870" t="s">
        <v>8826</v>
      </c>
      <c r="N8870" t="s">
        <v>4249</v>
      </c>
      <c r="O8870" t="s">
        <v>8827</v>
      </c>
      <c r="P8870">
        <v>19016</v>
      </c>
      <c r="Q8870" t="str">
        <f>"37.944937"</f>
        <v>37.944937</v>
      </c>
      <c r="R8870" t="str">
        <f>"24.013389"</f>
        <v>24.013389</v>
      </c>
      <c r="S8870" t="s">
        <v>26</v>
      </c>
    </row>
    <row r="8871" spans="1:19" x14ac:dyDescent="0.3">
      <c r="A8871" t="s">
        <v>3237</v>
      </c>
      <c r="B8871" t="s">
        <v>7919</v>
      </c>
      <c r="C8871" t="s">
        <v>8828</v>
      </c>
      <c r="D8871" t="s">
        <v>3262</v>
      </c>
      <c r="E8871" t="s">
        <v>4075</v>
      </c>
      <c r="F8871" t="s">
        <v>4076</v>
      </c>
      <c r="G8871" t="s">
        <v>4076</v>
      </c>
      <c r="H8871" t="s">
        <v>859</v>
      </c>
      <c r="I8871" t="s">
        <v>860</v>
      </c>
      <c r="J8871" t="str">
        <f>"9521433"</f>
        <v>9521433</v>
      </c>
      <c r="K8871">
        <v>2106041880</v>
      </c>
      <c r="M8871" t="s">
        <v>8829</v>
      </c>
      <c r="N8871" t="s">
        <v>4076</v>
      </c>
      <c r="O8871" t="s">
        <v>8830</v>
      </c>
      <c r="P8871">
        <v>15354</v>
      </c>
      <c r="Q8871" t="str">
        <f>"37.986204"</f>
        <v>37.986204</v>
      </c>
      <c r="R8871" t="str">
        <f>"23.849546"</f>
        <v>23.849546</v>
      </c>
      <c r="S8871" t="s">
        <v>26</v>
      </c>
    </row>
    <row r="8872" spans="1:19" x14ac:dyDescent="0.3">
      <c r="A8872" t="s">
        <v>3237</v>
      </c>
      <c r="B8872" t="s">
        <v>7919</v>
      </c>
      <c r="C8872" t="s">
        <v>8831</v>
      </c>
      <c r="D8872" t="s">
        <v>3262</v>
      </c>
      <c r="E8872" t="s">
        <v>4019</v>
      </c>
      <c r="F8872" t="s">
        <v>4054</v>
      </c>
      <c r="G8872" t="s">
        <v>4054</v>
      </c>
      <c r="H8872" t="s">
        <v>859</v>
      </c>
      <c r="I8872" t="s">
        <v>860</v>
      </c>
      <c r="J8872" t="str">
        <f>"9521432"</f>
        <v>9521432</v>
      </c>
      <c r="K8872">
        <v>2294096424</v>
      </c>
      <c r="M8872" t="s">
        <v>8832</v>
      </c>
      <c r="N8872" t="s">
        <v>8833</v>
      </c>
      <c r="O8872" t="s">
        <v>8834</v>
      </c>
      <c r="P8872">
        <v>19005</v>
      </c>
      <c r="Q8872" t="str">
        <f>"38.062196"</f>
        <v>38.062196</v>
      </c>
      <c r="R8872" t="str">
        <f>"23.994108"</f>
        <v>23.994108</v>
      </c>
      <c r="S8872" t="s">
        <v>26</v>
      </c>
    </row>
    <row r="8873" spans="1:19" x14ac:dyDescent="0.3">
      <c r="A8873" t="s">
        <v>3237</v>
      </c>
      <c r="B8873" t="s">
        <v>7919</v>
      </c>
      <c r="C8873" t="s">
        <v>8835</v>
      </c>
      <c r="D8873" t="s">
        <v>3262</v>
      </c>
      <c r="E8873" t="s">
        <v>4043</v>
      </c>
      <c r="F8873" t="s">
        <v>2808</v>
      </c>
      <c r="G8873" t="s">
        <v>2808</v>
      </c>
      <c r="H8873" t="s">
        <v>859</v>
      </c>
      <c r="I8873" t="s">
        <v>860</v>
      </c>
      <c r="J8873" t="str">
        <f>"9521511"</f>
        <v>9521511</v>
      </c>
      <c r="K8873">
        <v>2108134140</v>
      </c>
      <c r="L8873">
        <v>2108134140</v>
      </c>
      <c r="M8873" t="s">
        <v>8836</v>
      </c>
      <c r="N8873" t="s">
        <v>2805</v>
      </c>
      <c r="O8873" t="s">
        <v>8421</v>
      </c>
      <c r="P8873">
        <v>14572</v>
      </c>
      <c r="Q8873" t="str">
        <f>"38.118587"</f>
        <v>38.118587</v>
      </c>
      <c r="R8873" t="str">
        <f>"23.859209"</f>
        <v>23.859209</v>
      </c>
      <c r="S8873" t="s">
        <v>26</v>
      </c>
    </row>
    <row r="8874" spans="1:19" x14ac:dyDescent="0.3">
      <c r="A8874" t="s">
        <v>3237</v>
      </c>
      <c r="B8874" t="s">
        <v>7919</v>
      </c>
      <c r="C8874" t="s">
        <v>8837</v>
      </c>
      <c r="D8874" t="s">
        <v>3262</v>
      </c>
      <c r="E8874" t="s">
        <v>4067</v>
      </c>
      <c r="F8874" t="s">
        <v>4125</v>
      </c>
      <c r="G8874" t="s">
        <v>4125</v>
      </c>
      <c r="H8874" t="s">
        <v>859</v>
      </c>
      <c r="I8874" t="s">
        <v>860</v>
      </c>
      <c r="J8874" t="str">
        <f>"9521509"</f>
        <v>9521509</v>
      </c>
      <c r="K8874">
        <v>2295053352</v>
      </c>
      <c r="L8874">
        <v>2295053352</v>
      </c>
      <c r="M8874" t="s">
        <v>8838</v>
      </c>
      <c r="N8874" t="s">
        <v>4125</v>
      </c>
      <c r="O8874" t="s">
        <v>8839</v>
      </c>
      <c r="P8874">
        <v>19014</v>
      </c>
      <c r="Q8874" t="str">
        <f>"38.248744"</f>
        <v>38.248744</v>
      </c>
      <c r="R8874" t="str">
        <f>"23.925751"</f>
        <v>23.925751</v>
      </c>
      <c r="S8874" t="s">
        <v>26</v>
      </c>
    </row>
    <row r="8875" spans="1:19" x14ac:dyDescent="0.3">
      <c r="A8875" t="s">
        <v>3237</v>
      </c>
      <c r="B8875" t="s">
        <v>7919</v>
      </c>
      <c r="C8875" t="s">
        <v>8851</v>
      </c>
      <c r="D8875" t="s">
        <v>3262</v>
      </c>
      <c r="E8875" t="s">
        <v>4011</v>
      </c>
      <c r="F8875" t="s">
        <v>4160</v>
      </c>
      <c r="G8875" t="s">
        <v>4160</v>
      </c>
      <c r="H8875" t="s">
        <v>859</v>
      </c>
      <c r="I8875" t="s">
        <v>860</v>
      </c>
      <c r="J8875" t="str">
        <f>"9521198"</f>
        <v>9521198</v>
      </c>
      <c r="K8875">
        <v>2109657160</v>
      </c>
      <c r="M8875" t="s">
        <v>8852</v>
      </c>
      <c r="N8875" t="s">
        <v>4160</v>
      </c>
      <c r="O8875" t="s">
        <v>8853</v>
      </c>
      <c r="P8875">
        <v>16673</v>
      </c>
      <c r="Q8875" t="str">
        <f>"37.850036"</f>
        <v>37.850036</v>
      </c>
      <c r="R8875" t="str">
        <f>"23.762338"</f>
        <v>23.762338</v>
      </c>
      <c r="S8875" t="s">
        <v>26</v>
      </c>
    </row>
    <row r="8876" spans="1:19" x14ac:dyDescent="0.3">
      <c r="A8876" t="s">
        <v>3237</v>
      </c>
      <c r="B8876" t="s">
        <v>7919</v>
      </c>
      <c r="C8876" t="s">
        <v>8854</v>
      </c>
      <c r="D8876" t="s">
        <v>3262</v>
      </c>
      <c r="E8876" t="s">
        <v>4031</v>
      </c>
      <c r="F8876" t="s">
        <v>4037</v>
      </c>
      <c r="G8876" t="s">
        <v>4037</v>
      </c>
      <c r="H8876" t="s">
        <v>859</v>
      </c>
      <c r="I8876" t="s">
        <v>860</v>
      </c>
      <c r="J8876" t="str">
        <f>"9521427"</f>
        <v>9521427</v>
      </c>
      <c r="K8876">
        <v>2299066077</v>
      </c>
      <c r="L8876">
        <v>2299066077</v>
      </c>
      <c r="M8876" t="s">
        <v>8855</v>
      </c>
      <c r="N8876" t="s">
        <v>4037</v>
      </c>
      <c r="O8876" t="s">
        <v>8856</v>
      </c>
      <c r="P8876">
        <v>19001</v>
      </c>
      <c r="Q8876" t="str">
        <f>"37.809894"</f>
        <v>37.809894</v>
      </c>
      <c r="R8876" t="str">
        <f>"23.968468"</f>
        <v>23.968468</v>
      </c>
      <c r="S8876" t="s">
        <v>26</v>
      </c>
    </row>
    <row r="8877" spans="1:19" x14ac:dyDescent="0.3">
      <c r="A8877" t="s">
        <v>3237</v>
      </c>
      <c r="B8877" t="s">
        <v>7919</v>
      </c>
      <c r="C8877" t="s">
        <v>8857</v>
      </c>
      <c r="D8877" t="s">
        <v>3262</v>
      </c>
      <c r="E8877" t="s">
        <v>3263</v>
      </c>
      <c r="F8877" t="s">
        <v>3263</v>
      </c>
      <c r="G8877" t="s">
        <v>3263</v>
      </c>
      <c r="H8877" t="s">
        <v>859</v>
      </c>
      <c r="I8877" t="s">
        <v>860</v>
      </c>
      <c r="J8877" t="str">
        <f>"9521479"</f>
        <v>9521479</v>
      </c>
      <c r="K8877">
        <v>2108971365</v>
      </c>
      <c r="L8877">
        <v>2108971365</v>
      </c>
      <c r="M8877" t="s">
        <v>8858</v>
      </c>
      <c r="N8877" t="s">
        <v>8222</v>
      </c>
      <c r="O8877" t="s">
        <v>8859</v>
      </c>
      <c r="P8877">
        <v>19400</v>
      </c>
      <c r="Q8877" t="str">
        <f>"37.847191"</f>
        <v>37.847191</v>
      </c>
      <c r="R8877" t="str">
        <f>"23.838244"</f>
        <v>23.838244</v>
      </c>
      <c r="S8877" t="s">
        <v>26</v>
      </c>
    </row>
    <row r="8878" spans="1:19" x14ac:dyDescent="0.3">
      <c r="A8878" t="s">
        <v>3237</v>
      </c>
      <c r="B8878" t="s">
        <v>7919</v>
      </c>
      <c r="C8878" t="s">
        <v>8860</v>
      </c>
      <c r="D8878" t="s">
        <v>3262</v>
      </c>
      <c r="E8878" t="s">
        <v>4207</v>
      </c>
      <c r="F8878" t="s">
        <v>4207</v>
      </c>
      <c r="G8878" t="s">
        <v>4207</v>
      </c>
      <c r="H8878" t="s">
        <v>859</v>
      </c>
      <c r="I8878" t="s">
        <v>860</v>
      </c>
      <c r="J8878" t="str">
        <f>"9521428"</f>
        <v>9521428</v>
      </c>
      <c r="K8878">
        <v>6978241116</v>
      </c>
      <c r="M8878" t="s">
        <v>8861</v>
      </c>
      <c r="N8878" t="s">
        <v>4541</v>
      </c>
      <c r="O8878" t="s">
        <v>8862</v>
      </c>
      <c r="P8878">
        <v>72100</v>
      </c>
      <c r="Q8878" t="str">
        <f>"37.883452"</f>
        <v>37.883452</v>
      </c>
      <c r="R8878" t="str">
        <f>"24.007875"</f>
        <v>24.007875</v>
      </c>
      <c r="S8878" t="s">
        <v>26</v>
      </c>
    </row>
    <row r="8879" spans="1:19" x14ac:dyDescent="0.3">
      <c r="A8879" t="s">
        <v>3237</v>
      </c>
      <c r="B8879" t="s">
        <v>7919</v>
      </c>
      <c r="C8879" t="s">
        <v>8863</v>
      </c>
      <c r="D8879" t="s">
        <v>3262</v>
      </c>
      <c r="E8879" t="s">
        <v>3298</v>
      </c>
      <c r="F8879" t="s">
        <v>4005</v>
      </c>
      <c r="G8879" t="s">
        <v>4005</v>
      </c>
      <c r="H8879" t="s">
        <v>859</v>
      </c>
      <c r="I8879" t="s">
        <v>860</v>
      </c>
      <c r="J8879" t="str">
        <f>"9521502"</f>
        <v>9521502</v>
      </c>
      <c r="K8879">
        <v>2102431178</v>
      </c>
      <c r="L8879">
        <v>2102431178</v>
      </c>
      <c r="M8879" t="s">
        <v>8864</v>
      </c>
      <c r="N8879" t="s">
        <v>4005</v>
      </c>
      <c r="O8879" t="s">
        <v>8865</v>
      </c>
      <c r="P8879">
        <v>13676</v>
      </c>
      <c r="Q8879" t="str">
        <f>"38.133771"</f>
        <v>38.133771</v>
      </c>
      <c r="R8879" t="str">
        <f>"23.756890"</f>
        <v>23.756890</v>
      </c>
      <c r="S8879" t="s">
        <v>26</v>
      </c>
    </row>
    <row r="8880" spans="1:19" x14ac:dyDescent="0.3">
      <c r="A8880" t="s">
        <v>3237</v>
      </c>
      <c r="B8880" t="s">
        <v>7919</v>
      </c>
      <c r="C8880" t="s">
        <v>8866</v>
      </c>
      <c r="D8880" t="s">
        <v>3262</v>
      </c>
      <c r="E8880" t="s">
        <v>3298</v>
      </c>
      <c r="F8880" t="s">
        <v>3298</v>
      </c>
      <c r="G8880" t="s">
        <v>3298</v>
      </c>
      <c r="H8880" t="s">
        <v>859</v>
      </c>
      <c r="I8880" t="s">
        <v>860</v>
      </c>
      <c r="J8880" t="str">
        <f>"9521503"</f>
        <v>9521503</v>
      </c>
      <c r="K8880">
        <v>2102449405</v>
      </c>
      <c r="M8880" t="s">
        <v>8867</v>
      </c>
      <c r="N8880" t="s">
        <v>3298</v>
      </c>
      <c r="O8880" t="s">
        <v>8589</v>
      </c>
      <c r="P8880">
        <v>13675</v>
      </c>
      <c r="Q8880" t="str">
        <f>"38.037496"</f>
        <v>38.037496</v>
      </c>
      <c r="R8880" t="str">
        <f>"23.772394"</f>
        <v>23.772394</v>
      </c>
      <c r="S8880" t="s">
        <v>26</v>
      </c>
    </row>
    <row r="8881" spans="1:19" x14ac:dyDescent="0.3">
      <c r="A8881" t="s">
        <v>3237</v>
      </c>
      <c r="B8881" t="s">
        <v>7919</v>
      </c>
      <c r="C8881" t="s">
        <v>8868</v>
      </c>
      <c r="D8881" t="s">
        <v>3262</v>
      </c>
      <c r="E8881" t="s">
        <v>3298</v>
      </c>
      <c r="F8881" t="s">
        <v>3298</v>
      </c>
      <c r="G8881" t="s">
        <v>3298</v>
      </c>
      <c r="H8881" t="s">
        <v>859</v>
      </c>
      <c r="I8881" t="s">
        <v>860</v>
      </c>
      <c r="J8881" t="str">
        <f>"9521504"</f>
        <v>9521504</v>
      </c>
      <c r="K8881">
        <v>6976344582</v>
      </c>
      <c r="L8881">
        <v>2102448843</v>
      </c>
      <c r="M8881" t="s">
        <v>8869</v>
      </c>
      <c r="N8881" t="s">
        <v>3298</v>
      </c>
      <c r="O8881" t="s">
        <v>8870</v>
      </c>
      <c r="P8881">
        <v>13671</v>
      </c>
      <c r="Q8881" t="str">
        <f>"38.022223"</f>
        <v>38.022223</v>
      </c>
      <c r="R8881" t="str">
        <f>"23.692826"</f>
        <v>23.692826</v>
      </c>
      <c r="S8881" t="s">
        <v>26</v>
      </c>
    </row>
    <row r="8882" spans="1:19" x14ac:dyDescent="0.3">
      <c r="A8882" t="s">
        <v>3237</v>
      </c>
      <c r="B8882" t="s">
        <v>7919</v>
      </c>
      <c r="C8882" t="s">
        <v>8871</v>
      </c>
      <c r="D8882" t="s">
        <v>3262</v>
      </c>
      <c r="E8882" t="s">
        <v>3298</v>
      </c>
      <c r="F8882" t="s">
        <v>3298</v>
      </c>
      <c r="G8882" t="s">
        <v>3298</v>
      </c>
      <c r="H8882" t="s">
        <v>859</v>
      </c>
      <c r="I8882" t="s">
        <v>860</v>
      </c>
      <c r="J8882" t="str">
        <f>"9521571"</f>
        <v>9521571</v>
      </c>
      <c r="N8882" t="s">
        <v>3298</v>
      </c>
      <c r="O8882" t="s">
        <v>8872</v>
      </c>
      <c r="P8882">
        <v>0</v>
      </c>
      <c r="Q8882" t="str">
        <f>""</f>
        <v/>
      </c>
      <c r="R8882" t="str">
        <f>""</f>
        <v/>
      </c>
      <c r="S8882" t="s">
        <v>26</v>
      </c>
    </row>
    <row r="8883" spans="1:19" x14ac:dyDescent="0.3">
      <c r="A8883" t="s">
        <v>3237</v>
      </c>
      <c r="B8883" t="s">
        <v>7919</v>
      </c>
      <c r="C8883" t="s">
        <v>8873</v>
      </c>
      <c r="D8883" t="s">
        <v>3262</v>
      </c>
      <c r="E8883" t="s">
        <v>3298</v>
      </c>
      <c r="F8883" t="s">
        <v>3298</v>
      </c>
      <c r="G8883" t="s">
        <v>3298</v>
      </c>
      <c r="H8883" t="s">
        <v>859</v>
      </c>
      <c r="I8883" t="s">
        <v>860</v>
      </c>
      <c r="J8883" t="str">
        <f>"9521572"</f>
        <v>9521572</v>
      </c>
      <c r="Q8883" t="str">
        <f>""</f>
        <v/>
      </c>
      <c r="R8883" t="str">
        <f>""</f>
        <v/>
      </c>
      <c r="S8883" t="s">
        <v>26</v>
      </c>
    </row>
    <row r="8884" spans="1:19" x14ac:dyDescent="0.3">
      <c r="A8884" t="s">
        <v>3237</v>
      </c>
      <c r="B8884" t="s">
        <v>7919</v>
      </c>
      <c r="C8884" t="s">
        <v>8874</v>
      </c>
      <c r="D8884" t="s">
        <v>3262</v>
      </c>
      <c r="E8884" t="s">
        <v>4207</v>
      </c>
      <c r="F8884" t="s">
        <v>4207</v>
      </c>
      <c r="G8884" t="s">
        <v>4207</v>
      </c>
      <c r="H8884" t="s">
        <v>859</v>
      </c>
      <c r="I8884" t="s">
        <v>860</v>
      </c>
      <c r="J8884" t="str">
        <f>"9521578"</f>
        <v>9521578</v>
      </c>
      <c r="K8884">
        <v>2299308112</v>
      </c>
      <c r="M8884" t="s">
        <v>8875</v>
      </c>
      <c r="N8884" t="s">
        <v>4493</v>
      </c>
      <c r="O8884" t="s">
        <v>8876</v>
      </c>
      <c r="P8884">
        <v>19003</v>
      </c>
      <c r="Q8884" t="str">
        <f>"37.888387"</f>
        <v>37.888387</v>
      </c>
      <c r="R8884" t="str">
        <f>"23.936415"</f>
        <v>23.936415</v>
      </c>
      <c r="S8884" t="s">
        <v>26</v>
      </c>
    </row>
    <row r="8885" spans="1:19" x14ac:dyDescent="0.3">
      <c r="A8885" t="s">
        <v>3237</v>
      </c>
      <c r="B8885" t="s">
        <v>7919</v>
      </c>
      <c r="C8885" t="s">
        <v>8877</v>
      </c>
      <c r="D8885" t="s">
        <v>3262</v>
      </c>
      <c r="E8885" t="s">
        <v>3263</v>
      </c>
      <c r="F8885" t="s">
        <v>3263</v>
      </c>
      <c r="G8885" t="s">
        <v>3263</v>
      </c>
      <c r="H8885" t="s">
        <v>859</v>
      </c>
      <c r="I8885" t="s">
        <v>860</v>
      </c>
      <c r="J8885" t="str">
        <f>"9521577"</f>
        <v>9521577</v>
      </c>
      <c r="K8885">
        <v>2106625617</v>
      </c>
      <c r="M8885" t="s">
        <v>8878</v>
      </c>
      <c r="N8885" t="s">
        <v>4003</v>
      </c>
      <c r="O8885" t="s">
        <v>8879</v>
      </c>
      <c r="P8885">
        <v>19400</v>
      </c>
      <c r="Q8885" t="str">
        <f>"37.910135"</f>
        <v>37.910135</v>
      </c>
      <c r="R8885" t="str">
        <f>"23.868820"</f>
        <v>23.868820</v>
      </c>
      <c r="S8885" t="s">
        <v>26</v>
      </c>
    </row>
    <row r="8886" spans="1:19" x14ac:dyDescent="0.3">
      <c r="A8886" t="s">
        <v>3237</v>
      </c>
      <c r="B8886" t="s">
        <v>7919</v>
      </c>
      <c r="C8886" t="s">
        <v>8880</v>
      </c>
      <c r="D8886" t="s">
        <v>3262</v>
      </c>
      <c r="E8886" t="s">
        <v>3997</v>
      </c>
      <c r="F8886" t="s">
        <v>4239</v>
      </c>
      <c r="G8886" t="s">
        <v>4239</v>
      </c>
      <c r="H8886" t="s">
        <v>859</v>
      </c>
      <c r="I8886" t="s">
        <v>860</v>
      </c>
      <c r="J8886" t="str">
        <f>"9521573"</f>
        <v>9521573</v>
      </c>
      <c r="K8886">
        <v>2291036925</v>
      </c>
      <c r="L8886">
        <v>2291036925</v>
      </c>
      <c r="M8886" t="s">
        <v>8881</v>
      </c>
      <c r="N8886" t="s">
        <v>4239</v>
      </c>
      <c r="O8886" t="s">
        <v>8882</v>
      </c>
      <c r="P8886">
        <v>19013</v>
      </c>
      <c r="Q8886" t="str">
        <f>"37.734378"</f>
        <v>37.734378</v>
      </c>
      <c r="R8886" t="str">
        <f>"23.922302"</f>
        <v>23.922302</v>
      </c>
      <c r="S8886" t="s">
        <v>26</v>
      </c>
    </row>
    <row r="8887" spans="1:19" x14ac:dyDescent="0.3">
      <c r="A8887" t="s">
        <v>3237</v>
      </c>
      <c r="B8887" t="s">
        <v>7919</v>
      </c>
      <c r="C8887" t="s">
        <v>8883</v>
      </c>
      <c r="D8887" t="s">
        <v>3262</v>
      </c>
      <c r="E8887" t="s">
        <v>4024</v>
      </c>
      <c r="F8887" t="s">
        <v>2199</v>
      </c>
      <c r="G8887" t="s">
        <v>2199</v>
      </c>
      <c r="H8887" t="s">
        <v>859</v>
      </c>
      <c r="I8887" t="s">
        <v>860</v>
      </c>
      <c r="J8887" t="str">
        <f>"9521580"</f>
        <v>9521580</v>
      </c>
      <c r="K8887">
        <v>2106654796</v>
      </c>
      <c r="M8887" t="s">
        <v>8884</v>
      </c>
      <c r="N8887" t="s">
        <v>4172</v>
      </c>
      <c r="O8887" t="s">
        <v>8885</v>
      </c>
      <c r="P8887">
        <v>15344</v>
      </c>
      <c r="Q8887" t="str">
        <f>"38.016556"</f>
        <v>38.016556</v>
      </c>
      <c r="R8887" t="str">
        <f>"23.850117"</f>
        <v>23.850117</v>
      </c>
      <c r="S8887" t="s">
        <v>26</v>
      </c>
    </row>
    <row r="8888" spans="1:19" x14ac:dyDescent="0.3">
      <c r="A8888" t="s">
        <v>3237</v>
      </c>
      <c r="B8888" t="s">
        <v>7919</v>
      </c>
      <c r="C8888" t="s">
        <v>8886</v>
      </c>
      <c r="D8888" t="s">
        <v>3262</v>
      </c>
      <c r="E8888" t="s">
        <v>4043</v>
      </c>
      <c r="F8888" t="s">
        <v>4044</v>
      </c>
      <c r="G8888" t="s">
        <v>4044</v>
      </c>
      <c r="H8888" t="s">
        <v>859</v>
      </c>
      <c r="I8888" t="s">
        <v>860</v>
      </c>
      <c r="J8888" t="str">
        <f>"9521582"</f>
        <v>9521582</v>
      </c>
      <c r="K8888">
        <v>2108161683</v>
      </c>
      <c r="L8888">
        <v>2108161684</v>
      </c>
      <c r="M8888" t="s">
        <v>8887</v>
      </c>
      <c r="N8888" t="s">
        <v>4044</v>
      </c>
      <c r="O8888" t="s">
        <v>8888</v>
      </c>
      <c r="P8888">
        <v>14568</v>
      </c>
      <c r="Q8888" t="str">
        <f>"38.140182"</f>
        <v>38.140182</v>
      </c>
      <c r="R8888" t="str">
        <f>"23.829869"</f>
        <v>23.829869</v>
      </c>
      <c r="S8888" t="s">
        <v>26</v>
      </c>
    </row>
    <row r="8889" spans="1:19" x14ac:dyDescent="0.3">
      <c r="A8889" t="s">
        <v>3237</v>
      </c>
      <c r="B8889" t="s">
        <v>7919</v>
      </c>
      <c r="C8889" t="s">
        <v>8889</v>
      </c>
      <c r="D8889" t="s">
        <v>3262</v>
      </c>
      <c r="E8889" t="s">
        <v>4043</v>
      </c>
      <c r="F8889" t="s">
        <v>4043</v>
      </c>
      <c r="G8889" t="s">
        <v>4043</v>
      </c>
      <c r="H8889" t="s">
        <v>859</v>
      </c>
      <c r="I8889" t="s">
        <v>860</v>
      </c>
      <c r="J8889" t="str">
        <f>"9521583"</f>
        <v>9521583</v>
      </c>
      <c r="N8889" t="s">
        <v>4043</v>
      </c>
      <c r="O8889">
        <v>0</v>
      </c>
      <c r="P8889">
        <v>0</v>
      </c>
      <c r="Q8889" t="str">
        <f>""</f>
        <v/>
      </c>
      <c r="R8889" t="str">
        <f>""</f>
        <v/>
      </c>
      <c r="S8889" t="s">
        <v>26</v>
      </c>
    </row>
    <row r="8890" spans="1:19" x14ac:dyDescent="0.3">
      <c r="A8890" t="s">
        <v>3237</v>
      </c>
      <c r="B8890" t="s">
        <v>7919</v>
      </c>
      <c r="C8890" t="s">
        <v>8890</v>
      </c>
      <c r="D8890" t="s">
        <v>3262</v>
      </c>
      <c r="E8890" t="s">
        <v>4043</v>
      </c>
      <c r="F8890" t="s">
        <v>4073</v>
      </c>
      <c r="G8890" t="s">
        <v>4073</v>
      </c>
      <c r="H8890" t="s">
        <v>859</v>
      </c>
      <c r="I8890" t="s">
        <v>860</v>
      </c>
      <c r="J8890" t="str">
        <f>"9521581"</f>
        <v>9521581</v>
      </c>
      <c r="K8890">
        <v>2108004341</v>
      </c>
      <c r="M8890" t="s">
        <v>8891</v>
      </c>
      <c r="N8890" t="s">
        <v>4073</v>
      </c>
      <c r="O8890" t="s">
        <v>8710</v>
      </c>
      <c r="P8890">
        <v>14565</v>
      </c>
      <c r="Q8890" t="str">
        <f>"38.141380"</f>
        <v>38.141380</v>
      </c>
      <c r="R8890" t="str">
        <f>"23.859269"</f>
        <v>23.859269</v>
      </c>
      <c r="S8890" t="s">
        <v>26</v>
      </c>
    </row>
    <row r="8891" spans="1:19" x14ac:dyDescent="0.3">
      <c r="A8891" t="s">
        <v>3237</v>
      </c>
      <c r="B8891" t="s">
        <v>7919</v>
      </c>
      <c r="C8891" t="s">
        <v>8892</v>
      </c>
      <c r="D8891" t="s">
        <v>3262</v>
      </c>
      <c r="E8891" t="s">
        <v>4024</v>
      </c>
      <c r="F8891" t="s">
        <v>2199</v>
      </c>
      <c r="G8891" t="s">
        <v>2199</v>
      </c>
      <c r="H8891" t="s">
        <v>859</v>
      </c>
      <c r="I8891" t="s">
        <v>860</v>
      </c>
      <c r="J8891" t="str">
        <f>"9521505"</f>
        <v>9521505</v>
      </c>
      <c r="K8891">
        <v>2106139002</v>
      </c>
      <c r="L8891">
        <v>2106139002</v>
      </c>
      <c r="M8891" t="s">
        <v>8893</v>
      </c>
      <c r="N8891" t="s">
        <v>2199</v>
      </c>
      <c r="O8891" t="s">
        <v>8894</v>
      </c>
      <c r="P8891">
        <v>15344</v>
      </c>
      <c r="Q8891" t="str">
        <f>"38.032793"</f>
        <v>38.032793</v>
      </c>
      <c r="R8891" t="str">
        <f>"23.853364"</f>
        <v>23.853364</v>
      </c>
      <c r="S8891" t="s">
        <v>26</v>
      </c>
    </row>
    <row r="8892" spans="1:19" x14ac:dyDescent="0.3">
      <c r="A8892" t="s">
        <v>3237</v>
      </c>
      <c r="B8892" t="s">
        <v>7919</v>
      </c>
      <c r="C8892" t="s">
        <v>8895</v>
      </c>
      <c r="D8892" t="s">
        <v>3262</v>
      </c>
      <c r="E8892" t="s">
        <v>4075</v>
      </c>
      <c r="F8892" t="s">
        <v>4076</v>
      </c>
      <c r="G8892" t="s">
        <v>4076</v>
      </c>
      <c r="H8892" t="s">
        <v>859</v>
      </c>
      <c r="I8892" t="s">
        <v>860</v>
      </c>
      <c r="J8892" t="str">
        <f>"9521506"</f>
        <v>9521506</v>
      </c>
      <c r="Q8892" t="str">
        <f>""</f>
        <v/>
      </c>
      <c r="R8892" t="str">
        <f>""</f>
        <v/>
      </c>
      <c r="S8892" t="s">
        <v>26</v>
      </c>
    </row>
    <row r="8893" spans="1:19" x14ac:dyDescent="0.3">
      <c r="A8893" t="s">
        <v>3237</v>
      </c>
      <c r="B8893" t="s">
        <v>7919</v>
      </c>
      <c r="C8893" t="s">
        <v>8896</v>
      </c>
      <c r="D8893" t="s">
        <v>3262</v>
      </c>
      <c r="E8893" t="s">
        <v>4118</v>
      </c>
      <c r="F8893" t="s">
        <v>4119</v>
      </c>
      <c r="G8893" t="s">
        <v>4119</v>
      </c>
      <c r="H8893" t="s">
        <v>859</v>
      </c>
      <c r="I8893" t="s">
        <v>860</v>
      </c>
      <c r="J8893" t="str">
        <f>"9521507"</f>
        <v>9521507</v>
      </c>
      <c r="K8893">
        <v>2106630243</v>
      </c>
      <c r="L8893">
        <v>2106630243</v>
      </c>
      <c r="M8893" t="s">
        <v>8897</v>
      </c>
      <c r="N8893" t="s">
        <v>8005</v>
      </c>
      <c r="O8893" t="s">
        <v>8898</v>
      </c>
      <c r="P8893">
        <v>19004</v>
      </c>
      <c r="Q8893" t="str">
        <f>"37.965649"</f>
        <v>37.965649</v>
      </c>
      <c r="R8893" t="str">
        <f>"23.907466"</f>
        <v>23.907466</v>
      </c>
      <c r="S8893" t="s">
        <v>26</v>
      </c>
    </row>
    <row r="8894" spans="1:19" x14ac:dyDescent="0.3">
      <c r="A8894" t="s">
        <v>3237</v>
      </c>
      <c r="B8894" t="s">
        <v>7919</v>
      </c>
      <c r="C8894" t="s">
        <v>8914</v>
      </c>
      <c r="D8894" t="s">
        <v>3262</v>
      </c>
      <c r="E8894" t="s">
        <v>4024</v>
      </c>
      <c r="F8894" t="s">
        <v>2199</v>
      </c>
      <c r="G8894" t="s">
        <v>2199</v>
      </c>
      <c r="H8894" t="s">
        <v>859</v>
      </c>
      <c r="I8894" t="s">
        <v>860</v>
      </c>
      <c r="J8894" t="str">
        <f>"9521725"</f>
        <v>9521725</v>
      </c>
      <c r="K8894">
        <v>2106614662</v>
      </c>
      <c r="M8894" t="s">
        <v>8915</v>
      </c>
      <c r="N8894" t="s">
        <v>4172</v>
      </c>
      <c r="O8894" t="s">
        <v>8916</v>
      </c>
      <c r="P8894">
        <v>15344</v>
      </c>
      <c r="Q8894" t="str">
        <f>"38.012548"</f>
        <v>38.012548</v>
      </c>
      <c r="R8894" t="str">
        <f>"23.852229"</f>
        <v>23.852229</v>
      </c>
      <c r="S8894" t="s">
        <v>26</v>
      </c>
    </row>
    <row r="8895" spans="1:19" x14ac:dyDescent="0.3">
      <c r="A8895" t="s">
        <v>3237</v>
      </c>
      <c r="B8895" t="s">
        <v>7919</v>
      </c>
      <c r="C8895" t="s">
        <v>8917</v>
      </c>
      <c r="D8895" t="s">
        <v>3262</v>
      </c>
      <c r="E8895" t="s">
        <v>4118</v>
      </c>
      <c r="F8895" t="s">
        <v>4248</v>
      </c>
      <c r="G8895" t="s">
        <v>4249</v>
      </c>
      <c r="H8895" t="s">
        <v>859</v>
      </c>
      <c r="I8895" t="s">
        <v>860</v>
      </c>
      <c r="J8895" t="str">
        <f>"9521019"</f>
        <v>9521019</v>
      </c>
      <c r="K8895">
        <v>2294040134</v>
      </c>
      <c r="M8895" t="s">
        <v>8918</v>
      </c>
      <c r="N8895" t="s">
        <v>8906</v>
      </c>
      <c r="O8895" t="s">
        <v>8919</v>
      </c>
      <c r="P8895">
        <v>19016</v>
      </c>
      <c r="Q8895" t="str">
        <f>"37.986299"</f>
        <v>37.986299</v>
      </c>
      <c r="R8895" t="str">
        <f>"24.010773"</f>
        <v>24.010773</v>
      </c>
      <c r="S8895" t="s">
        <v>26</v>
      </c>
    </row>
    <row r="8896" spans="1:19" x14ac:dyDescent="0.3">
      <c r="A8896" t="s">
        <v>3237</v>
      </c>
      <c r="B8896" t="s">
        <v>7919</v>
      </c>
      <c r="C8896" t="s">
        <v>8920</v>
      </c>
      <c r="D8896" t="s">
        <v>3262</v>
      </c>
      <c r="E8896" t="s">
        <v>4024</v>
      </c>
      <c r="F8896" t="s">
        <v>2199</v>
      </c>
      <c r="G8896" t="s">
        <v>2199</v>
      </c>
      <c r="H8896" t="s">
        <v>859</v>
      </c>
      <c r="I8896" t="s">
        <v>860</v>
      </c>
      <c r="J8896" t="str">
        <f>"9521081"</f>
        <v>9521081</v>
      </c>
      <c r="Q8896" t="str">
        <f>""</f>
        <v/>
      </c>
      <c r="R8896" t="str">
        <f>""</f>
        <v/>
      </c>
      <c r="S8896" t="s">
        <v>26</v>
      </c>
    </row>
    <row r="8897" spans="1:19" x14ac:dyDescent="0.3">
      <c r="A8897" t="s">
        <v>3237</v>
      </c>
      <c r="B8897" t="s">
        <v>7919</v>
      </c>
      <c r="C8897" t="s">
        <v>8921</v>
      </c>
      <c r="D8897" t="s">
        <v>3262</v>
      </c>
      <c r="E8897" t="s">
        <v>3263</v>
      </c>
      <c r="F8897" t="s">
        <v>3263</v>
      </c>
      <c r="G8897" t="s">
        <v>3263</v>
      </c>
      <c r="H8897" t="s">
        <v>859</v>
      </c>
      <c r="I8897" t="s">
        <v>860</v>
      </c>
      <c r="J8897" t="str">
        <f>"9521255"</f>
        <v>9521255</v>
      </c>
      <c r="K8897">
        <v>2106026431</v>
      </c>
      <c r="M8897" t="s">
        <v>8922</v>
      </c>
      <c r="N8897" t="s">
        <v>3266</v>
      </c>
      <c r="O8897" t="s">
        <v>8923</v>
      </c>
      <c r="P8897">
        <v>19441</v>
      </c>
      <c r="Q8897" t="str">
        <f>"37.901985"</f>
        <v>37.901985</v>
      </c>
      <c r="R8897" t="str">
        <f>"23.867118"</f>
        <v>23.867118</v>
      </c>
      <c r="S8897" t="s">
        <v>26</v>
      </c>
    </row>
    <row r="8898" spans="1:19" x14ac:dyDescent="0.3">
      <c r="A8898" t="s">
        <v>3237</v>
      </c>
      <c r="B8898" t="s">
        <v>7919</v>
      </c>
      <c r="C8898" t="s">
        <v>8924</v>
      </c>
      <c r="D8898" t="s">
        <v>3262</v>
      </c>
      <c r="E8898" t="s">
        <v>4019</v>
      </c>
      <c r="F8898" t="s">
        <v>4054</v>
      </c>
      <c r="G8898" t="s">
        <v>4054</v>
      </c>
      <c r="H8898" t="s">
        <v>859</v>
      </c>
      <c r="I8898" t="s">
        <v>1102</v>
      </c>
      <c r="J8898" t="str">
        <f>"9521463"</f>
        <v>9521463</v>
      </c>
      <c r="K8898">
        <v>2294098534</v>
      </c>
      <c r="L8898">
        <v>2294098</v>
      </c>
      <c r="M8898" t="s">
        <v>8925</v>
      </c>
      <c r="N8898" t="s">
        <v>8926</v>
      </c>
      <c r="O8898" t="s">
        <v>8927</v>
      </c>
      <c r="P8898">
        <v>19005</v>
      </c>
      <c r="Q8898" t="str">
        <f>"38.073428"</f>
        <v>38.073428</v>
      </c>
      <c r="R8898" t="str">
        <f>"23.981759"</f>
        <v>23.981759</v>
      </c>
      <c r="S8898" t="s">
        <v>26</v>
      </c>
    </row>
    <row r="8899" spans="1:19" x14ac:dyDescent="0.3">
      <c r="A8899" t="s">
        <v>3237</v>
      </c>
      <c r="B8899" t="s">
        <v>7919</v>
      </c>
      <c r="C8899" t="s">
        <v>8929</v>
      </c>
      <c r="D8899" t="s">
        <v>3262</v>
      </c>
      <c r="E8899" t="s">
        <v>4067</v>
      </c>
      <c r="F8899" t="s">
        <v>4262</v>
      </c>
      <c r="G8899" t="s">
        <v>4067</v>
      </c>
      <c r="H8899" t="s">
        <v>859</v>
      </c>
      <c r="I8899" t="s">
        <v>1102</v>
      </c>
      <c r="J8899" t="str">
        <f>"9521465"</f>
        <v>9521465</v>
      </c>
      <c r="Q8899" t="str">
        <f>""</f>
        <v/>
      </c>
      <c r="R8899" t="str">
        <f>""</f>
        <v/>
      </c>
      <c r="S8899" t="s">
        <v>26</v>
      </c>
    </row>
    <row r="8900" spans="1:19" x14ac:dyDescent="0.3">
      <c r="A8900" t="s">
        <v>3237</v>
      </c>
      <c r="B8900" t="s">
        <v>7919</v>
      </c>
      <c r="C8900" t="s">
        <v>8930</v>
      </c>
      <c r="D8900" t="s">
        <v>3262</v>
      </c>
      <c r="E8900" t="s">
        <v>4011</v>
      </c>
      <c r="F8900" t="s">
        <v>4160</v>
      </c>
      <c r="G8900" t="s">
        <v>4160</v>
      </c>
      <c r="H8900" t="s">
        <v>859</v>
      </c>
      <c r="I8900" t="s">
        <v>860</v>
      </c>
      <c r="J8900" t="str">
        <f>"9521625"</f>
        <v>9521625</v>
      </c>
      <c r="Q8900" t="str">
        <f>""</f>
        <v/>
      </c>
      <c r="R8900" t="str">
        <f>""</f>
        <v/>
      </c>
      <c r="S8900" t="s">
        <v>26</v>
      </c>
    </row>
    <row r="8901" spans="1:19" x14ac:dyDescent="0.3">
      <c r="A8901" t="s">
        <v>3237</v>
      </c>
      <c r="B8901" t="s">
        <v>7919</v>
      </c>
      <c r="C8901" t="s">
        <v>8931</v>
      </c>
      <c r="D8901" t="s">
        <v>3262</v>
      </c>
      <c r="E8901" t="s">
        <v>3298</v>
      </c>
      <c r="F8901" t="s">
        <v>3298</v>
      </c>
      <c r="G8901" t="s">
        <v>3298</v>
      </c>
      <c r="H8901" t="s">
        <v>859</v>
      </c>
      <c r="I8901" t="s">
        <v>860</v>
      </c>
      <c r="J8901" t="str">
        <f>"9521735"</f>
        <v>9521735</v>
      </c>
      <c r="Q8901" t="str">
        <f>""</f>
        <v/>
      </c>
      <c r="R8901" t="str">
        <f>""</f>
        <v/>
      </c>
      <c r="S8901" t="s">
        <v>26</v>
      </c>
    </row>
    <row r="8902" spans="1:19" x14ac:dyDescent="0.3">
      <c r="A8902" t="s">
        <v>3237</v>
      </c>
      <c r="B8902" t="s">
        <v>7919</v>
      </c>
      <c r="C8902" t="s">
        <v>8932</v>
      </c>
      <c r="D8902" t="s">
        <v>3262</v>
      </c>
      <c r="E8902" t="s">
        <v>3298</v>
      </c>
      <c r="F8902" t="s">
        <v>3298</v>
      </c>
      <c r="G8902" t="s">
        <v>3298</v>
      </c>
      <c r="H8902" t="s">
        <v>859</v>
      </c>
      <c r="I8902" t="s">
        <v>860</v>
      </c>
      <c r="J8902" t="str">
        <f>"9521737"</f>
        <v>9521737</v>
      </c>
      <c r="Q8902" t="str">
        <f>""</f>
        <v/>
      </c>
      <c r="R8902" t="str">
        <f>""</f>
        <v/>
      </c>
      <c r="S8902" t="s">
        <v>26</v>
      </c>
    </row>
    <row r="8903" spans="1:19" x14ac:dyDescent="0.3">
      <c r="A8903" t="s">
        <v>3237</v>
      </c>
      <c r="B8903" t="s">
        <v>7919</v>
      </c>
      <c r="C8903" t="s">
        <v>8933</v>
      </c>
      <c r="D8903" t="s">
        <v>3262</v>
      </c>
      <c r="E8903" t="s">
        <v>4019</v>
      </c>
      <c r="F8903" t="s">
        <v>4054</v>
      </c>
      <c r="G8903" t="s">
        <v>4054</v>
      </c>
      <c r="H8903" t="s">
        <v>859</v>
      </c>
      <c r="I8903" t="s">
        <v>860</v>
      </c>
      <c r="J8903" t="str">
        <f>"9521739"</f>
        <v>9521739</v>
      </c>
      <c r="Q8903" t="str">
        <f>""</f>
        <v/>
      </c>
      <c r="R8903" t="str">
        <f>""</f>
        <v/>
      </c>
      <c r="S8903" t="s">
        <v>26</v>
      </c>
    </row>
    <row r="8904" spans="1:19" x14ac:dyDescent="0.3">
      <c r="A8904" t="s">
        <v>3237</v>
      </c>
      <c r="B8904" t="s">
        <v>7919</v>
      </c>
      <c r="C8904" t="s">
        <v>8934</v>
      </c>
      <c r="D8904" t="s">
        <v>3262</v>
      </c>
      <c r="E8904" t="s">
        <v>4024</v>
      </c>
      <c r="F8904" t="s">
        <v>2199</v>
      </c>
      <c r="G8904" t="s">
        <v>2199</v>
      </c>
      <c r="H8904" t="s">
        <v>859</v>
      </c>
      <c r="I8904" t="s">
        <v>860</v>
      </c>
      <c r="J8904" t="str">
        <f>"9521741"</f>
        <v>9521741</v>
      </c>
      <c r="Q8904" t="str">
        <f>""</f>
        <v/>
      </c>
      <c r="R8904" t="str">
        <f>""</f>
        <v/>
      </c>
      <c r="S8904" t="s">
        <v>26</v>
      </c>
    </row>
    <row r="8905" spans="1:19" x14ac:dyDescent="0.3">
      <c r="A8905" t="s">
        <v>3237</v>
      </c>
      <c r="B8905" t="s">
        <v>8935</v>
      </c>
      <c r="C8905" t="s">
        <v>8936</v>
      </c>
      <c r="D8905" t="s">
        <v>3245</v>
      </c>
      <c r="E8905" t="s">
        <v>4618</v>
      </c>
      <c r="F8905" t="s">
        <v>4618</v>
      </c>
      <c r="G8905" t="s">
        <v>4618</v>
      </c>
      <c r="H8905" t="s">
        <v>859</v>
      </c>
      <c r="I8905" t="s">
        <v>1102</v>
      </c>
      <c r="J8905" t="str">
        <f>"9051935"</f>
        <v>9051935</v>
      </c>
      <c r="K8905">
        <v>2102711062</v>
      </c>
      <c r="L8905">
        <v>2102711062</v>
      </c>
      <c r="M8905" t="s">
        <v>8937</v>
      </c>
      <c r="N8905" t="s">
        <v>8938</v>
      </c>
      <c r="O8905" t="s">
        <v>8939</v>
      </c>
      <c r="P8905">
        <v>14121</v>
      </c>
      <c r="Q8905" t="str">
        <f>"38.043247"</f>
        <v>38.043247</v>
      </c>
      <c r="R8905" t="str">
        <f>"23.776006"</f>
        <v>23.776006</v>
      </c>
      <c r="S8905" t="s">
        <v>26</v>
      </c>
    </row>
    <row r="8906" spans="1:19" x14ac:dyDescent="0.3">
      <c r="A8906" t="s">
        <v>3237</v>
      </c>
      <c r="B8906" t="s">
        <v>8935</v>
      </c>
      <c r="C8906" t="s">
        <v>8940</v>
      </c>
      <c r="D8906" t="s">
        <v>3245</v>
      </c>
      <c r="E8906" t="s">
        <v>4682</v>
      </c>
      <c r="F8906" t="s">
        <v>4682</v>
      </c>
      <c r="G8906" t="s">
        <v>4682</v>
      </c>
      <c r="H8906" t="s">
        <v>859</v>
      </c>
      <c r="I8906" t="s">
        <v>860</v>
      </c>
      <c r="J8906" t="str">
        <f>"9050877"</f>
        <v>9050877</v>
      </c>
      <c r="K8906">
        <v>2106827574</v>
      </c>
      <c r="L8906">
        <v>2106827574</v>
      </c>
      <c r="M8906" t="s">
        <v>8941</v>
      </c>
      <c r="N8906" t="s">
        <v>4685</v>
      </c>
      <c r="O8906" t="s">
        <v>8942</v>
      </c>
      <c r="P8906">
        <v>15235</v>
      </c>
      <c r="Q8906" t="str">
        <f>"38.034772"</f>
        <v>38.034772</v>
      </c>
      <c r="R8906" t="str">
        <f>"23.824644"</f>
        <v>23.824644</v>
      </c>
      <c r="S8906" t="s">
        <v>26</v>
      </c>
    </row>
    <row r="8907" spans="1:19" x14ac:dyDescent="0.3">
      <c r="A8907" t="s">
        <v>3237</v>
      </c>
      <c r="B8907" t="s">
        <v>8935</v>
      </c>
      <c r="C8907" t="s">
        <v>8943</v>
      </c>
      <c r="D8907" t="s">
        <v>3245</v>
      </c>
      <c r="E8907" t="s">
        <v>4670</v>
      </c>
      <c r="F8907" t="s">
        <v>3344</v>
      </c>
      <c r="G8907" t="s">
        <v>3344</v>
      </c>
      <c r="H8907" t="s">
        <v>859</v>
      </c>
      <c r="I8907" t="s">
        <v>860</v>
      </c>
      <c r="J8907" t="str">
        <f>"9050699"</f>
        <v>9050699</v>
      </c>
      <c r="K8907">
        <v>2106710552</v>
      </c>
      <c r="L8907">
        <v>2106710552</v>
      </c>
      <c r="M8907" t="s">
        <v>8944</v>
      </c>
      <c r="N8907" t="s">
        <v>8945</v>
      </c>
      <c r="O8907" t="s">
        <v>8946</v>
      </c>
      <c r="P8907">
        <v>15452</v>
      </c>
      <c r="Q8907" t="str">
        <f>"38.004516"</f>
        <v>38.004516</v>
      </c>
      <c r="R8907" t="str">
        <f>"23.772876"</f>
        <v>23.772876</v>
      </c>
      <c r="S8907" t="s">
        <v>26</v>
      </c>
    </row>
    <row r="8908" spans="1:19" x14ac:dyDescent="0.3">
      <c r="A8908" t="s">
        <v>3237</v>
      </c>
      <c r="B8908" t="s">
        <v>8935</v>
      </c>
      <c r="C8908" t="s">
        <v>8947</v>
      </c>
      <c r="D8908" t="s">
        <v>3245</v>
      </c>
      <c r="E8908" t="s">
        <v>4670</v>
      </c>
      <c r="F8908" t="s">
        <v>3721</v>
      </c>
      <c r="G8908" t="s">
        <v>3721</v>
      </c>
      <c r="H8908" t="s">
        <v>859</v>
      </c>
      <c r="I8908" t="s">
        <v>860</v>
      </c>
      <c r="J8908" t="str">
        <f>"9051208"</f>
        <v>9051208</v>
      </c>
      <c r="K8908">
        <v>2106742291</v>
      </c>
      <c r="L8908">
        <v>2106742292</v>
      </c>
      <c r="M8908" t="s">
        <v>8948</v>
      </c>
      <c r="N8908" t="s">
        <v>4936</v>
      </c>
      <c r="O8908" t="s">
        <v>8949</v>
      </c>
      <c r="P8908">
        <v>11525</v>
      </c>
      <c r="Q8908" t="str">
        <f>"37.998322"</f>
        <v>37.998322</v>
      </c>
      <c r="R8908" t="str">
        <f>"23.778690"</f>
        <v>23.778690</v>
      </c>
      <c r="S8908" t="s">
        <v>26</v>
      </c>
    </row>
    <row r="8909" spans="1:19" x14ac:dyDescent="0.3">
      <c r="A8909" t="s">
        <v>3237</v>
      </c>
      <c r="B8909" t="s">
        <v>8935</v>
      </c>
      <c r="C8909" t="s">
        <v>8950</v>
      </c>
      <c r="D8909" t="s">
        <v>3245</v>
      </c>
      <c r="E8909" t="s">
        <v>4649</v>
      </c>
      <c r="F8909" t="s">
        <v>4649</v>
      </c>
      <c r="G8909" t="s">
        <v>4649</v>
      </c>
      <c r="H8909" t="s">
        <v>859</v>
      </c>
      <c r="I8909" t="s">
        <v>860</v>
      </c>
      <c r="J8909" t="str">
        <f>"9051446"</f>
        <v>9051446</v>
      </c>
      <c r="K8909">
        <v>2106847943</v>
      </c>
      <c r="L8909">
        <v>2106847943</v>
      </c>
      <c r="M8909" t="s">
        <v>8951</v>
      </c>
      <c r="N8909" t="s">
        <v>4652</v>
      </c>
      <c r="O8909" t="s">
        <v>8952</v>
      </c>
      <c r="P8909">
        <v>15232</v>
      </c>
      <c r="Q8909" t="str">
        <f>"38.014665"</f>
        <v>38.014665</v>
      </c>
      <c r="R8909" t="str">
        <f>"23.798694"</f>
        <v>23.798694</v>
      </c>
      <c r="S8909" t="s">
        <v>26</v>
      </c>
    </row>
    <row r="8910" spans="1:19" x14ac:dyDescent="0.3">
      <c r="A8910" t="s">
        <v>3237</v>
      </c>
      <c r="B8910" t="s">
        <v>8935</v>
      </c>
      <c r="C8910" t="s">
        <v>8953</v>
      </c>
      <c r="D8910" t="s">
        <v>3245</v>
      </c>
      <c r="E8910" t="s">
        <v>4682</v>
      </c>
      <c r="F8910" t="s">
        <v>4682</v>
      </c>
      <c r="G8910" t="s">
        <v>4682</v>
      </c>
      <c r="H8910" t="s">
        <v>859</v>
      </c>
      <c r="I8910" t="s">
        <v>860</v>
      </c>
      <c r="J8910" t="str">
        <f>"9051901"</f>
        <v>9051901</v>
      </c>
      <c r="K8910">
        <v>2106008867</v>
      </c>
      <c r="L8910">
        <v>2106008867</v>
      </c>
      <c r="M8910" t="s">
        <v>8954</v>
      </c>
      <c r="N8910" t="s">
        <v>4685</v>
      </c>
      <c r="O8910" t="s">
        <v>8955</v>
      </c>
      <c r="P8910">
        <v>15235</v>
      </c>
      <c r="Q8910" t="str">
        <f>"38.028351"</f>
        <v>38.028351</v>
      </c>
      <c r="R8910" t="str">
        <f>"23.832812"</f>
        <v>23.832812</v>
      </c>
      <c r="S8910" t="s">
        <v>26</v>
      </c>
    </row>
    <row r="8911" spans="1:19" x14ac:dyDescent="0.3">
      <c r="A8911" t="s">
        <v>3237</v>
      </c>
      <c r="B8911" t="s">
        <v>8935</v>
      </c>
      <c r="C8911" t="s">
        <v>8956</v>
      </c>
      <c r="D8911" t="s">
        <v>3245</v>
      </c>
      <c r="E8911" t="s">
        <v>152</v>
      </c>
      <c r="F8911" t="s">
        <v>152</v>
      </c>
      <c r="G8911" t="s">
        <v>152</v>
      </c>
      <c r="H8911" t="s">
        <v>859</v>
      </c>
      <c r="I8911" t="s">
        <v>860</v>
      </c>
      <c r="J8911" t="str">
        <f>"9050990"</f>
        <v>9050990</v>
      </c>
      <c r="K8911">
        <v>2106000745</v>
      </c>
      <c r="L8911">
        <v>2106000745</v>
      </c>
      <c r="M8911" t="s">
        <v>8957</v>
      </c>
      <c r="N8911" t="s">
        <v>8958</v>
      </c>
      <c r="O8911" t="s">
        <v>8959</v>
      </c>
      <c r="P8911">
        <v>15343</v>
      </c>
      <c r="Q8911" t="str">
        <f>"38.014009"</f>
        <v>38.014009</v>
      </c>
      <c r="R8911" t="str">
        <f>"23.824264"</f>
        <v>23.824264</v>
      </c>
      <c r="S8911" t="s">
        <v>26</v>
      </c>
    </row>
    <row r="8912" spans="1:19" x14ac:dyDescent="0.3">
      <c r="A8912" t="s">
        <v>3237</v>
      </c>
      <c r="B8912" t="s">
        <v>8935</v>
      </c>
      <c r="C8912" t="s">
        <v>8960</v>
      </c>
      <c r="D8912" t="s">
        <v>3245</v>
      </c>
      <c r="E8912" t="s">
        <v>4649</v>
      </c>
      <c r="F8912" t="s">
        <v>4649</v>
      </c>
      <c r="G8912" t="s">
        <v>4649</v>
      </c>
      <c r="H8912" t="s">
        <v>859</v>
      </c>
      <c r="I8912" t="s">
        <v>860</v>
      </c>
      <c r="J8912" t="str">
        <f>"9051210"</f>
        <v>9051210</v>
      </c>
      <c r="K8912">
        <v>2106745503</v>
      </c>
      <c r="L8912">
        <v>2106773534</v>
      </c>
      <c r="M8912" t="s">
        <v>8961</v>
      </c>
      <c r="N8912" t="s">
        <v>4652</v>
      </c>
      <c r="O8912" t="s">
        <v>8962</v>
      </c>
      <c r="P8912">
        <v>15231</v>
      </c>
      <c r="Q8912" t="str">
        <f>"38.009478"</f>
        <v>38.009478</v>
      </c>
      <c r="R8912" t="str">
        <f>"23.797974"</f>
        <v>23.797974</v>
      </c>
      <c r="S8912" t="s">
        <v>26</v>
      </c>
    </row>
    <row r="8913" spans="1:19" x14ac:dyDescent="0.3">
      <c r="A8913" t="s">
        <v>3237</v>
      </c>
      <c r="B8913" t="s">
        <v>8935</v>
      </c>
      <c r="C8913" t="s">
        <v>8963</v>
      </c>
      <c r="D8913" t="s">
        <v>3245</v>
      </c>
      <c r="E8913" t="s">
        <v>4649</v>
      </c>
      <c r="F8913" t="s">
        <v>4649</v>
      </c>
      <c r="G8913" t="s">
        <v>4649</v>
      </c>
      <c r="H8913" t="s">
        <v>859</v>
      </c>
      <c r="I8913" t="s">
        <v>860</v>
      </c>
      <c r="J8913" t="str">
        <f>"9050991"</f>
        <v>9050991</v>
      </c>
      <c r="K8913">
        <v>2106773534</v>
      </c>
      <c r="L8913">
        <v>2106773534</v>
      </c>
      <c r="M8913" t="s">
        <v>8964</v>
      </c>
      <c r="N8913" t="s">
        <v>4649</v>
      </c>
      <c r="O8913" t="s">
        <v>8962</v>
      </c>
      <c r="P8913">
        <v>15231</v>
      </c>
      <c r="Q8913" t="str">
        <f>"38.009474"</f>
        <v>38.009474</v>
      </c>
      <c r="R8913" t="str">
        <f>"23.797985"</f>
        <v>23.797985</v>
      </c>
      <c r="S8913" t="s">
        <v>26</v>
      </c>
    </row>
    <row r="8914" spans="1:19" x14ac:dyDescent="0.3">
      <c r="A8914" t="s">
        <v>3237</v>
      </c>
      <c r="B8914" t="s">
        <v>8935</v>
      </c>
      <c r="C8914" t="s">
        <v>8967</v>
      </c>
      <c r="D8914" t="s">
        <v>3245</v>
      </c>
      <c r="E8914" t="s">
        <v>4591</v>
      </c>
      <c r="F8914" t="s">
        <v>4591</v>
      </c>
      <c r="G8914" t="s">
        <v>4591</v>
      </c>
      <c r="H8914" t="s">
        <v>859</v>
      </c>
      <c r="I8914" t="s">
        <v>860</v>
      </c>
      <c r="J8914" t="str">
        <f>"9050029"</f>
        <v>9050029</v>
      </c>
      <c r="K8914">
        <v>2106824507</v>
      </c>
      <c r="L8914">
        <v>2106824551</v>
      </c>
      <c r="M8914" t="s">
        <v>8968</v>
      </c>
      <c r="N8914" t="s">
        <v>4600</v>
      </c>
      <c r="O8914" t="s">
        <v>8969</v>
      </c>
      <c r="P8914">
        <v>15123</v>
      </c>
      <c r="Q8914" t="str">
        <f>"38.030936"</f>
        <v>38.030936</v>
      </c>
      <c r="R8914" t="str">
        <f>"23.784872"</f>
        <v>23.784872</v>
      </c>
      <c r="S8914" t="s">
        <v>26</v>
      </c>
    </row>
    <row r="8915" spans="1:19" x14ac:dyDescent="0.3">
      <c r="A8915" t="s">
        <v>3237</v>
      </c>
      <c r="B8915" t="s">
        <v>8935</v>
      </c>
      <c r="C8915" t="s">
        <v>8977</v>
      </c>
      <c r="D8915" t="s">
        <v>3245</v>
      </c>
      <c r="E8915" t="s">
        <v>4591</v>
      </c>
      <c r="F8915" t="s">
        <v>4591</v>
      </c>
      <c r="G8915" t="s">
        <v>4591</v>
      </c>
      <c r="H8915" t="s">
        <v>859</v>
      </c>
      <c r="I8915" t="s">
        <v>860</v>
      </c>
      <c r="J8915" t="str">
        <f>"9051211"</f>
        <v>9051211</v>
      </c>
      <c r="K8915">
        <v>2108103469</v>
      </c>
      <c r="L8915">
        <v>2108103469</v>
      </c>
      <c r="M8915" t="s">
        <v>8978</v>
      </c>
      <c r="N8915" t="s">
        <v>4733</v>
      </c>
      <c r="O8915" t="s">
        <v>8979</v>
      </c>
      <c r="P8915">
        <v>15126</v>
      </c>
      <c r="Q8915" t="str">
        <f>"38.058689"</f>
        <v>38.058689</v>
      </c>
      <c r="R8915" t="str">
        <f>"23.830949"</f>
        <v>23.830949</v>
      </c>
      <c r="S8915" t="s">
        <v>26</v>
      </c>
    </row>
    <row r="8916" spans="1:19" x14ac:dyDescent="0.3">
      <c r="A8916" t="s">
        <v>3237</v>
      </c>
      <c r="B8916" t="s">
        <v>8935</v>
      </c>
      <c r="C8916" t="s">
        <v>8980</v>
      </c>
      <c r="D8916" t="s">
        <v>3245</v>
      </c>
      <c r="E8916" t="s">
        <v>4591</v>
      </c>
      <c r="F8916" t="s">
        <v>4591</v>
      </c>
      <c r="G8916" t="s">
        <v>4591</v>
      </c>
      <c r="H8916" t="s">
        <v>859</v>
      </c>
      <c r="I8916" t="s">
        <v>860</v>
      </c>
      <c r="J8916" t="str">
        <f>"9051738"</f>
        <v>9051738</v>
      </c>
      <c r="K8916">
        <v>2106830114</v>
      </c>
      <c r="L8916">
        <v>2106830114</v>
      </c>
      <c r="M8916" t="s">
        <v>8981</v>
      </c>
      <c r="N8916" t="s">
        <v>4600</v>
      </c>
      <c r="O8916" t="s">
        <v>8982</v>
      </c>
      <c r="P8916">
        <v>15125</v>
      </c>
      <c r="Q8916" t="str">
        <f>"38.034273"</f>
        <v>38.034273</v>
      </c>
      <c r="R8916" t="str">
        <f>"23.801286"</f>
        <v>23.801286</v>
      </c>
      <c r="S8916" t="s">
        <v>26</v>
      </c>
    </row>
    <row r="8917" spans="1:19" x14ac:dyDescent="0.3">
      <c r="A8917" t="s">
        <v>3237</v>
      </c>
      <c r="B8917" t="s">
        <v>8935</v>
      </c>
      <c r="C8917" t="s">
        <v>8983</v>
      </c>
      <c r="D8917" t="s">
        <v>3245</v>
      </c>
      <c r="E8917" t="s">
        <v>152</v>
      </c>
      <c r="F8917" t="s">
        <v>152</v>
      </c>
      <c r="G8917" t="s">
        <v>152</v>
      </c>
      <c r="H8917" t="s">
        <v>859</v>
      </c>
      <c r="I8917" t="s">
        <v>860</v>
      </c>
      <c r="J8917" t="str">
        <f>"9051539"</f>
        <v>9051539</v>
      </c>
      <c r="K8917">
        <v>2106006149</v>
      </c>
      <c r="L8917">
        <v>2106006149</v>
      </c>
      <c r="M8917" t="s">
        <v>8984</v>
      </c>
      <c r="N8917" t="s">
        <v>4693</v>
      </c>
      <c r="O8917" t="s">
        <v>8985</v>
      </c>
      <c r="P8917">
        <v>15342</v>
      </c>
      <c r="Q8917" t="str">
        <f>"38.012041"</f>
        <v>38.012041</v>
      </c>
      <c r="R8917" t="str">
        <f>"23.829126"</f>
        <v>23.829126</v>
      </c>
      <c r="S8917" t="s">
        <v>26</v>
      </c>
    </row>
    <row r="8918" spans="1:19" x14ac:dyDescent="0.3">
      <c r="A8918" t="s">
        <v>3237</v>
      </c>
      <c r="B8918" t="s">
        <v>8935</v>
      </c>
      <c r="C8918" t="s">
        <v>8987</v>
      </c>
      <c r="D8918" t="s">
        <v>3245</v>
      </c>
      <c r="E8918" t="s">
        <v>4048</v>
      </c>
      <c r="F8918" t="s">
        <v>8986</v>
      </c>
      <c r="G8918" t="s">
        <v>8986</v>
      </c>
      <c r="H8918" t="s">
        <v>859</v>
      </c>
      <c r="I8918" t="s">
        <v>860</v>
      </c>
      <c r="J8918" t="str">
        <f>"9051739"</f>
        <v>9051739</v>
      </c>
      <c r="K8918">
        <v>2106229608</v>
      </c>
      <c r="L8918">
        <v>2106229608</v>
      </c>
      <c r="M8918" t="s">
        <v>8988</v>
      </c>
      <c r="N8918" t="s">
        <v>4148</v>
      </c>
      <c r="O8918" t="s">
        <v>8989</v>
      </c>
      <c r="P8918">
        <v>14578</v>
      </c>
      <c r="Q8918" t="str">
        <f>"38.100610"</f>
        <v>38.100610</v>
      </c>
      <c r="R8918" t="str">
        <f>"23.832296"</f>
        <v>23.832296</v>
      </c>
      <c r="S8918" t="s">
        <v>26</v>
      </c>
    </row>
    <row r="8919" spans="1:19" x14ac:dyDescent="0.3">
      <c r="A8919" t="s">
        <v>3237</v>
      </c>
      <c r="B8919" t="s">
        <v>8935</v>
      </c>
      <c r="C8919" t="s">
        <v>9009</v>
      </c>
      <c r="D8919" t="s">
        <v>3245</v>
      </c>
      <c r="E8919" t="s">
        <v>4591</v>
      </c>
      <c r="F8919" t="s">
        <v>4591</v>
      </c>
      <c r="G8919" t="s">
        <v>4591</v>
      </c>
      <c r="H8919" t="s">
        <v>859</v>
      </c>
      <c r="I8919" t="s">
        <v>860</v>
      </c>
      <c r="J8919" t="str">
        <f>"9050993"</f>
        <v>9050993</v>
      </c>
      <c r="K8919">
        <v>2108052498</v>
      </c>
      <c r="L8919">
        <v>2108052498</v>
      </c>
      <c r="M8919" t="s">
        <v>9010</v>
      </c>
      <c r="N8919" t="s">
        <v>4733</v>
      </c>
      <c r="O8919" t="s">
        <v>9011</v>
      </c>
      <c r="P8919">
        <v>15126</v>
      </c>
      <c r="Q8919" t="str">
        <f>"38.055435"</f>
        <v>38.055435</v>
      </c>
      <c r="R8919" t="str">
        <f>"23.822363"</f>
        <v>23.822363</v>
      </c>
      <c r="S8919" t="s">
        <v>26</v>
      </c>
    </row>
    <row r="8920" spans="1:19" x14ac:dyDescent="0.3">
      <c r="A8920" t="s">
        <v>3237</v>
      </c>
      <c r="B8920" t="s">
        <v>8935</v>
      </c>
      <c r="C8920" t="s">
        <v>9014</v>
      </c>
      <c r="D8920" t="s">
        <v>3245</v>
      </c>
      <c r="E8920" t="s">
        <v>4591</v>
      </c>
      <c r="F8920" t="s">
        <v>4591</v>
      </c>
      <c r="G8920" t="s">
        <v>4591</v>
      </c>
      <c r="H8920" t="s">
        <v>859</v>
      </c>
      <c r="I8920" t="s">
        <v>860</v>
      </c>
      <c r="J8920" t="str">
        <f>"9050704"</f>
        <v>9050704</v>
      </c>
      <c r="K8920">
        <v>2108069596</v>
      </c>
      <c r="L8920">
        <v>2108069596</v>
      </c>
      <c r="M8920" t="s">
        <v>9015</v>
      </c>
      <c r="N8920" t="s">
        <v>4600</v>
      </c>
      <c r="O8920" t="s">
        <v>8976</v>
      </c>
      <c r="P8920">
        <v>15125</v>
      </c>
      <c r="Q8920" t="str">
        <f>"38.050734"</f>
        <v>38.050734</v>
      </c>
      <c r="R8920" t="str">
        <f>"23.813628"</f>
        <v>23.813628</v>
      </c>
      <c r="S8920" t="s">
        <v>26</v>
      </c>
    </row>
    <row r="8921" spans="1:19" x14ac:dyDescent="0.3">
      <c r="A8921" t="s">
        <v>3237</v>
      </c>
      <c r="B8921" t="s">
        <v>8935</v>
      </c>
      <c r="C8921" t="s">
        <v>9025</v>
      </c>
      <c r="D8921" t="s">
        <v>3245</v>
      </c>
      <c r="E8921" t="s">
        <v>152</v>
      </c>
      <c r="F8921" t="s">
        <v>152</v>
      </c>
      <c r="G8921" t="s">
        <v>152</v>
      </c>
      <c r="H8921" t="s">
        <v>859</v>
      </c>
      <c r="I8921" t="s">
        <v>860</v>
      </c>
      <c r="J8921" t="str">
        <f>"9050598"</f>
        <v>9050598</v>
      </c>
      <c r="K8921">
        <v>2106390286</v>
      </c>
      <c r="M8921" t="s">
        <v>9026</v>
      </c>
      <c r="N8921" t="s">
        <v>4693</v>
      </c>
      <c r="O8921" t="s">
        <v>9027</v>
      </c>
      <c r="P8921">
        <v>15343</v>
      </c>
      <c r="Q8921" t="str">
        <f>"38.020354"</f>
        <v>38.020354</v>
      </c>
      <c r="R8921" t="str">
        <f>"23.839147"</f>
        <v>23.839147</v>
      </c>
      <c r="S8921" t="s">
        <v>26</v>
      </c>
    </row>
    <row r="8922" spans="1:19" x14ac:dyDescent="0.3">
      <c r="A8922" t="s">
        <v>3237</v>
      </c>
      <c r="B8922" t="s">
        <v>8935</v>
      </c>
      <c r="C8922" t="s">
        <v>9028</v>
      </c>
      <c r="D8922" t="s">
        <v>3245</v>
      </c>
      <c r="E8922" t="s">
        <v>4768</v>
      </c>
      <c r="F8922" t="s">
        <v>4766</v>
      </c>
      <c r="G8922" t="s">
        <v>4766</v>
      </c>
      <c r="H8922" t="s">
        <v>859</v>
      </c>
      <c r="I8922" t="s">
        <v>860</v>
      </c>
      <c r="J8922" t="str">
        <f>"9050875"</f>
        <v>9050875</v>
      </c>
      <c r="K8922">
        <v>2106532480</v>
      </c>
      <c r="L8922">
        <v>2106532480</v>
      </c>
      <c r="M8922" t="s">
        <v>9029</v>
      </c>
      <c r="N8922" t="s">
        <v>4771</v>
      </c>
      <c r="O8922" t="s">
        <v>9021</v>
      </c>
      <c r="P8922">
        <v>15562</v>
      </c>
      <c r="Q8922" t="str">
        <f>"37.998379"</f>
        <v>37.998379</v>
      </c>
      <c r="R8922" t="str">
        <f>"23.807218"</f>
        <v>23.807218</v>
      </c>
      <c r="S8922" t="s">
        <v>26</v>
      </c>
    </row>
    <row r="8923" spans="1:19" x14ac:dyDescent="0.3">
      <c r="A8923" t="s">
        <v>3237</v>
      </c>
      <c r="B8923" t="s">
        <v>8935</v>
      </c>
      <c r="C8923" t="s">
        <v>9030</v>
      </c>
      <c r="D8923" t="s">
        <v>3245</v>
      </c>
      <c r="E8923" t="s">
        <v>4768</v>
      </c>
      <c r="F8923" t="s">
        <v>4766</v>
      </c>
      <c r="G8923" t="s">
        <v>4766</v>
      </c>
      <c r="H8923" t="s">
        <v>859</v>
      </c>
      <c r="I8923" t="s">
        <v>860</v>
      </c>
      <c r="J8923" t="str">
        <f>"9051403"</f>
        <v>9051403</v>
      </c>
      <c r="K8923">
        <v>2106533325</v>
      </c>
      <c r="L8923">
        <v>2106533325</v>
      </c>
      <c r="M8923" t="s">
        <v>9031</v>
      </c>
      <c r="N8923" t="s">
        <v>4771</v>
      </c>
      <c r="O8923" t="s">
        <v>9032</v>
      </c>
      <c r="P8923">
        <v>15561</v>
      </c>
      <c r="Q8923" t="str">
        <f>"37.999201"</f>
        <v>37.999201</v>
      </c>
      <c r="R8923" t="str">
        <f>"23.793944"</f>
        <v>23.793944</v>
      </c>
      <c r="S8923" t="s">
        <v>26</v>
      </c>
    </row>
    <row r="8924" spans="1:19" x14ac:dyDescent="0.3">
      <c r="A8924" t="s">
        <v>3237</v>
      </c>
      <c r="B8924" t="s">
        <v>8935</v>
      </c>
      <c r="C8924" t="s">
        <v>9036</v>
      </c>
      <c r="D8924" t="s">
        <v>3245</v>
      </c>
      <c r="E8924" t="s">
        <v>152</v>
      </c>
      <c r="F8924" t="s">
        <v>152</v>
      </c>
      <c r="G8924" t="s">
        <v>152</v>
      </c>
      <c r="H8924" t="s">
        <v>859</v>
      </c>
      <c r="I8924" t="s">
        <v>860</v>
      </c>
      <c r="J8924" t="str">
        <f>"9050721"</f>
        <v>9050721</v>
      </c>
      <c r="K8924">
        <v>2106006731</v>
      </c>
      <c r="L8924">
        <v>2106006731</v>
      </c>
      <c r="M8924" t="s">
        <v>9037</v>
      </c>
      <c r="N8924" t="s">
        <v>4693</v>
      </c>
      <c r="O8924" t="s">
        <v>9038</v>
      </c>
      <c r="P8924">
        <v>15342</v>
      </c>
      <c r="Q8924" t="str">
        <f>"38.010568"</f>
        <v>38.010568</v>
      </c>
      <c r="R8924" t="str">
        <f>"23.823970"</f>
        <v>23.823970</v>
      </c>
      <c r="S8924" t="s">
        <v>26</v>
      </c>
    </row>
    <row r="8925" spans="1:19" x14ac:dyDescent="0.3">
      <c r="A8925" t="s">
        <v>3237</v>
      </c>
      <c r="B8925" t="s">
        <v>8935</v>
      </c>
      <c r="C8925" t="s">
        <v>9042</v>
      </c>
      <c r="D8925" t="s">
        <v>3245</v>
      </c>
      <c r="E8925" t="s">
        <v>152</v>
      </c>
      <c r="F8925" t="s">
        <v>152</v>
      </c>
      <c r="G8925" t="s">
        <v>152</v>
      </c>
      <c r="H8925" t="s">
        <v>859</v>
      </c>
      <c r="I8925" t="s">
        <v>860</v>
      </c>
      <c r="J8925" t="str">
        <f>"9050873"</f>
        <v>9050873</v>
      </c>
      <c r="K8925">
        <v>2106399563</v>
      </c>
      <c r="L8925">
        <v>2106399563</v>
      </c>
      <c r="M8925" t="s">
        <v>9043</v>
      </c>
      <c r="N8925" t="s">
        <v>4693</v>
      </c>
      <c r="O8925" t="s">
        <v>9044</v>
      </c>
      <c r="P8925">
        <v>15341</v>
      </c>
      <c r="Q8925" t="str">
        <f>"38.010444"</f>
        <v>38.010444</v>
      </c>
      <c r="R8925" t="str">
        <f>"23.816889"</f>
        <v>23.816889</v>
      </c>
      <c r="S8925" t="s">
        <v>26</v>
      </c>
    </row>
    <row r="8926" spans="1:19" x14ac:dyDescent="0.3">
      <c r="A8926" t="s">
        <v>3237</v>
      </c>
      <c r="B8926" t="s">
        <v>8935</v>
      </c>
      <c r="C8926" t="s">
        <v>9045</v>
      </c>
      <c r="D8926" t="s">
        <v>3245</v>
      </c>
      <c r="E8926" t="s">
        <v>152</v>
      </c>
      <c r="F8926" t="s">
        <v>152</v>
      </c>
      <c r="G8926" t="s">
        <v>152</v>
      </c>
      <c r="H8926" t="s">
        <v>859</v>
      </c>
      <c r="I8926" t="s">
        <v>860</v>
      </c>
      <c r="J8926" t="str">
        <f>"9051576"</f>
        <v>9051576</v>
      </c>
      <c r="K8926">
        <v>2106399563</v>
      </c>
      <c r="L8926">
        <v>2106399563</v>
      </c>
      <c r="M8926" t="s">
        <v>9046</v>
      </c>
      <c r="N8926" t="s">
        <v>4693</v>
      </c>
      <c r="O8926" t="s">
        <v>9044</v>
      </c>
      <c r="P8926">
        <v>15341</v>
      </c>
      <c r="Q8926" t="str">
        <f>"38.010385"</f>
        <v>38.010385</v>
      </c>
      <c r="R8926" t="str">
        <f>"23.816891"</f>
        <v>23.816891</v>
      </c>
      <c r="S8926" t="s">
        <v>26</v>
      </c>
    </row>
    <row r="8927" spans="1:19" x14ac:dyDescent="0.3">
      <c r="A8927" t="s">
        <v>3237</v>
      </c>
      <c r="B8927" t="s">
        <v>8935</v>
      </c>
      <c r="C8927" t="s">
        <v>9050</v>
      </c>
      <c r="D8927" t="s">
        <v>3245</v>
      </c>
      <c r="E8927" t="s">
        <v>152</v>
      </c>
      <c r="F8927" t="s">
        <v>152</v>
      </c>
      <c r="G8927" t="s">
        <v>152</v>
      </c>
      <c r="H8927" t="s">
        <v>859</v>
      </c>
      <c r="I8927" t="s">
        <v>860</v>
      </c>
      <c r="J8927" t="str">
        <f>"9051740"</f>
        <v>9051740</v>
      </c>
      <c r="K8927">
        <v>2106010133</v>
      </c>
      <c r="L8927">
        <v>2106010133</v>
      </c>
      <c r="M8927" t="s">
        <v>9051</v>
      </c>
      <c r="N8927" t="s">
        <v>4693</v>
      </c>
      <c r="O8927" t="s">
        <v>9052</v>
      </c>
      <c r="P8927">
        <v>15343</v>
      </c>
      <c r="Q8927" t="str">
        <f>"38.016413"</f>
        <v>38.016413</v>
      </c>
      <c r="R8927" t="str">
        <f>"23.823462"</f>
        <v>23.823462</v>
      </c>
      <c r="S8927" t="s">
        <v>26</v>
      </c>
    </row>
    <row r="8928" spans="1:19" x14ac:dyDescent="0.3">
      <c r="A8928" t="s">
        <v>3237</v>
      </c>
      <c r="B8928" t="s">
        <v>8935</v>
      </c>
      <c r="C8928" t="s">
        <v>9053</v>
      </c>
      <c r="D8928" t="s">
        <v>3245</v>
      </c>
      <c r="E8928" t="s">
        <v>152</v>
      </c>
      <c r="F8928" t="s">
        <v>152</v>
      </c>
      <c r="G8928" t="s">
        <v>152</v>
      </c>
      <c r="H8928" t="s">
        <v>859</v>
      </c>
      <c r="I8928" t="s">
        <v>860</v>
      </c>
      <c r="J8928" t="str">
        <f>"9051538"</f>
        <v>9051538</v>
      </c>
      <c r="K8928">
        <v>2106015175</v>
      </c>
      <c r="L8928">
        <v>2106015175</v>
      </c>
      <c r="M8928" t="s">
        <v>9054</v>
      </c>
      <c r="N8928" t="s">
        <v>4693</v>
      </c>
      <c r="O8928" t="s">
        <v>9055</v>
      </c>
      <c r="P8928">
        <v>15345</v>
      </c>
      <c r="Q8928" t="str">
        <f>"38.020164"</f>
        <v>38.020164</v>
      </c>
      <c r="R8928" t="str">
        <f>"23.834352"</f>
        <v>23.834352</v>
      </c>
      <c r="S8928" t="s">
        <v>26</v>
      </c>
    </row>
    <row r="8929" spans="1:19" x14ac:dyDescent="0.3">
      <c r="A8929" t="s">
        <v>3237</v>
      </c>
      <c r="B8929" t="s">
        <v>8935</v>
      </c>
      <c r="C8929" t="s">
        <v>9056</v>
      </c>
      <c r="D8929" t="s">
        <v>3245</v>
      </c>
      <c r="E8929" t="s">
        <v>152</v>
      </c>
      <c r="F8929" t="s">
        <v>152</v>
      </c>
      <c r="G8929" t="s">
        <v>152</v>
      </c>
      <c r="H8929" t="s">
        <v>859</v>
      </c>
      <c r="I8929" t="s">
        <v>860</v>
      </c>
      <c r="J8929" t="str">
        <f>"9051207"</f>
        <v>9051207</v>
      </c>
      <c r="K8929">
        <v>2106017750</v>
      </c>
      <c r="M8929" t="s">
        <v>9057</v>
      </c>
      <c r="N8929" t="s">
        <v>4693</v>
      </c>
      <c r="O8929" t="s">
        <v>9058</v>
      </c>
      <c r="P8929">
        <v>15343</v>
      </c>
      <c r="Q8929" t="str">
        <f>"38.019037"</f>
        <v>38.019037</v>
      </c>
      <c r="R8929" t="str">
        <f>"23.825589"</f>
        <v>23.825589</v>
      </c>
      <c r="S8929" t="s">
        <v>26</v>
      </c>
    </row>
    <row r="8930" spans="1:19" x14ac:dyDescent="0.3">
      <c r="A8930" t="s">
        <v>3237</v>
      </c>
      <c r="B8930" t="s">
        <v>8935</v>
      </c>
      <c r="C8930" t="s">
        <v>9059</v>
      </c>
      <c r="D8930" t="s">
        <v>3245</v>
      </c>
      <c r="E8930" t="s">
        <v>4713</v>
      </c>
      <c r="F8930" t="s">
        <v>4714</v>
      </c>
      <c r="G8930" t="s">
        <v>4714</v>
      </c>
      <c r="H8930" t="s">
        <v>859</v>
      </c>
      <c r="I8930" t="s">
        <v>1102</v>
      </c>
      <c r="J8930" t="str">
        <f>"9051615"</f>
        <v>9051615</v>
      </c>
      <c r="K8930">
        <v>2106810591</v>
      </c>
      <c r="L8930">
        <v>2106891720</v>
      </c>
      <c r="M8930" t="s">
        <v>9060</v>
      </c>
      <c r="N8930" t="s">
        <v>9061</v>
      </c>
      <c r="O8930" t="s">
        <v>9062</v>
      </c>
      <c r="P8930">
        <v>15121</v>
      </c>
      <c r="Q8930" t="str">
        <f>"38.065054"</f>
        <v>38.065054</v>
      </c>
      <c r="R8930" t="str">
        <f>"23.796807"</f>
        <v>23.796807</v>
      </c>
      <c r="S8930" t="s">
        <v>26</v>
      </c>
    </row>
    <row r="8931" spans="1:19" x14ac:dyDescent="0.3">
      <c r="A8931" t="s">
        <v>3237</v>
      </c>
      <c r="B8931" t="s">
        <v>8935</v>
      </c>
      <c r="C8931" t="s">
        <v>9074</v>
      </c>
      <c r="D8931" t="s">
        <v>3245</v>
      </c>
      <c r="E8931" t="s">
        <v>4591</v>
      </c>
      <c r="F8931" t="s">
        <v>4591</v>
      </c>
      <c r="G8931" t="s">
        <v>4591</v>
      </c>
      <c r="H8931" t="s">
        <v>859</v>
      </c>
      <c r="I8931" t="s">
        <v>1102</v>
      </c>
      <c r="J8931" t="str">
        <f>"9051542"</f>
        <v>9051542</v>
      </c>
      <c r="K8931">
        <v>2106143660</v>
      </c>
      <c r="L8931">
        <v>2106143660</v>
      </c>
      <c r="M8931" t="s">
        <v>9075</v>
      </c>
      <c r="N8931" t="s">
        <v>4600</v>
      </c>
      <c r="O8931" t="s">
        <v>9049</v>
      </c>
      <c r="P8931">
        <v>15126</v>
      </c>
      <c r="Q8931" t="str">
        <f>"38.052191"</f>
        <v>38.052191</v>
      </c>
      <c r="R8931" t="str">
        <f>"23.821483"</f>
        <v>23.821483</v>
      </c>
      <c r="S8931" t="s">
        <v>26</v>
      </c>
    </row>
    <row r="8932" spans="1:19" x14ac:dyDescent="0.3">
      <c r="A8932" t="s">
        <v>3237</v>
      </c>
      <c r="B8932" t="s">
        <v>8935</v>
      </c>
      <c r="C8932" t="s">
        <v>9076</v>
      </c>
      <c r="D8932" t="s">
        <v>3245</v>
      </c>
      <c r="E8932" t="s">
        <v>3246</v>
      </c>
      <c r="F8932" t="s">
        <v>3246</v>
      </c>
      <c r="G8932" t="s">
        <v>3246</v>
      </c>
      <c r="H8932" t="s">
        <v>859</v>
      </c>
      <c r="I8932" t="s">
        <v>860</v>
      </c>
      <c r="J8932" t="str">
        <f>"9050507"</f>
        <v>9050507</v>
      </c>
      <c r="K8932">
        <v>2102758986</v>
      </c>
      <c r="L8932">
        <v>2102758986</v>
      </c>
      <c r="M8932" t="s">
        <v>9077</v>
      </c>
      <c r="N8932" t="s">
        <v>3249</v>
      </c>
      <c r="O8932" t="s">
        <v>9078</v>
      </c>
      <c r="P8932">
        <v>14231</v>
      </c>
      <c r="Q8932" t="str">
        <f>"38.048606"</f>
        <v>38.048606</v>
      </c>
      <c r="R8932" t="str">
        <f>"23.751147"</f>
        <v>23.751147</v>
      </c>
      <c r="S8932" t="s">
        <v>26</v>
      </c>
    </row>
    <row r="8933" spans="1:19" x14ac:dyDescent="0.3">
      <c r="A8933" t="s">
        <v>3237</v>
      </c>
      <c r="B8933" t="s">
        <v>8935</v>
      </c>
      <c r="C8933" t="s">
        <v>9086</v>
      </c>
      <c r="D8933" t="s">
        <v>3245</v>
      </c>
      <c r="E8933" t="s">
        <v>3246</v>
      </c>
      <c r="F8933" t="s">
        <v>3246</v>
      </c>
      <c r="G8933" t="s">
        <v>3246</v>
      </c>
      <c r="H8933" t="s">
        <v>859</v>
      </c>
      <c r="I8933" t="s">
        <v>860</v>
      </c>
      <c r="J8933" t="str">
        <f>"9050882"</f>
        <v>9050882</v>
      </c>
      <c r="K8933">
        <v>2102759728</v>
      </c>
      <c r="L8933">
        <v>2102759728</v>
      </c>
      <c r="M8933" t="s">
        <v>9087</v>
      </c>
      <c r="N8933" t="s">
        <v>3246</v>
      </c>
      <c r="O8933" t="s">
        <v>9088</v>
      </c>
      <c r="P8933">
        <v>14231</v>
      </c>
      <c r="Q8933" t="str">
        <f>"38.039546"</f>
        <v>38.039546</v>
      </c>
      <c r="R8933" t="str">
        <f>"23.747992"</f>
        <v>23.747992</v>
      </c>
      <c r="S8933" t="s">
        <v>26</v>
      </c>
    </row>
    <row r="8934" spans="1:19" x14ac:dyDescent="0.3">
      <c r="A8934" t="s">
        <v>3237</v>
      </c>
      <c r="B8934" t="s">
        <v>8935</v>
      </c>
      <c r="C8934" t="s">
        <v>9101</v>
      </c>
      <c r="D8934" t="s">
        <v>3245</v>
      </c>
      <c r="E8934" t="s">
        <v>152</v>
      </c>
      <c r="F8934" t="s">
        <v>152</v>
      </c>
      <c r="G8934" t="s">
        <v>152</v>
      </c>
      <c r="H8934" t="s">
        <v>859</v>
      </c>
      <c r="I8934" t="s">
        <v>860</v>
      </c>
      <c r="J8934" t="str">
        <f>"9051293"</f>
        <v>9051293</v>
      </c>
      <c r="K8934">
        <v>2106390586</v>
      </c>
      <c r="L8934">
        <v>2106390196</v>
      </c>
      <c r="M8934" t="s">
        <v>9102</v>
      </c>
      <c r="N8934" t="s">
        <v>4693</v>
      </c>
      <c r="O8934" t="s">
        <v>9103</v>
      </c>
      <c r="P8934">
        <v>15341</v>
      </c>
      <c r="Q8934" t="str">
        <f>"38.003417"</f>
        <v>38.003417</v>
      </c>
      <c r="R8934" t="str">
        <f>"23.825706"</f>
        <v>23.825706</v>
      </c>
      <c r="S8934" t="s">
        <v>26</v>
      </c>
    </row>
    <row r="8935" spans="1:19" x14ac:dyDescent="0.3">
      <c r="A8935" t="s">
        <v>3237</v>
      </c>
      <c r="B8935" t="s">
        <v>8935</v>
      </c>
      <c r="C8935" t="s">
        <v>9123</v>
      </c>
      <c r="D8935" t="s">
        <v>3245</v>
      </c>
      <c r="E8935" t="s">
        <v>4768</v>
      </c>
      <c r="F8935" t="s">
        <v>4766</v>
      </c>
      <c r="G8935" t="s">
        <v>4766</v>
      </c>
      <c r="H8935" t="s">
        <v>859</v>
      </c>
      <c r="I8935" t="s">
        <v>860</v>
      </c>
      <c r="J8935" t="str">
        <f>"9051209"</f>
        <v>9051209</v>
      </c>
      <c r="K8935">
        <v>2106524562</v>
      </c>
      <c r="M8935" t="s">
        <v>9124</v>
      </c>
      <c r="N8935" t="s">
        <v>4771</v>
      </c>
      <c r="O8935" t="s">
        <v>9125</v>
      </c>
      <c r="P8935">
        <v>15562</v>
      </c>
      <c r="Q8935" t="str">
        <f>"38.000838"</f>
        <v>38.000838</v>
      </c>
      <c r="R8935" t="str">
        <f>"23.800893"</f>
        <v>23.800893</v>
      </c>
      <c r="S8935" t="s">
        <v>26</v>
      </c>
    </row>
    <row r="8936" spans="1:19" x14ac:dyDescent="0.3">
      <c r="A8936" t="s">
        <v>3237</v>
      </c>
      <c r="B8936" t="s">
        <v>8935</v>
      </c>
      <c r="C8936" t="s">
        <v>9128</v>
      </c>
      <c r="D8936" t="s">
        <v>3245</v>
      </c>
      <c r="E8936" t="s">
        <v>4048</v>
      </c>
      <c r="F8936" t="s">
        <v>4048</v>
      </c>
      <c r="G8936" t="s">
        <v>4048</v>
      </c>
      <c r="H8936" t="s">
        <v>859</v>
      </c>
      <c r="I8936" t="s">
        <v>860</v>
      </c>
      <c r="J8936" t="str">
        <f>"9051033"</f>
        <v>9051033</v>
      </c>
      <c r="K8936">
        <v>2108085639</v>
      </c>
      <c r="L8936">
        <v>2108085639</v>
      </c>
      <c r="M8936" t="s">
        <v>9129</v>
      </c>
      <c r="N8936" t="s">
        <v>4605</v>
      </c>
      <c r="O8936" t="s">
        <v>9130</v>
      </c>
      <c r="P8936">
        <v>14561</v>
      </c>
      <c r="Q8936" t="str">
        <f>"38.071977"</f>
        <v>38.071977</v>
      </c>
      <c r="R8936" t="str">
        <f>"23.797086"</f>
        <v>23.797086</v>
      </c>
      <c r="S8936" t="s">
        <v>26</v>
      </c>
    </row>
    <row r="8937" spans="1:19" x14ac:dyDescent="0.3">
      <c r="A8937" t="s">
        <v>3237</v>
      </c>
      <c r="B8937" t="s">
        <v>8935</v>
      </c>
      <c r="C8937" t="s">
        <v>9153</v>
      </c>
      <c r="D8937" t="s">
        <v>3245</v>
      </c>
      <c r="E8937" t="s">
        <v>4618</v>
      </c>
      <c r="F8937" t="s">
        <v>4618</v>
      </c>
      <c r="G8937" t="s">
        <v>4618</v>
      </c>
      <c r="H8937" t="s">
        <v>859</v>
      </c>
      <c r="I8937" t="s">
        <v>860</v>
      </c>
      <c r="J8937" t="str">
        <f>"9050468"</f>
        <v>9050468</v>
      </c>
      <c r="K8937">
        <v>2102817390</v>
      </c>
      <c r="L8937">
        <v>2102817390</v>
      </c>
      <c r="M8937" t="s">
        <v>9154</v>
      </c>
      <c r="N8937" t="s">
        <v>9155</v>
      </c>
      <c r="O8937" t="s">
        <v>9156</v>
      </c>
      <c r="P8937">
        <v>14121</v>
      </c>
      <c r="Q8937" t="str">
        <f>"38.060121"</f>
        <v>38.060121</v>
      </c>
      <c r="R8937" t="str">
        <f>"23.772023"</f>
        <v>23.772023</v>
      </c>
      <c r="S8937" t="s">
        <v>26</v>
      </c>
    </row>
    <row r="8938" spans="1:19" x14ac:dyDescent="0.3">
      <c r="A8938" t="s">
        <v>3237</v>
      </c>
      <c r="B8938" t="s">
        <v>8935</v>
      </c>
      <c r="C8938" t="s">
        <v>9157</v>
      </c>
      <c r="D8938" t="s">
        <v>3245</v>
      </c>
      <c r="E8938" t="s">
        <v>4618</v>
      </c>
      <c r="F8938" t="s">
        <v>4618</v>
      </c>
      <c r="G8938" t="s">
        <v>4618</v>
      </c>
      <c r="H8938" t="s">
        <v>859</v>
      </c>
      <c r="I8938" t="s">
        <v>860</v>
      </c>
      <c r="J8938" t="str">
        <f>"9050471"</f>
        <v>9050471</v>
      </c>
      <c r="K8938">
        <v>2102835682</v>
      </c>
      <c r="L8938">
        <v>2102835682</v>
      </c>
      <c r="M8938" t="s">
        <v>9158</v>
      </c>
      <c r="N8938" t="s">
        <v>9155</v>
      </c>
      <c r="O8938" t="s">
        <v>9159</v>
      </c>
      <c r="P8938">
        <v>14122</v>
      </c>
      <c r="Q8938" t="str">
        <f>"38.052160"</f>
        <v>38.052160</v>
      </c>
      <c r="R8938" t="str">
        <f>"23.755947"</f>
        <v>23.755947</v>
      </c>
      <c r="S8938" t="s">
        <v>26</v>
      </c>
    </row>
    <row r="8939" spans="1:19" x14ac:dyDescent="0.3">
      <c r="A8939" t="s">
        <v>3237</v>
      </c>
      <c r="B8939" t="s">
        <v>8935</v>
      </c>
      <c r="C8939" t="s">
        <v>9170</v>
      </c>
      <c r="D8939" t="s">
        <v>3245</v>
      </c>
      <c r="E8939" t="s">
        <v>4591</v>
      </c>
      <c r="F8939" t="s">
        <v>4591</v>
      </c>
      <c r="G8939" t="s">
        <v>4591</v>
      </c>
      <c r="H8939" t="s">
        <v>859</v>
      </c>
      <c r="I8939" t="s">
        <v>860</v>
      </c>
      <c r="J8939" t="str">
        <f>"9050706"</f>
        <v>9050706</v>
      </c>
      <c r="K8939">
        <v>2108061902</v>
      </c>
      <c r="L8939">
        <v>2108061902</v>
      </c>
      <c r="M8939" t="s">
        <v>9171</v>
      </c>
      <c r="N8939" t="s">
        <v>4600</v>
      </c>
      <c r="O8939" t="s">
        <v>9172</v>
      </c>
      <c r="P8939">
        <v>15124</v>
      </c>
      <c r="Q8939" t="str">
        <f>"38.052000"</f>
        <v>38.052000</v>
      </c>
      <c r="R8939" t="str">
        <f>"23.807061"</f>
        <v>23.807061</v>
      </c>
      <c r="S8939" t="s">
        <v>26</v>
      </c>
    </row>
    <row r="8940" spans="1:19" x14ac:dyDescent="0.3">
      <c r="A8940" t="s">
        <v>3237</v>
      </c>
      <c r="B8940" t="s">
        <v>8935</v>
      </c>
      <c r="C8940" t="s">
        <v>9177</v>
      </c>
      <c r="D8940" t="s">
        <v>3245</v>
      </c>
      <c r="E8940" t="s">
        <v>4048</v>
      </c>
      <c r="F8940" t="s">
        <v>4048</v>
      </c>
      <c r="G8940" t="s">
        <v>4048</v>
      </c>
      <c r="H8940" t="s">
        <v>859</v>
      </c>
      <c r="I8940" t="s">
        <v>860</v>
      </c>
      <c r="J8940" t="str">
        <f>"9050878"</f>
        <v>9050878</v>
      </c>
      <c r="K8940">
        <v>2108075188</v>
      </c>
      <c r="L8940">
        <v>2108075188</v>
      </c>
      <c r="M8940" t="s">
        <v>9178</v>
      </c>
      <c r="N8940" t="s">
        <v>4605</v>
      </c>
      <c r="O8940" t="s">
        <v>9179</v>
      </c>
      <c r="P8940">
        <v>14564</v>
      </c>
      <c r="Q8940" t="str">
        <f>"38.090130"</f>
        <v>38.090130</v>
      </c>
      <c r="R8940" t="str">
        <f>"23.797727"</f>
        <v>23.797727</v>
      </c>
      <c r="S8940" t="s">
        <v>26</v>
      </c>
    </row>
    <row r="8941" spans="1:19" x14ac:dyDescent="0.3">
      <c r="A8941" t="s">
        <v>3237</v>
      </c>
      <c r="B8941" t="s">
        <v>8935</v>
      </c>
      <c r="C8941" t="s">
        <v>9180</v>
      </c>
      <c r="D8941" t="s">
        <v>3245</v>
      </c>
      <c r="E8941" t="s">
        <v>4048</v>
      </c>
      <c r="F8941" t="s">
        <v>4048</v>
      </c>
      <c r="G8941" t="s">
        <v>4048</v>
      </c>
      <c r="H8941" t="s">
        <v>859</v>
      </c>
      <c r="I8941" t="s">
        <v>860</v>
      </c>
      <c r="J8941" t="str">
        <f>"9051296"</f>
        <v>9051296</v>
      </c>
      <c r="K8941">
        <v>2108085815</v>
      </c>
      <c r="L8941">
        <v>2108085815</v>
      </c>
      <c r="M8941" t="s">
        <v>9181</v>
      </c>
      <c r="N8941" t="s">
        <v>4605</v>
      </c>
      <c r="O8941" t="s">
        <v>9182</v>
      </c>
      <c r="P8941">
        <v>14563</v>
      </c>
      <c r="Q8941" t="str">
        <f>"38.079892"</f>
        <v>38.079892</v>
      </c>
      <c r="R8941" t="str">
        <f>"23.814449"</f>
        <v>23.814449</v>
      </c>
      <c r="S8941" t="s">
        <v>26</v>
      </c>
    </row>
    <row r="8942" spans="1:19" x14ac:dyDescent="0.3">
      <c r="A8942" t="s">
        <v>3237</v>
      </c>
      <c r="B8942" t="s">
        <v>8935</v>
      </c>
      <c r="C8942" t="s">
        <v>9185</v>
      </c>
      <c r="D8942" t="s">
        <v>3245</v>
      </c>
      <c r="E8942" t="s">
        <v>4832</v>
      </c>
      <c r="F8942" t="s">
        <v>4832</v>
      </c>
      <c r="G8942" t="s">
        <v>4832</v>
      </c>
      <c r="H8942" t="s">
        <v>859</v>
      </c>
      <c r="I8942" t="s">
        <v>860</v>
      </c>
      <c r="J8942" t="str">
        <f>"9050478"</f>
        <v>9050478</v>
      </c>
      <c r="K8942">
        <v>2102811510</v>
      </c>
      <c r="L8942">
        <v>2102811510</v>
      </c>
      <c r="M8942" t="s">
        <v>9186</v>
      </c>
      <c r="N8942" t="s">
        <v>4835</v>
      </c>
      <c r="O8942" t="s">
        <v>9187</v>
      </c>
      <c r="P8942">
        <v>14452</v>
      </c>
      <c r="Q8942" t="str">
        <f>"38.062416"</f>
        <v>38.062416</v>
      </c>
      <c r="R8942" t="str">
        <f>"23.757644"</f>
        <v>23.757644</v>
      </c>
      <c r="S8942" t="s">
        <v>26</v>
      </c>
    </row>
    <row r="8943" spans="1:19" x14ac:dyDescent="0.3">
      <c r="A8943" t="s">
        <v>3237</v>
      </c>
      <c r="B8943" t="s">
        <v>8935</v>
      </c>
      <c r="C8943" t="s">
        <v>9188</v>
      </c>
      <c r="D8943" t="s">
        <v>3245</v>
      </c>
      <c r="E8943" t="s">
        <v>4048</v>
      </c>
      <c r="F8943" t="s">
        <v>4048</v>
      </c>
      <c r="G8943" t="s">
        <v>4048</v>
      </c>
      <c r="H8943" t="s">
        <v>859</v>
      </c>
      <c r="I8943" t="s">
        <v>860</v>
      </c>
      <c r="J8943" t="str">
        <f>"9051451"</f>
        <v>9051451</v>
      </c>
      <c r="K8943">
        <v>2108079563</v>
      </c>
      <c r="L8943">
        <v>2108079563</v>
      </c>
      <c r="M8943" t="s">
        <v>9189</v>
      </c>
      <c r="N8943" t="s">
        <v>4048</v>
      </c>
      <c r="O8943" t="s">
        <v>9190</v>
      </c>
      <c r="P8943">
        <v>14563</v>
      </c>
      <c r="Q8943" t="str">
        <f>"38.084917"</f>
        <v>38.084917</v>
      </c>
      <c r="R8943" t="str">
        <f>"23.831794"</f>
        <v>23.831794</v>
      </c>
      <c r="S8943" t="s">
        <v>26</v>
      </c>
    </row>
    <row r="8944" spans="1:19" x14ac:dyDescent="0.3">
      <c r="A8944" t="s">
        <v>3237</v>
      </c>
      <c r="B8944" t="s">
        <v>8935</v>
      </c>
      <c r="C8944" t="s">
        <v>9191</v>
      </c>
      <c r="D8944" t="s">
        <v>3245</v>
      </c>
      <c r="E8944" t="s">
        <v>4048</v>
      </c>
      <c r="F8944" t="s">
        <v>4048</v>
      </c>
      <c r="G8944" t="s">
        <v>4048</v>
      </c>
      <c r="H8944" t="s">
        <v>859</v>
      </c>
      <c r="I8944" t="s">
        <v>860</v>
      </c>
      <c r="J8944" t="str">
        <f>"9051792"</f>
        <v>9051792</v>
      </c>
      <c r="K8944">
        <v>2108075188</v>
      </c>
      <c r="L8944">
        <v>2108075188</v>
      </c>
      <c r="M8944" t="s">
        <v>9192</v>
      </c>
      <c r="N8944" t="s">
        <v>4605</v>
      </c>
      <c r="O8944" t="s">
        <v>9193</v>
      </c>
      <c r="P8944">
        <v>14564</v>
      </c>
      <c r="Q8944" t="str">
        <f>"38.090140"</f>
        <v>38.090140</v>
      </c>
      <c r="R8944" t="str">
        <f>"23.797748"</f>
        <v>23.797748</v>
      </c>
      <c r="S8944" t="s">
        <v>26</v>
      </c>
    </row>
    <row r="8945" spans="1:19" x14ac:dyDescent="0.3">
      <c r="A8945" t="s">
        <v>3237</v>
      </c>
      <c r="B8945" t="s">
        <v>8935</v>
      </c>
      <c r="C8945" t="s">
        <v>9197</v>
      </c>
      <c r="D8945" t="s">
        <v>3245</v>
      </c>
      <c r="E8945" t="s">
        <v>3246</v>
      </c>
      <c r="F8945" t="s">
        <v>3246</v>
      </c>
      <c r="G8945" t="s">
        <v>3246</v>
      </c>
      <c r="H8945" t="s">
        <v>859</v>
      </c>
      <c r="I8945" t="s">
        <v>860</v>
      </c>
      <c r="J8945" t="str">
        <f>"9050494"</f>
        <v>9050494</v>
      </c>
      <c r="K8945">
        <v>2102795922</v>
      </c>
      <c r="L8945">
        <v>2102795922</v>
      </c>
      <c r="M8945" t="s">
        <v>9198</v>
      </c>
      <c r="N8945" t="s">
        <v>3249</v>
      </c>
      <c r="O8945" t="s">
        <v>9199</v>
      </c>
      <c r="P8945">
        <v>14233</v>
      </c>
      <c r="Q8945" t="str">
        <f>"38.032860"</f>
        <v>38.032860</v>
      </c>
      <c r="R8945" t="str">
        <f>"23.758632"</f>
        <v>23.758632</v>
      </c>
      <c r="S8945" t="s">
        <v>26</v>
      </c>
    </row>
    <row r="8946" spans="1:19" x14ac:dyDescent="0.3">
      <c r="A8946" t="s">
        <v>3237</v>
      </c>
      <c r="B8946" t="s">
        <v>8935</v>
      </c>
      <c r="C8946" t="s">
        <v>9208</v>
      </c>
      <c r="D8946" t="s">
        <v>3245</v>
      </c>
      <c r="E8946" t="s">
        <v>4713</v>
      </c>
      <c r="F8946" t="s">
        <v>4992</v>
      </c>
      <c r="G8946" t="s">
        <v>4992</v>
      </c>
      <c r="H8946" t="s">
        <v>859</v>
      </c>
      <c r="I8946" t="s">
        <v>860</v>
      </c>
      <c r="J8946" t="str">
        <f>"9051582"</f>
        <v>9051582</v>
      </c>
      <c r="K8946">
        <v>2102812502</v>
      </c>
      <c r="M8946" t="s">
        <v>9209</v>
      </c>
      <c r="N8946" t="s">
        <v>5079</v>
      </c>
      <c r="O8946" t="s">
        <v>9210</v>
      </c>
      <c r="P8946">
        <v>14123</v>
      </c>
      <c r="Q8946" t="str">
        <f>"38.073174"</f>
        <v>38.073174</v>
      </c>
      <c r="R8946" t="str">
        <f>"23.783604"</f>
        <v>23.783604</v>
      </c>
      <c r="S8946" t="s">
        <v>26</v>
      </c>
    </row>
    <row r="8947" spans="1:19" x14ac:dyDescent="0.3">
      <c r="A8947" t="s">
        <v>3237</v>
      </c>
      <c r="B8947" t="s">
        <v>8935</v>
      </c>
      <c r="C8947" t="s">
        <v>9211</v>
      </c>
      <c r="D8947" t="s">
        <v>3245</v>
      </c>
      <c r="E8947" t="s">
        <v>4713</v>
      </c>
      <c r="F8947" t="s">
        <v>4992</v>
      </c>
      <c r="G8947" t="s">
        <v>4992</v>
      </c>
      <c r="H8947" t="s">
        <v>859</v>
      </c>
      <c r="I8947" t="s">
        <v>860</v>
      </c>
      <c r="J8947" t="str">
        <f>"9051450"</f>
        <v>9051450</v>
      </c>
      <c r="K8947">
        <v>2102827090</v>
      </c>
      <c r="L8947">
        <v>2102827090</v>
      </c>
      <c r="M8947" t="s">
        <v>9212</v>
      </c>
      <c r="N8947" t="s">
        <v>5079</v>
      </c>
      <c r="O8947" t="s">
        <v>9213</v>
      </c>
      <c r="P8947">
        <v>14123</v>
      </c>
      <c r="Q8947" t="str">
        <f>"38.066515"</f>
        <v>38.066515</v>
      </c>
      <c r="R8947" t="str">
        <f>"23.777230"</f>
        <v>23.777230</v>
      </c>
      <c r="S8947" t="s">
        <v>26</v>
      </c>
    </row>
    <row r="8948" spans="1:19" x14ac:dyDescent="0.3">
      <c r="A8948" t="s">
        <v>3237</v>
      </c>
      <c r="B8948" t="s">
        <v>8935</v>
      </c>
      <c r="C8948" t="s">
        <v>9214</v>
      </c>
      <c r="D8948" t="s">
        <v>3245</v>
      </c>
      <c r="E8948" t="s">
        <v>4832</v>
      </c>
      <c r="F8948" t="s">
        <v>4832</v>
      </c>
      <c r="G8948" t="s">
        <v>4832</v>
      </c>
      <c r="H8948" t="s">
        <v>859</v>
      </c>
      <c r="I8948" t="s">
        <v>860</v>
      </c>
      <c r="J8948" t="str">
        <f>"9050775"</f>
        <v>9050775</v>
      </c>
      <c r="K8948">
        <v>2102842003</v>
      </c>
      <c r="L8948">
        <v>2102842003</v>
      </c>
      <c r="M8948" t="s">
        <v>9215</v>
      </c>
      <c r="N8948" t="s">
        <v>4835</v>
      </c>
      <c r="O8948" t="s">
        <v>9216</v>
      </c>
      <c r="P8948">
        <v>14451</v>
      </c>
      <c r="Q8948" t="str">
        <f>"38.057589"</f>
        <v>38.057589</v>
      </c>
      <c r="R8948" t="str">
        <f>"23.765062"</f>
        <v>23.765062</v>
      </c>
      <c r="S8948" t="s">
        <v>26</v>
      </c>
    </row>
    <row r="8949" spans="1:19" x14ac:dyDescent="0.3">
      <c r="A8949" t="s">
        <v>3237</v>
      </c>
      <c r="B8949" t="s">
        <v>8935</v>
      </c>
      <c r="C8949" t="s">
        <v>9217</v>
      </c>
      <c r="D8949" t="s">
        <v>3245</v>
      </c>
      <c r="E8949" t="s">
        <v>4832</v>
      </c>
      <c r="F8949" t="s">
        <v>4832</v>
      </c>
      <c r="G8949" t="s">
        <v>4832</v>
      </c>
      <c r="H8949" t="s">
        <v>859</v>
      </c>
      <c r="I8949" t="s">
        <v>860</v>
      </c>
      <c r="J8949" t="str">
        <f>"9051215"</f>
        <v>9051215</v>
      </c>
      <c r="K8949">
        <v>2102829180</v>
      </c>
      <c r="L8949">
        <v>2102829180</v>
      </c>
      <c r="M8949" t="s">
        <v>9218</v>
      </c>
      <c r="N8949" t="s">
        <v>4835</v>
      </c>
      <c r="O8949" t="s">
        <v>9219</v>
      </c>
      <c r="P8949">
        <v>14451</v>
      </c>
      <c r="Q8949" t="str">
        <f>"38.056175"</f>
        <v>38.056175</v>
      </c>
      <c r="R8949" t="str">
        <f>"23.748652"</f>
        <v>23.748652</v>
      </c>
      <c r="S8949" t="s">
        <v>26</v>
      </c>
    </row>
    <row r="8950" spans="1:19" x14ac:dyDescent="0.3">
      <c r="A8950" t="s">
        <v>3237</v>
      </c>
      <c r="B8950" t="s">
        <v>8935</v>
      </c>
      <c r="C8950" t="s">
        <v>9220</v>
      </c>
      <c r="D8950" t="s">
        <v>3245</v>
      </c>
      <c r="E8950" t="s">
        <v>4832</v>
      </c>
      <c r="F8950" t="s">
        <v>4832</v>
      </c>
      <c r="G8950" t="s">
        <v>4832</v>
      </c>
      <c r="H8950" t="s">
        <v>859</v>
      </c>
      <c r="I8950" t="s">
        <v>860</v>
      </c>
      <c r="J8950" t="str">
        <f>"9051039"</f>
        <v>9051039</v>
      </c>
      <c r="K8950">
        <v>2102827963</v>
      </c>
      <c r="L8950">
        <v>2102827963</v>
      </c>
      <c r="M8950" t="s">
        <v>9221</v>
      </c>
      <c r="N8950" t="s">
        <v>4835</v>
      </c>
      <c r="O8950" t="s">
        <v>9222</v>
      </c>
      <c r="P8950">
        <v>14451</v>
      </c>
      <c r="Q8950" t="str">
        <f>"38.055740"</f>
        <v>38.055740</v>
      </c>
      <c r="R8950" t="str">
        <f>"23.758492"</f>
        <v>23.758492</v>
      </c>
      <c r="S8950" t="s">
        <v>26</v>
      </c>
    </row>
    <row r="8951" spans="1:19" x14ac:dyDescent="0.3">
      <c r="A8951" t="s">
        <v>3237</v>
      </c>
      <c r="B8951" t="s">
        <v>8935</v>
      </c>
      <c r="C8951" t="s">
        <v>9225</v>
      </c>
      <c r="D8951" t="s">
        <v>3245</v>
      </c>
      <c r="E8951" t="s">
        <v>4586</v>
      </c>
      <c r="F8951" t="s">
        <v>4807</v>
      </c>
      <c r="G8951" t="s">
        <v>4807</v>
      </c>
      <c r="H8951" t="s">
        <v>859</v>
      </c>
      <c r="I8951" t="s">
        <v>860</v>
      </c>
      <c r="J8951" t="str">
        <f>"9051583"</f>
        <v>9051583</v>
      </c>
      <c r="K8951">
        <v>2108047007</v>
      </c>
      <c r="L8951">
        <v>2108047007</v>
      </c>
      <c r="M8951" t="s">
        <v>9226</v>
      </c>
      <c r="N8951" t="s">
        <v>4810</v>
      </c>
      <c r="O8951" t="s">
        <v>9227</v>
      </c>
      <c r="P8951">
        <v>15127</v>
      </c>
      <c r="Q8951" t="str">
        <f>"38.060276"</f>
        <v>38.060276</v>
      </c>
      <c r="R8951" t="str">
        <f>"23.843757"</f>
        <v>23.843757</v>
      </c>
      <c r="S8951" t="s">
        <v>26</v>
      </c>
    </row>
    <row r="8952" spans="1:19" x14ac:dyDescent="0.3">
      <c r="A8952" t="s">
        <v>3237</v>
      </c>
      <c r="B8952" t="s">
        <v>8935</v>
      </c>
      <c r="C8952" t="s">
        <v>9228</v>
      </c>
      <c r="D8952" t="s">
        <v>3245</v>
      </c>
      <c r="E8952" t="s">
        <v>4586</v>
      </c>
      <c r="F8952" t="s">
        <v>4807</v>
      </c>
      <c r="G8952" t="s">
        <v>4807</v>
      </c>
      <c r="H8952" t="s">
        <v>859</v>
      </c>
      <c r="I8952" t="s">
        <v>860</v>
      </c>
      <c r="J8952" t="str">
        <f>"9051902"</f>
        <v>9051902</v>
      </c>
      <c r="K8952">
        <v>2108047007</v>
      </c>
      <c r="L8952">
        <v>2108047007</v>
      </c>
      <c r="M8952" t="s">
        <v>9229</v>
      </c>
      <c r="N8952" t="s">
        <v>4810</v>
      </c>
      <c r="O8952" t="s">
        <v>9227</v>
      </c>
      <c r="P8952">
        <v>15127</v>
      </c>
      <c r="Q8952" t="str">
        <f>"38.060218"</f>
        <v>38.060218</v>
      </c>
      <c r="R8952" t="str">
        <f>"23.843865"</f>
        <v>23.843865</v>
      </c>
      <c r="S8952" t="s">
        <v>26</v>
      </c>
    </row>
    <row r="8953" spans="1:19" x14ac:dyDescent="0.3">
      <c r="A8953" t="s">
        <v>3237</v>
      </c>
      <c r="B8953" t="s">
        <v>8935</v>
      </c>
      <c r="C8953" t="s">
        <v>9230</v>
      </c>
      <c r="D8953" t="s">
        <v>3245</v>
      </c>
      <c r="E8953" t="s">
        <v>4591</v>
      </c>
      <c r="F8953" t="s">
        <v>4591</v>
      </c>
      <c r="G8953" t="s">
        <v>4591</v>
      </c>
      <c r="H8953" t="s">
        <v>859</v>
      </c>
      <c r="I8953" t="s">
        <v>860</v>
      </c>
      <c r="J8953" t="str">
        <f>"9050707"</f>
        <v>9050707</v>
      </c>
      <c r="K8953">
        <v>2106821009</v>
      </c>
      <c r="L8953">
        <v>2106821009</v>
      </c>
      <c r="M8953" t="s">
        <v>9231</v>
      </c>
      <c r="N8953" t="s">
        <v>4591</v>
      </c>
      <c r="O8953" t="s">
        <v>9232</v>
      </c>
      <c r="P8953">
        <v>15124</v>
      </c>
      <c r="Q8953" t="str">
        <f>"38.033080"</f>
        <v>38.033080</v>
      </c>
      <c r="R8953" t="str">
        <f>"23.816196"</f>
        <v>23.816196</v>
      </c>
      <c r="S8953" t="s">
        <v>26</v>
      </c>
    </row>
    <row r="8954" spans="1:19" x14ac:dyDescent="0.3">
      <c r="A8954" t="s">
        <v>3237</v>
      </c>
      <c r="B8954" t="s">
        <v>8935</v>
      </c>
      <c r="C8954" t="s">
        <v>9233</v>
      </c>
      <c r="D8954" t="s">
        <v>3245</v>
      </c>
      <c r="E8954" t="s">
        <v>4048</v>
      </c>
      <c r="F8954" t="s">
        <v>4918</v>
      </c>
      <c r="G8954" t="s">
        <v>4918</v>
      </c>
      <c r="H8954" t="s">
        <v>859</v>
      </c>
      <c r="I8954" t="s">
        <v>860</v>
      </c>
      <c r="J8954" t="str">
        <f>"9050048"</f>
        <v>9050048</v>
      </c>
      <c r="K8954">
        <v>2108079552</v>
      </c>
      <c r="L8954">
        <v>2108079552</v>
      </c>
      <c r="M8954" t="s">
        <v>9234</v>
      </c>
      <c r="N8954" t="s">
        <v>4918</v>
      </c>
      <c r="O8954" t="s">
        <v>9235</v>
      </c>
      <c r="P8954">
        <v>14671</v>
      </c>
      <c r="Q8954" t="str">
        <f>"38.092836"</f>
        <v>38.092836</v>
      </c>
      <c r="R8954" t="str">
        <f>"23.821776"</f>
        <v>23.821776</v>
      </c>
      <c r="S8954" t="s">
        <v>26</v>
      </c>
    </row>
    <row r="8955" spans="1:19" x14ac:dyDescent="0.3">
      <c r="A8955" t="s">
        <v>3237</v>
      </c>
      <c r="B8955" t="s">
        <v>8935</v>
      </c>
      <c r="C8955" t="s">
        <v>9236</v>
      </c>
      <c r="D8955" t="s">
        <v>3245</v>
      </c>
      <c r="E8955" t="s">
        <v>4713</v>
      </c>
      <c r="F8955" t="s">
        <v>4714</v>
      </c>
      <c r="G8955" t="s">
        <v>4714</v>
      </c>
      <c r="H8955" t="s">
        <v>859</v>
      </c>
      <c r="I8955" t="s">
        <v>860</v>
      </c>
      <c r="J8955" t="str">
        <f>"9050712"</f>
        <v>9050712</v>
      </c>
      <c r="K8955">
        <v>2108023670</v>
      </c>
      <c r="L8955">
        <v>2108023670</v>
      </c>
      <c r="M8955" t="s">
        <v>9237</v>
      </c>
      <c r="N8955" t="s">
        <v>4717</v>
      </c>
      <c r="O8955" t="s">
        <v>9238</v>
      </c>
      <c r="P8955">
        <v>15121</v>
      </c>
      <c r="Q8955" t="str">
        <f>"38.065261"</f>
        <v>38.065261</v>
      </c>
      <c r="R8955" t="str">
        <f>"23.800341"</f>
        <v>23.800341</v>
      </c>
      <c r="S8955" t="s">
        <v>26</v>
      </c>
    </row>
    <row r="8956" spans="1:19" x14ac:dyDescent="0.3">
      <c r="A8956" t="s">
        <v>3237</v>
      </c>
      <c r="B8956" t="s">
        <v>8935</v>
      </c>
      <c r="C8956" t="s">
        <v>9239</v>
      </c>
      <c r="D8956" t="s">
        <v>3245</v>
      </c>
      <c r="E8956" t="s">
        <v>4591</v>
      </c>
      <c r="F8956" t="s">
        <v>4591</v>
      </c>
      <c r="G8956" t="s">
        <v>4591</v>
      </c>
      <c r="H8956" t="s">
        <v>859</v>
      </c>
      <c r="I8956" t="s">
        <v>860</v>
      </c>
      <c r="J8956" t="str">
        <f>"9050703"</f>
        <v>9050703</v>
      </c>
      <c r="K8956">
        <v>2108024928</v>
      </c>
      <c r="L8956">
        <v>2108024928</v>
      </c>
      <c r="M8956" t="s">
        <v>9240</v>
      </c>
      <c r="N8956" t="s">
        <v>4600</v>
      </c>
      <c r="O8956" t="s">
        <v>9132</v>
      </c>
      <c r="P8956">
        <v>15124</v>
      </c>
      <c r="Q8956" t="str">
        <f>"38.057870"</f>
        <v>38.057870</v>
      </c>
      <c r="R8956" t="str">
        <f>"23.808241"</f>
        <v>23.808241</v>
      </c>
      <c r="S8956" t="s">
        <v>26</v>
      </c>
    </row>
    <row r="8957" spans="1:19" x14ac:dyDescent="0.3">
      <c r="A8957" t="s">
        <v>3237</v>
      </c>
      <c r="B8957" t="s">
        <v>8935</v>
      </c>
      <c r="C8957" t="s">
        <v>9241</v>
      </c>
      <c r="D8957" t="s">
        <v>3245</v>
      </c>
      <c r="E8957" t="s">
        <v>4618</v>
      </c>
      <c r="F8957" t="s">
        <v>4618</v>
      </c>
      <c r="G8957" t="s">
        <v>4618</v>
      </c>
      <c r="H8957" t="s">
        <v>859</v>
      </c>
      <c r="I8957" t="s">
        <v>860</v>
      </c>
      <c r="J8957" t="str">
        <f>"9050472"</f>
        <v>9050472</v>
      </c>
      <c r="K8957">
        <v>2102773295</v>
      </c>
      <c r="L8957">
        <v>2102773295</v>
      </c>
      <c r="M8957" t="s">
        <v>9242</v>
      </c>
      <c r="N8957" t="s">
        <v>9155</v>
      </c>
      <c r="O8957" t="s">
        <v>9243</v>
      </c>
      <c r="P8957">
        <v>14121</v>
      </c>
      <c r="Q8957" t="str">
        <f>"38.039383"</f>
        <v>38.039383</v>
      </c>
      <c r="R8957" t="str">
        <f>"23.773263"</f>
        <v>23.773263</v>
      </c>
      <c r="S8957" t="s">
        <v>26</v>
      </c>
    </row>
    <row r="8958" spans="1:19" x14ac:dyDescent="0.3">
      <c r="A8958" t="s">
        <v>3237</v>
      </c>
      <c r="B8958" t="s">
        <v>8935</v>
      </c>
      <c r="C8958" t="s">
        <v>9248</v>
      </c>
      <c r="D8958" t="s">
        <v>3245</v>
      </c>
      <c r="E8958" t="s">
        <v>4591</v>
      </c>
      <c r="F8958" t="s">
        <v>4591</v>
      </c>
      <c r="G8958" t="s">
        <v>4591</v>
      </c>
      <c r="H8958" t="s">
        <v>859</v>
      </c>
      <c r="I8958" t="s">
        <v>860</v>
      </c>
      <c r="J8958" t="str">
        <f>"9050705"</f>
        <v>9050705</v>
      </c>
      <c r="K8958">
        <v>2106196253</v>
      </c>
      <c r="L8958">
        <v>2106196253</v>
      </c>
      <c r="M8958" t="s">
        <v>9249</v>
      </c>
      <c r="N8958" t="s">
        <v>4600</v>
      </c>
      <c r="O8958" t="s">
        <v>9250</v>
      </c>
      <c r="P8958">
        <v>15125</v>
      </c>
      <c r="Q8958" t="str">
        <f>"38.040713"</f>
        <v>38.040713</v>
      </c>
      <c r="R8958" t="str">
        <f>"23.815422"</f>
        <v>23.815422</v>
      </c>
      <c r="S8958" t="s">
        <v>26</v>
      </c>
    </row>
    <row r="8959" spans="1:19" x14ac:dyDescent="0.3">
      <c r="A8959" t="s">
        <v>3237</v>
      </c>
      <c r="B8959" t="s">
        <v>8935</v>
      </c>
      <c r="C8959" t="s">
        <v>9251</v>
      </c>
      <c r="D8959" t="s">
        <v>3245</v>
      </c>
      <c r="E8959" t="s">
        <v>152</v>
      </c>
      <c r="F8959" t="s">
        <v>152</v>
      </c>
      <c r="G8959" t="s">
        <v>152</v>
      </c>
      <c r="H8959" t="s">
        <v>859</v>
      </c>
      <c r="I8959" t="s">
        <v>860</v>
      </c>
      <c r="J8959" t="str">
        <f>"9051790"</f>
        <v>9051790</v>
      </c>
      <c r="K8959">
        <v>2106007363</v>
      </c>
      <c r="L8959">
        <v>2106007363</v>
      </c>
      <c r="M8959" t="s">
        <v>9252</v>
      </c>
      <c r="N8959" t="s">
        <v>4693</v>
      </c>
      <c r="O8959" t="s">
        <v>9253</v>
      </c>
      <c r="P8959">
        <v>15343</v>
      </c>
      <c r="Q8959" t="str">
        <f>"38.016444"</f>
        <v>38.016444</v>
      </c>
      <c r="R8959" t="str">
        <f>"23.833261"</f>
        <v>23.833261</v>
      </c>
      <c r="S8959" t="s">
        <v>26</v>
      </c>
    </row>
    <row r="8960" spans="1:19" x14ac:dyDescent="0.3">
      <c r="A8960" t="s">
        <v>3237</v>
      </c>
      <c r="B8960" t="s">
        <v>8935</v>
      </c>
      <c r="C8960" t="s">
        <v>9254</v>
      </c>
      <c r="D8960" t="s">
        <v>3245</v>
      </c>
      <c r="E8960" t="s">
        <v>4586</v>
      </c>
      <c r="F8960" t="s">
        <v>4807</v>
      </c>
      <c r="G8960" t="s">
        <v>4807</v>
      </c>
      <c r="H8960" t="s">
        <v>859</v>
      </c>
      <c r="I8960" t="s">
        <v>860</v>
      </c>
      <c r="J8960" t="str">
        <f>"9050713"</f>
        <v>9050713</v>
      </c>
      <c r="K8960">
        <v>2108043002</v>
      </c>
      <c r="L8960">
        <v>2108043002</v>
      </c>
      <c r="M8960" t="s">
        <v>9255</v>
      </c>
      <c r="N8960" t="s">
        <v>4810</v>
      </c>
      <c r="O8960" t="s">
        <v>9256</v>
      </c>
      <c r="P8960">
        <v>15127</v>
      </c>
      <c r="Q8960" t="str">
        <f>"38.058447"</f>
        <v>38.058447</v>
      </c>
      <c r="R8960" t="str">
        <f>"23.834653"</f>
        <v>23.834653</v>
      </c>
      <c r="S8960" t="s">
        <v>26</v>
      </c>
    </row>
    <row r="8961" spans="1:19" x14ac:dyDescent="0.3">
      <c r="A8961" t="s">
        <v>3237</v>
      </c>
      <c r="B8961" t="s">
        <v>8935</v>
      </c>
      <c r="C8961" t="s">
        <v>9257</v>
      </c>
      <c r="D8961" t="s">
        <v>3245</v>
      </c>
      <c r="E8961" t="s">
        <v>3246</v>
      </c>
      <c r="F8961" t="s">
        <v>3246</v>
      </c>
      <c r="G8961" t="s">
        <v>3246</v>
      </c>
      <c r="H8961" t="s">
        <v>859</v>
      </c>
      <c r="I8961" t="s">
        <v>860</v>
      </c>
      <c r="J8961" t="str">
        <f>"9050486"</f>
        <v>9050486</v>
      </c>
      <c r="K8961">
        <v>2102798846</v>
      </c>
      <c r="L8961">
        <v>2102798846</v>
      </c>
      <c r="M8961" t="s">
        <v>9258</v>
      </c>
      <c r="N8961" t="s">
        <v>3249</v>
      </c>
      <c r="O8961" t="s">
        <v>9259</v>
      </c>
      <c r="P8961">
        <v>14231</v>
      </c>
      <c r="Q8961" t="str">
        <f>"38.042887"</f>
        <v>38.042887</v>
      </c>
      <c r="R8961" t="str">
        <f>"23.748267"</f>
        <v>23.748267</v>
      </c>
      <c r="S8961" t="s">
        <v>26</v>
      </c>
    </row>
    <row r="8962" spans="1:19" x14ac:dyDescent="0.3">
      <c r="A8962" t="s">
        <v>3237</v>
      </c>
      <c r="B8962" t="s">
        <v>8935</v>
      </c>
      <c r="C8962" t="s">
        <v>9263</v>
      </c>
      <c r="D8962" t="s">
        <v>3245</v>
      </c>
      <c r="E8962" t="s">
        <v>3246</v>
      </c>
      <c r="F8962" t="s">
        <v>3246</v>
      </c>
      <c r="G8962" t="s">
        <v>3246</v>
      </c>
      <c r="H8962" t="s">
        <v>859</v>
      </c>
      <c r="I8962" t="s">
        <v>860</v>
      </c>
      <c r="J8962" t="str">
        <f>"9050497"</f>
        <v>9050497</v>
      </c>
      <c r="K8962">
        <v>2102777889</v>
      </c>
      <c r="L8962">
        <v>2102725109</v>
      </c>
      <c r="M8962" t="s">
        <v>9264</v>
      </c>
      <c r="N8962" t="s">
        <v>4830</v>
      </c>
      <c r="O8962" t="s">
        <v>9265</v>
      </c>
      <c r="P8962">
        <v>14234</v>
      </c>
      <c r="Q8962" t="str">
        <f>"38.038820"</f>
        <v>38.038820</v>
      </c>
      <c r="R8962" t="str">
        <f>"23.765184"</f>
        <v>23.765184</v>
      </c>
      <c r="S8962" t="s">
        <v>26</v>
      </c>
    </row>
    <row r="8963" spans="1:19" x14ac:dyDescent="0.3">
      <c r="A8963" t="s">
        <v>3237</v>
      </c>
      <c r="B8963" t="s">
        <v>8935</v>
      </c>
      <c r="C8963" t="s">
        <v>9266</v>
      </c>
      <c r="D8963" t="s">
        <v>3245</v>
      </c>
      <c r="E8963" t="s">
        <v>4768</v>
      </c>
      <c r="F8963" t="s">
        <v>4766</v>
      </c>
      <c r="G8963" t="s">
        <v>4766</v>
      </c>
      <c r="H8963" t="s">
        <v>859</v>
      </c>
      <c r="I8963" t="s">
        <v>860</v>
      </c>
      <c r="J8963" t="str">
        <f>"9050722"</f>
        <v>9050722</v>
      </c>
      <c r="K8963">
        <v>2106517006</v>
      </c>
      <c r="M8963" t="s">
        <v>9267</v>
      </c>
      <c r="N8963" t="s">
        <v>4771</v>
      </c>
      <c r="O8963" t="s">
        <v>9268</v>
      </c>
      <c r="P8963">
        <v>15562</v>
      </c>
      <c r="Q8963" t="str">
        <f>"37.996648"</f>
        <v>37.996648</v>
      </c>
      <c r="R8963" t="str">
        <f>"23.803655"</f>
        <v>23.803655</v>
      </c>
      <c r="S8963" t="s">
        <v>26</v>
      </c>
    </row>
    <row r="8964" spans="1:19" x14ac:dyDescent="0.3">
      <c r="A8964" t="s">
        <v>3237</v>
      </c>
      <c r="B8964" t="s">
        <v>8935</v>
      </c>
      <c r="C8964" t="s">
        <v>9269</v>
      </c>
      <c r="D8964" t="s">
        <v>3245</v>
      </c>
      <c r="E8964" t="s">
        <v>152</v>
      </c>
      <c r="F8964" t="s">
        <v>152</v>
      </c>
      <c r="G8964" t="s">
        <v>152</v>
      </c>
      <c r="H8964" t="s">
        <v>859</v>
      </c>
      <c r="I8964" t="s">
        <v>860</v>
      </c>
      <c r="J8964" t="str">
        <f>"9051577"</f>
        <v>9051577</v>
      </c>
      <c r="K8964">
        <v>2106549083</v>
      </c>
      <c r="L8964">
        <v>2106549083</v>
      </c>
      <c r="M8964" t="s">
        <v>9270</v>
      </c>
      <c r="N8964" t="s">
        <v>4693</v>
      </c>
      <c r="O8964" t="s">
        <v>9271</v>
      </c>
      <c r="P8964">
        <v>15341</v>
      </c>
      <c r="Q8964" t="str">
        <f>"38.003227"</f>
        <v>38.003227</v>
      </c>
      <c r="R8964" t="str">
        <f>"23.812078"</f>
        <v>23.812078</v>
      </c>
      <c r="S8964" t="s">
        <v>26</v>
      </c>
    </row>
    <row r="8965" spans="1:19" x14ac:dyDescent="0.3">
      <c r="A8965" t="s">
        <v>3237</v>
      </c>
      <c r="B8965" t="s">
        <v>8935</v>
      </c>
      <c r="C8965" t="s">
        <v>9272</v>
      </c>
      <c r="D8965" t="s">
        <v>3245</v>
      </c>
      <c r="E8965" t="s">
        <v>4768</v>
      </c>
      <c r="F8965" t="s">
        <v>4766</v>
      </c>
      <c r="G8965" t="s">
        <v>4766</v>
      </c>
      <c r="H8965" t="s">
        <v>859</v>
      </c>
      <c r="I8965" t="s">
        <v>860</v>
      </c>
      <c r="J8965" t="str">
        <f>"9051028"</f>
        <v>9051028</v>
      </c>
      <c r="K8965">
        <v>2106545950</v>
      </c>
      <c r="L8965">
        <v>2106545950</v>
      </c>
      <c r="M8965" t="s">
        <v>9273</v>
      </c>
      <c r="N8965" t="s">
        <v>4771</v>
      </c>
      <c r="O8965" t="s">
        <v>5078</v>
      </c>
      <c r="P8965">
        <v>15562</v>
      </c>
      <c r="Q8965" t="str">
        <f>"37.999444"</f>
        <v>37.999444</v>
      </c>
      <c r="R8965" t="str">
        <f>"23.806114"</f>
        <v>23.806114</v>
      </c>
      <c r="S8965" t="s">
        <v>26</v>
      </c>
    </row>
    <row r="8966" spans="1:19" x14ac:dyDescent="0.3">
      <c r="A8966" t="s">
        <v>3237</v>
      </c>
      <c r="B8966" t="s">
        <v>8935</v>
      </c>
      <c r="C8966" t="s">
        <v>9274</v>
      </c>
      <c r="D8966" t="s">
        <v>3245</v>
      </c>
      <c r="E8966" t="s">
        <v>152</v>
      </c>
      <c r="F8966" t="s">
        <v>152</v>
      </c>
      <c r="G8966" t="s">
        <v>152</v>
      </c>
      <c r="H8966" t="s">
        <v>859</v>
      </c>
      <c r="I8966" t="s">
        <v>860</v>
      </c>
      <c r="J8966" t="str">
        <f>"9051402"</f>
        <v>9051402</v>
      </c>
      <c r="K8966">
        <v>2106531483</v>
      </c>
      <c r="L8966">
        <v>2106531483</v>
      </c>
      <c r="M8966" t="s">
        <v>9275</v>
      </c>
      <c r="N8966" t="s">
        <v>4693</v>
      </c>
      <c r="O8966" t="s">
        <v>9276</v>
      </c>
      <c r="P8966">
        <v>15341</v>
      </c>
      <c r="Q8966" t="str">
        <f>"38.007558"</f>
        <v>38.007558</v>
      </c>
      <c r="R8966" t="str">
        <f>"23.812420"</f>
        <v>23.812420</v>
      </c>
      <c r="S8966" t="s">
        <v>26</v>
      </c>
    </row>
    <row r="8967" spans="1:19" x14ac:dyDescent="0.3">
      <c r="A8967" t="s">
        <v>3237</v>
      </c>
      <c r="B8967" t="s">
        <v>8935</v>
      </c>
      <c r="C8967" t="s">
        <v>9279</v>
      </c>
      <c r="D8967" t="s">
        <v>3245</v>
      </c>
      <c r="E8967" t="s">
        <v>4591</v>
      </c>
      <c r="F8967" t="s">
        <v>4591</v>
      </c>
      <c r="G8967" t="s">
        <v>4591</v>
      </c>
      <c r="H8967" t="s">
        <v>859</v>
      </c>
      <c r="I8967" t="s">
        <v>860</v>
      </c>
      <c r="J8967" t="str">
        <f>"9051422"</f>
        <v>9051422</v>
      </c>
      <c r="K8967">
        <v>2108068288</v>
      </c>
      <c r="L8967">
        <v>2108068288</v>
      </c>
      <c r="M8967" t="s">
        <v>9280</v>
      </c>
      <c r="N8967" t="s">
        <v>4600</v>
      </c>
      <c r="O8967" t="s">
        <v>8974</v>
      </c>
      <c r="P8967">
        <v>15124</v>
      </c>
      <c r="Q8967" t="str">
        <f>"38.051755"</f>
        <v>38.051755</v>
      </c>
      <c r="R8967" t="str">
        <f>"23.801581"</f>
        <v>23.801581</v>
      </c>
      <c r="S8967" t="s">
        <v>26</v>
      </c>
    </row>
    <row r="8968" spans="1:19" x14ac:dyDescent="0.3">
      <c r="A8968" t="s">
        <v>3237</v>
      </c>
      <c r="B8968" t="s">
        <v>8935</v>
      </c>
      <c r="C8968" t="s">
        <v>9286</v>
      </c>
      <c r="D8968" t="s">
        <v>3245</v>
      </c>
      <c r="E8968" t="s">
        <v>3246</v>
      </c>
      <c r="F8968" t="s">
        <v>3246</v>
      </c>
      <c r="G8968" t="s">
        <v>3246</v>
      </c>
      <c r="H8968" t="s">
        <v>859</v>
      </c>
      <c r="I8968" t="s">
        <v>860</v>
      </c>
      <c r="J8968" t="str">
        <f>"9050501"</f>
        <v>9050501</v>
      </c>
      <c r="K8968">
        <v>2102754570</v>
      </c>
      <c r="L8968">
        <v>2102754570</v>
      </c>
      <c r="M8968" t="s">
        <v>9287</v>
      </c>
      <c r="N8968" t="s">
        <v>3249</v>
      </c>
      <c r="O8968" t="s">
        <v>9288</v>
      </c>
      <c r="P8968">
        <v>14233</v>
      </c>
      <c r="Q8968" t="str">
        <f>"38.033453"</f>
        <v>38.033453</v>
      </c>
      <c r="R8968" t="str">
        <f>"23.763227"</f>
        <v>23.763227</v>
      </c>
      <c r="S8968" t="s">
        <v>26</v>
      </c>
    </row>
    <row r="8969" spans="1:19" x14ac:dyDescent="0.3">
      <c r="A8969" t="s">
        <v>3237</v>
      </c>
      <c r="B8969" t="s">
        <v>8935</v>
      </c>
      <c r="C8969" t="s">
        <v>9289</v>
      </c>
      <c r="D8969" t="s">
        <v>3245</v>
      </c>
      <c r="E8969" t="s">
        <v>4713</v>
      </c>
      <c r="F8969" t="s">
        <v>4714</v>
      </c>
      <c r="G8969" t="s">
        <v>4714</v>
      </c>
      <c r="H8969" t="s">
        <v>859</v>
      </c>
      <c r="I8969" t="s">
        <v>860</v>
      </c>
      <c r="J8969" t="str">
        <f>"9051862"</f>
        <v>9051862</v>
      </c>
      <c r="K8969">
        <v>2108024383</v>
      </c>
      <c r="L8969">
        <v>2108024383</v>
      </c>
      <c r="M8969" t="s">
        <v>9290</v>
      </c>
      <c r="N8969" t="s">
        <v>4717</v>
      </c>
      <c r="O8969" t="s">
        <v>9291</v>
      </c>
      <c r="P8969">
        <v>15121</v>
      </c>
      <c r="Q8969" t="str">
        <f>"38.058408"</f>
        <v>38.058408</v>
      </c>
      <c r="R8969" t="str">
        <f>"23.790141"</f>
        <v>23.790141</v>
      </c>
      <c r="S8969" t="s">
        <v>26</v>
      </c>
    </row>
    <row r="8970" spans="1:19" x14ac:dyDescent="0.3">
      <c r="A8970" t="s">
        <v>3237</v>
      </c>
      <c r="B8970" t="s">
        <v>8935</v>
      </c>
      <c r="C8970" t="s">
        <v>9292</v>
      </c>
      <c r="D8970" t="s">
        <v>3245</v>
      </c>
      <c r="E8970" t="s">
        <v>4713</v>
      </c>
      <c r="F8970" t="s">
        <v>4714</v>
      </c>
      <c r="G8970" t="s">
        <v>4714</v>
      </c>
      <c r="H8970" t="s">
        <v>859</v>
      </c>
      <c r="I8970" t="s">
        <v>860</v>
      </c>
      <c r="J8970" t="str">
        <f>"9051295"</f>
        <v>9051295</v>
      </c>
      <c r="K8970">
        <v>2108066000</v>
      </c>
      <c r="L8970">
        <v>2108066000</v>
      </c>
      <c r="M8970" t="s">
        <v>9293</v>
      </c>
      <c r="N8970" t="s">
        <v>4717</v>
      </c>
      <c r="O8970" t="s">
        <v>9294</v>
      </c>
      <c r="P8970">
        <v>15121</v>
      </c>
      <c r="Q8970" t="str">
        <f>"38.063535"</f>
        <v>38.063535</v>
      </c>
      <c r="R8970" t="str">
        <f>"23.796523"</f>
        <v>23.796523</v>
      </c>
      <c r="S8970" t="s">
        <v>26</v>
      </c>
    </row>
    <row r="8971" spans="1:19" x14ac:dyDescent="0.3">
      <c r="A8971" t="s">
        <v>3237</v>
      </c>
      <c r="B8971" t="s">
        <v>8935</v>
      </c>
      <c r="C8971" t="s">
        <v>9295</v>
      </c>
      <c r="D8971" t="s">
        <v>3245</v>
      </c>
      <c r="E8971" t="s">
        <v>4048</v>
      </c>
      <c r="F8971" t="s">
        <v>4048</v>
      </c>
      <c r="G8971" t="s">
        <v>4048</v>
      </c>
      <c r="H8971" t="s">
        <v>859</v>
      </c>
      <c r="I8971" t="s">
        <v>860</v>
      </c>
      <c r="J8971" t="str">
        <f>"9050708"</f>
        <v>9050708</v>
      </c>
      <c r="K8971">
        <v>2108017267</v>
      </c>
      <c r="L8971">
        <v>2108017267</v>
      </c>
      <c r="M8971" t="s">
        <v>9296</v>
      </c>
      <c r="N8971" t="s">
        <v>4605</v>
      </c>
      <c r="O8971" t="s">
        <v>9297</v>
      </c>
      <c r="P8971">
        <v>14562</v>
      </c>
      <c r="Q8971" t="str">
        <f>"38.069044"</f>
        <v>38.069044</v>
      </c>
      <c r="R8971" t="str">
        <f>"23.815627"</f>
        <v>23.815627</v>
      </c>
      <c r="S8971" t="s">
        <v>26</v>
      </c>
    </row>
    <row r="8972" spans="1:19" x14ac:dyDescent="0.3">
      <c r="A8972" t="s">
        <v>3237</v>
      </c>
      <c r="B8972" t="s">
        <v>8935</v>
      </c>
      <c r="C8972" t="s">
        <v>9303</v>
      </c>
      <c r="D8972" t="s">
        <v>3245</v>
      </c>
      <c r="E8972" t="s">
        <v>4713</v>
      </c>
      <c r="F8972" t="s">
        <v>4714</v>
      </c>
      <c r="G8972" t="s">
        <v>4714</v>
      </c>
      <c r="H8972" t="s">
        <v>859</v>
      </c>
      <c r="I8972" t="s">
        <v>860</v>
      </c>
      <c r="J8972" t="str">
        <f>"9051449"</f>
        <v>9051449</v>
      </c>
      <c r="K8972">
        <v>2108061241</v>
      </c>
      <c r="L8972">
        <v>2108061241</v>
      </c>
      <c r="M8972" t="s">
        <v>9304</v>
      </c>
      <c r="N8972" t="s">
        <v>4717</v>
      </c>
      <c r="O8972" t="s">
        <v>9305</v>
      </c>
      <c r="P8972">
        <v>15121</v>
      </c>
      <c r="Q8972" t="str">
        <f>"38.063719"</f>
        <v>38.063719</v>
      </c>
      <c r="R8972" t="str">
        <f>"23.796014"</f>
        <v>23.796014</v>
      </c>
      <c r="S8972" t="s">
        <v>26</v>
      </c>
    </row>
    <row r="8973" spans="1:19" x14ac:dyDescent="0.3">
      <c r="A8973" t="s">
        <v>3237</v>
      </c>
      <c r="B8973" t="s">
        <v>8935</v>
      </c>
      <c r="C8973" t="s">
        <v>9306</v>
      </c>
      <c r="D8973" t="s">
        <v>3245</v>
      </c>
      <c r="E8973" t="s">
        <v>3246</v>
      </c>
      <c r="F8973" t="s">
        <v>3246</v>
      </c>
      <c r="G8973" t="s">
        <v>3246</v>
      </c>
      <c r="H8973" t="s">
        <v>859</v>
      </c>
      <c r="I8973" t="s">
        <v>860</v>
      </c>
      <c r="J8973" t="str">
        <f>"9051426"</f>
        <v>9051426</v>
      </c>
      <c r="K8973">
        <v>2102777889</v>
      </c>
      <c r="L8973">
        <v>2102725109</v>
      </c>
      <c r="M8973" t="s">
        <v>9307</v>
      </c>
      <c r="N8973" t="s">
        <v>3246</v>
      </c>
      <c r="O8973" t="s">
        <v>9265</v>
      </c>
      <c r="P8973">
        <v>14234</v>
      </c>
      <c r="Q8973" t="str">
        <f>"38.038821"</f>
        <v>38.038821</v>
      </c>
      <c r="R8973" t="str">
        <f>"23.765185"</f>
        <v>23.765185</v>
      </c>
      <c r="S8973" t="s">
        <v>26</v>
      </c>
    </row>
    <row r="8974" spans="1:19" x14ac:dyDescent="0.3">
      <c r="A8974" t="s">
        <v>3237</v>
      </c>
      <c r="B8974" t="s">
        <v>8935</v>
      </c>
      <c r="C8974" t="s">
        <v>9308</v>
      </c>
      <c r="D8974" t="s">
        <v>3245</v>
      </c>
      <c r="E8974" t="s">
        <v>3246</v>
      </c>
      <c r="F8974" t="s">
        <v>3246</v>
      </c>
      <c r="G8974" t="s">
        <v>3246</v>
      </c>
      <c r="H8974" t="s">
        <v>859</v>
      </c>
      <c r="I8974" t="s">
        <v>860</v>
      </c>
      <c r="J8974" t="str">
        <f>"9051456"</f>
        <v>9051456</v>
      </c>
      <c r="K8974">
        <v>2102777889</v>
      </c>
      <c r="L8974">
        <v>2102725109</v>
      </c>
      <c r="M8974" t="s">
        <v>9309</v>
      </c>
      <c r="N8974" t="s">
        <v>3246</v>
      </c>
      <c r="O8974" t="s">
        <v>9265</v>
      </c>
      <c r="P8974">
        <v>14234</v>
      </c>
      <c r="Q8974" t="str">
        <f>"38.038820"</f>
        <v>38.038820</v>
      </c>
      <c r="R8974" t="str">
        <f>"23.765184"</f>
        <v>23.765184</v>
      </c>
      <c r="S8974" t="s">
        <v>26</v>
      </c>
    </row>
    <row r="8975" spans="1:19" x14ac:dyDescent="0.3">
      <c r="A8975" t="s">
        <v>3237</v>
      </c>
      <c r="B8975" t="s">
        <v>8935</v>
      </c>
      <c r="C8975" t="s">
        <v>9312</v>
      </c>
      <c r="D8975" t="s">
        <v>3245</v>
      </c>
      <c r="E8975" t="s">
        <v>3246</v>
      </c>
      <c r="F8975" t="s">
        <v>3246</v>
      </c>
      <c r="G8975" t="s">
        <v>3246</v>
      </c>
      <c r="H8975" t="s">
        <v>859</v>
      </c>
      <c r="I8975" t="s">
        <v>860</v>
      </c>
      <c r="J8975" t="str">
        <f>"9050505"</f>
        <v>9050505</v>
      </c>
      <c r="K8975">
        <v>2102530928</v>
      </c>
      <c r="L8975">
        <v>2102530928</v>
      </c>
      <c r="M8975" t="s">
        <v>9313</v>
      </c>
      <c r="N8975" t="s">
        <v>3249</v>
      </c>
      <c r="O8975" t="s">
        <v>9144</v>
      </c>
      <c r="P8975">
        <v>14232</v>
      </c>
      <c r="Q8975" t="str">
        <f>"38.030991"</f>
        <v>38.030991</v>
      </c>
      <c r="R8975" t="str">
        <f>"23.745365"</f>
        <v>23.745365</v>
      </c>
      <c r="S8975" t="s">
        <v>26</v>
      </c>
    </row>
    <row r="8976" spans="1:19" x14ac:dyDescent="0.3">
      <c r="A8976" t="s">
        <v>3237</v>
      </c>
      <c r="B8976" t="s">
        <v>8935</v>
      </c>
      <c r="C8976" t="s">
        <v>9326</v>
      </c>
      <c r="D8976" t="s">
        <v>3245</v>
      </c>
      <c r="E8976" t="s">
        <v>4591</v>
      </c>
      <c r="F8976" t="s">
        <v>4591</v>
      </c>
      <c r="G8976" t="s">
        <v>4591</v>
      </c>
      <c r="H8976" t="s">
        <v>859</v>
      </c>
      <c r="I8976" t="s">
        <v>860</v>
      </c>
      <c r="J8976" t="str">
        <f>"9051212"</f>
        <v>9051212</v>
      </c>
      <c r="K8976">
        <v>2108066055</v>
      </c>
      <c r="L8976">
        <v>2108066055</v>
      </c>
      <c r="M8976" t="s">
        <v>9327</v>
      </c>
      <c r="N8976" t="s">
        <v>4600</v>
      </c>
      <c r="O8976" t="s">
        <v>9328</v>
      </c>
      <c r="P8976">
        <v>15122</v>
      </c>
      <c r="Q8976" t="str">
        <f>"38.051346"</f>
        <v>38.051346</v>
      </c>
      <c r="R8976" t="str">
        <f>"23.796536"</f>
        <v>23.796536</v>
      </c>
      <c r="S8976" t="s">
        <v>26</v>
      </c>
    </row>
    <row r="8977" spans="1:19" x14ac:dyDescent="0.3">
      <c r="A8977" t="s">
        <v>3237</v>
      </c>
      <c r="B8977" t="s">
        <v>8935</v>
      </c>
      <c r="C8977" t="s">
        <v>9329</v>
      </c>
      <c r="D8977" t="s">
        <v>3245</v>
      </c>
      <c r="E8977" t="s">
        <v>4618</v>
      </c>
      <c r="F8977" t="s">
        <v>4618</v>
      </c>
      <c r="G8977" t="s">
        <v>4618</v>
      </c>
      <c r="H8977" t="s">
        <v>859</v>
      </c>
      <c r="I8977" t="s">
        <v>860</v>
      </c>
      <c r="J8977" t="str">
        <f>"9050845"</f>
        <v>9050845</v>
      </c>
      <c r="K8977">
        <v>2102820985</v>
      </c>
      <c r="L8977">
        <v>2102820985</v>
      </c>
      <c r="M8977" t="s">
        <v>9330</v>
      </c>
      <c r="N8977" t="s">
        <v>9155</v>
      </c>
      <c r="O8977" t="s">
        <v>9331</v>
      </c>
      <c r="P8977">
        <v>14121</v>
      </c>
      <c r="Q8977" t="str">
        <f>"38.048161"</f>
        <v>38.048161</v>
      </c>
      <c r="R8977" t="str">
        <f>"23.775361"</f>
        <v>23.775361</v>
      </c>
      <c r="S8977" t="s">
        <v>26</v>
      </c>
    </row>
    <row r="8978" spans="1:19" x14ac:dyDescent="0.3">
      <c r="A8978" t="s">
        <v>3237</v>
      </c>
      <c r="B8978" t="s">
        <v>8935</v>
      </c>
      <c r="C8978" t="s">
        <v>9332</v>
      </c>
      <c r="D8978" t="s">
        <v>3245</v>
      </c>
      <c r="E8978" t="s">
        <v>4591</v>
      </c>
      <c r="F8978" t="s">
        <v>4591</v>
      </c>
      <c r="G8978" t="s">
        <v>4591</v>
      </c>
      <c r="H8978" t="s">
        <v>859</v>
      </c>
      <c r="I8978" t="s">
        <v>860</v>
      </c>
      <c r="J8978" t="str">
        <f>"9051423"</f>
        <v>9051423</v>
      </c>
      <c r="K8978">
        <v>2108069109</v>
      </c>
      <c r="L8978">
        <v>2108069109</v>
      </c>
      <c r="M8978" t="s">
        <v>9333</v>
      </c>
      <c r="N8978" t="s">
        <v>4600</v>
      </c>
      <c r="O8978" t="s">
        <v>9334</v>
      </c>
      <c r="P8978">
        <v>15122</v>
      </c>
      <c r="Q8978" t="str">
        <f>"38.052889"</f>
        <v>38.052889</v>
      </c>
      <c r="R8978" t="str">
        <f>"23.796533"</f>
        <v>23.796533</v>
      </c>
      <c r="S8978" t="s">
        <v>26</v>
      </c>
    </row>
    <row r="8979" spans="1:19" x14ac:dyDescent="0.3">
      <c r="A8979" t="s">
        <v>3237</v>
      </c>
      <c r="B8979" t="s">
        <v>8935</v>
      </c>
      <c r="C8979" t="s">
        <v>9335</v>
      </c>
      <c r="D8979" t="s">
        <v>3245</v>
      </c>
      <c r="E8979" t="s">
        <v>4591</v>
      </c>
      <c r="F8979" t="s">
        <v>4591</v>
      </c>
      <c r="G8979" t="s">
        <v>4591</v>
      </c>
      <c r="H8979" t="s">
        <v>859</v>
      </c>
      <c r="I8979" t="s">
        <v>860</v>
      </c>
      <c r="J8979" t="str">
        <f>"9051447"</f>
        <v>9051447</v>
      </c>
      <c r="K8979">
        <v>2106197725</v>
      </c>
      <c r="L8979">
        <v>2106197725</v>
      </c>
      <c r="M8979" t="s">
        <v>9336</v>
      </c>
      <c r="N8979" t="s">
        <v>4600</v>
      </c>
      <c r="O8979" t="s">
        <v>9337</v>
      </c>
      <c r="P8979">
        <v>15124</v>
      </c>
      <c r="Q8979" t="str">
        <f>"38.038696"</f>
        <v>38.038696</v>
      </c>
      <c r="R8979" t="str">
        <f>"23.796657"</f>
        <v>23.796657</v>
      </c>
      <c r="S8979" t="s">
        <v>26</v>
      </c>
    </row>
    <row r="8980" spans="1:19" x14ac:dyDescent="0.3">
      <c r="A8980" t="s">
        <v>3237</v>
      </c>
      <c r="B8980" t="s">
        <v>8935</v>
      </c>
      <c r="C8980" t="s">
        <v>9338</v>
      </c>
      <c r="D8980" t="s">
        <v>3245</v>
      </c>
      <c r="E8980" t="s">
        <v>4591</v>
      </c>
      <c r="F8980" t="s">
        <v>4591</v>
      </c>
      <c r="G8980" t="s">
        <v>4591</v>
      </c>
      <c r="H8980" t="s">
        <v>859</v>
      </c>
      <c r="I8980" t="s">
        <v>860</v>
      </c>
      <c r="J8980" t="str">
        <f>"9051580"</f>
        <v>9051580</v>
      </c>
      <c r="K8980">
        <v>2106105963</v>
      </c>
      <c r="L8980">
        <v>2106105963</v>
      </c>
      <c r="M8980" t="s">
        <v>9339</v>
      </c>
      <c r="N8980" t="s">
        <v>4600</v>
      </c>
      <c r="O8980" t="s">
        <v>9340</v>
      </c>
      <c r="P8980">
        <v>15126</v>
      </c>
      <c r="Q8980" t="str">
        <f>"38.041847"</f>
        <v>38.041847</v>
      </c>
      <c r="R8980" t="str">
        <f>"23.823786"</f>
        <v>23.823786</v>
      </c>
      <c r="S8980" t="s">
        <v>26</v>
      </c>
    </row>
    <row r="8981" spans="1:19" x14ac:dyDescent="0.3">
      <c r="A8981" t="s">
        <v>3237</v>
      </c>
      <c r="B8981" t="s">
        <v>8935</v>
      </c>
      <c r="C8981" t="s">
        <v>9341</v>
      </c>
      <c r="D8981" t="s">
        <v>3245</v>
      </c>
      <c r="E8981" t="s">
        <v>4832</v>
      </c>
      <c r="F8981" t="s">
        <v>4832</v>
      </c>
      <c r="G8981" t="s">
        <v>4832</v>
      </c>
      <c r="H8981" t="s">
        <v>859</v>
      </c>
      <c r="I8981" t="s">
        <v>860</v>
      </c>
      <c r="J8981" t="str">
        <f>"9050846"</f>
        <v>9050846</v>
      </c>
      <c r="K8981">
        <v>2102850390</v>
      </c>
      <c r="L8981">
        <v>2102850390</v>
      </c>
      <c r="M8981" t="s">
        <v>9342</v>
      </c>
      <c r="N8981" t="s">
        <v>4835</v>
      </c>
      <c r="O8981" t="s">
        <v>9343</v>
      </c>
      <c r="P8981">
        <v>14452</v>
      </c>
      <c r="Q8981" t="str">
        <f>"38.064828"</f>
        <v>38.064828</v>
      </c>
      <c r="R8981" t="str">
        <f>"23.753797"</f>
        <v>23.753797</v>
      </c>
      <c r="S8981" t="s">
        <v>26</v>
      </c>
    </row>
    <row r="8982" spans="1:19" x14ac:dyDescent="0.3">
      <c r="A8982" t="s">
        <v>3237</v>
      </c>
      <c r="B8982" t="s">
        <v>8935</v>
      </c>
      <c r="C8982" t="s">
        <v>9344</v>
      </c>
      <c r="D8982" t="s">
        <v>3245</v>
      </c>
      <c r="E8982" t="s">
        <v>4048</v>
      </c>
      <c r="F8982" t="s">
        <v>4048</v>
      </c>
      <c r="G8982" t="s">
        <v>4048</v>
      </c>
      <c r="H8982" t="s">
        <v>859</v>
      </c>
      <c r="I8982" t="s">
        <v>860</v>
      </c>
      <c r="J8982" t="str">
        <f>"9050709"</f>
        <v>9050709</v>
      </c>
      <c r="K8982">
        <v>2108017888</v>
      </c>
      <c r="L8982">
        <v>2108017888</v>
      </c>
      <c r="M8982" t="s">
        <v>9345</v>
      </c>
      <c r="N8982" t="s">
        <v>4605</v>
      </c>
      <c r="O8982" t="s">
        <v>9346</v>
      </c>
      <c r="P8982">
        <v>14561</v>
      </c>
      <c r="Q8982" t="str">
        <f>"38.077167"</f>
        <v>38.077167</v>
      </c>
      <c r="R8982" t="str">
        <f>"23.799321"</f>
        <v>23.799321</v>
      </c>
      <c r="S8982" t="s">
        <v>26</v>
      </c>
    </row>
    <row r="8983" spans="1:19" x14ac:dyDescent="0.3">
      <c r="A8983" t="s">
        <v>3237</v>
      </c>
      <c r="B8983" t="s">
        <v>8935</v>
      </c>
      <c r="C8983" t="s">
        <v>9347</v>
      </c>
      <c r="D8983" t="s">
        <v>3245</v>
      </c>
      <c r="E8983" t="s">
        <v>4048</v>
      </c>
      <c r="F8983" t="s">
        <v>4048</v>
      </c>
      <c r="G8983" t="s">
        <v>4048</v>
      </c>
      <c r="H8983" t="s">
        <v>859</v>
      </c>
      <c r="I8983" t="s">
        <v>860</v>
      </c>
      <c r="J8983" t="str">
        <f>"9051452"</f>
        <v>9051452</v>
      </c>
      <c r="K8983">
        <v>2108070144</v>
      </c>
      <c r="L8983">
        <v>2108070144</v>
      </c>
      <c r="M8983" t="s">
        <v>9348</v>
      </c>
      <c r="N8983" t="s">
        <v>4605</v>
      </c>
      <c r="O8983" t="s">
        <v>9349</v>
      </c>
      <c r="P8983">
        <v>14564</v>
      </c>
      <c r="Q8983" t="str">
        <f>"38.099764"</f>
        <v>38.099764</v>
      </c>
      <c r="R8983" t="str">
        <f>"23.798232"</f>
        <v>23.798232</v>
      </c>
      <c r="S8983" t="s">
        <v>26</v>
      </c>
    </row>
    <row r="8984" spans="1:19" x14ac:dyDescent="0.3">
      <c r="A8984" t="s">
        <v>3237</v>
      </c>
      <c r="B8984" t="s">
        <v>8935</v>
      </c>
      <c r="C8984" t="s">
        <v>9350</v>
      </c>
      <c r="D8984" t="s">
        <v>3245</v>
      </c>
      <c r="E8984" t="s">
        <v>4048</v>
      </c>
      <c r="F8984" t="s">
        <v>4048</v>
      </c>
      <c r="G8984" t="s">
        <v>4048</v>
      </c>
      <c r="H8984" t="s">
        <v>859</v>
      </c>
      <c r="I8984" t="s">
        <v>860</v>
      </c>
      <c r="J8984" t="str">
        <f>"9051874"</f>
        <v>9051874</v>
      </c>
      <c r="K8984">
        <v>2108010227</v>
      </c>
      <c r="M8984" t="s">
        <v>9351</v>
      </c>
      <c r="N8984" t="s">
        <v>4605</v>
      </c>
      <c r="O8984" t="s">
        <v>9352</v>
      </c>
      <c r="P8984">
        <v>14562</v>
      </c>
      <c r="Q8984" t="str">
        <f>"38.066443"</f>
        <v>38.066443</v>
      </c>
      <c r="R8984" t="str">
        <f>"23.831817"</f>
        <v>23.831817</v>
      </c>
      <c r="S8984" t="s">
        <v>26</v>
      </c>
    </row>
    <row r="8985" spans="1:19" x14ac:dyDescent="0.3">
      <c r="A8985" t="s">
        <v>3237</v>
      </c>
      <c r="B8985" t="s">
        <v>8935</v>
      </c>
      <c r="C8985" t="s">
        <v>9353</v>
      </c>
      <c r="D8985" t="s">
        <v>3245</v>
      </c>
      <c r="E8985" t="s">
        <v>4586</v>
      </c>
      <c r="F8985" t="s">
        <v>4807</v>
      </c>
      <c r="G8985" t="s">
        <v>4807</v>
      </c>
      <c r="H8985" t="s">
        <v>859</v>
      </c>
      <c r="I8985" t="s">
        <v>860</v>
      </c>
      <c r="J8985" t="str">
        <f>"9051584"</f>
        <v>9051584</v>
      </c>
      <c r="K8985">
        <v>2106133945</v>
      </c>
      <c r="L8985">
        <v>2106133021</v>
      </c>
      <c r="M8985" t="s">
        <v>9354</v>
      </c>
      <c r="N8985" t="s">
        <v>4810</v>
      </c>
      <c r="O8985" t="s">
        <v>9355</v>
      </c>
      <c r="P8985">
        <v>15127</v>
      </c>
      <c r="Q8985" t="str">
        <f>"38.054778"</f>
        <v>38.054778</v>
      </c>
      <c r="R8985" t="str">
        <f>"23.846374"</f>
        <v>23.846374</v>
      </c>
      <c r="S8985" t="s">
        <v>26</v>
      </c>
    </row>
    <row r="8986" spans="1:19" x14ac:dyDescent="0.3">
      <c r="A8986" t="s">
        <v>3237</v>
      </c>
      <c r="B8986" t="s">
        <v>8935</v>
      </c>
      <c r="C8986" t="s">
        <v>9356</v>
      </c>
      <c r="D8986" t="s">
        <v>3245</v>
      </c>
      <c r="E8986" t="s">
        <v>3246</v>
      </c>
      <c r="F8986" t="s">
        <v>3246</v>
      </c>
      <c r="G8986" t="s">
        <v>3246</v>
      </c>
      <c r="H8986" t="s">
        <v>859</v>
      </c>
      <c r="I8986" t="s">
        <v>860</v>
      </c>
      <c r="J8986" t="str">
        <f>"9050503"</f>
        <v>9050503</v>
      </c>
      <c r="K8986">
        <v>2102778713</v>
      </c>
      <c r="L8986">
        <v>2102778713</v>
      </c>
      <c r="M8986" t="s">
        <v>9357</v>
      </c>
      <c r="N8986" t="s">
        <v>3249</v>
      </c>
      <c r="O8986" t="s">
        <v>9358</v>
      </c>
      <c r="P8986">
        <v>14231</v>
      </c>
      <c r="Q8986" t="str">
        <f>"38.043523"</f>
        <v>38.043523</v>
      </c>
      <c r="R8986" t="str">
        <f>"23.757465"</f>
        <v>23.757465</v>
      </c>
      <c r="S8986" t="s">
        <v>26</v>
      </c>
    </row>
    <row r="8987" spans="1:19" x14ac:dyDescent="0.3">
      <c r="A8987" t="s">
        <v>3237</v>
      </c>
      <c r="B8987" t="s">
        <v>8935</v>
      </c>
      <c r="C8987" t="s">
        <v>9359</v>
      </c>
      <c r="D8987" t="s">
        <v>3245</v>
      </c>
      <c r="E8987" t="s">
        <v>4713</v>
      </c>
      <c r="F8987" t="s">
        <v>4714</v>
      </c>
      <c r="G8987" t="s">
        <v>4714</v>
      </c>
      <c r="H8987" t="s">
        <v>859</v>
      </c>
      <c r="I8987" t="s">
        <v>860</v>
      </c>
      <c r="J8987" t="str">
        <f>"9051581"</f>
        <v>9051581</v>
      </c>
      <c r="K8987">
        <v>2108029149</v>
      </c>
      <c r="L8987">
        <v>2106144019</v>
      </c>
      <c r="M8987" t="s">
        <v>9360</v>
      </c>
      <c r="N8987" t="s">
        <v>4717</v>
      </c>
      <c r="O8987" t="s">
        <v>4948</v>
      </c>
      <c r="P8987">
        <v>15121</v>
      </c>
      <c r="Q8987" t="str">
        <f>"38.052322"</f>
        <v>38.052322</v>
      </c>
      <c r="R8987" t="str">
        <f>"23.788318"</f>
        <v>23.788318</v>
      </c>
      <c r="S8987" t="s">
        <v>26</v>
      </c>
    </row>
    <row r="8988" spans="1:19" x14ac:dyDescent="0.3">
      <c r="A8988" t="s">
        <v>3237</v>
      </c>
      <c r="B8988" t="s">
        <v>8935</v>
      </c>
      <c r="C8988" t="s">
        <v>9371</v>
      </c>
      <c r="D8988" t="s">
        <v>3245</v>
      </c>
      <c r="E8988" t="s">
        <v>4618</v>
      </c>
      <c r="F8988" t="s">
        <v>4618</v>
      </c>
      <c r="G8988" t="s">
        <v>4618</v>
      </c>
      <c r="H8988" t="s">
        <v>859</v>
      </c>
      <c r="I8988" t="s">
        <v>860</v>
      </c>
      <c r="J8988" t="str">
        <f>"9050994"</f>
        <v>9050994</v>
      </c>
      <c r="K8988">
        <v>2102824736</v>
      </c>
      <c r="L8988">
        <v>2102824736</v>
      </c>
      <c r="M8988" t="s">
        <v>9372</v>
      </c>
      <c r="N8988" t="s">
        <v>9155</v>
      </c>
      <c r="O8988" t="s">
        <v>9373</v>
      </c>
      <c r="P8988">
        <v>14122</v>
      </c>
      <c r="Q8988" t="str">
        <f>"38.055759"</f>
        <v>38.055759</v>
      </c>
      <c r="R8988" t="str">
        <f>"23.772804"</f>
        <v>23.772804</v>
      </c>
      <c r="S8988" t="s">
        <v>26</v>
      </c>
    </row>
    <row r="8989" spans="1:19" x14ac:dyDescent="0.3">
      <c r="A8989" t="s">
        <v>3237</v>
      </c>
      <c r="B8989" t="s">
        <v>8935</v>
      </c>
      <c r="C8989" t="s">
        <v>9376</v>
      </c>
      <c r="D8989" t="s">
        <v>3245</v>
      </c>
      <c r="E8989" t="s">
        <v>4618</v>
      </c>
      <c r="F8989" t="s">
        <v>4618</v>
      </c>
      <c r="G8989" t="s">
        <v>4618</v>
      </c>
      <c r="H8989" t="s">
        <v>859</v>
      </c>
      <c r="I8989" t="s">
        <v>860</v>
      </c>
      <c r="J8989" t="str">
        <f>"9050467"</f>
        <v>9050467</v>
      </c>
      <c r="K8989">
        <v>2102827220</v>
      </c>
      <c r="L8989">
        <v>2102827220</v>
      </c>
      <c r="M8989" t="s">
        <v>9377</v>
      </c>
      <c r="N8989" t="s">
        <v>9155</v>
      </c>
      <c r="O8989" t="s">
        <v>9378</v>
      </c>
      <c r="P8989">
        <v>14122</v>
      </c>
      <c r="Q8989" t="str">
        <f>"38.049726"</f>
        <v>38.049726</v>
      </c>
      <c r="R8989" t="str">
        <f>"23.767264"</f>
        <v>23.767264</v>
      </c>
      <c r="S8989" t="s">
        <v>26</v>
      </c>
    </row>
    <row r="8990" spans="1:19" x14ac:dyDescent="0.3">
      <c r="A8990" t="s">
        <v>3237</v>
      </c>
      <c r="B8990" t="s">
        <v>8935</v>
      </c>
      <c r="C8990" t="s">
        <v>9379</v>
      </c>
      <c r="D8990" t="s">
        <v>3245</v>
      </c>
      <c r="E8990" t="s">
        <v>4618</v>
      </c>
      <c r="F8990" t="s">
        <v>4618</v>
      </c>
      <c r="G8990" t="s">
        <v>4618</v>
      </c>
      <c r="H8990" t="s">
        <v>859</v>
      </c>
      <c r="I8990" t="s">
        <v>860</v>
      </c>
      <c r="J8990" t="str">
        <f>"9051297"</f>
        <v>9051297</v>
      </c>
      <c r="K8990">
        <v>2102774448</v>
      </c>
      <c r="L8990">
        <v>2102774448</v>
      </c>
      <c r="M8990" t="s">
        <v>9380</v>
      </c>
      <c r="N8990" t="s">
        <v>9381</v>
      </c>
      <c r="O8990" t="s">
        <v>9382</v>
      </c>
      <c r="P8990">
        <v>14121</v>
      </c>
      <c r="Q8990" t="str">
        <f>"38.041222"</f>
        <v>38.041222</v>
      </c>
      <c r="R8990" t="str">
        <f>"23.766849"</f>
        <v>23.766849</v>
      </c>
      <c r="S8990" t="s">
        <v>26</v>
      </c>
    </row>
    <row r="8991" spans="1:19" x14ac:dyDescent="0.3">
      <c r="A8991" t="s">
        <v>3237</v>
      </c>
      <c r="B8991" t="s">
        <v>8935</v>
      </c>
      <c r="C8991" t="s">
        <v>9387</v>
      </c>
      <c r="D8991" t="s">
        <v>3245</v>
      </c>
      <c r="E8991" t="s">
        <v>4618</v>
      </c>
      <c r="F8991" t="s">
        <v>4618</v>
      </c>
      <c r="G8991" t="s">
        <v>4618</v>
      </c>
      <c r="H8991" t="s">
        <v>859</v>
      </c>
      <c r="I8991" t="s">
        <v>860</v>
      </c>
      <c r="J8991" t="str">
        <f>"9051037"</f>
        <v>9051037</v>
      </c>
      <c r="K8991">
        <v>2102820641</v>
      </c>
      <c r="L8991">
        <v>210282064</v>
      </c>
      <c r="M8991" t="s">
        <v>9388</v>
      </c>
      <c r="N8991" t="s">
        <v>9155</v>
      </c>
      <c r="O8991" t="s">
        <v>9389</v>
      </c>
      <c r="P8991">
        <v>14121</v>
      </c>
      <c r="Q8991" t="str">
        <f>"38.048213"</f>
        <v>38.048213</v>
      </c>
      <c r="R8991" t="str">
        <f>"23.777834"</f>
        <v>23.777834</v>
      </c>
      <c r="S8991" t="s">
        <v>26</v>
      </c>
    </row>
    <row r="8992" spans="1:19" x14ac:dyDescent="0.3">
      <c r="A8992" t="s">
        <v>3237</v>
      </c>
      <c r="B8992" t="s">
        <v>8935</v>
      </c>
      <c r="C8992" t="s">
        <v>9390</v>
      </c>
      <c r="D8992" t="s">
        <v>3245</v>
      </c>
      <c r="E8992" t="s">
        <v>4649</v>
      </c>
      <c r="F8992" t="s">
        <v>4649</v>
      </c>
      <c r="G8992" t="s">
        <v>4649</v>
      </c>
      <c r="H8992" t="s">
        <v>859</v>
      </c>
      <c r="I8992" t="s">
        <v>860</v>
      </c>
      <c r="J8992" t="str">
        <f>"9050714"</f>
        <v>9050714</v>
      </c>
      <c r="K8992">
        <v>2106814311</v>
      </c>
      <c r="L8992">
        <v>2106814311</v>
      </c>
      <c r="M8992" t="s">
        <v>9391</v>
      </c>
      <c r="N8992" t="s">
        <v>4652</v>
      </c>
      <c r="O8992" t="s">
        <v>9392</v>
      </c>
      <c r="P8992">
        <v>15232</v>
      </c>
      <c r="Q8992" t="str">
        <f>"38.019189"</f>
        <v>38.019189</v>
      </c>
      <c r="R8992" t="str">
        <f>"23.800123"</f>
        <v>23.800123</v>
      </c>
      <c r="S8992" t="s">
        <v>26</v>
      </c>
    </row>
    <row r="8993" spans="1:19" x14ac:dyDescent="0.3">
      <c r="A8993" t="s">
        <v>3237</v>
      </c>
      <c r="B8993" t="s">
        <v>8935</v>
      </c>
      <c r="C8993" t="s">
        <v>9393</v>
      </c>
      <c r="D8993" t="s">
        <v>3245</v>
      </c>
      <c r="E8993" t="s">
        <v>4649</v>
      </c>
      <c r="F8993" t="s">
        <v>4649</v>
      </c>
      <c r="G8993" t="s">
        <v>4649</v>
      </c>
      <c r="H8993" t="s">
        <v>859</v>
      </c>
      <c r="I8993" t="s">
        <v>860</v>
      </c>
      <c r="J8993" t="str">
        <f>"9050715"</f>
        <v>9050715</v>
      </c>
      <c r="K8993">
        <v>2106800857</v>
      </c>
      <c r="L8993">
        <v>2106800857</v>
      </c>
      <c r="M8993" t="s">
        <v>9394</v>
      </c>
      <c r="N8993" t="s">
        <v>4649</v>
      </c>
      <c r="O8993" t="s">
        <v>9395</v>
      </c>
      <c r="P8993">
        <v>15234</v>
      </c>
      <c r="Q8993" t="str">
        <f>"38.022675"</f>
        <v>38.022675</v>
      </c>
      <c r="R8993" t="str">
        <f>"23.805605"</f>
        <v>23.805605</v>
      </c>
      <c r="S8993" t="s">
        <v>26</v>
      </c>
    </row>
    <row r="8994" spans="1:19" x14ac:dyDescent="0.3">
      <c r="A8994" t="s">
        <v>3237</v>
      </c>
      <c r="B8994" t="s">
        <v>8935</v>
      </c>
      <c r="C8994" t="s">
        <v>9396</v>
      </c>
      <c r="D8994" t="s">
        <v>3245</v>
      </c>
      <c r="E8994" t="s">
        <v>4586</v>
      </c>
      <c r="F8994" t="s">
        <v>4586</v>
      </c>
      <c r="G8994" t="s">
        <v>4586</v>
      </c>
      <c r="H8994" t="s">
        <v>859</v>
      </c>
      <c r="I8994" t="s">
        <v>860</v>
      </c>
      <c r="J8994" t="str">
        <f>"9050880"</f>
        <v>9050880</v>
      </c>
      <c r="K8994">
        <v>2108042435</v>
      </c>
      <c r="L8994">
        <v>2108042435</v>
      </c>
      <c r="M8994" t="s">
        <v>9397</v>
      </c>
      <c r="N8994" t="s">
        <v>4589</v>
      </c>
      <c r="O8994" t="s">
        <v>9398</v>
      </c>
      <c r="P8994">
        <v>15236</v>
      </c>
      <c r="Q8994" t="str">
        <f>"38.045415"</f>
        <v>38.045415</v>
      </c>
      <c r="R8994" t="str">
        <f>"23.868048"</f>
        <v>23.868048</v>
      </c>
      <c r="S8994" t="s">
        <v>26</v>
      </c>
    </row>
    <row r="8995" spans="1:19" x14ac:dyDescent="0.3">
      <c r="A8995" t="s">
        <v>3237</v>
      </c>
      <c r="B8995" t="s">
        <v>8935</v>
      </c>
      <c r="C8995" t="s">
        <v>9399</v>
      </c>
      <c r="D8995" t="s">
        <v>3245</v>
      </c>
      <c r="E8995" t="s">
        <v>4670</v>
      </c>
      <c r="F8995" t="s">
        <v>3721</v>
      </c>
      <c r="G8995" t="s">
        <v>3721</v>
      </c>
      <c r="H8995" t="s">
        <v>859</v>
      </c>
      <c r="I8995" t="s">
        <v>860</v>
      </c>
      <c r="J8995" t="str">
        <f>"9050701"</f>
        <v>9050701</v>
      </c>
      <c r="K8995">
        <v>2106779940</v>
      </c>
      <c r="L8995">
        <v>2106779940</v>
      </c>
      <c r="M8995" t="s">
        <v>9400</v>
      </c>
      <c r="N8995" t="s">
        <v>4936</v>
      </c>
      <c r="O8995" t="s">
        <v>9401</v>
      </c>
      <c r="P8995">
        <v>15451</v>
      </c>
      <c r="Q8995" t="str">
        <f>"38.004135"</f>
        <v>38.004135</v>
      </c>
      <c r="R8995" t="str">
        <f>"23.778970"</f>
        <v>23.778970</v>
      </c>
      <c r="S8995" t="s">
        <v>26</v>
      </c>
    </row>
    <row r="8996" spans="1:19" x14ac:dyDescent="0.3">
      <c r="A8996" t="s">
        <v>3237</v>
      </c>
      <c r="B8996" t="s">
        <v>8935</v>
      </c>
      <c r="C8996" t="s">
        <v>9402</v>
      </c>
      <c r="D8996" t="s">
        <v>3245</v>
      </c>
      <c r="E8996" t="s">
        <v>4768</v>
      </c>
      <c r="F8996" t="s">
        <v>5028</v>
      </c>
      <c r="G8996" t="s">
        <v>5028</v>
      </c>
      <c r="H8996" t="s">
        <v>859</v>
      </c>
      <c r="I8996" t="s">
        <v>860</v>
      </c>
      <c r="J8996" t="str">
        <f>"9050720"</f>
        <v>9050720</v>
      </c>
      <c r="K8996">
        <v>2106535331</v>
      </c>
      <c r="L8996">
        <v>2106535331</v>
      </c>
      <c r="M8996" t="s">
        <v>9403</v>
      </c>
      <c r="N8996" t="s">
        <v>9404</v>
      </c>
      <c r="O8996" t="s">
        <v>9405</v>
      </c>
      <c r="P8996">
        <v>15669</v>
      </c>
      <c r="Q8996" t="str">
        <f>"37.990210"</f>
        <v>37.990210</v>
      </c>
      <c r="R8996" t="str">
        <f>"23.788990"</f>
        <v>23.788990</v>
      </c>
      <c r="S8996" t="s">
        <v>26</v>
      </c>
    </row>
    <row r="8997" spans="1:19" x14ac:dyDescent="0.3">
      <c r="A8997" t="s">
        <v>3237</v>
      </c>
      <c r="B8997" t="s">
        <v>8935</v>
      </c>
      <c r="C8997" t="s">
        <v>9406</v>
      </c>
      <c r="D8997" t="s">
        <v>3245</v>
      </c>
      <c r="E8997" t="s">
        <v>4682</v>
      </c>
      <c r="F8997" t="s">
        <v>4682</v>
      </c>
      <c r="G8997" t="s">
        <v>4682</v>
      </c>
      <c r="H8997" t="s">
        <v>859</v>
      </c>
      <c r="I8997" t="s">
        <v>860</v>
      </c>
      <c r="J8997" t="str">
        <f>"9051031"</f>
        <v>9051031</v>
      </c>
      <c r="K8997">
        <v>2108046502</v>
      </c>
      <c r="L8997">
        <v>2108046502</v>
      </c>
      <c r="M8997" t="s">
        <v>9407</v>
      </c>
      <c r="N8997" t="s">
        <v>4685</v>
      </c>
      <c r="O8997" t="s">
        <v>9408</v>
      </c>
      <c r="P8997">
        <v>15235</v>
      </c>
      <c r="Q8997" t="str">
        <f>"38.045683"</f>
        <v>38.045683</v>
      </c>
      <c r="R8997" t="str">
        <f>"23.847236"</f>
        <v>23.847236</v>
      </c>
      <c r="S8997" t="s">
        <v>26</v>
      </c>
    </row>
    <row r="8998" spans="1:19" x14ac:dyDescent="0.3">
      <c r="A8998" t="s">
        <v>3237</v>
      </c>
      <c r="B8998" t="s">
        <v>8935</v>
      </c>
      <c r="C8998" t="s">
        <v>9409</v>
      </c>
      <c r="D8998" t="s">
        <v>3245</v>
      </c>
      <c r="E8998" t="s">
        <v>4670</v>
      </c>
      <c r="F8998" t="s">
        <v>3721</v>
      </c>
      <c r="G8998" t="s">
        <v>3721</v>
      </c>
      <c r="H8998" t="s">
        <v>859</v>
      </c>
      <c r="I8998" t="s">
        <v>860</v>
      </c>
      <c r="J8998" t="str">
        <f>"9050992"</f>
        <v>9050992</v>
      </c>
      <c r="K8998">
        <v>2106722985</v>
      </c>
      <c r="M8998" t="s">
        <v>9410</v>
      </c>
      <c r="N8998" t="s">
        <v>4936</v>
      </c>
      <c r="O8998" t="s">
        <v>9411</v>
      </c>
      <c r="P8998">
        <v>15451</v>
      </c>
      <c r="Q8998" t="str">
        <f>"38.003274"</f>
        <v>38.003274</v>
      </c>
      <c r="R8998" t="str">
        <f>"23.785174"</f>
        <v>23.785174</v>
      </c>
      <c r="S8998" t="s">
        <v>26</v>
      </c>
    </row>
    <row r="8999" spans="1:19" x14ac:dyDescent="0.3">
      <c r="A8999" t="s">
        <v>3237</v>
      </c>
      <c r="B8999" t="s">
        <v>8935</v>
      </c>
      <c r="C8999" t="s">
        <v>9412</v>
      </c>
      <c r="D8999" t="s">
        <v>3245</v>
      </c>
      <c r="E8999" t="s">
        <v>4768</v>
      </c>
      <c r="F8999" t="s">
        <v>5028</v>
      </c>
      <c r="G8999" t="s">
        <v>5028</v>
      </c>
      <c r="H8999" t="s">
        <v>859</v>
      </c>
      <c r="I8999" t="s">
        <v>860</v>
      </c>
      <c r="J8999" t="str">
        <f>"9050874"</f>
        <v>9050874</v>
      </c>
      <c r="K8999">
        <v>2106538235</v>
      </c>
      <c r="L8999">
        <v>2106538235</v>
      </c>
      <c r="M8999" t="s">
        <v>9413</v>
      </c>
      <c r="N8999" t="s">
        <v>9404</v>
      </c>
      <c r="O8999" t="s">
        <v>9283</v>
      </c>
      <c r="P8999">
        <v>15669</v>
      </c>
      <c r="Q8999" t="str">
        <f>"37.984931"</f>
        <v>37.984931</v>
      </c>
      <c r="R8999" t="str">
        <f>"23.793866"</f>
        <v>23.793866</v>
      </c>
      <c r="S8999" t="s">
        <v>26</v>
      </c>
    </row>
    <row r="9000" spans="1:19" x14ac:dyDescent="0.3">
      <c r="A9000" t="s">
        <v>3237</v>
      </c>
      <c r="B9000" t="s">
        <v>8935</v>
      </c>
      <c r="C9000" t="s">
        <v>9414</v>
      </c>
      <c r="D9000" t="s">
        <v>3245</v>
      </c>
      <c r="E9000" t="s">
        <v>4670</v>
      </c>
      <c r="F9000" t="s">
        <v>3721</v>
      </c>
      <c r="G9000" t="s">
        <v>3721</v>
      </c>
      <c r="H9000" t="s">
        <v>859</v>
      </c>
      <c r="I9000" t="s">
        <v>860</v>
      </c>
      <c r="J9000" t="str">
        <f>"9051029"</f>
        <v>9051029</v>
      </c>
      <c r="K9000">
        <v>2106742292</v>
      </c>
      <c r="L9000">
        <v>2106742292</v>
      </c>
      <c r="M9000" t="s">
        <v>9415</v>
      </c>
      <c r="N9000" t="s">
        <v>4936</v>
      </c>
      <c r="O9000" t="s">
        <v>8949</v>
      </c>
      <c r="P9000">
        <v>11525</v>
      </c>
      <c r="Q9000" t="str">
        <f>"37.998367"</f>
        <v>37.998367</v>
      </c>
      <c r="R9000" t="str">
        <f>"23.778717"</f>
        <v>23.778717</v>
      </c>
      <c r="S9000" t="s">
        <v>26</v>
      </c>
    </row>
    <row r="9001" spans="1:19" x14ac:dyDescent="0.3">
      <c r="A9001" t="s">
        <v>3237</v>
      </c>
      <c r="B9001" t="s">
        <v>8935</v>
      </c>
      <c r="C9001" t="s">
        <v>9416</v>
      </c>
      <c r="D9001" t="s">
        <v>3245</v>
      </c>
      <c r="E9001" t="s">
        <v>4682</v>
      </c>
      <c r="F9001" t="s">
        <v>4682</v>
      </c>
      <c r="G9001" t="s">
        <v>4682</v>
      </c>
      <c r="H9001" t="s">
        <v>859</v>
      </c>
      <c r="I9001" t="s">
        <v>860</v>
      </c>
      <c r="J9001" t="str">
        <f>"9051445"</f>
        <v>9051445</v>
      </c>
      <c r="K9001">
        <v>2108045049</v>
      </c>
      <c r="L9001">
        <v>2108045049</v>
      </c>
      <c r="M9001" t="s">
        <v>9417</v>
      </c>
      <c r="N9001" t="s">
        <v>4685</v>
      </c>
      <c r="O9001" t="s">
        <v>9418</v>
      </c>
      <c r="P9001">
        <v>15235</v>
      </c>
      <c r="Q9001" t="str">
        <f>"38.040952"</f>
        <v>38.040952</v>
      </c>
      <c r="R9001" t="str">
        <f>"23.828722"</f>
        <v>23.828722</v>
      </c>
      <c r="S9001" t="s">
        <v>26</v>
      </c>
    </row>
    <row r="9002" spans="1:19" x14ac:dyDescent="0.3">
      <c r="A9002" t="s">
        <v>3237</v>
      </c>
      <c r="B9002" t="s">
        <v>8935</v>
      </c>
      <c r="C9002" t="s">
        <v>9419</v>
      </c>
      <c r="D9002" t="s">
        <v>3245</v>
      </c>
      <c r="E9002" t="s">
        <v>4649</v>
      </c>
      <c r="F9002" t="s">
        <v>4649</v>
      </c>
      <c r="G9002" t="s">
        <v>4649</v>
      </c>
      <c r="H9002" t="s">
        <v>859</v>
      </c>
      <c r="I9002" t="s">
        <v>860</v>
      </c>
      <c r="J9002" t="str">
        <f>"9050716"</f>
        <v>9050716</v>
      </c>
      <c r="K9002">
        <v>2106834668</v>
      </c>
      <c r="L9002">
        <v>2106834668</v>
      </c>
      <c r="M9002" t="s">
        <v>9420</v>
      </c>
      <c r="N9002" t="s">
        <v>4652</v>
      </c>
      <c r="O9002" t="s">
        <v>9421</v>
      </c>
      <c r="P9002">
        <v>15233</v>
      </c>
      <c r="Q9002" t="str">
        <f>"38.028624"</f>
        <v>38.028624</v>
      </c>
      <c r="R9002" t="str">
        <f>"23.796694"</f>
        <v>23.796694</v>
      </c>
      <c r="S9002" t="s">
        <v>26</v>
      </c>
    </row>
    <row r="9003" spans="1:19" x14ac:dyDescent="0.3">
      <c r="A9003" t="s">
        <v>3237</v>
      </c>
      <c r="B9003" t="s">
        <v>8935</v>
      </c>
      <c r="C9003" t="s">
        <v>9422</v>
      </c>
      <c r="D9003" t="s">
        <v>3245</v>
      </c>
      <c r="E9003" t="s">
        <v>4649</v>
      </c>
      <c r="F9003" t="s">
        <v>4649</v>
      </c>
      <c r="G9003" t="s">
        <v>4649</v>
      </c>
      <c r="H9003" t="s">
        <v>859</v>
      </c>
      <c r="I9003" t="s">
        <v>860</v>
      </c>
      <c r="J9003" t="str">
        <f>"9050717"</f>
        <v>9050717</v>
      </c>
      <c r="K9003">
        <v>2130412767</v>
      </c>
      <c r="M9003" t="s">
        <v>9423</v>
      </c>
      <c r="N9003" t="s">
        <v>4652</v>
      </c>
      <c r="O9003" t="s">
        <v>9424</v>
      </c>
      <c r="P9003">
        <v>15232</v>
      </c>
      <c r="Q9003" t="str">
        <f>"38.014852"</f>
        <v>38.014852</v>
      </c>
      <c r="R9003" t="str">
        <f>"23.799359"</f>
        <v>23.799359</v>
      </c>
      <c r="S9003" t="s">
        <v>26</v>
      </c>
    </row>
    <row r="9004" spans="1:19" x14ac:dyDescent="0.3">
      <c r="A9004" t="s">
        <v>3237</v>
      </c>
      <c r="B9004" t="s">
        <v>8935</v>
      </c>
      <c r="C9004" t="s">
        <v>9425</v>
      </c>
      <c r="D9004" t="s">
        <v>3245</v>
      </c>
      <c r="E9004" t="s">
        <v>4682</v>
      </c>
      <c r="F9004" t="s">
        <v>4682</v>
      </c>
      <c r="G9004" t="s">
        <v>4682</v>
      </c>
      <c r="H9004" t="s">
        <v>859</v>
      </c>
      <c r="I9004" t="s">
        <v>860</v>
      </c>
      <c r="J9004" t="str">
        <f>"9051873"</f>
        <v>9051873</v>
      </c>
      <c r="K9004">
        <v>2106139131</v>
      </c>
      <c r="L9004">
        <v>2106139131</v>
      </c>
      <c r="M9004" t="s">
        <v>9426</v>
      </c>
      <c r="N9004" t="s">
        <v>4685</v>
      </c>
      <c r="O9004" t="s">
        <v>9427</v>
      </c>
      <c r="P9004">
        <v>15235</v>
      </c>
      <c r="Q9004" t="str">
        <f>"38.040294"</f>
        <v>38.040294</v>
      </c>
      <c r="R9004" t="str">
        <f>"23.846447"</f>
        <v>23.846447</v>
      </c>
      <c r="S9004" t="s">
        <v>26</v>
      </c>
    </row>
    <row r="9005" spans="1:19" x14ac:dyDescent="0.3">
      <c r="A9005" t="s">
        <v>3237</v>
      </c>
      <c r="B9005" t="s">
        <v>8935</v>
      </c>
      <c r="C9005" t="s">
        <v>9428</v>
      </c>
      <c r="D9005" t="s">
        <v>3245</v>
      </c>
      <c r="E9005" t="s">
        <v>4649</v>
      </c>
      <c r="F9005" t="s">
        <v>4649</v>
      </c>
      <c r="G9005" t="s">
        <v>4649</v>
      </c>
      <c r="H9005" t="s">
        <v>859</v>
      </c>
      <c r="I9005" t="s">
        <v>860</v>
      </c>
      <c r="J9005" t="str">
        <f>"9050718"</f>
        <v>9050718</v>
      </c>
      <c r="K9005">
        <v>2106000495</v>
      </c>
      <c r="L9005">
        <v>2106000495</v>
      </c>
      <c r="M9005" t="s">
        <v>9429</v>
      </c>
      <c r="N9005" t="s">
        <v>4652</v>
      </c>
      <c r="O9005" t="s">
        <v>9430</v>
      </c>
      <c r="P9005">
        <v>15234</v>
      </c>
      <c r="Q9005" t="str">
        <f>"38.024228"</f>
        <v>38.024228</v>
      </c>
      <c r="R9005" t="str">
        <f>"23.827107"</f>
        <v>23.827107</v>
      </c>
      <c r="S9005" t="s">
        <v>26</v>
      </c>
    </row>
    <row r="9006" spans="1:19" x14ac:dyDescent="0.3">
      <c r="A9006" t="s">
        <v>3237</v>
      </c>
      <c r="B9006" t="s">
        <v>8935</v>
      </c>
      <c r="C9006" t="s">
        <v>9431</v>
      </c>
      <c r="D9006" t="s">
        <v>3245</v>
      </c>
      <c r="E9006" t="s">
        <v>4682</v>
      </c>
      <c r="F9006" t="s">
        <v>4682</v>
      </c>
      <c r="G9006" t="s">
        <v>4682</v>
      </c>
      <c r="H9006" t="s">
        <v>859</v>
      </c>
      <c r="I9006" t="s">
        <v>860</v>
      </c>
      <c r="J9006" t="str">
        <f>"9520556"</f>
        <v>9520556</v>
      </c>
      <c r="K9006">
        <v>2108031307</v>
      </c>
      <c r="L9006">
        <v>2108031307</v>
      </c>
      <c r="M9006" t="s">
        <v>9432</v>
      </c>
      <c r="N9006" t="s">
        <v>4685</v>
      </c>
      <c r="O9006" t="s">
        <v>9433</v>
      </c>
      <c r="P9006">
        <v>15235</v>
      </c>
      <c r="Q9006" t="str">
        <f>"38.042764"</f>
        <v>38.042764</v>
      </c>
      <c r="R9006" t="str">
        <f>"23.836739"</f>
        <v>23.836739</v>
      </c>
      <c r="S9006" t="s">
        <v>26</v>
      </c>
    </row>
    <row r="9007" spans="1:19" x14ac:dyDescent="0.3">
      <c r="A9007" t="s">
        <v>3237</v>
      </c>
      <c r="B9007" t="s">
        <v>8935</v>
      </c>
      <c r="C9007" t="s">
        <v>9434</v>
      </c>
      <c r="D9007" t="s">
        <v>3245</v>
      </c>
      <c r="E9007" t="s">
        <v>4649</v>
      </c>
      <c r="F9007" t="s">
        <v>4649</v>
      </c>
      <c r="G9007" t="s">
        <v>4649</v>
      </c>
      <c r="H9007" t="s">
        <v>859</v>
      </c>
      <c r="I9007" t="s">
        <v>860</v>
      </c>
      <c r="J9007" t="str">
        <f>"9050876"</f>
        <v>9050876</v>
      </c>
      <c r="K9007">
        <v>2106773533</v>
      </c>
      <c r="L9007">
        <v>2106773534</v>
      </c>
      <c r="M9007" t="s">
        <v>9435</v>
      </c>
      <c r="N9007" t="s">
        <v>4652</v>
      </c>
      <c r="O9007" t="s">
        <v>8962</v>
      </c>
      <c r="P9007">
        <v>15231</v>
      </c>
      <c r="Q9007" t="str">
        <f>"38.009444"</f>
        <v>38.009444</v>
      </c>
      <c r="R9007" t="str">
        <f>"23.797985"</f>
        <v>23.797985</v>
      </c>
      <c r="S9007" t="s">
        <v>26</v>
      </c>
    </row>
    <row r="9008" spans="1:19" x14ac:dyDescent="0.3">
      <c r="A9008" t="s">
        <v>3237</v>
      </c>
      <c r="B9008" t="s">
        <v>8935</v>
      </c>
      <c r="C9008" t="s">
        <v>9436</v>
      </c>
      <c r="D9008" t="s">
        <v>3245</v>
      </c>
      <c r="E9008" t="s">
        <v>4649</v>
      </c>
      <c r="F9008" t="s">
        <v>4649</v>
      </c>
      <c r="G9008" t="s">
        <v>4649</v>
      </c>
      <c r="H9008" t="s">
        <v>859</v>
      </c>
      <c r="I9008" t="s">
        <v>860</v>
      </c>
      <c r="J9008" t="str">
        <f>"9051501"</f>
        <v>9051501</v>
      </c>
      <c r="K9008">
        <v>2106855780</v>
      </c>
      <c r="L9008">
        <v>2106855780</v>
      </c>
      <c r="M9008" t="s">
        <v>9437</v>
      </c>
      <c r="N9008" t="s">
        <v>4652</v>
      </c>
      <c r="O9008" t="s">
        <v>9438</v>
      </c>
      <c r="P9008">
        <v>15234</v>
      </c>
      <c r="Q9008" t="str">
        <f>"38.022217"</f>
        <v>38.022217</v>
      </c>
      <c r="R9008" t="str">
        <f>"23.810629"</f>
        <v>23.810629</v>
      </c>
      <c r="S9008" t="s">
        <v>26</v>
      </c>
    </row>
    <row r="9009" spans="1:19" x14ac:dyDescent="0.3">
      <c r="A9009" t="s">
        <v>3237</v>
      </c>
      <c r="B9009" t="s">
        <v>8935</v>
      </c>
      <c r="C9009" t="s">
        <v>9439</v>
      </c>
      <c r="D9009" t="s">
        <v>3245</v>
      </c>
      <c r="E9009" t="s">
        <v>4649</v>
      </c>
      <c r="F9009" t="s">
        <v>4649</v>
      </c>
      <c r="G9009" t="s">
        <v>4649</v>
      </c>
      <c r="H9009" t="s">
        <v>859</v>
      </c>
      <c r="I9009" t="s">
        <v>860</v>
      </c>
      <c r="J9009" t="str">
        <f>"9051578"</f>
        <v>9051578</v>
      </c>
      <c r="K9009">
        <v>2106892333</v>
      </c>
      <c r="L9009">
        <v>2106892333</v>
      </c>
      <c r="M9009" t="s">
        <v>9440</v>
      </c>
      <c r="N9009" t="s">
        <v>4652</v>
      </c>
      <c r="O9009" t="s">
        <v>9441</v>
      </c>
      <c r="P9009">
        <v>15234</v>
      </c>
      <c r="Q9009" t="str">
        <f>"38.029941"</f>
        <v>38.029941</v>
      </c>
      <c r="R9009" t="str">
        <f>"23.821425"</f>
        <v>23.821425</v>
      </c>
      <c r="S9009" t="s">
        <v>26</v>
      </c>
    </row>
    <row r="9010" spans="1:19" x14ac:dyDescent="0.3">
      <c r="A9010" t="s">
        <v>3237</v>
      </c>
      <c r="B9010" t="s">
        <v>8935</v>
      </c>
      <c r="C9010" t="s">
        <v>9442</v>
      </c>
      <c r="D9010" t="s">
        <v>3245</v>
      </c>
      <c r="E9010" t="s">
        <v>4649</v>
      </c>
      <c r="F9010" t="s">
        <v>4649</v>
      </c>
      <c r="G9010" t="s">
        <v>4649</v>
      </c>
      <c r="H9010" t="s">
        <v>859</v>
      </c>
      <c r="I9010" t="s">
        <v>860</v>
      </c>
      <c r="J9010" t="str">
        <f>"9051791"</f>
        <v>9051791</v>
      </c>
      <c r="K9010">
        <v>2106830522</v>
      </c>
      <c r="M9010" t="s">
        <v>9443</v>
      </c>
      <c r="N9010" t="s">
        <v>4652</v>
      </c>
      <c r="O9010" t="s">
        <v>9176</v>
      </c>
      <c r="P9010">
        <v>15233</v>
      </c>
      <c r="Q9010" t="str">
        <f>"38.030166"</f>
        <v>38.030166</v>
      </c>
      <c r="R9010" t="str">
        <f>"23.807556"</f>
        <v>23.807556</v>
      </c>
      <c r="S9010" t="s">
        <v>26</v>
      </c>
    </row>
    <row r="9011" spans="1:19" x14ac:dyDescent="0.3">
      <c r="A9011" t="s">
        <v>3237</v>
      </c>
      <c r="B9011" t="s">
        <v>8935</v>
      </c>
      <c r="C9011" t="s">
        <v>9444</v>
      </c>
      <c r="D9011" t="s">
        <v>3245</v>
      </c>
      <c r="E9011" t="s">
        <v>4649</v>
      </c>
      <c r="F9011" t="s">
        <v>4649</v>
      </c>
      <c r="G9011" t="s">
        <v>4649</v>
      </c>
      <c r="H9011" t="s">
        <v>859</v>
      </c>
      <c r="I9011" t="s">
        <v>860</v>
      </c>
      <c r="J9011" t="str">
        <f>"9050067"</f>
        <v>9050067</v>
      </c>
      <c r="K9011">
        <v>2106894452</v>
      </c>
      <c r="L9011">
        <v>2106894452</v>
      </c>
      <c r="M9011" t="s">
        <v>9445</v>
      </c>
      <c r="N9011" t="s">
        <v>4649</v>
      </c>
      <c r="O9011" t="s">
        <v>9446</v>
      </c>
      <c r="P9011">
        <v>15234</v>
      </c>
      <c r="Q9011" t="str">
        <f>"38.025494"</f>
        <v>38.025494</v>
      </c>
      <c r="R9011" t="str">
        <f>"23.819904"</f>
        <v>23.819904</v>
      </c>
      <c r="S9011" t="s">
        <v>26</v>
      </c>
    </row>
    <row r="9012" spans="1:19" x14ac:dyDescent="0.3">
      <c r="A9012" t="s">
        <v>3237</v>
      </c>
      <c r="B9012" t="s">
        <v>8935</v>
      </c>
      <c r="C9012" t="s">
        <v>9447</v>
      </c>
      <c r="D9012" t="s">
        <v>3245</v>
      </c>
      <c r="E9012" t="s">
        <v>4649</v>
      </c>
      <c r="F9012" t="s">
        <v>4649</v>
      </c>
      <c r="G9012" t="s">
        <v>4649</v>
      </c>
      <c r="H9012" t="s">
        <v>859</v>
      </c>
      <c r="I9012" t="s">
        <v>860</v>
      </c>
      <c r="J9012" t="str">
        <f>"9051032"</f>
        <v>9051032</v>
      </c>
      <c r="K9012">
        <v>2106854875</v>
      </c>
      <c r="M9012" t="s">
        <v>9448</v>
      </c>
      <c r="N9012" t="s">
        <v>4652</v>
      </c>
      <c r="O9012" t="s">
        <v>9151</v>
      </c>
      <c r="P9012">
        <v>15232</v>
      </c>
      <c r="Q9012" t="str">
        <f>"38.017804"</f>
        <v>38.017804</v>
      </c>
      <c r="R9012" t="str">
        <f>"23.789254"</f>
        <v>23.789254</v>
      </c>
      <c r="S9012" t="s">
        <v>26</v>
      </c>
    </row>
    <row r="9013" spans="1:19" x14ac:dyDescent="0.3">
      <c r="A9013" t="s">
        <v>3237</v>
      </c>
      <c r="B9013" t="s">
        <v>8935</v>
      </c>
      <c r="C9013" t="s">
        <v>9449</v>
      </c>
      <c r="D9013" t="s">
        <v>3245</v>
      </c>
      <c r="E9013" t="s">
        <v>4618</v>
      </c>
      <c r="F9013" t="s">
        <v>4618</v>
      </c>
      <c r="G9013" t="s">
        <v>4618</v>
      </c>
      <c r="H9013" t="s">
        <v>859</v>
      </c>
      <c r="I9013" t="s">
        <v>860</v>
      </c>
      <c r="J9013" t="str">
        <f>"9051299"</f>
        <v>9051299</v>
      </c>
      <c r="K9013">
        <v>2102829116</v>
      </c>
      <c r="L9013">
        <v>2102829116</v>
      </c>
      <c r="M9013" t="s">
        <v>9450</v>
      </c>
      <c r="N9013" t="s">
        <v>9155</v>
      </c>
      <c r="O9013" t="s">
        <v>9451</v>
      </c>
      <c r="P9013">
        <v>14122</v>
      </c>
      <c r="Q9013" t="str">
        <f>"38.048665"</f>
        <v>38.048665</v>
      </c>
      <c r="R9013" t="str">
        <f>"23.760154"</f>
        <v>23.760154</v>
      </c>
      <c r="S9013" t="s">
        <v>26</v>
      </c>
    </row>
    <row r="9014" spans="1:19" x14ac:dyDescent="0.3">
      <c r="A9014" t="s">
        <v>3237</v>
      </c>
      <c r="B9014" t="s">
        <v>8935</v>
      </c>
      <c r="C9014" t="s">
        <v>9454</v>
      </c>
      <c r="D9014" t="s">
        <v>3245</v>
      </c>
      <c r="E9014" t="s">
        <v>4649</v>
      </c>
      <c r="F9014" t="s">
        <v>4649</v>
      </c>
      <c r="G9014" t="s">
        <v>4649</v>
      </c>
      <c r="H9014" t="s">
        <v>859</v>
      </c>
      <c r="I9014" t="s">
        <v>860</v>
      </c>
      <c r="J9014" t="str">
        <f>"9051540"</f>
        <v>9051540</v>
      </c>
      <c r="K9014">
        <v>2106831993</v>
      </c>
      <c r="L9014">
        <v>2106831993</v>
      </c>
      <c r="M9014" t="s">
        <v>9455</v>
      </c>
      <c r="N9014" t="s">
        <v>4652</v>
      </c>
      <c r="O9014" t="s">
        <v>9456</v>
      </c>
      <c r="P9014">
        <v>15233</v>
      </c>
      <c r="Q9014" t="str">
        <f>"38.028072"</f>
        <v>38.028072</v>
      </c>
      <c r="R9014" t="str">
        <f>"23.804097"</f>
        <v>23.804097</v>
      </c>
      <c r="S9014" t="s">
        <v>26</v>
      </c>
    </row>
    <row r="9015" spans="1:19" x14ac:dyDescent="0.3">
      <c r="A9015" t="s">
        <v>3237</v>
      </c>
      <c r="B9015" t="s">
        <v>8935</v>
      </c>
      <c r="C9015" t="s">
        <v>9458</v>
      </c>
      <c r="D9015" t="s">
        <v>3245</v>
      </c>
      <c r="E9015" t="s">
        <v>4586</v>
      </c>
      <c r="F9015" t="s">
        <v>4612</v>
      </c>
      <c r="G9015" t="s">
        <v>4612</v>
      </c>
      <c r="H9015" t="s">
        <v>859</v>
      </c>
      <c r="I9015" t="s">
        <v>860</v>
      </c>
      <c r="J9015" t="str">
        <f>"9050879"</f>
        <v>9050879</v>
      </c>
      <c r="K9015">
        <v>2108034000</v>
      </c>
      <c r="L9015">
        <v>2108034000</v>
      </c>
      <c r="M9015" t="s">
        <v>9459</v>
      </c>
      <c r="N9015" t="s">
        <v>4615</v>
      </c>
      <c r="O9015" t="s">
        <v>2155</v>
      </c>
      <c r="P9015">
        <v>15239</v>
      </c>
      <c r="Q9015" t="str">
        <f>"38.056747"</f>
        <v>38.056747</v>
      </c>
      <c r="R9015" t="str">
        <f>"23.857854"</f>
        <v>23.857854</v>
      </c>
      <c r="S9015" t="s">
        <v>26</v>
      </c>
    </row>
    <row r="9016" spans="1:19" x14ac:dyDescent="0.3">
      <c r="A9016" t="s">
        <v>3237</v>
      </c>
      <c r="B9016" t="s">
        <v>8935</v>
      </c>
      <c r="C9016" t="s">
        <v>9464</v>
      </c>
      <c r="D9016" t="s">
        <v>3245</v>
      </c>
      <c r="E9016" t="s">
        <v>4591</v>
      </c>
      <c r="F9016" t="s">
        <v>4591</v>
      </c>
      <c r="G9016" t="s">
        <v>4591</v>
      </c>
      <c r="H9016" t="s">
        <v>859</v>
      </c>
      <c r="I9016" t="s">
        <v>860</v>
      </c>
      <c r="J9016" t="str">
        <f>"9051629"</f>
        <v>9051629</v>
      </c>
      <c r="K9016">
        <v>2106142939</v>
      </c>
      <c r="L9016">
        <v>2106142939</v>
      </c>
      <c r="M9016" t="s">
        <v>9465</v>
      </c>
      <c r="N9016" t="s">
        <v>4600</v>
      </c>
      <c r="O9016" t="s">
        <v>9466</v>
      </c>
      <c r="P9016">
        <v>15126</v>
      </c>
      <c r="Q9016" t="str">
        <f>"38.056942"</f>
        <v>38.056942</v>
      </c>
      <c r="R9016" t="str">
        <f>"23.815727"</f>
        <v>23.815727</v>
      </c>
      <c r="S9016" t="s">
        <v>26</v>
      </c>
    </row>
    <row r="9017" spans="1:19" x14ac:dyDescent="0.3">
      <c r="A9017" t="s">
        <v>3237</v>
      </c>
      <c r="B9017" t="s">
        <v>8935</v>
      </c>
      <c r="C9017" t="s">
        <v>9467</v>
      </c>
      <c r="D9017" t="s">
        <v>3245</v>
      </c>
      <c r="E9017" t="s">
        <v>4048</v>
      </c>
      <c r="F9017" t="s">
        <v>4918</v>
      </c>
      <c r="G9017" t="s">
        <v>4918</v>
      </c>
      <c r="H9017" t="s">
        <v>859</v>
      </c>
      <c r="I9017" t="s">
        <v>860</v>
      </c>
      <c r="J9017" t="str">
        <f>"9050711"</f>
        <v>9050711</v>
      </c>
      <c r="K9017">
        <v>2106200352</v>
      </c>
      <c r="L9017">
        <v>2106200352</v>
      </c>
      <c r="M9017" t="s">
        <v>9468</v>
      </c>
      <c r="N9017" t="s">
        <v>9469</v>
      </c>
      <c r="O9017" t="s">
        <v>9470</v>
      </c>
      <c r="P9017">
        <v>14671</v>
      </c>
      <c r="Q9017" t="str">
        <f>"38.095446"</f>
        <v>38.095446</v>
      </c>
      <c r="R9017" t="str">
        <f>"23.811166"</f>
        <v>23.811166</v>
      </c>
      <c r="S9017" t="s">
        <v>26</v>
      </c>
    </row>
    <row r="9018" spans="1:19" x14ac:dyDescent="0.3">
      <c r="A9018" t="s">
        <v>3237</v>
      </c>
      <c r="B9018" t="s">
        <v>8935</v>
      </c>
      <c r="C9018" t="s">
        <v>9471</v>
      </c>
      <c r="D9018" t="s">
        <v>3245</v>
      </c>
      <c r="E9018" t="s">
        <v>4586</v>
      </c>
      <c r="F9018" t="s">
        <v>4807</v>
      </c>
      <c r="G9018" t="s">
        <v>4807</v>
      </c>
      <c r="H9018" t="s">
        <v>859</v>
      </c>
      <c r="I9018" t="s">
        <v>860</v>
      </c>
      <c r="J9018" t="str">
        <f>"9050710"</f>
        <v>9050710</v>
      </c>
      <c r="K9018">
        <v>2108041612</v>
      </c>
      <c r="L9018">
        <v>2108041612</v>
      </c>
      <c r="M9018" t="s">
        <v>9472</v>
      </c>
      <c r="N9018" t="s">
        <v>4810</v>
      </c>
      <c r="O9018" t="s">
        <v>9473</v>
      </c>
      <c r="P9018">
        <v>15127</v>
      </c>
      <c r="Q9018" t="str">
        <f>"38.048528"</f>
        <v>38.048528</v>
      </c>
      <c r="R9018" t="str">
        <f>"23.838335"</f>
        <v>23.838335</v>
      </c>
      <c r="S9018" t="s">
        <v>26</v>
      </c>
    </row>
    <row r="9019" spans="1:19" x14ac:dyDescent="0.3">
      <c r="A9019" t="s">
        <v>3237</v>
      </c>
      <c r="B9019" t="s">
        <v>8935</v>
      </c>
      <c r="C9019" t="s">
        <v>9474</v>
      </c>
      <c r="D9019" t="s">
        <v>3245</v>
      </c>
      <c r="E9019" t="s">
        <v>4832</v>
      </c>
      <c r="F9019" t="s">
        <v>4832</v>
      </c>
      <c r="G9019" t="s">
        <v>4832</v>
      </c>
      <c r="H9019" t="s">
        <v>859</v>
      </c>
      <c r="I9019" t="s">
        <v>860</v>
      </c>
      <c r="J9019" t="str">
        <f>"9050884"</f>
        <v>9050884</v>
      </c>
      <c r="K9019">
        <v>2102823147</v>
      </c>
      <c r="L9019">
        <v>2102823147</v>
      </c>
      <c r="M9019" t="s">
        <v>9475</v>
      </c>
      <c r="N9019" t="s">
        <v>4835</v>
      </c>
      <c r="O9019" t="s">
        <v>9476</v>
      </c>
      <c r="P9019">
        <v>14452</v>
      </c>
      <c r="Q9019" t="str">
        <f>"38.064648"</f>
        <v>38.064648</v>
      </c>
      <c r="R9019" t="str">
        <f>"23.767228"</f>
        <v>23.767228</v>
      </c>
      <c r="S9019" t="s">
        <v>26</v>
      </c>
    </row>
    <row r="9020" spans="1:19" x14ac:dyDescent="0.3">
      <c r="A9020" t="s">
        <v>3237</v>
      </c>
      <c r="B9020" t="s">
        <v>8935</v>
      </c>
      <c r="C9020" t="s">
        <v>9477</v>
      </c>
      <c r="D9020" t="s">
        <v>3245</v>
      </c>
      <c r="E9020" t="s">
        <v>4618</v>
      </c>
      <c r="F9020" t="s">
        <v>4618</v>
      </c>
      <c r="G9020" t="s">
        <v>4618</v>
      </c>
      <c r="H9020" t="s">
        <v>859</v>
      </c>
      <c r="I9020" t="s">
        <v>860</v>
      </c>
      <c r="J9020" t="str">
        <f>"9050995"</f>
        <v>9050995</v>
      </c>
      <c r="K9020">
        <v>2102717780</v>
      </c>
      <c r="L9020">
        <v>2102717780</v>
      </c>
      <c r="M9020" t="s">
        <v>9478</v>
      </c>
      <c r="N9020" t="s">
        <v>9369</v>
      </c>
      <c r="O9020" t="s">
        <v>9479</v>
      </c>
      <c r="P9020">
        <v>14121</v>
      </c>
      <c r="Q9020" t="str">
        <f>"38.041772"</f>
        <v>38.041772</v>
      </c>
      <c r="R9020" t="str">
        <f>"23.766552"</f>
        <v>23.766552</v>
      </c>
      <c r="S9020" t="s">
        <v>26</v>
      </c>
    </row>
    <row r="9021" spans="1:19" x14ac:dyDescent="0.3">
      <c r="A9021" t="s">
        <v>3237</v>
      </c>
      <c r="B9021" t="s">
        <v>8935</v>
      </c>
      <c r="C9021" t="s">
        <v>9480</v>
      </c>
      <c r="D9021" t="s">
        <v>3245</v>
      </c>
      <c r="E9021" t="s">
        <v>4618</v>
      </c>
      <c r="F9021" t="s">
        <v>4618</v>
      </c>
      <c r="G9021" t="s">
        <v>4618</v>
      </c>
      <c r="H9021" t="s">
        <v>859</v>
      </c>
      <c r="I9021" t="s">
        <v>860</v>
      </c>
      <c r="J9021" t="str">
        <f>"9051453"</f>
        <v>9051453</v>
      </c>
      <c r="K9021">
        <v>2102829066</v>
      </c>
      <c r="L9021">
        <v>2102829066</v>
      </c>
      <c r="M9021" t="s">
        <v>9481</v>
      </c>
      <c r="N9021" t="s">
        <v>9155</v>
      </c>
      <c r="O9021" t="s">
        <v>9482</v>
      </c>
      <c r="P9021">
        <v>14121</v>
      </c>
      <c r="Q9021" t="str">
        <f>"38.053299"</f>
        <v>38.053299</v>
      </c>
      <c r="R9021" t="str">
        <f>"23.780908"</f>
        <v>23.780908</v>
      </c>
      <c r="S9021" t="s">
        <v>26</v>
      </c>
    </row>
    <row r="9022" spans="1:19" x14ac:dyDescent="0.3">
      <c r="A9022" t="s">
        <v>3237</v>
      </c>
      <c r="B9022" t="s">
        <v>8935</v>
      </c>
      <c r="C9022" t="s">
        <v>9483</v>
      </c>
      <c r="D9022" t="s">
        <v>3245</v>
      </c>
      <c r="E9022" t="s">
        <v>3246</v>
      </c>
      <c r="F9022" t="s">
        <v>3246</v>
      </c>
      <c r="G9022" t="s">
        <v>3246</v>
      </c>
      <c r="H9022" t="s">
        <v>859</v>
      </c>
      <c r="I9022" t="s">
        <v>860</v>
      </c>
      <c r="J9022" t="str">
        <f>"9050776"</f>
        <v>9050776</v>
      </c>
      <c r="K9022">
        <v>2102758779</v>
      </c>
      <c r="L9022">
        <v>2102758779</v>
      </c>
      <c r="M9022" t="s">
        <v>9484</v>
      </c>
      <c r="N9022" t="s">
        <v>3249</v>
      </c>
      <c r="O9022" t="s">
        <v>9485</v>
      </c>
      <c r="P9022">
        <v>14232</v>
      </c>
      <c r="Q9022" t="str">
        <f>"38.035735"</f>
        <v>38.035735</v>
      </c>
      <c r="R9022" t="str">
        <f>"23.750407"</f>
        <v>23.750407</v>
      </c>
      <c r="S9022" t="s">
        <v>26</v>
      </c>
    </row>
    <row r="9023" spans="1:19" x14ac:dyDescent="0.3">
      <c r="A9023" t="s">
        <v>3237</v>
      </c>
      <c r="B9023" t="s">
        <v>8935</v>
      </c>
      <c r="C9023" t="s">
        <v>9486</v>
      </c>
      <c r="D9023" t="s">
        <v>3245</v>
      </c>
      <c r="E9023" t="s">
        <v>3246</v>
      </c>
      <c r="F9023" t="s">
        <v>3246</v>
      </c>
      <c r="G9023" t="s">
        <v>3246</v>
      </c>
      <c r="H9023" t="s">
        <v>859</v>
      </c>
      <c r="I9023" t="s">
        <v>860</v>
      </c>
      <c r="J9023" t="str">
        <f>"9051038"</f>
        <v>9051038</v>
      </c>
      <c r="K9023">
        <v>2102754486</v>
      </c>
      <c r="L9023">
        <v>2102795922</v>
      </c>
      <c r="M9023" t="s">
        <v>9487</v>
      </c>
      <c r="N9023" t="s">
        <v>3246</v>
      </c>
      <c r="O9023" t="s">
        <v>9488</v>
      </c>
      <c r="P9023">
        <v>14233</v>
      </c>
      <c r="Q9023" t="str">
        <f>"38.032860"</f>
        <v>38.032860</v>
      </c>
      <c r="R9023" t="str">
        <f>"23.758632"</f>
        <v>23.758632</v>
      </c>
      <c r="S9023" t="s">
        <v>26</v>
      </c>
    </row>
    <row r="9024" spans="1:19" x14ac:dyDescent="0.3">
      <c r="A9024" t="s">
        <v>3237</v>
      </c>
      <c r="B9024" t="s">
        <v>8935</v>
      </c>
      <c r="C9024" t="s">
        <v>9489</v>
      </c>
      <c r="D9024" t="s">
        <v>3245</v>
      </c>
      <c r="E9024" t="s">
        <v>3246</v>
      </c>
      <c r="F9024" t="s">
        <v>3246</v>
      </c>
      <c r="G9024" t="s">
        <v>3246</v>
      </c>
      <c r="H9024" t="s">
        <v>859</v>
      </c>
      <c r="I9024" t="s">
        <v>860</v>
      </c>
      <c r="J9024" t="str">
        <f>"9050996"</f>
        <v>9050996</v>
      </c>
      <c r="K9024">
        <v>2102752728</v>
      </c>
      <c r="L9024">
        <v>2102752728</v>
      </c>
      <c r="M9024" t="s">
        <v>9490</v>
      </c>
      <c r="N9024" t="s">
        <v>3246</v>
      </c>
      <c r="O9024" t="s">
        <v>9491</v>
      </c>
      <c r="P9024">
        <v>14233</v>
      </c>
      <c r="Q9024" t="str">
        <f>"38.036211"</f>
        <v>38.036211</v>
      </c>
      <c r="R9024" t="str">
        <f>"23.762842"</f>
        <v>23.762842</v>
      </c>
      <c r="S9024" t="s">
        <v>26</v>
      </c>
    </row>
    <row r="9025" spans="1:19" x14ac:dyDescent="0.3">
      <c r="A9025" t="s">
        <v>3237</v>
      </c>
      <c r="B9025" t="s">
        <v>8935</v>
      </c>
      <c r="C9025" t="s">
        <v>9503</v>
      </c>
      <c r="D9025" t="s">
        <v>3245</v>
      </c>
      <c r="E9025" t="s">
        <v>4591</v>
      </c>
      <c r="F9025" t="s">
        <v>4591</v>
      </c>
      <c r="G9025" t="s">
        <v>4591</v>
      </c>
      <c r="H9025" t="s">
        <v>859</v>
      </c>
      <c r="I9025" t="s">
        <v>860</v>
      </c>
      <c r="J9025" t="str">
        <f>"9051421"</f>
        <v>9051421</v>
      </c>
      <c r="K9025">
        <v>2108066477</v>
      </c>
      <c r="L9025">
        <v>2108066477</v>
      </c>
      <c r="M9025" t="s">
        <v>9504</v>
      </c>
      <c r="N9025" t="s">
        <v>4600</v>
      </c>
      <c r="O9025" t="s">
        <v>8976</v>
      </c>
      <c r="P9025">
        <v>15125</v>
      </c>
      <c r="Q9025" t="str">
        <f>"38.050734"</f>
        <v>38.050734</v>
      </c>
      <c r="R9025" t="str">
        <f>"23.814143"</f>
        <v>23.814143</v>
      </c>
      <c r="S9025" t="s">
        <v>26</v>
      </c>
    </row>
    <row r="9026" spans="1:19" x14ac:dyDescent="0.3">
      <c r="A9026" t="s">
        <v>3237</v>
      </c>
      <c r="B9026" t="s">
        <v>8935</v>
      </c>
      <c r="C9026" t="s">
        <v>9507</v>
      </c>
      <c r="D9026" t="s">
        <v>3245</v>
      </c>
      <c r="E9026" t="s">
        <v>4713</v>
      </c>
      <c r="F9026" t="s">
        <v>4992</v>
      </c>
      <c r="G9026" t="s">
        <v>4992</v>
      </c>
      <c r="H9026" t="s">
        <v>859</v>
      </c>
      <c r="I9026" t="s">
        <v>860</v>
      </c>
      <c r="J9026" t="str">
        <f>"9050475"</f>
        <v>9050475</v>
      </c>
      <c r="K9026">
        <v>2102827944</v>
      </c>
      <c r="L9026">
        <v>2102827944</v>
      </c>
      <c r="M9026" t="s">
        <v>9508</v>
      </c>
      <c r="N9026" t="s">
        <v>5079</v>
      </c>
      <c r="O9026" t="s">
        <v>9509</v>
      </c>
      <c r="P9026">
        <v>14123</v>
      </c>
      <c r="Q9026" t="str">
        <f>"38.066733"</f>
        <v>38.066733</v>
      </c>
      <c r="R9026" t="str">
        <f>"23.783993"</f>
        <v>23.783993</v>
      </c>
      <c r="S9026" t="s">
        <v>26</v>
      </c>
    </row>
    <row r="9027" spans="1:19" x14ac:dyDescent="0.3">
      <c r="A9027" t="s">
        <v>3237</v>
      </c>
      <c r="B9027" t="s">
        <v>8935</v>
      </c>
      <c r="C9027" t="s">
        <v>9510</v>
      </c>
      <c r="D9027" t="s">
        <v>3245</v>
      </c>
      <c r="E9027" t="s">
        <v>3246</v>
      </c>
      <c r="F9027" t="s">
        <v>3246</v>
      </c>
      <c r="G9027" t="s">
        <v>3246</v>
      </c>
      <c r="H9027" t="s">
        <v>859</v>
      </c>
      <c r="I9027" t="s">
        <v>860</v>
      </c>
      <c r="J9027" t="str">
        <f>"9050498"</f>
        <v>9050498</v>
      </c>
      <c r="K9027">
        <v>2102799786</v>
      </c>
      <c r="L9027">
        <v>2102799786</v>
      </c>
      <c r="M9027" t="s">
        <v>9511</v>
      </c>
      <c r="N9027" t="s">
        <v>9462</v>
      </c>
      <c r="O9027" t="s">
        <v>9512</v>
      </c>
      <c r="P9027">
        <v>14235</v>
      </c>
      <c r="Q9027" t="str">
        <f>"38.034899"</f>
        <v>38.034899</v>
      </c>
      <c r="R9027" t="str">
        <f>"23.775652"</f>
        <v>23.775652</v>
      </c>
      <c r="S9027" t="s">
        <v>26</v>
      </c>
    </row>
    <row r="9028" spans="1:19" x14ac:dyDescent="0.3">
      <c r="A9028" t="s">
        <v>3237</v>
      </c>
      <c r="B9028" t="s">
        <v>8935</v>
      </c>
      <c r="C9028" t="s">
        <v>9513</v>
      </c>
      <c r="D9028" t="s">
        <v>3245</v>
      </c>
      <c r="E9028" t="s">
        <v>4832</v>
      </c>
      <c r="F9028" t="s">
        <v>4832</v>
      </c>
      <c r="G9028" t="s">
        <v>4832</v>
      </c>
      <c r="H9028" t="s">
        <v>859</v>
      </c>
      <c r="I9028" t="s">
        <v>860</v>
      </c>
      <c r="J9028" t="str">
        <f>"9051915"</f>
        <v>9051915</v>
      </c>
      <c r="K9028">
        <v>2102832501</v>
      </c>
      <c r="L9028">
        <v>2102832501</v>
      </c>
      <c r="M9028" t="s">
        <v>9514</v>
      </c>
      <c r="N9028" t="s">
        <v>4835</v>
      </c>
      <c r="O9028" t="s">
        <v>9515</v>
      </c>
      <c r="P9028">
        <v>14452</v>
      </c>
      <c r="Q9028" t="str">
        <f>"38.064327"</f>
        <v>38.064327</v>
      </c>
      <c r="R9028" t="str">
        <f>"23.767042"</f>
        <v>23.767042</v>
      </c>
      <c r="S9028" t="s">
        <v>26</v>
      </c>
    </row>
    <row r="9029" spans="1:19" x14ac:dyDescent="0.3">
      <c r="A9029" t="s">
        <v>3237</v>
      </c>
      <c r="B9029" t="s">
        <v>8935</v>
      </c>
      <c r="C9029" t="s">
        <v>9577</v>
      </c>
      <c r="D9029" t="s">
        <v>3245</v>
      </c>
      <c r="E9029" t="s">
        <v>4832</v>
      </c>
      <c r="F9029" t="s">
        <v>4832</v>
      </c>
      <c r="G9029" t="s">
        <v>4832</v>
      </c>
      <c r="H9029" t="s">
        <v>859</v>
      </c>
      <c r="I9029" t="s">
        <v>860</v>
      </c>
      <c r="J9029" t="str">
        <f>"9051868"</f>
        <v>9051868</v>
      </c>
      <c r="K9029">
        <v>2102850288</v>
      </c>
      <c r="L9029">
        <v>2102850288</v>
      </c>
      <c r="M9029" t="s">
        <v>9578</v>
      </c>
      <c r="N9029" t="s">
        <v>4835</v>
      </c>
      <c r="O9029" t="s">
        <v>9579</v>
      </c>
      <c r="P9029">
        <v>14451</v>
      </c>
      <c r="Q9029" t="str">
        <f>"38.059395"</f>
        <v>38.059395</v>
      </c>
      <c r="R9029" t="str">
        <f>"23.757987"</f>
        <v>23.757987</v>
      </c>
      <c r="S9029" t="s">
        <v>26</v>
      </c>
    </row>
    <row r="9030" spans="1:19" x14ac:dyDescent="0.3">
      <c r="A9030" t="s">
        <v>3237</v>
      </c>
      <c r="B9030" t="s">
        <v>8935</v>
      </c>
      <c r="C9030" t="s">
        <v>9580</v>
      </c>
      <c r="D9030" t="s">
        <v>3245</v>
      </c>
      <c r="E9030" t="s">
        <v>4618</v>
      </c>
      <c r="F9030" t="s">
        <v>4618</v>
      </c>
      <c r="G9030" t="s">
        <v>4618</v>
      </c>
      <c r="H9030" t="s">
        <v>859</v>
      </c>
      <c r="I9030" t="s">
        <v>860</v>
      </c>
      <c r="J9030" t="str">
        <f>"9050881"</f>
        <v>9050881</v>
      </c>
      <c r="K9030">
        <v>2102814746</v>
      </c>
      <c r="L9030">
        <v>2102814746</v>
      </c>
      <c r="M9030" t="s">
        <v>9581</v>
      </c>
      <c r="N9030" t="s">
        <v>9582</v>
      </c>
      <c r="O9030" t="s">
        <v>9583</v>
      </c>
      <c r="P9030">
        <v>14122</v>
      </c>
      <c r="Q9030" t="str">
        <f>"38.034939"</f>
        <v>38.034939</v>
      </c>
      <c r="R9030" t="str">
        <f>"23.763318"</f>
        <v>23.763318</v>
      </c>
      <c r="S9030" t="s">
        <v>26</v>
      </c>
    </row>
    <row r="9031" spans="1:19" x14ac:dyDescent="0.3">
      <c r="A9031" t="s">
        <v>3237</v>
      </c>
      <c r="B9031" t="s">
        <v>8935</v>
      </c>
      <c r="C9031" t="s">
        <v>9599</v>
      </c>
      <c r="D9031" t="s">
        <v>3245</v>
      </c>
      <c r="E9031" t="s">
        <v>4832</v>
      </c>
      <c r="F9031" t="s">
        <v>4832</v>
      </c>
      <c r="G9031" t="s">
        <v>4832</v>
      </c>
      <c r="H9031" t="s">
        <v>859</v>
      </c>
      <c r="I9031" t="s">
        <v>860</v>
      </c>
      <c r="J9031" t="str">
        <f>"9521046"</f>
        <v>9521046</v>
      </c>
      <c r="K9031">
        <v>2102835788</v>
      </c>
      <c r="L9031">
        <v>2102835788</v>
      </c>
      <c r="M9031" t="s">
        <v>9600</v>
      </c>
      <c r="N9031" t="s">
        <v>4835</v>
      </c>
      <c r="O9031" t="s">
        <v>9601</v>
      </c>
      <c r="P9031">
        <v>14452</v>
      </c>
      <c r="Q9031" t="str">
        <f>"38.067716"</f>
        <v>38.067716</v>
      </c>
      <c r="R9031" t="str">
        <f>"23.766314"</f>
        <v>23.766314</v>
      </c>
      <c r="S9031" t="s">
        <v>26</v>
      </c>
    </row>
    <row r="9032" spans="1:19" x14ac:dyDescent="0.3">
      <c r="A9032" t="s">
        <v>3237</v>
      </c>
      <c r="B9032" t="s">
        <v>8935</v>
      </c>
      <c r="C9032" t="s">
        <v>9603</v>
      </c>
      <c r="D9032" t="s">
        <v>3245</v>
      </c>
      <c r="E9032" t="s">
        <v>4713</v>
      </c>
      <c r="F9032" t="s">
        <v>4992</v>
      </c>
      <c r="G9032" t="s">
        <v>4992</v>
      </c>
      <c r="H9032" t="s">
        <v>859</v>
      </c>
      <c r="I9032" t="s">
        <v>860</v>
      </c>
      <c r="J9032" t="str">
        <f>"9521183"</f>
        <v>9521183</v>
      </c>
      <c r="K9032">
        <v>2102827090</v>
      </c>
      <c r="L9032">
        <v>2102827090</v>
      </c>
      <c r="M9032" t="s">
        <v>9604</v>
      </c>
      <c r="N9032" t="s">
        <v>5079</v>
      </c>
      <c r="O9032" t="s">
        <v>9605</v>
      </c>
      <c r="P9032">
        <v>14123</v>
      </c>
      <c r="Q9032" t="str">
        <f>"38.066473"</f>
        <v>38.066473</v>
      </c>
      <c r="R9032" t="str">
        <f>"23.777209"</f>
        <v>23.777209</v>
      </c>
      <c r="S9032" t="s">
        <v>26</v>
      </c>
    </row>
    <row r="9033" spans="1:19" x14ac:dyDescent="0.3">
      <c r="A9033" t="s">
        <v>3237</v>
      </c>
      <c r="B9033" t="s">
        <v>8935</v>
      </c>
      <c r="C9033" t="s">
        <v>9606</v>
      </c>
      <c r="D9033" t="s">
        <v>3245</v>
      </c>
      <c r="E9033" t="s">
        <v>4832</v>
      </c>
      <c r="F9033" t="s">
        <v>4832</v>
      </c>
      <c r="G9033" t="s">
        <v>4832</v>
      </c>
      <c r="H9033" t="s">
        <v>859</v>
      </c>
      <c r="I9033" t="s">
        <v>860</v>
      </c>
      <c r="J9033" t="str">
        <f>"9521399"</f>
        <v>9521399</v>
      </c>
      <c r="N9033" t="s">
        <v>4928</v>
      </c>
      <c r="O9033" t="s">
        <v>383</v>
      </c>
      <c r="P9033">
        <v>0</v>
      </c>
      <c r="Q9033" t="str">
        <f>""</f>
        <v/>
      </c>
      <c r="R9033" t="str">
        <f>""</f>
        <v/>
      </c>
      <c r="S9033" t="s">
        <v>26</v>
      </c>
    </row>
    <row r="9034" spans="1:19" x14ac:dyDescent="0.3">
      <c r="A9034" t="s">
        <v>3237</v>
      </c>
      <c r="B9034" t="s">
        <v>8935</v>
      </c>
      <c r="C9034" t="s">
        <v>9607</v>
      </c>
      <c r="D9034" t="s">
        <v>3245</v>
      </c>
      <c r="E9034" t="s">
        <v>3246</v>
      </c>
      <c r="F9034" t="s">
        <v>3246</v>
      </c>
      <c r="G9034" t="s">
        <v>3246</v>
      </c>
      <c r="H9034" t="s">
        <v>859</v>
      </c>
      <c r="I9034" t="s">
        <v>860</v>
      </c>
      <c r="J9034" t="str">
        <f>"9050883"</f>
        <v>9050883</v>
      </c>
      <c r="K9034">
        <v>2102756036</v>
      </c>
      <c r="L9034">
        <v>2102756036</v>
      </c>
      <c r="M9034" t="s">
        <v>9608</v>
      </c>
      <c r="N9034" t="s">
        <v>3246</v>
      </c>
      <c r="O9034" t="s">
        <v>9609</v>
      </c>
      <c r="P9034">
        <v>14231</v>
      </c>
      <c r="Q9034" t="str">
        <f>"38.048796"</f>
        <v>38.048796</v>
      </c>
      <c r="R9034" t="str">
        <f>"23.750890"</f>
        <v>23.750890</v>
      </c>
      <c r="S9034" t="s">
        <v>26</v>
      </c>
    </row>
    <row r="9035" spans="1:19" x14ac:dyDescent="0.3">
      <c r="A9035" t="s">
        <v>3237</v>
      </c>
      <c r="B9035" t="s">
        <v>8935</v>
      </c>
      <c r="C9035" t="s">
        <v>9610</v>
      </c>
      <c r="D9035" t="s">
        <v>3245</v>
      </c>
      <c r="E9035" t="s">
        <v>3246</v>
      </c>
      <c r="F9035" t="s">
        <v>3246</v>
      </c>
      <c r="G9035" t="s">
        <v>3246</v>
      </c>
      <c r="H9035" t="s">
        <v>859</v>
      </c>
      <c r="I9035" t="s">
        <v>860</v>
      </c>
      <c r="J9035" t="str">
        <f>"9050997"</f>
        <v>9050997</v>
      </c>
      <c r="K9035">
        <v>2102792941</v>
      </c>
      <c r="L9035">
        <v>2102792941</v>
      </c>
      <c r="M9035" t="s">
        <v>9611</v>
      </c>
      <c r="N9035" t="s">
        <v>3246</v>
      </c>
      <c r="O9035" t="s">
        <v>9612</v>
      </c>
      <c r="P9035">
        <v>14563</v>
      </c>
      <c r="Q9035" t="str">
        <f>"38.032813"</f>
        <v>38.032813</v>
      </c>
      <c r="R9035" t="str">
        <f>"23.763636"</f>
        <v>23.763636</v>
      </c>
      <c r="S9035" t="s">
        <v>26</v>
      </c>
    </row>
    <row r="9036" spans="1:19" x14ac:dyDescent="0.3">
      <c r="A9036" t="s">
        <v>3237</v>
      </c>
      <c r="B9036" t="s">
        <v>8935</v>
      </c>
      <c r="C9036" t="s">
        <v>9613</v>
      </c>
      <c r="D9036" t="s">
        <v>3245</v>
      </c>
      <c r="E9036" t="s">
        <v>3246</v>
      </c>
      <c r="F9036" t="s">
        <v>3246</v>
      </c>
      <c r="G9036" t="s">
        <v>3246</v>
      </c>
      <c r="H9036" t="s">
        <v>859</v>
      </c>
      <c r="I9036" t="s">
        <v>860</v>
      </c>
      <c r="J9036" t="str">
        <f>"9051213"</f>
        <v>9051213</v>
      </c>
      <c r="K9036">
        <v>2102755771</v>
      </c>
      <c r="L9036">
        <v>2102755771</v>
      </c>
      <c r="M9036" t="s">
        <v>9614</v>
      </c>
      <c r="N9036" t="s">
        <v>3246</v>
      </c>
      <c r="O9036" t="s">
        <v>9615</v>
      </c>
      <c r="P9036">
        <v>14235</v>
      </c>
      <c r="Q9036" t="str">
        <f>"38.038275"</f>
        <v>38.038275</v>
      </c>
      <c r="R9036" t="str">
        <f>"23.778108"</f>
        <v>23.778108</v>
      </c>
      <c r="S9036" t="s">
        <v>26</v>
      </c>
    </row>
    <row r="9037" spans="1:19" x14ac:dyDescent="0.3">
      <c r="A9037" t="s">
        <v>3237</v>
      </c>
      <c r="B9037" t="s">
        <v>8935</v>
      </c>
      <c r="C9037" t="s">
        <v>9616</v>
      </c>
      <c r="D9037" t="s">
        <v>3245</v>
      </c>
      <c r="E9037" t="s">
        <v>3246</v>
      </c>
      <c r="F9037" t="s">
        <v>3246</v>
      </c>
      <c r="G9037" t="s">
        <v>3246</v>
      </c>
      <c r="H9037" t="s">
        <v>859</v>
      </c>
      <c r="I9037" t="s">
        <v>860</v>
      </c>
      <c r="J9037" t="str">
        <f>"9051457"</f>
        <v>9051457</v>
      </c>
      <c r="K9037">
        <v>2102725266</v>
      </c>
      <c r="L9037">
        <v>2102725266</v>
      </c>
      <c r="M9037" t="s">
        <v>9617</v>
      </c>
      <c r="N9037" t="s">
        <v>3246</v>
      </c>
      <c r="O9037" t="s">
        <v>9618</v>
      </c>
      <c r="P9037">
        <v>14232</v>
      </c>
      <c r="Q9037" t="str">
        <f>"38.034961"</f>
        <v>38.034961</v>
      </c>
      <c r="R9037" t="str">
        <f>"23.753090"</f>
        <v>23.753090</v>
      </c>
      <c r="S9037" t="s">
        <v>26</v>
      </c>
    </row>
    <row r="9038" spans="1:19" x14ac:dyDescent="0.3">
      <c r="A9038" t="s">
        <v>3237</v>
      </c>
      <c r="B9038" t="s">
        <v>8935</v>
      </c>
      <c r="C9038" t="s">
        <v>9630</v>
      </c>
      <c r="D9038" t="s">
        <v>3245</v>
      </c>
      <c r="E9038" t="s">
        <v>4670</v>
      </c>
      <c r="F9038" t="s">
        <v>4671</v>
      </c>
      <c r="G9038" t="s">
        <v>4671</v>
      </c>
      <c r="H9038" t="s">
        <v>859</v>
      </c>
      <c r="I9038" t="s">
        <v>860</v>
      </c>
      <c r="J9038" t="str">
        <f>"9050049"</f>
        <v>9050049</v>
      </c>
      <c r="K9038">
        <v>2106818646</v>
      </c>
      <c r="L9038">
        <v>2106818646</v>
      </c>
      <c r="M9038" t="s">
        <v>9631</v>
      </c>
      <c r="N9038" t="s">
        <v>4671</v>
      </c>
      <c r="O9038" t="s">
        <v>9632</v>
      </c>
      <c r="P9038">
        <v>15237</v>
      </c>
      <c r="Q9038" t="str">
        <f>"38.023913"</f>
        <v>38.023913</v>
      </c>
      <c r="R9038" t="str">
        <f>"23.784057"</f>
        <v>23.784057</v>
      </c>
      <c r="S9038" t="s">
        <v>26</v>
      </c>
    </row>
    <row r="9039" spans="1:19" x14ac:dyDescent="0.3">
      <c r="A9039" t="s">
        <v>3237</v>
      </c>
      <c r="B9039" t="s">
        <v>8935</v>
      </c>
      <c r="C9039" t="s">
        <v>9633</v>
      </c>
      <c r="D9039" t="s">
        <v>3245</v>
      </c>
      <c r="E9039" t="s">
        <v>4586</v>
      </c>
      <c r="F9039" t="s">
        <v>4586</v>
      </c>
      <c r="G9039" t="s">
        <v>4586</v>
      </c>
      <c r="H9039" t="s">
        <v>859</v>
      </c>
      <c r="I9039" t="s">
        <v>860</v>
      </c>
      <c r="J9039" t="str">
        <f>"9521181"</f>
        <v>9521181</v>
      </c>
      <c r="K9039">
        <v>2106032144</v>
      </c>
      <c r="M9039" t="s">
        <v>9634</v>
      </c>
      <c r="N9039" t="s">
        <v>4586</v>
      </c>
      <c r="O9039" t="s">
        <v>9635</v>
      </c>
      <c r="P9039">
        <v>15236</v>
      </c>
      <c r="Q9039" t="str">
        <f>"38.036650"</f>
        <v>38.036650</v>
      </c>
      <c r="R9039" t="str">
        <f>"23.877572"</f>
        <v>23.877572</v>
      </c>
      <c r="S9039" t="s">
        <v>26</v>
      </c>
    </row>
    <row r="9040" spans="1:19" x14ac:dyDescent="0.3">
      <c r="A9040" t="s">
        <v>3237</v>
      </c>
      <c r="B9040" t="s">
        <v>8935</v>
      </c>
      <c r="C9040" t="s">
        <v>9640</v>
      </c>
      <c r="D9040" t="s">
        <v>3245</v>
      </c>
      <c r="E9040" t="s">
        <v>4649</v>
      </c>
      <c r="F9040" t="s">
        <v>4649</v>
      </c>
      <c r="G9040" t="s">
        <v>4649</v>
      </c>
      <c r="H9040" t="s">
        <v>859</v>
      </c>
      <c r="I9040" t="s">
        <v>860</v>
      </c>
      <c r="J9040" t="str">
        <f>"9521182"</f>
        <v>9521182</v>
      </c>
      <c r="K9040">
        <v>2106002991</v>
      </c>
      <c r="L9040">
        <v>2106002991</v>
      </c>
      <c r="M9040" t="s">
        <v>9641</v>
      </c>
      <c r="N9040" t="s">
        <v>4649</v>
      </c>
      <c r="O9040" t="s">
        <v>9642</v>
      </c>
      <c r="P9040">
        <v>15238</v>
      </c>
      <c r="Q9040" t="str">
        <f>"38.033524"</f>
        <v>38.033524</v>
      </c>
      <c r="R9040" t="str">
        <f>"23.843714"</f>
        <v>23.843714</v>
      </c>
      <c r="S9040" t="s">
        <v>26</v>
      </c>
    </row>
    <row r="9041" spans="1:19" x14ac:dyDescent="0.3">
      <c r="A9041" t="s">
        <v>3237</v>
      </c>
      <c r="B9041" t="s">
        <v>8935</v>
      </c>
      <c r="C9041" t="s">
        <v>9643</v>
      </c>
      <c r="D9041" t="s">
        <v>3245</v>
      </c>
      <c r="E9041" t="s">
        <v>4682</v>
      </c>
      <c r="F9041" t="s">
        <v>4682</v>
      </c>
      <c r="G9041" t="s">
        <v>4682</v>
      </c>
      <c r="H9041" t="s">
        <v>859</v>
      </c>
      <c r="I9041" t="s">
        <v>860</v>
      </c>
      <c r="J9041" t="str">
        <f>"9521397"</f>
        <v>9521397</v>
      </c>
      <c r="K9041">
        <v>2106130991</v>
      </c>
      <c r="L9041">
        <v>2106130991</v>
      </c>
      <c r="M9041" t="s">
        <v>9644</v>
      </c>
      <c r="N9041" t="s">
        <v>4685</v>
      </c>
      <c r="O9041" t="s">
        <v>9645</v>
      </c>
      <c r="P9041">
        <v>15235</v>
      </c>
      <c r="Q9041" t="str">
        <f>"38.043511"</f>
        <v>38.043511</v>
      </c>
      <c r="R9041" t="str">
        <f>"23.838182"</f>
        <v>23.838182</v>
      </c>
      <c r="S9041" t="s">
        <v>26</v>
      </c>
    </row>
    <row r="9042" spans="1:19" x14ac:dyDescent="0.3">
      <c r="A9042" t="s">
        <v>3237</v>
      </c>
      <c r="B9042" t="s">
        <v>8935</v>
      </c>
      <c r="C9042" t="s">
        <v>9648</v>
      </c>
      <c r="D9042" t="s">
        <v>3245</v>
      </c>
      <c r="E9042" t="s">
        <v>152</v>
      </c>
      <c r="F9042" t="s">
        <v>152</v>
      </c>
      <c r="G9042" t="s">
        <v>152</v>
      </c>
      <c r="H9042" t="s">
        <v>859</v>
      </c>
      <c r="I9042" t="s">
        <v>860</v>
      </c>
      <c r="J9042" t="str">
        <f>"9521498"</f>
        <v>9521498</v>
      </c>
      <c r="N9042" t="s">
        <v>152</v>
      </c>
      <c r="O9042" t="s">
        <v>7582</v>
      </c>
      <c r="P9042">
        <v>0</v>
      </c>
      <c r="Q9042" t="str">
        <f>""</f>
        <v/>
      </c>
      <c r="R9042" t="str">
        <f>""</f>
        <v/>
      </c>
      <c r="S9042" t="s">
        <v>26</v>
      </c>
    </row>
    <row r="9043" spans="1:19" x14ac:dyDescent="0.3">
      <c r="A9043" t="s">
        <v>3237</v>
      </c>
      <c r="B9043" t="s">
        <v>8935</v>
      </c>
      <c r="C9043" t="s">
        <v>9649</v>
      </c>
      <c r="D9043" t="s">
        <v>3245</v>
      </c>
      <c r="E9043" t="s">
        <v>4768</v>
      </c>
      <c r="F9043" t="s">
        <v>5028</v>
      </c>
      <c r="G9043" t="s">
        <v>5028</v>
      </c>
      <c r="H9043" t="s">
        <v>859</v>
      </c>
      <c r="I9043" t="s">
        <v>860</v>
      </c>
      <c r="J9043" t="str">
        <f>"9051506"</f>
        <v>9051506</v>
      </c>
      <c r="K9043">
        <v>2106512560</v>
      </c>
      <c r="L9043">
        <v>2106512560</v>
      </c>
      <c r="M9043" t="s">
        <v>9650</v>
      </c>
      <c r="N9043" t="s">
        <v>5028</v>
      </c>
      <c r="O9043" t="s">
        <v>9651</v>
      </c>
      <c r="P9043">
        <v>15669</v>
      </c>
      <c r="Q9043" t="str">
        <f>"37.988174"</f>
        <v>37.988174</v>
      </c>
      <c r="R9043" t="str">
        <f>"23.792579"</f>
        <v>23.792579</v>
      </c>
      <c r="S9043" t="s">
        <v>26</v>
      </c>
    </row>
    <row r="9044" spans="1:19" x14ac:dyDescent="0.3">
      <c r="A9044" t="s">
        <v>3237</v>
      </c>
      <c r="B9044" t="s">
        <v>8935</v>
      </c>
      <c r="C9044" t="s">
        <v>9652</v>
      </c>
      <c r="D9044" t="s">
        <v>3245</v>
      </c>
      <c r="E9044" t="s">
        <v>4670</v>
      </c>
      <c r="F9044" t="s">
        <v>3344</v>
      </c>
      <c r="G9044" t="s">
        <v>3344</v>
      </c>
      <c r="H9044" t="s">
        <v>859</v>
      </c>
      <c r="I9044" t="s">
        <v>860</v>
      </c>
      <c r="J9044" t="str">
        <f>"9050698"</f>
        <v>9050698</v>
      </c>
      <c r="N9044" t="s">
        <v>9653</v>
      </c>
      <c r="O9044" t="s">
        <v>4788</v>
      </c>
      <c r="P9044">
        <v>0</v>
      </c>
      <c r="Q9044" t="str">
        <f>""</f>
        <v/>
      </c>
      <c r="R9044" t="str">
        <f>""</f>
        <v/>
      </c>
      <c r="S9044" t="s">
        <v>26</v>
      </c>
    </row>
    <row r="9045" spans="1:19" x14ac:dyDescent="0.3">
      <c r="A9045" t="s">
        <v>3237</v>
      </c>
      <c r="B9045" t="s">
        <v>8935</v>
      </c>
      <c r="C9045" t="s">
        <v>9654</v>
      </c>
      <c r="D9045" t="s">
        <v>3245</v>
      </c>
      <c r="E9045" t="s">
        <v>4670</v>
      </c>
      <c r="F9045" t="s">
        <v>4671</v>
      </c>
      <c r="G9045" t="s">
        <v>4671</v>
      </c>
      <c r="H9045" t="s">
        <v>859</v>
      </c>
      <c r="I9045" t="s">
        <v>860</v>
      </c>
      <c r="J9045" t="str">
        <f>"9521499"</f>
        <v>9521499</v>
      </c>
      <c r="N9045" t="s">
        <v>4674</v>
      </c>
      <c r="O9045" t="s">
        <v>4674</v>
      </c>
      <c r="P9045">
        <v>0</v>
      </c>
      <c r="Q9045" t="str">
        <f>""</f>
        <v/>
      </c>
      <c r="R9045" t="str">
        <f>""</f>
        <v/>
      </c>
      <c r="S9045" t="s">
        <v>26</v>
      </c>
    </row>
    <row r="9046" spans="1:19" x14ac:dyDescent="0.3">
      <c r="A9046" t="s">
        <v>3237</v>
      </c>
      <c r="B9046" t="s">
        <v>8935</v>
      </c>
      <c r="C9046" t="s">
        <v>9655</v>
      </c>
      <c r="D9046" t="s">
        <v>3245</v>
      </c>
      <c r="E9046" t="s">
        <v>4048</v>
      </c>
      <c r="F9046" t="s">
        <v>4048</v>
      </c>
      <c r="G9046" t="s">
        <v>4048</v>
      </c>
      <c r="H9046" t="s">
        <v>859</v>
      </c>
      <c r="I9046" t="s">
        <v>860</v>
      </c>
      <c r="J9046" t="str">
        <f>"9521500"</f>
        <v>9521500</v>
      </c>
      <c r="K9046">
        <v>2106203251</v>
      </c>
      <c r="M9046" t="s">
        <v>9656</v>
      </c>
      <c r="N9046" t="s">
        <v>4605</v>
      </c>
      <c r="O9046" t="s">
        <v>9657</v>
      </c>
      <c r="P9046">
        <v>14564</v>
      </c>
      <c r="Q9046" t="str">
        <f>"38.093667"</f>
        <v>38.093667</v>
      </c>
      <c r="R9046" t="str">
        <f>"23.789996"</f>
        <v>23.789996</v>
      </c>
      <c r="S9046" t="s">
        <v>26</v>
      </c>
    </row>
    <row r="9047" spans="1:19" x14ac:dyDescent="0.3">
      <c r="A9047" t="s">
        <v>3237</v>
      </c>
      <c r="B9047" t="s">
        <v>8935</v>
      </c>
      <c r="C9047" t="s">
        <v>9658</v>
      </c>
      <c r="D9047" t="s">
        <v>3245</v>
      </c>
      <c r="E9047" t="s">
        <v>4586</v>
      </c>
      <c r="F9047" t="s">
        <v>4807</v>
      </c>
      <c r="G9047" t="s">
        <v>4807</v>
      </c>
      <c r="H9047" t="s">
        <v>859</v>
      </c>
      <c r="I9047" t="s">
        <v>860</v>
      </c>
      <c r="J9047" t="str">
        <f>"9521293"</f>
        <v>9521293</v>
      </c>
      <c r="K9047">
        <v>2108041612</v>
      </c>
      <c r="L9047">
        <v>2108041612</v>
      </c>
      <c r="M9047" t="s">
        <v>9659</v>
      </c>
      <c r="N9047" t="s">
        <v>4810</v>
      </c>
      <c r="O9047" t="s">
        <v>9660</v>
      </c>
      <c r="P9047">
        <v>15127</v>
      </c>
      <c r="Q9047" t="str">
        <f>"38.048416"</f>
        <v>38.048416</v>
      </c>
      <c r="R9047" t="str">
        <f>"23.838745"</f>
        <v>23.838745</v>
      </c>
      <c r="S9047" t="s">
        <v>26</v>
      </c>
    </row>
    <row r="9048" spans="1:19" x14ac:dyDescent="0.3">
      <c r="A9048" t="s">
        <v>3237</v>
      </c>
      <c r="B9048" t="s">
        <v>8935</v>
      </c>
      <c r="C9048" t="s">
        <v>9661</v>
      </c>
      <c r="D9048" t="s">
        <v>3245</v>
      </c>
      <c r="E9048" t="s">
        <v>4048</v>
      </c>
      <c r="F9048" t="s">
        <v>4918</v>
      </c>
      <c r="G9048" t="s">
        <v>4918</v>
      </c>
      <c r="H9048" t="s">
        <v>859</v>
      </c>
      <c r="I9048" t="s">
        <v>860</v>
      </c>
      <c r="J9048" t="str">
        <f>"9521398"</f>
        <v>9521398</v>
      </c>
      <c r="K9048">
        <v>2108071037</v>
      </c>
      <c r="M9048" t="s">
        <v>9662</v>
      </c>
      <c r="N9048" t="s">
        <v>4921</v>
      </c>
      <c r="O9048" t="s">
        <v>9663</v>
      </c>
      <c r="P9048">
        <v>14671</v>
      </c>
      <c r="Q9048" t="str">
        <f>"38.092618"</f>
        <v>38.092618</v>
      </c>
      <c r="R9048" t="str">
        <f>"23.821007"</f>
        <v>23.821007</v>
      </c>
      <c r="S9048" t="s">
        <v>26</v>
      </c>
    </row>
    <row r="9049" spans="1:19" x14ac:dyDescent="0.3">
      <c r="A9049" t="s">
        <v>3237</v>
      </c>
      <c r="B9049" t="s">
        <v>8935</v>
      </c>
      <c r="C9049" t="s">
        <v>9668</v>
      </c>
      <c r="D9049" t="s">
        <v>3245</v>
      </c>
      <c r="E9049" t="s">
        <v>4832</v>
      </c>
      <c r="F9049" t="s">
        <v>4832</v>
      </c>
      <c r="G9049" t="s">
        <v>4832</v>
      </c>
      <c r="H9049" t="s">
        <v>859</v>
      </c>
      <c r="I9049" t="s">
        <v>1102</v>
      </c>
      <c r="J9049" t="str">
        <f>"9521663"</f>
        <v>9521663</v>
      </c>
      <c r="N9049" t="s">
        <v>4835</v>
      </c>
      <c r="O9049" t="s">
        <v>9669</v>
      </c>
      <c r="P9049">
        <v>0</v>
      </c>
      <c r="Q9049" t="str">
        <f>""</f>
        <v/>
      </c>
      <c r="R9049" t="str">
        <f>""</f>
        <v/>
      </c>
      <c r="S9049" t="s">
        <v>26</v>
      </c>
    </row>
    <row r="9050" spans="1:19" x14ac:dyDescent="0.3">
      <c r="A9050" t="s">
        <v>3237</v>
      </c>
      <c r="B9050" t="s">
        <v>8935</v>
      </c>
      <c r="C9050" t="s">
        <v>9673</v>
      </c>
      <c r="D9050" t="s">
        <v>3245</v>
      </c>
      <c r="E9050" t="s">
        <v>4649</v>
      </c>
      <c r="F9050" t="s">
        <v>4649</v>
      </c>
      <c r="G9050" t="s">
        <v>4649</v>
      </c>
      <c r="H9050" t="s">
        <v>859</v>
      </c>
      <c r="I9050" t="s">
        <v>860</v>
      </c>
      <c r="J9050" t="str">
        <f>"9521674"</f>
        <v>9521674</v>
      </c>
      <c r="N9050" t="s">
        <v>4652</v>
      </c>
      <c r="O9050" t="s">
        <v>4652</v>
      </c>
      <c r="P9050">
        <v>0</v>
      </c>
      <c r="Q9050" t="str">
        <f>""</f>
        <v/>
      </c>
      <c r="R9050" t="str">
        <f>""</f>
        <v/>
      </c>
      <c r="S9050" t="s">
        <v>26</v>
      </c>
    </row>
    <row r="9051" spans="1:19" x14ac:dyDescent="0.3">
      <c r="A9051" t="s">
        <v>3237</v>
      </c>
      <c r="B9051" t="s">
        <v>8935</v>
      </c>
      <c r="C9051" t="s">
        <v>9674</v>
      </c>
      <c r="D9051" t="s">
        <v>3245</v>
      </c>
      <c r="E9051" t="s">
        <v>4713</v>
      </c>
      <c r="F9051" t="s">
        <v>4714</v>
      </c>
      <c r="G9051" t="s">
        <v>4714</v>
      </c>
      <c r="H9051" t="s">
        <v>859</v>
      </c>
      <c r="I9051" t="s">
        <v>860</v>
      </c>
      <c r="J9051" t="str">
        <f>"9051793"</f>
        <v>9051793</v>
      </c>
      <c r="N9051" t="s">
        <v>4717</v>
      </c>
      <c r="O9051" t="s">
        <v>4717</v>
      </c>
      <c r="P9051">
        <v>0</v>
      </c>
      <c r="Q9051" t="str">
        <f>""</f>
        <v/>
      </c>
      <c r="R9051" t="str">
        <f>""</f>
        <v/>
      </c>
      <c r="S9051" t="s">
        <v>26</v>
      </c>
    </row>
    <row r="9052" spans="1:19" x14ac:dyDescent="0.3">
      <c r="A9052" t="s">
        <v>3237</v>
      </c>
      <c r="B9052" t="s">
        <v>8935</v>
      </c>
      <c r="C9052" t="s">
        <v>9676</v>
      </c>
      <c r="D9052" t="s">
        <v>3245</v>
      </c>
      <c r="E9052" t="s">
        <v>4768</v>
      </c>
      <c r="F9052" t="s">
        <v>4766</v>
      </c>
      <c r="G9052" t="s">
        <v>4766</v>
      </c>
      <c r="H9052" t="s">
        <v>859</v>
      </c>
      <c r="I9052" t="s">
        <v>860</v>
      </c>
      <c r="J9052" t="str">
        <f>"9521685"</f>
        <v>9521685</v>
      </c>
      <c r="K9052">
        <v>2106517373</v>
      </c>
      <c r="L9052">
        <v>2106517373</v>
      </c>
      <c r="M9052" t="s">
        <v>9677</v>
      </c>
      <c r="N9052" t="s">
        <v>4771</v>
      </c>
      <c r="O9052" t="s">
        <v>9678</v>
      </c>
      <c r="P9052">
        <v>15561</v>
      </c>
      <c r="Q9052" t="str">
        <f>"37.998196"</f>
        <v>37.998196</v>
      </c>
      <c r="R9052" t="str">
        <f>"23.799916"</f>
        <v>23.799916</v>
      </c>
      <c r="S9052" t="s">
        <v>26</v>
      </c>
    </row>
    <row r="9053" spans="1:19" x14ac:dyDescent="0.3">
      <c r="A9053" t="s">
        <v>3237</v>
      </c>
      <c r="B9053" t="s">
        <v>8935</v>
      </c>
      <c r="C9053" t="s">
        <v>9679</v>
      </c>
      <c r="D9053" t="s">
        <v>3245</v>
      </c>
      <c r="E9053" t="s">
        <v>3246</v>
      </c>
      <c r="F9053" t="s">
        <v>3246</v>
      </c>
      <c r="G9053" t="s">
        <v>3246</v>
      </c>
      <c r="H9053" t="s">
        <v>859</v>
      </c>
      <c r="I9053" t="s">
        <v>860</v>
      </c>
      <c r="J9053" t="str">
        <f>"9521686"</f>
        <v>9521686</v>
      </c>
      <c r="Q9053" t="str">
        <f>""</f>
        <v/>
      </c>
      <c r="R9053" t="str">
        <f>""</f>
        <v/>
      </c>
      <c r="S9053" t="s">
        <v>26</v>
      </c>
    </row>
    <row r="9054" spans="1:19" x14ac:dyDescent="0.3">
      <c r="A9054" t="s">
        <v>3237</v>
      </c>
      <c r="B9054" t="s">
        <v>8935</v>
      </c>
      <c r="C9054" t="s">
        <v>9681</v>
      </c>
      <c r="D9054" t="s">
        <v>3245</v>
      </c>
      <c r="E9054" t="s">
        <v>152</v>
      </c>
      <c r="F9054" t="s">
        <v>152</v>
      </c>
      <c r="G9054" t="s">
        <v>152</v>
      </c>
      <c r="H9054" t="s">
        <v>859</v>
      </c>
      <c r="I9054" t="s">
        <v>860</v>
      </c>
      <c r="J9054" t="str">
        <f>"9052001"</f>
        <v>9052001</v>
      </c>
      <c r="Q9054" t="str">
        <f>""</f>
        <v/>
      </c>
      <c r="R9054" t="str">
        <f>""</f>
        <v/>
      </c>
      <c r="S9054" t="s">
        <v>26</v>
      </c>
    </row>
    <row r="9055" spans="1:19" x14ac:dyDescent="0.3">
      <c r="A9055" t="s">
        <v>3237</v>
      </c>
      <c r="B9055" t="s">
        <v>8935</v>
      </c>
      <c r="C9055" t="s">
        <v>9682</v>
      </c>
      <c r="D9055" t="s">
        <v>3245</v>
      </c>
      <c r="E9055" t="s">
        <v>4768</v>
      </c>
      <c r="F9055" t="s">
        <v>4766</v>
      </c>
      <c r="G9055" t="s">
        <v>4766</v>
      </c>
      <c r="H9055" t="s">
        <v>859</v>
      </c>
      <c r="I9055" t="s">
        <v>860</v>
      </c>
      <c r="J9055" t="str">
        <f>"9052003"</f>
        <v>9052003</v>
      </c>
      <c r="Q9055" t="str">
        <f>""</f>
        <v/>
      </c>
      <c r="R9055" t="str">
        <f>""</f>
        <v/>
      </c>
      <c r="S9055" t="s">
        <v>26</v>
      </c>
    </row>
    <row r="9056" spans="1:19" x14ac:dyDescent="0.3">
      <c r="A9056" t="s">
        <v>3237</v>
      </c>
      <c r="B9056" t="s">
        <v>8935</v>
      </c>
      <c r="C9056" t="s">
        <v>9683</v>
      </c>
      <c r="D9056" t="s">
        <v>3245</v>
      </c>
      <c r="E9056" t="s">
        <v>4768</v>
      </c>
      <c r="F9056" t="s">
        <v>5028</v>
      </c>
      <c r="G9056" t="s">
        <v>5028</v>
      </c>
      <c r="H9056" t="s">
        <v>859</v>
      </c>
      <c r="I9056" t="s">
        <v>860</v>
      </c>
      <c r="J9056" t="str">
        <f>"9052005"</f>
        <v>9052005</v>
      </c>
      <c r="Q9056" t="str">
        <f>""</f>
        <v/>
      </c>
      <c r="R9056" t="str">
        <f>""</f>
        <v/>
      </c>
      <c r="S9056" t="s">
        <v>26</v>
      </c>
    </row>
    <row r="9057" spans="1:19" x14ac:dyDescent="0.3">
      <c r="A9057" t="s">
        <v>3237</v>
      </c>
      <c r="B9057" t="s">
        <v>9684</v>
      </c>
      <c r="C9057" t="s">
        <v>9685</v>
      </c>
      <c r="D9057" t="s">
        <v>3251</v>
      </c>
      <c r="E9057" t="s">
        <v>5087</v>
      </c>
      <c r="F9057" t="s">
        <v>5087</v>
      </c>
      <c r="G9057" t="s">
        <v>5088</v>
      </c>
      <c r="H9057" t="s">
        <v>859</v>
      </c>
      <c r="I9057" t="s">
        <v>860</v>
      </c>
      <c r="J9057" t="str">
        <f>"9050401"</f>
        <v>9050401</v>
      </c>
      <c r="K9057">
        <v>2105719420</v>
      </c>
      <c r="L9057">
        <v>2105719420</v>
      </c>
      <c r="M9057" t="s">
        <v>9686</v>
      </c>
      <c r="N9057" t="s">
        <v>5102</v>
      </c>
      <c r="O9057" t="s">
        <v>9687</v>
      </c>
      <c r="P9057">
        <v>12135</v>
      </c>
      <c r="Q9057" t="str">
        <f>"38.027000"</f>
        <v>38.027000</v>
      </c>
      <c r="R9057" t="str">
        <f>"23.683332"</f>
        <v>23.683332</v>
      </c>
      <c r="S9057" t="s">
        <v>26</v>
      </c>
    </row>
    <row r="9058" spans="1:19" x14ac:dyDescent="0.3">
      <c r="A9058" t="s">
        <v>3237</v>
      </c>
      <c r="B9058" t="s">
        <v>9684</v>
      </c>
      <c r="C9058" t="s">
        <v>9688</v>
      </c>
      <c r="D9058" t="s">
        <v>3251</v>
      </c>
      <c r="E9058" t="s">
        <v>5087</v>
      </c>
      <c r="F9058" t="s">
        <v>5087</v>
      </c>
      <c r="G9058" t="s">
        <v>5099</v>
      </c>
      <c r="H9058" t="s">
        <v>859</v>
      </c>
      <c r="I9058" t="s">
        <v>860</v>
      </c>
      <c r="J9058" t="str">
        <f>"9051590"</f>
        <v>9051590</v>
      </c>
      <c r="K9058">
        <v>2105753747</v>
      </c>
      <c r="M9058" t="s">
        <v>9689</v>
      </c>
      <c r="N9058" t="s">
        <v>5102</v>
      </c>
      <c r="O9058" t="s">
        <v>9690</v>
      </c>
      <c r="P9058">
        <v>12137</v>
      </c>
      <c r="Q9058" t="str">
        <f>"38.016837"</f>
        <v>38.016837</v>
      </c>
      <c r="R9058" t="str">
        <f>"23.675062"</f>
        <v>23.675062</v>
      </c>
      <c r="S9058" t="s">
        <v>26</v>
      </c>
    </row>
    <row r="9059" spans="1:19" x14ac:dyDescent="0.3">
      <c r="A9059" t="s">
        <v>3237</v>
      </c>
      <c r="B9059" t="s">
        <v>9684</v>
      </c>
      <c r="C9059" t="s">
        <v>9693</v>
      </c>
      <c r="D9059" t="s">
        <v>3251</v>
      </c>
      <c r="E9059" t="s">
        <v>5087</v>
      </c>
      <c r="F9059" t="s">
        <v>5087</v>
      </c>
      <c r="G9059" t="s">
        <v>5088</v>
      </c>
      <c r="H9059" t="s">
        <v>859</v>
      </c>
      <c r="I9059" t="s">
        <v>860</v>
      </c>
      <c r="J9059" t="str">
        <f>"9051230"</f>
        <v>9051230</v>
      </c>
      <c r="K9059">
        <v>2105747211</v>
      </c>
      <c r="L9059">
        <v>2105747211</v>
      </c>
      <c r="M9059" t="s">
        <v>9694</v>
      </c>
      <c r="N9059" t="s">
        <v>5102</v>
      </c>
      <c r="O9059" t="s">
        <v>9695</v>
      </c>
      <c r="P9059">
        <v>12135</v>
      </c>
      <c r="Q9059" t="str">
        <f>"38.024774"</f>
        <v>38.024774</v>
      </c>
      <c r="R9059" t="str">
        <f>"23.689804"</f>
        <v>23.689804</v>
      </c>
      <c r="S9059" t="s">
        <v>26</v>
      </c>
    </row>
    <row r="9060" spans="1:19" x14ac:dyDescent="0.3">
      <c r="A9060" t="s">
        <v>3237</v>
      </c>
      <c r="B9060" t="s">
        <v>9684</v>
      </c>
      <c r="C9060" t="s">
        <v>9696</v>
      </c>
      <c r="D9060" t="s">
        <v>3251</v>
      </c>
      <c r="E9060" t="s">
        <v>5087</v>
      </c>
      <c r="F9060" t="s">
        <v>5087</v>
      </c>
      <c r="G9060" t="s">
        <v>5099</v>
      </c>
      <c r="H9060" t="s">
        <v>859</v>
      </c>
      <c r="I9060" t="s">
        <v>860</v>
      </c>
      <c r="J9060" t="str">
        <f>"9051513"</f>
        <v>9051513</v>
      </c>
      <c r="K9060">
        <v>2105753747</v>
      </c>
      <c r="L9060">
        <v>2105719229</v>
      </c>
      <c r="M9060" t="s">
        <v>9697</v>
      </c>
      <c r="N9060" t="s">
        <v>5102</v>
      </c>
      <c r="O9060" t="s">
        <v>9690</v>
      </c>
      <c r="P9060">
        <v>12137</v>
      </c>
      <c r="Q9060" t="str">
        <f>"38.016730"</f>
        <v>38.016730</v>
      </c>
      <c r="R9060" t="str">
        <f>"23.675032"</f>
        <v>23.675032</v>
      </c>
      <c r="S9060" t="s">
        <v>26</v>
      </c>
    </row>
    <row r="9061" spans="1:19" x14ac:dyDescent="0.3">
      <c r="A9061" t="s">
        <v>3237</v>
      </c>
      <c r="B9061" t="s">
        <v>9684</v>
      </c>
      <c r="C9061" t="s">
        <v>9698</v>
      </c>
      <c r="D9061" t="s">
        <v>3251</v>
      </c>
      <c r="E9061" t="s">
        <v>5087</v>
      </c>
      <c r="F9061" t="s">
        <v>5087</v>
      </c>
      <c r="G9061" t="s">
        <v>5099</v>
      </c>
      <c r="H9061" t="s">
        <v>859</v>
      </c>
      <c r="I9061" t="s">
        <v>860</v>
      </c>
      <c r="J9061" t="str">
        <f>"9051231"</f>
        <v>9051231</v>
      </c>
      <c r="K9061">
        <v>2105761551</v>
      </c>
      <c r="L9061">
        <v>2105761551</v>
      </c>
      <c r="M9061" t="s">
        <v>9699</v>
      </c>
      <c r="N9061" t="s">
        <v>5102</v>
      </c>
      <c r="O9061" t="s">
        <v>9700</v>
      </c>
      <c r="P9061">
        <v>12135</v>
      </c>
      <c r="Q9061" t="str">
        <f>"38.014868"</f>
        <v>38.014868</v>
      </c>
      <c r="R9061" t="str">
        <f>"23.684992"</f>
        <v>23.684992</v>
      </c>
      <c r="S9061" t="s">
        <v>26</v>
      </c>
    </row>
    <row r="9062" spans="1:19" x14ac:dyDescent="0.3">
      <c r="A9062" t="s">
        <v>3237</v>
      </c>
      <c r="B9062" t="s">
        <v>9684</v>
      </c>
      <c r="C9062" t="s">
        <v>9701</v>
      </c>
      <c r="D9062" t="s">
        <v>3251</v>
      </c>
      <c r="E9062" t="s">
        <v>5087</v>
      </c>
      <c r="F9062" t="s">
        <v>5087</v>
      </c>
      <c r="G9062" t="s">
        <v>5088</v>
      </c>
      <c r="H9062" t="s">
        <v>859</v>
      </c>
      <c r="I9062" t="s">
        <v>860</v>
      </c>
      <c r="J9062" t="str">
        <f>"9051228"</f>
        <v>9051228</v>
      </c>
      <c r="K9062">
        <v>2105754163</v>
      </c>
      <c r="L9062">
        <v>2105754163</v>
      </c>
      <c r="M9062" t="s">
        <v>9702</v>
      </c>
      <c r="N9062" t="s">
        <v>5102</v>
      </c>
      <c r="O9062" t="s">
        <v>9703</v>
      </c>
      <c r="P9062">
        <v>12137</v>
      </c>
      <c r="Q9062" t="str">
        <f>"38.028293"</f>
        <v>38.028293</v>
      </c>
      <c r="R9062" t="str">
        <f>"23.681403"</f>
        <v>23.681403</v>
      </c>
      <c r="S9062" t="s">
        <v>26</v>
      </c>
    </row>
    <row r="9063" spans="1:19" x14ac:dyDescent="0.3">
      <c r="A9063" t="s">
        <v>3237</v>
      </c>
      <c r="B9063" t="s">
        <v>9684</v>
      </c>
      <c r="C9063" t="s">
        <v>9704</v>
      </c>
      <c r="D9063" t="s">
        <v>3251</v>
      </c>
      <c r="E9063" t="s">
        <v>5087</v>
      </c>
      <c r="F9063" t="s">
        <v>5087</v>
      </c>
      <c r="G9063" t="s">
        <v>5088</v>
      </c>
      <c r="H9063" t="s">
        <v>859</v>
      </c>
      <c r="I9063" t="s">
        <v>860</v>
      </c>
      <c r="J9063" t="str">
        <f>"9051236"</f>
        <v>9051236</v>
      </c>
      <c r="K9063">
        <v>2105775200</v>
      </c>
      <c r="L9063">
        <v>2105775200</v>
      </c>
      <c r="M9063" t="s">
        <v>9705</v>
      </c>
      <c r="N9063" t="s">
        <v>5087</v>
      </c>
      <c r="O9063" t="s">
        <v>9703</v>
      </c>
      <c r="P9063">
        <v>12137</v>
      </c>
      <c r="Q9063" t="str">
        <f>"38.028308"</f>
        <v>38.028308</v>
      </c>
      <c r="R9063" t="str">
        <f>"23.681565"</f>
        <v>23.681565</v>
      </c>
      <c r="S9063" t="s">
        <v>26</v>
      </c>
    </row>
    <row r="9064" spans="1:19" x14ac:dyDescent="0.3">
      <c r="A9064" t="s">
        <v>3237</v>
      </c>
      <c r="B9064" t="s">
        <v>9684</v>
      </c>
      <c r="C9064" t="s">
        <v>9706</v>
      </c>
      <c r="D9064" t="s">
        <v>3251</v>
      </c>
      <c r="E9064" t="s">
        <v>5087</v>
      </c>
      <c r="F9064" t="s">
        <v>5087</v>
      </c>
      <c r="G9064" t="s">
        <v>5281</v>
      </c>
      <c r="H9064" t="s">
        <v>859</v>
      </c>
      <c r="I9064" t="s">
        <v>860</v>
      </c>
      <c r="J9064" t="str">
        <f>"9051225"</f>
        <v>9051225</v>
      </c>
      <c r="K9064">
        <v>2105758640</v>
      </c>
      <c r="L9064">
        <v>2105758640</v>
      </c>
      <c r="M9064" t="s">
        <v>9707</v>
      </c>
      <c r="N9064" t="s">
        <v>5102</v>
      </c>
      <c r="O9064" t="s">
        <v>9708</v>
      </c>
      <c r="P9064">
        <v>12131</v>
      </c>
      <c r="Q9064" t="str">
        <f>"38.008000"</f>
        <v>38.008000</v>
      </c>
      <c r="R9064" t="str">
        <f>"23.693589"</f>
        <v>23.693589</v>
      </c>
      <c r="S9064" t="s">
        <v>26</v>
      </c>
    </row>
    <row r="9065" spans="1:19" x14ac:dyDescent="0.3">
      <c r="A9065" t="s">
        <v>3237</v>
      </c>
      <c r="B9065" t="s">
        <v>9684</v>
      </c>
      <c r="C9065" t="s">
        <v>9709</v>
      </c>
      <c r="D9065" t="s">
        <v>3251</v>
      </c>
      <c r="E9065" t="s">
        <v>5087</v>
      </c>
      <c r="F9065" t="s">
        <v>5087</v>
      </c>
      <c r="G9065" t="s">
        <v>5281</v>
      </c>
      <c r="H9065" t="s">
        <v>859</v>
      </c>
      <c r="I9065" t="s">
        <v>860</v>
      </c>
      <c r="J9065" t="str">
        <f>"9051227"</f>
        <v>9051227</v>
      </c>
      <c r="K9065">
        <v>2169006275</v>
      </c>
      <c r="L9065">
        <v>2169006275</v>
      </c>
      <c r="M9065" t="s">
        <v>9710</v>
      </c>
      <c r="N9065" t="s">
        <v>5102</v>
      </c>
      <c r="O9065" t="s">
        <v>9711</v>
      </c>
      <c r="P9065">
        <v>12131</v>
      </c>
      <c r="Q9065" t="str">
        <f>"38.004303"</f>
        <v>38.004303</v>
      </c>
      <c r="R9065" t="str">
        <f>"23.699841"</f>
        <v>23.699841</v>
      </c>
      <c r="S9065" t="s">
        <v>26</v>
      </c>
    </row>
    <row r="9066" spans="1:19" x14ac:dyDescent="0.3">
      <c r="A9066" t="s">
        <v>3237</v>
      </c>
      <c r="B9066" t="s">
        <v>9684</v>
      </c>
      <c r="C9066" t="s">
        <v>9712</v>
      </c>
      <c r="D9066" t="s">
        <v>3251</v>
      </c>
      <c r="E9066" t="s">
        <v>5087</v>
      </c>
      <c r="F9066" t="s">
        <v>5087</v>
      </c>
      <c r="G9066" t="s">
        <v>5099</v>
      </c>
      <c r="H9066" t="s">
        <v>859</v>
      </c>
      <c r="I9066" t="s">
        <v>860</v>
      </c>
      <c r="J9066" t="str">
        <f>"9050390"</f>
        <v>9050390</v>
      </c>
      <c r="K9066">
        <v>2105740754</v>
      </c>
      <c r="L9066">
        <v>2105781630</v>
      </c>
      <c r="M9066" t="s">
        <v>9713</v>
      </c>
      <c r="N9066" t="s">
        <v>5102</v>
      </c>
      <c r="O9066" t="s">
        <v>9714</v>
      </c>
      <c r="P9066">
        <v>12134</v>
      </c>
      <c r="Q9066" t="str">
        <f>"38.016378"</f>
        <v>38.016378</v>
      </c>
      <c r="R9066" t="str">
        <f>"23.689848"</f>
        <v>23.689848</v>
      </c>
      <c r="S9066" t="s">
        <v>26</v>
      </c>
    </row>
    <row r="9067" spans="1:19" x14ac:dyDescent="0.3">
      <c r="A9067" t="s">
        <v>3237</v>
      </c>
      <c r="B9067" t="s">
        <v>9684</v>
      </c>
      <c r="C9067" t="s">
        <v>9715</v>
      </c>
      <c r="D9067" t="s">
        <v>3251</v>
      </c>
      <c r="E9067" t="s">
        <v>5087</v>
      </c>
      <c r="F9067" t="s">
        <v>5087</v>
      </c>
      <c r="G9067" t="s">
        <v>5099</v>
      </c>
      <c r="H9067" t="s">
        <v>859</v>
      </c>
      <c r="I9067" t="s">
        <v>860</v>
      </c>
      <c r="J9067" t="str">
        <f>"9051052"</f>
        <v>9051052</v>
      </c>
      <c r="K9067">
        <v>2105725700</v>
      </c>
      <c r="L9067">
        <v>2105725700</v>
      </c>
      <c r="M9067" t="s">
        <v>9716</v>
      </c>
      <c r="N9067" t="s">
        <v>5102</v>
      </c>
      <c r="O9067" t="s">
        <v>9717</v>
      </c>
      <c r="P9067">
        <v>12136</v>
      </c>
      <c r="Q9067" t="str">
        <f>"38.014264"</f>
        <v>38.014264</v>
      </c>
      <c r="R9067" t="str">
        <f>"23.680316"</f>
        <v>23.680316</v>
      </c>
      <c r="S9067" t="s">
        <v>26</v>
      </c>
    </row>
    <row r="9068" spans="1:19" x14ac:dyDescent="0.3">
      <c r="A9068" t="s">
        <v>3237</v>
      </c>
      <c r="B9068" t="s">
        <v>9684</v>
      </c>
      <c r="C9068" t="s">
        <v>9718</v>
      </c>
      <c r="D9068" t="s">
        <v>3251</v>
      </c>
      <c r="E9068" t="s">
        <v>5087</v>
      </c>
      <c r="F9068" t="s">
        <v>5087</v>
      </c>
      <c r="G9068" t="s">
        <v>5099</v>
      </c>
      <c r="H9068" t="s">
        <v>859</v>
      </c>
      <c r="I9068" t="s">
        <v>860</v>
      </c>
      <c r="J9068" t="str">
        <f>"9051305"</f>
        <v>9051305</v>
      </c>
      <c r="K9068">
        <v>2105744155</v>
      </c>
      <c r="L9068">
        <v>2105744155</v>
      </c>
      <c r="M9068" t="s">
        <v>9719</v>
      </c>
      <c r="N9068" t="s">
        <v>5102</v>
      </c>
      <c r="O9068" t="s">
        <v>9720</v>
      </c>
      <c r="P9068">
        <v>12136</v>
      </c>
      <c r="Q9068" t="str">
        <f>"38.011333"</f>
        <v>38.011333</v>
      </c>
      <c r="R9068" t="str">
        <f>"23.678531"</f>
        <v>23.678531</v>
      </c>
      <c r="S9068" t="s">
        <v>26</v>
      </c>
    </row>
    <row r="9069" spans="1:19" x14ac:dyDescent="0.3">
      <c r="A9069" t="s">
        <v>3237</v>
      </c>
      <c r="B9069" t="s">
        <v>9684</v>
      </c>
      <c r="C9069" t="s">
        <v>9721</v>
      </c>
      <c r="D9069" t="s">
        <v>3251</v>
      </c>
      <c r="E9069" t="s">
        <v>5087</v>
      </c>
      <c r="F9069" t="s">
        <v>5087</v>
      </c>
      <c r="G9069" t="s">
        <v>5088</v>
      </c>
      <c r="H9069" t="s">
        <v>859</v>
      </c>
      <c r="I9069" t="s">
        <v>860</v>
      </c>
      <c r="J9069" t="str">
        <f>"9051235"</f>
        <v>9051235</v>
      </c>
      <c r="K9069">
        <v>2105778621</v>
      </c>
      <c r="L9069">
        <v>2105778621</v>
      </c>
      <c r="M9069" t="s">
        <v>9722</v>
      </c>
      <c r="N9069" t="s">
        <v>5102</v>
      </c>
      <c r="O9069" t="s">
        <v>9723</v>
      </c>
      <c r="P9069">
        <v>12137</v>
      </c>
      <c r="Q9069" t="str">
        <f>"38.026154"</f>
        <v>38.026154</v>
      </c>
      <c r="R9069" t="str">
        <f>"23.673167"</f>
        <v>23.673167</v>
      </c>
      <c r="S9069" t="s">
        <v>26</v>
      </c>
    </row>
    <row r="9070" spans="1:19" x14ac:dyDescent="0.3">
      <c r="A9070" t="s">
        <v>3237</v>
      </c>
      <c r="B9070" t="s">
        <v>9684</v>
      </c>
      <c r="C9070" t="s">
        <v>9726</v>
      </c>
      <c r="D9070" t="s">
        <v>3251</v>
      </c>
      <c r="E9070" t="s">
        <v>5162</v>
      </c>
      <c r="F9070" t="s">
        <v>5162</v>
      </c>
      <c r="G9070" t="s">
        <v>5162</v>
      </c>
      <c r="H9070" t="s">
        <v>859</v>
      </c>
      <c r="I9070" t="s">
        <v>860</v>
      </c>
      <c r="J9070" t="str">
        <f>"9051459"</f>
        <v>9051459</v>
      </c>
      <c r="K9070">
        <v>2105697896</v>
      </c>
      <c r="L9070">
        <v>2105697896</v>
      </c>
      <c r="M9070" t="s">
        <v>9727</v>
      </c>
      <c r="N9070" t="s">
        <v>5165</v>
      </c>
      <c r="O9070" t="s">
        <v>9728</v>
      </c>
      <c r="P9070">
        <v>12351</v>
      </c>
      <c r="Q9070" t="str">
        <f>"37.991775"</f>
        <v>37.991775</v>
      </c>
      <c r="R9070" t="str">
        <f>"23.658392"</f>
        <v>23.658392</v>
      </c>
      <c r="S9070" t="s">
        <v>26</v>
      </c>
    </row>
    <row r="9071" spans="1:19" x14ac:dyDescent="0.3">
      <c r="A9071" t="s">
        <v>3237</v>
      </c>
      <c r="B9071" t="s">
        <v>9684</v>
      </c>
      <c r="C9071" t="s">
        <v>9729</v>
      </c>
      <c r="D9071" t="s">
        <v>3251</v>
      </c>
      <c r="E9071" t="s">
        <v>5162</v>
      </c>
      <c r="F9071" t="s">
        <v>5162</v>
      </c>
      <c r="G9071" t="s">
        <v>5162</v>
      </c>
      <c r="H9071" t="s">
        <v>859</v>
      </c>
      <c r="I9071" t="s">
        <v>860</v>
      </c>
      <c r="J9071" t="str">
        <f>"9050838"</f>
        <v>9050838</v>
      </c>
      <c r="K9071">
        <v>2105447580</v>
      </c>
      <c r="L9071">
        <v>2105621087</v>
      </c>
      <c r="M9071" t="s">
        <v>9730</v>
      </c>
      <c r="N9071" t="s">
        <v>5165</v>
      </c>
      <c r="O9071" t="s">
        <v>9731</v>
      </c>
      <c r="P9071">
        <v>12351</v>
      </c>
      <c r="Q9071" t="str">
        <f>"37.987004"</f>
        <v>37.987004</v>
      </c>
      <c r="R9071" t="str">
        <f>"23.663395"</f>
        <v>23.663395</v>
      </c>
      <c r="S9071" t="s">
        <v>26</v>
      </c>
    </row>
    <row r="9072" spans="1:19" x14ac:dyDescent="0.3">
      <c r="A9072" t="s">
        <v>3237</v>
      </c>
      <c r="B9072" t="s">
        <v>9684</v>
      </c>
      <c r="C9072" t="s">
        <v>9732</v>
      </c>
      <c r="D9072" t="s">
        <v>3251</v>
      </c>
      <c r="E9072" t="s">
        <v>5087</v>
      </c>
      <c r="F9072" t="s">
        <v>5087</v>
      </c>
      <c r="G9072" t="s">
        <v>5099</v>
      </c>
      <c r="H9072" t="s">
        <v>859</v>
      </c>
      <c r="I9072" t="s">
        <v>860</v>
      </c>
      <c r="J9072" t="str">
        <f>"9050406"</f>
        <v>9050406</v>
      </c>
      <c r="K9072">
        <v>2105768126</v>
      </c>
      <c r="L9072">
        <v>2105768126</v>
      </c>
      <c r="M9072" t="s">
        <v>9733</v>
      </c>
      <c r="N9072" t="s">
        <v>5102</v>
      </c>
      <c r="O9072" t="s">
        <v>9734</v>
      </c>
      <c r="P9072">
        <v>12136</v>
      </c>
      <c r="Q9072" t="str">
        <f>"38.005616"</f>
        <v>38.005616</v>
      </c>
      <c r="R9072" t="str">
        <f>"23.684372"</f>
        <v>23.684372</v>
      </c>
      <c r="S9072" t="s">
        <v>26</v>
      </c>
    </row>
    <row r="9073" spans="1:19" x14ac:dyDescent="0.3">
      <c r="A9073" t="s">
        <v>3237</v>
      </c>
      <c r="B9073" t="s">
        <v>9684</v>
      </c>
      <c r="C9073" t="s">
        <v>9735</v>
      </c>
      <c r="D9073" t="s">
        <v>3251</v>
      </c>
      <c r="E9073" t="s">
        <v>5087</v>
      </c>
      <c r="F9073" t="s">
        <v>5087</v>
      </c>
      <c r="G9073" t="s">
        <v>5281</v>
      </c>
      <c r="H9073" t="s">
        <v>859</v>
      </c>
      <c r="I9073" t="s">
        <v>860</v>
      </c>
      <c r="J9073" t="str">
        <f>"9051056"</f>
        <v>9051056</v>
      </c>
      <c r="K9073">
        <v>2105723746</v>
      </c>
      <c r="M9073" t="s">
        <v>9736</v>
      </c>
      <c r="N9073" t="s">
        <v>5102</v>
      </c>
      <c r="O9073" t="s">
        <v>9708</v>
      </c>
      <c r="P9073">
        <v>12131</v>
      </c>
      <c r="Q9073" t="str">
        <f>"38.008028"</f>
        <v>38.008028</v>
      </c>
      <c r="R9073" t="str">
        <f>"23.693562"</f>
        <v>23.693562</v>
      </c>
      <c r="S9073" t="s">
        <v>26</v>
      </c>
    </row>
    <row r="9074" spans="1:19" x14ac:dyDescent="0.3">
      <c r="A9074" t="s">
        <v>3237</v>
      </c>
      <c r="B9074" t="s">
        <v>9684</v>
      </c>
      <c r="C9074" t="s">
        <v>9737</v>
      </c>
      <c r="D9074" t="s">
        <v>3251</v>
      </c>
      <c r="E9074" t="s">
        <v>5087</v>
      </c>
      <c r="F9074" t="s">
        <v>5087</v>
      </c>
      <c r="G9074" t="s">
        <v>5099</v>
      </c>
      <c r="H9074" t="s">
        <v>859</v>
      </c>
      <c r="I9074" t="s">
        <v>860</v>
      </c>
      <c r="J9074" t="str">
        <f>"9051237"</f>
        <v>9051237</v>
      </c>
      <c r="K9074">
        <v>2105737560</v>
      </c>
      <c r="L9074">
        <v>2105737560</v>
      </c>
      <c r="M9074" t="s">
        <v>9738</v>
      </c>
      <c r="N9074" t="s">
        <v>5102</v>
      </c>
      <c r="O9074" t="s">
        <v>9739</v>
      </c>
      <c r="P9074">
        <v>12136</v>
      </c>
      <c r="Q9074" t="str">
        <f>"38.011020"</f>
        <v>38.011020</v>
      </c>
      <c r="R9074" t="str">
        <f>"23.687179"</f>
        <v>23.687179</v>
      </c>
      <c r="S9074" t="s">
        <v>26</v>
      </c>
    </row>
    <row r="9075" spans="1:19" x14ac:dyDescent="0.3">
      <c r="A9075" t="s">
        <v>3237</v>
      </c>
      <c r="B9075" t="s">
        <v>9684</v>
      </c>
      <c r="C9075" t="s">
        <v>9740</v>
      </c>
      <c r="D9075" t="s">
        <v>3251</v>
      </c>
      <c r="E9075" t="s">
        <v>5087</v>
      </c>
      <c r="F9075" t="s">
        <v>5087</v>
      </c>
      <c r="G9075" t="s">
        <v>5099</v>
      </c>
      <c r="H9075" t="s">
        <v>859</v>
      </c>
      <c r="I9075" t="s">
        <v>860</v>
      </c>
      <c r="J9075" t="str">
        <f>"9050862"</f>
        <v>9050862</v>
      </c>
      <c r="K9075">
        <v>2105737560</v>
      </c>
      <c r="L9075">
        <v>2105737560</v>
      </c>
      <c r="M9075" t="s">
        <v>9741</v>
      </c>
      <c r="N9075" t="s">
        <v>5102</v>
      </c>
      <c r="O9075" t="s">
        <v>9739</v>
      </c>
      <c r="P9075">
        <v>12136</v>
      </c>
      <c r="Q9075" t="str">
        <f>"38.011022"</f>
        <v>38.011022</v>
      </c>
      <c r="R9075" t="str">
        <f>"23.687176"</f>
        <v>23.687176</v>
      </c>
      <c r="S9075" t="s">
        <v>26</v>
      </c>
    </row>
    <row r="9076" spans="1:19" x14ac:dyDescent="0.3">
      <c r="A9076" t="s">
        <v>3237</v>
      </c>
      <c r="B9076" t="s">
        <v>9684</v>
      </c>
      <c r="C9076" t="s">
        <v>9748</v>
      </c>
      <c r="D9076" t="s">
        <v>3251</v>
      </c>
      <c r="E9076" t="s">
        <v>5162</v>
      </c>
      <c r="F9076" t="s">
        <v>5162</v>
      </c>
      <c r="G9076" t="s">
        <v>5162</v>
      </c>
      <c r="H9076" t="s">
        <v>859</v>
      </c>
      <c r="I9076" t="s">
        <v>860</v>
      </c>
      <c r="J9076" t="str">
        <f>"9051313"</f>
        <v>9051313</v>
      </c>
      <c r="K9076">
        <v>2105445365</v>
      </c>
      <c r="M9076" t="s">
        <v>9749</v>
      </c>
      <c r="N9076" t="s">
        <v>5165</v>
      </c>
      <c r="O9076" t="s">
        <v>9750</v>
      </c>
      <c r="P9076">
        <v>12351</v>
      </c>
      <c r="Q9076" t="str">
        <f>"37.994372"</f>
        <v>37.994372</v>
      </c>
      <c r="R9076" t="str">
        <f>"23.652428"</f>
        <v>23.652428</v>
      </c>
      <c r="S9076" t="s">
        <v>26</v>
      </c>
    </row>
    <row r="9077" spans="1:19" x14ac:dyDescent="0.3">
      <c r="A9077" t="s">
        <v>3237</v>
      </c>
      <c r="B9077" t="s">
        <v>9684</v>
      </c>
      <c r="C9077" t="s">
        <v>9754</v>
      </c>
      <c r="D9077" t="s">
        <v>3251</v>
      </c>
      <c r="E9077" t="s">
        <v>3252</v>
      </c>
      <c r="F9077" t="s">
        <v>3252</v>
      </c>
      <c r="G9077" t="s">
        <v>3252</v>
      </c>
      <c r="H9077" t="s">
        <v>859</v>
      </c>
      <c r="I9077" t="s">
        <v>860</v>
      </c>
      <c r="J9077" t="str">
        <f>"9050345"</f>
        <v>9050345</v>
      </c>
      <c r="K9077">
        <v>2105904734</v>
      </c>
      <c r="M9077" t="s">
        <v>9755</v>
      </c>
      <c r="N9077" t="s">
        <v>3252</v>
      </c>
      <c r="O9077" t="s">
        <v>9756</v>
      </c>
      <c r="P9077">
        <v>12242</v>
      </c>
      <c r="Q9077" t="str">
        <f>"37.991870"</f>
        <v>37.991870</v>
      </c>
      <c r="R9077" t="str">
        <f>"23.683775"</f>
        <v>23.683775</v>
      </c>
      <c r="S9077" t="s">
        <v>26</v>
      </c>
    </row>
    <row r="9078" spans="1:19" x14ac:dyDescent="0.3">
      <c r="A9078" t="s">
        <v>3237</v>
      </c>
      <c r="B9078" t="s">
        <v>9684</v>
      </c>
      <c r="C9078" t="s">
        <v>9757</v>
      </c>
      <c r="D9078" t="s">
        <v>3251</v>
      </c>
      <c r="E9078" t="s">
        <v>5162</v>
      </c>
      <c r="F9078" t="s">
        <v>5162</v>
      </c>
      <c r="G9078" t="s">
        <v>5162</v>
      </c>
      <c r="H9078" t="s">
        <v>859</v>
      </c>
      <c r="I9078" t="s">
        <v>860</v>
      </c>
      <c r="J9078" t="str">
        <f>"9050338"</f>
        <v>9050338</v>
      </c>
      <c r="K9078">
        <v>2105612019</v>
      </c>
      <c r="L9078">
        <v>2105612019</v>
      </c>
      <c r="M9078" t="s">
        <v>9758</v>
      </c>
      <c r="N9078" t="s">
        <v>5165</v>
      </c>
      <c r="O9078" t="s">
        <v>9759</v>
      </c>
      <c r="P9078">
        <v>12351</v>
      </c>
      <c r="Q9078" t="str">
        <f>"37.990402"</f>
        <v>37.990402</v>
      </c>
      <c r="R9078" t="str">
        <f>"23.660103"</f>
        <v>23.660103</v>
      </c>
      <c r="S9078" t="s">
        <v>26</v>
      </c>
    </row>
    <row r="9079" spans="1:19" x14ac:dyDescent="0.3">
      <c r="A9079" t="s">
        <v>3237</v>
      </c>
      <c r="B9079" t="s">
        <v>9684</v>
      </c>
      <c r="C9079" t="s">
        <v>9760</v>
      </c>
      <c r="D9079" t="s">
        <v>3251</v>
      </c>
      <c r="E9079" t="s">
        <v>3290</v>
      </c>
      <c r="F9079" t="s">
        <v>3290</v>
      </c>
      <c r="G9079" t="s">
        <v>3290</v>
      </c>
      <c r="H9079" t="s">
        <v>859</v>
      </c>
      <c r="I9079" t="s">
        <v>860</v>
      </c>
      <c r="J9079" t="str">
        <f>"9050435"</f>
        <v>9050435</v>
      </c>
      <c r="K9079">
        <v>2102617500</v>
      </c>
      <c r="L9079">
        <v>2102617500</v>
      </c>
      <c r="M9079" t="s">
        <v>9761</v>
      </c>
      <c r="N9079" t="s">
        <v>5097</v>
      </c>
      <c r="O9079" t="s">
        <v>9762</v>
      </c>
      <c r="P9079">
        <v>13122</v>
      </c>
      <c r="Q9079" t="str">
        <f>"38.028014"</f>
        <v>38.028014</v>
      </c>
      <c r="R9079" t="str">
        <f>"23.708517"</f>
        <v>23.708517</v>
      </c>
      <c r="S9079" t="s">
        <v>26</v>
      </c>
    </row>
    <row r="9080" spans="1:19" x14ac:dyDescent="0.3">
      <c r="A9080" t="s">
        <v>3237</v>
      </c>
      <c r="B9080" t="s">
        <v>9684</v>
      </c>
      <c r="C9080" t="s">
        <v>9763</v>
      </c>
      <c r="D9080" t="s">
        <v>3251</v>
      </c>
      <c r="E9080" t="s">
        <v>3252</v>
      </c>
      <c r="F9080" t="s">
        <v>3252</v>
      </c>
      <c r="G9080" t="s">
        <v>3252</v>
      </c>
      <c r="H9080" t="s">
        <v>859</v>
      </c>
      <c r="I9080" t="s">
        <v>860</v>
      </c>
      <c r="J9080" t="str">
        <f>"9051781"</f>
        <v>9051781</v>
      </c>
      <c r="K9080">
        <v>2105314077</v>
      </c>
      <c r="M9080" t="s">
        <v>9764</v>
      </c>
      <c r="N9080" t="s">
        <v>3252</v>
      </c>
      <c r="O9080" t="s">
        <v>9765</v>
      </c>
      <c r="P9080">
        <v>12243</v>
      </c>
      <c r="Q9080" t="str">
        <f>"37.997133"</f>
        <v>37.997133</v>
      </c>
      <c r="R9080" t="str">
        <f>"23.676929"</f>
        <v>23.676929</v>
      </c>
      <c r="S9080" t="s">
        <v>26</v>
      </c>
    </row>
    <row r="9081" spans="1:19" x14ac:dyDescent="0.3">
      <c r="A9081" t="s">
        <v>3237</v>
      </c>
      <c r="B9081" t="s">
        <v>9684</v>
      </c>
      <c r="C9081" t="s">
        <v>9768</v>
      </c>
      <c r="D9081" t="s">
        <v>3251</v>
      </c>
      <c r="E9081" t="s">
        <v>3252</v>
      </c>
      <c r="F9081" t="s">
        <v>3252</v>
      </c>
      <c r="G9081" t="s">
        <v>3252</v>
      </c>
      <c r="H9081" t="s">
        <v>859</v>
      </c>
      <c r="I9081" t="s">
        <v>860</v>
      </c>
      <c r="J9081" t="str">
        <f>"9050359"</f>
        <v>9050359</v>
      </c>
      <c r="K9081">
        <v>2105317827</v>
      </c>
      <c r="L9081">
        <v>2105317827</v>
      </c>
      <c r="M9081" t="s">
        <v>9769</v>
      </c>
      <c r="N9081" t="s">
        <v>3252</v>
      </c>
      <c r="O9081" t="s">
        <v>9770</v>
      </c>
      <c r="P9081">
        <v>12244</v>
      </c>
      <c r="Q9081" t="str">
        <f>"37.991306"</f>
        <v>37.991306</v>
      </c>
      <c r="R9081" t="str">
        <f>"23.674908"</f>
        <v>23.674908</v>
      </c>
      <c r="S9081" t="s">
        <v>26</v>
      </c>
    </row>
    <row r="9082" spans="1:19" x14ac:dyDescent="0.3">
      <c r="A9082" t="s">
        <v>3237</v>
      </c>
      <c r="B9082" t="s">
        <v>9684</v>
      </c>
      <c r="C9082" t="s">
        <v>9771</v>
      </c>
      <c r="D9082" t="s">
        <v>3251</v>
      </c>
      <c r="E9082" t="s">
        <v>3252</v>
      </c>
      <c r="F9082" t="s">
        <v>3252</v>
      </c>
      <c r="G9082" t="s">
        <v>3252</v>
      </c>
      <c r="H9082" t="s">
        <v>859</v>
      </c>
      <c r="I9082" t="s">
        <v>860</v>
      </c>
      <c r="J9082" t="str">
        <f>"9050983"</f>
        <v>9050983</v>
      </c>
      <c r="K9082">
        <v>2105452616</v>
      </c>
      <c r="M9082" t="s">
        <v>9772</v>
      </c>
      <c r="N9082" t="s">
        <v>3252</v>
      </c>
      <c r="O9082" t="s">
        <v>9773</v>
      </c>
      <c r="P9082">
        <v>12241</v>
      </c>
      <c r="Q9082" t="str">
        <f>"37.982465"</f>
        <v>37.982465</v>
      </c>
      <c r="R9082" t="str">
        <f>"23.677824"</f>
        <v>23.677824</v>
      </c>
      <c r="S9082" t="s">
        <v>26</v>
      </c>
    </row>
    <row r="9083" spans="1:19" x14ac:dyDescent="0.3">
      <c r="A9083" t="s">
        <v>3237</v>
      </c>
      <c r="B9083" t="s">
        <v>9684</v>
      </c>
      <c r="C9083" t="s">
        <v>9774</v>
      </c>
      <c r="D9083" t="s">
        <v>3251</v>
      </c>
      <c r="E9083" t="s">
        <v>5162</v>
      </c>
      <c r="F9083" t="s">
        <v>5162</v>
      </c>
      <c r="G9083" t="s">
        <v>5162</v>
      </c>
      <c r="H9083" t="s">
        <v>859</v>
      </c>
      <c r="I9083" t="s">
        <v>860</v>
      </c>
      <c r="J9083" t="str">
        <f>"9051529"</f>
        <v>9051529</v>
      </c>
      <c r="K9083">
        <v>2105445933</v>
      </c>
      <c r="L9083">
        <v>2105445933</v>
      </c>
      <c r="M9083" t="s">
        <v>9775</v>
      </c>
      <c r="N9083" t="s">
        <v>5165</v>
      </c>
      <c r="O9083" t="s">
        <v>9776</v>
      </c>
      <c r="P9083">
        <v>12351</v>
      </c>
      <c r="Q9083" t="str">
        <f>"37.985283"</f>
        <v>37.985283</v>
      </c>
      <c r="R9083" t="str">
        <f>"23.663862"</f>
        <v>23.663862</v>
      </c>
      <c r="S9083" t="s">
        <v>26</v>
      </c>
    </row>
    <row r="9084" spans="1:19" x14ac:dyDescent="0.3">
      <c r="A9084" t="s">
        <v>3237</v>
      </c>
      <c r="B9084" t="s">
        <v>9684</v>
      </c>
      <c r="C9084" t="s">
        <v>9777</v>
      </c>
      <c r="D9084" t="s">
        <v>3251</v>
      </c>
      <c r="E9084" t="s">
        <v>3290</v>
      </c>
      <c r="F9084" t="s">
        <v>3290</v>
      </c>
      <c r="G9084" t="s">
        <v>3290</v>
      </c>
      <c r="H9084" t="s">
        <v>859</v>
      </c>
      <c r="I9084" t="s">
        <v>860</v>
      </c>
      <c r="J9084" t="str">
        <f>"9050436"</f>
        <v>9050436</v>
      </c>
      <c r="K9084">
        <v>2105020750</v>
      </c>
      <c r="L9084">
        <v>2105020750</v>
      </c>
      <c r="M9084" t="s">
        <v>9778</v>
      </c>
      <c r="N9084" t="s">
        <v>5097</v>
      </c>
      <c r="O9084" t="s">
        <v>9779</v>
      </c>
      <c r="P9084">
        <v>13121</v>
      </c>
      <c r="Q9084" t="str">
        <f>"38.030830"</f>
        <v>38.030830</v>
      </c>
      <c r="R9084" t="str">
        <f>"23.690613"</f>
        <v>23.690613</v>
      </c>
      <c r="S9084" t="s">
        <v>26</v>
      </c>
    </row>
    <row r="9085" spans="1:19" x14ac:dyDescent="0.3">
      <c r="A9085" t="s">
        <v>3237</v>
      </c>
      <c r="B9085" t="s">
        <v>9684</v>
      </c>
      <c r="C9085" t="s">
        <v>9784</v>
      </c>
      <c r="D9085" t="s">
        <v>3251</v>
      </c>
      <c r="E9085" t="s">
        <v>3290</v>
      </c>
      <c r="F9085" t="s">
        <v>3290</v>
      </c>
      <c r="G9085" t="s">
        <v>3290</v>
      </c>
      <c r="H9085" t="s">
        <v>859</v>
      </c>
      <c r="I9085" t="s">
        <v>860</v>
      </c>
      <c r="J9085" t="str">
        <f>"9050767"</f>
        <v>9050767</v>
      </c>
      <c r="K9085">
        <v>2102690443</v>
      </c>
      <c r="L9085">
        <v>2102690443</v>
      </c>
      <c r="M9085" t="s">
        <v>9785</v>
      </c>
      <c r="N9085" t="s">
        <v>5097</v>
      </c>
      <c r="O9085" t="s">
        <v>9786</v>
      </c>
      <c r="P9085">
        <v>13121</v>
      </c>
      <c r="Q9085" t="str">
        <f>"38.024835"</f>
        <v>38.024835</v>
      </c>
      <c r="R9085" t="str">
        <f>"23.702373"</f>
        <v>23.702373</v>
      </c>
      <c r="S9085" t="s">
        <v>26</v>
      </c>
    </row>
    <row r="9086" spans="1:19" x14ac:dyDescent="0.3">
      <c r="A9086" t="s">
        <v>3237</v>
      </c>
      <c r="B9086" t="s">
        <v>9684</v>
      </c>
      <c r="C9086" t="s">
        <v>9789</v>
      </c>
      <c r="D9086" t="s">
        <v>3251</v>
      </c>
      <c r="E9086" t="s">
        <v>5162</v>
      </c>
      <c r="F9086" t="s">
        <v>5162</v>
      </c>
      <c r="G9086" t="s">
        <v>5162</v>
      </c>
      <c r="H9086" t="s">
        <v>859</v>
      </c>
      <c r="I9086" t="s">
        <v>860</v>
      </c>
      <c r="J9086" t="str">
        <f>"9050335"</f>
        <v>9050335</v>
      </c>
      <c r="K9086">
        <v>2105445039</v>
      </c>
      <c r="L9086">
        <v>2105699044</v>
      </c>
      <c r="M9086" t="s">
        <v>9790</v>
      </c>
      <c r="N9086" t="s">
        <v>5165</v>
      </c>
      <c r="O9086" t="s">
        <v>9791</v>
      </c>
      <c r="P9086">
        <v>12351</v>
      </c>
      <c r="Q9086" t="str">
        <f>"37.990179"</f>
        <v>37.990179</v>
      </c>
      <c r="R9086" t="str">
        <f>"23.655055"</f>
        <v>23.655055</v>
      </c>
      <c r="S9086" t="s">
        <v>26</v>
      </c>
    </row>
    <row r="9087" spans="1:19" x14ac:dyDescent="0.3">
      <c r="A9087" t="s">
        <v>3237</v>
      </c>
      <c r="B9087" t="s">
        <v>9684</v>
      </c>
      <c r="C9087" t="s">
        <v>9792</v>
      </c>
      <c r="D9087" t="s">
        <v>3251</v>
      </c>
      <c r="E9087" t="s">
        <v>3252</v>
      </c>
      <c r="F9087" t="s">
        <v>3252</v>
      </c>
      <c r="G9087" t="s">
        <v>3252</v>
      </c>
      <c r="H9087" t="s">
        <v>859</v>
      </c>
      <c r="I9087" t="s">
        <v>860</v>
      </c>
      <c r="J9087" t="str">
        <f>"9051828"</f>
        <v>9051828</v>
      </c>
      <c r="K9087">
        <v>2105911427</v>
      </c>
      <c r="L9087">
        <v>2105911427</v>
      </c>
      <c r="M9087" t="s">
        <v>9793</v>
      </c>
      <c r="N9087" t="s">
        <v>3252</v>
      </c>
      <c r="O9087" t="s">
        <v>9794</v>
      </c>
      <c r="P9087">
        <v>12243</v>
      </c>
      <c r="Q9087" t="str">
        <f>"38.002431"</f>
        <v>38.002431</v>
      </c>
      <c r="R9087" t="str">
        <f>"23.678320"</f>
        <v>23.678320</v>
      </c>
      <c r="S9087" t="s">
        <v>26</v>
      </c>
    </row>
    <row r="9088" spans="1:19" x14ac:dyDescent="0.3">
      <c r="A9088" t="s">
        <v>3237</v>
      </c>
      <c r="B9088" t="s">
        <v>9684</v>
      </c>
      <c r="C9088" t="s">
        <v>9795</v>
      </c>
      <c r="D9088" t="s">
        <v>3251</v>
      </c>
      <c r="E9088" t="s">
        <v>3290</v>
      </c>
      <c r="F9088" t="s">
        <v>3290</v>
      </c>
      <c r="G9088" t="s">
        <v>3290</v>
      </c>
      <c r="H9088" t="s">
        <v>859</v>
      </c>
      <c r="I9088" t="s">
        <v>860</v>
      </c>
      <c r="J9088" t="str">
        <f>"9050768"</f>
        <v>9050768</v>
      </c>
      <c r="K9088">
        <v>2105019700</v>
      </c>
      <c r="L9088">
        <v>2105019700</v>
      </c>
      <c r="M9088" t="s">
        <v>9796</v>
      </c>
      <c r="N9088" t="s">
        <v>5097</v>
      </c>
      <c r="O9088" t="s">
        <v>9797</v>
      </c>
      <c r="P9088">
        <v>13123</v>
      </c>
      <c r="Q9088" t="str">
        <f>"38.038251"</f>
        <v>38.038251</v>
      </c>
      <c r="R9088" t="str">
        <f>"23.695230"</f>
        <v>23.695230</v>
      </c>
      <c r="S9088" t="s">
        <v>26</v>
      </c>
    </row>
    <row r="9089" spans="1:19" x14ac:dyDescent="0.3">
      <c r="A9089" t="s">
        <v>3237</v>
      </c>
      <c r="B9089" t="s">
        <v>9684</v>
      </c>
      <c r="C9089" t="s">
        <v>9802</v>
      </c>
      <c r="D9089" t="s">
        <v>3251</v>
      </c>
      <c r="E9089" t="s">
        <v>3290</v>
      </c>
      <c r="F9089" t="s">
        <v>3290</v>
      </c>
      <c r="G9089" t="s">
        <v>3290</v>
      </c>
      <c r="H9089" t="s">
        <v>859</v>
      </c>
      <c r="I9089" t="s">
        <v>860</v>
      </c>
      <c r="J9089" t="str">
        <f>"9050866"</f>
        <v>9050866</v>
      </c>
      <c r="K9089">
        <v>2102637431</v>
      </c>
      <c r="L9089">
        <v>2102637431</v>
      </c>
      <c r="M9089" t="s">
        <v>9803</v>
      </c>
      <c r="N9089" t="s">
        <v>5097</v>
      </c>
      <c r="O9089" t="s">
        <v>9804</v>
      </c>
      <c r="P9089">
        <v>13121</v>
      </c>
      <c r="Q9089" t="str">
        <f>"38.032126"</f>
        <v>38.032126</v>
      </c>
      <c r="R9089" t="str">
        <f>"23.684972"</f>
        <v>23.684972</v>
      </c>
      <c r="S9089" t="s">
        <v>26</v>
      </c>
    </row>
    <row r="9090" spans="1:19" x14ac:dyDescent="0.3">
      <c r="A9090" t="s">
        <v>3237</v>
      </c>
      <c r="B9090" t="s">
        <v>9684</v>
      </c>
      <c r="C9090" t="s">
        <v>9811</v>
      </c>
      <c r="D9090" t="s">
        <v>3251</v>
      </c>
      <c r="E9090" t="s">
        <v>5171</v>
      </c>
      <c r="F9090" t="s">
        <v>5171</v>
      </c>
      <c r="G9090" t="s">
        <v>5171</v>
      </c>
      <c r="H9090" t="s">
        <v>859</v>
      </c>
      <c r="I9090" t="s">
        <v>860</v>
      </c>
      <c r="J9090" t="str">
        <f>"9051066"</f>
        <v>9051066</v>
      </c>
      <c r="K9090">
        <v>2105015199</v>
      </c>
      <c r="L9090">
        <v>2105015199</v>
      </c>
      <c r="M9090" t="s">
        <v>9812</v>
      </c>
      <c r="N9090" t="s">
        <v>5340</v>
      </c>
      <c r="O9090" t="s">
        <v>9813</v>
      </c>
      <c r="P9090">
        <v>13231</v>
      </c>
      <c r="Q9090" t="str">
        <f>"38.040668"</f>
        <v>38.040668</v>
      </c>
      <c r="R9090" t="str">
        <f>"23.669528"</f>
        <v>23.669528</v>
      </c>
      <c r="S9090" t="s">
        <v>26</v>
      </c>
    </row>
    <row r="9091" spans="1:19" x14ac:dyDescent="0.3">
      <c r="A9091" t="s">
        <v>3237</v>
      </c>
      <c r="B9091" t="s">
        <v>9684</v>
      </c>
      <c r="C9091" t="s">
        <v>9814</v>
      </c>
      <c r="D9091" t="s">
        <v>3251</v>
      </c>
      <c r="E9091" t="s">
        <v>3290</v>
      </c>
      <c r="F9091" t="s">
        <v>3290</v>
      </c>
      <c r="G9091" t="s">
        <v>3290</v>
      </c>
      <c r="H9091" t="s">
        <v>859</v>
      </c>
      <c r="I9091" t="s">
        <v>860</v>
      </c>
      <c r="J9091" t="str">
        <f>"9050867"</f>
        <v>9050867</v>
      </c>
      <c r="K9091">
        <v>2105765945</v>
      </c>
      <c r="L9091">
        <v>2105765945</v>
      </c>
      <c r="M9091" t="s">
        <v>9815</v>
      </c>
      <c r="N9091" t="s">
        <v>5097</v>
      </c>
      <c r="O9091" t="s">
        <v>9816</v>
      </c>
      <c r="P9091">
        <v>13121</v>
      </c>
      <c r="Q9091" t="str">
        <f>"38.025468"</f>
        <v>38.025468</v>
      </c>
      <c r="R9091" t="str">
        <f>"23.697385"</f>
        <v>23.697385</v>
      </c>
      <c r="S9091" t="s">
        <v>26</v>
      </c>
    </row>
    <row r="9092" spans="1:19" x14ac:dyDescent="0.3">
      <c r="A9092" t="s">
        <v>3237</v>
      </c>
      <c r="B9092" t="s">
        <v>9684</v>
      </c>
      <c r="C9092" t="s">
        <v>9817</v>
      </c>
      <c r="D9092" t="s">
        <v>3251</v>
      </c>
      <c r="E9092" t="s">
        <v>5171</v>
      </c>
      <c r="F9092" t="s">
        <v>5171</v>
      </c>
      <c r="G9092" t="s">
        <v>5171</v>
      </c>
      <c r="H9092" t="s">
        <v>859</v>
      </c>
      <c r="I9092" t="s">
        <v>860</v>
      </c>
      <c r="J9092" t="str">
        <f>"9051307"</f>
        <v>9051307</v>
      </c>
      <c r="K9092">
        <v>2105010316</v>
      </c>
      <c r="L9092">
        <v>2105010316</v>
      </c>
      <c r="M9092" t="s">
        <v>9818</v>
      </c>
      <c r="N9092" t="s">
        <v>9819</v>
      </c>
      <c r="O9092" t="s">
        <v>9820</v>
      </c>
      <c r="P9092">
        <v>13231</v>
      </c>
      <c r="Q9092" t="str">
        <f>"38.040292"</f>
        <v>38.040292</v>
      </c>
      <c r="R9092" t="str">
        <f>"23.669582"</f>
        <v>23.669582</v>
      </c>
      <c r="S9092" t="s">
        <v>26</v>
      </c>
    </row>
    <row r="9093" spans="1:19" x14ac:dyDescent="0.3">
      <c r="A9093" t="s">
        <v>3237</v>
      </c>
      <c r="B9093" t="s">
        <v>9684</v>
      </c>
      <c r="C9093" t="s">
        <v>9824</v>
      </c>
      <c r="D9093" t="s">
        <v>3251</v>
      </c>
      <c r="E9093" t="s">
        <v>3290</v>
      </c>
      <c r="F9093" t="s">
        <v>3290</v>
      </c>
      <c r="G9093" t="s">
        <v>3290</v>
      </c>
      <c r="H9093" t="s">
        <v>859</v>
      </c>
      <c r="I9093" t="s">
        <v>860</v>
      </c>
      <c r="J9093" t="str">
        <f>"9050868"</f>
        <v>9050868</v>
      </c>
      <c r="K9093">
        <v>2105023740</v>
      </c>
      <c r="L9093">
        <v>2105023740</v>
      </c>
      <c r="M9093" t="s">
        <v>9825</v>
      </c>
      <c r="N9093" t="s">
        <v>5097</v>
      </c>
      <c r="O9093" t="s">
        <v>9826</v>
      </c>
      <c r="P9093">
        <v>13123</v>
      </c>
      <c r="Q9093" t="str">
        <f>"38.044523"</f>
        <v>38.044523</v>
      </c>
      <c r="R9093" t="str">
        <f>"23.698753"</f>
        <v>23.698753</v>
      </c>
      <c r="S9093" t="s">
        <v>26</v>
      </c>
    </row>
    <row r="9094" spans="1:19" x14ac:dyDescent="0.3">
      <c r="A9094" t="s">
        <v>3237</v>
      </c>
      <c r="B9094" t="s">
        <v>9684</v>
      </c>
      <c r="C9094" t="s">
        <v>9827</v>
      </c>
      <c r="D9094" t="s">
        <v>3251</v>
      </c>
      <c r="E9094" t="s">
        <v>5171</v>
      </c>
      <c r="F9094" t="s">
        <v>5171</v>
      </c>
      <c r="G9094" t="s">
        <v>5171</v>
      </c>
      <c r="H9094" t="s">
        <v>859</v>
      </c>
      <c r="I9094" t="s">
        <v>860</v>
      </c>
      <c r="J9094" t="str">
        <f>"9051308"</f>
        <v>9051308</v>
      </c>
      <c r="K9094">
        <v>2105014154</v>
      </c>
      <c r="L9094">
        <v>2105014154</v>
      </c>
      <c r="M9094" t="s">
        <v>9828</v>
      </c>
      <c r="N9094" t="s">
        <v>5340</v>
      </c>
      <c r="O9094" t="s">
        <v>9829</v>
      </c>
      <c r="P9094">
        <v>13231</v>
      </c>
      <c r="Q9094" t="str">
        <f>"38.035044"</f>
        <v>38.035044</v>
      </c>
      <c r="R9094" t="str">
        <f>"23.679676"</f>
        <v>23.679676</v>
      </c>
      <c r="S9094" t="s">
        <v>26</v>
      </c>
    </row>
    <row r="9095" spans="1:19" x14ac:dyDescent="0.3">
      <c r="A9095" t="s">
        <v>3237</v>
      </c>
      <c r="B9095" t="s">
        <v>9684</v>
      </c>
      <c r="C9095" t="s">
        <v>9830</v>
      </c>
      <c r="D9095" t="s">
        <v>3251</v>
      </c>
      <c r="E9095" t="s">
        <v>3290</v>
      </c>
      <c r="F9095" t="s">
        <v>3290</v>
      </c>
      <c r="G9095" t="s">
        <v>3290</v>
      </c>
      <c r="H9095" t="s">
        <v>859</v>
      </c>
      <c r="I9095" t="s">
        <v>860</v>
      </c>
      <c r="J9095" t="str">
        <f>"9050922"</f>
        <v>9050922</v>
      </c>
      <c r="K9095">
        <v>2102623646</v>
      </c>
      <c r="M9095" t="s">
        <v>9831</v>
      </c>
      <c r="N9095" t="s">
        <v>5097</v>
      </c>
      <c r="O9095" t="s">
        <v>9832</v>
      </c>
      <c r="P9095">
        <v>13122</v>
      </c>
      <c r="Q9095" t="str">
        <f>"38.034201"</f>
        <v>38.034201</v>
      </c>
      <c r="R9095" t="str">
        <f>"23.709121"</f>
        <v>23.709121</v>
      </c>
      <c r="S9095" t="s">
        <v>26</v>
      </c>
    </row>
    <row r="9096" spans="1:19" x14ac:dyDescent="0.3">
      <c r="A9096" t="s">
        <v>3237</v>
      </c>
      <c r="B9096" t="s">
        <v>9684</v>
      </c>
      <c r="C9096" t="s">
        <v>9833</v>
      </c>
      <c r="D9096" t="s">
        <v>3251</v>
      </c>
      <c r="E9096" t="s">
        <v>5171</v>
      </c>
      <c r="F9096" t="s">
        <v>5171</v>
      </c>
      <c r="G9096" t="s">
        <v>5171</v>
      </c>
      <c r="H9096" t="s">
        <v>859</v>
      </c>
      <c r="I9096" t="s">
        <v>860</v>
      </c>
      <c r="J9096" t="str">
        <f>"9051424"</f>
        <v>9051424</v>
      </c>
      <c r="K9096">
        <v>2105023366</v>
      </c>
      <c r="L9096">
        <v>2105023366</v>
      </c>
      <c r="M9096" t="s">
        <v>9834</v>
      </c>
      <c r="N9096" t="s">
        <v>5340</v>
      </c>
      <c r="O9096" t="s">
        <v>9835</v>
      </c>
      <c r="P9096">
        <v>13231</v>
      </c>
      <c r="Q9096" t="str">
        <f>"38.040310"</f>
        <v>38.040310</v>
      </c>
      <c r="R9096" t="str">
        <f>"23.692983"</f>
        <v>23.692983</v>
      </c>
      <c r="S9096" t="s">
        <v>26</v>
      </c>
    </row>
    <row r="9097" spans="1:19" x14ac:dyDescent="0.3">
      <c r="A9097" t="s">
        <v>3237</v>
      </c>
      <c r="B9097" t="s">
        <v>9684</v>
      </c>
      <c r="C9097" t="s">
        <v>9836</v>
      </c>
      <c r="D9097" t="s">
        <v>3251</v>
      </c>
      <c r="E9097" t="s">
        <v>3290</v>
      </c>
      <c r="F9097" t="s">
        <v>3290</v>
      </c>
      <c r="G9097" t="s">
        <v>3290</v>
      </c>
      <c r="H9097" t="s">
        <v>859</v>
      </c>
      <c r="I9097" t="s">
        <v>860</v>
      </c>
      <c r="J9097" t="str">
        <f>"9050987"</f>
        <v>9050987</v>
      </c>
      <c r="K9097">
        <v>2102637455</v>
      </c>
      <c r="L9097">
        <v>2102637455</v>
      </c>
      <c r="M9097" t="s">
        <v>9837</v>
      </c>
      <c r="N9097" t="s">
        <v>5097</v>
      </c>
      <c r="O9097" t="s">
        <v>9838</v>
      </c>
      <c r="P9097">
        <v>13122</v>
      </c>
      <c r="Q9097" t="str">
        <f>"38.043126"</f>
        <v>38.043126</v>
      </c>
      <c r="R9097" t="str">
        <f>"23.708598"</f>
        <v>23.708598</v>
      </c>
      <c r="S9097" t="s">
        <v>26</v>
      </c>
    </row>
    <row r="9098" spans="1:19" x14ac:dyDescent="0.3">
      <c r="A9098" t="s">
        <v>3237</v>
      </c>
      <c r="B9098" t="s">
        <v>9684</v>
      </c>
      <c r="C9098" t="s">
        <v>9839</v>
      </c>
      <c r="D9098" t="s">
        <v>3251</v>
      </c>
      <c r="E9098" t="s">
        <v>3290</v>
      </c>
      <c r="F9098" t="s">
        <v>3290</v>
      </c>
      <c r="G9098" t="s">
        <v>3290</v>
      </c>
      <c r="H9098" t="s">
        <v>859</v>
      </c>
      <c r="I9098" t="s">
        <v>860</v>
      </c>
      <c r="J9098" t="str">
        <f>"9051061"</f>
        <v>9051061</v>
      </c>
      <c r="K9098">
        <v>2102635292</v>
      </c>
      <c r="L9098">
        <v>2102635292</v>
      </c>
      <c r="M9098" t="s">
        <v>9840</v>
      </c>
      <c r="N9098" t="s">
        <v>5097</v>
      </c>
      <c r="O9098" t="s">
        <v>9841</v>
      </c>
      <c r="P9098">
        <v>13122</v>
      </c>
      <c r="Q9098" t="str">
        <f>"38.041485"</f>
        <v>38.041485</v>
      </c>
      <c r="R9098" t="str">
        <f>"23.712448"</f>
        <v>23.712448</v>
      </c>
      <c r="S9098" t="s">
        <v>26</v>
      </c>
    </row>
    <row r="9099" spans="1:19" x14ac:dyDescent="0.3">
      <c r="A9099" t="s">
        <v>3237</v>
      </c>
      <c r="B9099" t="s">
        <v>9684</v>
      </c>
      <c r="C9099" t="s">
        <v>9842</v>
      </c>
      <c r="D9099" t="s">
        <v>3251</v>
      </c>
      <c r="E9099" t="s">
        <v>3290</v>
      </c>
      <c r="F9099" t="s">
        <v>3290</v>
      </c>
      <c r="G9099" t="s">
        <v>3290</v>
      </c>
      <c r="H9099" t="s">
        <v>859</v>
      </c>
      <c r="I9099" t="s">
        <v>860</v>
      </c>
      <c r="J9099" t="str">
        <f>"9051062"</f>
        <v>9051062</v>
      </c>
      <c r="K9099">
        <v>2105781161</v>
      </c>
      <c r="L9099">
        <v>2105781161</v>
      </c>
      <c r="M9099" t="s">
        <v>9843</v>
      </c>
      <c r="N9099" t="s">
        <v>5097</v>
      </c>
      <c r="O9099" t="s">
        <v>9844</v>
      </c>
      <c r="P9099">
        <v>13122</v>
      </c>
      <c r="Q9099" t="str">
        <f>"38.019116"</f>
        <v>38.019116</v>
      </c>
      <c r="R9099" t="str">
        <f>"23.711748"</f>
        <v>23.711748</v>
      </c>
      <c r="S9099" t="s">
        <v>26</v>
      </c>
    </row>
    <row r="9100" spans="1:19" x14ac:dyDescent="0.3">
      <c r="A9100" t="s">
        <v>3237</v>
      </c>
      <c r="B9100" t="s">
        <v>9684</v>
      </c>
      <c r="C9100" t="s">
        <v>9845</v>
      </c>
      <c r="D9100" t="s">
        <v>3251</v>
      </c>
      <c r="E9100" t="s">
        <v>5121</v>
      </c>
      <c r="F9100" t="s">
        <v>5085</v>
      </c>
      <c r="G9100" t="s">
        <v>5085</v>
      </c>
      <c r="H9100" t="s">
        <v>859</v>
      </c>
      <c r="I9100" t="s">
        <v>860</v>
      </c>
      <c r="J9100" t="str">
        <f>"9050420"</f>
        <v>9050420</v>
      </c>
      <c r="K9100">
        <v>2102621429</v>
      </c>
      <c r="L9100">
        <v>21026214</v>
      </c>
      <c r="M9100" t="s">
        <v>9846</v>
      </c>
      <c r="N9100" t="s">
        <v>3284</v>
      </c>
      <c r="O9100" t="s">
        <v>9847</v>
      </c>
      <c r="P9100">
        <v>13561</v>
      </c>
      <c r="Q9100" t="str">
        <f>"38.023356"</f>
        <v>38.023356</v>
      </c>
      <c r="R9100" t="str">
        <f>"23.720571"</f>
        <v>23.720571</v>
      </c>
      <c r="S9100" t="s">
        <v>26</v>
      </c>
    </row>
    <row r="9101" spans="1:19" x14ac:dyDescent="0.3">
      <c r="A9101" t="s">
        <v>3237</v>
      </c>
      <c r="B9101" t="s">
        <v>9684</v>
      </c>
      <c r="C9101" t="s">
        <v>9848</v>
      </c>
      <c r="D9101" t="s">
        <v>3251</v>
      </c>
      <c r="E9101" t="s">
        <v>5121</v>
      </c>
      <c r="F9101" t="s">
        <v>5085</v>
      </c>
      <c r="G9101" t="s">
        <v>5085</v>
      </c>
      <c r="H9101" t="s">
        <v>859</v>
      </c>
      <c r="I9101" t="s">
        <v>860</v>
      </c>
      <c r="J9101" t="str">
        <f>"9050769"</f>
        <v>9050769</v>
      </c>
      <c r="K9101">
        <v>2102621300</v>
      </c>
      <c r="L9101">
        <v>2102621300</v>
      </c>
      <c r="M9101" t="s">
        <v>9849</v>
      </c>
      <c r="N9101" t="s">
        <v>5159</v>
      </c>
      <c r="O9101" t="s">
        <v>9850</v>
      </c>
      <c r="P9101">
        <v>13562</v>
      </c>
      <c r="Q9101" t="str">
        <f>"38.034086"</f>
        <v>38.034086</v>
      </c>
      <c r="R9101" t="str">
        <f>"23.728007"</f>
        <v>23.728007</v>
      </c>
      <c r="S9101" t="s">
        <v>26</v>
      </c>
    </row>
    <row r="9102" spans="1:19" x14ac:dyDescent="0.3">
      <c r="A9102" t="s">
        <v>3237</v>
      </c>
      <c r="B9102" t="s">
        <v>9684</v>
      </c>
      <c r="C9102" t="s">
        <v>9877</v>
      </c>
      <c r="D9102" t="s">
        <v>3251</v>
      </c>
      <c r="E9102" t="s">
        <v>5199</v>
      </c>
      <c r="F9102" t="s">
        <v>5200</v>
      </c>
      <c r="G9102" t="s">
        <v>5200</v>
      </c>
      <c r="H9102" t="s">
        <v>859</v>
      </c>
      <c r="I9102" t="s">
        <v>860</v>
      </c>
      <c r="J9102" t="str">
        <f>"9051433"</f>
        <v>9051433</v>
      </c>
      <c r="K9102">
        <v>2105317677</v>
      </c>
      <c r="L9102">
        <v>2105317677</v>
      </c>
      <c r="M9102" t="s">
        <v>9878</v>
      </c>
      <c r="N9102" t="s">
        <v>9879</v>
      </c>
      <c r="O9102" t="s">
        <v>9880</v>
      </c>
      <c r="P9102">
        <v>12461</v>
      </c>
      <c r="Q9102" t="str">
        <f>"37.999224"</f>
        <v>37.999224</v>
      </c>
      <c r="R9102" t="str">
        <f>"23.665409"</f>
        <v>23.665409</v>
      </c>
      <c r="S9102" t="s">
        <v>26</v>
      </c>
    </row>
    <row r="9103" spans="1:19" x14ac:dyDescent="0.3">
      <c r="A9103" t="s">
        <v>3237</v>
      </c>
      <c r="B9103" t="s">
        <v>9684</v>
      </c>
      <c r="C9103" t="s">
        <v>9885</v>
      </c>
      <c r="D9103" t="s">
        <v>3251</v>
      </c>
      <c r="E9103" t="s">
        <v>3252</v>
      </c>
      <c r="F9103" t="s">
        <v>3252</v>
      </c>
      <c r="G9103" t="s">
        <v>3252</v>
      </c>
      <c r="H9103" t="s">
        <v>859</v>
      </c>
      <c r="I9103" t="s">
        <v>860</v>
      </c>
      <c r="J9103" t="str">
        <f>"9051839"</f>
        <v>9051839</v>
      </c>
      <c r="K9103">
        <v>2105986657</v>
      </c>
      <c r="L9103">
        <v>2105986657</v>
      </c>
      <c r="M9103" t="s">
        <v>9886</v>
      </c>
      <c r="N9103" t="s">
        <v>3252</v>
      </c>
      <c r="O9103" t="s">
        <v>9887</v>
      </c>
      <c r="P9103">
        <v>12243</v>
      </c>
      <c r="Q9103" t="str">
        <f>"38.007809"</f>
        <v>38.007809</v>
      </c>
      <c r="R9103" t="str">
        <f>"23.671293"</f>
        <v>23.671293</v>
      </c>
      <c r="S9103" t="s">
        <v>26</v>
      </c>
    </row>
    <row r="9104" spans="1:19" x14ac:dyDescent="0.3">
      <c r="A9104" t="s">
        <v>3237</v>
      </c>
      <c r="B9104" t="s">
        <v>9684</v>
      </c>
      <c r="C9104" t="s">
        <v>9888</v>
      </c>
      <c r="D9104" t="s">
        <v>3251</v>
      </c>
      <c r="E9104" t="s">
        <v>3252</v>
      </c>
      <c r="F9104" t="s">
        <v>3252</v>
      </c>
      <c r="G9104" t="s">
        <v>3252</v>
      </c>
      <c r="H9104" t="s">
        <v>859</v>
      </c>
      <c r="I9104" t="s">
        <v>860</v>
      </c>
      <c r="J9104" t="str">
        <f>"9050857"</f>
        <v>9050857</v>
      </c>
      <c r="K9104">
        <v>2105692733</v>
      </c>
      <c r="M9104" t="s">
        <v>9889</v>
      </c>
      <c r="N9104" t="s">
        <v>3252</v>
      </c>
      <c r="O9104" t="s">
        <v>9890</v>
      </c>
      <c r="P9104">
        <v>12244</v>
      </c>
      <c r="Q9104" t="str">
        <f>"37.984965"</f>
        <v>37.984965</v>
      </c>
      <c r="R9104" t="str">
        <f>"23.668490"</f>
        <v>23.668490</v>
      </c>
      <c r="S9104" t="s">
        <v>26</v>
      </c>
    </row>
    <row r="9105" spans="1:19" x14ac:dyDescent="0.3">
      <c r="A9105" t="s">
        <v>3237</v>
      </c>
      <c r="B9105" t="s">
        <v>9684</v>
      </c>
      <c r="C9105" t="s">
        <v>9891</v>
      </c>
      <c r="D9105" t="s">
        <v>3251</v>
      </c>
      <c r="E9105" t="s">
        <v>5121</v>
      </c>
      <c r="F9105" t="s">
        <v>5085</v>
      </c>
      <c r="G9105" t="s">
        <v>5085</v>
      </c>
      <c r="H9105" t="s">
        <v>859</v>
      </c>
      <c r="I9105" t="s">
        <v>860</v>
      </c>
      <c r="J9105" t="str">
        <f>"9050842"</f>
        <v>9050842</v>
      </c>
      <c r="K9105">
        <v>2108542394</v>
      </c>
      <c r="L9105">
        <v>2108542394</v>
      </c>
      <c r="M9105" t="s">
        <v>9892</v>
      </c>
      <c r="N9105" t="s">
        <v>5159</v>
      </c>
      <c r="O9105" t="s">
        <v>9893</v>
      </c>
      <c r="P9105">
        <v>13561</v>
      </c>
      <c r="Q9105" t="str">
        <f>"38.020794"</f>
        <v>38.020794</v>
      </c>
      <c r="R9105" t="str">
        <f>"23.712835"</f>
        <v>23.712835</v>
      </c>
      <c r="S9105" t="s">
        <v>26</v>
      </c>
    </row>
    <row r="9106" spans="1:19" x14ac:dyDescent="0.3">
      <c r="A9106" t="s">
        <v>3237</v>
      </c>
      <c r="B9106" t="s">
        <v>9684</v>
      </c>
      <c r="C9106" t="s">
        <v>9894</v>
      </c>
      <c r="D9106" t="s">
        <v>3251</v>
      </c>
      <c r="E9106" t="s">
        <v>3252</v>
      </c>
      <c r="F9106" t="s">
        <v>3252</v>
      </c>
      <c r="G9106" t="s">
        <v>3252</v>
      </c>
      <c r="H9106" t="s">
        <v>859</v>
      </c>
      <c r="I9106" t="s">
        <v>860</v>
      </c>
      <c r="J9106" t="str">
        <f>"9050839"</f>
        <v>9050839</v>
      </c>
      <c r="K9106">
        <v>2105911427</v>
      </c>
      <c r="L9106">
        <v>2105911427</v>
      </c>
      <c r="M9106" t="s">
        <v>9895</v>
      </c>
      <c r="N9106" t="s">
        <v>3252</v>
      </c>
      <c r="O9106" t="s">
        <v>9794</v>
      </c>
      <c r="P9106">
        <v>12243</v>
      </c>
      <c r="Q9106" t="str">
        <f>"38.002458"</f>
        <v>38.002458</v>
      </c>
      <c r="R9106" t="str">
        <f>"23.678312"</f>
        <v>23.678312</v>
      </c>
      <c r="S9106" t="s">
        <v>26</v>
      </c>
    </row>
    <row r="9107" spans="1:19" x14ac:dyDescent="0.3">
      <c r="A9107" t="s">
        <v>3237</v>
      </c>
      <c r="B9107" t="s">
        <v>9684</v>
      </c>
      <c r="C9107" t="s">
        <v>9896</v>
      </c>
      <c r="D9107" t="s">
        <v>3251</v>
      </c>
      <c r="E9107" t="s">
        <v>3252</v>
      </c>
      <c r="F9107" t="s">
        <v>3252</v>
      </c>
      <c r="G9107" t="s">
        <v>3252</v>
      </c>
      <c r="H9107" t="s">
        <v>859</v>
      </c>
      <c r="I9107" t="s">
        <v>860</v>
      </c>
      <c r="J9107" t="str">
        <f>"9051420"</f>
        <v>9051420</v>
      </c>
      <c r="K9107">
        <v>2105698678</v>
      </c>
      <c r="M9107" t="s">
        <v>9897</v>
      </c>
      <c r="N9107" t="s">
        <v>3252</v>
      </c>
      <c r="O9107" t="s">
        <v>9898</v>
      </c>
      <c r="P9107">
        <v>12241</v>
      </c>
      <c r="Q9107" t="str">
        <f>"37.985766"</f>
        <v>37.985766</v>
      </c>
      <c r="R9107" t="str">
        <f>"23.675493"</f>
        <v>23.675493</v>
      </c>
      <c r="S9107" t="s">
        <v>26</v>
      </c>
    </row>
    <row r="9108" spans="1:19" x14ac:dyDescent="0.3">
      <c r="A9108" t="s">
        <v>3237</v>
      </c>
      <c r="B9108" t="s">
        <v>9684</v>
      </c>
      <c r="C9108" t="s">
        <v>9899</v>
      </c>
      <c r="D9108" t="s">
        <v>3251</v>
      </c>
      <c r="E9108" t="s">
        <v>3252</v>
      </c>
      <c r="F9108" t="s">
        <v>3252</v>
      </c>
      <c r="G9108" t="s">
        <v>3252</v>
      </c>
      <c r="H9108" t="s">
        <v>859</v>
      </c>
      <c r="I9108" t="s">
        <v>860</v>
      </c>
      <c r="J9108" t="str">
        <f>"9050984"</f>
        <v>9050984</v>
      </c>
      <c r="K9108">
        <v>2105451144</v>
      </c>
      <c r="L9108">
        <v>2105451144</v>
      </c>
      <c r="M9108" t="s">
        <v>9900</v>
      </c>
      <c r="N9108" t="s">
        <v>3252</v>
      </c>
      <c r="O9108" t="s">
        <v>9901</v>
      </c>
      <c r="P9108">
        <v>12244</v>
      </c>
      <c r="Q9108" t="str">
        <f>"37.995123"</f>
        <v>37.995123</v>
      </c>
      <c r="R9108" t="str">
        <f>"23.666853"</f>
        <v>23.666853</v>
      </c>
      <c r="S9108" t="s">
        <v>26</v>
      </c>
    </row>
    <row r="9109" spans="1:19" x14ac:dyDescent="0.3">
      <c r="A9109" t="s">
        <v>3237</v>
      </c>
      <c r="B9109" t="s">
        <v>9684</v>
      </c>
      <c r="C9109" t="s">
        <v>9902</v>
      </c>
      <c r="D9109" t="s">
        <v>3251</v>
      </c>
      <c r="E9109" t="s">
        <v>5171</v>
      </c>
      <c r="F9109" t="s">
        <v>5171</v>
      </c>
      <c r="G9109" t="s">
        <v>5171</v>
      </c>
      <c r="H9109" t="s">
        <v>859</v>
      </c>
      <c r="I9109" t="s">
        <v>860</v>
      </c>
      <c r="J9109" t="str">
        <f>"9051637"</f>
        <v>9051637</v>
      </c>
      <c r="K9109">
        <v>2105020666</v>
      </c>
      <c r="L9109">
        <v>2105020666</v>
      </c>
      <c r="M9109" t="s">
        <v>9903</v>
      </c>
      <c r="N9109" t="s">
        <v>5174</v>
      </c>
      <c r="O9109" t="s">
        <v>9904</v>
      </c>
      <c r="P9109">
        <v>13231</v>
      </c>
      <c r="Q9109" t="str">
        <f>"38.042588"</f>
        <v>38.042588</v>
      </c>
      <c r="R9109" t="str">
        <f>"23.689375"</f>
        <v>23.689375</v>
      </c>
      <c r="S9109" t="s">
        <v>26</v>
      </c>
    </row>
    <row r="9110" spans="1:19" x14ac:dyDescent="0.3">
      <c r="A9110" t="s">
        <v>3237</v>
      </c>
      <c r="B9110" t="s">
        <v>9684</v>
      </c>
      <c r="C9110" t="s">
        <v>9905</v>
      </c>
      <c r="D9110" t="s">
        <v>3251</v>
      </c>
      <c r="E9110" t="s">
        <v>3252</v>
      </c>
      <c r="F9110" t="s">
        <v>3252</v>
      </c>
      <c r="G9110" t="s">
        <v>3252</v>
      </c>
      <c r="H9110" t="s">
        <v>859</v>
      </c>
      <c r="I9110" t="s">
        <v>860</v>
      </c>
      <c r="J9110" t="str">
        <f>"9051587"</f>
        <v>9051587</v>
      </c>
      <c r="K9110">
        <v>2105451144</v>
      </c>
      <c r="L9110">
        <v>2105451144</v>
      </c>
      <c r="M9110" t="s">
        <v>9906</v>
      </c>
      <c r="N9110" t="s">
        <v>3252</v>
      </c>
      <c r="O9110" t="s">
        <v>9901</v>
      </c>
      <c r="P9110">
        <v>12244</v>
      </c>
      <c r="Q9110" t="str">
        <f>"37.995078"</f>
        <v>37.995078</v>
      </c>
      <c r="R9110" t="str">
        <f>"23.666661"</f>
        <v>23.666661</v>
      </c>
      <c r="S9110" t="s">
        <v>26</v>
      </c>
    </row>
    <row r="9111" spans="1:19" x14ac:dyDescent="0.3">
      <c r="A9111" t="s">
        <v>3237</v>
      </c>
      <c r="B9111" t="s">
        <v>9684</v>
      </c>
      <c r="C9111" t="s">
        <v>9907</v>
      </c>
      <c r="D9111" t="s">
        <v>3251</v>
      </c>
      <c r="E9111" t="s">
        <v>5121</v>
      </c>
      <c r="F9111" t="s">
        <v>5085</v>
      </c>
      <c r="G9111" t="s">
        <v>5085</v>
      </c>
      <c r="H9111" t="s">
        <v>859</v>
      </c>
      <c r="I9111" t="s">
        <v>860</v>
      </c>
      <c r="J9111" t="str">
        <f>"9050865"</f>
        <v>9050865</v>
      </c>
      <c r="K9111">
        <v>2102611921</v>
      </c>
      <c r="L9111">
        <v>2102611921</v>
      </c>
      <c r="M9111" t="s">
        <v>9908</v>
      </c>
      <c r="N9111" t="s">
        <v>5159</v>
      </c>
      <c r="O9111" t="s">
        <v>9909</v>
      </c>
      <c r="P9111">
        <v>13562</v>
      </c>
      <c r="Q9111" t="str">
        <f>"38.040676"</f>
        <v>38.040676</v>
      </c>
      <c r="R9111" t="str">
        <f>"23.728771"</f>
        <v>23.728771</v>
      </c>
      <c r="S9111" t="s">
        <v>26</v>
      </c>
    </row>
    <row r="9112" spans="1:19" x14ac:dyDescent="0.3">
      <c r="A9112" t="s">
        <v>3237</v>
      </c>
      <c r="B9112" t="s">
        <v>9684</v>
      </c>
      <c r="C9112" t="s">
        <v>9915</v>
      </c>
      <c r="D9112" t="s">
        <v>3251</v>
      </c>
      <c r="E9112" t="s">
        <v>3252</v>
      </c>
      <c r="F9112" t="s">
        <v>3252</v>
      </c>
      <c r="G9112" t="s">
        <v>3252</v>
      </c>
      <c r="H9112" t="s">
        <v>859</v>
      </c>
      <c r="I9112" t="s">
        <v>860</v>
      </c>
      <c r="J9112" t="str">
        <f>"9050364"</f>
        <v>9050364</v>
      </c>
      <c r="K9112">
        <v>2105313067</v>
      </c>
      <c r="L9112">
        <v>2105313067</v>
      </c>
      <c r="M9112" t="s">
        <v>9916</v>
      </c>
      <c r="N9112" t="s">
        <v>3252</v>
      </c>
      <c r="O9112" t="s">
        <v>9917</v>
      </c>
      <c r="P9112">
        <v>12243</v>
      </c>
      <c r="Q9112" t="str">
        <f>"38.002706"</f>
        <v>38.002706</v>
      </c>
      <c r="R9112" t="str">
        <f>"23.671075"</f>
        <v>23.671075</v>
      </c>
      <c r="S9112" t="s">
        <v>26</v>
      </c>
    </row>
    <row r="9113" spans="1:19" x14ac:dyDescent="0.3">
      <c r="A9113" t="s">
        <v>3237</v>
      </c>
      <c r="B9113" t="s">
        <v>9684</v>
      </c>
      <c r="C9113" t="s">
        <v>9921</v>
      </c>
      <c r="D9113" t="s">
        <v>3251</v>
      </c>
      <c r="E9113" t="s">
        <v>5121</v>
      </c>
      <c r="F9113" t="s">
        <v>5085</v>
      </c>
      <c r="G9113" t="s">
        <v>5085</v>
      </c>
      <c r="H9113" t="s">
        <v>859</v>
      </c>
      <c r="I9113" t="s">
        <v>860</v>
      </c>
      <c r="J9113" t="str">
        <f>"9050988"</f>
        <v>9050988</v>
      </c>
      <c r="K9113">
        <v>2102619031</v>
      </c>
      <c r="L9113">
        <v>2102619031</v>
      </c>
      <c r="M9113" t="s">
        <v>9922</v>
      </c>
      <c r="N9113" t="s">
        <v>5159</v>
      </c>
      <c r="O9113" t="s">
        <v>9923</v>
      </c>
      <c r="P9113">
        <v>13561</v>
      </c>
      <c r="Q9113" t="str">
        <f>"38.025364"</f>
        <v>38.025364</v>
      </c>
      <c r="R9113" t="str">
        <f>"23.713852"</f>
        <v>23.713852</v>
      </c>
      <c r="S9113" t="s">
        <v>26</v>
      </c>
    </row>
    <row r="9114" spans="1:19" x14ac:dyDescent="0.3">
      <c r="A9114" t="s">
        <v>3237</v>
      </c>
      <c r="B9114" t="s">
        <v>9684</v>
      </c>
      <c r="C9114" t="s">
        <v>9924</v>
      </c>
      <c r="D9114" t="s">
        <v>3251</v>
      </c>
      <c r="E9114" t="s">
        <v>5171</v>
      </c>
      <c r="F9114" t="s">
        <v>5171</v>
      </c>
      <c r="G9114" t="s">
        <v>5171</v>
      </c>
      <c r="H9114" t="s">
        <v>859</v>
      </c>
      <c r="I9114" t="s">
        <v>860</v>
      </c>
      <c r="J9114" t="str">
        <f>"9051918"</f>
        <v>9051918</v>
      </c>
      <c r="K9114">
        <v>2105050760</v>
      </c>
      <c r="L9114">
        <v>2105050760</v>
      </c>
      <c r="M9114" t="s">
        <v>9925</v>
      </c>
      <c r="N9114" t="s">
        <v>5340</v>
      </c>
      <c r="O9114" t="s">
        <v>9926</v>
      </c>
      <c r="P9114">
        <v>13231</v>
      </c>
      <c r="Q9114" t="str">
        <f>"38.038157"</f>
        <v>38.038157</v>
      </c>
      <c r="R9114" t="str">
        <f>"23.670344"</f>
        <v>23.670344</v>
      </c>
      <c r="S9114" t="s">
        <v>26</v>
      </c>
    </row>
    <row r="9115" spans="1:19" x14ac:dyDescent="0.3">
      <c r="A9115" t="s">
        <v>3237</v>
      </c>
      <c r="B9115" t="s">
        <v>9684</v>
      </c>
      <c r="C9115" t="s">
        <v>9929</v>
      </c>
      <c r="D9115" t="s">
        <v>3251</v>
      </c>
      <c r="E9115" t="s">
        <v>3252</v>
      </c>
      <c r="F9115" t="s">
        <v>3252</v>
      </c>
      <c r="G9115" t="s">
        <v>3252</v>
      </c>
      <c r="H9115" t="s">
        <v>859</v>
      </c>
      <c r="I9115" t="s">
        <v>860</v>
      </c>
      <c r="J9115" t="str">
        <f>"9051222"</f>
        <v>9051222</v>
      </c>
      <c r="K9115">
        <v>2105625369</v>
      </c>
      <c r="L9115">
        <v>2105625369</v>
      </c>
      <c r="M9115" t="s">
        <v>9930</v>
      </c>
      <c r="N9115" t="s">
        <v>3252</v>
      </c>
      <c r="O9115" t="s">
        <v>9931</v>
      </c>
      <c r="P9115">
        <v>12241</v>
      </c>
      <c r="Q9115" t="str">
        <f>"37.990139"</f>
        <v>37.990139</v>
      </c>
      <c r="R9115" t="str">
        <f>"23.678824"</f>
        <v>23.678824</v>
      </c>
      <c r="S9115" t="s">
        <v>26</v>
      </c>
    </row>
    <row r="9116" spans="1:19" x14ac:dyDescent="0.3">
      <c r="A9116" t="s">
        <v>3237</v>
      </c>
      <c r="B9116" t="s">
        <v>9684</v>
      </c>
      <c r="C9116" t="s">
        <v>9937</v>
      </c>
      <c r="D9116" t="s">
        <v>3251</v>
      </c>
      <c r="E9116" t="s">
        <v>3252</v>
      </c>
      <c r="F9116" t="s">
        <v>3252</v>
      </c>
      <c r="G9116" t="s">
        <v>3252</v>
      </c>
      <c r="H9116" t="s">
        <v>859</v>
      </c>
      <c r="I9116" t="s">
        <v>860</v>
      </c>
      <c r="J9116" t="str">
        <f>"9051049"</f>
        <v>9051049</v>
      </c>
      <c r="K9116">
        <v>2105314090</v>
      </c>
      <c r="L9116">
        <v>2105314090</v>
      </c>
      <c r="M9116" t="s">
        <v>9938</v>
      </c>
      <c r="N9116" t="s">
        <v>3252</v>
      </c>
      <c r="O9116" t="s">
        <v>9939</v>
      </c>
      <c r="P9116">
        <v>12243</v>
      </c>
      <c r="Q9116" t="str">
        <f>"38.003875"</f>
        <v>38.003875</v>
      </c>
      <c r="R9116" t="str">
        <f>"23.672719"</f>
        <v>23.672719</v>
      </c>
      <c r="S9116" t="s">
        <v>26</v>
      </c>
    </row>
    <row r="9117" spans="1:19" x14ac:dyDescent="0.3">
      <c r="A9117" t="s">
        <v>3237</v>
      </c>
      <c r="B9117" t="s">
        <v>9684</v>
      </c>
      <c r="C9117" t="s">
        <v>9940</v>
      </c>
      <c r="D9117" t="s">
        <v>3251</v>
      </c>
      <c r="E9117" t="s">
        <v>5121</v>
      </c>
      <c r="F9117" t="s">
        <v>5085</v>
      </c>
      <c r="G9117" t="s">
        <v>5085</v>
      </c>
      <c r="H9117" t="s">
        <v>859</v>
      </c>
      <c r="I9117" t="s">
        <v>860</v>
      </c>
      <c r="J9117" t="str">
        <f>"9051059"</f>
        <v>9051059</v>
      </c>
      <c r="K9117">
        <v>2102629902</v>
      </c>
      <c r="L9117">
        <v>2102629902</v>
      </c>
      <c r="M9117" t="s">
        <v>9941</v>
      </c>
      <c r="N9117" t="s">
        <v>5159</v>
      </c>
      <c r="O9117" t="s">
        <v>9942</v>
      </c>
      <c r="P9117">
        <v>13562</v>
      </c>
      <c r="Q9117" t="str">
        <f>"38.029430"</f>
        <v>38.029430</v>
      </c>
      <c r="R9117" t="str">
        <f>"23.727111"</f>
        <v>23.727111</v>
      </c>
      <c r="S9117" t="s">
        <v>26</v>
      </c>
    </row>
    <row r="9118" spans="1:19" x14ac:dyDescent="0.3">
      <c r="A9118" t="s">
        <v>3237</v>
      </c>
      <c r="B9118" t="s">
        <v>9684</v>
      </c>
      <c r="C9118" t="s">
        <v>9943</v>
      </c>
      <c r="D9118" t="s">
        <v>3251</v>
      </c>
      <c r="E9118" t="s">
        <v>3252</v>
      </c>
      <c r="F9118" t="s">
        <v>3252</v>
      </c>
      <c r="G9118" t="s">
        <v>3252</v>
      </c>
      <c r="H9118" t="s">
        <v>859</v>
      </c>
      <c r="I9118" t="s">
        <v>860</v>
      </c>
      <c r="J9118" t="str">
        <f>"9050358"</f>
        <v>9050358</v>
      </c>
      <c r="K9118">
        <v>2105986558</v>
      </c>
      <c r="L9118">
        <v>2105986558</v>
      </c>
      <c r="M9118" t="s">
        <v>9944</v>
      </c>
      <c r="N9118" t="s">
        <v>3252</v>
      </c>
      <c r="O9118" t="s">
        <v>9945</v>
      </c>
      <c r="P9118">
        <v>12243</v>
      </c>
      <c r="Q9118" t="str">
        <f>"38.000388"</f>
        <v>38.000388</v>
      </c>
      <c r="R9118" t="str">
        <f>"23.676993"</f>
        <v>23.676993</v>
      </c>
      <c r="S9118" t="s">
        <v>26</v>
      </c>
    </row>
    <row r="9119" spans="1:19" x14ac:dyDescent="0.3">
      <c r="A9119" t="s">
        <v>3237</v>
      </c>
      <c r="B9119" t="s">
        <v>9684</v>
      </c>
      <c r="C9119" t="s">
        <v>9949</v>
      </c>
      <c r="D9119" t="s">
        <v>3251</v>
      </c>
      <c r="E9119" t="s">
        <v>5199</v>
      </c>
      <c r="F9119" t="s">
        <v>5200</v>
      </c>
      <c r="G9119" t="s">
        <v>5200</v>
      </c>
      <c r="H9119" t="s">
        <v>859</v>
      </c>
      <c r="I9119" t="s">
        <v>860</v>
      </c>
      <c r="J9119" t="str">
        <f>"9050368"</f>
        <v>9050368</v>
      </c>
      <c r="K9119">
        <v>2105816761</v>
      </c>
      <c r="L9119">
        <v>2105816761</v>
      </c>
      <c r="M9119" t="s">
        <v>9950</v>
      </c>
      <c r="N9119" t="s">
        <v>9879</v>
      </c>
      <c r="O9119" t="s">
        <v>9951</v>
      </c>
      <c r="P9119">
        <v>12461</v>
      </c>
      <c r="Q9119" t="str">
        <f>"38.004733"</f>
        <v>38.004733</v>
      </c>
      <c r="R9119" t="str">
        <f>"23.656446"</f>
        <v>23.656446</v>
      </c>
      <c r="S9119" t="s">
        <v>26</v>
      </c>
    </row>
    <row r="9120" spans="1:19" x14ac:dyDescent="0.3">
      <c r="A9120" t="s">
        <v>3237</v>
      </c>
      <c r="B9120" t="s">
        <v>9684</v>
      </c>
      <c r="C9120" t="s">
        <v>9954</v>
      </c>
      <c r="D9120" t="s">
        <v>3251</v>
      </c>
      <c r="E9120" t="s">
        <v>3252</v>
      </c>
      <c r="F9120" t="s">
        <v>3252</v>
      </c>
      <c r="G9120" t="s">
        <v>3252</v>
      </c>
      <c r="H9120" t="s">
        <v>859</v>
      </c>
      <c r="I9120" t="s">
        <v>860</v>
      </c>
      <c r="J9120" t="str">
        <f>"9051224"</f>
        <v>9051224</v>
      </c>
      <c r="K9120">
        <v>2105988602</v>
      </c>
      <c r="M9120" t="s">
        <v>9955</v>
      </c>
      <c r="N9120" t="s">
        <v>3252</v>
      </c>
      <c r="O9120" t="s">
        <v>9956</v>
      </c>
      <c r="P9120">
        <v>12242</v>
      </c>
      <c r="Q9120" t="str">
        <f>"37.997589"</f>
        <v>37.997589</v>
      </c>
      <c r="R9120" t="str">
        <f>"23.685290"</f>
        <v>23.685290</v>
      </c>
      <c r="S9120" t="s">
        <v>26</v>
      </c>
    </row>
    <row r="9121" spans="1:19" x14ac:dyDescent="0.3">
      <c r="A9121" t="s">
        <v>3237</v>
      </c>
      <c r="B9121" t="s">
        <v>9684</v>
      </c>
      <c r="C9121" t="s">
        <v>9957</v>
      </c>
      <c r="D9121" t="s">
        <v>3251</v>
      </c>
      <c r="E9121" t="s">
        <v>5121</v>
      </c>
      <c r="F9121" t="s">
        <v>5085</v>
      </c>
      <c r="G9121" t="s">
        <v>5085</v>
      </c>
      <c r="H9121" t="s">
        <v>859</v>
      </c>
      <c r="I9121" t="s">
        <v>860</v>
      </c>
      <c r="J9121" t="str">
        <f>"9051060"</f>
        <v>9051060</v>
      </c>
      <c r="K9121">
        <v>2102319507</v>
      </c>
      <c r="L9121">
        <v>2102319507</v>
      </c>
      <c r="M9121" t="s">
        <v>9958</v>
      </c>
      <c r="N9121" t="s">
        <v>5159</v>
      </c>
      <c r="O9121" t="s">
        <v>9959</v>
      </c>
      <c r="P9121">
        <v>13562</v>
      </c>
      <c r="Q9121" t="str">
        <f>"38.050098"</f>
        <v>38.050098</v>
      </c>
      <c r="R9121" t="str">
        <f>"23.732651"</f>
        <v>23.732651</v>
      </c>
      <c r="S9121" t="s">
        <v>26</v>
      </c>
    </row>
    <row r="9122" spans="1:19" x14ac:dyDescent="0.3">
      <c r="A9122" t="s">
        <v>3237</v>
      </c>
      <c r="B9122" t="s">
        <v>9684</v>
      </c>
      <c r="C9122" t="s">
        <v>9960</v>
      </c>
      <c r="D9122" t="s">
        <v>3251</v>
      </c>
      <c r="E9122" t="s">
        <v>5162</v>
      </c>
      <c r="F9122" t="s">
        <v>5162</v>
      </c>
      <c r="G9122" t="s">
        <v>5162</v>
      </c>
      <c r="H9122" t="s">
        <v>859</v>
      </c>
      <c r="I9122" t="s">
        <v>860</v>
      </c>
      <c r="J9122" t="str">
        <f>"9050760"</f>
        <v>9050760</v>
      </c>
      <c r="K9122">
        <v>2105616110</v>
      </c>
      <c r="L9122">
        <v>2105616110</v>
      </c>
      <c r="M9122" t="s">
        <v>9961</v>
      </c>
      <c r="N9122" t="s">
        <v>5165</v>
      </c>
      <c r="O9122" t="s">
        <v>9962</v>
      </c>
      <c r="P9122">
        <v>12351</v>
      </c>
      <c r="Q9122" t="str">
        <f>"37.989326"</f>
        <v>37.989326</v>
      </c>
      <c r="R9122" t="str">
        <f>"23.651736"</f>
        <v>23.651736</v>
      </c>
      <c r="S9122" t="s">
        <v>26</v>
      </c>
    </row>
    <row r="9123" spans="1:19" x14ac:dyDescent="0.3">
      <c r="A9123" t="s">
        <v>3237</v>
      </c>
      <c r="B9123" t="s">
        <v>9684</v>
      </c>
      <c r="C9123" t="s">
        <v>9970</v>
      </c>
      <c r="D9123" t="s">
        <v>3251</v>
      </c>
      <c r="E9123" t="s">
        <v>3252</v>
      </c>
      <c r="F9123" t="s">
        <v>3252</v>
      </c>
      <c r="G9123" t="s">
        <v>3252</v>
      </c>
      <c r="H9123" t="s">
        <v>859</v>
      </c>
      <c r="I9123" t="s">
        <v>860</v>
      </c>
      <c r="J9123" t="str">
        <f>"9051048"</f>
        <v>9051048</v>
      </c>
      <c r="K9123">
        <v>2105314077</v>
      </c>
      <c r="M9123" t="s">
        <v>9971</v>
      </c>
      <c r="N9123" t="s">
        <v>3252</v>
      </c>
      <c r="O9123" t="s">
        <v>9765</v>
      </c>
      <c r="P9123">
        <v>12243</v>
      </c>
      <c r="Q9123" t="str">
        <f>"37.997071"</f>
        <v>37.997071</v>
      </c>
      <c r="R9123" t="str">
        <f>"23.677069"</f>
        <v>23.677069</v>
      </c>
      <c r="S9123" t="s">
        <v>26</v>
      </c>
    </row>
    <row r="9124" spans="1:19" x14ac:dyDescent="0.3">
      <c r="A9124" t="s">
        <v>3237</v>
      </c>
      <c r="B9124" t="s">
        <v>9684</v>
      </c>
      <c r="C9124" t="s">
        <v>9972</v>
      </c>
      <c r="D9124" t="s">
        <v>3251</v>
      </c>
      <c r="E9124" t="s">
        <v>3290</v>
      </c>
      <c r="F9124" t="s">
        <v>3290</v>
      </c>
      <c r="G9124" t="s">
        <v>3290</v>
      </c>
      <c r="H9124" t="s">
        <v>859</v>
      </c>
      <c r="I9124" t="s">
        <v>860</v>
      </c>
      <c r="J9124" t="str">
        <f>"9051065"</f>
        <v>9051065</v>
      </c>
      <c r="K9124">
        <v>2102629880</v>
      </c>
      <c r="L9124">
        <v>2102629880</v>
      </c>
      <c r="M9124" t="s">
        <v>9973</v>
      </c>
      <c r="N9124" t="s">
        <v>5097</v>
      </c>
      <c r="O9124" t="s">
        <v>9974</v>
      </c>
      <c r="P9124">
        <v>13123</v>
      </c>
      <c r="Q9124" t="str">
        <f>"38.033465"</f>
        <v>38.033465</v>
      </c>
      <c r="R9124" t="str">
        <f>"23.698815"</f>
        <v>23.698815</v>
      </c>
      <c r="S9124" t="s">
        <v>26</v>
      </c>
    </row>
    <row r="9125" spans="1:19" x14ac:dyDescent="0.3">
      <c r="A9125" t="s">
        <v>3237</v>
      </c>
      <c r="B9125" t="s">
        <v>9684</v>
      </c>
      <c r="C9125" t="s">
        <v>9975</v>
      </c>
      <c r="D9125" t="s">
        <v>3251</v>
      </c>
      <c r="E9125" t="s">
        <v>3252</v>
      </c>
      <c r="F9125" t="s">
        <v>3252</v>
      </c>
      <c r="G9125" t="s">
        <v>3252</v>
      </c>
      <c r="H9125" t="s">
        <v>859</v>
      </c>
      <c r="I9125" t="s">
        <v>860</v>
      </c>
      <c r="J9125" t="str">
        <f>"9051047"</f>
        <v>9051047</v>
      </c>
      <c r="K9125">
        <v>2105444470</v>
      </c>
      <c r="L9125">
        <v>2105444470</v>
      </c>
      <c r="M9125" t="s">
        <v>9976</v>
      </c>
      <c r="N9125" t="s">
        <v>3252</v>
      </c>
      <c r="O9125" t="s">
        <v>9977</v>
      </c>
      <c r="P9125">
        <v>12244</v>
      </c>
      <c r="Q9125" t="str">
        <f>"37.990481"</f>
        <v>37.990481</v>
      </c>
      <c r="R9125" t="str">
        <f>"23.668735"</f>
        <v>23.668735</v>
      </c>
      <c r="S9125" t="s">
        <v>26</v>
      </c>
    </row>
    <row r="9126" spans="1:19" x14ac:dyDescent="0.3">
      <c r="A9126" t="s">
        <v>3237</v>
      </c>
      <c r="B9126" t="s">
        <v>9684</v>
      </c>
      <c r="C9126" t="s">
        <v>9978</v>
      </c>
      <c r="D9126" t="s">
        <v>3251</v>
      </c>
      <c r="E9126" t="s">
        <v>5162</v>
      </c>
      <c r="F9126" t="s">
        <v>5162</v>
      </c>
      <c r="G9126" t="s">
        <v>5162</v>
      </c>
      <c r="H9126" t="s">
        <v>859</v>
      </c>
      <c r="I9126" t="s">
        <v>860</v>
      </c>
      <c r="J9126" t="str">
        <f>"9051004"</f>
        <v>9051004</v>
      </c>
      <c r="K9126">
        <v>2105444422</v>
      </c>
      <c r="M9126" t="s">
        <v>9979</v>
      </c>
      <c r="N9126" t="s">
        <v>5165</v>
      </c>
      <c r="O9126" t="s">
        <v>9980</v>
      </c>
      <c r="P9126">
        <v>12351</v>
      </c>
      <c r="Q9126" t="str">
        <f>"37.995674"</f>
        <v>37.995674</v>
      </c>
      <c r="R9126" t="str">
        <f>"23.657325"</f>
        <v>23.657325</v>
      </c>
      <c r="S9126" t="s">
        <v>26</v>
      </c>
    </row>
    <row r="9127" spans="1:19" x14ac:dyDescent="0.3">
      <c r="A9127" t="s">
        <v>3237</v>
      </c>
      <c r="B9127" t="s">
        <v>9684</v>
      </c>
      <c r="C9127" t="s">
        <v>9981</v>
      </c>
      <c r="D9127" t="s">
        <v>3251</v>
      </c>
      <c r="E9127" t="s">
        <v>3290</v>
      </c>
      <c r="F9127" t="s">
        <v>3290</v>
      </c>
      <c r="G9127" t="s">
        <v>3290</v>
      </c>
      <c r="H9127" t="s">
        <v>859</v>
      </c>
      <c r="I9127" t="s">
        <v>860</v>
      </c>
      <c r="J9127" t="str">
        <f>"9051238"</f>
        <v>9051238</v>
      </c>
      <c r="K9127">
        <v>2102638698</v>
      </c>
      <c r="L9127">
        <v>102638698</v>
      </c>
      <c r="M9127" t="s">
        <v>9982</v>
      </c>
      <c r="N9127" t="s">
        <v>5097</v>
      </c>
      <c r="O9127" t="s">
        <v>9983</v>
      </c>
      <c r="P9127">
        <v>13122</v>
      </c>
      <c r="Q9127" t="str">
        <f>"38.024656"</f>
        <v>38.024656</v>
      </c>
      <c r="R9127" t="str">
        <f>"23.705147"</f>
        <v>23.705147</v>
      </c>
      <c r="S9127" t="s">
        <v>26</v>
      </c>
    </row>
    <row r="9128" spans="1:19" x14ac:dyDescent="0.3">
      <c r="A9128" t="s">
        <v>3237</v>
      </c>
      <c r="B9128" t="s">
        <v>9684</v>
      </c>
      <c r="C9128" t="s">
        <v>9984</v>
      </c>
      <c r="D9128" t="s">
        <v>3251</v>
      </c>
      <c r="E9128" t="s">
        <v>3290</v>
      </c>
      <c r="F9128" t="s">
        <v>3290</v>
      </c>
      <c r="G9128" t="s">
        <v>3290</v>
      </c>
      <c r="H9128" t="s">
        <v>859</v>
      </c>
      <c r="I9128" t="s">
        <v>860</v>
      </c>
      <c r="J9128" t="str">
        <f>"9051409"</f>
        <v>9051409</v>
      </c>
      <c r="K9128">
        <v>2102621437</v>
      </c>
      <c r="L9128">
        <v>2102693623</v>
      </c>
      <c r="M9128" t="s">
        <v>9985</v>
      </c>
      <c r="N9128" t="s">
        <v>5097</v>
      </c>
      <c r="O9128" t="s">
        <v>9986</v>
      </c>
      <c r="P9128">
        <v>13123</v>
      </c>
      <c r="Q9128" t="str">
        <f>"38.034801"</f>
        <v>38.034801</v>
      </c>
      <c r="R9128" t="str">
        <f>"23.695489"</f>
        <v>23.695489</v>
      </c>
      <c r="S9128" t="s">
        <v>26</v>
      </c>
    </row>
    <row r="9129" spans="1:19" x14ac:dyDescent="0.3">
      <c r="A9129" t="s">
        <v>3237</v>
      </c>
      <c r="B9129" t="s">
        <v>9684</v>
      </c>
      <c r="C9129" t="s">
        <v>9987</v>
      </c>
      <c r="D9129" t="s">
        <v>3251</v>
      </c>
      <c r="E9129" t="s">
        <v>5199</v>
      </c>
      <c r="F9129" t="s">
        <v>5200</v>
      </c>
      <c r="G9129" t="s">
        <v>5200</v>
      </c>
      <c r="H9129" t="s">
        <v>859</v>
      </c>
      <c r="I9129" t="s">
        <v>860</v>
      </c>
      <c r="J9129" t="str">
        <f>"9051069"</f>
        <v>9051069</v>
      </c>
      <c r="K9129">
        <v>2105320244</v>
      </c>
      <c r="L9129">
        <v>2105320244</v>
      </c>
      <c r="M9129" t="s">
        <v>9988</v>
      </c>
      <c r="N9129" t="s">
        <v>9879</v>
      </c>
      <c r="O9129" t="s">
        <v>9989</v>
      </c>
      <c r="P9129">
        <v>12461</v>
      </c>
      <c r="Q9129" t="str">
        <f>"38.009586"</f>
        <v>38.009586</v>
      </c>
      <c r="R9129" t="str">
        <f>"23.650089"</f>
        <v>23.650089</v>
      </c>
      <c r="S9129" t="s">
        <v>26</v>
      </c>
    </row>
    <row r="9130" spans="1:19" x14ac:dyDescent="0.3">
      <c r="A9130" t="s">
        <v>3237</v>
      </c>
      <c r="B9130" t="s">
        <v>9684</v>
      </c>
      <c r="C9130" t="s">
        <v>9993</v>
      </c>
      <c r="D9130" t="s">
        <v>3251</v>
      </c>
      <c r="E9130" t="s">
        <v>5121</v>
      </c>
      <c r="F9130" t="s">
        <v>5085</v>
      </c>
      <c r="G9130" t="s">
        <v>5085</v>
      </c>
      <c r="H9130" t="s">
        <v>859</v>
      </c>
      <c r="I9130" t="s">
        <v>860</v>
      </c>
      <c r="J9130" t="str">
        <f>"9051514"</f>
        <v>9051514</v>
      </c>
      <c r="K9130">
        <v>2102632316</v>
      </c>
      <c r="L9130">
        <v>2102632316</v>
      </c>
      <c r="M9130" t="s">
        <v>9994</v>
      </c>
      <c r="N9130" t="s">
        <v>5159</v>
      </c>
      <c r="O9130" t="s">
        <v>9995</v>
      </c>
      <c r="P9130">
        <v>13562</v>
      </c>
      <c r="Q9130" t="str">
        <f>"38.033919"</f>
        <v>38.033919</v>
      </c>
      <c r="R9130" t="str">
        <f>"23.723317"</f>
        <v>23.723317</v>
      </c>
      <c r="S9130" t="s">
        <v>26</v>
      </c>
    </row>
    <row r="9131" spans="1:19" x14ac:dyDescent="0.3">
      <c r="A9131" t="s">
        <v>3237</v>
      </c>
      <c r="B9131" t="s">
        <v>9684</v>
      </c>
      <c r="C9131" t="s">
        <v>9996</v>
      </c>
      <c r="D9131" t="s">
        <v>3251</v>
      </c>
      <c r="E9131" t="s">
        <v>3290</v>
      </c>
      <c r="F9131" t="s">
        <v>3290</v>
      </c>
      <c r="G9131" t="s">
        <v>3290</v>
      </c>
      <c r="H9131" t="s">
        <v>859</v>
      </c>
      <c r="I9131" t="s">
        <v>860</v>
      </c>
      <c r="J9131" t="str">
        <f>"9051410"</f>
        <v>9051410</v>
      </c>
      <c r="K9131">
        <v>2102619811</v>
      </c>
      <c r="L9131">
        <v>2102619811</v>
      </c>
      <c r="M9131" t="s">
        <v>9997</v>
      </c>
      <c r="N9131" t="s">
        <v>5097</v>
      </c>
      <c r="O9131" t="s">
        <v>9998</v>
      </c>
      <c r="P9131">
        <v>13123</v>
      </c>
      <c r="Q9131" t="str">
        <f>"38.039884"</f>
        <v>38.039884</v>
      </c>
      <c r="R9131" t="str">
        <f>"23.702279"</f>
        <v>23.702279</v>
      </c>
      <c r="S9131" t="s">
        <v>26</v>
      </c>
    </row>
    <row r="9132" spans="1:19" x14ac:dyDescent="0.3">
      <c r="A9132" t="s">
        <v>3237</v>
      </c>
      <c r="B9132" t="s">
        <v>9684</v>
      </c>
      <c r="C9132" t="s">
        <v>10000</v>
      </c>
      <c r="D9132" t="s">
        <v>3251</v>
      </c>
      <c r="E9132" t="s">
        <v>5199</v>
      </c>
      <c r="F9132" t="s">
        <v>5200</v>
      </c>
      <c r="G9132" t="s">
        <v>5200</v>
      </c>
      <c r="H9132" t="s">
        <v>859</v>
      </c>
      <c r="I9132" t="s">
        <v>860</v>
      </c>
      <c r="J9132" t="str">
        <f>"9050989"</f>
        <v>9050989</v>
      </c>
      <c r="K9132">
        <v>2105323530</v>
      </c>
      <c r="L9132">
        <v>2105819532</v>
      </c>
      <c r="M9132" t="s">
        <v>10001</v>
      </c>
      <c r="N9132" t="s">
        <v>9879</v>
      </c>
      <c r="O9132" t="s">
        <v>10002</v>
      </c>
      <c r="P9132">
        <v>12431</v>
      </c>
      <c r="Q9132" t="str">
        <f>"38.011496"</f>
        <v>38.011496</v>
      </c>
      <c r="R9132" t="str">
        <f>"23.661442"</f>
        <v>23.661442</v>
      </c>
      <c r="S9132" t="s">
        <v>26</v>
      </c>
    </row>
    <row r="9133" spans="1:19" x14ac:dyDescent="0.3">
      <c r="A9133" t="s">
        <v>3237</v>
      </c>
      <c r="B9133" t="s">
        <v>9684</v>
      </c>
      <c r="C9133" t="s">
        <v>10003</v>
      </c>
      <c r="D9133" t="s">
        <v>3251</v>
      </c>
      <c r="E9133" t="s">
        <v>5121</v>
      </c>
      <c r="F9133" t="s">
        <v>5085</v>
      </c>
      <c r="G9133" t="s">
        <v>5085</v>
      </c>
      <c r="H9133" t="s">
        <v>859</v>
      </c>
      <c r="I9133" t="s">
        <v>860</v>
      </c>
      <c r="J9133" t="str">
        <f>"9051927"</f>
        <v>9051927</v>
      </c>
      <c r="K9133">
        <v>2102611921</v>
      </c>
      <c r="L9133">
        <v>2102611921</v>
      </c>
      <c r="M9133" t="s">
        <v>10004</v>
      </c>
      <c r="N9133" t="s">
        <v>5159</v>
      </c>
      <c r="O9133" t="s">
        <v>10005</v>
      </c>
      <c r="P9133">
        <v>13562</v>
      </c>
      <c r="Q9133" t="str">
        <f>"38.040676"</f>
        <v>38.040676</v>
      </c>
      <c r="R9133" t="str">
        <f>"23.728771"</f>
        <v>23.728771</v>
      </c>
      <c r="S9133" t="s">
        <v>26</v>
      </c>
    </row>
    <row r="9134" spans="1:19" x14ac:dyDescent="0.3">
      <c r="A9134" t="s">
        <v>3237</v>
      </c>
      <c r="B9134" t="s">
        <v>9684</v>
      </c>
      <c r="C9134" t="s">
        <v>10010</v>
      </c>
      <c r="D9134" t="s">
        <v>3251</v>
      </c>
      <c r="E9134" t="s">
        <v>5199</v>
      </c>
      <c r="F9134" t="s">
        <v>5200</v>
      </c>
      <c r="G9134" t="s">
        <v>5200</v>
      </c>
      <c r="H9134" t="s">
        <v>859</v>
      </c>
      <c r="I9134" t="s">
        <v>860</v>
      </c>
      <c r="J9134" t="str">
        <f>"9051516"</f>
        <v>9051516</v>
      </c>
      <c r="K9134">
        <v>2105911946</v>
      </c>
      <c r="L9134">
        <v>2105911946</v>
      </c>
      <c r="M9134" t="s">
        <v>10011</v>
      </c>
      <c r="N9134" t="s">
        <v>9879</v>
      </c>
      <c r="O9134" t="s">
        <v>10012</v>
      </c>
      <c r="P9134">
        <v>12461</v>
      </c>
      <c r="Q9134" t="str">
        <f>"38.005891"</f>
        <v>38.005891</v>
      </c>
      <c r="R9134" t="str">
        <f>"23.666950"</f>
        <v>23.666950</v>
      </c>
      <c r="S9134" t="s">
        <v>26</v>
      </c>
    </row>
    <row r="9135" spans="1:19" x14ac:dyDescent="0.3">
      <c r="A9135" t="s">
        <v>3237</v>
      </c>
      <c r="B9135" t="s">
        <v>9684</v>
      </c>
      <c r="C9135" t="s">
        <v>10013</v>
      </c>
      <c r="D9135" t="s">
        <v>3251</v>
      </c>
      <c r="E9135" t="s">
        <v>3252</v>
      </c>
      <c r="F9135" t="s">
        <v>3252</v>
      </c>
      <c r="G9135" t="s">
        <v>3252</v>
      </c>
      <c r="H9135" t="s">
        <v>859</v>
      </c>
      <c r="I9135" t="s">
        <v>860</v>
      </c>
      <c r="J9135" t="str">
        <f>"9050761"</f>
        <v>9050761</v>
      </c>
      <c r="K9135">
        <v>2105317497</v>
      </c>
      <c r="L9135">
        <v>2105317497</v>
      </c>
      <c r="M9135" t="s">
        <v>10014</v>
      </c>
      <c r="N9135" t="s">
        <v>3252</v>
      </c>
      <c r="O9135" t="s">
        <v>5261</v>
      </c>
      <c r="P9135">
        <v>12242</v>
      </c>
      <c r="Q9135" t="str">
        <f>"37.994506"</f>
        <v>37.994506</v>
      </c>
      <c r="R9135" t="str">
        <f>"23.691152"</f>
        <v>23.691152</v>
      </c>
      <c r="S9135" t="s">
        <v>26</v>
      </c>
    </row>
    <row r="9136" spans="1:19" x14ac:dyDescent="0.3">
      <c r="A9136" t="s">
        <v>3237</v>
      </c>
      <c r="B9136" t="s">
        <v>9684</v>
      </c>
      <c r="C9136" t="s">
        <v>10018</v>
      </c>
      <c r="D9136" t="s">
        <v>3251</v>
      </c>
      <c r="E9136" t="s">
        <v>5121</v>
      </c>
      <c r="F9136" t="s">
        <v>5085</v>
      </c>
      <c r="G9136" t="s">
        <v>5085</v>
      </c>
      <c r="H9136" t="s">
        <v>859</v>
      </c>
      <c r="I9136" t="s">
        <v>860</v>
      </c>
      <c r="J9136" t="str">
        <f>"9520558"</f>
        <v>9520558</v>
      </c>
      <c r="K9136">
        <v>2102319507</v>
      </c>
      <c r="L9136">
        <v>2102319507</v>
      </c>
      <c r="M9136" t="s">
        <v>10019</v>
      </c>
      <c r="N9136" t="s">
        <v>5159</v>
      </c>
      <c r="O9136" t="s">
        <v>10020</v>
      </c>
      <c r="P9136">
        <v>13562</v>
      </c>
      <c r="Q9136" t="str">
        <f>"38.050121"</f>
        <v>38.050121</v>
      </c>
      <c r="R9136" t="str">
        <f>"23.732513"</f>
        <v>23.732513</v>
      </c>
      <c r="S9136" t="s">
        <v>26</v>
      </c>
    </row>
    <row r="9137" spans="1:19" x14ac:dyDescent="0.3">
      <c r="A9137" t="s">
        <v>3237</v>
      </c>
      <c r="B9137" t="s">
        <v>9684</v>
      </c>
      <c r="C9137" t="s">
        <v>10023</v>
      </c>
      <c r="D9137" t="s">
        <v>3251</v>
      </c>
      <c r="E9137" t="s">
        <v>5199</v>
      </c>
      <c r="F9137" t="s">
        <v>5200</v>
      </c>
      <c r="G9137" t="s">
        <v>5200</v>
      </c>
      <c r="H9137" t="s">
        <v>859</v>
      </c>
      <c r="I9137" t="s">
        <v>860</v>
      </c>
      <c r="J9137" t="str">
        <f>"9051432"</f>
        <v>9051432</v>
      </c>
      <c r="K9137">
        <v>2105323718</v>
      </c>
      <c r="L9137">
        <v>2105323718</v>
      </c>
      <c r="M9137" t="s">
        <v>10024</v>
      </c>
      <c r="N9137" t="s">
        <v>5203</v>
      </c>
      <c r="O9137" t="s">
        <v>10025</v>
      </c>
      <c r="P9137">
        <v>12462</v>
      </c>
      <c r="Q9137" t="str">
        <f>"38.014872"</f>
        <v>38.014872</v>
      </c>
      <c r="R9137" t="str">
        <f>"23.650046"</f>
        <v>23.650046</v>
      </c>
      <c r="S9137" t="s">
        <v>26</v>
      </c>
    </row>
    <row r="9138" spans="1:19" x14ac:dyDescent="0.3">
      <c r="A9138" t="s">
        <v>3237</v>
      </c>
      <c r="B9138" t="s">
        <v>9684</v>
      </c>
      <c r="C9138" t="s">
        <v>10026</v>
      </c>
      <c r="D9138" t="s">
        <v>3251</v>
      </c>
      <c r="E9138" t="s">
        <v>5199</v>
      </c>
      <c r="F9138" t="s">
        <v>5200</v>
      </c>
      <c r="G9138" t="s">
        <v>5200</v>
      </c>
      <c r="H9138" t="s">
        <v>859</v>
      </c>
      <c r="I9138" t="s">
        <v>860</v>
      </c>
      <c r="J9138" t="str">
        <f>"9051241"</f>
        <v>9051241</v>
      </c>
      <c r="K9138">
        <v>2105820711</v>
      </c>
      <c r="L9138">
        <v>2105820711</v>
      </c>
      <c r="M9138" t="s">
        <v>10027</v>
      </c>
      <c r="N9138" t="s">
        <v>9879</v>
      </c>
      <c r="O9138" t="s">
        <v>10028</v>
      </c>
      <c r="P9138">
        <v>12462</v>
      </c>
      <c r="Q9138" t="str">
        <f>"38.018409"</f>
        <v>38.018409</v>
      </c>
      <c r="R9138" t="str">
        <f>"23.648076"</f>
        <v>23.648076</v>
      </c>
      <c r="S9138" t="s">
        <v>26</v>
      </c>
    </row>
    <row r="9139" spans="1:19" x14ac:dyDescent="0.3">
      <c r="A9139" t="s">
        <v>3237</v>
      </c>
      <c r="B9139" t="s">
        <v>9684</v>
      </c>
      <c r="C9139" t="s">
        <v>10032</v>
      </c>
      <c r="D9139" t="s">
        <v>3251</v>
      </c>
      <c r="E9139" t="s">
        <v>3290</v>
      </c>
      <c r="F9139" t="s">
        <v>3290</v>
      </c>
      <c r="G9139" t="s">
        <v>3290</v>
      </c>
      <c r="H9139" t="s">
        <v>859</v>
      </c>
      <c r="I9139" t="s">
        <v>860</v>
      </c>
      <c r="J9139" t="str">
        <f>"9051518"</f>
        <v>9051518</v>
      </c>
      <c r="K9139">
        <v>2102639314</v>
      </c>
      <c r="L9139">
        <v>2102639314</v>
      </c>
      <c r="M9139" t="s">
        <v>10033</v>
      </c>
      <c r="N9139" t="s">
        <v>5097</v>
      </c>
      <c r="O9139" t="s">
        <v>10034</v>
      </c>
      <c r="P9139">
        <v>13121</v>
      </c>
      <c r="Q9139" t="str">
        <f>"38.029040"</f>
        <v>38.029040</v>
      </c>
      <c r="R9139" t="str">
        <f>"23.706092"</f>
        <v>23.706092</v>
      </c>
      <c r="S9139" t="s">
        <v>26</v>
      </c>
    </row>
    <row r="9140" spans="1:19" x14ac:dyDescent="0.3">
      <c r="A9140" t="s">
        <v>3237</v>
      </c>
      <c r="B9140" t="s">
        <v>9684</v>
      </c>
      <c r="C9140" t="s">
        <v>10035</v>
      </c>
      <c r="D9140" t="s">
        <v>3251</v>
      </c>
      <c r="E9140" t="s">
        <v>3290</v>
      </c>
      <c r="F9140" t="s">
        <v>3290</v>
      </c>
      <c r="G9140" t="s">
        <v>3290</v>
      </c>
      <c r="H9140" t="s">
        <v>859</v>
      </c>
      <c r="I9140" t="s">
        <v>860</v>
      </c>
      <c r="J9140" t="str">
        <f>"9051592"</f>
        <v>9051592</v>
      </c>
      <c r="K9140">
        <v>2102616900</v>
      </c>
      <c r="L9140">
        <v>2102616900</v>
      </c>
      <c r="M9140" t="s">
        <v>10036</v>
      </c>
      <c r="N9140" t="s">
        <v>5097</v>
      </c>
      <c r="O9140" t="s">
        <v>10037</v>
      </c>
      <c r="P9140">
        <v>13122</v>
      </c>
      <c r="Q9140" t="str">
        <f>"38.031854"</f>
        <v>38.031854</v>
      </c>
      <c r="R9140" t="str">
        <f>"23.715142"</f>
        <v>23.715142</v>
      </c>
      <c r="S9140" t="s">
        <v>26</v>
      </c>
    </row>
    <row r="9141" spans="1:19" x14ac:dyDescent="0.3">
      <c r="A9141" t="s">
        <v>3237</v>
      </c>
      <c r="B9141" t="s">
        <v>9684</v>
      </c>
      <c r="C9141" t="s">
        <v>10038</v>
      </c>
      <c r="D9141" t="s">
        <v>3251</v>
      </c>
      <c r="E9141" t="s">
        <v>3290</v>
      </c>
      <c r="F9141" t="s">
        <v>3290</v>
      </c>
      <c r="G9141" t="s">
        <v>3290</v>
      </c>
      <c r="H9141" t="s">
        <v>859</v>
      </c>
      <c r="I9141" t="s">
        <v>860</v>
      </c>
      <c r="J9141" t="str">
        <f>"9051593"</f>
        <v>9051593</v>
      </c>
      <c r="K9141">
        <v>2102624956</v>
      </c>
      <c r="L9141">
        <v>2102624956</v>
      </c>
      <c r="M9141" t="s">
        <v>10039</v>
      </c>
      <c r="N9141" t="s">
        <v>5097</v>
      </c>
      <c r="O9141" t="s">
        <v>10040</v>
      </c>
      <c r="P9141">
        <v>13122</v>
      </c>
      <c r="Q9141" t="str">
        <f>"38.027428"</f>
        <v>38.027428</v>
      </c>
      <c r="R9141" t="str">
        <f>"23.712313"</f>
        <v>23.712313</v>
      </c>
      <c r="S9141" t="s">
        <v>26</v>
      </c>
    </row>
    <row r="9142" spans="1:19" x14ac:dyDescent="0.3">
      <c r="A9142" t="s">
        <v>3237</v>
      </c>
      <c r="B9142" t="s">
        <v>9684</v>
      </c>
      <c r="C9142" t="s">
        <v>10041</v>
      </c>
      <c r="D9142" t="s">
        <v>3251</v>
      </c>
      <c r="E9142" t="s">
        <v>3290</v>
      </c>
      <c r="F9142" t="s">
        <v>3290</v>
      </c>
      <c r="G9142" t="s">
        <v>3290</v>
      </c>
      <c r="H9142" t="s">
        <v>859</v>
      </c>
      <c r="I9142" t="s">
        <v>860</v>
      </c>
      <c r="J9142" t="str">
        <f>"9051638"</f>
        <v>9051638</v>
      </c>
      <c r="K9142">
        <v>2105024740</v>
      </c>
      <c r="L9142">
        <v>2105024740</v>
      </c>
      <c r="M9142" t="s">
        <v>10042</v>
      </c>
      <c r="N9142" t="s">
        <v>5097</v>
      </c>
      <c r="O9142" t="s">
        <v>10043</v>
      </c>
      <c r="P9142">
        <v>13121</v>
      </c>
      <c r="Q9142" t="str">
        <f>"38.031732"</f>
        <v>38.031732</v>
      </c>
      <c r="R9142" t="str">
        <f>"23.686802"</f>
        <v>23.686802</v>
      </c>
      <c r="S9142" t="s">
        <v>26</v>
      </c>
    </row>
    <row r="9143" spans="1:19" x14ac:dyDescent="0.3">
      <c r="A9143" t="s">
        <v>3237</v>
      </c>
      <c r="B9143" t="s">
        <v>9684</v>
      </c>
      <c r="C9143" t="s">
        <v>10044</v>
      </c>
      <c r="D9143" t="s">
        <v>3251</v>
      </c>
      <c r="E9143" t="s">
        <v>3290</v>
      </c>
      <c r="F9143" t="s">
        <v>3290</v>
      </c>
      <c r="G9143" t="s">
        <v>3290</v>
      </c>
      <c r="H9143" t="s">
        <v>859</v>
      </c>
      <c r="I9143" t="s">
        <v>860</v>
      </c>
      <c r="J9143" t="str">
        <f>"9051782"</f>
        <v>9051782</v>
      </c>
      <c r="K9143">
        <v>2105057682</v>
      </c>
      <c r="L9143">
        <v>2105057682</v>
      </c>
      <c r="M9143" t="s">
        <v>10045</v>
      </c>
      <c r="N9143" t="s">
        <v>5097</v>
      </c>
      <c r="O9143" t="s">
        <v>10046</v>
      </c>
      <c r="P9143">
        <v>13123</v>
      </c>
      <c r="Q9143" t="str">
        <f>"38.045211"</f>
        <v>38.045211</v>
      </c>
      <c r="R9143" t="str">
        <f>"23.702586"</f>
        <v>23.702586</v>
      </c>
      <c r="S9143" t="s">
        <v>26</v>
      </c>
    </row>
    <row r="9144" spans="1:19" x14ac:dyDescent="0.3">
      <c r="A9144" t="s">
        <v>3237</v>
      </c>
      <c r="B9144" t="s">
        <v>9684</v>
      </c>
      <c r="C9144" t="s">
        <v>10047</v>
      </c>
      <c r="D9144" t="s">
        <v>3251</v>
      </c>
      <c r="E9144" t="s">
        <v>3290</v>
      </c>
      <c r="F9144" t="s">
        <v>3290</v>
      </c>
      <c r="G9144" t="s">
        <v>3290</v>
      </c>
      <c r="H9144" t="s">
        <v>859</v>
      </c>
      <c r="I9144" t="s">
        <v>860</v>
      </c>
      <c r="J9144" t="str">
        <f>"9051803"</f>
        <v>9051803</v>
      </c>
      <c r="K9144">
        <v>2105057032</v>
      </c>
      <c r="L9144">
        <v>2105057032</v>
      </c>
      <c r="M9144" t="s">
        <v>10048</v>
      </c>
      <c r="N9144" t="s">
        <v>5097</v>
      </c>
      <c r="O9144" t="s">
        <v>10046</v>
      </c>
      <c r="P9144">
        <v>13123</v>
      </c>
      <c r="Q9144" t="str">
        <f>"38.045445"</f>
        <v>38.045445</v>
      </c>
      <c r="R9144" t="str">
        <f>"23.702350"</f>
        <v>23.702350</v>
      </c>
      <c r="S9144" t="s">
        <v>26</v>
      </c>
    </row>
    <row r="9145" spans="1:19" x14ac:dyDescent="0.3">
      <c r="A9145" t="s">
        <v>3237</v>
      </c>
      <c r="B9145" t="s">
        <v>9684</v>
      </c>
      <c r="C9145" t="s">
        <v>10049</v>
      </c>
      <c r="D9145" t="s">
        <v>3251</v>
      </c>
      <c r="E9145" t="s">
        <v>3290</v>
      </c>
      <c r="F9145" t="s">
        <v>3290</v>
      </c>
      <c r="G9145" t="s">
        <v>3290</v>
      </c>
      <c r="H9145" t="s">
        <v>859</v>
      </c>
      <c r="I9145" t="s">
        <v>860</v>
      </c>
      <c r="J9145" t="str">
        <f>"9051807"</f>
        <v>9051807</v>
      </c>
      <c r="K9145">
        <v>2105735501</v>
      </c>
      <c r="M9145" t="s">
        <v>10050</v>
      </c>
      <c r="N9145" t="s">
        <v>5097</v>
      </c>
      <c r="O9145" t="s">
        <v>10051</v>
      </c>
      <c r="P9145">
        <v>13121</v>
      </c>
      <c r="Q9145" t="str">
        <f>"38.030614"</f>
        <v>38.030614</v>
      </c>
      <c r="R9145" t="str">
        <f>"23.694135"</f>
        <v>23.694135</v>
      </c>
      <c r="S9145" t="s">
        <v>26</v>
      </c>
    </row>
    <row r="9146" spans="1:19" x14ac:dyDescent="0.3">
      <c r="A9146" t="s">
        <v>3237</v>
      </c>
      <c r="B9146" t="s">
        <v>9684</v>
      </c>
      <c r="C9146" t="s">
        <v>10064</v>
      </c>
      <c r="D9146" t="s">
        <v>3251</v>
      </c>
      <c r="E9146" t="s">
        <v>5087</v>
      </c>
      <c r="F9146" t="s">
        <v>5087</v>
      </c>
      <c r="G9146" t="s">
        <v>5116</v>
      </c>
      <c r="H9146" t="s">
        <v>859</v>
      </c>
      <c r="I9146" t="s">
        <v>860</v>
      </c>
      <c r="J9146" t="str">
        <f>"9050861"</f>
        <v>9050861</v>
      </c>
      <c r="K9146">
        <v>2105782412</v>
      </c>
      <c r="L9146">
        <v>2105782412</v>
      </c>
      <c r="M9146" t="s">
        <v>10065</v>
      </c>
      <c r="N9146" t="s">
        <v>5102</v>
      </c>
      <c r="O9146" t="s">
        <v>10066</v>
      </c>
      <c r="P9146">
        <v>12132</v>
      </c>
      <c r="Q9146" t="str">
        <f>"38.016655"</f>
        <v>38.016655</v>
      </c>
      <c r="R9146" t="str">
        <f>"23.699476"</f>
        <v>23.699476</v>
      </c>
      <c r="S9146" t="s">
        <v>26</v>
      </c>
    </row>
    <row r="9147" spans="1:19" x14ac:dyDescent="0.3">
      <c r="A9147" t="s">
        <v>3237</v>
      </c>
      <c r="B9147" t="s">
        <v>9684</v>
      </c>
      <c r="C9147" t="s">
        <v>10067</v>
      </c>
      <c r="D9147" t="s">
        <v>3251</v>
      </c>
      <c r="E9147" t="s">
        <v>5087</v>
      </c>
      <c r="F9147" t="s">
        <v>5087</v>
      </c>
      <c r="G9147" t="s">
        <v>5088</v>
      </c>
      <c r="H9147" t="s">
        <v>859</v>
      </c>
      <c r="I9147" t="s">
        <v>860</v>
      </c>
      <c r="J9147" t="str">
        <f>"9050841"</f>
        <v>9050841</v>
      </c>
      <c r="K9147">
        <v>2105750635</v>
      </c>
      <c r="M9147" t="s">
        <v>10068</v>
      </c>
      <c r="N9147" t="s">
        <v>5102</v>
      </c>
      <c r="O9147" t="s">
        <v>10069</v>
      </c>
      <c r="P9147">
        <v>12135</v>
      </c>
      <c r="Q9147" t="str">
        <f>"38.020015"</f>
        <v>38.020015</v>
      </c>
      <c r="R9147" t="str">
        <f>"23.682569"</f>
        <v>23.682569</v>
      </c>
      <c r="S9147" t="s">
        <v>26</v>
      </c>
    </row>
    <row r="9148" spans="1:19" x14ac:dyDescent="0.3">
      <c r="A9148" t="s">
        <v>3237</v>
      </c>
      <c r="B9148" t="s">
        <v>9684</v>
      </c>
      <c r="C9148" t="s">
        <v>10070</v>
      </c>
      <c r="D9148" t="s">
        <v>3251</v>
      </c>
      <c r="E9148" t="s">
        <v>5087</v>
      </c>
      <c r="F9148" t="s">
        <v>5087</v>
      </c>
      <c r="G9148" t="s">
        <v>5099</v>
      </c>
      <c r="H9148" t="s">
        <v>859</v>
      </c>
      <c r="I9148" t="s">
        <v>860</v>
      </c>
      <c r="J9148" t="str">
        <f>"9050859"</f>
        <v>9050859</v>
      </c>
      <c r="K9148">
        <v>2105778340</v>
      </c>
      <c r="L9148">
        <v>2105778340</v>
      </c>
      <c r="M9148" t="s">
        <v>10071</v>
      </c>
      <c r="N9148" t="s">
        <v>5102</v>
      </c>
      <c r="O9148" t="s">
        <v>10072</v>
      </c>
      <c r="P9148">
        <v>12137</v>
      </c>
      <c r="Q9148" t="str">
        <f>"38.020556"</f>
        <v>38.020556</v>
      </c>
      <c r="R9148" t="str">
        <f>"23.676094"</f>
        <v>23.676094</v>
      </c>
      <c r="S9148" t="s">
        <v>26</v>
      </c>
    </row>
    <row r="9149" spans="1:19" x14ac:dyDescent="0.3">
      <c r="A9149" t="s">
        <v>3237</v>
      </c>
      <c r="B9149" t="s">
        <v>9684</v>
      </c>
      <c r="C9149" t="s">
        <v>10087</v>
      </c>
      <c r="D9149" t="s">
        <v>3251</v>
      </c>
      <c r="E9149" t="s">
        <v>3252</v>
      </c>
      <c r="F9149" t="s">
        <v>3252</v>
      </c>
      <c r="G9149" t="s">
        <v>3252</v>
      </c>
      <c r="H9149" t="s">
        <v>859</v>
      </c>
      <c r="I9149" t="s">
        <v>860</v>
      </c>
      <c r="J9149" t="str">
        <f>"9051303"</f>
        <v>9051303</v>
      </c>
      <c r="K9149">
        <v>2105908400</v>
      </c>
      <c r="M9149" t="s">
        <v>10088</v>
      </c>
      <c r="N9149" t="s">
        <v>3252</v>
      </c>
      <c r="O9149" t="s">
        <v>10089</v>
      </c>
      <c r="P9149">
        <v>12243</v>
      </c>
      <c r="Q9149" t="str">
        <f>"38.001065"</f>
        <v>38.001065</v>
      </c>
      <c r="R9149" t="str">
        <f>"23.670447"</f>
        <v>23.670447</v>
      </c>
      <c r="S9149" t="s">
        <v>26</v>
      </c>
    </row>
    <row r="9150" spans="1:19" x14ac:dyDescent="0.3">
      <c r="A9150" t="s">
        <v>3237</v>
      </c>
      <c r="B9150" t="s">
        <v>9684</v>
      </c>
      <c r="C9150" t="s">
        <v>10096</v>
      </c>
      <c r="D9150" t="s">
        <v>3251</v>
      </c>
      <c r="E9150" t="s">
        <v>5087</v>
      </c>
      <c r="F9150" t="s">
        <v>5087</v>
      </c>
      <c r="G9150" t="s">
        <v>5088</v>
      </c>
      <c r="H9150" t="s">
        <v>859</v>
      </c>
      <c r="I9150" t="s">
        <v>860</v>
      </c>
      <c r="J9150" t="str">
        <f>"9050860"</f>
        <v>9050860</v>
      </c>
      <c r="K9150">
        <v>2105781746</v>
      </c>
      <c r="L9150">
        <v>2105781746</v>
      </c>
      <c r="M9150" t="s">
        <v>10097</v>
      </c>
      <c r="N9150" t="s">
        <v>5102</v>
      </c>
      <c r="O9150" t="s">
        <v>10098</v>
      </c>
      <c r="P9150">
        <v>12135</v>
      </c>
      <c r="Q9150" t="str">
        <f>"38.020374"</f>
        <v>38.020374</v>
      </c>
      <c r="R9150" t="str">
        <f>"23.688619"</f>
        <v>23.688619</v>
      </c>
      <c r="S9150" t="s">
        <v>26</v>
      </c>
    </row>
    <row r="9151" spans="1:19" x14ac:dyDescent="0.3">
      <c r="A9151" t="s">
        <v>3237</v>
      </c>
      <c r="B9151" t="s">
        <v>9684</v>
      </c>
      <c r="C9151" t="s">
        <v>10101</v>
      </c>
      <c r="D9151" t="s">
        <v>3251</v>
      </c>
      <c r="E9151" t="s">
        <v>5087</v>
      </c>
      <c r="F9151" t="s">
        <v>5087</v>
      </c>
      <c r="G9151" t="s">
        <v>5088</v>
      </c>
      <c r="H9151" t="s">
        <v>859</v>
      </c>
      <c r="I9151" t="s">
        <v>860</v>
      </c>
      <c r="J9151" t="str">
        <f>"9051053"</f>
        <v>9051053</v>
      </c>
      <c r="K9151">
        <v>2105029988</v>
      </c>
      <c r="M9151" t="s">
        <v>10102</v>
      </c>
      <c r="N9151" t="s">
        <v>5102</v>
      </c>
      <c r="O9151" t="s">
        <v>10103</v>
      </c>
      <c r="P9151">
        <v>12137</v>
      </c>
      <c r="Q9151" t="str">
        <f>"38.030796"</f>
        <v>38.030796</v>
      </c>
      <c r="R9151" t="str">
        <f>"23.671201"</f>
        <v>23.671201</v>
      </c>
      <c r="S9151" t="s">
        <v>26</v>
      </c>
    </row>
    <row r="9152" spans="1:19" x14ac:dyDescent="0.3">
      <c r="A9152" t="s">
        <v>3237</v>
      </c>
      <c r="B9152" t="s">
        <v>9684</v>
      </c>
      <c r="C9152" t="s">
        <v>10104</v>
      </c>
      <c r="D9152" t="s">
        <v>3251</v>
      </c>
      <c r="E9152" t="s">
        <v>3290</v>
      </c>
      <c r="F9152" t="s">
        <v>3290</v>
      </c>
      <c r="G9152" t="s">
        <v>3290</v>
      </c>
      <c r="H9152" t="s">
        <v>859</v>
      </c>
      <c r="I9152" t="s">
        <v>860</v>
      </c>
      <c r="J9152" t="str">
        <f>"9051591"</f>
        <v>9051591</v>
      </c>
      <c r="K9152">
        <v>2102615644</v>
      </c>
      <c r="L9152">
        <v>2102615644</v>
      </c>
      <c r="M9152" t="s">
        <v>10105</v>
      </c>
      <c r="N9152" t="s">
        <v>5097</v>
      </c>
      <c r="O9152" t="s">
        <v>10106</v>
      </c>
      <c r="P9152">
        <v>13121</v>
      </c>
      <c r="Q9152" t="str">
        <f>"38.023872"</f>
        <v>38.023872</v>
      </c>
      <c r="R9152" t="str">
        <f>"23.702530"</f>
        <v>23.702530</v>
      </c>
      <c r="S9152" t="s">
        <v>26</v>
      </c>
    </row>
    <row r="9153" spans="1:19" x14ac:dyDescent="0.3">
      <c r="A9153" t="s">
        <v>3237</v>
      </c>
      <c r="B9153" t="s">
        <v>9684</v>
      </c>
      <c r="C9153" t="s">
        <v>10107</v>
      </c>
      <c r="D9153" t="s">
        <v>3251</v>
      </c>
      <c r="E9153" t="s">
        <v>5199</v>
      </c>
      <c r="F9153" t="s">
        <v>5200</v>
      </c>
      <c r="G9153" t="s">
        <v>5200</v>
      </c>
      <c r="H9153" t="s">
        <v>859</v>
      </c>
      <c r="I9153" t="s">
        <v>860</v>
      </c>
      <c r="J9153" t="str">
        <f>"9051829"</f>
        <v>9051829</v>
      </c>
      <c r="K9153">
        <v>2105315587</v>
      </c>
      <c r="L9153">
        <v>2105315587</v>
      </c>
      <c r="M9153" t="s">
        <v>10108</v>
      </c>
      <c r="N9153" t="s">
        <v>9879</v>
      </c>
      <c r="O9153" t="s">
        <v>10109</v>
      </c>
      <c r="P9153">
        <v>12461</v>
      </c>
      <c r="Q9153" t="str">
        <f>"38.007843"</f>
        <v>38.007843</v>
      </c>
      <c r="R9153" t="str">
        <f>"23.666984"</f>
        <v>23.666984</v>
      </c>
      <c r="S9153" t="s">
        <v>26</v>
      </c>
    </row>
    <row r="9154" spans="1:19" x14ac:dyDescent="0.3">
      <c r="A9154" t="s">
        <v>3237</v>
      </c>
      <c r="B9154" t="s">
        <v>9684</v>
      </c>
      <c r="C9154" t="s">
        <v>10110</v>
      </c>
      <c r="D9154" t="s">
        <v>3251</v>
      </c>
      <c r="E9154" t="s">
        <v>3290</v>
      </c>
      <c r="F9154" t="s">
        <v>3290</v>
      </c>
      <c r="G9154" t="s">
        <v>3290</v>
      </c>
      <c r="H9154" t="s">
        <v>859</v>
      </c>
      <c r="I9154" t="s">
        <v>860</v>
      </c>
      <c r="J9154" t="str">
        <f>"9051917"</f>
        <v>9051917</v>
      </c>
      <c r="K9154">
        <v>2102613953</v>
      </c>
      <c r="L9154">
        <v>2102613953</v>
      </c>
      <c r="M9154" t="s">
        <v>10111</v>
      </c>
      <c r="N9154" t="s">
        <v>5097</v>
      </c>
      <c r="O9154" t="s">
        <v>10112</v>
      </c>
      <c r="P9154">
        <v>13122</v>
      </c>
      <c r="Q9154" t="str">
        <f>"38.038222"</f>
        <v>38.038222</v>
      </c>
      <c r="R9154" t="str">
        <f>"23.706859"</f>
        <v>23.706859</v>
      </c>
      <c r="S9154" t="s">
        <v>26</v>
      </c>
    </row>
    <row r="9155" spans="1:19" x14ac:dyDescent="0.3">
      <c r="A9155" t="s">
        <v>3237</v>
      </c>
      <c r="B9155" t="s">
        <v>9684</v>
      </c>
      <c r="C9155" t="s">
        <v>10113</v>
      </c>
      <c r="D9155" t="s">
        <v>3251</v>
      </c>
      <c r="E9155" t="s">
        <v>5087</v>
      </c>
      <c r="F9155" t="s">
        <v>5087</v>
      </c>
      <c r="G9155" t="s">
        <v>5099</v>
      </c>
      <c r="H9155" t="s">
        <v>859</v>
      </c>
      <c r="I9155" t="s">
        <v>860</v>
      </c>
      <c r="J9155" t="str">
        <f>"9051057"</f>
        <v>9051057</v>
      </c>
      <c r="K9155">
        <v>2105778340</v>
      </c>
      <c r="L9155">
        <v>2105778340</v>
      </c>
      <c r="M9155" t="s">
        <v>10114</v>
      </c>
      <c r="N9155" t="s">
        <v>5102</v>
      </c>
      <c r="O9155" t="s">
        <v>10072</v>
      </c>
      <c r="P9155">
        <v>12137</v>
      </c>
      <c r="Q9155" t="str">
        <f>"38.020556"</f>
        <v>38.020556</v>
      </c>
      <c r="R9155" t="str">
        <f>"23.676094"</f>
        <v>23.676094</v>
      </c>
      <c r="S9155" t="s">
        <v>26</v>
      </c>
    </row>
    <row r="9156" spans="1:19" x14ac:dyDescent="0.3">
      <c r="A9156" t="s">
        <v>3237</v>
      </c>
      <c r="B9156" t="s">
        <v>9684</v>
      </c>
      <c r="C9156" t="s">
        <v>10121</v>
      </c>
      <c r="D9156" t="s">
        <v>3251</v>
      </c>
      <c r="E9156" t="s">
        <v>3290</v>
      </c>
      <c r="F9156" t="s">
        <v>3290</v>
      </c>
      <c r="G9156" t="s">
        <v>3290</v>
      </c>
      <c r="H9156" t="s">
        <v>859</v>
      </c>
      <c r="I9156" t="s">
        <v>860</v>
      </c>
      <c r="J9156" t="str">
        <f>"9520730"</f>
        <v>9520730</v>
      </c>
      <c r="K9156">
        <v>2102690073</v>
      </c>
      <c r="M9156" t="s">
        <v>10122</v>
      </c>
      <c r="N9156" t="s">
        <v>5097</v>
      </c>
      <c r="O9156" t="s">
        <v>9974</v>
      </c>
      <c r="P9156">
        <v>13123</v>
      </c>
      <c r="Q9156" t="str">
        <f>"38.033465"</f>
        <v>38.033465</v>
      </c>
      <c r="R9156" t="str">
        <f>"23.698815"</f>
        <v>23.698815</v>
      </c>
      <c r="S9156" t="s">
        <v>26</v>
      </c>
    </row>
    <row r="9157" spans="1:19" x14ac:dyDescent="0.3">
      <c r="A9157" t="s">
        <v>3237</v>
      </c>
      <c r="B9157" t="s">
        <v>9684</v>
      </c>
      <c r="C9157" t="s">
        <v>10123</v>
      </c>
      <c r="D9157" t="s">
        <v>3251</v>
      </c>
      <c r="E9157" t="s">
        <v>5087</v>
      </c>
      <c r="F9157" t="s">
        <v>5087</v>
      </c>
      <c r="G9157" t="s">
        <v>5116</v>
      </c>
      <c r="H9157" t="s">
        <v>859</v>
      </c>
      <c r="I9157" t="s">
        <v>860</v>
      </c>
      <c r="J9157" t="str">
        <f>"9051226"</f>
        <v>9051226</v>
      </c>
      <c r="K9157">
        <v>2105754400</v>
      </c>
      <c r="L9157">
        <v>2105754400</v>
      </c>
      <c r="M9157" t="s">
        <v>10124</v>
      </c>
      <c r="N9157" t="s">
        <v>5102</v>
      </c>
      <c r="O9157" t="s">
        <v>10125</v>
      </c>
      <c r="P9157">
        <v>12132</v>
      </c>
      <c r="Q9157" t="str">
        <f>"38.007198"</f>
        <v>38.007198</v>
      </c>
      <c r="R9157" t="str">
        <f>"23.699217"</f>
        <v>23.699217</v>
      </c>
      <c r="S9157" t="s">
        <v>26</v>
      </c>
    </row>
    <row r="9158" spans="1:19" x14ac:dyDescent="0.3">
      <c r="A9158" t="s">
        <v>3237</v>
      </c>
      <c r="B9158" t="s">
        <v>9684</v>
      </c>
      <c r="C9158" t="s">
        <v>10126</v>
      </c>
      <c r="D9158" t="s">
        <v>3251</v>
      </c>
      <c r="E9158" t="s">
        <v>5087</v>
      </c>
      <c r="F9158" t="s">
        <v>5087</v>
      </c>
      <c r="G9158" t="s">
        <v>5088</v>
      </c>
      <c r="H9158" t="s">
        <v>859</v>
      </c>
      <c r="I9158" t="s">
        <v>860</v>
      </c>
      <c r="J9158" t="str">
        <f>"9051232"</f>
        <v>9051232</v>
      </c>
      <c r="K9158">
        <v>2105778329</v>
      </c>
      <c r="L9158">
        <v>2105778329</v>
      </c>
      <c r="M9158" t="s">
        <v>10127</v>
      </c>
      <c r="N9158" t="s">
        <v>5102</v>
      </c>
      <c r="O9158" t="s">
        <v>10128</v>
      </c>
      <c r="P9158">
        <v>12135</v>
      </c>
      <c r="Q9158" t="str">
        <f>"38.020583"</f>
        <v>38.020583</v>
      </c>
      <c r="R9158" t="str">
        <f>"23.688131"</f>
        <v>23.688131</v>
      </c>
      <c r="S9158" t="s">
        <v>26</v>
      </c>
    </row>
    <row r="9159" spans="1:19" x14ac:dyDescent="0.3">
      <c r="A9159" t="s">
        <v>3237</v>
      </c>
      <c r="B9159" t="s">
        <v>9684</v>
      </c>
      <c r="C9159" t="s">
        <v>10129</v>
      </c>
      <c r="D9159" t="s">
        <v>3251</v>
      </c>
      <c r="E9159" t="s">
        <v>5199</v>
      </c>
      <c r="F9159" t="s">
        <v>5200</v>
      </c>
      <c r="G9159" t="s">
        <v>5200</v>
      </c>
      <c r="H9159" t="s">
        <v>859</v>
      </c>
      <c r="I9159" t="s">
        <v>860</v>
      </c>
      <c r="J9159" t="str">
        <f>"9051314"</f>
        <v>9051314</v>
      </c>
      <c r="K9159">
        <v>2105323585</v>
      </c>
      <c r="L9159">
        <v>2105323585</v>
      </c>
      <c r="M9159" t="s">
        <v>10130</v>
      </c>
      <c r="N9159" t="s">
        <v>9879</v>
      </c>
      <c r="O9159" t="s">
        <v>3550</v>
      </c>
      <c r="P9159">
        <v>12461</v>
      </c>
      <c r="Q9159" t="str">
        <f>"38.009697"</f>
        <v>38.009697</v>
      </c>
      <c r="R9159" t="str">
        <f>"23.663558"</f>
        <v>23.663558</v>
      </c>
      <c r="S9159" t="s">
        <v>26</v>
      </c>
    </row>
    <row r="9160" spans="1:19" x14ac:dyDescent="0.3">
      <c r="A9160" t="s">
        <v>3237</v>
      </c>
      <c r="B9160" t="s">
        <v>9684</v>
      </c>
      <c r="C9160" t="s">
        <v>10131</v>
      </c>
      <c r="D9160" t="s">
        <v>3251</v>
      </c>
      <c r="E9160" t="s">
        <v>3290</v>
      </c>
      <c r="F9160" t="s">
        <v>3290</v>
      </c>
      <c r="G9160" t="s">
        <v>3290</v>
      </c>
      <c r="H9160" t="s">
        <v>859</v>
      </c>
      <c r="I9160" t="s">
        <v>860</v>
      </c>
      <c r="J9160" t="str">
        <f>"9050434"</f>
        <v>9050434</v>
      </c>
      <c r="K9160">
        <v>2102615686</v>
      </c>
      <c r="L9160">
        <v>2102615686</v>
      </c>
      <c r="M9160" t="s">
        <v>10132</v>
      </c>
      <c r="N9160" t="s">
        <v>5097</v>
      </c>
      <c r="O9160" t="s">
        <v>10133</v>
      </c>
      <c r="P9160">
        <v>13122</v>
      </c>
      <c r="Q9160" t="str">
        <f>"38.034404"</f>
        <v>38.034404</v>
      </c>
      <c r="R9160" t="str">
        <f>"23.709752"</f>
        <v>23.709752</v>
      </c>
      <c r="S9160" t="s">
        <v>26</v>
      </c>
    </row>
    <row r="9161" spans="1:19" x14ac:dyDescent="0.3">
      <c r="A9161" t="s">
        <v>3237</v>
      </c>
      <c r="B9161" t="s">
        <v>9684</v>
      </c>
      <c r="C9161" t="s">
        <v>10134</v>
      </c>
      <c r="D9161" t="s">
        <v>3251</v>
      </c>
      <c r="E9161" t="s">
        <v>5087</v>
      </c>
      <c r="F9161" t="s">
        <v>5087</v>
      </c>
      <c r="G9161" t="s">
        <v>5088</v>
      </c>
      <c r="H9161" t="s">
        <v>859</v>
      </c>
      <c r="I9161" t="s">
        <v>860</v>
      </c>
      <c r="J9161" t="str">
        <f>"9051511"</f>
        <v>9051511</v>
      </c>
      <c r="K9161">
        <v>2105736040</v>
      </c>
      <c r="L9161">
        <v>2105736040</v>
      </c>
      <c r="M9161" t="s">
        <v>10135</v>
      </c>
      <c r="N9161" t="s">
        <v>5102</v>
      </c>
      <c r="O9161" t="s">
        <v>10136</v>
      </c>
      <c r="P9161">
        <v>12137</v>
      </c>
      <c r="Q9161" t="str">
        <f>"38.025425"</f>
        <v>38.025425</v>
      </c>
      <c r="R9161" t="str">
        <f>"23.672168"</f>
        <v>23.672168</v>
      </c>
      <c r="S9161" t="s">
        <v>26</v>
      </c>
    </row>
    <row r="9162" spans="1:19" x14ac:dyDescent="0.3">
      <c r="A9162" t="s">
        <v>3237</v>
      </c>
      <c r="B9162" t="s">
        <v>9684</v>
      </c>
      <c r="C9162" t="s">
        <v>10137</v>
      </c>
      <c r="D9162" t="s">
        <v>3251</v>
      </c>
      <c r="E9162" t="s">
        <v>5087</v>
      </c>
      <c r="F9162" t="s">
        <v>5087</v>
      </c>
      <c r="G9162" t="s">
        <v>5281</v>
      </c>
      <c r="H9162" t="s">
        <v>859</v>
      </c>
      <c r="I9162" t="s">
        <v>860</v>
      </c>
      <c r="J9162" t="str">
        <f>"9051051"</f>
        <v>9051051</v>
      </c>
      <c r="K9162">
        <v>2105737078</v>
      </c>
      <c r="M9162" t="s">
        <v>10138</v>
      </c>
      <c r="N9162" t="s">
        <v>5102</v>
      </c>
      <c r="O9162" t="s">
        <v>10139</v>
      </c>
      <c r="P9162">
        <v>12131</v>
      </c>
      <c r="Q9162" t="str">
        <f>"38.002482"</f>
        <v>38.002482</v>
      </c>
      <c r="R9162" t="str">
        <f>"23.695178"</f>
        <v>23.695178</v>
      </c>
      <c r="S9162" t="s">
        <v>26</v>
      </c>
    </row>
    <row r="9163" spans="1:19" x14ac:dyDescent="0.3">
      <c r="A9163" t="s">
        <v>3237</v>
      </c>
      <c r="B9163" t="s">
        <v>9684</v>
      </c>
      <c r="C9163" t="s">
        <v>10140</v>
      </c>
      <c r="D9163" t="s">
        <v>3251</v>
      </c>
      <c r="E9163" t="s">
        <v>5199</v>
      </c>
      <c r="F9163" t="s">
        <v>5200</v>
      </c>
      <c r="G9163" t="s">
        <v>5200</v>
      </c>
      <c r="H9163" t="s">
        <v>859</v>
      </c>
      <c r="I9163" t="s">
        <v>860</v>
      </c>
      <c r="J9163" t="str">
        <f>"9051460"</f>
        <v>9051460</v>
      </c>
      <c r="K9163">
        <v>2105322177</v>
      </c>
      <c r="M9163" t="s">
        <v>10141</v>
      </c>
      <c r="N9163" t="s">
        <v>5203</v>
      </c>
      <c r="O9163" t="s">
        <v>10095</v>
      </c>
      <c r="P9163">
        <v>12462</v>
      </c>
      <c r="Q9163" t="str">
        <f>"38.015907"</f>
        <v>38.015907</v>
      </c>
      <c r="R9163" t="str">
        <f>"23.634001"</f>
        <v>23.634001</v>
      </c>
      <c r="S9163" t="s">
        <v>26</v>
      </c>
    </row>
    <row r="9164" spans="1:19" x14ac:dyDescent="0.3">
      <c r="A9164" t="s">
        <v>3237</v>
      </c>
      <c r="B9164" t="s">
        <v>9684</v>
      </c>
      <c r="C9164" t="s">
        <v>10142</v>
      </c>
      <c r="D9164" t="s">
        <v>3251</v>
      </c>
      <c r="E9164" t="s">
        <v>5121</v>
      </c>
      <c r="F9164" t="s">
        <v>5127</v>
      </c>
      <c r="G9164" t="s">
        <v>5127</v>
      </c>
      <c r="H9164" t="s">
        <v>859</v>
      </c>
      <c r="I9164" t="s">
        <v>860</v>
      </c>
      <c r="J9164" t="str">
        <f>"9050258"</f>
        <v>9050258</v>
      </c>
      <c r="K9164">
        <v>2102385710</v>
      </c>
      <c r="L9164">
        <v>2102385710</v>
      </c>
      <c r="M9164" t="s">
        <v>10143</v>
      </c>
      <c r="N9164" t="s">
        <v>5130</v>
      </c>
      <c r="O9164" t="s">
        <v>10144</v>
      </c>
      <c r="P9164">
        <v>13451</v>
      </c>
      <c r="Q9164" t="str">
        <f>"38.060769"</f>
        <v>38.060769</v>
      </c>
      <c r="R9164" t="str">
        <f>"23.712587"</f>
        <v>23.712587</v>
      </c>
      <c r="S9164" t="s">
        <v>26</v>
      </c>
    </row>
    <row r="9165" spans="1:19" x14ac:dyDescent="0.3">
      <c r="A9165" t="s">
        <v>3237</v>
      </c>
      <c r="B9165" t="s">
        <v>9684</v>
      </c>
      <c r="C9165" t="s">
        <v>10145</v>
      </c>
      <c r="D9165" t="s">
        <v>3251</v>
      </c>
      <c r="E9165" t="s">
        <v>5121</v>
      </c>
      <c r="F9165" t="s">
        <v>5127</v>
      </c>
      <c r="G9165" t="s">
        <v>5127</v>
      </c>
      <c r="H9165" t="s">
        <v>859</v>
      </c>
      <c r="I9165" t="s">
        <v>860</v>
      </c>
      <c r="J9165" t="str">
        <f>"9050794"</f>
        <v>9050794</v>
      </c>
      <c r="K9165">
        <v>2102322655</v>
      </c>
      <c r="L9165">
        <v>2102322655</v>
      </c>
      <c r="M9165" t="s">
        <v>10146</v>
      </c>
      <c r="N9165" t="s">
        <v>5130</v>
      </c>
      <c r="O9165" t="s">
        <v>10147</v>
      </c>
      <c r="P9165">
        <v>13451</v>
      </c>
      <c r="Q9165" t="str">
        <f>"38.061933"</f>
        <v>38.061933</v>
      </c>
      <c r="R9165" t="str">
        <f>"23.706953"</f>
        <v>23.706953</v>
      </c>
      <c r="S9165" t="s">
        <v>26</v>
      </c>
    </row>
    <row r="9166" spans="1:19" x14ac:dyDescent="0.3">
      <c r="A9166" t="s">
        <v>3237</v>
      </c>
      <c r="B9166" t="s">
        <v>9684</v>
      </c>
      <c r="C9166" t="s">
        <v>10148</v>
      </c>
      <c r="D9166" t="s">
        <v>3251</v>
      </c>
      <c r="E9166" t="s">
        <v>5087</v>
      </c>
      <c r="F9166" t="s">
        <v>5087</v>
      </c>
      <c r="G9166" t="s">
        <v>5281</v>
      </c>
      <c r="H9166" t="s">
        <v>859</v>
      </c>
      <c r="I9166" t="s">
        <v>860</v>
      </c>
      <c r="J9166" t="str">
        <f>"9050840"</f>
        <v>9050840</v>
      </c>
      <c r="K9166">
        <v>2105737078</v>
      </c>
      <c r="M9166" t="s">
        <v>10149</v>
      </c>
      <c r="N9166" t="s">
        <v>5102</v>
      </c>
      <c r="O9166" t="s">
        <v>10139</v>
      </c>
      <c r="P9166">
        <v>12131</v>
      </c>
      <c r="Q9166" t="str">
        <f>"38.002420"</f>
        <v>38.002420</v>
      </c>
      <c r="R9166" t="str">
        <f>"23.695285"</f>
        <v>23.695285</v>
      </c>
      <c r="S9166" t="s">
        <v>26</v>
      </c>
    </row>
    <row r="9167" spans="1:19" x14ac:dyDescent="0.3">
      <c r="A9167" t="s">
        <v>3237</v>
      </c>
      <c r="B9167" t="s">
        <v>9684</v>
      </c>
      <c r="C9167" t="s">
        <v>10150</v>
      </c>
      <c r="D9167" t="s">
        <v>3251</v>
      </c>
      <c r="E9167" t="s">
        <v>5087</v>
      </c>
      <c r="F9167" t="s">
        <v>5087</v>
      </c>
      <c r="G9167" t="s">
        <v>5088</v>
      </c>
      <c r="H9167" t="s">
        <v>859</v>
      </c>
      <c r="I9167" t="s">
        <v>860</v>
      </c>
      <c r="J9167" t="str">
        <f>"9051233"</f>
        <v>9051233</v>
      </c>
      <c r="K9167">
        <v>2105778329</v>
      </c>
      <c r="L9167">
        <v>2105778329</v>
      </c>
      <c r="M9167" t="s">
        <v>10151</v>
      </c>
      <c r="N9167" t="s">
        <v>5102</v>
      </c>
      <c r="O9167" t="s">
        <v>10128</v>
      </c>
      <c r="P9167">
        <v>12135</v>
      </c>
      <c r="Q9167" t="str">
        <f>"38.020578"</f>
        <v>38.020578</v>
      </c>
      <c r="R9167" t="str">
        <f>"23.688134"</f>
        <v>23.688134</v>
      </c>
      <c r="S9167" t="s">
        <v>26</v>
      </c>
    </row>
    <row r="9168" spans="1:19" x14ac:dyDescent="0.3">
      <c r="A9168" t="s">
        <v>3237</v>
      </c>
      <c r="B9168" t="s">
        <v>9684</v>
      </c>
      <c r="C9168" t="s">
        <v>10152</v>
      </c>
      <c r="D9168" t="s">
        <v>3251</v>
      </c>
      <c r="E9168" t="s">
        <v>5121</v>
      </c>
      <c r="F9168" t="s">
        <v>5127</v>
      </c>
      <c r="G9168" t="s">
        <v>5127</v>
      </c>
      <c r="H9168" t="s">
        <v>859</v>
      </c>
      <c r="I9168" t="s">
        <v>860</v>
      </c>
      <c r="J9168" t="str">
        <f>"9051068"</f>
        <v>9051068</v>
      </c>
      <c r="K9168">
        <v>2105069377</v>
      </c>
      <c r="L9168">
        <v>2105069377</v>
      </c>
      <c r="M9168" t="s">
        <v>10153</v>
      </c>
      <c r="N9168" t="s">
        <v>5130</v>
      </c>
      <c r="O9168" t="s">
        <v>10154</v>
      </c>
      <c r="P9168">
        <v>13451</v>
      </c>
      <c r="Q9168" t="str">
        <f>"38.051784"</f>
        <v>38.051784</v>
      </c>
      <c r="R9168" t="str">
        <f>"23.694702"</f>
        <v>23.694702</v>
      </c>
      <c r="S9168" t="s">
        <v>26</v>
      </c>
    </row>
    <row r="9169" spans="1:19" x14ac:dyDescent="0.3">
      <c r="A9169" t="s">
        <v>3237</v>
      </c>
      <c r="B9169" t="s">
        <v>9684</v>
      </c>
      <c r="C9169" t="s">
        <v>10155</v>
      </c>
      <c r="D9169" t="s">
        <v>3251</v>
      </c>
      <c r="E9169" t="s">
        <v>5171</v>
      </c>
      <c r="F9169" t="s">
        <v>5171</v>
      </c>
      <c r="G9169" t="s">
        <v>5171</v>
      </c>
      <c r="H9169" t="s">
        <v>859</v>
      </c>
      <c r="I9169" t="s">
        <v>860</v>
      </c>
      <c r="J9169" t="str">
        <f>"9050869"</f>
        <v>9050869</v>
      </c>
      <c r="K9169">
        <v>2105050455</v>
      </c>
      <c r="L9169">
        <v>2105050455</v>
      </c>
      <c r="M9169" t="s">
        <v>10156</v>
      </c>
      <c r="N9169" t="s">
        <v>5340</v>
      </c>
      <c r="O9169" t="s">
        <v>10157</v>
      </c>
      <c r="P9169">
        <v>13232</v>
      </c>
      <c r="Q9169" t="str">
        <f>"38.044105"</f>
        <v>38.044105</v>
      </c>
      <c r="R9169" t="str">
        <f>"23.692293"</f>
        <v>23.692293</v>
      </c>
      <c r="S9169" t="s">
        <v>26</v>
      </c>
    </row>
    <row r="9170" spans="1:19" x14ac:dyDescent="0.3">
      <c r="A9170" t="s">
        <v>3237</v>
      </c>
      <c r="B9170" t="s">
        <v>9684</v>
      </c>
      <c r="C9170" t="s">
        <v>10158</v>
      </c>
      <c r="D9170" t="s">
        <v>3251</v>
      </c>
      <c r="E9170" t="s">
        <v>5199</v>
      </c>
      <c r="F9170" t="s">
        <v>5200</v>
      </c>
      <c r="G9170" t="s">
        <v>5200</v>
      </c>
      <c r="H9170" t="s">
        <v>859</v>
      </c>
      <c r="I9170" t="s">
        <v>860</v>
      </c>
      <c r="J9170" t="str">
        <f>"9520642"</f>
        <v>9520642</v>
      </c>
      <c r="K9170">
        <v>2105322182</v>
      </c>
      <c r="L9170">
        <v>2105322182</v>
      </c>
      <c r="M9170" t="s">
        <v>10159</v>
      </c>
      <c r="N9170" t="s">
        <v>9879</v>
      </c>
      <c r="O9170" t="s">
        <v>10160</v>
      </c>
      <c r="P9170">
        <v>12461</v>
      </c>
      <c r="Q9170" t="str">
        <f>"38.016928"</f>
        <v>38.016928</v>
      </c>
      <c r="R9170" t="str">
        <f>"23.669227"</f>
        <v>23.669227</v>
      </c>
      <c r="S9170" t="s">
        <v>26</v>
      </c>
    </row>
    <row r="9171" spans="1:19" x14ac:dyDescent="0.3">
      <c r="A9171" t="s">
        <v>3237</v>
      </c>
      <c r="B9171" t="s">
        <v>9684</v>
      </c>
      <c r="C9171" t="s">
        <v>10161</v>
      </c>
      <c r="D9171" t="s">
        <v>3251</v>
      </c>
      <c r="E9171" t="s">
        <v>5162</v>
      </c>
      <c r="F9171" t="s">
        <v>5162</v>
      </c>
      <c r="G9171" t="s">
        <v>5162</v>
      </c>
      <c r="H9171" t="s">
        <v>859</v>
      </c>
      <c r="I9171" t="s">
        <v>860</v>
      </c>
      <c r="J9171" t="str">
        <f>"9051632"</f>
        <v>9051632</v>
      </c>
      <c r="K9171">
        <v>2105616302</v>
      </c>
      <c r="L9171">
        <v>2105616302</v>
      </c>
      <c r="M9171" t="s">
        <v>10162</v>
      </c>
      <c r="N9171" t="s">
        <v>5165</v>
      </c>
      <c r="O9171" t="s">
        <v>5420</v>
      </c>
      <c r="P9171">
        <v>12351</v>
      </c>
      <c r="Q9171" t="str">
        <f>"37.994412"</f>
        <v>37.994412</v>
      </c>
      <c r="R9171" t="str">
        <f>"23.662828"</f>
        <v>23.662828</v>
      </c>
      <c r="S9171" t="s">
        <v>26</v>
      </c>
    </row>
    <row r="9172" spans="1:19" x14ac:dyDescent="0.3">
      <c r="A9172" t="s">
        <v>3237</v>
      </c>
      <c r="B9172" t="s">
        <v>9684</v>
      </c>
      <c r="C9172" t="s">
        <v>10166</v>
      </c>
      <c r="D9172" t="s">
        <v>3251</v>
      </c>
      <c r="E9172" t="s">
        <v>5199</v>
      </c>
      <c r="F9172" t="s">
        <v>5200</v>
      </c>
      <c r="G9172" t="s">
        <v>5200</v>
      </c>
      <c r="H9172" t="s">
        <v>859</v>
      </c>
      <c r="I9172" t="s">
        <v>860</v>
      </c>
      <c r="J9172" t="str">
        <f>"9050762"</f>
        <v>9050762</v>
      </c>
      <c r="K9172">
        <v>2105819911</v>
      </c>
      <c r="L9172">
        <v>2105325688</v>
      </c>
      <c r="M9172" t="s">
        <v>10167</v>
      </c>
      <c r="N9172" t="s">
        <v>9879</v>
      </c>
      <c r="O9172" t="s">
        <v>10168</v>
      </c>
      <c r="P9172">
        <v>12462</v>
      </c>
      <c r="Q9172" t="str">
        <f>"38.018210"</f>
        <v>38.018210</v>
      </c>
      <c r="R9172" t="str">
        <f>"23.654470"</f>
        <v>23.654470</v>
      </c>
      <c r="S9172" t="s">
        <v>26</v>
      </c>
    </row>
    <row r="9173" spans="1:19" x14ac:dyDescent="0.3">
      <c r="A9173" t="s">
        <v>3237</v>
      </c>
      <c r="B9173" t="s">
        <v>9684</v>
      </c>
      <c r="C9173" t="s">
        <v>10171</v>
      </c>
      <c r="D9173" t="s">
        <v>3251</v>
      </c>
      <c r="E9173" t="s">
        <v>5121</v>
      </c>
      <c r="F9173" t="s">
        <v>5127</v>
      </c>
      <c r="G9173" t="s">
        <v>5127</v>
      </c>
      <c r="H9173" t="s">
        <v>859</v>
      </c>
      <c r="I9173" t="s">
        <v>860</v>
      </c>
      <c r="J9173" t="str">
        <f>"9051240"</f>
        <v>9051240</v>
      </c>
      <c r="K9173">
        <v>2102311716</v>
      </c>
      <c r="L9173">
        <v>2102311716</v>
      </c>
      <c r="M9173" t="s">
        <v>10172</v>
      </c>
      <c r="N9173" t="s">
        <v>5130</v>
      </c>
      <c r="O9173" t="s">
        <v>10173</v>
      </c>
      <c r="P9173">
        <v>13451</v>
      </c>
      <c r="Q9173" t="str">
        <f>"38.052891"</f>
        <v>38.052891</v>
      </c>
      <c r="R9173" t="str">
        <f>"23.709911"</f>
        <v>23.709911</v>
      </c>
      <c r="S9173" t="s">
        <v>26</v>
      </c>
    </row>
    <row r="9174" spans="1:19" x14ac:dyDescent="0.3">
      <c r="A9174" t="s">
        <v>3237</v>
      </c>
      <c r="B9174" t="s">
        <v>9684</v>
      </c>
      <c r="C9174" t="s">
        <v>10174</v>
      </c>
      <c r="D9174" t="s">
        <v>3251</v>
      </c>
      <c r="E9174" t="s">
        <v>5087</v>
      </c>
      <c r="F9174" t="s">
        <v>5087</v>
      </c>
      <c r="G9174" t="s">
        <v>5088</v>
      </c>
      <c r="H9174" t="s">
        <v>859</v>
      </c>
      <c r="I9174" t="s">
        <v>860</v>
      </c>
      <c r="J9174" t="str">
        <f>"9051234"</f>
        <v>9051234</v>
      </c>
      <c r="K9174">
        <v>2105757888</v>
      </c>
      <c r="L9174">
        <v>2105757888</v>
      </c>
      <c r="M9174" t="s">
        <v>10175</v>
      </c>
      <c r="N9174" t="s">
        <v>5102</v>
      </c>
      <c r="O9174" t="s">
        <v>10176</v>
      </c>
      <c r="P9174">
        <v>12135</v>
      </c>
      <c r="Q9174" t="str">
        <f>"38.020032"</f>
        <v>38.020032</v>
      </c>
      <c r="R9174" t="str">
        <f>"23.682715"</f>
        <v>23.682715</v>
      </c>
      <c r="S9174" t="s">
        <v>26</v>
      </c>
    </row>
    <row r="9175" spans="1:19" x14ac:dyDescent="0.3">
      <c r="A9175" t="s">
        <v>3237</v>
      </c>
      <c r="B9175" t="s">
        <v>9684</v>
      </c>
      <c r="C9175" t="s">
        <v>10177</v>
      </c>
      <c r="D9175" t="s">
        <v>3251</v>
      </c>
      <c r="E9175" t="s">
        <v>5121</v>
      </c>
      <c r="F9175" t="s">
        <v>5127</v>
      </c>
      <c r="G9175" t="s">
        <v>5127</v>
      </c>
      <c r="H9175" t="s">
        <v>859</v>
      </c>
      <c r="I9175" t="s">
        <v>860</v>
      </c>
      <c r="J9175" t="str">
        <f>"9051309"</f>
        <v>9051309</v>
      </c>
      <c r="K9175">
        <v>2102387990</v>
      </c>
      <c r="L9175">
        <v>2102387990</v>
      </c>
      <c r="M9175" t="s">
        <v>10178</v>
      </c>
      <c r="N9175" t="s">
        <v>5130</v>
      </c>
      <c r="O9175" t="s">
        <v>10179</v>
      </c>
      <c r="P9175">
        <v>13451</v>
      </c>
      <c r="Q9175" t="str">
        <f>"38.058681"</f>
        <v>38.058681</v>
      </c>
      <c r="R9175" t="str">
        <f>"23.720623"</f>
        <v>23.720623</v>
      </c>
      <c r="S9175" t="s">
        <v>26</v>
      </c>
    </row>
    <row r="9176" spans="1:19" x14ac:dyDescent="0.3">
      <c r="A9176" t="s">
        <v>3237</v>
      </c>
      <c r="B9176" t="s">
        <v>9684</v>
      </c>
      <c r="C9176" t="s">
        <v>10180</v>
      </c>
      <c r="D9176" t="s">
        <v>3251</v>
      </c>
      <c r="E9176" t="s">
        <v>5121</v>
      </c>
      <c r="F9176" t="s">
        <v>5127</v>
      </c>
      <c r="G9176" t="s">
        <v>5127</v>
      </c>
      <c r="H9176" t="s">
        <v>859</v>
      </c>
      <c r="I9176" t="s">
        <v>860</v>
      </c>
      <c r="J9176" t="str">
        <f>"9050256"</f>
        <v>9050256</v>
      </c>
      <c r="K9176">
        <v>2102311239</v>
      </c>
      <c r="L9176">
        <v>2102311239</v>
      </c>
      <c r="M9176" t="s">
        <v>10181</v>
      </c>
      <c r="N9176" t="s">
        <v>5130</v>
      </c>
      <c r="O9176" t="s">
        <v>10182</v>
      </c>
      <c r="P9176">
        <v>13451</v>
      </c>
      <c r="Q9176" t="str">
        <f>"38.053635"</f>
        <v>38.053635</v>
      </c>
      <c r="R9176" t="str">
        <f>"23.724142"</f>
        <v>23.724142</v>
      </c>
      <c r="S9176" t="s">
        <v>26</v>
      </c>
    </row>
    <row r="9177" spans="1:19" x14ac:dyDescent="0.3">
      <c r="A9177" t="s">
        <v>3237</v>
      </c>
      <c r="B9177" t="s">
        <v>9684</v>
      </c>
      <c r="C9177" t="s">
        <v>10194</v>
      </c>
      <c r="D9177" t="s">
        <v>3251</v>
      </c>
      <c r="E9177" t="s">
        <v>5087</v>
      </c>
      <c r="F9177" t="s">
        <v>5087</v>
      </c>
      <c r="G9177" t="s">
        <v>5116</v>
      </c>
      <c r="H9177" t="s">
        <v>859</v>
      </c>
      <c r="I9177" t="s">
        <v>860</v>
      </c>
      <c r="J9177" t="str">
        <f>"9050378"</f>
        <v>9050378</v>
      </c>
      <c r="K9177">
        <v>2105713994</v>
      </c>
      <c r="L9177">
        <v>2105758510</v>
      </c>
      <c r="M9177" t="s">
        <v>10195</v>
      </c>
      <c r="N9177" t="s">
        <v>5102</v>
      </c>
      <c r="O9177" t="s">
        <v>10196</v>
      </c>
      <c r="P9177">
        <v>12132</v>
      </c>
      <c r="Q9177" t="str">
        <f>"38.014386"</f>
        <v>38.014386</v>
      </c>
      <c r="R9177" t="str">
        <f>"23.703066"</f>
        <v>23.703066</v>
      </c>
      <c r="S9177" t="s">
        <v>26</v>
      </c>
    </row>
    <row r="9178" spans="1:19" x14ac:dyDescent="0.3">
      <c r="A9178" t="s">
        <v>3237</v>
      </c>
      <c r="B9178" t="s">
        <v>9684</v>
      </c>
      <c r="C9178" t="s">
        <v>10197</v>
      </c>
      <c r="D9178" t="s">
        <v>3251</v>
      </c>
      <c r="E9178" t="s">
        <v>5087</v>
      </c>
      <c r="F9178" t="s">
        <v>5087</v>
      </c>
      <c r="G9178" t="s">
        <v>5116</v>
      </c>
      <c r="H9178" t="s">
        <v>859</v>
      </c>
      <c r="I9178" t="s">
        <v>860</v>
      </c>
      <c r="J9178" t="str">
        <f>"9050763"</f>
        <v>9050763</v>
      </c>
      <c r="K9178">
        <v>2105725805</v>
      </c>
      <c r="L9178">
        <v>2105725805</v>
      </c>
      <c r="M9178" t="s">
        <v>10198</v>
      </c>
      <c r="N9178" t="s">
        <v>5087</v>
      </c>
      <c r="O9178" t="s">
        <v>10199</v>
      </c>
      <c r="P9178">
        <v>12133</v>
      </c>
      <c r="Q9178" t="str">
        <f>"38.017277"</f>
        <v>38.017277</v>
      </c>
      <c r="R9178" t="str">
        <f>"23.703091"</f>
        <v>23.703091</v>
      </c>
      <c r="S9178" t="s">
        <v>26</v>
      </c>
    </row>
    <row r="9179" spans="1:19" x14ac:dyDescent="0.3">
      <c r="A9179" t="s">
        <v>3237</v>
      </c>
      <c r="B9179" t="s">
        <v>9684</v>
      </c>
      <c r="C9179" t="s">
        <v>10201</v>
      </c>
      <c r="D9179" t="s">
        <v>3251</v>
      </c>
      <c r="E9179" t="s">
        <v>5199</v>
      </c>
      <c r="F9179" t="s">
        <v>5200</v>
      </c>
      <c r="G9179" t="s">
        <v>5200</v>
      </c>
      <c r="H9179" t="s">
        <v>859</v>
      </c>
      <c r="I9179" t="s">
        <v>860</v>
      </c>
      <c r="J9179" t="str">
        <f>"9051837"</f>
        <v>9051837</v>
      </c>
      <c r="K9179">
        <v>2105322424</v>
      </c>
      <c r="L9179">
        <v>2105322424</v>
      </c>
      <c r="M9179" t="s">
        <v>10202</v>
      </c>
      <c r="N9179" t="s">
        <v>9879</v>
      </c>
      <c r="O9179" t="s">
        <v>10203</v>
      </c>
      <c r="P9179">
        <v>12462</v>
      </c>
      <c r="Q9179" t="str">
        <f>"38.020292"</f>
        <v>38.020292</v>
      </c>
      <c r="R9179" t="str">
        <f>"23.650524"</f>
        <v>23.650524</v>
      </c>
      <c r="S9179" t="s">
        <v>26</v>
      </c>
    </row>
    <row r="9180" spans="1:19" x14ac:dyDescent="0.3">
      <c r="A9180" t="s">
        <v>3237</v>
      </c>
      <c r="B9180" t="s">
        <v>9684</v>
      </c>
      <c r="C9180" t="s">
        <v>10204</v>
      </c>
      <c r="D9180" t="s">
        <v>3251</v>
      </c>
      <c r="E9180" t="s">
        <v>5121</v>
      </c>
      <c r="F9180" t="s">
        <v>5085</v>
      </c>
      <c r="G9180" t="s">
        <v>5085</v>
      </c>
      <c r="H9180" t="s">
        <v>859</v>
      </c>
      <c r="I9180" t="s">
        <v>860</v>
      </c>
      <c r="J9180" t="str">
        <f>"9050864"</f>
        <v>9050864</v>
      </c>
      <c r="K9180">
        <v>2108542647</v>
      </c>
      <c r="L9180">
        <v>2108320443</v>
      </c>
      <c r="M9180" t="s">
        <v>10205</v>
      </c>
      <c r="N9180" t="s">
        <v>5159</v>
      </c>
      <c r="O9180" t="s">
        <v>10206</v>
      </c>
      <c r="P9180">
        <v>13561</v>
      </c>
      <c r="Q9180" t="str">
        <f>"38.022082"</f>
        <v>38.022082</v>
      </c>
      <c r="R9180" t="str">
        <f>"23.719344"</f>
        <v>23.719344</v>
      </c>
      <c r="S9180" t="s">
        <v>26</v>
      </c>
    </row>
    <row r="9181" spans="1:19" x14ac:dyDescent="0.3">
      <c r="A9181" t="s">
        <v>3237</v>
      </c>
      <c r="B9181" t="s">
        <v>9684</v>
      </c>
      <c r="C9181" t="s">
        <v>10207</v>
      </c>
      <c r="D9181" t="s">
        <v>3251</v>
      </c>
      <c r="E9181" t="s">
        <v>5171</v>
      </c>
      <c r="F9181" t="s">
        <v>5171</v>
      </c>
      <c r="G9181" t="s">
        <v>5171</v>
      </c>
      <c r="H9181" t="s">
        <v>859</v>
      </c>
      <c r="I9181" t="s">
        <v>860</v>
      </c>
      <c r="J9181" t="str">
        <f>"9050442"</f>
        <v>9050442</v>
      </c>
      <c r="K9181">
        <v>2105013637</v>
      </c>
      <c r="L9181">
        <v>2105013637</v>
      </c>
      <c r="M9181" t="s">
        <v>10208</v>
      </c>
      <c r="N9181" t="s">
        <v>5340</v>
      </c>
      <c r="O9181" t="s">
        <v>10209</v>
      </c>
      <c r="P9181">
        <v>13231</v>
      </c>
      <c r="Q9181" t="str">
        <f>"38.045855"</f>
        <v>38.045855</v>
      </c>
      <c r="R9181" t="str">
        <f>"23.675742"</f>
        <v>23.675742</v>
      </c>
      <c r="S9181" t="s">
        <v>26</v>
      </c>
    </row>
    <row r="9182" spans="1:19" x14ac:dyDescent="0.3">
      <c r="A9182" t="s">
        <v>3237</v>
      </c>
      <c r="B9182" t="s">
        <v>9684</v>
      </c>
      <c r="C9182" t="s">
        <v>10210</v>
      </c>
      <c r="D9182" t="s">
        <v>3251</v>
      </c>
      <c r="E9182" t="s">
        <v>5087</v>
      </c>
      <c r="F9182" t="s">
        <v>5087</v>
      </c>
      <c r="G9182" t="s">
        <v>5116</v>
      </c>
      <c r="H9182" t="s">
        <v>859</v>
      </c>
      <c r="I9182" t="s">
        <v>860</v>
      </c>
      <c r="J9182" t="str">
        <f>"9050921"</f>
        <v>9050921</v>
      </c>
      <c r="K9182">
        <v>2105725805</v>
      </c>
      <c r="L9182">
        <v>2105725805</v>
      </c>
      <c r="M9182" t="s">
        <v>10211</v>
      </c>
      <c r="N9182" t="s">
        <v>5102</v>
      </c>
      <c r="O9182" t="s">
        <v>10212</v>
      </c>
      <c r="P9182">
        <v>12133</v>
      </c>
      <c r="Q9182" t="str">
        <f>"38.017277"</f>
        <v>38.017277</v>
      </c>
      <c r="R9182" t="str">
        <f>"23.703091"</f>
        <v>23.703091</v>
      </c>
      <c r="S9182" t="s">
        <v>26</v>
      </c>
    </row>
    <row r="9183" spans="1:19" x14ac:dyDescent="0.3">
      <c r="A9183" t="s">
        <v>3237</v>
      </c>
      <c r="B9183" t="s">
        <v>9684</v>
      </c>
      <c r="C9183" t="s">
        <v>10216</v>
      </c>
      <c r="D9183" t="s">
        <v>3251</v>
      </c>
      <c r="E9183" t="s">
        <v>5121</v>
      </c>
      <c r="F9183" t="s">
        <v>5127</v>
      </c>
      <c r="G9183" t="s">
        <v>5127</v>
      </c>
      <c r="H9183" t="s">
        <v>859</v>
      </c>
      <c r="I9183" t="s">
        <v>860</v>
      </c>
      <c r="J9183" t="str">
        <f>"9051239"</f>
        <v>9051239</v>
      </c>
      <c r="K9183">
        <v>2102322422</v>
      </c>
      <c r="L9183">
        <v>2102322422</v>
      </c>
      <c r="M9183" t="s">
        <v>10217</v>
      </c>
      <c r="N9183" t="s">
        <v>5130</v>
      </c>
      <c r="O9183" t="s">
        <v>10182</v>
      </c>
      <c r="P9183">
        <v>13451</v>
      </c>
      <c r="Q9183" t="str">
        <f>"38.053466"</f>
        <v>38.053466</v>
      </c>
      <c r="R9183" t="str">
        <f>"23.724523"</f>
        <v>23.724523</v>
      </c>
      <c r="S9183" t="s">
        <v>26</v>
      </c>
    </row>
    <row r="9184" spans="1:19" x14ac:dyDescent="0.3">
      <c r="A9184" t="s">
        <v>3237</v>
      </c>
      <c r="B9184" t="s">
        <v>9684</v>
      </c>
      <c r="C9184" t="s">
        <v>10218</v>
      </c>
      <c r="D9184" t="s">
        <v>3251</v>
      </c>
      <c r="E9184" t="s">
        <v>5171</v>
      </c>
      <c r="F9184" t="s">
        <v>5171</v>
      </c>
      <c r="G9184" t="s">
        <v>5171</v>
      </c>
      <c r="H9184" t="s">
        <v>859</v>
      </c>
      <c r="I9184" t="s">
        <v>860</v>
      </c>
      <c r="J9184" t="str">
        <f>"9050843"</f>
        <v>9050843</v>
      </c>
      <c r="K9184">
        <v>2105016078</v>
      </c>
      <c r="L9184">
        <v>2105016078</v>
      </c>
      <c r="M9184" t="s">
        <v>10219</v>
      </c>
      <c r="N9184" t="s">
        <v>5340</v>
      </c>
      <c r="O9184" t="s">
        <v>10220</v>
      </c>
      <c r="P9184">
        <v>13231</v>
      </c>
      <c r="Q9184" t="str">
        <f>"38.037392"</f>
        <v>38.037392</v>
      </c>
      <c r="R9184" t="str">
        <f>"23.676826"</f>
        <v>23.676826</v>
      </c>
      <c r="S9184" t="s">
        <v>26</v>
      </c>
    </row>
    <row r="9185" spans="1:19" x14ac:dyDescent="0.3">
      <c r="A9185" t="s">
        <v>3237</v>
      </c>
      <c r="B9185" t="s">
        <v>9684</v>
      </c>
      <c r="C9185" t="s">
        <v>10221</v>
      </c>
      <c r="D9185" t="s">
        <v>3251</v>
      </c>
      <c r="E9185" t="s">
        <v>5087</v>
      </c>
      <c r="F9185" t="s">
        <v>5087</v>
      </c>
      <c r="G9185" t="s">
        <v>5116</v>
      </c>
      <c r="H9185" t="s">
        <v>859</v>
      </c>
      <c r="I9185" t="s">
        <v>860</v>
      </c>
      <c r="J9185" t="str">
        <f>"9051050"</f>
        <v>9051050</v>
      </c>
      <c r="K9185">
        <v>2105752255</v>
      </c>
      <c r="M9185" t="s">
        <v>10222</v>
      </c>
      <c r="N9185" t="s">
        <v>5102</v>
      </c>
      <c r="O9185" t="s">
        <v>10212</v>
      </c>
      <c r="P9185">
        <v>12133</v>
      </c>
      <c r="Q9185" t="str">
        <f>"38.017277"</f>
        <v>38.017277</v>
      </c>
      <c r="R9185" t="str">
        <f>"23.703091"</f>
        <v>23.703091</v>
      </c>
      <c r="S9185" t="s">
        <v>26</v>
      </c>
    </row>
    <row r="9186" spans="1:19" x14ac:dyDescent="0.3">
      <c r="A9186" t="s">
        <v>3237</v>
      </c>
      <c r="B9186" t="s">
        <v>9684</v>
      </c>
      <c r="C9186" t="s">
        <v>10223</v>
      </c>
      <c r="D9186" t="s">
        <v>3251</v>
      </c>
      <c r="E9186" t="s">
        <v>5121</v>
      </c>
      <c r="F9186" t="s">
        <v>5127</v>
      </c>
      <c r="G9186" t="s">
        <v>5127</v>
      </c>
      <c r="H9186" t="s">
        <v>859</v>
      </c>
      <c r="I9186" t="s">
        <v>860</v>
      </c>
      <c r="J9186" t="str">
        <f>"9051879"</f>
        <v>9051879</v>
      </c>
      <c r="K9186">
        <v>2102323373</v>
      </c>
      <c r="L9186">
        <v>2102323373</v>
      </c>
      <c r="M9186" t="s">
        <v>10224</v>
      </c>
      <c r="N9186" t="s">
        <v>5130</v>
      </c>
      <c r="O9186" t="s">
        <v>10225</v>
      </c>
      <c r="P9186">
        <v>13451</v>
      </c>
      <c r="Q9186" t="str">
        <f>"38.056183"</f>
        <v>38.056183</v>
      </c>
      <c r="R9186" t="str">
        <f>"23.696703"</f>
        <v>23.696703</v>
      </c>
      <c r="S9186" t="s">
        <v>26</v>
      </c>
    </row>
    <row r="9187" spans="1:19" x14ac:dyDescent="0.3">
      <c r="A9187" t="s">
        <v>3237</v>
      </c>
      <c r="B9187" t="s">
        <v>9684</v>
      </c>
      <c r="C9187" t="s">
        <v>10226</v>
      </c>
      <c r="D9187" t="s">
        <v>3251</v>
      </c>
      <c r="E9187" t="s">
        <v>5171</v>
      </c>
      <c r="F9187" t="s">
        <v>5171</v>
      </c>
      <c r="G9187" t="s">
        <v>5171</v>
      </c>
      <c r="H9187" t="s">
        <v>859</v>
      </c>
      <c r="I9187" t="s">
        <v>860</v>
      </c>
      <c r="J9187" t="str">
        <f>"9050986"</f>
        <v>9050986</v>
      </c>
      <c r="K9187">
        <v>2105013784</v>
      </c>
      <c r="L9187">
        <v>2105013784</v>
      </c>
      <c r="M9187" t="s">
        <v>10227</v>
      </c>
      <c r="N9187" t="s">
        <v>5340</v>
      </c>
      <c r="O9187" t="s">
        <v>10228</v>
      </c>
      <c r="P9187">
        <v>13231</v>
      </c>
      <c r="Q9187" t="str">
        <f>"38.037722"</f>
        <v>38.037722</v>
      </c>
      <c r="R9187" t="str">
        <f>"23.684967"</f>
        <v>23.684967</v>
      </c>
      <c r="S9187" t="s">
        <v>26</v>
      </c>
    </row>
    <row r="9188" spans="1:19" x14ac:dyDescent="0.3">
      <c r="A9188" t="s">
        <v>3237</v>
      </c>
      <c r="B9188" t="s">
        <v>9684</v>
      </c>
      <c r="C9188" t="s">
        <v>10231</v>
      </c>
      <c r="D9188" t="s">
        <v>3251</v>
      </c>
      <c r="E9188" t="s">
        <v>5121</v>
      </c>
      <c r="F9188" t="s">
        <v>5127</v>
      </c>
      <c r="G9188" t="s">
        <v>5127</v>
      </c>
      <c r="H9188" t="s">
        <v>859</v>
      </c>
      <c r="I9188" t="s">
        <v>860</v>
      </c>
      <c r="J9188" t="str">
        <f>"9051903"</f>
        <v>9051903</v>
      </c>
      <c r="K9188">
        <v>2102384824</v>
      </c>
      <c r="L9188">
        <v>2102384824</v>
      </c>
      <c r="M9188" t="s">
        <v>10232</v>
      </c>
      <c r="N9188" t="s">
        <v>5130</v>
      </c>
      <c r="O9188" t="s">
        <v>10233</v>
      </c>
      <c r="P9188">
        <v>13451</v>
      </c>
      <c r="Q9188" t="str">
        <f>"38.049978"</f>
        <v>38.049978</v>
      </c>
      <c r="R9188" t="str">
        <f>"23.705676"</f>
        <v>23.705676</v>
      </c>
      <c r="S9188" t="s">
        <v>26</v>
      </c>
    </row>
    <row r="9189" spans="1:19" x14ac:dyDescent="0.3">
      <c r="A9189" t="s">
        <v>3237</v>
      </c>
      <c r="B9189" t="s">
        <v>9684</v>
      </c>
      <c r="C9189" t="s">
        <v>10236</v>
      </c>
      <c r="D9189" t="s">
        <v>3251</v>
      </c>
      <c r="E9189" t="s">
        <v>5121</v>
      </c>
      <c r="F9189" t="s">
        <v>5127</v>
      </c>
      <c r="G9189" t="s">
        <v>5127</v>
      </c>
      <c r="H9189" t="s">
        <v>859</v>
      </c>
      <c r="I9189" t="s">
        <v>860</v>
      </c>
      <c r="J9189" t="str">
        <f>"9051928"</f>
        <v>9051928</v>
      </c>
      <c r="K9189">
        <v>2102387990</v>
      </c>
      <c r="L9189">
        <v>2102387990</v>
      </c>
      <c r="M9189" t="s">
        <v>10237</v>
      </c>
      <c r="N9189" t="s">
        <v>5130</v>
      </c>
      <c r="O9189" t="s">
        <v>10238</v>
      </c>
      <c r="P9189">
        <v>13451</v>
      </c>
      <c r="Q9189" t="str">
        <f>"38.058689"</f>
        <v>38.058689</v>
      </c>
      <c r="R9189" t="str">
        <f>"23.720821"</f>
        <v>23.720821</v>
      </c>
      <c r="S9189" t="s">
        <v>26</v>
      </c>
    </row>
    <row r="9190" spans="1:19" x14ac:dyDescent="0.3">
      <c r="A9190" t="s">
        <v>3237</v>
      </c>
      <c r="B9190" t="s">
        <v>9684</v>
      </c>
      <c r="C9190" t="s">
        <v>10239</v>
      </c>
      <c r="D9190" t="s">
        <v>3251</v>
      </c>
      <c r="E9190" t="s">
        <v>5087</v>
      </c>
      <c r="F9190" t="s">
        <v>5087</v>
      </c>
      <c r="G9190" t="s">
        <v>5116</v>
      </c>
      <c r="H9190" t="s">
        <v>859</v>
      </c>
      <c r="I9190" t="s">
        <v>860</v>
      </c>
      <c r="J9190" t="str">
        <f>"9051589"</f>
        <v>9051589</v>
      </c>
      <c r="K9190">
        <v>2105776530</v>
      </c>
      <c r="L9190">
        <v>2105776530</v>
      </c>
      <c r="M9190" t="s">
        <v>10240</v>
      </c>
      <c r="N9190" t="s">
        <v>5102</v>
      </c>
      <c r="O9190" t="s">
        <v>10241</v>
      </c>
      <c r="P9190">
        <v>12133</v>
      </c>
      <c r="Q9190" t="str">
        <f>"38.021577"</f>
        <v>38.021577</v>
      </c>
      <c r="R9190" t="str">
        <f>"23.694966"</f>
        <v>23.694966</v>
      </c>
      <c r="S9190" t="s">
        <v>26</v>
      </c>
    </row>
    <row r="9191" spans="1:19" x14ac:dyDescent="0.3">
      <c r="A9191" t="s">
        <v>3237</v>
      </c>
      <c r="B9191" t="s">
        <v>9684</v>
      </c>
      <c r="C9191" t="s">
        <v>10242</v>
      </c>
      <c r="D9191" t="s">
        <v>3251</v>
      </c>
      <c r="E9191" t="s">
        <v>5171</v>
      </c>
      <c r="F9191" t="s">
        <v>5171</v>
      </c>
      <c r="G9191" t="s">
        <v>5171</v>
      </c>
      <c r="H9191" t="s">
        <v>859</v>
      </c>
      <c r="I9191" t="s">
        <v>860</v>
      </c>
      <c r="J9191" t="str">
        <f>"9051425"</f>
        <v>9051425</v>
      </c>
      <c r="K9191">
        <v>2105019666</v>
      </c>
      <c r="L9191">
        <v>2105019666</v>
      </c>
      <c r="M9191" t="s">
        <v>10243</v>
      </c>
      <c r="N9191" t="s">
        <v>5340</v>
      </c>
      <c r="O9191" t="s">
        <v>10244</v>
      </c>
      <c r="P9191">
        <v>13231</v>
      </c>
      <c r="Q9191" t="str">
        <f>"38.033183"</f>
        <v>38.033183</v>
      </c>
      <c r="R9191" t="str">
        <f>"23.686673"</f>
        <v>23.686673</v>
      </c>
      <c r="S9191" t="s">
        <v>26</v>
      </c>
    </row>
    <row r="9192" spans="1:19" x14ac:dyDescent="0.3">
      <c r="A9192" t="s">
        <v>3237</v>
      </c>
      <c r="B9192" t="s">
        <v>9684</v>
      </c>
      <c r="C9192" t="s">
        <v>10248</v>
      </c>
      <c r="D9192" t="s">
        <v>3251</v>
      </c>
      <c r="E9192" t="s">
        <v>5171</v>
      </c>
      <c r="F9192" t="s">
        <v>5171</v>
      </c>
      <c r="G9192" t="s">
        <v>5171</v>
      </c>
      <c r="H9192" t="s">
        <v>859</v>
      </c>
      <c r="I9192" t="s">
        <v>860</v>
      </c>
      <c r="J9192" t="str">
        <f>"9051458"</f>
        <v>9051458</v>
      </c>
      <c r="K9192">
        <v>2105019660</v>
      </c>
      <c r="L9192">
        <v>2105019660</v>
      </c>
      <c r="M9192" t="s">
        <v>10249</v>
      </c>
      <c r="N9192" t="s">
        <v>5174</v>
      </c>
      <c r="O9192" t="s">
        <v>10228</v>
      </c>
      <c r="P9192">
        <v>13231</v>
      </c>
      <c r="Q9192" t="str">
        <f>"38.037813"</f>
        <v>38.037813</v>
      </c>
      <c r="R9192" t="str">
        <f>"23.684654"</f>
        <v>23.684654</v>
      </c>
      <c r="S9192" t="s">
        <v>26</v>
      </c>
    </row>
    <row r="9193" spans="1:19" x14ac:dyDescent="0.3">
      <c r="A9193" t="s">
        <v>3237</v>
      </c>
      <c r="B9193" t="s">
        <v>9684</v>
      </c>
      <c r="C9193" t="s">
        <v>10250</v>
      </c>
      <c r="D9193" t="s">
        <v>3251</v>
      </c>
      <c r="E9193" t="s">
        <v>5087</v>
      </c>
      <c r="F9193" t="s">
        <v>5087</v>
      </c>
      <c r="G9193" t="s">
        <v>5116</v>
      </c>
      <c r="H9193" t="s">
        <v>859</v>
      </c>
      <c r="I9193" t="s">
        <v>860</v>
      </c>
      <c r="J9193" t="str">
        <f>"9050408"</f>
        <v>9050408</v>
      </c>
      <c r="K9193">
        <v>2105737936</v>
      </c>
      <c r="L9193">
        <v>2105737936</v>
      </c>
      <c r="M9193" t="s">
        <v>10251</v>
      </c>
      <c r="N9193" t="s">
        <v>5102</v>
      </c>
      <c r="O9193" t="s">
        <v>10066</v>
      </c>
      <c r="P9193">
        <v>12132</v>
      </c>
      <c r="Q9193" t="str">
        <f>"38.016493"</f>
        <v>38.016493</v>
      </c>
      <c r="R9193" t="str">
        <f>"23.699908"</f>
        <v>23.699908</v>
      </c>
      <c r="S9193" t="s">
        <v>26</v>
      </c>
    </row>
    <row r="9194" spans="1:19" x14ac:dyDescent="0.3">
      <c r="A9194" t="s">
        <v>3237</v>
      </c>
      <c r="B9194" t="s">
        <v>9684</v>
      </c>
      <c r="C9194" t="s">
        <v>10254</v>
      </c>
      <c r="D9194" t="s">
        <v>3251</v>
      </c>
      <c r="E9194" t="s">
        <v>5171</v>
      </c>
      <c r="F9194" t="s">
        <v>5171</v>
      </c>
      <c r="G9194" t="s">
        <v>5171</v>
      </c>
      <c r="H9194" t="s">
        <v>859</v>
      </c>
      <c r="I9194" t="s">
        <v>860</v>
      </c>
      <c r="J9194" t="str">
        <f>"9050770"</f>
        <v>9050770</v>
      </c>
      <c r="K9194">
        <v>2105029070</v>
      </c>
      <c r="L9194">
        <v>2105029070</v>
      </c>
      <c r="M9194" t="s">
        <v>10255</v>
      </c>
      <c r="N9194" t="s">
        <v>5340</v>
      </c>
      <c r="O9194" t="s">
        <v>10256</v>
      </c>
      <c r="P9194">
        <v>13231</v>
      </c>
      <c r="Q9194" t="str">
        <f>"38.048699"</f>
        <v>38.048699</v>
      </c>
      <c r="R9194" t="str">
        <f>"23.682894"</f>
        <v>23.682894</v>
      </c>
      <c r="S9194" t="s">
        <v>26</v>
      </c>
    </row>
    <row r="9195" spans="1:19" x14ac:dyDescent="0.3">
      <c r="A9195" t="s">
        <v>3237</v>
      </c>
      <c r="B9195" t="s">
        <v>9684</v>
      </c>
      <c r="C9195" t="s">
        <v>10259</v>
      </c>
      <c r="D9195" t="s">
        <v>3251</v>
      </c>
      <c r="E9195" t="s">
        <v>5171</v>
      </c>
      <c r="F9195" t="s">
        <v>5171</v>
      </c>
      <c r="G9195" t="s">
        <v>5171</v>
      </c>
      <c r="H9195" t="s">
        <v>859</v>
      </c>
      <c r="I9195" t="s">
        <v>860</v>
      </c>
      <c r="J9195" t="str">
        <f>"9051636"</f>
        <v>9051636</v>
      </c>
      <c r="K9195">
        <v>2105062837</v>
      </c>
      <c r="L9195">
        <v>2105029070</v>
      </c>
      <c r="M9195" t="s">
        <v>10260</v>
      </c>
      <c r="N9195" t="s">
        <v>5174</v>
      </c>
      <c r="O9195" t="s">
        <v>10256</v>
      </c>
      <c r="P9195">
        <v>13232</v>
      </c>
      <c r="Q9195" t="str">
        <f>"38.048699"</f>
        <v>38.048699</v>
      </c>
      <c r="R9195" t="str">
        <f>"23.682894"</f>
        <v>23.682894</v>
      </c>
      <c r="S9195" t="s">
        <v>26</v>
      </c>
    </row>
    <row r="9196" spans="1:19" x14ac:dyDescent="0.3">
      <c r="A9196" t="s">
        <v>3237</v>
      </c>
      <c r="B9196" t="s">
        <v>9684</v>
      </c>
      <c r="C9196" t="s">
        <v>10261</v>
      </c>
      <c r="D9196" t="s">
        <v>3251</v>
      </c>
      <c r="E9196" t="s">
        <v>5121</v>
      </c>
      <c r="F9196" t="s">
        <v>5085</v>
      </c>
      <c r="G9196" t="s">
        <v>5085</v>
      </c>
      <c r="H9196" t="s">
        <v>859</v>
      </c>
      <c r="I9196" t="s">
        <v>860</v>
      </c>
      <c r="J9196" t="str">
        <f>"9051306"</f>
        <v>9051306</v>
      </c>
      <c r="K9196">
        <v>2108320443</v>
      </c>
      <c r="L9196">
        <v>2108320443</v>
      </c>
      <c r="M9196" t="s">
        <v>10262</v>
      </c>
      <c r="N9196" t="s">
        <v>5159</v>
      </c>
      <c r="O9196" t="s">
        <v>10206</v>
      </c>
      <c r="P9196">
        <v>13561</v>
      </c>
      <c r="Q9196" t="str">
        <f>"38.021769"</f>
        <v>38.021769</v>
      </c>
      <c r="R9196" t="str">
        <f>"23.719022"</f>
        <v>23.719022</v>
      </c>
      <c r="S9196" t="s">
        <v>26</v>
      </c>
    </row>
    <row r="9197" spans="1:19" x14ac:dyDescent="0.3">
      <c r="A9197" t="s">
        <v>3237</v>
      </c>
      <c r="B9197" t="s">
        <v>9684</v>
      </c>
      <c r="C9197" t="s">
        <v>10263</v>
      </c>
      <c r="D9197" t="s">
        <v>3251</v>
      </c>
      <c r="E9197" t="s">
        <v>5087</v>
      </c>
      <c r="F9197" t="s">
        <v>5087</v>
      </c>
      <c r="G9197" t="s">
        <v>5281</v>
      </c>
      <c r="H9197" t="s">
        <v>859</v>
      </c>
      <c r="I9197" t="s">
        <v>860</v>
      </c>
      <c r="J9197" t="str">
        <f>"9051406"</f>
        <v>9051406</v>
      </c>
      <c r="K9197">
        <v>2105771417</v>
      </c>
      <c r="L9197">
        <v>2105771417</v>
      </c>
      <c r="M9197" t="s">
        <v>10264</v>
      </c>
      <c r="N9197" t="s">
        <v>5102</v>
      </c>
      <c r="O9197" t="s">
        <v>10265</v>
      </c>
      <c r="P9197">
        <v>12134</v>
      </c>
      <c r="Q9197" t="str">
        <f>"38.012658"</f>
        <v>38.012658</v>
      </c>
      <c r="R9197" t="str">
        <f>"23.691134"</f>
        <v>23.691134</v>
      </c>
      <c r="S9197" t="s">
        <v>26</v>
      </c>
    </row>
    <row r="9198" spans="1:19" x14ac:dyDescent="0.3">
      <c r="A9198" t="s">
        <v>3237</v>
      </c>
      <c r="B9198" t="s">
        <v>9684</v>
      </c>
      <c r="C9198" t="s">
        <v>10266</v>
      </c>
      <c r="D9198" t="s">
        <v>3251</v>
      </c>
      <c r="E9198" t="s">
        <v>5087</v>
      </c>
      <c r="F9198" t="s">
        <v>5087</v>
      </c>
      <c r="G9198" t="s">
        <v>5099</v>
      </c>
      <c r="H9198" t="s">
        <v>859</v>
      </c>
      <c r="I9198" t="s">
        <v>860</v>
      </c>
      <c r="J9198" t="str">
        <f>"9051054"</f>
        <v>9051054</v>
      </c>
      <c r="K9198">
        <v>2105777633</v>
      </c>
      <c r="L9198">
        <v>2105777633</v>
      </c>
      <c r="M9198" t="s">
        <v>10267</v>
      </c>
      <c r="N9198" t="s">
        <v>5102</v>
      </c>
      <c r="O9198" t="s">
        <v>10268</v>
      </c>
      <c r="P9198">
        <v>12135</v>
      </c>
      <c r="Q9198" t="str">
        <f>"38.017943"</f>
        <v>38.017943</v>
      </c>
      <c r="R9198" t="str">
        <f>"23.678560"</f>
        <v>23.678560</v>
      </c>
      <c r="S9198" t="s">
        <v>26</v>
      </c>
    </row>
    <row r="9199" spans="1:19" x14ac:dyDescent="0.3">
      <c r="A9199" t="s">
        <v>3237</v>
      </c>
      <c r="B9199" t="s">
        <v>9684</v>
      </c>
      <c r="C9199" t="s">
        <v>10270</v>
      </c>
      <c r="D9199" t="s">
        <v>3251</v>
      </c>
      <c r="E9199" t="s">
        <v>3290</v>
      </c>
      <c r="F9199" t="s">
        <v>3290</v>
      </c>
      <c r="G9199" t="s">
        <v>3290</v>
      </c>
      <c r="H9199" t="s">
        <v>859</v>
      </c>
      <c r="I9199" t="s">
        <v>860</v>
      </c>
      <c r="J9199" t="str">
        <f>"9051064"</f>
        <v>9051064</v>
      </c>
      <c r="K9199">
        <v>2102624956</v>
      </c>
      <c r="L9199">
        <v>2102624956</v>
      </c>
      <c r="M9199" t="s">
        <v>10271</v>
      </c>
      <c r="N9199" t="s">
        <v>5097</v>
      </c>
      <c r="O9199" t="s">
        <v>10040</v>
      </c>
      <c r="P9199">
        <v>13122</v>
      </c>
      <c r="Q9199" t="str">
        <f>"38.027436"</f>
        <v>38.027436</v>
      </c>
      <c r="R9199" t="str">
        <f>"23.712431"</f>
        <v>23.712431</v>
      </c>
      <c r="S9199" t="s">
        <v>26</v>
      </c>
    </row>
    <row r="9200" spans="1:19" x14ac:dyDescent="0.3">
      <c r="A9200" t="s">
        <v>3237</v>
      </c>
      <c r="B9200" t="s">
        <v>9684</v>
      </c>
      <c r="C9200" t="s">
        <v>10272</v>
      </c>
      <c r="D9200" t="s">
        <v>3251</v>
      </c>
      <c r="E9200" t="s">
        <v>5171</v>
      </c>
      <c r="F9200" t="s">
        <v>5171</v>
      </c>
      <c r="G9200" t="s">
        <v>5171</v>
      </c>
      <c r="H9200" t="s">
        <v>859</v>
      </c>
      <c r="I9200" t="s">
        <v>860</v>
      </c>
      <c r="J9200" t="str">
        <f>"9520643"</f>
        <v>9520643</v>
      </c>
      <c r="K9200">
        <v>2105062082</v>
      </c>
      <c r="L9200">
        <v>2105062082</v>
      </c>
      <c r="M9200" t="s">
        <v>10273</v>
      </c>
      <c r="N9200" t="s">
        <v>5340</v>
      </c>
      <c r="O9200" t="s">
        <v>10274</v>
      </c>
      <c r="P9200">
        <v>13231</v>
      </c>
      <c r="Q9200" t="str">
        <f>"38.041797"</f>
        <v>38.041797</v>
      </c>
      <c r="R9200" t="str">
        <f>"23.679481"</f>
        <v>23.679481</v>
      </c>
      <c r="S9200" t="s">
        <v>26</v>
      </c>
    </row>
    <row r="9201" spans="1:19" x14ac:dyDescent="0.3">
      <c r="A9201" t="s">
        <v>3237</v>
      </c>
      <c r="B9201" t="s">
        <v>9684</v>
      </c>
      <c r="C9201" t="s">
        <v>10275</v>
      </c>
      <c r="D9201" t="s">
        <v>3251</v>
      </c>
      <c r="E9201" t="s">
        <v>3290</v>
      </c>
      <c r="F9201" t="s">
        <v>3290</v>
      </c>
      <c r="G9201" t="s">
        <v>3290</v>
      </c>
      <c r="H9201" t="s">
        <v>859</v>
      </c>
      <c r="I9201" t="s">
        <v>860</v>
      </c>
      <c r="J9201" t="str">
        <f>"9051063"</f>
        <v>9051063</v>
      </c>
      <c r="K9201">
        <v>2105772352</v>
      </c>
      <c r="L9201">
        <v>2105772352</v>
      </c>
      <c r="M9201" t="s">
        <v>10276</v>
      </c>
      <c r="N9201" t="s">
        <v>3293</v>
      </c>
      <c r="O9201" t="s">
        <v>9913</v>
      </c>
      <c r="P9201">
        <v>13121</v>
      </c>
      <c r="Q9201" t="str">
        <f>"38.027347"</f>
        <v>38.027347</v>
      </c>
      <c r="R9201" t="str">
        <f>"23.695467"</f>
        <v>23.695467</v>
      </c>
      <c r="S9201" t="s">
        <v>26</v>
      </c>
    </row>
    <row r="9202" spans="1:19" x14ac:dyDescent="0.3">
      <c r="A9202" t="s">
        <v>3237</v>
      </c>
      <c r="B9202" t="s">
        <v>9684</v>
      </c>
      <c r="C9202" t="s">
        <v>10286</v>
      </c>
      <c r="D9202" t="s">
        <v>3251</v>
      </c>
      <c r="E9202" t="s">
        <v>5087</v>
      </c>
      <c r="F9202" t="s">
        <v>5087</v>
      </c>
      <c r="G9202" t="s">
        <v>5099</v>
      </c>
      <c r="H9202" t="s">
        <v>859</v>
      </c>
      <c r="I9202" t="s">
        <v>860</v>
      </c>
      <c r="J9202" t="str">
        <f>"9520955"</f>
        <v>9520955</v>
      </c>
      <c r="K9202">
        <v>2105725040</v>
      </c>
      <c r="L9202">
        <v>2105725040</v>
      </c>
      <c r="M9202" t="s">
        <v>10287</v>
      </c>
      <c r="N9202" t="s">
        <v>5102</v>
      </c>
      <c r="O9202" t="s">
        <v>10288</v>
      </c>
      <c r="P9202">
        <v>12136</v>
      </c>
      <c r="Q9202" t="str">
        <f>"38.014200"</f>
        <v>38.014200</v>
      </c>
      <c r="R9202" t="str">
        <f>"23.680647"</f>
        <v>23.680647</v>
      </c>
      <c r="S9202" t="s">
        <v>26</v>
      </c>
    </row>
    <row r="9203" spans="1:19" x14ac:dyDescent="0.3">
      <c r="A9203" t="s">
        <v>3237</v>
      </c>
      <c r="B9203" t="s">
        <v>9684</v>
      </c>
      <c r="C9203" t="s">
        <v>10289</v>
      </c>
      <c r="D9203" t="s">
        <v>3251</v>
      </c>
      <c r="E9203" t="s">
        <v>5087</v>
      </c>
      <c r="F9203" t="s">
        <v>5087</v>
      </c>
      <c r="G9203" t="s">
        <v>5088</v>
      </c>
      <c r="H9203" t="s">
        <v>859</v>
      </c>
      <c r="I9203" t="s">
        <v>860</v>
      </c>
      <c r="J9203" t="str">
        <f>"9520557"</f>
        <v>9520557</v>
      </c>
      <c r="K9203">
        <v>2105773278</v>
      </c>
      <c r="L9203">
        <v>2105746313</v>
      </c>
      <c r="M9203" t="s">
        <v>10290</v>
      </c>
      <c r="N9203" t="s">
        <v>5102</v>
      </c>
      <c r="O9203" t="s">
        <v>9920</v>
      </c>
      <c r="P9203">
        <v>12137</v>
      </c>
      <c r="Q9203" t="str">
        <f>"38.022779"</f>
        <v>38.022779</v>
      </c>
      <c r="R9203" t="str">
        <f>"23.675412"</f>
        <v>23.675412</v>
      </c>
      <c r="S9203" t="s">
        <v>26</v>
      </c>
    </row>
    <row r="9204" spans="1:19" x14ac:dyDescent="0.3">
      <c r="A9204" t="s">
        <v>3237</v>
      </c>
      <c r="B9204" t="s">
        <v>9684</v>
      </c>
      <c r="C9204" t="s">
        <v>10291</v>
      </c>
      <c r="D9204" t="s">
        <v>3251</v>
      </c>
      <c r="E9204" t="s">
        <v>5087</v>
      </c>
      <c r="F9204" t="s">
        <v>5087</v>
      </c>
      <c r="G9204" t="s">
        <v>5281</v>
      </c>
      <c r="H9204" t="s">
        <v>859</v>
      </c>
      <c r="I9204" t="s">
        <v>860</v>
      </c>
      <c r="J9204" t="str">
        <f>"9051304"</f>
        <v>9051304</v>
      </c>
      <c r="K9204">
        <v>2105989492</v>
      </c>
      <c r="L9204">
        <v>2105989492</v>
      </c>
      <c r="M9204" t="s">
        <v>10292</v>
      </c>
      <c r="N9204" t="s">
        <v>5102</v>
      </c>
      <c r="O9204" t="s">
        <v>9855</v>
      </c>
      <c r="P9204">
        <v>12131</v>
      </c>
      <c r="Q9204" t="str">
        <f>"38.001666"</f>
        <v>38.001666</v>
      </c>
      <c r="R9204" t="str">
        <f>"23.687762"</f>
        <v>23.687762</v>
      </c>
      <c r="S9204" t="s">
        <v>26</v>
      </c>
    </row>
    <row r="9205" spans="1:19" x14ac:dyDescent="0.3">
      <c r="A9205" t="s">
        <v>3237</v>
      </c>
      <c r="B9205" t="s">
        <v>9684</v>
      </c>
      <c r="C9205" t="s">
        <v>10293</v>
      </c>
      <c r="D9205" t="s">
        <v>3251</v>
      </c>
      <c r="E9205" t="s">
        <v>5087</v>
      </c>
      <c r="F9205" t="s">
        <v>5087</v>
      </c>
      <c r="G9205" t="s">
        <v>5116</v>
      </c>
      <c r="H9205" t="s">
        <v>859</v>
      </c>
      <c r="I9205" t="s">
        <v>860</v>
      </c>
      <c r="J9205" t="str">
        <f>"9050409"</f>
        <v>9050409</v>
      </c>
      <c r="K9205">
        <v>2105758510</v>
      </c>
      <c r="L9205">
        <v>2105758510</v>
      </c>
      <c r="M9205" t="s">
        <v>10294</v>
      </c>
      <c r="N9205" t="s">
        <v>5102</v>
      </c>
      <c r="O9205" t="s">
        <v>10196</v>
      </c>
      <c r="P9205">
        <v>12132</v>
      </c>
      <c r="Q9205" t="str">
        <f>"38.014439"</f>
        <v>38.014439</v>
      </c>
      <c r="R9205" t="str">
        <f>"23.703131"</f>
        <v>23.703131</v>
      </c>
      <c r="S9205" t="s">
        <v>26</v>
      </c>
    </row>
    <row r="9206" spans="1:19" x14ac:dyDescent="0.3">
      <c r="A9206" t="s">
        <v>3237</v>
      </c>
      <c r="B9206" t="s">
        <v>9684</v>
      </c>
      <c r="C9206" t="s">
        <v>10305</v>
      </c>
      <c r="D9206" t="s">
        <v>3251</v>
      </c>
      <c r="E9206" t="s">
        <v>5087</v>
      </c>
      <c r="F9206" t="s">
        <v>5087</v>
      </c>
      <c r="G9206" t="s">
        <v>5088</v>
      </c>
      <c r="H9206" t="s">
        <v>859</v>
      </c>
      <c r="I9206" t="s">
        <v>860</v>
      </c>
      <c r="J9206" t="str">
        <f>"9050765"</f>
        <v>9050765</v>
      </c>
      <c r="K9206">
        <v>2105773278</v>
      </c>
      <c r="L9206">
        <v>2105773278</v>
      </c>
      <c r="M9206" t="s">
        <v>10306</v>
      </c>
      <c r="N9206" t="s">
        <v>5102</v>
      </c>
      <c r="O9206" t="s">
        <v>9920</v>
      </c>
      <c r="P9206">
        <v>12137</v>
      </c>
      <c r="Q9206" t="str">
        <f>"38.022761"</f>
        <v>38.022761</v>
      </c>
      <c r="R9206" t="str">
        <f>"23.675509"</f>
        <v>23.675509</v>
      </c>
      <c r="S9206" t="s">
        <v>26</v>
      </c>
    </row>
    <row r="9207" spans="1:19" x14ac:dyDescent="0.3">
      <c r="A9207" t="s">
        <v>3237</v>
      </c>
      <c r="B9207" t="s">
        <v>9684</v>
      </c>
      <c r="C9207" t="s">
        <v>10316</v>
      </c>
      <c r="D9207" t="s">
        <v>3251</v>
      </c>
      <c r="E9207" t="s">
        <v>5087</v>
      </c>
      <c r="F9207" t="s">
        <v>5087</v>
      </c>
      <c r="G9207" t="s">
        <v>5116</v>
      </c>
      <c r="H9207" t="s">
        <v>859</v>
      </c>
      <c r="I9207" t="s">
        <v>860</v>
      </c>
      <c r="J9207" t="str">
        <f>"9051229"</f>
        <v>9051229</v>
      </c>
      <c r="K9207">
        <v>2105753292</v>
      </c>
      <c r="L9207">
        <v>2105753292</v>
      </c>
      <c r="M9207" t="s">
        <v>10317</v>
      </c>
      <c r="N9207" t="s">
        <v>5102</v>
      </c>
      <c r="O9207" t="s">
        <v>10301</v>
      </c>
      <c r="P9207">
        <v>12134</v>
      </c>
      <c r="Q9207" t="str">
        <f>"38.014942"</f>
        <v>38.014942</v>
      </c>
      <c r="R9207" t="str">
        <f>"23.697141"</f>
        <v>23.697141</v>
      </c>
      <c r="S9207" t="s">
        <v>26</v>
      </c>
    </row>
    <row r="9208" spans="1:19" x14ac:dyDescent="0.3">
      <c r="A9208" t="s">
        <v>3237</v>
      </c>
      <c r="B9208" t="s">
        <v>9684</v>
      </c>
      <c r="C9208" t="s">
        <v>10325</v>
      </c>
      <c r="D9208" t="s">
        <v>3251</v>
      </c>
      <c r="E9208" t="s">
        <v>5087</v>
      </c>
      <c r="F9208" t="s">
        <v>5087</v>
      </c>
      <c r="G9208" t="s">
        <v>5099</v>
      </c>
      <c r="H9208" t="s">
        <v>859</v>
      </c>
      <c r="I9208" t="s">
        <v>860</v>
      </c>
      <c r="J9208" t="str">
        <f>"9051058"</f>
        <v>9051058</v>
      </c>
      <c r="K9208">
        <v>2105739307</v>
      </c>
      <c r="L9208">
        <v>2105739307</v>
      </c>
      <c r="M9208" t="s">
        <v>10326</v>
      </c>
      <c r="N9208" t="s">
        <v>5102</v>
      </c>
      <c r="O9208" t="s">
        <v>10327</v>
      </c>
      <c r="P9208">
        <v>12136</v>
      </c>
      <c r="Q9208" t="str">
        <f>"38.011783"</f>
        <v>38.011783</v>
      </c>
      <c r="R9208" t="str">
        <f>"23.677261"</f>
        <v>23.677261</v>
      </c>
      <c r="S9208" t="s">
        <v>26</v>
      </c>
    </row>
    <row r="9209" spans="1:19" x14ac:dyDescent="0.3">
      <c r="A9209" t="s">
        <v>3237</v>
      </c>
      <c r="B9209" t="s">
        <v>9684</v>
      </c>
      <c r="C9209" t="s">
        <v>10340</v>
      </c>
      <c r="D9209" t="s">
        <v>3251</v>
      </c>
      <c r="E9209" t="s">
        <v>5087</v>
      </c>
      <c r="F9209" t="s">
        <v>5087</v>
      </c>
      <c r="G9209" t="s">
        <v>5099</v>
      </c>
      <c r="H9209" t="s">
        <v>859</v>
      </c>
      <c r="I9209" t="s">
        <v>860</v>
      </c>
      <c r="J9209" t="str">
        <f>"9051055"</f>
        <v>9051055</v>
      </c>
      <c r="K9209">
        <v>2105743523</v>
      </c>
      <c r="M9209" t="s">
        <v>10341</v>
      </c>
      <c r="N9209" t="s">
        <v>5102</v>
      </c>
      <c r="O9209" t="s">
        <v>10342</v>
      </c>
      <c r="P9209">
        <v>12136</v>
      </c>
      <c r="Q9209" t="str">
        <f>"38.007479"</f>
        <v>38.007479</v>
      </c>
      <c r="R9209" t="str">
        <f>"23.677217"</f>
        <v>23.677217</v>
      </c>
      <c r="S9209" t="s">
        <v>26</v>
      </c>
    </row>
    <row r="9210" spans="1:19" x14ac:dyDescent="0.3">
      <c r="A9210" t="s">
        <v>3237</v>
      </c>
      <c r="B9210" t="s">
        <v>9684</v>
      </c>
      <c r="C9210" t="s">
        <v>10346</v>
      </c>
      <c r="D9210" t="s">
        <v>3251</v>
      </c>
      <c r="E9210" t="s">
        <v>5199</v>
      </c>
      <c r="F9210" t="s">
        <v>5200</v>
      </c>
      <c r="G9210" t="s">
        <v>5200</v>
      </c>
      <c r="H9210" t="s">
        <v>859</v>
      </c>
      <c r="I9210" t="s">
        <v>860</v>
      </c>
      <c r="J9210" t="str">
        <f>"9051595"</f>
        <v>9051595</v>
      </c>
      <c r="K9210">
        <v>2105815804</v>
      </c>
      <c r="L9210">
        <v>2105320709</v>
      </c>
      <c r="M9210" t="s">
        <v>10347</v>
      </c>
      <c r="N9210" t="s">
        <v>9879</v>
      </c>
      <c r="O9210" t="s">
        <v>10348</v>
      </c>
      <c r="P9210">
        <v>12461</v>
      </c>
      <c r="Q9210" t="str">
        <f>"38.011086"</f>
        <v>38.011086</v>
      </c>
      <c r="R9210" t="str">
        <f>"23.670538"</f>
        <v>23.670538</v>
      </c>
      <c r="S9210" t="s">
        <v>26</v>
      </c>
    </row>
    <row r="9211" spans="1:19" x14ac:dyDescent="0.3">
      <c r="A9211" t="s">
        <v>3237</v>
      </c>
      <c r="B9211" t="s">
        <v>9684</v>
      </c>
      <c r="C9211" t="s">
        <v>10353</v>
      </c>
      <c r="D9211" t="s">
        <v>3251</v>
      </c>
      <c r="E9211" t="s">
        <v>5199</v>
      </c>
      <c r="F9211" t="s">
        <v>5200</v>
      </c>
      <c r="G9211" t="s">
        <v>5200</v>
      </c>
      <c r="H9211" t="s">
        <v>859</v>
      </c>
      <c r="I9211" t="s">
        <v>860</v>
      </c>
      <c r="J9211" t="str">
        <f>"9050858"</f>
        <v>9050858</v>
      </c>
      <c r="K9211">
        <v>2105813120</v>
      </c>
      <c r="L9211">
        <v>2105813120</v>
      </c>
      <c r="M9211" t="s">
        <v>10354</v>
      </c>
      <c r="N9211" t="s">
        <v>9879</v>
      </c>
      <c r="O9211" t="s">
        <v>9340</v>
      </c>
      <c r="P9211">
        <v>12461</v>
      </c>
      <c r="Q9211" t="str">
        <f>"38.013329"</f>
        <v>38.013329</v>
      </c>
      <c r="R9211" t="str">
        <f>"23.665549"</f>
        <v>23.665549</v>
      </c>
      <c r="S9211" t="s">
        <v>26</v>
      </c>
    </row>
    <row r="9212" spans="1:19" x14ac:dyDescent="0.3">
      <c r="A9212" t="s">
        <v>3237</v>
      </c>
      <c r="B9212" t="s">
        <v>9684</v>
      </c>
      <c r="C9212" t="s">
        <v>10355</v>
      </c>
      <c r="D9212" t="s">
        <v>3251</v>
      </c>
      <c r="E9212" t="s">
        <v>5199</v>
      </c>
      <c r="F9212" t="s">
        <v>5200</v>
      </c>
      <c r="G9212" t="s">
        <v>5200</v>
      </c>
      <c r="H9212" t="s">
        <v>859</v>
      </c>
      <c r="I9212" t="s">
        <v>860</v>
      </c>
      <c r="J9212" t="str">
        <f>"9051434"</f>
        <v>9051434</v>
      </c>
      <c r="K9212">
        <v>2105817176</v>
      </c>
      <c r="L9212">
        <v>2105817176</v>
      </c>
      <c r="M9212" t="s">
        <v>10356</v>
      </c>
      <c r="N9212" t="s">
        <v>9879</v>
      </c>
      <c r="O9212" t="s">
        <v>10357</v>
      </c>
      <c r="P9212">
        <v>12461</v>
      </c>
      <c r="Q9212" t="str">
        <f>"38.013411"</f>
        <v>38.013411</v>
      </c>
      <c r="R9212" t="str">
        <f>"23.664681"</f>
        <v>23.664681</v>
      </c>
      <c r="S9212" t="s">
        <v>26</v>
      </c>
    </row>
    <row r="9213" spans="1:19" x14ac:dyDescent="0.3">
      <c r="A9213" t="s">
        <v>3237</v>
      </c>
      <c r="B9213" t="s">
        <v>9684</v>
      </c>
      <c r="C9213" t="s">
        <v>10360</v>
      </c>
      <c r="D9213" t="s">
        <v>3251</v>
      </c>
      <c r="E9213" t="s">
        <v>5087</v>
      </c>
      <c r="F9213" t="s">
        <v>5087</v>
      </c>
      <c r="G9213" t="s">
        <v>5116</v>
      </c>
      <c r="H9213" t="s">
        <v>859</v>
      </c>
      <c r="I9213" t="s">
        <v>860</v>
      </c>
      <c r="J9213" t="str">
        <f>"9050863"</f>
        <v>9050863</v>
      </c>
      <c r="K9213">
        <v>2105741892</v>
      </c>
      <c r="M9213" t="s">
        <v>10361</v>
      </c>
      <c r="N9213" t="s">
        <v>5102</v>
      </c>
      <c r="O9213" t="s">
        <v>10362</v>
      </c>
      <c r="P9213">
        <v>12132</v>
      </c>
      <c r="Q9213" t="str">
        <f>"38.008802"</f>
        <v>38.008802</v>
      </c>
      <c r="R9213" t="str">
        <f>"23.709078"</f>
        <v>23.709078</v>
      </c>
      <c r="S9213" t="s">
        <v>26</v>
      </c>
    </row>
    <row r="9214" spans="1:19" x14ac:dyDescent="0.3">
      <c r="A9214" t="s">
        <v>3237</v>
      </c>
      <c r="B9214" t="s">
        <v>9684</v>
      </c>
      <c r="C9214" t="s">
        <v>10363</v>
      </c>
      <c r="D9214" t="s">
        <v>3251</v>
      </c>
      <c r="E9214" t="s">
        <v>5087</v>
      </c>
      <c r="F9214" t="s">
        <v>5087</v>
      </c>
      <c r="G9214" t="s">
        <v>5116</v>
      </c>
      <c r="H9214" t="s">
        <v>859</v>
      </c>
      <c r="I9214" t="s">
        <v>860</v>
      </c>
      <c r="J9214" t="str">
        <f>"9050985"</f>
        <v>9050985</v>
      </c>
      <c r="K9214">
        <v>2105739822</v>
      </c>
      <c r="L9214">
        <v>2105739822</v>
      </c>
      <c r="M9214" t="s">
        <v>10364</v>
      </c>
      <c r="N9214" t="s">
        <v>5102</v>
      </c>
      <c r="O9214" t="s">
        <v>10193</v>
      </c>
      <c r="P9214">
        <v>12133</v>
      </c>
      <c r="Q9214" t="str">
        <f>"38.014429"</f>
        <v>38.014429</v>
      </c>
      <c r="R9214" t="str">
        <f>"23.712829"</f>
        <v>23.712829</v>
      </c>
      <c r="S9214" t="s">
        <v>26</v>
      </c>
    </row>
    <row r="9215" spans="1:19" x14ac:dyDescent="0.3">
      <c r="A9215" t="s">
        <v>3237</v>
      </c>
      <c r="B9215" t="s">
        <v>9684</v>
      </c>
      <c r="C9215" t="s">
        <v>10375</v>
      </c>
      <c r="D9215" t="s">
        <v>3251</v>
      </c>
      <c r="E9215" t="s">
        <v>3252</v>
      </c>
      <c r="F9215" t="s">
        <v>3252</v>
      </c>
      <c r="G9215" t="s">
        <v>3252</v>
      </c>
      <c r="H9215" t="s">
        <v>859</v>
      </c>
      <c r="I9215" t="s">
        <v>860</v>
      </c>
      <c r="J9215" t="str">
        <f>"9050362"</f>
        <v>9050362</v>
      </c>
      <c r="K9215">
        <v>2105987523</v>
      </c>
      <c r="L9215">
        <v>2105987523</v>
      </c>
      <c r="M9215" t="s">
        <v>10376</v>
      </c>
      <c r="N9215" t="s">
        <v>3252</v>
      </c>
      <c r="O9215" t="s">
        <v>10377</v>
      </c>
      <c r="P9215">
        <v>12242</v>
      </c>
      <c r="Q9215" t="str">
        <f>"37.995780"</f>
        <v>37.995780</v>
      </c>
      <c r="R9215" t="str">
        <f>"23.691713"</f>
        <v>23.691713</v>
      </c>
      <c r="S9215" t="s">
        <v>26</v>
      </c>
    </row>
    <row r="9216" spans="1:19" x14ac:dyDescent="0.3">
      <c r="A9216" t="s">
        <v>3237</v>
      </c>
      <c r="B9216" t="s">
        <v>9684</v>
      </c>
      <c r="C9216" t="s">
        <v>10398</v>
      </c>
      <c r="D9216" t="s">
        <v>3251</v>
      </c>
      <c r="E9216" t="s">
        <v>5087</v>
      </c>
      <c r="F9216" t="s">
        <v>5087</v>
      </c>
      <c r="G9216" t="s">
        <v>5099</v>
      </c>
      <c r="H9216" t="s">
        <v>859</v>
      </c>
      <c r="I9216" t="s">
        <v>860</v>
      </c>
      <c r="J9216" t="str">
        <f>"9050764"</f>
        <v>9050764</v>
      </c>
      <c r="K9216">
        <v>2105710306</v>
      </c>
      <c r="L9216">
        <v>2105710306</v>
      </c>
      <c r="M9216" t="s">
        <v>10399</v>
      </c>
      <c r="N9216" t="s">
        <v>5102</v>
      </c>
      <c r="O9216" t="s">
        <v>9720</v>
      </c>
      <c r="P9216">
        <v>12136</v>
      </c>
      <c r="Q9216" t="str">
        <f>"38.011333"</f>
        <v>38.011333</v>
      </c>
      <c r="R9216" t="str">
        <f>"23.678531"</f>
        <v>23.678531</v>
      </c>
      <c r="S9216" t="s">
        <v>26</v>
      </c>
    </row>
    <row r="9217" spans="1:19" x14ac:dyDescent="0.3">
      <c r="A9217" t="s">
        <v>3237</v>
      </c>
      <c r="B9217" t="s">
        <v>9684</v>
      </c>
      <c r="C9217" t="s">
        <v>10400</v>
      </c>
      <c r="D9217" t="s">
        <v>3251</v>
      </c>
      <c r="E9217" t="s">
        <v>3252</v>
      </c>
      <c r="F9217" t="s">
        <v>3252</v>
      </c>
      <c r="G9217" t="s">
        <v>3252</v>
      </c>
      <c r="H9217" t="s">
        <v>859</v>
      </c>
      <c r="I9217" t="s">
        <v>860</v>
      </c>
      <c r="J9217" t="str">
        <f>"9050356"</f>
        <v>9050356</v>
      </c>
      <c r="K9217">
        <v>2105692459</v>
      </c>
      <c r="L9217">
        <v>2105692459</v>
      </c>
      <c r="M9217" t="s">
        <v>10401</v>
      </c>
      <c r="N9217" t="s">
        <v>3252</v>
      </c>
      <c r="O9217" t="s">
        <v>10235</v>
      </c>
      <c r="P9217">
        <v>12241</v>
      </c>
      <c r="Q9217" t="str">
        <f>"37.989925"</f>
        <v>37.989925</v>
      </c>
      <c r="R9217" t="str">
        <f>"23.679241"</f>
        <v>23.679241</v>
      </c>
      <c r="S9217" t="s">
        <v>26</v>
      </c>
    </row>
    <row r="9218" spans="1:19" x14ac:dyDescent="0.3">
      <c r="A9218" t="s">
        <v>3237</v>
      </c>
      <c r="B9218" t="s">
        <v>9684</v>
      </c>
      <c r="C9218" t="s">
        <v>10415</v>
      </c>
      <c r="D9218" t="s">
        <v>3251</v>
      </c>
      <c r="E9218" t="s">
        <v>3290</v>
      </c>
      <c r="F9218" t="s">
        <v>3290</v>
      </c>
      <c r="G9218" t="s">
        <v>3290</v>
      </c>
      <c r="H9218" t="s">
        <v>859</v>
      </c>
      <c r="I9218" t="s">
        <v>860</v>
      </c>
      <c r="J9218" t="str">
        <f>"9051916"</f>
        <v>9051916</v>
      </c>
      <c r="K9218">
        <v>2102623251</v>
      </c>
      <c r="L9218">
        <v>2102623251</v>
      </c>
      <c r="M9218" t="s">
        <v>10416</v>
      </c>
      <c r="N9218" t="s">
        <v>5097</v>
      </c>
      <c r="O9218" t="s">
        <v>10417</v>
      </c>
      <c r="P9218">
        <v>13122</v>
      </c>
      <c r="Q9218" t="str">
        <f>"38.023779"</f>
        <v>38.023779</v>
      </c>
      <c r="R9218" t="str">
        <f>"23.710378"</f>
        <v>23.710378</v>
      </c>
      <c r="S9218" t="s">
        <v>26</v>
      </c>
    </row>
    <row r="9219" spans="1:19" x14ac:dyDescent="0.3">
      <c r="A9219" t="s">
        <v>3237</v>
      </c>
      <c r="B9219" t="s">
        <v>9684</v>
      </c>
      <c r="C9219" t="s">
        <v>10418</v>
      </c>
      <c r="D9219" t="s">
        <v>3251</v>
      </c>
      <c r="E9219" t="s">
        <v>5087</v>
      </c>
      <c r="F9219" t="s">
        <v>5087</v>
      </c>
      <c r="G9219" t="s">
        <v>5099</v>
      </c>
      <c r="H9219" t="s">
        <v>859</v>
      </c>
      <c r="I9219" t="s">
        <v>860</v>
      </c>
      <c r="J9219" t="str">
        <f>"9050766"</f>
        <v>9050766</v>
      </c>
      <c r="K9219">
        <v>2105758340</v>
      </c>
      <c r="L9219">
        <v>2105758340</v>
      </c>
      <c r="M9219" t="s">
        <v>10419</v>
      </c>
      <c r="N9219" t="s">
        <v>5102</v>
      </c>
      <c r="O9219" t="s">
        <v>10420</v>
      </c>
      <c r="P9219">
        <v>12136</v>
      </c>
      <c r="Q9219" t="str">
        <f>"38.005378"</f>
        <v>38.005378</v>
      </c>
      <c r="R9219" t="str">
        <f>"23.681995"</f>
        <v>23.681995</v>
      </c>
      <c r="S9219" t="s">
        <v>26</v>
      </c>
    </row>
    <row r="9220" spans="1:19" x14ac:dyDescent="0.3">
      <c r="A9220" t="s">
        <v>3237</v>
      </c>
      <c r="B9220" t="s">
        <v>9684</v>
      </c>
      <c r="C9220" t="s">
        <v>10421</v>
      </c>
      <c r="D9220" t="s">
        <v>3251</v>
      </c>
      <c r="E9220" t="s">
        <v>5087</v>
      </c>
      <c r="F9220" t="s">
        <v>5087</v>
      </c>
      <c r="G9220" t="s">
        <v>5099</v>
      </c>
      <c r="H9220" t="s">
        <v>859</v>
      </c>
      <c r="I9220" t="s">
        <v>860</v>
      </c>
      <c r="J9220" t="str">
        <f>"9051512"</f>
        <v>9051512</v>
      </c>
      <c r="K9220">
        <v>2105753043</v>
      </c>
      <c r="L9220">
        <v>2105753043</v>
      </c>
      <c r="M9220" t="s">
        <v>10422</v>
      </c>
      <c r="N9220" t="s">
        <v>5102</v>
      </c>
      <c r="O9220" t="s">
        <v>10423</v>
      </c>
      <c r="P9220">
        <v>12136</v>
      </c>
      <c r="Q9220" t="str">
        <f>"38.007170"</f>
        <v>38.007170</v>
      </c>
      <c r="R9220" t="str">
        <f>"23.680655"</f>
        <v>23.680655</v>
      </c>
      <c r="S9220" t="s">
        <v>26</v>
      </c>
    </row>
    <row r="9221" spans="1:19" x14ac:dyDescent="0.3">
      <c r="A9221" t="s">
        <v>3237</v>
      </c>
      <c r="B9221" t="s">
        <v>9684</v>
      </c>
      <c r="C9221" t="s">
        <v>10451</v>
      </c>
      <c r="D9221" t="s">
        <v>3251</v>
      </c>
      <c r="E9221" t="s">
        <v>3252</v>
      </c>
      <c r="F9221" t="s">
        <v>3252</v>
      </c>
      <c r="G9221" t="s">
        <v>3252</v>
      </c>
      <c r="H9221" t="s">
        <v>859</v>
      </c>
      <c r="I9221" t="s">
        <v>860</v>
      </c>
      <c r="J9221" t="str">
        <f>"9051046"</f>
        <v>9051046</v>
      </c>
      <c r="K9221">
        <v>2105440602</v>
      </c>
      <c r="L9221">
        <v>2105440602</v>
      </c>
      <c r="M9221" t="s">
        <v>10452</v>
      </c>
      <c r="N9221" t="s">
        <v>3252</v>
      </c>
      <c r="O9221" t="s">
        <v>10061</v>
      </c>
      <c r="P9221">
        <v>12244</v>
      </c>
      <c r="Q9221" t="str">
        <f>"37.988571"</f>
        <v>37.988571</v>
      </c>
      <c r="R9221" t="str">
        <f>"23.675548"</f>
        <v>23.675548</v>
      </c>
      <c r="S9221" t="s">
        <v>26</v>
      </c>
    </row>
    <row r="9222" spans="1:19" x14ac:dyDescent="0.3">
      <c r="A9222" t="s">
        <v>3237</v>
      </c>
      <c r="B9222" t="s">
        <v>9684</v>
      </c>
      <c r="C9222" t="s">
        <v>10453</v>
      </c>
      <c r="D9222" t="s">
        <v>3251</v>
      </c>
      <c r="E9222" t="s">
        <v>5171</v>
      </c>
      <c r="F9222" t="s">
        <v>5171</v>
      </c>
      <c r="G9222" t="s">
        <v>5171</v>
      </c>
      <c r="H9222" t="s">
        <v>859</v>
      </c>
      <c r="I9222" t="s">
        <v>860</v>
      </c>
      <c r="J9222" t="str">
        <f>"9521205"</f>
        <v>9521205</v>
      </c>
      <c r="K9222">
        <v>2105013637</v>
      </c>
      <c r="L9222">
        <v>2105013637</v>
      </c>
      <c r="M9222" t="s">
        <v>10454</v>
      </c>
      <c r="N9222" t="s">
        <v>5174</v>
      </c>
      <c r="O9222" t="s">
        <v>10455</v>
      </c>
      <c r="P9222">
        <v>13231</v>
      </c>
      <c r="Q9222" t="str">
        <f>"38.045703"</f>
        <v>38.045703</v>
      </c>
      <c r="R9222" t="str">
        <f>"23.676183"</f>
        <v>23.676183</v>
      </c>
      <c r="S9222" t="s">
        <v>26</v>
      </c>
    </row>
    <row r="9223" spans="1:19" x14ac:dyDescent="0.3">
      <c r="A9223" t="s">
        <v>3237</v>
      </c>
      <c r="B9223" t="s">
        <v>9684</v>
      </c>
      <c r="C9223" t="s">
        <v>10456</v>
      </c>
      <c r="D9223" t="s">
        <v>3251</v>
      </c>
      <c r="E9223" t="s">
        <v>5171</v>
      </c>
      <c r="F9223" t="s">
        <v>5171</v>
      </c>
      <c r="G9223" t="s">
        <v>5171</v>
      </c>
      <c r="H9223" t="s">
        <v>859</v>
      </c>
      <c r="I9223" t="s">
        <v>860</v>
      </c>
      <c r="J9223" t="str">
        <f>"9521206"</f>
        <v>9521206</v>
      </c>
      <c r="K9223">
        <v>2105062837</v>
      </c>
      <c r="L9223">
        <v>2105029070</v>
      </c>
      <c r="M9223" t="s">
        <v>10457</v>
      </c>
      <c r="N9223" t="s">
        <v>5174</v>
      </c>
      <c r="O9223" t="s">
        <v>10458</v>
      </c>
      <c r="P9223">
        <v>13232</v>
      </c>
      <c r="Q9223" t="str">
        <f>"38.048589"</f>
        <v>38.048589</v>
      </c>
      <c r="R9223" t="str">
        <f>"23.682790"</f>
        <v>23.682790</v>
      </c>
      <c r="S9223" t="s">
        <v>26</v>
      </c>
    </row>
    <row r="9224" spans="1:19" x14ac:dyDescent="0.3">
      <c r="A9224" t="s">
        <v>3237</v>
      </c>
      <c r="B9224" t="s">
        <v>9684</v>
      </c>
      <c r="C9224" t="s">
        <v>10459</v>
      </c>
      <c r="D9224" t="s">
        <v>3251</v>
      </c>
      <c r="E9224" t="s">
        <v>5199</v>
      </c>
      <c r="F9224" t="s">
        <v>5200</v>
      </c>
      <c r="G9224" t="s">
        <v>5200</v>
      </c>
      <c r="H9224" t="s">
        <v>859</v>
      </c>
      <c r="I9224" t="s">
        <v>860</v>
      </c>
      <c r="J9224" t="str">
        <f>"9521257"</f>
        <v>9521257</v>
      </c>
      <c r="K9224">
        <v>2105810207</v>
      </c>
      <c r="L9224">
        <v>2105810207</v>
      </c>
      <c r="M9224" t="s">
        <v>10460</v>
      </c>
      <c r="N9224" t="s">
        <v>5203</v>
      </c>
      <c r="O9224" t="s">
        <v>10461</v>
      </c>
      <c r="P9224">
        <v>12461</v>
      </c>
      <c r="Q9224" t="str">
        <f>"38.004893"</f>
        <v>38.004893</v>
      </c>
      <c r="R9224" t="str">
        <f>"23.661935"</f>
        <v>23.661935</v>
      </c>
      <c r="S9224" t="s">
        <v>26</v>
      </c>
    </row>
    <row r="9225" spans="1:19" x14ac:dyDescent="0.3">
      <c r="A9225" t="s">
        <v>3237</v>
      </c>
      <c r="B9225" t="s">
        <v>9684</v>
      </c>
      <c r="C9225" t="s">
        <v>10467</v>
      </c>
      <c r="D9225" t="s">
        <v>3251</v>
      </c>
      <c r="E9225" t="s">
        <v>3252</v>
      </c>
      <c r="F9225" t="s">
        <v>3252</v>
      </c>
      <c r="G9225" t="s">
        <v>3252</v>
      </c>
      <c r="H9225" t="s">
        <v>859</v>
      </c>
      <c r="I9225" t="s">
        <v>1102</v>
      </c>
      <c r="J9225" t="str">
        <f>"9521165"</f>
        <v>9521165</v>
      </c>
      <c r="K9225">
        <v>2105621237</v>
      </c>
      <c r="L9225">
        <v>2105621237</v>
      </c>
      <c r="M9225" t="s">
        <v>10468</v>
      </c>
      <c r="N9225" t="s">
        <v>3252</v>
      </c>
      <c r="O9225" t="s">
        <v>10469</v>
      </c>
      <c r="P9225">
        <v>12244</v>
      </c>
      <c r="Q9225" t="str">
        <f>"37.983829"</f>
        <v>37.983829</v>
      </c>
      <c r="R9225" t="str">
        <f>"23.668445"</f>
        <v>23.668445</v>
      </c>
      <c r="S9225" t="s">
        <v>26</v>
      </c>
    </row>
    <row r="9226" spans="1:19" x14ac:dyDescent="0.3">
      <c r="A9226" t="s">
        <v>3237</v>
      </c>
      <c r="B9226" t="s">
        <v>9684</v>
      </c>
      <c r="C9226" t="s">
        <v>10470</v>
      </c>
      <c r="D9226" t="s">
        <v>3251</v>
      </c>
      <c r="E9226" t="s">
        <v>5087</v>
      </c>
      <c r="F9226" t="s">
        <v>5087</v>
      </c>
      <c r="G9226" t="s">
        <v>5099</v>
      </c>
      <c r="H9226" t="s">
        <v>859</v>
      </c>
      <c r="I9226" t="s">
        <v>860</v>
      </c>
      <c r="J9226" t="str">
        <f>"9521423"</f>
        <v>9521423</v>
      </c>
      <c r="K9226">
        <v>2105741721</v>
      </c>
      <c r="L9226">
        <v>2105741721</v>
      </c>
      <c r="M9226" t="s">
        <v>10471</v>
      </c>
      <c r="N9226" t="s">
        <v>5087</v>
      </c>
      <c r="O9226" t="s">
        <v>10472</v>
      </c>
      <c r="P9226">
        <v>12137</v>
      </c>
      <c r="Q9226" t="str">
        <f>"38.020585"</f>
        <v>38.020585</v>
      </c>
      <c r="R9226" t="str">
        <f>"23.672602"</f>
        <v>23.672602</v>
      </c>
      <c r="S9226" t="s">
        <v>26</v>
      </c>
    </row>
    <row r="9227" spans="1:19" x14ac:dyDescent="0.3">
      <c r="A9227" t="s">
        <v>3237</v>
      </c>
      <c r="B9227" t="s">
        <v>9684</v>
      </c>
      <c r="C9227" t="s">
        <v>10473</v>
      </c>
      <c r="D9227" t="s">
        <v>3251</v>
      </c>
      <c r="E9227" t="s">
        <v>5087</v>
      </c>
      <c r="F9227" t="s">
        <v>5087</v>
      </c>
      <c r="G9227" t="s">
        <v>5281</v>
      </c>
      <c r="H9227" t="s">
        <v>859</v>
      </c>
      <c r="I9227" t="s">
        <v>1102</v>
      </c>
      <c r="J9227" t="str">
        <f>"9520637"</f>
        <v>9520637</v>
      </c>
      <c r="K9227">
        <v>2105714124</v>
      </c>
      <c r="L9227">
        <v>2105714104</v>
      </c>
      <c r="M9227" t="s">
        <v>10474</v>
      </c>
      <c r="N9227" t="s">
        <v>5102</v>
      </c>
      <c r="O9227" t="s">
        <v>10450</v>
      </c>
      <c r="P9227">
        <v>12131</v>
      </c>
      <c r="Q9227" t="str">
        <f>"38.000540"</f>
        <v>38.000540</v>
      </c>
      <c r="R9227" t="str">
        <f>"23.693600"</f>
        <v>23.693600</v>
      </c>
      <c r="S9227" t="s">
        <v>26</v>
      </c>
    </row>
    <row r="9228" spans="1:19" x14ac:dyDescent="0.3">
      <c r="A9228" t="s">
        <v>3237</v>
      </c>
      <c r="B9228" t="s">
        <v>9684</v>
      </c>
      <c r="C9228" t="s">
        <v>10478</v>
      </c>
      <c r="D9228" t="s">
        <v>3251</v>
      </c>
      <c r="E9228" t="s">
        <v>5121</v>
      </c>
      <c r="F9228" t="s">
        <v>5127</v>
      </c>
      <c r="G9228" t="s">
        <v>5127</v>
      </c>
      <c r="H9228" t="s">
        <v>859</v>
      </c>
      <c r="I9228" t="s">
        <v>860</v>
      </c>
      <c r="J9228" t="str">
        <f>"9521204"</f>
        <v>9521204</v>
      </c>
      <c r="K9228">
        <v>2105069470</v>
      </c>
      <c r="L9228">
        <v>2105055771</v>
      </c>
      <c r="M9228" t="s">
        <v>10479</v>
      </c>
      <c r="N9228" t="s">
        <v>5130</v>
      </c>
      <c r="O9228" t="s">
        <v>10480</v>
      </c>
      <c r="P9228">
        <v>13451</v>
      </c>
      <c r="Q9228" t="str">
        <f>"38.051284"</f>
        <v>38.051284</v>
      </c>
      <c r="R9228" t="str">
        <f>"23.694938"</f>
        <v>23.694938</v>
      </c>
      <c r="S9228" t="s">
        <v>26</v>
      </c>
    </row>
    <row r="9229" spans="1:19" x14ac:dyDescent="0.3">
      <c r="A9229" t="s">
        <v>3237</v>
      </c>
      <c r="B9229" t="s">
        <v>9684</v>
      </c>
      <c r="C9229" t="s">
        <v>10481</v>
      </c>
      <c r="D9229" t="s">
        <v>3251</v>
      </c>
      <c r="E9229" t="s">
        <v>3290</v>
      </c>
      <c r="F9229" t="s">
        <v>3290</v>
      </c>
      <c r="G9229" t="s">
        <v>3290</v>
      </c>
      <c r="H9229" t="s">
        <v>859</v>
      </c>
      <c r="I9229" t="s">
        <v>1102</v>
      </c>
      <c r="J9229" t="str">
        <f>"9520805"</f>
        <v>9520805</v>
      </c>
      <c r="K9229">
        <v>2102616070</v>
      </c>
      <c r="L9229">
        <v>2102616070</v>
      </c>
      <c r="M9229" t="s">
        <v>10482</v>
      </c>
      <c r="N9229" t="s">
        <v>5097</v>
      </c>
      <c r="O9229" t="s">
        <v>10315</v>
      </c>
      <c r="P9229">
        <v>13121</v>
      </c>
      <c r="Q9229" t="str">
        <f>"38.027318"</f>
        <v>38.027318</v>
      </c>
      <c r="R9229" t="str">
        <f>"23.697097"</f>
        <v>23.697097</v>
      </c>
      <c r="S9229" t="s">
        <v>26</v>
      </c>
    </row>
    <row r="9230" spans="1:19" x14ac:dyDescent="0.3">
      <c r="A9230" t="s">
        <v>3237</v>
      </c>
      <c r="B9230" t="s">
        <v>9684</v>
      </c>
      <c r="C9230" t="s">
        <v>10483</v>
      </c>
      <c r="D9230" t="s">
        <v>3251</v>
      </c>
      <c r="E9230" t="s">
        <v>5121</v>
      </c>
      <c r="F9230" t="s">
        <v>5127</v>
      </c>
      <c r="G9230" t="s">
        <v>5127</v>
      </c>
      <c r="H9230" t="s">
        <v>859</v>
      </c>
      <c r="I9230" t="s">
        <v>860</v>
      </c>
      <c r="J9230" t="str">
        <f>"9521570"</f>
        <v>9521570</v>
      </c>
      <c r="K9230">
        <v>2110129758</v>
      </c>
      <c r="L9230">
        <v>2102313666</v>
      </c>
      <c r="M9230" t="s">
        <v>10484</v>
      </c>
      <c r="N9230" t="s">
        <v>5130</v>
      </c>
      <c r="O9230" t="s">
        <v>10485</v>
      </c>
      <c r="P9230">
        <v>13451</v>
      </c>
      <c r="Q9230" t="str">
        <f>"38.048955"</f>
        <v>38.048955</v>
      </c>
      <c r="R9230" t="str">
        <f>"23.722272"</f>
        <v>23.722272</v>
      </c>
      <c r="S9230" t="s">
        <v>26</v>
      </c>
    </row>
    <row r="9231" spans="1:19" x14ac:dyDescent="0.3">
      <c r="A9231" t="s">
        <v>3237</v>
      </c>
      <c r="B9231" t="s">
        <v>9684</v>
      </c>
      <c r="C9231" t="s">
        <v>10486</v>
      </c>
      <c r="D9231" t="s">
        <v>3251</v>
      </c>
      <c r="E9231" t="s">
        <v>5199</v>
      </c>
      <c r="F9231" t="s">
        <v>5200</v>
      </c>
      <c r="G9231" t="s">
        <v>5200</v>
      </c>
      <c r="H9231" t="s">
        <v>859</v>
      </c>
      <c r="I9231" t="s">
        <v>860</v>
      </c>
      <c r="J9231" t="str">
        <f>"9521651"</f>
        <v>9521651</v>
      </c>
      <c r="K9231">
        <v>2105322424</v>
      </c>
      <c r="L9231">
        <v>2105322424</v>
      </c>
      <c r="M9231" t="s">
        <v>10487</v>
      </c>
      <c r="N9231" t="s">
        <v>10488</v>
      </c>
      <c r="O9231" t="s">
        <v>10203</v>
      </c>
      <c r="P9231">
        <v>12462</v>
      </c>
      <c r="Q9231" t="str">
        <f>"38.020273"</f>
        <v>38.020273</v>
      </c>
      <c r="R9231" t="str">
        <f>"23.650532"</f>
        <v>23.650532</v>
      </c>
      <c r="S9231" t="s">
        <v>26</v>
      </c>
    </row>
    <row r="9232" spans="1:19" x14ac:dyDescent="0.3">
      <c r="A9232" t="s">
        <v>3237</v>
      </c>
      <c r="B9232" t="s">
        <v>9684</v>
      </c>
      <c r="C9232" t="s">
        <v>10489</v>
      </c>
      <c r="D9232" t="s">
        <v>3251</v>
      </c>
      <c r="E9232" t="s">
        <v>3290</v>
      </c>
      <c r="F9232" t="s">
        <v>3290</v>
      </c>
      <c r="G9232" t="s">
        <v>3290</v>
      </c>
      <c r="H9232" t="s">
        <v>859</v>
      </c>
      <c r="I9232" t="s">
        <v>860</v>
      </c>
      <c r="J9232" t="str">
        <f>"9521653"</f>
        <v>9521653</v>
      </c>
      <c r="K9232">
        <v>2105027242</v>
      </c>
      <c r="L9232">
        <v>2105027242</v>
      </c>
      <c r="M9232" t="s">
        <v>10490</v>
      </c>
      <c r="N9232" t="s">
        <v>5097</v>
      </c>
      <c r="O9232" t="s">
        <v>10491</v>
      </c>
      <c r="P9232">
        <v>13123</v>
      </c>
      <c r="Q9232" t="str">
        <f>"38.044970"</f>
        <v>38.044970</v>
      </c>
      <c r="R9232" t="str">
        <f>"23.703220"</f>
        <v>23.703220</v>
      </c>
      <c r="S9232" t="s">
        <v>26</v>
      </c>
    </row>
    <row r="9233" spans="1:19" x14ac:dyDescent="0.3">
      <c r="A9233" t="s">
        <v>3237</v>
      </c>
      <c r="B9233" t="s">
        <v>9684</v>
      </c>
      <c r="C9233" t="s">
        <v>10492</v>
      </c>
      <c r="D9233" t="s">
        <v>3251</v>
      </c>
      <c r="E9233" t="s">
        <v>5171</v>
      </c>
      <c r="F9233" t="s">
        <v>5171</v>
      </c>
      <c r="G9233" t="s">
        <v>5171</v>
      </c>
      <c r="H9233" t="s">
        <v>859</v>
      </c>
      <c r="I9233" t="s">
        <v>860</v>
      </c>
      <c r="J9233" t="str">
        <f>"9521652"</f>
        <v>9521652</v>
      </c>
      <c r="K9233">
        <v>2105060007</v>
      </c>
      <c r="M9233" t="s">
        <v>10493</v>
      </c>
      <c r="N9233" t="s">
        <v>5340</v>
      </c>
      <c r="O9233" t="s">
        <v>10056</v>
      </c>
      <c r="P9233">
        <v>13231</v>
      </c>
      <c r="Q9233" t="str">
        <f>"38.037123"</f>
        <v>38.037123</v>
      </c>
      <c r="R9233" t="str">
        <f>"23.682461"</f>
        <v>23.682461</v>
      </c>
      <c r="S9233" t="s">
        <v>26</v>
      </c>
    </row>
    <row r="9234" spans="1:19" x14ac:dyDescent="0.3">
      <c r="A9234" t="s">
        <v>3237</v>
      </c>
      <c r="B9234" t="s">
        <v>9684</v>
      </c>
      <c r="C9234" t="s">
        <v>10494</v>
      </c>
      <c r="D9234" t="s">
        <v>3251</v>
      </c>
      <c r="E9234" t="s">
        <v>5199</v>
      </c>
      <c r="F9234" t="s">
        <v>5200</v>
      </c>
      <c r="G9234" t="s">
        <v>5200</v>
      </c>
      <c r="H9234" t="s">
        <v>859</v>
      </c>
      <c r="I9234" t="s">
        <v>860</v>
      </c>
      <c r="J9234" t="str">
        <f>"9059235"</f>
        <v>9059235</v>
      </c>
      <c r="K9234">
        <v>2105320593</v>
      </c>
      <c r="L9234">
        <v>2105320593</v>
      </c>
      <c r="M9234" t="s">
        <v>10495</v>
      </c>
      <c r="N9234" t="s">
        <v>5203</v>
      </c>
      <c r="O9234" t="s">
        <v>10028</v>
      </c>
      <c r="P9234">
        <v>12462</v>
      </c>
      <c r="Q9234" t="str">
        <f>"38.018409"</f>
        <v>38.018409</v>
      </c>
      <c r="R9234" t="str">
        <f>"23.648076"</f>
        <v>23.648076</v>
      </c>
      <c r="S9234" t="s">
        <v>26</v>
      </c>
    </row>
    <row r="9235" spans="1:19" x14ac:dyDescent="0.3">
      <c r="A9235" t="s">
        <v>3237</v>
      </c>
      <c r="B9235" t="s">
        <v>9684</v>
      </c>
      <c r="C9235" t="s">
        <v>10496</v>
      </c>
      <c r="D9235" t="s">
        <v>3251</v>
      </c>
      <c r="E9235" t="s">
        <v>3252</v>
      </c>
      <c r="F9235" t="s">
        <v>3252</v>
      </c>
      <c r="G9235" t="s">
        <v>3252</v>
      </c>
      <c r="H9235" t="s">
        <v>859</v>
      </c>
      <c r="I9235" t="s">
        <v>1102</v>
      </c>
      <c r="J9235" t="str">
        <f>"9521695"</f>
        <v>9521695</v>
      </c>
      <c r="K9235">
        <v>2105980662</v>
      </c>
      <c r="M9235" t="s">
        <v>10497</v>
      </c>
      <c r="N9235" t="s">
        <v>3252</v>
      </c>
      <c r="O9235" t="s">
        <v>4630</v>
      </c>
      <c r="P9235">
        <v>12244</v>
      </c>
      <c r="Q9235" t="str">
        <f>"38.000910"</f>
        <v>38.000910</v>
      </c>
      <c r="R9235" t="str">
        <f>"23.677561"</f>
        <v>23.677561</v>
      </c>
      <c r="S9235" t="s">
        <v>26</v>
      </c>
    </row>
    <row r="9236" spans="1:19" x14ac:dyDescent="0.3">
      <c r="A9236" t="s">
        <v>3237</v>
      </c>
      <c r="B9236" t="s">
        <v>9684</v>
      </c>
      <c r="C9236" t="s">
        <v>10499</v>
      </c>
      <c r="D9236" t="s">
        <v>3251</v>
      </c>
      <c r="E9236" t="s">
        <v>5121</v>
      </c>
      <c r="F9236" t="s">
        <v>5127</v>
      </c>
      <c r="G9236" t="s">
        <v>5127</v>
      </c>
      <c r="H9236" t="s">
        <v>859</v>
      </c>
      <c r="I9236" t="s">
        <v>860</v>
      </c>
      <c r="J9236" t="str">
        <f>"9053001"</f>
        <v>9053001</v>
      </c>
      <c r="Q9236" t="str">
        <f>""</f>
        <v/>
      </c>
      <c r="R9236" t="str">
        <f>""</f>
        <v/>
      </c>
      <c r="S9236" t="s">
        <v>26</v>
      </c>
    </row>
    <row r="9237" spans="1:19" x14ac:dyDescent="0.3">
      <c r="A9237" t="s">
        <v>3237</v>
      </c>
      <c r="B9237" t="s">
        <v>9684</v>
      </c>
      <c r="C9237" t="s">
        <v>10500</v>
      </c>
      <c r="D9237" t="s">
        <v>3251</v>
      </c>
      <c r="E9237" t="s">
        <v>5171</v>
      </c>
      <c r="F9237" t="s">
        <v>5171</v>
      </c>
      <c r="G9237" t="s">
        <v>5171</v>
      </c>
      <c r="H9237" t="s">
        <v>859</v>
      </c>
      <c r="I9237" t="s">
        <v>860</v>
      </c>
      <c r="J9237" t="str">
        <f>"9053003"</f>
        <v>9053003</v>
      </c>
      <c r="Q9237" t="str">
        <f>""</f>
        <v/>
      </c>
      <c r="R9237" t="str">
        <f>""</f>
        <v/>
      </c>
      <c r="S9237" t="s">
        <v>26</v>
      </c>
    </row>
    <row r="9238" spans="1:19" x14ac:dyDescent="0.3">
      <c r="A9238" t="s">
        <v>3237</v>
      </c>
      <c r="B9238" t="s">
        <v>9684</v>
      </c>
      <c r="C9238" t="s">
        <v>10501</v>
      </c>
      <c r="D9238" t="s">
        <v>3251</v>
      </c>
      <c r="E9238" t="s">
        <v>5171</v>
      </c>
      <c r="F9238" t="s">
        <v>5171</v>
      </c>
      <c r="G9238" t="s">
        <v>5171</v>
      </c>
      <c r="H9238" t="s">
        <v>859</v>
      </c>
      <c r="I9238" t="s">
        <v>860</v>
      </c>
      <c r="J9238" t="str">
        <f>"9053005"</f>
        <v>9053005</v>
      </c>
      <c r="Q9238" t="str">
        <f>""</f>
        <v/>
      </c>
      <c r="R9238" t="str">
        <f>""</f>
        <v/>
      </c>
      <c r="S9238" t="s">
        <v>26</v>
      </c>
    </row>
    <row r="9239" spans="1:19" x14ac:dyDescent="0.3">
      <c r="A9239" t="s">
        <v>3237</v>
      </c>
      <c r="B9239" t="s">
        <v>9684</v>
      </c>
      <c r="C9239" t="s">
        <v>10502</v>
      </c>
      <c r="D9239" t="s">
        <v>3251</v>
      </c>
      <c r="E9239" t="s">
        <v>5171</v>
      </c>
      <c r="F9239" t="s">
        <v>5171</v>
      </c>
      <c r="G9239" t="s">
        <v>5171</v>
      </c>
      <c r="H9239" t="s">
        <v>859</v>
      </c>
      <c r="I9239" t="s">
        <v>860</v>
      </c>
      <c r="J9239" t="str">
        <f>"9053007"</f>
        <v>9053007</v>
      </c>
      <c r="Q9239" t="str">
        <f>""</f>
        <v/>
      </c>
      <c r="R9239" t="str">
        <f>""</f>
        <v/>
      </c>
      <c r="S9239" t="s">
        <v>26</v>
      </c>
    </row>
    <row r="9240" spans="1:19" x14ac:dyDescent="0.3">
      <c r="A9240" t="s">
        <v>3237</v>
      </c>
      <c r="B9240" t="s">
        <v>10503</v>
      </c>
      <c r="C9240" t="s">
        <v>10507</v>
      </c>
      <c r="D9240" t="s">
        <v>3256</v>
      </c>
      <c r="E9240" t="s">
        <v>4017</v>
      </c>
      <c r="F9240" t="s">
        <v>4017</v>
      </c>
      <c r="G9240" t="s">
        <v>4017</v>
      </c>
      <c r="H9240" t="s">
        <v>859</v>
      </c>
      <c r="I9240" t="s">
        <v>860</v>
      </c>
      <c r="J9240" t="str">
        <f>"9520432"</f>
        <v>9520432</v>
      </c>
      <c r="K9240">
        <v>2109613247</v>
      </c>
      <c r="L9240">
        <v>2109613247</v>
      </c>
      <c r="M9240" t="s">
        <v>10508</v>
      </c>
      <c r="N9240" t="s">
        <v>5578</v>
      </c>
      <c r="O9240" t="s">
        <v>10509</v>
      </c>
      <c r="P9240">
        <v>16561</v>
      </c>
      <c r="Q9240" t="str">
        <f>"37.890655"</f>
        <v>37.890655</v>
      </c>
      <c r="R9240" t="str">
        <f>"23.765004"</f>
        <v>23.765004</v>
      </c>
      <c r="S9240" t="s">
        <v>26</v>
      </c>
    </row>
    <row r="9241" spans="1:19" x14ac:dyDescent="0.3">
      <c r="A9241" t="s">
        <v>3237</v>
      </c>
      <c r="B9241" t="s">
        <v>10503</v>
      </c>
      <c r="C9241" t="s">
        <v>10510</v>
      </c>
      <c r="D9241" t="s">
        <v>3256</v>
      </c>
      <c r="E9241" t="s">
        <v>4017</v>
      </c>
      <c r="F9241" t="s">
        <v>4017</v>
      </c>
      <c r="G9241" t="s">
        <v>4017</v>
      </c>
      <c r="H9241" t="s">
        <v>859</v>
      </c>
      <c r="I9241" t="s">
        <v>860</v>
      </c>
      <c r="J9241" t="str">
        <f>"9051888"</f>
        <v>9051888</v>
      </c>
      <c r="K9241">
        <v>2109631150</v>
      </c>
      <c r="L9241">
        <v>2109631150</v>
      </c>
      <c r="M9241" t="s">
        <v>10511</v>
      </c>
      <c r="N9241" t="s">
        <v>5578</v>
      </c>
      <c r="O9241" t="s">
        <v>10512</v>
      </c>
      <c r="P9241">
        <v>16675</v>
      </c>
      <c r="Q9241" t="str">
        <f>"37.872375"</f>
        <v>37.872375</v>
      </c>
      <c r="R9241" t="str">
        <f>"23.754798"</f>
        <v>23.754798</v>
      </c>
      <c r="S9241" t="s">
        <v>26</v>
      </c>
    </row>
    <row r="9242" spans="1:19" x14ac:dyDescent="0.3">
      <c r="A9242" t="s">
        <v>3237</v>
      </c>
      <c r="B9242" t="s">
        <v>10503</v>
      </c>
      <c r="C9242" t="s">
        <v>10513</v>
      </c>
      <c r="D9242" t="s">
        <v>3256</v>
      </c>
      <c r="E9242" t="s">
        <v>5599</v>
      </c>
      <c r="F9242" t="s">
        <v>5600</v>
      </c>
      <c r="G9242" t="s">
        <v>5601</v>
      </c>
      <c r="H9242" t="s">
        <v>859</v>
      </c>
      <c r="I9242" t="s">
        <v>860</v>
      </c>
      <c r="J9242" t="str">
        <f>"9520378"</f>
        <v>9520378</v>
      </c>
      <c r="K9242">
        <v>2109923968</v>
      </c>
      <c r="L9242">
        <v>2109923968</v>
      </c>
      <c r="M9242" t="s">
        <v>10514</v>
      </c>
      <c r="N9242" t="s">
        <v>1038</v>
      </c>
      <c r="O9242" t="s">
        <v>10515</v>
      </c>
      <c r="P9242">
        <v>16451</v>
      </c>
      <c r="Q9242" t="str">
        <f>"37.906946"</f>
        <v>37.906946</v>
      </c>
      <c r="R9242" t="str">
        <f>"23.757335"</f>
        <v>23.757335</v>
      </c>
      <c r="S9242" t="s">
        <v>26</v>
      </c>
    </row>
    <row r="9243" spans="1:19" x14ac:dyDescent="0.3">
      <c r="A9243" t="s">
        <v>3237</v>
      </c>
      <c r="B9243" t="s">
        <v>10503</v>
      </c>
      <c r="C9243" t="s">
        <v>10516</v>
      </c>
      <c r="D9243" t="s">
        <v>3256</v>
      </c>
      <c r="E9243" t="s">
        <v>5563</v>
      </c>
      <c r="F9243" t="s">
        <v>5563</v>
      </c>
      <c r="G9243" t="s">
        <v>5611</v>
      </c>
      <c r="H9243" t="s">
        <v>859</v>
      </c>
      <c r="I9243" t="s">
        <v>860</v>
      </c>
      <c r="J9243" t="str">
        <f>"9520412"</f>
        <v>9520412</v>
      </c>
      <c r="K9243">
        <v>2109595455</v>
      </c>
      <c r="L9243">
        <v>2109572993</v>
      </c>
      <c r="M9243" t="s">
        <v>10517</v>
      </c>
      <c r="N9243" t="s">
        <v>5567</v>
      </c>
      <c r="O9243" t="s">
        <v>10518</v>
      </c>
      <c r="P9243">
        <v>17673</v>
      </c>
      <c r="Q9243" t="str">
        <f>"37.950964"</f>
        <v>37.950964</v>
      </c>
      <c r="R9243" t="str">
        <f>"23.702827"</f>
        <v>23.702827</v>
      </c>
      <c r="S9243" t="s">
        <v>26</v>
      </c>
    </row>
    <row r="9244" spans="1:19" x14ac:dyDescent="0.3">
      <c r="A9244" t="s">
        <v>3237</v>
      </c>
      <c r="B9244" t="s">
        <v>10503</v>
      </c>
      <c r="C9244" t="s">
        <v>10519</v>
      </c>
      <c r="D9244" t="s">
        <v>3256</v>
      </c>
      <c r="E9244" t="s">
        <v>5563</v>
      </c>
      <c r="F9244" t="s">
        <v>5563</v>
      </c>
      <c r="G9244" t="s">
        <v>5611</v>
      </c>
      <c r="H9244" t="s">
        <v>859</v>
      </c>
      <c r="I9244" t="s">
        <v>860</v>
      </c>
      <c r="J9244" t="str">
        <f>"9520442"</f>
        <v>9520442</v>
      </c>
      <c r="K9244">
        <v>2109572993</v>
      </c>
      <c r="L9244">
        <v>2109572993</v>
      </c>
      <c r="M9244" t="s">
        <v>10520</v>
      </c>
      <c r="N9244" t="s">
        <v>5567</v>
      </c>
      <c r="O9244" t="s">
        <v>10518</v>
      </c>
      <c r="P9244">
        <v>17673</v>
      </c>
      <c r="Q9244" t="str">
        <f>"37.950964"</f>
        <v>37.950964</v>
      </c>
      <c r="R9244" t="str">
        <f>"23.702827"</f>
        <v>23.702827</v>
      </c>
      <c r="S9244" t="s">
        <v>26</v>
      </c>
    </row>
    <row r="9245" spans="1:19" x14ac:dyDescent="0.3">
      <c r="A9245" t="s">
        <v>3237</v>
      </c>
      <c r="B9245" t="s">
        <v>10503</v>
      </c>
      <c r="C9245" t="s">
        <v>10521</v>
      </c>
      <c r="D9245" t="s">
        <v>3256</v>
      </c>
      <c r="E9245" t="s">
        <v>5563</v>
      </c>
      <c r="F9245" t="s">
        <v>5563</v>
      </c>
      <c r="G9245" t="s">
        <v>5633</v>
      </c>
      <c r="H9245" t="s">
        <v>859</v>
      </c>
      <c r="I9245" t="s">
        <v>860</v>
      </c>
      <c r="J9245" t="str">
        <f>"9051247"</f>
        <v>9051247</v>
      </c>
      <c r="K9245">
        <v>2109594116</v>
      </c>
      <c r="L9245">
        <v>2109594116</v>
      </c>
      <c r="M9245" t="s">
        <v>10522</v>
      </c>
      <c r="N9245" t="s">
        <v>5567</v>
      </c>
      <c r="O9245" t="s">
        <v>10523</v>
      </c>
      <c r="P9245">
        <v>17671</v>
      </c>
      <c r="Q9245" t="str">
        <f>"37.957064"</f>
        <v>37.957064</v>
      </c>
      <c r="R9245" t="str">
        <f>"23.713001"</f>
        <v>23.713001</v>
      </c>
      <c r="S9245" t="s">
        <v>26</v>
      </c>
    </row>
    <row r="9246" spans="1:19" x14ac:dyDescent="0.3">
      <c r="A9246" t="s">
        <v>3237</v>
      </c>
      <c r="B9246" t="s">
        <v>10503</v>
      </c>
      <c r="C9246" t="s">
        <v>10524</v>
      </c>
      <c r="D9246" t="s">
        <v>3256</v>
      </c>
      <c r="E9246" t="s">
        <v>5599</v>
      </c>
      <c r="F9246" t="s">
        <v>5726</v>
      </c>
      <c r="G9246" t="s">
        <v>5726</v>
      </c>
      <c r="H9246" t="s">
        <v>859</v>
      </c>
      <c r="I9246" t="s">
        <v>860</v>
      </c>
      <c r="J9246" t="str">
        <f>"9051251"</f>
        <v>9051251</v>
      </c>
      <c r="K9246">
        <v>2109612177</v>
      </c>
      <c r="L9246">
        <v>2109612177</v>
      </c>
      <c r="M9246" t="s">
        <v>10525</v>
      </c>
      <c r="N9246" t="s">
        <v>5817</v>
      </c>
      <c r="O9246" t="s">
        <v>10526</v>
      </c>
      <c r="P9246">
        <v>16777</v>
      </c>
      <c r="Q9246" t="str">
        <f>"37.889834"</f>
        <v>37.889834</v>
      </c>
      <c r="R9246" t="str">
        <f>"23.756978"</f>
        <v>23.756978</v>
      </c>
      <c r="S9246" t="s">
        <v>26</v>
      </c>
    </row>
    <row r="9247" spans="1:19" x14ac:dyDescent="0.3">
      <c r="A9247" t="s">
        <v>3237</v>
      </c>
      <c r="B9247" t="s">
        <v>10503</v>
      </c>
      <c r="C9247" t="s">
        <v>10527</v>
      </c>
      <c r="D9247" t="s">
        <v>3256</v>
      </c>
      <c r="E9247" t="s">
        <v>4017</v>
      </c>
      <c r="F9247" t="s">
        <v>4017</v>
      </c>
      <c r="G9247" t="s">
        <v>4017</v>
      </c>
      <c r="H9247" t="s">
        <v>859</v>
      </c>
      <c r="I9247" t="s">
        <v>860</v>
      </c>
      <c r="J9247" t="str">
        <f>"9520449"</f>
        <v>9520449</v>
      </c>
      <c r="K9247">
        <v>2109603588</v>
      </c>
      <c r="L9247">
        <v>2109603588</v>
      </c>
      <c r="M9247" t="s">
        <v>10528</v>
      </c>
      <c r="N9247" t="s">
        <v>5578</v>
      </c>
      <c r="O9247" t="s">
        <v>10529</v>
      </c>
      <c r="P9247">
        <v>16675</v>
      </c>
      <c r="Q9247" t="str">
        <f>"37.879984"</f>
        <v>37.879984</v>
      </c>
      <c r="R9247" t="str">
        <f>"23.745973"</f>
        <v>23.745973</v>
      </c>
      <c r="S9247" t="s">
        <v>26</v>
      </c>
    </row>
    <row r="9248" spans="1:19" x14ac:dyDescent="0.3">
      <c r="A9248" t="s">
        <v>3237</v>
      </c>
      <c r="B9248" t="s">
        <v>10503</v>
      </c>
      <c r="C9248" t="s">
        <v>10530</v>
      </c>
      <c r="D9248" t="s">
        <v>3256</v>
      </c>
      <c r="E9248" t="s">
        <v>4017</v>
      </c>
      <c r="F9248" t="s">
        <v>4017</v>
      </c>
      <c r="G9248" t="s">
        <v>4017</v>
      </c>
      <c r="H9248" t="s">
        <v>859</v>
      </c>
      <c r="I9248" t="s">
        <v>860</v>
      </c>
      <c r="J9248" t="str">
        <f>"9051342"</f>
        <v>9051342</v>
      </c>
      <c r="K9248">
        <v>2108945902</v>
      </c>
      <c r="L9248">
        <v>2108945902</v>
      </c>
      <c r="M9248" t="s">
        <v>10531</v>
      </c>
      <c r="N9248" t="s">
        <v>5578</v>
      </c>
      <c r="O9248" t="s">
        <v>10532</v>
      </c>
      <c r="P9248">
        <v>16674</v>
      </c>
      <c r="Q9248" t="str">
        <f>"37.860920"</f>
        <v>37.860920</v>
      </c>
      <c r="R9248" t="str">
        <f>"23.763015"</f>
        <v>23.763015</v>
      </c>
      <c r="S9248" t="s">
        <v>26</v>
      </c>
    </row>
    <row r="9249" spans="1:19" x14ac:dyDescent="0.3">
      <c r="A9249" t="s">
        <v>3237</v>
      </c>
      <c r="B9249" t="s">
        <v>10503</v>
      </c>
      <c r="C9249" t="s">
        <v>10533</v>
      </c>
      <c r="D9249" t="s">
        <v>3256</v>
      </c>
      <c r="E9249" t="s">
        <v>5563</v>
      </c>
      <c r="F9249" t="s">
        <v>5563</v>
      </c>
      <c r="G9249" t="s">
        <v>5633</v>
      </c>
      <c r="H9249" t="s">
        <v>859</v>
      </c>
      <c r="I9249" t="s">
        <v>860</v>
      </c>
      <c r="J9249" t="str">
        <f>"9051316"</f>
        <v>9051316</v>
      </c>
      <c r="K9249">
        <v>2109517014</v>
      </c>
      <c r="L9249">
        <v>2109517014</v>
      </c>
      <c r="M9249" t="s">
        <v>10534</v>
      </c>
      <c r="N9249" t="s">
        <v>5567</v>
      </c>
      <c r="O9249" t="s">
        <v>10535</v>
      </c>
      <c r="P9249">
        <v>17676</v>
      </c>
      <c r="Q9249" t="str">
        <f>"37.962811"</f>
        <v>37.962811</v>
      </c>
      <c r="R9249" t="str">
        <f>"23.709322"</f>
        <v>23.709322</v>
      </c>
      <c r="S9249" t="s">
        <v>26</v>
      </c>
    </row>
    <row r="9250" spans="1:19" x14ac:dyDescent="0.3">
      <c r="A9250" t="s">
        <v>3237</v>
      </c>
      <c r="B9250" t="s">
        <v>10503</v>
      </c>
      <c r="C9250" t="s">
        <v>10536</v>
      </c>
      <c r="D9250" t="s">
        <v>3256</v>
      </c>
      <c r="E9250" t="s">
        <v>5563</v>
      </c>
      <c r="F9250" t="s">
        <v>5563</v>
      </c>
      <c r="G9250" t="s">
        <v>5633</v>
      </c>
      <c r="H9250" t="s">
        <v>859</v>
      </c>
      <c r="I9250" t="s">
        <v>860</v>
      </c>
      <c r="J9250" t="str">
        <f>"9520357"</f>
        <v>9520357</v>
      </c>
      <c r="K9250">
        <v>2109588334</v>
      </c>
      <c r="L9250">
        <v>2109588334</v>
      </c>
      <c r="M9250" t="s">
        <v>10537</v>
      </c>
      <c r="N9250" t="s">
        <v>5567</v>
      </c>
      <c r="O9250" t="s">
        <v>10535</v>
      </c>
      <c r="P9250">
        <v>17676</v>
      </c>
      <c r="Q9250" t="str">
        <f>"37.962811"</f>
        <v>37.962811</v>
      </c>
      <c r="R9250" t="str">
        <f>"23.709322"</f>
        <v>23.709322</v>
      </c>
      <c r="S9250" t="s">
        <v>26</v>
      </c>
    </row>
    <row r="9251" spans="1:19" x14ac:dyDescent="0.3">
      <c r="A9251" t="s">
        <v>3237</v>
      </c>
      <c r="B9251" t="s">
        <v>10503</v>
      </c>
      <c r="C9251" t="s">
        <v>10538</v>
      </c>
      <c r="D9251" t="s">
        <v>3256</v>
      </c>
      <c r="E9251" t="s">
        <v>5656</v>
      </c>
      <c r="F9251" t="s">
        <v>5680</v>
      </c>
      <c r="G9251" t="s">
        <v>5680</v>
      </c>
      <c r="H9251" t="s">
        <v>859</v>
      </c>
      <c r="I9251" t="s">
        <v>860</v>
      </c>
      <c r="J9251" t="str">
        <f>"9050226"</f>
        <v>9050226</v>
      </c>
      <c r="K9251">
        <v>2109417086</v>
      </c>
      <c r="L9251">
        <v>2109417086</v>
      </c>
      <c r="M9251" t="s">
        <v>10539</v>
      </c>
      <c r="N9251" t="s">
        <v>5683</v>
      </c>
      <c r="O9251" t="s">
        <v>10540</v>
      </c>
      <c r="P9251">
        <v>18344</v>
      </c>
      <c r="Q9251" t="str">
        <f>"37.945039"</f>
        <v>37.945039</v>
      </c>
      <c r="R9251" t="str">
        <f>"23.678710"</f>
        <v>23.678710</v>
      </c>
      <c r="S9251" t="s">
        <v>26</v>
      </c>
    </row>
    <row r="9252" spans="1:19" x14ac:dyDescent="0.3">
      <c r="A9252" t="s">
        <v>3237</v>
      </c>
      <c r="B9252" t="s">
        <v>10503</v>
      </c>
      <c r="C9252" t="s">
        <v>10541</v>
      </c>
      <c r="D9252" t="s">
        <v>3256</v>
      </c>
      <c r="E9252" t="s">
        <v>5599</v>
      </c>
      <c r="F9252" t="s">
        <v>5726</v>
      </c>
      <c r="G9252" t="s">
        <v>5726</v>
      </c>
      <c r="H9252" t="s">
        <v>859</v>
      </c>
      <c r="I9252" t="s">
        <v>860</v>
      </c>
      <c r="J9252" t="str">
        <f>"9520422"</f>
        <v>9520422</v>
      </c>
      <c r="K9252">
        <v>2109612041</v>
      </c>
      <c r="L9252">
        <v>2109612041</v>
      </c>
      <c r="M9252" t="s">
        <v>10542</v>
      </c>
      <c r="N9252" t="s">
        <v>5993</v>
      </c>
      <c r="O9252" t="s">
        <v>10543</v>
      </c>
      <c r="P9252">
        <v>16777</v>
      </c>
      <c r="Q9252" t="str">
        <f>"37.895882"</f>
        <v>37.895882</v>
      </c>
      <c r="R9252" t="str">
        <f>"23.750899"</f>
        <v>23.750899</v>
      </c>
      <c r="S9252" t="s">
        <v>26</v>
      </c>
    </row>
    <row r="9253" spans="1:19" x14ac:dyDescent="0.3">
      <c r="A9253" t="s">
        <v>3237</v>
      </c>
      <c r="B9253" t="s">
        <v>10503</v>
      </c>
      <c r="C9253" t="s">
        <v>10544</v>
      </c>
      <c r="D9253" t="s">
        <v>3256</v>
      </c>
      <c r="E9253" t="s">
        <v>5563</v>
      </c>
      <c r="F9253" t="s">
        <v>5563</v>
      </c>
      <c r="G9253" t="s">
        <v>5611</v>
      </c>
      <c r="H9253" t="s">
        <v>859</v>
      </c>
      <c r="I9253" t="s">
        <v>860</v>
      </c>
      <c r="J9253" t="str">
        <f>"9050742"</f>
        <v>9050742</v>
      </c>
      <c r="K9253">
        <v>2109567741</v>
      </c>
      <c r="L9253">
        <v>2109567741</v>
      </c>
      <c r="M9253" t="s">
        <v>10545</v>
      </c>
      <c r="N9253" t="s">
        <v>5567</v>
      </c>
      <c r="O9253" t="s">
        <v>10546</v>
      </c>
      <c r="P9253">
        <v>17672</v>
      </c>
      <c r="Q9253" t="str">
        <f>"37.955271"</f>
        <v>37.955271</v>
      </c>
      <c r="R9253" t="str">
        <f>"23.707069"</f>
        <v>23.707069</v>
      </c>
      <c r="S9253" t="s">
        <v>26</v>
      </c>
    </row>
    <row r="9254" spans="1:19" x14ac:dyDescent="0.3">
      <c r="A9254" t="s">
        <v>3237</v>
      </c>
      <c r="B9254" t="s">
        <v>10503</v>
      </c>
      <c r="C9254" t="s">
        <v>10547</v>
      </c>
      <c r="D9254" t="s">
        <v>3256</v>
      </c>
      <c r="E9254" t="s">
        <v>5563</v>
      </c>
      <c r="F9254" t="s">
        <v>5563</v>
      </c>
      <c r="G9254" t="s">
        <v>5611</v>
      </c>
      <c r="H9254" t="s">
        <v>859</v>
      </c>
      <c r="I9254" t="s">
        <v>860</v>
      </c>
      <c r="J9254" t="str">
        <f>"9050217"</f>
        <v>9050217</v>
      </c>
      <c r="K9254">
        <v>2109517284</v>
      </c>
      <c r="M9254" t="s">
        <v>10548</v>
      </c>
      <c r="N9254" t="s">
        <v>5563</v>
      </c>
      <c r="O9254" t="s">
        <v>10549</v>
      </c>
      <c r="P9254">
        <v>17675</v>
      </c>
      <c r="Q9254" t="str">
        <f>"37.946946"</f>
        <v>37.946946</v>
      </c>
      <c r="R9254" t="str">
        <f>"23.687771"</f>
        <v>23.687771</v>
      </c>
      <c r="S9254" t="s">
        <v>26</v>
      </c>
    </row>
    <row r="9255" spans="1:19" x14ac:dyDescent="0.3">
      <c r="A9255" t="s">
        <v>3237</v>
      </c>
      <c r="B9255" t="s">
        <v>10503</v>
      </c>
      <c r="C9255" t="s">
        <v>10550</v>
      </c>
      <c r="D9255" t="s">
        <v>3256</v>
      </c>
      <c r="E9255" t="s">
        <v>5563</v>
      </c>
      <c r="F9255" t="s">
        <v>5563</v>
      </c>
      <c r="G9255" t="s">
        <v>5611</v>
      </c>
      <c r="H9255" t="s">
        <v>859</v>
      </c>
      <c r="I9255" t="s">
        <v>860</v>
      </c>
      <c r="J9255" t="str">
        <f>"9050743"</f>
        <v>9050743</v>
      </c>
      <c r="K9255">
        <v>2109401482</v>
      </c>
      <c r="L9255">
        <v>2109401482</v>
      </c>
      <c r="M9255" t="s">
        <v>10551</v>
      </c>
      <c r="N9255" t="s">
        <v>5567</v>
      </c>
      <c r="O9255" t="s">
        <v>10552</v>
      </c>
      <c r="P9255">
        <v>17675</v>
      </c>
      <c r="Q9255" t="str">
        <f>"37.951219"</f>
        <v>37.951219</v>
      </c>
      <c r="R9255" t="str">
        <f>"23.688910"</f>
        <v>23.688910</v>
      </c>
      <c r="S9255" t="s">
        <v>26</v>
      </c>
    </row>
    <row r="9256" spans="1:19" x14ac:dyDescent="0.3">
      <c r="A9256" t="s">
        <v>3237</v>
      </c>
      <c r="B9256" t="s">
        <v>10503</v>
      </c>
      <c r="C9256" t="s">
        <v>10553</v>
      </c>
      <c r="D9256" t="s">
        <v>3256</v>
      </c>
      <c r="E9256" t="s">
        <v>5563</v>
      </c>
      <c r="F9256" t="s">
        <v>5563</v>
      </c>
      <c r="G9256" t="s">
        <v>5633</v>
      </c>
      <c r="H9256" t="s">
        <v>859</v>
      </c>
      <c r="I9256" t="s">
        <v>860</v>
      </c>
      <c r="J9256" t="str">
        <f>"9520358"</f>
        <v>9520358</v>
      </c>
      <c r="K9256">
        <v>2109515530</v>
      </c>
      <c r="L9256">
        <v>2109515530</v>
      </c>
      <c r="M9256" t="s">
        <v>10554</v>
      </c>
      <c r="N9256" t="s">
        <v>5567</v>
      </c>
      <c r="O9256" t="s">
        <v>10555</v>
      </c>
      <c r="P9256">
        <v>17676</v>
      </c>
      <c r="Q9256" t="str">
        <f>"37.962811"</f>
        <v>37.962811</v>
      </c>
      <c r="R9256" t="str">
        <f>"23.709322"</f>
        <v>23.709322</v>
      </c>
      <c r="S9256" t="s">
        <v>26</v>
      </c>
    </row>
    <row r="9257" spans="1:19" x14ac:dyDescent="0.3">
      <c r="A9257" t="s">
        <v>3237</v>
      </c>
      <c r="B9257" t="s">
        <v>10503</v>
      </c>
      <c r="C9257" t="s">
        <v>10556</v>
      </c>
      <c r="D9257" t="s">
        <v>3256</v>
      </c>
      <c r="E9257" t="s">
        <v>5563</v>
      </c>
      <c r="F9257" t="s">
        <v>5563</v>
      </c>
      <c r="G9257" t="s">
        <v>5611</v>
      </c>
      <c r="H9257" t="s">
        <v>859</v>
      </c>
      <c r="I9257" t="s">
        <v>860</v>
      </c>
      <c r="J9257" t="str">
        <f>"9050214"</f>
        <v>9050214</v>
      </c>
      <c r="K9257">
        <v>2111826351</v>
      </c>
      <c r="M9257" t="s">
        <v>10557</v>
      </c>
      <c r="N9257" t="s">
        <v>5567</v>
      </c>
      <c r="O9257" t="s">
        <v>10558</v>
      </c>
      <c r="P9257">
        <v>17674</v>
      </c>
      <c r="Q9257" t="str">
        <f>"37.941081"</f>
        <v>37.941081</v>
      </c>
      <c r="R9257" t="str">
        <f>"23.687747"</f>
        <v>23.687747</v>
      </c>
      <c r="S9257" t="s">
        <v>26</v>
      </c>
    </row>
    <row r="9258" spans="1:19" x14ac:dyDescent="0.3">
      <c r="A9258" t="s">
        <v>3237</v>
      </c>
      <c r="B9258" t="s">
        <v>10503</v>
      </c>
      <c r="C9258" t="s">
        <v>10559</v>
      </c>
      <c r="D9258" t="s">
        <v>3256</v>
      </c>
      <c r="E9258" t="s">
        <v>5599</v>
      </c>
      <c r="F9258" t="s">
        <v>5726</v>
      </c>
      <c r="G9258" t="s">
        <v>5726</v>
      </c>
      <c r="H9258" t="s">
        <v>859</v>
      </c>
      <c r="I9258" t="s">
        <v>860</v>
      </c>
      <c r="J9258" t="str">
        <f>"9050737"</f>
        <v>9050737</v>
      </c>
      <c r="K9258">
        <v>2109618727</v>
      </c>
      <c r="L9258">
        <v>2109618727</v>
      </c>
      <c r="M9258" t="s">
        <v>10560</v>
      </c>
      <c r="N9258" t="s">
        <v>5817</v>
      </c>
      <c r="O9258" t="s">
        <v>10561</v>
      </c>
      <c r="P9258">
        <v>16777</v>
      </c>
      <c r="Q9258" t="str">
        <f>"37.893816"</f>
        <v>37.893816</v>
      </c>
      <c r="R9258" t="str">
        <f>"23.757276"</f>
        <v>23.757276</v>
      </c>
      <c r="S9258" t="s">
        <v>26</v>
      </c>
    </row>
    <row r="9259" spans="1:19" x14ac:dyDescent="0.3">
      <c r="A9259" t="s">
        <v>3237</v>
      </c>
      <c r="B9259" t="s">
        <v>10503</v>
      </c>
      <c r="C9259" t="s">
        <v>10562</v>
      </c>
      <c r="D9259" t="s">
        <v>3256</v>
      </c>
      <c r="E9259" t="s">
        <v>5656</v>
      </c>
      <c r="F9259" t="s">
        <v>5680</v>
      </c>
      <c r="G9259" t="s">
        <v>5680</v>
      </c>
      <c r="H9259" t="s">
        <v>859</v>
      </c>
      <c r="I9259" t="s">
        <v>860</v>
      </c>
      <c r="J9259" t="str">
        <f>"9050894"</f>
        <v>9050894</v>
      </c>
      <c r="K9259">
        <v>2109408528</v>
      </c>
      <c r="L9259">
        <v>2109408528</v>
      </c>
      <c r="M9259" t="s">
        <v>10563</v>
      </c>
      <c r="N9259" t="s">
        <v>5683</v>
      </c>
      <c r="O9259" t="s">
        <v>10564</v>
      </c>
      <c r="P9259">
        <v>18345</v>
      </c>
      <c r="Q9259" t="str">
        <f>"37.955701"</f>
        <v>37.955701</v>
      </c>
      <c r="R9259" t="str">
        <f>"23.686641"</f>
        <v>23.686641</v>
      </c>
      <c r="S9259" t="s">
        <v>26</v>
      </c>
    </row>
    <row r="9260" spans="1:19" x14ac:dyDescent="0.3">
      <c r="A9260" t="s">
        <v>3237</v>
      </c>
      <c r="B9260" t="s">
        <v>10503</v>
      </c>
      <c r="C9260" t="s">
        <v>10565</v>
      </c>
      <c r="D9260" t="s">
        <v>3256</v>
      </c>
      <c r="E9260" t="s">
        <v>5563</v>
      </c>
      <c r="F9260" t="s">
        <v>5563</v>
      </c>
      <c r="G9260" t="s">
        <v>5611</v>
      </c>
      <c r="H9260" t="s">
        <v>859</v>
      </c>
      <c r="I9260" t="s">
        <v>860</v>
      </c>
      <c r="J9260" t="str">
        <f>"9050213"</f>
        <v>9050213</v>
      </c>
      <c r="K9260">
        <v>2109414959</v>
      </c>
      <c r="M9260" t="s">
        <v>10566</v>
      </c>
      <c r="N9260" t="s">
        <v>5567</v>
      </c>
      <c r="O9260" t="s">
        <v>10567</v>
      </c>
      <c r="P9260">
        <v>17674</v>
      </c>
      <c r="Q9260" t="str">
        <f>"37.948833"</f>
        <v>37.948833</v>
      </c>
      <c r="R9260" t="str">
        <f>"23.692069"</f>
        <v>23.692069</v>
      </c>
      <c r="S9260" t="s">
        <v>26</v>
      </c>
    </row>
    <row r="9261" spans="1:19" x14ac:dyDescent="0.3">
      <c r="A9261" t="s">
        <v>3237</v>
      </c>
      <c r="B9261" t="s">
        <v>10503</v>
      </c>
      <c r="C9261" t="s">
        <v>10568</v>
      </c>
      <c r="D9261" t="s">
        <v>3256</v>
      </c>
      <c r="E9261" t="s">
        <v>5563</v>
      </c>
      <c r="F9261" t="s">
        <v>5563</v>
      </c>
      <c r="G9261" t="s">
        <v>5564</v>
      </c>
      <c r="H9261" t="s">
        <v>859</v>
      </c>
      <c r="I9261" t="s">
        <v>860</v>
      </c>
      <c r="J9261" t="str">
        <f>"9520371"</f>
        <v>9520371</v>
      </c>
      <c r="K9261">
        <v>2109524639</v>
      </c>
      <c r="L9261">
        <v>2109524639</v>
      </c>
      <c r="M9261" t="s">
        <v>10569</v>
      </c>
      <c r="N9261" t="s">
        <v>5567</v>
      </c>
      <c r="O9261" t="s">
        <v>10570</v>
      </c>
      <c r="P9261">
        <v>17673</v>
      </c>
      <c r="Q9261" t="str">
        <f>"37.950476"</f>
        <v>37.950476</v>
      </c>
      <c r="R9261" t="str">
        <f>"23.695151"</f>
        <v>23.695151</v>
      </c>
      <c r="S9261" t="s">
        <v>26</v>
      </c>
    </row>
    <row r="9262" spans="1:19" x14ac:dyDescent="0.3">
      <c r="A9262" t="s">
        <v>3237</v>
      </c>
      <c r="B9262" t="s">
        <v>10503</v>
      </c>
      <c r="C9262" t="s">
        <v>10571</v>
      </c>
      <c r="D9262" t="s">
        <v>3256</v>
      </c>
      <c r="E9262" t="s">
        <v>4017</v>
      </c>
      <c r="F9262" t="s">
        <v>4017</v>
      </c>
      <c r="G9262" t="s">
        <v>4017</v>
      </c>
      <c r="H9262" t="s">
        <v>859</v>
      </c>
      <c r="I9262" t="s">
        <v>860</v>
      </c>
      <c r="J9262" t="str">
        <f>"9050892"</f>
        <v>9050892</v>
      </c>
      <c r="K9262">
        <v>2109610810</v>
      </c>
      <c r="L9262">
        <v>2109610810</v>
      </c>
      <c r="M9262" t="s">
        <v>10572</v>
      </c>
      <c r="N9262" t="s">
        <v>5578</v>
      </c>
      <c r="O9262" t="s">
        <v>10573</v>
      </c>
      <c r="P9262">
        <v>16562</v>
      </c>
      <c r="Q9262" t="str">
        <f>"37.892140"</f>
        <v>37.892140</v>
      </c>
      <c r="R9262" t="str">
        <f>"23.771221"</f>
        <v>23.771221</v>
      </c>
      <c r="S9262" t="s">
        <v>26</v>
      </c>
    </row>
    <row r="9263" spans="1:19" x14ac:dyDescent="0.3">
      <c r="A9263" t="s">
        <v>3237</v>
      </c>
      <c r="B9263" t="s">
        <v>10503</v>
      </c>
      <c r="C9263" t="s">
        <v>10574</v>
      </c>
      <c r="D9263" t="s">
        <v>3256</v>
      </c>
      <c r="E9263" t="s">
        <v>5563</v>
      </c>
      <c r="F9263" t="s">
        <v>5563</v>
      </c>
      <c r="G9263" t="s">
        <v>5633</v>
      </c>
      <c r="H9263" t="s">
        <v>859</v>
      </c>
      <c r="I9263" t="s">
        <v>860</v>
      </c>
      <c r="J9263" t="str">
        <f>"9050745"</f>
        <v>9050745</v>
      </c>
      <c r="K9263">
        <v>2109564562</v>
      </c>
      <c r="L9263">
        <v>2109564562</v>
      </c>
      <c r="N9263" t="s">
        <v>5567</v>
      </c>
      <c r="O9263" t="s">
        <v>10575</v>
      </c>
      <c r="P9263">
        <v>17675</v>
      </c>
      <c r="Q9263" t="str">
        <f>""</f>
        <v/>
      </c>
      <c r="R9263" t="str">
        <f>""</f>
        <v/>
      </c>
      <c r="S9263" t="s">
        <v>26</v>
      </c>
    </row>
    <row r="9264" spans="1:19" x14ac:dyDescent="0.3">
      <c r="A9264" t="s">
        <v>3237</v>
      </c>
      <c r="B9264" t="s">
        <v>10503</v>
      </c>
      <c r="C9264" t="s">
        <v>10576</v>
      </c>
      <c r="D9264" t="s">
        <v>3256</v>
      </c>
      <c r="E9264" t="s">
        <v>4017</v>
      </c>
      <c r="F9264" t="s">
        <v>4017</v>
      </c>
      <c r="G9264" t="s">
        <v>4017</v>
      </c>
      <c r="H9264" t="s">
        <v>859</v>
      </c>
      <c r="I9264" t="s">
        <v>860</v>
      </c>
      <c r="J9264" t="str">
        <f>"9051254"</f>
        <v>9051254</v>
      </c>
      <c r="K9264">
        <v>2109612665</v>
      </c>
      <c r="L9264">
        <v>2109612665</v>
      </c>
      <c r="M9264" t="s">
        <v>10577</v>
      </c>
      <c r="N9264" t="s">
        <v>5578</v>
      </c>
      <c r="O9264" t="s">
        <v>10578</v>
      </c>
      <c r="P9264">
        <v>16562</v>
      </c>
      <c r="Q9264" t="str">
        <f>"37.898533"</f>
        <v>37.898533</v>
      </c>
      <c r="R9264" t="str">
        <f>"23.767562"</f>
        <v>23.767562</v>
      </c>
      <c r="S9264" t="s">
        <v>26</v>
      </c>
    </row>
    <row r="9265" spans="1:19" x14ac:dyDescent="0.3">
      <c r="A9265" t="s">
        <v>3237</v>
      </c>
      <c r="B9265" t="s">
        <v>10503</v>
      </c>
      <c r="C9265" t="s">
        <v>10579</v>
      </c>
      <c r="D9265" t="s">
        <v>3256</v>
      </c>
      <c r="E9265" t="s">
        <v>4017</v>
      </c>
      <c r="F9265" t="s">
        <v>4017</v>
      </c>
      <c r="G9265" t="s">
        <v>4017</v>
      </c>
      <c r="H9265" t="s">
        <v>859</v>
      </c>
      <c r="I9265" t="s">
        <v>860</v>
      </c>
      <c r="J9265" t="str">
        <f>"9520366"</f>
        <v>9520366</v>
      </c>
      <c r="K9265">
        <v>2109625874</v>
      </c>
      <c r="L9265">
        <v>2109625874</v>
      </c>
      <c r="M9265" t="s">
        <v>10580</v>
      </c>
      <c r="N9265" t="s">
        <v>5578</v>
      </c>
      <c r="O9265" t="s">
        <v>10581</v>
      </c>
      <c r="P9265">
        <v>16674</v>
      </c>
      <c r="Q9265" t="str">
        <f>"37.875250"</f>
        <v>37.875250</v>
      </c>
      <c r="R9265" t="str">
        <f>"23.765978"</f>
        <v>23.765978</v>
      </c>
      <c r="S9265" t="s">
        <v>26</v>
      </c>
    </row>
    <row r="9266" spans="1:19" x14ac:dyDescent="0.3">
      <c r="A9266" t="s">
        <v>3237</v>
      </c>
      <c r="B9266" t="s">
        <v>10503</v>
      </c>
      <c r="C9266" t="s">
        <v>10582</v>
      </c>
      <c r="D9266" t="s">
        <v>3256</v>
      </c>
      <c r="E9266" t="s">
        <v>4017</v>
      </c>
      <c r="F9266" t="s">
        <v>4017</v>
      </c>
      <c r="G9266" t="s">
        <v>4017</v>
      </c>
      <c r="H9266" t="s">
        <v>859</v>
      </c>
      <c r="I9266" t="s">
        <v>860</v>
      </c>
      <c r="J9266" t="str">
        <f>"9520367"</f>
        <v>9520367</v>
      </c>
      <c r="K9266">
        <v>2109614080</v>
      </c>
      <c r="M9266" t="s">
        <v>10583</v>
      </c>
      <c r="N9266" t="s">
        <v>5578</v>
      </c>
      <c r="O9266" t="s">
        <v>10584</v>
      </c>
      <c r="P9266">
        <v>16562</v>
      </c>
      <c r="Q9266" t="str">
        <f>"37.893766"</f>
        <v>37.893766</v>
      </c>
      <c r="R9266" t="str">
        <f>"23.770886"</f>
        <v>23.770886</v>
      </c>
      <c r="S9266" t="s">
        <v>26</v>
      </c>
    </row>
    <row r="9267" spans="1:19" x14ac:dyDescent="0.3">
      <c r="A9267" t="s">
        <v>3237</v>
      </c>
      <c r="B9267" t="s">
        <v>10503</v>
      </c>
      <c r="C9267" t="s">
        <v>10585</v>
      </c>
      <c r="D9267" t="s">
        <v>3256</v>
      </c>
      <c r="E9267" t="s">
        <v>5563</v>
      </c>
      <c r="F9267" t="s">
        <v>5563</v>
      </c>
      <c r="G9267" t="s">
        <v>5611</v>
      </c>
      <c r="H9267" t="s">
        <v>859</v>
      </c>
      <c r="I9267" t="s">
        <v>860</v>
      </c>
      <c r="J9267" t="str">
        <f>"9520413"</f>
        <v>9520413</v>
      </c>
      <c r="K9267">
        <v>2109533401</v>
      </c>
      <c r="L9267">
        <v>2109533401</v>
      </c>
      <c r="M9267" t="s">
        <v>10586</v>
      </c>
      <c r="N9267" t="s">
        <v>5567</v>
      </c>
      <c r="O9267" t="s">
        <v>10587</v>
      </c>
      <c r="P9267">
        <v>17676</v>
      </c>
      <c r="Q9267" t="str">
        <f>"37.959579"</f>
        <v>37.959579</v>
      </c>
      <c r="R9267" t="str">
        <f>"23.703232"</f>
        <v>23.703232</v>
      </c>
      <c r="S9267" t="s">
        <v>26</v>
      </c>
    </row>
    <row r="9268" spans="1:19" x14ac:dyDescent="0.3">
      <c r="A9268" t="s">
        <v>3237</v>
      </c>
      <c r="B9268" t="s">
        <v>10503</v>
      </c>
      <c r="C9268" t="s">
        <v>10588</v>
      </c>
      <c r="D9268" t="s">
        <v>3256</v>
      </c>
      <c r="E9268" t="s">
        <v>5599</v>
      </c>
      <c r="F9268" t="s">
        <v>5600</v>
      </c>
      <c r="G9268" t="s">
        <v>5601</v>
      </c>
      <c r="H9268" t="s">
        <v>859</v>
      </c>
      <c r="I9268" t="s">
        <v>860</v>
      </c>
      <c r="J9268" t="str">
        <f>"9520447"</f>
        <v>9520447</v>
      </c>
      <c r="K9268">
        <v>2109934498</v>
      </c>
      <c r="L9268">
        <v>2109934498</v>
      </c>
      <c r="M9268" t="s">
        <v>10589</v>
      </c>
      <c r="N9268" t="s">
        <v>1038</v>
      </c>
      <c r="O9268" t="s">
        <v>10590</v>
      </c>
      <c r="P9268">
        <v>16451</v>
      </c>
      <c r="Q9268" t="str">
        <f>"37.910009"</f>
        <v>37.910009</v>
      </c>
      <c r="R9268" t="str">
        <f>"23.754085"</f>
        <v>23.754085</v>
      </c>
      <c r="S9268" t="s">
        <v>26</v>
      </c>
    </row>
    <row r="9269" spans="1:19" x14ac:dyDescent="0.3">
      <c r="A9269" t="s">
        <v>3237</v>
      </c>
      <c r="B9269" t="s">
        <v>10503</v>
      </c>
      <c r="C9269" t="s">
        <v>10591</v>
      </c>
      <c r="D9269" t="s">
        <v>3256</v>
      </c>
      <c r="E9269" t="s">
        <v>5563</v>
      </c>
      <c r="F9269" t="s">
        <v>5563</v>
      </c>
      <c r="G9269" t="s">
        <v>5564</v>
      </c>
      <c r="H9269" t="s">
        <v>859</v>
      </c>
      <c r="I9269" t="s">
        <v>860</v>
      </c>
      <c r="J9269" t="str">
        <f>"9520536"</f>
        <v>9520536</v>
      </c>
      <c r="K9269">
        <v>2109404534</v>
      </c>
      <c r="L9269">
        <v>2109404534</v>
      </c>
      <c r="M9269" t="s">
        <v>10592</v>
      </c>
      <c r="N9269" t="s">
        <v>5567</v>
      </c>
      <c r="O9269" t="s">
        <v>10593</v>
      </c>
      <c r="P9269">
        <v>17675</v>
      </c>
      <c r="Q9269" t="str">
        <f>"37.951301"</f>
        <v>37.951301</v>
      </c>
      <c r="R9269" t="str">
        <f>"23.688733"</f>
        <v>23.688733</v>
      </c>
      <c r="S9269" t="s">
        <v>26</v>
      </c>
    </row>
    <row r="9270" spans="1:19" x14ac:dyDescent="0.3">
      <c r="A9270" t="s">
        <v>3237</v>
      </c>
      <c r="B9270" t="s">
        <v>10503</v>
      </c>
      <c r="C9270" t="s">
        <v>10594</v>
      </c>
      <c r="D9270" t="s">
        <v>3256</v>
      </c>
      <c r="E9270" t="s">
        <v>5563</v>
      </c>
      <c r="F9270" t="s">
        <v>5563</v>
      </c>
      <c r="G9270" t="s">
        <v>5564</v>
      </c>
      <c r="H9270" t="s">
        <v>859</v>
      </c>
      <c r="I9270" t="s">
        <v>860</v>
      </c>
      <c r="J9270" t="str">
        <f>"9520415"</f>
        <v>9520415</v>
      </c>
      <c r="K9270">
        <v>2109418008</v>
      </c>
      <c r="L9270">
        <v>2109404534</v>
      </c>
      <c r="M9270" t="s">
        <v>10595</v>
      </c>
      <c r="N9270" t="s">
        <v>5567</v>
      </c>
      <c r="O9270" t="s">
        <v>10593</v>
      </c>
      <c r="P9270">
        <v>17675</v>
      </c>
      <c r="Q9270" t="str">
        <f>"37.951301"</f>
        <v>37.951301</v>
      </c>
      <c r="R9270" t="str">
        <f>"23.688733"</f>
        <v>23.688733</v>
      </c>
      <c r="S9270" t="s">
        <v>26</v>
      </c>
    </row>
    <row r="9271" spans="1:19" x14ac:dyDescent="0.3">
      <c r="A9271" t="s">
        <v>3237</v>
      </c>
      <c r="B9271" t="s">
        <v>10503</v>
      </c>
      <c r="C9271" t="s">
        <v>10596</v>
      </c>
      <c r="D9271" t="s">
        <v>3256</v>
      </c>
      <c r="E9271" t="s">
        <v>4017</v>
      </c>
      <c r="F9271" t="s">
        <v>4017</v>
      </c>
      <c r="G9271" t="s">
        <v>4017</v>
      </c>
      <c r="H9271" t="s">
        <v>859</v>
      </c>
      <c r="I9271" t="s">
        <v>860</v>
      </c>
      <c r="J9271" t="str">
        <f>"9520508"</f>
        <v>9520508</v>
      </c>
      <c r="K9271">
        <v>2109630283</v>
      </c>
      <c r="L9271">
        <v>2109630283</v>
      </c>
      <c r="M9271" t="s">
        <v>10597</v>
      </c>
      <c r="N9271" t="s">
        <v>5578</v>
      </c>
      <c r="O9271" t="s">
        <v>10598</v>
      </c>
      <c r="P9271">
        <v>16562</v>
      </c>
      <c r="Q9271" t="str">
        <f>"37.894629"</f>
        <v>37.894629</v>
      </c>
      <c r="R9271" t="str">
        <f>"23.767657"</f>
        <v>23.767657</v>
      </c>
      <c r="S9271" t="s">
        <v>26</v>
      </c>
    </row>
    <row r="9272" spans="1:19" x14ac:dyDescent="0.3">
      <c r="A9272" t="s">
        <v>3237</v>
      </c>
      <c r="B9272" t="s">
        <v>10503</v>
      </c>
      <c r="C9272" t="s">
        <v>10599</v>
      </c>
      <c r="D9272" t="s">
        <v>3256</v>
      </c>
      <c r="E9272" t="s">
        <v>5599</v>
      </c>
      <c r="F9272" t="s">
        <v>5600</v>
      </c>
      <c r="G9272" t="s">
        <v>5601</v>
      </c>
      <c r="H9272" t="s">
        <v>859</v>
      </c>
      <c r="I9272" t="s">
        <v>860</v>
      </c>
      <c r="J9272" t="str">
        <f>"9051076"</f>
        <v>9051076</v>
      </c>
      <c r="K9272">
        <v>2109610451</v>
      </c>
      <c r="L9272">
        <v>2109610451</v>
      </c>
      <c r="M9272" t="s">
        <v>10600</v>
      </c>
      <c r="N9272" t="s">
        <v>1038</v>
      </c>
      <c r="O9272" t="s">
        <v>10601</v>
      </c>
      <c r="P9272">
        <v>16451</v>
      </c>
      <c r="Q9272" t="str">
        <f>"37.903693"</f>
        <v>37.903693</v>
      </c>
      <c r="R9272" t="str">
        <f>"23.755436"</f>
        <v>23.755436</v>
      </c>
      <c r="S9272" t="s">
        <v>26</v>
      </c>
    </row>
    <row r="9273" spans="1:19" x14ac:dyDescent="0.3">
      <c r="A9273" t="s">
        <v>3237</v>
      </c>
      <c r="B9273" t="s">
        <v>10503</v>
      </c>
      <c r="C9273" t="s">
        <v>10602</v>
      </c>
      <c r="D9273" t="s">
        <v>3256</v>
      </c>
      <c r="E9273" t="s">
        <v>5563</v>
      </c>
      <c r="F9273" t="s">
        <v>5563</v>
      </c>
      <c r="G9273" t="s">
        <v>5611</v>
      </c>
      <c r="H9273" t="s">
        <v>859</v>
      </c>
      <c r="I9273" t="s">
        <v>860</v>
      </c>
      <c r="J9273" t="str">
        <f>"9050744"</f>
        <v>9050744</v>
      </c>
      <c r="K9273">
        <v>2109580571</v>
      </c>
      <c r="M9273" t="s">
        <v>10603</v>
      </c>
      <c r="N9273" t="s">
        <v>5567</v>
      </c>
      <c r="O9273" t="s">
        <v>10604</v>
      </c>
      <c r="P9273">
        <v>17672</v>
      </c>
      <c r="Q9273" t="str">
        <f>"37.959565"</f>
        <v>37.959565</v>
      </c>
      <c r="R9273" t="str">
        <f>"23.703239"</f>
        <v>23.703239</v>
      </c>
      <c r="S9273" t="s">
        <v>26</v>
      </c>
    </row>
    <row r="9274" spans="1:19" x14ac:dyDescent="0.3">
      <c r="A9274" t="s">
        <v>3237</v>
      </c>
      <c r="B9274" t="s">
        <v>10503</v>
      </c>
      <c r="C9274" t="s">
        <v>10605</v>
      </c>
      <c r="D9274" t="s">
        <v>3256</v>
      </c>
      <c r="E9274" t="s">
        <v>5563</v>
      </c>
      <c r="F9274" t="s">
        <v>5563</v>
      </c>
      <c r="G9274" t="s">
        <v>5564</v>
      </c>
      <c r="H9274" t="s">
        <v>859</v>
      </c>
      <c r="I9274" t="s">
        <v>860</v>
      </c>
      <c r="J9274" t="str">
        <f>"9520537"</f>
        <v>9520537</v>
      </c>
      <c r="K9274">
        <v>2109524422</v>
      </c>
      <c r="L9274">
        <v>2109524422</v>
      </c>
      <c r="M9274" t="s">
        <v>10606</v>
      </c>
      <c r="N9274" t="s">
        <v>5567</v>
      </c>
      <c r="O9274" t="s">
        <v>10607</v>
      </c>
      <c r="P9274">
        <v>17675</v>
      </c>
      <c r="Q9274" t="str">
        <f>"37.953408"</f>
        <v>37.953408</v>
      </c>
      <c r="R9274" t="str">
        <f>"23.693069"</f>
        <v>23.693069</v>
      </c>
      <c r="S9274" t="s">
        <v>26</v>
      </c>
    </row>
    <row r="9275" spans="1:19" x14ac:dyDescent="0.3">
      <c r="A9275" t="s">
        <v>3237</v>
      </c>
      <c r="B9275" t="s">
        <v>10503</v>
      </c>
      <c r="C9275" t="s">
        <v>10608</v>
      </c>
      <c r="D9275" t="s">
        <v>3256</v>
      </c>
      <c r="E9275" t="s">
        <v>5656</v>
      </c>
      <c r="F9275" t="s">
        <v>5680</v>
      </c>
      <c r="G9275" t="s">
        <v>5680</v>
      </c>
      <c r="H9275" t="s">
        <v>859</v>
      </c>
      <c r="I9275" t="s">
        <v>860</v>
      </c>
      <c r="J9275" t="str">
        <f>"9051886"</f>
        <v>9051886</v>
      </c>
      <c r="K9275">
        <v>2104821150</v>
      </c>
      <c r="L9275">
        <v>2104821150</v>
      </c>
      <c r="M9275" t="s">
        <v>10609</v>
      </c>
      <c r="N9275" t="s">
        <v>5683</v>
      </c>
      <c r="O9275" t="s">
        <v>10610</v>
      </c>
      <c r="P9275">
        <v>18344</v>
      </c>
      <c r="Q9275" t="str">
        <f>"37.946098"</f>
        <v>37.946098</v>
      </c>
      <c r="R9275" t="str">
        <f>"23.673497"</f>
        <v>23.673497</v>
      </c>
      <c r="S9275" t="s">
        <v>26</v>
      </c>
    </row>
    <row r="9276" spans="1:19" x14ac:dyDescent="0.3">
      <c r="A9276" t="s">
        <v>3237</v>
      </c>
      <c r="B9276" t="s">
        <v>10503</v>
      </c>
      <c r="C9276" t="s">
        <v>10611</v>
      </c>
      <c r="D9276" t="s">
        <v>3256</v>
      </c>
      <c r="E9276" t="s">
        <v>5563</v>
      </c>
      <c r="F9276" t="s">
        <v>5563</v>
      </c>
      <c r="G9276" t="s">
        <v>5611</v>
      </c>
      <c r="H9276" t="s">
        <v>859</v>
      </c>
      <c r="I9276" t="s">
        <v>860</v>
      </c>
      <c r="J9276" t="str">
        <f>"9520538"</f>
        <v>9520538</v>
      </c>
      <c r="K9276">
        <v>2109561861</v>
      </c>
      <c r="L9276">
        <v>2109561861</v>
      </c>
      <c r="M9276" t="s">
        <v>10612</v>
      </c>
      <c r="N9276" t="s">
        <v>5567</v>
      </c>
      <c r="O9276" t="s">
        <v>10613</v>
      </c>
      <c r="P9276">
        <v>17675</v>
      </c>
      <c r="Q9276" t="str">
        <f>"37.956434"</f>
        <v>37.956434</v>
      </c>
      <c r="R9276" t="str">
        <f>"23.697522"</f>
        <v>23.697522</v>
      </c>
      <c r="S9276" t="s">
        <v>26</v>
      </c>
    </row>
    <row r="9277" spans="1:19" x14ac:dyDescent="0.3">
      <c r="A9277" t="s">
        <v>3237</v>
      </c>
      <c r="B9277" t="s">
        <v>10503</v>
      </c>
      <c r="C9277" t="s">
        <v>10614</v>
      </c>
      <c r="D9277" t="s">
        <v>3256</v>
      </c>
      <c r="E9277" t="s">
        <v>5563</v>
      </c>
      <c r="F9277" t="s">
        <v>5563</v>
      </c>
      <c r="G9277" t="s">
        <v>5611</v>
      </c>
      <c r="H9277" t="s">
        <v>859</v>
      </c>
      <c r="I9277" t="s">
        <v>860</v>
      </c>
      <c r="J9277" t="str">
        <f>"9051074"</f>
        <v>9051074</v>
      </c>
      <c r="K9277">
        <v>2109582827</v>
      </c>
      <c r="M9277" t="s">
        <v>10615</v>
      </c>
      <c r="N9277" t="s">
        <v>5567</v>
      </c>
      <c r="O9277" t="s">
        <v>10613</v>
      </c>
      <c r="P9277">
        <v>17675</v>
      </c>
      <c r="Q9277" t="str">
        <f>"37.956434"</f>
        <v>37.956434</v>
      </c>
      <c r="R9277" t="str">
        <f>"23.697522"</f>
        <v>23.697522</v>
      </c>
      <c r="S9277" t="s">
        <v>26</v>
      </c>
    </row>
    <row r="9278" spans="1:19" x14ac:dyDescent="0.3">
      <c r="A9278" t="s">
        <v>3237</v>
      </c>
      <c r="B9278" t="s">
        <v>10503</v>
      </c>
      <c r="C9278" t="s">
        <v>10616</v>
      </c>
      <c r="D9278" t="s">
        <v>3256</v>
      </c>
      <c r="E9278" t="s">
        <v>5656</v>
      </c>
      <c r="F9278" t="s">
        <v>5680</v>
      </c>
      <c r="G9278" t="s">
        <v>5680</v>
      </c>
      <c r="H9278" t="s">
        <v>859</v>
      </c>
      <c r="I9278" t="s">
        <v>860</v>
      </c>
      <c r="J9278" t="str">
        <f>"9050747"</f>
        <v>9050747</v>
      </c>
      <c r="K9278">
        <v>2104834238</v>
      </c>
      <c r="L9278">
        <v>2104834238</v>
      </c>
      <c r="M9278" t="s">
        <v>10617</v>
      </c>
      <c r="N9278" t="s">
        <v>5683</v>
      </c>
      <c r="O9278" t="s">
        <v>10618</v>
      </c>
      <c r="P9278">
        <v>18345</v>
      </c>
      <c r="Q9278" t="str">
        <f>"37.951034"</f>
        <v>37.951034</v>
      </c>
      <c r="R9278" t="str">
        <f>"23.674303"</f>
        <v>23.674303</v>
      </c>
      <c r="S9278" t="s">
        <v>26</v>
      </c>
    </row>
    <row r="9279" spans="1:19" x14ac:dyDescent="0.3">
      <c r="A9279" t="s">
        <v>3237</v>
      </c>
      <c r="B9279" t="s">
        <v>10503</v>
      </c>
      <c r="C9279" t="s">
        <v>10625</v>
      </c>
      <c r="D9279" t="s">
        <v>3256</v>
      </c>
      <c r="E9279" t="s">
        <v>5586</v>
      </c>
      <c r="F9279" t="s">
        <v>5586</v>
      </c>
      <c r="G9279" t="s">
        <v>5586</v>
      </c>
      <c r="H9279" t="s">
        <v>859</v>
      </c>
      <c r="I9279" t="s">
        <v>860</v>
      </c>
      <c r="J9279" t="str">
        <f>"9520430"</f>
        <v>9520430</v>
      </c>
      <c r="K9279">
        <v>2109716655</v>
      </c>
      <c r="L9279">
        <v>2109716655</v>
      </c>
      <c r="M9279" t="s">
        <v>10626</v>
      </c>
      <c r="N9279" t="s">
        <v>3260</v>
      </c>
      <c r="O9279" t="s">
        <v>10627</v>
      </c>
      <c r="P9279">
        <v>17124</v>
      </c>
      <c r="Q9279" t="str">
        <f>"37.944495"</f>
        <v>37.944495</v>
      </c>
      <c r="R9279" t="str">
        <f>"23.720839"</f>
        <v>23.720839</v>
      </c>
      <c r="S9279" t="s">
        <v>26</v>
      </c>
    </row>
    <row r="9280" spans="1:19" x14ac:dyDescent="0.3">
      <c r="A9280" t="s">
        <v>3237</v>
      </c>
      <c r="B9280" t="s">
        <v>10503</v>
      </c>
      <c r="C9280" t="s">
        <v>10641</v>
      </c>
      <c r="D9280" t="s">
        <v>3256</v>
      </c>
      <c r="E9280" t="s">
        <v>5570</v>
      </c>
      <c r="F9280" t="s">
        <v>5570</v>
      </c>
      <c r="G9280" t="s">
        <v>5570</v>
      </c>
      <c r="H9280" t="s">
        <v>859</v>
      </c>
      <c r="I9280" t="s">
        <v>860</v>
      </c>
      <c r="J9280" t="str">
        <f>"9050200"</f>
        <v>9050200</v>
      </c>
      <c r="K9280">
        <v>2109836588</v>
      </c>
      <c r="L9280">
        <v>2109836588</v>
      </c>
      <c r="M9280" t="s">
        <v>10642</v>
      </c>
      <c r="N9280" t="s">
        <v>5573</v>
      </c>
      <c r="O9280" t="s">
        <v>10643</v>
      </c>
      <c r="P9280">
        <v>17561</v>
      </c>
      <c r="Q9280" t="str">
        <f>"37.930145"</f>
        <v>37.930145</v>
      </c>
      <c r="R9280" t="str">
        <f>"23.692361"</f>
        <v>23.692361</v>
      </c>
      <c r="S9280" t="s">
        <v>26</v>
      </c>
    </row>
    <row r="9281" spans="1:19" x14ac:dyDescent="0.3">
      <c r="A9281" t="s">
        <v>3237</v>
      </c>
      <c r="B9281" t="s">
        <v>10503</v>
      </c>
      <c r="C9281" t="s">
        <v>10656</v>
      </c>
      <c r="D9281" t="s">
        <v>3256</v>
      </c>
      <c r="E9281" t="s">
        <v>5563</v>
      </c>
      <c r="F9281" t="s">
        <v>5563</v>
      </c>
      <c r="G9281" t="s">
        <v>5564</v>
      </c>
      <c r="H9281" t="s">
        <v>859</v>
      </c>
      <c r="I9281" t="s">
        <v>860</v>
      </c>
      <c r="J9281" t="str">
        <f>"9050210"</f>
        <v>9050210</v>
      </c>
      <c r="K9281">
        <v>2109423111</v>
      </c>
      <c r="L9281">
        <v>2109423111</v>
      </c>
      <c r="M9281" t="s">
        <v>10657</v>
      </c>
      <c r="N9281" t="s">
        <v>5567</v>
      </c>
      <c r="O9281" t="s">
        <v>10658</v>
      </c>
      <c r="P9281">
        <v>17674</v>
      </c>
      <c r="Q9281" t="str">
        <f>"37.944743"</f>
        <v>37.944743</v>
      </c>
      <c r="R9281" t="str">
        <f>"23.695914"</f>
        <v>23.695914</v>
      </c>
      <c r="S9281" t="s">
        <v>26</v>
      </c>
    </row>
    <row r="9282" spans="1:19" x14ac:dyDescent="0.3">
      <c r="A9282" t="s">
        <v>3237</v>
      </c>
      <c r="B9282" t="s">
        <v>10503</v>
      </c>
      <c r="C9282" t="s">
        <v>10675</v>
      </c>
      <c r="D9282" t="s">
        <v>3256</v>
      </c>
      <c r="E9282" t="s">
        <v>5570</v>
      </c>
      <c r="F9282" t="s">
        <v>5570</v>
      </c>
      <c r="G9282" t="s">
        <v>5570</v>
      </c>
      <c r="H9282" t="s">
        <v>859</v>
      </c>
      <c r="I9282" t="s">
        <v>860</v>
      </c>
      <c r="J9282" t="str">
        <f>"9051919"</f>
        <v>9051919</v>
      </c>
      <c r="K9282">
        <v>2109855095</v>
      </c>
      <c r="L9282">
        <v>2109855095</v>
      </c>
      <c r="M9282" t="s">
        <v>10676</v>
      </c>
      <c r="N9282" t="s">
        <v>10650</v>
      </c>
      <c r="O9282" t="s">
        <v>10677</v>
      </c>
      <c r="P9282">
        <v>17564</v>
      </c>
      <c r="Q9282" t="str">
        <f>"37.932581"</f>
        <v>37.932581</v>
      </c>
      <c r="R9282" t="str">
        <f>"23.704458"</f>
        <v>23.704458</v>
      </c>
      <c r="S9282" t="s">
        <v>26</v>
      </c>
    </row>
    <row r="9283" spans="1:19" x14ac:dyDescent="0.3">
      <c r="A9283" t="s">
        <v>3237</v>
      </c>
      <c r="B9283" t="s">
        <v>10503</v>
      </c>
      <c r="C9283" t="s">
        <v>10689</v>
      </c>
      <c r="D9283" t="s">
        <v>3256</v>
      </c>
      <c r="E9283" t="s">
        <v>5563</v>
      </c>
      <c r="F9283" t="s">
        <v>5563</v>
      </c>
      <c r="G9283" t="s">
        <v>5611</v>
      </c>
      <c r="H9283" t="s">
        <v>859</v>
      </c>
      <c r="I9283" t="s">
        <v>860</v>
      </c>
      <c r="J9283" t="str">
        <f>"9050739"</f>
        <v>9050739</v>
      </c>
      <c r="K9283">
        <v>2109530090</v>
      </c>
      <c r="L9283">
        <v>2109530090</v>
      </c>
      <c r="M9283" t="s">
        <v>10690</v>
      </c>
      <c r="N9283" t="s">
        <v>5567</v>
      </c>
      <c r="O9283" t="s">
        <v>10691</v>
      </c>
      <c r="P9283">
        <v>17673</v>
      </c>
      <c r="Q9283" t="str">
        <f>"37.946639"</f>
        <v>37.946639</v>
      </c>
      <c r="R9283" t="str">
        <f>"23.700981"</f>
        <v>23.700981</v>
      </c>
      <c r="S9283" t="s">
        <v>26</v>
      </c>
    </row>
    <row r="9284" spans="1:19" x14ac:dyDescent="0.3">
      <c r="A9284" t="s">
        <v>3237</v>
      </c>
      <c r="B9284" t="s">
        <v>10503</v>
      </c>
      <c r="C9284" t="s">
        <v>10696</v>
      </c>
      <c r="D9284" t="s">
        <v>3256</v>
      </c>
      <c r="E9284" t="s">
        <v>3257</v>
      </c>
      <c r="F9284" t="s">
        <v>3257</v>
      </c>
      <c r="G9284" t="s">
        <v>3257</v>
      </c>
      <c r="H9284" t="s">
        <v>859</v>
      </c>
      <c r="I9284" t="s">
        <v>860</v>
      </c>
      <c r="J9284" t="str">
        <f>"9051250"</f>
        <v>9051250</v>
      </c>
      <c r="K9284">
        <v>2109839655</v>
      </c>
      <c r="L9284">
        <v>2109839655</v>
      </c>
      <c r="M9284" t="s">
        <v>10697</v>
      </c>
      <c r="N9284" t="s">
        <v>5630</v>
      </c>
      <c r="O9284" t="s">
        <v>10698</v>
      </c>
      <c r="P9284">
        <v>17455</v>
      </c>
      <c r="Q9284" t="str">
        <f>"37.918473"</f>
        <v>37.918473</v>
      </c>
      <c r="R9284" t="str">
        <f>"23.714601"</f>
        <v>23.714601</v>
      </c>
      <c r="S9284" t="s">
        <v>26</v>
      </c>
    </row>
    <row r="9285" spans="1:19" x14ac:dyDescent="0.3">
      <c r="A9285" t="s">
        <v>3237</v>
      </c>
      <c r="B9285" t="s">
        <v>10503</v>
      </c>
      <c r="C9285" t="s">
        <v>10713</v>
      </c>
      <c r="D9285" t="s">
        <v>3256</v>
      </c>
      <c r="E9285" t="s">
        <v>5599</v>
      </c>
      <c r="F9285" t="s">
        <v>5600</v>
      </c>
      <c r="G9285" t="s">
        <v>5601</v>
      </c>
      <c r="H9285" t="s">
        <v>859</v>
      </c>
      <c r="I9285" t="s">
        <v>860</v>
      </c>
      <c r="J9285" t="str">
        <f>"9050738"</f>
        <v>9050738</v>
      </c>
      <c r="K9285">
        <v>2109919585</v>
      </c>
      <c r="L9285">
        <v>2109919585</v>
      </c>
      <c r="M9285" t="s">
        <v>10714</v>
      </c>
      <c r="N9285" t="s">
        <v>1038</v>
      </c>
      <c r="O9285" t="s">
        <v>10715</v>
      </c>
      <c r="P9285">
        <v>16451</v>
      </c>
      <c r="Q9285" t="str">
        <f>"37.912928"</f>
        <v>37.912928</v>
      </c>
      <c r="R9285" t="str">
        <f>"23.753663"</f>
        <v>23.753663</v>
      </c>
      <c r="S9285" t="s">
        <v>26</v>
      </c>
    </row>
    <row r="9286" spans="1:19" x14ac:dyDescent="0.3">
      <c r="A9286" t="s">
        <v>3237</v>
      </c>
      <c r="B9286" t="s">
        <v>10503</v>
      </c>
      <c r="C9286" t="s">
        <v>10719</v>
      </c>
      <c r="D9286" t="s">
        <v>3256</v>
      </c>
      <c r="E9286" t="s">
        <v>5599</v>
      </c>
      <c r="F9286" t="s">
        <v>5600</v>
      </c>
      <c r="G9286" t="s">
        <v>5601</v>
      </c>
      <c r="H9286" t="s">
        <v>859</v>
      </c>
      <c r="I9286" t="s">
        <v>860</v>
      </c>
      <c r="J9286" t="str">
        <f>"9520364"</f>
        <v>9520364</v>
      </c>
      <c r="K9286">
        <v>2109926389</v>
      </c>
      <c r="L9286">
        <v>2109926389</v>
      </c>
      <c r="M9286" t="s">
        <v>10720</v>
      </c>
      <c r="N9286" t="s">
        <v>1038</v>
      </c>
      <c r="O9286" t="s">
        <v>10721</v>
      </c>
      <c r="P9286">
        <v>16451</v>
      </c>
      <c r="Q9286" t="str">
        <f>"37.916120"</f>
        <v>37.916120</v>
      </c>
      <c r="R9286" t="str">
        <f>"23.753505"</f>
        <v>23.753505</v>
      </c>
      <c r="S9286" t="s">
        <v>26</v>
      </c>
    </row>
    <row r="9287" spans="1:19" x14ac:dyDescent="0.3">
      <c r="A9287" t="s">
        <v>3237</v>
      </c>
      <c r="B9287" t="s">
        <v>10503</v>
      </c>
      <c r="C9287" t="s">
        <v>10727</v>
      </c>
      <c r="D9287" t="s">
        <v>3256</v>
      </c>
      <c r="E9287" t="s">
        <v>5563</v>
      </c>
      <c r="F9287" t="s">
        <v>5563</v>
      </c>
      <c r="G9287" t="s">
        <v>5564</v>
      </c>
      <c r="H9287" t="s">
        <v>859</v>
      </c>
      <c r="I9287" t="s">
        <v>860</v>
      </c>
      <c r="J9287" t="str">
        <f>"9520418"</f>
        <v>9520418</v>
      </c>
      <c r="K9287">
        <v>2109567920</v>
      </c>
      <c r="L9287">
        <v>2109567920</v>
      </c>
      <c r="M9287" t="s">
        <v>10728</v>
      </c>
      <c r="N9287" t="s">
        <v>5567</v>
      </c>
      <c r="O9287" t="s">
        <v>10691</v>
      </c>
      <c r="P9287">
        <v>17673</v>
      </c>
      <c r="Q9287" t="str">
        <f>"37.946470"</f>
        <v>37.946470</v>
      </c>
      <c r="R9287" t="str">
        <f>"23.700868"</f>
        <v>23.700868</v>
      </c>
      <c r="S9287" t="s">
        <v>26</v>
      </c>
    </row>
    <row r="9288" spans="1:19" x14ac:dyDescent="0.3">
      <c r="A9288" t="s">
        <v>3237</v>
      </c>
      <c r="B9288" t="s">
        <v>10503</v>
      </c>
      <c r="C9288" t="s">
        <v>10740</v>
      </c>
      <c r="D9288" t="s">
        <v>3256</v>
      </c>
      <c r="E9288" t="s">
        <v>3257</v>
      </c>
      <c r="F9288" t="s">
        <v>3257</v>
      </c>
      <c r="G9288" t="s">
        <v>3257</v>
      </c>
      <c r="H9288" t="s">
        <v>859</v>
      </c>
      <c r="I9288" t="s">
        <v>860</v>
      </c>
      <c r="J9288" t="str">
        <f>"9051249"</f>
        <v>9051249</v>
      </c>
      <c r="K9288">
        <v>2109919564</v>
      </c>
      <c r="L9288">
        <v>2109919564</v>
      </c>
      <c r="M9288" t="s">
        <v>10741</v>
      </c>
      <c r="N9288" t="s">
        <v>5630</v>
      </c>
      <c r="O9288" t="s">
        <v>10742</v>
      </c>
      <c r="P9288">
        <v>17456</v>
      </c>
      <c r="Q9288" t="str">
        <f>"37.917279"</f>
        <v>37.917279</v>
      </c>
      <c r="R9288" t="str">
        <f>"23.734428"</f>
        <v>23.734428</v>
      </c>
      <c r="S9288" t="s">
        <v>26</v>
      </c>
    </row>
    <row r="9289" spans="1:19" x14ac:dyDescent="0.3">
      <c r="A9289" t="s">
        <v>3237</v>
      </c>
      <c r="B9289" t="s">
        <v>10503</v>
      </c>
      <c r="C9289" t="s">
        <v>10745</v>
      </c>
      <c r="D9289" t="s">
        <v>3256</v>
      </c>
      <c r="E9289" t="s">
        <v>3257</v>
      </c>
      <c r="F9289" t="s">
        <v>3257</v>
      </c>
      <c r="G9289" t="s">
        <v>3257</v>
      </c>
      <c r="H9289" t="s">
        <v>859</v>
      </c>
      <c r="I9289" t="s">
        <v>860</v>
      </c>
      <c r="J9289" t="str">
        <f>"9051079"</f>
        <v>9051079</v>
      </c>
      <c r="K9289">
        <v>2109816690</v>
      </c>
      <c r="L9289">
        <v>2109816690</v>
      </c>
      <c r="M9289" t="s">
        <v>10746</v>
      </c>
      <c r="N9289" t="s">
        <v>5630</v>
      </c>
      <c r="O9289" t="s">
        <v>10747</v>
      </c>
      <c r="P9289">
        <v>17455</v>
      </c>
      <c r="Q9289" t="str">
        <f>"37.916914"</f>
        <v>37.916914</v>
      </c>
      <c r="R9289" t="str">
        <f>"23.723414"</f>
        <v>23.723414</v>
      </c>
      <c r="S9289" t="s">
        <v>26</v>
      </c>
    </row>
    <row r="9290" spans="1:19" x14ac:dyDescent="0.3">
      <c r="A9290" t="s">
        <v>3237</v>
      </c>
      <c r="B9290" t="s">
        <v>10503</v>
      </c>
      <c r="C9290" t="s">
        <v>10748</v>
      </c>
      <c r="D9290" t="s">
        <v>3256</v>
      </c>
      <c r="E9290" t="s">
        <v>5599</v>
      </c>
      <c r="F9290" t="s">
        <v>5600</v>
      </c>
      <c r="G9290" t="s">
        <v>5601</v>
      </c>
      <c r="H9290" t="s">
        <v>859</v>
      </c>
      <c r="I9290" t="s">
        <v>860</v>
      </c>
      <c r="J9290" t="str">
        <f>"9051319"</f>
        <v>9051319</v>
      </c>
      <c r="K9290">
        <v>2109944462</v>
      </c>
      <c r="L9290">
        <v>2109944462</v>
      </c>
      <c r="M9290" t="s">
        <v>10749</v>
      </c>
      <c r="N9290" t="s">
        <v>1038</v>
      </c>
      <c r="O9290" t="s">
        <v>10750</v>
      </c>
      <c r="P9290">
        <v>16452</v>
      </c>
      <c r="Q9290" t="str">
        <f>"37.905984"</f>
        <v>37.905984</v>
      </c>
      <c r="R9290" t="str">
        <f>"23.748224"</f>
        <v>23.748224</v>
      </c>
      <c r="S9290" t="s">
        <v>26</v>
      </c>
    </row>
    <row r="9291" spans="1:19" x14ac:dyDescent="0.3">
      <c r="A9291" t="s">
        <v>3237</v>
      </c>
      <c r="B9291" t="s">
        <v>10503</v>
      </c>
      <c r="C9291" t="s">
        <v>10754</v>
      </c>
      <c r="D9291" t="s">
        <v>3256</v>
      </c>
      <c r="E9291" t="s">
        <v>5586</v>
      </c>
      <c r="F9291" t="s">
        <v>5586</v>
      </c>
      <c r="G9291" t="s">
        <v>5586</v>
      </c>
      <c r="H9291" t="s">
        <v>859</v>
      </c>
      <c r="I9291" t="s">
        <v>860</v>
      </c>
      <c r="J9291" t="str">
        <f>"9520368"</f>
        <v>9520368</v>
      </c>
      <c r="K9291">
        <v>2109480020</v>
      </c>
      <c r="L9291">
        <v>2109430069</v>
      </c>
      <c r="M9291" t="s">
        <v>10755</v>
      </c>
      <c r="N9291" t="s">
        <v>3260</v>
      </c>
      <c r="O9291" t="s">
        <v>10756</v>
      </c>
      <c r="P9291">
        <v>17122</v>
      </c>
      <c r="Q9291" t="str">
        <f>"37.942296"</f>
        <v>37.942296</v>
      </c>
      <c r="R9291" t="str">
        <f>"23.703264"</f>
        <v>23.703264</v>
      </c>
      <c r="S9291" t="s">
        <v>26</v>
      </c>
    </row>
    <row r="9292" spans="1:19" x14ac:dyDescent="0.3">
      <c r="A9292" t="s">
        <v>3237</v>
      </c>
      <c r="B9292" t="s">
        <v>10503</v>
      </c>
      <c r="C9292" t="s">
        <v>10757</v>
      </c>
      <c r="D9292" t="s">
        <v>3256</v>
      </c>
      <c r="E9292" t="s">
        <v>5656</v>
      </c>
      <c r="F9292" t="s">
        <v>5680</v>
      </c>
      <c r="G9292" t="s">
        <v>5680</v>
      </c>
      <c r="H9292" t="s">
        <v>859</v>
      </c>
      <c r="I9292" t="s">
        <v>860</v>
      </c>
      <c r="J9292" t="str">
        <f>"9050746"</f>
        <v>9050746</v>
      </c>
      <c r="K9292">
        <v>2109411211</v>
      </c>
      <c r="L9292">
        <v>2109411211</v>
      </c>
      <c r="M9292" t="s">
        <v>10758</v>
      </c>
      <c r="N9292" t="s">
        <v>5683</v>
      </c>
      <c r="O9292" t="s">
        <v>10759</v>
      </c>
      <c r="P9292">
        <v>18345</v>
      </c>
      <c r="Q9292" t="str">
        <f>"37.949895"</f>
        <v>37.949895</v>
      </c>
      <c r="R9292" t="str">
        <f>"23.679363"</f>
        <v>23.679363</v>
      </c>
      <c r="S9292" t="s">
        <v>26</v>
      </c>
    </row>
    <row r="9293" spans="1:19" x14ac:dyDescent="0.3">
      <c r="A9293" t="s">
        <v>3237</v>
      </c>
      <c r="B9293" t="s">
        <v>10503</v>
      </c>
      <c r="C9293" t="s">
        <v>10760</v>
      </c>
      <c r="D9293" t="s">
        <v>3256</v>
      </c>
      <c r="E9293" t="s">
        <v>3295</v>
      </c>
      <c r="F9293" t="s">
        <v>3295</v>
      </c>
      <c r="G9293" t="s">
        <v>3295</v>
      </c>
      <c r="H9293" t="s">
        <v>859</v>
      </c>
      <c r="I9293" t="s">
        <v>860</v>
      </c>
      <c r="J9293" t="str">
        <f>"9051072"</f>
        <v>9051072</v>
      </c>
      <c r="K9293">
        <v>2109755343</v>
      </c>
      <c r="L9293">
        <v>2109755343</v>
      </c>
      <c r="M9293" t="s">
        <v>10761</v>
      </c>
      <c r="N9293" t="s">
        <v>3472</v>
      </c>
      <c r="O9293" t="s">
        <v>10762</v>
      </c>
      <c r="P9293">
        <v>17343</v>
      </c>
      <c r="Q9293" t="str">
        <f>"37.940947"</f>
        <v>37.940947</v>
      </c>
      <c r="R9293" t="str">
        <f>"23.737179"</f>
        <v>23.737179</v>
      </c>
      <c r="S9293" t="s">
        <v>26</v>
      </c>
    </row>
    <row r="9294" spans="1:19" x14ac:dyDescent="0.3">
      <c r="A9294" t="s">
        <v>3237</v>
      </c>
      <c r="B9294" t="s">
        <v>10503</v>
      </c>
      <c r="C9294" t="s">
        <v>10773</v>
      </c>
      <c r="D9294" t="s">
        <v>3256</v>
      </c>
      <c r="E9294" t="s">
        <v>3295</v>
      </c>
      <c r="F9294" t="s">
        <v>3295</v>
      </c>
      <c r="G9294" t="s">
        <v>3295</v>
      </c>
      <c r="H9294" t="s">
        <v>859</v>
      </c>
      <c r="I9294" t="s">
        <v>860</v>
      </c>
      <c r="J9294" t="str">
        <f>"9051071"</f>
        <v>9051071</v>
      </c>
      <c r="K9294">
        <v>2109734160</v>
      </c>
      <c r="L9294">
        <v>2109734160</v>
      </c>
      <c r="M9294" t="s">
        <v>10774</v>
      </c>
      <c r="N9294" t="s">
        <v>3472</v>
      </c>
      <c r="O9294" t="s">
        <v>10775</v>
      </c>
      <c r="P9294">
        <v>17343</v>
      </c>
      <c r="Q9294" t="str">
        <f>"37.935440"</f>
        <v>37.935440</v>
      </c>
      <c r="R9294" t="str">
        <f>"23.730876"</f>
        <v>23.730876</v>
      </c>
      <c r="S9294" t="s">
        <v>26</v>
      </c>
    </row>
    <row r="9295" spans="1:19" x14ac:dyDescent="0.3">
      <c r="A9295" t="s">
        <v>3237</v>
      </c>
      <c r="B9295" t="s">
        <v>10503</v>
      </c>
      <c r="C9295" t="s">
        <v>10776</v>
      </c>
      <c r="D9295" t="s">
        <v>3256</v>
      </c>
      <c r="E9295" t="s">
        <v>4017</v>
      </c>
      <c r="F9295" t="s">
        <v>4017</v>
      </c>
      <c r="G9295" t="s">
        <v>4017</v>
      </c>
      <c r="H9295" t="s">
        <v>859</v>
      </c>
      <c r="I9295" t="s">
        <v>860</v>
      </c>
      <c r="J9295" t="str">
        <f>"9051081"</f>
        <v>9051081</v>
      </c>
      <c r="K9295">
        <v>2109615900</v>
      </c>
      <c r="L9295">
        <v>2109615900</v>
      </c>
      <c r="M9295" t="s">
        <v>10777</v>
      </c>
      <c r="N9295" t="s">
        <v>5578</v>
      </c>
      <c r="O9295" t="s">
        <v>10778</v>
      </c>
      <c r="P9295">
        <v>16561</v>
      </c>
      <c r="Q9295" t="str">
        <f>"37.890376"</f>
        <v>37.890376</v>
      </c>
      <c r="R9295" t="str">
        <f>"23.765176"</f>
        <v>23.765176</v>
      </c>
      <c r="S9295" t="s">
        <v>26</v>
      </c>
    </row>
    <row r="9296" spans="1:19" x14ac:dyDescent="0.3">
      <c r="A9296" t="s">
        <v>3237</v>
      </c>
      <c r="B9296" t="s">
        <v>10503</v>
      </c>
      <c r="C9296" t="s">
        <v>10788</v>
      </c>
      <c r="D9296" t="s">
        <v>3256</v>
      </c>
      <c r="E9296" t="s">
        <v>5570</v>
      </c>
      <c r="F9296" t="s">
        <v>5570</v>
      </c>
      <c r="G9296" t="s">
        <v>5570</v>
      </c>
      <c r="H9296" t="s">
        <v>859</v>
      </c>
      <c r="I9296" t="s">
        <v>860</v>
      </c>
      <c r="J9296" t="str">
        <f>"9050169"</f>
        <v>9050169</v>
      </c>
      <c r="K9296">
        <v>2109821444</v>
      </c>
      <c r="L9296">
        <v>2109821444</v>
      </c>
      <c r="M9296" t="s">
        <v>10789</v>
      </c>
      <c r="N9296" t="s">
        <v>5573</v>
      </c>
      <c r="O9296" t="s">
        <v>10790</v>
      </c>
      <c r="P9296">
        <v>17562</v>
      </c>
      <c r="Q9296" t="str">
        <f>"37.925738"</f>
        <v>37.925738</v>
      </c>
      <c r="R9296" t="str">
        <f>"23.700874"</f>
        <v>23.700874</v>
      </c>
      <c r="S9296" t="s">
        <v>26</v>
      </c>
    </row>
    <row r="9297" spans="1:19" x14ac:dyDescent="0.3">
      <c r="A9297" t="s">
        <v>3237</v>
      </c>
      <c r="B9297" t="s">
        <v>10503</v>
      </c>
      <c r="C9297" t="s">
        <v>10791</v>
      </c>
      <c r="D9297" t="s">
        <v>3256</v>
      </c>
      <c r="E9297" t="s">
        <v>3295</v>
      </c>
      <c r="F9297" t="s">
        <v>3295</v>
      </c>
      <c r="G9297" t="s">
        <v>3295</v>
      </c>
      <c r="H9297" t="s">
        <v>859</v>
      </c>
      <c r="I9297" t="s">
        <v>860</v>
      </c>
      <c r="J9297" t="str">
        <f>"9050731"</f>
        <v>9050731</v>
      </c>
      <c r="K9297">
        <v>2109715671</v>
      </c>
      <c r="L9297">
        <v>2109715671</v>
      </c>
      <c r="M9297" t="s">
        <v>10792</v>
      </c>
      <c r="N9297" t="s">
        <v>3472</v>
      </c>
      <c r="O9297" t="s">
        <v>10793</v>
      </c>
      <c r="P9297">
        <v>17343</v>
      </c>
      <c r="Q9297" t="str">
        <f>"37.943886"</f>
        <v>37.943886</v>
      </c>
      <c r="R9297" t="str">
        <f>"23.734847"</f>
        <v>23.734847</v>
      </c>
      <c r="S9297" t="s">
        <v>26</v>
      </c>
    </row>
    <row r="9298" spans="1:19" x14ac:dyDescent="0.3">
      <c r="A9298" t="s">
        <v>3237</v>
      </c>
      <c r="B9298" t="s">
        <v>10503</v>
      </c>
      <c r="C9298" t="s">
        <v>10794</v>
      </c>
      <c r="D9298" t="s">
        <v>3256</v>
      </c>
      <c r="E9298" t="s">
        <v>3257</v>
      </c>
      <c r="F9298" t="s">
        <v>3257</v>
      </c>
      <c r="G9298" t="s">
        <v>3257</v>
      </c>
      <c r="H9298" t="s">
        <v>859</v>
      </c>
      <c r="I9298" t="s">
        <v>860</v>
      </c>
      <c r="J9298" t="str">
        <f>"9520431"</f>
        <v>9520431</v>
      </c>
      <c r="K9298">
        <v>2109837153</v>
      </c>
      <c r="L9298">
        <v>2109837153</v>
      </c>
      <c r="M9298" t="s">
        <v>10795</v>
      </c>
      <c r="N9298" t="s">
        <v>5630</v>
      </c>
      <c r="O9298" t="s">
        <v>10796</v>
      </c>
      <c r="P9298">
        <v>17455</v>
      </c>
      <c r="Q9298" t="str">
        <f>"37.921045"</f>
        <v>37.921045</v>
      </c>
      <c r="R9298" t="str">
        <f>"23.718387"</f>
        <v>23.718387</v>
      </c>
      <c r="S9298" t="s">
        <v>26</v>
      </c>
    </row>
    <row r="9299" spans="1:19" x14ac:dyDescent="0.3">
      <c r="A9299" t="s">
        <v>3237</v>
      </c>
      <c r="B9299" t="s">
        <v>10503</v>
      </c>
      <c r="C9299" t="s">
        <v>10801</v>
      </c>
      <c r="D9299" t="s">
        <v>3256</v>
      </c>
      <c r="E9299" t="s">
        <v>5599</v>
      </c>
      <c r="F9299" t="s">
        <v>5600</v>
      </c>
      <c r="G9299" t="s">
        <v>5601</v>
      </c>
      <c r="H9299" t="s">
        <v>859</v>
      </c>
      <c r="I9299" t="s">
        <v>860</v>
      </c>
      <c r="J9299" t="str">
        <f>"9050183"</f>
        <v>9050183</v>
      </c>
      <c r="K9299">
        <v>2109615356</v>
      </c>
      <c r="L9299">
        <v>2109615356</v>
      </c>
      <c r="M9299" t="s">
        <v>10802</v>
      </c>
      <c r="N9299" t="s">
        <v>1038</v>
      </c>
      <c r="O9299" t="s">
        <v>10803</v>
      </c>
      <c r="P9299">
        <v>16452</v>
      </c>
      <c r="Q9299" t="str">
        <f>"37.903303"</f>
        <v>37.903303</v>
      </c>
      <c r="R9299" t="str">
        <f>"23.750593"</f>
        <v>23.750593</v>
      </c>
      <c r="S9299" t="s">
        <v>26</v>
      </c>
    </row>
    <row r="9300" spans="1:19" x14ac:dyDescent="0.3">
      <c r="A9300" t="s">
        <v>3237</v>
      </c>
      <c r="B9300" t="s">
        <v>10503</v>
      </c>
      <c r="C9300" t="s">
        <v>10812</v>
      </c>
      <c r="D9300" t="s">
        <v>3256</v>
      </c>
      <c r="E9300" t="s">
        <v>3257</v>
      </c>
      <c r="F9300" t="s">
        <v>3257</v>
      </c>
      <c r="G9300" t="s">
        <v>3257</v>
      </c>
      <c r="H9300" t="s">
        <v>859</v>
      </c>
      <c r="I9300" t="s">
        <v>860</v>
      </c>
      <c r="J9300" t="str">
        <f>"9520421"</f>
        <v>9520421</v>
      </c>
      <c r="K9300">
        <v>2109816171</v>
      </c>
      <c r="L9300">
        <v>2109816171</v>
      </c>
      <c r="M9300" t="s">
        <v>10813</v>
      </c>
      <c r="N9300" t="s">
        <v>5630</v>
      </c>
      <c r="O9300" t="s">
        <v>10814</v>
      </c>
      <c r="P9300">
        <v>17455</v>
      </c>
      <c r="Q9300" t="str">
        <f>"37.908411"</f>
        <v>37.908411</v>
      </c>
      <c r="R9300" t="str">
        <f>"23.719035"</f>
        <v>23.719035</v>
      </c>
      <c r="S9300" t="s">
        <v>26</v>
      </c>
    </row>
    <row r="9301" spans="1:19" x14ac:dyDescent="0.3">
      <c r="A9301" t="s">
        <v>3237</v>
      </c>
      <c r="B9301" t="s">
        <v>10503</v>
      </c>
      <c r="C9301" t="s">
        <v>10815</v>
      </c>
      <c r="D9301" t="s">
        <v>3256</v>
      </c>
      <c r="E9301" t="s">
        <v>5570</v>
      </c>
      <c r="F9301" t="s">
        <v>5570</v>
      </c>
      <c r="G9301" t="s">
        <v>5570</v>
      </c>
      <c r="H9301" t="s">
        <v>859</v>
      </c>
      <c r="I9301" t="s">
        <v>860</v>
      </c>
      <c r="J9301" t="str">
        <f>"9520394"</f>
        <v>9520394</v>
      </c>
      <c r="K9301">
        <v>2109821444</v>
      </c>
      <c r="L9301">
        <v>2109821444</v>
      </c>
      <c r="M9301" t="s">
        <v>10816</v>
      </c>
      <c r="N9301" t="s">
        <v>10650</v>
      </c>
      <c r="O9301" t="s">
        <v>10790</v>
      </c>
      <c r="P9301">
        <v>17562</v>
      </c>
      <c r="Q9301" t="str">
        <f>"37.923090"</f>
        <v>37.923090</v>
      </c>
      <c r="R9301" t="str">
        <f>"23.700694"</f>
        <v>23.700694</v>
      </c>
      <c r="S9301" t="s">
        <v>26</v>
      </c>
    </row>
    <row r="9302" spans="1:19" x14ac:dyDescent="0.3">
      <c r="A9302" t="s">
        <v>3237</v>
      </c>
      <c r="B9302" t="s">
        <v>10503</v>
      </c>
      <c r="C9302" t="s">
        <v>10825</v>
      </c>
      <c r="D9302" t="s">
        <v>3256</v>
      </c>
      <c r="E9302" t="s">
        <v>5570</v>
      </c>
      <c r="F9302" t="s">
        <v>5570</v>
      </c>
      <c r="G9302" t="s">
        <v>5570</v>
      </c>
      <c r="H9302" t="s">
        <v>859</v>
      </c>
      <c r="I9302" t="s">
        <v>860</v>
      </c>
      <c r="J9302" t="str">
        <f>"9520505"</f>
        <v>9520505</v>
      </c>
      <c r="K9302">
        <v>2109848464</v>
      </c>
      <c r="L9302">
        <v>2109848464</v>
      </c>
      <c r="M9302" t="s">
        <v>10826</v>
      </c>
      <c r="N9302" t="s">
        <v>10650</v>
      </c>
      <c r="O9302" t="s">
        <v>10827</v>
      </c>
      <c r="P9302">
        <v>17563</v>
      </c>
      <c r="Q9302" t="str">
        <f>"37.919629"</f>
        <v>37.919629</v>
      </c>
      <c r="R9302" t="str">
        <f>"23.711614"</f>
        <v>23.711614</v>
      </c>
      <c r="S9302" t="s">
        <v>26</v>
      </c>
    </row>
    <row r="9303" spans="1:19" x14ac:dyDescent="0.3">
      <c r="A9303" t="s">
        <v>3237</v>
      </c>
      <c r="B9303" t="s">
        <v>10503</v>
      </c>
      <c r="C9303" t="s">
        <v>10828</v>
      </c>
      <c r="D9303" t="s">
        <v>3256</v>
      </c>
      <c r="E9303" t="s">
        <v>3295</v>
      </c>
      <c r="F9303" t="s">
        <v>3295</v>
      </c>
      <c r="G9303" t="s">
        <v>3295</v>
      </c>
      <c r="H9303" t="s">
        <v>859</v>
      </c>
      <c r="I9303" t="s">
        <v>860</v>
      </c>
      <c r="J9303" t="str">
        <f>"9050666"</f>
        <v>9050666</v>
      </c>
      <c r="K9303">
        <v>2109705600</v>
      </c>
      <c r="M9303" t="s">
        <v>10829</v>
      </c>
      <c r="N9303" t="s">
        <v>5954</v>
      </c>
      <c r="O9303" t="s">
        <v>10830</v>
      </c>
      <c r="P9303">
        <v>17341</v>
      </c>
      <c r="Q9303" t="str">
        <f>"37.945495"</f>
        <v>37.945495</v>
      </c>
      <c r="R9303" t="str">
        <f>"23.733673"</f>
        <v>23.733673</v>
      </c>
      <c r="S9303" t="s">
        <v>26</v>
      </c>
    </row>
    <row r="9304" spans="1:19" x14ac:dyDescent="0.3">
      <c r="A9304" t="s">
        <v>3237</v>
      </c>
      <c r="B9304" t="s">
        <v>10503</v>
      </c>
      <c r="C9304" t="s">
        <v>10837</v>
      </c>
      <c r="D9304" t="s">
        <v>3256</v>
      </c>
      <c r="E9304" t="s">
        <v>5570</v>
      </c>
      <c r="F9304" t="s">
        <v>5570</v>
      </c>
      <c r="G9304" t="s">
        <v>5570</v>
      </c>
      <c r="H9304" t="s">
        <v>859</v>
      </c>
      <c r="I9304" t="s">
        <v>860</v>
      </c>
      <c r="J9304" t="str">
        <f>"9050891"</f>
        <v>9050891</v>
      </c>
      <c r="K9304">
        <v>2109420376</v>
      </c>
      <c r="L9304">
        <v>2109420376</v>
      </c>
      <c r="M9304" t="s">
        <v>10838</v>
      </c>
      <c r="N9304" t="s">
        <v>10650</v>
      </c>
      <c r="O9304" t="s">
        <v>10839</v>
      </c>
      <c r="P9304">
        <v>17564</v>
      </c>
      <c r="Q9304" t="str">
        <f>"37.936400"</f>
        <v>37.936400</v>
      </c>
      <c r="R9304" t="str">
        <f>"23.700902"</f>
        <v>23.700902</v>
      </c>
      <c r="S9304" t="s">
        <v>26</v>
      </c>
    </row>
    <row r="9305" spans="1:19" x14ac:dyDescent="0.3">
      <c r="A9305" t="s">
        <v>3237</v>
      </c>
      <c r="B9305" t="s">
        <v>10503</v>
      </c>
      <c r="C9305" t="s">
        <v>10840</v>
      </c>
      <c r="D9305" t="s">
        <v>3256</v>
      </c>
      <c r="E9305" t="s">
        <v>5570</v>
      </c>
      <c r="F9305" t="s">
        <v>5570</v>
      </c>
      <c r="G9305" t="s">
        <v>5570</v>
      </c>
      <c r="H9305" t="s">
        <v>859</v>
      </c>
      <c r="I9305" t="s">
        <v>860</v>
      </c>
      <c r="J9305" t="str">
        <f>"9520392"</f>
        <v>9520392</v>
      </c>
      <c r="K9305">
        <v>2109408570</v>
      </c>
      <c r="L9305">
        <v>2109408570</v>
      </c>
      <c r="M9305" t="s">
        <v>10841</v>
      </c>
      <c r="N9305" t="s">
        <v>10650</v>
      </c>
      <c r="O9305" t="s">
        <v>10695</v>
      </c>
      <c r="P9305">
        <v>17564</v>
      </c>
      <c r="Q9305" t="str">
        <f>"37.940022"</f>
        <v>37.940022</v>
      </c>
      <c r="R9305" t="str">
        <f>"23.701310"</f>
        <v>23.701310</v>
      </c>
      <c r="S9305" t="s">
        <v>26</v>
      </c>
    </row>
    <row r="9306" spans="1:19" x14ac:dyDescent="0.3">
      <c r="A9306" t="s">
        <v>3237</v>
      </c>
      <c r="B9306" t="s">
        <v>10503</v>
      </c>
      <c r="C9306" t="s">
        <v>10842</v>
      </c>
      <c r="D9306" t="s">
        <v>3256</v>
      </c>
      <c r="E9306" t="s">
        <v>5586</v>
      </c>
      <c r="F9306" t="s">
        <v>5586</v>
      </c>
      <c r="G9306" t="s">
        <v>5586</v>
      </c>
      <c r="H9306" t="s">
        <v>859</v>
      </c>
      <c r="I9306" t="s">
        <v>860</v>
      </c>
      <c r="J9306" t="str">
        <f>"9520410"</f>
        <v>9520410</v>
      </c>
      <c r="K9306">
        <v>2109339433</v>
      </c>
      <c r="L9306">
        <v>2109339433</v>
      </c>
      <c r="M9306" t="s">
        <v>10843</v>
      </c>
      <c r="N9306" t="s">
        <v>3260</v>
      </c>
      <c r="O9306" t="s">
        <v>10844</v>
      </c>
      <c r="P9306">
        <v>17124</v>
      </c>
      <c r="Q9306" t="str">
        <f>"37.945121"</f>
        <v>37.945121</v>
      </c>
      <c r="R9306" t="str">
        <f>"23.717149"</f>
        <v>23.717149</v>
      </c>
      <c r="S9306" t="s">
        <v>26</v>
      </c>
    </row>
    <row r="9307" spans="1:19" x14ac:dyDescent="0.3">
      <c r="A9307" t="s">
        <v>3237</v>
      </c>
      <c r="B9307" t="s">
        <v>10503</v>
      </c>
      <c r="C9307" t="s">
        <v>10845</v>
      </c>
      <c r="D9307" t="s">
        <v>3256</v>
      </c>
      <c r="E9307" t="s">
        <v>5586</v>
      </c>
      <c r="F9307" t="s">
        <v>5586</v>
      </c>
      <c r="G9307" t="s">
        <v>5586</v>
      </c>
      <c r="H9307" t="s">
        <v>859</v>
      </c>
      <c r="I9307" t="s">
        <v>860</v>
      </c>
      <c r="J9307" t="str">
        <f>"9051177"</f>
        <v>9051177</v>
      </c>
      <c r="K9307">
        <v>2109323400</v>
      </c>
      <c r="L9307">
        <v>2109323400</v>
      </c>
      <c r="M9307" t="s">
        <v>10846</v>
      </c>
      <c r="N9307" t="s">
        <v>3260</v>
      </c>
      <c r="O9307" t="s">
        <v>10847</v>
      </c>
      <c r="P9307">
        <v>17123</v>
      </c>
      <c r="Q9307" t="str">
        <f>"37.932139"</f>
        <v>37.932139</v>
      </c>
      <c r="R9307" t="str">
        <f>"23.712884"</f>
        <v>23.712884</v>
      </c>
      <c r="S9307" t="s">
        <v>26</v>
      </c>
    </row>
    <row r="9308" spans="1:19" x14ac:dyDescent="0.3">
      <c r="A9308" t="s">
        <v>3237</v>
      </c>
      <c r="B9308" t="s">
        <v>10503</v>
      </c>
      <c r="C9308" t="s">
        <v>10857</v>
      </c>
      <c r="D9308" t="s">
        <v>3256</v>
      </c>
      <c r="E9308" t="s">
        <v>3257</v>
      </c>
      <c r="F9308" t="s">
        <v>3257</v>
      </c>
      <c r="G9308" t="s">
        <v>3257</v>
      </c>
      <c r="H9308" t="s">
        <v>859</v>
      </c>
      <c r="I9308" t="s">
        <v>860</v>
      </c>
      <c r="J9308" t="str">
        <f>"9051002"</f>
        <v>9051002</v>
      </c>
      <c r="K9308">
        <v>2109925515</v>
      </c>
      <c r="M9308" t="s">
        <v>10858</v>
      </c>
      <c r="N9308" t="s">
        <v>5630</v>
      </c>
      <c r="O9308" t="s">
        <v>10859</v>
      </c>
      <c r="P9308">
        <v>17456</v>
      </c>
      <c r="Q9308" t="str">
        <f>"37.920055"</f>
        <v>37.920055</v>
      </c>
      <c r="R9308" t="str">
        <f>"23.741639"</f>
        <v>23.741639</v>
      </c>
      <c r="S9308" t="s">
        <v>26</v>
      </c>
    </row>
    <row r="9309" spans="1:19" x14ac:dyDescent="0.3">
      <c r="A9309" t="s">
        <v>3237</v>
      </c>
      <c r="B9309" t="s">
        <v>10503</v>
      </c>
      <c r="C9309" t="s">
        <v>10864</v>
      </c>
      <c r="D9309" t="s">
        <v>3256</v>
      </c>
      <c r="E9309" t="s">
        <v>3257</v>
      </c>
      <c r="F9309" t="s">
        <v>3257</v>
      </c>
      <c r="G9309" t="s">
        <v>3257</v>
      </c>
      <c r="H9309" t="s">
        <v>859</v>
      </c>
      <c r="I9309" t="s">
        <v>860</v>
      </c>
      <c r="J9309" t="str">
        <f>"9520420"</f>
        <v>9520420</v>
      </c>
      <c r="K9309">
        <v>2109910720</v>
      </c>
      <c r="L9309">
        <v>2109910720</v>
      </c>
      <c r="M9309" t="s">
        <v>10865</v>
      </c>
      <c r="N9309" t="s">
        <v>5630</v>
      </c>
      <c r="O9309" t="s">
        <v>10866</v>
      </c>
      <c r="P9309">
        <v>17456</v>
      </c>
      <c r="Q9309" t="str">
        <f>"37.926639"</f>
        <v>37.926639</v>
      </c>
      <c r="R9309" t="str">
        <f>"23.738180"</f>
        <v>23.738180</v>
      </c>
      <c r="S9309" t="s">
        <v>26</v>
      </c>
    </row>
    <row r="9310" spans="1:19" x14ac:dyDescent="0.3">
      <c r="A9310" t="s">
        <v>3237</v>
      </c>
      <c r="B9310" t="s">
        <v>10503</v>
      </c>
      <c r="C9310" t="s">
        <v>10881</v>
      </c>
      <c r="D9310" t="s">
        <v>3256</v>
      </c>
      <c r="E9310" t="s">
        <v>5570</v>
      </c>
      <c r="F9310" t="s">
        <v>5570</v>
      </c>
      <c r="G9310" t="s">
        <v>5570</v>
      </c>
      <c r="H9310" t="s">
        <v>859</v>
      </c>
      <c r="I9310" t="s">
        <v>860</v>
      </c>
      <c r="J9310" t="str">
        <f>"9520429"</f>
        <v>9520429</v>
      </c>
      <c r="K9310">
        <v>2109319360</v>
      </c>
      <c r="L9310">
        <v>2109319360</v>
      </c>
      <c r="M9310" t="s">
        <v>10882</v>
      </c>
      <c r="N9310" t="s">
        <v>10650</v>
      </c>
      <c r="O9310" t="s">
        <v>10883</v>
      </c>
      <c r="P9310">
        <v>17564</v>
      </c>
      <c r="Q9310" t="str">
        <f>"37.933923"</f>
        <v>37.933923</v>
      </c>
      <c r="R9310" t="str">
        <f>"23.705067"</f>
        <v>23.705067</v>
      </c>
      <c r="S9310" t="s">
        <v>26</v>
      </c>
    </row>
    <row r="9311" spans="1:19" x14ac:dyDescent="0.3">
      <c r="A9311" t="s">
        <v>3237</v>
      </c>
      <c r="B9311" t="s">
        <v>10503</v>
      </c>
      <c r="C9311" t="s">
        <v>10884</v>
      </c>
      <c r="D9311" t="s">
        <v>3256</v>
      </c>
      <c r="E9311" t="s">
        <v>4017</v>
      </c>
      <c r="F9311" t="s">
        <v>4017</v>
      </c>
      <c r="G9311" t="s">
        <v>4017</v>
      </c>
      <c r="H9311" t="s">
        <v>859</v>
      </c>
      <c r="I9311" t="s">
        <v>860</v>
      </c>
      <c r="J9311" t="str">
        <f>"9050205"</f>
        <v>9050205</v>
      </c>
      <c r="K9311">
        <v>2109613009</v>
      </c>
      <c r="L9311">
        <v>2109613009</v>
      </c>
      <c r="M9311" t="s">
        <v>10885</v>
      </c>
      <c r="N9311" t="s">
        <v>5578</v>
      </c>
      <c r="O9311" t="s">
        <v>10886</v>
      </c>
      <c r="P9311">
        <v>16562</v>
      </c>
      <c r="Q9311" t="str">
        <f>"37.895558"</f>
        <v>37.895558</v>
      </c>
      <c r="R9311" t="str">
        <f>"23.763999"</f>
        <v>23.763999</v>
      </c>
      <c r="S9311" t="s">
        <v>26</v>
      </c>
    </row>
    <row r="9312" spans="1:19" x14ac:dyDescent="0.3">
      <c r="A9312" t="s">
        <v>3237</v>
      </c>
      <c r="B9312" t="s">
        <v>10503</v>
      </c>
      <c r="C9312" t="s">
        <v>10887</v>
      </c>
      <c r="D9312" t="s">
        <v>3256</v>
      </c>
      <c r="E9312" t="s">
        <v>5656</v>
      </c>
      <c r="F9312" t="s">
        <v>5657</v>
      </c>
      <c r="G9312" t="s">
        <v>5657</v>
      </c>
      <c r="H9312" t="s">
        <v>859</v>
      </c>
      <c r="I9312" t="s">
        <v>860</v>
      </c>
      <c r="J9312" t="str">
        <f>"9051894"</f>
        <v>9051894</v>
      </c>
      <c r="K9312">
        <v>2103414316</v>
      </c>
      <c r="L9312">
        <v>2103414316</v>
      </c>
      <c r="M9312" t="s">
        <v>10888</v>
      </c>
      <c r="N9312" t="s">
        <v>5657</v>
      </c>
      <c r="O9312" t="s">
        <v>10889</v>
      </c>
      <c r="P9312">
        <v>17778</v>
      </c>
      <c r="Q9312" t="str">
        <f>"37.967929"</f>
        <v>37.967929</v>
      </c>
      <c r="R9312" t="str">
        <f>"23.698556"</f>
        <v>23.698556</v>
      </c>
      <c r="S9312" t="s">
        <v>26</v>
      </c>
    </row>
    <row r="9313" spans="1:19" x14ac:dyDescent="0.3">
      <c r="A9313" t="s">
        <v>3237</v>
      </c>
      <c r="B9313" t="s">
        <v>10503</v>
      </c>
      <c r="C9313" t="s">
        <v>10893</v>
      </c>
      <c r="D9313" t="s">
        <v>3256</v>
      </c>
      <c r="E9313" t="s">
        <v>3295</v>
      </c>
      <c r="F9313" t="s">
        <v>3295</v>
      </c>
      <c r="G9313" t="s">
        <v>3295</v>
      </c>
      <c r="H9313" t="s">
        <v>859</v>
      </c>
      <c r="I9313" t="s">
        <v>860</v>
      </c>
      <c r="J9313" t="str">
        <f>"9520356"</f>
        <v>9520356</v>
      </c>
      <c r="K9313">
        <v>2109846744</v>
      </c>
      <c r="M9313" t="s">
        <v>10894</v>
      </c>
      <c r="N9313" t="s">
        <v>3472</v>
      </c>
      <c r="O9313" t="s">
        <v>10895</v>
      </c>
      <c r="P9313">
        <v>17341</v>
      </c>
      <c r="Q9313" t="str">
        <f>"37.928501"</f>
        <v>37.928501</v>
      </c>
      <c r="R9313" t="str">
        <f>"23.718497"</f>
        <v>23.718497</v>
      </c>
      <c r="S9313" t="s">
        <v>26</v>
      </c>
    </row>
    <row r="9314" spans="1:19" x14ac:dyDescent="0.3">
      <c r="A9314" t="s">
        <v>3237</v>
      </c>
      <c r="B9314" t="s">
        <v>10503</v>
      </c>
      <c r="C9314" t="s">
        <v>10896</v>
      </c>
      <c r="D9314" t="s">
        <v>3256</v>
      </c>
      <c r="E9314" t="s">
        <v>3257</v>
      </c>
      <c r="F9314" t="s">
        <v>3257</v>
      </c>
      <c r="G9314" t="s">
        <v>3257</v>
      </c>
      <c r="H9314" t="s">
        <v>859</v>
      </c>
      <c r="I9314" t="s">
        <v>860</v>
      </c>
      <c r="J9314" t="str">
        <f>"9520375"</f>
        <v>9520375</v>
      </c>
      <c r="K9314">
        <v>2109836634</v>
      </c>
      <c r="L9314">
        <v>2109836634</v>
      </c>
      <c r="M9314" t="s">
        <v>10897</v>
      </c>
      <c r="N9314" t="s">
        <v>5630</v>
      </c>
      <c r="O9314" t="s">
        <v>10898</v>
      </c>
      <c r="P9314">
        <v>17455</v>
      </c>
      <c r="Q9314" t="str">
        <f>"37.916626"</f>
        <v>37.916626</v>
      </c>
      <c r="R9314" t="str">
        <f>"23.709948"</f>
        <v>23.709948</v>
      </c>
      <c r="S9314" t="s">
        <v>26</v>
      </c>
    </row>
    <row r="9315" spans="1:19" x14ac:dyDescent="0.3">
      <c r="A9315" t="s">
        <v>3237</v>
      </c>
      <c r="B9315" t="s">
        <v>10503</v>
      </c>
      <c r="C9315" t="s">
        <v>10899</v>
      </c>
      <c r="D9315" t="s">
        <v>3256</v>
      </c>
      <c r="E9315" t="s">
        <v>3295</v>
      </c>
      <c r="F9315" t="s">
        <v>3295</v>
      </c>
      <c r="G9315" t="s">
        <v>3295</v>
      </c>
      <c r="H9315" t="s">
        <v>859</v>
      </c>
      <c r="I9315" t="s">
        <v>860</v>
      </c>
      <c r="J9315" t="str">
        <f>"9051243"</f>
        <v>9051243</v>
      </c>
      <c r="K9315">
        <v>2109701450</v>
      </c>
      <c r="L9315">
        <v>2109701450</v>
      </c>
      <c r="M9315" t="s">
        <v>10900</v>
      </c>
      <c r="N9315" t="s">
        <v>3472</v>
      </c>
      <c r="O9315" t="s">
        <v>10901</v>
      </c>
      <c r="P9315">
        <v>17343</v>
      </c>
      <c r="Q9315" t="str">
        <f>"37.944866"</f>
        <v>37.944866</v>
      </c>
      <c r="R9315" t="str">
        <f>"23.737153"</f>
        <v>23.737153</v>
      </c>
      <c r="S9315" t="s">
        <v>26</v>
      </c>
    </row>
    <row r="9316" spans="1:19" x14ac:dyDescent="0.3">
      <c r="A9316" t="s">
        <v>3237</v>
      </c>
      <c r="B9316" t="s">
        <v>10503</v>
      </c>
      <c r="C9316" t="s">
        <v>10902</v>
      </c>
      <c r="D9316" t="s">
        <v>3256</v>
      </c>
      <c r="E9316" t="s">
        <v>5570</v>
      </c>
      <c r="F9316" t="s">
        <v>5570</v>
      </c>
      <c r="G9316" t="s">
        <v>5570</v>
      </c>
      <c r="H9316" t="s">
        <v>859</v>
      </c>
      <c r="I9316" t="s">
        <v>860</v>
      </c>
      <c r="J9316" t="str">
        <f>"9051003"</f>
        <v>9051003</v>
      </c>
      <c r="K9316">
        <v>2109850097</v>
      </c>
      <c r="M9316" t="s">
        <v>10903</v>
      </c>
      <c r="N9316" t="s">
        <v>10650</v>
      </c>
      <c r="O9316" t="s">
        <v>10904</v>
      </c>
      <c r="P9316">
        <v>17563</v>
      </c>
      <c r="Q9316" t="str">
        <f>"37.923032"</f>
        <v>37.923032</v>
      </c>
      <c r="R9316" t="str">
        <f>"23.715663"</f>
        <v>23.715663</v>
      </c>
      <c r="S9316" t="s">
        <v>26</v>
      </c>
    </row>
    <row r="9317" spans="1:19" x14ac:dyDescent="0.3">
      <c r="A9317" t="s">
        <v>3237</v>
      </c>
      <c r="B9317" t="s">
        <v>10503</v>
      </c>
      <c r="C9317" t="s">
        <v>10908</v>
      </c>
      <c r="D9317" t="s">
        <v>3256</v>
      </c>
      <c r="E9317" t="s">
        <v>5599</v>
      </c>
      <c r="F9317" t="s">
        <v>5600</v>
      </c>
      <c r="G9317" t="s">
        <v>5601</v>
      </c>
      <c r="H9317" t="s">
        <v>859</v>
      </c>
      <c r="I9317" t="s">
        <v>860</v>
      </c>
      <c r="J9317" t="str">
        <f>"9051248"</f>
        <v>9051248</v>
      </c>
      <c r="K9317">
        <v>2109616530</v>
      </c>
      <c r="L9317">
        <v>2109616530</v>
      </c>
      <c r="M9317" t="s">
        <v>10909</v>
      </c>
      <c r="N9317" t="s">
        <v>1038</v>
      </c>
      <c r="O9317" t="s">
        <v>10910</v>
      </c>
      <c r="P9317">
        <v>16452</v>
      </c>
      <c r="Q9317" t="str">
        <f>"37.898094"</f>
        <v>37.898094</v>
      </c>
      <c r="R9317" t="str">
        <f>"23.754029"</f>
        <v>23.754029</v>
      </c>
      <c r="S9317" t="s">
        <v>26</v>
      </c>
    </row>
    <row r="9318" spans="1:19" x14ac:dyDescent="0.3">
      <c r="A9318" t="s">
        <v>3237</v>
      </c>
      <c r="B9318" t="s">
        <v>10503</v>
      </c>
      <c r="C9318" t="s">
        <v>10911</v>
      </c>
      <c r="D9318" t="s">
        <v>3256</v>
      </c>
      <c r="E9318" t="s">
        <v>3295</v>
      </c>
      <c r="F9318" t="s">
        <v>3295</v>
      </c>
      <c r="G9318" t="s">
        <v>3295</v>
      </c>
      <c r="H9318" t="s">
        <v>859</v>
      </c>
      <c r="I9318" t="s">
        <v>860</v>
      </c>
      <c r="J9318" t="str">
        <f>"9051073"</f>
        <v>9051073</v>
      </c>
      <c r="K9318">
        <v>2109370560</v>
      </c>
      <c r="L9318">
        <v>2109335663</v>
      </c>
      <c r="M9318" t="s">
        <v>10912</v>
      </c>
      <c r="N9318" t="s">
        <v>3472</v>
      </c>
      <c r="O9318" t="s">
        <v>10913</v>
      </c>
      <c r="P9318">
        <v>17341</v>
      </c>
      <c r="Q9318" t="str">
        <f>"37.933808"</f>
        <v>37.933808</v>
      </c>
      <c r="R9318" t="str">
        <f>"23.728302"</f>
        <v>23.728302</v>
      </c>
      <c r="S9318" t="s">
        <v>26</v>
      </c>
    </row>
    <row r="9319" spans="1:19" x14ac:dyDescent="0.3">
      <c r="A9319" t="s">
        <v>3237</v>
      </c>
      <c r="B9319" t="s">
        <v>10503</v>
      </c>
      <c r="C9319" t="s">
        <v>10925</v>
      </c>
      <c r="D9319" t="s">
        <v>3256</v>
      </c>
      <c r="E9319" t="s">
        <v>5586</v>
      </c>
      <c r="F9319" t="s">
        <v>5586</v>
      </c>
      <c r="G9319" t="s">
        <v>5586</v>
      </c>
      <c r="H9319" t="s">
        <v>859</v>
      </c>
      <c r="I9319" t="s">
        <v>860</v>
      </c>
      <c r="J9319" t="str">
        <f>"9520409"</f>
        <v>9520409</v>
      </c>
      <c r="K9319">
        <v>2109338336</v>
      </c>
      <c r="L9319">
        <v>2109338336</v>
      </c>
      <c r="M9319" t="s">
        <v>10926</v>
      </c>
      <c r="N9319" t="s">
        <v>3260</v>
      </c>
      <c r="O9319" t="s">
        <v>10850</v>
      </c>
      <c r="P9319">
        <v>17123</v>
      </c>
      <c r="Q9319" t="str">
        <f>"37.939288"</f>
        <v>37.939288</v>
      </c>
      <c r="R9319" t="str">
        <f>"23.716518"</f>
        <v>23.716518</v>
      </c>
      <c r="S9319" t="s">
        <v>26</v>
      </c>
    </row>
    <row r="9320" spans="1:19" x14ac:dyDescent="0.3">
      <c r="A9320" t="s">
        <v>3237</v>
      </c>
      <c r="B9320" t="s">
        <v>10503</v>
      </c>
      <c r="C9320" t="s">
        <v>10930</v>
      </c>
      <c r="D9320" t="s">
        <v>3256</v>
      </c>
      <c r="E9320" t="s">
        <v>5570</v>
      </c>
      <c r="F9320" t="s">
        <v>5570</v>
      </c>
      <c r="G9320" t="s">
        <v>5570</v>
      </c>
      <c r="H9320" t="s">
        <v>859</v>
      </c>
      <c r="I9320" t="s">
        <v>860</v>
      </c>
      <c r="J9320" t="str">
        <f>"9520526"</f>
        <v>9520526</v>
      </c>
      <c r="K9320">
        <v>2109402510</v>
      </c>
      <c r="L9320">
        <v>2109402510</v>
      </c>
      <c r="M9320" t="s">
        <v>10931</v>
      </c>
      <c r="N9320" t="s">
        <v>10650</v>
      </c>
      <c r="O9320" t="s">
        <v>10783</v>
      </c>
      <c r="P9320">
        <v>17564</v>
      </c>
      <c r="Q9320" t="str">
        <f>"37.936400"</f>
        <v>37.936400</v>
      </c>
      <c r="R9320" t="str">
        <f>"23.700902"</f>
        <v>23.700902</v>
      </c>
      <c r="S9320" t="s">
        <v>26</v>
      </c>
    </row>
    <row r="9321" spans="1:19" x14ac:dyDescent="0.3">
      <c r="A9321" t="s">
        <v>3237</v>
      </c>
      <c r="B9321" t="s">
        <v>10503</v>
      </c>
      <c r="C9321" t="s">
        <v>10939</v>
      </c>
      <c r="D9321" t="s">
        <v>3256</v>
      </c>
      <c r="E9321" t="s">
        <v>3295</v>
      </c>
      <c r="F9321" t="s">
        <v>3295</v>
      </c>
      <c r="G9321" t="s">
        <v>3295</v>
      </c>
      <c r="H9321" t="s">
        <v>859</v>
      </c>
      <c r="I9321" t="s">
        <v>860</v>
      </c>
      <c r="J9321" t="str">
        <f>"9051315"</f>
        <v>9051315</v>
      </c>
      <c r="K9321">
        <v>2109330493</v>
      </c>
      <c r="M9321" t="s">
        <v>10940</v>
      </c>
      <c r="N9321" t="s">
        <v>3472</v>
      </c>
      <c r="O9321" t="s">
        <v>10941</v>
      </c>
      <c r="P9321">
        <v>17341</v>
      </c>
      <c r="Q9321" t="str">
        <f>"37.934509"</f>
        <v>37.934509</v>
      </c>
      <c r="R9321" t="str">
        <f>"23.720196"</f>
        <v>23.720196</v>
      </c>
      <c r="S9321" t="s">
        <v>26</v>
      </c>
    </row>
    <row r="9322" spans="1:19" x14ac:dyDescent="0.3">
      <c r="A9322" t="s">
        <v>3237</v>
      </c>
      <c r="B9322" t="s">
        <v>10503</v>
      </c>
      <c r="C9322" t="s">
        <v>10942</v>
      </c>
      <c r="D9322" t="s">
        <v>3256</v>
      </c>
      <c r="E9322" t="s">
        <v>5599</v>
      </c>
      <c r="F9322" t="s">
        <v>5726</v>
      </c>
      <c r="G9322" t="s">
        <v>5726</v>
      </c>
      <c r="H9322" t="s">
        <v>859</v>
      </c>
      <c r="I9322" t="s">
        <v>860</v>
      </c>
      <c r="J9322" t="str">
        <f>"9520379"</f>
        <v>9520379</v>
      </c>
      <c r="K9322">
        <v>2109617100</v>
      </c>
      <c r="L9322">
        <v>2109617100</v>
      </c>
      <c r="M9322" t="s">
        <v>10943</v>
      </c>
      <c r="N9322" t="s">
        <v>5817</v>
      </c>
      <c r="O9322" t="s">
        <v>10944</v>
      </c>
      <c r="P9322">
        <v>16777</v>
      </c>
      <c r="Q9322" t="str">
        <f>"37.895117"</f>
        <v>37.895117</v>
      </c>
      <c r="R9322" t="str">
        <f>"23.752861"</f>
        <v>23.752861</v>
      </c>
      <c r="S9322" t="s">
        <v>26</v>
      </c>
    </row>
    <row r="9323" spans="1:19" x14ac:dyDescent="0.3">
      <c r="A9323" t="s">
        <v>3237</v>
      </c>
      <c r="B9323" t="s">
        <v>10503</v>
      </c>
      <c r="C9323" t="s">
        <v>10945</v>
      </c>
      <c r="D9323" t="s">
        <v>3256</v>
      </c>
      <c r="E9323" t="s">
        <v>5586</v>
      </c>
      <c r="F9323" t="s">
        <v>5586</v>
      </c>
      <c r="G9323" t="s">
        <v>5586</v>
      </c>
      <c r="H9323" t="s">
        <v>859</v>
      </c>
      <c r="I9323" t="s">
        <v>860</v>
      </c>
      <c r="J9323" t="str">
        <f>"9050893"</f>
        <v>9050893</v>
      </c>
      <c r="K9323">
        <v>2109337044</v>
      </c>
      <c r="L9323">
        <v>2109337044</v>
      </c>
      <c r="M9323" t="s">
        <v>10946</v>
      </c>
      <c r="N9323" t="s">
        <v>3260</v>
      </c>
      <c r="O9323" t="s">
        <v>10947</v>
      </c>
      <c r="P9323">
        <v>17121</v>
      </c>
      <c r="Q9323" t="str">
        <f>"37.953087"</f>
        <v>37.953087</v>
      </c>
      <c r="R9323" t="str">
        <f>"23.712306"</f>
        <v>23.712306</v>
      </c>
      <c r="S9323" t="s">
        <v>26</v>
      </c>
    </row>
    <row r="9324" spans="1:19" x14ac:dyDescent="0.3">
      <c r="A9324" t="s">
        <v>3237</v>
      </c>
      <c r="B9324" t="s">
        <v>10503</v>
      </c>
      <c r="C9324" t="s">
        <v>10948</v>
      </c>
      <c r="D9324" t="s">
        <v>3256</v>
      </c>
      <c r="E9324" t="s">
        <v>5599</v>
      </c>
      <c r="F9324" t="s">
        <v>5600</v>
      </c>
      <c r="G9324" t="s">
        <v>5601</v>
      </c>
      <c r="H9324" t="s">
        <v>859</v>
      </c>
      <c r="I9324" t="s">
        <v>860</v>
      </c>
      <c r="J9324" t="str">
        <f>"9051077"</f>
        <v>9051077</v>
      </c>
      <c r="K9324">
        <v>2109941390</v>
      </c>
      <c r="L9324">
        <v>2109941390</v>
      </c>
      <c r="M9324" t="s">
        <v>10949</v>
      </c>
      <c r="N9324" t="s">
        <v>1038</v>
      </c>
      <c r="O9324" t="s">
        <v>10950</v>
      </c>
      <c r="P9324">
        <v>16452</v>
      </c>
      <c r="Q9324" t="str">
        <f>"37.912162"</f>
        <v>37.912162</v>
      </c>
      <c r="R9324" t="str">
        <f>"23.740817"</f>
        <v>23.740817</v>
      </c>
      <c r="S9324" t="s">
        <v>26</v>
      </c>
    </row>
    <row r="9325" spans="1:19" x14ac:dyDescent="0.3">
      <c r="A9325" t="s">
        <v>3237</v>
      </c>
      <c r="B9325" t="s">
        <v>10503</v>
      </c>
      <c r="C9325" t="s">
        <v>10951</v>
      </c>
      <c r="D9325" t="s">
        <v>3256</v>
      </c>
      <c r="E9325" t="s">
        <v>5586</v>
      </c>
      <c r="F9325" t="s">
        <v>5586</v>
      </c>
      <c r="G9325" t="s">
        <v>5586</v>
      </c>
      <c r="H9325" t="s">
        <v>859</v>
      </c>
      <c r="I9325" t="s">
        <v>860</v>
      </c>
      <c r="J9325" t="str">
        <f>"9520398"</f>
        <v>9520398</v>
      </c>
      <c r="K9325">
        <v>2109335405</v>
      </c>
      <c r="M9325" t="s">
        <v>10952</v>
      </c>
      <c r="N9325" t="s">
        <v>3260</v>
      </c>
      <c r="O9325" t="s">
        <v>10953</v>
      </c>
      <c r="P9325">
        <v>17122</v>
      </c>
      <c r="Q9325" t="str">
        <f>"37.939120"</f>
        <v>37.939120</v>
      </c>
      <c r="R9325" t="str">
        <f>"23.707612"</f>
        <v>23.707612</v>
      </c>
      <c r="S9325" t="s">
        <v>26</v>
      </c>
    </row>
    <row r="9326" spans="1:19" x14ac:dyDescent="0.3">
      <c r="A9326" t="s">
        <v>3237</v>
      </c>
      <c r="B9326" t="s">
        <v>10503</v>
      </c>
      <c r="C9326" t="s">
        <v>10956</v>
      </c>
      <c r="D9326" t="s">
        <v>3256</v>
      </c>
      <c r="E9326" t="s">
        <v>3295</v>
      </c>
      <c r="F9326" t="s">
        <v>3295</v>
      </c>
      <c r="G9326" t="s">
        <v>3295</v>
      </c>
      <c r="H9326" t="s">
        <v>859</v>
      </c>
      <c r="I9326" t="s">
        <v>860</v>
      </c>
      <c r="J9326" t="str">
        <f>"9050941"</f>
        <v>9050941</v>
      </c>
      <c r="K9326">
        <v>2109917441</v>
      </c>
      <c r="L9326">
        <v>2109917441</v>
      </c>
      <c r="M9326" t="s">
        <v>10957</v>
      </c>
      <c r="N9326" t="s">
        <v>3472</v>
      </c>
      <c r="O9326" t="s">
        <v>10958</v>
      </c>
      <c r="P9326">
        <v>17342</v>
      </c>
      <c r="Q9326" t="str">
        <f>"37.930710"</f>
        <v>37.930710</v>
      </c>
      <c r="R9326" t="str">
        <f>"23.732508"</f>
        <v>23.732508</v>
      </c>
      <c r="S9326" t="s">
        <v>26</v>
      </c>
    </row>
    <row r="9327" spans="1:19" x14ac:dyDescent="0.3">
      <c r="A9327" t="s">
        <v>3237</v>
      </c>
      <c r="B9327" t="s">
        <v>10503</v>
      </c>
      <c r="C9327" t="s">
        <v>10962</v>
      </c>
      <c r="D9327" t="s">
        <v>3256</v>
      </c>
      <c r="E9327" t="s">
        <v>5599</v>
      </c>
      <c r="F9327" t="s">
        <v>5600</v>
      </c>
      <c r="G9327" t="s">
        <v>5601</v>
      </c>
      <c r="H9327" t="s">
        <v>859</v>
      </c>
      <c r="I9327" t="s">
        <v>860</v>
      </c>
      <c r="J9327" t="str">
        <f>"9051321"</f>
        <v>9051321</v>
      </c>
      <c r="K9327">
        <v>2109930923</v>
      </c>
      <c r="L9327">
        <v>2109930923</v>
      </c>
      <c r="M9327" t="s">
        <v>10963</v>
      </c>
      <c r="N9327" t="s">
        <v>1038</v>
      </c>
      <c r="O9327" t="s">
        <v>10964</v>
      </c>
      <c r="P9327">
        <v>16452</v>
      </c>
      <c r="Q9327" t="str">
        <f>"37.910488"</f>
        <v>37.910488</v>
      </c>
      <c r="R9327" t="str">
        <f>"23.748161"</f>
        <v>23.748161</v>
      </c>
      <c r="S9327" t="s">
        <v>26</v>
      </c>
    </row>
    <row r="9328" spans="1:19" x14ac:dyDescent="0.3">
      <c r="A9328" t="s">
        <v>3237</v>
      </c>
      <c r="B9328" t="s">
        <v>10503</v>
      </c>
      <c r="C9328" t="s">
        <v>10965</v>
      </c>
      <c r="D9328" t="s">
        <v>3256</v>
      </c>
      <c r="E9328" t="s">
        <v>5599</v>
      </c>
      <c r="F9328" t="s">
        <v>5600</v>
      </c>
      <c r="G9328" t="s">
        <v>5601</v>
      </c>
      <c r="H9328" t="s">
        <v>859</v>
      </c>
      <c r="I9328" t="s">
        <v>1102</v>
      </c>
      <c r="J9328" t="str">
        <f>"9520496"</f>
        <v>9520496</v>
      </c>
      <c r="K9328">
        <v>2109932648</v>
      </c>
      <c r="L9328">
        <v>2109932648</v>
      </c>
      <c r="M9328" t="s">
        <v>10966</v>
      </c>
      <c r="N9328" t="s">
        <v>1038</v>
      </c>
      <c r="O9328" t="s">
        <v>10967</v>
      </c>
      <c r="P9328">
        <v>16452</v>
      </c>
      <c r="Q9328" t="str">
        <f>"37.909354"</f>
        <v>37.909354</v>
      </c>
      <c r="R9328" t="str">
        <f>"23.743991"</f>
        <v>23.743991</v>
      </c>
      <c r="S9328" t="s">
        <v>26</v>
      </c>
    </row>
    <row r="9329" spans="1:19" x14ac:dyDescent="0.3">
      <c r="A9329" t="s">
        <v>3237</v>
      </c>
      <c r="B9329" t="s">
        <v>10503</v>
      </c>
      <c r="C9329" t="s">
        <v>10970</v>
      </c>
      <c r="D9329" t="s">
        <v>3256</v>
      </c>
      <c r="E9329" t="s">
        <v>5599</v>
      </c>
      <c r="F9329" t="s">
        <v>5726</v>
      </c>
      <c r="G9329" t="s">
        <v>5726</v>
      </c>
      <c r="H9329" t="s">
        <v>859</v>
      </c>
      <c r="I9329" t="s">
        <v>860</v>
      </c>
      <c r="J9329" t="str">
        <f>"9051322"</f>
        <v>9051322</v>
      </c>
      <c r="K9329">
        <v>2109924970</v>
      </c>
      <c r="L9329">
        <v>2109924970</v>
      </c>
      <c r="M9329" t="s">
        <v>10971</v>
      </c>
      <c r="N9329" t="s">
        <v>5817</v>
      </c>
      <c r="O9329" t="s">
        <v>10972</v>
      </c>
      <c r="P9329">
        <v>16777</v>
      </c>
      <c r="Q9329" t="str">
        <f>"37.904973"</f>
        <v>37.904973</v>
      </c>
      <c r="R9329" t="str">
        <f>"23.741587"</f>
        <v>23.741587</v>
      </c>
      <c r="S9329" t="s">
        <v>26</v>
      </c>
    </row>
    <row r="9330" spans="1:19" x14ac:dyDescent="0.3">
      <c r="A9330" t="s">
        <v>3237</v>
      </c>
      <c r="B9330" t="s">
        <v>10503</v>
      </c>
      <c r="C9330" t="s">
        <v>10973</v>
      </c>
      <c r="D9330" t="s">
        <v>3256</v>
      </c>
      <c r="E9330" t="s">
        <v>5563</v>
      </c>
      <c r="F9330" t="s">
        <v>5563</v>
      </c>
      <c r="G9330" t="s">
        <v>5611</v>
      </c>
      <c r="H9330" t="s">
        <v>859</v>
      </c>
      <c r="I9330" t="s">
        <v>1102</v>
      </c>
      <c r="J9330" t="str">
        <f>"9520890"</f>
        <v>9520890</v>
      </c>
      <c r="K9330">
        <v>2109588137</v>
      </c>
      <c r="L9330">
        <v>2109588066</v>
      </c>
      <c r="N9330" t="s">
        <v>5567</v>
      </c>
      <c r="O9330" t="s">
        <v>10704</v>
      </c>
      <c r="P9330">
        <v>17675</v>
      </c>
      <c r="Q9330" t="str">
        <f>""</f>
        <v/>
      </c>
      <c r="R9330" t="str">
        <f>""</f>
        <v/>
      </c>
      <c r="S9330" t="s">
        <v>26</v>
      </c>
    </row>
    <row r="9331" spans="1:19" x14ac:dyDescent="0.3">
      <c r="A9331" t="s">
        <v>3237</v>
      </c>
      <c r="B9331" t="s">
        <v>10503</v>
      </c>
      <c r="C9331" t="s">
        <v>10974</v>
      </c>
      <c r="D9331" t="s">
        <v>3256</v>
      </c>
      <c r="E9331" t="s">
        <v>5586</v>
      </c>
      <c r="F9331" t="s">
        <v>5586</v>
      </c>
      <c r="G9331" t="s">
        <v>5586</v>
      </c>
      <c r="H9331" t="s">
        <v>859</v>
      </c>
      <c r="I9331" t="s">
        <v>860</v>
      </c>
      <c r="J9331" t="str">
        <f>"9520397"</f>
        <v>9520397</v>
      </c>
      <c r="K9331">
        <v>2109328894</v>
      </c>
      <c r="L9331">
        <v>2109328894</v>
      </c>
      <c r="M9331" t="s">
        <v>10975</v>
      </c>
      <c r="N9331" t="s">
        <v>3260</v>
      </c>
      <c r="O9331" t="s">
        <v>10765</v>
      </c>
      <c r="P9331">
        <v>17122</v>
      </c>
      <c r="Q9331" t="str">
        <f>"37.951144"</f>
        <v>37.951144</v>
      </c>
      <c r="R9331" t="str">
        <f>"23.718883"</f>
        <v>23.718883</v>
      </c>
      <c r="S9331" t="s">
        <v>26</v>
      </c>
    </row>
    <row r="9332" spans="1:19" x14ac:dyDescent="0.3">
      <c r="A9332" t="s">
        <v>3237</v>
      </c>
      <c r="B9332" t="s">
        <v>10503</v>
      </c>
      <c r="C9332" t="s">
        <v>10982</v>
      </c>
      <c r="D9332" t="s">
        <v>3256</v>
      </c>
      <c r="E9332" t="s">
        <v>5570</v>
      </c>
      <c r="F9332" t="s">
        <v>5570</v>
      </c>
      <c r="G9332" t="s">
        <v>5570</v>
      </c>
      <c r="H9332" t="s">
        <v>859</v>
      </c>
      <c r="I9332" t="s">
        <v>860</v>
      </c>
      <c r="J9332" t="str">
        <f>"9520393"</f>
        <v>9520393</v>
      </c>
      <c r="K9332">
        <v>2109832212</v>
      </c>
      <c r="L9332">
        <v>2109853280</v>
      </c>
      <c r="M9332" t="s">
        <v>10983</v>
      </c>
      <c r="N9332" t="s">
        <v>10650</v>
      </c>
      <c r="O9332" t="s">
        <v>10984</v>
      </c>
      <c r="P9332">
        <v>17563</v>
      </c>
      <c r="Q9332" t="str">
        <f>"37.925862"</f>
        <v>37.925862</v>
      </c>
      <c r="R9332" t="str">
        <f>"23.711925"</f>
        <v>23.711925</v>
      </c>
      <c r="S9332" t="s">
        <v>26</v>
      </c>
    </row>
    <row r="9333" spans="1:19" x14ac:dyDescent="0.3">
      <c r="A9333" t="s">
        <v>3237</v>
      </c>
      <c r="B9333" t="s">
        <v>10503</v>
      </c>
      <c r="C9333" t="s">
        <v>10985</v>
      </c>
      <c r="D9333" t="s">
        <v>3256</v>
      </c>
      <c r="E9333" t="s">
        <v>5570</v>
      </c>
      <c r="F9333" t="s">
        <v>5570</v>
      </c>
      <c r="G9333" t="s">
        <v>5570</v>
      </c>
      <c r="H9333" t="s">
        <v>859</v>
      </c>
      <c r="I9333" t="s">
        <v>860</v>
      </c>
      <c r="J9333" t="str">
        <f>"9520411"</f>
        <v>9520411</v>
      </c>
      <c r="K9333">
        <v>2109853415</v>
      </c>
      <c r="L9333">
        <v>2109853415</v>
      </c>
      <c r="M9333" t="s">
        <v>10986</v>
      </c>
      <c r="N9333" t="s">
        <v>10650</v>
      </c>
      <c r="O9333" t="s">
        <v>10643</v>
      </c>
      <c r="P9333">
        <v>17561</v>
      </c>
      <c r="Q9333" t="str">
        <f>"37.930396"</f>
        <v>37.930396</v>
      </c>
      <c r="R9333" t="str">
        <f>"23.692673"</f>
        <v>23.692673</v>
      </c>
      <c r="S9333" t="s">
        <v>26</v>
      </c>
    </row>
    <row r="9334" spans="1:19" x14ac:dyDescent="0.3">
      <c r="A9334" t="s">
        <v>3237</v>
      </c>
      <c r="B9334" t="s">
        <v>10503</v>
      </c>
      <c r="C9334" t="s">
        <v>10987</v>
      </c>
      <c r="D9334" t="s">
        <v>3256</v>
      </c>
      <c r="E9334" t="s">
        <v>4017</v>
      </c>
      <c r="F9334" t="s">
        <v>4017</v>
      </c>
      <c r="G9334" t="s">
        <v>4017</v>
      </c>
      <c r="H9334" t="s">
        <v>859</v>
      </c>
      <c r="I9334" t="s">
        <v>860</v>
      </c>
      <c r="J9334" t="str">
        <f>"9051080"</f>
        <v>9051080</v>
      </c>
      <c r="K9334">
        <v>2108982649</v>
      </c>
      <c r="L9334">
        <v>2108982649</v>
      </c>
      <c r="M9334" t="s">
        <v>10988</v>
      </c>
      <c r="N9334" t="s">
        <v>5578</v>
      </c>
      <c r="O9334" t="s">
        <v>10989</v>
      </c>
      <c r="P9334">
        <v>16674</v>
      </c>
      <c r="Q9334" t="str">
        <f>"37.863215"</f>
        <v>37.863215</v>
      </c>
      <c r="R9334" t="str">
        <f>"23.756402"</f>
        <v>23.756402</v>
      </c>
      <c r="S9334" t="s">
        <v>26</v>
      </c>
    </row>
    <row r="9335" spans="1:19" x14ac:dyDescent="0.3">
      <c r="A9335" t="s">
        <v>3237</v>
      </c>
      <c r="B9335" t="s">
        <v>10503</v>
      </c>
      <c r="C9335" t="s">
        <v>10990</v>
      </c>
      <c r="D9335" t="s">
        <v>3256</v>
      </c>
      <c r="E9335" t="s">
        <v>4017</v>
      </c>
      <c r="F9335" t="s">
        <v>4017</v>
      </c>
      <c r="G9335" t="s">
        <v>4017</v>
      </c>
      <c r="H9335" t="s">
        <v>859</v>
      </c>
      <c r="I9335" t="s">
        <v>860</v>
      </c>
      <c r="J9335" t="str">
        <f>"9520433"</f>
        <v>9520433</v>
      </c>
      <c r="K9335">
        <v>2109621514</v>
      </c>
      <c r="L9335">
        <v>2109621514</v>
      </c>
      <c r="M9335" t="s">
        <v>10991</v>
      </c>
      <c r="N9335" t="s">
        <v>5578</v>
      </c>
      <c r="O9335" t="s">
        <v>10992</v>
      </c>
      <c r="P9335">
        <v>16777</v>
      </c>
      <c r="Q9335" t="str">
        <f>"37.889364"</f>
        <v>37.889364</v>
      </c>
      <c r="R9335" t="str">
        <f>"23.749463"</f>
        <v>23.749463</v>
      </c>
      <c r="S9335" t="s">
        <v>26</v>
      </c>
    </row>
    <row r="9336" spans="1:19" x14ac:dyDescent="0.3">
      <c r="A9336" t="s">
        <v>3237</v>
      </c>
      <c r="B9336" t="s">
        <v>10503</v>
      </c>
      <c r="C9336" t="s">
        <v>10993</v>
      </c>
      <c r="D9336" t="s">
        <v>3256</v>
      </c>
      <c r="E9336" t="s">
        <v>3295</v>
      </c>
      <c r="F9336" t="s">
        <v>3295</v>
      </c>
      <c r="G9336" t="s">
        <v>3295</v>
      </c>
      <c r="H9336" t="s">
        <v>859</v>
      </c>
      <c r="I9336" t="s">
        <v>860</v>
      </c>
      <c r="J9336" t="str">
        <f>"9051245"</f>
        <v>9051245</v>
      </c>
      <c r="K9336">
        <v>2109836967</v>
      </c>
      <c r="L9336">
        <v>2109836967</v>
      </c>
      <c r="M9336" t="s">
        <v>10994</v>
      </c>
      <c r="N9336" t="s">
        <v>3472</v>
      </c>
      <c r="O9336" t="s">
        <v>10995</v>
      </c>
      <c r="P9336">
        <v>17342</v>
      </c>
      <c r="Q9336" t="str">
        <f>"37.920742"</f>
        <v>37.920742</v>
      </c>
      <c r="R9336" t="str">
        <f>"23.726481"</f>
        <v>23.726481</v>
      </c>
      <c r="S9336" t="s">
        <v>26</v>
      </c>
    </row>
    <row r="9337" spans="1:19" x14ac:dyDescent="0.3">
      <c r="A9337" t="s">
        <v>3237</v>
      </c>
      <c r="B9337" t="s">
        <v>10503</v>
      </c>
      <c r="C9337" t="s">
        <v>10996</v>
      </c>
      <c r="D9337" t="s">
        <v>3256</v>
      </c>
      <c r="E9337" t="s">
        <v>5599</v>
      </c>
      <c r="F9337" t="s">
        <v>5600</v>
      </c>
      <c r="G9337" t="s">
        <v>5601</v>
      </c>
      <c r="H9337" t="s">
        <v>859</v>
      </c>
      <c r="I9337" t="s">
        <v>860</v>
      </c>
      <c r="J9337" t="str">
        <f>"9051075"</f>
        <v>9051075</v>
      </c>
      <c r="K9337">
        <v>2109919565</v>
      </c>
      <c r="L9337">
        <v>2109919565</v>
      </c>
      <c r="M9337" t="s">
        <v>10997</v>
      </c>
      <c r="N9337" t="s">
        <v>1038</v>
      </c>
      <c r="O9337" t="s">
        <v>10998</v>
      </c>
      <c r="P9337">
        <v>16452</v>
      </c>
      <c r="Q9337" t="str">
        <f>"37.912248"</f>
        <v>37.912248</v>
      </c>
      <c r="R9337" t="str">
        <f>"23.746462"</f>
        <v>23.746462</v>
      </c>
      <c r="S9337" t="s">
        <v>26</v>
      </c>
    </row>
    <row r="9338" spans="1:19" x14ac:dyDescent="0.3">
      <c r="A9338" t="s">
        <v>3237</v>
      </c>
      <c r="B9338" t="s">
        <v>10503</v>
      </c>
      <c r="C9338" t="s">
        <v>10999</v>
      </c>
      <c r="D9338" t="s">
        <v>3256</v>
      </c>
      <c r="E9338" t="s">
        <v>3295</v>
      </c>
      <c r="F9338" t="s">
        <v>3295</v>
      </c>
      <c r="G9338" t="s">
        <v>3295</v>
      </c>
      <c r="H9338" t="s">
        <v>859</v>
      </c>
      <c r="I9338" t="s">
        <v>860</v>
      </c>
      <c r="J9338" t="str">
        <f>"9050999"</f>
        <v>9050999</v>
      </c>
      <c r="K9338">
        <v>2109852569</v>
      </c>
      <c r="M9338" t="s">
        <v>11000</v>
      </c>
      <c r="N9338" t="s">
        <v>3472</v>
      </c>
      <c r="O9338" t="s">
        <v>11001</v>
      </c>
      <c r="P9338">
        <v>17342</v>
      </c>
      <c r="Q9338" t="str">
        <f>"37.967771"</f>
        <v>37.967771</v>
      </c>
      <c r="R9338" t="str">
        <f>"23.711225"</f>
        <v>23.711225</v>
      </c>
      <c r="S9338" t="s">
        <v>26</v>
      </c>
    </row>
    <row r="9339" spans="1:19" x14ac:dyDescent="0.3">
      <c r="A9339" t="s">
        <v>3237</v>
      </c>
      <c r="B9339" t="s">
        <v>10503</v>
      </c>
      <c r="C9339" t="s">
        <v>11002</v>
      </c>
      <c r="D9339" t="s">
        <v>3256</v>
      </c>
      <c r="E9339" t="s">
        <v>3295</v>
      </c>
      <c r="F9339" t="s">
        <v>3295</v>
      </c>
      <c r="G9339" t="s">
        <v>3295</v>
      </c>
      <c r="H9339" t="s">
        <v>859</v>
      </c>
      <c r="I9339" t="s">
        <v>860</v>
      </c>
      <c r="J9339" t="str">
        <f>"9520506"</f>
        <v>9520506</v>
      </c>
      <c r="K9339">
        <v>2109820090</v>
      </c>
      <c r="L9339">
        <v>2109820090</v>
      </c>
      <c r="M9339" t="s">
        <v>11003</v>
      </c>
      <c r="N9339" t="s">
        <v>3472</v>
      </c>
      <c r="O9339" t="s">
        <v>11004</v>
      </c>
      <c r="P9339">
        <v>17342</v>
      </c>
      <c r="Q9339" t="str">
        <f>"37.919580"</f>
        <v>37.919580</v>
      </c>
      <c r="R9339" t="str">
        <f>"23.726570"</f>
        <v>23.726570</v>
      </c>
      <c r="S9339" t="s">
        <v>26</v>
      </c>
    </row>
    <row r="9340" spans="1:19" x14ac:dyDescent="0.3">
      <c r="A9340" t="s">
        <v>3237</v>
      </c>
      <c r="B9340" t="s">
        <v>10503</v>
      </c>
      <c r="C9340" t="s">
        <v>11008</v>
      </c>
      <c r="D9340" t="s">
        <v>3256</v>
      </c>
      <c r="E9340" t="s">
        <v>5586</v>
      </c>
      <c r="F9340" t="s">
        <v>5586</v>
      </c>
      <c r="G9340" t="s">
        <v>5586</v>
      </c>
      <c r="H9340" t="s">
        <v>859</v>
      </c>
      <c r="I9340" t="s">
        <v>860</v>
      </c>
      <c r="J9340" t="str">
        <f>"9050749"</f>
        <v>9050749</v>
      </c>
      <c r="K9340">
        <v>2109321202</v>
      </c>
      <c r="L9340">
        <v>2109321202</v>
      </c>
      <c r="M9340" t="s">
        <v>11009</v>
      </c>
      <c r="N9340" t="s">
        <v>3472</v>
      </c>
      <c r="O9340" t="s">
        <v>11010</v>
      </c>
      <c r="P9340">
        <v>17341</v>
      </c>
      <c r="Q9340" t="str">
        <f>"37.938798"</f>
        <v>37.938798</v>
      </c>
      <c r="R9340" t="str">
        <f>"23.722324"</f>
        <v>23.722324</v>
      </c>
      <c r="S9340" t="s">
        <v>26</v>
      </c>
    </row>
    <row r="9341" spans="1:19" x14ac:dyDescent="0.3">
      <c r="A9341" t="s">
        <v>3237</v>
      </c>
      <c r="B9341" t="s">
        <v>10503</v>
      </c>
      <c r="C9341" t="s">
        <v>11013</v>
      </c>
      <c r="D9341" t="s">
        <v>3256</v>
      </c>
      <c r="E9341" t="s">
        <v>3295</v>
      </c>
      <c r="F9341" t="s">
        <v>3295</v>
      </c>
      <c r="G9341" t="s">
        <v>3295</v>
      </c>
      <c r="H9341" t="s">
        <v>859</v>
      </c>
      <c r="I9341" t="s">
        <v>860</v>
      </c>
      <c r="J9341" t="str">
        <f>"9050888"</f>
        <v>9050888</v>
      </c>
      <c r="K9341">
        <v>2109347465</v>
      </c>
      <c r="M9341" t="s">
        <v>11014</v>
      </c>
      <c r="N9341" t="s">
        <v>3472</v>
      </c>
      <c r="O9341" t="s">
        <v>10744</v>
      </c>
      <c r="P9341">
        <v>17341</v>
      </c>
      <c r="Q9341" t="str">
        <f>"37.927542"</f>
        <v>37.927542</v>
      </c>
      <c r="R9341" t="str">
        <f>"23.722441"</f>
        <v>23.722441</v>
      </c>
      <c r="S9341" t="s">
        <v>26</v>
      </c>
    </row>
    <row r="9342" spans="1:19" x14ac:dyDescent="0.3">
      <c r="A9342" t="s">
        <v>3237</v>
      </c>
      <c r="B9342" t="s">
        <v>10503</v>
      </c>
      <c r="C9342" t="s">
        <v>11017</v>
      </c>
      <c r="D9342" t="s">
        <v>3256</v>
      </c>
      <c r="E9342" t="s">
        <v>3295</v>
      </c>
      <c r="F9342" t="s">
        <v>3295</v>
      </c>
      <c r="G9342" t="s">
        <v>3295</v>
      </c>
      <c r="H9342" t="s">
        <v>859</v>
      </c>
      <c r="I9342" t="s">
        <v>860</v>
      </c>
      <c r="J9342" t="str">
        <f>"9050732"</f>
        <v>9050732</v>
      </c>
      <c r="K9342">
        <v>2109754710</v>
      </c>
      <c r="L9342">
        <v>2109754710</v>
      </c>
      <c r="M9342" t="s">
        <v>11018</v>
      </c>
      <c r="N9342" t="s">
        <v>3472</v>
      </c>
      <c r="O9342" t="s">
        <v>11019</v>
      </c>
      <c r="P9342">
        <v>17341</v>
      </c>
      <c r="Q9342" t="str">
        <f>"37.937273"</f>
        <v>37.937273</v>
      </c>
      <c r="R9342" t="str">
        <f>"23.727543"</f>
        <v>23.727543</v>
      </c>
      <c r="S9342" t="s">
        <v>26</v>
      </c>
    </row>
    <row r="9343" spans="1:19" x14ac:dyDescent="0.3">
      <c r="A9343" t="s">
        <v>3237</v>
      </c>
      <c r="B9343" t="s">
        <v>10503</v>
      </c>
      <c r="C9343" t="s">
        <v>11020</v>
      </c>
      <c r="D9343" t="s">
        <v>3256</v>
      </c>
      <c r="E9343" t="s">
        <v>3295</v>
      </c>
      <c r="F9343" t="s">
        <v>3295</v>
      </c>
      <c r="G9343" t="s">
        <v>3295</v>
      </c>
      <c r="H9343" t="s">
        <v>859</v>
      </c>
      <c r="I9343" t="s">
        <v>860</v>
      </c>
      <c r="J9343" t="str">
        <f>"9050887"</f>
        <v>9050887</v>
      </c>
      <c r="K9343">
        <v>2109732852</v>
      </c>
      <c r="L9343">
        <v>2109732852</v>
      </c>
      <c r="M9343" t="s">
        <v>11021</v>
      </c>
      <c r="N9343" t="s">
        <v>3472</v>
      </c>
      <c r="O9343" t="s">
        <v>11022</v>
      </c>
      <c r="P9343">
        <v>17343</v>
      </c>
      <c r="Q9343" t="str">
        <f>"37.933492"</f>
        <v>37.933492</v>
      </c>
      <c r="R9343" t="str">
        <f>"23.738511"</f>
        <v>23.738511</v>
      </c>
      <c r="S9343" t="s">
        <v>26</v>
      </c>
    </row>
    <row r="9344" spans="1:19" x14ac:dyDescent="0.3">
      <c r="A9344" t="s">
        <v>3237</v>
      </c>
      <c r="B9344" t="s">
        <v>10503</v>
      </c>
      <c r="C9344" t="s">
        <v>11023</v>
      </c>
      <c r="D9344" t="s">
        <v>3256</v>
      </c>
      <c r="E9344" t="s">
        <v>4017</v>
      </c>
      <c r="F9344" t="s">
        <v>4017</v>
      </c>
      <c r="G9344" t="s">
        <v>4017</v>
      </c>
      <c r="H9344" t="s">
        <v>859</v>
      </c>
      <c r="I9344" t="s">
        <v>860</v>
      </c>
      <c r="J9344" t="str">
        <f>"9051082"</f>
        <v>9051082</v>
      </c>
      <c r="K9344">
        <v>2109614823</v>
      </c>
      <c r="L9344">
        <v>2109614823</v>
      </c>
      <c r="M9344" t="s">
        <v>11024</v>
      </c>
      <c r="N9344" t="s">
        <v>5578</v>
      </c>
      <c r="O9344" t="s">
        <v>11025</v>
      </c>
      <c r="P9344">
        <v>16561</v>
      </c>
      <c r="Q9344" t="str">
        <f>"37.880764"</f>
        <v>37.880764</v>
      </c>
      <c r="R9344" t="str">
        <f>"23.765014"</f>
        <v>23.765014</v>
      </c>
      <c r="S9344" t="s">
        <v>26</v>
      </c>
    </row>
    <row r="9345" spans="1:19" x14ac:dyDescent="0.3">
      <c r="A9345" t="s">
        <v>3237</v>
      </c>
      <c r="B9345" t="s">
        <v>10503</v>
      </c>
      <c r="C9345" t="s">
        <v>11030</v>
      </c>
      <c r="D9345" t="s">
        <v>3256</v>
      </c>
      <c r="E9345" t="s">
        <v>5563</v>
      </c>
      <c r="F9345" t="s">
        <v>5563</v>
      </c>
      <c r="G9345" t="s">
        <v>5611</v>
      </c>
      <c r="H9345" t="s">
        <v>859</v>
      </c>
      <c r="I9345" t="s">
        <v>860</v>
      </c>
      <c r="J9345" t="str">
        <f>"9050740"</f>
        <v>9050740</v>
      </c>
      <c r="K9345">
        <v>2109513942</v>
      </c>
      <c r="M9345" t="s">
        <v>11031</v>
      </c>
      <c r="N9345" t="s">
        <v>5567</v>
      </c>
      <c r="O9345" t="s">
        <v>11032</v>
      </c>
      <c r="P9345">
        <v>17673</v>
      </c>
      <c r="Q9345" t="str">
        <f>"37.960679"</f>
        <v>37.960679</v>
      </c>
      <c r="R9345" t="str">
        <f>"23.699150"</f>
        <v>23.699150</v>
      </c>
      <c r="S9345" t="s">
        <v>26</v>
      </c>
    </row>
    <row r="9346" spans="1:19" x14ac:dyDescent="0.3">
      <c r="A9346" t="s">
        <v>3237</v>
      </c>
      <c r="B9346" t="s">
        <v>10503</v>
      </c>
      <c r="C9346" t="s">
        <v>11037</v>
      </c>
      <c r="D9346" t="s">
        <v>3256</v>
      </c>
      <c r="E9346" t="s">
        <v>5586</v>
      </c>
      <c r="F9346" t="s">
        <v>5586</v>
      </c>
      <c r="G9346" t="s">
        <v>5586</v>
      </c>
      <c r="H9346" t="s">
        <v>859</v>
      </c>
      <c r="I9346" t="s">
        <v>860</v>
      </c>
      <c r="J9346" t="str">
        <f>"9051283"</f>
        <v>9051283</v>
      </c>
      <c r="K9346">
        <v>2109350505</v>
      </c>
      <c r="L9346">
        <v>2109350505</v>
      </c>
      <c r="M9346" t="s">
        <v>11038</v>
      </c>
      <c r="N9346" t="s">
        <v>3260</v>
      </c>
      <c r="O9346" t="s">
        <v>11039</v>
      </c>
      <c r="P9346">
        <v>17123</v>
      </c>
      <c r="Q9346" t="str">
        <f>"37.938721"</f>
        <v>37.938721</v>
      </c>
      <c r="R9346" t="str">
        <f>"23.714381"</f>
        <v>23.714381</v>
      </c>
      <c r="S9346" t="s">
        <v>26</v>
      </c>
    </row>
    <row r="9347" spans="1:19" x14ac:dyDescent="0.3">
      <c r="A9347" t="s">
        <v>3237</v>
      </c>
      <c r="B9347" t="s">
        <v>10503</v>
      </c>
      <c r="C9347" t="s">
        <v>11045</v>
      </c>
      <c r="D9347" t="s">
        <v>3256</v>
      </c>
      <c r="E9347" t="s">
        <v>5656</v>
      </c>
      <c r="F9347" t="s">
        <v>5657</v>
      </c>
      <c r="G9347" t="s">
        <v>5657</v>
      </c>
      <c r="H9347" t="s">
        <v>859</v>
      </c>
      <c r="I9347" t="s">
        <v>860</v>
      </c>
      <c r="J9347" t="str">
        <f>"9050851"</f>
        <v>9050851</v>
      </c>
      <c r="K9347">
        <v>2104831649</v>
      </c>
      <c r="L9347">
        <v>2104831649</v>
      </c>
      <c r="M9347" t="s">
        <v>11046</v>
      </c>
      <c r="N9347" t="s">
        <v>5657</v>
      </c>
      <c r="O9347" t="s">
        <v>10935</v>
      </c>
      <c r="P9347">
        <v>17778</v>
      </c>
      <c r="Q9347" t="str">
        <f>"37.962723"</f>
        <v>37.962723</v>
      </c>
      <c r="R9347" t="str">
        <f>"23.697772"</f>
        <v>23.697772</v>
      </c>
      <c r="S9347" t="s">
        <v>26</v>
      </c>
    </row>
    <row r="9348" spans="1:19" x14ac:dyDescent="0.3">
      <c r="A9348" t="s">
        <v>3237</v>
      </c>
      <c r="B9348" t="s">
        <v>10503</v>
      </c>
      <c r="C9348" t="s">
        <v>11047</v>
      </c>
      <c r="D9348" t="s">
        <v>3256</v>
      </c>
      <c r="E9348" t="s">
        <v>5656</v>
      </c>
      <c r="F9348" t="s">
        <v>5657</v>
      </c>
      <c r="G9348" t="s">
        <v>5657</v>
      </c>
      <c r="H9348" t="s">
        <v>859</v>
      </c>
      <c r="I9348" t="s">
        <v>860</v>
      </c>
      <c r="J9348" t="str">
        <f>"9050329"</f>
        <v>9050329</v>
      </c>
      <c r="K9348">
        <v>2103413715</v>
      </c>
      <c r="L9348">
        <v>2103413715</v>
      </c>
      <c r="M9348" t="s">
        <v>11048</v>
      </c>
      <c r="N9348" t="s">
        <v>5657</v>
      </c>
      <c r="O9348" t="s">
        <v>11049</v>
      </c>
      <c r="P9348">
        <v>17778</v>
      </c>
      <c r="Q9348" t="str">
        <f>"37.966898"</f>
        <v>37.966898</v>
      </c>
      <c r="R9348" t="str">
        <f>"23.692635"</f>
        <v>23.692635</v>
      </c>
      <c r="S9348" t="s">
        <v>26</v>
      </c>
    </row>
    <row r="9349" spans="1:19" x14ac:dyDescent="0.3">
      <c r="A9349" t="s">
        <v>3237</v>
      </c>
      <c r="B9349" t="s">
        <v>10503</v>
      </c>
      <c r="C9349" t="s">
        <v>11050</v>
      </c>
      <c r="D9349" t="s">
        <v>3256</v>
      </c>
      <c r="E9349" t="s">
        <v>5656</v>
      </c>
      <c r="F9349" t="s">
        <v>5657</v>
      </c>
      <c r="G9349" t="s">
        <v>5657</v>
      </c>
      <c r="H9349" t="s">
        <v>859</v>
      </c>
      <c r="I9349" t="s">
        <v>860</v>
      </c>
      <c r="J9349" t="str">
        <f>"9050757"</f>
        <v>9050757</v>
      </c>
      <c r="K9349">
        <v>2103455303</v>
      </c>
      <c r="L9349">
        <v>2103455303</v>
      </c>
      <c r="M9349" t="s">
        <v>11051</v>
      </c>
      <c r="N9349" t="s">
        <v>5657</v>
      </c>
      <c r="O9349" t="s">
        <v>11052</v>
      </c>
      <c r="P9349">
        <v>17778</v>
      </c>
      <c r="Q9349" t="str">
        <f>"37.971536"</f>
        <v>37.971536</v>
      </c>
      <c r="R9349" t="str">
        <f>"23.695490"</f>
        <v>23.695490</v>
      </c>
      <c r="S9349" t="s">
        <v>26</v>
      </c>
    </row>
    <row r="9350" spans="1:19" x14ac:dyDescent="0.3">
      <c r="A9350" t="s">
        <v>3237</v>
      </c>
      <c r="B9350" t="s">
        <v>10503</v>
      </c>
      <c r="C9350" t="s">
        <v>11053</v>
      </c>
      <c r="D9350" t="s">
        <v>3256</v>
      </c>
      <c r="E9350" t="s">
        <v>5656</v>
      </c>
      <c r="F9350" t="s">
        <v>5657</v>
      </c>
      <c r="G9350" t="s">
        <v>5657</v>
      </c>
      <c r="H9350" t="s">
        <v>859</v>
      </c>
      <c r="I9350" t="s">
        <v>860</v>
      </c>
      <c r="J9350" t="str">
        <f>"9050837"</f>
        <v>9050837</v>
      </c>
      <c r="K9350">
        <v>2103470630</v>
      </c>
      <c r="L9350">
        <v>2103470630</v>
      </c>
      <c r="M9350" t="s">
        <v>11054</v>
      </c>
      <c r="N9350" t="s">
        <v>5657</v>
      </c>
      <c r="O9350" t="s">
        <v>11055</v>
      </c>
      <c r="P9350">
        <v>17778</v>
      </c>
      <c r="Q9350" t="str">
        <f>"37.963879"</f>
        <v>37.963879</v>
      </c>
      <c r="R9350" t="str">
        <f>"23.703466"</f>
        <v>23.703466</v>
      </c>
      <c r="S9350" t="s">
        <v>26</v>
      </c>
    </row>
    <row r="9351" spans="1:19" x14ac:dyDescent="0.3">
      <c r="A9351" t="s">
        <v>3237</v>
      </c>
      <c r="B9351" t="s">
        <v>10503</v>
      </c>
      <c r="C9351" t="s">
        <v>11060</v>
      </c>
      <c r="D9351" t="s">
        <v>3256</v>
      </c>
      <c r="E9351" t="s">
        <v>5586</v>
      </c>
      <c r="F9351" t="s">
        <v>5586</v>
      </c>
      <c r="G9351" t="s">
        <v>5586</v>
      </c>
      <c r="H9351" t="s">
        <v>859</v>
      </c>
      <c r="I9351" t="s">
        <v>860</v>
      </c>
      <c r="J9351" t="str">
        <f>"9050748"</f>
        <v>9050748</v>
      </c>
      <c r="K9351">
        <v>2109423273</v>
      </c>
      <c r="L9351">
        <v>2109423273</v>
      </c>
      <c r="M9351" t="s">
        <v>11061</v>
      </c>
      <c r="N9351" t="s">
        <v>3260</v>
      </c>
      <c r="O9351" t="s">
        <v>11062</v>
      </c>
      <c r="P9351">
        <v>17122</v>
      </c>
      <c r="Q9351" t="str">
        <f>"37.943438"</f>
        <v>37.943438</v>
      </c>
      <c r="R9351" t="str">
        <f>"23.704584"</f>
        <v>23.704584</v>
      </c>
      <c r="S9351" t="s">
        <v>26</v>
      </c>
    </row>
    <row r="9352" spans="1:19" x14ac:dyDescent="0.3">
      <c r="A9352" t="s">
        <v>3237</v>
      </c>
      <c r="B9352" t="s">
        <v>10503</v>
      </c>
      <c r="C9352" t="s">
        <v>11063</v>
      </c>
      <c r="D9352" t="s">
        <v>3256</v>
      </c>
      <c r="E9352" t="s">
        <v>4017</v>
      </c>
      <c r="F9352" t="s">
        <v>4017</v>
      </c>
      <c r="G9352" t="s">
        <v>4017</v>
      </c>
      <c r="H9352" t="s">
        <v>859</v>
      </c>
      <c r="I9352" t="s">
        <v>860</v>
      </c>
      <c r="J9352" t="str">
        <f>"9051083"</f>
        <v>9051083</v>
      </c>
      <c r="K9352">
        <v>2109610314</v>
      </c>
      <c r="L9352">
        <v>2109610314</v>
      </c>
      <c r="M9352" t="s">
        <v>11064</v>
      </c>
      <c r="N9352" t="s">
        <v>5578</v>
      </c>
      <c r="O9352" t="s">
        <v>11065</v>
      </c>
      <c r="P9352">
        <v>16562</v>
      </c>
      <c r="Q9352" t="str">
        <f>"37.892131"</f>
        <v>37.892131</v>
      </c>
      <c r="R9352" t="str">
        <f>"23.773241"</f>
        <v>23.773241</v>
      </c>
      <c r="S9352" t="s">
        <v>26</v>
      </c>
    </row>
    <row r="9353" spans="1:19" x14ac:dyDescent="0.3">
      <c r="A9353" t="s">
        <v>3237</v>
      </c>
      <c r="B9353" t="s">
        <v>10503</v>
      </c>
      <c r="C9353" t="s">
        <v>11066</v>
      </c>
      <c r="D9353" t="s">
        <v>3256</v>
      </c>
      <c r="E9353" t="s">
        <v>3295</v>
      </c>
      <c r="F9353" t="s">
        <v>3295</v>
      </c>
      <c r="G9353" t="s">
        <v>3295</v>
      </c>
      <c r="H9353" t="s">
        <v>859</v>
      </c>
      <c r="I9353" t="s">
        <v>860</v>
      </c>
      <c r="J9353" t="str">
        <f>"9051244"</f>
        <v>9051244</v>
      </c>
      <c r="K9353">
        <v>2109942777</v>
      </c>
      <c r="L9353">
        <v>2109942647</v>
      </c>
      <c r="M9353" t="s">
        <v>11067</v>
      </c>
      <c r="N9353" t="s">
        <v>3472</v>
      </c>
      <c r="O9353" t="s">
        <v>11068</v>
      </c>
      <c r="P9353">
        <v>17342</v>
      </c>
      <c r="Q9353" t="str">
        <f>"37.930557"</f>
        <v>37.930557</v>
      </c>
      <c r="R9353" t="str">
        <f>"23.739499"</f>
        <v>23.739499</v>
      </c>
      <c r="S9353" t="s">
        <v>26</v>
      </c>
    </row>
    <row r="9354" spans="1:19" x14ac:dyDescent="0.3">
      <c r="A9354" t="s">
        <v>3237</v>
      </c>
      <c r="B9354" t="s">
        <v>10503</v>
      </c>
      <c r="C9354" t="s">
        <v>11087</v>
      </c>
      <c r="D9354" t="s">
        <v>3256</v>
      </c>
      <c r="E9354" t="s">
        <v>5599</v>
      </c>
      <c r="F9354" t="s">
        <v>5600</v>
      </c>
      <c r="G9354" t="s">
        <v>5601</v>
      </c>
      <c r="H9354" t="s">
        <v>859</v>
      </c>
      <c r="I9354" t="s">
        <v>860</v>
      </c>
      <c r="J9354" t="str">
        <f>"9520365"</f>
        <v>9520365</v>
      </c>
      <c r="K9354">
        <v>2109937774</v>
      </c>
      <c r="L9354">
        <v>2109937774</v>
      </c>
      <c r="M9354" t="s">
        <v>11088</v>
      </c>
      <c r="N9354" t="s">
        <v>1038</v>
      </c>
      <c r="O9354" t="s">
        <v>11089</v>
      </c>
      <c r="P9354">
        <v>16452</v>
      </c>
      <c r="Q9354" t="str">
        <f>"37.908237"</f>
        <v>37.908237</v>
      </c>
      <c r="R9354" t="str">
        <f>"23.746073"</f>
        <v>23.746073</v>
      </c>
      <c r="S9354" t="s">
        <v>26</v>
      </c>
    </row>
    <row r="9355" spans="1:19" x14ac:dyDescent="0.3">
      <c r="A9355" t="s">
        <v>3237</v>
      </c>
      <c r="B9355" t="s">
        <v>10503</v>
      </c>
      <c r="C9355" t="s">
        <v>11107</v>
      </c>
      <c r="D9355" t="s">
        <v>3256</v>
      </c>
      <c r="E9355" t="s">
        <v>5563</v>
      </c>
      <c r="F9355" t="s">
        <v>5563</v>
      </c>
      <c r="G9355" t="s">
        <v>5611</v>
      </c>
      <c r="H9355" t="s">
        <v>859</v>
      </c>
      <c r="I9355" t="s">
        <v>1102</v>
      </c>
      <c r="J9355" t="str">
        <f>"9520439"</f>
        <v>9520439</v>
      </c>
      <c r="K9355">
        <v>2109595450</v>
      </c>
      <c r="L9355">
        <v>2109588137</v>
      </c>
      <c r="M9355" t="s">
        <v>11108</v>
      </c>
      <c r="N9355" t="s">
        <v>5567</v>
      </c>
      <c r="O9355" t="s">
        <v>10704</v>
      </c>
      <c r="P9355">
        <v>17675</v>
      </c>
      <c r="Q9355" t="str">
        <f>"37.952979"</f>
        <v>37.952979</v>
      </c>
      <c r="R9355" t="str">
        <f>"23.696271"</f>
        <v>23.696271</v>
      </c>
      <c r="S9355" t="s">
        <v>26</v>
      </c>
    </row>
    <row r="9356" spans="1:19" x14ac:dyDescent="0.3">
      <c r="A9356" t="s">
        <v>3237</v>
      </c>
      <c r="B9356" t="s">
        <v>10503</v>
      </c>
      <c r="C9356" t="s">
        <v>11118</v>
      </c>
      <c r="D9356" t="s">
        <v>3256</v>
      </c>
      <c r="E9356" t="s">
        <v>4017</v>
      </c>
      <c r="F9356" t="s">
        <v>4017</v>
      </c>
      <c r="G9356" t="s">
        <v>4017</v>
      </c>
      <c r="H9356" t="s">
        <v>859</v>
      </c>
      <c r="I9356" t="s">
        <v>860</v>
      </c>
      <c r="J9356" t="str">
        <f>"9520494"</f>
        <v>9520494</v>
      </c>
      <c r="K9356">
        <v>2109611800</v>
      </c>
      <c r="L9356">
        <v>2109611800</v>
      </c>
      <c r="M9356" t="s">
        <v>11119</v>
      </c>
      <c r="N9356" t="s">
        <v>5578</v>
      </c>
      <c r="O9356" t="s">
        <v>11120</v>
      </c>
      <c r="P9356">
        <v>16562</v>
      </c>
      <c r="Q9356" t="str">
        <f>"37.898501"</f>
        <v>37.898501</v>
      </c>
      <c r="R9356" t="str">
        <f>"23.771002"</f>
        <v>23.771002</v>
      </c>
      <c r="S9356" t="s">
        <v>26</v>
      </c>
    </row>
    <row r="9357" spans="1:19" x14ac:dyDescent="0.3">
      <c r="A9357" t="s">
        <v>3237</v>
      </c>
      <c r="B9357" t="s">
        <v>10503</v>
      </c>
      <c r="C9357" t="s">
        <v>11121</v>
      </c>
      <c r="D9357" t="s">
        <v>3256</v>
      </c>
      <c r="E9357" t="s">
        <v>3257</v>
      </c>
      <c r="F9357" t="s">
        <v>3257</v>
      </c>
      <c r="G9357" t="s">
        <v>3257</v>
      </c>
      <c r="H9357" t="s">
        <v>859</v>
      </c>
      <c r="I9357" t="s">
        <v>860</v>
      </c>
      <c r="J9357" t="str">
        <f>"9520376"</f>
        <v>9520376</v>
      </c>
      <c r="K9357">
        <v>2109967569</v>
      </c>
      <c r="L9357">
        <v>2109963349</v>
      </c>
      <c r="M9357" t="s">
        <v>11122</v>
      </c>
      <c r="N9357" t="s">
        <v>5630</v>
      </c>
      <c r="O9357" t="s">
        <v>11123</v>
      </c>
      <c r="P9357">
        <v>17456</v>
      </c>
      <c r="Q9357" t="str">
        <f>"37.910078"</f>
        <v>37.910078</v>
      </c>
      <c r="R9357" t="str">
        <f>"23.734203"</f>
        <v>23.734203</v>
      </c>
      <c r="S9357" t="s">
        <v>26</v>
      </c>
    </row>
    <row r="9358" spans="1:19" x14ac:dyDescent="0.3">
      <c r="A9358" t="s">
        <v>3237</v>
      </c>
      <c r="B9358" t="s">
        <v>10503</v>
      </c>
      <c r="C9358" t="s">
        <v>11124</v>
      </c>
      <c r="D9358" t="s">
        <v>3256</v>
      </c>
      <c r="E9358" t="s">
        <v>4017</v>
      </c>
      <c r="F9358" t="s">
        <v>4017</v>
      </c>
      <c r="G9358" t="s">
        <v>4017</v>
      </c>
      <c r="H9358" t="s">
        <v>859</v>
      </c>
      <c r="I9358" t="s">
        <v>860</v>
      </c>
      <c r="J9358" t="str">
        <f>"9520396"</f>
        <v>9520396</v>
      </c>
      <c r="K9358">
        <v>2109617977</v>
      </c>
      <c r="L9358">
        <v>2109617977</v>
      </c>
      <c r="M9358" t="s">
        <v>11125</v>
      </c>
      <c r="N9358" t="s">
        <v>5578</v>
      </c>
      <c r="O9358" t="s">
        <v>11126</v>
      </c>
      <c r="P9358">
        <v>16561</v>
      </c>
      <c r="Q9358" t="str">
        <f>"37.882862"</f>
        <v>37.882862</v>
      </c>
      <c r="R9358" t="str">
        <f>"23.758594"</f>
        <v>23.758594</v>
      </c>
      <c r="S9358" t="s">
        <v>26</v>
      </c>
    </row>
    <row r="9359" spans="1:19" x14ac:dyDescent="0.3">
      <c r="A9359" t="s">
        <v>3237</v>
      </c>
      <c r="B9359" t="s">
        <v>10503</v>
      </c>
      <c r="C9359" t="s">
        <v>11127</v>
      </c>
      <c r="D9359" t="s">
        <v>3256</v>
      </c>
      <c r="E9359" t="s">
        <v>3257</v>
      </c>
      <c r="F9359" t="s">
        <v>3257</v>
      </c>
      <c r="G9359" t="s">
        <v>3257</v>
      </c>
      <c r="H9359" t="s">
        <v>859</v>
      </c>
      <c r="I9359" t="s">
        <v>860</v>
      </c>
      <c r="J9359" t="str">
        <f>"9051078"</f>
        <v>9051078</v>
      </c>
      <c r="K9359">
        <v>2109883285</v>
      </c>
      <c r="L9359">
        <v>2109883285</v>
      </c>
      <c r="M9359" t="s">
        <v>11128</v>
      </c>
      <c r="N9359" t="s">
        <v>5630</v>
      </c>
      <c r="O9359" t="s">
        <v>11129</v>
      </c>
      <c r="P9359">
        <v>17455</v>
      </c>
      <c r="Q9359" t="str">
        <f>"37.915202"</f>
        <v>37.915202</v>
      </c>
      <c r="R9359" t="str">
        <f>"23.718329"</f>
        <v>23.718329</v>
      </c>
      <c r="S9359" t="s">
        <v>26</v>
      </c>
    </row>
    <row r="9360" spans="1:19" x14ac:dyDescent="0.3">
      <c r="A9360" t="s">
        <v>3237</v>
      </c>
      <c r="B9360" t="s">
        <v>10503</v>
      </c>
      <c r="C9360" t="s">
        <v>11130</v>
      </c>
      <c r="D9360" t="s">
        <v>3256</v>
      </c>
      <c r="E9360" t="s">
        <v>4017</v>
      </c>
      <c r="F9360" t="s">
        <v>4017</v>
      </c>
      <c r="G9360" t="s">
        <v>4017</v>
      </c>
      <c r="H9360" t="s">
        <v>859</v>
      </c>
      <c r="I9360" t="s">
        <v>860</v>
      </c>
      <c r="J9360" t="str">
        <f>"9051887"</f>
        <v>9051887</v>
      </c>
      <c r="K9360">
        <v>2109638508</v>
      </c>
      <c r="L9360">
        <v>2109638508</v>
      </c>
      <c r="M9360" t="s">
        <v>11131</v>
      </c>
      <c r="N9360" t="s">
        <v>4017</v>
      </c>
      <c r="O9360" t="s">
        <v>11132</v>
      </c>
      <c r="P9360">
        <v>16674</v>
      </c>
      <c r="Q9360" t="str">
        <f>"37.874438"</f>
        <v>37.874438</v>
      </c>
      <c r="R9360" t="str">
        <f>"23.761570"</f>
        <v>23.761570</v>
      </c>
      <c r="S9360" t="s">
        <v>26</v>
      </c>
    </row>
    <row r="9361" spans="1:19" x14ac:dyDescent="0.3">
      <c r="A9361" t="s">
        <v>3237</v>
      </c>
      <c r="B9361" t="s">
        <v>10503</v>
      </c>
      <c r="C9361" t="s">
        <v>11133</v>
      </c>
      <c r="D9361" t="s">
        <v>3256</v>
      </c>
      <c r="E9361" t="s">
        <v>4017</v>
      </c>
      <c r="F9361" t="s">
        <v>4017</v>
      </c>
      <c r="G9361" t="s">
        <v>4017</v>
      </c>
      <c r="H9361" t="s">
        <v>859</v>
      </c>
      <c r="I9361" t="s">
        <v>860</v>
      </c>
      <c r="J9361" t="str">
        <f>"9520511"</f>
        <v>9520511</v>
      </c>
      <c r="K9361">
        <v>2109638527</v>
      </c>
      <c r="L9361">
        <v>2109638527</v>
      </c>
      <c r="M9361" t="s">
        <v>11134</v>
      </c>
      <c r="N9361" t="s">
        <v>5578</v>
      </c>
      <c r="O9361" t="s">
        <v>11135</v>
      </c>
      <c r="P9361">
        <v>16674</v>
      </c>
      <c r="Q9361" t="str">
        <f>"37.874326"</f>
        <v>37.874326</v>
      </c>
      <c r="R9361" t="str">
        <f>"23.761445"</f>
        <v>23.761445</v>
      </c>
      <c r="S9361" t="s">
        <v>26</v>
      </c>
    </row>
    <row r="9362" spans="1:19" x14ac:dyDescent="0.3">
      <c r="A9362" t="s">
        <v>3237</v>
      </c>
      <c r="B9362" t="s">
        <v>10503</v>
      </c>
      <c r="C9362" t="s">
        <v>11136</v>
      </c>
      <c r="D9362" t="s">
        <v>3256</v>
      </c>
      <c r="E9362" t="s">
        <v>5599</v>
      </c>
      <c r="F9362" t="s">
        <v>5726</v>
      </c>
      <c r="G9362" t="s">
        <v>5726</v>
      </c>
      <c r="H9362" t="s">
        <v>859</v>
      </c>
      <c r="I9362" t="s">
        <v>860</v>
      </c>
      <c r="J9362" t="str">
        <f>"9520423"</f>
        <v>9520423</v>
      </c>
      <c r="K9362">
        <v>2109648577</v>
      </c>
      <c r="L9362">
        <v>2109648577</v>
      </c>
      <c r="M9362" t="s">
        <v>11137</v>
      </c>
      <c r="N9362" t="s">
        <v>5726</v>
      </c>
      <c r="O9362" t="s">
        <v>11138</v>
      </c>
      <c r="P9362">
        <v>16777</v>
      </c>
      <c r="Q9362" t="str">
        <f>"37.889955"</f>
        <v>37.889955</v>
      </c>
      <c r="R9362" t="str">
        <f>"23.752177"</f>
        <v>23.752177</v>
      </c>
      <c r="S9362" t="s">
        <v>26</v>
      </c>
    </row>
    <row r="9363" spans="1:19" x14ac:dyDescent="0.3">
      <c r="A9363" t="s">
        <v>3237</v>
      </c>
      <c r="B9363" t="s">
        <v>10503</v>
      </c>
      <c r="C9363" t="s">
        <v>11142</v>
      </c>
      <c r="D9363" t="s">
        <v>3256</v>
      </c>
      <c r="E9363" t="s">
        <v>3295</v>
      </c>
      <c r="F9363" t="s">
        <v>3295</v>
      </c>
      <c r="G9363" t="s">
        <v>3295</v>
      </c>
      <c r="H9363" t="s">
        <v>859</v>
      </c>
      <c r="I9363" t="s">
        <v>860</v>
      </c>
      <c r="J9363" t="str">
        <f>"9521424"</f>
        <v>9521424</v>
      </c>
      <c r="K9363">
        <v>2109323153</v>
      </c>
      <c r="L9363">
        <v>2109323153</v>
      </c>
      <c r="M9363" t="s">
        <v>11143</v>
      </c>
      <c r="N9363" t="s">
        <v>3472</v>
      </c>
      <c r="O9363" t="s">
        <v>11144</v>
      </c>
      <c r="P9363">
        <v>17341</v>
      </c>
      <c r="Q9363" t="str">
        <f>"37.938545"</f>
        <v>37.938545</v>
      </c>
      <c r="R9363" t="str">
        <f>"23.723642"</f>
        <v>23.723642</v>
      </c>
      <c r="S9363" t="s">
        <v>26</v>
      </c>
    </row>
    <row r="9364" spans="1:19" x14ac:dyDescent="0.3">
      <c r="A9364" t="s">
        <v>3237</v>
      </c>
      <c r="B9364" t="s">
        <v>10503</v>
      </c>
      <c r="C9364" t="s">
        <v>11147</v>
      </c>
      <c r="D9364" t="s">
        <v>3256</v>
      </c>
      <c r="E9364" t="s">
        <v>5599</v>
      </c>
      <c r="F9364" t="s">
        <v>5726</v>
      </c>
      <c r="G9364" t="s">
        <v>5726</v>
      </c>
      <c r="H9364" t="s">
        <v>859</v>
      </c>
      <c r="I9364" t="s">
        <v>1102</v>
      </c>
      <c r="J9364" t="str">
        <f>"9521287"</f>
        <v>9521287</v>
      </c>
      <c r="N9364" t="s">
        <v>5817</v>
      </c>
      <c r="O9364">
        <v>0</v>
      </c>
      <c r="Q9364" t="str">
        <f>""</f>
        <v/>
      </c>
      <c r="R9364" t="str">
        <f>""</f>
        <v/>
      </c>
      <c r="S9364" t="s">
        <v>26</v>
      </c>
    </row>
    <row r="9365" spans="1:19" x14ac:dyDescent="0.3">
      <c r="A9365" t="s">
        <v>3237</v>
      </c>
      <c r="B9365" t="s">
        <v>10503</v>
      </c>
      <c r="C9365" t="s">
        <v>11148</v>
      </c>
      <c r="D9365" t="s">
        <v>3256</v>
      </c>
      <c r="E9365" t="s">
        <v>5563</v>
      </c>
      <c r="F9365" t="s">
        <v>5563</v>
      </c>
      <c r="G9365" t="s">
        <v>5611</v>
      </c>
      <c r="H9365" t="s">
        <v>859</v>
      </c>
      <c r="I9365" t="s">
        <v>1102</v>
      </c>
      <c r="J9365" t="str">
        <f>"9521167"</f>
        <v>9521167</v>
      </c>
      <c r="K9365">
        <v>2109595173</v>
      </c>
      <c r="L9365">
        <v>2109595173</v>
      </c>
      <c r="M9365" t="s">
        <v>11149</v>
      </c>
      <c r="N9365" t="s">
        <v>5567</v>
      </c>
      <c r="O9365" t="s">
        <v>11150</v>
      </c>
      <c r="P9365">
        <v>17674</v>
      </c>
      <c r="Q9365" t="str">
        <f>"37.946458"</f>
        <v>37.946458</v>
      </c>
      <c r="R9365" t="str">
        <f>"23.696251"</f>
        <v>23.696251</v>
      </c>
      <c r="S9365" t="s">
        <v>26</v>
      </c>
    </row>
    <row r="9366" spans="1:19" x14ac:dyDescent="0.3">
      <c r="A9366" t="s">
        <v>3237</v>
      </c>
      <c r="B9366" t="s">
        <v>10503</v>
      </c>
      <c r="C9366" t="s">
        <v>11152</v>
      </c>
      <c r="D9366" t="s">
        <v>3256</v>
      </c>
      <c r="E9366" t="s">
        <v>3295</v>
      </c>
      <c r="F9366" t="s">
        <v>3295</v>
      </c>
      <c r="G9366" t="s">
        <v>3295</v>
      </c>
      <c r="H9366" t="s">
        <v>859</v>
      </c>
      <c r="I9366" t="s">
        <v>1102</v>
      </c>
      <c r="J9366" t="str">
        <f>"9520445"</f>
        <v>9520445</v>
      </c>
      <c r="K9366">
        <v>2109841032</v>
      </c>
      <c r="L9366">
        <v>2109920604</v>
      </c>
      <c r="M9366" t="s">
        <v>11153</v>
      </c>
      <c r="N9366" t="s">
        <v>3472</v>
      </c>
      <c r="O9366" t="s">
        <v>11154</v>
      </c>
      <c r="P9366">
        <v>17342</v>
      </c>
      <c r="Q9366" t="str">
        <f>"37.926147"</f>
        <v>37.926147</v>
      </c>
      <c r="R9366" t="str">
        <f>"23.727934"</f>
        <v>23.727934</v>
      </c>
      <c r="S9366" t="s">
        <v>26</v>
      </c>
    </row>
    <row r="9367" spans="1:19" x14ac:dyDescent="0.3">
      <c r="A9367" t="s">
        <v>3237</v>
      </c>
      <c r="B9367" t="s">
        <v>10503</v>
      </c>
      <c r="C9367" t="s">
        <v>11155</v>
      </c>
      <c r="D9367" t="s">
        <v>3256</v>
      </c>
      <c r="E9367" t="s">
        <v>5570</v>
      </c>
      <c r="F9367" t="s">
        <v>5570</v>
      </c>
      <c r="G9367" t="s">
        <v>5570</v>
      </c>
      <c r="H9367" t="s">
        <v>859</v>
      </c>
      <c r="I9367" t="s">
        <v>860</v>
      </c>
      <c r="J9367" t="str">
        <f>"9521654"</f>
        <v>9521654</v>
      </c>
      <c r="Q9367" t="str">
        <f>""</f>
        <v/>
      </c>
      <c r="R9367" t="str">
        <f>""</f>
        <v/>
      </c>
      <c r="S9367" t="s">
        <v>26</v>
      </c>
    </row>
    <row r="9368" spans="1:19" x14ac:dyDescent="0.3">
      <c r="A9368" t="s">
        <v>3237</v>
      </c>
      <c r="B9368" t="s">
        <v>10503</v>
      </c>
      <c r="C9368" t="s">
        <v>11156</v>
      </c>
      <c r="D9368" t="s">
        <v>3256</v>
      </c>
      <c r="E9368" t="s">
        <v>3295</v>
      </c>
      <c r="F9368" t="s">
        <v>3295</v>
      </c>
      <c r="G9368" t="s">
        <v>3295</v>
      </c>
      <c r="H9368" t="s">
        <v>859</v>
      </c>
      <c r="I9368" t="s">
        <v>860</v>
      </c>
      <c r="J9368" t="str">
        <f>"9521655"</f>
        <v>9521655</v>
      </c>
      <c r="K9368">
        <v>2109820427</v>
      </c>
      <c r="L9368">
        <v>2109820427</v>
      </c>
      <c r="M9368" t="s">
        <v>11157</v>
      </c>
      <c r="N9368" t="s">
        <v>3295</v>
      </c>
      <c r="O9368" t="s">
        <v>11158</v>
      </c>
      <c r="P9368">
        <v>17342</v>
      </c>
      <c r="Q9368" t="str">
        <f>"37.920644"</f>
        <v>37.920644</v>
      </c>
      <c r="R9368" t="str">
        <f>"23.726861"</f>
        <v>23.726861</v>
      </c>
      <c r="S9368" t="s">
        <v>26</v>
      </c>
    </row>
    <row r="9369" spans="1:19" x14ac:dyDescent="0.3">
      <c r="A9369" t="s">
        <v>3237</v>
      </c>
      <c r="B9369" t="s">
        <v>10503</v>
      </c>
      <c r="C9369" t="s">
        <v>11159</v>
      </c>
      <c r="D9369" t="s">
        <v>3256</v>
      </c>
      <c r="E9369" t="s">
        <v>3257</v>
      </c>
      <c r="F9369" t="s">
        <v>3257</v>
      </c>
      <c r="G9369" t="s">
        <v>3257</v>
      </c>
      <c r="H9369" t="s">
        <v>859</v>
      </c>
      <c r="I9369" t="s">
        <v>860</v>
      </c>
      <c r="J9369" t="str">
        <f>"9521682"</f>
        <v>9521682</v>
      </c>
      <c r="N9369" t="s">
        <v>5630</v>
      </c>
      <c r="O9369" t="s">
        <v>11160</v>
      </c>
      <c r="P9369">
        <v>17455</v>
      </c>
      <c r="Q9369" t="str">
        <f>""</f>
        <v/>
      </c>
      <c r="R9369" t="str">
        <f>""</f>
        <v/>
      </c>
      <c r="S9369" t="s">
        <v>26</v>
      </c>
    </row>
    <row r="9370" spans="1:19" x14ac:dyDescent="0.3">
      <c r="A9370" t="s">
        <v>3237</v>
      </c>
      <c r="B9370" t="s">
        <v>10503</v>
      </c>
      <c r="C9370" t="s">
        <v>11161</v>
      </c>
      <c r="D9370" t="s">
        <v>3256</v>
      </c>
      <c r="E9370" t="s">
        <v>4017</v>
      </c>
      <c r="F9370" t="s">
        <v>4017</v>
      </c>
      <c r="G9370" t="s">
        <v>4017</v>
      </c>
      <c r="H9370" t="s">
        <v>859</v>
      </c>
      <c r="I9370" t="s">
        <v>1102</v>
      </c>
      <c r="J9370" t="str">
        <f>"9521722"</f>
        <v>9521722</v>
      </c>
      <c r="Q9370" t="str">
        <f>""</f>
        <v/>
      </c>
      <c r="R9370" t="str">
        <f>""</f>
        <v/>
      </c>
      <c r="S9370" t="s">
        <v>26</v>
      </c>
    </row>
    <row r="9371" spans="1:19" x14ac:dyDescent="0.3">
      <c r="A9371" t="s">
        <v>3237</v>
      </c>
      <c r="B9371" t="s">
        <v>10503</v>
      </c>
      <c r="C9371" t="s">
        <v>11163</v>
      </c>
      <c r="D9371" t="s">
        <v>3256</v>
      </c>
      <c r="E9371" t="s">
        <v>5656</v>
      </c>
      <c r="F9371" t="s">
        <v>5680</v>
      </c>
      <c r="G9371" t="s">
        <v>5680</v>
      </c>
      <c r="H9371" t="s">
        <v>859</v>
      </c>
      <c r="I9371" t="s">
        <v>860</v>
      </c>
      <c r="J9371" t="str">
        <f>"9054001"</f>
        <v>9054001</v>
      </c>
      <c r="Q9371" t="str">
        <f>""</f>
        <v/>
      </c>
      <c r="R9371" t="str">
        <f>""</f>
        <v/>
      </c>
      <c r="S9371" t="s">
        <v>26</v>
      </c>
    </row>
    <row r="9372" spans="1:19" x14ac:dyDescent="0.3">
      <c r="A9372" t="s">
        <v>3237</v>
      </c>
      <c r="B9372" t="s">
        <v>11164</v>
      </c>
      <c r="C9372" t="s">
        <v>11167</v>
      </c>
      <c r="D9372" t="s">
        <v>3268</v>
      </c>
      <c r="E9372" t="s">
        <v>3269</v>
      </c>
      <c r="F9372" t="s">
        <v>3270</v>
      </c>
      <c r="G9372" t="s">
        <v>3270</v>
      </c>
      <c r="H9372" t="s">
        <v>859</v>
      </c>
      <c r="I9372" t="s">
        <v>860</v>
      </c>
      <c r="J9372" t="str">
        <f>"9050872"</f>
        <v>9050872</v>
      </c>
      <c r="K9372">
        <v>2105542556</v>
      </c>
      <c r="L9372">
        <v>2105542556</v>
      </c>
      <c r="M9372" t="s">
        <v>11168</v>
      </c>
      <c r="N9372" t="s">
        <v>3269</v>
      </c>
      <c r="O9372" t="s">
        <v>11169</v>
      </c>
      <c r="P9372">
        <v>19200</v>
      </c>
      <c r="Q9372" t="str">
        <f>"38.059831"</f>
        <v>38.059831</v>
      </c>
      <c r="R9372" t="str">
        <f>"23.530442"</f>
        <v>23.530442</v>
      </c>
      <c r="S9372" t="s">
        <v>26</v>
      </c>
    </row>
    <row r="9373" spans="1:19" x14ac:dyDescent="0.3">
      <c r="A9373" t="s">
        <v>3237</v>
      </c>
      <c r="B9373" t="s">
        <v>11164</v>
      </c>
      <c r="C9373" t="s">
        <v>11185</v>
      </c>
      <c r="D9373" t="s">
        <v>3268</v>
      </c>
      <c r="E9373" t="s">
        <v>5999</v>
      </c>
      <c r="F9373" t="s">
        <v>6016</v>
      </c>
      <c r="G9373" t="s">
        <v>6016</v>
      </c>
      <c r="H9373" t="s">
        <v>859</v>
      </c>
      <c r="I9373" t="s">
        <v>860</v>
      </c>
      <c r="J9373" t="str">
        <f>"9051472"</f>
        <v>9051472</v>
      </c>
      <c r="K9373">
        <v>2102473190</v>
      </c>
      <c r="L9373">
        <v>2102473190</v>
      </c>
      <c r="M9373" t="s">
        <v>11186</v>
      </c>
      <c r="N9373" t="s">
        <v>6041</v>
      </c>
      <c r="O9373" t="s">
        <v>11187</v>
      </c>
      <c r="P9373">
        <v>13341</v>
      </c>
      <c r="Q9373" t="str">
        <f>"38.086790"</f>
        <v>38.086790</v>
      </c>
      <c r="R9373" t="str">
        <f>"23.703563"</f>
        <v>23.703563</v>
      </c>
      <c r="S9373" t="s">
        <v>26</v>
      </c>
    </row>
    <row r="9374" spans="1:19" x14ac:dyDescent="0.3">
      <c r="A9374" t="s">
        <v>3237</v>
      </c>
      <c r="B9374" t="s">
        <v>11164</v>
      </c>
      <c r="C9374" t="s">
        <v>11191</v>
      </c>
      <c r="D9374" t="s">
        <v>3268</v>
      </c>
      <c r="E9374" t="s">
        <v>5999</v>
      </c>
      <c r="F9374" t="s">
        <v>6016</v>
      </c>
      <c r="G9374" t="s">
        <v>6016</v>
      </c>
      <c r="H9374" t="s">
        <v>859</v>
      </c>
      <c r="I9374" t="s">
        <v>860</v>
      </c>
      <c r="J9374" t="str">
        <f>"9051528"</f>
        <v>9051528</v>
      </c>
      <c r="K9374">
        <v>2102475809</v>
      </c>
      <c r="L9374">
        <v>2102475809</v>
      </c>
      <c r="M9374" t="s">
        <v>11192</v>
      </c>
      <c r="N9374" t="s">
        <v>6016</v>
      </c>
      <c r="O9374" t="s">
        <v>11193</v>
      </c>
      <c r="P9374">
        <v>13341</v>
      </c>
      <c r="Q9374" t="str">
        <f>"38.097968"</f>
        <v>38.097968</v>
      </c>
      <c r="R9374" t="str">
        <f>"23.689908"</f>
        <v>23.689908</v>
      </c>
      <c r="S9374" t="s">
        <v>26</v>
      </c>
    </row>
    <row r="9375" spans="1:19" x14ac:dyDescent="0.3">
      <c r="A9375" t="s">
        <v>3237</v>
      </c>
      <c r="B9375" t="s">
        <v>11164</v>
      </c>
      <c r="C9375" t="s">
        <v>11194</v>
      </c>
      <c r="D9375" t="s">
        <v>3268</v>
      </c>
      <c r="E9375" t="s">
        <v>5999</v>
      </c>
      <c r="F9375" t="s">
        <v>6016</v>
      </c>
      <c r="G9375" t="s">
        <v>6016</v>
      </c>
      <c r="H9375" t="s">
        <v>859</v>
      </c>
      <c r="I9375" t="s">
        <v>860</v>
      </c>
      <c r="J9375" t="str">
        <f>"9051759"</f>
        <v>9051759</v>
      </c>
      <c r="K9375">
        <v>2102470637</v>
      </c>
      <c r="L9375">
        <v>2102470637</v>
      </c>
      <c r="M9375" t="s">
        <v>11195</v>
      </c>
      <c r="N9375" t="s">
        <v>6041</v>
      </c>
      <c r="O9375" t="s">
        <v>11196</v>
      </c>
      <c r="P9375">
        <v>13341</v>
      </c>
      <c r="Q9375" t="str">
        <f>"38.085456"</f>
        <v>38.085456</v>
      </c>
      <c r="R9375" t="str">
        <f>"23.691381"</f>
        <v>23.691381</v>
      </c>
      <c r="S9375" t="s">
        <v>26</v>
      </c>
    </row>
    <row r="9376" spans="1:19" x14ac:dyDescent="0.3">
      <c r="A9376" t="s">
        <v>3237</v>
      </c>
      <c r="B9376" t="s">
        <v>11164</v>
      </c>
      <c r="C9376" t="s">
        <v>11201</v>
      </c>
      <c r="D9376" t="s">
        <v>3268</v>
      </c>
      <c r="E9376" t="s">
        <v>5999</v>
      </c>
      <c r="F9376" t="s">
        <v>6016</v>
      </c>
      <c r="G9376" t="s">
        <v>6016</v>
      </c>
      <c r="H9376" t="s">
        <v>859</v>
      </c>
      <c r="I9376" t="s">
        <v>860</v>
      </c>
      <c r="J9376" t="str">
        <f>"9050265"</f>
        <v>9050265</v>
      </c>
      <c r="K9376">
        <v>2102473709</v>
      </c>
      <c r="L9376">
        <v>2102473709</v>
      </c>
      <c r="M9376" t="s">
        <v>11202</v>
      </c>
      <c r="N9376" t="s">
        <v>6016</v>
      </c>
      <c r="O9376" t="s">
        <v>6151</v>
      </c>
      <c r="P9376">
        <v>13341</v>
      </c>
      <c r="Q9376" t="str">
        <f>"38.090989"</f>
        <v>38.090989</v>
      </c>
      <c r="R9376" t="str">
        <f>"23.687491"</f>
        <v>23.687491</v>
      </c>
      <c r="S9376" t="s">
        <v>26</v>
      </c>
    </row>
    <row r="9377" spans="1:19" x14ac:dyDescent="0.3">
      <c r="A9377" t="s">
        <v>3237</v>
      </c>
      <c r="B9377" t="s">
        <v>11164</v>
      </c>
      <c r="C9377" t="s">
        <v>11208</v>
      </c>
      <c r="D9377" t="s">
        <v>3268</v>
      </c>
      <c r="E9377" t="s">
        <v>5999</v>
      </c>
      <c r="F9377" t="s">
        <v>6016</v>
      </c>
      <c r="G9377" t="s">
        <v>6016</v>
      </c>
      <c r="H9377" t="s">
        <v>859</v>
      </c>
      <c r="I9377" t="s">
        <v>860</v>
      </c>
      <c r="J9377" t="str">
        <f>"9050266"</f>
        <v>9050266</v>
      </c>
      <c r="K9377">
        <v>2102482410</v>
      </c>
      <c r="L9377">
        <v>2102475355</v>
      </c>
      <c r="M9377" t="s">
        <v>11209</v>
      </c>
      <c r="N9377" t="s">
        <v>6016</v>
      </c>
      <c r="O9377" t="s">
        <v>11210</v>
      </c>
      <c r="P9377">
        <v>13341</v>
      </c>
      <c r="Q9377" t="str">
        <f>"38.075200"</f>
        <v>38.075200</v>
      </c>
      <c r="R9377" t="str">
        <f>"23.704061"</f>
        <v>23.704061</v>
      </c>
      <c r="S9377" t="s">
        <v>26</v>
      </c>
    </row>
    <row r="9378" spans="1:19" x14ac:dyDescent="0.3">
      <c r="A9378" t="s">
        <v>3237</v>
      </c>
      <c r="B9378" t="s">
        <v>11164</v>
      </c>
      <c r="C9378" t="s">
        <v>11216</v>
      </c>
      <c r="D9378" t="s">
        <v>3268</v>
      </c>
      <c r="E9378" t="s">
        <v>5999</v>
      </c>
      <c r="F9378" t="s">
        <v>6016</v>
      </c>
      <c r="G9378" t="s">
        <v>6016</v>
      </c>
      <c r="H9378" t="s">
        <v>859</v>
      </c>
      <c r="I9378" t="s">
        <v>860</v>
      </c>
      <c r="J9378" t="str">
        <f>"9050870"</f>
        <v>9050870</v>
      </c>
      <c r="K9378">
        <v>2102471143</v>
      </c>
      <c r="L9378">
        <v>2102471143</v>
      </c>
      <c r="M9378" t="s">
        <v>11217</v>
      </c>
      <c r="N9378" t="s">
        <v>6016</v>
      </c>
      <c r="O9378" t="s">
        <v>11218</v>
      </c>
      <c r="P9378">
        <v>13341</v>
      </c>
      <c r="Q9378" t="str">
        <f>"38.086500"</f>
        <v>38.086500</v>
      </c>
      <c r="R9378" t="str">
        <f>"23.703233"</f>
        <v>23.703233</v>
      </c>
      <c r="S9378" t="s">
        <v>26</v>
      </c>
    </row>
    <row r="9379" spans="1:19" x14ac:dyDescent="0.3">
      <c r="A9379" t="s">
        <v>3237</v>
      </c>
      <c r="B9379" t="s">
        <v>11164</v>
      </c>
      <c r="C9379" t="s">
        <v>11219</v>
      </c>
      <c r="D9379" t="s">
        <v>3268</v>
      </c>
      <c r="E9379" t="s">
        <v>5999</v>
      </c>
      <c r="F9379" t="s">
        <v>6016</v>
      </c>
      <c r="G9379" t="s">
        <v>6016</v>
      </c>
      <c r="H9379" t="s">
        <v>859</v>
      </c>
      <c r="I9379" t="s">
        <v>860</v>
      </c>
      <c r="J9379" t="str">
        <f>"9051594"</f>
        <v>9051594</v>
      </c>
      <c r="K9379">
        <v>2102474434</v>
      </c>
      <c r="L9379">
        <v>2102474434</v>
      </c>
      <c r="M9379" t="s">
        <v>11220</v>
      </c>
      <c r="N9379" t="s">
        <v>6041</v>
      </c>
      <c r="O9379" t="s">
        <v>11221</v>
      </c>
      <c r="P9379">
        <v>13341</v>
      </c>
      <c r="Q9379" t="str">
        <f>"38.080710"</f>
        <v>38.080710</v>
      </c>
      <c r="R9379" t="str">
        <f>"23.706755"</f>
        <v>23.706755</v>
      </c>
      <c r="S9379" t="s">
        <v>26</v>
      </c>
    </row>
    <row r="9380" spans="1:19" x14ac:dyDescent="0.3">
      <c r="A9380" t="s">
        <v>3237</v>
      </c>
      <c r="B9380" t="s">
        <v>11164</v>
      </c>
      <c r="C9380" t="s">
        <v>11222</v>
      </c>
      <c r="D9380" t="s">
        <v>3268</v>
      </c>
      <c r="E9380" t="s">
        <v>3269</v>
      </c>
      <c r="F9380" t="s">
        <v>3270</v>
      </c>
      <c r="G9380" t="s">
        <v>3270</v>
      </c>
      <c r="H9380" t="s">
        <v>859</v>
      </c>
      <c r="I9380" t="s">
        <v>860</v>
      </c>
      <c r="J9380" t="str">
        <f>"9050801"</f>
        <v>9050801</v>
      </c>
      <c r="K9380">
        <v>2105541915</v>
      </c>
      <c r="L9380">
        <v>2105541915</v>
      </c>
      <c r="M9380" t="s">
        <v>11223</v>
      </c>
      <c r="N9380" t="s">
        <v>3269</v>
      </c>
      <c r="O9380" t="s">
        <v>11224</v>
      </c>
      <c r="P9380">
        <v>19200</v>
      </c>
      <c r="Q9380" t="str">
        <f>"38.041460"</f>
        <v>38.041460</v>
      </c>
      <c r="R9380" t="str">
        <f>"23.548923"</f>
        <v>23.548923</v>
      </c>
      <c r="S9380" t="s">
        <v>26</v>
      </c>
    </row>
    <row r="9381" spans="1:19" x14ac:dyDescent="0.3">
      <c r="A9381" t="s">
        <v>3237</v>
      </c>
      <c r="B9381" t="s">
        <v>11164</v>
      </c>
      <c r="C9381" t="s">
        <v>11227</v>
      </c>
      <c r="D9381" t="s">
        <v>3268</v>
      </c>
      <c r="E9381" t="s">
        <v>5999</v>
      </c>
      <c r="F9381" t="s">
        <v>6000</v>
      </c>
      <c r="G9381" t="s">
        <v>6000</v>
      </c>
      <c r="H9381" t="s">
        <v>859</v>
      </c>
      <c r="I9381" t="s">
        <v>860</v>
      </c>
      <c r="J9381" t="str">
        <f>"9051783"</f>
        <v>9051783</v>
      </c>
      <c r="K9381">
        <v>2102482980</v>
      </c>
      <c r="L9381">
        <v>2102482980</v>
      </c>
      <c r="M9381" t="s">
        <v>11228</v>
      </c>
      <c r="N9381" t="s">
        <v>6003</v>
      </c>
      <c r="O9381" t="s">
        <v>11229</v>
      </c>
      <c r="P9381">
        <v>13451</v>
      </c>
      <c r="Q9381" t="str">
        <f>"38.074220"</f>
        <v>38.074220</v>
      </c>
      <c r="R9381" t="str">
        <f>"23.721422"</f>
        <v>23.721422</v>
      </c>
      <c r="S9381" t="s">
        <v>26</v>
      </c>
    </row>
    <row r="9382" spans="1:19" x14ac:dyDescent="0.3">
      <c r="A9382" t="s">
        <v>3237</v>
      </c>
      <c r="B9382" t="s">
        <v>11164</v>
      </c>
      <c r="C9382" t="s">
        <v>11248</v>
      </c>
      <c r="D9382" t="s">
        <v>3268</v>
      </c>
      <c r="E9382" t="s">
        <v>3269</v>
      </c>
      <c r="F9382" t="s">
        <v>3270</v>
      </c>
      <c r="G9382" t="s">
        <v>3270</v>
      </c>
      <c r="H9382" t="s">
        <v>859</v>
      </c>
      <c r="I9382" t="s">
        <v>860</v>
      </c>
      <c r="J9382" t="str">
        <f>"9051565"</f>
        <v>9051565</v>
      </c>
      <c r="K9382">
        <v>2105547940</v>
      </c>
      <c r="M9382" t="s">
        <v>11249</v>
      </c>
      <c r="N9382" t="s">
        <v>3269</v>
      </c>
      <c r="O9382" t="s">
        <v>11250</v>
      </c>
      <c r="P9382">
        <v>19200</v>
      </c>
      <c r="Q9382" t="str">
        <f>"38.037823"</f>
        <v>38.037823</v>
      </c>
      <c r="R9382" t="str">
        <f>"23.540866"</f>
        <v>23.540866</v>
      </c>
      <c r="S9382" t="s">
        <v>26</v>
      </c>
    </row>
    <row r="9383" spans="1:19" x14ac:dyDescent="0.3">
      <c r="A9383" t="s">
        <v>3237</v>
      </c>
      <c r="B9383" t="s">
        <v>11164</v>
      </c>
      <c r="C9383" t="s">
        <v>11255</v>
      </c>
      <c r="D9383" t="s">
        <v>3268</v>
      </c>
      <c r="E9383" t="s">
        <v>3269</v>
      </c>
      <c r="F9383" t="s">
        <v>3270</v>
      </c>
      <c r="G9383" t="s">
        <v>3270</v>
      </c>
      <c r="H9383" t="s">
        <v>859</v>
      </c>
      <c r="I9383" t="s">
        <v>860</v>
      </c>
      <c r="J9383" t="str">
        <f>"9051070"</f>
        <v>9051070</v>
      </c>
      <c r="K9383">
        <v>2105547879</v>
      </c>
      <c r="L9383">
        <v>2105547879</v>
      </c>
      <c r="M9383" t="s">
        <v>11256</v>
      </c>
      <c r="N9383" t="s">
        <v>3269</v>
      </c>
      <c r="O9383" t="s">
        <v>11257</v>
      </c>
      <c r="P9383">
        <v>19200</v>
      </c>
      <c r="Q9383" t="str">
        <f>"38.048750"</f>
        <v>38.048750</v>
      </c>
      <c r="R9383" t="str">
        <f>"23.545184"</f>
        <v>23.545184</v>
      </c>
      <c r="S9383" t="s">
        <v>26</v>
      </c>
    </row>
    <row r="9384" spans="1:19" x14ac:dyDescent="0.3">
      <c r="A9384" t="s">
        <v>3237</v>
      </c>
      <c r="B9384" t="s">
        <v>11164</v>
      </c>
      <c r="C9384" t="s">
        <v>11258</v>
      </c>
      <c r="D9384" t="s">
        <v>3268</v>
      </c>
      <c r="E9384" t="s">
        <v>6028</v>
      </c>
      <c r="F9384" t="s">
        <v>6028</v>
      </c>
      <c r="G9384" t="s">
        <v>6028</v>
      </c>
      <c r="H9384" t="s">
        <v>859</v>
      </c>
      <c r="I9384" t="s">
        <v>860</v>
      </c>
      <c r="J9384" t="str">
        <f>"9051634"</f>
        <v>9051634</v>
      </c>
      <c r="K9384">
        <v>2105590119</v>
      </c>
      <c r="M9384" t="s">
        <v>11259</v>
      </c>
      <c r="N9384" t="s">
        <v>6031</v>
      </c>
      <c r="O9384" t="s">
        <v>11260</v>
      </c>
      <c r="P9384">
        <v>19300</v>
      </c>
      <c r="Q9384" t="str">
        <f>"38.033438"</f>
        <v>38.033438</v>
      </c>
      <c r="R9384" t="str">
        <f>"23.627422"</f>
        <v>23.627422</v>
      </c>
      <c r="S9384" t="s">
        <v>26</v>
      </c>
    </row>
    <row r="9385" spans="1:19" x14ac:dyDescent="0.3">
      <c r="A9385" t="s">
        <v>3237</v>
      </c>
      <c r="B9385" t="s">
        <v>11164</v>
      </c>
      <c r="C9385" t="s">
        <v>11267</v>
      </c>
      <c r="D9385" t="s">
        <v>3268</v>
      </c>
      <c r="E9385" t="s">
        <v>5999</v>
      </c>
      <c r="F9385" t="s">
        <v>6016</v>
      </c>
      <c r="G9385" t="s">
        <v>6016</v>
      </c>
      <c r="H9385" t="s">
        <v>859</v>
      </c>
      <c r="I9385" t="s">
        <v>860</v>
      </c>
      <c r="J9385" t="str">
        <f>"9051067"</f>
        <v>9051067</v>
      </c>
      <c r="K9385">
        <v>2102470575</v>
      </c>
      <c r="L9385">
        <v>2102470575</v>
      </c>
      <c r="M9385" t="s">
        <v>11268</v>
      </c>
      <c r="N9385" t="s">
        <v>6016</v>
      </c>
      <c r="O9385" t="s">
        <v>11269</v>
      </c>
      <c r="P9385">
        <v>13341</v>
      </c>
      <c r="Q9385" t="str">
        <f>"38.087685"</f>
        <v>38.087685</v>
      </c>
      <c r="R9385" t="str">
        <f>"23.715504"</f>
        <v>23.715504</v>
      </c>
      <c r="S9385" t="s">
        <v>26</v>
      </c>
    </row>
    <row r="9386" spans="1:19" x14ac:dyDescent="0.3">
      <c r="A9386" t="s">
        <v>3237</v>
      </c>
      <c r="B9386" t="s">
        <v>11164</v>
      </c>
      <c r="C9386" t="s">
        <v>11270</v>
      </c>
      <c r="D9386" t="s">
        <v>3268</v>
      </c>
      <c r="E9386" t="s">
        <v>6028</v>
      </c>
      <c r="F9386" t="s">
        <v>6028</v>
      </c>
      <c r="G9386" t="s">
        <v>6028</v>
      </c>
      <c r="H9386" t="s">
        <v>859</v>
      </c>
      <c r="I9386" t="s">
        <v>860</v>
      </c>
      <c r="J9386" t="str">
        <f>"9051882"</f>
        <v>9051882</v>
      </c>
      <c r="K9386">
        <v>2105584308</v>
      </c>
      <c r="L9386">
        <v>2105595091</v>
      </c>
      <c r="M9386" t="s">
        <v>11271</v>
      </c>
      <c r="N9386" t="s">
        <v>6031</v>
      </c>
      <c r="O9386" t="s">
        <v>11272</v>
      </c>
      <c r="P9386">
        <v>19300</v>
      </c>
      <c r="Q9386" t="str">
        <f>"38.076882"</f>
        <v>38.076882</v>
      </c>
      <c r="R9386" t="str">
        <f>"23.635734"</f>
        <v>23.635734</v>
      </c>
      <c r="S9386" t="s">
        <v>26</v>
      </c>
    </row>
    <row r="9387" spans="1:19" x14ac:dyDescent="0.3">
      <c r="A9387" t="s">
        <v>3237</v>
      </c>
      <c r="B9387" t="s">
        <v>11164</v>
      </c>
      <c r="C9387" t="s">
        <v>11276</v>
      </c>
      <c r="D9387" t="s">
        <v>3268</v>
      </c>
      <c r="E9387" t="s">
        <v>5999</v>
      </c>
      <c r="F9387" t="s">
        <v>6016</v>
      </c>
      <c r="G9387" t="s">
        <v>6016</v>
      </c>
      <c r="H9387" t="s">
        <v>859</v>
      </c>
      <c r="I9387" t="s">
        <v>860</v>
      </c>
      <c r="J9387" t="str">
        <f>"9051517"</f>
        <v>9051517</v>
      </c>
      <c r="K9387">
        <v>2102474655</v>
      </c>
      <c r="L9387">
        <v>2102474655</v>
      </c>
      <c r="M9387" t="s">
        <v>11277</v>
      </c>
      <c r="N9387" t="s">
        <v>6041</v>
      </c>
      <c r="O9387" t="s">
        <v>11278</v>
      </c>
      <c r="P9387">
        <v>13341</v>
      </c>
      <c r="Q9387" t="str">
        <f>"38.069467"</f>
        <v>38.069467</v>
      </c>
      <c r="R9387" t="str">
        <f>"23.703040"</f>
        <v>23.703040</v>
      </c>
      <c r="S9387" t="s">
        <v>26</v>
      </c>
    </row>
    <row r="9388" spans="1:19" x14ac:dyDescent="0.3">
      <c r="A9388" t="s">
        <v>3237</v>
      </c>
      <c r="B9388" t="s">
        <v>11164</v>
      </c>
      <c r="C9388" t="s">
        <v>11279</v>
      </c>
      <c r="D9388" t="s">
        <v>3268</v>
      </c>
      <c r="E9388" t="s">
        <v>5999</v>
      </c>
      <c r="F9388" t="s">
        <v>6016</v>
      </c>
      <c r="G9388" t="s">
        <v>6016</v>
      </c>
      <c r="H9388" t="s">
        <v>859</v>
      </c>
      <c r="I9388" t="s">
        <v>860</v>
      </c>
      <c r="J9388" t="str">
        <f>"9051806"</f>
        <v>9051806</v>
      </c>
      <c r="K9388">
        <v>2102474655</v>
      </c>
      <c r="L9388">
        <v>2102474655</v>
      </c>
      <c r="M9388" t="s">
        <v>11280</v>
      </c>
      <c r="N9388" t="s">
        <v>6041</v>
      </c>
      <c r="O9388" t="s">
        <v>11278</v>
      </c>
      <c r="P9388">
        <v>13341</v>
      </c>
      <c r="Q9388" t="str">
        <f>"38.079613"</f>
        <v>38.079613</v>
      </c>
      <c r="R9388" t="str">
        <f>"23.735259"</f>
        <v>23.735259</v>
      </c>
      <c r="S9388" t="s">
        <v>26</v>
      </c>
    </row>
    <row r="9389" spans="1:19" x14ac:dyDescent="0.3">
      <c r="A9389" t="s">
        <v>3237</v>
      </c>
      <c r="B9389" t="s">
        <v>11164</v>
      </c>
      <c r="C9389" t="s">
        <v>11281</v>
      </c>
      <c r="D9389" t="s">
        <v>3268</v>
      </c>
      <c r="E9389" t="s">
        <v>6028</v>
      </c>
      <c r="F9389" t="s">
        <v>6028</v>
      </c>
      <c r="G9389" t="s">
        <v>6028</v>
      </c>
      <c r="H9389" t="s">
        <v>859</v>
      </c>
      <c r="I9389" t="s">
        <v>860</v>
      </c>
      <c r="J9389" t="str">
        <f>"9051564"</f>
        <v>9051564</v>
      </c>
      <c r="K9389">
        <v>2105599983</v>
      </c>
      <c r="L9389">
        <v>2105599983</v>
      </c>
      <c r="M9389" t="s">
        <v>11282</v>
      </c>
      <c r="N9389" t="s">
        <v>6028</v>
      </c>
      <c r="O9389" t="s">
        <v>11283</v>
      </c>
      <c r="P9389">
        <v>19300</v>
      </c>
      <c r="Q9389" t="str">
        <f>"38.077512"</f>
        <v>38.077512</v>
      </c>
      <c r="R9389" t="str">
        <f>"23.569612"</f>
        <v>23.569612</v>
      </c>
      <c r="S9389" t="s">
        <v>26</v>
      </c>
    </row>
    <row r="9390" spans="1:19" x14ac:dyDescent="0.3">
      <c r="A9390" t="s">
        <v>3237</v>
      </c>
      <c r="B9390" t="s">
        <v>11164</v>
      </c>
      <c r="C9390" t="s">
        <v>11284</v>
      </c>
      <c r="D9390" t="s">
        <v>3268</v>
      </c>
      <c r="E9390" t="s">
        <v>3269</v>
      </c>
      <c r="F9390" t="s">
        <v>3270</v>
      </c>
      <c r="G9390" t="s">
        <v>3270</v>
      </c>
      <c r="H9390" t="s">
        <v>859</v>
      </c>
      <c r="I9390" t="s">
        <v>860</v>
      </c>
      <c r="J9390" t="str">
        <f>"9050800"</f>
        <v>9050800</v>
      </c>
      <c r="K9390">
        <v>2105546553</v>
      </c>
      <c r="L9390">
        <v>2105546553</v>
      </c>
      <c r="M9390" t="s">
        <v>11285</v>
      </c>
      <c r="N9390" t="s">
        <v>3269</v>
      </c>
      <c r="O9390" t="s">
        <v>11286</v>
      </c>
      <c r="P9390">
        <v>19200</v>
      </c>
      <c r="Q9390" t="str">
        <f>"38.053176"</f>
        <v>38.053176</v>
      </c>
      <c r="R9390" t="str">
        <f>"23.531437"</f>
        <v>23.531437</v>
      </c>
      <c r="S9390" t="s">
        <v>26</v>
      </c>
    </row>
    <row r="9391" spans="1:19" x14ac:dyDescent="0.3">
      <c r="A9391" t="s">
        <v>3237</v>
      </c>
      <c r="B9391" t="s">
        <v>11164</v>
      </c>
      <c r="C9391" t="s">
        <v>11289</v>
      </c>
      <c r="D9391" t="s">
        <v>3268</v>
      </c>
      <c r="E9391" t="s">
        <v>6028</v>
      </c>
      <c r="F9391" t="s">
        <v>6028</v>
      </c>
      <c r="G9391" t="s">
        <v>6028</v>
      </c>
      <c r="H9391" t="s">
        <v>859</v>
      </c>
      <c r="I9391" t="s">
        <v>860</v>
      </c>
      <c r="J9391" t="str">
        <f>"9051881"</f>
        <v>9051881</v>
      </c>
      <c r="K9391">
        <v>2105598849</v>
      </c>
      <c r="L9391">
        <v>2105598849</v>
      </c>
      <c r="M9391" t="s">
        <v>11290</v>
      </c>
      <c r="N9391" t="s">
        <v>6031</v>
      </c>
      <c r="O9391" t="s">
        <v>11291</v>
      </c>
      <c r="P9391">
        <v>19300</v>
      </c>
      <c r="Q9391" t="str">
        <f>"38.082183"</f>
        <v>38.082183</v>
      </c>
      <c r="R9391" t="str">
        <f>"23.567340"</f>
        <v>23.567340</v>
      </c>
      <c r="S9391" t="s">
        <v>26</v>
      </c>
    </row>
    <row r="9392" spans="1:19" x14ac:dyDescent="0.3">
      <c r="A9392" t="s">
        <v>3237</v>
      </c>
      <c r="B9392" t="s">
        <v>11164</v>
      </c>
      <c r="C9392" t="s">
        <v>11292</v>
      </c>
      <c r="D9392" t="s">
        <v>3268</v>
      </c>
      <c r="E9392" t="s">
        <v>6028</v>
      </c>
      <c r="F9392" t="s">
        <v>6028</v>
      </c>
      <c r="G9392" t="s">
        <v>6028</v>
      </c>
      <c r="H9392" t="s">
        <v>859</v>
      </c>
      <c r="I9392" t="s">
        <v>860</v>
      </c>
      <c r="J9392" t="str">
        <f>"9520736"</f>
        <v>9520736</v>
      </c>
      <c r="K9392">
        <v>2105571691</v>
      </c>
      <c r="L9392">
        <v>2105571691</v>
      </c>
      <c r="M9392" t="s">
        <v>11293</v>
      </c>
      <c r="N9392" t="s">
        <v>6031</v>
      </c>
      <c r="O9392" t="s">
        <v>11294</v>
      </c>
      <c r="P9392">
        <v>19300</v>
      </c>
      <c r="Q9392" t="str">
        <f>"38.060307"</f>
        <v>38.060307</v>
      </c>
      <c r="R9392" t="str">
        <f>"23.599971"</f>
        <v>23.599971</v>
      </c>
      <c r="S9392" t="s">
        <v>26</v>
      </c>
    </row>
    <row r="9393" spans="1:19" x14ac:dyDescent="0.3">
      <c r="A9393" t="s">
        <v>3237</v>
      </c>
      <c r="B9393" t="s">
        <v>11164</v>
      </c>
      <c r="C9393" t="s">
        <v>11298</v>
      </c>
      <c r="D9393" t="s">
        <v>3268</v>
      </c>
      <c r="E9393" t="s">
        <v>3269</v>
      </c>
      <c r="F9393" t="s">
        <v>3270</v>
      </c>
      <c r="G9393" t="s">
        <v>3270</v>
      </c>
      <c r="H9393" t="s">
        <v>859</v>
      </c>
      <c r="I9393" t="s">
        <v>860</v>
      </c>
      <c r="J9393" t="str">
        <f>"9050625"</f>
        <v>9050625</v>
      </c>
      <c r="K9393">
        <v>2105546157</v>
      </c>
      <c r="M9393" t="s">
        <v>11299</v>
      </c>
      <c r="N9393" t="s">
        <v>3269</v>
      </c>
      <c r="O9393" t="s">
        <v>11300</v>
      </c>
      <c r="P9393">
        <v>19200</v>
      </c>
      <c r="Q9393" t="str">
        <f>"38.039697"</f>
        <v>38.039697</v>
      </c>
      <c r="R9393" t="str">
        <f>"23.543552"</f>
        <v>23.543552</v>
      </c>
      <c r="S9393" t="s">
        <v>26</v>
      </c>
    </row>
    <row r="9394" spans="1:19" x14ac:dyDescent="0.3">
      <c r="A9394" t="s">
        <v>3237</v>
      </c>
      <c r="B9394" t="s">
        <v>11164</v>
      </c>
      <c r="C9394" t="s">
        <v>11301</v>
      </c>
      <c r="D9394" t="s">
        <v>3268</v>
      </c>
      <c r="E9394" t="s">
        <v>5999</v>
      </c>
      <c r="F9394" t="s">
        <v>6000</v>
      </c>
      <c r="G9394" t="s">
        <v>6000</v>
      </c>
      <c r="H9394" t="s">
        <v>859</v>
      </c>
      <c r="I9394" t="s">
        <v>860</v>
      </c>
      <c r="J9394" t="str">
        <f>"9050242"</f>
        <v>9050242</v>
      </c>
      <c r="K9394">
        <v>2102314040</v>
      </c>
      <c r="L9394">
        <v>2102314040</v>
      </c>
      <c r="M9394" t="s">
        <v>11302</v>
      </c>
      <c r="N9394" t="s">
        <v>6003</v>
      </c>
      <c r="O9394" t="s">
        <v>11303</v>
      </c>
      <c r="P9394">
        <v>13461</v>
      </c>
      <c r="Q9394" t="str">
        <f>"38.065577"</f>
        <v>38.065577</v>
      </c>
      <c r="R9394" t="str">
        <f>"23.718032"</f>
        <v>23.718032</v>
      </c>
      <c r="S9394" t="s">
        <v>26</v>
      </c>
    </row>
    <row r="9395" spans="1:19" x14ac:dyDescent="0.3">
      <c r="A9395" t="s">
        <v>3237</v>
      </c>
      <c r="B9395" t="s">
        <v>11164</v>
      </c>
      <c r="C9395" t="s">
        <v>11309</v>
      </c>
      <c r="D9395" t="s">
        <v>3268</v>
      </c>
      <c r="E9395" t="s">
        <v>3269</v>
      </c>
      <c r="F9395" t="s">
        <v>3270</v>
      </c>
      <c r="G9395" t="s">
        <v>3270</v>
      </c>
      <c r="H9395" t="s">
        <v>859</v>
      </c>
      <c r="I9395" t="s">
        <v>860</v>
      </c>
      <c r="J9395" t="str">
        <f>"9050847"</f>
        <v>9050847</v>
      </c>
      <c r="K9395">
        <v>2105548768</v>
      </c>
      <c r="L9395">
        <v>2105548768</v>
      </c>
      <c r="M9395" t="s">
        <v>11310</v>
      </c>
      <c r="N9395" t="s">
        <v>3269</v>
      </c>
      <c r="O9395" t="s">
        <v>11311</v>
      </c>
      <c r="P9395">
        <v>19200</v>
      </c>
      <c r="Q9395" t="str">
        <f>"38.049660"</f>
        <v>38.049660</v>
      </c>
      <c r="R9395" t="str">
        <f>"23.533456"</f>
        <v>23.533456</v>
      </c>
      <c r="S9395" t="s">
        <v>26</v>
      </c>
    </row>
    <row r="9396" spans="1:19" x14ac:dyDescent="0.3">
      <c r="A9396" t="s">
        <v>3237</v>
      </c>
      <c r="B9396" t="s">
        <v>11164</v>
      </c>
      <c r="C9396" t="s">
        <v>11314</v>
      </c>
      <c r="D9396" t="s">
        <v>3268</v>
      </c>
      <c r="E9396" t="s">
        <v>3269</v>
      </c>
      <c r="F9396" t="s">
        <v>3270</v>
      </c>
      <c r="G9396" t="s">
        <v>3270</v>
      </c>
      <c r="H9396" t="s">
        <v>859</v>
      </c>
      <c r="I9396" t="s">
        <v>860</v>
      </c>
      <c r="J9396" t="str">
        <f>"9051883"</f>
        <v>9051883</v>
      </c>
      <c r="K9396">
        <v>2105541625</v>
      </c>
      <c r="L9396">
        <v>2105541625</v>
      </c>
      <c r="M9396" t="s">
        <v>11315</v>
      </c>
      <c r="N9396" t="s">
        <v>3269</v>
      </c>
      <c r="O9396" t="s">
        <v>11316</v>
      </c>
      <c r="P9396">
        <v>19200</v>
      </c>
      <c r="Q9396" t="str">
        <f>"38.045869"</f>
        <v>38.045869</v>
      </c>
      <c r="R9396" t="str">
        <f>"23.542688"</f>
        <v>23.542688</v>
      </c>
      <c r="S9396" t="s">
        <v>26</v>
      </c>
    </row>
    <row r="9397" spans="1:19" x14ac:dyDescent="0.3">
      <c r="A9397" t="s">
        <v>3237</v>
      </c>
      <c r="B9397" t="s">
        <v>11164</v>
      </c>
      <c r="C9397" t="s">
        <v>11317</v>
      </c>
      <c r="D9397" t="s">
        <v>3268</v>
      </c>
      <c r="E9397" t="s">
        <v>3269</v>
      </c>
      <c r="F9397" t="s">
        <v>3270</v>
      </c>
      <c r="G9397" t="s">
        <v>3270</v>
      </c>
      <c r="H9397" t="s">
        <v>859</v>
      </c>
      <c r="I9397" t="s">
        <v>860</v>
      </c>
      <c r="J9397" t="str">
        <f>"9051808"</f>
        <v>9051808</v>
      </c>
      <c r="K9397">
        <v>2105540796</v>
      </c>
      <c r="M9397" t="s">
        <v>11318</v>
      </c>
      <c r="N9397" t="s">
        <v>3269</v>
      </c>
      <c r="O9397" t="s">
        <v>11319</v>
      </c>
      <c r="P9397">
        <v>19200</v>
      </c>
      <c r="Q9397" t="str">
        <f>"38.039827"</f>
        <v>38.039827</v>
      </c>
      <c r="R9397" t="str">
        <f>"23.545514"</f>
        <v>23.545514</v>
      </c>
      <c r="S9397" t="s">
        <v>26</v>
      </c>
    </row>
    <row r="9398" spans="1:19" x14ac:dyDescent="0.3">
      <c r="A9398" t="s">
        <v>3237</v>
      </c>
      <c r="B9398" t="s">
        <v>11164</v>
      </c>
      <c r="C9398" t="s">
        <v>11320</v>
      </c>
      <c r="D9398" t="s">
        <v>3268</v>
      </c>
      <c r="E9398" t="s">
        <v>6006</v>
      </c>
      <c r="F9398" t="s">
        <v>6138</v>
      </c>
      <c r="G9398" t="s">
        <v>6138</v>
      </c>
      <c r="H9398" t="s">
        <v>859</v>
      </c>
      <c r="I9398" t="s">
        <v>860</v>
      </c>
      <c r="J9398" t="str">
        <f>"9050620"</f>
        <v>9050620</v>
      </c>
      <c r="K9398">
        <v>2263022641</v>
      </c>
      <c r="L9398">
        <v>2263022641</v>
      </c>
      <c r="M9398" t="s">
        <v>11321</v>
      </c>
      <c r="N9398" t="s">
        <v>11322</v>
      </c>
      <c r="O9398" t="s">
        <v>11323</v>
      </c>
      <c r="P9398">
        <v>19012</v>
      </c>
      <c r="Q9398" t="str">
        <f>"38.169367"</f>
        <v>38.169367</v>
      </c>
      <c r="R9398" t="str">
        <f>"23.336909"</f>
        <v>23.336909</v>
      </c>
      <c r="S9398" t="s">
        <v>26</v>
      </c>
    </row>
    <row r="9399" spans="1:19" x14ac:dyDescent="0.3">
      <c r="A9399" t="s">
        <v>3237</v>
      </c>
      <c r="B9399" t="s">
        <v>11164</v>
      </c>
      <c r="C9399" t="s">
        <v>11324</v>
      </c>
      <c r="D9399" t="s">
        <v>3268</v>
      </c>
      <c r="E9399" t="s">
        <v>6006</v>
      </c>
      <c r="F9399" t="s">
        <v>6007</v>
      </c>
      <c r="G9399" t="s">
        <v>6007</v>
      </c>
      <c r="H9399" t="s">
        <v>859</v>
      </c>
      <c r="I9399" t="s">
        <v>860</v>
      </c>
      <c r="J9399" t="str">
        <f>"9050657"</f>
        <v>9050657</v>
      </c>
      <c r="K9399">
        <v>2263062287</v>
      </c>
      <c r="L9399">
        <v>2263062287</v>
      </c>
      <c r="M9399" t="s">
        <v>11325</v>
      </c>
      <c r="N9399" t="s">
        <v>6007</v>
      </c>
      <c r="O9399" t="s">
        <v>11326</v>
      </c>
      <c r="P9399">
        <v>19008</v>
      </c>
      <c r="Q9399" t="str">
        <f>"38.068359"</f>
        <v>38.068359</v>
      </c>
      <c r="R9399" t="str">
        <f>"23.815213"</f>
        <v>23.815213</v>
      </c>
      <c r="S9399" t="s">
        <v>26</v>
      </c>
    </row>
    <row r="9400" spans="1:19" x14ac:dyDescent="0.3">
      <c r="A9400" t="s">
        <v>3237</v>
      </c>
      <c r="B9400" t="s">
        <v>11164</v>
      </c>
      <c r="C9400" t="s">
        <v>11331</v>
      </c>
      <c r="D9400" t="s">
        <v>3268</v>
      </c>
      <c r="E9400" t="s">
        <v>6006</v>
      </c>
      <c r="F9400" t="s">
        <v>6116</v>
      </c>
      <c r="G9400" t="s">
        <v>6116</v>
      </c>
      <c r="H9400" t="s">
        <v>859</v>
      </c>
      <c r="I9400" t="s">
        <v>860</v>
      </c>
      <c r="J9400" t="str">
        <f>"9050635"</f>
        <v>9050635</v>
      </c>
      <c r="K9400">
        <v>2105556730</v>
      </c>
      <c r="L9400">
        <v>2105556730</v>
      </c>
      <c r="M9400" t="s">
        <v>11332</v>
      </c>
      <c r="N9400" t="s">
        <v>6116</v>
      </c>
      <c r="O9400" t="s">
        <v>11333</v>
      </c>
      <c r="P9400">
        <v>19600</v>
      </c>
      <c r="Q9400" t="str">
        <f>"38.074061"</f>
        <v>38.074061</v>
      </c>
      <c r="R9400" t="str">
        <f>"23.495972"</f>
        <v>23.495972</v>
      </c>
      <c r="S9400" t="s">
        <v>26</v>
      </c>
    </row>
    <row r="9401" spans="1:19" x14ac:dyDescent="0.3">
      <c r="A9401" t="s">
        <v>3237</v>
      </c>
      <c r="B9401" t="s">
        <v>11164</v>
      </c>
      <c r="C9401" t="s">
        <v>11339</v>
      </c>
      <c r="D9401" t="s">
        <v>3268</v>
      </c>
      <c r="E9401" t="s">
        <v>6006</v>
      </c>
      <c r="F9401" t="s">
        <v>6116</v>
      </c>
      <c r="G9401" t="s">
        <v>6116</v>
      </c>
      <c r="H9401" t="s">
        <v>859</v>
      </c>
      <c r="I9401" t="s">
        <v>860</v>
      </c>
      <c r="J9401" t="str">
        <f>"9050622"</f>
        <v>9050622</v>
      </c>
      <c r="K9401">
        <v>2105541901</v>
      </c>
      <c r="L9401">
        <v>2105541901</v>
      </c>
      <c r="M9401" t="s">
        <v>11340</v>
      </c>
      <c r="N9401" t="s">
        <v>6116</v>
      </c>
      <c r="O9401" t="s">
        <v>11341</v>
      </c>
      <c r="P9401">
        <v>19600</v>
      </c>
      <c r="Q9401" t="str">
        <f>"38.072292"</f>
        <v>38.072292</v>
      </c>
      <c r="R9401" t="str">
        <f>"23.511375"</f>
        <v>23.511375</v>
      </c>
      <c r="S9401" t="s">
        <v>26</v>
      </c>
    </row>
    <row r="9402" spans="1:19" x14ac:dyDescent="0.3">
      <c r="A9402" t="s">
        <v>3237</v>
      </c>
      <c r="B9402" t="s">
        <v>11164</v>
      </c>
      <c r="C9402" t="s">
        <v>11342</v>
      </c>
      <c r="D9402" t="s">
        <v>3268</v>
      </c>
      <c r="E9402" t="s">
        <v>6006</v>
      </c>
      <c r="F9402" t="s">
        <v>6116</v>
      </c>
      <c r="G9402" t="s">
        <v>6116</v>
      </c>
      <c r="H9402" t="s">
        <v>859</v>
      </c>
      <c r="I9402" t="s">
        <v>860</v>
      </c>
      <c r="J9402" t="str">
        <f>"9051242"</f>
        <v>9051242</v>
      </c>
      <c r="K9402">
        <v>2105556307</v>
      </c>
      <c r="M9402" t="s">
        <v>11343</v>
      </c>
      <c r="N9402" t="s">
        <v>6116</v>
      </c>
      <c r="O9402" t="s">
        <v>11179</v>
      </c>
      <c r="P9402">
        <v>19600</v>
      </c>
      <c r="Q9402" t="str">
        <f>"38.058861"</f>
        <v>38.058861</v>
      </c>
      <c r="R9402" t="str">
        <f>"23.525215"</f>
        <v>23.525215</v>
      </c>
      <c r="S9402" t="s">
        <v>26</v>
      </c>
    </row>
    <row r="9403" spans="1:19" x14ac:dyDescent="0.3">
      <c r="A9403" t="s">
        <v>3237</v>
      </c>
      <c r="B9403" t="s">
        <v>11164</v>
      </c>
      <c r="C9403" t="s">
        <v>11344</v>
      </c>
      <c r="D9403" t="s">
        <v>3268</v>
      </c>
      <c r="E9403" t="s">
        <v>6006</v>
      </c>
      <c r="F9403" t="s">
        <v>6116</v>
      </c>
      <c r="G9403" t="s">
        <v>6116</v>
      </c>
      <c r="H9403" t="s">
        <v>859</v>
      </c>
      <c r="I9403" t="s">
        <v>860</v>
      </c>
      <c r="J9403" t="str">
        <f>"9051830"</f>
        <v>9051830</v>
      </c>
      <c r="K9403">
        <v>2105555166</v>
      </c>
      <c r="L9403">
        <v>2105555166</v>
      </c>
      <c r="M9403" t="s">
        <v>11345</v>
      </c>
      <c r="N9403" t="s">
        <v>6116</v>
      </c>
      <c r="O9403" t="s">
        <v>11346</v>
      </c>
      <c r="P9403">
        <v>19600</v>
      </c>
      <c r="Q9403" t="str">
        <f>"38.072827"</f>
        <v>38.072827</v>
      </c>
      <c r="R9403" t="str">
        <f>"23.506398"</f>
        <v>23.506398</v>
      </c>
      <c r="S9403" t="s">
        <v>26</v>
      </c>
    </row>
    <row r="9404" spans="1:19" x14ac:dyDescent="0.3">
      <c r="A9404" t="s">
        <v>3237</v>
      </c>
      <c r="B9404" t="s">
        <v>11164</v>
      </c>
      <c r="C9404" t="s">
        <v>11350</v>
      </c>
      <c r="D9404" t="s">
        <v>3268</v>
      </c>
      <c r="E9404" t="s">
        <v>6006</v>
      </c>
      <c r="F9404" t="s">
        <v>6116</v>
      </c>
      <c r="G9404" t="s">
        <v>6116</v>
      </c>
      <c r="H9404" t="s">
        <v>859</v>
      </c>
      <c r="I9404" t="s">
        <v>860</v>
      </c>
      <c r="J9404" t="str">
        <f>"9050637"</f>
        <v>9050637</v>
      </c>
      <c r="K9404">
        <v>2105558156</v>
      </c>
      <c r="L9404">
        <v>2105558156</v>
      </c>
      <c r="M9404" t="s">
        <v>11351</v>
      </c>
      <c r="N9404" t="s">
        <v>6116</v>
      </c>
      <c r="O9404" t="s">
        <v>11352</v>
      </c>
      <c r="P9404">
        <v>19600</v>
      </c>
      <c r="Q9404" t="str">
        <f>"38.072292"</f>
        <v>38.072292</v>
      </c>
      <c r="R9404" t="str">
        <f>"23.511375"</f>
        <v>23.511375</v>
      </c>
      <c r="S9404" t="s">
        <v>26</v>
      </c>
    </row>
    <row r="9405" spans="1:19" x14ac:dyDescent="0.3">
      <c r="A9405" t="s">
        <v>3237</v>
      </c>
      <c r="B9405" t="s">
        <v>11164</v>
      </c>
      <c r="C9405" t="s">
        <v>11353</v>
      </c>
      <c r="D9405" t="s">
        <v>3268</v>
      </c>
      <c r="E9405" t="s">
        <v>6017</v>
      </c>
      <c r="F9405" t="s">
        <v>6017</v>
      </c>
      <c r="G9405" t="s">
        <v>6017</v>
      </c>
      <c r="H9405" t="s">
        <v>859</v>
      </c>
      <c r="I9405" t="s">
        <v>860</v>
      </c>
      <c r="J9405" t="str">
        <f>"9050641"</f>
        <v>9050641</v>
      </c>
      <c r="K9405">
        <v>2296023703</v>
      </c>
      <c r="L9405">
        <v>2296023703</v>
      </c>
      <c r="M9405" t="s">
        <v>11354</v>
      </c>
      <c r="N9405" t="s">
        <v>6020</v>
      </c>
      <c r="O9405" t="s">
        <v>11355</v>
      </c>
      <c r="P9405">
        <v>19100</v>
      </c>
      <c r="Q9405" t="str">
        <f>"37.995952"</f>
        <v>37.995952</v>
      </c>
      <c r="R9405" t="str">
        <f>"23.346926"</f>
        <v>23.346926</v>
      </c>
      <c r="S9405" t="s">
        <v>26</v>
      </c>
    </row>
    <row r="9406" spans="1:19" x14ac:dyDescent="0.3">
      <c r="A9406" t="s">
        <v>3237</v>
      </c>
      <c r="B9406" t="s">
        <v>11164</v>
      </c>
      <c r="C9406" t="s">
        <v>11356</v>
      </c>
      <c r="D9406" t="s">
        <v>3268</v>
      </c>
      <c r="E9406" t="s">
        <v>6017</v>
      </c>
      <c r="F9406" t="s">
        <v>6017</v>
      </c>
      <c r="G9406" t="s">
        <v>6017</v>
      </c>
      <c r="H9406" t="s">
        <v>859</v>
      </c>
      <c r="I9406" t="s">
        <v>860</v>
      </c>
      <c r="J9406" t="str">
        <f>"9050643"</f>
        <v>9050643</v>
      </c>
      <c r="K9406">
        <v>2296029181</v>
      </c>
      <c r="M9406" t="s">
        <v>11357</v>
      </c>
      <c r="N9406" t="s">
        <v>6020</v>
      </c>
      <c r="O9406" t="s">
        <v>11358</v>
      </c>
      <c r="P9406">
        <v>19100</v>
      </c>
      <c r="Q9406" t="str">
        <f>"37.999723"</f>
        <v>37.999723</v>
      </c>
      <c r="R9406" t="str">
        <f>"23.332107"</f>
        <v>23.332107</v>
      </c>
      <c r="S9406" t="s">
        <v>26</v>
      </c>
    </row>
    <row r="9407" spans="1:19" x14ac:dyDescent="0.3">
      <c r="A9407" t="s">
        <v>3237</v>
      </c>
      <c r="B9407" t="s">
        <v>11164</v>
      </c>
      <c r="C9407" t="s">
        <v>11359</v>
      </c>
      <c r="D9407" t="s">
        <v>3268</v>
      </c>
      <c r="E9407" t="s">
        <v>5999</v>
      </c>
      <c r="F9407" t="s">
        <v>6000</v>
      </c>
      <c r="G9407" t="s">
        <v>6000</v>
      </c>
      <c r="H9407" t="s">
        <v>859</v>
      </c>
      <c r="I9407" t="s">
        <v>860</v>
      </c>
      <c r="J9407" t="str">
        <f>"9050793"</f>
        <v>9050793</v>
      </c>
      <c r="K9407">
        <v>2102474600</v>
      </c>
      <c r="L9407">
        <v>2102474600</v>
      </c>
      <c r="M9407" t="s">
        <v>11360</v>
      </c>
      <c r="N9407" t="s">
        <v>6000</v>
      </c>
      <c r="O9407" t="s">
        <v>11361</v>
      </c>
      <c r="P9407">
        <v>13451</v>
      </c>
      <c r="Q9407" t="str">
        <f>"38.073066"</f>
        <v>38.073066</v>
      </c>
      <c r="R9407" t="str">
        <f>"23.712028"</f>
        <v>23.712028</v>
      </c>
      <c r="S9407" t="s">
        <v>26</v>
      </c>
    </row>
    <row r="9408" spans="1:19" x14ac:dyDescent="0.3">
      <c r="A9408" t="s">
        <v>3237</v>
      </c>
      <c r="B9408" t="s">
        <v>11164</v>
      </c>
      <c r="C9408" t="s">
        <v>11362</v>
      </c>
      <c r="D9408" t="s">
        <v>3268</v>
      </c>
      <c r="E9408" t="s">
        <v>5999</v>
      </c>
      <c r="F9408" t="s">
        <v>5999</v>
      </c>
      <c r="G9408" t="s">
        <v>5999</v>
      </c>
      <c r="H9408" t="s">
        <v>859</v>
      </c>
      <c r="I9408" t="s">
        <v>860</v>
      </c>
      <c r="J9408" t="str">
        <f>"9050297"</f>
        <v>9050297</v>
      </c>
      <c r="K9408">
        <v>2102411510</v>
      </c>
      <c r="L9408">
        <v>2102411510</v>
      </c>
      <c r="M9408" t="s">
        <v>11363</v>
      </c>
      <c r="N9408" t="s">
        <v>6184</v>
      </c>
      <c r="O9408" t="s">
        <v>11364</v>
      </c>
      <c r="P9408">
        <v>13351</v>
      </c>
      <c r="Q9408" t="str">
        <f>"38.102019"</f>
        <v>38.102019</v>
      </c>
      <c r="R9408" t="str">
        <f>"23.665850"</f>
        <v>23.665850</v>
      </c>
      <c r="S9408" t="s">
        <v>26</v>
      </c>
    </row>
    <row r="9409" spans="1:19" x14ac:dyDescent="0.3">
      <c r="A9409" t="s">
        <v>3237</v>
      </c>
      <c r="B9409" t="s">
        <v>11164</v>
      </c>
      <c r="C9409" t="s">
        <v>11365</v>
      </c>
      <c r="D9409" t="s">
        <v>3268</v>
      </c>
      <c r="E9409" t="s">
        <v>6017</v>
      </c>
      <c r="F9409" t="s">
        <v>6017</v>
      </c>
      <c r="G9409" t="s">
        <v>6017</v>
      </c>
      <c r="H9409" t="s">
        <v>859</v>
      </c>
      <c r="I9409" t="s">
        <v>860</v>
      </c>
      <c r="J9409" t="str">
        <f>"9051635"</f>
        <v>9051635</v>
      </c>
      <c r="K9409">
        <v>2296082809</v>
      </c>
      <c r="L9409">
        <v>2296082809</v>
      </c>
      <c r="M9409" t="s">
        <v>11366</v>
      </c>
      <c r="N9409" t="s">
        <v>6046</v>
      </c>
      <c r="O9409" t="s">
        <v>11367</v>
      </c>
      <c r="P9409">
        <v>19100</v>
      </c>
      <c r="Q9409" t="str">
        <f>"37.988095"</f>
        <v>37.988095</v>
      </c>
      <c r="R9409" t="str">
        <f>"23.344842"</f>
        <v>23.344842</v>
      </c>
      <c r="S9409" t="s">
        <v>26</v>
      </c>
    </row>
    <row r="9410" spans="1:19" x14ac:dyDescent="0.3">
      <c r="A9410" t="s">
        <v>3237</v>
      </c>
      <c r="B9410" t="s">
        <v>11164</v>
      </c>
      <c r="C9410" t="s">
        <v>11371</v>
      </c>
      <c r="D9410" t="s">
        <v>3268</v>
      </c>
      <c r="E9410" t="s">
        <v>6017</v>
      </c>
      <c r="F9410" t="s">
        <v>6017</v>
      </c>
      <c r="G9410" t="s">
        <v>6017</v>
      </c>
      <c r="H9410" t="s">
        <v>859</v>
      </c>
      <c r="I9410" t="s">
        <v>860</v>
      </c>
      <c r="J9410" t="str">
        <f>"9050802"</f>
        <v>9050802</v>
      </c>
      <c r="K9410">
        <v>2296026500</v>
      </c>
      <c r="L9410">
        <v>2296026500</v>
      </c>
      <c r="M9410" t="s">
        <v>11372</v>
      </c>
      <c r="N9410" t="s">
        <v>6020</v>
      </c>
      <c r="O9410" t="s">
        <v>11373</v>
      </c>
      <c r="P9410">
        <v>19100</v>
      </c>
      <c r="Q9410" t="str">
        <f>"37.996078"</f>
        <v>37.996078</v>
      </c>
      <c r="R9410" t="str">
        <f>"23.333743"</f>
        <v>23.333743</v>
      </c>
      <c r="S9410" t="s">
        <v>26</v>
      </c>
    </row>
    <row r="9411" spans="1:19" x14ac:dyDescent="0.3">
      <c r="A9411" t="s">
        <v>3237</v>
      </c>
      <c r="B9411" t="s">
        <v>11164</v>
      </c>
      <c r="C9411" t="s">
        <v>11376</v>
      </c>
      <c r="D9411" t="s">
        <v>3268</v>
      </c>
      <c r="E9411" t="s">
        <v>6017</v>
      </c>
      <c r="F9411" t="s">
        <v>6017</v>
      </c>
      <c r="G9411" t="s">
        <v>6017</v>
      </c>
      <c r="H9411" t="s">
        <v>859</v>
      </c>
      <c r="I9411" t="s">
        <v>860</v>
      </c>
      <c r="J9411" t="str">
        <f>"9050645"</f>
        <v>9050645</v>
      </c>
      <c r="K9411">
        <v>2296024100</v>
      </c>
      <c r="L9411">
        <v>2296024100</v>
      </c>
      <c r="M9411" t="s">
        <v>11377</v>
      </c>
      <c r="N9411" t="s">
        <v>6020</v>
      </c>
      <c r="O9411" t="s">
        <v>8928</v>
      </c>
      <c r="P9411">
        <v>19100</v>
      </c>
      <c r="Q9411" t="str">
        <f>"38.001573"</f>
        <v>38.001573</v>
      </c>
      <c r="R9411" t="str">
        <f>"23.345694"</f>
        <v>23.345694</v>
      </c>
      <c r="S9411" t="s">
        <v>26</v>
      </c>
    </row>
    <row r="9412" spans="1:19" x14ac:dyDescent="0.3">
      <c r="A9412" t="s">
        <v>3237</v>
      </c>
      <c r="B9412" t="s">
        <v>11164</v>
      </c>
      <c r="C9412" t="s">
        <v>11378</v>
      </c>
      <c r="D9412" t="s">
        <v>3268</v>
      </c>
      <c r="E9412" t="s">
        <v>6017</v>
      </c>
      <c r="F9412" t="s">
        <v>6017</v>
      </c>
      <c r="G9412" t="s">
        <v>6017</v>
      </c>
      <c r="H9412" t="s">
        <v>859</v>
      </c>
      <c r="I9412" t="s">
        <v>860</v>
      </c>
      <c r="J9412" t="str">
        <f>"9050803"</f>
        <v>9050803</v>
      </c>
      <c r="K9412">
        <v>2296025054</v>
      </c>
      <c r="L9412">
        <v>2296025054</v>
      </c>
      <c r="M9412" t="s">
        <v>11379</v>
      </c>
      <c r="N9412" t="s">
        <v>6020</v>
      </c>
      <c r="O9412" t="s">
        <v>11184</v>
      </c>
      <c r="P9412">
        <v>19100</v>
      </c>
      <c r="Q9412" t="str">
        <f>"38.001573"</f>
        <v>38.001573</v>
      </c>
      <c r="R9412" t="str">
        <f>"23.345694"</f>
        <v>23.345694</v>
      </c>
      <c r="S9412" t="s">
        <v>26</v>
      </c>
    </row>
    <row r="9413" spans="1:19" x14ac:dyDescent="0.3">
      <c r="A9413" t="s">
        <v>3237</v>
      </c>
      <c r="B9413" t="s">
        <v>11164</v>
      </c>
      <c r="C9413" t="s">
        <v>11383</v>
      </c>
      <c r="D9413" t="s">
        <v>3268</v>
      </c>
      <c r="E9413" t="s">
        <v>6017</v>
      </c>
      <c r="F9413" t="s">
        <v>6017</v>
      </c>
      <c r="G9413" t="s">
        <v>6017</v>
      </c>
      <c r="H9413" t="s">
        <v>859</v>
      </c>
      <c r="I9413" t="s">
        <v>860</v>
      </c>
      <c r="J9413" t="str">
        <f>"9050646"</f>
        <v>9050646</v>
      </c>
      <c r="K9413">
        <v>2296083158</v>
      </c>
      <c r="L9413">
        <v>2296083158</v>
      </c>
      <c r="M9413" t="s">
        <v>11384</v>
      </c>
      <c r="N9413" t="s">
        <v>6020</v>
      </c>
      <c r="O9413" t="s">
        <v>11385</v>
      </c>
      <c r="P9413">
        <v>19100</v>
      </c>
      <c r="Q9413" t="str">
        <f>"37.989695"</f>
        <v>37.989695</v>
      </c>
      <c r="R9413" t="str">
        <f>"23.355699"</f>
        <v>23.355699</v>
      </c>
      <c r="S9413" t="s">
        <v>26</v>
      </c>
    </row>
    <row r="9414" spans="1:19" x14ac:dyDescent="0.3">
      <c r="A9414" t="s">
        <v>3237</v>
      </c>
      <c r="B9414" t="s">
        <v>11164</v>
      </c>
      <c r="C9414" t="s">
        <v>11386</v>
      </c>
      <c r="D9414" t="s">
        <v>3268</v>
      </c>
      <c r="E9414" t="s">
        <v>6017</v>
      </c>
      <c r="F9414" t="s">
        <v>6017</v>
      </c>
      <c r="G9414" t="s">
        <v>6017</v>
      </c>
      <c r="H9414" t="s">
        <v>859</v>
      </c>
      <c r="I9414" t="s">
        <v>860</v>
      </c>
      <c r="J9414" t="str">
        <f>"9050897"</f>
        <v>9050897</v>
      </c>
      <c r="K9414">
        <v>2296083158</v>
      </c>
      <c r="L9414">
        <v>2296083158</v>
      </c>
      <c r="M9414" t="s">
        <v>11387</v>
      </c>
      <c r="N9414" t="s">
        <v>6020</v>
      </c>
      <c r="O9414" t="s">
        <v>11388</v>
      </c>
      <c r="P9414">
        <v>19100</v>
      </c>
      <c r="Q9414" t="str">
        <f>"38.006030"</f>
        <v>38.006030</v>
      </c>
      <c r="R9414" t="str">
        <f>"23.275800"</f>
        <v>23.275800</v>
      </c>
      <c r="S9414" t="s">
        <v>26</v>
      </c>
    </row>
    <row r="9415" spans="1:19" x14ac:dyDescent="0.3">
      <c r="A9415" t="s">
        <v>3237</v>
      </c>
      <c r="B9415" t="s">
        <v>11164</v>
      </c>
      <c r="C9415" t="s">
        <v>11389</v>
      </c>
      <c r="D9415" t="s">
        <v>3268</v>
      </c>
      <c r="E9415" t="s">
        <v>6017</v>
      </c>
      <c r="F9415" t="s">
        <v>456</v>
      </c>
      <c r="G9415" t="s">
        <v>456</v>
      </c>
      <c r="H9415" t="s">
        <v>859</v>
      </c>
      <c r="I9415" t="s">
        <v>860</v>
      </c>
      <c r="J9415" t="str">
        <f>"9050655"</f>
        <v>9050655</v>
      </c>
      <c r="K9415">
        <v>2296032600</v>
      </c>
      <c r="L9415">
        <v>2296032600</v>
      </c>
      <c r="M9415" t="s">
        <v>11390</v>
      </c>
      <c r="N9415" t="s">
        <v>530</v>
      </c>
      <c r="O9415" t="s">
        <v>11391</v>
      </c>
      <c r="P9415">
        <v>19006</v>
      </c>
      <c r="Q9415" t="str">
        <f>"37.998906"</f>
        <v>37.998906</v>
      </c>
      <c r="R9415" t="str">
        <f>"23.415246"</f>
        <v>23.415246</v>
      </c>
      <c r="S9415" t="s">
        <v>26</v>
      </c>
    </row>
    <row r="9416" spans="1:19" x14ac:dyDescent="0.3">
      <c r="A9416" t="s">
        <v>3237</v>
      </c>
      <c r="B9416" t="s">
        <v>11164</v>
      </c>
      <c r="C9416" t="s">
        <v>11395</v>
      </c>
      <c r="D9416" t="s">
        <v>3268</v>
      </c>
      <c r="E9416" t="s">
        <v>6017</v>
      </c>
      <c r="F9416" t="s">
        <v>456</v>
      </c>
      <c r="G9416" t="s">
        <v>456</v>
      </c>
      <c r="H9416" t="s">
        <v>859</v>
      </c>
      <c r="I9416" t="s">
        <v>860</v>
      </c>
      <c r="J9416" t="str">
        <f>"9051838"</f>
        <v>9051838</v>
      </c>
      <c r="K9416">
        <v>2296034615</v>
      </c>
      <c r="L9416">
        <v>2296034615</v>
      </c>
      <c r="M9416" t="s">
        <v>11396</v>
      </c>
      <c r="N9416" t="s">
        <v>530</v>
      </c>
      <c r="O9416" t="s">
        <v>11397</v>
      </c>
      <c r="P9416">
        <v>19006</v>
      </c>
      <c r="Q9416" t="str">
        <f>"38.017442"</f>
        <v>38.017442</v>
      </c>
      <c r="R9416" t="str">
        <f>"23.434380"</f>
        <v>23.434380</v>
      </c>
      <c r="S9416" t="s">
        <v>26</v>
      </c>
    </row>
    <row r="9417" spans="1:19" x14ac:dyDescent="0.3">
      <c r="A9417" t="s">
        <v>3237</v>
      </c>
      <c r="B9417" t="s">
        <v>11164</v>
      </c>
      <c r="C9417" t="s">
        <v>11398</v>
      </c>
      <c r="D9417" t="s">
        <v>3268</v>
      </c>
      <c r="E9417" t="s">
        <v>3269</v>
      </c>
      <c r="F9417" t="s">
        <v>6089</v>
      </c>
      <c r="G9417" t="s">
        <v>6089</v>
      </c>
      <c r="H9417" t="s">
        <v>859</v>
      </c>
      <c r="I9417" t="s">
        <v>860</v>
      </c>
      <c r="J9417" t="str">
        <f>"9050652"</f>
        <v>9050652</v>
      </c>
      <c r="K9417">
        <v>2105556347</v>
      </c>
      <c r="L9417">
        <v>210555786</v>
      </c>
      <c r="M9417" t="s">
        <v>11399</v>
      </c>
      <c r="N9417" t="s">
        <v>6089</v>
      </c>
      <c r="O9417" t="s">
        <v>11400</v>
      </c>
      <c r="P9417">
        <v>19018</v>
      </c>
      <c r="Q9417" t="str">
        <f>"38.043450"</f>
        <v>38.043450</v>
      </c>
      <c r="R9417" t="str">
        <f>"23.540915"</f>
        <v>23.540915</v>
      </c>
      <c r="S9417" t="s">
        <v>26</v>
      </c>
    </row>
    <row r="9418" spans="1:19" x14ac:dyDescent="0.3">
      <c r="A9418" t="s">
        <v>3237</v>
      </c>
      <c r="B9418" t="s">
        <v>11164</v>
      </c>
      <c r="C9418" t="s">
        <v>11401</v>
      </c>
      <c r="D9418" t="s">
        <v>3268</v>
      </c>
      <c r="E9418" t="s">
        <v>6017</v>
      </c>
      <c r="F9418" t="s">
        <v>456</v>
      </c>
      <c r="G9418" t="s">
        <v>456</v>
      </c>
      <c r="H9418" t="s">
        <v>859</v>
      </c>
      <c r="I9418" t="s">
        <v>860</v>
      </c>
      <c r="J9418" t="str">
        <f>"9520735"</f>
        <v>9520735</v>
      </c>
      <c r="K9418">
        <v>2296032600</v>
      </c>
      <c r="L9418">
        <v>2296032600</v>
      </c>
      <c r="M9418" t="s">
        <v>11402</v>
      </c>
      <c r="N9418" t="s">
        <v>530</v>
      </c>
      <c r="O9418" t="s">
        <v>11391</v>
      </c>
      <c r="P9418">
        <v>19006</v>
      </c>
      <c r="Q9418" t="str">
        <f>"37.999865"</f>
        <v>37.999865</v>
      </c>
      <c r="R9418" t="str">
        <f>"23.416901"</f>
        <v>23.416901</v>
      </c>
      <c r="S9418" t="s">
        <v>26</v>
      </c>
    </row>
    <row r="9419" spans="1:19" x14ac:dyDescent="0.3">
      <c r="A9419" t="s">
        <v>3237</v>
      </c>
      <c r="B9419" t="s">
        <v>11164</v>
      </c>
      <c r="C9419" t="s">
        <v>11410</v>
      </c>
      <c r="D9419" t="s">
        <v>3268</v>
      </c>
      <c r="E9419" t="s">
        <v>3269</v>
      </c>
      <c r="F9419" t="s">
        <v>3270</v>
      </c>
      <c r="G9419" t="s">
        <v>3270</v>
      </c>
      <c r="H9419" t="s">
        <v>859</v>
      </c>
      <c r="I9419" t="s">
        <v>860</v>
      </c>
      <c r="J9419" t="str">
        <f>"9050627"</f>
        <v>9050627</v>
      </c>
      <c r="K9419">
        <v>2105549054</v>
      </c>
      <c r="L9419">
        <v>2105549054</v>
      </c>
      <c r="M9419" t="s">
        <v>11411</v>
      </c>
      <c r="N9419" t="s">
        <v>3273</v>
      </c>
      <c r="O9419" t="s">
        <v>11412</v>
      </c>
      <c r="P9419">
        <v>19200</v>
      </c>
      <c r="Q9419" t="str">
        <f>"38.048534"</f>
        <v>38.048534</v>
      </c>
      <c r="R9419" t="str">
        <f>"23.539112"</f>
        <v>23.539112</v>
      </c>
      <c r="S9419" t="s">
        <v>26</v>
      </c>
    </row>
    <row r="9420" spans="1:19" x14ac:dyDescent="0.3">
      <c r="A9420" t="s">
        <v>3237</v>
      </c>
      <c r="B9420" t="s">
        <v>11164</v>
      </c>
      <c r="C9420" t="s">
        <v>11420</v>
      </c>
      <c r="D9420" t="s">
        <v>3268</v>
      </c>
      <c r="E9420" t="s">
        <v>6028</v>
      </c>
      <c r="F9420" t="s">
        <v>6028</v>
      </c>
      <c r="G9420" t="s">
        <v>6028</v>
      </c>
      <c r="H9420" t="s">
        <v>859</v>
      </c>
      <c r="I9420" t="s">
        <v>860</v>
      </c>
      <c r="J9420" t="str">
        <f>"9051871"</f>
        <v>9051871</v>
      </c>
      <c r="K9420">
        <v>2105579274</v>
      </c>
      <c r="L9420">
        <v>2105579274</v>
      </c>
      <c r="M9420" t="s">
        <v>11421</v>
      </c>
      <c r="N9420" t="s">
        <v>6031</v>
      </c>
      <c r="O9420" t="s">
        <v>11422</v>
      </c>
      <c r="P9420">
        <v>19300</v>
      </c>
      <c r="Q9420" t="str">
        <f>"38.066558"</f>
        <v>38.066558</v>
      </c>
      <c r="R9420" t="str">
        <f>"23.586343"</f>
        <v>23.586343</v>
      </c>
      <c r="S9420" t="s">
        <v>26</v>
      </c>
    </row>
    <row r="9421" spans="1:19" x14ac:dyDescent="0.3">
      <c r="A9421" t="s">
        <v>3237</v>
      </c>
      <c r="B9421" t="s">
        <v>11164</v>
      </c>
      <c r="C9421" t="s">
        <v>11425</v>
      </c>
      <c r="D9421" t="s">
        <v>3268</v>
      </c>
      <c r="E9421" t="s">
        <v>6028</v>
      </c>
      <c r="F9421" t="s">
        <v>6028</v>
      </c>
      <c r="G9421" t="s">
        <v>6028</v>
      </c>
      <c r="H9421" t="s">
        <v>859</v>
      </c>
      <c r="I9421" t="s">
        <v>860</v>
      </c>
      <c r="J9421" t="str">
        <f>"9050617"</f>
        <v>9050617</v>
      </c>
      <c r="K9421">
        <v>2105573768</v>
      </c>
      <c r="L9421">
        <v>2105573768</v>
      </c>
      <c r="M9421" t="s">
        <v>11426</v>
      </c>
      <c r="N9421" t="s">
        <v>6031</v>
      </c>
      <c r="O9421" t="s">
        <v>11427</v>
      </c>
      <c r="P9421">
        <v>19300</v>
      </c>
      <c r="Q9421" t="str">
        <f>"38.040759"</f>
        <v>38.040759</v>
      </c>
      <c r="R9421" t="str">
        <f>"23.590182"</f>
        <v>23.590182</v>
      </c>
      <c r="S9421" t="s">
        <v>26</v>
      </c>
    </row>
    <row r="9422" spans="1:19" x14ac:dyDescent="0.3">
      <c r="A9422" t="s">
        <v>3237</v>
      </c>
      <c r="B9422" t="s">
        <v>11164</v>
      </c>
      <c r="C9422" t="s">
        <v>11428</v>
      </c>
      <c r="D9422" t="s">
        <v>3268</v>
      </c>
      <c r="E9422" t="s">
        <v>6028</v>
      </c>
      <c r="F9422" t="s">
        <v>6028</v>
      </c>
      <c r="G9422" t="s">
        <v>6028</v>
      </c>
      <c r="H9422" t="s">
        <v>859</v>
      </c>
      <c r="I9422" t="s">
        <v>860</v>
      </c>
      <c r="J9422" t="str">
        <f>"9051880"</f>
        <v>9051880</v>
      </c>
      <c r="K9422">
        <v>2105582040</v>
      </c>
      <c r="L9422">
        <v>2105582040</v>
      </c>
      <c r="M9422" t="s">
        <v>11429</v>
      </c>
      <c r="N9422" t="s">
        <v>6031</v>
      </c>
      <c r="O9422" t="s">
        <v>11430</v>
      </c>
      <c r="P9422">
        <v>19300</v>
      </c>
      <c r="Q9422" t="str">
        <f>"38.090533"</f>
        <v>38.090533</v>
      </c>
      <c r="R9422" t="str">
        <f>"23.605574"</f>
        <v>23.605574</v>
      </c>
      <c r="S9422" t="s">
        <v>26</v>
      </c>
    </row>
    <row r="9423" spans="1:19" x14ac:dyDescent="0.3">
      <c r="A9423" t="s">
        <v>3237</v>
      </c>
      <c r="B9423" t="s">
        <v>11164</v>
      </c>
      <c r="C9423" t="s">
        <v>11446</v>
      </c>
      <c r="D9423" t="s">
        <v>3268</v>
      </c>
      <c r="E9423" t="s">
        <v>6006</v>
      </c>
      <c r="F9423" t="s">
        <v>6116</v>
      </c>
      <c r="G9423" t="s">
        <v>6116</v>
      </c>
      <c r="H9423" t="s">
        <v>859</v>
      </c>
      <c r="I9423" t="s">
        <v>860</v>
      </c>
      <c r="J9423" t="str">
        <f>"9051784"</f>
        <v>9051784</v>
      </c>
      <c r="K9423">
        <v>2105555789</v>
      </c>
      <c r="L9423">
        <v>2105555789</v>
      </c>
      <c r="M9423" t="s">
        <v>11447</v>
      </c>
      <c r="N9423" t="s">
        <v>6155</v>
      </c>
      <c r="O9423" t="s">
        <v>11448</v>
      </c>
      <c r="P9423">
        <v>19600</v>
      </c>
      <c r="Q9423" t="str">
        <f>"38.071493"</f>
        <v>38.071493</v>
      </c>
      <c r="R9423" t="str">
        <f>"23.504004"</f>
        <v>23.504004</v>
      </c>
      <c r="S9423" t="s">
        <v>26</v>
      </c>
    </row>
    <row r="9424" spans="1:19" x14ac:dyDescent="0.3">
      <c r="A9424" t="s">
        <v>3237</v>
      </c>
      <c r="B9424" t="s">
        <v>11164</v>
      </c>
      <c r="C9424" t="s">
        <v>11459</v>
      </c>
      <c r="D9424" t="s">
        <v>3268</v>
      </c>
      <c r="E9424" t="s">
        <v>6028</v>
      </c>
      <c r="F9424" t="s">
        <v>6028</v>
      </c>
      <c r="G9424" t="s">
        <v>6028</v>
      </c>
      <c r="H9424" t="s">
        <v>859</v>
      </c>
      <c r="I9424" t="s">
        <v>860</v>
      </c>
      <c r="J9424" t="str">
        <f>"9050612"</f>
        <v>9050612</v>
      </c>
      <c r="K9424">
        <v>2105575311</v>
      </c>
      <c r="L9424">
        <v>2105575311</v>
      </c>
      <c r="M9424" t="s">
        <v>11460</v>
      </c>
      <c r="N9424" t="s">
        <v>6031</v>
      </c>
      <c r="O9424" t="s">
        <v>11461</v>
      </c>
      <c r="P9424">
        <v>19300</v>
      </c>
      <c r="Q9424" t="str">
        <f>"38.060312"</f>
        <v>38.060312</v>
      </c>
      <c r="R9424" t="str">
        <f>"23.589910"</f>
        <v>23.589910</v>
      </c>
      <c r="S9424" t="s">
        <v>26</v>
      </c>
    </row>
    <row r="9425" spans="1:19" x14ac:dyDescent="0.3">
      <c r="A9425" t="s">
        <v>3237</v>
      </c>
      <c r="B9425" t="s">
        <v>11164</v>
      </c>
      <c r="C9425" t="s">
        <v>11464</v>
      </c>
      <c r="D9425" t="s">
        <v>3268</v>
      </c>
      <c r="E9425" t="s">
        <v>3269</v>
      </c>
      <c r="F9425" t="s">
        <v>3270</v>
      </c>
      <c r="G9425" t="s">
        <v>3270</v>
      </c>
      <c r="H9425" t="s">
        <v>859</v>
      </c>
      <c r="I9425" t="s">
        <v>860</v>
      </c>
      <c r="J9425" t="str">
        <f>"9050624"</f>
        <v>9050624</v>
      </c>
      <c r="K9425">
        <v>2105543291</v>
      </c>
      <c r="L9425">
        <v>2105543291</v>
      </c>
      <c r="M9425" t="s">
        <v>11465</v>
      </c>
      <c r="N9425" t="s">
        <v>3273</v>
      </c>
      <c r="O9425" t="s">
        <v>11311</v>
      </c>
      <c r="P9425">
        <v>19200</v>
      </c>
      <c r="Q9425" t="str">
        <f>"38.049660"</f>
        <v>38.049660</v>
      </c>
      <c r="R9425" t="str">
        <f>"23.533456"</f>
        <v>23.533456</v>
      </c>
      <c r="S9425" t="s">
        <v>26</v>
      </c>
    </row>
    <row r="9426" spans="1:19" x14ac:dyDescent="0.3">
      <c r="A9426" t="s">
        <v>3237</v>
      </c>
      <c r="B9426" t="s">
        <v>11164</v>
      </c>
      <c r="C9426" t="s">
        <v>11466</v>
      </c>
      <c r="D9426" t="s">
        <v>3268</v>
      </c>
      <c r="E9426" t="s">
        <v>6028</v>
      </c>
      <c r="F9426" t="s">
        <v>6028</v>
      </c>
      <c r="G9426" t="s">
        <v>6028</v>
      </c>
      <c r="H9426" t="s">
        <v>859</v>
      </c>
      <c r="I9426" t="s">
        <v>860</v>
      </c>
      <c r="J9426" t="str">
        <f>"9050614"</f>
        <v>9050614</v>
      </c>
      <c r="K9426">
        <v>2105572273</v>
      </c>
      <c r="M9426" t="s">
        <v>11467</v>
      </c>
      <c r="N9426" t="s">
        <v>6031</v>
      </c>
      <c r="O9426" t="s">
        <v>11190</v>
      </c>
      <c r="P9426">
        <v>19300</v>
      </c>
      <c r="Q9426" t="str">
        <f>"38.068292"</f>
        <v>38.068292</v>
      </c>
      <c r="R9426" t="str">
        <f>"23.595553"</f>
        <v>23.595553</v>
      </c>
      <c r="S9426" t="s">
        <v>26</v>
      </c>
    </row>
    <row r="9427" spans="1:19" x14ac:dyDescent="0.3">
      <c r="A9427" t="s">
        <v>3237</v>
      </c>
      <c r="B9427" t="s">
        <v>11164</v>
      </c>
      <c r="C9427" t="s">
        <v>11468</v>
      </c>
      <c r="D9427" t="s">
        <v>3268</v>
      </c>
      <c r="E9427" t="s">
        <v>6028</v>
      </c>
      <c r="F9427" t="s">
        <v>6028</v>
      </c>
      <c r="G9427" t="s">
        <v>6028</v>
      </c>
      <c r="H9427" t="s">
        <v>859</v>
      </c>
      <c r="I9427" t="s">
        <v>860</v>
      </c>
      <c r="J9427" t="str">
        <f>"9051760"</f>
        <v>9051760</v>
      </c>
      <c r="K9427">
        <v>2105571691</v>
      </c>
      <c r="L9427">
        <v>2105571691</v>
      </c>
      <c r="M9427" t="s">
        <v>11469</v>
      </c>
      <c r="N9427" t="s">
        <v>6028</v>
      </c>
      <c r="O9427" t="s">
        <v>11470</v>
      </c>
      <c r="P9427">
        <v>19300</v>
      </c>
      <c r="Q9427" t="str">
        <f>"38.060235"</f>
        <v>38.060235</v>
      </c>
      <c r="R9427" t="str">
        <f>"23.599961"</f>
        <v>23.599961</v>
      </c>
      <c r="S9427" t="s">
        <v>26</v>
      </c>
    </row>
    <row r="9428" spans="1:19" x14ac:dyDescent="0.3">
      <c r="A9428" t="s">
        <v>3237</v>
      </c>
      <c r="B9428" t="s">
        <v>11164</v>
      </c>
      <c r="C9428" t="s">
        <v>11476</v>
      </c>
      <c r="D9428" t="s">
        <v>3268</v>
      </c>
      <c r="E9428" t="s">
        <v>3269</v>
      </c>
      <c r="F9428" t="s">
        <v>6089</v>
      </c>
      <c r="G9428" t="s">
        <v>6089</v>
      </c>
      <c r="H9428" t="s">
        <v>859</v>
      </c>
      <c r="I9428" t="s">
        <v>860</v>
      </c>
      <c r="J9428" t="str">
        <f>"9520650"</f>
        <v>9520650</v>
      </c>
      <c r="K9428">
        <v>2105559665</v>
      </c>
      <c r="M9428" t="s">
        <v>11477</v>
      </c>
      <c r="N9428" t="s">
        <v>6089</v>
      </c>
      <c r="O9428" t="s">
        <v>11478</v>
      </c>
      <c r="P9428">
        <v>19018</v>
      </c>
      <c r="Q9428" t="str">
        <f>"38.077368"</f>
        <v>38.077368</v>
      </c>
      <c r="R9428" t="str">
        <f>"23.515656"</f>
        <v>23.515656</v>
      </c>
      <c r="S9428" t="s">
        <v>26</v>
      </c>
    </row>
    <row r="9429" spans="1:19" x14ac:dyDescent="0.3">
      <c r="A9429" t="s">
        <v>3237</v>
      </c>
      <c r="B9429" t="s">
        <v>11164</v>
      </c>
      <c r="C9429" t="s">
        <v>11482</v>
      </c>
      <c r="D9429" t="s">
        <v>3268</v>
      </c>
      <c r="E9429" t="s">
        <v>6017</v>
      </c>
      <c r="F9429" t="s">
        <v>6017</v>
      </c>
      <c r="G9429" t="s">
        <v>6017</v>
      </c>
      <c r="H9429" t="s">
        <v>859</v>
      </c>
      <c r="I9429" t="s">
        <v>860</v>
      </c>
      <c r="J9429" t="str">
        <f>"9521120"</f>
        <v>9521120</v>
      </c>
      <c r="N9429" t="s">
        <v>6046</v>
      </c>
      <c r="O9429" t="s">
        <v>6046</v>
      </c>
      <c r="P9429">
        <v>0</v>
      </c>
      <c r="Q9429" t="str">
        <f>""</f>
        <v/>
      </c>
      <c r="R9429" t="str">
        <f>""</f>
        <v/>
      </c>
      <c r="S9429" t="s">
        <v>26</v>
      </c>
    </row>
    <row r="9430" spans="1:19" x14ac:dyDescent="0.3">
      <c r="A9430" t="s">
        <v>3237</v>
      </c>
      <c r="B9430" t="s">
        <v>11164</v>
      </c>
      <c r="C9430" t="s">
        <v>11483</v>
      </c>
      <c r="D9430" t="s">
        <v>3268</v>
      </c>
      <c r="E9430" t="s">
        <v>3269</v>
      </c>
      <c r="F9430" t="s">
        <v>3270</v>
      </c>
      <c r="G9430" t="s">
        <v>3270</v>
      </c>
      <c r="H9430" t="s">
        <v>859</v>
      </c>
      <c r="I9430" t="s">
        <v>1102</v>
      </c>
      <c r="J9430" t="str">
        <f>"9521062"</f>
        <v>9521062</v>
      </c>
      <c r="K9430">
        <v>2105540423</v>
      </c>
      <c r="L9430">
        <v>2105540423</v>
      </c>
      <c r="M9430" t="s">
        <v>11484</v>
      </c>
      <c r="N9430" t="s">
        <v>3273</v>
      </c>
      <c r="O9430" t="s">
        <v>11406</v>
      </c>
      <c r="P9430">
        <v>19200</v>
      </c>
      <c r="Q9430" t="str">
        <f>"38.059962"</f>
        <v>38.059962</v>
      </c>
      <c r="R9430" t="str">
        <f>"23.531533"</f>
        <v>23.531533</v>
      </c>
      <c r="S9430" t="s">
        <v>26</v>
      </c>
    </row>
    <row r="9431" spans="1:19" x14ac:dyDescent="0.3">
      <c r="A9431" t="s">
        <v>3237</v>
      </c>
      <c r="B9431" t="s">
        <v>11164</v>
      </c>
      <c r="C9431" t="s">
        <v>11485</v>
      </c>
      <c r="D9431" t="s">
        <v>3268</v>
      </c>
      <c r="E9431" t="s">
        <v>5999</v>
      </c>
      <c r="F9431" t="s">
        <v>6000</v>
      </c>
      <c r="G9431" t="s">
        <v>6000</v>
      </c>
      <c r="H9431" t="s">
        <v>859</v>
      </c>
      <c r="I9431" t="s">
        <v>1102</v>
      </c>
      <c r="J9431" t="str">
        <f>"9521495"</f>
        <v>9521495</v>
      </c>
      <c r="K9431">
        <v>2102474190</v>
      </c>
      <c r="L9431">
        <v>2102386990</v>
      </c>
      <c r="M9431" t="s">
        <v>11486</v>
      </c>
      <c r="N9431" t="s">
        <v>6000</v>
      </c>
      <c r="O9431" t="s">
        <v>11453</v>
      </c>
      <c r="P9431">
        <v>13461</v>
      </c>
      <c r="Q9431" t="str">
        <f>"38.073301"</f>
        <v>38.073301</v>
      </c>
      <c r="R9431" t="str">
        <f>"23.713034"</f>
        <v>23.713034</v>
      </c>
      <c r="S9431" t="s">
        <v>26</v>
      </c>
    </row>
    <row r="9432" spans="1:19" x14ac:dyDescent="0.3">
      <c r="A9432" t="s">
        <v>3237</v>
      </c>
      <c r="B9432" t="s">
        <v>11164</v>
      </c>
      <c r="C9432" t="s">
        <v>11487</v>
      </c>
      <c r="D9432" t="s">
        <v>3268</v>
      </c>
      <c r="E9432" t="s">
        <v>5999</v>
      </c>
      <c r="F9432" t="s">
        <v>6000</v>
      </c>
      <c r="G9432" t="s">
        <v>6000</v>
      </c>
      <c r="H9432" t="s">
        <v>859</v>
      </c>
      <c r="I9432" t="s">
        <v>860</v>
      </c>
      <c r="J9432" t="str">
        <f>"9521501"</f>
        <v>9521501</v>
      </c>
      <c r="K9432">
        <v>2102380380</v>
      </c>
      <c r="L9432">
        <v>2102380380</v>
      </c>
      <c r="M9432" t="s">
        <v>11488</v>
      </c>
      <c r="N9432" t="s">
        <v>6000</v>
      </c>
      <c r="O9432" t="s">
        <v>11489</v>
      </c>
      <c r="P9432">
        <v>13461</v>
      </c>
      <c r="Q9432" t="str">
        <f>"38.060000"</f>
        <v>38.060000</v>
      </c>
      <c r="R9432" t="str">
        <f>"23.710000"</f>
        <v>23.710000</v>
      </c>
      <c r="S9432" t="s">
        <v>26</v>
      </c>
    </row>
    <row r="9433" spans="1:19" x14ac:dyDescent="0.3">
      <c r="A9433" t="s">
        <v>3237</v>
      </c>
      <c r="B9433" t="s">
        <v>11164</v>
      </c>
      <c r="C9433" t="s">
        <v>11490</v>
      </c>
      <c r="D9433" t="s">
        <v>3268</v>
      </c>
      <c r="E9433" t="s">
        <v>6028</v>
      </c>
      <c r="F9433" t="s">
        <v>6028</v>
      </c>
      <c r="G9433" t="s">
        <v>6028</v>
      </c>
      <c r="H9433" t="s">
        <v>859</v>
      </c>
      <c r="I9433" t="s">
        <v>860</v>
      </c>
      <c r="J9433" t="str">
        <f>"9521354"</f>
        <v>9521354</v>
      </c>
      <c r="K9433">
        <v>2105597840</v>
      </c>
      <c r="M9433" t="s">
        <v>11491</v>
      </c>
      <c r="N9433" t="s">
        <v>6028</v>
      </c>
      <c r="O9433" t="s">
        <v>11492</v>
      </c>
      <c r="P9433">
        <v>19300</v>
      </c>
      <c r="Q9433" t="str">
        <f>"38.097956"</f>
        <v>38.097956</v>
      </c>
      <c r="R9433" t="str">
        <f>"23.592104"</f>
        <v>23.592104</v>
      </c>
      <c r="S9433" t="s">
        <v>26</v>
      </c>
    </row>
    <row r="9434" spans="1:19" x14ac:dyDescent="0.3">
      <c r="A9434" t="s">
        <v>3237</v>
      </c>
      <c r="B9434" t="s">
        <v>11164</v>
      </c>
      <c r="C9434" t="s">
        <v>11493</v>
      </c>
      <c r="D9434" t="s">
        <v>3268</v>
      </c>
      <c r="E9434" t="s">
        <v>6028</v>
      </c>
      <c r="F9434" t="s">
        <v>6028</v>
      </c>
      <c r="G9434" t="s">
        <v>6028</v>
      </c>
      <c r="H9434" t="s">
        <v>859</v>
      </c>
      <c r="I9434" t="s">
        <v>860</v>
      </c>
      <c r="J9434" t="str">
        <f>"9521586"</f>
        <v>9521586</v>
      </c>
      <c r="N9434" t="s">
        <v>6028</v>
      </c>
      <c r="O9434" t="s">
        <v>6031</v>
      </c>
      <c r="P9434">
        <v>0</v>
      </c>
      <c r="Q9434" t="str">
        <f>""</f>
        <v/>
      </c>
      <c r="R9434" t="str">
        <f>""</f>
        <v/>
      </c>
      <c r="S9434" t="s">
        <v>26</v>
      </c>
    </row>
    <row r="9435" spans="1:19" x14ac:dyDescent="0.3">
      <c r="A9435" t="s">
        <v>3237</v>
      </c>
      <c r="B9435" t="s">
        <v>11164</v>
      </c>
      <c r="C9435" t="s">
        <v>11494</v>
      </c>
      <c r="D9435" t="s">
        <v>3268</v>
      </c>
      <c r="E9435" t="s">
        <v>5999</v>
      </c>
      <c r="F9435" t="s">
        <v>6016</v>
      </c>
      <c r="G9435" t="s">
        <v>6016</v>
      </c>
      <c r="H9435" t="s">
        <v>859</v>
      </c>
      <c r="I9435" t="s">
        <v>860</v>
      </c>
      <c r="J9435" t="str">
        <f>"9521587"</f>
        <v>9521587</v>
      </c>
      <c r="N9435" t="s">
        <v>6016</v>
      </c>
      <c r="O9435" t="s">
        <v>6041</v>
      </c>
      <c r="P9435">
        <v>0</v>
      </c>
      <c r="Q9435" t="str">
        <f>""</f>
        <v/>
      </c>
      <c r="R9435" t="str">
        <f>""</f>
        <v/>
      </c>
      <c r="S9435" t="s">
        <v>26</v>
      </c>
    </row>
    <row r="9436" spans="1:19" x14ac:dyDescent="0.3">
      <c r="A9436" t="s">
        <v>3237</v>
      </c>
      <c r="B9436" t="s">
        <v>11164</v>
      </c>
      <c r="C9436" t="s">
        <v>11495</v>
      </c>
      <c r="D9436" t="s">
        <v>3268</v>
      </c>
      <c r="E9436" t="s">
        <v>3269</v>
      </c>
      <c r="F9436" t="s">
        <v>3270</v>
      </c>
      <c r="G9436" t="s">
        <v>3270</v>
      </c>
      <c r="H9436" t="s">
        <v>859</v>
      </c>
      <c r="I9436" t="s">
        <v>860</v>
      </c>
      <c r="J9436" t="str">
        <f>"9521656"</f>
        <v>9521656</v>
      </c>
      <c r="N9436" t="s">
        <v>3269</v>
      </c>
      <c r="O9436" t="s">
        <v>3273</v>
      </c>
      <c r="P9436">
        <v>0</v>
      </c>
      <c r="Q9436" t="str">
        <f>""</f>
        <v/>
      </c>
      <c r="R9436" t="str">
        <f>""</f>
        <v/>
      </c>
      <c r="S9436" t="s">
        <v>26</v>
      </c>
    </row>
    <row r="9437" spans="1:19" x14ac:dyDescent="0.3">
      <c r="A9437" t="s">
        <v>3237</v>
      </c>
      <c r="B9437" t="s">
        <v>11164</v>
      </c>
      <c r="C9437" t="s">
        <v>11496</v>
      </c>
      <c r="D9437" t="s">
        <v>3268</v>
      </c>
      <c r="E9437" t="s">
        <v>3269</v>
      </c>
      <c r="F9437" t="s">
        <v>6089</v>
      </c>
      <c r="G9437" t="s">
        <v>6089</v>
      </c>
      <c r="H9437" t="s">
        <v>859</v>
      </c>
      <c r="I9437" t="s">
        <v>860</v>
      </c>
      <c r="J9437" t="str">
        <f>"9521657"</f>
        <v>9521657</v>
      </c>
      <c r="N9437" t="s">
        <v>6089</v>
      </c>
      <c r="O9437" t="s">
        <v>6092</v>
      </c>
      <c r="P9437">
        <v>0</v>
      </c>
      <c r="Q9437" t="str">
        <f>""</f>
        <v/>
      </c>
      <c r="R9437" t="str">
        <f>""</f>
        <v/>
      </c>
      <c r="S9437" t="s">
        <v>26</v>
      </c>
    </row>
    <row r="9438" spans="1:19" x14ac:dyDescent="0.3">
      <c r="A9438" t="s">
        <v>3237</v>
      </c>
      <c r="B9438" t="s">
        <v>11164</v>
      </c>
      <c r="C9438" t="s">
        <v>11497</v>
      </c>
      <c r="D9438" t="s">
        <v>3268</v>
      </c>
      <c r="E9438" t="s">
        <v>6017</v>
      </c>
      <c r="F9438" t="s">
        <v>6017</v>
      </c>
      <c r="G9438" t="s">
        <v>6017</v>
      </c>
      <c r="H9438" t="s">
        <v>859</v>
      </c>
      <c r="I9438" t="s">
        <v>860</v>
      </c>
      <c r="J9438" t="str">
        <f>"9521658"</f>
        <v>9521658</v>
      </c>
      <c r="N9438" t="s">
        <v>11498</v>
      </c>
      <c r="O9438" t="s">
        <v>8872</v>
      </c>
      <c r="P9438">
        <v>0</v>
      </c>
      <c r="Q9438" t="str">
        <f>""</f>
        <v/>
      </c>
      <c r="R9438" t="str">
        <f>""</f>
        <v/>
      </c>
      <c r="S9438" t="s">
        <v>26</v>
      </c>
    </row>
    <row r="9439" spans="1:19" x14ac:dyDescent="0.3">
      <c r="A9439" t="s">
        <v>3237</v>
      </c>
      <c r="B9439" t="s">
        <v>11503</v>
      </c>
      <c r="C9439" t="s">
        <v>11508</v>
      </c>
      <c r="D9439" t="s">
        <v>3275</v>
      </c>
      <c r="E9439" t="s">
        <v>6212</v>
      </c>
      <c r="F9439" t="s">
        <v>6256</v>
      </c>
      <c r="G9439" t="s">
        <v>6256</v>
      </c>
      <c r="H9439" t="s">
        <v>859</v>
      </c>
      <c r="I9439" t="s">
        <v>860</v>
      </c>
      <c r="J9439" t="str">
        <f>"9520242"</f>
        <v>9520242</v>
      </c>
      <c r="K9439">
        <v>2104318500</v>
      </c>
      <c r="L9439">
        <v>2104318500</v>
      </c>
      <c r="M9439" t="s">
        <v>11509</v>
      </c>
      <c r="N9439" t="s">
        <v>6256</v>
      </c>
      <c r="O9439" t="s">
        <v>11510</v>
      </c>
      <c r="P9439">
        <v>18756</v>
      </c>
      <c r="Q9439" t="str">
        <f>"37.959982"</f>
        <v>37.959982</v>
      </c>
      <c r="R9439" t="str">
        <f>"23.620410"</f>
        <v>23.620410</v>
      </c>
      <c r="S9439" t="s">
        <v>26</v>
      </c>
    </row>
    <row r="9440" spans="1:19" x14ac:dyDescent="0.3">
      <c r="A9440" t="s">
        <v>3237</v>
      </c>
      <c r="B9440" t="s">
        <v>11503</v>
      </c>
      <c r="C9440" t="s">
        <v>11511</v>
      </c>
      <c r="D9440" t="s">
        <v>3275</v>
      </c>
      <c r="E9440" t="s">
        <v>6212</v>
      </c>
      <c r="F9440" t="s">
        <v>6256</v>
      </c>
      <c r="G9440" t="s">
        <v>6256</v>
      </c>
      <c r="H9440" t="s">
        <v>859</v>
      </c>
      <c r="I9440" t="s">
        <v>860</v>
      </c>
      <c r="J9440" t="str">
        <f>"9520230"</f>
        <v>9520230</v>
      </c>
      <c r="K9440">
        <v>2104310127</v>
      </c>
      <c r="L9440">
        <v>2104310127</v>
      </c>
      <c r="M9440" t="s">
        <v>11512</v>
      </c>
      <c r="N9440" t="s">
        <v>6256</v>
      </c>
      <c r="O9440" t="s">
        <v>1374</v>
      </c>
      <c r="P9440">
        <v>18755</v>
      </c>
      <c r="Q9440" t="str">
        <f>"37.951512"</f>
        <v>37.951512</v>
      </c>
      <c r="R9440" t="str">
        <f>"23.614051"</f>
        <v>23.614051</v>
      </c>
      <c r="S9440" t="s">
        <v>26</v>
      </c>
    </row>
    <row r="9441" spans="1:19" x14ac:dyDescent="0.3">
      <c r="A9441" t="s">
        <v>3237</v>
      </c>
      <c r="B9441" t="s">
        <v>11503</v>
      </c>
      <c r="C9441" t="s">
        <v>11513</v>
      </c>
      <c r="D9441" t="s">
        <v>3275</v>
      </c>
      <c r="E9441" t="s">
        <v>3275</v>
      </c>
      <c r="F9441" t="s">
        <v>3275</v>
      </c>
      <c r="G9441" t="s">
        <v>6290</v>
      </c>
      <c r="H9441" t="s">
        <v>859</v>
      </c>
      <c r="I9441" t="s">
        <v>860</v>
      </c>
      <c r="J9441" t="str">
        <f>"9520314"</f>
        <v>9520314</v>
      </c>
      <c r="K9441">
        <v>2104120840</v>
      </c>
      <c r="L9441">
        <v>2104120840</v>
      </c>
      <c r="M9441" t="s">
        <v>11514</v>
      </c>
      <c r="N9441" t="s">
        <v>3279</v>
      </c>
      <c r="O9441" t="s">
        <v>11515</v>
      </c>
      <c r="P9441">
        <v>18534</v>
      </c>
      <c r="Q9441" t="str">
        <f>"37.942904"</f>
        <v>37.942904</v>
      </c>
      <c r="R9441" t="str">
        <f>"23.654723"</f>
        <v>23.654723</v>
      </c>
      <c r="S9441" t="s">
        <v>26</v>
      </c>
    </row>
    <row r="9442" spans="1:19" x14ac:dyDescent="0.3">
      <c r="A9442" t="s">
        <v>3237</v>
      </c>
      <c r="B9442" t="s">
        <v>11503</v>
      </c>
      <c r="C9442" t="s">
        <v>11516</v>
      </c>
      <c r="D9442" t="s">
        <v>6222</v>
      </c>
      <c r="E9442" t="s">
        <v>6223</v>
      </c>
      <c r="F9442" t="s">
        <v>6229</v>
      </c>
      <c r="G9442" t="s">
        <v>6223</v>
      </c>
      <c r="H9442" t="s">
        <v>859</v>
      </c>
      <c r="I9442" t="s">
        <v>860</v>
      </c>
      <c r="J9442" t="str">
        <f>"9520427"</f>
        <v>9520427</v>
      </c>
      <c r="K9442">
        <v>2104653386</v>
      </c>
      <c r="L9442">
        <v>2104653386</v>
      </c>
      <c r="M9442" t="s">
        <v>11517</v>
      </c>
      <c r="N9442" t="s">
        <v>6229</v>
      </c>
      <c r="O9442" t="s">
        <v>11518</v>
      </c>
      <c r="P9442">
        <v>18900</v>
      </c>
      <c r="Q9442" t="str">
        <f>"37.968093"</f>
        <v>37.968093</v>
      </c>
      <c r="R9442" t="str">
        <f>"23.494793"</f>
        <v>23.494793</v>
      </c>
      <c r="S9442" t="s">
        <v>26</v>
      </c>
    </row>
    <row r="9443" spans="1:19" x14ac:dyDescent="0.3">
      <c r="A9443" t="s">
        <v>3237</v>
      </c>
      <c r="B9443" t="s">
        <v>11503</v>
      </c>
      <c r="C9443" t="s">
        <v>11519</v>
      </c>
      <c r="D9443" t="s">
        <v>3275</v>
      </c>
      <c r="E9443" t="s">
        <v>6212</v>
      </c>
      <c r="F9443" t="s">
        <v>6256</v>
      </c>
      <c r="G9443" t="s">
        <v>6256</v>
      </c>
      <c r="H9443" t="s">
        <v>859</v>
      </c>
      <c r="I9443" t="s">
        <v>860</v>
      </c>
      <c r="J9443" t="str">
        <f>"9520503"</f>
        <v>9520503</v>
      </c>
      <c r="K9443">
        <v>2104312073</v>
      </c>
      <c r="L9443">
        <v>2104312073</v>
      </c>
      <c r="M9443" t="s">
        <v>11520</v>
      </c>
      <c r="N9443" t="s">
        <v>6256</v>
      </c>
      <c r="O9443" t="s">
        <v>11521</v>
      </c>
      <c r="P9443">
        <v>18757</v>
      </c>
      <c r="Q9443" t="str">
        <f>"37.972373"</f>
        <v>37.972373</v>
      </c>
      <c r="R9443" t="str">
        <f>"23.628208"</f>
        <v>23.628208</v>
      </c>
      <c r="S9443" t="s">
        <v>26</v>
      </c>
    </row>
    <row r="9444" spans="1:19" x14ac:dyDescent="0.3">
      <c r="A9444" t="s">
        <v>3237</v>
      </c>
      <c r="B9444" t="s">
        <v>11503</v>
      </c>
      <c r="C9444" t="s">
        <v>11522</v>
      </c>
      <c r="D9444" t="s">
        <v>3275</v>
      </c>
      <c r="E9444" t="s">
        <v>6212</v>
      </c>
      <c r="F9444" t="s">
        <v>6256</v>
      </c>
      <c r="G9444" t="s">
        <v>6256</v>
      </c>
      <c r="H9444" t="s">
        <v>859</v>
      </c>
      <c r="I9444" t="s">
        <v>860</v>
      </c>
      <c r="J9444" t="str">
        <f>"9520256"</f>
        <v>9520256</v>
      </c>
      <c r="K9444">
        <v>2104322948</v>
      </c>
      <c r="L9444">
        <v>2104322948</v>
      </c>
      <c r="M9444" t="s">
        <v>11523</v>
      </c>
      <c r="N9444" t="s">
        <v>6256</v>
      </c>
      <c r="O9444" t="s">
        <v>11524</v>
      </c>
      <c r="P9444">
        <v>18755</v>
      </c>
      <c r="Q9444" t="str">
        <f>"37.958032"</f>
        <v>37.958032</v>
      </c>
      <c r="R9444" t="str">
        <f>"23.619573"</f>
        <v>23.619573</v>
      </c>
      <c r="S9444" t="s">
        <v>26</v>
      </c>
    </row>
    <row r="9445" spans="1:19" x14ac:dyDescent="0.3">
      <c r="A9445" t="s">
        <v>3237</v>
      </c>
      <c r="B9445" t="s">
        <v>11503</v>
      </c>
      <c r="C9445" t="s">
        <v>11525</v>
      </c>
      <c r="D9445" t="s">
        <v>6222</v>
      </c>
      <c r="E9445" t="s">
        <v>6223</v>
      </c>
      <c r="F9445" t="s">
        <v>6229</v>
      </c>
      <c r="G9445" t="s">
        <v>6223</v>
      </c>
      <c r="H9445" t="s">
        <v>859</v>
      </c>
      <c r="I9445" t="s">
        <v>860</v>
      </c>
      <c r="J9445" t="str">
        <f>"9520186"</f>
        <v>9520186</v>
      </c>
      <c r="K9445">
        <v>2104652639</v>
      </c>
      <c r="M9445" t="s">
        <v>11526</v>
      </c>
      <c r="N9445" t="s">
        <v>6389</v>
      </c>
      <c r="O9445" t="s">
        <v>11527</v>
      </c>
      <c r="P9445">
        <v>18900</v>
      </c>
      <c r="Q9445" t="str">
        <f>"37.966576"</f>
        <v>37.966576</v>
      </c>
      <c r="R9445" t="str">
        <f>"23.491221"</f>
        <v>23.491221</v>
      </c>
      <c r="S9445" t="s">
        <v>26</v>
      </c>
    </row>
    <row r="9446" spans="1:19" x14ac:dyDescent="0.3">
      <c r="A9446" t="s">
        <v>3237</v>
      </c>
      <c r="B9446" t="s">
        <v>11503</v>
      </c>
      <c r="C9446" t="s">
        <v>11528</v>
      </c>
      <c r="D9446" t="s">
        <v>3275</v>
      </c>
      <c r="E9446" t="s">
        <v>6212</v>
      </c>
      <c r="F9446" t="s">
        <v>6256</v>
      </c>
      <c r="G9446" t="s">
        <v>6256</v>
      </c>
      <c r="H9446" t="s">
        <v>859</v>
      </c>
      <c r="I9446" t="s">
        <v>860</v>
      </c>
      <c r="J9446" t="str">
        <f>"9520289"</f>
        <v>9520289</v>
      </c>
      <c r="K9446">
        <v>2104311093</v>
      </c>
      <c r="L9446">
        <v>2104311093</v>
      </c>
      <c r="M9446" t="s">
        <v>11529</v>
      </c>
      <c r="N9446" t="s">
        <v>6256</v>
      </c>
      <c r="O9446" t="s">
        <v>11530</v>
      </c>
      <c r="P9446">
        <v>18757</v>
      </c>
      <c r="Q9446" t="str">
        <f>"37.971144"</f>
        <v>37.971144</v>
      </c>
      <c r="R9446" t="str">
        <f>"23.622523"</f>
        <v>23.622523</v>
      </c>
      <c r="S9446" t="s">
        <v>26</v>
      </c>
    </row>
    <row r="9447" spans="1:19" x14ac:dyDescent="0.3">
      <c r="A9447" t="s">
        <v>3237</v>
      </c>
      <c r="B9447" t="s">
        <v>11503</v>
      </c>
      <c r="C9447" t="s">
        <v>11531</v>
      </c>
      <c r="D9447" t="s">
        <v>3275</v>
      </c>
      <c r="E9447" t="s">
        <v>6212</v>
      </c>
      <c r="F9447" t="s">
        <v>6256</v>
      </c>
      <c r="G9447" t="s">
        <v>6256</v>
      </c>
      <c r="H9447" t="s">
        <v>859</v>
      </c>
      <c r="I9447" t="s">
        <v>860</v>
      </c>
      <c r="J9447" t="str">
        <f>"9520400"</f>
        <v>9520400</v>
      </c>
      <c r="K9447">
        <v>2104325333</v>
      </c>
      <c r="L9447">
        <v>2104325333</v>
      </c>
      <c r="M9447" t="s">
        <v>11532</v>
      </c>
      <c r="N9447" t="s">
        <v>6256</v>
      </c>
      <c r="O9447" t="s">
        <v>11533</v>
      </c>
      <c r="P9447">
        <v>18757</v>
      </c>
      <c r="Q9447" t="str">
        <f>"37.974294"</f>
        <v>37.974294</v>
      </c>
      <c r="R9447" t="str">
        <f>"23.627766"</f>
        <v>23.627766</v>
      </c>
      <c r="S9447" t="s">
        <v>26</v>
      </c>
    </row>
    <row r="9448" spans="1:19" x14ac:dyDescent="0.3">
      <c r="A9448" t="s">
        <v>3237</v>
      </c>
      <c r="B9448" t="s">
        <v>11503</v>
      </c>
      <c r="C9448" t="s">
        <v>11534</v>
      </c>
      <c r="D9448" t="s">
        <v>3275</v>
      </c>
      <c r="E9448" t="s">
        <v>6212</v>
      </c>
      <c r="F9448" t="s">
        <v>6256</v>
      </c>
      <c r="G9448" t="s">
        <v>6256</v>
      </c>
      <c r="H9448" t="s">
        <v>859</v>
      </c>
      <c r="I9448" t="s">
        <v>860</v>
      </c>
      <c r="J9448" t="str">
        <f>"9520055"</f>
        <v>9520055</v>
      </c>
      <c r="K9448">
        <v>2104632932</v>
      </c>
      <c r="L9448">
        <v>2104632932</v>
      </c>
      <c r="M9448" t="s">
        <v>11535</v>
      </c>
      <c r="N9448" t="s">
        <v>6256</v>
      </c>
      <c r="O9448" t="s">
        <v>11536</v>
      </c>
      <c r="P9448">
        <v>18756</v>
      </c>
      <c r="Q9448" t="str">
        <f>"37.959968"</f>
        <v>37.959968</v>
      </c>
      <c r="R9448" t="str">
        <f>"23.625872"</f>
        <v>23.625872</v>
      </c>
      <c r="S9448" t="s">
        <v>26</v>
      </c>
    </row>
    <row r="9449" spans="1:19" x14ac:dyDescent="0.3">
      <c r="A9449" t="s">
        <v>3237</v>
      </c>
      <c r="B9449" t="s">
        <v>11503</v>
      </c>
      <c r="C9449" t="s">
        <v>11537</v>
      </c>
      <c r="D9449" t="s">
        <v>3275</v>
      </c>
      <c r="E9449" t="s">
        <v>6212</v>
      </c>
      <c r="F9449" t="s">
        <v>6256</v>
      </c>
      <c r="G9449" t="s">
        <v>6256</v>
      </c>
      <c r="H9449" t="s">
        <v>859</v>
      </c>
      <c r="I9449" t="s">
        <v>860</v>
      </c>
      <c r="J9449" t="str">
        <f>"9520324"</f>
        <v>9520324</v>
      </c>
      <c r="K9449">
        <v>2104325055</v>
      </c>
      <c r="L9449">
        <v>2104325055</v>
      </c>
      <c r="M9449" t="s">
        <v>11538</v>
      </c>
      <c r="N9449" t="s">
        <v>6256</v>
      </c>
      <c r="O9449" t="s">
        <v>11539</v>
      </c>
      <c r="P9449">
        <v>18757</v>
      </c>
      <c r="Q9449" t="str">
        <f>"37.964425"</f>
        <v>37.964425</v>
      </c>
      <c r="R9449" t="str">
        <f>"23.618177"</f>
        <v>23.618177</v>
      </c>
      <c r="S9449" t="s">
        <v>26</v>
      </c>
    </row>
    <row r="9450" spans="1:19" x14ac:dyDescent="0.3">
      <c r="A9450" t="s">
        <v>3237</v>
      </c>
      <c r="B9450" t="s">
        <v>11503</v>
      </c>
      <c r="C9450" t="s">
        <v>11540</v>
      </c>
      <c r="D9450" t="s">
        <v>6222</v>
      </c>
      <c r="E9450" t="s">
        <v>6223</v>
      </c>
      <c r="F9450" t="s">
        <v>6229</v>
      </c>
      <c r="G9450" t="s">
        <v>6223</v>
      </c>
      <c r="H9450" t="s">
        <v>859</v>
      </c>
      <c r="I9450" t="s">
        <v>860</v>
      </c>
      <c r="J9450" t="str">
        <f>"9520294"</f>
        <v>9520294</v>
      </c>
      <c r="K9450">
        <v>2104656988</v>
      </c>
      <c r="L9450">
        <v>2104656988</v>
      </c>
      <c r="M9450" t="s">
        <v>11541</v>
      </c>
      <c r="N9450" t="s">
        <v>6389</v>
      </c>
      <c r="O9450" t="s">
        <v>11542</v>
      </c>
      <c r="P9450">
        <v>18900</v>
      </c>
      <c r="Q9450" t="str">
        <f>"37.963510"</f>
        <v>37.963510</v>
      </c>
      <c r="R9450" t="str">
        <f>"23.484203"</f>
        <v>23.484203</v>
      </c>
      <c r="S9450" t="s">
        <v>26</v>
      </c>
    </row>
    <row r="9451" spans="1:19" x14ac:dyDescent="0.3">
      <c r="A9451" t="s">
        <v>3237</v>
      </c>
      <c r="B9451" t="s">
        <v>11503</v>
      </c>
      <c r="C9451" t="s">
        <v>11543</v>
      </c>
      <c r="D9451" t="s">
        <v>3275</v>
      </c>
      <c r="E9451" t="s">
        <v>6203</v>
      </c>
      <c r="F9451" t="s">
        <v>6203</v>
      </c>
      <c r="G9451" t="s">
        <v>6203</v>
      </c>
      <c r="H9451" t="s">
        <v>859</v>
      </c>
      <c r="I9451" t="s">
        <v>860</v>
      </c>
      <c r="J9451" t="str">
        <f>"9520170"</f>
        <v>9520170</v>
      </c>
      <c r="K9451">
        <v>2104413848</v>
      </c>
      <c r="L9451">
        <v>2104413848</v>
      </c>
      <c r="M9451" t="s">
        <v>11544</v>
      </c>
      <c r="N9451" t="s">
        <v>6203</v>
      </c>
      <c r="O9451" t="s">
        <v>11545</v>
      </c>
      <c r="P9451">
        <v>18863</v>
      </c>
      <c r="Q9451" t="str">
        <f>"37.967601"</f>
        <v>37.967601</v>
      </c>
      <c r="R9451" t="str">
        <f>"23.565189"</f>
        <v>23.565189</v>
      </c>
      <c r="S9451" t="s">
        <v>26</v>
      </c>
    </row>
    <row r="9452" spans="1:19" x14ac:dyDescent="0.3">
      <c r="A9452" t="s">
        <v>3237</v>
      </c>
      <c r="B9452" t="s">
        <v>11503</v>
      </c>
      <c r="C9452" t="s">
        <v>11546</v>
      </c>
      <c r="D9452" t="s">
        <v>3275</v>
      </c>
      <c r="E9452" t="s">
        <v>6212</v>
      </c>
      <c r="F9452" t="s">
        <v>6256</v>
      </c>
      <c r="G9452" t="s">
        <v>6256</v>
      </c>
      <c r="H9452" t="s">
        <v>859</v>
      </c>
      <c r="I9452" t="s">
        <v>860</v>
      </c>
      <c r="J9452" t="str">
        <f>"9520520"</f>
        <v>9520520</v>
      </c>
      <c r="K9452">
        <v>2104315365</v>
      </c>
      <c r="L9452">
        <v>2104315365</v>
      </c>
      <c r="M9452" t="s">
        <v>11547</v>
      </c>
      <c r="N9452" t="s">
        <v>6256</v>
      </c>
      <c r="O9452" t="s">
        <v>11548</v>
      </c>
      <c r="P9452">
        <v>18757</v>
      </c>
      <c r="Q9452" t="str">
        <f>"37.968224"</f>
        <v>37.968224</v>
      </c>
      <c r="R9452" t="str">
        <f>"23.621176"</f>
        <v>23.621176</v>
      </c>
      <c r="S9452" t="s">
        <v>26</v>
      </c>
    </row>
    <row r="9453" spans="1:19" x14ac:dyDescent="0.3">
      <c r="A9453" t="s">
        <v>3237</v>
      </c>
      <c r="B9453" t="s">
        <v>11503</v>
      </c>
      <c r="C9453" t="s">
        <v>11549</v>
      </c>
      <c r="D9453" t="s">
        <v>3275</v>
      </c>
      <c r="E9453" t="s">
        <v>6203</v>
      </c>
      <c r="F9453" t="s">
        <v>6203</v>
      </c>
      <c r="G9453" t="s">
        <v>6203</v>
      </c>
      <c r="H9453" t="s">
        <v>859</v>
      </c>
      <c r="I9453" t="s">
        <v>860</v>
      </c>
      <c r="J9453" t="str">
        <f>"9520244"</f>
        <v>9520244</v>
      </c>
      <c r="K9453">
        <v>2104413863</v>
      </c>
      <c r="L9453">
        <v>2104413863</v>
      </c>
      <c r="M9453" t="s">
        <v>11550</v>
      </c>
      <c r="N9453" t="s">
        <v>6203</v>
      </c>
      <c r="O9453" t="s">
        <v>11551</v>
      </c>
      <c r="P9453">
        <v>18863</v>
      </c>
      <c r="Q9453" t="str">
        <f>"37.963648"</f>
        <v>37.963648</v>
      </c>
      <c r="R9453" t="str">
        <f>"23.575636"</f>
        <v>23.575636</v>
      </c>
      <c r="S9453" t="s">
        <v>26</v>
      </c>
    </row>
    <row r="9454" spans="1:19" x14ac:dyDescent="0.3">
      <c r="A9454" t="s">
        <v>3237</v>
      </c>
      <c r="B9454" t="s">
        <v>11503</v>
      </c>
      <c r="C9454" t="s">
        <v>11552</v>
      </c>
      <c r="D9454" t="s">
        <v>3275</v>
      </c>
      <c r="E9454" t="s">
        <v>3275</v>
      </c>
      <c r="F9454" t="s">
        <v>3275</v>
      </c>
      <c r="G9454" t="s">
        <v>3276</v>
      </c>
      <c r="H9454" t="s">
        <v>859</v>
      </c>
      <c r="I9454" t="s">
        <v>860</v>
      </c>
      <c r="J9454" t="str">
        <f>"9520221"</f>
        <v>9520221</v>
      </c>
      <c r="K9454">
        <v>2104524583</v>
      </c>
      <c r="L9454">
        <v>2104524583</v>
      </c>
      <c r="M9454" t="s">
        <v>11553</v>
      </c>
      <c r="N9454" t="s">
        <v>6200</v>
      </c>
      <c r="O9454" t="s">
        <v>11554</v>
      </c>
      <c r="P9454">
        <v>18537</v>
      </c>
      <c r="Q9454" t="str">
        <f>"37.930573"</f>
        <v>37.930573</v>
      </c>
      <c r="R9454" t="str">
        <f>"23.640756"</f>
        <v>23.640756</v>
      </c>
      <c r="S9454" t="s">
        <v>26</v>
      </c>
    </row>
    <row r="9455" spans="1:19" x14ac:dyDescent="0.3">
      <c r="A9455" t="s">
        <v>3237</v>
      </c>
      <c r="B9455" t="s">
        <v>11503</v>
      </c>
      <c r="C9455" t="s">
        <v>11555</v>
      </c>
      <c r="D9455" t="s">
        <v>3275</v>
      </c>
      <c r="E9455" t="s">
        <v>6212</v>
      </c>
      <c r="F9455" t="s">
        <v>6256</v>
      </c>
      <c r="G9455" t="s">
        <v>6256</v>
      </c>
      <c r="H9455" t="s">
        <v>859</v>
      </c>
      <c r="I9455" t="s">
        <v>860</v>
      </c>
      <c r="J9455" t="str">
        <f>"9520243"</f>
        <v>9520243</v>
      </c>
      <c r="K9455">
        <v>2104618798</v>
      </c>
      <c r="L9455">
        <v>2104618798</v>
      </c>
      <c r="M9455" t="s">
        <v>11556</v>
      </c>
      <c r="N9455" t="s">
        <v>6256</v>
      </c>
      <c r="O9455" t="s">
        <v>11557</v>
      </c>
      <c r="P9455">
        <v>18756</v>
      </c>
      <c r="Q9455" t="str">
        <f>"37.962886"</f>
        <v>37.962886</v>
      </c>
      <c r="R9455" t="str">
        <f>"23.626376"</f>
        <v>23.626376</v>
      </c>
      <c r="S9455" t="s">
        <v>26</v>
      </c>
    </row>
    <row r="9456" spans="1:19" x14ac:dyDescent="0.3">
      <c r="A9456" t="s">
        <v>3237</v>
      </c>
      <c r="B9456" t="s">
        <v>11503</v>
      </c>
      <c r="C9456" t="s">
        <v>11558</v>
      </c>
      <c r="D9456" t="s">
        <v>3275</v>
      </c>
      <c r="E9456" t="s">
        <v>6212</v>
      </c>
      <c r="F9456" t="s">
        <v>6256</v>
      </c>
      <c r="G9456" t="s">
        <v>6256</v>
      </c>
      <c r="H9456" t="s">
        <v>859</v>
      </c>
      <c r="I9456" t="s">
        <v>860</v>
      </c>
      <c r="J9456" t="str">
        <f>"9520329"</f>
        <v>9520329</v>
      </c>
      <c r="K9456">
        <v>2104325355</v>
      </c>
      <c r="L9456">
        <v>2104325355</v>
      </c>
      <c r="M9456" t="s">
        <v>11559</v>
      </c>
      <c r="N9456" t="s">
        <v>6256</v>
      </c>
      <c r="O9456" t="s">
        <v>11560</v>
      </c>
      <c r="P9456">
        <v>18755</v>
      </c>
      <c r="Q9456" t="str">
        <f>"37.955414"</f>
        <v>37.955414</v>
      </c>
      <c r="R9456" t="str">
        <f>"23.617032"</f>
        <v>23.617032</v>
      </c>
      <c r="S9456" t="s">
        <v>26</v>
      </c>
    </row>
    <row r="9457" spans="1:19" x14ac:dyDescent="0.3">
      <c r="A9457" t="s">
        <v>3237</v>
      </c>
      <c r="B9457" t="s">
        <v>11503</v>
      </c>
      <c r="C9457" t="s">
        <v>11561</v>
      </c>
      <c r="D9457" t="s">
        <v>3275</v>
      </c>
      <c r="E9457" t="s">
        <v>6212</v>
      </c>
      <c r="F9457" t="s">
        <v>6256</v>
      </c>
      <c r="G9457" t="s">
        <v>6256</v>
      </c>
      <c r="H9457" t="s">
        <v>859</v>
      </c>
      <c r="I9457" t="s">
        <v>860</v>
      </c>
      <c r="J9457" t="str">
        <f>"9520369"</f>
        <v>9520369</v>
      </c>
      <c r="K9457">
        <v>2104325713</v>
      </c>
      <c r="L9457">
        <v>2104315365</v>
      </c>
      <c r="M9457" t="s">
        <v>11562</v>
      </c>
      <c r="N9457" t="s">
        <v>6256</v>
      </c>
      <c r="O9457" t="s">
        <v>11548</v>
      </c>
      <c r="P9457">
        <v>18757</v>
      </c>
      <c r="Q9457" t="str">
        <f>"37.968224"</f>
        <v>37.968224</v>
      </c>
      <c r="R9457" t="str">
        <f>"23.621176"</f>
        <v>23.621176</v>
      </c>
      <c r="S9457" t="s">
        <v>26</v>
      </c>
    </row>
    <row r="9458" spans="1:19" x14ac:dyDescent="0.3">
      <c r="A9458" t="s">
        <v>3237</v>
      </c>
      <c r="B9458" t="s">
        <v>11503</v>
      </c>
      <c r="C9458" t="s">
        <v>11563</v>
      </c>
      <c r="D9458" t="s">
        <v>3275</v>
      </c>
      <c r="E9458" t="s">
        <v>6212</v>
      </c>
      <c r="F9458" t="s">
        <v>6256</v>
      </c>
      <c r="G9458" t="s">
        <v>6256</v>
      </c>
      <c r="H9458" t="s">
        <v>859</v>
      </c>
      <c r="I9458" t="s">
        <v>860</v>
      </c>
      <c r="J9458" t="str">
        <f>"9520370"</f>
        <v>9520370</v>
      </c>
      <c r="K9458">
        <v>2104321568</v>
      </c>
      <c r="L9458">
        <v>2104321568</v>
      </c>
      <c r="M9458" t="s">
        <v>11564</v>
      </c>
      <c r="N9458" t="s">
        <v>6256</v>
      </c>
      <c r="O9458" t="s">
        <v>11565</v>
      </c>
      <c r="P9458">
        <v>18758</v>
      </c>
      <c r="Q9458" t="str">
        <f>"37.967613"</f>
        <v>37.967613</v>
      </c>
      <c r="R9458" t="str">
        <f>"23.609509"</f>
        <v>23.609509</v>
      </c>
      <c r="S9458" t="s">
        <v>26</v>
      </c>
    </row>
    <row r="9459" spans="1:19" x14ac:dyDescent="0.3">
      <c r="A9459" t="s">
        <v>3237</v>
      </c>
      <c r="B9459" t="s">
        <v>11503</v>
      </c>
      <c r="C9459" t="s">
        <v>11566</v>
      </c>
      <c r="D9459" t="s">
        <v>3275</v>
      </c>
      <c r="E9459" t="s">
        <v>6212</v>
      </c>
      <c r="F9459" t="s">
        <v>6256</v>
      </c>
      <c r="G9459" t="s">
        <v>6256</v>
      </c>
      <c r="H9459" t="s">
        <v>859</v>
      </c>
      <c r="I9459" t="s">
        <v>860</v>
      </c>
      <c r="J9459" t="str">
        <f>"9520419"</f>
        <v>9520419</v>
      </c>
      <c r="K9459">
        <v>2104007990</v>
      </c>
      <c r="L9459">
        <v>2104006303</v>
      </c>
      <c r="M9459" t="s">
        <v>11567</v>
      </c>
      <c r="N9459" t="s">
        <v>6256</v>
      </c>
      <c r="O9459" t="s">
        <v>11568</v>
      </c>
      <c r="P9459">
        <v>18755</v>
      </c>
      <c r="Q9459" t="str">
        <f>"37.952692"</f>
        <v>37.952692</v>
      </c>
      <c r="R9459" t="str">
        <f>"23.622277"</f>
        <v>23.622277</v>
      </c>
      <c r="S9459" t="s">
        <v>26</v>
      </c>
    </row>
    <row r="9460" spans="1:19" x14ac:dyDescent="0.3">
      <c r="A9460" t="s">
        <v>3237</v>
      </c>
      <c r="B9460" t="s">
        <v>11503</v>
      </c>
      <c r="C9460" t="s">
        <v>11569</v>
      </c>
      <c r="D9460" t="s">
        <v>3275</v>
      </c>
      <c r="E9460" t="s">
        <v>6212</v>
      </c>
      <c r="F9460" t="s">
        <v>6256</v>
      </c>
      <c r="G9460" t="s">
        <v>6256</v>
      </c>
      <c r="H9460" t="s">
        <v>859</v>
      </c>
      <c r="I9460" t="s">
        <v>860</v>
      </c>
      <c r="J9460" t="str">
        <f>"9520734"</f>
        <v>9520734</v>
      </c>
      <c r="K9460">
        <v>2104001207</v>
      </c>
      <c r="L9460">
        <v>2104001207</v>
      </c>
      <c r="M9460" t="s">
        <v>11570</v>
      </c>
      <c r="N9460" t="s">
        <v>6256</v>
      </c>
      <c r="O9460" t="s">
        <v>11571</v>
      </c>
      <c r="P9460">
        <v>18755</v>
      </c>
      <c r="Q9460" t="str">
        <f>"37.954680"</f>
        <v>37.954680</v>
      </c>
      <c r="R9460" t="str">
        <f>"23.622065"</f>
        <v>23.622065</v>
      </c>
      <c r="S9460" t="s">
        <v>26</v>
      </c>
    </row>
    <row r="9461" spans="1:19" x14ac:dyDescent="0.3">
      <c r="A9461" t="s">
        <v>3237</v>
      </c>
      <c r="B9461" t="s">
        <v>11503</v>
      </c>
      <c r="C9461" t="s">
        <v>11572</v>
      </c>
      <c r="D9461" t="s">
        <v>3275</v>
      </c>
      <c r="E9461" t="s">
        <v>3275</v>
      </c>
      <c r="F9461" t="s">
        <v>3275</v>
      </c>
      <c r="G9461" t="s">
        <v>3276</v>
      </c>
      <c r="H9461" t="s">
        <v>859</v>
      </c>
      <c r="I9461" t="s">
        <v>860</v>
      </c>
      <c r="J9461" t="str">
        <f>"9520374"</f>
        <v>9520374</v>
      </c>
      <c r="K9461">
        <v>2104535222</v>
      </c>
      <c r="L9461">
        <v>2104535874</v>
      </c>
      <c r="M9461" t="s">
        <v>11573</v>
      </c>
      <c r="N9461" t="s">
        <v>6200</v>
      </c>
      <c r="O9461" t="s">
        <v>11554</v>
      </c>
      <c r="P9461">
        <v>18537</v>
      </c>
      <c r="Q9461" t="str">
        <f>"37.930578"</f>
        <v>37.930578</v>
      </c>
      <c r="R9461" t="str">
        <f>"23.640777"</f>
        <v>23.640777</v>
      </c>
      <c r="S9461" t="s">
        <v>26</v>
      </c>
    </row>
    <row r="9462" spans="1:19" x14ac:dyDescent="0.3">
      <c r="A9462" t="s">
        <v>3237</v>
      </c>
      <c r="B9462" t="s">
        <v>11503</v>
      </c>
      <c r="C9462" t="s">
        <v>11574</v>
      </c>
      <c r="D9462" t="s">
        <v>3275</v>
      </c>
      <c r="E9462" t="s">
        <v>6203</v>
      </c>
      <c r="F9462" t="s">
        <v>6203</v>
      </c>
      <c r="G9462" t="s">
        <v>6203</v>
      </c>
      <c r="H9462" t="s">
        <v>859</v>
      </c>
      <c r="I9462" t="s">
        <v>860</v>
      </c>
      <c r="J9462" t="str">
        <f>"9520331"</f>
        <v>9520331</v>
      </c>
      <c r="K9462">
        <v>2104413034</v>
      </c>
      <c r="L9462">
        <v>2104413034</v>
      </c>
      <c r="M9462" t="s">
        <v>11575</v>
      </c>
      <c r="N9462" t="s">
        <v>6203</v>
      </c>
      <c r="O9462" t="s">
        <v>11576</v>
      </c>
      <c r="P9462">
        <v>18863</v>
      </c>
      <c r="Q9462" t="str">
        <f>"37.966800"</f>
        <v>37.966800</v>
      </c>
      <c r="R9462" t="str">
        <f>"23.574648"</f>
        <v>23.574648</v>
      </c>
      <c r="S9462" t="s">
        <v>26</v>
      </c>
    </row>
    <row r="9463" spans="1:19" x14ac:dyDescent="0.3">
      <c r="A9463" t="s">
        <v>3237</v>
      </c>
      <c r="B9463" t="s">
        <v>11503</v>
      </c>
      <c r="C9463" t="s">
        <v>11577</v>
      </c>
      <c r="D9463" t="s">
        <v>3275</v>
      </c>
      <c r="E9463" t="s">
        <v>6212</v>
      </c>
      <c r="F9463" t="s">
        <v>6256</v>
      </c>
      <c r="G9463" t="s">
        <v>6256</v>
      </c>
      <c r="H9463" t="s">
        <v>859</v>
      </c>
      <c r="I9463" t="s">
        <v>860</v>
      </c>
      <c r="J9463" t="str">
        <f>"9520399"</f>
        <v>9520399</v>
      </c>
      <c r="K9463">
        <v>2104004127</v>
      </c>
      <c r="L9463">
        <v>2104004127</v>
      </c>
      <c r="M9463" t="s">
        <v>11578</v>
      </c>
      <c r="N9463" t="s">
        <v>6256</v>
      </c>
      <c r="O9463" t="s">
        <v>11579</v>
      </c>
      <c r="P9463">
        <v>18758</v>
      </c>
      <c r="Q9463" t="str">
        <f>"37.972223"</f>
        <v>37.972223</v>
      </c>
      <c r="R9463" t="str">
        <f>"23.621255"</f>
        <v>23.621255</v>
      </c>
      <c r="S9463" t="s">
        <v>26</v>
      </c>
    </row>
    <row r="9464" spans="1:19" x14ac:dyDescent="0.3">
      <c r="A9464" t="s">
        <v>3237</v>
      </c>
      <c r="B9464" t="s">
        <v>11503</v>
      </c>
      <c r="C9464" t="s">
        <v>11580</v>
      </c>
      <c r="D9464" t="s">
        <v>3275</v>
      </c>
      <c r="E9464" t="s">
        <v>3275</v>
      </c>
      <c r="F9464" t="s">
        <v>3275</v>
      </c>
      <c r="G9464" t="s">
        <v>6193</v>
      </c>
      <c r="H9464" t="s">
        <v>859</v>
      </c>
      <c r="I9464" t="s">
        <v>860</v>
      </c>
      <c r="J9464" t="str">
        <f>"9520355"</f>
        <v>9520355</v>
      </c>
      <c r="K9464">
        <v>2104630151</v>
      </c>
      <c r="L9464">
        <v>2104630151</v>
      </c>
      <c r="M9464" t="s">
        <v>11581</v>
      </c>
      <c r="N9464" t="s">
        <v>6200</v>
      </c>
      <c r="O9464" t="s">
        <v>11582</v>
      </c>
      <c r="P9464">
        <v>18546</v>
      </c>
      <c r="Q9464" t="str">
        <f>"37.954011"</f>
        <v>37.954011</v>
      </c>
      <c r="R9464" t="str">
        <f>"23.634732"</f>
        <v>23.634732</v>
      </c>
      <c r="S9464" t="s">
        <v>26</v>
      </c>
    </row>
    <row r="9465" spans="1:19" x14ac:dyDescent="0.3">
      <c r="A9465" t="s">
        <v>3237</v>
      </c>
      <c r="B9465" t="s">
        <v>11503</v>
      </c>
      <c r="C9465" t="s">
        <v>11583</v>
      </c>
      <c r="D9465" t="s">
        <v>3275</v>
      </c>
      <c r="E9465" t="s">
        <v>3275</v>
      </c>
      <c r="F9465" t="s">
        <v>3275</v>
      </c>
      <c r="G9465" t="s">
        <v>6193</v>
      </c>
      <c r="H9465" t="s">
        <v>859</v>
      </c>
      <c r="I9465" t="s">
        <v>860</v>
      </c>
      <c r="J9465" t="str">
        <f>"9520325"</f>
        <v>9520325</v>
      </c>
      <c r="K9465">
        <v>2104620362</v>
      </c>
      <c r="L9465">
        <v>2104620366</v>
      </c>
      <c r="M9465" t="s">
        <v>11584</v>
      </c>
      <c r="N9465" t="s">
        <v>6200</v>
      </c>
      <c r="O9465" t="s">
        <v>11585</v>
      </c>
      <c r="P9465">
        <v>18546</v>
      </c>
      <c r="Q9465" t="str">
        <f>"37.962956"</f>
        <v>37.962956</v>
      </c>
      <c r="R9465" t="str">
        <f>"23.632570"</f>
        <v>23.632570</v>
      </c>
      <c r="S9465" t="s">
        <v>26</v>
      </c>
    </row>
    <row r="9466" spans="1:19" x14ac:dyDescent="0.3">
      <c r="A9466" t="s">
        <v>3237</v>
      </c>
      <c r="B9466" t="s">
        <v>11503</v>
      </c>
      <c r="C9466" t="s">
        <v>11586</v>
      </c>
      <c r="D9466" t="s">
        <v>3275</v>
      </c>
      <c r="E9466" t="s">
        <v>3275</v>
      </c>
      <c r="F9466" t="s">
        <v>3275</v>
      </c>
      <c r="G9466" t="s">
        <v>3276</v>
      </c>
      <c r="H9466" t="s">
        <v>859</v>
      </c>
      <c r="I9466" t="s">
        <v>860</v>
      </c>
      <c r="J9466" t="str">
        <f>"9520352"</f>
        <v>9520352</v>
      </c>
      <c r="K9466">
        <v>2104182617</v>
      </c>
      <c r="L9466">
        <v>2104182617</v>
      </c>
      <c r="M9466" t="s">
        <v>11587</v>
      </c>
      <c r="N9466" t="s">
        <v>6200</v>
      </c>
      <c r="O9466" t="s">
        <v>11588</v>
      </c>
      <c r="P9466">
        <v>18539</v>
      </c>
      <c r="Q9466" t="str">
        <f>"37.931791"</f>
        <v>37.931791</v>
      </c>
      <c r="R9466" t="str">
        <f>"23.638280"</f>
        <v>23.638280</v>
      </c>
      <c r="S9466" t="s">
        <v>26</v>
      </c>
    </row>
    <row r="9467" spans="1:19" x14ac:dyDescent="0.3">
      <c r="A9467" t="s">
        <v>3237</v>
      </c>
      <c r="B9467" t="s">
        <v>11503</v>
      </c>
      <c r="C9467" t="s">
        <v>11589</v>
      </c>
      <c r="D9467" t="s">
        <v>3275</v>
      </c>
      <c r="E9467" t="s">
        <v>3275</v>
      </c>
      <c r="F9467" t="s">
        <v>3275</v>
      </c>
      <c r="G9467" t="s">
        <v>6193</v>
      </c>
      <c r="H9467" t="s">
        <v>859</v>
      </c>
      <c r="I9467" t="s">
        <v>860</v>
      </c>
      <c r="J9467" t="str">
        <f>"9520360"</f>
        <v>9520360</v>
      </c>
      <c r="K9467">
        <v>2104207164</v>
      </c>
      <c r="L9467">
        <v>2104207164</v>
      </c>
      <c r="M9467" t="s">
        <v>11590</v>
      </c>
      <c r="N9467" t="s">
        <v>6200</v>
      </c>
      <c r="O9467" t="s">
        <v>11591</v>
      </c>
      <c r="P9467">
        <v>18543</v>
      </c>
      <c r="Q9467" t="str">
        <f>"37.954412"</f>
        <v>37.954412</v>
      </c>
      <c r="R9467" t="str">
        <f>"23.644876"</f>
        <v>23.644876</v>
      </c>
      <c r="S9467" t="s">
        <v>26</v>
      </c>
    </row>
    <row r="9468" spans="1:19" x14ac:dyDescent="0.3">
      <c r="A9468" t="s">
        <v>3237</v>
      </c>
      <c r="B9468" t="s">
        <v>11503</v>
      </c>
      <c r="C9468" t="s">
        <v>11594</v>
      </c>
      <c r="D9468" t="s">
        <v>3275</v>
      </c>
      <c r="E9468" t="s">
        <v>6212</v>
      </c>
      <c r="F9468" t="s">
        <v>6213</v>
      </c>
      <c r="G9468" t="s">
        <v>6213</v>
      </c>
      <c r="H9468" t="s">
        <v>859</v>
      </c>
      <c r="I9468" t="s">
        <v>860</v>
      </c>
      <c r="J9468" t="str">
        <f>"9520051"</f>
        <v>9520051</v>
      </c>
      <c r="K9468">
        <v>2104618459</v>
      </c>
      <c r="L9468">
        <v>2104618459</v>
      </c>
      <c r="M9468" t="s">
        <v>11595</v>
      </c>
      <c r="N9468" t="s">
        <v>6216</v>
      </c>
      <c r="O9468" t="s">
        <v>11596</v>
      </c>
      <c r="P9468">
        <v>18648</v>
      </c>
      <c r="Q9468" t="str">
        <f>"37.948721"</f>
        <v>37.948721</v>
      </c>
      <c r="R9468" t="str">
        <f>"23.626654"</f>
        <v>23.626654</v>
      </c>
      <c r="S9468" t="s">
        <v>26</v>
      </c>
    </row>
    <row r="9469" spans="1:19" x14ac:dyDescent="0.3">
      <c r="A9469" t="s">
        <v>3237</v>
      </c>
      <c r="B9469" t="s">
        <v>11503</v>
      </c>
      <c r="C9469" t="s">
        <v>11597</v>
      </c>
      <c r="D9469" t="s">
        <v>3275</v>
      </c>
      <c r="E9469" t="s">
        <v>6212</v>
      </c>
      <c r="F9469" t="s">
        <v>6213</v>
      </c>
      <c r="G9469" t="s">
        <v>6213</v>
      </c>
      <c r="H9469" t="s">
        <v>859</v>
      </c>
      <c r="I9469" t="s">
        <v>860</v>
      </c>
      <c r="J9469" t="str">
        <f>"9520518"</f>
        <v>9520518</v>
      </c>
      <c r="K9469">
        <v>2104621782</v>
      </c>
      <c r="L9469">
        <v>2104621782</v>
      </c>
      <c r="M9469" t="s">
        <v>11598</v>
      </c>
      <c r="N9469" t="s">
        <v>6213</v>
      </c>
      <c r="O9469" t="s">
        <v>11599</v>
      </c>
      <c r="P9469">
        <v>18648</v>
      </c>
      <c r="Q9469" t="str">
        <f>"37.951328"</f>
        <v>37.951328</v>
      </c>
      <c r="R9469" t="str">
        <f>"23.628410"</f>
        <v>23.628410</v>
      </c>
      <c r="S9469" t="s">
        <v>26</v>
      </c>
    </row>
    <row r="9470" spans="1:19" x14ac:dyDescent="0.3">
      <c r="A9470" t="s">
        <v>3237</v>
      </c>
      <c r="B9470" t="s">
        <v>11503</v>
      </c>
      <c r="C9470" t="s">
        <v>11600</v>
      </c>
      <c r="D9470" t="s">
        <v>3275</v>
      </c>
      <c r="E9470" t="s">
        <v>3275</v>
      </c>
      <c r="F9470" t="s">
        <v>3275</v>
      </c>
      <c r="G9470" t="s">
        <v>3276</v>
      </c>
      <c r="H9470" t="s">
        <v>859</v>
      </c>
      <c r="I9470" t="s">
        <v>860</v>
      </c>
      <c r="J9470" t="str">
        <f>"9520224"</f>
        <v>9520224</v>
      </c>
      <c r="K9470">
        <v>2104184310</v>
      </c>
      <c r="L9470">
        <v>2104184310</v>
      </c>
      <c r="M9470" t="s">
        <v>11601</v>
      </c>
      <c r="N9470" t="s">
        <v>6200</v>
      </c>
      <c r="O9470" t="s">
        <v>11602</v>
      </c>
      <c r="P9470">
        <v>18538</v>
      </c>
      <c r="Q9470" t="str">
        <f>"37.935614"</f>
        <v>37.935614</v>
      </c>
      <c r="R9470" t="str">
        <f>"23.629076"</f>
        <v>23.629076</v>
      </c>
      <c r="S9470" t="s">
        <v>26</v>
      </c>
    </row>
    <row r="9471" spans="1:19" x14ac:dyDescent="0.3">
      <c r="A9471" t="s">
        <v>3237</v>
      </c>
      <c r="B9471" t="s">
        <v>11503</v>
      </c>
      <c r="C9471" t="s">
        <v>11603</v>
      </c>
      <c r="D9471" t="s">
        <v>3275</v>
      </c>
      <c r="E9471" t="s">
        <v>3275</v>
      </c>
      <c r="F9471" t="s">
        <v>3275</v>
      </c>
      <c r="G9471" t="s">
        <v>6193</v>
      </c>
      <c r="H9471" t="s">
        <v>859</v>
      </c>
      <c r="I9471" t="s">
        <v>860</v>
      </c>
      <c r="J9471" t="str">
        <f>"9520238"</f>
        <v>9520238</v>
      </c>
      <c r="K9471">
        <v>2104917737</v>
      </c>
      <c r="L9471">
        <v>2104917737</v>
      </c>
      <c r="M9471" t="s">
        <v>11604</v>
      </c>
      <c r="N9471" t="s">
        <v>6200</v>
      </c>
      <c r="O9471" t="s">
        <v>11605</v>
      </c>
      <c r="P9471">
        <v>18543</v>
      </c>
      <c r="Q9471" t="str">
        <f>"37.960929"</f>
        <v>37.960929</v>
      </c>
      <c r="R9471" t="str">
        <f>"23.648709"</f>
        <v>23.648709</v>
      </c>
      <c r="S9471" t="s">
        <v>26</v>
      </c>
    </row>
    <row r="9472" spans="1:19" x14ac:dyDescent="0.3">
      <c r="A9472" t="s">
        <v>3237</v>
      </c>
      <c r="B9472" t="s">
        <v>11503</v>
      </c>
      <c r="C9472" t="s">
        <v>11606</v>
      </c>
      <c r="D9472" t="s">
        <v>3275</v>
      </c>
      <c r="E9472" t="s">
        <v>3275</v>
      </c>
      <c r="F9472" t="s">
        <v>3275</v>
      </c>
      <c r="G9472" t="s">
        <v>6290</v>
      </c>
      <c r="H9472" t="s">
        <v>859</v>
      </c>
      <c r="I9472" t="s">
        <v>860</v>
      </c>
      <c r="J9472" t="str">
        <f>"9520425"</f>
        <v>9520425</v>
      </c>
      <c r="K9472">
        <v>2104296381</v>
      </c>
      <c r="L9472">
        <v>2104296381</v>
      </c>
      <c r="M9472" t="s">
        <v>11607</v>
      </c>
      <c r="N9472" t="s">
        <v>6200</v>
      </c>
      <c r="O9472" t="s">
        <v>11608</v>
      </c>
      <c r="P9472">
        <v>18535</v>
      </c>
      <c r="Q9472" t="str">
        <f>"37.939742"</f>
        <v>37.939742</v>
      </c>
      <c r="R9472" t="str">
        <f>"23.646599"</f>
        <v>23.646599</v>
      </c>
      <c r="S9472" t="s">
        <v>26</v>
      </c>
    </row>
    <row r="9473" spans="1:19" x14ac:dyDescent="0.3">
      <c r="A9473" t="s">
        <v>3237</v>
      </c>
      <c r="B9473" t="s">
        <v>11503</v>
      </c>
      <c r="C9473" t="s">
        <v>11609</v>
      </c>
      <c r="D9473" t="s">
        <v>3275</v>
      </c>
      <c r="E9473" t="s">
        <v>6212</v>
      </c>
      <c r="F9473" t="s">
        <v>6213</v>
      </c>
      <c r="G9473" t="s">
        <v>6213</v>
      </c>
      <c r="H9473" t="s">
        <v>859</v>
      </c>
      <c r="I9473" t="s">
        <v>860</v>
      </c>
      <c r="J9473" t="str">
        <f>"9520229"</f>
        <v>9520229</v>
      </c>
      <c r="K9473">
        <v>2104623769</v>
      </c>
      <c r="L9473">
        <v>2104623769</v>
      </c>
      <c r="M9473" t="s">
        <v>11610</v>
      </c>
      <c r="N9473" t="s">
        <v>6213</v>
      </c>
      <c r="O9473" t="s">
        <v>11611</v>
      </c>
      <c r="P9473">
        <v>18648</v>
      </c>
      <c r="Q9473" t="str">
        <f>"37.951305"</f>
        <v>37.951305</v>
      </c>
      <c r="R9473" t="str">
        <f>"23.628754"</f>
        <v>23.628754</v>
      </c>
      <c r="S9473" t="s">
        <v>26</v>
      </c>
    </row>
    <row r="9474" spans="1:19" x14ac:dyDescent="0.3">
      <c r="A9474" t="s">
        <v>3237</v>
      </c>
      <c r="B9474" t="s">
        <v>11503</v>
      </c>
      <c r="C9474" t="s">
        <v>11612</v>
      </c>
      <c r="D9474" t="s">
        <v>3275</v>
      </c>
      <c r="E9474" t="s">
        <v>6203</v>
      </c>
      <c r="F9474" t="s">
        <v>6203</v>
      </c>
      <c r="G9474" t="s">
        <v>6203</v>
      </c>
      <c r="H9474" t="s">
        <v>859</v>
      </c>
      <c r="I9474" t="s">
        <v>860</v>
      </c>
      <c r="J9474" t="str">
        <f>"9520323"</f>
        <v>9520323</v>
      </c>
      <c r="K9474">
        <v>2104318798</v>
      </c>
      <c r="L9474">
        <v>2104318798</v>
      </c>
      <c r="M9474" t="s">
        <v>11613</v>
      </c>
      <c r="N9474" t="s">
        <v>11614</v>
      </c>
      <c r="O9474" t="s">
        <v>11615</v>
      </c>
      <c r="P9474">
        <v>18863</v>
      </c>
      <c r="Q9474" t="str">
        <f>"37.962431"</f>
        <v>37.962431</v>
      </c>
      <c r="R9474" t="str">
        <f>"23.599065"</f>
        <v>23.599065</v>
      </c>
      <c r="S9474" t="s">
        <v>26</v>
      </c>
    </row>
    <row r="9475" spans="1:19" x14ac:dyDescent="0.3">
      <c r="A9475" t="s">
        <v>3237</v>
      </c>
      <c r="B9475" t="s">
        <v>11503</v>
      </c>
      <c r="C9475" t="s">
        <v>11616</v>
      </c>
      <c r="D9475" t="s">
        <v>3275</v>
      </c>
      <c r="E9475" t="s">
        <v>3275</v>
      </c>
      <c r="F9475" t="s">
        <v>3275</v>
      </c>
      <c r="G9475" t="s">
        <v>3276</v>
      </c>
      <c r="H9475" t="s">
        <v>859</v>
      </c>
      <c r="I9475" t="s">
        <v>860</v>
      </c>
      <c r="J9475" t="str">
        <f>"9520227"</f>
        <v>9520227</v>
      </c>
      <c r="K9475">
        <v>2104182093</v>
      </c>
      <c r="L9475">
        <v>2104182093</v>
      </c>
      <c r="M9475" t="s">
        <v>11617</v>
      </c>
      <c r="N9475" t="s">
        <v>6200</v>
      </c>
      <c r="O9475" t="s">
        <v>11618</v>
      </c>
      <c r="P9475">
        <v>18539</v>
      </c>
      <c r="Q9475" t="str">
        <f>"37.928793"</f>
        <v>37.928793</v>
      </c>
      <c r="R9475" t="str">
        <f>"23.638747"</f>
        <v>23.638747</v>
      </c>
      <c r="S9475" t="s">
        <v>26</v>
      </c>
    </row>
    <row r="9476" spans="1:19" x14ac:dyDescent="0.3">
      <c r="A9476" t="s">
        <v>3237</v>
      </c>
      <c r="B9476" t="s">
        <v>11503</v>
      </c>
      <c r="C9476" t="s">
        <v>11619</v>
      </c>
      <c r="D9476" t="s">
        <v>3275</v>
      </c>
      <c r="E9476" t="s">
        <v>6266</v>
      </c>
      <c r="F9476" t="s">
        <v>5431</v>
      </c>
      <c r="G9476" t="s">
        <v>5431</v>
      </c>
      <c r="H9476" t="s">
        <v>859</v>
      </c>
      <c r="I9476" t="s">
        <v>860</v>
      </c>
      <c r="J9476" t="str">
        <f>"9520231"</f>
        <v>9520231</v>
      </c>
      <c r="K9476">
        <v>2104933496</v>
      </c>
      <c r="L9476">
        <v>2104933496</v>
      </c>
      <c r="M9476" t="s">
        <v>11620</v>
      </c>
      <c r="N9476" t="s">
        <v>5431</v>
      </c>
      <c r="O9476" t="s">
        <v>11621</v>
      </c>
      <c r="P9476">
        <v>18451</v>
      </c>
      <c r="Q9476" t="str">
        <f>"37.977245"</f>
        <v>37.977245</v>
      </c>
      <c r="R9476" t="str">
        <f>"23.640402"</f>
        <v>23.640402</v>
      </c>
      <c r="S9476" t="s">
        <v>26</v>
      </c>
    </row>
    <row r="9477" spans="1:19" x14ac:dyDescent="0.3">
      <c r="A9477" t="s">
        <v>3237</v>
      </c>
      <c r="B9477" t="s">
        <v>11503</v>
      </c>
      <c r="C9477" t="s">
        <v>11622</v>
      </c>
      <c r="D9477" t="s">
        <v>3275</v>
      </c>
      <c r="E9477" t="s">
        <v>3275</v>
      </c>
      <c r="F9477" t="s">
        <v>3275</v>
      </c>
      <c r="G9477" t="s">
        <v>6193</v>
      </c>
      <c r="H9477" t="s">
        <v>859</v>
      </c>
      <c r="I9477" t="s">
        <v>860</v>
      </c>
      <c r="J9477" t="str">
        <f>"9520148"</f>
        <v>9520148</v>
      </c>
      <c r="K9477">
        <v>2104619186</v>
      </c>
      <c r="M9477" t="s">
        <v>11623</v>
      </c>
      <c r="N9477" t="s">
        <v>6200</v>
      </c>
      <c r="O9477" t="s">
        <v>11624</v>
      </c>
      <c r="P9477">
        <v>18546</v>
      </c>
      <c r="Q9477" t="str">
        <f>"37.961636"</f>
        <v>37.961636</v>
      </c>
      <c r="R9477" t="str">
        <f>"23.632108"</f>
        <v>23.632108</v>
      </c>
      <c r="S9477" t="s">
        <v>26</v>
      </c>
    </row>
    <row r="9478" spans="1:19" x14ac:dyDescent="0.3">
      <c r="A9478" t="s">
        <v>3237</v>
      </c>
      <c r="B9478" t="s">
        <v>11503</v>
      </c>
      <c r="C9478" t="s">
        <v>11625</v>
      </c>
      <c r="D9478" t="s">
        <v>3275</v>
      </c>
      <c r="E9478" t="s">
        <v>3275</v>
      </c>
      <c r="F9478" t="s">
        <v>3275</v>
      </c>
      <c r="G9478" t="s">
        <v>6193</v>
      </c>
      <c r="H9478" t="s">
        <v>859</v>
      </c>
      <c r="I9478" t="s">
        <v>860</v>
      </c>
      <c r="J9478" t="str">
        <f>"9520145"</f>
        <v>9520145</v>
      </c>
      <c r="K9478">
        <v>2104203068</v>
      </c>
      <c r="L9478">
        <v>2104203068</v>
      </c>
      <c r="M9478" t="s">
        <v>11626</v>
      </c>
      <c r="N9478" t="s">
        <v>6200</v>
      </c>
      <c r="O9478" t="s">
        <v>11627</v>
      </c>
      <c r="P9478">
        <v>18544</v>
      </c>
      <c r="Q9478" t="str">
        <f>"37.958611"</f>
        <v>37.958611</v>
      </c>
      <c r="R9478" t="str">
        <f>"23.640452"</f>
        <v>23.640452</v>
      </c>
      <c r="S9478" t="s">
        <v>26</v>
      </c>
    </row>
    <row r="9479" spans="1:19" x14ac:dyDescent="0.3">
      <c r="A9479" t="s">
        <v>3237</v>
      </c>
      <c r="B9479" t="s">
        <v>11503</v>
      </c>
      <c r="C9479" t="s">
        <v>11628</v>
      </c>
      <c r="D9479" t="s">
        <v>3275</v>
      </c>
      <c r="E9479" t="s">
        <v>6203</v>
      </c>
      <c r="F9479" t="s">
        <v>6203</v>
      </c>
      <c r="G9479" t="s">
        <v>6203</v>
      </c>
      <c r="H9479" t="s">
        <v>859</v>
      </c>
      <c r="I9479" t="s">
        <v>860</v>
      </c>
      <c r="J9479" t="str">
        <f>"9520295"</f>
        <v>9520295</v>
      </c>
      <c r="K9479">
        <v>2104415057</v>
      </c>
      <c r="L9479">
        <v>2104415057</v>
      </c>
      <c r="M9479" t="s">
        <v>11629</v>
      </c>
      <c r="N9479" t="s">
        <v>6203</v>
      </c>
      <c r="O9479" t="s">
        <v>11630</v>
      </c>
      <c r="P9479">
        <v>18863</v>
      </c>
      <c r="Q9479" t="str">
        <f>"37.966693"</f>
        <v>37.966693</v>
      </c>
      <c r="R9479" t="str">
        <f>"23.564414"</f>
        <v>23.564414</v>
      </c>
      <c r="S9479" t="s">
        <v>26</v>
      </c>
    </row>
    <row r="9480" spans="1:19" x14ac:dyDescent="0.3">
      <c r="A9480" t="s">
        <v>3237</v>
      </c>
      <c r="B9480" t="s">
        <v>11503</v>
      </c>
      <c r="C9480" t="s">
        <v>11631</v>
      </c>
      <c r="D9480" t="s">
        <v>3275</v>
      </c>
      <c r="E9480" t="s">
        <v>3275</v>
      </c>
      <c r="F9480" t="s">
        <v>3275</v>
      </c>
      <c r="G9480" t="s">
        <v>6193</v>
      </c>
      <c r="H9480" t="s">
        <v>859</v>
      </c>
      <c r="I9480" t="s">
        <v>860</v>
      </c>
      <c r="J9480" t="str">
        <f>"9520138"</f>
        <v>9520138</v>
      </c>
      <c r="K9480">
        <v>2104203068</v>
      </c>
      <c r="L9480">
        <v>2104203068</v>
      </c>
      <c r="M9480" t="s">
        <v>11632</v>
      </c>
      <c r="N9480" t="s">
        <v>6200</v>
      </c>
      <c r="O9480" t="s">
        <v>11627</v>
      </c>
      <c r="P9480">
        <v>18544</v>
      </c>
      <c r="Q9480" t="str">
        <f>"37.958611"</f>
        <v>37.958611</v>
      </c>
      <c r="R9480" t="str">
        <f>"23.640452"</f>
        <v>23.640452</v>
      </c>
      <c r="S9480" t="s">
        <v>26</v>
      </c>
    </row>
    <row r="9481" spans="1:19" x14ac:dyDescent="0.3">
      <c r="A9481" t="s">
        <v>3237</v>
      </c>
      <c r="B9481" t="s">
        <v>11503</v>
      </c>
      <c r="C9481" t="s">
        <v>11633</v>
      </c>
      <c r="D9481" t="s">
        <v>3275</v>
      </c>
      <c r="E9481" t="s">
        <v>3275</v>
      </c>
      <c r="F9481" t="s">
        <v>3275</v>
      </c>
      <c r="G9481" t="s">
        <v>6193</v>
      </c>
      <c r="H9481" t="s">
        <v>859</v>
      </c>
      <c r="I9481" t="s">
        <v>860</v>
      </c>
      <c r="J9481" t="str">
        <f>"9520237"</f>
        <v>9520237</v>
      </c>
      <c r="K9481">
        <v>2104623050</v>
      </c>
      <c r="M9481" t="s">
        <v>11634</v>
      </c>
      <c r="N9481" t="s">
        <v>6200</v>
      </c>
      <c r="O9481" t="s">
        <v>11635</v>
      </c>
      <c r="P9481">
        <v>18546</v>
      </c>
      <c r="Q9481" t="str">
        <f>"37.953969"</f>
        <v>37.953969</v>
      </c>
      <c r="R9481" t="str">
        <f>"23.634955"</f>
        <v>23.634955</v>
      </c>
      <c r="S9481" t="s">
        <v>26</v>
      </c>
    </row>
    <row r="9482" spans="1:19" x14ac:dyDescent="0.3">
      <c r="A9482" t="s">
        <v>3237</v>
      </c>
      <c r="B9482" t="s">
        <v>11503</v>
      </c>
      <c r="C9482" t="s">
        <v>11636</v>
      </c>
      <c r="D9482" t="s">
        <v>3275</v>
      </c>
      <c r="E9482" t="s">
        <v>6203</v>
      </c>
      <c r="F9482" t="s">
        <v>6203</v>
      </c>
      <c r="G9482" t="s">
        <v>6203</v>
      </c>
      <c r="H9482" t="s">
        <v>859</v>
      </c>
      <c r="I9482" t="s">
        <v>860</v>
      </c>
      <c r="J9482" t="str">
        <f>"9520168"</f>
        <v>9520168</v>
      </c>
      <c r="K9482">
        <v>2104411348</v>
      </c>
      <c r="L9482">
        <v>2104411348</v>
      </c>
      <c r="M9482" t="s">
        <v>11637</v>
      </c>
      <c r="N9482" t="s">
        <v>6203</v>
      </c>
      <c r="O9482" t="s">
        <v>11638</v>
      </c>
      <c r="P9482">
        <v>18863</v>
      </c>
      <c r="Q9482" t="str">
        <f>"37.963684"</f>
        <v>37.963684</v>
      </c>
      <c r="R9482" t="str">
        <f>"23.578008"</f>
        <v>23.578008</v>
      </c>
      <c r="S9482" t="s">
        <v>26</v>
      </c>
    </row>
    <row r="9483" spans="1:19" x14ac:dyDescent="0.3">
      <c r="A9483" t="s">
        <v>3237</v>
      </c>
      <c r="B9483" t="s">
        <v>11503</v>
      </c>
      <c r="C9483" t="s">
        <v>11639</v>
      </c>
      <c r="D9483" t="s">
        <v>3275</v>
      </c>
      <c r="E9483" t="s">
        <v>3275</v>
      </c>
      <c r="F9483" t="s">
        <v>3275</v>
      </c>
      <c r="G9483" t="s">
        <v>3276</v>
      </c>
      <c r="H9483" t="s">
        <v>859</v>
      </c>
      <c r="I9483" t="s">
        <v>860</v>
      </c>
      <c r="J9483" t="str">
        <f>"9520223"</f>
        <v>9520223</v>
      </c>
      <c r="K9483">
        <v>2104538808</v>
      </c>
      <c r="L9483">
        <v>2104538808</v>
      </c>
      <c r="M9483" t="s">
        <v>11640</v>
      </c>
      <c r="N9483" t="s">
        <v>6200</v>
      </c>
      <c r="O9483" t="s">
        <v>11641</v>
      </c>
      <c r="P9483">
        <v>18539</v>
      </c>
      <c r="Q9483" t="str">
        <f>"37.929979"</f>
        <v>37.929979</v>
      </c>
      <c r="R9483" t="str">
        <f>"23.634257"</f>
        <v>23.634257</v>
      </c>
      <c r="S9483" t="s">
        <v>26</v>
      </c>
    </row>
    <row r="9484" spans="1:19" x14ac:dyDescent="0.3">
      <c r="A9484" t="s">
        <v>3237</v>
      </c>
      <c r="B9484" t="s">
        <v>11503</v>
      </c>
      <c r="C9484" t="s">
        <v>11642</v>
      </c>
      <c r="D9484" t="s">
        <v>3275</v>
      </c>
      <c r="E9484" t="s">
        <v>3275</v>
      </c>
      <c r="F9484" t="s">
        <v>3275</v>
      </c>
      <c r="G9484" t="s">
        <v>3276</v>
      </c>
      <c r="H9484" t="s">
        <v>859</v>
      </c>
      <c r="I9484" t="s">
        <v>860</v>
      </c>
      <c r="J9484" t="str">
        <f>"9520226"</f>
        <v>9520226</v>
      </c>
      <c r="K9484">
        <v>2104520256</v>
      </c>
      <c r="L9484">
        <v>2104520256</v>
      </c>
      <c r="M9484" t="s">
        <v>11643</v>
      </c>
      <c r="N9484" t="s">
        <v>6200</v>
      </c>
      <c r="O9484" t="s">
        <v>11644</v>
      </c>
      <c r="P9484">
        <v>18539</v>
      </c>
      <c r="Q9484" t="str">
        <f>"37.931141"</f>
        <v>37.931141</v>
      </c>
      <c r="R9484" t="str">
        <f>"23.627200"</f>
        <v>23.627200</v>
      </c>
      <c r="S9484" t="s">
        <v>26</v>
      </c>
    </row>
    <row r="9485" spans="1:19" x14ac:dyDescent="0.3">
      <c r="A9485" t="s">
        <v>3237</v>
      </c>
      <c r="B9485" t="s">
        <v>11503</v>
      </c>
      <c r="C9485" t="s">
        <v>11645</v>
      </c>
      <c r="D9485" t="s">
        <v>3275</v>
      </c>
      <c r="E9485" t="s">
        <v>3275</v>
      </c>
      <c r="F9485" t="s">
        <v>3275</v>
      </c>
      <c r="G9485" t="s">
        <v>6193</v>
      </c>
      <c r="H9485" t="s">
        <v>859</v>
      </c>
      <c r="I9485" t="s">
        <v>860</v>
      </c>
      <c r="J9485" t="str">
        <f>"9520228"</f>
        <v>9520228</v>
      </c>
      <c r="K9485">
        <v>2104615390</v>
      </c>
      <c r="L9485">
        <v>2104615390</v>
      </c>
      <c r="M9485" t="s">
        <v>11646</v>
      </c>
      <c r="N9485" t="s">
        <v>6200</v>
      </c>
      <c r="O9485" t="s">
        <v>11647</v>
      </c>
      <c r="P9485">
        <v>18546</v>
      </c>
      <c r="Q9485" t="str">
        <f>"37.953656"</f>
        <v>37.953656</v>
      </c>
      <c r="R9485" t="str">
        <f>"23.633764"</f>
        <v>23.633764</v>
      </c>
      <c r="S9485" t="s">
        <v>26</v>
      </c>
    </row>
    <row r="9486" spans="1:19" x14ac:dyDescent="0.3">
      <c r="A9486" t="s">
        <v>3237</v>
      </c>
      <c r="B9486" t="s">
        <v>11503</v>
      </c>
      <c r="C9486" t="s">
        <v>11648</v>
      </c>
      <c r="D9486" t="s">
        <v>3275</v>
      </c>
      <c r="E9486" t="s">
        <v>6266</v>
      </c>
      <c r="F9486" t="s">
        <v>6267</v>
      </c>
      <c r="G9486" t="s">
        <v>6267</v>
      </c>
      <c r="H9486" t="s">
        <v>859</v>
      </c>
      <c r="I9486" t="s">
        <v>860</v>
      </c>
      <c r="J9486" t="str">
        <f>"9520219"</f>
        <v>9520219</v>
      </c>
      <c r="K9486">
        <v>2104834374</v>
      </c>
      <c r="L9486">
        <v>2104834374</v>
      </c>
      <c r="M9486" t="s">
        <v>11649</v>
      </c>
      <c r="N9486" t="s">
        <v>6275</v>
      </c>
      <c r="O9486" t="s">
        <v>11650</v>
      </c>
      <c r="P9486">
        <v>18233</v>
      </c>
      <c r="Q9486" t="str">
        <f>"37.959501"</f>
        <v>37.959501</v>
      </c>
      <c r="R9486" t="str">
        <f>"23.668944"</f>
        <v>23.668944</v>
      </c>
      <c r="S9486" t="s">
        <v>26</v>
      </c>
    </row>
    <row r="9487" spans="1:19" x14ac:dyDescent="0.3">
      <c r="A9487" t="s">
        <v>3237</v>
      </c>
      <c r="B9487" t="s">
        <v>11503</v>
      </c>
      <c r="C9487" t="s">
        <v>11651</v>
      </c>
      <c r="D9487" t="s">
        <v>3275</v>
      </c>
      <c r="E9487" t="s">
        <v>3275</v>
      </c>
      <c r="F9487" t="s">
        <v>3275</v>
      </c>
      <c r="G9487" t="s">
        <v>6193</v>
      </c>
      <c r="H9487" t="s">
        <v>859</v>
      </c>
      <c r="I9487" t="s">
        <v>860</v>
      </c>
      <c r="J9487" t="str">
        <f>"9520264"</f>
        <v>9520264</v>
      </c>
      <c r="K9487">
        <v>2104631381</v>
      </c>
      <c r="L9487">
        <v>2104631381</v>
      </c>
      <c r="M9487" t="s">
        <v>11652</v>
      </c>
      <c r="N9487" t="s">
        <v>6200</v>
      </c>
      <c r="O9487" t="s">
        <v>11653</v>
      </c>
      <c r="P9487">
        <v>18546</v>
      </c>
      <c r="Q9487" t="str">
        <f>"37.955753"</f>
        <v>37.955753</v>
      </c>
      <c r="R9487" t="str">
        <f>"23.632461"</f>
        <v>23.632461</v>
      </c>
      <c r="S9487" t="s">
        <v>26</v>
      </c>
    </row>
    <row r="9488" spans="1:19" x14ac:dyDescent="0.3">
      <c r="A9488" t="s">
        <v>3237</v>
      </c>
      <c r="B9488" t="s">
        <v>11503</v>
      </c>
      <c r="C9488" t="s">
        <v>11654</v>
      </c>
      <c r="D9488" t="s">
        <v>3275</v>
      </c>
      <c r="E9488" t="s">
        <v>3275</v>
      </c>
      <c r="F9488" t="s">
        <v>3275</v>
      </c>
      <c r="G9488" t="s">
        <v>3276</v>
      </c>
      <c r="H9488" t="s">
        <v>859</v>
      </c>
      <c r="I9488" t="s">
        <v>860</v>
      </c>
      <c r="J9488" t="str">
        <f>"9520327"</f>
        <v>9520327</v>
      </c>
      <c r="K9488">
        <v>2104519140</v>
      </c>
      <c r="L9488">
        <v>2104519140</v>
      </c>
      <c r="M9488" t="s">
        <v>11655</v>
      </c>
      <c r="N9488" t="s">
        <v>6200</v>
      </c>
      <c r="O9488" t="s">
        <v>11656</v>
      </c>
      <c r="P9488">
        <v>18537</v>
      </c>
      <c r="Q9488" t="str">
        <f>"37.934106"</f>
        <v>37.934106</v>
      </c>
      <c r="R9488" t="str">
        <f>"23.640550"</f>
        <v>23.640550</v>
      </c>
      <c r="S9488" t="s">
        <v>26</v>
      </c>
    </row>
    <row r="9489" spans="1:19" x14ac:dyDescent="0.3">
      <c r="A9489" t="s">
        <v>3237</v>
      </c>
      <c r="B9489" t="s">
        <v>11503</v>
      </c>
      <c r="C9489" t="s">
        <v>11657</v>
      </c>
      <c r="D9489" t="s">
        <v>3275</v>
      </c>
      <c r="E9489" t="s">
        <v>3275</v>
      </c>
      <c r="F9489" t="s">
        <v>3275</v>
      </c>
      <c r="G9489" t="s">
        <v>6382</v>
      </c>
      <c r="H9489" t="s">
        <v>859</v>
      </c>
      <c r="I9489" t="s">
        <v>860</v>
      </c>
      <c r="J9489" t="str">
        <f>"9520284"</f>
        <v>9520284</v>
      </c>
      <c r="K9489">
        <v>2104224413</v>
      </c>
      <c r="L9489">
        <v>2104224413</v>
      </c>
      <c r="M9489" t="s">
        <v>11658</v>
      </c>
      <c r="N9489" t="s">
        <v>6200</v>
      </c>
      <c r="O9489" t="s">
        <v>11659</v>
      </c>
      <c r="P9489">
        <v>18533</v>
      </c>
      <c r="Q9489" t="str">
        <f>"37.943391"</f>
        <v>37.943391</v>
      </c>
      <c r="R9489" t="str">
        <f>"23.658022"</f>
        <v>23.658022</v>
      </c>
      <c r="S9489" t="s">
        <v>26</v>
      </c>
    </row>
    <row r="9490" spans="1:19" x14ac:dyDescent="0.3">
      <c r="A9490" t="s">
        <v>3237</v>
      </c>
      <c r="B9490" t="s">
        <v>11503</v>
      </c>
      <c r="C9490" t="s">
        <v>11660</v>
      </c>
      <c r="D9490" t="s">
        <v>3275</v>
      </c>
      <c r="E9490" t="s">
        <v>3275</v>
      </c>
      <c r="F9490" t="s">
        <v>3275</v>
      </c>
      <c r="G9490" t="s">
        <v>3276</v>
      </c>
      <c r="H9490" t="s">
        <v>859</v>
      </c>
      <c r="I9490" t="s">
        <v>860</v>
      </c>
      <c r="J9490" t="str">
        <f>"9520354"</f>
        <v>9520354</v>
      </c>
      <c r="K9490">
        <v>2104514897</v>
      </c>
      <c r="L9490">
        <v>2104514897</v>
      </c>
      <c r="M9490" t="s">
        <v>11661</v>
      </c>
      <c r="N9490" t="s">
        <v>6200</v>
      </c>
      <c r="O9490" t="s">
        <v>11662</v>
      </c>
      <c r="P9490">
        <v>18537</v>
      </c>
      <c r="Q9490" t="str">
        <f>"37.934397"</f>
        <v>37.934397</v>
      </c>
      <c r="R9490" t="str">
        <f>"23.640783"</f>
        <v>23.640783</v>
      </c>
      <c r="S9490" t="s">
        <v>26</v>
      </c>
    </row>
    <row r="9491" spans="1:19" x14ac:dyDescent="0.3">
      <c r="A9491" t="s">
        <v>3237</v>
      </c>
      <c r="B9491" t="s">
        <v>11503</v>
      </c>
      <c r="C9491" t="s">
        <v>11663</v>
      </c>
      <c r="D9491" t="s">
        <v>3275</v>
      </c>
      <c r="E9491" t="s">
        <v>6266</v>
      </c>
      <c r="F9491" t="s">
        <v>6267</v>
      </c>
      <c r="G9491" t="s">
        <v>6267</v>
      </c>
      <c r="H9491" t="s">
        <v>859</v>
      </c>
      <c r="I9491" t="s">
        <v>860</v>
      </c>
      <c r="J9491" t="str">
        <f>"9520395"</f>
        <v>9520395</v>
      </c>
      <c r="K9491">
        <v>2104827223</v>
      </c>
      <c r="L9491">
        <v>2104827223</v>
      </c>
      <c r="M9491" t="s">
        <v>11664</v>
      </c>
      <c r="N9491" t="s">
        <v>6275</v>
      </c>
      <c r="O9491" t="s">
        <v>11665</v>
      </c>
      <c r="P9491">
        <v>18233</v>
      </c>
      <c r="Q9491" t="str">
        <f>"37.957961"</f>
        <v>37.957961</v>
      </c>
      <c r="R9491" t="str">
        <f>"23.673576"</f>
        <v>23.673576</v>
      </c>
      <c r="S9491" t="s">
        <v>26</v>
      </c>
    </row>
    <row r="9492" spans="1:19" x14ac:dyDescent="0.3">
      <c r="A9492" t="s">
        <v>3237</v>
      </c>
      <c r="B9492" t="s">
        <v>11503</v>
      </c>
      <c r="C9492" t="s">
        <v>11667</v>
      </c>
      <c r="D9492" t="s">
        <v>3275</v>
      </c>
      <c r="E9492" t="s">
        <v>3275</v>
      </c>
      <c r="F9492" t="s">
        <v>3275</v>
      </c>
      <c r="G9492" t="s">
        <v>6193</v>
      </c>
      <c r="H9492" t="s">
        <v>859</v>
      </c>
      <c r="I9492" t="s">
        <v>860</v>
      </c>
      <c r="J9492" t="str">
        <f>"9520213"</f>
        <v>9520213</v>
      </c>
      <c r="K9492">
        <v>2104204720</v>
      </c>
      <c r="L9492">
        <v>2104207164</v>
      </c>
      <c r="M9492" t="s">
        <v>11668</v>
      </c>
      <c r="N9492" t="s">
        <v>6200</v>
      </c>
      <c r="O9492" t="s">
        <v>11591</v>
      </c>
      <c r="P9492">
        <v>18545</v>
      </c>
      <c r="Q9492" t="str">
        <f>"37.951727"</f>
        <v>37.951727</v>
      </c>
      <c r="R9492" t="str">
        <f>"23.644859"</f>
        <v>23.644859</v>
      </c>
      <c r="S9492" t="s">
        <v>26</v>
      </c>
    </row>
    <row r="9493" spans="1:19" x14ac:dyDescent="0.3">
      <c r="A9493" t="s">
        <v>3237</v>
      </c>
      <c r="B9493" t="s">
        <v>11503</v>
      </c>
      <c r="C9493" t="s">
        <v>11669</v>
      </c>
      <c r="D9493" t="s">
        <v>3275</v>
      </c>
      <c r="E9493" t="s">
        <v>3275</v>
      </c>
      <c r="F9493" t="s">
        <v>3275</v>
      </c>
      <c r="G9493" t="s">
        <v>6382</v>
      </c>
      <c r="H9493" t="s">
        <v>859</v>
      </c>
      <c r="I9493" t="s">
        <v>860</v>
      </c>
      <c r="J9493" t="str">
        <f>"9520275"</f>
        <v>9520275</v>
      </c>
      <c r="K9493">
        <v>2104833719</v>
      </c>
      <c r="L9493">
        <v>2104833719</v>
      </c>
      <c r="M9493" t="s">
        <v>11670</v>
      </c>
      <c r="N9493" t="s">
        <v>11671</v>
      </c>
      <c r="O9493" t="s">
        <v>11672</v>
      </c>
      <c r="P9493">
        <v>18547</v>
      </c>
      <c r="Q9493" t="str">
        <f>"37.951532"</f>
        <v>37.951532</v>
      </c>
      <c r="R9493" t="str">
        <f>"23.668534"</f>
        <v>23.668534</v>
      </c>
      <c r="S9493" t="s">
        <v>26</v>
      </c>
    </row>
    <row r="9494" spans="1:19" x14ac:dyDescent="0.3">
      <c r="A9494" t="s">
        <v>3237</v>
      </c>
      <c r="B9494" t="s">
        <v>11503</v>
      </c>
      <c r="C9494" t="s">
        <v>11673</v>
      </c>
      <c r="D9494" t="s">
        <v>3275</v>
      </c>
      <c r="E9494" t="s">
        <v>6266</v>
      </c>
      <c r="F9494" t="s">
        <v>6267</v>
      </c>
      <c r="G9494" t="s">
        <v>6267</v>
      </c>
      <c r="H9494" t="s">
        <v>859</v>
      </c>
      <c r="I9494" t="s">
        <v>860</v>
      </c>
      <c r="J9494" t="str">
        <f>"9520824"</f>
        <v>9520824</v>
      </c>
      <c r="K9494">
        <v>2104909544</v>
      </c>
      <c r="L9494">
        <v>210490954</v>
      </c>
      <c r="M9494" t="s">
        <v>11674</v>
      </c>
      <c r="N9494" t="s">
        <v>6275</v>
      </c>
      <c r="O9494" t="s">
        <v>11675</v>
      </c>
      <c r="P9494">
        <v>18233</v>
      </c>
      <c r="Q9494" t="str">
        <f>"37.961402"</f>
        <v>37.961402</v>
      </c>
      <c r="R9494" t="str">
        <f>"23.659437"</f>
        <v>23.659437</v>
      </c>
      <c r="S9494" t="s">
        <v>26</v>
      </c>
    </row>
    <row r="9495" spans="1:19" x14ac:dyDescent="0.3">
      <c r="A9495" t="s">
        <v>3237</v>
      </c>
      <c r="B9495" t="s">
        <v>11503</v>
      </c>
      <c r="C9495" t="s">
        <v>11676</v>
      </c>
      <c r="D9495" t="s">
        <v>3275</v>
      </c>
      <c r="E9495" t="s">
        <v>6212</v>
      </c>
      <c r="F9495" t="s">
        <v>6213</v>
      </c>
      <c r="G9495" t="s">
        <v>6213</v>
      </c>
      <c r="H9495" t="s">
        <v>859</v>
      </c>
      <c r="I9495" t="s">
        <v>860</v>
      </c>
      <c r="J9495" t="str">
        <f>"9520053"</f>
        <v>9520053</v>
      </c>
      <c r="K9495">
        <v>2104618610</v>
      </c>
      <c r="M9495" t="s">
        <v>11677</v>
      </c>
      <c r="N9495" t="s">
        <v>6213</v>
      </c>
      <c r="O9495" t="s">
        <v>11678</v>
      </c>
      <c r="P9495">
        <v>18648</v>
      </c>
      <c r="Q9495" t="str">
        <f>"37.946843"</f>
        <v>37.946843</v>
      </c>
      <c r="R9495" t="str">
        <f>"23.626270"</f>
        <v>23.626270</v>
      </c>
      <c r="S9495" t="s">
        <v>26</v>
      </c>
    </row>
    <row r="9496" spans="1:19" x14ac:dyDescent="0.3">
      <c r="A9496" t="s">
        <v>3237</v>
      </c>
      <c r="B9496" t="s">
        <v>11503</v>
      </c>
      <c r="C9496" t="s">
        <v>11679</v>
      </c>
      <c r="D9496" t="s">
        <v>3275</v>
      </c>
      <c r="E9496" t="s">
        <v>6203</v>
      </c>
      <c r="F9496" t="s">
        <v>6203</v>
      </c>
      <c r="G9496" t="s">
        <v>6203</v>
      </c>
      <c r="H9496" t="s">
        <v>859</v>
      </c>
      <c r="I9496" t="s">
        <v>860</v>
      </c>
      <c r="J9496" t="str">
        <f>"9520292"</f>
        <v>9520292</v>
      </c>
      <c r="K9496">
        <v>2104022973</v>
      </c>
      <c r="L9496">
        <v>2104022973</v>
      </c>
      <c r="M9496" t="s">
        <v>11680</v>
      </c>
      <c r="N9496" t="s">
        <v>6203</v>
      </c>
      <c r="O9496" t="s">
        <v>11681</v>
      </c>
      <c r="P9496">
        <v>18863</v>
      </c>
      <c r="Q9496" t="str">
        <f>"37.968589"</f>
        <v>37.968589</v>
      </c>
      <c r="R9496" t="str">
        <f>"23.569301"</f>
        <v>23.569301</v>
      </c>
      <c r="S9496" t="s">
        <v>26</v>
      </c>
    </row>
    <row r="9497" spans="1:19" x14ac:dyDescent="0.3">
      <c r="A9497" t="s">
        <v>3237</v>
      </c>
      <c r="B9497" t="s">
        <v>11503</v>
      </c>
      <c r="C9497" t="s">
        <v>11682</v>
      </c>
      <c r="D9497" t="s">
        <v>3275</v>
      </c>
      <c r="E9497" t="s">
        <v>3275</v>
      </c>
      <c r="F9497" t="s">
        <v>3275</v>
      </c>
      <c r="G9497" t="s">
        <v>6382</v>
      </c>
      <c r="H9497" t="s">
        <v>859</v>
      </c>
      <c r="I9497" t="s">
        <v>860</v>
      </c>
      <c r="J9497" t="str">
        <f>"9520277"</f>
        <v>9520277</v>
      </c>
      <c r="K9497">
        <v>2104130043</v>
      </c>
      <c r="L9497">
        <v>2104130043</v>
      </c>
      <c r="M9497" t="s">
        <v>11683</v>
      </c>
      <c r="N9497" t="s">
        <v>6200</v>
      </c>
      <c r="O9497" t="s">
        <v>11684</v>
      </c>
      <c r="P9497">
        <v>18533</v>
      </c>
      <c r="Q9497" t="str">
        <f>"37.943490"</f>
        <v>37.943490</v>
      </c>
      <c r="R9497" t="str">
        <f>"23.657945"</f>
        <v>23.657945</v>
      </c>
      <c r="S9497" t="s">
        <v>26</v>
      </c>
    </row>
    <row r="9498" spans="1:19" x14ac:dyDescent="0.3">
      <c r="A9498" t="s">
        <v>3237</v>
      </c>
      <c r="B9498" t="s">
        <v>11503</v>
      </c>
      <c r="C9498" t="s">
        <v>11704</v>
      </c>
      <c r="D9498" t="s">
        <v>6222</v>
      </c>
      <c r="E9498" t="s">
        <v>6223</v>
      </c>
      <c r="F9498" t="s">
        <v>6229</v>
      </c>
      <c r="G9498" t="s">
        <v>6223</v>
      </c>
      <c r="H9498" t="s">
        <v>859</v>
      </c>
      <c r="I9498" t="s">
        <v>860</v>
      </c>
      <c r="J9498" t="str">
        <f>"9520187"</f>
        <v>9520187</v>
      </c>
      <c r="K9498">
        <v>2104657113</v>
      </c>
      <c r="L9498">
        <v>2104657113</v>
      </c>
      <c r="M9498" t="s">
        <v>11705</v>
      </c>
      <c r="N9498" t="s">
        <v>6229</v>
      </c>
      <c r="O9498" t="s">
        <v>11706</v>
      </c>
      <c r="P9498">
        <v>18900</v>
      </c>
      <c r="Q9498" t="str">
        <f>"37.965411"</f>
        <v>37.965411</v>
      </c>
      <c r="R9498" t="str">
        <f>"23.500654"</f>
        <v>23.500654</v>
      </c>
      <c r="S9498" t="s">
        <v>26</v>
      </c>
    </row>
    <row r="9499" spans="1:19" x14ac:dyDescent="0.3">
      <c r="A9499" t="s">
        <v>3237</v>
      </c>
      <c r="B9499" t="s">
        <v>11503</v>
      </c>
      <c r="C9499" t="s">
        <v>11717</v>
      </c>
      <c r="D9499" t="s">
        <v>6222</v>
      </c>
      <c r="E9499" t="s">
        <v>6223</v>
      </c>
      <c r="F9499" t="s">
        <v>6229</v>
      </c>
      <c r="G9499" t="s">
        <v>6223</v>
      </c>
      <c r="H9499" t="s">
        <v>859</v>
      </c>
      <c r="I9499" t="s">
        <v>860</v>
      </c>
      <c r="J9499" t="str">
        <f>"9520245"</f>
        <v>9520245</v>
      </c>
      <c r="K9499">
        <v>2104657112</v>
      </c>
      <c r="L9499">
        <v>2104657112</v>
      </c>
      <c r="M9499" t="s">
        <v>11718</v>
      </c>
      <c r="N9499" t="s">
        <v>6229</v>
      </c>
      <c r="O9499" t="s">
        <v>11719</v>
      </c>
      <c r="P9499">
        <v>18900</v>
      </c>
      <c r="Q9499" t="str">
        <f>"37.963154"</f>
        <v>37.963154</v>
      </c>
      <c r="R9499" t="str">
        <f>"23.511766"</f>
        <v>23.511766</v>
      </c>
      <c r="S9499" t="s">
        <v>26</v>
      </c>
    </row>
    <row r="9500" spans="1:19" x14ac:dyDescent="0.3">
      <c r="A9500" t="s">
        <v>3237</v>
      </c>
      <c r="B9500" t="s">
        <v>11503</v>
      </c>
      <c r="C9500" t="s">
        <v>11723</v>
      </c>
      <c r="D9500" t="s">
        <v>3275</v>
      </c>
      <c r="E9500" t="s">
        <v>3275</v>
      </c>
      <c r="F9500" t="s">
        <v>3275</v>
      </c>
      <c r="G9500" t="s">
        <v>6193</v>
      </c>
      <c r="H9500" t="s">
        <v>859</v>
      </c>
      <c r="I9500" t="s">
        <v>860</v>
      </c>
      <c r="J9500" t="str">
        <f>"9520008"</f>
        <v>9520008</v>
      </c>
      <c r="K9500">
        <v>2104624215</v>
      </c>
      <c r="M9500" t="s">
        <v>11724</v>
      </c>
      <c r="N9500" t="s">
        <v>6200</v>
      </c>
      <c r="O9500" t="s">
        <v>11725</v>
      </c>
      <c r="P9500">
        <v>18544</v>
      </c>
      <c r="Q9500" t="str">
        <f>"37.959738"</f>
        <v>37.959738</v>
      </c>
      <c r="R9500" t="str">
        <f>"23.637603"</f>
        <v>23.637603</v>
      </c>
      <c r="S9500" t="s">
        <v>26</v>
      </c>
    </row>
    <row r="9501" spans="1:19" x14ac:dyDescent="0.3">
      <c r="A9501" t="s">
        <v>3237</v>
      </c>
      <c r="B9501" t="s">
        <v>11503</v>
      </c>
      <c r="C9501" t="s">
        <v>11727</v>
      </c>
      <c r="D9501" t="s">
        <v>3275</v>
      </c>
      <c r="E9501" t="s">
        <v>6203</v>
      </c>
      <c r="F9501" t="s">
        <v>6203</v>
      </c>
      <c r="G9501" t="s">
        <v>6203</v>
      </c>
      <c r="H9501" t="s">
        <v>859</v>
      </c>
      <c r="I9501" t="s">
        <v>860</v>
      </c>
      <c r="J9501" t="str">
        <f>"9520549"</f>
        <v>9520549</v>
      </c>
      <c r="K9501">
        <v>2104413174</v>
      </c>
      <c r="L9501">
        <v>2104413174</v>
      </c>
      <c r="M9501" t="s">
        <v>11728</v>
      </c>
      <c r="N9501" t="s">
        <v>6203</v>
      </c>
      <c r="O9501" t="s">
        <v>11729</v>
      </c>
      <c r="P9501">
        <v>18863</v>
      </c>
      <c r="Q9501" t="str">
        <f>"37.966296"</f>
        <v>37.966296</v>
      </c>
      <c r="R9501" t="str">
        <f>"23.579594"</f>
        <v>23.579594</v>
      </c>
      <c r="S9501" t="s">
        <v>26</v>
      </c>
    </row>
    <row r="9502" spans="1:19" x14ac:dyDescent="0.3">
      <c r="A9502" t="s">
        <v>3237</v>
      </c>
      <c r="B9502" t="s">
        <v>11503</v>
      </c>
      <c r="C9502" t="s">
        <v>11732</v>
      </c>
      <c r="D9502" t="s">
        <v>3275</v>
      </c>
      <c r="E9502" t="s">
        <v>3275</v>
      </c>
      <c r="F9502" t="s">
        <v>3275</v>
      </c>
      <c r="G9502" t="s">
        <v>6261</v>
      </c>
      <c r="H9502" t="s">
        <v>859</v>
      </c>
      <c r="I9502" t="s">
        <v>860</v>
      </c>
      <c r="J9502" t="str">
        <f>"9520018"</f>
        <v>9520018</v>
      </c>
      <c r="K9502">
        <v>2104202268</v>
      </c>
      <c r="M9502" t="s">
        <v>11733</v>
      </c>
      <c r="N9502" t="s">
        <v>6200</v>
      </c>
      <c r="O9502" t="s">
        <v>11734</v>
      </c>
      <c r="P9502">
        <v>18542</v>
      </c>
      <c r="Q9502" t="str">
        <f>"37.960880"</f>
        <v>37.960880</v>
      </c>
      <c r="R9502" t="str">
        <f>"23.654260"</f>
        <v>23.654260</v>
      </c>
      <c r="S9502" t="s">
        <v>26</v>
      </c>
    </row>
    <row r="9503" spans="1:19" x14ac:dyDescent="0.3">
      <c r="A9503" t="s">
        <v>3237</v>
      </c>
      <c r="B9503" t="s">
        <v>11503</v>
      </c>
      <c r="C9503" t="s">
        <v>11735</v>
      </c>
      <c r="D9503" t="s">
        <v>3275</v>
      </c>
      <c r="E9503" t="s">
        <v>3275</v>
      </c>
      <c r="F9503" t="s">
        <v>3275</v>
      </c>
      <c r="G9503" t="s">
        <v>6261</v>
      </c>
      <c r="H9503" t="s">
        <v>859</v>
      </c>
      <c r="I9503" t="s">
        <v>860</v>
      </c>
      <c r="J9503" t="str">
        <f>"9520025"</f>
        <v>9520025</v>
      </c>
      <c r="K9503">
        <v>2104824109</v>
      </c>
      <c r="L9503">
        <v>2104824109</v>
      </c>
      <c r="M9503" t="s">
        <v>11736</v>
      </c>
      <c r="N9503" t="s">
        <v>6200</v>
      </c>
      <c r="O9503" t="s">
        <v>11737</v>
      </c>
      <c r="P9503">
        <v>18541</v>
      </c>
      <c r="Q9503" t="str">
        <f>"37.953207"</f>
        <v>37.953207</v>
      </c>
      <c r="R9503" t="str">
        <f>"23.661979"</f>
        <v>23.661979</v>
      </c>
      <c r="S9503" t="s">
        <v>26</v>
      </c>
    </row>
    <row r="9504" spans="1:19" x14ac:dyDescent="0.3">
      <c r="A9504" t="s">
        <v>3237</v>
      </c>
      <c r="B9504" t="s">
        <v>11503</v>
      </c>
      <c r="C9504" t="s">
        <v>11738</v>
      </c>
      <c r="D9504" t="s">
        <v>3275</v>
      </c>
      <c r="E9504" t="s">
        <v>3275</v>
      </c>
      <c r="F9504" t="s">
        <v>3275</v>
      </c>
      <c r="G9504" t="s">
        <v>6261</v>
      </c>
      <c r="H9504" t="s">
        <v>859</v>
      </c>
      <c r="I9504" t="s">
        <v>860</v>
      </c>
      <c r="J9504" t="str">
        <f>"9520029"</f>
        <v>9520029</v>
      </c>
      <c r="K9504">
        <v>2104827346</v>
      </c>
      <c r="L9504">
        <v>2104827356</v>
      </c>
      <c r="M9504" t="s">
        <v>11739</v>
      </c>
      <c r="N9504" t="s">
        <v>6200</v>
      </c>
      <c r="O9504" t="s">
        <v>11740</v>
      </c>
      <c r="P9504">
        <v>18541</v>
      </c>
      <c r="Q9504" t="str">
        <f>"37.953127"</f>
        <v>37.953127</v>
      </c>
      <c r="R9504" t="str">
        <f>"23.666929"</f>
        <v>23.666929</v>
      </c>
      <c r="S9504" t="s">
        <v>26</v>
      </c>
    </row>
    <row r="9505" spans="1:19" x14ac:dyDescent="0.3">
      <c r="A9505" t="s">
        <v>3237</v>
      </c>
      <c r="B9505" t="s">
        <v>11503</v>
      </c>
      <c r="C9505" t="s">
        <v>11741</v>
      </c>
      <c r="D9505" t="s">
        <v>3275</v>
      </c>
      <c r="E9505" t="s">
        <v>3275</v>
      </c>
      <c r="F9505" t="s">
        <v>3275</v>
      </c>
      <c r="G9505" t="s">
        <v>6261</v>
      </c>
      <c r="H9505" t="s">
        <v>859</v>
      </c>
      <c r="I9505" t="s">
        <v>860</v>
      </c>
      <c r="J9505" t="str">
        <f>"9520212"</f>
        <v>9520212</v>
      </c>
      <c r="K9505">
        <v>2104906898</v>
      </c>
      <c r="L9505">
        <v>2104906898</v>
      </c>
      <c r="M9505" t="s">
        <v>11742</v>
      </c>
      <c r="N9505" t="s">
        <v>11743</v>
      </c>
      <c r="O9505" t="s">
        <v>11744</v>
      </c>
      <c r="P9505">
        <v>18542</v>
      </c>
      <c r="Q9505" t="str">
        <f>"37.964692"</f>
        <v>37.964692</v>
      </c>
      <c r="R9505" t="str">
        <f>"23.655108"</f>
        <v>23.655108</v>
      </c>
      <c r="S9505" t="s">
        <v>26</v>
      </c>
    </row>
    <row r="9506" spans="1:19" x14ac:dyDescent="0.3">
      <c r="A9506" t="s">
        <v>3237</v>
      </c>
      <c r="B9506" t="s">
        <v>11503</v>
      </c>
      <c r="C9506" t="s">
        <v>11745</v>
      </c>
      <c r="D9506" t="s">
        <v>3275</v>
      </c>
      <c r="E9506" t="s">
        <v>3275</v>
      </c>
      <c r="F9506" t="s">
        <v>3275</v>
      </c>
      <c r="G9506" t="s">
        <v>6261</v>
      </c>
      <c r="H9506" t="s">
        <v>859</v>
      </c>
      <c r="I9506" t="s">
        <v>860</v>
      </c>
      <c r="J9506" t="str">
        <f>"9520214"</f>
        <v>9520214</v>
      </c>
      <c r="K9506">
        <v>2104209783</v>
      </c>
      <c r="L9506">
        <v>2104209783</v>
      </c>
      <c r="M9506" t="s">
        <v>11746</v>
      </c>
      <c r="N9506" t="s">
        <v>6200</v>
      </c>
      <c r="O9506" t="s">
        <v>11747</v>
      </c>
      <c r="P9506">
        <v>18541</v>
      </c>
      <c r="Q9506" t="str">
        <f>"37.953415"</f>
        <v>37.953415</v>
      </c>
      <c r="R9506" t="str">
        <f>"23.659515"</f>
        <v>23.659515</v>
      </c>
      <c r="S9506" t="s">
        <v>26</v>
      </c>
    </row>
    <row r="9507" spans="1:19" x14ac:dyDescent="0.3">
      <c r="A9507" t="s">
        <v>3237</v>
      </c>
      <c r="B9507" t="s">
        <v>11503</v>
      </c>
      <c r="C9507" t="s">
        <v>11748</v>
      </c>
      <c r="D9507" t="s">
        <v>3275</v>
      </c>
      <c r="E9507" t="s">
        <v>3275</v>
      </c>
      <c r="F9507" t="s">
        <v>3275</v>
      </c>
      <c r="G9507" t="s">
        <v>6261</v>
      </c>
      <c r="H9507" t="s">
        <v>859</v>
      </c>
      <c r="I9507" t="s">
        <v>860</v>
      </c>
      <c r="J9507" t="str">
        <f>"9520216"</f>
        <v>9520216</v>
      </c>
      <c r="K9507">
        <v>2104126758</v>
      </c>
      <c r="L9507">
        <v>2104126758</v>
      </c>
      <c r="M9507" t="s">
        <v>11749</v>
      </c>
      <c r="N9507" t="s">
        <v>6200</v>
      </c>
      <c r="O9507" t="s">
        <v>11750</v>
      </c>
      <c r="P9507">
        <v>18540</v>
      </c>
      <c r="Q9507" t="str">
        <f>"37.950741"</f>
        <v>37.950741</v>
      </c>
      <c r="R9507" t="str">
        <f>"23.653274"</f>
        <v>23.653274</v>
      </c>
      <c r="S9507" t="s">
        <v>26</v>
      </c>
    </row>
    <row r="9508" spans="1:19" x14ac:dyDescent="0.3">
      <c r="A9508" t="s">
        <v>3237</v>
      </c>
      <c r="B9508" t="s">
        <v>11503</v>
      </c>
      <c r="C9508" t="s">
        <v>11751</v>
      </c>
      <c r="D9508" t="s">
        <v>3275</v>
      </c>
      <c r="E9508" t="s">
        <v>3275</v>
      </c>
      <c r="F9508" t="s">
        <v>3275</v>
      </c>
      <c r="G9508" t="s">
        <v>6261</v>
      </c>
      <c r="H9508" t="s">
        <v>859</v>
      </c>
      <c r="I9508" t="s">
        <v>860</v>
      </c>
      <c r="J9508" t="str">
        <f>"9520276"</f>
        <v>9520276</v>
      </c>
      <c r="K9508">
        <v>2104207527</v>
      </c>
      <c r="L9508">
        <v>2104207527</v>
      </c>
      <c r="M9508" t="s">
        <v>11752</v>
      </c>
      <c r="N9508" t="s">
        <v>6200</v>
      </c>
      <c r="O9508" t="s">
        <v>11753</v>
      </c>
      <c r="P9508">
        <v>18542</v>
      </c>
      <c r="Q9508" t="str">
        <f>"37.961795"</f>
        <v>37.961795</v>
      </c>
      <c r="R9508" t="str">
        <f>"23.655993"</f>
        <v>23.655993</v>
      </c>
      <c r="S9508" t="s">
        <v>26</v>
      </c>
    </row>
    <row r="9509" spans="1:19" x14ac:dyDescent="0.3">
      <c r="A9509" t="s">
        <v>3237</v>
      </c>
      <c r="B9509" t="s">
        <v>11503</v>
      </c>
      <c r="C9509" t="s">
        <v>11754</v>
      </c>
      <c r="D9509" t="s">
        <v>3275</v>
      </c>
      <c r="E9509" t="s">
        <v>3275</v>
      </c>
      <c r="F9509" t="s">
        <v>3275</v>
      </c>
      <c r="G9509" t="s">
        <v>6261</v>
      </c>
      <c r="H9509" t="s">
        <v>859</v>
      </c>
      <c r="I9509" t="s">
        <v>860</v>
      </c>
      <c r="J9509" t="str">
        <f>"9520417"</f>
        <v>9520417</v>
      </c>
      <c r="K9509">
        <v>2104209710</v>
      </c>
      <c r="L9509">
        <v>2110128406</v>
      </c>
      <c r="M9509" t="s">
        <v>11755</v>
      </c>
      <c r="N9509" t="s">
        <v>6200</v>
      </c>
      <c r="O9509" t="s">
        <v>11756</v>
      </c>
      <c r="P9509">
        <v>18541</v>
      </c>
      <c r="Q9509" t="str">
        <f>"37.958141"</f>
        <v>37.958141</v>
      </c>
      <c r="R9509" t="str">
        <f>"23.658642"</f>
        <v>23.658642</v>
      </c>
      <c r="S9509" t="s">
        <v>26</v>
      </c>
    </row>
    <row r="9510" spans="1:19" x14ac:dyDescent="0.3">
      <c r="A9510" t="s">
        <v>3237</v>
      </c>
      <c r="B9510" t="s">
        <v>11503</v>
      </c>
      <c r="C9510" t="s">
        <v>11757</v>
      </c>
      <c r="D9510" t="s">
        <v>3275</v>
      </c>
      <c r="E9510" t="s">
        <v>3275</v>
      </c>
      <c r="F9510" t="s">
        <v>3275</v>
      </c>
      <c r="G9510" t="s">
        <v>6261</v>
      </c>
      <c r="H9510" t="s">
        <v>859</v>
      </c>
      <c r="I9510" t="s">
        <v>1102</v>
      </c>
      <c r="J9510" t="str">
        <f>"9520544"</f>
        <v>9520544</v>
      </c>
      <c r="K9510">
        <v>2104203238</v>
      </c>
      <c r="M9510" t="s">
        <v>11758</v>
      </c>
      <c r="N9510" t="s">
        <v>3279</v>
      </c>
      <c r="O9510" t="s">
        <v>11759</v>
      </c>
      <c r="P9510">
        <v>18542</v>
      </c>
      <c r="Q9510" t="str">
        <f>"37.959494"</f>
        <v>37.959494</v>
      </c>
      <c r="R9510" t="str">
        <f>"23.657521"</f>
        <v>23.657521</v>
      </c>
      <c r="S9510" t="s">
        <v>26</v>
      </c>
    </row>
    <row r="9511" spans="1:19" x14ac:dyDescent="0.3">
      <c r="A9511" t="s">
        <v>3237</v>
      </c>
      <c r="B9511" t="s">
        <v>11503</v>
      </c>
      <c r="C9511" t="s">
        <v>11760</v>
      </c>
      <c r="D9511" t="s">
        <v>3275</v>
      </c>
      <c r="E9511" t="s">
        <v>6266</v>
      </c>
      <c r="F9511" t="s">
        <v>5431</v>
      </c>
      <c r="G9511" t="s">
        <v>5431</v>
      </c>
      <c r="H9511" t="s">
        <v>859</v>
      </c>
      <c r="I9511" t="s">
        <v>860</v>
      </c>
      <c r="J9511" t="str">
        <f>"9520123"</f>
        <v>9520123</v>
      </c>
      <c r="K9511">
        <v>2104930653</v>
      </c>
      <c r="L9511">
        <v>2104930653</v>
      </c>
      <c r="M9511" t="s">
        <v>11761</v>
      </c>
      <c r="N9511" t="s">
        <v>5431</v>
      </c>
      <c r="O9511" t="s">
        <v>11762</v>
      </c>
      <c r="P9511">
        <v>18450</v>
      </c>
      <c r="Q9511" t="str">
        <f>"37.967708"</f>
        <v>37.967708</v>
      </c>
      <c r="R9511" t="str">
        <f>"23.647077"</f>
        <v>23.647077</v>
      </c>
      <c r="S9511" t="s">
        <v>26</v>
      </c>
    </row>
    <row r="9512" spans="1:19" x14ac:dyDescent="0.3">
      <c r="A9512" t="s">
        <v>3237</v>
      </c>
      <c r="B9512" t="s">
        <v>11503</v>
      </c>
      <c r="C9512" t="s">
        <v>11763</v>
      </c>
      <c r="D9512" t="s">
        <v>3275</v>
      </c>
      <c r="E9512" t="s">
        <v>6266</v>
      </c>
      <c r="F9512" t="s">
        <v>5431</v>
      </c>
      <c r="G9512" t="s">
        <v>5431</v>
      </c>
      <c r="H9512" t="s">
        <v>859</v>
      </c>
      <c r="I9512" t="s">
        <v>860</v>
      </c>
      <c r="J9512" t="str">
        <f>"9520129"</f>
        <v>9520129</v>
      </c>
      <c r="K9512">
        <v>2104918685</v>
      </c>
      <c r="M9512" t="s">
        <v>11764</v>
      </c>
      <c r="N9512" t="s">
        <v>5431</v>
      </c>
      <c r="O9512" t="s">
        <v>11765</v>
      </c>
      <c r="P9512">
        <v>18450</v>
      </c>
      <c r="Q9512" t="str">
        <f>"37.966063"</f>
        <v>37.966063</v>
      </c>
      <c r="R9512" t="str">
        <f>"23.642946"</f>
        <v>23.642946</v>
      </c>
      <c r="S9512" t="s">
        <v>26</v>
      </c>
    </row>
    <row r="9513" spans="1:19" x14ac:dyDescent="0.3">
      <c r="A9513" t="s">
        <v>3237</v>
      </c>
      <c r="B9513" t="s">
        <v>11503</v>
      </c>
      <c r="C9513" t="s">
        <v>11766</v>
      </c>
      <c r="D9513" t="s">
        <v>3275</v>
      </c>
      <c r="E9513" t="s">
        <v>6266</v>
      </c>
      <c r="F9513" t="s">
        <v>5431</v>
      </c>
      <c r="G9513" t="s">
        <v>5431</v>
      </c>
      <c r="H9513" t="s">
        <v>859</v>
      </c>
      <c r="I9513" t="s">
        <v>860</v>
      </c>
      <c r="J9513" t="str">
        <f>"9520100"</f>
        <v>9520100</v>
      </c>
      <c r="K9513">
        <v>2104921285</v>
      </c>
      <c r="L9513">
        <v>2104921285</v>
      </c>
      <c r="M9513" t="s">
        <v>11767</v>
      </c>
      <c r="N9513" t="s">
        <v>5431</v>
      </c>
      <c r="O9513" t="s">
        <v>11768</v>
      </c>
      <c r="P9513">
        <v>18453</v>
      </c>
      <c r="Q9513" t="str">
        <f>"37.971860"</f>
        <v>37.971860</v>
      </c>
      <c r="R9513" t="str">
        <f>"23.644518"</f>
        <v>23.644518</v>
      </c>
      <c r="S9513" t="s">
        <v>26</v>
      </c>
    </row>
    <row r="9514" spans="1:19" x14ac:dyDescent="0.3">
      <c r="A9514" t="s">
        <v>3237</v>
      </c>
      <c r="B9514" t="s">
        <v>11503</v>
      </c>
      <c r="C9514" t="s">
        <v>11769</v>
      </c>
      <c r="D9514" t="s">
        <v>3275</v>
      </c>
      <c r="E9514" t="s">
        <v>6266</v>
      </c>
      <c r="F9514" t="s">
        <v>5431</v>
      </c>
      <c r="G9514" t="s">
        <v>5431</v>
      </c>
      <c r="H9514" t="s">
        <v>859</v>
      </c>
      <c r="I9514" t="s">
        <v>860</v>
      </c>
      <c r="J9514" t="str">
        <f>"9520132"</f>
        <v>9520132</v>
      </c>
      <c r="K9514">
        <v>2104933488</v>
      </c>
      <c r="M9514" t="s">
        <v>11770</v>
      </c>
      <c r="N9514" t="s">
        <v>5431</v>
      </c>
      <c r="O9514" t="s">
        <v>11771</v>
      </c>
      <c r="P9514">
        <v>18450</v>
      </c>
      <c r="Q9514" t="str">
        <f>"37.968233"</f>
        <v>37.968233</v>
      </c>
      <c r="R9514" t="str">
        <f>"23.647522"</f>
        <v>23.647522</v>
      </c>
      <c r="S9514" t="s">
        <v>26</v>
      </c>
    </row>
    <row r="9515" spans="1:19" x14ac:dyDescent="0.3">
      <c r="A9515" t="s">
        <v>3237</v>
      </c>
      <c r="B9515" t="s">
        <v>11503</v>
      </c>
      <c r="C9515" t="s">
        <v>11772</v>
      </c>
      <c r="D9515" t="s">
        <v>3275</v>
      </c>
      <c r="E9515" t="s">
        <v>6266</v>
      </c>
      <c r="F9515" t="s">
        <v>5431</v>
      </c>
      <c r="G9515" t="s">
        <v>5431</v>
      </c>
      <c r="H9515" t="s">
        <v>859</v>
      </c>
      <c r="I9515" t="s">
        <v>860</v>
      </c>
      <c r="J9515" t="str">
        <f>"9520133"</f>
        <v>9520133</v>
      </c>
      <c r="K9515">
        <v>2104910075</v>
      </c>
      <c r="L9515">
        <v>2104910075</v>
      </c>
      <c r="M9515" t="s">
        <v>11773</v>
      </c>
      <c r="N9515" t="s">
        <v>5431</v>
      </c>
      <c r="O9515" t="s">
        <v>11774</v>
      </c>
      <c r="P9515">
        <v>18452</v>
      </c>
      <c r="Q9515" t="str">
        <f>"37.980863"</f>
        <v>37.980863</v>
      </c>
      <c r="R9515" t="str">
        <f>"23.634727"</f>
        <v>23.634727</v>
      </c>
      <c r="S9515" t="s">
        <v>26</v>
      </c>
    </row>
    <row r="9516" spans="1:19" x14ac:dyDescent="0.3">
      <c r="A9516" t="s">
        <v>3237</v>
      </c>
      <c r="B9516" t="s">
        <v>11503</v>
      </c>
      <c r="C9516" t="s">
        <v>11775</v>
      </c>
      <c r="D9516" t="s">
        <v>3275</v>
      </c>
      <c r="E9516" t="s">
        <v>6266</v>
      </c>
      <c r="F9516" t="s">
        <v>5431</v>
      </c>
      <c r="G9516" t="s">
        <v>5431</v>
      </c>
      <c r="H9516" t="s">
        <v>859</v>
      </c>
      <c r="I9516" t="s">
        <v>860</v>
      </c>
      <c r="J9516" t="str">
        <f>"9520261"</f>
        <v>9520261</v>
      </c>
      <c r="K9516">
        <v>2104918681</v>
      </c>
      <c r="L9516">
        <v>2104918681</v>
      </c>
      <c r="M9516" t="s">
        <v>11776</v>
      </c>
      <c r="N9516" t="s">
        <v>5431</v>
      </c>
      <c r="O9516" t="s">
        <v>11777</v>
      </c>
      <c r="P9516">
        <v>18450</v>
      </c>
      <c r="Q9516" t="str">
        <f>"37.964108"</f>
        <v>37.964108</v>
      </c>
      <c r="R9516" t="str">
        <f>"23.650119"</f>
        <v>23.650119</v>
      </c>
      <c r="S9516" t="s">
        <v>26</v>
      </c>
    </row>
    <row r="9517" spans="1:19" x14ac:dyDescent="0.3">
      <c r="A9517" t="s">
        <v>3237</v>
      </c>
      <c r="B9517" t="s">
        <v>11503</v>
      </c>
      <c r="C9517" t="s">
        <v>11778</v>
      </c>
      <c r="D9517" t="s">
        <v>3275</v>
      </c>
      <c r="E9517" t="s">
        <v>6266</v>
      </c>
      <c r="F9517" t="s">
        <v>5431</v>
      </c>
      <c r="G9517" t="s">
        <v>5431</v>
      </c>
      <c r="H9517" t="s">
        <v>859</v>
      </c>
      <c r="I9517" t="s">
        <v>860</v>
      </c>
      <c r="J9517" t="str">
        <f>"9520288"</f>
        <v>9520288</v>
      </c>
      <c r="K9517">
        <v>2104961608</v>
      </c>
      <c r="L9517">
        <v>2104961608</v>
      </c>
      <c r="M9517" t="s">
        <v>11779</v>
      </c>
      <c r="N9517" t="s">
        <v>5431</v>
      </c>
      <c r="O9517" t="s">
        <v>11780</v>
      </c>
      <c r="P9517">
        <v>18452</v>
      </c>
      <c r="Q9517" t="str">
        <f>"37.981087"</f>
        <v>37.981087</v>
      </c>
      <c r="R9517" t="str">
        <f>"23.633241"</f>
        <v>23.633241</v>
      </c>
      <c r="S9517" t="s">
        <v>26</v>
      </c>
    </row>
    <row r="9518" spans="1:19" x14ac:dyDescent="0.3">
      <c r="A9518" t="s">
        <v>3237</v>
      </c>
      <c r="B9518" t="s">
        <v>11503</v>
      </c>
      <c r="C9518" t="s">
        <v>11781</v>
      </c>
      <c r="D9518" t="s">
        <v>3275</v>
      </c>
      <c r="E9518" t="s">
        <v>6266</v>
      </c>
      <c r="F9518" t="s">
        <v>5431</v>
      </c>
      <c r="G9518" t="s">
        <v>5431</v>
      </c>
      <c r="H9518" t="s">
        <v>859</v>
      </c>
      <c r="I9518" t="s">
        <v>860</v>
      </c>
      <c r="J9518" t="str">
        <f>"9520316"</f>
        <v>9520316</v>
      </c>
      <c r="K9518">
        <v>2104911788</v>
      </c>
      <c r="L9518">
        <v>2104911788</v>
      </c>
      <c r="M9518" t="s">
        <v>11782</v>
      </c>
      <c r="N9518" t="s">
        <v>6352</v>
      </c>
      <c r="O9518" t="s">
        <v>11621</v>
      </c>
      <c r="P9518">
        <v>18451</v>
      </c>
      <c r="Q9518" t="str">
        <f>"37.977243"</f>
        <v>37.977243</v>
      </c>
      <c r="R9518" t="str">
        <f>"23.640396"</f>
        <v>23.640396</v>
      </c>
      <c r="S9518" t="s">
        <v>26</v>
      </c>
    </row>
    <row r="9519" spans="1:19" x14ac:dyDescent="0.3">
      <c r="A9519" t="s">
        <v>3237</v>
      </c>
      <c r="B9519" t="s">
        <v>11503</v>
      </c>
      <c r="C9519" t="s">
        <v>11783</v>
      </c>
      <c r="D9519" t="s">
        <v>3275</v>
      </c>
      <c r="E9519" t="s">
        <v>6266</v>
      </c>
      <c r="F9519" t="s">
        <v>5431</v>
      </c>
      <c r="G9519" t="s">
        <v>5431</v>
      </c>
      <c r="H9519" t="s">
        <v>859</v>
      </c>
      <c r="I9519" t="s">
        <v>860</v>
      </c>
      <c r="J9519" t="str">
        <f>"9520317"</f>
        <v>9520317</v>
      </c>
      <c r="K9519">
        <v>2104924924</v>
      </c>
      <c r="L9519">
        <v>2104924924</v>
      </c>
      <c r="M9519" t="s">
        <v>11784</v>
      </c>
      <c r="N9519" t="s">
        <v>5431</v>
      </c>
      <c r="O9519" t="s">
        <v>11785</v>
      </c>
      <c r="P9519">
        <v>18451</v>
      </c>
      <c r="Q9519" t="str">
        <f>"37.974718"</f>
        <v>37.974718</v>
      </c>
      <c r="R9519" t="str">
        <f>"23.638539"</f>
        <v>23.638539</v>
      </c>
      <c r="S9519" t="s">
        <v>26</v>
      </c>
    </row>
    <row r="9520" spans="1:19" x14ac:dyDescent="0.3">
      <c r="A9520" t="s">
        <v>3237</v>
      </c>
      <c r="B9520" t="s">
        <v>11503</v>
      </c>
      <c r="C9520" t="s">
        <v>11786</v>
      </c>
      <c r="D9520" t="s">
        <v>3275</v>
      </c>
      <c r="E9520" t="s">
        <v>6266</v>
      </c>
      <c r="F9520" t="s">
        <v>5431</v>
      </c>
      <c r="G9520" t="s">
        <v>5431</v>
      </c>
      <c r="H9520" t="s">
        <v>859</v>
      </c>
      <c r="I9520" t="s">
        <v>860</v>
      </c>
      <c r="J9520" t="str">
        <f>"9520318"</f>
        <v>9520318</v>
      </c>
      <c r="K9520">
        <v>2104975200</v>
      </c>
      <c r="L9520">
        <v>2104968241</v>
      </c>
      <c r="M9520" t="s">
        <v>11787</v>
      </c>
      <c r="N9520" t="s">
        <v>5431</v>
      </c>
      <c r="O9520" t="s">
        <v>11788</v>
      </c>
      <c r="P9520">
        <v>18454</v>
      </c>
      <c r="Q9520" t="str">
        <f>"37.972858"</f>
        <v>37.972858</v>
      </c>
      <c r="R9520" t="str">
        <f>"23.657494"</f>
        <v>23.657494</v>
      </c>
      <c r="S9520" t="s">
        <v>26</v>
      </c>
    </row>
    <row r="9521" spans="1:19" x14ac:dyDescent="0.3">
      <c r="A9521" t="s">
        <v>3237</v>
      </c>
      <c r="B9521" t="s">
        <v>11503</v>
      </c>
      <c r="C9521" t="s">
        <v>11789</v>
      </c>
      <c r="D9521" t="s">
        <v>3275</v>
      </c>
      <c r="E9521" t="s">
        <v>6266</v>
      </c>
      <c r="F9521" t="s">
        <v>5431</v>
      </c>
      <c r="G9521" t="s">
        <v>5431</v>
      </c>
      <c r="H9521" t="s">
        <v>859</v>
      </c>
      <c r="I9521" t="s">
        <v>860</v>
      </c>
      <c r="J9521" t="str">
        <f>"9520322"</f>
        <v>9520322</v>
      </c>
      <c r="K9521">
        <v>2104921287</v>
      </c>
      <c r="L9521">
        <v>2104921285</v>
      </c>
      <c r="M9521" t="s">
        <v>11790</v>
      </c>
      <c r="N9521" t="s">
        <v>5431</v>
      </c>
      <c r="O9521" t="s">
        <v>11768</v>
      </c>
      <c r="P9521">
        <v>18453</v>
      </c>
      <c r="Q9521" t="str">
        <f>"37.971890"</f>
        <v>37.971890</v>
      </c>
      <c r="R9521" t="str">
        <f>"23.644651"</f>
        <v>23.644651</v>
      </c>
      <c r="S9521" t="s">
        <v>26</v>
      </c>
    </row>
    <row r="9522" spans="1:19" x14ac:dyDescent="0.3">
      <c r="A9522" t="s">
        <v>3237</v>
      </c>
      <c r="B9522" t="s">
        <v>11503</v>
      </c>
      <c r="C9522" t="s">
        <v>11791</v>
      </c>
      <c r="D9522" t="s">
        <v>3275</v>
      </c>
      <c r="E9522" t="s">
        <v>6266</v>
      </c>
      <c r="F9522" t="s">
        <v>5431</v>
      </c>
      <c r="G9522" t="s">
        <v>5431</v>
      </c>
      <c r="H9522" t="s">
        <v>859</v>
      </c>
      <c r="I9522" t="s">
        <v>860</v>
      </c>
      <c r="J9522" t="str">
        <f>"9520291"</f>
        <v>9520291</v>
      </c>
      <c r="K9522">
        <v>2104919936</v>
      </c>
      <c r="L9522">
        <v>2104919936</v>
      </c>
      <c r="M9522" t="s">
        <v>11792</v>
      </c>
      <c r="N9522" t="s">
        <v>5431</v>
      </c>
      <c r="O9522" t="s">
        <v>11793</v>
      </c>
      <c r="P9522">
        <v>18450</v>
      </c>
      <c r="Q9522" t="str">
        <f>"37.965413"</f>
        <v>37.965413</v>
      </c>
      <c r="R9522" t="str">
        <f>"23.643961"</f>
        <v>23.643961</v>
      </c>
      <c r="S9522" t="s">
        <v>26</v>
      </c>
    </row>
    <row r="9523" spans="1:19" x14ac:dyDescent="0.3">
      <c r="A9523" t="s">
        <v>3237</v>
      </c>
      <c r="B9523" t="s">
        <v>11503</v>
      </c>
      <c r="C9523" t="s">
        <v>11794</v>
      </c>
      <c r="D9523" t="s">
        <v>3275</v>
      </c>
      <c r="E9523" t="s">
        <v>6266</v>
      </c>
      <c r="F9523" t="s">
        <v>5431</v>
      </c>
      <c r="G9523" t="s">
        <v>5431</v>
      </c>
      <c r="H9523" t="s">
        <v>859</v>
      </c>
      <c r="I9523" t="s">
        <v>860</v>
      </c>
      <c r="J9523" t="str">
        <f>"9520319"</f>
        <v>9520319</v>
      </c>
      <c r="K9523">
        <v>2104978400</v>
      </c>
      <c r="L9523">
        <v>2104968241</v>
      </c>
      <c r="M9523" t="s">
        <v>11795</v>
      </c>
      <c r="N9523" t="s">
        <v>5431</v>
      </c>
      <c r="O9523" t="s">
        <v>11788</v>
      </c>
      <c r="P9523">
        <v>18454</v>
      </c>
      <c r="Q9523" t="str">
        <f>"37.972875"</f>
        <v>37.972875</v>
      </c>
      <c r="R9523" t="str">
        <f>"23.657419"</f>
        <v>23.657419</v>
      </c>
      <c r="S9523" t="s">
        <v>26</v>
      </c>
    </row>
    <row r="9524" spans="1:19" x14ac:dyDescent="0.3">
      <c r="A9524" t="s">
        <v>3237</v>
      </c>
      <c r="B9524" t="s">
        <v>11503</v>
      </c>
      <c r="C9524" t="s">
        <v>11796</v>
      </c>
      <c r="D9524" t="s">
        <v>3275</v>
      </c>
      <c r="E9524" t="s">
        <v>6266</v>
      </c>
      <c r="F9524" t="s">
        <v>5431</v>
      </c>
      <c r="G9524" t="s">
        <v>5431</v>
      </c>
      <c r="H9524" t="s">
        <v>859</v>
      </c>
      <c r="I9524" t="s">
        <v>860</v>
      </c>
      <c r="J9524" t="str">
        <f>"9520239"</f>
        <v>9520239</v>
      </c>
      <c r="K9524">
        <v>2104968241</v>
      </c>
      <c r="L9524">
        <v>2104968241</v>
      </c>
      <c r="M9524" t="s">
        <v>11797</v>
      </c>
      <c r="N9524" t="s">
        <v>5431</v>
      </c>
      <c r="O9524" t="s">
        <v>11788</v>
      </c>
      <c r="P9524">
        <v>18454</v>
      </c>
      <c r="Q9524" t="str">
        <f>"37.972855"</f>
        <v>37.972855</v>
      </c>
      <c r="R9524" t="str">
        <f>"23.657429"</f>
        <v>23.657429</v>
      </c>
      <c r="S9524" t="s">
        <v>26</v>
      </c>
    </row>
    <row r="9525" spans="1:19" x14ac:dyDescent="0.3">
      <c r="A9525" t="s">
        <v>3237</v>
      </c>
      <c r="B9525" t="s">
        <v>11503</v>
      </c>
      <c r="C9525" t="s">
        <v>11798</v>
      </c>
      <c r="D9525" t="s">
        <v>3275</v>
      </c>
      <c r="E9525" t="s">
        <v>6266</v>
      </c>
      <c r="F9525" t="s">
        <v>5431</v>
      </c>
      <c r="G9525" t="s">
        <v>5431</v>
      </c>
      <c r="H9525" t="s">
        <v>859</v>
      </c>
      <c r="I9525" t="s">
        <v>860</v>
      </c>
      <c r="J9525" t="str">
        <f>"9520320"</f>
        <v>9520320</v>
      </c>
      <c r="K9525">
        <v>2104922422</v>
      </c>
      <c r="L9525">
        <v>2104922422</v>
      </c>
      <c r="M9525" t="s">
        <v>11799</v>
      </c>
      <c r="N9525" t="s">
        <v>6352</v>
      </c>
      <c r="O9525" t="s">
        <v>11621</v>
      </c>
      <c r="P9525">
        <v>18451</v>
      </c>
      <c r="Q9525" t="str">
        <f>"37.977220"</f>
        <v>37.977220</v>
      </c>
      <c r="R9525" t="str">
        <f>"23.640411"</f>
        <v>23.640411</v>
      </c>
      <c r="S9525" t="s">
        <v>26</v>
      </c>
    </row>
    <row r="9526" spans="1:19" x14ac:dyDescent="0.3">
      <c r="A9526" t="s">
        <v>3237</v>
      </c>
      <c r="B9526" t="s">
        <v>11503</v>
      </c>
      <c r="C9526" t="s">
        <v>11800</v>
      </c>
      <c r="D9526" t="s">
        <v>3275</v>
      </c>
      <c r="E9526" t="s">
        <v>6266</v>
      </c>
      <c r="F9526" t="s">
        <v>5431</v>
      </c>
      <c r="G9526" t="s">
        <v>5431</v>
      </c>
      <c r="H9526" t="s">
        <v>859</v>
      </c>
      <c r="I9526" t="s">
        <v>860</v>
      </c>
      <c r="J9526" t="str">
        <f>"9520554"</f>
        <v>9520554</v>
      </c>
      <c r="K9526">
        <v>2104914181</v>
      </c>
      <c r="L9526">
        <v>2104914181</v>
      </c>
      <c r="M9526" t="s">
        <v>11801</v>
      </c>
      <c r="N9526" t="s">
        <v>5431</v>
      </c>
      <c r="O9526" t="s">
        <v>11802</v>
      </c>
      <c r="P9526">
        <v>18453</v>
      </c>
      <c r="Q9526" t="str">
        <f>"37.967717"</f>
        <v>37.967717</v>
      </c>
      <c r="R9526" t="str">
        <f>"23.643464"</f>
        <v>23.643464</v>
      </c>
      <c r="S9526" t="s">
        <v>26</v>
      </c>
    </row>
    <row r="9527" spans="1:19" x14ac:dyDescent="0.3">
      <c r="A9527" t="s">
        <v>3237</v>
      </c>
      <c r="B9527" t="s">
        <v>11503</v>
      </c>
      <c r="C9527" t="s">
        <v>11803</v>
      </c>
      <c r="D9527" t="s">
        <v>3275</v>
      </c>
      <c r="E9527" t="s">
        <v>6266</v>
      </c>
      <c r="F9527" t="s">
        <v>5431</v>
      </c>
      <c r="G9527" t="s">
        <v>5431</v>
      </c>
      <c r="H9527" t="s">
        <v>859</v>
      </c>
      <c r="I9527" t="s">
        <v>860</v>
      </c>
      <c r="J9527" t="str">
        <f>"9520315"</f>
        <v>9520315</v>
      </c>
      <c r="K9527">
        <v>2104900446</v>
      </c>
      <c r="L9527">
        <v>2104900446</v>
      </c>
      <c r="M9527" t="s">
        <v>11804</v>
      </c>
      <c r="N9527" t="s">
        <v>5431</v>
      </c>
      <c r="O9527" t="s">
        <v>11805</v>
      </c>
      <c r="P9527">
        <v>18451</v>
      </c>
      <c r="Q9527" t="str">
        <f>"37.971057"</f>
        <v>37.971057</v>
      </c>
      <c r="R9527" t="str">
        <f>"23.637160"</f>
        <v>23.637160</v>
      </c>
      <c r="S9527" t="s">
        <v>26</v>
      </c>
    </row>
    <row r="9528" spans="1:19" x14ac:dyDescent="0.3">
      <c r="A9528" t="s">
        <v>3237</v>
      </c>
      <c r="B9528" t="s">
        <v>11503</v>
      </c>
      <c r="C9528" t="s">
        <v>11806</v>
      </c>
      <c r="D9528" t="s">
        <v>3275</v>
      </c>
      <c r="E9528" t="s">
        <v>6266</v>
      </c>
      <c r="F9528" t="s">
        <v>5431</v>
      </c>
      <c r="G9528" t="s">
        <v>5431</v>
      </c>
      <c r="H9528" t="s">
        <v>859</v>
      </c>
      <c r="I9528" t="s">
        <v>860</v>
      </c>
      <c r="J9528" t="str">
        <f>"9520218"</f>
        <v>9520218</v>
      </c>
      <c r="K9528">
        <v>2104929609</v>
      </c>
      <c r="L9528">
        <v>2104929609</v>
      </c>
      <c r="M9528" t="s">
        <v>11807</v>
      </c>
      <c r="N9528" t="s">
        <v>5431</v>
      </c>
      <c r="O9528" t="s">
        <v>11808</v>
      </c>
      <c r="P9528">
        <v>18450</v>
      </c>
      <c r="Q9528" t="str">
        <f>"37.968889"</f>
        <v>37.968889</v>
      </c>
      <c r="R9528" t="str">
        <f>"23.655185"</f>
        <v>23.655185</v>
      </c>
      <c r="S9528" t="s">
        <v>26</v>
      </c>
    </row>
    <row r="9529" spans="1:19" x14ac:dyDescent="0.3">
      <c r="A9529" t="s">
        <v>3237</v>
      </c>
      <c r="B9529" t="s">
        <v>11503</v>
      </c>
      <c r="C9529" t="s">
        <v>11809</v>
      </c>
      <c r="D9529" t="s">
        <v>3275</v>
      </c>
      <c r="E9529" t="s">
        <v>6266</v>
      </c>
      <c r="F9529" t="s">
        <v>5431</v>
      </c>
      <c r="G9529" t="s">
        <v>5431</v>
      </c>
      <c r="H9529" t="s">
        <v>859</v>
      </c>
      <c r="I9529" t="s">
        <v>860</v>
      </c>
      <c r="J9529" t="str">
        <f>"9520330"</f>
        <v>9520330</v>
      </c>
      <c r="K9529">
        <v>2104917937</v>
      </c>
      <c r="L9529">
        <v>2104917937</v>
      </c>
      <c r="M9529" t="s">
        <v>11810</v>
      </c>
      <c r="N9529" t="s">
        <v>5431</v>
      </c>
      <c r="O9529" t="s">
        <v>11811</v>
      </c>
      <c r="P9529">
        <v>18454</v>
      </c>
      <c r="Q9529" t="str">
        <f>"37.969473"</f>
        <v>37.969473</v>
      </c>
      <c r="R9529" t="str">
        <f>"23.655272"</f>
        <v>23.655272</v>
      </c>
      <c r="S9529" t="s">
        <v>26</v>
      </c>
    </row>
    <row r="9530" spans="1:19" x14ac:dyDescent="0.3">
      <c r="A9530" t="s">
        <v>3237</v>
      </c>
      <c r="B9530" t="s">
        <v>11503</v>
      </c>
      <c r="C9530" t="s">
        <v>11812</v>
      </c>
      <c r="D9530" t="s">
        <v>3275</v>
      </c>
      <c r="E9530" t="s">
        <v>6266</v>
      </c>
      <c r="F9530" t="s">
        <v>5431</v>
      </c>
      <c r="G9530" t="s">
        <v>5431</v>
      </c>
      <c r="H9530" t="s">
        <v>859</v>
      </c>
      <c r="I9530" t="s">
        <v>860</v>
      </c>
      <c r="J9530" t="str">
        <f>"9520257"</f>
        <v>9520257</v>
      </c>
      <c r="K9530">
        <v>2104923469</v>
      </c>
      <c r="L9530">
        <v>210491793</v>
      </c>
      <c r="M9530" t="s">
        <v>11813</v>
      </c>
      <c r="N9530" t="s">
        <v>5431</v>
      </c>
      <c r="O9530" t="s">
        <v>11811</v>
      </c>
      <c r="P9530">
        <v>18454</v>
      </c>
      <c r="Q9530" t="str">
        <f>"37.969344"</f>
        <v>37.969344</v>
      </c>
      <c r="R9530" t="str">
        <f>"23.655728"</f>
        <v>23.655728</v>
      </c>
      <c r="S9530" t="s">
        <v>26</v>
      </c>
    </row>
    <row r="9531" spans="1:19" x14ac:dyDescent="0.3">
      <c r="A9531" t="s">
        <v>3237</v>
      </c>
      <c r="B9531" t="s">
        <v>11503</v>
      </c>
      <c r="C9531" t="s">
        <v>11824</v>
      </c>
      <c r="D9531" t="s">
        <v>3275</v>
      </c>
      <c r="E9531" t="s">
        <v>3303</v>
      </c>
      <c r="F9531" t="s">
        <v>3303</v>
      </c>
      <c r="G9531" t="s">
        <v>3303</v>
      </c>
      <c r="H9531" t="s">
        <v>859</v>
      </c>
      <c r="I9531" t="s">
        <v>860</v>
      </c>
      <c r="J9531" t="str">
        <f>"9520326"</f>
        <v>9520326</v>
      </c>
      <c r="K9531">
        <v>2105625558</v>
      </c>
      <c r="L9531">
        <v>2105625558</v>
      </c>
      <c r="M9531" t="s">
        <v>11825</v>
      </c>
      <c r="N9531" t="s">
        <v>6249</v>
      </c>
      <c r="O9531" t="s">
        <v>11826</v>
      </c>
      <c r="P9531">
        <v>18121</v>
      </c>
      <c r="Q9531" t="str">
        <f>"37.990574"</f>
        <v>37.990574</v>
      </c>
      <c r="R9531" t="str">
        <f>"23.647810"</f>
        <v>23.647810</v>
      </c>
      <c r="S9531" t="s">
        <v>26</v>
      </c>
    </row>
    <row r="9532" spans="1:19" x14ac:dyDescent="0.3">
      <c r="A9532" t="s">
        <v>3237</v>
      </c>
      <c r="B9532" t="s">
        <v>11503</v>
      </c>
      <c r="C9532" t="s">
        <v>11842</v>
      </c>
      <c r="D9532" t="s">
        <v>3275</v>
      </c>
      <c r="E9532" t="s">
        <v>3303</v>
      </c>
      <c r="F9532" t="s">
        <v>3303</v>
      </c>
      <c r="G9532" t="s">
        <v>3303</v>
      </c>
      <c r="H9532" t="s">
        <v>859</v>
      </c>
      <c r="I9532" t="s">
        <v>860</v>
      </c>
      <c r="J9532" t="str">
        <f>"9520310"</f>
        <v>9520310</v>
      </c>
      <c r="K9532">
        <v>2105444821</v>
      </c>
      <c r="L9532">
        <v>2105444821</v>
      </c>
      <c r="M9532" t="s">
        <v>11843</v>
      </c>
      <c r="N9532" t="s">
        <v>3303</v>
      </c>
      <c r="O9532" t="s">
        <v>11844</v>
      </c>
      <c r="P9532">
        <v>18121</v>
      </c>
      <c r="Q9532" t="str">
        <f>"37.981414"</f>
        <v>37.981414</v>
      </c>
      <c r="R9532" t="str">
        <f>"23.661615"</f>
        <v>23.661615</v>
      </c>
      <c r="S9532" t="s">
        <v>26</v>
      </c>
    </row>
    <row r="9533" spans="1:19" x14ac:dyDescent="0.3">
      <c r="A9533" t="s">
        <v>3237</v>
      </c>
      <c r="B9533" t="s">
        <v>11503</v>
      </c>
      <c r="C9533" t="s">
        <v>11847</v>
      </c>
      <c r="D9533" t="s">
        <v>3275</v>
      </c>
      <c r="E9533" t="s">
        <v>6266</v>
      </c>
      <c r="F9533" t="s">
        <v>5431</v>
      </c>
      <c r="G9533" t="s">
        <v>5431</v>
      </c>
      <c r="H9533" t="s">
        <v>859</v>
      </c>
      <c r="I9533" t="s">
        <v>860</v>
      </c>
      <c r="J9533" t="str">
        <f>"9520258"</f>
        <v>9520258</v>
      </c>
      <c r="K9533">
        <v>2104928305</v>
      </c>
      <c r="L9533">
        <v>2104928305</v>
      </c>
      <c r="M9533" t="s">
        <v>11848</v>
      </c>
      <c r="N9533" t="s">
        <v>5431</v>
      </c>
      <c r="O9533" t="s">
        <v>11849</v>
      </c>
      <c r="P9533">
        <v>18451</v>
      </c>
      <c r="Q9533" t="str">
        <f>"37.971246"</f>
        <v>37.971246</v>
      </c>
      <c r="R9533" t="str">
        <f>"23.636582"</f>
        <v>23.636582</v>
      </c>
      <c r="S9533" t="s">
        <v>26</v>
      </c>
    </row>
    <row r="9534" spans="1:19" x14ac:dyDescent="0.3">
      <c r="A9534" t="s">
        <v>3237</v>
      </c>
      <c r="B9534" t="s">
        <v>11503</v>
      </c>
      <c r="C9534" t="s">
        <v>11850</v>
      </c>
      <c r="D9534" t="s">
        <v>3275</v>
      </c>
      <c r="E9534" t="s">
        <v>6212</v>
      </c>
      <c r="F9534" t="s">
        <v>6256</v>
      </c>
      <c r="G9534" t="s">
        <v>6256</v>
      </c>
      <c r="H9534" t="s">
        <v>859</v>
      </c>
      <c r="I9534" t="s">
        <v>860</v>
      </c>
      <c r="J9534" t="str">
        <f>"9520166"</f>
        <v>9520166</v>
      </c>
      <c r="K9534">
        <v>2104326519</v>
      </c>
      <c r="L9534">
        <v>2104326519</v>
      </c>
      <c r="M9534" t="s">
        <v>11851</v>
      </c>
      <c r="N9534" t="s">
        <v>6256</v>
      </c>
      <c r="O9534" t="s">
        <v>11852</v>
      </c>
      <c r="P9534">
        <v>18756</v>
      </c>
      <c r="Q9534" t="str">
        <f>"37.961915"</f>
        <v>37.961915</v>
      </c>
      <c r="R9534" t="str">
        <f>"23.615621"</f>
        <v>23.615621</v>
      </c>
      <c r="S9534" t="s">
        <v>26</v>
      </c>
    </row>
    <row r="9535" spans="1:19" x14ac:dyDescent="0.3">
      <c r="A9535" t="s">
        <v>3237</v>
      </c>
      <c r="B9535" t="s">
        <v>11503</v>
      </c>
      <c r="C9535" t="s">
        <v>11853</v>
      </c>
      <c r="D9535" t="s">
        <v>3275</v>
      </c>
      <c r="E9535" t="s">
        <v>3275</v>
      </c>
      <c r="F9535" t="s">
        <v>3275</v>
      </c>
      <c r="G9535" t="s">
        <v>3276</v>
      </c>
      <c r="H9535" t="s">
        <v>859</v>
      </c>
      <c r="I9535" t="s">
        <v>860</v>
      </c>
      <c r="J9535" t="str">
        <f>"9520225"</f>
        <v>9520225</v>
      </c>
      <c r="K9535">
        <v>2104185422</v>
      </c>
      <c r="L9535">
        <v>2104185422</v>
      </c>
      <c r="M9535" t="s">
        <v>11854</v>
      </c>
      <c r="N9535" t="s">
        <v>3279</v>
      </c>
      <c r="O9535" t="s">
        <v>11855</v>
      </c>
      <c r="P9535">
        <v>18537</v>
      </c>
      <c r="Q9535" t="str">
        <f>"37.936516"</f>
        <v>37.936516</v>
      </c>
      <c r="R9535" t="str">
        <f>"23.641241"</f>
        <v>23.641241</v>
      </c>
      <c r="S9535" t="s">
        <v>26</v>
      </c>
    </row>
    <row r="9536" spans="1:19" x14ac:dyDescent="0.3">
      <c r="A9536" t="s">
        <v>3237</v>
      </c>
      <c r="B9536" t="s">
        <v>11503</v>
      </c>
      <c r="C9536" t="s">
        <v>11856</v>
      </c>
      <c r="D9536" t="s">
        <v>3275</v>
      </c>
      <c r="E9536" t="s">
        <v>6266</v>
      </c>
      <c r="F9536" t="s">
        <v>5431</v>
      </c>
      <c r="G9536" t="s">
        <v>5431</v>
      </c>
      <c r="H9536" t="s">
        <v>859</v>
      </c>
      <c r="I9536" t="s">
        <v>860</v>
      </c>
      <c r="J9536" t="str">
        <f>"9520287"</f>
        <v>9520287</v>
      </c>
      <c r="K9536">
        <v>2104975557</v>
      </c>
      <c r="L9536">
        <v>2104965386</v>
      </c>
      <c r="M9536" t="s">
        <v>11857</v>
      </c>
      <c r="N9536" t="s">
        <v>5431</v>
      </c>
      <c r="O9536" t="s">
        <v>11858</v>
      </c>
      <c r="P9536">
        <v>18452</v>
      </c>
      <c r="Q9536" t="str">
        <f>"37.986734"</f>
        <v>37.986734</v>
      </c>
      <c r="R9536" t="str">
        <f>"23.628783"</f>
        <v>23.628783</v>
      </c>
      <c r="S9536" t="s">
        <v>26</v>
      </c>
    </row>
    <row r="9537" spans="1:19" x14ac:dyDescent="0.3">
      <c r="A9537" t="s">
        <v>3237</v>
      </c>
      <c r="B9537" t="s">
        <v>11503</v>
      </c>
      <c r="C9537" t="s">
        <v>11859</v>
      </c>
      <c r="D9537" t="s">
        <v>3275</v>
      </c>
      <c r="E9537" t="s">
        <v>6266</v>
      </c>
      <c r="F9537" t="s">
        <v>5431</v>
      </c>
      <c r="G9537" t="s">
        <v>5431</v>
      </c>
      <c r="H9537" t="s">
        <v>859</v>
      </c>
      <c r="I9537" t="s">
        <v>860</v>
      </c>
      <c r="J9537" t="str">
        <f>"9520321"</f>
        <v>9520321</v>
      </c>
      <c r="K9537">
        <v>2104965386</v>
      </c>
      <c r="L9537">
        <v>2104965386</v>
      </c>
      <c r="M9537" t="s">
        <v>11860</v>
      </c>
      <c r="N9537" t="s">
        <v>5431</v>
      </c>
      <c r="O9537" t="s">
        <v>11858</v>
      </c>
      <c r="P9537">
        <v>18452</v>
      </c>
      <c r="Q9537" t="str">
        <f>"37.986662"</f>
        <v>37.986662</v>
      </c>
      <c r="R9537" t="str">
        <f>"23.628817"</f>
        <v>23.628817</v>
      </c>
      <c r="S9537" t="s">
        <v>26</v>
      </c>
    </row>
    <row r="9538" spans="1:19" x14ac:dyDescent="0.3">
      <c r="A9538" t="s">
        <v>3237</v>
      </c>
      <c r="B9538" t="s">
        <v>11503</v>
      </c>
      <c r="C9538" t="s">
        <v>11865</v>
      </c>
      <c r="D9538" t="s">
        <v>3275</v>
      </c>
      <c r="E9538" t="s">
        <v>3303</v>
      </c>
      <c r="F9538" t="s">
        <v>3303</v>
      </c>
      <c r="G9538" t="s">
        <v>3303</v>
      </c>
      <c r="H9538" t="s">
        <v>859</v>
      </c>
      <c r="I9538" t="s">
        <v>860</v>
      </c>
      <c r="J9538" t="str">
        <f>"9520235"</f>
        <v>9520235</v>
      </c>
      <c r="K9538">
        <v>2105444821</v>
      </c>
      <c r="L9538">
        <v>2105444821</v>
      </c>
      <c r="M9538" t="s">
        <v>11866</v>
      </c>
      <c r="N9538" t="s">
        <v>3303</v>
      </c>
      <c r="O9538" t="s">
        <v>11867</v>
      </c>
      <c r="P9538">
        <v>18121</v>
      </c>
      <c r="Q9538" t="str">
        <f>"37.981526"</f>
        <v>37.981526</v>
      </c>
      <c r="R9538" t="str">
        <f>"23.661617"</f>
        <v>23.661617</v>
      </c>
      <c r="S9538" t="s">
        <v>26</v>
      </c>
    </row>
    <row r="9539" spans="1:19" x14ac:dyDescent="0.3">
      <c r="A9539" t="s">
        <v>3237</v>
      </c>
      <c r="B9539" t="s">
        <v>11503</v>
      </c>
      <c r="C9539" t="s">
        <v>11870</v>
      </c>
      <c r="D9539" t="s">
        <v>3275</v>
      </c>
      <c r="E9539" t="s">
        <v>6212</v>
      </c>
      <c r="F9539" t="s">
        <v>6256</v>
      </c>
      <c r="G9539" t="s">
        <v>6256</v>
      </c>
      <c r="H9539" t="s">
        <v>859</v>
      </c>
      <c r="I9539" t="s">
        <v>860</v>
      </c>
      <c r="J9539" t="str">
        <f>"9520492"</f>
        <v>9520492</v>
      </c>
      <c r="K9539">
        <v>2104326112</v>
      </c>
      <c r="L9539">
        <v>2104326112</v>
      </c>
      <c r="M9539" t="s">
        <v>11871</v>
      </c>
      <c r="N9539" t="s">
        <v>6256</v>
      </c>
      <c r="O9539" t="s">
        <v>11872</v>
      </c>
      <c r="P9539">
        <v>18757</v>
      </c>
      <c r="Q9539" t="str">
        <f>"37.968779"</f>
        <v>37.968779</v>
      </c>
      <c r="R9539" t="str">
        <f>"23.626292"</f>
        <v>23.626292</v>
      </c>
      <c r="S9539" t="s">
        <v>26</v>
      </c>
    </row>
    <row r="9540" spans="1:19" x14ac:dyDescent="0.3">
      <c r="A9540" t="s">
        <v>3237</v>
      </c>
      <c r="B9540" t="s">
        <v>11503</v>
      </c>
      <c r="C9540" t="s">
        <v>11873</v>
      </c>
      <c r="D9540" t="s">
        <v>3275</v>
      </c>
      <c r="E9540" t="s">
        <v>6266</v>
      </c>
      <c r="F9540" t="s">
        <v>5431</v>
      </c>
      <c r="G9540" t="s">
        <v>5431</v>
      </c>
      <c r="H9540" t="s">
        <v>859</v>
      </c>
      <c r="I9540" t="s">
        <v>860</v>
      </c>
      <c r="J9540" t="str">
        <f>"9520232"</f>
        <v>9520232</v>
      </c>
      <c r="K9540">
        <v>2104933136</v>
      </c>
      <c r="L9540">
        <v>2104933136</v>
      </c>
      <c r="M9540" t="s">
        <v>11874</v>
      </c>
      <c r="N9540" t="s">
        <v>5431</v>
      </c>
      <c r="O9540" t="s">
        <v>11875</v>
      </c>
      <c r="P9540">
        <v>18451</v>
      </c>
      <c r="Q9540" t="str">
        <f>"37.976746"</f>
        <v>37.976746</v>
      </c>
      <c r="R9540" t="str">
        <f>"23.631796"</f>
        <v>23.631796</v>
      </c>
      <c r="S9540" t="s">
        <v>26</v>
      </c>
    </row>
    <row r="9541" spans="1:19" x14ac:dyDescent="0.3">
      <c r="A9541" t="s">
        <v>3237</v>
      </c>
      <c r="B9541" t="s">
        <v>11503</v>
      </c>
      <c r="C9541" t="s">
        <v>11876</v>
      </c>
      <c r="D9541" t="s">
        <v>3275</v>
      </c>
      <c r="E9541" t="s">
        <v>3303</v>
      </c>
      <c r="F9541" t="s">
        <v>3303</v>
      </c>
      <c r="G9541" t="s">
        <v>3303</v>
      </c>
      <c r="H9541" t="s">
        <v>859</v>
      </c>
      <c r="I9541" t="s">
        <v>860</v>
      </c>
      <c r="J9541" t="str">
        <f>"9051588"</f>
        <v>9051588</v>
      </c>
      <c r="K9541">
        <v>2104955622</v>
      </c>
      <c r="L9541">
        <v>2104955622</v>
      </c>
      <c r="M9541" t="s">
        <v>11877</v>
      </c>
      <c r="N9541" t="s">
        <v>3303</v>
      </c>
      <c r="O9541" t="s">
        <v>11878</v>
      </c>
      <c r="P9541">
        <v>18120</v>
      </c>
      <c r="Q9541" t="str">
        <f>"37.976885"</f>
        <v>37.976885</v>
      </c>
      <c r="R9541" t="str">
        <f>"23.653130"</f>
        <v>23.653130</v>
      </c>
      <c r="S9541" t="s">
        <v>26</v>
      </c>
    </row>
    <row r="9542" spans="1:19" x14ac:dyDescent="0.3">
      <c r="A9542" t="s">
        <v>3237</v>
      </c>
      <c r="B9542" t="s">
        <v>11503</v>
      </c>
      <c r="C9542" t="s">
        <v>11881</v>
      </c>
      <c r="D9542" t="s">
        <v>3275</v>
      </c>
      <c r="E9542" t="s">
        <v>6212</v>
      </c>
      <c r="F9542" t="s">
        <v>6256</v>
      </c>
      <c r="G9542" t="s">
        <v>6256</v>
      </c>
      <c r="H9542" t="s">
        <v>859</v>
      </c>
      <c r="I9542" t="s">
        <v>860</v>
      </c>
      <c r="J9542" t="str">
        <f>"9520519"</f>
        <v>9520519</v>
      </c>
      <c r="K9542">
        <v>2104329759</v>
      </c>
      <c r="L9542">
        <v>2104329759</v>
      </c>
      <c r="M9542" t="s">
        <v>11882</v>
      </c>
      <c r="N9542" t="s">
        <v>6256</v>
      </c>
      <c r="O9542" t="s">
        <v>11883</v>
      </c>
      <c r="P9542">
        <v>18758</v>
      </c>
      <c r="Q9542" t="str">
        <f>"37.975789"</f>
        <v>37.975789</v>
      </c>
      <c r="R9542" t="str">
        <f>"23.625013"</f>
        <v>23.625013</v>
      </c>
      <c r="S9542" t="s">
        <v>26</v>
      </c>
    </row>
    <row r="9543" spans="1:19" x14ac:dyDescent="0.3">
      <c r="A9543" t="s">
        <v>3237</v>
      </c>
      <c r="B9543" t="s">
        <v>11503</v>
      </c>
      <c r="C9543" t="s">
        <v>11884</v>
      </c>
      <c r="D9543" t="s">
        <v>6222</v>
      </c>
      <c r="E9543" t="s">
        <v>6223</v>
      </c>
      <c r="F9543" t="s">
        <v>6229</v>
      </c>
      <c r="G9543" t="s">
        <v>6223</v>
      </c>
      <c r="H9543" t="s">
        <v>859</v>
      </c>
      <c r="I9543" t="s">
        <v>860</v>
      </c>
      <c r="J9543" t="str">
        <f>"9520428"</f>
        <v>9520428</v>
      </c>
      <c r="K9543">
        <v>2104655169</v>
      </c>
      <c r="L9543">
        <v>2104655169</v>
      </c>
      <c r="M9543" t="s">
        <v>11885</v>
      </c>
      <c r="N9543" t="s">
        <v>6229</v>
      </c>
      <c r="O9543" t="s">
        <v>11886</v>
      </c>
      <c r="P9543">
        <v>18900</v>
      </c>
      <c r="Q9543" t="str">
        <f>"37.964133"</f>
        <v>37.964133</v>
      </c>
      <c r="R9543" t="str">
        <f>"23.492857"</f>
        <v>23.492857</v>
      </c>
      <c r="S9543" t="s">
        <v>26</v>
      </c>
    </row>
    <row r="9544" spans="1:19" x14ac:dyDescent="0.3">
      <c r="A9544" t="s">
        <v>3237</v>
      </c>
      <c r="B9544" t="s">
        <v>11503</v>
      </c>
      <c r="C9544" t="s">
        <v>11890</v>
      </c>
      <c r="D9544" t="s">
        <v>6222</v>
      </c>
      <c r="E9544" t="s">
        <v>6223</v>
      </c>
      <c r="F9544" t="s">
        <v>6229</v>
      </c>
      <c r="G9544" t="s">
        <v>6223</v>
      </c>
      <c r="H9544" t="s">
        <v>859</v>
      </c>
      <c r="I9544" t="s">
        <v>860</v>
      </c>
      <c r="J9544" t="str">
        <f>"9520440"</f>
        <v>9520440</v>
      </c>
      <c r="K9544">
        <v>2104650060</v>
      </c>
      <c r="L9544">
        <v>2104650060</v>
      </c>
      <c r="M9544" t="s">
        <v>11891</v>
      </c>
      <c r="N9544" t="s">
        <v>6229</v>
      </c>
      <c r="O9544" t="s">
        <v>11892</v>
      </c>
      <c r="P9544">
        <v>18900</v>
      </c>
      <c r="Q9544" t="str">
        <f>"37.969583"</f>
        <v>37.969583</v>
      </c>
      <c r="R9544" t="str">
        <f>"23.509575"</f>
        <v>23.509575</v>
      </c>
      <c r="S9544" t="s">
        <v>26</v>
      </c>
    </row>
    <row r="9545" spans="1:19" x14ac:dyDescent="0.3">
      <c r="A9545" t="s">
        <v>3237</v>
      </c>
      <c r="B9545" t="s">
        <v>11503</v>
      </c>
      <c r="C9545" t="s">
        <v>11900</v>
      </c>
      <c r="D9545" t="s">
        <v>6222</v>
      </c>
      <c r="E9545" t="s">
        <v>6223</v>
      </c>
      <c r="F9545" t="s">
        <v>6229</v>
      </c>
      <c r="G9545" t="s">
        <v>6223</v>
      </c>
      <c r="H9545" t="s">
        <v>859</v>
      </c>
      <c r="I9545" t="s">
        <v>860</v>
      </c>
      <c r="J9545" t="str">
        <f>"9520548"</f>
        <v>9520548</v>
      </c>
      <c r="K9545">
        <v>2104680980</v>
      </c>
      <c r="L9545">
        <v>2104680980</v>
      </c>
      <c r="M9545" t="s">
        <v>11901</v>
      </c>
      <c r="N9545" t="s">
        <v>6229</v>
      </c>
      <c r="O9545" t="s">
        <v>11247</v>
      </c>
      <c r="P9545">
        <v>18900</v>
      </c>
      <c r="Q9545" t="str">
        <f>"37.956582"</f>
        <v>37.956582</v>
      </c>
      <c r="R9545" t="str">
        <f>"23.468693"</f>
        <v>23.468693</v>
      </c>
      <c r="S9545" t="s">
        <v>26</v>
      </c>
    </row>
    <row r="9546" spans="1:19" x14ac:dyDescent="0.3">
      <c r="A9546" t="s">
        <v>3237</v>
      </c>
      <c r="B9546" t="s">
        <v>11503</v>
      </c>
      <c r="C9546" t="s">
        <v>11905</v>
      </c>
      <c r="D9546" t="s">
        <v>3275</v>
      </c>
      <c r="E9546" t="s">
        <v>3303</v>
      </c>
      <c r="F9546" t="s">
        <v>3303</v>
      </c>
      <c r="G9546" t="s">
        <v>3303</v>
      </c>
      <c r="H9546" t="s">
        <v>859</v>
      </c>
      <c r="I9546" t="s">
        <v>860</v>
      </c>
      <c r="J9546" t="str">
        <f>"9520281"</f>
        <v>9520281</v>
      </c>
      <c r="K9546">
        <v>2104957510</v>
      </c>
      <c r="L9546">
        <v>2104957510</v>
      </c>
      <c r="M9546" t="s">
        <v>11906</v>
      </c>
      <c r="N9546" t="s">
        <v>3303</v>
      </c>
      <c r="O9546" t="s">
        <v>11907</v>
      </c>
      <c r="P9546">
        <v>18120</v>
      </c>
      <c r="Q9546" t="str">
        <f>"37.979050"</f>
        <v>37.979050</v>
      </c>
      <c r="R9546" t="str">
        <f>"23.655014"</f>
        <v>23.655014</v>
      </c>
      <c r="S9546" t="s">
        <v>26</v>
      </c>
    </row>
    <row r="9547" spans="1:19" x14ac:dyDescent="0.3">
      <c r="A9547" t="s">
        <v>3237</v>
      </c>
      <c r="B9547" t="s">
        <v>11503</v>
      </c>
      <c r="C9547" t="s">
        <v>11910</v>
      </c>
      <c r="D9547" t="s">
        <v>3275</v>
      </c>
      <c r="E9547" t="s">
        <v>3303</v>
      </c>
      <c r="F9547" t="s">
        <v>3303</v>
      </c>
      <c r="G9547" t="s">
        <v>3303</v>
      </c>
      <c r="H9547" t="s">
        <v>859</v>
      </c>
      <c r="I9547" t="s">
        <v>860</v>
      </c>
      <c r="J9547" t="str">
        <f>"9520280"</f>
        <v>9520280</v>
      </c>
      <c r="K9547">
        <v>2104967812</v>
      </c>
      <c r="L9547">
        <v>2104974687</v>
      </c>
      <c r="M9547" t="s">
        <v>11911</v>
      </c>
      <c r="N9547" t="s">
        <v>3303</v>
      </c>
      <c r="O9547" t="s">
        <v>11912</v>
      </c>
      <c r="P9547">
        <v>18120</v>
      </c>
      <c r="Q9547" t="str">
        <f>"37.978485"</f>
        <v>37.978485</v>
      </c>
      <c r="R9547" t="str">
        <f>"23.657316"</f>
        <v>23.657316</v>
      </c>
      <c r="S9547" t="s">
        <v>26</v>
      </c>
    </row>
    <row r="9548" spans="1:19" x14ac:dyDescent="0.3">
      <c r="A9548" t="s">
        <v>3237</v>
      </c>
      <c r="B9548" t="s">
        <v>11503</v>
      </c>
      <c r="C9548" t="s">
        <v>11913</v>
      </c>
      <c r="D9548" t="s">
        <v>3275</v>
      </c>
      <c r="E9548" t="s">
        <v>6212</v>
      </c>
      <c r="F9548" t="s">
        <v>6256</v>
      </c>
      <c r="G9548" t="s">
        <v>6256</v>
      </c>
      <c r="H9548" t="s">
        <v>859</v>
      </c>
      <c r="I9548" t="s">
        <v>860</v>
      </c>
      <c r="J9548" t="str">
        <f>"9520241"</f>
        <v>9520241</v>
      </c>
      <c r="K9548">
        <v>2104325944</v>
      </c>
      <c r="M9548" t="s">
        <v>11914</v>
      </c>
      <c r="N9548" t="s">
        <v>6256</v>
      </c>
      <c r="O9548" t="s">
        <v>11915</v>
      </c>
      <c r="P9548">
        <v>18758</v>
      </c>
      <c r="Q9548" t="str">
        <f>"37.967426"</f>
        <v>37.967426</v>
      </c>
      <c r="R9548" t="str">
        <f>"23.613529"</f>
        <v>23.613529</v>
      </c>
      <c r="S9548" t="s">
        <v>26</v>
      </c>
    </row>
    <row r="9549" spans="1:19" x14ac:dyDescent="0.3">
      <c r="A9549" t="s">
        <v>3237</v>
      </c>
      <c r="B9549" t="s">
        <v>11503</v>
      </c>
      <c r="C9549" t="s">
        <v>11919</v>
      </c>
      <c r="D9549" t="s">
        <v>3275</v>
      </c>
      <c r="E9549" t="s">
        <v>3303</v>
      </c>
      <c r="F9549" t="s">
        <v>3303</v>
      </c>
      <c r="G9549" t="s">
        <v>3303</v>
      </c>
      <c r="H9549" t="s">
        <v>859</v>
      </c>
      <c r="I9549" t="s">
        <v>860</v>
      </c>
      <c r="J9549" t="str">
        <f>"9520085"</f>
        <v>9520085</v>
      </c>
      <c r="K9549">
        <v>6973396341</v>
      </c>
      <c r="L9549">
        <v>2104962640</v>
      </c>
      <c r="M9549" t="s">
        <v>11920</v>
      </c>
      <c r="N9549" t="s">
        <v>6249</v>
      </c>
      <c r="O9549" t="s">
        <v>11921</v>
      </c>
      <c r="P9549">
        <v>18120</v>
      </c>
      <c r="Q9549" t="str">
        <f>"37.974016"</f>
        <v>37.974016</v>
      </c>
      <c r="R9549" t="str">
        <f>"23.649999"</f>
        <v>23.649999</v>
      </c>
      <c r="S9549" t="s">
        <v>26</v>
      </c>
    </row>
    <row r="9550" spans="1:19" x14ac:dyDescent="0.3">
      <c r="A9550" t="s">
        <v>3237</v>
      </c>
      <c r="B9550" t="s">
        <v>11503</v>
      </c>
      <c r="C9550" t="s">
        <v>11924</v>
      </c>
      <c r="D9550" t="s">
        <v>3275</v>
      </c>
      <c r="E9550" t="s">
        <v>3303</v>
      </c>
      <c r="F9550" t="s">
        <v>3303</v>
      </c>
      <c r="G9550" t="s">
        <v>3303</v>
      </c>
      <c r="H9550" t="s">
        <v>859</v>
      </c>
      <c r="I9550" t="s">
        <v>860</v>
      </c>
      <c r="J9550" t="str">
        <f>"9520309"</f>
        <v>9520309</v>
      </c>
      <c r="K9550">
        <v>2105612666</v>
      </c>
      <c r="L9550">
        <v>2105612666</v>
      </c>
      <c r="M9550" t="s">
        <v>11925</v>
      </c>
      <c r="N9550" t="s">
        <v>6249</v>
      </c>
      <c r="O9550" t="s">
        <v>11926</v>
      </c>
      <c r="P9550">
        <v>18121</v>
      </c>
      <c r="Q9550" t="str">
        <f>"37.981592"</f>
        <v>37.981592</v>
      </c>
      <c r="R9550" t="str">
        <f>"23.663003"</f>
        <v>23.663003</v>
      </c>
      <c r="S9550" t="s">
        <v>26</v>
      </c>
    </row>
    <row r="9551" spans="1:19" x14ac:dyDescent="0.3">
      <c r="A9551" t="s">
        <v>3237</v>
      </c>
      <c r="B9551" t="s">
        <v>11503</v>
      </c>
      <c r="C9551" t="s">
        <v>11946</v>
      </c>
      <c r="D9551" t="s">
        <v>3275</v>
      </c>
      <c r="E9551" t="s">
        <v>3303</v>
      </c>
      <c r="F9551" t="s">
        <v>3303</v>
      </c>
      <c r="G9551" t="s">
        <v>3303</v>
      </c>
      <c r="H9551" t="s">
        <v>859</v>
      </c>
      <c r="I9551" t="s">
        <v>860</v>
      </c>
      <c r="J9551" t="str">
        <f>"9520274"</f>
        <v>9520274</v>
      </c>
      <c r="K9551">
        <v>2104952123</v>
      </c>
      <c r="L9551">
        <v>2104952123</v>
      </c>
      <c r="M9551" t="s">
        <v>11947</v>
      </c>
      <c r="N9551" t="s">
        <v>3303</v>
      </c>
      <c r="O9551" t="s">
        <v>11948</v>
      </c>
      <c r="P9551">
        <v>18122</v>
      </c>
      <c r="Q9551" t="str">
        <f>"37.995771"</f>
        <v>37.995771</v>
      </c>
      <c r="R9551" t="str">
        <f>"23.643361"</f>
        <v>23.643361</v>
      </c>
      <c r="S9551" t="s">
        <v>26</v>
      </c>
    </row>
    <row r="9552" spans="1:19" x14ac:dyDescent="0.3">
      <c r="A9552" t="s">
        <v>3237</v>
      </c>
      <c r="B9552" t="s">
        <v>11503</v>
      </c>
      <c r="C9552" t="s">
        <v>11951</v>
      </c>
      <c r="D9552" t="s">
        <v>3275</v>
      </c>
      <c r="E9552" t="s">
        <v>3303</v>
      </c>
      <c r="F9552" t="s">
        <v>3303</v>
      </c>
      <c r="G9552" t="s">
        <v>3303</v>
      </c>
      <c r="H9552" t="s">
        <v>859</v>
      </c>
      <c r="I9552" t="s">
        <v>860</v>
      </c>
      <c r="J9552" t="str">
        <f>"9520282"</f>
        <v>9520282</v>
      </c>
      <c r="K9552">
        <v>2104964141</v>
      </c>
      <c r="L9552">
        <v>214964141</v>
      </c>
      <c r="M9552" t="s">
        <v>11952</v>
      </c>
      <c r="N9552" t="s">
        <v>3303</v>
      </c>
      <c r="O9552" t="s">
        <v>11907</v>
      </c>
      <c r="P9552">
        <v>18120</v>
      </c>
      <c r="Q9552" t="str">
        <f>"37.979013"</f>
        <v>37.979013</v>
      </c>
      <c r="R9552" t="str">
        <f>"23.655046"</f>
        <v>23.655046</v>
      </c>
      <c r="S9552" t="s">
        <v>26</v>
      </c>
    </row>
    <row r="9553" spans="1:19" x14ac:dyDescent="0.3">
      <c r="A9553" t="s">
        <v>3237</v>
      </c>
      <c r="B9553" t="s">
        <v>11503</v>
      </c>
      <c r="C9553" t="s">
        <v>11965</v>
      </c>
      <c r="D9553" t="s">
        <v>3275</v>
      </c>
      <c r="E9553" t="s">
        <v>3303</v>
      </c>
      <c r="F9553" t="s">
        <v>3303</v>
      </c>
      <c r="G9553" t="s">
        <v>3303</v>
      </c>
      <c r="H9553" t="s">
        <v>859</v>
      </c>
      <c r="I9553" t="s">
        <v>860</v>
      </c>
      <c r="J9553" t="str">
        <f>"9520283"</f>
        <v>9520283</v>
      </c>
      <c r="K9553">
        <v>2104969370</v>
      </c>
      <c r="L9553">
        <v>2104969370</v>
      </c>
      <c r="M9553" t="s">
        <v>11966</v>
      </c>
      <c r="N9553" t="s">
        <v>3303</v>
      </c>
      <c r="O9553" t="s">
        <v>11967</v>
      </c>
      <c r="P9553">
        <v>18122</v>
      </c>
      <c r="Q9553" t="str">
        <f>"37.988844"</f>
        <v>37.988844</v>
      </c>
      <c r="R9553" t="str">
        <f>"23.640018"</f>
        <v>23.640018</v>
      </c>
      <c r="S9553" t="s">
        <v>26</v>
      </c>
    </row>
    <row r="9554" spans="1:19" x14ac:dyDescent="0.3">
      <c r="A9554" t="s">
        <v>3237</v>
      </c>
      <c r="B9554" t="s">
        <v>11503</v>
      </c>
      <c r="C9554" t="s">
        <v>11968</v>
      </c>
      <c r="D9554" t="s">
        <v>3275</v>
      </c>
      <c r="E9554" t="s">
        <v>6212</v>
      </c>
      <c r="F9554" t="s">
        <v>6256</v>
      </c>
      <c r="G9554" t="s">
        <v>6256</v>
      </c>
      <c r="H9554" t="s">
        <v>859</v>
      </c>
      <c r="I9554" t="s">
        <v>860</v>
      </c>
      <c r="J9554" t="str">
        <f>"9520165"</f>
        <v>9520165</v>
      </c>
      <c r="K9554">
        <v>2104014096</v>
      </c>
      <c r="L9554">
        <v>2104014097</v>
      </c>
      <c r="M9554" t="s">
        <v>11969</v>
      </c>
      <c r="N9554" t="s">
        <v>6256</v>
      </c>
      <c r="O9554" t="s">
        <v>11970</v>
      </c>
      <c r="P9554">
        <v>18758</v>
      </c>
      <c r="Q9554" t="str">
        <f>"37.976164"</f>
        <v>37.976164</v>
      </c>
      <c r="R9554" t="str">
        <f>"23.624724"</f>
        <v>23.624724</v>
      </c>
      <c r="S9554" t="s">
        <v>26</v>
      </c>
    </row>
    <row r="9555" spans="1:19" x14ac:dyDescent="0.3">
      <c r="A9555" t="s">
        <v>3237</v>
      </c>
      <c r="B9555" t="s">
        <v>11503</v>
      </c>
      <c r="C9555" t="s">
        <v>11971</v>
      </c>
      <c r="D9555" t="s">
        <v>6222</v>
      </c>
      <c r="E9555" t="s">
        <v>6231</v>
      </c>
      <c r="F9555" t="s">
        <v>6238</v>
      </c>
      <c r="G9555" t="s">
        <v>6238</v>
      </c>
      <c r="H9555" t="s">
        <v>859</v>
      </c>
      <c r="I9555" t="s">
        <v>860</v>
      </c>
      <c r="J9555" t="str">
        <f>"9520286"</f>
        <v>9520286</v>
      </c>
      <c r="K9555">
        <v>2298035022</v>
      </c>
      <c r="M9555" t="s">
        <v>11972</v>
      </c>
      <c r="N9555" t="s">
        <v>11973</v>
      </c>
      <c r="O9555" t="s">
        <v>11974</v>
      </c>
      <c r="P9555">
        <v>18020</v>
      </c>
      <c r="Q9555" t="str">
        <f>"37.496478"</f>
        <v>37.496478</v>
      </c>
      <c r="R9555" t="str">
        <f>"23.362728"</f>
        <v>23.362728</v>
      </c>
      <c r="S9555" t="s">
        <v>26</v>
      </c>
    </row>
    <row r="9556" spans="1:19" x14ac:dyDescent="0.3">
      <c r="A9556" t="s">
        <v>3237</v>
      </c>
      <c r="B9556" t="s">
        <v>11503</v>
      </c>
      <c r="C9556" t="s">
        <v>11976</v>
      </c>
      <c r="D9556" t="s">
        <v>3275</v>
      </c>
      <c r="E9556" t="s">
        <v>6266</v>
      </c>
      <c r="F9556" t="s">
        <v>6267</v>
      </c>
      <c r="G9556" t="s">
        <v>6267</v>
      </c>
      <c r="H9556" t="s">
        <v>859</v>
      </c>
      <c r="I9556" t="s">
        <v>860</v>
      </c>
      <c r="J9556" t="str">
        <f>"9520254"</f>
        <v>9520254</v>
      </c>
      <c r="K9556">
        <v>2103476824</v>
      </c>
      <c r="L9556">
        <v>2103476824</v>
      </c>
      <c r="M9556" t="s">
        <v>11977</v>
      </c>
      <c r="N9556" t="s">
        <v>11978</v>
      </c>
      <c r="O9556" t="s">
        <v>11979</v>
      </c>
      <c r="P9556">
        <v>18233</v>
      </c>
      <c r="Q9556" t="str">
        <f>"37.971001"</f>
        <v>37.971001</v>
      </c>
      <c r="R9556" t="str">
        <f>"23.679337"</f>
        <v>23.679337</v>
      </c>
      <c r="S9556" t="s">
        <v>26</v>
      </c>
    </row>
    <row r="9557" spans="1:19" x14ac:dyDescent="0.3">
      <c r="A9557" t="s">
        <v>3237</v>
      </c>
      <c r="B9557" t="s">
        <v>11503</v>
      </c>
      <c r="C9557" t="s">
        <v>11981</v>
      </c>
      <c r="D9557" t="s">
        <v>6222</v>
      </c>
      <c r="E9557" t="s">
        <v>6231</v>
      </c>
      <c r="F9557" t="s">
        <v>6238</v>
      </c>
      <c r="G9557" t="s">
        <v>11980</v>
      </c>
      <c r="H9557" t="s">
        <v>859</v>
      </c>
      <c r="I9557" t="s">
        <v>860</v>
      </c>
      <c r="J9557" t="str">
        <f>"9520255"</f>
        <v>9520255</v>
      </c>
      <c r="K9557">
        <v>2298031161</v>
      </c>
      <c r="L9557">
        <v>2298031161</v>
      </c>
      <c r="M9557" t="s">
        <v>11982</v>
      </c>
      <c r="N9557" t="s">
        <v>11983</v>
      </c>
      <c r="O9557" t="s">
        <v>11984</v>
      </c>
      <c r="P9557">
        <v>18020</v>
      </c>
      <c r="Q9557" t="str">
        <f>"37.547079"</f>
        <v>37.547079</v>
      </c>
      <c r="R9557" t="str">
        <f>"23.300567"</f>
        <v>23.300567</v>
      </c>
      <c r="S9557" t="s">
        <v>26</v>
      </c>
    </row>
    <row r="9558" spans="1:19" x14ac:dyDescent="0.3">
      <c r="A9558" t="s">
        <v>3237</v>
      </c>
      <c r="B9558" t="s">
        <v>11503</v>
      </c>
      <c r="C9558" t="s">
        <v>11985</v>
      </c>
      <c r="D9558" t="s">
        <v>6222</v>
      </c>
      <c r="E9558" t="s">
        <v>6592</v>
      </c>
      <c r="F9558" t="s">
        <v>6592</v>
      </c>
      <c r="G9558" t="s">
        <v>6592</v>
      </c>
      <c r="H9558" t="s">
        <v>859</v>
      </c>
      <c r="I9558" t="s">
        <v>860</v>
      </c>
      <c r="J9558" t="str">
        <f>"9520451"</f>
        <v>9520451</v>
      </c>
      <c r="K9558">
        <v>2297091487</v>
      </c>
      <c r="L9558">
        <v>2297091487</v>
      </c>
      <c r="M9558" t="s">
        <v>11986</v>
      </c>
      <c r="N9558" t="s">
        <v>11987</v>
      </c>
      <c r="O9558" t="s">
        <v>6595</v>
      </c>
      <c r="P9558">
        <v>18010</v>
      </c>
      <c r="Q9558" t="str">
        <f>"37.709451"</f>
        <v>37.709451</v>
      </c>
      <c r="R9558" t="str">
        <f>"23.347853"</f>
        <v>23.347853</v>
      </c>
      <c r="S9558" t="s">
        <v>26</v>
      </c>
    </row>
    <row r="9559" spans="1:19" x14ac:dyDescent="0.3">
      <c r="A9559" t="s">
        <v>3237</v>
      </c>
      <c r="B9559" t="s">
        <v>11503</v>
      </c>
      <c r="C9559" t="s">
        <v>11988</v>
      </c>
      <c r="D9559" t="s">
        <v>3275</v>
      </c>
      <c r="E9559" t="s">
        <v>3303</v>
      </c>
      <c r="F9559" t="s">
        <v>3303</v>
      </c>
      <c r="G9559" t="s">
        <v>3303</v>
      </c>
      <c r="H9559" t="s">
        <v>859</v>
      </c>
      <c r="I9559" t="s">
        <v>860</v>
      </c>
      <c r="J9559" t="str">
        <f>"9520233"</f>
        <v>9520233</v>
      </c>
      <c r="K9559">
        <v>2105623100</v>
      </c>
      <c r="L9559">
        <v>2105623100</v>
      </c>
      <c r="M9559" t="s">
        <v>11989</v>
      </c>
      <c r="N9559" t="s">
        <v>3303</v>
      </c>
      <c r="O9559" t="s">
        <v>11990</v>
      </c>
      <c r="P9559">
        <v>18121</v>
      </c>
      <c r="Q9559" t="str">
        <f>"37.982827"</f>
        <v>37.982827</v>
      </c>
      <c r="R9559" t="str">
        <f>"23.653867"</f>
        <v>23.653867</v>
      </c>
      <c r="S9559" t="s">
        <v>26</v>
      </c>
    </row>
    <row r="9560" spans="1:19" x14ac:dyDescent="0.3">
      <c r="A9560" t="s">
        <v>3237</v>
      </c>
      <c r="B9560" t="s">
        <v>11503</v>
      </c>
      <c r="C9560" t="s">
        <v>11991</v>
      </c>
      <c r="D9560" t="s">
        <v>3275</v>
      </c>
      <c r="E9560" t="s">
        <v>3303</v>
      </c>
      <c r="F9560" t="s">
        <v>3303</v>
      </c>
      <c r="G9560" t="s">
        <v>3303</v>
      </c>
      <c r="H9560" t="s">
        <v>859</v>
      </c>
      <c r="I9560" t="s">
        <v>860</v>
      </c>
      <c r="J9560" t="str">
        <f>"9520079"</f>
        <v>9520079</v>
      </c>
      <c r="K9560">
        <v>2104974005</v>
      </c>
      <c r="L9560">
        <v>2104974005</v>
      </c>
      <c r="M9560" t="s">
        <v>11992</v>
      </c>
      <c r="N9560" t="s">
        <v>3303</v>
      </c>
      <c r="O9560" t="s">
        <v>11993</v>
      </c>
      <c r="P9560">
        <v>18122</v>
      </c>
      <c r="Q9560" t="str">
        <f>"37.985021"</f>
        <v>37.985021</v>
      </c>
      <c r="R9560" t="str">
        <f>"23.649393"</f>
        <v>23.649393</v>
      </c>
      <c r="S9560" t="s">
        <v>26</v>
      </c>
    </row>
    <row r="9561" spans="1:19" x14ac:dyDescent="0.3">
      <c r="A9561" t="s">
        <v>3237</v>
      </c>
      <c r="B9561" t="s">
        <v>11503</v>
      </c>
      <c r="C9561" t="s">
        <v>11998</v>
      </c>
      <c r="D9561" t="s">
        <v>3275</v>
      </c>
      <c r="E9561" t="s">
        <v>3303</v>
      </c>
      <c r="F9561" t="s">
        <v>3303</v>
      </c>
      <c r="G9561" t="s">
        <v>3303</v>
      </c>
      <c r="H9561" t="s">
        <v>859</v>
      </c>
      <c r="I9561" t="s">
        <v>860</v>
      </c>
      <c r="J9561" t="str">
        <f>"9520234"</f>
        <v>9520234</v>
      </c>
      <c r="K9561">
        <v>2105623774</v>
      </c>
      <c r="L9561">
        <v>2105623774</v>
      </c>
      <c r="M9561" t="s">
        <v>11999</v>
      </c>
      <c r="N9561" t="s">
        <v>3303</v>
      </c>
      <c r="O9561" t="s">
        <v>12000</v>
      </c>
      <c r="P9561">
        <v>18121</v>
      </c>
      <c r="Q9561" t="str">
        <f>"37.980325"</f>
        <v>37.980325</v>
      </c>
      <c r="R9561" t="str">
        <f>"23.659071"</f>
        <v>23.659071</v>
      </c>
      <c r="S9561" t="s">
        <v>26</v>
      </c>
    </row>
    <row r="9562" spans="1:19" x14ac:dyDescent="0.3">
      <c r="A9562" t="s">
        <v>3237</v>
      </c>
      <c r="B9562" t="s">
        <v>11503</v>
      </c>
      <c r="C9562" t="s">
        <v>12009</v>
      </c>
      <c r="D9562" t="s">
        <v>3275</v>
      </c>
      <c r="E9562" t="s">
        <v>6266</v>
      </c>
      <c r="F9562" t="s">
        <v>6267</v>
      </c>
      <c r="G9562" t="s">
        <v>6267</v>
      </c>
      <c r="H9562" t="s">
        <v>859</v>
      </c>
      <c r="I9562" t="s">
        <v>860</v>
      </c>
      <c r="J9562" t="str">
        <f>"9520220"</f>
        <v>9520220</v>
      </c>
      <c r="K9562">
        <v>2104915411</v>
      </c>
      <c r="L9562">
        <v>2104915411</v>
      </c>
      <c r="M9562" t="s">
        <v>12010</v>
      </c>
      <c r="N9562" t="s">
        <v>12011</v>
      </c>
      <c r="O9562" t="s">
        <v>12012</v>
      </c>
      <c r="P9562">
        <v>18233</v>
      </c>
      <c r="Q9562" t="str">
        <f>"37.963396"</f>
        <v>37.963396</v>
      </c>
      <c r="R9562" t="str">
        <f>"23.662114"</f>
        <v>23.662114</v>
      </c>
      <c r="S9562" t="s">
        <v>26</v>
      </c>
    </row>
    <row r="9563" spans="1:19" x14ac:dyDescent="0.3">
      <c r="A9563" t="s">
        <v>3237</v>
      </c>
      <c r="B9563" t="s">
        <v>11503</v>
      </c>
      <c r="C9563" t="s">
        <v>12013</v>
      </c>
      <c r="D9563" t="s">
        <v>6222</v>
      </c>
      <c r="E9563" t="s">
        <v>6280</v>
      </c>
      <c r="F9563" t="s">
        <v>6280</v>
      </c>
      <c r="G9563" t="s">
        <v>6280</v>
      </c>
      <c r="H9563" t="s">
        <v>859</v>
      </c>
      <c r="I9563" t="s">
        <v>860</v>
      </c>
      <c r="J9563" t="str">
        <f>"9520363"</f>
        <v>9520363</v>
      </c>
      <c r="K9563">
        <v>2297025835</v>
      </c>
      <c r="L9563">
        <v>2297025835</v>
      </c>
      <c r="M9563" t="s">
        <v>12014</v>
      </c>
      <c r="N9563" t="s">
        <v>12015</v>
      </c>
      <c r="O9563" t="s">
        <v>12008</v>
      </c>
      <c r="P9563">
        <v>18010</v>
      </c>
      <c r="Q9563" t="str">
        <f>"37.746349"</f>
        <v>37.746349</v>
      </c>
      <c r="R9563" t="str">
        <f>"23.449791"</f>
        <v>23.449791</v>
      </c>
      <c r="S9563" t="s">
        <v>26</v>
      </c>
    </row>
    <row r="9564" spans="1:19" x14ac:dyDescent="0.3">
      <c r="A9564" t="s">
        <v>3237</v>
      </c>
      <c r="B9564" t="s">
        <v>11503</v>
      </c>
      <c r="C9564" t="s">
        <v>12017</v>
      </c>
      <c r="D9564" t="s">
        <v>6222</v>
      </c>
      <c r="E9564" t="s">
        <v>6576</v>
      </c>
      <c r="F9564" t="s">
        <v>6576</v>
      </c>
      <c r="G9564" t="s">
        <v>6576</v>
      </c>
      <c r="H9564" t="s">
        <v>859</v>
      </c>
      <c r="I9564" t="s">
        <v>860</v>
      </c>
      <c r="J9564" t="str">
        <f>"9520104"</f>
        <v>9520104</v>
      </c>
      <c r="K9564">
        <v>2298025500</v>
      </c>
      <c r="M9564" t="s">
        <v>12018</v>
      </c>
      <c r="N9564" t="s">
        <v>6576</v>
      </c>
      <c r="O9564" t="s">
        <v>6579</v>
      </c>
      <c r="P9564">
        <v>18020</v>
      </c>
      <c r="Q9564" t="str">
        <f>"37.508735"</f>
        <v>37.508735</v>
      </c>
      <c r="R9564" t="str">
        <f>"23.453303"</f>
        <v>23.453303</v>
      </c>
      <c r="S9564" t="s">
        <v>26</v>
      </c>
    </row>
    <row r="9565" spans="1:19" x14ac:dyDescent="0.3">
      <c r="A9565" t="s">
        <v>3237</v>
      </c>
      <c r="B9565" t="s">
        <v>11503</v>
      </c>
      <c r="C9565" t="s">
        <v>12019</v>
      </c>
      <c r="D9565" t="s">
        <v>6222</v>
      </c>
      <c r="E9565" t="s">
        <v>6231</v>
      </c>
      <c r="F9565" t="s">
        <v>6238</v>
      </c>
      <c r="G9565" t="s">
        <v>6337</v>
      </c>
      <c r="H9565" t="s">
        <v>859</v>
      </c>
      <c r="I9565" t="s">
        <v>860</v>
      </c>
      <c r="J9565" t="str">
        <f>"9520107"</f>
        <v>9520107</v>
      </c>
      <c r="K9565">
        <v>2298043159</v>
      </c>
      <c r="L9565">
        <v>2298043159</v>
      </c>
      <c r="M9565" t="s">
        <v>12020</v>
      </c>
      <c r="N9565" t="s">
        <v>6242</v>
      </c>
      <c r="O9565" t="s">
        <v>12021</v>
      </c>
      <c r="P9565">
        <v>18020</v>
      </c>
      <c r="Q9565" t="str">
        <f>"37.495745"</f>
        <v>37.495745</v>
      </c>
      <c r="R9565" t="str">
        <f>"23.449970"</f>
        <v>23.449970</v>
      </c>
      <c r="S9565" t="s">
        <v>26</v>
      </c>
    </row>
    <row r="9566" spans="1:19" x14ac:dyDescent="0.3">
      <c r="A9566" t="s">
        <v>3237</v>
      </c>
      <c r="B9566" t="s">
        <v>11503</v>
      </c>
      <c r="C9566" t="s">
        <v>12029</v>
      </c>
      <c r="D9566" t="s">
        <v>6222</v>
      </c>
      <c r="E9566" t="s">
        <v>6576</v>
      </c>
      <c r="F9566" t="s">
        <v>6576</v>
      </c>
      <c r="G9566" t="s">
        <v>6576</v>
      </c>
      <c r="H9566" t="s">
        <v>859</v>
      </c>
      <c r="I9566" t="s">
        <v>860</v>
      </c>
      <c r="J9566" t="str">
        <f>"9520236"</f>
        <v>9520236</v>
      </c>
      <c r="K9566">
        <v>2298024339</v>
      </c>
      <c r="L9566">
        <v>2298024339</v>
      </c>
      <c r="M9566" t="s">
        <v>12030</v>
      </c>
      <c r="N9566" t="s">
        <v>6576</v>
      </c>
      <c r="O9566" t="s">
        <v>6579</v>
      </c>
      <c r="P9566">
        <v>18020</v>
      </c>
      <c r="Q9566" t="str">
        <f>"37.508806"</f>
        <v>37.508806</v>
      </c>
      <c r="R9566" t="str">
        <f>"23.453242"</f>
        <v>23.453242</v>
      </c>
      <c r="S9566" t="s">
        <v>26</v>
      </c>
    </row>
    <row r="9567" spans="1:19" x14ac:dyDescent="0.3">
      <c r="A9567" t="s">
        <v>3237</v>
      </c>
      <c r="B9567" t="s">
        <v>11503</v>
      </c>
      <c r="C9567" t="s">
        <v>12036</v>
      </c>
      <c r="D9567" t="s">
        <v>6222</v>
      </c>
      <c r="E9567" t="s">
        <v>6280</v>
      </c>
      <c r="F9567" t="s">
        <v>6280</v>
      </c>
      <c r="G9567" t="s">
        <v>6703</v>
      </c>
      <c r="H9567" t="s">
        <v>859</v>
      </c>
      <c r="I9567" t="s">
        <v>860</v>
      </c>
      <c r="J9567" t="str">
        <f>"9520297"</f>
        <v>9520297</v>
      </c>
      <c r="K9567">
        <v>2297071321</v>
      </c>
      <c r="L9567">
        <v>2297071321</v>
      </c>
      <c r="M9567" t="s">
        <v>12037</v>
      </c>
      <c r="N9567" t="s">
        <v>6703</v>
      </c>
      <c r="O9567" t="s">
        <v>12038</v>
      </c>
      <c r="P9567">
        <v>18010</v>
      </c>
      <c r="Q9567" t="str">
        <f>"37.740882"</f>
        <v>37.740882</v>
      </c>
      <c r="R9567" t="str">
        <f>"23.501421"</f>
        <v>23.501421</v>
      </c>
      <c r="S9567" t="s">
        <v>26</v>
      </c>
    </row>
    <row r="9568" spans="1:19" x14ac:dyDescent="0.3">
      <c r="A9568" t="s">
        <v>3237</v>
      </c>
      <c r="B9568" t="s">
        <v>11503</v>
      </c>
      <c r="C9568" t="s">
        <v>12039</v>
      </c>
      <c r="D9568" t="s">
        <v>6222</v>
      </c>
      <c r="E9568" t="s">
        <v>6280</v>
      </c>
      <c r="F9568" t="s">
        <v>6280</v>
      </c>
      <c r="G9568" t="s">
        <v>6280</v>
      </c>
      <c r="H9568" t="s">
        <v>859</v>
      </c>
      <c r="I9568" t="s">
        <v>860</v>
      </c>
      <c r="J9568" t="str">
        <f>"9520156"</f>
        <v>9520156</v>
      </c>
      <c r="K9568">
        <v>2297022865</v>
      </c>
      <c r="L9568">
        <v>2297022865</v>
      </c>
      <c r="M9568" t="s">
        <v>12040</v>
      </c>
      <c r="N9568" t="s">
        <v>6280</v>
      </c>
      <c r="O9568" t="s">
        <v>6037</v>
      </c>
      <c r="P9568">
        <v>18010</v>
      </c>
      <c r="Q9568" t="str">
        <f>"37.742189"</f>
        <v>37.742189</v>
      </c>
      <c r="R9568" t="str">
        <f>"23.437767"</f>
        <v>23.437767</v>
      </c>
      <c r="S9568" t="s">
        <v>26</v>
      </c>
    </row>
    <row r="9569" spans="1:19" x14ac:dyDescent="0.3">
      <c r="A9569" t="s">
        <v>3237</v>
      </c>
      <c r="B9569" t="s">
        <v>11503</v>
      </c>
      <c r="C9569" t="s">
        <v>12056</v>
      </c>
      <c r="D9569" t="s">
        <v>3275</v>
      </c>
      <c r="E9569" t="s">
        <v>6266</v>
      </c>
      <c r="F9569" t="s">
        <v>6267</v>
      </c>
      <c r="G9569" t="s">
        <v>6267</v>
      </c>
      <c r="H9569" t="s">
        <v>859</v>
      </c>
      <c r="I9569" t="s">
        <v>860</v>
      </c>
      <c r="J9569" t="str">
        <f>"9520733"</f>
        <v>9520733</v>
      </c>
      <c r="K9569">
        <v>2104929690</v>
      </c>
      <c r="L9569">
        <v>2104929690</v>
      </c>
      <c r="M9569" t="s">
        <v>12057</v>
      </c>
      <c r="N9569" t="s">
        <v>6275</v>
      </c>
      <c r="O9569" t="s">
        <v>11675</v>
      </c>
      <c r="P9569">
        <v>18233</v>
      </c>
      <c r="Q9569" t="str">
        <f>"37.961223"</f>
        <v>37.961223</v>
      </c>
      <c r="R9569" t="str">
        <f>"23.658826"</f>
        <v>23.658826</v>
      </c>
      <c r="S9569" t="s">
        <v>26</v>
      </c>
    </row>
    <row r="9570" spans="1:19" x14ac:dyDescent="0.3">
      <c r="A9570" t="s">
        <v>3237</v>
      </c>
      <c r="B9570" t="s">
        <v>11503</v>
      </c>
      <c r="C9570" t="s">
        <v>12058</v>
      </c>
      <c r="D9570" t="s">
        <v>3275</v>
      </c>
      <c r="E9570" t="s">
        <v>3303</v>
      </c>
      <c r="F9570" t="s">
        <v>3303</v>
      </c>
      <c r="G9570" t="s">
        <v>3303</v>
      </c>
      <c r="H9570" t="s">
        <v>859</v>
      </c>
      <c r="I9570" t="s">
        <v>860</v>
      </c>
      <c r="J9570" t="str">
        <f>"9520307"</f>
        <v>9520307</v>
      </c>
      <c r="K9570">
        <v>2104944820</v>
      </c>
      <c r="L9570">
        <v>2104944820</v>
      </c>
      <c r="M9570" t="s">
        <v>12059</v>
      </c>
      <c r="N9570" t="s">
        <v>6249</v>
      </c>
      <c r="O9570" t="s">
        <v>12060</v>
      </c>
      <c r="P9570">
        <v>18120</v>
      </c>
      <c r="Q9570" t="str">
        <f>"37.977793"</f>
        <v>37.977793</v>
      </c>
      <c r="R9570" t="str">
        <f>"23.650339"</f>
        <v>23.650339</v>
      </c>
      <c r="S9570" t="s">
        <v>26</v>
      </c>
    </row>
    <row r="9571" spans="1:19" x14ac:dyDescent="0.3">
      <c r="A9571" t="s">
        <v>3237</v>
      </c>
      <c r="B9571" t="s">
        <v>11503</v>
      </c>
      <c r="C9571" t="s">
        <v>12062</v>
      </c>
      <c r="D9571" t="s">
        <v>6222</v>
      </c>
      <c r="E9571" t="s">
        <v>6231</v>
      </c>
      <c r="F9571" t="s">
        <v>6238</v>
      </c>
      <c r="G9571" t="s">
        <v>12061</v>
      </c>
      <c r="H9571" t="s">
        <v>859</v>
      </c>
      <c r="I9571" t="s">
        <v>860</v>
      </c>
      <c r="J9571" t="str">
        <f>"9520550"</f>
        <v>9520550</v>
      </c>
      <c r="K9571">
        <v>2298034403</v>
      </c>
      <c r="M9571" t="s">
        <v>12063</v>
      </c>
      <c r="N9571" t="s">
        <v>12061</v>
      </c>
      <c r="O9571" t="s">
        <v>12064</v>
      </c>
      <c r="P9571">
        <v>18020</v>
      </c>
      <c r="Q9571" t="str">
        <f>"37.537485"</f>
        <v>37.537485</v>
      </c>
      <c r="R9571" t="str">
        <f>"23.203015"</f>
        <v>23.203015</v>
      </c>
      <c r="S9571" t="s">
        <v>26</v>
      </c>
    </row>
    <row r="9572" spans="1:19" x14ac:dyDescent="0.3">
      <c r="A9572" t="s">
        <v>3237</v>
      </c>
      <c r="B9572" t="s">
        <v>11503</v>
      </c>
      <c r="C9572" t="s">
        <v>12067</v>
      </c>
      <c r="D9572" t="s">
        <v>3275</v>
      </c>
      <c r="E9572" t="s">
        <v>3303</v>
      </c>
      <c r="F9572" t="s">
        <v>3303</v>
      </c>
      <c r="G9572" t="s">
        <v>3303</v>
      </c>
      <c r="H9572" t="s">
        <v>859</v>
      </c>
      <c r="I9572" t="s">
        <v>860</v>
      </c>
      <c r="J9572" t="str">
        <f>"9520731"</f>
        <v>9520731</v>
      </c>
      <c r="K9572">
        <v>2104972162</v>
      </c>
      <c r="L9572">
        <v>2104972162</v>
      </c>
      <c r="M9572" t="s">
        <v>12068</v>
      </c>
      <c r="N9572" t="s">
        <v>12069</v>
      </c>
      <c r="O9572" t="s">
        <v>12070</v>
      </c>
      <c r="P9572">
        <v>18121</v>
      </c>
      <c r="Q9572" t="str">
        <f>"37.984359"</f>
        <v>37.984359</v>
      </c>
      <c r="R9572" t="str">
        <f>"23.649075"</f>
        <v>23.649075</v>
      </c>
      <c r="S9572" t="s">
        <v>26</v>
      </c>
    </row>
    <row r="9573" spans="1:19" x14ac:dyDescent="0.3">
      <c r="A9573" t="s">
        <v>3237</v>
      </c>
      <c r="B9573" t="s">
        <v>11503</v>
      </c>
      <c r="C9573" t="s">
        <v>12077</v>
      </c>
      <c r="D9573" t="s">
        <v>3275</v>
      </c>
      <c r="E9573" t="s">
        <v>3303</v>
      </c>
      <c r="F9573" t="s">
        <v>3303</v>
      </c>
      <c r="G9573" t="s">
        <v>3303</v>
      </c>
      <c r="H9573" t="s">
        <v>859</v>
      </c>
      <c r="I9573" t="s">
        <v>860</v>
      </c>
      <c r="J9573" t="str">
        <f>"9051758"</f>
        <v>9051758</v>
      </c>
      <c r="K9573">
        <v>2104941488</v>
      </c>
      <c r="L9573">
        <v>2104941488</v>
      </c>
      <c r="M9573" t="s">
        <v>12078</v>
      </c>
      <c r="N9573" t="s">
        <v>3303</v>
      </c>
      <c r="O9573" t="s">
        <v>12079</v>
      </c>
      <c r="P9573">
        <v>18120</v>
      </c>
      <c r="Q9573" t="str">
        <f>"37.972248"</f>
        <v>37.972248</v>
      </c>
      <c r="R9573" t="str">
        <f>"23.647010"</f>
        <v>23.647010</v>
      </c>
      <c r="S9573" t="s">
        <v>26</v>
      </c>
    </row>
    <row r="9574" spans="1:19" x14ac:dyDescent="0.3">
      <c r="A9574" t="s">
        <v>3237</v>
      </c>
      <c r="B9574" t="s">
        <v>11503</v>
      </c>
      <c r="C9574" t="s">
        <v>12083</v>
      </c>
      <c r="D9574" t="s">
        <v>3275</v>
      </c>
      <c r="E9574" t="s">
        <v>3303</v>
      </c>
      <c r="F9574" t="s">
        <v>3303</v>
      </c>
      <c r="G9574" t="s">
        <v>3303</v>
      </c>
      <c r="H9574" t="s">
        <v>859</v>
      </c>
      <c r="I9574" t="s">
        <v>1102</v>
      </c>
      <c r="J9574" t="str">
        <f>"9520553"</f>
        <v>9520553</v>
      </c>
      <c r="K9574">
        <v>2104958326</v>
      </c>
      <c r="L9574">
        <v>2105620131</v>
      </c>
      <c r="M9574" t="s">
        <v>12084</v>
      </c>
      <c r="N9574" t="s">
        <v>6249</v>
      </c>
      <c r="O9574" t="s">
        <v>11703</v>
      </c>
      <c r="P9574">
        <v>18121</v>
      </c>
      <c r="Q9574" t="str">
        <f>"37.985957"</f>
        <v>37.985957</v>
      </c>
      <c r="R9574" t="str">
        <f>"23.652497"</f>
        <v>23.652497</v>
      </c>
      <c r="S9574" t="s">
        <v>26</v>
      </c>
    </row>
    <row r="9575" spans="1:19" x14ac:dyDescent="0.3">
      <c r="A9575" t="s">
        <v>3237</v>
      </c>
      <c r="B9575" t="s">
        <v>11503</v>
      </c>
      <c r="C9575" t="s">
        <v>12090</v>
      </c>
      <c r="D9575" t="s">
        <v>3275</v>
      </c>
      <c r="E9575" t="s">
        <v>3303</v>
      </c>
      <c r="F9575" t="s">
        <v>3303</v>
      </c>
      <c r="G9575" t="s">
        <v>3303</v>
      </c>
      <c r="H9575" t="s">
        <v>859</v>
      </c>
      <c r="I9575" t="s">
        <v>860</v>
      </c>
      <c r="J9575" t="str">
        <f>"9520311"</f>
        <v>9520311</v>
      </c>
      <c r="K9575">
        <v>2104965269</v>
      </c>
      <c r="L9575">
        <v>2104965269</v>
      </c>
      <c r="M9575" t="s">
        <v>12091</v>
      </c>
      <c r="N9575" t="s">
        <v>3303</v>
      </c>
      <c r="O9575" t="s">
        <v>12092</v>
      </c>
      <c r="P9575">
        <v>18120</v>
      </c>
      <c r="Q9575" t="str">
        <f>"37.977697"</f>
        <v>37.977697</v>
      </c>
      <c r="R9575" t="str">
        <f>"23.651093"</f>
        <v>23.651093</v>
      </c>
      <c r="S9575" t="s">
        <v>26</v>
      </c>
    </row>
    <row r="9576" spans="1:19" x14ac:dyDescent="0.3">
      <c r="A9576" t="s">
        <v>3237</v>
      </c>
      <c r="B9576" t="s">
        <v>11503</v>
      </c>
      <c r="C9576" t="s">
        <v>12093</v>
      </c>
      <c r="D9576" t="s">
        <v>3275</v>
      </c>
      <c r="E9576" t="s">
        <v>3275</v>
      </c>
      <c r="F9576" t="s">
        <v>3275</v>
      </c>
      <c r="G9576" t="s">
        <v>6290</v>
      </c>
      <c r="H9576" t="s">
        <v>859</v>
      </c>
      <c r="I9576" t="s">
        <v>860</v>
      </c>
      <c r="J9576" t="str">
        <f>"9520217"</f>
        <v>9520217</v>
      </c>
      <c r="K9576">
        <v>2104170050</v>
      </c>
      <c r="L9576">
        <v>210417005</v>
      </c>
      <c r="M9576" t="s">
        <v>12094</v>
      </c>
      <c r="N9576" t="s">
        <v>6200</v>
      </c>
      <c r="O9576" t="s">
        <v>12095</v>
      </c>
      <c r="P9576">
        <v>18532</v>
      </c>
      <c r="Q9576" t="str">
        <f>"37.945949"</f>
        <v>37.945949</v>
      </c>
      <c r="R9576" t="str">
        <f>"23.650440"</f>
        <v>23.650440</v>
      </c>
      <c r="S9576" t="s">
        <v>26</v>
      </c>
    </row>
    <row r="9577" spans="1:19" x14ac:dyDescent="0.3">
      <c r="A9577" t="s">
        <v>3237</v>
      </c>
      <c r="B9577" t="s">
        <v>11503</v>
      </c>
      <c r="C9577" t="s">
        <v>12099</v>
      </c>
      <c r="D9577" t="s">
        <v>3275</v>
      </c>
      <c r="E9577" t="s">
        <v>3303</v>
      </c>
      <c r="F9577" t="s">
        <v>3303</v>
      </c>
      <c r="G9577" t="s">
        <v>3303</v>
      </c>
      <c r="H9577" t="s">
        <v>859</v>
      </c>
      <c r="I9577" t="s">
        <v>860</v>
      </c>
      <c r="J9577" t="str">
        <f>"9051531"</f>
        <v>9051531</v>
      </c>
      <c r="K9577">
        <v>2104970501</v>
      </c>
      <c r="L9577">
        <v>2104970501</v>
      </c>
      <c r="M9577" t="s">
        <v>12100</v>
      </c>
      <c r="N9577" t="s">
        <v>3303</v>
      </c>
      <c r="O9577" t="s">
        <v>12101</v>
      </c>
      <c r="P9577">
        <v>18122</v>
      </c>
      <c r="Q9577" t="str">
        <f>"37.994781"</f>
        <v>37.994781</v>
      </c>
      <c r="R9577" t="str">
        <f>"23.642144"</f>
        <v>23.642144</v>
      </c>
      <c r="S9577" t="s">
        <v>26</v>
      </c>
    </row>
    <row r="9578" spans="1:19" x14ac:dyDescent="0.3">
      <c r="A9578" t="s">
        <v>3237</v>
      </c>
      <c r="B9578" t="s">
        <v>11503</v>
      </c>
      <c r="C9578" t="s">
        <v>12105</v>
      </c>
      <c r="D9578" t="s">
        <v>3275</v>
      </c>
      <c r="E9578" t="s">
        <v>3275</v>
      </c>
      <c r="F9578" t="s">
        <v>3275</v>
      </c>
      <c r="G9578" t="s">
        <v>6290</v>
      </c>
      <c r="H9578" t="s">
        <v>859</v>
      </c>
      <c r="I9578" t="s">
        <v>860</v>
      </c>
      <c r="J9578" t="str">
        <f>"9520278"</f>
        <v>9520278</v>
      </c>
      <c r="K9578">
        <v>2104170050</v>
      </c>
      <c r="L9578">
        <v>2104170050</v>
      </c>
      <c r="M9578" t="s">
        <v>12106</v>
      </c>
      <c r="N9578" t="s">
        <v>6200</v>
      </c>
      <c r="O9578" t="s">
        <v>11833</v>
      </c>
      <c r="P9578">
        <v>18532</v>
      </c>
      <c r="Q9578" t="str">
        <f>"37.945994"</f>
        <v>37.945994</v>
      </c>
      <c r="R9578" t="str">
        <f>"23.650408"</f>
        <v>23.650408</v>
      </c>
      <c r="S9578" t="s">
        <v>26</v>
      </c>
    </row>
    <row r="9579" spans="1:19" x14ac:dyDescent="0.3">
      <c r="A9579" t="s">
        <v>3237</v>
      </c>
      <c r="B9579" t="s">
        <v>11503</v>
      </c>
      <c r="C9579" t="s">
        <v>12112</v>
      </c>
      <c r="D9579" t="s">
        <v>3275</v>
      </c>
      <c r="E9579" t="s">
        <v>3275</v>
      </c>
      <c r="F9579" t="s">
        <v>3275</v>
      </c>
      <c r="G9579" t="s">
        <v>6290</v>
      </c>
      <c r="H9579" t="s">
        <v>859</v>
      </c>
      <c r="I9579" t="s">
        <v>860</v>
      </c>
      <c r="J9579" t="str">
        <f>"9520031"</f>
        <v>9520031</v>
      </c>
      <c r="K9579">
        <v>2104171188</v>
      </c>
      <c r="L9579">
        <v>2104171188</v>
      </c>
      <c r="M9579" t="s">
        <v>12113</v>
      </c>
      <c r="N9579" t="s">
        <v>3279</v>
      </c>
      <c r="O9579" t="s">
        <v>11731</v>
      </c>
      <c r="P9579">
        <v>18532</v>
      </c>
      <c r="Q9579" t="str">
        <f>"37.947897"</f>
        <v>37.947897</v>
      </c>
      <c r="R9579" t="str">
        <f>"23.651890"</f>
        <v>23.651890</v>
      </c>
      <c r="S9579" t="s">
        <v>26</v>
      </c>
    </row>
    <row r="9580" spans="1:19" x14ac:dyDescent="0.3">
      <c r="A9580" t="s">
        <v>3237</v>
      </c>
      <c r="B9580" t="s">
        <v>11503</v>
      </c>
      <c r="C9580" t="s">
        <v>12118</v>
      </c>
      <c r="D9580" t="s">
        <v>3275</v>
      </c>
      <c r="E9580" t="s">
        <v>3303</v>
      </c>
      <c r="F9580" t="s">
        <v>3303</v>
      </c>
      <c r="G9580" t="s">
        <v>3303</v>
      </c>
      <c r="H9580" t="s">
        <v>859</v>
      </c>
      <c r="I9580" t="s">
        <v>860</v>
      </c>
      <c r="J9580" t="str">
        <f>"9051520"</f>
        <v>9051520</v>
      </c>
      <c r="K9580">
        <v>2105447696</v>
      </c>
      <c r="L9580">
        <v>2105447696</v>
      </c>
      <c r="M9580" t="s">
        <v>12119</v>
      </c>
      <c r="N9580" t="s">
        <v>12120</v>
      </c>
      <c r="O9580" t="s">
        <v>12121</v>
      </c>
      <c r="P9580">
        <v>18121</v>
      </c>
      <c r="Q9580" t="str">
        <f>"37.990579"</f>
        <v>37.990579</v>
      </c>
      <c r="R9580" t="str">
        <f>"23.647826"</f>
        <v>23.647826</v>
      </c>
      <c r="S9580" t="s">
        <v>26</v>
      </c>
    </row>
    <row r="9581" spans="1:19" x14ac:dyDescent="0.3">
      <c r="A9581" t="s">
        <v>3237</v>
      </c>
      <c r="B9581" t="s">
        <v>11503</v>
      </c>
      <c r="C9581" t="s">
        <v>12127</v>
      </c>
      <c r="D9581" t="s">
        <v>3275</v>
      </c>
      <c r="E9581" t="s">
        <v>3275</v>
      </c>
      <c r="F9581" t="s">
        <v>3275</v>
      </c>
      <c r="G9581" t="s">
        <v>6290</v>
      </c>
      <c r="H9581" t="s">
        <v>859</v>
      </c>
      <c r="I9581" t="s">
        <v>860</v>
      </c>
      <c r="J9581" t="str">
        <f>"9520312"</f>
        <v>9520312</v>
      </c>
      <c r="K9581">
        <v>2104135862</v>
      </c>
      <c r="L9581">
        <v>2110128412</v>
      </c>
      <c r="M9581" t="s">
        <v>12128</v>
      </c>
      <c r="N9581" t="s">
        <v>6200</v>
      </c>
      <c r="O9581" t="s">
        <v>12129</v>
      </c>
      <c r="P9581">
        <v>18534</v>
      </c>
      <c r="Q9581" t="str">
        <f>"37.935793"</f>
        <v>37.935793</v>
      </c>
      <c r="R9581" t="str">
        <f>"23.650985"</f>
        <v>23.650985</v>
      </c>
      <c r="S9581" t="s">
        <v>26</v>
      </c>
    </row>
    <row r="9582" spans="1:19" x14ac:dyDescent="0.3">
      <c r="A9582" t="s">
        <v>3237</v>
      </c>
      <c r="B9582" t="s">
        <v>11503</v>
      </c>
      <c r="C9582" t="s">
        <v>12133</v>
      </c>
      <c r="D9582" t="s">
        <v>3275</v>
      </c>
      <c r="E9582" t="s">
        <v>3275</v>
      </c>
      <c r="F9582" t="s">
        <v>3275</v>
      </c>
      <c r="G9582" t="s">
        <v>6290</v>
      </c>
      <c r="H9582" t="s">
        <v>859</v>
      </c>
      <c r="I9582" t="s">
        <v>860</v>
      </c>
      <c r="J9582" t="str">
        <f>"9520328"</f>
        <v>9520328</v>
      </c>
      <c r="K9582">
        <v>2104132034</v>
      </c>
      <c r="L9582">
        <v>2104132034</v>
      </c>
      <c r="M9582" t="s">
        <v>12134</v>
      </c>
      <c r="N9582" t="s">
        <v>6200</v>
      </c>
      <c r="O9582" t="s">
        <v>11716</v>
      </c>
      <c r="P9582">
        <v>18534</v>
      </c>
      <c r="Q9582" t="str">
        <f>"37.942543"</f>
        <v>37.942543</v>
      </c>
      <c r="R9582" t="str">
        <f>"23.653586"</f>
        <v>23.653586</v>
      </c>
      <c r="S9582" t="s">
        <v>26</v>
      </c>
    </row>
    <row r="9583" spans="1:19" x14ac:dyDescent="0.3">
      <c r="A9583" t="s">
        <v>3237</v>
      </c>
      <c r="B9583" t="s">
        <v>11503</v>
      </c>
      <c r="C9583" t="s">
        <v>12167</v>
      </c>
      <c r="D9583" t="s">
        <v>3275</v>
      </c>
      <c r="E9583" t="s">
        <v>6266</v>
      </c>
      <c r="F9583" t="s">
        <v>6267</v>
      </c>
      <c r="G9583" t="s">
        <v>6267</v>
      </c>
      <c r="H9583" t="s">
        <v>859</v>
      </c>
      <c r="I9583" t="s">
        <v>860</v>
      </c>
      <c r="J9583" t="str">
        <f>"9520373"</f>
        <v>9520373</v>
      </c>
      <c r="K9583">
        <v>2104824787</v>
      </c>
      <c r="L9583">
        <v>2104824787</v>
      </c>
      <c r="M9583" t="s">
        <v>12168</v>
      </c>
      <c r="N9583" t="s">
        <v>12169</v>
      </c>
      <c r="O9583" t="s">
        <v>12170</v>
      </c>
      <c r="P9583">
        <v>18233</v>
      </c>
      <c r="Q9583" t="str">
        <f>"37.958471"</f>
        <v>37.958471</v>
      </c>
      <c r="R9583" t="str">
        <f>"23.669667"</f>
        <v>23.669667</v>
      </c>
      <c r="S9583" t="s">
        <v>26</v>
      </c>
    </row>
    <row r="9584" spans="1:19" x14ac:dyDescent="0.3">
      <c r="A9584" t="s">
        <v>3237</v>
      </c>
      <c r="B9584" t="s">
        <v>11503</v>
      </c>
      <c r="C9584" t="s">
        <v>12171</v>
      </c>
      <c r="D9584" t="s">
        <v>6222</v>
      </c>
      <c r="E9584" t="s">
        <v>6223</v>
      </c>
      <c r="F9584" t="s">
        <v>6229</v>
      </c>
      <c r="G9584" t="s">
        <v>6612</v>
      </c>
      <c r="H9584" t="s">
        <v>859</v>
      </c>
      <c r="I9584" t="s">
        <v>860</v>
      </c>
      <c r="J9584" t="str">
        <f>"9520362"</f>
        <v>9520362</v>
      </c>
      <c r="K9584">
        <v>2104662951</v>
      </c>
      <c r="L9584">
        <v>2104662951</v>
      </c>
      <c r="M9584" t="s">
        <v>12172</v>
      </c>
      <c r="N9584" t="s">
        <v>6612</v>
      </c>
      <c r="O9584" t="s">
        <v>12173</v>
      </c>
      <c r="P9584">
        <v>18903</v>
      </c>
      <c r="Q9584" t="str">
        <f>"37.925694"</f>
        <v>37.925694</v>
      </c>
      <c r="R9584" t="str">
        <f>"23.471594"</f>
        <v>23.471594</v>
      </c>
      <c r="S9584" t="s">
        <v>26</v>
      </c>
    </row>
    <row r="9585" spans="1:19" x14ac:dyDescent="0.3">
      <c r="A9585" t="s">
        <v>3237</v>
      </c>
      <c r="B9585" t="s">
        <v>11503</v>
      </c>
      <c r="C9585" t="s">
        <v>12179</v>
      </c>
      <c r="D9585" t="s">
        <v>6222</v>
      </c>
      <c r="E9585" t="s">
        <v>6223</v>
      </c>
      <c r="F9585" t="s">
        <v>6229</v>
      </c>
      <c r="G9585" t="s">
        <v>6612</v>
      </c>
      <c r="H9585" t="s">
        <v>859</v>
      </c>
      <c r="I9585" t="s">
        <v>860</v>
      </c>
      <c r="J9585" t="str">
        <f>"9520426"</f>
        <v>9520426</v>
      </c>
      <c r="K9585">
        <v>2104662559</v>
      </c>
      <c r="L9585">
        <v>2104662559</v>
      </c>
      <c r="M9585" t="s">
        <v>12180</v>
      </c>
      <c r="N9585" t="s">
        <v>12181</v>
      </c>
      <c r="O9585" t="s">
        <v>12182</v>
      </c>
      <c r="P9585">
        <v>18903</v>
      </c>
      <c r="Q9585" t="str">
        <f>"37.914145"</f>
        <v>37.914145</v>
      </c>
      <c r="R9585" t="str">
        <f>"23.493939"</f>
        <v>23.493939</v>
      </c>
      <c r="S9585" t="s">
        <v>26</v>
      </c>
    </row>
    <row r="9586" spans="1:19" x14ac:dyDescent="0.3">
      <c r="A9586" t="s">
        <v>3237</v>
      </c>
      <c r="B9586" t="s">
        <v>11503</v>
      </c>
      <c r="C9586" t="s">
        <v>12183</v>
      </c>
      <c r="D9586" t="s">
        <v>6222</v>
      </c>
      <c r="E9586" t="s">
        <v>6223</v>
      </c>
      <c r="F9586" t="s">
        <v>6224</v>
      </c>
      <c r="G9586" t="s">
        <v>6224</v>
      </c>
      <c r="H9586" t="s">
        <v>859</v>
      </c>
      <c r="I9586" t="s">
        <v>860</v>
      </c>
      <c r="J9586" t="str">
        <f>"9520382"</f>
        <v>9520382</v>
      </c>
      <c r="K9586">
        <v>2104674301</v>
      </c>
      <c r="L9586">
        <v>2104674301</v>
      </c>
      <c r="M9586" t="s">
        <v>12184</v>
      </c>
      <c r="N9586" t="s">
        <v>12185</v>
      </c>
      <c r="O9586" t="s">
        <v>12186</v>
      </c>
      <c r="P9586">
        <v>18902</v>
      </c>
      <c r="Q9586" t="str">
        <f>"37.954993"</f>
        <v>37.954993</v>
      </c>
      <c r="R9586" t="str">
        <f>"23.527785"</f>
        <v>23.527785</v>
      </c>
      <c r="S9586" t="s">
        <v>26</v>
      </c>
    </row>
    <row r="9587" spans="1:19" x14ac:dyDescent="0.3">
      <c r="A9587" t="s">
        <v>3237</v>
      </c>
      <c r="B9587" t="s">
        <v>11503</v>
      </c>
      <c r="C9587" t="s">
        <v>12189</v>
      </c>
      <c r="D9587" t="s">
        <v>6222</v>
      </c>
      <c r="E9587" t="s">
        <v>6223</v>
      </c>
      <c r="F9587" t="s">
        <v>6229</v>
      </c>
      <c r="G9587" t="s">
        <v>6223</v>
      </c>
      <c r="H9587" t="s">
        <v>859</v>
      </c>
      <c r="I9587" t="s">
        <v>860</v>
      </c>
      <c r="J9587" t="str">
        <f>"9520441"</f>
        <v>9520441</v>
      </c>
      <c r="K9587">
        <v>2104686910</v>
      </c>
      <c r="L9587">
        <v>2104686910</v>
      </c>
      <c r="M9587" t="s">
        <v>12190</v>
      </c>
      <c r="N9587" t="s">
        <v>12191</v>
      </c>
      <c r="O9587" t="s">
        <v>12192</v>
      </c>
      <c r="P9587">
        <v>18900</v>
      </c>
      <c r="Q9587" t="str">
        <f>"37.983631"</f>
        <v>37.983631</v>
      </c>
      <c r="R9587" t="str">
        <f>"23.480092"</f>
        <v>23.480092</v>
      </c>
      <c r="S9587" t="s">
        <v>26</v>
      </c>
    </row>
    <row r="9588" spans="1:19" x14ac:dyDescent="0.3">
      <c r="A9588" t="s">
        <v>3237</v>
      </c>
      <c r="B9588" t="s">
        <v>11503</v>
      </c>
      <c r="C9588" t="s">
        <v>12196</v>
      </c>
      <c r="D9588" t="s">
        <v>6222</v>
      </c>
      <c r="E9588" t="s">
        <v>6223</v>
      </c>
      <c r="F9588" t="s">
        <v>6229</v>
      </c>
      <c r="G9588" t="s">
        <v>6223</v>
      </c>
      <c r="H9588" t="s">
        <v>859</v>
      </c>
      <c r="I9588" t="s">
        <v>860</v>
      </c>
      <c r="J9588" t="str">
        <f>"9520296"</f>
        <v>9520296</v>
      </c>
      <c r="K9588">
        <v>2114086801</v>
      </c>
      <c r="L9588">
        <v>2114086801</v>
      </c>
      <c r="M9588" t="s">
        <v>12197</v>
      </c>
      <c r="N9588" t="s">
        <v>12198</v>
      </c>
      <c r="O9588" t="s">
        <v>12199</v>
      </c>
      <c r="P9588">
        <v>18901</v>
      </c>
      <c r="Q9588" t="str">
        <f>"37.963328"</f>
        <v>37.963328</v>
      </c>
      <c r="R9588" t="str">
        <f>"23.522657"</f>
        <v>23.522657</v>
      </c>
      <c r="S9588" t="s">
        <v>26</v>
      </c>
    </row>
    <row r="9589" spans="1:19" x14ac:dyDescent="0.3">
      <c r="A9589" t="s">
        <v>3237</v>
      </c>
      <c r="B9589" t="s">
        <v>11503</v>
      </c>
      <c r="C9589" t="s">
        <v>12200</v>
      </c>
      <c r="D9589" t="s">
        <v>6222</v>
      </c>
      <c r="E9589" t="s">
        <v>6223</v>
      </c>
      <c r="F9589" t="s">
        <v>6224</v>
      </c>
      <c r="G9589" t="s">
        <v>6224</v>
      </c>
      <c r="H9589" t="s">
        <v>859</v>
      </c>
      <c r="I9589" t="s">
        <v>860</v>
      </c>
      <c r="J9589" t="str">
        <f>"9520189"</f>
        <v>9520189</v>
      </c>
      <c r="K9589">
        <v>2104673010</v>
      </c>
      <c r="L9589">
        <v>2104673010</v>
      </c>
      <c r="M9589" t="s">
        <v>12201</v>
      </c>
      <c r="N9589" t="s">
        <v>6227</v>
      </c>
      <c r="O9589" t="s">
        <v>12202</v>
      </c>
      <c r="P9589">
        <v>18902</v>
      </c>
      <c r="Q9589" t="str">
        <f>"37.951120"</f>
        <v>37.951120</v>
      </c>
      <c r="R9589" t="str">
        <f>"23.531235"</f>
        <v>23.531235</v>
      </c>
      <c r="S9589" t="s">
        <v>26</v>
      </c>
    </row>
    <row r="9590" spans="1:19" x14ac:dyDescent="0.3">
      <c r="A9590" t="s">
        <v>3237</v>
      </c>
      <c r="B9590" t="s">
        <v>11503</v>
      </c>
      <c r="C9590" t="s">
        <v>12247</v>
      </c>
      <c r="D9590" t="s">
        <v>6222</v>
      </c>
      <c r="E9590" t="s">
        <v>6432</v>
      </c>
      <c r="F9590" t="s">
        <v>6432</v>
      </c>
      <c r="G9590" t="s">
        <v>6432</v>
      </c>
      <c r="H9590" t="s">
        <v>859</v>
      </c>
      <c r="I9590" t="s">
        <v>860</v>
      </c>
      <c r="J9590" t="str">
        <f>"9520651"</f>
        <v>9520651</v>
      </c>
      <c r="K9590">
        <v>2298074220</v>
      </c>
      <c r="L9590">
        <v>2298074220</v>
      </c>
      <c r="M9590" t="s">
        <v>12248</v>
      </c>
      <c r="N9590" t="s">
        <v>6432</v>
      </c>
      <c r="O9590" t="s">
        <v>6432</v>
      </c>
      <c r="P9590">
        <v>18050</v>
      </c>
      <c r="Q9590" t="str">
        <f>"37.261922"</f>
        <v>37.261922</v>
      </c>
      <c r="R9590" t="str">
        <f>"23.151315"</f>
        <v>23.151315</v>
      </c>
      <c r="S9590" t="s">
        <v>26</v>
      </c>
    </row>
    <row r="9591" spans="1:19" x14ac:dyDescent="0.3">
      <c r="A9591" t="s">
        <v>3237</v>
      </c>
      <c r="B9591" t="s">
        <v>11503</v>
      </c>
      <c r="C9591" t="s">
        <v>12275</v>
      </c>
      <c r="D9591" t="s">
        <v>3275</v>
      </c>
      <c r="E9591" t="s">
        <v>3303</v>
      </c>
      <c r="F9591" t="s">
        <v>3303</v>
      </c>
      <c r="G9591" t="s">
        <v>3303</v>
      </c>
      <c r="H9591" t="s">
        <v>859</v>
      </c>
      <c r="I9591" t="s">
        <v>860</v>
      </c>
      <c r="J9591" t="str">
        <f>"9520087"</f>
        <v>9520087</v>
      </c>
      <c r="K9591">
        <v>2104951235</v>
      </c>
      <c r="L9591">
        <v>2104951235</v>
      </c>
      <c r="M9591" t="s">
        <v>12276</v>
      </c>
      <c r="N9591" t="s">
        <v>3303</v>
      </c>
      <c r="O9591" t="s">
        <v>11932</v>
      </c>
      <c r="P9591">
        <v>18122</v>
      </c>
      <c r="Q9591" t="str">
        <f>"37.986717"</f>
        <v>37.986717</v>
      </c>
      <c r="R9591" t="str">
        <f>"23.644510"</f>
        <v>23.644510</v>
      </c>
      <c r="S9591" t="s">
        <v>26</v>
      </c>
    </row>
    <row r="9592" spans="1:19" x14ac:dyDescent="0.3">
      <c r="A9592" t="s">
        <v>3237</v>
      </c>
      <c r="B9592" t="s">
        <v>11503</v>
      </c>
      <c r="C9592" t="s">
        <v>12279</v>
      </c>
      <c r="D9592" t="s">
        <v>6222</v>
      </c>
      <c r="E9592" t="s">
        <v>6280</v>
      </c>
      <c r="F9592" t="s">
        <v>6280</v>
      </c>
      <c r="G9592" t="s">
        <v>6280</v>
      </c>
      <c r="H9592" t="s">
        <v>859</v>
      </c>
      <c r="I9592" t="s">
        <v>860</v>
      </c>
      <c r="J9592" t="str">
        <f>"9520260"</f>
        <v>9520260</v>
      </c>
      <c r="K9592">
        <v>2297022203</v>
      </c>
      <c r="L9592">
        <v>2297022203</v>
      </c>
      <c r="M9592" t="s">
        <v>12280</v>
      </c>
      <c r="N9592" t="s">
        <v>6280</v>
      </c>
      <c r="O9592" t="s">
        <v>12281</v>
      </c>
      <c r="P9592">
        <v>18010</v>
      </c>
      <c r="Q9592" t="str">
        <f>"37.749126"</f>
        <v>37.749126</v>
      </c>
      <c r="R9592" t="str">
        <f>"23.428713"</f>
        <v>23.428713</v>
      </c>
      <c r="S9592" t="s">
        <v>26</v>
      </c>
    </row>
    <row r="9593" spans="1:19" x14ac:dyDescent="0.3">
      <c r="A9593" t="s">
        <v>3237</v>
      </c>
      <c r="B9593" t="s">
        <v>11503</v>
      </c>
      <c r="C9593" t="s">
        <v>12302</v>
      </c>
      <c r="D9593" t="s">
        <v>6222</v>
      </c>
      <c r="E9593" t="s">
        <v>6432</v>
      </c>
      <c r="F9593" t="s">
        <v>6432</v>
      </c>
      <c r="G9593" t="s">
        <v>6432</v>
      </c>
      <c r="H9593" t="s">
        <v>859</v>
      </c>
      <c r="I9593" t="s">
        <v>860</v>
      </c>
      <c r="J9593" t="str">
        <f>"9520153"</f>
        <v>9520153</v>
      </c>
      <c r="K9593">
        <v>2298073001</v>
      </c>
      <c r="L9593">
        <v>2298075450</v>
      </c>
      <c r="M9593" t="s">
        <v>12303</v>
      </c>
      <c r="N9593" t="s">
        <v>6432</v>
      </c>
      <c r="O9593" t="s">
        <v>6435</v>
      </c>
      <c r="P9593">
        <v>18050</v>
      </c>
      <c r="Q9593" t="str">
        <f>"37.262597"</f>
        <v>37.262597</v>
      </c>
      <c r="R9593" t="str">
        <f>"23.132244"</f>
        <v>23.132244</v>
      </c>
      <c r="S9593" t="s">
        <v>26</v>
      </c>
    </row>
    <row r="9594" spans="1:19" x14ac:dyDescent="0.3">
      <c r="A9594" t="s">
        <v>3237</v>
      </c>
      <c r="B9594" t="s">
        <v>11503</v>
      </c>
      <c r="C9594" t="s">
        <v>12304</v>
      </c>
      <c r="D9594" t="s">
        <v>6222</v>
      </c>
      <c r="E9594" t="s">
        <v>6231</v>
      </c>
      <c r="F9594" t="s">
        <v>6232</v>
      </c>
      <c r="G9594" t="s">
        <v>6233</v>
      </c>
      <c r="H9594" t="s">
        <v>859</v>
      </c>
      <c r="I9594" t="s">
        <v>860</v>
      </c>
      <c r="J9594" t="str">
        <f>"9520285"</f>
        <v>9520285</v>
      </c>
      <c r="K9594">
        <v>2298093089</v>
      </c>
      <c r="L9594">
        <v>2298093089</v>
      </c>
      <c r="M9594" t="s">
        <v>12305</v>
      </c>
      <c r="N9594" t="s">
        <v>6232</v>
      </c>
      <c r="O9594" t="s">
        <v>6236</v>
      </c>
      <c r="P9594">
        <v>18030</v>
      </c>
      <c r="Q9594" t="str">
        <f>"37.582399"</f>
        <v>37.582399</v>
      </c>
      <c r="R9594" t="str">
        <f>"23.388526"</f>
        <v>23.388526</v>
      </c>
      <c r="S9594" t="s">
        <v>26</v>
      </c>
    </row>
    <row r="9595" spans="1:19" x14ac:dyDescent="0.3">
      <c r="A9595" t="s">
        <v>3237</v>
      </c>
      <c r="B9595" t="s">
        <v>11503</v>
      </c>
      <c r="C9595" t="s">
        <v>12312</v>
      </c>
      <c r="D9595" t="s">
        <v>6222</v>
      </c>
      <c r="E9595" t="s">
        <v>6345</v>
      </c>
      <c r="F9595" t="s">
        <v>6345</v>
      </c>
      <c r="G9595" t="s">
        <v>6345</v>
      </c>
      <c r="H9595" t="s">
        <v>859</v>
      </c>
      <c r="I9595" t="s">
        <v>860</v>
      </c>
      <c r="J9595" t="str">
        <f>"9520154"</f>
        <v>9520154</v>
      </c>
      <c r="K9595">
        <v>2298053594</v>
      </c>
      <c r="L9595">
        <v>2298053594</v>
      </c>
      <c r="M9595" t="s">
        <v>12313</v>
      </c>
      <c r="N9595" t="s">
        <v>6345</v>
      </c>
      <c r="O9595" t="s">
        <v>6348</v>
      </c>
      <c r="P9595">
        <v>18040</v>
      </c>
      <c r="Q9595" t="str">
        <f>"37.347222"</f>
        <v>37.347222</v>
      </c>
      <c r="R9595" t="str">
        <f>"23.465974"</f>
        <v>23.465974</v>
      </c>
      <c r="S9595" t="s">
        <v>26</v>
      </c>
    </row>
    <row r="9596" spans="1:19" x14ac:dyDescent="0.3">
      <c r="A9596" t="s">
        <v>3237</v>
      </c>
      <c r="B9596" t="s">
        <v>11503</v>
      </c>
      <c r="C9596" t="s">
        <v>12314</v>
      </c>
      <c r="D9596" t="s">
        <v>6222</v>
      </c>
      <c r="E9596" t="s">
        <v>6345</v>
      </c>
      <c r="F9596" t="s">
        <v>6345</v>
      </c>
      <c r="G9596" t="s">
        <v>6345</v>
      </c>
      <c r="H9596" t="s">
        <v>859</v>
      </c>
      <c r="I9596" t="s">
        <v>860</v>
      </c>
      <c r="J9596" t="str">
        <f>"9520259"</f>
        <v>9520259</v>
      </c>
      <c r="K9596">
        <v>2298053577</v>
      </c>
      <c r="L9596">
        <v>2298053577</v>
      </c>
      <c r="M9596" t="s">
        <v>12315</v>
      </c>
      <c r="N9596" t="s">
        <v>6345</v>
      </c>
      <c r="O9596" t="s">
        <v>6348</v>
      </c>
      <c r="P9596">
        <v>18040</v>
      </c>
      <c r="Q9596" t="str">
        <f>"37.345712"</f>
        <v>37.345712</v>
      </c>
      <c r="R9596" t="str">
        <f>"23.460849"</f>
        <v>23.460849</v>
      </c>
      <c r="S9596" t="s">
        <v>26</v>
      </c>
    </row>
    <row r="9597" spans="1:19" x14ac:dyDescent="0.3">
      <c r="A9597" t="s">
        <v>3237</v>
      </c>
      <c r="B9597" t="s">
        <v>11503</v>
      </c>
      <c r="C9597" t="s">
        <v>12318</v>
      </c>
      <c r="D9597" t="s">
        <v>3275</v>
      </c>
      <c r="E9597" t="s">
        <v>3275</v>
      </c>
      <c r="F9597" t="s">
        <v>3275</v>
      </c>
      <c r="G9597" t="s">
        <v>6382</v>
      </c>
      <c r="H9597" t="s">
        <v>859</v>
      </c>
      <c r="I9597" t="s">
        <v>860</v>
      </c>
      <c r="J9597" t="str">
        <f>"9520004"</f>
        <v>9520004</v>
      </c>
      <c r="K9597">
        <v>2104826530</v>
      </c>
      <c r="L9597">
        <v>2104826530</v>
      </c>
      <c r="M9597" t="s">
        <v>12319</v>
      </c>
      <c r="N9597" t="s">
        <v>6497</v>
      </c>
      <c r="O9597" t="s">
        <v>12320</v>
      </c>
      <c r="P9597">
        <v>18547</v>
      </c>
      <c r="Q9597" t="str">
        <f>"37.945200"</f>
        <v>37.945200</v>
      </c>
      <c r="R9597" t="str">
        <f>"23.670204"</f>
        <v>23.670204</v>
      </c>
      <c r="S9597" t="s">
        <v>26</v>
      </c>
    </row>
    <row r="9598" spans="1:19" x14ac:dyDescent="0.3">
      <c r="A9598" t="s">
        <v>3237</v>
      </c>
      <c r="B9598" t="s">
        <v>11503</v>
      </c>
      <c r="C9598" t="s">
        <v>12339</v>
      </c>
      <c r="D9598" t="s">
        <v>3275</v>
      </c>
      <c r="E9598" t="s">
        <v>3275</v>
      </c>
      <c r="F9598" t="s">
        <v>3275</v>
      </c>
      <c r="G9598" t="s">
        <v>6290</v>
      </c>
      <c r="H9598" t="s">
        <v>859</v>
      </c>
      <c r="I9598" t="s">
        <v>860</v>
      </c>
      <c r="J9598" t="str">
        <f>"9520215"</f>
        <v>9520215</v>
      </c>
      <c r="K9598">
        <v>2104117320</v>
      </c>
      <c r="L9598">
        <v>2104117320</v>
      </c>
      <c r="M9598" t="s">
        <v>12340</v>
      </c>
      <c r="N9598" t="s">
        <v>6200</v>
      </c>
      <c r="O9598" t="s">
        <v>12341</v>
      </c>
      <c r="P9598">
        <v>18534</v>
      </c>
      <c r="Q9598" t="str">
        <f>"37.941921"</f>
        <v>37.941921</v>
      </c>
      <c r="R9598" t="str">
        <f>"23.651340"</f>
        <v>23.651340</v>
      </c>
      <c r="S9598" t="s">
        <v>26</v>
      </c>
    </row>
    <row r="9599" spans="1:19" x14ac:dyDescent="0.3">
      <c r="A9599" t="s">
        <v>3237</v>
      </c>
      <c r="B9599" t="s">
        <v>11503</v>
      </c>
      <c r="C9599" t="s">
        <v>12354</v>
      </c>
      <c r="D9599" t="s">
        <v>6222</v>
      </c>
      <c r="E9599" t="s">
        <v>6394</v>
      </c>
      <c r="F9599" t="s">
        <v>6394</v>
      </c>
      <c r="G9599" t="s">
        <v>12347</v>
      </c>
      <c r="H9599" t="s">
        <v>859</v>
      </c>
      <c r="I9599" t="s">
        <v>860</v>
      </c>
      <c r="J9599" t="str">
        <f>"9520524"</f>
        <v>9520524</v>
      </c>
      <c r="K9599">
        <v>2736033936</v>
      </c>
      <c r="L9599">
        <v>2736033936</v>
      </c>
      <c r="M9599" t="s">
        <v>12355</v>
      </c>
      <c r="N9599" t="s">
        <v>12356</v>
      </c>
      <c r="O9599" t="s">
        <v>12357</v>
      </c>
      <c r="P9599">
        <v>80200</v>
      </c>
      <c r="Q9599" t="str">
        <f>"36.324024"</f>
        <v>36.324024</v>
      </c>
      <c r="R9599" t="str">
        <f>"22.982428"</f>
        <v>22.982428</v>
      </c>
      <c r="S9599" t="s">
        <v>57</v>
      </c>
    </row>
    <row r="9600" spans="1:19" x14ac:dyDescent="0.3">
      <c r="A9600" t="s">
        <v>3237</v>
      </c>
      <c r="B9600" t="s">
        <v>11503</v>
      </c>
      <c r="C9600" t="s">
        <v>12359</v>
      </c>
      <c r="D9600" t="s">
        <v>6222</v>
      </c>
      <c r="E9600" t="s">
        <v>6394</v>
      </c>
      <c r="F9600" t="s">
        <v>6394</v>
      </c>
      <c r="G9600" t="s">
        <v>12358</v>
      </c>
      <c r="H9600" t="s">
        <v>859</v>
      </c>
      <c r="I9600" t="s">
        <v>860</v>
      </c>
      <c r="J9600" t="str">
        <f>"9520530"</f>
        <v>9520530</v>
      </c>
      <c r="K9600">
        <v>2736031104</v>
      </c>
      <c r="L9600">
        <v>2736031104</v>
      </c>
      <c r="M9600" t="s">
        <v>12360</v>
      </c>
      <c r="N9600" t="s">
        <v>12361</v>
      </c>
      <c r="O9600" t="s">
        <v>12362</v>
      </c>
      <c r="P9600">
        <v>80100</v>
      </c>
      <c r="Q9600" t="str">
        <f>"36.182090"</f>
        <v>36.182090</v>
      </c>
      <c r="R9600" t="str">
        <f>"22.995261"</f>
        <v>22.995261</v>
      </c>
      <c r="S9600" t="s">
        <v>57</v>
      </c>
    </row>
    <row r="9601" spans="1:19" x14ac:dyDescent="0.3">
      <c r="A9601" t="s">
        <v>3237</v>
      </c>
      <c r="B9601" t="s">
        <v>11503</v>
      </c>
      <c r="C9601" t="s">
        <v>12365</v>
      </c>
      <c r="D9601" t="s">
        <v>6222</v>
      </c>
      <c r="E9601" t="s">
        <v>6223</v>
      </c>
      <c r="F9601" t="s">
        <v>6224</v>
      </c>
      <c r="G9601" t="s">
        <v>12233</v>
      </c>
      <c r="H9601" t="s">
        <v>859</v>
      </c>
      <c r="I9601" t="s">
        <v>860</v>
      </c>
      <c r="J9601" t="str">
        <f>"9520332"</f>
        <v>9520332</v>
      </c>
      <c r="K9601">
        <v>2111826043</v>
      </c>
      <c r="L9601">
        <v>2111826043</v>
      </c>
      <c r="M9601" t="s">
        <v>12366</v>
      </c>
      <c r="N9601" t="s">
        <v>12367</v>
      </c>
      <c r="O9601" t="s">
        <v>12368</v>
      </c>
      <c r="P9601">
        <v>18902</v>
      </c>
      <c r="Q9601" t="str">
        <f>"37.959289"</f>
        <v>37.959289</v>
      </c>
      <c r="R9601" t="str">
        <f>"23.520574"</f>
        <v>23.520574</v>
      </c>
      <c r="S9601" t="s">
        <v>26</v>
      </c>
    </row>
    <row r="9602" spans="1:19" x14ac:dyDescent="0.3">
      <c r="A9602" t="s">
        <v>3237</v>
      </c>
      <c r="B9602" t="s">
        <v>11503</v>
      </c>
      <c r="C9602" t="s">
        <v>12369</v>
      </c>
      <c r="D9602" t="s">
        <v>6222</v>
      </c>
      <c r="E9602" t="s">
        <v>6223</v>
      </c>
      <c r="F9602" t="s">
        <v>6224</v>
      </c>
      <c r="G9602" t="s">
        <v>12233</v>
      </c>
      <c r="H9602" t="s">
        <v>859</v>
      </c>
      <c r="I9602" t="s">
        <v>860</v>
      </c>
      <c r="J9602" t="str">
        <f>"9520361"</f>
        <v>9520361</v>
      </c>
      <c r="K9602">
        <v>2104677895</v>
      </c>
      <c r="L9602">
        <v>2104677895</v>
      </c>
      <c r="M9602" t="s">
        <v>12370</v>
      </c>
      <c r="N9602" t="s">
        <v>12233</v>
      </c>
      <c r="O9602" t="s">
        <v>12237</v>
      </c>
      <c r="P9602">
        <v>18902</v>
      </c>
      <c r="Q9602" t="str">
        <f>"37.934455"</f>
        <v>37.934455</v>
      </c>
      <c r="R9602" t="str">
        <f>"23.532248"</f>
        <v>23.532248</v>
      </c>
      <c r="S9602" t="s">
        <v>26</v>
      </c>
    </row>
    <row r="9603" spans="1:19" x14ac:dyDescent="0.3">
      <c r="A9603" t="s">
        <v>3237</v>
      </c>
      <c r="B9603" t="s">
        <v>11503</v>
      </c>
      <c r="C9603" t="s">
        <v>12379</v>
      </c>
      <c r="D9603" t="s">
        <v>3275</v>
      </c>
      <c r="E9603" t="s">
        <v>6212</v>
      </c>
      <c r="F9603" t="s">
        <v>6256</v>
      </c>
      <c r="G9603" t="s">
        <v>6256</v>
      </c>
      <c r="H9603" t="s">
        <v>859</v>
      </c>
      <c r="I9603" t="s">
        <v>860</v>
      </c>
      <c r="J9603" t="str">
        <f>"9520521"</f>
        <v>9520521</v>
      </c>
      <c r="K9603">
        <v>2104015730</v>
      </c>
      <c r="L9603">
        <v>2104015730</v>
      </c>
      <c r="M9603" t="s">
        <v>12380</v>
      </c>
      <c r="N9603" t="s">
        <v>6327</v>
      </c>
      <c r="O9603" t="s">
        <v>12381</v>
      </c>
      <c r="P9603">
        <v>18755</v>
      </c>
      <c r="Q9603" t="str">
        <f>"37.951142"</f>
        <v>37.951142</v>
      </c>
      <c r="R9603" t="str">
        <f>"23.615385"</f>
        <v>23.615385</v>
      </c>
      <c r="S9603" t="s">
        <v>26</v>
      </c>
    </row>
    <row r="9604" spans="1:19" x14ac:dyDescent="0.3">
      <c r="A9604" t="s">
        <v>3237</v>
      </c>
      <c r="B9604" t="s">
        <v>11503</v>
      </c>
      <c r="C9604" t="s">
        <v>12382</v>
      </c>
      <c r="D9604" t="s">
        <v>3275</v>
      </c>
      <c r="E9604" t="s">
        <v>3275</v>
      </c>
      <c r="F9604" t="s">
        <v>3275</v>
      </c>
      <c r="G9604" t="s">
        <v>6261</v>
      </c>
      <c r="H9604" t="s">
        <v>859</v>
      </c>
      <c r="I9604" t="s">
        <v>860</v>
      </c>
      <c r="J9604" t="str">
        <f>"9521290"</f>
        <v>9521290</v>
      </c>
      <c r="K9604">
        <v>2104201081</v>
      </c>
      <c r="L9604">
        <v>2104201081</v>
      </c>
      <c r="M9604" t="s">
        <v>12383</v>
      </c>
      <c r="N9604" t="s">
        <v>6200</v>
      </c>
      <c r="O9604" t="s">
        <v>12384</v>
      </c>
      <c r="P9604">
        <v>18543</v>
      </c>
      <c r="Q9604" t="str">
        <f>"37.958035"</f>
        <v>37.958035</v>
      </c>
      <c r="R9604" t="str">
        <f>"23.652330"</f>
        <v>23.652330</v>
      </c>
      <c r="S9604" t="s">
        <v>26</v>
      </c>
    </row>
    <row r="9605" spans="1:19" x14ac:dyDescent="0.3">
      <c r="A9605" t="s">
        <v>3237</v>
      </c>
      <c r="B9605" t="s">
        <v>11503</v>
      </c>
      <c r="C9605" t="s">
        <v>12385</v>
      </c>
      <c r="D9605" t="s">
        <v>3275</v>
      </c>
      <c r="E9605" t="s">
        <v>3275</v>
      </c>
      <c r="F9605" t="s">
        <v>3275</v>
      </c>
      <c r="G9605" t="s">
        <v>6261</v>
      </c>
      <c r="H9605" t="s">
        <v>859</v>
      </c>
      <c r="I9605" t="s">
        <v>860</v>
      </c>
      <c r="J9605" t="str">
        <f>"9521291"</f>
        <v>9521291</v>
      </c>
      <c r="K9605">
        <v>2104209007</v>
      </c>
      <c r="M9605" t="s">
        <v>12386</v>
      </c>
      <c r="N9605" t="s">
        <v>6200</v>
      </c>
      <c r="O9605" t="s">
        <v>12387</v>
      </c>
      <c r="P9605">
        <v>18541</v>
      </c>
      <c r="Q9605" t="str">
        <f>"37.958141"</f>
        <v>37.958141</v>
      </c>
      <c r="R9605" t="str">
        <f>"23.658642"</f>
        <v>23.658642</v>
      </c>
      <c r="S9605" t="s">
        <v>26</v>
      </c>
    </row>
    <row r="9606" spans="1:19" x14ac:dyDescent="0.3">
      <c r="A9606" t="s">
        <v>3237</v>
      </c>
      <c r="B9606" t="s">
        <v>11503</v>
      </c>
      <c r="C9606" t="s">
        <v>12388</v>
      </c>
      <c r="D9606" t="s">
        <v>3275</v>
      </c>
      <c r="E9606" t="s">
        <v>6212</v>
      </c>
      <c r="F9606" t="s">
        <v>6256</v>
      </c>
      <c r="G9606" t="s">
        <v>6256</v>
      </c>
      <c r="H9606" t="s">
        <v>859</v>
      </c>
      <c r="I9606" t="s">
        <v>860</v>
      </c>
      <c r="J9606" t="str">
        <f>"9521394"</f>
        <v>9521394</v>
      </c>
      <c r="K9606">
        <v>2104326361</v>
      </c>
      <c r="L9606">
        <v>2104326361</v>
      </c>
      <c r="M9606" t="s">
        <v>12389</v>
      </c>
      <c r="N9606" t="s">
        <v>6256</v>
      </c>
      <c r="O9606" t="s">
        <v>12390</v>
      </c>
      <c r="P9606">
        <v>18758</v>
      </c>
      <c r="Q9606" t="str">
        <f>"37.973152"</f>
        <v>37.973152</v>
      </c>
      <c r="R9606" t="str">
        <f>"23.615984"</f>
        <v>23.615984</v>
      </c>
      <c r="S9606" t="s">
        <v>26</v>
      </c>
    </row>
    <row r="9607" spans="1:19" x14ac:dyDescent="0.3">
      <c r="A9607" t="s">
        <v>3237</v>
      </c>
      <c r="B9607" t="s">
        <v>11503</v>
      </c>
      <c r="C9607" t="s">
        <v>12391</v>
      </c>
      <c r="D9607" t="s">
        <v>3275</v>
      </c>
      <c r="E9607" t="s">
        <v>6203</v>
      </c>
      <c r="F9607" t="s">
        <v>6203</v>
      </c>
      <c r="G9607" t="s">
        <v>6203</v>
      </c>
      <c r="H9607" t="s">
        <v>859</v>
      </c>
      <c r="I9607" t="s">
        <v>860</v>
      </c>
      <c r="J9607" t="str">
        <f>"9521395"</f>
        <v>9521395</v>
      </c>
      <c r="K9607">
        <v>2104416460</v>
      </c>
      <c r="M9607" t="s">
        <v>12392</v>
      </c>
      <c r="N9607" t="s">
        <v>6203</v>
      </c>
      <c r="O9607" t="s">
        <v>12393</v>
      </c>
      <c r="P9607">
        <v>18863</v>
      </c>
      <c r="Q9607" t="str">
        <f>"37.965898"</f>
        <v>37.965898</v>
      </c>
      <c r="R9607" t="str">
        <f>"23.565768"</f>
        <v>23.565768</v>
      </c>
      <c r="S9607" t="s">
        <v>26</v>
      </c>
    </row>
    <row r="9608" spans="1:19" x14ac:dyDescent="0.3">
      <c r="A9608" t="s">
        <v>3237</v>
      </c>
      <c r="B9608" t="s">
        <v>11503</v>
      </c>
      <c r="C9608" t="s">
        <v>12394</v>
      </c>
      <c r="D9608" t="s">
        <v>3275</v>
      </c>
      <c r="E9608" t="s">
        <v>6203</v>
      </c>
      <c r="F9608" t="s">
        <v>6203</v>
      </c>
      <c r="G9608" t="s">
        <v>6203</v>
      </c>
      <c r="H9608" t="s">
        <v>859</v>
      </c>
      <c r="I9608" t="s">
        <v>860</v>
      </c>
      <c r="J9608" t="str">
        <f>"9521396"</f>
        <v>9521396</v>
      </c>
      <c r="K9608">
        <v>2104413722</v>
      </c>
      <c r="M9608" t="s">
        <v>12395</v>
      </c>
      <c r="N9608" t="s">
        <v>6203</v>
      </c>
      <c r="O9608" t="s">
        <v>12396</v>
      </c>
      <c r="P9608">
        <v>18863</v>
      </c>
      <c r="Q9608" t="str">
        <f>"37.967150"</f>
        <v>37.967150</v>
      </c>
      <c r="R9608" t="str">
        <f>"23.563363"</f>
        <v>23.563363</v>
      </c>
      <c r="S9608" t="s">
        <v>26</v>
      </c>
    </row>
    <row r="9609" spans="1:19" x14ac:dyDescent="0.3">
      <c r="A9609" t="s">
        <v>3237</v>
      </c>
      <c r="B9609" t="s">
        <v>11503</v>
      </c>
      <c r="C9609" t="s">
        <v>12397</v>
      </c>
      <c r="D9609" t="s">
        <v>6222</v>
      </c>
      <c r="E9609" t="s">
        <v>6280</v>
      </c>
      <c r="F9609" t="s">
        <v>6280</v>
      </c>
      <c r="G9609" t="s">
        <v>6703</v>
      </c>
      <c r="H9609" t="s">
        <v>859</v>
      </c>
      <c r="I9609" t="s">
        <v>860</v>
      </c>
      <c r="J9609" t="str">
        <f>"9520452"</f>
        <v>9520452</v>
      </c>
      <c r="K9609">
        <v>2297032590</v>
      </c>
      <c r="L9609">
        <v>2297032590</v>
      </c>
      <c r="M9609" t="s">
        <v>12398</v>
      </c>
      <c r="N9609" t="s">
        <v>6280</v>
      </c>
      <c r="O9609" t="s">
        <v>12399</v>
      </c>
      <c r="P9609">
        <v>18010</v>
      </c>
      <c r="Q9609" t="str">
        <f>"37.738529"</f>
        <v>37.738529</v>
      </c>
      <c r="R9609" t="str">
        <f>"23.527930"</f>
        <v>23.527930</v>
      </c>
      <c r="S9609" t="s">
        <v>26</v>
      </c>
    </row>
    <row r="9610" spans="1:19" x14ac:dyDescent="0.3">
      <c r="A9610" t="s">
        <v>3237</v>
      </c>
      <c r="B9610" t="s">
        <v>11503</v>
      </c>
      <c r="C9610" t="s">
        <v>12400</v>
      </c>
      <c r="D9610" t="s">
        <v>6222</v>
      </c>
      <c r="E9610" t="s">
        <v>6280</v>
      </c>
      <c r="F9610" t="s">
        <v>6280</v>
      </c>
      <c r="G9610" t="s">
        <v>12041</v>
      </c>
      <c r="H9610" t="s">
        <v>859</v>
      </c>
      <c r="I9610" t="s">
        <v>860</v>
      </c>
      <c r="J9610" t="str">
        <f>"9520380"</f>
        <v>9520380</v>
      </c>
      <c r="K9610">
        <v>2297053166</v>
      </c>
      <c r="L9610">
        <v>2297053166</v>
      </c>
      <c r="M9610" t="s">
        <v>12401</v>
      </c>
      <c r="N9610" t="s">
        <v>12041</v>
      </c>
      <c r="O9610" t="s">
        <v>12044</v>
      </c>
      <c r="P9610">
        <v>18010</v>
      </c>
      <c r="Q9610" t="str">
        <f>"37.763629"</f>
        <v>37.763629</v>
      </c>
      <c r="R9610" t="str">
        <f>"23.479286"</f>
        <v>23.479286</v>
      </c>
      <c r="S9610" t="s">
        <v>26</v>
      </c>
    </row>
    <row r="9611" spans="1:19" x14ac:dyDescent="0.3">
      <c r="A9611" t="s">
        <v>3237</v>
      </c>
      <c r="B9611" t="s">
        <v>11503</v>
      </c>
      <c r="C9611" t="s">
        <v>12402</v>
      </c>
      <c r="D9611" t="s">
        <v>6222</v>
      </c>
      <c r="E9611" t="s">
        <v>6280</v>
      </c>
      <c r="F9611" t="s">
        <v>6280</v>
      </c>
      <c r="G9611" t="s">
        <v>12047</v>
      </c>
      <c r="H9611" t="s">
        <v>859</v>
      </c>
      <c r="I9611" t="s">
        <v>860</v>
      </c>
      <c r="J9611" t="str">
        <f>"9520293"</f>
        <v>9520293</v>
      </c>
      <c r="K9611">
        <v>2297023623</v>
      </c>
      <c r="L9611">
        <v>2297023623</v>
      </c>
      <c r="M9611" t="s">
        <v>12403</v>
      </c>
      <c r="N9611" t="s">
        <v>6283</v>
      </c>
      <c r="O9611" t="s">
        <v>12404</v>
      </c>
      <c r="P9611">
        <v>18010</v>
      </c>
      <c r="Q9611" t="str">
        <f>"37.756284"</f>
        <v>37.756284</v>
      </c>
      <c r="R9611" t="str">
        <f>"23.457433"</f>
        <v>23.457433</v>
      </c>
      <c r="S9611" t="s">
        <v>26</v>
      </c>
    </row>
    <row r="9612" spans="1:19" x14ac:dyDescent="0.3">
      <c r="A9612" t="s">
        <v>3237</v>
      </c>
      <c r="B9612" t="s">
        <v>11503</v>
      </c>
      <c r="C9612" t="s">
        <v>12405</v>
      </c>
      <c r="D9612" t="s">
        <v>6222</v>
      </c>
      <c r="E9612" t="s">
        <v>6280</v>
      </c>
      <c r="F9612" t="s">
        <v>6280</v>
      </c>
      <c r="G9612" t="s">
        <v>12024</v>
      </c>
      <c r="H9612" t="s">
        <v>859</v>
      </c>
      <c r="I9612" t="s">
        <v>860</v>
      </c>
      <c r="J9612" t="str">
        <f>"9520381"</f>
        <v>9520381</v>
      </c>
      <c r="K9612">
        <v>2297061488</v>
      </c>
      <c r="L9612">
        <v>2297061488</v>
      </c>
      <c r="M9612" t="s">
        <v>12406</v>
      </c>
      <c r="N9612" t="s">
        <v>12024</v>
      </c>
      <c r="O9612" t="s">
        <v>12027</v>
      </c>
      <c r="P9612">
        <v>18010</v>
      </c>
      <c r="Q9612" t="str">
        <f>"37.690660"</f>
        <v>37.690660</v>
      </c>
      <c r="R9612" t="str">
        <f>"23.454423"</f>
        <v>23.454423</v>
      </c>
      <c r="S9612" t="s">
        <v>26</v>
      </c>
    </row>
    <row r="9613" spans="1:19" x14ac:dyDescent="0.3">
      <c r="A9613" t="s">
        <v>3237</v>
      </c>
      <c r="B9613" t="s">
        <v>11503</v>
      </c>
      <c r="C9613" t="s">
        <v>12419</v>
      </c>
      <c r="D9613" t="s">
        <v>3275</v>
      </c>
      <c r="E9613" t="s">
        <v>6212</v>
      </c>
      <c r="F9613" t="s">
        <v>6256</v>
      </c>
      <c r="G9613" t="s">
        <v>6256</v>
      </c>
      <c r="H9613" t="s">
        <v>859</v>
      </c>
      <c r="I9613" t="s">
        <v>1102</v>
      </c>
      <c r="J9613" t="str">
        <f>"9520551"</f>
        <v>9520551</v>
      </c>
      <c r="K9613">
        <v>2104311939</v>
      </c>
      <c r="L9613">
        <v>2104311939</v>
      </c>
      <c r="M9613" t="s">
        <v>12420</v>
      </c>
      <c r="N9613" t="s">
        <v>6256</v>
      </c>
      <c r="O9613" t="s">
        <v>12421</v>
      </c>
      <c r="P9613">
        <v>18755</v>
      </c>
      <c r="Q9613" t="str">
        <f>"37.954843"</f>
        <v>37.954843</v>
      </c>
      <c r="R9613" t="str">
        <f>"23.618538"</f>
        <v>23.618538</v>
      </c>
      <c r="S9613" t="s">
        <v>26</v>
      </c>
    </row>
    <row r="9614" spans="1:19" x14ac:dyDescent="0.3">
      <c r="A9614" t="s">
        <v>3237</v>
      </c>
      <c r="B9614" t="s">
        <v>11503</v>
      </c>
      <c r="C9614" t="s">
        <v>12422</v>
      </c>
      <c r="D9614" t="s">
        <v>3275</v>
      </c>
      <c r="E9614" t="s">
        <v>6212</v>
      </c>
      <c r="F9614" t="s">
        <v>6213</v>
      </c>
      <c r="G9614" t="s">
        <v>6213</v>
      </c>
      <c r="H9614" t="s">
        <v>859</v>
      </c>
      <c r="I9614" t="s">
        <v>1102</v>
      </c>
      <c r="J9614" t="str">
        <f>"9521071"</f>
        <v>9521071</v>
      </c>
      <c r="K9614">
        <v>2104628010</v>
      </c>
      <c r="M9614" t="s">
        <v>12423</v>
      </c>
      <c r="N9614" t="s">
        <v>6216</v>
      </c>
      <c r="O9614" t="s">
        <v>11599</v>
      </c>
      <c r="P9614">
        <v>18648</v>
      </c>
      <c r="Q9614" t="str">
        <f>"37.951201"</f>
        <v>37.951201</v>
      </c>
      <c r="R9614" t="str">
        <f>"23.634832"</f>
        <v>23.634832</v>
      </c>
      <c r="S9614" t="s">
        <v>26</v>
      </c>
    </row>
    <row r="9615" spans="1:19" x14ac:dyDescent="0.3">
      <c r="A9615" t="s">
        <v>3237</v>
      </c>
      <c r="B9615" t="s">
        <v>11503</v>
      </c>
      <c r="C9615" t="s">
        <v>12424</v>
      </c>
      <c r="D9615" t="s">
        <v>3275</v>
      </c>
      <c r="E9615" t="s">
        <v>6212</v>
      </c>
      <c r="F9615" t="s">
        <v>6256</v>
      </c>
      <c r="G9615" t="s">
        <v>6256</v>
      </c>
      <c r="H9615" t="s">
        <v>859</v>
      </c>
      <c r="I9615" t="s">
        <v>860</v>
      </c>
      <c r="J9615" t="str">
        <f>"9521659"</f>
        <v>9521659</v>
      </c>
      <c r="K9615">
        <v>2104322988</v>
      </c>
      <c r="M9615" t="s">
        <v>12425</v>
      </c>
      <c r="N9615" t="s">
        <v>6256</v>
      </c>
      <c r="O9615" t="s">
        <v>12426</v>
      </c>
      <c r="P9615">
        <v>18756</v>
      </c>
      <c r="Q9615" t="str">
        <f>"37.963017"</f>
        <v>37.963017</v>
      </c>
      <c r="R9615" t="str">
        <f>"23.622375"</f>
        <v>23.622375</v>
      </c>
      <c r="S9615" t="s">
        <v>26</v>
      </c>
    </row>
    <row r="9616" spans="1:19" x14ac:dyDescent="0.3">
      <c r="A9616" t="s">
        <v>3237</v>
      </c>
      <c r="B9616" t="s">
        <v>11503</v>
      </c>
      <c r="C9616" t="s">
        <v>12432</v>
      </c>
      <c r="D9616" t="s">
        <v>3275</v>
      </c>
      <c r="E9616" t="s">
        <v>6212</v>
      </c>
      <c r="F9616" t="s">
        <v>6256</v>
      </c>
      <c r="G9616" t="s">
        <v>6256</v>
      </c>
      <c r="H9616" t="s">
        <v>859</v>
      </c>
      <c r="I9616" t="s">
        <v>860</v>
      </c>
      <c r="J9616" t="str">
        <f>"9541001"</f>
        <v>9541001</v>
      </c>
      <c r="K9616">
        <v>2104008467</v>
      </c>
      <c r="M9616" t="s">
        <v>12433</v>
      </c>
      <c r="N9616" t="s">
        <v>6327</v>
      </c>
      <c r="O9616" t="s">
        <v>12434</v>
      </c>
      <c r="P9616">
        <v>1875</v>
      </c>
      <c r="Q9616" t="str">
        <f>"37.965974"</f>
        <v>37.965974</v>
      </c>
      <c r="R9616" t="str">
        <f>"23.627620"</f>
        <v>23.627620</v>
      </c>
      <c r="S9616" t="s">
        <v>26</v>
      </c>
    </row>
    <row r="9617" spans="1:19" x14ac:dyDescent="0.3">
      <c r="A9617" t="s">
        <v>12435</v>
      </c>
      <c r="B9617" t="s">
        <v>12921</v>
      </c>
      <c r="C9617" t="s">
        <v>12922</v>
      </c>
      <c r="D9617" t="s">
        <v>12453</v>
      </c>
      <c r="E9617" t="s">
        <v>12453</v>
      </c>
      <c r="F9617" t="s">
        <v>12652</v>
      </c>
      <c r="G9617" t="s">
        <v>5563</v>
      </c>
      <c r="H9617" t="s">
        <v>859</v>
      </c>
      <c r="I9617" t="s">
        <v>1102</v>
      </c>
      <c r="J9617" t="str">
        <f>"9520702"</f>
        <v>9520702</v>
      </c>
      <c r="K9617">
        <v>2254092573</v>
      </c>
      <c r="L9617">
        <v>2254092573</v>
      </c>
      <c r="M9617" t="s">
        <v>12923</v>
      </c>
      <c r="N9617" t="s">
        <v>12924</v>
      </c>
      <c r="O9617" t="s">
        <v>12924</v>
      </c>
      <c r="P9617">
        <v>81400</v>
      </c>
      <c r="Q9617" t="str">
        <f>"39.902808"</f>
        <v>39.902808</v>
      </c>
      <c r="R9617" t="str">
        <f>"25.208976"</f>
        <v>25.208976</v>
      </c>
      <c r="S9617" t="s">
        <v>57</v>
      </c>
    </row>
    <row r="9618" spans="1:19" x14ac:dyDescent="0.3">
      <c r="A9618" t="s">
        <v>12435</v>
      </c>
      <c r="B9618" t="s">
        <v>12921</v>
      </c>
      <c r="C9618" t="s">
        <v>12933</v>
      </c>
      <c r="D9618" t="s">
        <v>12436</v>
      </c>
      <c r="E9618" t="s">
        <v>12437</v>
      </c>
      <c r="F9618" t="s">
        <v>12437</v>
      </c>
      <c r="G9618" t="s">
        <v>12932</v>
      </c>
      <c r="H9618" t="s">
        <v>859</v>
      </c>
      <c r="I9618" t="s">
        <v>860</v>
      </c>
      <c r="J9618" t="str">
        <f>"9330226"</f>
        <v>9330226</v>
      </c>
      <c r="K9618">
        <v>2251061957</v>
      </c>
      <c r="L9618">
        <v>2251061957</v>
      </c>
      <c r="M9618" t="s">
        <v>12934</v>
      </c>
      <c r="N9618" t="s">
        <v>12935</v>
      </c>
      <c r="O9618" t="s">
        <v>12936</v>
      </c>
      <c r="P9618">
        <v>81100</v>
      </c>
      <c r="Q9618" t="str">
        <f>"39.067316"</f>
        <v>39.067316</v>
      </c>
      <c r="R9618" t="str">
        <f>"26.573484"</f>
        <v>26.573484</v>
      </c>
      <c r="S9618" t="s">
        <v>26</v>
      </c>
    </row>
    <row r="9619" spans="1:19" x14ac:dyDescent="0.3">
      <c r="A9619" t="s">
        <v>12435</v>
      </c>
      <c r="B9619" t="s">
        <v>12921</v>
      </c>
      <c r="C9619" t="s">
        <v>12954</v>
      </c>
      <c r="D9619" t="s">
        <v>12453</v>
      </c>
      <c r="E9619" t="s">
        <v>12453</v>
      </c>
      <c r="F9619" t="s">
        <v>12942</v>
      </c>
      <c r="G9619" t="s">
        <v>12942</v>
      </c>
      <c r="H9619" t="s">
        <v>859</v>
      </c>
      <c r="I9619" t="s">
        <v>860</v>
      </c>
      <c r="J9619" t="str">
        <f>"9330156"</f>
        <v>9330156</v>
      </c>
      <c r="K9619">
        <v>2254031476</v>
      </c>
      <c r="L9619">
        <v>2254031476</v>
      </c>
      <c r="M9619" t="s">
        <v>12955</v>
      </c>
      <c r="N9619" t="s">
        <v>12956</v>
      </c>
      <c r="O9619" t="s">
        <v>12956</v>
      </c>
      <c r="P9619">
        <v>81401</v>
      </c>
      <c r="Q9619" t="str">
        <f>"39.946042"</f>
        <v>39.946042</v>
      </c>
      <c r="R9619" t="str">
        <f>"25.224950"</f>
        <v>25.224950</v>
      </c>
      <c r="S9619" t="s">
        <v>57</v>
      </c>
    </row>
    <row r="9620" spans="1:19" x14ac:dyDescent="0.3">
      <c r="A9620" t="s">
        <v>12435</v>
      </c>
      <c r="B9620" t="s">
        <v>12921</v>
      </c>
      <c r="C9620" t="s">
        <v>12959</v>
      </c>
      <c r="D9620" t="s">
        <v>12453</v>
      </c>
      <c r="E9620" t="s">
        <v>12453</v>
      </c>
      <c r="F9620" t="s">
        <v>12523</v>
      </c>
      <c r="G9620" t="s">
        <v>12523</v>
      </c>
      <c r="H9620" t="s">
        <v>859</v>
      </c>
      <c r="I9620" t="s">
        <v>860</v>
      </c>
      <c r="J9620" t="str">
        <f>"9330161"</f>
        <v>9330161</v>
      </c>
      <c r="K9620">
        <v>2254071261</v>
      </c>
      <c r="L9620">
        <v>2254072050</v>
      </c>
      <c r="M9620" t="s">
        <v>12960</v>
      </c>
      <c r="N9620" t="s">
        <v>12961</v>
      </c>
      <c r="O9620" t="s">
        <v>12961</v>
      </c>
      <c r="P9620">
        <v>81401</v>
      </c>
      <c r="Q9620" t="str">
        <f>"39.877521"</f>
        <v>39.877521</v>
      </c>
      <c r="R9620" t="str">
        <f>"25.272127"</f>
        <v>25.272127</v>
      </c>
      <c r="S9620" t="s">
        <v>57</v>
      </c>
    </row>
    <row r="9621" spans="1:19" x14ac:dyDescent="0.3">
      <c r="A9621" t="s">
        <v>12435</v>
      </c>
      <c r="B9621" t="s">
        <v>12921</v>
      </c>
      <c r="C9621" t="s">
        <v>12987</v>
      </c>
      <c r="D9621" t="s">
        <v>12436</v>
      </c>
      <c r="E9621" t="s">
        <v>12437</v>
      </c>
      <c r="F9621" t="s">
        <v>12579</v>
      </c>
      <c r="G9621" t="s">
        <v>12926</v>
      </c>
      <c r="H9621" t="s">
        <v>859</v>
      </c>
      <c r="I9621" t="s">
        <v>860</v>
      </c>
      <c r="J9621" t="str">
        <f>"9330204"</f>
        <v>9330204</v>
      </c>
      <c r="K9621">
        <v>2251093009</v>
      </c>
      <c r="M9621" t="s">
        <v>12988</v>
      </c>
      <c r="N9621" t="s">
        <v>12929</v>
      </c>
      <c r="O9621" t="s">
        <v>12929</v>
      </c>
      <c r="P9621">
        <v>81101</v>
      </c>
      <c r="Q9621" t="str">
        <f>"39.123414"</f>
        <v>39.123414</v>
      </c>
      <c r="R9621" t="str">
        <f>"26.422304"</f>
        <v>26.422304</v>
      </c>
      <c r="S9621" t="s">
        <v>26</v>
      </c>
    </row>
    <row r="9622" spans="1:19" x14ac:dyDescent="0.3">
      <c r="A9622" t="s">
        <v>12435</v>
      </c>
      <c r="B9622" t="s">
        <v>12921</v>
      </c>
      <c r="C9622" t="s">
        <v>12989</v>
      </c>
      <c r="D9622" t="s">
        <v>12436</v>
      </c>
      <c r="E9622" t="s">
        <v>12437</v>
      </c>
      <c r="F9622" t="s">
        <v>12437</v>
      </c>
      <c r="G9622" t="s">
        <v>12437</v>
      </c>
      <c r="H9622" t="s">
        <v>859</v>
      </c>
      <c r="I9622" t="s">
        <v>860</v>
      </c>
      <c r="J9622" t="str">
        <f>"9330200"</f>
        <v>9330200</v>
      </c>
      <c r="K9622">
        <v>2251020805</v>
      </c>
      <c r="L9622">
        <v>2251020805</v>
      </c>
      <c r="M9622" t="s">
        <v>12990</v>
      </c>
      <c r="N9622" t="s">
        <v>12991</v>
      </c>
      <c r="O9622" t="s">
        <v>12992</v>
      </c>
      <c r="P9622">
        <v>81100</v>
      </c>
      <c r="Q9622" t="str">
        <f>"39.094094"</f>
        <v>39.094094</v>
      </c>
      <c r="R9622" t="str">
        <f>"26.549923"</f>
        <v>26.549923</v>
      </c>
      <c r="S9622" t="s">
        <v>26</v>
      </c>
    </row>
    <row r="9623" spans="1:19" x14ac:dyDescent="0.3">
      <c r="A9623" t="s">
        <v>12435</v>
      </c>
      <c r="B9623" t="s">
        <v>12921</v>
      </c>
      <c r="C9623" t="s">
        <v>12997</v>
      </c>
      <c r="D9623" t="s">
        <v>12453</v>
      </c>
      <c r="E9623" t="s">
        <v>12453</v>
      </c>
      <c r="F9623" t="s">
        <v>12942</v>
      </c>
      <c r="G9623" t="s">
        <v>3295</v>
      </c>
      <c r="H9623" t="s">
        <v>859</v>
      </c>
      <c r="I9623" t="s">
        <v>860</v>
      </c>
      <c r="J9623" t="str">
        <f>"9330170"</f>
        <v>9330170</v>
      </c>
      <c r="K9623">
        <v>2254061954</v>
      </c>
      <c r="L9623">
        <v>2254061954</v>
      </c>
      <c r="M9623" t="s">
        <v>12998</v>
      </c>
      <c r="N9623" t="s">
        <v>12999</v>
      </c>
      <c r="O9623" t="s">
        <v>13000</v>
      </c>
      <c r="P9623">
        <v>81400</v>
      </c>
      <c r="Q9623" t="str">
        <f>"39.913397"</f>
        <v>39.913397</v>
      </c>
      <c r="R9623" t="str">
        <f>"25.153269"</f>
        <v>25.153269</v>
      </c>
      <c r="S9623" t="s">
        <v>57</v>
      </c>
    </row>
    <row r="9624" spans="1:19" x14ac:dyDescent="0.3">
      <c r="A9624" t="s">
        <v>12435</v>
      </c>
      <c r="B9624" t="s">
        <v>12921</v>
      </c>
      <c r="C9624" t="s">
        <v>13002</v>
      </c>
      <c r="D9624" t="s">
        <v>12436</v>
      </c>
      <c r="E9624" t="s">
        <v>12437</v>
      </c>
      <c r="F9624" t="s">
        <v>12437</v>
      </c>
      <c r="G9624" t="s">
        <v>12437</v>
      </c>
      <c r="H9624" t="s">
        <v>859</v>
      </c>
      <c r="I9624" t="s">
        <v>860</v>
      </c>
      <c r="J9624" t="str">
        <f>"9330215"</f>
        <v>9330215</v>
      </c>
      <c r="K9624">
        <v>2251023249</v>
      </c>
      <c r="L9624">
        <v>2251023249</v>
      </c>
      <c r="M9624" t="s">
        <v>13003</v>
      </c>
      <c r="N9624" t="s">
        <v>12991</v>
      </c>
      <c r="O9624" t="s">
        <v>12975</v>
      </c>
      <c r="P9624">
        <v>81100</v>
      </c>
      <c r="Q9624" t="str">
        <f>"39.092837"</f>
        <v>39.092837</v>
      </c>
      <c r="R9624" t="str">
        <f>"26.553710"</f>
        <v>26.553710</v>
      </c>
      <c r="S9624" t="s">
        <v>26</v>
      </c>
    </row>
    <row r="9625" spans="1:19" x14ac:dyDescent="0.3">
      <c r="A9625" t="s">
        <v>12435</v>
      </c>
      <c r="B9625" t="s">
        <v>12921</v>
      </c>
      <c r="C9625" t="s">
        <v>13044</v>
      </c>
      <c r="D9625" t="s">
        <v>12453</v>
      </c>
      <c r="E9625" t="s">
        <v>12453</v>
      </c>
      <c r="F9625" t="s">
        <v>12454</v>
      </c>
      <c r="G9625" t="s">
        <v>12455</v>
      </c>
      <c r="H9625" t="s">
        <v>859</v>
      </c>
      <c r="I9625" t="s">
        <v>860</v>
      </c>
      <c r="J9625" t="str">
        <f>"9330092"</f>
        <v>9330092</v>
      </c>
      <c r="K9625">
        <v>2254022090</v>
      </c>
      <c r="L9625">
        <v>2254022090</v>
      </c>
      <c r="M9625" t="s">
        <v>13045</v>
      </c>
      <c r="N9625" t="s">
        <v>13046</v>
      </c>
      <c r="O9625" t="s">
        <v>13047</v>
      </c>
      <c r="P9625">
        <v>81400</v>
      </c>
      <c r="Q9625" t="str">
        <f>"39.879553"</f>
        <v>39.879553</v>
      </c>
      <c r="R9625" t="str">
        <f>"25.063255"</f>
        <v>25.063255</v>
      </c>
      <c r="S9625" t="s">
        <v>57</v>
      </c>
    </row>
    <row r="9626" spans="1:19" x14ac:dyDescent="0.3">
      <c r="A9626" t="s">
        <v>12435</v>
      </c>
      <c r="B9626" t="s">
        <v>12921</v>
      </c>
      <c r="C9626" t="s">
        <v>13048</v>
      </c>
      <c r="D9626" t="s">
        <v>12436</v>
      </c>
      <c r="E9626" t="s">
        <v>12437</v>
      </c>
      <c r="F9626" t="s">
        <v>12437</v>
      </c>
      <c r="G9626" t="s">
        <v>12437</v>
      </c>
      <c r="H9626" t="s">
        <v>859</v>
      </c>
      <c r="I9626" t="s">
        <v>860</v>
      </c>
      <c r="J9626" t="str">
        <f>"9330148"</f>
        <v>9330148</v>
      </c>
      <c r="K9626">
        <v>2251025068</v>
      </c>
      <c r="L9626">
        <v>2251025068</v>
      </c>
      <c r="M9626" t="s">
        <v>13049</v>
      </c>
      <c r="N9626" t="s">
        <v>12991</v>
      </c>
      <c r="O9626" t="s">
        <v>13050</v>
      </c>
      <c r="P9626">
        <v>81100</v>
      </c>
      <c r="Q9626" t="str">
        <f>"39.096397"</f>
        <v>39.096397</v>
      </c>
      <c r="R9626" t="str">
        <f>"26.548820"</f>
        <v>26.548820</v>
      </c>
      <c r="S9626" t="s">
        <v>26</v>
      </c>
    </row>
    <row r="9627" spans="1:19" x14ac:dyDescent="0.3">
      <c r="A9627" t="s">
        <v>12435</v>
      </c>
      <c r="B9627" t="s">
        <v>12921</v>
      </c>
      <c r="C9627" t="s">
        <v>13051</v>
      </c>
      <c r="D9627" t="s">
        <v>12453</v>
      </c>
      <c r="E9627" t="s">
        <v>12453</v>
      </c>
      <c r="F9627" t="s">
        <v>12454</v>
      </c>
      <c r="G9627" t="s">
        <v>12455</v>
      </c>
      <c r="H9627" t="s">
        <v>859</v>
      </c>
      <c r="I9627" t="s">
        <v>860</v>
      </c>
      <c r="J9627" t="str">
        <f>"9330210"</f>
        <v>9330210</v>
      </c>
      <c r="K9627">
        <v>2254026012</v>
      </c>
      <c r="L9627">
        <v>2254026012</v>
      </c>
      <c r="M9627" t="s">
        <v>13052</v>
      </c>
      <c r="N9627" t="s">
        <v>13053</v>
      </c>
      <c r="O9627" t="s">
        <v>13054</v>
      </c>
      <c r="P9627">
        <v>81400</v>
      </c>
      <c r="Q9627" t="str">
        <f>"39.881584"</f>
        <v>39.881584</v>
      </c>
      <c r="R9627" t="str">
        <f>"25.068784"</f>
        <v>25.068784</v>
      </c>
      <c r="S9627" t="s">
        <v>57</v>
      </c>
    </row>
    <row r="9628" spans="1:19" x14ac:dyDescent="0.3">
      <c r="A9628" t="s">
        <v>12435</v>
      </c>
      <c r="B9628" t="s">
        <v>12921</v>
      </c>
      <c r="C9628" t="s">
        <v>13056</v>
      </c>
      <c r="D9628" t="s">
        <v>12453</v>
      </c>
      <c r="E9628" t="s">
        <v>12453</v>
      </c>
      <c r="F9628" t="s">
        <v>12454</v>
      </c>
      <c r="G9628" t="s">
        <v>13055</v>
      </c>
      <c r="H9628" t="s">
        <v>859</v>
      </c>
      <c r="I9628" t="s">
        <v>860</v>
      </c>
      <c r="J9628" t="str">
        <f>"9330219"</f>
        <v>9330219</v>
      </c>
      <c r="K9628">
        <v>2254022976</v>
      </c>
      <c r="L9628">
        <v>2254022976</v>
      </c>
      <c r="M9628" t="s">
        <v>13057</v>
      </c>
      <c r="N9628" t="s">
        <v>13058</v>
      </c>
      <c r="O9628" t="s">
        <v>13059</v>
      </c>
      <c r="P9628">
        <v>81400</v>
      </c>
      <c r="Q9628" t="str">
        <f>"39.861218"</f>
        <v>39.861218</v>
      </c>
      <c r="R9628" t="str">
        <f>"25.072645"</f>
        <v>25.072645</v>
      </c>
      <c r="S9628" t="s">
        <v>57</v>
      </c>
    </row>
    <row r="9629" spans="1:19" x14ac:dyDescent="0.3">
      <c r="A9629" t="s">
        <v>12435</v>
      </c>
      <c r="B9629" t="s">
        <v>12921</v>
      </c>
      <c r="C9629" t="s">
        <v>13060</v>
      </c>
      <c r="D9629" t="s">
        <v>12436</v>
      </c>
      <c r="E9629" t="s">
        <v>12437</v>
      </c>
      <c r="F9629" t="s">
        <v>12437</v>
      </c>
      <c r="G9629" t="s">
        <v>12437</v>
      </c>
      <c r="H9629" t="s">
        <v>859</v>
      </c>
      <c r="I9629" t="s">
        <v>860</v>
      </c>
      <c r="J9629" t="str">
        <f>"9330141"</f>
        <v>9330141</v>
      </c>
      <c r="K9629">
        <v>2251026864</v>
      </c>
      <c r="M9629" t="s">
        <v>13061</v>
      </c>
      <c r="N9629" t="s">
        <v>12991</v>
      </c>
      <c r="O9629" t="s">
        <v>13062</v>
      </c>
      <c r="P9629">
        <v>81100</v>
      </c>
      <c r="Q9629" t="str">
        <f>"39.113141"</f>
        <v>39.113141</v>
      </c>
      <c r="R9629" t="str">
        <f>"26.553421"</f>
        <v>26.553421</v>
      </c>
      <c r="S9629" t="s">
        <v>26</v>
      </c>
    </row>
    <row r="9630" spans="1:19" x14ac:dyDescent="0.3">
      <c r="A9630" t="s">
        <v>12435</v>
      </c>
      <c r="B9630" t="s">
        <v>12921</v>
      </c>
      <c r="C9630" t="s">
        <v>13063</v>
      </c>
      <c r="D9630" t="s">
        <v>12453</v>
      </c>
      <c r="E9630" t="s">
        <v>12453</v>
      </c>
      <c r="F9630" t="s">
        <v>12454</v>
      </c>
      <c r="G9630" t="s">
        <v>12455</v>
      </c>
      <c r="H9630" t="s">
        <v>859</v>
      </c>
      <c r="I9630" t="s">
        <v>860</v>
      </c>
      <c r="J9630" t="str">
        <f>"9330236"</f>
        <v>9330236</v>
      </c>
      <c r="K9630">
        <v>2254025567</v>
      </c>
      <c r="L9630">
        <v>2254025567</v>
      </c>
      <c r="M9630" t="s">
        <v>13064</v>
      </c>
      <c r="N9630" t="s">
        <v>13053</v>
      </c>
      <c r="O9630" t="s">
        <v>13065</v>
      </c>
      <c r="P9630">
        <v>81400</v>
      </c>
      <c r="Q9630" t="str">
        <f>"39.877052"</f>
        <v>39.877052</v>
      </c>
      <c r="R9630" t="str">
        <f>"25.064175"</f>
        <v>25.064175</v>
      </c>
      <c r="S9630" t="s">
        <v>57</v>
      </c>
    </row>
    <row r="9631" spans="1:19" x14ac:dyDescent="0.3">
      <c r="A9631" t="s">
        <v>12435</v>
      </c>
      <c r="B9631" t="s">
        <v>12921</v>
      </c>
      <c r="C9631" t="s">
        <v>13068</v>
      </c>
      <c r="D9631" t="s">
        <v>12453</v>
      </c>
      <c r="E9631" t="s">
        <v>12453</v>
      </c>
      <c r="F9631" t="s">
        <v>12652</v>
      </c>
      <c r="G9631" t="s">
        <v>12968</v>
      </c>
      <c r="H9631" t="s">
        <v>859</v>
      </c>
      <c r="I9631" t="s">
        <v>860</v>
      </c>
      <c r="J9631" t="str">
        <f>"9330111"</f>
        <v>9330111</v>
      </c>
      <c r="K9631">
        <v>2254051975</v>
      </c>
      <c r="L9631">
        <v>2254051375</v>
      </c>
      <c r="M9631" t="s">
        <v>13069</v>
      </c>
      <c r="N9631" t="s">
        <v>13070</v>
      </c>
      <c r="O9631" t="s">
        <v>13070</v>
      </c>
      <c r="P9631">
        <v>81400</v>
      </c>
      <c r="Q9631" t="str">
        <f>"39.866600"</f>
        <v>39.866600</v>
      </c>
      <c r="R9631" t="str">
        <f>"25.152173"</f>
        <v>25.152173</v>
      </c>
      <c r="S9631" t="s">
        <v>57</v>
      </c>
    </row>
    <row r="9632" spans="1:19" x14ac:dyDescent="0.3">
      <c r="A9632" t="s">
        <v>12435</v>
      </c>
      <c r="B9632" t="s">
        <v>12921</v>
      </c>
      <c r="C9632" t="s">
        <v>13091</v>
      </c>
      <c r="D9632" t="s">
        <v>12436</v>
      </c>
      <c r="E9632" t="s">
        <v>12465</v>
      </c>
      <c r="F9632" t="s">
        <v>12466</v>
      </c>
      <c r="G9632" t="s">
        <v>13071</v>
      </c>
      <c r="H9632" t="s">
        <v>859</v>
      </c>
      <c r="I9632" t="s">
        <v>860</v>
      </c>
      <c r="J9632" t="str">
        <f>"9330153"</f>
        <v>9330153</v>
      </c>
      <c r="K9632">
        <v>2253091485</v>
      </c>
      <c r="M9632" t="s">
        <v>13092</v>
      </c>
      <c r="N9632" t="s">
        <v>13074</v>
      </c>
      <c r="O9632" t="s">
        <v>13074</v>
      </c>
      <c r="P9632">
        <v>81109</v>
      </c>
      <c r="Q9632" t="str">
        <f>"39.308939"</f>
        <v>39.308939</v>
      </c>
      <c r="R9632" t="str">
        <f>"26.214162"</f>
        <v>26.214162</v>
      </c>
      <c r="S9632" t="s">
        <v>26</v>
      </c>
    </row>
    <row r="9633" spans="1:19" x14ac:dyDescent="0.3">
      <c r="A9633" t="s">
        <v>12435</v>
      </c>
      <c r="B9633" t="s">
        <v>12921</v>
      </c>
      <c r="C9633" t="s">
        <v>13093</v>
      </c>
      <c r="D9633" t="s">
        <v>12436</v>
      </c>
      <c r="E9633" t="s">
        <v>12437</v>
      </c>
      <c r="F9633" t="s">
        <v>12437</v>
      </c>
      <c r="G9633" t="s">
        <v>12437</v>
      </c>
      <c r="H9633" t="s">
        <v>859</v>
      </c>
      <c r="I9633" t="s">
        <v>860</v>
      </c>
      <c r="J9633" t="str">
        <f>"9330147"</f>
        <v>9330147</v>
      </c>
      <c r="K9633">
        <v>2251026893</v>
      </c>
      <c r="L9633">
        <v>2251026893</v>
      </c>
      <c r="M9633" t="s">
        <v>13094</v>
      </c>
      <c r="N9633" t="s">
        <v>12974</v>
      </c>
      <c r="O9633" t="s">
        <v>13095</v>
      </c>
      <c r="P9633">
        <v>81100</v>
      </c>
      <c r="Q9633" t="str">
        <f>"39.100918"</f>
        <v>39.100918</v>
      </c>
      <c r="R9633" t="str">
        <f>"26.555141"</f>
        <v>26.555141</v>
      </c>
      <c r="S9633" t="s">
        <v>26</v>
      </c>
    </row>
    <row r="9634" spans="1:19" x14ac:dyDescent="0.3">
      <c r="A9634" t="s">
        <v>12435</v>
      </c>
      <c r="B9634" t="s">
        <v>12921</v>
      </c>
      <c r="C9634" t="s">
        <v>13096</v>
      </c>
      <c r="D9634" t="s">
        <v>12436</v>
      </c>
      <c r="E9634" t="s">
        <v>12437</v>
      </c>
      <c r="F9634" t="s">
        <v>12437</v>
      </c>
      <c r="G9634" t="s">
        <v>12437</v>
      </c>
      <c r="H9634" t="s">
        <v>859</v>
      </c>
      <c r="I9634" t="s">
        <v>860</v>
      </c>
      <c r="J9634" t="str">
        <f>"9520763"</f>
        <v>9520763</v>
      </c>
      <c r="K9634">
        <v>2251044033</v>
      </c>
      <c r="L9634">
        <v>2251044033</v>
      </c>
      <c r="M9634" t="s">
        <v>13097</v>
      </c>
      <c r="N9634" t="s">
        <v>12974</v>
      </c>
      <c r="O9634" t="s">
        <v>13098</v>
      </c>
      <c r="P9634">
        <v>81100</v>
      </c>
      <c r="Q9634" t="str">
        <f>"39.093131"</f>
        <v>39.093131</v>
      </c>
      <c r="R9634" t="str">
        <f>"26.554630"</f>
        <v>26.554630</v>
      </c>
      <c r="S9634" t="s">
        <v>26</v>
      </c>
    </row>
    <row r="9635" spans="1:19" x14ac:dyDescent="0.3">
      <c r="A9635" t="s">
        <v>12435</v>
      </c>
      <c r="B9635" t="s">
        <v>12921</v>
      </c>
      <c r="C9635" t="s">
        <v>13099</v>
      </c>
      <c r="D9635" t="s">
        <v>12436</v>
      </c>
      <c r="E9635" t="s">
        <v>12465</v>
      </c>
      <c r="F9635" t="s">
        <v>12508</v>
      </c>
      <c r="G9635" t="s">
        <v>13017</v>
      </c>
      <c r="H9635" t="s">
        <v>859</v>
      </c>
      <c r="I9635" t="s">
        <v>860</v>
      </c>
      <c r="J9635" t="str">
        <f>"9330225"</f>
        <v>9330225</v>
      </c>
      <c r="K9635">
        <v>2253054480</v>
      </c>
      <c r="M9635" t="s">
        <v>13100</v>
      </c>
      <c r="N9635" t="s">
        <v>13021</v>
      </c>
      <c r="O9635" t="s">
        <v>13021</v>
      </c>
      <c r="P9635">
        <v>81103</v>
      </c>
      <c r="Q9635" t="str">
        <f>"39.211479"</f>
        <v>39.211479</v>
      </c>
      <c r="R9635" t="str">
        <f>"25.850933"</f>
        <v>25.850933</v>
      </c>
      <c r="S9635" t="s">
        <v>57</v>
      </c>
    </row>
    <row r="9636" spans="1:19" x14ac:dyDescent="0.3">
      <c r="A9636" t="s">
        <v>12435</v>
      </c>
      <c r="B9636" t="s">
        <v>12921</v>
      </c>
      <c r="C9636" t="s">
        <v>13110</v>
      </c>
      <c r="D9636" t="s">
        <v>12436</v>
      </c>
      <c r="E9636" t="s">
        <v>12437</v>
      </c>
      <c r="F9636" t="s">
        <v>12688</v>
      </c>
      <c r="G9636" t="s">
        <v>12688</v>
      </c>
      <c r="H9636" t="s">
        <v>859</v>
      </c>
      <c r="I9636" t="s">
        <v>860</v>
      </c>
      <c r="J9636" t="str">
        <f>"9330186"</f>
        <v>9330186</v>
      </c>
      <c r="K9636">
        <v>2251071454</v>
      </c>
      <c r="L9636">
        <v>2251071454</v>
      </c>
      <c r="M9636" t="s">
        <v>13111</v>
      </c>
      <c r="N9636" t="s">
        <v>13112</v>
      </c>
      <c r="O9636" t="s">
        <v>13113</v>
      </c>
      <c r="P9636">
        <v>81100</v>
      </c>
      <c r="Q9636" t="str">
        <f>"39.181117"</f>
        <v>39.181117</v>
      </c>
      <c r="R9636" t="str">
        <f>"26.486301"</f>
        <v>26.486301</v>
      </c>
      <c r="S9636" t="s">
        <v>26</v>
      </c>
    </row>
    <row r="9637" spans="1:19" x14ac:dyDescent="0.3">
      <c r="A9637" t="s">
        <v>12435</v>
      </c>
      <c r="B9637" t="s">
        <v>12921</v>
      </c>
      <c r="C9637" t="s">
        <v>13114</v>
      </c>
      <c r="D9637" t="s">
        <v>12436</v>
      </c>
      <c r="E9637" t="s">
        <v>12437</v>
      </c>
      <c r="F9637" t="s">
        <v>12437</v>
      </c>
      <c r="G9637" t="s">
        <v>12437</v>
      </c>
      <c r="H9637" t="s">
        <v>859</v>
      </c>
      <c r="I9637" t="s">
        <v>860</v>
      </c>
      <c r="J9637" t="str">
        <f>"9330237"</f>
        <v>9330237</v>
      </c>
      <c r="K9637">
        <v>2251042771</v>
      </c>
      <c r="L9637">
        <v>2251042771</v>
      </c>
      <c r="M9637" t="s">
        <v>13115</v>
      </c>
      <c r="N9637" t="s">
        <v>12991</v>
      </c>
      <c r="O9637" t="s">
        <v>13116</v>
      </c>
      <c r="P9637">
        <v>81100</v>
      </c>
      <c r="Q9637" t="str">
        <f>"39.095446"</f>
        <v>39.095446</v>
      </c>
      <c r="R9637" t="str">
        <f>"26.555832"</f>
        <v>26.555832</v>
      </c>
      <c r="S9637" t="s">
        <v>26</v>
      </c>
    </row>
    <row r="9638" spans="1:19" x14ac:dyDescent="0.3">
      <c r="A9638" t="s">
        <v>12435</v>
      </c>
      <c r="B9638" t="s">
        <v>12921</v>
      </c>
      <c r="C9638" t="s">
        <v>13117</v>
      </c>
      <c r="D9638" t="s">
        <v>12436</v>
      </c>
      <c r="E9638" t="s">
        <v>12437</v>
      </c>
      <c r="F9638" t="s">
        <v>12500</v>
      </c>
      <c r="G9638" t="s">
        <v>6203</v>
      </c>
      <c r="H9638" t="s">
        <v>859</v>
      </c>
      <c r="I9638" t="s">
        <v>860</v>
      </c>
      <c r="J9638" t="str">
        <f>"9330192"</f>
        <v>9330192</v>
      </c>
      <c r="K9638">
        <v>2251052169</v>
      </c>
      <c r="L9638">
        <v>2251052169</v>
      </c>
      <c r="M9638" t="s">
        <v>13118</v>
      </c>
      <c r="N9638" t="s">
        <v>13119</v>
      </c>
      <c r="O9638" t="s">
        <v>13119</v>
      </c>
      <c r="P9638">
        <v>81106</v>
      </c>
      <c r="Q9638" t="str">
        <f>"39.042028"</f>
        <v>39.042028</v>
      </c>
      <c r="R9638" t="str">
        <f>"26.507255"</f>
        <v>26.507255</v>
      </c>
      <c r="S9638" t="s">
        <v>26</v>
      </c>
    </row>
    <row r="9639" spans="1:19" x14ac:dyDescent="0.3">
      <c r="A9639" t="s">
        <v>12435</v>
      </c>
      <c r="B9639" t="s">
        <v>12921</v>
      </c>
      <c r="C9639" t="s">
        <v>13120</v>
      </c>
      <c r="D9639" t="s">
        <v>12436</v>
      </c>
      <c r="E9639" t="s">
        <v>12465</v>
      </c>
      <c r="F9639" t="s">
        <v>11983</v>
      </c>
      <c r="G9639" t="s">
        <v>13087</v>
      </c>
      <c r="H9639" t="s">
        <v>859</v>
      </c>
      <c r="I9639" t="s">
        <v>860</v>
      </c>
      <c r="J9639" t="str">
        <f>"9330165"</f>
        <v>9330165</v>
      </c>
      <c r="K9639">
        <v>2253094428</v>
      </c>
      <c r="M9639" t="s">
        <v>13121</v>
      </c>
      <c r="N9639" t="s">
        <v>13090</v>
      </c>
      <c r="O9639" t="s">
        <v>13122</v>
      </c>
      <c r="P9639">
        <v>81107</v>
      </c>
      <c r="Q9639" t="str">
        <f>"39.170782"</f>
        <v>39.170782</v>
      </c>
      <c r="R9639" t="str">
        <f>"26.142062"</f>
        <v>26.142062</v>
      </c>
      <c r="S9639" t="s">
        <v>26</v>
      </c>
    </row>
    <row r="9640" spans="1:19" x14ac:dyDescent="0.3">
      <c r="A9640" t="s">
        <v>12435</v>
      </c>
      <c r="B9640" t="s">
        <v>12921</v>
      </c>
      <c r="C9640" t="s">
        <v>13125</v>
      </c>
      <c r="D9640" t="s">
        <v>12436</v>
      </c>
      <c r="E9640" t="s">
        <v>12465</v>
      </c>
      <c r="F9640" t="s">
        <v>12572</v>
      </c>
      <c r="G9640" t="s">
        <v>12572</v>
      </c>
      <c r="H9640" t="s">
        <v>859</v>
      </c>
      <c r="I9640" t="s">
        <v>860</v>
      </c>
      <c r="J9640" t="str">
        <f>"9330154"</f>
        <v>9330154</v>
      </c>
      <c r="K9640">
        <v>2253061083</v>
      </c>
      <c r="M9640" t="s">
        <v>13126</v>
      </c>
      <c r="N9640" t="s">
        <v>13124</v>
      </c>
      <c r="O9640" t="s">
        <v>13124</v>
      </c>
      <c r="P9640">
        <v>81104</v>
      </c>
      <c r="Q9640" t="str">
        <f>"39.307378"</f>
        <v>39.307378</v>
      </c>
      <c r="R9640" t="str">
        <f>"26.335610"</f>
        <v>26.335610</v>
      </c>
      <c r="S9640" t="s">
        <v>26</v>
      </c>
    </row>
    <row r="9641" spans="1:19" x14ac:dyDescent="0.3">
      <c r="A9641" t="s">
        <v>12435</v>
      </c>
      <c r="B9641" t="s">
        <v>12921</v>
      </c>
      <c r="C9641" t="s">
        <v>13127</v>
      </c>
      <c r="D9641" t="s">
        <v>12453</v>
      </c>
      <c r="E9641" t="s">
        <v>12453</v>
      </c>
      <c r="F9641" t="s">
        <v>12523</v>
      </c>
      <c r="G9641" t="s">
        <v>13106</v>
      </c>
      <c r="H9641" t="s">
        <v>859</v>
      </c>
      <c r="I9641" t="s">
        <v>860</v>
      </c>
      <c r="J9641" t="str">
        <f>"9330114"</f>
        <v>9330114</v>
      </c>
      <c r="K9641">
        <v>2254041984</v>
      </c>
      <c r="M9641" t="s">
        <v>13128</v>
      </c>
      <c r="N9641" t="s">
        <v>13129</v>
      </c>
      <c r="O9641" t="s">
        <v>13129</v>
      </c>
      <c r="P9641">
        <v>81401</v>
      </c>
      <c r="Q9641" t="str">
        <f>"39.925842"</f>
        <v>39.925842</v>
      </c>
      <c r="R9641" t="str">
        <f>"25.331077"</f>
        <v>25.331077</v>
      </c>
      <c r="S9641" t="s">
        <v>57</v>
      </c>
    </row>
    <row r="9642" spans="1:19" x14ac:dyDescent="0.3">
      <c r="A9642" t="s">
        <v>12435</v>
      </c>
      <c r="B9642" t="s">
        <v>12921</v>
      </c>
      <c r="C9642" t="s">
        <v>13131</v>
      </c>
      <c r="D9642" t="s">
        <v>12436</v>
      </c>
      <c r="E9642" t="s">
        <v>12437</v>
      </c>
      <c r="F9642" t="s">
        <v>12579</v>
      </c>
      <c r="G9642" t="s">
        <v>13130</v>
      </c>
      <c r="H9642" t="s">
        <v>859</v>
      </c>
      <c r="I9642" t="s">
        <v>860</v>
      </c>
      <c r="J9642" t="str">
        <f>"9330160"</f>
        <v>9330160</v>
      </c>
      <c r="K9642">
        <v>2251096135</v>
      </c>
      <c r="L9642">
        <v>2251096041</v>
      </c>
      <c r="M9642" t="s">
        <v>13132</v>
      </c>
      <c r="N9642" t="s">
        <v>13133</v>
      </c>
      <c r="O9642" t="s">
        <v>13133</v>
      </c>
      <c r="P9642">
        <v>81106</v>
      </c>
      <c r="Q9642" t="str">
        <f>"39.088014"</f>
        <v>39.088014</v>
      </c>
      <c r="R9642" t="str">
        <f>"26.433572"</f>
        <v>26.433572</v>
      </c>
      <c r="S9642" t="s">
        <v>26</v>
      </c>
    </row>
    <row r="9643" spans="1:19" x14ac:dyDescent="0.3">
      <c r="A9643" t="s">
        <v>12435</v>
      </c>
      <c r="B9643" t="s">
        <v>12921</v>
      </c>
      <c r="C9643" t="s">
        <v>13134</v>
      </c>
      <c r="D9643" t="s">
        <v>12453</v>
      </c>
      <c r="E9643" t="s">
        <v>12453</v>
      </c>
      <c r="F9643" t="s">
        <v>12454</v>
      </c>
      <c r="G9643" t="s">
        <v>12950</v>
      </c>
      <c r="H9643" t="s">
        <v>859</v>
      </c>
      <c r="I9643" t="s">
        <v>860</v>
      </c>
      <c r="J9643" t="str">
        <f>"9330176"</f>
        <v>9330176</v>
      </c>
      <c r="K9643">
        <v>2254022775</v>
      </c>
      <c r="M9643" t="s">
        <v>13135</v>
      </c>
      <c r="N9643" t="s">
        <v>13136</v>
      </c>
      <c r="O9643" t="s">
        <v>12953</v>
      </c>
      <c r="P9643">
        <v>81400</v>
      </c>
      <c r="Q9643" t="str">
        <f>"39.854797"</f>
        <v>39.854797</v>
      </c>
      <c r="R9643" t="str">
        <f>"25.087265"</f>
        <v>25.087265</v>
      </c>
      <c r="S9643" t="s">
        <v>57</v>
      </c>
    </row>
    <row r="9644" spans="1:19" x14ac:dyDescent="0.3">
      <c r="A9644" t="s">
        <v>12435</v>
      </c>
      <c r="B9644" t="s">
        <v>12921</v>
      </c>
      <c r="C9644" t="s">
        <v>13137</v>
      </c>
      <c r="D9644" t="s">
        <v>12436</v>
      </c>
      <c r="E9644" t="s">
        <v>12437</v>
      </c>
      <c r="F9644" t="s">
        <v>12437</v>
      </c>
      <c r="G9644" t="s">
        <v>13082</v>
      </c>
      <c r="H9644" t="s">
        <v>859</v>
      </c>
      <c r="I9644" t="s">
        <v>860</v>
      </c>
      <c r="J9644" t="str">
        <f>"9330180"</f>
        <v>9330180</v>
      </c>
      <c r="K9644">
        <v>2251091578</v>
      </c>
      <c r="L9644">
        <v>225101578</v>
      </c>
      <c r="M9644" t="s">
        <v>13138</v>
      </c>
      <c r="N9644" t="s">
        <v>13085</v>
      </c>
      <c r="O9644" t="s">
        <v>13085</v>
      </c>
      <c r="P9644">
        <v>81100</v>
      </c>
      <c r="Q9644" t="str">
        <f>"39.056781"</f>
        <v>39.056781</v>
      </c>
      <c r="R9644" t="str">
        <f>"26.544732"</f>
        <v>26.544732</v>
      </c>
      <c r="S9644" t="s">
        <v>26</v>
      </c>
    </row>
    <row r="9645" spans="1:19" x14ac:dyDescent="0.3">
      <c r="A9645" t="s">
        <v>12435</v>
      </c>
      <c r="B9645" t="s">
        <v>12921</v>
      </c>
      <c r="C9645" t="s">
        <v>13143</v>
      </c>
      <c r="D9645" t="s">
        <v>12436</v>
      </c>
      <c r="E9645" t="s">
        <v>12437</v>
      </c>
      <c r="F9645" t="s">
        <v>12515</v>
      </c>
      <c r="G9645" t="s">
        <v>13031</v>
      </c>
      <c r="H9645" t="s">
        <v>859</v>
      </c>
      <c r="I9645" t="s">
        <v>860</v>
      </c>
      <c r="J9645" t="str">
        <f>"9520992"</f>
        <v>9520992</v>
      </c>
      <c r="K9645">
        <v>2252092327</v>
      </c>
      <c r="M9645" t="s">
        <v>13144</v>
      </c>
      <c r="N9645" t="s">
        <v>13145</v>
      </c>
      <c r="O9645" t="s">
        <v>13146</v>
      </c>
      <c r="P9645">
        <v>81200</v>
      </c>
      <c r="Q9645" t="str">
        <f>"38.975130"</f>
        <v>38.975130</v>
      </c>
      <c r="R9645" t="str">
        <f>"26.368441"</f>
        <v>26.368441</v>
      </c>
      <c r="S9645" t="s">
        <v>57</v>
      </c>
    </row>
    <row r="9646" spans="1:19" x14ac:dyDescent="0.3">
      <c r="A9646" t="s">
        <v>12435</v>
      </c>
      <c r="B9646" t="s">
        <v>12921</v>
      </c>
      <c r="C9646" t="s">
        <v>13154</v>
      </c>
      <c r="D9646" t="s">
        <v>12436</v>
      </c>
      <c r="E9646" t="s">
        <v>12465</v>
      </c>
      <c r="F9646" t="s">
        <v>12508</v>
      </c>
      <c r="G9646" t="s">
        <v>12509</v>
      </c>
      <c r="H9646" t="s">
        <v>859</v>
      </c>
      <c r="I9646" t="s">
        <v>860</v>
      </c>
      <c r="J9646" t="str">
        <f>"9330142"</f>
        <v>9330142</v>
      </c>
      <c r="K9646">
        <v>2253056233</v>
      </c>
      <c r="L9646">
        <v>2253056233</v>
      </c>
      <c r="M9646" t="s">
        <v>13155</v>
      </c>
      <c r="N9646" t="s">
        <v>12512</v>
      </c>
      <c r="O9646" t="s">
        <v>12512</v>
      </c>
      <c r="P9646">
        <v>81103</v>
      </c>
      <c r="Q9646" t="str">
        <f>"39.236257"</f>
        <v>39.236257</v>
      </c>
      <c r="R9646" t="str">
        <f>"25.977436"</f>
        <v>25.977436</v>
      </c>
      <c r="S9646" t="s">
        <v>57</v>
      </c>
    </row>
    <row r="9647" spans="1:19" x14ac:dyDescent="0.3">
      <c r="A9647" t="s">
        <v>12435</v>
      </c>
      <c r="B9647" t="s">
        <v>12921</v>
      </c>
      <c r="C9647" t="s">
        <v>13161</v>
      </c>
      <c r="D9647" t="s">
        <v>12436</v>
      </c>
      <c r="E9647" t="s">
        <v>12465</v>
      </c>
      <c r="F9647" t="s">
        <v>11983</v>
      </c>
      <c r="G9647" t="s">
        <v>12979</v>
      </c>
      <c r="H9647" t="s">
        <v>859</v>
      </c>
      <c r="I9647" t="s">
        <v>860</v>
      </c>
      <c r="J9647" t="str">
        <f>"9330188"</f>
        <v>9330188</v>
      </c>
      <c r="K9647">
        <v>2253098386</v>
      </c>
      <c r="L9647">
        <v>2253098386</v>
      </c>
      <c r="M9647" t="s">
        <v>13162</v>
      </c>
      <c r="N9647" t="s">
        <v>12982</v>
      </c>
      <c r="O9647" t="s">
        <v>12982</v>
      </c>
      <c r="P9647">
        <v>81110</v>
      </c>
      <c r="Q9647" t="str">
        <f>"39.258901"</f>
        <v>39.258901</v>
      </c>
      <c r="R9647" t="str">
        <f>"26.071974"</f>
        <v>26.071974</v>
      </c>
      <c r="S9647" t="s">
        <v>57</v>
      </c>
    </row>
    <row r="9648" spans="1:19" x14ac:dyDescent="0.3">
      <c r="A9648" t="s">
        <v>12435</v>
      </c>
      <c r="B9648" t="s">
        <v>12921</v>
      </c>
      <c r="C9648" t="s">
        <v>13163</v>
      </c>
      <c r="D9648" t="s">
        <v>12453</v>
      </c>
      <c r="E9648" t="s">
        <v>12453</v>
      </c>
      <c r="F9648" t="s">
        <v>12454</v>
      </c>
      <c r="G9648" t="s">
        <v>12455</v>
      </c>
      <c r="H9648" t="s">
        <v>859</v>
      </c>
      <c r="I9648" t="s">
        <v>860</v>
      </c>
      <c r="J9648" t="str">
        <f>"9330091"</f>
        <v>9330091</v>
      </c>
      <c r="K9648">
        <v>2254022322</v>
      </c>
      <c r="L9648">
        <v>2254022322</v>
      </c>
      <c r="M9648" t="s">
        <v>13164</v>
      </c>
      <c r="N9648" t="s">
        <v>13053</v>
      </c>
      <c r="O9648" t="s">
        <v>13165</v>
      </c>
      <c r="P9648">
        <v>81400</v>
      </c>
      <c r="Q9648" t="str">
        <f>"39.872792"</f>
        <v>39.872792</v>
      </c>
      <c r="R9648" t="str">
        <f>"25.063640"</f>
        <v>25.063640</v>
      </c>
      <c r="S9648" t="s">
        <v>57</v>
      </c>
    </row>
    <row r="9649" spans="1:19" x14ac:dyDescent="0.3">
      <c r="A9649" t="s">
        <v>12435</v>
      </c>
      <c r="B9649" t="s">
        <v>12921</v>
      </c>
      <c r="C9649" t="s">
        <v>13166</v>
      </c>
      <c r="D9649" t="s">
        <v>12436</v>
      </c>
      <c r="E9649" t="s">
        <v>12465</v>
      </c>
      <c r="F9649" t="s">
        <v>11983</v>
      </c>
      <c r="G9649" t="s">
        <v>11983</v>
      </c>
      <c r="H9649" t="s">
        <v>859</v>
      </c>
      <c r="I9649" t="s">
        <v>860</v>
      </c>
      <c r="J9649" t="str">
        <f>"9330208"</f>
        <v>9330208</v>
      </c>
      <c r="K9649">
        <v>2253022379</v>
      </c>
      <c r="L9649">
        <v>2253022379</v>
      </c>
      <c r="M9649" t="s">
        <v>13167</v>
      </c>
      <c r="N9649" t="s">
        <v>13168</v>
      </c>
      <c r="O9649" t="s">
        <v>13168</v>
      </c>
      <c r="P9649">
        <v>81107</v>
      </c>
      <c r="Q9649" t="str">
        <f>"39.206812"</f>
        <v>39.206812</v>
      </c>
      <c r="R9649" t="str">
        <f>"26.207661"</f>
        <v>26.207661</v>
      </c>
      <c r="S9649" t="s">
        <v>26</v>
      </c>
    </row>
    <row r="9650" spans="1:19" x14ac:dyDescent="0.3">
      <c r="A9650" t="s">
        <v>12435</v>
      </c>
      <c r="B9650" t="s">
        <v>12921</v>
      </c>
      <c r="C9650" t="s">
        <v>13169</v>
      </c>
      <c r="D9650" t="s">
        <v>12436</v>
      </c>
      <c r="E9650" t="s">
        <v>12465</v>
      </c>
      <c r="F9650" t="s">
        <v>11983</v>
      </c>
      <c r="G9650" t="s">
        <v>2861</v>
      </c>
      <c r="H9650" t="s">
        <v>859</v>
      </c>
      <c r="I9650" t="s">
        <v>860</v>
      </c>
      <c r="J9650" t="str">
        <f>"9330144"</f>
        <v>9330144</v>
      </c>
      <c r="K9650">
        <v>2253095585</v>
      </c>
      <c r="L9650">
        <v>2253095585</v>
      </c>
      <c r="M9650" t="s">
        <v>13170</v>
      </c>
      <c r="N9650" t="s">
        <v>12610</v>
      </c>
      <c r="O9650" t="s">
        <v>12610</v>
      </c>
      <c r="P9650">
        <v>81105</v>
      </c>
      <c r="Q9650" t="str">
        <f>"39.157947"</f>
        <v>39.157947</v>
      </c>
      <c r="R9650" t="str">
        <f>"26.059121"</f>
        <v>26.059121</v>
      </c>
      <c r="S9650" t="s">
        <v>57</v>
      </c>
    </row>
    <row r="9651" spans="1:19" x14ac:dyDescent="0.3">
      <c r="A9651" t="s">
        <v>12435</v>
      </c>
      <c r="B9651" t="s">
        <v>12921</v>
      </c>
      <c r="C9651" t="s">
        <v>13171</v>
      </c>
      <c r="D9651" t="s">
        <v>12453</v>
      </c>
      <c r="E9651" t="s">
        <v>12453</v>
      </c>
      <c r="F9651" t="s">
        <v>12454</v>
      </c>
      <c r="G9651" t="s">
        <v>13026</v>
      </c>
      <c r="H9651" t="s">
        <v>859</v>
      </c>
      <c r="I9651" t="s">
        <v>860</v>
      </c>
      <c r="J9651" t="str">
        <f>"9330171"</f>
        <v>9330171</v>
      </c>
      <c r="K9651">
        <v>2254061845</v>
      </c>
      <c r="M9651" t="s">
        <v>13172</v>
      </c>
      <c r="N9651" t="s">
        <v>13173</v>
      </c>
      <c r="O9651" t="s">
        <v>13173</v>
      </c>
      <c r="P9651">
        <v>81400</v>
      </c>
      <c r="Q9651" t="str">
        <f>"39.921344"</f>
        <v>39.921344</v>
      </c>
      <c r="R9651" t="str">
        <f>"25.071733"</f>
        <v>25.071733</v>
      </c>
      <c r="S9651" t="s">
        <v>57</v>
      </c>
    </row>
    <row r="9652" spans="1:19" x14ac:dyDescent="0.3">
      <c r="A9652" t="s">
        <v>12435</v>
      </c>
      <c r="B9652" t="s">
        <v>12921</v>
      </c>
      <c r="C9652" t="s">
        <v>13174</v>
      </c>
      <c r="D9652" t="s">
        <v>12436</v>
      </c>
      <c r="E9652" t="s">
        <v>12437</v>
      </c>
      <c r="F9652" t="s">
        <v>12437</v>
      </c>
      <c r="G9652" t="s">
        <v>12962</v>
      </c>
      <c r="H9652" t="s">
        <v>859</v>
      </c>
      <c r="I9652" t="s">
        <v>860</v>
      </c>
      <c r="J9652" t="str">
        <f>"9330202"</f>
        <v>9330202</v>
      </c>
      <c r="K9652">
        <v>2251032288</v>
      </c>
      <c r="L9652">
        <v>2251032288</v>
      </c>
      <c r="M9652" t="s">
        <v>13175</v>
      </c>
      <c r="N9652" t="s">
        <v>13176</v>
      </c>
      <c r="O9652" t="s">
        <v>13177</v>
      </c>
      <c r="P9652">
        <v>81100</v>
      </c>
      <c r="Q9652" t="str">
        <f>"39.144811"</f>
        <v>39.144811</v>
      </c>
      <c r="R9652" t="str">
        <f>"26.528671"</f>
        <v>26.528671</v>
      </c>
      <c r="S9652" t="s">
        <v>26</v>
      </c>
    </row>
    <row r="9653" spans="1:19" x14ac:dyDescent="0.3">
      <c r="A9653" t="s">
        <v>12435</v>
      </c>
      <c r="B9653" t="s">
        <v>12921</v>
      </c>
      <c r="C9653" t="s">
        <v>13178</v>
      </c>
      <c r="D9653" t="s">
        <v>12436</v>
      </c>
      <c r="E9653" t="s">
        <v>12437</v>
      </c>
      <c r="F9653" t="s">
        <v>12437</v>
      </c>
      <c r="G9653" t="s">
        <v>12437</v>
      </c>
      <c r="H9653" t="s">
        <v>859</v>
      </c>
      <c r="I9653" t="s">
        <v>860</v>
      </c>
      <c r="J9653" t="str">
        <f>"9330071"</f>
        <v>9330071</v>
      </c>
      <c r="K9653">
        <v>2251047687</v>
      </c>
      <c r="M9653" t="s">
        <v>13179</v>
      </c>
      <c r="N9653" t="s">
        <v>12991</v>
      </c>
      <c r="O9653" t="s">
        <v>13180</v>
      </c>
      <c r="P9653">
        <v>81131</v>
      </c>
      <c r="Q9653" t="str">
        <f>"39.110686"</f>
        <v>39.110686</v>
      </c>
      <c r="R9653" t="str">
        <f>"26.560045"</f>
        <v>26.560045</v>
      </c>
      <c r="S9653" t="s">
        <v>26</v>
      </c>
    </row>
    <row r="9654" spans="1:19" x14ac:dyDescent="0.3">
      <c r="A9654" t="s">
        <v>12435</v>
      </c>
      <c r="B9654" t="s">
        <v>12921</v>
      </c>
      <c r="C9654" t="s">
        <v>13181</v>
      </c>
      <c r="D9654" t="s">
        <v>12436</v>
      </c>
      <c r="E9654" t="s">
        <v>12465</v>
      </c>
      <c r="F9654" t="s">
        <v>12508</v>
      </c>
      <c r="G9654" t="s">
        <v>13075</v>
      </c>
      <c r="H9654" t="s">
        <v>859</v>
      </c>
      <c r="I9654" t="s">
        <v>860</v>
      </c>
      <c r="J9654" t="str">
        <f>"9330209"</f>
        <v>9330209</v>
      </c>
      <c r="K9654">
        <v>2253051391</v>
      </c>
      <c r="L9654">
        <v>2253051391</v>
      </c>
      <c r="M9654" t="s">
        <v>13182</v>
      </c>
      <c r="N9654" t="s">
        <v>13079</v>
      </c>
      <c r="O9654" t="s">
        <v>13079</v>
      </c>
      <c r="P9654">
        <v>81110</v>
      </c>
      <c r="Q9654" t="str">
        <f>"39.202631"</f>
        <v>39.202631</v>
      </c>
      <c r="R9654" t="str">
        <f>"26.024278"</f>
        <v>26.024278</v>
      </c>
      <c r="S9654" t="s">
        <v>57</v>
      </c>
    </row>
    <row r="9655" spans="1:19" x14ac:dyDescent="0.3">
      <c r="A9655" t="s">
        <v>12435</v>
      </c>
      <c r="B9655" t="s">
        <v>12921</v>
      </c>
      <c r="C9655" t="s">
        <v>13192</v>
      </c>
      <c r="D9655" t="s">
        <v>12436</v>
      </c>
      <c r="E9655" t="s">
        <v>12437</v>
      </c>
      <c r="F9655" t="s">
        <v>12500</v>
      </c>
      <c r="G9655" t="s">
        <v>13191</v>
      </c>
      <c r="H9655" t="s">
        <v>859</v>
      </c>
      <c r="I9655" t="s">
        <v>860</v>
      </c>
      <c r="J9655" t="str">
        <f>"9330182"</f>
        <v>9330182</v>
      </c>
      <c r="K9655">
        <v>2251082546</v>
      </c>
      <c r="M9655" t="s">
        <v>13193</v>
      </c>
      <c r="N9655" t="s">
        <v>13194</v>
      </c>
      <c r="O9655" t="s">
        <v>13194</v>
      </c>
      <c r="P9655">
        <v>81106</v>
      </c>
      <c r="Q9655" t="str">
        <f>"39.059038"</f>
        <v>39.059038</v>
      </c>
      <c r="R9655" t="str">
        <f>"26.454480"</f>
        <v>26.454480</v>
      </c>
      <c r="S9655" t="s">
        <v>26</v>
      </c>
    </row>
    <row r="9656" spans="1:19" x14ac:dyDescent="0.3">
      <c r="A9656" t="s">
        <v>12435</v>
      </c>
      <c r="B9656" t="s">
        <v>12921</v>
      </c>
      <c r="C9656" t="s">
        <v>13200</v>
      </c>
      <c r="D9656" t="s">
        <v>12436</v>
      </c>
      <c r="E9656" t="s">
        <v>12437</v>
      </c>
      <c r="F9656" t="s">
        <v>12437</v>
      </c>
      <c r="G9656" t="s">
        <v>12437</v>
      </c>
      <c r="H9656" t="s">
        <v>859</v>
      </c>
      <c r="I9656" t="s">
        <v>860</v>
      </c>
      <c r="J9656" t="str">
        <f>"9330137"</f>
        <v>9330137</v>
      </c>
      <c r="K9656">
        <v>2251048010</v>
      </c>
      <c r="L9656">
        <v>2251048010</v>
      </c>
      <c r="M9656" t="s">
        <v>13201</v>
      </c>
      <c r="N9656" t="s">
        <v>12991</v>
      </c>
      <c r="O9656" t="s">
        <v>13202</v>
      </c>
      <c r="P9656">
        <v>81100</v>
      </c>
      <c r="Q9656" t="str">
        <f>"39.107570"</f>
        <v>39.107570</v>
      </c>
      <c r="R9656" t="str">
        <f>"26.549906"</f>
        <v>26.549906</v>
      </c>
      <c r="S9656" t="s">
        <v>26</v>
      </c>
    </row>
    <row r="9657" spans="1:19" x14ac:dyDescent="0.3">
      <c r="A9657" t="s">
        <v>12435</v>
      </c>
      <c r="B9657" t="s">
        <v>12921</v>
      </c>
      <c r="C9657" t="s">
        <v>13203</v>
      </c>
      <c r="D9657" t="s">
        <v>12453</v>
      </c>
      <c r="E9657" t="s">
        <v>12453</v>
      </c>
      <c r="F9657" t="s">
        <v>12652</v>
      </c>
      <c r="G9657" t="s">
        <v>12652</v>
      </c>
      <c r="H9657" t="s">
        <v>859</v>
      </c>
      <c r="I9657" t="s">
        <v>860</v>
      </c>
      <c r="J9657" t="str">
        <f>"9330174"</f>
        <v>9330174</v>
      </c>
      <c r="K9657">
        <v>2254092138</v>
      </c>
      <c r="L9657">
        <v>2254092380</v>
      </c>
      <c r="M9657" t="s">
        <v>13204</v>
      </c>
      <c r="N9657" t="s">
        <v>13205</v>
      </c>
      <c r="O9657" t="s">
        <v>12958</v>
      </c>
      <c r="P9657">
        <v>81400</v>
      </c>
      <c r="Q9657" t="str">
        <f>"39.893779"</f>
        <v>39.893779</v>
      </c>
      <c r="R9657" t="str">
        <f>"25.203451"</f>
        <v>25.203451</v>
      </c>
      <c r="S9657" t="s">
        <v>57</v>
      </c>
    </row>
    <row r="9658" spans="1:19" x14ac:dyDescent="0.3">
      <c r="A9658" t="s">
        <v>12435</v>
      </c>
      <c r="B9658" t="s">
        <v>12921</v>
      </c>
      <c r="C9658" t="s">
        <v>13206</v>
      </c>
      <c r="D9658" t="s">
        <v>12453</v>
      </c>
      <c r="E9658" t="s">
        <v>12494</v>
      </c>
      <c r="F9658" t="s">
        <v>12494</v>
      </c>
      <c r="G9658" t="s">
        <v>12494</v>
      </c>
      <c r="H9658" t="s">
        <v>859</v>
      </c>
      <c r="I9658" t="s">
        <v>860</v>
      </c>
      <c r="J9658" t="str">
        <f>"9330172"</f>
        <v>9330172</v>
      </c>
      <c r="K9658">
        <v>2254093452</v>
      </c>
      <c r="L9658">
        <v>2254093388</v>
      </c>
      <c r="M9658" t="s">
        <v>13207</v>
      </c>
      <c r="N9658" t="s">
        <v>12498</v>
      </c>
      <c r="O9658" t="s">
        <v>12498</v>
      </c>
      <c r="P9658">
        <v>81500</v>
      </c>
      <c r="Q9658" t="str">
        <f>"39.538038"</f>
        <v>39.538038</v>
      </c>
      <c r="R9658" t="str">
        <f>"24.990995"</f>
        <v>24.990995</v>
      </c>
      <c r="S9658" t="s">
        <v>57</v>
      </c>
    </row>
    <row r="9659" spans="1:19" x14ac:dyDescent="0.3">
      <c r="A9659" t="s">
        <v>12435</v>
      </c>
      <c r="B9659" t="s">
        <v>12921</v>
      </c>
      <c r="C9659" t="s">
        <v>13215</v>
      </c>
      <c r="D9659" t="s">
        <v>12436</v>
      </c>
      <c r="E9659" t="s">
        <v>12437</v>
      </c>
      <c r="F9659" t="s">
        <v>12688</v>
      </c>
      <c r="G9659" t="s">
        <v>13214</v>
      </c>
      <c r="H9659" t="s">
        <v>859</v>
      </c>
      <c r="I9659" t="s">
        <v>860</v>
      </c>
      <c r="J9659" t="str">
        <f>"9330212"</f>
        <v>9330212</v>
      </c>
      <c r="K9659">
        <v>2251094556</v>
      </c>
      <c r="L9659">
        <v>2251094556</v>
      </c>
      <c r="M9659" t="s">
        <v>13216</v>
      </c>
      <c r="N9659" t="s">
        <v>13217</v>
      </c>
      <c r="O9659" t="s">
        <v>13217</v>
      </c>
      <c r="P9659">
        <v>81100</v>
      </c>
      <c r="Q9659" t="str">
        <f>"39.227230"</f>
        <v>39.227230</v>
      </c>
      <c r="R9659" t="str">
        <f>"26.439983"</f>
        <v>26.439983</v>
      </c>
      <c r="S9659" t="s">
        <v>26</v>
      </c>
    </row>
    <row r="9660" spans="1:19" x14ac:dyDescent="0.3">
      <c r="A9660" t="s">
        <v>12435</v>
      </c>
      <c r="B9660" t="s">
        <v>12921</v>
      </c>
      <c r="C9660" t="s">
        <v>13218</v>
      </c>
      <c r="D9660" t="s">
        <v>12436</v>
      </c>
      <c r="E9660" t="s">
        <v>12465</v>
      </c>
      <c r="F9660" t="s">
        <v>11983</v>
      </c>
      <c r="G9660" t="s">
        <v>11983</v>
      </c>
      <c r="H9660" t="s">
        <v>859</v>
      </c>
      <c r="I9660" t="s">
        <v>860</v>
      </c>
      <c r="J9660" t="str">
        <f>"9330166"</f>
        <v>9330166</v>
      </c>
      <c r="K9660">
        <v>2253022004</v>
      </c>
      <c r="L9660">
        <v>2253022004</v>
      </c>
      <c r="M9660" t="s">
        <v>13219</v>
      </c>
      <c r="N9660" t="s">
        <v>12568</v>
      </c>
      <c r="O9660" t="s">
        <v>13220</v>
      </c>
      <c r="P9660">
        <v>81107</v>
      </c>
      <c r="Q9660" t="str">
        <f>"39.230690"</f>
        <v>39.230690</v>
      </c>
      <c r="R9660" t="str">
        <f>"26.220576"</f>
        <v>26.220576</v>
      </c>
      <c r="S9660" t="s">
        <v>26</v>
      </c>
    </row>
    <row r="9661" spans="1:19" x14ac:dyDescent="0.3">
      <c r="A9661" t="s">
        <v>12435</v>
      </c>
      <c r="B9661" t="s">
        <v>12921</v>
      </c>
      <c r="C9661" t="s">
        <v>13222</v>
      </c>
      <c r="D9661" t="s">
        <v>12436</v>
      </c>
      <c r="E9661" t="s">
        <v>12437</v>
      </c>
      <c r="F9661" t="s">
        <v>12515</v>
      </c>
      <c r="G9661" t="s">
        <v>13221</v>
      </c>
      <c r="H9661" t="s">
        <v>859</v>
      </c>
      <c r="I9661" t="s">
        <v>860</v>
      </c>
      <c r="J9661" t="str">
        <f>"9330205"</f>
        <v>9330205</v>
      </c>
      <c r="K9661">
        <v>2252033244</v>
      </c>
      <c r="M9661" t="s">
        <v>13223</v>
      </c>
      <c r="N9661" t="s">
        <v>13224</v>
      </c>
      <c r="O9661" t="s">
        <v>13224</v>
      </c>
      <c r="P9661">
        <v>81200</v>
      </c>
      <c r="Q9661" t="str">
        <f>"38.982436"</f>
        <v>38.982436</v>
      </c>
      <c r="R9661" t="str">
        <f>"26.405618"</f>
        <v>26.405618</v>
      </c>
      <c r="S9661" t="s">
        <v>26</v>
      </c>
    </row>
    <row r="9662" spans="1:19" x14ac:dyDescent="0.3">
      <c r="A9662" t="s">
        <v>12435</v>
      </c>
      <c r="B9662" t="s">
        <v>12921</v>
      </c>
      <c r="C9662" t="s">
        <v>13225</v>
      </c>
      <c r="D9662" t="s">
        <v>12436</v>
      </c>
      <c r="E9662" t="s">
        <v>12437</v>
      </c>
      <c r="F9662" t="s">
        <v>12688</v>
      </c>
      <c r="G9662" t="s">
        <v>13157</v>
      </c>
      <c r="H9662" t="s">
        <v>859</v>
      </c>
      <c r="I9662" t="s">
        <v>860</v>
      </c>
      <c r="J9662" t="str">
        <f>"9330203"</f>
        <v>9330203</v>
      </c>
      <c r="K9662">
        <v>2251047208</v>
      </c>
      <c r="M9662" t="s">
        <v>13226</v>
      </c>
      <c r="N9662" t="s">
        <v>13160</v>
      </c>
      <c r="O9662" t="s">
        <v>13160</v>
      </c>
      <c r="P9662">
        <v>81100</v>
      </c>
      <c r="Q9662" t="str">
        <f>"39.181032"</f>
        <v>39.181032</v>
      </c>
      <c r="R9662" t="str">
        <f>"26.418725"</f>
        <v>26.418725</v>
      </c>
      <c r="S9662" t="s">
        <v>26</v>
      </c>
    </row>
    <row r="9663" spans="1:19" x14ac:dyDescent="0.3">
      <c r="A9663" t="s">
        <v>12435</v>
      </c>
      <c r="B9663" t="s">
        <v>12921</v>
      </c>
      <c r="C9663" t="s">
        <v>13227</v>
      </c>
      <c r="D9663" t="s">
        <v>12436</v>
      </c>
      <c r="E9663" t="s">
        <v>12437</v>
      </c>
      <c r="F9663" t="s">
        <v>12515</v>
      </c>
      <c r="G9663" t="s">
        <v>12515</v>
      </c>
      <c r="H9663" t="s">
        <v>859</v>
      </c>
      <c r="I9663" t="s">
        <v>860</v>
      </c>
      <c r="J9663" t="str">
        <f>"9330149"</f>
        <v>9330149</v>
      </c>
      <c r="K9663">
        <v>2252031552</v>
      </c>
      <c r="L9663">
        <v>2252031552</v>
      </c>
      <c r="M9663" t="s">
        <v>13228</v>
      </c>
      <c r="N9663" t="s">
        <v>13229</v>
      </c>
      <c r="O9663" t="s">
        <v>12518</v>
      </c>
      <c r="P9663">
        <v>81200</v>
      </c>
      <c r="Q9663" t="str">
        <f>"38.975704"</f>
        <v>38.975704</v>
      </c>
      <c r="R9663" t="str">
        <f>"26.375967"</f>
        <v>26.375967</v>
      </c>
      <c r="S9663" t="s">
        <v>26</v>
      </c>
    </row>
    <row r="9664" spans="1:19" x14ac:dyDescent="0.3">
      <c r="A9664" t="s">
        <v>12435</v>
      </c>
      <c r="B9664" t="s">
        <v>12921</v>
      </c>
      <c r="C9664" t="s">
        <v>13230</v>
      </c>
      <c r="D9664" t="s">
        <v>12436</v>
      </c>
      <c r="E9664" t="s">
        <v>12437</v>
      </c>
      <c r="F9664" t="s">
        <v>12437</v>
      </c>
      <c r="G9664" t="s">
        <v>12592</v>
      </c>
      <c r="H9664" t="s">
        <v>859</v>
      </c>
      <c r="I9664" t="s">
        <v>860</v>
      </c>
      <c r="J9664" t="str">
        <f>"9330239"</f>
        <v>9330239</v>
      </c>
      <c r="K9664">
        <v>2251032057</v>
      </c>
      <c r="M9664" t="s">
        <v>13231</v>
      </c>
      <c r="N9664" t="s">
        <v>13232</v>
      </c>
      <c r="O9664" t="s">
        <v>13232</v>
      </c>
      <c r="P9664">
        <v>81100</v>
      </c>
      <c r="Q9664" t="str">
        <f>"39.154292"</f>
        <v>39.154292</v>
      </c>
      <c r="R9664" t="str">
        <f>"26.520314"</f>
        <v>26.520314</v>
      </c>
      <c r="S9664" t="s">
        <v>26</v>
      </c>
    </row>
    <row r="9665" spans="1:19" x14ac:dyDescent="0.3">
      <c r="A9665" t="s">
        <v>12435</v>
      </c>
      <c r="B9665" t="s">
        <v>12921</v>
      </c>
      <c r="C9665" t="s">
        <v>13233</v>
      </c>
      <c r="D9665" t="s">
        <v>12436</v>
      </c>
      <c r="E9665" t="s">
        <v>12465</v>
      </c>
      <c r="F9665" t="s">
        <v>11983</v>
      </c>
      <c r="G9665" t="s">
        <v>11983</v>
      </c>
      <c r="H9665" t="s">
        <v>859</v>
      </c>
      <c r="I9665" t="s">
        <v>860</v>
      </c>
      <c r="J9665" t="str">
        <f>"9520860"</f>
        <v>9520860</v>
      </c>
      <c r="K9665">
        <v>2253023460</v>
      </c>
      <c r="M9665" t="s">
        <v>13234</v>
      </c>
      <c r="N9665" t="s">
        <v>13235</v>
      </c>
      <c r="O9665" t="s">
        <v>13235</v>
      </c>
      <c r="P9665">
        <v>81107</v>
      </c>
      <c r="Q9665" t="str">
        <f>"39.229541"</f>
        <v>39.229541</v>
      </c>
      <c r="R9665" t="str">
        <f>"26.216739"</f>
        <v>26.216739</v>
      </c>
      <c r="S9665" t="s">
        <v>26</v>
      </c>
    </row>
    <row r="9666" spans="1:19" x14ac:dyDescent="0.3">
      <c r="A9666" t="s">
        <v>12435</v>
      </c>
      <c r="B9666" t="s">
        <v>12921</v>
      </c>
      <c r="C9666" t="s">
        <v>13236</v>
      </c>
      <c r="D9666" t="s">
        <v>12436</v>
      </c>
      <c r="E9666" t="s">
        <v>12437</v>
      </c>
      <c r="F9666" t="s">
        <v>12437</v>
      </c>
      <c r="G9666" t="s">
        <v>12437</v>
      </c>
      <c r="H9666" t="s">
        <v>859</v>
      </c>
      <c r="I9666" t="s">
        <v>1102</v>
      </c>
      <c r="J9666" t="str">
        <f>"9330146"</f>
        <v>9330146</v>
      </c>
      <c r="K9666">
        <v>2251043593</v>
      </c>
      <c r="L9666">
        <v>2251043593</v>
      </c>
      <c r="M9666" t="s">
        <v>13237</v>
      </c>
      <c r="N9666" t="s">
        <v>12440</v>
      </c>
      <c r="O9666" t="s">
        <v>12543</v>
      </c>
      <c r="P9666">
        <v>81100</v>
      </c>
      <c r="Q9666" t="str">
        <f>"39.089870"</f>
        <v>39.089870</v>
      </c>
      <c r="R9666" t="str">
        <f>"26.560833"</f>
        <v>26.560833</v>
      </c>
      <c r="S9666" t="s">
        <v>26</v>
      </c>
    </row>
    <row r="9667" spans="1:19" x14ac:dyDescent="0.3">
      <c r="A9667" t="s">
        <v>12435</v>
      </c>
      <c r="B9667" t="s">
        <v>12921</v>
      </c>
      <c r="C9667" t="s">
        <v>13238</v>
      </c>
      <c r="D9667" t="s">
        <v>12436</v>
      </c>
      <c r="E9667" t="s">
        <v>12437</v>
      </c>
      <c r="F9667" t="s">
        <v>12437</v>
      </c>
      <c r="G9667" t="s">
        <v>12437</v>
      </c>
      <c r="H9667" t="s">
        <v>859</v>
      </c>
      <c r="I9667" t="s">
        <v>860</v>
      </c>
      <c r="J9667" t="str">
        <f>"9330151"</f>
        <v>9330151</v>
      </c>
      <c r="K9667">
        <v>2251023285</v>
      </c>
      <c r="L9667">
        <v>2251023285</v>
      </c>
      <c r="M9667" t="s">
        <v>13239</v>
      </c>
      <c r="N9667" t="s">
        <v>12991</v>
      </c>
      <c r="O9667" t="s">
        <v>13240</v>
      </c>
      <c r="P9667">
        <v>81100</v>
      </c>
      <c r="Q9667" t="str">
        <f>"39.106738"</f>
        <v>39.106738</v>
      </c>
      <c r="R9667" t="str">
        <f>"26.557275"</f>
        <v>26.557275</v>
      </c>
      <c r="S9667" t="s">
        <v>26</v>
      </c>
    </row>
    <row r="9668" spans="1:19" x14ac:dyDescent="0.3">
      <c r="A9668" t="s">
        <v>12435</v>
      </c>
      <c r="B9668" t="s">
        <v>12921</v>
      </c>
      <c r="C9668" t="s">
        <v>13244</v>
      </c>
      <c r="D9668" t="s">
        <v>12436</v>
      </c>
      <c r="E9668" t="s">
        <v>12437</v>
      </c>
      <c r="F9668" t="s">
        <v>12515</v>
      </c>
      <c r="G9668" t="s">
        <v>12515</v>
      </c>
      <c r="H9668" t="s">
        <v>859</v>
      </c>
      <c r="I9668" t="s">
        <v>860</v>
      </c>
      <c r="J9668" t="str">
        <f>"9330139"</f>
        <v>9330139</v>
      </c>
      <c r="K9668">
        <v>2252033291</v>
      </c>
      <c r="L9668">
        <v>2252032272</v>
      </c>
      <c r="M9668" t="s">
        <v>13245</v>
      </c>
      <c r="N9668" t="s">
        <v>13246</v>
      </c>
      <c r="O9668" t="s">
        <v>13246</v>
      </c>
      <c r="P9668">
        <v>81200</v>
      </c>
      <c r="Q9668" t="str">
        <f>"38.976431"</f>
        <v>38.976431</v>
      </c>
      <c r="R9668" t="str">
        <f>"26.367647"</f>
        <v>26.367647</v>
      </c>
      <c r="S9668" t="s">
        <v>26</v>
      </c>
    </row>
    <row r="9669" spans="1:19" x14ac:dyDescent="0.3">
      <c r="A9669" t="s">
        <v>12435</v>
      </c>
      <c r="B9669" t="s">
        <v>12921</v>
      </c>
      <c r="C9669" t="s">
        <v>13247</v>
      </c>
      <c r="D9669" t="s">
        <v>12436</v>
      </c>
      <c r="E9669" t="s">
        <v>12437</v>
      </c>
      <c r="F9669" t="s">
        <v>12437</v>
      </c>
      <c r="G9669" t="s">
        <v>12437</v>
      </c>
      <c r="H9669" t="s">
        <v>859</v>
      </c>
      <c r="I9669" t="s">
        <v>860</v>
      </c>
      <c r="J9669" t="str">
        <f>"9330183"</f>
        <v>9330183</v>
      </c>
      <c r="K9669">
        <v>2251037921</v>
      </c>
      <c r="L9669">
        <v>2251037921</v>
      </c>
      <c r="M9669" t="s">
        <v>13248</v>
      </c>
      <c r="N9669" t="s">
        <v>13249</v>
      </c>
      <c r="O9669" t="s">
        <v>13250</v>
      </c>
      <c r="P9669">
        <v>81100</v>
      </c>
      <c r="Q9669" t="str">
        <f>"39.087607"</f>
        <v>39.087607</v>
      </c>
      <c r="R9669" t="str">
        <f>"26.551113"</f>
        <v>26.551113</v>
      </c>
      <c r="S9669" t="s">
        <v>26</v>
      </c>
    </row>
    <row r="9670" spans="1:19" x14ac:dyDescent="0.3">
      <c r="A9670" t="s">
        <v>12435</v>
      </c>
      <c r="B9670" t="s">
        <v>12921</v>
      </c>
      <c r="C9670" t="s">
        <v>13251</v>
      </c>
      <c r="D9670" t="s">
        <v>12436</v>
      </c>
      <c r="E9670" t="s">
        <v>12437</v>
      </c>
      <c r="F9670" t="s">
        <v>12437</v>
      </c>
      <c r="G9670" t="s">
        <v>12437</v>
      </c>
      <c r="H9670" t="s">
        <v>859</v>
      </c>
      <c r="I9670" t="s">
        <v>860</v>
      </c>
      <c r="J9670" t="str">
        <f>"9330224"</f>
        <v>9330224</v>
      </c>
      <c r="K9670">
        <v>2251043143</v>
      </c>
      <c r="M9670" t="s">
        <v>13252</v>
      </c>
      <c r="N9670" t="s">
        <v>12991</v>
      </c>
      <c r="O9670" t="s">
        <v>13253</v>
      </c>
      <c r="P9670">
        <v>81100</v>
      </c>
      <c r="Q9670" t="str">
        <f>"39.087364"</f>
        <v>39.087364</v>
      </c>
      <c r="R9670" t="str">
        <f>"26.561134"</f>
        <v>26.561134</v>
      </c>
      <c r="S9670" t="s">
        <v>26</v>
      </c>
    </row>
    <row r="9671" spans="1:19" x14ac:dyDescent="0.3">
      <c r="A9671" t="s">
        <v>12435</v>
      </c>
      <c r="B9671" t="s">
        <v>12921</v>
      </c>
      <c r="C9671" t="s">
        <v>13257</v>
      </c>
      <c r="D9671" t="s">
        <v>12436</v>
      </c>
      <c r="E9671" t="s">
        <v>12437</v>
      </c>
      <c r="F9671" t="s">
        <v>12500</v>
      </c>
      <c r="G9671" t="s">
        <v>13139</v>
      </c>
      <c r="H9671" t="s">
        <v>859</v>
      </c>
      <c r="I9671" t="s">
        <v>860</v>
      </c>
      <c r="J9671" t="str">
        <f>"9330150"</f>
        <v>9330150</v>
      </c>
      <c r="K9671">
        <v>2251082960</v>
      </c>
      <c r="L9671">
        <v>2251082960</v>
      </c>
      <c r="M9671" t="s">
        <v>13258</v>
      </c>
      <c r="N9671" t="s">
        <v>13142</v>
      </c>
      <c r="O9671" t="s">
        <v>13259</v>
      </c>
      <c r="P9671">
        <v>81106</v>
      </c>
      <c r="Q9671" t="str">
        <f>"39.029302"</f>
        <v>39.029302</v>
      </c>
      <c r="R9671" t="str">
        <f>"26.448050"</f>
        <v>26.448050</v>
      </c>
      <c r="S9671" t="s">
        <v>26</v>
      </c>
    </row>
    <row r="9672" spans="1:19" x14ac:dyDescent="0.3">
      <c r="A9672" t="s">
        <v>12435</v>
      </c>
      <c r="B9672" t="s">
        <v>12921</v>
      </c>
      <c r="C9672" t="s">
        <v>13260</v>
      </c>
      <c r="D9672" t="s">
        <v>12436</v>
      </c>
      <c r="E9672" t="s">
        <v>12465</v>
      </c>
      <c r="F9672" t="s">
        <v>12572</v>
      </c>
      <c r="G9672" t="s">
        <v>12983</v>
      </c>
      <c r="H9672" t="s">
        <v>859</v>
      </c>
      <c r="I9672" t="s">
        <v>860</v>
      </c>
      <c r="J9672" t="str">
        <f>"9330189"</f>
        <v>9330189</v>
      </c>
      <c r="K9672">
        <v>2253093333</v>
      </c>
      <c r="M9672" t="s">
        <v>13261</v>
      </c>
      <c r="N9672" t="s">
        <v>13262</v>
      </c>
      <c r="O9672" t="s">
        <v>13262</v>
      </c>
      <c r="P9672">
        <v>81104</v>
      </c>
      <c r="Q9672" t="str">
        <f>"39.337378"</f>
        <v>39.337378</v>
      </c>
      <c r="R9672" t="str">
        <f>"26.317322"</f>
        <v>26.317322</v>
      </c>
      <c r="S9672" t="s">
        <v>26</v>
      </c>
    </row>
    <row r="9673" spans="1:19" x14ac:dyDescent="0.3">
      <c r="A9673" t="s">
        <v>12435</v>
      </c>
      <c r="B9673" t="s">
        <v>12921</v>
      </c>
      <c r="C9673" t="s">
        <v>13263</v>
      </c>
      <c r="D9673" t="s">
        <v>12436</v>
      </c>
      <c r="E9673" t="s">
        <v>12437</v>
      </c>
      <c r="F9673" t="s">
        <v>12437</v>
      </c>
      <c r="G9673" t="s">
        <v>12437</v>
      </c>
      <c r="H9673" t="s">
        <v>859</v>
      </c>
      <c r="I9673" t="s">
        <v>860</v>
      </c>
      <c r="J9673" t="str">
        <f>"9330217"</f>
        <v>9330217</v>
      </c>
      <c r="K9673">
        <v>2251047500</v>
      </c>
      <c r="L9673">
        <v>2251047500</v>
      </c>
      <c r="M9673" t="s">
        <v>13264</v>
      </c>
      <c r="N9673" t="s">
        <v>13265</v>
      </c>
      <c r="O9673" t="s">
        <v>13266</v>
      </c>
      <c r="P9673">
        <v>81100</v>
      </c>
      <c r="Q9673" t="str">
        <f>"39.074076"</f>
        <v>39.074076</v>
      </c>
      <c r="R9673" t="str">
        <f>"26.572941"</f>
        <v>26.572941</v>
      </c>
      <c r="S9673" t="s">
        <v>26</v>
      </c>
    </row>
    <row r="9674" spans="1:19" x14ac:dyDescent="0.3">
      <c r="A9674" t="s">
        <v>12435</v>
      </c>
      <c r="B9674" t="s">
        <v>12921</v>
      </c>
      <c r="C9674" t="s">
        <v>13272</v>
      </c>
      <c r="D9674" t="s">
        <v>12436</v>
      </c>
      <c r="E9674" t="s">
        <v>12437</v>
      </c>
      <c r="F9674" t="s">
        <v>12437</v>
      </c>
      <c r="G9674" t="s">
        <v>12437</v>
      </c>
      <c r="H9674" t="s">
        <v>859</v>
      </c>
      <c r="I9674" t="s">
        <v>860</v>
      </c>
      <c r="J9674" t="str">
        <f>"9330136"</f>
        <v>9330136</v>
      </c>
      <c r="K9674">
        <v>2251026365</v>
      </c>
      <c r="L9674">
        <v>2251026365</v>
      </c>
      <c r="M9674" t="s">
        <v>13273</v>
      </c>
      <c r="N9674" t="s">
        <v>12991</v>
      </c>
      <c r="O9674" t="s">
        <v>13274</v>
      </c>
      <c r="P9674">
        <v>81100</v>
      </c>
      <c r="Q9674" t="str">
        <f>"39.105414"</f>
        <v>39.105414</v>
      </c>
      <c r="R9674" t="str">
        <f>"26.546760"</f>
        <v>26.546760</v>
      </c>
      <c r="S9674" t="s">
        <v>26</v>
      </c>
    </row>
    <row r="9675" spans="1:19" x14ac:dyDescent="0.3">
      <c r="A9675" t="s">
        <v>12435</v>
      </c>
      <c r="B9675" t="s">
        <v>12921</v>
      </c>
      <c r="C9675" t="s">
        <v>13275</v>
      </c>
      <c r="D9675" t="s">
        <v>12436</v>
      </c>
      <c r="E9675" t="s">
        <v>12437</v>
      </c>
      <c r="F9675" t="s">
        <v>12437</v>
      </c>
      <c r="G9675" t="s">
        <v>12437</v>
      </c>
      <c r="H9675" t="s">
        <v>859</v>
      </c>
      <c r="I9675" t="s">
        <v>860</v>
      </c>
      <c r="J9675" t="str">
        <f>"9330162"</f>
        <v>9330162</v>
      </c>
      <c r="K9675">
        <v>2251028652</v>
      </c>
      <c r="L9675">
        <v>2251028652</v>
      </c>
      <c r="M9675" t="s">
        <v>13276</v>
      </c>
      <c r="N9675" t="s">
        <v>13277</v>
      </c>
      <c r="O9675" t="s">
        <v>13278</v>
      </c>
      <c r="P9675">
        <v>81100</v>
      </c>
      <c r="Q9675" t="str">
        <f>"39.099303"</f>
        <v>39.099303</v>
      </c>
      <c r="R9675" t="str">
        <f>"26.552677"</f>
        <v>26.552677</v>
      </c>
      <c r="S9675" t="s">
        <v>26</v>
      </c>
    </row>
    <row r="9676" spans="1:19" x14ac:dyDescent="0.3">
      <c r="A9676" t="s">
        <v>12435</v>
      </c>
      <c r="B9676" t="s">
        <v>12921</v>
      </c>
      <c r="C9676" t="s">
        <v>13280</v>
      </c>
      <c r="D9676" t="s">
        <v>12436</v>
      </c>
      <c r="E9676" t="s">
        <v>12437</v>
      </c>
      <c r="F9676" t="s">
        <v>12437</v>
      </c>
      <c r="G9676" t="s">
        <v>13279</v>
      </c>
      <c r="H9676" t="s">
        <v>859</v>
      </c>
      <c r="I9676" t="s">
        <v>860</v>
      </c>
      <c r="J9676" t="str">
        <f>"9330211"</f>
        <v>9330211</v>
      </c>
      <c r="K9676">
        <v>2251061261</v>
      </c>
      <c r="L9676">
        <v>2251062106</v>
      </c>
      <c r="M9676" t="s">
        <v>13281</v>
      </c>
      <c r="N9676" t="s">
        <v>13282</v>
      </c>
      <c r="O9676" t="s">
        <v>13282</v>
      </c>
      <c r="P9676">
        <v>81100</v>
      </c>
      <c r="Q9676" t="str">
        <f>"39.189760"</f>
        <v>39.189760</v>
      </c>
      <c r="R9676" t="str">
        <f>"26.492437"</f>
        <v>26.492437</v>
      </c>
      <c r="S9676" t="s">
        <v>26</v>
      </c>
    </row>
    <row r="9677" spans="1:19" x14ac:dyDescent="0.3">
      <c r="A9677" t="s">
        <v>12435</v>
      </c>
      <c r="B9677" t="s">
        <v>12921</v>
      </c>
      <c r="C9677" t="s">
        <v>13284</v>
      </c>
      <c r="D9677" t="s">
        <v>12436</v>
      </c>
      <c r="E9677" t="s">
        <v>12437</v>
      </c>
      <c r="F9677" t="s">
        <v>12437</v>
      </c>
      <c r="G9677" t="s">
        <v>13283</v>
      </c>
      <c r="H9677" t="s">
        <v>859</v>
      </c>
      <c r="I9677" t="s">
        <v>860</v>
      </c>
      <c r="J9677" t="str">
        <f>"9330232"</f>
        <v>9330232</v>
      </c>
      <c r="K9677">
        <v>2251030805</v>
      </c>
      <c r="L9677">
        <v>2251030805</v>
      </c>
      <c r="M9677" t="s">
        <v>13285</v>
      </c>
      <c r="N9677" t="s">
        <v>13286</v>
      </c>
      <c r="O9677" t="s">
        <v>13286</v>
      </c>
      <c r="P9677">
        <v>81100</v>
      </c>
      <c r="Q9677" t="str">
        <f>"39.145519"</f>
        <v>39.145519</v>
      </c>
      <c r="R9677" t="str">
        <f>"26.513121"</f>
        <v>26.513121</v>
      </c>
      <c r="S9677" t="s">
        <v>26</v>
      </c>
    </row>
    <row r="9678" spans="1:19" x14ac:dyDescent="0.3">
      <c r="A9678" t="s">
        <v>12435</v>
      </c>
      <c r="B9678" t="s">
        <v>12921</v>
      </c>
      <c r="C9678" t="s">
        <v>13287</v>
      </c>
      <c r="D9678" t="s">
        <v>12436</v>
      </c>
      <c r="E9678" t="s">
        <v>12437</v>
      </c>
      <c r="F9678" t="s">
        <v>12473</v>
      </c>
      <c r="G9678" t="s">
        <v>12473</v>
      </c>
      <c r="H9678" t="s">
        <v>859</v>
      </c>
      <c r="I9678" t="s">
        <v>860</v>
      </c>
      <c r="J9678" t="str">
        <f>"9330193"</f>
        <v>9330193</v>
      </c>
      <c r="K9678">
        <v>2252023350</v>
      </c>
      <c r="L9678">
        <v>2252023350</v>
      </c>
      <c r="M9678" t="s">
        <v>13288</v>
      </c>
      <c r="N9678" t="s">
        <v>13289</v>
      </c>
      <c r="O9678" t="s">
        <v>13289</v>
      </c>
      <c r="P9678">
        <v>81101</v>
      </c>
      <c r="Q9678" t="str">
        <f>"39.082095"</f>
        <v>39.082095</v>
      </c>
      <c r="R9678" t="str">
        <f>"26.372414"</f>
        <v>26.372414</v>
      </c>
      <c r="S9678" t="s">
        <v>26</v>
      </c>
    </row>
    <row r="9679" spans="1:19" x14ac:dyDescent="0.3">
      <c r="A9679" t="s">
        <v>12435</v>
      </c>
      <c r="B9679" t="s">
        <v>12921</v>
      </c>
      <c r="C9679" t="s">
        <v>13290</v>
      </c>
      <c r="D9679" t="s">
        <v>12436</v>
      </c>
      <c r="E9679" t="s">
        <v>12437</v>
      </c>
      <c r="F9679" t="s">
        <v>12437</v>
      </c>
      <c r="G9679" t="s">
        <v>12586</v>
      </c>
      <c r="H9679" t="s">
        <v>859</v>
      </c>
      <c r="I9679" t="s">
        <v>860</v>
      </c>
      <c r="J9679" t="str">
        <f>"9330167"</f>
        <v>9330167</v>
      </c>
      <c r="K9679">
        <v>2251031431</v>
      </c>
      <c r="M9679" t="s">
        <v>13291</v>
      </c>
      <c r="N9679" t="s">
        <v>13292</v>
      </c>
      <c r="O9679" t="s">
        <v>12589</v>
      </c>
      <c r="P9679">
        <v>81100</v>
      </c>
      <c r="Q9679" t="str">
        <f>"39.131989"</f>
        <v>39.131989</v>
      </c>
      <c r="R9679" t="str">
        <f>"26.516924"</f>
        <v>26.516924</v>
      </c>
      <c r="S9679" t="s">
        <v>26</v>
      </c>
    </row>
    <row r="9680" spans="1:19" x14ac:dyDescent="0.3">
      <c r="A9680" t="s">
        <v>12435</v>
      </c>
      <c r="B9680" t="s">
        <v>12921</v>
      </c>
      <c r="C9680" t="s">
        <v>13295</v>
      </c>
      <c r="D9680" t="s">
        <v>12436</v>
      </c>
      <c r="E9680" t="s">
        <v>12437</v>
      </c>
      <c r="F9680" t="s">
        <v>12500</v>
      </c>
      <c r="G9680" t="s">
        <v>12501</v>
      </c>
      <c r="H9680" t="s">
        <v>859</v>
      </c>
      <c r="I9680" t="s">
        <v>860</v>
      </c>
      <c r="J9680" t="str">
        <f>"9330157"</f>
        <v>9330157</v>
      </c>
      <c r="K9680">
        <v>2251084472</v>
      </c>
      <c r="L9680">
        <v>2251084472</v>
      </c>
      <c r="M9680" t="s">
        <v>13296</v>
      </c>
      <c r="N9680" t="s">
        <v>13297</v>
      </c>
      <c r="O9680" t="s">
        <v>13298</v>
      </c>
      <c r="P9680">
        <v>81106</v>
      </c>
      <c r="Q9680" t="str">
        <f>"38.988217"</f>
        <v>38.988217</v>
      </c>
      <c r="R9680" t="str">
        <f>"26.512303"</f>
        <v>26.512303</v>
      </c>
      <c r="S9680" t="s">
        <v>26</v>
      </c>
    </row>
    <row r="9681" spans="1:19" x14ac:dyDescent="0.3">
      <c r="A9681" t="s">
        <v>12435</v>
      </c>
      <c r="B9681" t="s">
        <v>12921</v>
      </c>
      <c r="C9681" t="s">
        <v>13306</v>
      </c>
      <c r="D9681" t="s">
        <v>12436</v>
      </c>
      <c r="E9681" t="s">
        <v>12437</v>
      </c>
      <c r="F9681" t="s">
        <v>12500</v>
      </c>
      <c r="G9681" t="s">
        <v>6703</v>
      </c>
      <c r="H9681" t="s">
        <v>859</v>
      </c>
      <c r="I9681" t="s">
        <v>860</v>
      </c>
      <c r="J9681" t="str">
        <f>"9330181"</f>
        <v>9330181</v>
      </c>
      <c r="K9681">
        <v>2251082241</v>
      </c>
      <c r="L9681">
        <v>2251082241</v>
      </c>
      <c r="M9681" t="s">
        <v>13307</v>
      </c>
      <c r="N9681" t="s">
        <v>13308</v>
      </c>
      <c r="O9681" t="s">
        <v>13309</v>
      </c>
      <c r="P9681">
        <v>81106</v>
      </c>
      <c r="Q9681" t="str">
        <f>"39.035656"</f>
        <v>39.035656</v>
      </c>
      <c r="R9681" t="str">
        <f>"26.445826"</f>
        <v>26.445826</v>
      </c>
      <c r="S9681" t="s">
        <v>26</v>
      </c>
    </row>
    <row r="9682" spans="1:19" x14ac:dyDescent="0.3">
      <c r="A9682" t="s">
        <v>12435</v>
      </c>
      <c r="B9682" t="s">
        <v>12921</v>
      </c>
      <c r="C9682" t="s">
        <v>13310</v>
      </c>
      <c r="D9682" t="s">
        <v>12436</v>
      </c>
      <c r="E9682" t="s">
        <v>12465</v>
      </c>
      <c r="F9682" t="s">
        <v>12551</v>
      </c>
      <c r="G9682" t="s">
        <v>12551</v>
      </c>
      <c r="H9682" t="s">
        <v>859</v>
      </c>
      <c r="I9682" t="s">
        <v>860</v>
      </c>
      <c r="J9682" t="str">
        <f>"9330140"</f>
        <v>9330140</v>
      </c>
      <c r="K9682">
        <v>2252041233</v>
      </c>
      <c r="L9682">
        <v>2252041233</v>
      </c>
      <c r="M9682" t="s">
        <v>13311</v>
      </c>
      <c r="N9682" t="s">
        <v>13312</v>
      </c>
      <c r="O9682" t="s">
        <v>13312</v>
      </c>
      <c r="P9682">
        <v>81300</v>
      </c>
      <c r="Q9682" t="str">
        <f>"39.079097"</f>
        <v>39.079097</v>
      </c>
      <c r="R9682" t="str">
        <f>"26.180554"</f>
        <v>26.180554</v>
      </c>
      <c r="S9682" t="s">
        <v>26</v>
      </c>
    </row>
    <row r="9683" spans="1:19" x14ac:dyDescent="0.3">
      <c r="A9683" t="s">
        <v>12435</v>
      </c>
      <c r="B9683" t="s">
        <v>12921</v>
      </c>
      <c r="C9683" t="s">
        <v>13330</v>
      </c>
      <c r="D9683" t="s">
        <v>12436</v>
      </c>
      <c r="E9683" t="s">
        <v>12465</v>
      </c>
      <c r="F9683" t="s">
        <v>12551</v>
      </c>
      <c r="G9683" t="s">
        <v>13315</v>
      </c>
      <c r="H9683" t="s">
        <v>859</v>
      </c>
      <c r="I9683" t="s">
        <v>860</v>
      </c>
      <c r="J9683" t="str">
        <f>"9330178"</f>
        <v>9330178</v>
      </c>
      <c r="K9683">
        <v>2252061241</v>
      </c>
      <c r="L9683">
        <v>2252061203</v>
      </c>
      <c r="M9683" t="s">
        <v>13331</v>
      </c>
      <c r="N9683" t="s">
        <v>13318</v>
      </c>
      <c r="O9683" t="s">
        <v>13318</v>
      </c>
      <c r="P9683">
        <v>81300</v>
      </c>
      <c r="Q9683" t="str">
        <f>"39.039583"</f>
        <v>39.039583</v>
      </c>
      <c r="R9683" t="str">
        <f>"26.198979"</f>
        <v>26.198979</v>
      </c>
      <c r="S9683" t="s">
        <v>26</v>
      </c>
    </row>
    <row r="9684" spans="1:19" x14ac:dyDescent="0.3">
      <c r="A9684" t="s">
        <v>12435</v>
      </c>
      <c r="B9684" t="s">
        <v>12921</v>
      </c>
      <c r="C9684" t="s">
        <v>13333</v>
      </c>
      <c r="D9684" t="s">
        <v>12436</v>
      </c>
      <c r="E9684" t="s">
        <v>12465</v>
      </c>
      <c r="F9684" t="s">
        <v>12508</v>
      </c>
      <c r="G9684" t="s">
        <v>13208</v>
      </c>
      <c r="H9684" t="s">
        <v>859</v>
      </c>
      <c r="I9684" t="s">
        <v>860</v>
      </c>
      <c r="J9684" t="str">
        <f>"9330187"</f>
        <v>9330187</v>
      </c>
      <c r="K9684">
        <v>2253096488</v>
      </c>
      <c r="L9684">
        <v>2253096488</v>
      </c>
      <c r="M9684" t="s">
        <v>13334</v>
      </c>
      <c r="N9684" t="s">
        <v>13211</v>
      </c>
      <c r="O9684" t="s">
        <v>13211</v>
      </c>
      <c r="P9684">
        <v>81105</v>
      </c>
      <c r="Q9684" t="str">
        <f>"39.132080"</f>
        <v>39.132080</v>
      </c>
      <c r="R9684" t="str">
        <f>"26.001940"</f>
        <v>26.001940</v>
      </c>
      <c r="S9684" t="s">
        <v>57</v>
      </c>
    </row>
    <row r="9685" spans="1:19" x14ac:dyDescent="0.3">
      <c r="A9685" t="s">
        <v>12435</v>
      </c>
      <c r="B9685" t="s">
        <v>12921</v>
      </c>
      <c r="C9685" t="s">
        <v>13335</v>
      </c>
      <c r="D9685" t="s">
        <v>12436</v>
      </c>
      <c r="E9685" t="s">
        <v>12465</v>
      </c>
      <c r="F9685" t="s">
        <v>12466</v>
      </c>
      <c r="G9685" t="s">
        <v>12466</v>
      </c>
      <c r="H9685" t="s">
        <v>859</v>
      </c>
      <c r="I9685" t="s">
        <v>860</v>
      </c>
      <c r="J9685" t="str">
        <f>"9330235"</f>
        <v>9330235</v>
      </c>
      <c r="K9685">
        <v>2253041247</v>
      </c>
      <c r="L9685">
        <v>2253041247</v>
      </c>
      <c r="M9685" t="s">
        <v>13336</v>
      </c>
      <c r="N9685" t="s">
        <v>12471</v>
      </c>
      <c r="O9685" t="s">
        <v>12471</v>
      </c>
      <c r="P9685">
        <v>81109</v>
      </c>
      <c r="Q9685" t="str">
        <f>"39.316687"</f>
        <v>39.316687</v>
      </c>
      <c r="R9685" t="str">
        <f>"26.150394"</f>
        <v>26.150394</v>
      </c>
      <c r="S9685" t="s">
        <v>26</v>
      </c>
    </row>
    <row r="9686" spans="1:19" x14ac:dyDescent="0.3">
      <c r="A9686" t="s">
        <v>12435</v>
      </c>
      <c r="B9686" t="s">
        <v>12921</v>
      </c>
      <c r="C9686" t="s">
        <v>13337</v>
      </c>
      <c r="D9686" t="s">
        <v>12436</v>
      </c>
      <c r="E9686" t="s">
        <v>12437</v>
      </c>
      <c r="F9686" t="s">
        <v>12579</v>
      </c>
      <c r="G9686" t="s">
        <v>12580</v>
      </c>
      <c r="H9686" t="s">
        <v>859</v>
      </c>
      <c r="I9686" t="s">
        <v>860</v>
      </c>
      <c r="J9686" t="str">
        <f>"9330179"</f>
        <v>9330179</v>
      </c>
      <c r="K9686">
        <v>2251096138</v>
      </c>
      <c r="M9686" t="s">
        <v>13338</v>
      </c>
      <c r="N9686" t="s">
        <v>13339</v>
      </c>
      <c r="O9686" t="s">
        <v>13339</v>
      </c>
      <c r="P9686">
        <v>81101</v>
      </c>
      <c r="Q9686" t="str">
        <f>"39.117930"</f>
        <v>39.117930</v>
      </c>
      <c r="R9686" t="str">
        <f>"26.410513"</f>
        <v>26.410513</v>
      </c>
      <c r="S9686" t="s">
        <v>26</v>
      </c>
    </row>
    <row r="9687" spans="1:19" x14ac:dyDescent="0.3">
      <c r="A9687" t="s">
        <v>12435</v>
      </c>
      <c r="B9687" t="s">
        <v>12921</v>
      </c>
      <c r="C9687" t="s">
        <v>13345</v>
      </c>
      <c r="D9687" t="s">
        <v>12436</v>
      </c>
      <c r="E9687" t="s">
        <v>12465</v>
      </c>
      <c r="F9687" t="s">
        <v>11983</v>
      </c>
      <c r="G9687" t="s">
        <v>13340</v>
      </c>
      <c r="H9687" t="s">
        <v>859</v>
      </c>
      <c r="I9687" t="s">
        <v>860</v>
      </c>
      <c r="J9687" t="str">
        <f>"9330194"</f>
        <v>9330194</v>
      </c>
      <c r="K9687">
        <v>2253022821</v>
      </c>
      <c r="L9687">
        <v>2253022821</v>
      </c>
      <c r="M9687" t="s">
        <v>13346</v>
      </c>
      <c r="N9687" t="s">
        <v>13344</v>
      </c>
      <c r="O9687" t="s">
        <v>13344</v>
      </c>
      <c r="P9687">
        <v>81107</v>
      </c>
      <c r="Q9687" t="str">
        <f>"39.243596"</f>
        <v>39.243596</v>
      </c>
      <c r="R9687" t="str">
        <f>"26.198843"</f>
        <v>26.198843</v>
      </c>
      <c r="S9687" t="s">
        <v>26</v>
      </c>
    </row>
    <row r="9688" spans="1:19" x14ac:dyDescent="0.3">
      <c r="A9688" t="s">
        <v>12435</v>
      </c>
      <c r="B9688" t="s">
        <v>12921</v>
      </c>
      <c r="C9688" t="s">
        <v>13347</v>
      </c>
      <c r="D9688" t="s">
        <v>12436</v>
      </c>
      <c r="E9688" t="s">
        <v>12465</v>
      </c>
      <c r="F9688" t="s">
        <v>12946</v>
      </c>
      <c r="G9688" t="s">
        <v>13101</v>
      </c>
      <c r="H9688" t="s">
        <v>859</v>
      </c>
      <c r="I9688" t="s">
        <v>860</v>
      </c>
      <c r="J9688" t="str">
        <f>"9330185"</f>
        <v>9330185</v>
      </c>
      <c r="K9688">
        <v>2253071696</v>
      </c>
      <c r="L9688">
        <v>2253071696</v>
      </c>
      <c r="M9688" t="s">
        <v>13348</v>
      </c>
      <c r="N9688" t="s">
        <v>13105</v>
      </c>
      <c r="O9688" t="s">
        <v>13105</v>
      </c>
      <c r="P9688">
        <v>81108</v>
      </c>
      <c r="Q9688" t="str">
        <f>"39.367382"</f>
        <v>39.367382</v>
      </c>
      <c r="R9688" t="str">
        <f>"26.174371"</f>
        <v>26.174371</v>
      </c>
      <c r="S9688" t="s">
        <v>26</v>
      </c>
    </row>
    <row r="9689" spans="1:19" x14ac:dyDescent="0.3">
      <c r="A9689" t="s">
        <v>12435</v>
      </c>
      <c r="B9689" t="s">
        <v>12921</v>
      </c>
      <c r="C9689" t="s">
        <v>13349</v>
      </c>
      <c r="D9689" t="s">
        <v>12436</v>
      </c>
      <c r="E9689" t="s">
        <v>12437</v>
      </c>
      <c r="F9689" t="s">
        <v>12688</v>
      </c>
      <c r="G9689" t="s">
        <v>13183</v>
      </c>
      <c r="H9689" t="s">
        <v>859</v>
      </c>
      <c r="I9689" t="s">
        <v>860</v>
      </c>
      <c r="J9689" t="str">
        <f>"9330190"</f>
        <v>9330190</v>
      </c>
      <c r="K9689">
        <v>2251094444</v>
      </c>
      <c r="L9689">
        <v>2251094444</v>
      </c>
      <c r="M9689" t="s">
        <v>13350</v>
      </c>
      <c r="N9689" t="s">
        <v>13186</v>
      </c>
      <c r="O9689" t="s">
        <v>13186</v>
      </c>
      <c r="P9689">
        <v>81100</v>
      </c>
      <c r="Q9689" t="str">
        <f>"39.210614"</f>
        <v>39.210614</v>
      </c>
      <c r="R9689" t="str">
        <f>"26.461081"</f>
        <v>26.461081</v>
      </c>
      <c r="S9689" t="s">
        <v>26</v>
      </c>
    </row>
    <row r="9690" spans="1:19" x14ac:dyDescent="0.3">
      <c r="A9690" t="s">
        <v>12435</v>
      </c>
      <c r="B9690" t="s">
        <v>12921</v>
      </c>
      <c r="C9690" t="s">
        <v>13351</v>
      </c>
      <c r="D9690" t="s">
        <v>12436</v>
      </c>
      <c r="E9690" t="s">
        <v>12465</v>
      </c>
      <c r="F9690" t="s">
        <v>12508</v>
      </c>
      <c r="G9690" t="s">
        <v>12673</v>
      </c>
      <c r="H9690" t="s">
        <v>859</v>
      </c>
      <c r="I9690" t="s">
        <v>860</v>
      </c>
      <c r="J9690" t="str">
        <f>"9330227"</f>
        <v>9330227</v>
      </c>
      <c r="K9690">
        <v>2253052054</v>
      </c>
      <c r="L9690">
        <v>2253052054</v>
      </c>
      <c r="M9690" t="s">
        <v>13352</v>
      </c>
      <c r="N9690" t="s">
        <v>13213</v>
      </c>
      <c r="O9690" t="s">
        <v>13213</v>
      </c>
      <c r="P9690">
        <v>81105</v>
      </c>
      <c r="Q9690" t="str">
        <f>"39.169827"</f>
        <v>39.169827</v>
      </c>
      <c r="R9690" t="str">
        <f>"25.935042"</f>
        <v>25.935042</v>
      </c>
      <c r="S9690" t="s">
        <v>57</v>
      </c>
    </row>
    <row r="9691" spans="1:19" x14ac:dyDescent="0.3">
      <c r="A9691" t="s">
        <v>12435</v>
      </c>
      <c r="B9691" t="s">
        <v>12921</v>
      </c>
      <c r="C9691" t="s">
        <v>13353</v>
      </c>
      <c r="D9691" t="s">
        <v>12436</v>
      </c>
      <c r="E9691" t="s">
        <v>12465</v>
      </c>
      <c r="F9691" t="s">
        <v>152</v>
      </c>
      <c r="G9691" t="s">
        <v>152</v>
      </c>
      <c r="H9691" t="s">
        <v>859</v>
      </c>
      <c r="I9691" t="s">
        <v>860</v>
      </c>
      <c r="J9691" t="str">
        <f>"9330143"</f>
        <v>9330143</v>
      </c>
      <c r="K9691">
        <v>2253031365</v>
      </c>
      <c r="L9691">
        <v>2253031365</v>
      </c>
      <c r="M9691" t="s">
        <v>13354</v>
      </c>
      <c r="N9691" t="s">
        <v>4693</v>
      </c>
      <c r="O9691" t="s">
        <v>4693</v>
      </c>
      <c r="P9691">
        <v>81102</v>
      </c>
      <c r="Q9691" t="str">
        <f>"39.268340"</f>
        <v>39.268340</v>
      </c>
      <c r="R9691" t="str">
        <f>"26.285321"</f>
        <v>26.285321</v>
      </c>
      <c r="S9691" t="s">
        <v>26</v>
      </c>
    </row>
    <row r="9692" spans="1:19" x14ac:dyDescent="0.3">
      <c r="A9692" t="s">
        <v>12435</v>
      </c>
      <c r="B9692" t="s">
        <v>12921</v>
      </c>
      <c r="C9692" t="s">
        <v>13355</v>
      </c>
      <c r="D9692" t="s">
        <v>12436</v>
      </c>
      <c r="E9692" t="s">
        <v>12465</v>
      </c>
      <c r="F9692" t="s">
        <v>11983</v>
      </c>
      <c r="G9692" t="s">
        <v>12619</v>
      </c>
      <c r="H9692" t="s">
        <v>859</v>
      </c>
      <c r="I9692" t="s">
        <v>860</v>
      </c>
      <c r="J9692" t="str">
        <f>"9330168"</f>
        <v>9330168</v>
      </c>
      <c r="K9692">
        <v>2253098954</v>
      </c>
      <c r="L9692">
        <v>2253098954</v>
      </c>
      <c r="M9692" t="s">
        <v>13356</v>
      </c>
      <c r="N9692" t="s">
        <v>12623</v>
      </c>
      <c r="O9692" t="s">
        <v>12623</v>
      </c>
      <c r="P9692">
        <v>81113</v>
      </c>
      <c r="Q9692" t="str">
        <f>"39.260229"</f>
        <v>39.260229</v>
      </c>
      <c r="R9692" t="str">
        <f>"26.138063"</f>
        <v>26.138063</v>
      </c>
      <c r="S9692" t="s">
        <v>26</v>
      </c>
    </row>
    <row r="9693" spans="1:19" x14ac:dyDescent="0.3">
      <c r="A9693" t="s">
        <v>12435</v>
      </c>
      <c r="B9693" t="s">
        <v>12921</v>
      </c>
      <c r="C9693" t="s">
        <v>13357</v>
      </c>
      <c r="D9693" t="s">
        <v>12436</v>
      </c>
      <c r="E9693" t="s">
        <v>12437</v>
      </c>
      <c r="F9693" t="s">
        <v>12437</v>
      </c>
      <c r="G9693" t="s">
        <v>12437</v>
      </c>
      <c r="H9693" t="s">
        <v>859</v>
      </c>
      <c r="I9693" t="s">
        <v>860</v>
      </c>
      <c r="J9693" t="str">
        <f>"9330238"</f>
        <v>9330238</v>
      </c>
      <c r="K9693">
        <v>2251020243</v>
      </c>
      <c r="L9693">
        <v>2251020243</v>
      </c>
      <c r="M9693" t="s">
        <v>13358</v>
      </c>
      <c r="N9693" t="s">
        <v>12440</v>
      </c>
      <c r="O9693" t="s">
        <v>13359</v>
      </c>
      <c r="P9693">
        <v>81100</v>
      </c>
      <c r="Q9693" t="str">
        <f>"39.101924"</f>
        <v>39.101924</v>
      </c>
      <c r="R9693" t="str">
        <f>"26.532244"</f>
        <v>26.532244</v>
      </c>
      <c r="S9693" t="s">
        <v>26</v>
      </c>
    </row>
    <row r="9694" spans="1:19" x14ac:dyDescent="0.3">
      <c r="A9694" t="s">
        <v>12435</v>
      </c>
      <c r="B9694" t="s">
        <v>12921</v>
      </c>
      <c r="C9694" t="s">
        <v>13360</v>
      </c>
      <c r="D9694" t="s">
        <v>12436</v>
      </c>
      <c r="E9694" t="s">
        <v>12465</v>
      </c>
      <c r="F9694" t="s">
        <v>12508</v>
      </c>
      <c r="G9694" t="s">
        <v>13004</v>
      </c>
      <c r="H9694" t="s">
        <v>859</v>
      </c>
      <c r="I9694" t="s">
        <v>860</v>
      </c>
      <c r="J9694" t="str">
        <f>"9330218"</f>
        <v>9330218</v>
      </c>
      <c r="K9694">
        <v>2253051230</v>
      </c>
      <c r="L9694">
        <v>2253051230</v>
      </c>
      <c r="M9694" t="s">
        <v>13361</v>
      </c>
      <c r="N9694" t="s">
        <v>13007</v>
      </c>
      <c r="O9694" t="s">
        <v>13007</v>
      </c>
      <c r="P9694">
        <v>81103</v>
      </c>
      <c r="Q9694" t="str">
        <f>"39.222870"</f>
        <v>39.222870</v>
      </c>
      <c r="R9694" t="str">
        <f>"26.048266"</f>
        <v>26.048266</v>
      </c>
      <c r="S9694" t="s">
        <v>57</v>
      </c>
    </row>
    <row r="9695" spans="1:19" x14ac:dyDescent="0.3">
      <c r="A9695" t="s">
        <v>12435</v>
      </c>
      <c r="B9695" t="s">
        <v>12921</v>
      </c>
      <c r="C9695" t="s">
        <v>13362</v>
      </c>
      <c r="D9695" t="s">
        <v>12436</v>
      </c>
      <c r="E9695" t="s">
        <v>12465</v>
      </c>
      <c r="F9695" t="s">
        <v>12466</v>
      </c>
      <c r="G9695" t="s">
        <v>13022</v>
      </c>
      <c r="H9695" t="s">
        <v>859</v>
      </c>
      <c r="I9695" t="s">
        <v>860</v>
      </c>
      <c r="J9695" t="str">
        <f>"9330145"</f>
        <v>9330145</v>
      </c>
      <c r="K9695">
        <v>2253092541</v>
      </c>
      <c r="M9695" t="s">
        <v>13363</v>
      </c>
      <c r="N9695" t="s">
        <v>13364</v>
      </c>
      <c r="O9695" t="s">
        <v>13364</v>
      </c>
      <c r="P9695">
        <v>81109</v>
      </c>
      <c r="Q9695" t="str">
        <f>"39.291805"</f>
        <v>39.291805</v>
      </c>
      <c r="R9695" t="str">
        <f>"26.134333"</f>
        <v>26.134333</v>
      </c>
      <c r="S9695" t="s">
        <v>26</v>
      </c>
    </row>
    <row r="9696" spans="1:19" x14ac:dyDescent="0.3">
      <c r="A9696" t="s">
        <v>12435</v>
      </c>
      <c r="B9696" t="s">
        <v>12921</v>
      </c>
      <c r="C9696" t="s">
        <v>13365</v>
      </c>
      <c r="D9696" t="s">
        <v>12436</v>
      </c>
      <c r="E9696" t="s">
        <v>12465</v>
      </c>
      <c r="F9696" t="s">
        <v>12946</v>
      </c>
      <c r="G9696" t="s">
        <v>12947</v>
      </c>
      <c r="H9696" t="s">
        <v>859</v>
      </c>
      <c r="I9696" t="s">
        <v>860</v>
      </c>
      <c r="J9696" t="str">
        <f>"9330233"</f>
        <v>9330233</v>
      </c>
      <c r="K9696">
        <v>2253055421</v>
      </c>
      <c r="L9696">
        <v>2253055421</v>
      </c>
      <c r="M9696" t="s">
        <v>13366</v>
      </c>
      <c r="N9696" t="s">
        <v>12949</v>
      </c>
      <c r="O9696" t="s">
        <v>13367</v>
      </c>
      <c r="P9696">
        <v>81104</v>
      </c>
      <c r="Q9696" t="str">
        <f>"39.329642"</f>
        <v>39.329642</v>
      </c>
      <c r="R9696" t="str">
        <f>"26.385735"</f>
        <v>26.385735</v>
      </c>
      <c r="S9696" t="s">
        <v>26</v>
      </c>
    </row>
    <row r="9697" spans="1:19" x14ac:dyDescent="0.3">
      <c r="A9697" t="s">
        <v>12435</v>
      </c>
      <c r="B9697" t="s">
        <v>12921</v>
      </c>
      <c r="C9697" t="s">
        <v>13369</v>
      </c>
      <c r="D9697" t="s">
        <v>12436</v>
      </c>
      <c r="E9697" t="s">
        <v>12465</v>
      </c>
      <c r="F9697" t="s">
        <v>12551</v>
      </c>
      <c r="G9697" t="s">
        <v>13368</v>
      </c>
      <c r="H9697" t="s">
        <v>859</v>
      </c>
      <c r="I9697" t="s">
        <v>860</v>
      </c>
      <c r="J9697" t="str">
        <f>"9330207"</f>
        <v>9330207</v>
      </c>
      <c r="K9697">
        <v>2252071343</v>
      </c>
      <c r="L9697">
        <v>2252071343</v>
      </c>
      <c r="M9697" t="s">
        <v>13370</v>
      </c>
      <c r="N9697" t="s">
        <v>13371</v>
      </c>
      <c r="O9697" t="s">
        <v>13371</v>
      </c>
      <c r="P9697">
        <v>81300</v>
      </c>
      <c r="Q9697" t="str">
        <f>"39.105124"</f>
        <v>39.105124</v>
      </c>
      <c r="R9697" t="str">
        <f>"26.218805"</f>
        <v>26.218805</v>
      </c>
      <c r="S9697" t="s">
        <v>26</v>
      </c>
    </row>
    <row r="9698" spans="1:19" x14ac:dyDescent="0.3">
      <c r="A9698" t="s">
        <v>12435</v>
      </c>
      <c r="B9698" t="s">
        <v>12921</v>
      </c>
      <c r="C9698" t="s">
        <v>13380</v>
      </c>
      <c r="D9698" t="s">
        <v>12436</v>
      </c>
      <c r="E9698" t="s">
        <v>12465</v>
      </c>
      <c r="F9698" t="s">
        <v>11983</v>
      </c>
      <c r="G9698" t="s">
        <v>11983</v>
      </c>
      <c r="H9698" t="s">
        <v>859</v>
      </c>
      <c r="I9698" t="s">
        <v>1102</v>
      </c>
      <c r="J9698" t="str">
        <f>"9521258"</f>
        <v>9521258</v>
      </c>
      <c r="K9698">
        <v>2253029769</v>
      </c>
      <c r="L9698">
        <v>2253029769</v>
      </c>
      <c r="M9698" t="s">
        <v>13381</v>
      </c>
      <c r="N9698" t="s">
        <v>13235</v>
      </c>
      <c r="O9698" t="s">
        <v>13235</v>
      </c>
      <c r="P9698">
        <v>81107</v>
      </c>
      <c r="Q9698" t="str">
        <f>"39.234860"</f>
        <v>39.234860</v>
      </c>
      <c r="R9698" t="str">
        <f>"26.159576"</f>
        <v>26.159576</v>
      </c>
      <c r="S9698" t="s">
        <v>26</v>
      </c>
    </row>
    <row r="9699" spans="1:19" x14ac:dyDescent="0.3">
      <c r="A9699" t="s">
        <v>12435</v>
      </c>
      <c r="B9699" t="s">
        <v>13382</v>
      </c>
      <c r="C9699" t="s">
        <v>13383</v>
      </c>
      <c r="D9699" t="s">
        <v>12699</v>
      </c>
      <c r="E9699" t="s">
        <v>12699</v>
      </c>
      <c r="F9699" t="s">
        <v>12747</v>
      </c>
      <c r="G9699" t="s">
        <v>12748</v>
      </c>
      <c r="H9699" t="s">
        <v>859</v>
      </c>
      <c r="I9699" t="s">
        <v>860</v>
      </c>
      <c r="J9699" t="str">
        <f>"9430100"</f>
        <v>9430100</v>
      </c>
      <c r="K9699">
        <v>2275061303</v>
      </c>
      <c r="L9699">
        <v>2275061303</v>
      </c>
      <c r="M9699" t="s">
        <v>13384</v>
      </c>
      <c r="N9699" t="s">
        <v>12748</v>
      </c>
      <c r="O9699" t="s">
        <v>13385</v>
      </c>
      <c r="P9699">
        <v>83302</v>
      </c>
      <c r="Q9699" t="str">
        <f>"37.633699"</f>
        <v>37.633699</v>
      </c>
      <c r="R9699" t="str">
        <f>"26.219339"</f>
        <v>26.219339</v>
      </c>
      <c r="S9699" t="s">
        <v>57</v>
      </c>
    </row>
    <row r="9700" spans="1:19" x14ac:dyDescent="0.3">
      <c r="A9700" t="s">
        <v>12435</v>
      </c>
      <c r="B9700" t="s">
        <v>13382</v>
      </c>
      <c r="C9700" t="s">
        <v>13387</v>
      </c>
      <c r="D9700" t="s">
        <v>12442</v>
      </c>
      <c r="E9700" t="s">
        <v>12720</v>
      </c>
      <c r="F9700" t="s">
        <v>12736</v>
      </c>
      <c r="G9700" t="s">
        <v>13386</v>
      </c>
      <c r="H9700" t="s">
        <v>859</v>
      </c>
      <c r="I9700" t="s">
        <v>860</v>
      </c>
      <c r="J9700" t="str">
        <f>"9430113"</f>
        <v>9430113</v>
      </c>
      <c r="K9700">
        <v>2273039229</v>
      </c>
      <c r="L9700">
        <v>2273080427</v>
      </c>
      <c r="M9700" t="s">
        <v>13388</v>
      </c>
      <c r="N9700" t="s">
        <v>13389</v>
      </c>
      <c r="O9700" t="s">
        <v>13389</v>
      </c>
      <c r="P9700">
        <v>83200</v>
      </c>
      <c r="Q9700" t="str">
        <f>"37.739358"</f>
        <v>37.739358</v>
      </c>
      <c r="R9700" t="str">
        <f>"26.747263"</f>
        <v>26.747263</v>
      </c>
      <c r="S9700" t="s">
        <v>26</v>
      </c>
    </row>
    <row r="9701" spans="1:19" x14ac:dyDescent="0.3">
      <c r="A9701" t="s">
        <v>12435</v>
      </c>
      <c r="B9701" t="s">
        <v>13382</v>
      </c>
      <c r="C9701" t="s">
        <v>13390</v>
      </c>
      <c r="D9701" t="s">
        <v>12442</v>
      </c>
      <c r="E9701" t="s">
        <v>12443</v>
      </c>
      <c r="F9701" t="s">
        <v>12767</v>
      </c>
      <c r="G9701" t="s">
        <v>12767</v>
      </c>
      <c r="H9701" t="s">
        <v>859</v>
      </c>
      <c r="I9701" t="s">
        <v>860</v>
      </c>
      <c r="J9701" t="str">
        <f>"9430086"</f>
        <v>9430086</v>
      </c>
      <c r="K9701">
        <v>2273061454</v>
      </c>
      <c r="L9701">
        <v>2273061454</v>
      </c>
      <c r="M9701" t="s">
        <v>13391</v>
      </c>
      <c r="N9701" t="s">
        <v>12767</v>
      </c>
      <c r="O9701" t="s">
        <v>13392</v>
      </c>
      <c r="P9701">
        <v>83103</v>
      </c>
      <c r="Q9701" t="str">
        <f>"37.690852"</f>
        <v>37.690852</v>
      </c>
      <c r="R9701" t="str">
        <f>"26.941875"</f>
        <v>26.941875</v>
      </c>
      <c r="S9701" t="s">
        <v>26</v>
      </c>
    </row>
    <row r="9702" spans="1:19" x14ac:dyDescent="0.3">
      <c r="A9702" t="s">
        <v>12435</v>
      </c>
      <c r="B9702" t="s">
        <v>13382</v>
      </c>
      <c r="C9702" t="s">
        <v>13394</v>
      </c>
      <c r="D9702" t="s">
        <v>12442</v>
      </c>
      <c r="E9702" t="s">
        <v>12443</v>
      </c>
      <c r="F9702" t="s">
        <v>12041</v>
      </c>
      <c r="G9702" t="s">
        <v>13393</v>
      </c>
      <c r="H9702" t="s">
        <v>859</v>
      </c>
      <c r="I9702" t="s">
        <v>860</v>
      </c>
      <c r="J9702" t="str">
        <f>"9430110"</f>
        <v>9430110</v>
      </c>
      <c r="K9702">
        <v>2273094273</v>
      </c>
      <c r="L9702">
        <v>2273094273</v>
      </c>
      <c r="M9702" t="s">
        <v>13395</v>
      </c>
      <c r="N9702" t="s">
        <v>13396</v>
      </c>
      <c r="O9702" t="s">
        <v>13396</v>
      </c>
      <c r="P9702">
        <v>83200</v>
      </c>
      <c r="Q9702" t="str">
        <f>"37.807691"</f>
        <v>37.807691</v>
      </c>
      <c r="R9702" t="str">
        <f>"26.816585"</f>
        <v>26.816585</v>
      </c>
      <c r="S9702" t="s">
        <v>26</v>
      </c>
    </row>
    <row r="9703" spans="1:19" x14ac:dyDescent="0.3">
      <c r="A9703" t="s">
        <v>12435</v>
      </c>
      <c r="B9703" t="s">
        <v>13382</v>
      </c>
      <c r="C9703" t="s">
        <v>13399</v>
      </c>
      <c r="D9703" t="s">
        <v>12442</v>
      </c>
      <c r="E9703" t="s">
        <v>12720</v>
      </c>
      <c r="F9703" t="s">
        <v>12736</v>
      </c>
      <c r="G9703" t="s">
        <v>12736</v>
      </c>
      <c r="H9703" t="s">
        <v>859</v>
      </c>
      <c r="I9703" t="s">
        <v>860</v>
      </c>
      <c r="J9703" t="str">
        <f>"9430109"</f>
        <v>9430109</v>
      </c>
      <c r="K9703">
        <v>2273032973</v>
      </c>
      <c r="L9703">
        <v>2273032973</v>
      </c>
      <c r="M9703" t="s">
        <v>13400</v>
      </c>
      <c r="N9703" t="s">
        <v>13401</v>
      </c>
      <c r="O9703" t="s">
        <v>13402</v>
      </c>
      <c r="P9703">
        <v>83200</v>
      </c>
      <c r="Q9703" t="str">
        <f>"37.793674"</f>
        <v>37.793674</v>
      </c>
      <c r="R9703" t="str">
        <f>"26.694529"</f>
        <v>26.694529</v>
      </c>
      <c r="S9703" t="s">
        <v>26</v>
      </c>
    </row>
    <row r="9704" spans="1:19" x14ac:dyDescent="0.3">
      <c r="A9704" t="s">
        <v>12435</v>
      </c>
      <c r="B9704" t="s">
        <v>13382</v>
      </c>
      <c r="C9704" t="s">
        <v>13403</v>
      </c>
      <c r="D9704" t="s">
        <v>12442</v>
      </c>
      <c r="E9704" t="s">
        <v>12443</v>
      </c>
      <c r="F9704" t="s">
        <v>12041</v>
      </c>
      <c r="G9704" t="s">
        <v>12041</v>
      </c>
      <c r="H9704" t="s">
        <v>859</v>
      </c>
      <c r="I9704" t="s">
        <v>860</v>
      </c>
      <c r="J9704" t="str">
        <f>"9430083"</f>
        <v>9430083</v>
      </c>
      <c r="K9704">
        <v>2273080986</v>
      </c>
      <c r="L9704">
        <v>2273080986</v>
      </c>
      <c r="M9704" t="s">
        <v>13404</v>
      </c>
      <c r="N9704" t="s">
        <v>12041</v>
      </c>
      <c r="O9704" t="s">
        <v>13405</v>
      </c>
      <c r="P9704">
        <v>83100</v>
      </c>
      <c r="Q9704" t="str">
        <f>"37.748831"</f>
        <v>37.748831</v>
      </c>
      <c r="R9704" t="str">
        <f>"26.981343"</f>
        <v>26.981343</v>
      </c>
      <c r="S9704" t="s">
        <v>26</v>
      </c>
    </row>
    <row r="9705" spans="1:19" x14ac:dyDescent="0.3">
      <c r="A9705" t="s">
        <v>12435</v>
      </c>
      <c r="B9705" t="s">
        <v>13382</v>
      </c>
      <c r="C9705" t="s">
        <v>13406</v>
      </c>
      <c r="D9705" t="s">
        <v>12442</v>
      </c>
      <c r="E9705" t="s">
        <v>12443</v>
      </c>
      <c r="F9705" t="s">
        <v>12767</v>
      </c>
      <c r="G9705" t="s">
        <v>1490</v>
      </c>
      <c r="H9705" t="s">
        <v>859</v>
      </c>
      <c r="I9705" t="s">
        <v>860</v>
      </c>
      <c r="J9705" t="str">
        <f>"9430098"</f>
        <v>9430098</v>
      </c>
      <c r="K9705">
        <v>2273091440</v>
      </c>
      <c r="L9705">
        <v>2273091440</v>
      </c>
      <c r="M9705" t="s">
        <v>13407</v>
      </c>
      <c r="N9705" t="s">
        <v>1490</v>
      </c>
      <c r="O9705" t="s">
        <v>13408</v>
      </c>
      <c r="P9705">
        <v>83103</v>
      </c>
      <c r="Q9705" t="str">
        <f>"37.702606"</f>
        <v>37.702606</v>
      </c>
      <c r="R9705" t="str">
        <f>"26.903433"</f>
        <v>26.903433</v>
      </c>
      <c r="S9705" t="s">
        <v>26</v>
      </c>
    </row>
    <row r="9706" spans="1:19" x14ac:dyDescent="0.3">
      <c r="A9706" t="s">
        <v>12435</v>
      </c>
      <c r="B9706" t="s">
        <v>13382</v>
      </c>
      <c r="C9706" t="s">
        <v>13409</v>
      </c>
      <c r="D9706" t="s">
        <v>12442</v>
      </c>
      <c r="E9706" t="s">
        <v>12720</v>
      </c>
      <c r="F9706" t="s">
        <v>12736</v>
      </c>
      <c r="G9706" t="s">
        <v>12736</v>
      </c>
      <c r="H9706" t="s">
        <v>859</v>
      </c>
      <c r="I9706" t="s">
        <v>860</v>
      </c>
      <c r="J9706" t="str">
        <f>"9520772"</f>
        <v>9520772</v>
      </c>
      <c r="K9706">
        <v>2273030410</v>
      </c>
      <c r="L9706">
        <v>2273030410</v>
      </c>
      <c r="M9706" t="s">
        <v>13410</v>
      </c>
      <c r="N9706" t="s">
        <v>12740</v>
      </c>
      <c r="O9706" t="s">
        <v>13411</v>
      </c>
      <c r="P9706">
        <v>83200</v>
      </c>
      <c r="Q9706" t="str">
        <f>"37.793839"</f>
        <v>37.793839</v>
      </c>
      <c r="R9706" t="str">
        <f>"26.685327"</f>
        <v>26.685327</v>
      </c>
      <c r="S9706" t="s">
        <v>26</v>
      </c>
    </row>
    <row r="9707" spans="1:19" x14ac:dyDescent="0.3">
      <c r="A9707" t="s">
        <v>12435</v>
      </c>
      <c r="B9707" t="s">
        <v>13382</v>
      </c>
      <c r="C9707" t="s">
        <v>13416</v>
      </c>
      <c r="D9707" t="s">
        <v>12442</v>
      </c>
      <c r="E9707" t="s">
        <v>12443</v>
      </c>
      <c r="F9707" t="s">
        <v>12767</v>
      </c>
      <c r="G9707" t="s">
        <v>13415</v>
      </c>
      <c r="H9707" t="s">
        <v>859</v>
      </c>
      <c r="I9707" t="s">
        <v>860</v>
      </c>
      <c r="J9707" t="str">
        <f>"9430091"</f>
        <v>9430091</v>
      </c>
      <c r="K9707">
        <v>2273051365</v>
      </c>
      <c r="L9707">
        <v>227305136</v>
      </c>
      <c r="M9707" t="s">
        <v>13417</v>
      </c>
      <c r="N9707" t="s">
        <v>13415</v>
      </c>
      <c r="O9707" t="s">
        <v>13418</v>
      </c>
      <c r="P9707">
        <v>83101</v>
      </c>
      <c r="Q9707" t="str">
        <f>"37.729551"</f>
        <v>37.729551</v>
      </c>
      <c r="R9707" t="str">
        <f>"26.911296"</f>
        <v>26.911296</v>
      </c>
      <c r="S9707" t="s">
        <v>26</v>
      </c>
    </row>
    <row r="9708" spans="1:19" x14ac:dyDescent="0.3">
      <c r="A9708" t="s">
        <v>12435</v>
      </c>
      <c r="B9708" t="s">
        <v>13382</v>
      </c>
      <c r="C9708" t="s">
        <v>13420</v>
      </c>
      <c r="D9708" t="s">
        <v>12442</v>
      </c>
      <c r="E9708" t="s">
        <v>12720</v>
      </c>
      <c r="F9708" t="s">
        <v>12736</v>
      </c>
      <c r="G9708" t="s">
        <v>13419</v>
      </c>
      <c r="H9708" t="s">
        <v>859</v>
      </c>
      <c r="I9708" t="s">
        <v>860</v>
      </c>
      <c r="J9708" t="str">
        <f>"9430112"</f>
        <v>9430112</v>
      </c>
      <c r="K9708">
        <v>2273033342</v>
      </c>
      <c r="L9708">
        <v>2273033342</v>
      </c>
      <c r="M9708" t="s">
        <v>13421</v>
      </c>
      <c r="N9708" t="s">
        <v>13422</v>
      </c>
      <c r="O9708" t="s">
        <v>13423</v>
      </c>
      <c r="P9708">
        <v>83200</v>
      </c>
      <c r="Q9708" t="str">
        <f>"37.778086"</f>
        <v>37.778086</v>
      </c>
      <c r="R9708" t="str">
        <f>"26.747778"</f>
        <v>26.747778</v>
      </c>
      <c r="S9708" t="s">
        <v>26</v>
      </c>
    </row>
    <row r="9709" spans="1:19" x14ac:dyDescent="0.3">
      <c r="A9709" t="s">
        <v>12435</v>
      </c>
      <c r="B9709" t="s">
        <v>13382</v>
      </c>
      <c r="C9709" t="s">
        <v>13424</v>
      </c>
      <c r="D9709" t="s">
        <v>12442</v>
      </c>
      <c r="E9709" t="s">
        <v>12443</v>
      </c>
      <c r="F9709" t="s">
        <v>12041</v>
      </c>
      <c r="G9709" t="s">
        <v>12727</v>
      </c>
      <c r="H9709" t="s">
        <v>859</v>
      </c>
      <c r="I9709" t="s">
        <v>860</v>
      </c>
      <c r="J9709" t="str">
        <f>"9430099"</f>
        <v>9430099</v>
      </c>
      <c r="K9709">
        <v>2273027197</v>
      </c>
      <c r="M9709" t="s">
        <v>13425</v>
      </c>
      <c r="N9709" t="s">
        <v>12442</v>
      </c>
      <c r="O9709" t="s">
        <v>13426</v>
      </c>
      <c r="P9709">
        <v>83100</v>
      </c>
      <c r="Q9709" t="str">
        <f>"37.755240"</f>
        <v>37.755240</v>
      </c>
      <c r="R9709" t="str">
        <f>"26.979488"</f>
        <v>26.979488</v>
      </c>
      <c r="S9709" t="s">
        <v>26</v>
      </c>
    </row>
    <row r="9710" spans="1:19" x14ac:dyDescent="0.3">
      <c r="A9710" t="s">
        <v>12435</v>
      </c>
      <c r="B9710" t="s">
        <v>13382</v>
      </c>
      <c r="C9710" t="s">
        <v>13428</v>
      </c>
      <c r="D9710" t="s">
        <v>12442</v>
      </c>
      <c r="E9710" t="s">
        <v>12443</v>
      </c>
      <c r="F9710" t="s">
        <v>12767</v>
      </c>
      <c r="G9710" t="s">
        <v>13427</v>
      </c>
      <c r="H9710" t="s">
        <v>859</v>
      </c>
      <c r="I9710" t="s">
        <v>860</v>
      </c>
      <c r="J9710" t="str">
        <f>"9430117"</f>
        <v>9430117</v>
      </c>
      <c r="K9710">
        <v>2273095307</v>
      </c>
      <c r="L9710">
        <v>2273095307</v>
      </c>
      <c r="M9710" t="s">
        <v>13429</v>
      </c>
      <c r="N9710" t="s">
        <v>13430</v>
      </c>
      <c r="O9710" t="s">
        <v>13431</v>
      </c>
      <c r="P9710">
        <v>83103</v>
      </c>
      <c r="Q9710" t="str">
        <f>"37.661080"</f>
        <v>37.661080</v>
      </c>
      <c r="R9710" t="str">
        <f>"26.881367"</f>
        <v>26.881367</v>
      </c>
      <c r="S9710" t="s">
        <v>26</v>
      </c>
    </row>
    <row r="9711" spans="1:19" x14ac:dyDescent="0.3">
      <c r="A9711" t="s">
        <v>12435</v>
      </c>
      <c r="B9711" t="s">
        <v>13382</v>
      </c>
      <c r="C9711" t="s">
        <v>13432</v>
      </c>
      <c r="D9711" t="s">
        <v>12442</v>
      </c>
      <c r="E9711" t="s">
        <v>12720</v>
      </c>
      <c r="F9711" t="s">
        <v>12736</v>
      </c>
      <c r="G9711" t="s">
        <v>12736</v>
      </c>
      <c r="H9711" t="s">
        <v>859</v>
      </c>
      <c r="I9711" t="s">
        <v>860</v>
      </c>
      <c r="J9711" t="str">
        <f>"9430082"</f>
        <v>9430082</v>
      </c>
      <c r="K9711">
        <v>2273032565</v>
      </c>
      <c r="L9711">
        <v>2273032565</v>
      </c>
      <c r="M9711" t="s">
        <v>13433</v>
      </c>
      <c r="N9711" t="s">
        <v>13434</v>
      </c>
      <c r="O9711" t="s">
        <v>13435</v>
      </c>
      <c r="P9711">
        <v>83200</v>
      </c>
      <c r="Q9711" t="str">
        <f>"37.790102"</f>
        <v>37.790102</v>
      </c>
      <c r="R9711" t="str">
        <f>"26.705916"</f>
        <v>26.705916</v>
      </c>
      <c r="S9711" t="s">
        <v>26</v>
      </c>
    </row>
    <row r="9712" spans="1:19" x14ac:dyDescent="0.3">
      <c r="A9712" t="s">
        <v>12435</v>
      </c>
      <c r="B9712" t="s">
        <v>13382</v>
      </c>
      <c r="C9712" t="s">
        <v>13437</v>
      </c>
      <c r="D9712" t="s">
        <v>12442</v>
      </c>
      <c r="E9712" t="s">
        <v>12443</v>
      </c>
      <c r="F9712" t="s">
        <v>12041</v>
      </c>
      <c r="G9712" t="s">
        <v>13436</v>
      </c>
      <c r="H9712" t="s">
        <v>859</v>
      </c>
      <c r="I9712" t="s">
        <v>860</v>
      </c>
      <c r="J9712" t="str">
        <f>"9430101"</f>
        <v>9430101</v>
      </c>
      <c r="K9712">
        <v>2273093355</v>
      </c>
      <c r="L9712">
        <v>2273093355</v>
      </c>
      <c r="M9712" t="s">
        <v>13438</v>
      </c>
      <c r="N9712" t="s">
        <v>13436</v>
      </c>
      <c r="O9712" t="s">
        <v>13439</v>
      </c>
      <c r="P9712">
        <v>83100</v>
      </c>
      <c r="Q9712" t="str">
        <f>"37.786342"</f>
        <v>37.786342</v>
      </c>
      <c r="R9712" t="str">
        <f>"26.847241"</f>
        <v>26.847241</v>
      </c>
      <c r="S9712" t="s">
        <v>26</v>
      </c>
    </row>
    <row r="9713" spans="1:19" x14ac:dyDescent="0.3">
      <c r="A9713" t="s">
        <v>12435</v>
      </c>
      <c r="B9713" t="s">
        <v>13382</v>
      </c>
      <c r="C9713" t="s">
        <v>13444</v>
      </c>
      <c r="D9713" t="s">
        <v>12442</v>
      </c>
      <c r="E9713" t="s">
        <v>12720</v>
      </c>
      <c r="F9713" t="s">
        <v>12736</v>
      </c>
      <c r="G9713" t="s">
        <v>13440</v>
      </c>
      <c r="H9713" t="s">
        <v>859</v>
      </c>
      <c r="I9713" t="s">
        <v>860</v>
      </c>
      <c r="J9713" t="str">
        <f>"9430102"</f>
        <v>9430102</v>
      </c>
      <c r="K9713">
        <v>2273032015</v>
      </c>
      <c r="L9713">
        <v>2273032015</v>
      </c>
      <c r="M9713" t="s">
        <v>13445</v>
      </c>
      <c r="N9713" t="s">
        <v>13440</v>
      </c>
      <c r="O9713" t="s">
        <v>13443</v>
      </c>
      <c r="P9713">
        <v>83200</v>
      </c>
      <c r="Q9713" t="str">
        <f>"37.774137"</f>
        <v>37.774137</v>
      </c>
      <c r="R9713" t="str">
        <f>"26.687415"</f>
        <v>26.687415</v>
      </c>
      <c r="S9713" t="s">
        <v>26</v>
      </c>
    </row>
    <row r="9714" spans="1:19" x14ac:dyDescent="0.3">
      <c r="A9714" t="s">
        <v>12435</v>
      </c>
      <c r="B9714" t="s">
        <v>13382</v>
      </c>
      <c r="C9714" t="s">
        <v>13449</v>
      </c>
      <c r="D9714" t="s">
        <v>12442</v>
      </c>
      <c r="E9714" t="s">
        <v>12443</v>
      </c>
      <c r="F9714" t="s">
        <v>12041</v>
      </c>
      <c r="G9714" t="s">
        <v>13448</v>
      </c>
      <c r="H9714" t="s">
        <v>859</v>
      </c>
      <c r="I9714" t="s">
        <v>860</v>
      </c>
      <c r="J9714" t="str">
        <f>"9430108"</f>
        <v>9430108</v>
      </c>
      <c r="K9714">
        <v>2273092562</v>
      </c>
      <c r="L9714">
        <v>2273092562</v>
      </c>
      <c r="M9714" t="s">
        <v>13450</v>
      </c>
      <c r="N9714" t="s">
        <v>13448</v>
      </c>
      <c r="O9714" t="s">
        <v>13451</v>
      </c>
      <c r="P9714">
        <v>83100</v>
      </c>
      <c r="Q9714" t="str">
        <f>"37.779436"</f>
        <v>37.779436</v>
      </c>
      <c r="R9714" t="str">
        <f>"26.890311"</f>
        <v>26.890311</v>
      </c>
      <c r="S9714" t="s">
        <v>26</v>
      </c>
    </row>
    <row r="9715" spans="1:19" x14ac:dyDescent="0.3">
      <c r="A9715" t="s">
        <v>12435</v>
      </c>
      <c r="B9715" t="s">
        <v>13382</v>
      </c>
      <c r="C9715" t="s">
        <v>13458</v>
      </c>
      <c r="D9715" t="s">
        <v>12442</v>
      </c>
      <c r="E9715" t="s">
        <v>12720</v>
      </c>
      <c r="F9715" t="s">
        <v>12736</v>
      </c>
      <c r="G9715" t="s">
        <v>12736</v>
      </c>
      <c r="H9715" t="s">
        <v>859</v>
      </c>
      <c r="I9715" t="s">
        <v>860</v>
      </c>
      <c r="J9715" t="str">
        <f>"9430093"</f>
        <v>9430093</v>
      </c>
      <c r="K9715">
        <v>2273032350</v>
      </c>
      <c r="L9715">
        <v>2273032350</v>
      </c>
      <c r="M9715" t="s">
        <v>13459</v>
      </c>
      <c r="N9715" t="s">
        <v>13434</v>
      </c>
      <c r="O9715" t="s">
        <v>13455</v>
      </c>
      <c r="P9715">
        <v>83200</v>
      </c>
      <c r="Q9715" t="str">
        <f>"37.799422"</f>
        <v>37.799422</v>
      </c>
      <c r="R9715" t="str">
        <f>"26.707111"</f>
        <v>26.707111</v>
      </c>
      <c r="S9715" t="s">
        <v>26</v>
      </c>
    </row>
    <row r="9716" spans="1:19" x14ac:dyDescent="0.3">
      <c r="A9716" t="s">
        <v>12435</v>
      </c>
      <c r="B9716" t="s">
        <v>13382</v>
      </c>
      <c r="C9716" t="s">
        <v>13479</v>
      </c>
      <c r="D9716" t="s">
        <v>12442</v>
      </c>
      <c r="E9716" t="s">
        <v>12720</v>
      </c>
      <c r="F9716" t="s">
        <v>12736</v>
      </c>
      <c r="G9716" t="s">
        <v>13475</v>
      </c>
      <c r="H9716" t="s">
        <v>859</v>
      </c>
      <c r="I9716" t="s">
        <v>860</v>
      </c>
      <c r="J9716" t="str">
        <f>"9430097"</f>
        <v>9430097</v>
      </c>
      <c r="K9716">
        <v>2273035411</v>
      </c>
      <c r="L9716">
        <v>2273035411</v>
      </c>
      <c r="M9716" t="s">
        <v>13480</v>
      </c>
      <c r="N9716" t="s">
        <v>13481</v>
      </c>
      <c r="O9716" t="s">
        <v>13482</v>
      </c>
      <c r="P9716">
        <v>83200</v>
      </c>
      <c r="Q9716" t="str">
        <f>"37.802373"</f>
        <v>37.802373</v>
      </c>
      <c r="R9716" t="str">
        <f>"26.741556"</f>
        <v>26.741556</v>
      </c>
      <c r="S9716" t="s">
        <v>26</v>
      </c>
    </row>
    <row r="9717" spans="1:19" x14ac:dyDescent="0.3">
      <c r="A9717" t="s">
        <v>12435</v>
      </c>
      <c r="B9717" t="s">
        <v>13382</v>
      </c>
      <c r="C9717" t="s">
        <v>13483</v>
      </c>
      <c r="D9717" t="s">
        <v>12442</v>
      </c>
      <c r="E9717" t="s">
        <v>12720</v>
      </c>
      <c r="F9717" t="s">
        <v>12721</v>
      </c>
      <c r="G9717" t="s">
        <v>12721</v>
      </c>
      <c r="H9717" t="s">
        <v>859</v>
      </c>
      <c r="I9717" t="s">
        <v>860</v>
      </c>
      <c r="J9717" t="str">
        <f>"9430085"</f>
        <v>9430085</v>
      </c>
      <c r="K9717">
        <v>2273031377</v>
      </c>
      <c r="L9717">
        <v>2273031377</v>
      </c>
      <c r="M9717" t="s">
        <v>13484</v>
      </c>
      <c r="N9717" t="s">
        <v>12721</v>
      </c>
      <c r="O9717" t="s">
        <v>12725</v>
      </c>
      <c r="P9717">
        <v>83102</v>
      </c>
      <c r="Q9717" t="str">
        <f>"37.725291"</f>
        <v>37.725291</v>
      </c>
      <c r="R9717" t="str">
        <f>"26.688447"</f>
        <v>26.688447</v>
      </c>
      <c r="S9717" t="s">
        <v>57</v>
      </c>
    </row>
    <row r="9718" spans="1:19" x14ac:dyDescent="0.3">
      <c r="A9718" t="s">
        <v>12435</v>
      </c>
      <c r="B9718" t="s">
        <v>13382</v>
      </c>
      <c r="C9718" t="s">
        <v>13526</v>
      </c>
      <c r="D9718" t="s">
        <v>12699</v>
      </c>
      <c r="E9718" t="s">
        <v>12699</v>
      </c>
      <c r="F9718" t="s">
        <v>12747</v>
      </c>
      <c r="G9718" t="s">
        <v>12747</v>
      </c>
      <c r="H9718" t="s">
        <v>859</v>
      </c>
      <c r="I9718" t="s">
        <v>860</v>
      </c>
      <c r="J9718" t="str">
        <f>"9430096"</f>
        <v>9430096</v>
      </c>
      <c r="K9718">
        <v>2275032930</v>
      </c>
      <c r="L9718">
        <v>2275032930</v>
      </c>
      <c r="M9718" t="s">
        <v>13527</v>
      </c>
      <c r="N9718" t="s">
        <v>12747</v>
      </c>
      <c r="O9718" t="s">
        <v>12777</v>
      </c>
      <c r="P9718">
        <v>83302</v>
      </c>
      <c r="Q9718" t="str">
        <f>"37.627047"</f>
        <v>37.627047</v>
      </c>
      <c r="R9718" t="str">
        <f>"26.187482"</f>
        <v>26.187482</v>
      </c>
      <c r="S9718" t="s">
        <v>57</v>
      </c>
    </row>
    <row r="9719" spans="1:19" x14ac:dyDescent="0.3">
      <c r="A9719" t="s">
        <v>12435</v>
      </c>
      <c r="B9719" t="s">
        <v>13382</v>
      </c>
      <c r="C9719" t="s">
        <v>13528</v>
      </c>
      <c r="D9719" t="s">
        <v>12699</v>
      </c>
      <c r="E9719" t="s">
        <v>12700</v>
      </c>
      <c r="F9719" t="s">
        <v>12700</v>
      </c>
      <c r="G9719" t="s">
        <v>12701</v>
      </c>
      <c r="H9719" t="s">
        <v>859</v>
      </c>
      <c r="I9719" t="s">
        <v>860</v>
      </c>
      <c r="J9719" t="str">
        <f>"9430080"</f>
        <v>9430080</v>
      </c>
      <c r="K9719">
        <v>2275051658</v>
      </c>
      <c r="L9719">
        <v>2275051658</v>
      </c>
      <c r="M9719" t="s">
        <v>13529</v>
      </c>
      <c r="N9719" t="s">
        <v>12701</v>
      </c>
      <c r="O9719" t="s">
        <v>12706</v>
      </c>
      <c r="P9719">
        <v>83400</v>
      </c>
      <c r="Q9719" t="str">
        <f>"37.575692"</f>
        <v>37.575692</v>
      </c>
      <c r="R9719" t="str">
        <f>"26.481546"</f>
        <v>26.481546</v>
      </c>
      <c r="S9719" t="s">
        <v>57</v>
      </c>
    </row>
    <row r="9720" spans="1:19" x14ac:dyDescent="0.3">
      <c r="A9720" t="s">
        <v>12435</v>
      </c>
      <c r="B9720" t="s">
        <v>13382</v>
      </c>
      <c r="C9720" t="s">
        <v>13530</v>
      </c>
      <c r="D9720" t="s">
        <v>12699</v>
      </c>
      <c r="E9720" t="s">
        <v>12699</v>
      </c>
      <c r="F9720" t="s">
        <v>12709</v>
      </c>
      <c r="G9720" t="s">
        <v>12709</v>
      </c>
      <c r="H9720" t="s">
        <v>859</v>
      </c>
      <c r="I9720" t="s">
        <v>860</v>
      </c>
      <c r="J9720" t="str">
        <f>"9430115"</f>
        <v>9430115</v>
      </c>
      <c r="K9720">
        <v>2275041081</v>
      </c>
      <c r="L9720">
        <v>2275041081</v>
      </c>
      <c r="M9720" t="s">
        <v>13531</v>
      </c>
      <c r="N9720" t="s">
        <v>12709</v>
      </c>
      <c r="O9720" t="s">
        <v>13532</v>
      </c>
      <c r="P9720">
        <v>83301</v>
      </c>
      <c r="Q9720" t="str">
        <f>"37.594204"</f>
        <v>37.594204</v>
      </c>
      <c r="R9720" t="str">
        <f>"26.091459"</f>
        <v>26.091459</v>
      </c>
      <c r="S9720" t="s">
        <v>57</v>
      </c>
    </row>
    <row r="9721" spans="1:19" x14ac:dyDescent="0.3">
      <c r="A9721" t="s">
        <v>12435</v>
      </c>
      <c r="B9721" t="s">
        <v>13382</v>
      </c>
      <c r="C9721" t="s">
        <v>13533</v>
      </c>
      <c r="D9721" t="s">
        <v>12699</v>
      </c>
      <c r="E9721" t="s">
        <v>12699</v>
      </c>
      <c r="F9721" t="s">
        <v>12715</v>
      </c>
      <c r="G9721" t="s">
        <v>12715</v>
      </c>
      <c r="H9721" t="s">
        <v>859</v>
      </c>
      <c r="I9721" t="s">
        <v>860</v>
      </c>
      <c r="J9721" t="str">
        <f>"9430084"</f>
        <v>9430084</v>
      </c>
      <c r="K9721">
        <v>2275022208</v>
      </c>
      <c r="L9721">
        <v>2275022208</v>
      </c>
      <c r="M9721" t="s">
        <v>13534</v>
      </c>
      <c r="N9721" t="s">
        <v>12715</v>
      </c>
      <c r="O9721" t="s">
        <v>12761</v>
      </c>
      <c r="P9721">
        <v>83300</v>
      </c>
      <c r="Q9721" t="str">
        <f>"37.612078"</f>
        <v>37.612078</v>
      </c>
      <c r="R9721" t="str">
        <f>"26.280947"</f>
        <v>26.280947</v>
      </c>
      <c r="S9721" t="s">
        <v>57</v>
      </c>
    </row>
    <row r="9722" spans="1:19" x14ac:dyDescent="0.3">
      <c r="A9722" t="s">
        <v>12435</v>
      </c>
      <c r="B9722" t="s">
        <v>13382</v>
      </c>
      <c r="C9722" t="s">
        <v>13535</v>
      </c>
      <c r="D9722" t="s">
        <v>12699</v>
      </c>
      <c r="E9722" t="s">
        <v>12699</v>
      </c>
      <c r="F9722" t="s">
        <v>12709</v>
      </c>
      <c r="G9722" t="s">
        <v>12709</v>
      </c>
      <c r="H9722" t="s">
        <v>859</v>
      </c>
      <c r="I9722" t="s">
        <v>860</v>
      </c>
      <c r="J9722" t="str">
        <f>"9430114"</f>
        <v>9430114</v>
      </c>
      <c r="K9722">
        <v>2275041483</v>
      </c>
      <c r="L9722">
        <v>2275041483</v>
      </c>
      <c r="M9722" t="s">
        <v>13536</v>
      </c>
      <c r="N9722" t="s">
        <v>13537</v>
      </c>
      <c r="O9722" t="s">
        <v>13538</v>
      </c>
      <c r="P9722">
        <v>83301</v>
      </c>
      <c r="Q9722" t="str">
        <f>"37.611777"</f>
        <v>37.611777</v>
      </c>
      <c r="R9722" t="str">
        <f>"26.090016"</f>
        <v>26.090016</v>
      </c>
      <c r="S9722" t="s">
        <v>57</v>
      </c>
    </row>
    <row r="9723" spans="1:19" x14ac:dyDescent="0.3">
      <c r="A9723" t="s">
        <v>12435</v>
      </c>
      <c r="B9723" t="s">
        <v>13382</v>
      </c>
      <c r="C9723" t="s">
        <v>13539</v>
      </c>
      <c r="D9723" t="s">
        <v>12699</v>
      </c>
      <c r="E9723" t="s">
        <v>12700</v>
      </c>
      <c r="F9723" t="s">
        <v>12700</v>
      </c>
      <c r="G9723" t="s">
        <v>12701</v>
      </c>
      <c r="H9723" t="s">
        <v>859</v>
      </c>
      <c r="I9723" t="s">
        <v>860</v>
      </c>
      <c r="J9723" t="str">
        <f>"9520942"</f>
        <v>9520942</v>
      </c>
      <c r="K9723">
        <v>2275032380</v>
      </c>
      <c r="L9723">
        <v>2275032328</v>
      </c>
      <c r="M9723" t="s">
        <v>13540</v>
      </c>
      <c r="N9723" t="s">
        <v>13509</v>
      </c>
      <c r="O9723" t="s">
        <v>13509</v>
      </c>
      <c r="P9723">
        <v>83400</v>
      </c>
      <c r="Q9723" t="str">
        <f>""</f>
        <v/>
      </c>
      <c r="R9723" t="str">
        <f>""</f>
        <v/>
      </c>
      <c r="S9723" t="s">
        <v>57</v>
      </c>
    </row>
    <row r="9724" spans="1:19" x14ac:dyDescent="0.3">
      <c r="A9724" t="s">
        <v>12435</v>
      </c>
      <c r="B9724" t="s">
        <v>13382</v>
      </c>
      <c r="C9724" t="s">
        <v>13542</v>
      </c>
      <c r="D9724" t="s">
        <v>12442</v>
      </c>
      <c r="E9724" t="s">
        <v>12443</v>
      </c>
      <c r="F9724" t="s">
        <v>12767</v>
      </c>
      <c r="G9724" t="s">
        <v>13427</v>
      </c>
      <c r="H9724" t="s">
        <v>859</v>
      </c>
      <c r="I9724" t="s">
        <v>860</v>
      </c>
      <c r="J9724" t="str">
        <f>"9430094"</f>
        <v>9430094</v>
      </c>
      <c r="K9724">
        <v>2273071900</v>
      </c>
      <c r="L9724">
        <v>2273071206</v>
      </c>
      <c r="M9724" t="s">
        <v>13543</v>
      </c>
      <c r="N9724" t="s">
        <v>13469</v>
      </c>
      <c r="O9724" t="s">
        <v>13544</v>
      </c>
      <c r="P9724">
        <v>83103</v>
      </c>
      <c r="Q9724" t="str">
        <f>""</f>
        <v/>
      </c>
      <c r="R9724" t="str">
        <f>""</f>
        <v/>
      </c>
      <c r="S9724" t="s">
        <v>26</v>
      </c>
    </row>
    <row r="9725" spans="1:19" x14ac:dyDescent="0.3">
      <c r="A9725" t="s">
        <v>12435</v>
      </c>
      <c r="B9725" t="s">
        <v>13382</v>
      </c>
      <c r="C9725" t="s">
        <v>13549</v>
      </c>
      <c r="D9725" t="s">
        <v>12442</v>
      </c>
      <c r="E9725" t="s">
        <v>12443</v>
      </c>
      <c r="F9725" t="s">
        <v>12041</v>
      </c>
      <c r="G9725" t="s">
        <v>12727</v>
      </c>
      <c r="H9725" t="s">
        <v>859</v>
      </c>
      <c r="I9725" t="s">
        <v>860</v>
      </c>
      <c r="J9725" t="str">
        <f>"9430081"</f>
        <v>9430081</v>
      </c>
      <c r="K9725">
        <v>2273027912</v>
      </c>
      <c r="L9725">
        <v>2273027912</v>
      </c>
      <c r="M9725" t="s">
        <v>13550</v>
      </c>
      <c r="N9725" t="s">
        <v>12442</v>
      </c>
      <c r="O9725" t="s">
        <v>13551</v>
      </c>
      <c r="P9725">
        <v>83100</v>
      </c>
      <c r="Q9725" t="str">
        <f>"37.755240"</f>
        <v>37.755240</v>
      </c>
      <c r="R9725" t="str">
        <f>"26.979488"</f>
        <v>26.979488</v>
      </c>
      <c r="S9725" t="s">
        <v>26</v>
      </c>
    </row>
    <row r="9726" spans="1:19" x14ac:dyDescent="0.3">
      <c r="A9726" t="s">
        <v>12435</v>
      </c>
      <c r="B9726" t="s">
        <v>13382</v>
      </c>
      <c r="C9726" t="s">
        <v>13552</v>
      </c>
      <c r="D9726" t="s">
        <v>12699</v>
      </c>
      <c r="E9726" t="s">
        <v>12700</v>
      </c>
      <c r="F9726" t="s">
        <v>12700</v>
      </c>
      <c r="G9726" t="s">
        <v>12701</v>
      </c>
      <c r="H9726" t="s">
        <v>859</v>
      </c>
      <c r="I9726" t="s">
        <v>860</v>
      </c>
      <c r="J9726" t="str">
        <f>"9521085"</f>
        <v>9521085</v>
      </c>
      <c r="K9726">
        <v>2275032236</v>
      </c>
      <c r="M9726" t="s">
        <v>13553</v>
      </c>
      <c r="N9726" t="s">
        <v>13512</v>
      </c>
      <c r="O9726" t="s">
        <v>13512</v>
      </c>
      <c r="P9726">
        <v>83400</v>
      </c>
      <c r="Q9726" t="str">
        <f>"37.581877"</f>
        <v>37.581877</v>
      </c>
      <c r="R9726" t="str">
        <f>"26.452584"</f>
        <v>26.452584</v>
      </c>
      <c r="S9726" t="s">
        <v>57</v>
      </c>
    </row>
    <row r="9727" spans="1:19" x14ac:dyDescent="0.3">
      <c r="A9727" t="s">
        <v>12435</v>
      </c>
      <c r="B9727" t="s">
        <v>13382</v>
      </c>
      <c r="C9727" t="s">
        <v>13568</v>
      </c>
      <c r="D9727" t="s">
        <v>12442</v>
      </c>
      <c r="E9727" t="s">
        <v>12443</v>
      </c>
      <c r="F9727" t="s">
        <v>12767</v>
      </c>
      <c r="G9727" t="s">
        <v>1210</v>
      </c>
      <c r="H9727" t="s">
        <v>859</v>
      </c>
      <c r="I9727" t="s">
        <v>860</v>
      </c>
      <c r="J9727" t="str">
        <f>"9430105"</f>
        <v>9430105</v>
      </c>
      <c r="K9727">
        <v>2273042140</v>
      </c>
      <c r="M9727" t="s">
        <v>13569</v>
      </c>
      <c r="N9727" t="s">
        <v>13570</v>
      </c>
      <c r="O9727" t="s">
        <v>1211</v>
      </c>
      <c r="P9727">
        <v>83104</v>
      </c>
      <c r="Q9727" t="str">
        <f>"37.716460"</f>
        <v>37.716460</v>
      </c>
      <c r="R9727" t="str">
        <f>"26.808568"</f>
        <v>26.808568</v>
      </c>
      <c r="S9727" t="s">
        <v>26</v>
      </c>
    </row>
    <row r="9728" spans="1:19" x14ac:dyDescent="0.3">
      <c r="A9728" t="s">
        <v>12435</v>
      </c>
      <c r="B9728" t="s">
        <v>13382</v>
      </c>
      <c r="C9728" t="s">
        <v>13571</v>
      </c>
      <c r="D9728" t="s">
        <v>12699</v>
      </c>
      <c r="E9728" t="s">
        <v>12699</v>
      </c>
      <c r="F9728" t="s">
        <v>12715</v>
      </c>
      <c r="G9728" t="s">
        <v>12715</v>
      </c>
      <c r="H9728" t="s">
        <v>859</v>
      </c>
      <c r="I9728" t="s">
        <v>860</v>
      </c>
      <c r="J9728" t="str">
        <f>"9521471"</f>
        <v>9521471</v>
      </c>
      <c r="K9728">
        <v>2275023298</v>
      </c>
      <c r="L9728">
        <v>2275023298</v>
      </c>
      <c r="M9728" t="s">
        <v>13572</v>
      </c>
      <c r="N9728" t="s">
        <v>12715</v>
      </c>
      <c r="O9728" t="s">
        <v>13518</v>
      </c>
      <c r="P9728">
        <v>83300</v>
      </c>
      <c r="Q9728" t="str">
        <f>"37.613152"</f>
        <v>37.613152</v>
      </c>
      <c r="R9728" t="str">
        <f>"26.288581"</f>
        <v>26.288581</v>
      </c>
      <c r="S9728" t="s">
        <v>57</v>
      </c>
    </row>
    <row r="9729" spans="1:19" x14ac:dyDescent="0.3">
      <c r="A9729" t="s">
        <v>12435</v>
      </c>
      <c r="B9729" t="s">
        <v>13382</v>
      </c>
      <c r="C9729" t="s">
        <v>13576</v>
      </c>
      <c r="D9729" t="s">
        <v>12699</v>
      </c>
      <c r="E9729" t="s">
        <v>12699</v>
      </c>
      <c r="F9729" t="s">
        <v>12747</v>
      </c>
      <c r="G9729" t="s">
        <v>3469</v>
      </c>
      <c r="H9729" t="s">
        <v>859</v>
      </c>
      <c r="I9729" t="s">
        <v>1102</v>
      </c>
      <c r="J9729" t="str">
        <f>"9521490"</f>
        <v>9521490</v>
      </c>
      <c r="K9729">
        <v>2275061279</v>
      </c>
      <c r="M9729" t="s">
        <v>13577</v>
      </c>
      <c r="N9729" t="s">
        <v>12699</v>
      </c>
      <c r="O9729" t="s">
        <v>13575</v>
      </c>
      <c r="P9729">
        <v>83300</v>
      </c>
      <c r="Q9729" t="str">
        <f>"37.633628"</f>
        <v>37.633628</v>
      </c>
      <c r="R9729" t="str">
        <f>"26.219457"</f>
        <v>26.219457</v>
      </c>
      <c r="S9729" t="s">
        <v>57</v>
      </c>
    </row>
    <row r="9730" spans="1:19" x14ac:dyDescent="0.3">
      <c r="A9730" t="s">
        <v>12435</v>
      </c>
      <c r="B9730" t="s">
        <v>13382</v>
      </c>
      <c r="C9730" t="s">
        <v>13578</v>
      </c>
      <c r="D9730" t="s">
        <v>12442</v>
      </c>
      <c r="E9730" t="s">
        <v>12443</v>
      </c>
      <c r="F9730" t="s">
        <v>12041</v>
      </c>
      <c r="G9730" t="s">
        <v>12727</v>
      </c>
      <c r="H9730" t="s">
        <v>859</v>
      </c>
      <c r="I9730" t="s">
        <v>1102</v>
      </c>
      <c r="J9730" t="str">
        <f>"9430119"</f>
        <v>9430119</v>
      </c>
      <c r="K9730">
        <v>2273086624</v>
      </c>
      <c r="L9730">
        <v>2273089788</v>
      </c>
      <c r="M9730" t="s">
        <v>13579</v>
      </c>
      <c r="N9730" t="s">
        <v>13580</v>
      </c>
      <c r="O9730" t="s">
        <v>12446</v>
      </c>
      <c r="P9730">
        <v>83100</v>
      </c>
      <c r="Q9730" t="str">
        <f>"37.744210"</f>
        <v>37.744210</v>
      </c>
      <c r="R9730" t="str">
        <f>"26.971768"</f>
        <v>26.971768</v>
      </c>
      <c r="S9730" t="s">
        <v>26</v>
      </c>
    </row>
    <row r="9731" spans="1:19" x14ac:dyDescent="0.3">
      <c r="A9731" t="s">
        <v>12435</v>
      </c>
      <c r="B9731" t="s">
        <v>13382</v>
      </c>
      <c r="C9731" t="s">
        <v>13581</v>
      </c>
      <c r="D9731" t="s">
        <v>12442</v>
      </c>
      <c r="E9731" t="s">
        <v>12443</v>
      </c>
      <c r="F9731" t="s">
        <v>12041</v>
      </c>
      <c r="G9731" t="s">
        <v>12727</v>
      </c>
      <c r="H9731" t="s">
        <v>859</v>
      </c>
      <c r="I9731" t="s">
        <v>860</v>
      </c>
      <c r="J9731" t="str">
        <f>"9521520"</f>
        <v>9521520</v>
      </c>
      <c r="K9731">
        <v>2273023314</v>
      </c>
      <c r="L9731">
        <v>2273023314</v>
      </c>
      <c r="M9731" t="s">
        <v>13582</v>
      </c>
      <c r="N9731" t="s">
        <v>12442</v>
      </c>
      <c r="O9731" t="s">
        <v>13583</v>
      </c>
      <c r="P9731">
        <v>83100</v>
      </c>
      <c r="Q9731" t="str">
        <f>"37.750510"</f>
        <v>37.750510</v>
      </c>
      <c r="R9731" t="str">
        <f>"26.960363"</f>
        <v>26.960363</v>
      </c>
      <c r="S9731" t="s">
        <v>26</v>
      </c>
    </row>
    <row r="9732" spans="1:19" x14ac:dyDescent="0.3">
      <c r="A9732" t="s">
        <v>12435</v>
      </c>
      <c r="B9732" t="s">
        <v>13382</v>
      </c>
      <c r="C9732" t="s">
        <v>13584</v>
      </c>
      <c r="D9732" t="s">
        <v>12442</v>
      </c>
      <c r="E9732" t="s">
        <v>12720</v>
      </c>
      <c r="F9732" t="s">
        <v>12721</v>
      </c>
      <c r="G9732" t="s">
        <v>13545</v>
      </c>
      <c r="H9732" t="s">
        <v>859</v>
      </c>
      <c r="I9732" t="s">
        <v>860</v>
      </c>
      <c r="J9732" t="str">
        <f>"9521239"</f>
        <v>9521239</v>
      </c>
      <c r="K9732">
        <v>2273036403</v>
      </c>
      <c r="L9732">
        <v>2273036403</v>
      </c>
      <c r="M9732" t="s">
        <v>13585</v>
      </c>
      <c r="N9732" t="s">
        <v>13586</v>
      </c>
      <c r="O9732" t="s">
        <v>13548</v>
      </c>
      <c r="P9732">
        <v>83104</v>
      </c>
      <c r="Q9732" t="str">
        <f>"37.708389"</f>
        <v>37.708389</v>
      </c>
      <c r="R9732" t="str">
        <f>"26.746811"</f>
        <v>26.746811</v>
      </c>
      <c r="S9732" t="s">
        <v>26</v>
      </c>
    </row>
    <row r="9733" spans="1:19" x14ac:dyDescent="0.3">
      <c r="A9733" t="s">
        <v>12435</v>
      </c>
      <c r="B9733" t="s">
        <v>13382</v>
      </c>
      <c r="C9733" t="s">
        <v>13591</v>
      </c>
      <c r="D9733" t="s">
        <v>12442</v>
      </c>
      <c r="E9733" t="s">
        <v>12443</v>
      </c>
      <c r="F9733" t="s">
        <v>12041</v>
      </c>
      <c r="G9733" t="s">
        <v>13554</v>
      </c>
      <c r="H9733" t="s">
        <v>859</v>
      </c>
      <c r="I9733" t="s">
        <v>860</v>
      </c>
      <c r="J9733" t="str">
        <f>"9430104"</f>
        <v>9430104</v>
      </c>
      <c r="K9733">
        <v>2273023260</v>
      </c>
      <c r="L9733">
        <v>2273023260</v>
      </c>
      <c r="M9733" t="s">
        <v>13592</v>
      </c>
      <c r="N9733" t="s">
        <v>12442</v>
      </c>
      <c r="O9733" t="s">
        <v>13558</v>
      </c>
      <c r="P9733">
        <v>83100</v>
      </c>
      <c r="Q9733" t="str">
        <f>"37.737103"</f>
        <v>37.737103</v>
      </c>
      <c r="R9733" t="str">
        <f>"26.997573"</f>
        <v>26.997573</v>
      </c>
      <c r="S9733" t="s">
        <v>26</v>
      </c>
    </row>
    <row r="9734" spans="1:19" x14ac:dyDescent="0.3">
      <c r="A9734" t="s">
        <v>12435</v>
      </c>
      <c r="B9734" t="s">
        <v>13593</v>
      </c>
      <c r="C9734" t="s">
        <v>13594</v>
      </c>
      <c r="D9734" t="s">
        <v>12448</v>
      </c>
      <c r="E9734" t="s">
        <v>12448</v>
      </c>
      <c r="F9734" t="s">
        <v>12448</v>
      </c>
      <c r="G9734" t="s">
        <v>12448</v>
      </c>
      <c r="H9734" t="s">
        <v>859</v>
      </c>
      <c r="I9734" t="s">
        <v>860</v>
      </c>
      <c r="J9734" t="str">
        <f>"9510090"</f>
        <v>9510090</v>
      </c>
      <c r="K9734">
        <v>2271028233</v>
      </c>
      <c r="L9734">
        <v>2271081089</v>
      </c>
      <c r="M9734" t="s">
        <v>13595</v>
      </c>
      <c r="N9734" t="s">
        <v>12451</v>
      </c>
      <c r="O9734" t="s">
        <v>13596</v>
      </c>
      <c r="P9734">
        <v>82100</v>
      </c>
      <c r="Q9734" t="str">
        <f>"38.370443"</f>
        <v>38.370443</v>
      </c>
      <c r="R9734" t="str">
        <f>"26.130777"</f>
        <v>26.130777</v>
      </c>
      <c r="S9734" t="s">
        <v>26</v>
      </c>
    </row>
    <row r="9735" spans="1:19" x14ac:dyDescent="0.3">
      <c r="A9735" t="s">
        <v>12435</v>
      </c>
      <c r="B9735" t="s">
        <v>13593</v>
      </c>
      <c r="C9735" t="s">
        <v>13604</v>
      </c>
      <c r="D9735" t="s">
        <v>12448</v>
      </c>
      <c r="E9735" t="s">
        <v>12448</v>
      </c>
      <c r="F9735" t="s">
        <v>12448</v>
      </c>
      <c r="G9735" t="s">
        <v>12448</v>
      </c>
      <c r="H9735" t="s">
        <v>859</v>
      </c>
      <c r="I9735" t="s">
        <v>860</v>
      </c>
      <c r="J9735" t="str">
        <f>"9510022"</f>
        <v>9510022</v>
      </c>
      <c r="K9735">
        <v>2271022208</v>
      </c>
      <c r="L9735">
        <v>2271022208</v>
      </c>
      <c r="M9735" t="s">
        <v>13605</v>
      </c>
      <c r="N9735" t="s">
        <v>13606</v>
      </c>
      <c r="O9735" t="s">
        <v>13607</v>
      </c>
      <c r="P9735">
        <v>82100</v>
      </c>
      <c r="Q9735" t="str">
        <f>"38.360072"</f>
        <v>38.360072</v>
      </c>
      <c r="R9735" t="str">
        <f>"26.130857"</f>
        <v>26.130857</v>
      </c>
      <c r="S9735" t="s">
        <v>26</v>
      </c>
    </row>
    <row r="9736" spans="1:19" x14ac:dyDescent="0.3">
      <c r="A9736" t="s">
        <v>12435</v>
      </c>
      <c r="B9736" t="s">
        <v>13593</v>
      </c>
      <c r="C9736" t="s">
        <v>13608</v>
      </c>
      <c r="D9736" t="s">
        <v>12448</v>
      </c>
      <c r="E9736" t="s">
        <v>12448</v>
      </c>
      <c r="F9736" t="s">
        <v>12448</v>
      </c>
      <c r="G9736" t="s">
        <v>12448</v>
      </c>
      <c r="H9736" t="s">
        <v>859</v>
      </c>
      <c r="I9736" t="s">
        <v>860</v>
      </c>
      <c r="J9736" t="str">
        <f>"9510107"</f>
        <v>9510107</v>
      </c>
      <c r="K9736">
        <v>2271022577</v>
      </c>
      <c r="L9736">
        <v>2271082190</v>
      </c>
      <c r="M9736" t="s">
        <v>13609</v>
      </c>
      <c r="N9736" t="s">
        <v>12448</v>
      </c>
      <c r="O9736" t="s">
        <v>13610</v>
      </c>
      <c r="P9736">
        <v>82100</v>
      </c>
      <c r="Q9736" t="str">
        <f>"38.368780"</f>
        <v>38.368780</v>
      </c>
      <c r="R9736" t="str">
        <f>"26.128930"</f>
        <v>26.128930</v>
      </c>
      <c r="S9736" t="s">
        <v>26</v>
      </c>
    </row>
    <row r="9737" spans="1:19" x14ac:dyDescent="0.3">
      <c r="A9737" t="s">
        <v>12435</v>
      </c>
      <c r="B9737" t="s">
        <v>13593</v>
      </c>
      <c r="C9737" t="s">
        <v>13612</v>
      </c>
      <c r="D9737" t="s">
        <v>12448</v>
      </c>
      <c r="E9737" t="s">
        <v>12448</v>
      </c>
      <c r="F9737" t="s">
        <v>13598</v>
      </c>
      <c r="G9737" t="s">
        <v>13611</v>
      </c>
      <c r="H9737" t="s">
        <v>859</v>
      </c>
      <c r="I9737" t="s">
        <v>860</v>
      </c>
      <c r="J9737" t="str">
        <f>"9510093"</f>
        <v>9510093</v>
      </c>
      <c r="K9737">
        <v>2271078101</v>
      </c>
      <c r="L9737">
        <v>2271078101</v>
      </c>
      <c r="M9737" t="s">
        <v>13613</v>
      </c>
      <c r="N9737" t="s">
        <v>13614</v>
      </c>
      <c r="O9737" t="s">
        <v>13615</v>
      </c>
      <c r="P9737">
        <v>82100</v>
      </c>
      <c r="Q9737" t="str">
        <f>"38.327823"</f>
        <v>38.327823</v>
      </c>
      <c r="R9737" t="str">
        <f>"26.110058"</f>
        <v>26.110058</v>
      </c>
      <c r="S9737" t="s">
        <v>26</v>
      </c>
    </row>
    <row r="9738" spans="1:19" x14ac:dyDescent="0.3">
      <c r="A9738" t="s">
        <v>12435</v>
      </c>
      <c r="B9738" t="s">
        <v>13593</v>
      </c>
      <c r="C9738" t="s">
        <v>13617</v>
      </c>
      <c r="D9738" t="s">
        <v>12448</v>
      </c>
      <c r="E9738" t="s">
        <v>12448</v>
      </c>
      <c r="F9738" t="s">
        <v>12842</v>
      </c>
      <c r="G9738" t="s">
        <v>13616</v>
      </c>
      <c r="H9738" t="s">
        <v>859</v>
      </c>
      <c r="I9738" t="s">
        <v>860</v>
      </c>
      <c r="J9738" t="str">
        <f>"9510087"</f>
        <v>9510087</v>
      </c>
      <c r="K9738">
        <v>2271073207</v>
      </c>
      <c r="M9738" t="s">
        <v>13618</v>
      </c>
      <c r="N9738" t="s">
        <v>13619</v>
      </c>
      <c r="O9738" t="s">
        <v>13620</v>
      </c>
      <c r="P9738">
        <v>82102</v>
      </c>
      <c r="Q9738" t="str">
        <f>"38.331388"</f>
        <v>38.331388</v>
      </c>
      <c r="R9738" t="str">
        <f>"26.000789"</f>
        <v>26.000789</v>
      </c>
      <c r="S9738" t="s">
        <v>26</v>
      </c>
    </row>
    <row r="9739" spans="1:19" x14ac:dyDescent="0.3">
      <c r="A9739" t="s">
        <v>12435</v>
      </c>
      <c r="B9739" t="s">
        <v>13593</v>
      </c>
      <c r="C9739" t="s">
        <v>13621</v>
      </c>
      <c r="D9739" t="s">
        <v>12448</v>
      </c>
      <c r="E9739" t="s">
        <v>12448</v>
      </c>
      <c r="F9739" t="s">
        <v>13598</v>
      </c>
      <c r="G9739" t="s">
        <v>2537</v>
      </c>
      <c r="H9739" t="s">
        <v>859</v>
      </c>
      <c r="I9739" t="s">
        <v>860</v>
      </c>
      <c r="J9739" t="str">
        <f>"9510111"</f>
        <v>9510111</v>
      </c>
      <c r="K9739">
        <v>2271078444</v>
      </c>
      <c r="L9739">
        <v>2271078444</v>
      </c>
      <c r="M9739" t="s">
        <v>13622</v>
      </c>
      <c r="N9739" t="s">
        <v>13614</v>
      </c>
      <c r="O9739" t="s">
        <v>2540</v>
      </c>
      <c r="P9739">
        <v>82100</v>
      </c>
      <c r="Q9739" t="str">
        <f>"38.346990"</f>
        <v>38.346990</v>
      </c>
      <c r="R9739" t="str">
        <f>"26.080240"</f>
        <v>26.080240</v>
      </c>
      <c r="S9739" t="s">
        <v>26</v>
      </c>
    </row>
    <row r="9740" spans="1:19" x14ac:dyDescent="0.3">
      <c r="A9740" t="s">
        <v>12435</v>
      </c>
      <c r="B9740" t="s">
        <v>13593</v>
      </c>
      <c r="C9740" t="s">
        <v>13627</v>
      </c>
      <c r="D9740" t="s">
        <v>12448</v>
      </c>
      <c r="E9740" t="s">
        <v>12448</v>
      </c>
      <c r="F9740" t="s">
        <v>12448</v>
      </c>
      <c r="G9740" t="s">
        <v>12448</v>
      </c>
      <c r="H9740" t="s">
        <v>859</v>
      </c>
      <c r="I9740" t="s">
        <v>860</v>
      </c>
      <c r="J9740" t="str">
        <f>"9510015"</f>
        <v>9510015</v>
      </c>
      <c r="K9740">
        <v>2271028233</v>
      </c>
      <c r="L9740">
        <v>2271081089</v>
      </c>
      <c r="M9740" t="s">
        <v>13628</v>
      </c>
      <c r="N9740" t="s">
        <v>12448</v>
      </c>
      <c r="O9740" t="s">
        <v>13596</v>
      </c>
      <c r="P9740">
        <v>82100</v>
      </c>
      <c r="Q9740" t="str">
        <f>"38.370317"</f>
        <v>38.370317</v>
      </c>
      <c r="R9740" t="str">
        <f>"26.130814"</f>
        <v>26.130814</v>
      </c>
      <c r="S9740" t="s">
        <v>26</v>
      </c>
    </row>
    <row r="9741" spans="1:19" x14ac:dyDescent="0.3">
      <c r="A9741" t="s">
        <v>12435</v>
      </c>
      <c r="B9741" t="s">
        <v>13593</v>
      </c>
      <c r="C9741" t="s">
        <v>13630</v>
      </c>
      <c r="D9741" t="s">
        <v>12448</v>
      </c>
      <c r="E9741" t="s">
        <v>12448</v>
      </c>
      <c r="F9741" t="s">
        <v>12809</v>
      </c>
      <c r="G9741" t="s">
        <v>13629</v>
      </c>
      <c r="H9741" t="s">
        <v>859</v>
      </c>
      <c r="I9741" t="s">
        <v>860</v>
      </c>
      <c r="J9741" t="str">
        <f>"9510099"</f>
        <v>9510099</v>
      </c>
      <c r="K9741">
        <v>2271062004</v>
      </c>
      <c r="L9741">
        <v>2271061334</v>
      </c>
      <c r="M9741" t="s">
        <v>13631</v>
      </c>
      <c r="N9741" t="s">
        <v>13632</v>
      </c>
      <c r="O9741" t="s">
        <v>13633</v>
      </c>
      <c r="P9741">
        <v>82102</v>
      </c>
      <c r="Q9741" t="str">
        <f>"38.266135"</f>
        <v>38.266135</v>
      </c>
      <c r="R9741" t="str">
        <f>"26.101474"</f>
        <v>26.101474</v>
      </c>
      <c r="S9741" t="s">
        <v>26</v>
      </c>
    </row>
    <row r="9742" spans="1:19" x14ac:dyDescent="0.3">
      <c r="A9742" t="s">
        <v>12435</v>
      </c>
      <c r="B9742" t="s">
        <v>13593</v>
      </c>
      <c r="C9742" t="s">
        <v>13634</v>
      </c>
      <c r="D9742" t="s">
        <v>12448</v>
      </c>
      <c r="E9742" t="s">
        <v>12448</v>
      </c>
      <c r="F9742" t="s">
        <v>12448</v>
      </c>
      <c r="G9742" t="s">
        <v>12448</v>
      </c>
      <c r="H9742" t="s">
        <v>859</v>
      </c>
      <c r="I9742" t="s">
        <v>860</v>
      </c>
      <c r="J9742" t="str">
        <f>"9510108"</f>
        <v>9510108</v>
      </c>
      <c r="K9742">
        <v>2271028740</v>
      </c>
      <c r="L9742">
        <v>2271028740</v>
      </c>
      <c r="M9742" t="s">
        <v>13635</v>
      </c>
      <c r="N9742" t="s">
        <v>12448</v>
      </c>
      <c r="O9742" t="s">
        <v>13636</v>
      </c>
      <c r="P9742">
        <v>82100</v>
      </c>
      <c r="Q9742" t="str">
        <f>"38.373958"</f>
        <v>38.373958</v>
      </c>
      <c r="R9742" t="str">
        <f>"26.125563"</f>
        <v>26.125563</v>
      </c>
      <c r="S9742" t="s">
        <v>26</v>
      </c>
    </row>
    <row r="9743" spans="1:19" x14ac:dyDescent="0.3">
      <c r="A9743" t="s">
        <v>12435</v>
      </c>
      <c r="B9743" t="s">
        <v>13593</v>
      </c>
      <c r="C9743" t="s">
        <v>13637</v>
      </c>
      <c r="D9743" t="s">
        <v>12448</v>
      </c>
      <c r="E9743" t="s">
        <v>12816</v>
      </c>
      <c r="F9743" t="s">
        <v>12816</v>
      </c>
      <c r="G9743" t="s">
        <v>12816</v>
      </c>
      <c r="H9743" t="s">
        <v>859</v>
      </c>
      <c r="I9743" t="s">
        <v>860</v>
      </c>
      <c r="J9743" t="str">
        <f>"9510086"</f>
        <v>9510086</v>
      </c>
      <c r="K9743">
        <v>2271055725</v>
      </c>
      <c r="L9743">
        <v>2271055412</v>
      </c>
      <c r="M9743" t="s">
        <v>13638</v>
      </c>
      <c r="N9743" t="s">
        <v>12816</v>
      </c>
      <c r="O9743" t="s">
        <v>12820</v>
      </c>
      <c r="P9743">
        <v>82101</v>
      </c>
      <c r="Q9743" t="str">
        <f>"38.516971"</f>
        <v>38.516971</v>
      </c>
      <c r="R9743" t="str">
        <f>"26.217563"</f>
        <v>26.217563</v>
      </c>
      <c r="S9743" t="s">
        <v>57</v>
      </c>
    </row>
    <row r="9744" spans="1:19" x14ac:dyDescent="0.3">
      <c r="A9744" t="s">
        <v>12435</v>
      </c>
      <c r="B9744" t="s">
        <v>13593</v>
      </c>
      <c r="C9744" t="s">
        <v>13639</v>
      </c>
      <c r="D9744" t="s">
        <v>12448</v>
      </c>
      <c r="E9744" t="s">
        <v>12448</v>
      </c>
      <c r="F9744" t="s">
        <v>12448</v>
      </c>
      <c r="G9744" t="s">
        <v>12448</v>
      </c>
      <c r="H9744" t="s">
        <v>859</v>
      </c>
      <c r="I9744" t="s">
        <v>860</v>
      </c>
      <c r="J9744" t="str">
        <f>"9510078"</f>
        <v>9510078</v>
      </c>
      <c r="K9744">
        <v>2271023533</v>
      </c>
      <c r="L9744">
        <v>2271023533</v>
      </c>
      <c r="M9744" t="s">
        <v>13640</v>
      </c>
      <c r="N9744" t="s">
        <v>12448</v>
      </c>
      <c r="O9744" t="s">
        <v>13641</v>
      </c>
      <c r="P9744">
        <v>82100</v>
      </c>
      <c r="Q9744" t="str">
        <f>"38.366316"</f>
        <v>38.366316</v>
      </c>
      <c r="R9744" t="str">
        <f>"26.130957"</f>
        <v>26.130957</v>
      </c>
      <c r="S9744" t="s">
        <v>26</v>
      </c>
    </row>
    <row r="9745" spans="1:19" x14ac:dyDescent="0.3">
      <c r="A9745" t="s">
        <v>12435</v>
      </c>
      <c r="B9745" t="s">
        <v>13593</v>
      </c>
      <c r="C9745" t="s">
        <v>13642</v>
      </c>
      <c r="D9745" t="s">
        <v>12448</v>
      </c>
      <c r="E9745" t="s">
        <v>12448</v>
      </c>
      <c r="F9745" t="s">
        <v>12448</v>
      </c>
      <c r="G9745" t="s">
        <v>12448</v>
      </c>
      <c r="H9745" t="s">
        <v>859</v>
      </c>
      <c r="I9745" t="s">
        <v>860</v>
      </c>
      <c r="J9745" t="str">
        <f>"9510024"</f>
        <v>9510024</v>
      </c>
      <c r="K9745">
        <v>2271020092</v>
      </c>
      <c r="M9745" t="s">
        <v>13643</v>
      </c>
      <c r="N9745" t="s">
        <v>12448</v>
      </c>
      <c r="O9745" t="s">
        <v>13644</v>
      </c>
      <c r="P9745">
        <v>82100</v>
      </c>
      <c r="Q9745" t="str">
        <f>"38.384148"</f>
        <v>38.384148</v>
      </c>
      <c r="R9745" t="str">
        <f>"26.132438"</f>
        <v>26.132438</v>
      </c>
      <c r="S9745" t="s">
        <v>26</v>
      </c>
    </row>
    <row r="9746" spans="1:19" x14ac:dyDescent="0.3">
      <c r="A9746" t="s">
        <v>12435</v>
      </c>
      <c r="B9746" t="s">
        <v>13593</v>
      </c>
      <c r="C9746" t="s">
        <v>13651</v>
      </c>
      <c r="D9746" t="s">
        <v>12448</v>
      </c>
      <c r="E9746" t="s">
        <v>12448</v>
      </c>
      <c r="F9746" t="s">
        <v>12448</v>
      </c>
      <c r="G9746" t="s">
        <v>12448</v>
      </c>
      <c r="H9746" t="s">
        <v>859</v>
      </c>
      <c r="I9746" t="s">
        <v>1102</v>
      </c>
      <c r="J9746" t="str">
        <f>"9510112"</f>
        <v>9510112</v>
      </c>
      <c r="K9746">
        <v>2271041946</v>
      </c>
      <c r="M9746" t="s">
        <v>13652</v>
      </c>
      <c r="N9746" t="s">
        <v>12451</v>
      </c>
      <c r="O9746" t="s">
        <v>13653</v>
      </c>
      <c r="P9746">
        <v>82100</v>
      </c>
      <c r="Q9746" t="str">
        <f>"38.393678"</f>
        <v>38.393678</v>
      </c>
      <c r="R9746" t="str">
        <f>"26.130751"</f>
        <v>26.130751</v>
      </c>
      <c r="S9746" t="s">
        <v>26</v>
      </c>
    </row>
    <row r="9747" spans="1:19" x14ac:dyDescent="0.3">
      <c r="A9747" t="s">
        <v>12435</v>
      </c>
      <c r="B9747" t="s">
        <v>13593</v>
      </c>
      <c r="C9747" t="s">
        <v>13659</v>
      </c>
      <c r="D9747" t="s">
        <v>12448</v>
      </c>
      <c r="E9747" t="s">
        <v>12448</v>
      </c>
      <c r="F9747" t="s">
        <v>12809</v>
      </c>
      <c r="G9747" t="s">
        <v>13658</v>
      </c>
      <c r="H9747" t="s">
        <v>859</v>
      </c>
      <c r="I9747" t="s">
        <v>860</v>
      </c>
      <c r="J9747" t="str">
        <f>"9510085"</f>
        <v>9510085</v>
      </c>
      <c r="K9747">
        <v>2271061891</v>
      </c>
      <c r="L9747">
        <v>2271061891</v>
      </c>
      <c r="M9747" t="s">
        <v>13660</v>
      </c>
      <c r="N9747" t="s">
        <v>13658</v>
      </c>
      <c r="O9747" t="s">
        <v>13661</v>
      </c>
      <c r="P9747">
        <v>82102</v>
      </c>
      <c r="Q9747" t="str">
        <f>"38.240097"</f>
        <v>38.240097</v>
      </c>
      <c r="R9747" t="str">
        <f>"26.093307"</f>
        <v>26.093307</v>
      </c>
      <c r="S9747" t="s">
        <v>26</v>
      </c>
    </row>
    <row r="9748" spans="1:19" x14ac:dyDescent="0.3">
      <c r="A9748" t="s">
        <v>12435</v>
      </c>
      <c r="B9748" t="s">
        <v>13593</v>
      </c>
      <c r="C9748" t="s">
        <v>13669</v>
      </c>
      <c r="D9748" t="s">
        <v>12448</v>
      </c>
      <c r="E9748" t="s">
        <v>12448</v>
      </c>
      <c r="F9748" t="s">
        <v>12802</v>
      </c>
      <c r="G9748" t="s">
        <v>12803</v>
      </c>
      <c r="H9748" t="s">
        <v>859</v>
      </c>
      <c r="I9748" t="s">
        <v>860</v>
      </c>
      <c r="J9748" t="str">
        <f>"9510109"</f>
        <v>9510109</v>
      </c>
      <c r="K9748">
        <v>2274021429</v>
      </c>
      <c r="L9748">
        <v>2274021429</v>
      </c>
      <c r="M9748" t="s">
        <v>13670</v>
      </c>
      <c r="N9748" t="s">
        <v>12803</v>
      </c>
      <c r="O9748" t="s">
        <v>12806</v>
      </c>
      <c r="P9748">
        <v>82103</v>
      </c>
      <c r="Q9748" t="str">
        <f>"38.481557"</f>
        <v>38.481557</v>
      </c>
      <c r="R9748" t="str">
        <f>"25.925015"</f>
        <v>25.925015</v>
      </c>
      <c r="S9748" t="s">
        <v>57</v>
      </c>
    </row>
    <row r="9749" spans="1:19" x14ac:dyDescent="0.3">
      <c r="A9749" t="s">
        <v>12435</v>
      </c>
      <c r="B9749" t="s">
        <v>13593</v>
      </c>
      <c r="C9749" t="s">
        <v>13676</v>
      </c>
      <c r="D9749" t="s">
        <v>12448</v>
      </c>
      <c r="E9749" t="s">
        <v>12448</v>
      </c>
      <c r="F9749" t="s">
        <v>12842</v>
      </c>
      <c r="G9749" t="s">
        <v>12843</v>
      </c>
      <c r="H9749" t="s">
        <v>859</v>
      </c>
      <c r="I9749" t="s">
        <v>860</v>
      </c>
      <c r="J9749" t="str">
        <f>"9510092"</f>
        <v>9510092</v>
      </c>
      <c r="K9749">
        <v>2271071216</v>
      </c>
      <c r="L9749">
        <v>2271071216</v>
      </c>
      <c r="M9749" t="s">
        <v>13677</v>
      </c>
      <c r="N9749" t="s">
        <v>12843</v>
      </c>
      <c r="O9749" t="s">
        <v>12847</v>
      </c>
      <c r="P9749">
        <v>82102</v>
      </c>
      <c r="Q9749" t="str">
        <f>"38.232831"</f>
        <v>38.232831</v>
      </c>
      <c r="R9749" t="str">
        <f>"26.046786"</f>
        <v>26.046786</v>
      </c>
      <c r="S9749" t="s">
        <v>26</v>
      </c>
    </row>
    <row r="9750" spans="1:19" x14ac:dyDescent="0.3">
      <c r="A9750" t="s">
        <v>12435</v>
      </c>
      <c r="B9750" t="s">
        <v>13593</v>
      </c>
      <c r="C9750" t="s">
        <v>13679</v>
      </c>
      <c r="D9750" t="s">
        <v>12448</v>
      </c>
      <c r="E9750" t="s">
        <v>12448</v>
      </c>
      <c r="F9750" t="s">
        <v>12827</v>
      </c>
      <c r="G9750" t="s">
        <v>13678</v>
      </c>
      <c r="H9750" t="s">
        <v>859</v>
      </c>
      <c r="I9750" t="s">
        <v>860</v>
      </c>
      <c r="J9750" t="str">
        <f>"9510095"</f>
        <v>9510095</v>
      </c>
      <c r="K9750">
        <v>2271079220</v>
      </c>
      <c r="L9750">
        <v>2271079215</v>
      </c>
      <c r="M9750" t="s">
        <v>13680</v>
      </c>
      <c r="N9750" t="s">
        <v>13678</v>
      </c>
      <c r="O9750" t="s">
        <v>13681</v>
      </c>
      <c r="P9750">
        <v>82100</v>
      </c>
      <c r="Q9750" t="str">
        <f>"38.390133"</f>
        <v>38.390133</v>
      </c>
      <c r="R9750" t="str">
        <f>"26.097899"</f>
        <v>26.097899</v>
      </c>
      <c r="S9750" t="s">
        <v>26</v>
      </c>
    </row>
    <row r="9751" spans="1:19" x14ac:dyDescent="0.3">
      <c r="A9751" t="s">
        <v>12435</v>
      </c>
      <c r="B9751" t="s">
        <v>13593</v>
      </c>
      <c r="C9751" t="s">
        <v>13682</v>
      </c>
      <c r="D9751" t="s">
        <v>12448</v>
      </c>
      <c r="E9751" t="s">
        <v>12448</v>
      </c>
      <c r="F9751" t="s">
        <v>12448</v>
      </c>
      <c r="G9751" t="s">
        <v>12448</v>
      </c>
      <c r="H9751" t="s">
        <v>859</v>
      </c>
      <c r="I9751" t="s">
        <v>860</v>
      </c>
      <c r="J9751" t="str">
        <f>"9510079"</f>
        <v>9510079</v>
      </c>
      <c r="K9751">
        <v>2271022390</v>
      </c>
      <c r="L9751">
        <v>2271022390</v>
      </c>
      <c r="M9751" t="s">
        <v>13683</v>
      </c>
      <c r="N9751" t="s">
        <v>13684</v>
      </c>
      <c r="O9751" t="s">
        <v>13685</v>
      </c>
      <c r="P9751">
        <v>82100</v>
      </c>
      <c r="Q9751" t="str">
        <f>"38.393053"</f>
        <v>38.393053</v>
      </c>
      <c r="R9751" t="str">
        <f>"26.133827"</f>
        <v>26.133827</v>
      </c>
      <c r="S9751" t="s">
        <v>26</v>
      </c>
    </row>
    <row r="9752" spans="1:19" x14ac:dyDescent="0.3">
      <c r="A9752" t="s">
        <v>12435</v>
      </c>
      <c r="B9752" t="s">
        <v>13593</v>
      </c>
      <c r="C9752" t="s">
        <v>13687</v>
      </c>
      <c r="D9752" t="s">
        <v>12448</v>
      </c>
      <c r="E9752" t="s">
        <v>12448</v>
      </c>
      <c r="F9752" t="s">
        <v>12827</v>
      </c>
      <c r="G9752" t="s">
        <v>13686</v>
      </c>
      <c r="H9752" t="s">
        <v>859</v>
      </c>
      <c r="I9752" t="s">
        <v>860</v>
      </c>
      <c r="J9752" t="str">
        <f>"9510094"</f>
        <v>9510094</v>
      </c>
      <c r="K9752">
        <v>2271074733</v>
      </c>
      <c r="L9752">
        <v>2271074733</v>
      </c>
      <c r="M9752" t="s">
        <v>13688</v>
      </c>
      <c r="N9752" t="s">
        <v>13686</v>
      </c>
      <c r="O9752" t="s">
        <v>13689</v>
      </c>
      <c r="P9752">
        <v>82300</v>
      </c>
      <c r="Q9752" t="str">
        <f>"38.479660"</f>
        <v>38.479660</v>
      </c>
      <c r="R9752" t="str">
        <f>"26.125433"</f>
        <v>26.125433</v>
      </c>
      <c r="S9752" t="s">
        <v>26</v>
      </c>
    </row>
    <row r="9753" spans="1:19" x14ac:dyDescent="0.3">
      <c r="A9753" t="s">
        <v>12435</v>
      </c>
      <c r="B9753" t="s">
        <v>13593</v>
      </c>
      <c r="C9753" t="s">
        <v>13691</v>
      </c>
      <c r="D9753" t="s">
        <v>12448</v>
      </c>
      <c r="E9753" t="s">
        <v>12448</v>
      </c>
      <c r="F9753" t="s">
        <v>12827</v>
      </c>
      <c r="G9753" t="s">
        <v>13690</v>
      </c>
      <c r="H9753" t="s">
        <v>859</v>
      </c>
      <c r="I9753" t="s">
        <v>860</v>
      </c>
      <c r="J9753" t="str">
        <f>"9510082"</f>
        <v>9510082</v>
      </c>
      <c r="K9753">
        <v>2271074209</v>
      </c>
      <c r="L9753">
        <v>2271074209</v>
      </c>
      <c r="M9753" t="s">
        <v>13692</v>
      </c>
      <c r="N9753" t="s">
        <v>13690</v>
      </c>
      <c r="O9753" t="s">
        <v>13693</v>
      </c>
      <c r="P9753">
        <v>82300</v>
      </c>
      <c r="Q9753" t="str">
        <f>"38.463761"</f>
        <v>38.463761</v>
      </c>
      <c r="R9753" t="str">
        <f>"26.125303"</f>
        <v>26.125303</v>
      </c>
      <c r="S9753" t="s">
        <v>26</v>
      </c>
    </row>
    <row r="9754" spans="1:19" x14ac:dyDescent="0.3">
      <c r="A9754" t="s">
        <v>12435</v>
      </c>
      <c r="B9754" t="s">
        <v>13593</v>
      </c>
      <c r="C9754" t="s">
        <v>13694</v>
      </c>
      <c r="D9754" t="s">
        <v>12448</v>
      </c>
      <c r="E9754" t="s">
        <v>12892</v>
      </c>
      <c r="F9754" t="s">
        <v>12892</v>
      </c>
      <c r="G9754" t="s">
        <v>12892</v>
      </c>
      <c r="H9754" t="s">
        <v>859</v>
      </c>
      <c r="I9754" t="s">
        <v>860</v>
      </c>
      <c r="J9754" t="str">
        <f>"9510106"</f>
        <v>9510106</v>
      </c>
      <c r="K9754">
        <v>2274061354</v>
      </c>
      <c r="L9754">
        <v>2274061354</v>
      </c>
      <c r="M9754" t="s">
        <v>13695</v>
      </c>
      <c r="N9754" t="s">
        <v>12892</v>
      </c>
      <c r="O9754" t="s">
        <v>13696</v>
      </c>
      <c r="P9754">
        <v>82104</v>
      </c>
      <c r="Q9754" t="str">
        <f>"38.541705"</f>
        <v>38.541705</v>
      </c>
      <c r="R9754" t="str">
        <f>"25.562576"</f>
        <v>25.562576</v>
      </c>
      <c r="S9754" t="s">
        <v>57</v>
      </c>
    </row>
    <row r="9755" spans="1:19" x14ac:dyDescent="0.3">
      <c r="A9755" t="s">
        <v>12435</v>
      </c>
      <c r="B9755" t="s">
        <v>13593</v>
      </c>
      <c r="C9755" t="s">
        <v>13697</v>
      </c>
      <c r="D9755" t="s">
        <v>12448</v>
      </c>
      <c r="E9755" t="s">
        <v>12448</v>
      </c>
      <c r="F9755" t="s">
        <v>12822</v>
      </c>
      <c r="G9755" t="s">
        <v>12822</v>
      </c>
      <c r="H9755" t="s">
        <v>859</v>
      </c>
      <c r="I9755" t="s">
        <v>860</v>
      </c>
      <c r="J9755" t="str">
        <f>"9510008"</f>
        <v>9510008</v>
      </c>
      <c r="K9755">
        <v>2272022342</v>
      </c>
      <c r="L9755">
        <v>2272022342</v>
      </c>
      <c r="M9755" t="s">
        <v>13698</v>
      </c>
      <c r="N9755" t="s">
        <v>12822</v>
      </c>
      <c r="O9755" t="s">
        <v>12825</v>
      </c>
      <c r="P9755">
        <v>82300</v>
      </c>
      <c r="Q9755" t="str">
        <f>"38.529920"</f>
        <v>38.529920</v>
      </c>
      <c r="R9755" t="str">
        <f>"26.093502"</f>
        <v>26.093502</v>
      </c>
      <c r="S9755" t="s">
        <v>26</v>
      </c>
    </row>
    <row r="9756" spans="1:19" x14ac:dyDescent="0.3">
      <c r="A9756" t="s">
        <v>12435</v>
      </c>
      <c r="B9756" t="s">
        <v>13593</v>
      </c>
      <c r="C9756" t="s">
        <v>13699</v>
      </c>
      <c r="D9756" t="s">
        <v>12448</v>
      </c>
      <c r="E9756" t="s">
        <v>12448</v>
      </c>
      <c r="F9756" t="s">
        <v>12448</v>
      </c>
      <c r="G9756" t="s">
        <v>12448</v>
      </c>
      <c r="H9756" t="s">
        <v>859</v>
      </c>
      <c r="I9756" t="s">
        <v>860</v>
      </c>
      <c r="J9756" t="str">
        <f>"9510096"</f>
        <v>9510096</v>
      </c>
      <c r="K9756">
        <v>2271031885</v>
      </c>
      <c r="L9756">
        <v>2271031885</v>
      </c>
      <c r="M9756" t="s">
        <v>13700</v>
      </c>
      <c r="N9756" t="s">
        <v>13701</v>
      </c>
      <c r="O9756" t="s">
        <v>13702</v>
      </c>
      <c r="P9756">
        <v>82100</v>
      </c>
      <c r="Q9756" t="str">
        <f>"38.326153"</f>
        <v>38.326153</v>
      </c>
      <c r="R9756" t="str">
        <f>"26.129951"</f>
        <v>26.129951</v>
      </c>
      <c r="S9756" t="s">
        <v>26</v>
      </c>
    </row>
    <row r="9757" spans="1:19" x14ac:dyDescent="0.3">
      <c r="A9757" t="s">
        <v>12435</v>
      </c>
      <c r="B9757" t="s">
        <v>13593</v>
      </c>
      <c r="C9757" t="s">
        <v>13703</v>
      </c>
      <c r="D9757" t="s">
        <v>12448</v>
      </c>
      <c r="E9757" t="s">
        <v>12448</v>
      </c>
      <c r="F9757" t="s">
        <v>12448</v>
      </c>
      <c r="G9757" t="s">
        <v>12448</v>
      </c>
      <c r="H9757" t="s">
        <v>859</v>
      </c>
      <c r="I9757" t="s">
        <v>860</v>
      </c>
      <c r="J9757" t="str">
        <f>"9510018"</f>
        <v>9510018</v>
      </c>
      <c r="K9757">
        <v>2271020333</v>
      </c>
      <c r="M9757" t="s">
        <v>13704</v>
      </c>
      <c r="N9757" t="s">
        <v>12448</v>
      </c>
      <c r="O9757" t="s">
        <v>13705</v>
      </c>
      <c r="P9757">
        <v>82100</v>
      </c>
      <c r="Q9757" t="str">
        <f>"38.364524"</f>
        <v>38.364524</v>
      </c>
      <c r="R9757" t="str">
        <f>"26.138976"</f>
        <v>26.138976</v>
      </c>
      <c r="S9757" t="s">
        <v>26</v>
      </c>
    </row>
    <row r="9758" spans="1:19" x14ac:dyDescent="0.3">
      <c r="A9758" t="s">
        <v>12435</v>
      </c>
      <c r="B9758" t="s">
        <v>13593</v>
      </c>
      <c r="C9758" t="s">
        <v>13706</v>
      </c>
      <c r="D9758" t="s">
        <v>12448</v>
      </c>
      <c r="E9758" t="s">
        <v>12448</v>
      </c>
      <c r="F9758" t="s">
        <v>12827</v>
      </c>
      <c r="G9758" t="s">
        <v>12828</v>
      </c>
      <c r="H9758" t="s">
        <v>859</v>
      </c>
      <c r="I9758" t="s">
        <v>860</v>
      </c>
      <c r="J9758" t="str">
        <f>"9510006"</f>
        <v>9510006</v>
      </c>
      <c r="K9758">
        <v>2271093427</v>
      </c>
      <c r="L9758">
        <v>2271093427</v>
      </c>
      <c r="M9758" t="s">
        <v>13707</v>
      </c>
      <c r="N9758" t="s">
        <v>12828</v>
      </c>
      <c r="O9758" t="s">
        <v>13708</v>
      </c>
      <c r="P9758">
        <v>82200</v>
      </c>
      <c r="Q9758" t="str">
        <f>"38.416694"</f>
        <v>38.416694</v>
      </c>
      <c r="R9758" t="str">
        <f>"26.129792"</f>
        <v>26.129792</v>
      </c>
      <c r="S9758" t="s">
        <v>26</v>
      </c>
    </row>
    <row r="9759" spans="1:19" x14ac:dyDescent="0.3">
      <c r="A9759" t="s">
        <v>12435</v>
      </c>
      <c r="B9759" t="s">
        <v>13593</v>
      </c>
      <c r="C9759" t="s">
        <v>13709</v>
      </c>
      <c r="D9759" t="s">
        <v>12448</v>
      </c>
      <c r="E9759" t="s">
        <v>12448</v>
      </c>
      <c r="F9759" t="s">
        <v>12448</v>
      </c>
      <c r="G9759" t="s">
        <v>12448</v>
      </c>
      <c r="H9759" t="s">
        <v>859</v>
      </c>
      <c r="I9759" t="s">
        <v>860</v>
      </c>
      <c r="J9759" t="str">
        <f>"9510077"</f>
        <v>9510077</v>
      </c>
      <c r="K9759">
        <v>2271020666</v>
      </c>
      <c r="L9759">
        <v>2271020666</v>
      </c>
      <c r="M9759" t="s">
        <v>13710</v>
      </c>
      <c r="N9759" t="s">
        <v>12448</v>
      </c>
      <c r="O9759" t="s">
        <v>13705</v>
      </c>
      <c r="P9759">
        <v>82132</v>
      </c>
      <c r="Q9759" t="str">
        <f>"38.364524"</f>
        <v>38.364524</v>
      </c>
      <c r="R9759" t="str">
        <f>"26.138976"</f>
        <v>26.138976</v>
      </c>
      <c r="S9759" t="s">
        <v>26</v>
      </c>
    </row>
    <row r="9760" spans="1:19" x14ac:dyDescent="0.3">
      <c r="A9760" t="s">
        <v>12435</v>
      </c>
      <c r="B9760" t="s">
        <v>13593</v>
      </c>
      <c r="C9760" t="s">
        <v>13711</v>
      </c>
      <c r="D9760" t="s">
        <v>12448</v>
      </c>
      <c r="E9760" t="s">
        <v>12448</v>
      </c>
      <c r="F9760" t="s">
        <v>12448</v>
      </c>
      <c r="G9760" t="s">
        <v>12448</v>
      </c>
      <c r="H9760" t="s">
        <v>859</v>
      </c>
      <c r="I9760" t="s">
        <v>860</v>
      </c>
      <c r="J9760" t="str">
        <f>"9510089"</f>
        <v>9510089</v>
      </c>
      <c r="K9760">
        <v>2271020568</v>
      </c>
      <c r="M9760" t="s">
        <v>13712</v>
      </c>
      <c r="N9760" t="s">
        <v>12448</v>
      </c>
      <c r="O9760" t="s">
        <v>13713</v>
      </c>
      <c r="P9760">
        <v>82100</v>
      </c>
      <c r="Q9760" t="str">
        <f>"38.376128"</f>
        <v>38.376128</v>
      </c>
      <c r="R9760" t="str">
        <f>"26.134135"</f>
        <v>26.134135</v>
      </c>
      <c r="S9760" t="s">
        <v>26</v>
      </c>
    </row>
    <row r="9761" spans="1:19" x14ac:dyDescent="0.3">
      <c r="A9761" t="s">
        <v>12435</v>
      </c>
      <c r="B9761" t="s">
        <v>13593</v>
      </c>
      <c r="C9761" t="s">
        <v>13714</v>
      </c>
      <c r="D9761" t="s">
        <v>12448</v>
      </c>
      <c r="E9761" t="s">
        <v>12448</v>
      </c>
      <c r="F9761" t="s">
        <v>12448</v>
      </c>
      <c r="G9761" t="s">
        <v>12448</v>
      </c>
      <c r="H9761" t="s">
        <v>859</v>
      </c>
      <c r="I9761" t="s">
        <v>860</v>
      </c>
      <c r="J9761" t="str">
        <f>"9510097"</f>
        <v>9510097</v>
      </c>
      <c r="K9761">
        <v>2271020635</v>
      </c>
      <c r="L9761">
        <v>2271020635</v>
      </c>
      <c r="M9761" t="s">
        <v>13715</v>
      </c>
      <c r="N9761" t="s">
        <v>12448</v>
      </c>
      <c r="O9761" t="s">
        <v>13716</v>
      </c>
      <c r="P9761">
        <v>82100</v>
      </c>
      <c r="Q9761" t="str">
        <f>"38.367170"</f>
        <v>38.367170</v>
      </c>
      <c r="R9761" t="str">
        <f>"26.127487"</f>
        <v>26.127487</v>
      </c>
      <c r="S9761" t="s">
        <v>26</v>
      </c>
    </row>
    <row r="9762" spans="1:19" x14ac:dyDescent="0.3">
      <c r="A9762" t="s">
        <v>12435</v>
      </c>
      <c r="B9762" t="s">
        <v>13593</v>
      </c>
      <c r="C9762" t="s">
        <v>13717</v>
      </c>
      <c r="D9762" t="s">
        <v>12448</v>
      </c>
      <c r="E9762" t="s">
        <v>12448</v>
      </c>
      <c r="F9762" t="s">
        <v>12809</v>
      </c>
      <c r="G9762" t="s">
        <v>13654</v>
      </c>
      <c r="H9762" t="s">
        <v>859</v>
      </c>
      <c r="I9762" t="s">
        <v>860</v>
      </c>
      <c r="J9762" t="str">
        <f>"9510084"</f>
        <v>9510084</v>
      </c>
      <c r="K9762">
        <v>2271051137</v>
      </c>
      <c r="L9762">
        <v>2271051137</v>
      </c>
      <c r="M9762" t="s">
        <v>13718</v>
      </c>
      <c r="N9762" t="s">
        <v>13654</v>
      </c>
      <c r="O9762" t="s">
        <v>13719</v>
      </c>
      <c r="P9762">
        <v>82100</v>
      </c>
      <c r="Q9762" t="str">
        <f>"38.295140"</f>
        <v>38.295140</v>
      </c>
      <c r="R9762" t="str">
        <f>"26.073581"</f>
        <v>26.073581</v>
      </c>
      <c r="S9762" t="s">
        <v>26</v>
      </c>
    </row>
    <row r="9763" spans="1:19" x14ac:dyDescent="0.3">
      <c r="A9763" t="s">
        <v>12435</v>
      </c>
      <c r="B9763" t="s">
        <v>13593</v>
      </c>
      <c r="C9763" t="s">
        <v>13727</v>
      </c>
      <c r="D9763" t="s">
        <v>12448</v>
      </c>
      <c r="E9763" t="s">
        <v>12448</v>
      </c>
      <c r="F9763" t="s">
        <v>12448</v>
      </c>
      <c r="G9763" t="s">
        <v>12448</v>
      </c>
      <c r="H9763" t="s">
        <v>859</v>
      </c>
      <c r="I9763" t="s">
        <v>860</v>
      </c>
      <c r="J9763" t="str">
        <f>"9510020"</f>
        <v>9510020</v>
      </c>
      <c r="K9763">
        <v>2271020525</v>
      </c>
      <c r="L9763">
        <v>2271081086</v>
      </c>
      <c r="M9763" t="s">
        <v>13728</v>
      </c>
      <c r="N9763" t="s">
        <v>12448</v>
      </c>
      <c r="O9763" t="s">
        <v>13713</v>
      </c>
      <c r="P9763">
        <v>82100</v>
      </c>
      <c r="Q9763" t="str">
        <f>"38.376128"</f>
        <v>38.376128</v>
      </c>
      <c r="R9763" t="str">
        <f>"26.134135"</f>
        <v>26.134135</v>
      </c>
      <c r="S9763" t="s">
        <v>26</v>
      </c>
    </row>
    <row r="9764" spans="1:19" x14ac:dyDescent="0.3">
      <c r="A9764" t="s">
        <v>12435</v>
      </c>
      <c r="B9764" t="s">
        <v>13593</v>
      </c>
      <c r="C9764" t="s">
        <v>13731</v>
      </c>
      <c r="D9764" t="s">
        <v>12448</v>
      </c>
      <c r="E9764" t="s">
        <v>12448</v>
      </c>
      <c r="F9764" t="s">
        <v>12827</v>
      </c>
      <c r="G9764" t="s">
        <v>12828</v>
      </c>
      <c r="H9764" t="s">
        <v>859</v>
      </c>
      <c r="I9764" t="s">
        <v>860</v>
      </c>
      <c r="J9764" t="str">
        <f>"9510003"</f>
        <v>9510003</v>
      </c>
      <c r="K9764">
        <v>2271092457</v>
      </c>
      <c r="L9764">
        <v>2271092457</v>
      </c>
      <c r="M9764" t="s">
        <v>13732</v>
      </c>
      <c r="N9764" t="s">
        <v>12828</v>
      </c>
      <c r="O9764" t="s">
        <v>13733</v>
      </c>
      <c r="P9764">
        <v>82200</v>
      </c>
      <c r="Q9764" t="str">
        <f>"38.411773"</f>
        <v>38.411773</v>
      </c>
      <c r="R9764" t="str">
        <f>"26.127076"</f>
        <v>26.127076</v>
      </c>
      <c r="S9764" t="s">
        <v>26</v>
      </c>
    </row>
    <row r="9765" spans="1:19" x14ac:dyDescent="0.3">
      <c r="A9765" t="s">
        <v>12435</v>
      </c>
      <c r="B9765" t="s">
        <v>13593</v>
      </c>
      <c r="C9765" t="s">
        <v>13742</v>
      </c>
      <c r="D9765" t="s">
        <v>12448</v>
      </c>
      <c r="E9765" t="s">
        <v>12448</v>
      </c>
      <c r="F9765" t="s">
        <v>12842</v>
      </c>
      <c r="G9765" t="s">
        <v>13623</v>
      </c>
      <c r="H9765" t="s">
        <v>859</v>
      </c>
      <c r="I9765" t="s">
        <v>860</v>
      </c>
      <c r="J9765" t="str">
        <f>"9510067"</f>
        <v>9510067</v>
      </c>
      <c r="K9765">
        <v>2271072640</v>
      </c>
      <c r="M9765" t="s">
        <v>13743</v>
      </c>
      <c r="N9765" t="s">
        <v>13623</v>
      </c>
      <c r="O9765" t="s">
        <v>13626</v>
      </c>
      <c r="P9765">
        <v>82102</v>
      </c>
      <c r="Q9765" t="str">
        <f>"38.225576"</f>
        <v>38.225576</v>
      </c>
      <c r="R9765" t="str">
        <f>"26.002176"</f>
        <v>26.002176</v>
      </c>
      <c r="S9765" t="s">
        <v>26</v>
      </c>
    </row>
    <row r="9766" spans="1:19" x14ac:dyDescent="0.3">
      <c r="A9766" t="s">
        <v>12435</v>
      </c>
      <c r="B9766" t="s">
        <v>13593</v>
      </c>
      <c r="C9766" t="s">
        <v>13745</v>
      </c>
      <c r="D9766" t="s">
        <v>12448</v>
      </c>
      <c r="E9766" t="s">
        <v>12448</v>
      </c>
      <c r="F9766" t="s">
        <v>12909</v>
      </c>
      <c r="G9766" t="s">
        <v>13744</v>
      </c>
      <c r="H9766" t="s">
        <v>859</v>
      </c>
      <c r="I9766" t="s">
        <v>860</v>
      </c>
      <c r="J9766" t="str">
        <f>"9510081"</f>
        <v>9510081</v>
      </c>
      <c r="K9766">
        <v>2271031412</v>
      </c>
      <c r="L9766">
        <v>2271031412</v>
      </c>
      <c r="M9766" t="s">
        <v>13746</v>
      </c>
      <c r="N9766" t="s">
        <v>13747</v>
      </c>
      <c r="O9766" t="s">
        <v>13748</v>
      </c>
      <c r="P9766">
        <v>82100</v>
      </c>
      <c r="Q9766" t="str">
        <f>"38.308958"</f>
        <v>38.308958</v>
      </c>
      <c r="R9766" t="str">
        <f>"26.117585"</f>
        <v>26.117585</v>
      </c>
      <c r="S9766" t="s">
        <v>26</v>
      </c>
    </row>
    <row r="9767" spans="1:19" x14ac:dyDescent="0.3">
      <c r="A9767" t="s">
        <v>12435</v>
      </c>
      <c r="B9767" t="s">
        <v>13593</v>
      </c>
      <c r="C9767" t="s">
        <v>13749</v>
      </c>
      <c r="D9767" t="s">
        <v>12448</v>
      </c>
      <c r="E9767" t="s">
        <v>12448</v>
      </c>
      <c r="F9767" t="s">
        <v>12809</v>
      </c>
      <c r="G9767" t="s">
        <v>12810</v>
      </c>
      <c r="H9767" t="s">
        <v>859</v>
      </c>
      <c r="I9767" t="s">
        <v>860</v>
      </c>
      <c r="J9767" t="str">
        <f>"9510046"</f>
        <v>9510046</v>
      </c>
      <c r="K9767">
        <v>2271052288</v>
      </c>
      <c r="L9767">
        <v>2271052288</v>
      </c>
      <c r="M9767" t="s">
        <v>13750</v>
      </c>
      <c r="N9767" t="s">
        <v>12810</v>
      </c>
      <c r="O9767" t="s">
        <v>12851</v>
      </c>
      <c r="P9767">
        <v>82100</v>
      </c>
      <c r="Q9767" t="str">
        <f>"38.291328"</f>
        <v>38.291328</v>
      </c>
      <c r="R9767" t="str">
        <f>"26.104285"</f>
        <v>26.104285</v>
      </c>
      <c r="S9767" t="s">
        <v>26</v>
      </c>
    </row>
    <row r="9768" spans="1:19" x14ac:dyDescent="0.3">
      <c r="A9768" t="s">
        <v>12435</v>
      </c>
      <c r="B9768" t="s">
        <v>13593</v>
      </c>
      <c r="C9768" t="s">
        <v>13751</v>
      </c>
      <c r="D9768" t="s">
        <v>12448</v>
      </c>
      <c r="E9768" t="s">
        <v>12448</v>
      </c>
      <c r="F9768" t="s">
        <v>12827</v>
      </c>
      <c r="G9768" t="s">
        <v>12828</v>
      </c>
      <c r="H9768" t="s">
        <v>859</v>
      </c>
      <c r="I9768" t="s">
        <v>860</v>
      </c>
      <c r="J9768" t="str">
        <f>"9510002"</f>
        <v>9510002</v>
      </c>
      <c r="K9768">
        <v>2271093919</v>
      </c>
      <c r="L9768">
        <v>2271093919</v>
      </c>
      <c r="M9768" t="s">
        <v>13752</v>
      </c>
      <c r="N9768" t="s">
        <v>12828</v>
      </c>
      <c r="O9768" t="s">
        <v>13753</v>
      </c>
      <c r="P9768">
        <v>82200</v>
      </c>
      <c r="Q9768" t="str">
        <f>"38.402586"</f>
        <v>38.402586</v>
      </c>
      <c r="R9768" t="str">
        <f>"26.122024"</f>
        <v>26.122024</v>
      </c>
      <c r="S9768" t="s">
        <v>26</v>
      </c>
    </row>
    <row r="9769" spans="1:19" x14ac:dyDescent="0.3">
      <c r="A9769" t="s">
        <v>12435</v>
      </c>
      <c r="B9769" t="s">
        <v>13593</v>
      </c>
      <c r="C9769" t="s">
        <v>13778</v>
      </c>
      <c r="D9769" t="s">
        <v>12448</v>
      </c>
      <c r="E9769" t="s">
        <v>12448</v>
      </c>
      <c r="F9769" t="s">
        <v>12909</v>
      </c>
      <c r="G9769" t="s">
        <v>13744</v>
      </c>
      <c r="H9769" t="s">
        <v>859</v>
      </c>
      <c r="I9769" t="s">
        <v>860</v>
      </c>
      <c r="J9769" t="str">
        <f>"9521472"</f>
        <v>9521472</v>
      </c>
      <c r="K9769">
        <v>6977790939</v>
      </c>
      <c r="L9769">
        <v>2271030231</v>
      </c>
      <c r="M9769" t="s">
        <v>13779</v>
      </c>
      <c r="N9769" t="s">
        <v>12451</v>
      </c>
      <c r="O9769" t="s">
        <v>13780</v>
      </c>
      <c r="P9769">
        <v>82100</v>
      </c>
      <c r="Q9769" t="str">
        <f>"38.309071"</f>
        <v>38.309071</v>
      </c>
      <c r="R9769" t="str">
        <f>"26.117580"</f>
        <v>26.117580</v>
      </c>
      <c r="S9769" t="s">
        <v>26</v>
      </c>
    </row>
    <row r="9770" spans="1:19" x14ac:dyDescent="0.3">
      <c r="A9770" t="s">
        <v>12435</v>
      </c>
      <c r="B9770" t="s">
        <v>13593</v>
      </c>
      <c r="C9770" t="s">
        <v>13787</v>
      </c>
      <c r="D9770" t="s">
        <v>12448</v>
      </c>
      <c r="E9770" t="s">
        <v>12448</v>
      </c>
      <c r="F9770" t="s">
        <v>13598</v>
      </c>
      <c r="G9770" t="s">
        <v>13781</v>
      </c>
      <c r="H9770" t="s">
        <v>859</v>
      </c>
      <c r="I9770" t="s">
        <v>860</v>
      </c>
      <c r="J9770" t="str">
        <f>"9510088"</f>
        <v>9510088</v>
      </c>
      <c r="K9770">
        <v>2271078108</v>
      </c>
      <c r="L9770">
        <v>2271078392</v>
      </c>
      <c r="M9770" t="s">
        <v>13788</v>
      </c>
      <c r="N9770" t="s">
        <v>13784</v>
      </c>
      <c r="O9770" t="s">
        <v>13784</v>
      </c>
      <c r="P9770">
        <v>82100</v>
      </c>
      <c r="Q9770" t="str">
        <f>"38.317306"</f>
        <v>38.317306</v>
      </c>
      <c r="R9770" t="str">
        <f>"26.058404"</f>
        <v>26.058404</v>
      </c>
      <c r="S9770" t="s">
        <v>26</v>
      </c>
    </row>
    <row r="9771" spans="1:19" x14ac:dyDescent="0.3">
      <c r="A9771" t="s">
        <v>13791</v>
      </c>
      <c r="B9771" t="s">
        <v>14950</v>
      </c>
      <c r="C9771" t="s">
        <v>14951</v>
      </c>
      <c r="D9771" t="s">
        <v>13792</v>
      </c>
      <c r="E9771" t="s">
        <v>13851</v>
      </c>
      <c r="F9771" t="s">
        <v>13851</v>
      </c>
      <c r="G9771" t="s">
        <v>13851</v>
      </c>
      <c r="H9771" t="s">
        <v>859</v>
      </c>
      <c r="I9771" t="s">
        <v>860</v>
      </c>
      <c r="J9771" t="str">
        <f>"9010093"</f>
        <v>9010093</v>
      </c>
      <c r="K9771">
        <v>2641021917</v>
      </c>
      <c r="L9771">
        <v>2641053076</v>
      </c>
      <c r="M9771" t="s">
        <v>14952</v>
      </c>
      <c r="N9771" t="s">
        <v>13851</v>
      </c>
      <c r="O9771" t="s">
        <v>14953</v>
      </c>
      <c r="P9771">
        <v>30131</v>
      </c>
      <c r="Q9771" t="str">
        <f>"38.625990"</f>
        <v>38.625990</v>
      </c>
      <c r="R9771" t="str">
        <f>"21.402466"</f>
        <v>21.402466</v>
      </c>
      <c r="S9771" t="s">
        <v>26</v>
      </c>
    </row>
    <row r="9772" spans="1:19" x14ac:dyDescent="0.3">
      <c r="A9772" t="s">
        <v>13791</v>
      </c>
      <c r="B9772" t="s">
        <v>14950</v>
      </c>
      <c r="C9772" t="s">
        <v>14961</v>
      </c>
      <c r="D9772" t="s">
        <v>13792</v>
      </c>
      <c r="E9772" t="s">
        <v>13836</v>
      </c>
      <c r="F9772" t="s">
        <v>14005</v>
      </c>
      <c r="G9772" t="s">
        <v>14005</v>
      </c>
      <c r="H9772" t="s">
        <v>859</v>
      </c>
      <c r="I9772" t="s">
        <v>860</v>
      </c>
      <c r="J9772" t="str">
        <f>"9010649"</f>
        <v>9010649</v>
      </c>
      <c r="K9772">
        <v>2643042130</v>
      </c>
      <c r="L9772">
        <v>2643042130</v>
      </c>
      <c r="M9772" t="s">
        <v>14962</v>
      </c>
      <c r="N9772" t="s">
        <v>14963</v>
      </c>
      <c r="O9772" t="s">
        <v>14009</v>
      </c>
      <c r="P9772">
        <v>30012</v>
      </c>
      <c r="Q9772" t="str">
        <f>"38.783402"</f>
        <v>38.783402</v>
      </c>
      <c r="R9772" t="str">
        <f>"20.882718"</f>
        <v>20.882718</v>
      </c>
      <c r="S9772" t="s">
        <v>26</v>
      </c>
    </row>
    <row r="9773" spans="1:19" x14ac:dyDescent="0.3">
      <c r="A9773" t="s">
        <v>13791</v>
      </c>
      <c r="B9773" t="s">
        <v>14950</v>
      </c>
      <c r="C9773" t="s">
        <v>14966</v>
      </c>
      <c r="D9773" t="s">
        <v>13792</v>
      </c>
      <c r="E9773" t="s">
        <v>13851</v>
      </c>
      <c r="F9773" t="s">
        <v>13851</v>
      </c>
      <c r="G9773" t="s">
        <v>13851</v>
      </c>
      <c r="H9773" t="s">
        <v>859</v>
      </c>
      <c r="I9773" t="s">
        <v>860</v>
      </c>
      <c r="J9773" t="str">
        <f>"9010513"</f>
        <v>9010513</v>
      </c>
      <c r="K9773">
        <v>2641027078</v>
      </c>
      <c r="L9773">
        <v>2641027078</v>
      </c>
      <c r="M9773" t="s">
        <v>14967</v>
      </c>
      <c r="N9773" t="s">
        <v>13851</v>
      </c>
      <c r="O9773" t="s">
        <v>14968</v>
      </c>
      <c r="P9773">
        <v>30100</v>
      </c>
      <c r="Q9773" t="str">
        <f>"38.619205"</f>
        <v>38.619205</v>
      </c>
      <c r="R9773" t="str">
        <f>"21.398123"</f>
        <v>21.398123</v>
      </c>
      <c r="S9773" t="s">
        <v>26</v>
      </c>
    </row>
    <row r="9774" spans="1:19" x14ac:dyDescent="0.3">
      <c r="A9774" t="s">
        <v>13791</v>
      </c>
      <c r="B9774" t="s">
        <v>14950</v>
      </c>
      <c r="C9774" t="s">
        <v>14970</v>
      </c>
      <c r="D9774" t="s">
        <v>13792</v>
      </c>
      <c r="E9774" t="s">
        <v>13851</v>
      </c>
      <c r="F9774" t="s">
        <v>14066</v>
      </c>
      <c r="G9774" t="s">
        <v>14969</v>
      </c>
      <c r="H9774" t="s">
        <v>859</v>
      </c>
      <c r="I9774" t="s">
        <v>860</v>
      </c>
      <c r="J9774" t="str">
        <f>"9010541"</f>
        <v>9010541</v>
      </c>
      <c r="K9774">
        <v>2632041295</v>
      </c>
      <c r="L9774">
        <v>2632041295</v>
      </c>
      <c r="M9774" t="s">
        <v>14971</v>
      </c>
      <c r="N9774" t="s">
        <v>14972</v>
      </c>
      <c r="O9774" t="s">
        <v>14973</v>
      </c>
      <c r="P9774">
        <v>30001</v>
      </c>
      <c r="Q9774" t="str">
        <f>"38.577569"</f>
        <v>38.577569</v>
      </c>
      <c r="R9774" t="str">
        <f>"21.237624"</f>
        <v>21.237624</v>
      </c>
      <c r="S9774" t="s">
        <v>26</v>
      </c>
    </row>
    <row r="9775" spans="1:19" x14ac:dyDescent="0.3">
      <c r="A9775" t="s">
        <v>13791</v>
      </c>
      <c r="B9775" t="s">
        <v>14950</v>
      </c>
      <c r="C9775" t="s">
        <v>14975</v>
      </c>
      <c r="D9775" t="s">
        <v>13792</v>
      </c>
      <c r="E9775" t="s">
        <v>13851</v>
      </c>
      <c r="F9775" t="s">
        <v>14066</v>
      </c>
      <c r="G9775" t="s">
        <v>14974</v>
      </c>
      <c r="H9775" t="s">
        <v>859</v>
      </c>
      <c r="I9775" t="s">
        <v>860</v>
      </c>
      <c r="J9775" t="str">
        <f>"9010079"</f>
        <v>9010079</v>
      </c>
      <c r="K9775">
        <v>2641071460</v>
      </c>
      <c r="M9775" t="s">
        <v>14976</v>
      </c>
      <c r="N9775" t="s">
        <v>14977</v>
      </c>
      <c r="O9775" t="s">
        <v>14977</v>
      </c>
      <c r="P9775">
        <v>30100</v>
      </c>
      <c r="Q9775" t="str">
        <f>"38.660047"</f>
        <v>38.660047</v>
      </c>
      <c r="R9775" t="str">
        <f>"21.285694"</f>
        <v>21.285694</v>
      </c>
      <c r="S9775" t="s">
        <v>26</v>
      </c>
    </row>
    <row r="9776" spans="1:19" x14ac:dyDescent="0.3">
      <c r="A9776" t="s">
        <v>13791</v>
      </c>
      <c r="B9776" t="s">
        <v>14950</v>
      </c>
      <c r="C9776" t="s">
        <v>14979</v>
      </c>
      <c r="D9776" t="s">
        <v>13792</v>
      </c>
      <c r="E9776" t="s">
        <v>13820</v>
      </c>
      <c r="F9776" t="s">
        <v>13826</v>
      </c>
      <c r="G9776" t="s">
        <v>14978</v>
      </c>
      <c r="H9776" t="s">
        <v>859</v>
      </c>
      <c r="I9776" t="s">
        <v>860</v>
      </c>
      <c r="J9776" t="str">
        <f>"9010655"</f>
        <v>9010655</v>
      </c>
      <c r="K9776">
        <v>2646093283</v>
      </c>
      <c r="L9776">
        <v>2646093310</v>
      </c>
      <c r="M9776" t="s">
        <v>14980</v>
      </c>
      <c r="N9776" t="s">
        <v>14981</v>
      </c>
      <c r="O9776" t="s">
        <v>14982</v>
      </c>
      <c r="P9776">
        <v>30006</v>
      </c>
      <c r="Q9776" t="str">
        <f>"38.591178"</f>
        <v>38.591178</v>
      </c>
      <c r="R9776" t="str">
        <f>"21.143951"</f>
        <v>21.143951</v>
      </c>
      <c r="S9776" t="s">
        <v>26</v>
      </c>
    </row>
    <row r="9777" spans="1:19" x14ac:dyDescent="0.3">
      <c r="A9777" t="s">
        <v>13791</v>
      </c>
      <c r="B9777" t="s">
        <v>14950</v>
      </c>
      <c r="C9777" t="s">
        <v>14986</v>
      </c>
      <c r="D9777" t="s">
        <v>13792</v>
      </c>
      <c r="E9777" t="s">
        <v>13851</v>
      </c>
      <c r="F9777" t="s">
        <v>13851</v>
      </c>
      <c r="G9777" t="s">
        <v>13851</v>
      </c>
      <c r="H9777" t="s">
        <v>859</v>
      </c>
      <c r="I9777" t="s">
        <v>860</v>
      </c>
      <c r="J9777" t="str">
        <f>"9010457"</f>
        <v>9010457</v>
      </c>
      <c r="K9777">
        <v>2641055369</v>
      </c>
      <c r="L9777">
        <v>26410471</v>
      </c>
      <c r="M9777" t="s">
        <v>14987</v>
      </c>
      <c r="N9777" t="s">
        <v>13851</v>
      </c>
      <c r="O9777" t="s">
        <v>14988</v>
      </c>
      <c r="P9777">
        <v>30100</v>
      </c>
      <c r="Q9777" t="str">
        <f>"38.625075"</f>
        <v>38.625075</v>
      </c>
      <c r="R9777" t="str">
        <f>"21.404068"</f>
        <v>21.404068</v>
      </c>
      <c r="S9777" t="s">
        <v>26</v>
      </c>
    </row>
    <row r="9778" spans="1:19" x14ac:dyDescent="0.3">
      <c r="A9778" t="s">
        <v>13791</v>
      </c>
      <c r="B9778" t="s">
        <v>14950</v>
      </c>
      <c r="C9778" t="s">
        <v>14989</v>
      </c>
      <c r="D9778" t="s">
        <v>13792</v>
      </c>
      <c r="E9778" t="s">
        <v>13851</v>
      </c>
      <c r="F9778" t="s">
        <v>14066</v>
      </c>
      <c r="G9778" t="s">
        <v>14066</v>
      </c>
      <c r="H9778" t="s">
        <v>859</v>
      </c>
      <c r="I9778" t="s">
        <v>860</v>
      </c>
      <c r="J9778" t="str">
        <f>"9010081"</f>
        <v>9010081</v>
      </c>
      <c r="K9778">
        <v>2641071084</v>
      </c>
      <c r="L9778">
        <v>2641071084</v>
      </c>
      <c r="M9778" t="s">
        <v>14990</v>
      </c>
      <c r="N9778" t="s">
        <v>14066</v>
      </c>
      <c r="O9778" t="s">
        <v>14991</v>
      </c>
      <c r="P9778">
        <v>30100</v>
      </c>
      <c r="Q9778" t="str">
        <f>"38.666315"</f>
        <v>38.666315</v>
      </c>
      <c r="R9778" t="str">
        <f>"21.313200"</f>
        <v>21.313200</v>
      </c>
      <c r="S9778" t="s">
        <v>26</v>
      </c>
    </row>
    <row r="9779" spans="1:19" x14ac:dyDescent="0.3">
      <c r="A9779" t="s">
        <v>13791</v>
      </c>
      <c r="B9779" t="s">
        <v>14950</v>
      </c>
      <c r="C9779" t="s">
        <v>14992</v>
      </c>
      <c r="D9779" t="s">
        <v>13792</v>
      </c>
      <c r="E9779" t="s">
        <v>13851</v>
      </c>
      <c r="F9779" t="s">
        <v>13851</v>
      </c>
      <c r="G9779" t="s">
        <v>13851</v>
      </c>
      <c r="H9779" t="s">
        <v>859</v>
      </c>
      <c r="I9779" t="s">
        <v>860</v>
      </c>
      <c r="J9779" t="str">
        <f>"9010452"</f>
        <v>9010452</v>
      </c>
      <c r="K9779">
        <v>2641048005</v>
      </c>
      <c r="L9779">
        <v>2641048005</v>
      </c>
      <c r="M9779" t="s">
        <v>14993</v>
      </c>
      <c r="N9779" t="s">
        <v>13851</v>
      </c>
      <c r="O9779" t="s">
        <v>14994</v>
      </c>
      <c r="P9779">
        <v>30100</v>
      </c>
      <c r="Q9779" t="str">
        <f>"38.630417"</f>
        <v>38.630417</v>
      </c>
      <c r="R9779" t="str">
        <f>"21.410966"</f>
        <v>21.410966</v>
      </c>
      <c r="S9779" t="s">
        <v>26</v>
      </c>
    </row>
    <row r="9780" spans="1:19" x14ac:dyDescent="0.3">
      <c r="A9780" t="s">
        <v>13791</v>
      </c>
      <c r="B9780" t="s">
        <v>14950</v>
      </c>
      <c r="C9780" t="s">
        <v>14995</v>
      </c>
      <c r="D9780" t="s">
        <v>13792</v>
      </c>
      <c r="E9780" t="s">
        <v>13851</v>
      </c>
      <c r="F9780" t="s">
        <v>13851</v>
      </c>
      <c r="G9780" t="s">
        <v>13851</v>
      </c>
      <c r="H9780" t="s">
        <v>859</v>
      </c>
      <c r="I9780" t="s">
        <v>860</v>
      </c>
      <c r="J9780" t="str">
        <f>"9010099"</f>
        <v>9010099</v>
      </c>
      <c r="K9780">
        <v>2641027304</v>
      </c>
      <c r="L9780">
        <v>2641027304</v>
      </c>
      <c r="M9780" t="s">
        <v>14996</v>
      </c>
      <c r="N9780" t="s">
        <v>13851</v>
      </c>
      <c r="O9780" t="s">
        <v>14997</v>
      </c>
      <c r="P9780">
        <v>30132</v>
      </c>
      <c r="Q9780" t="str">
        <f>"38.631086"</f>
        <v>38.631086</v>
      </c>
      <c r="R9780" t="str">
        <f>"21.406152"</f>
        <v>21.406152</v>
      </c>
      <c r="S9780" t="s">
        <v>26</v>
      </c>
    </row>
    <row r="9781" spans="1:19" x14ac:dyDescent="0.3">
      <c r="A9781" t="s">
        <v>13791</v>
      </c>
      <c r="B9781" t="s">
        <v>14950</v>
      </c>
      <c r="C9781" t="s">
        <v>14998</v>
      </c>
      <c r="D9781" t="s">
        <v>13792</v>
      </c>
      <c r="E9781" t="s">
        <v>13851</v>
      </c>
      <c r="F9781" t="s">
        <v>13851</v>
      </c>
      <c r="G9781" t="s">
        <v>13393</v>
      </c>
      <c r="H9781" t="s">
        <v>859</v>
      </c>
      <c r="I9781" t="s">
        <v>860</v>
      </c>
      <c r="J9781" t="str">
        <f>"9010109"</f>
        <v>9010109</v>
      </c>
      <c r="K9781">
        <v>2641024398</v>
      </c>
      <c r="L9781">
        <v>2641034264</v>
      </c>
      <c r="M9781" t="s">
        <v>14999</v>
      </c>
      <c r="N9781" t="s">
        <v>15000</v>
      </c>
      <c r="O9781" t="s">
        <v>15001</v>
      </c>
      <c r="P9781">
        <v>30027</v>
      </c>
      <c r="Q9781" t="str">
        <f>"38.636884"</f>
        <v>38.636884</v>
      </c>
      <c r="R9781" t="str">
        <f>"21.402906"</f>
        <v>21.402906</v>
      </c>
      <c r="S9781" t="s">
        <v>26</v>
      </c>
    </row>
    <row r="9782" spans="1:19" x14ac:dyDescent="0.3">
      <c r="A9782" t="s">
        <v>13791</v>
      </c>
      <c r="B9782" t="s">
        <v>14950</v>
      </c>
      <c r="C9782" t="s">
        <v>15003</v>
      </c>
      <c r="D9782" t="s">
        <v>13792</v>
      </c>
      <c r="E9782" t="s">
        <v>13851</v>
      </c>
      <c r="F9782" t="s">
        <v>14066</v>
      </c>
      <c r="G9782" t="s">
        <v>15002</v>
      </c>
      <c r="H9782" t="s">
        <v>859</v>
      </c>
      <c r="I9782" t="s">
        <v>860</v>
      </c>
      <c r="J9782" t="str">
        <f>"9010537"</f>
        <v>9010537</v>
      </c>
      <c r="K9782">
        <v>2641098228</v>
      </c>
      <c r="M9782" t="s">
        <v>15004</v>
      </c>
      <c r="N9782" t="s">
        <v>15002</v>
      </c>
      <c r="O9782" t="s">
        <v>15005</v>
      </c>
      <c r="P9782">
        <v>30100</v>
      </c>
      <c r="Q9782" t="str">
        <f>"38.735355"</f>
        <v>38.735355</v>
      </c>
      <c r="R9782" t="str">
        <f>"21.347708"</f>
        <v>21.347708</v>
      </c>
      <c r="S9782" t="s">
        <v>26</v>
      </c>
    </row>
    <row r="9783" spans="1:19" x14ac:dyDescent="0.3">
      <c r="A9783" t="s">
        <v>13791</v>
      </c>
      <c r="B9783" t="s">
        <v>14950</v>
      </c>
      <c r="C9783" t="s">
        <v>15007</v>
      </c>
      <c r="D9783" t="s">
        <v>13792</v>
      </c>
      <c r="E9783" t="s">
        <v>13820</v>
      </c>
      <c r="F9783" t="s">
        <v>14085</v>
      </c>
      <c r="G9783" t="s">
        <v>15006</v>
      </c>
      <c r="H9783" t="s">
        <v>859</v>
      </c>
      <c r="I9783" t="s">
        <v>860</v>
      </c>
      <c r="J9783" t="str">
        <f>"9010651"</f>
        <v>9010651</v>
      </c>
      <c r="K9783">
        <v>2646029055</v>
      </c>
      <c r="M9783" t="s">
        <v>15008</v>
      </c>
      <c r="N9783" t="s">
        <v>15009</v>
      </c>
      <c r="O9783" t="s">
        <v>15010</v>
      </c>
      <c r="P9783">
        <v>30009</v>
      </c>
      <c r="Q9783" t="str">
        <f>"38.742788"</f>
        <v>38.742788</v>
      </c>
      <c r="R9783" t="str">
        <f>"21.200857"</f>
        <v>21.200857</v>
      </c>
      <c r="S9783" t="s">
        <v>26</v>
      </c>
    </row>
    <row r="9784" spans="1:19" x14ac:dyDescent="0.3">
      <c r="A9784" t="s">
        <v>13791</v>
      </c>
      <c r="B9784" t="s">
        <v>14950</v>
      </c>
      <c r="C9784" t="s">
        <v>15011</v>
      </c>
      <c r="D9784" t="s">
        <v>13792</v>
      </c>
      <c r="E9784" t="s">
        <v>13851</v>
      </c>
      <c r="F9784" t="s">
        <v>13851</v>
      </c>
      <c r="G9784" t="s">
        <v>2920</v>
      </c>
      <c r="H9784" t="s">
        <v>859</v>
      </c>
      <c r="I9784" t="s">
        <v>860</v>
      </c>
      <c r="J9784" t="str">
        <f>"9010597"</f>
        <v>9010597</v>
      </c>
      <c r="K9784">
        <v>2641095590</v>
      </c>
      <c r="L9784">
        <v>2641095337</v>
      </c>
      <c r="M9784" t="s">
        <v>15012</v>
      </c>
      <c r="N9784" t="s">
        <v>13996</v>
      </c>
      <c r="O9784" t="s">
        <v>2921</v>
      </c>
      <c r="P9784">
        <v>30100</v>
      </c>
      <c r="Q9784" t="str">
        <f>"38.622736"</f>
        <v>38.622736</v>
      </c>
      <c r="R9784" t="str">
        <f>"21.277028"</f>
        <v>21.277028</v>
      </c>
      <c r="S9784" t="s">
        <v>26</v>
      </c>
    </row>
    <row r="9785" spans="1:19" x14ac:dyDescent="0.3">
      <c r="A9785" t="s">
        <v>13791</v>
      </c>
      <c r="B9785" t="s">
        <v>14950</v>
      </c>
      <c r="C9785" t="s">
        <v>15013</v>
      </c>
      <c r="D9785" t="s">
        <v>13792</v>
      </c>
      <c r="E9785" t="s">
        <v>13851</v>
      </c>
      <c r="F9785" t="s">
        <v>13851</v>
      </c>
      <c r="G9785" t="s">
        <v>13851</v>
      </c>
      <c r="H9785" t="s">
        <v>859</v>
      </c>
      <c r="I9785" t="s">
        <v>860</v>
      </c>
      <c r="J9785" t="str">
        <f>"9010586"</f>
        <v>9010586</v>
      </c>
      <c r="K9785">
        <v>2641023955</v>
      </c>
      <c r="M9785" t="s">
        <v>15014</v>
      </c>
      <c r="N9785" t="s">
        <v>13851</v>
      </c>
      <c r="O9785" t="s">
        <v>15015</v>
      </c>
      <c r="P9785">
        <v>30100</v>
      </c>
      <c r="Q9785" t="str">
        <f>"38.636253"</f>
        <v>38.636253</v>
      </c>
      <c r="R9785" t="str">
        <f>"21.409843"</f>
        <v>21.409843</v>
      </c>
      <c r="S9785" t="s">
        <v>26</v>
      </c>
    </row>
    <row r="9786" spans="1:19" x14ac:dyDescent="0.3">
      <c r="A9786" t="s">
        <v>13791</v>
      </c>
      <c r="B9786" t="s">
        <v>14950</v>
      </c>
      <c r="C9786" t="s">
        <v>15016</v>
      </c>
      <c r="D9786" t="s">
        <v>13792</v>
      </c>
      <c r="E9786" t="s">
        <v>13851</v>
      </c>
      <c r="F9786" t="s">
        <v>13871</v>
      </c>
      <c r="G9786" t="s">
        <v>13872</v>
      </c>
      <c r="H9786" t="s">
        <v>859</v>
      </c>
      <c r="I9786" t="s">
        <v>860</v>
      </c>
      <c r="J9786" t="str">
        <f>"9010086"</f>
        <v>9010086</v>
      </c>
      <c r="K9786">
        <v>2635022314</v>
      </c>
      <c r="M9786" t="s">
        <v>15017</v>
      </c>
      <c r="N9786" t="s">
        <v>15018</v>
      </c>
      <c r="O9786" t="s">
        <v>15019</v>
      </c>
      <c r="P9786">
        <v>30011</v>
      </c>
      <c r="Q9786" t="str">
        <f>"38.526639"</f>
        <v>38.526639</v>
      </c>
      <c r="R9786" t="str">
        <f>"21.453882"</f>
        <v>21.453882</v>
      </c>
      <c r="S9786" t="s">
        <v>26</v>
      </c>
    </row>
    <row r="9787" spans="1:19" x14ac:dyDescent="0.3">
      <c r="A9787" t="s">
        <v>13791</v>
      </c>
      <c r="B9787" t="s">
        <v>14950</v>
      </c>
      <c r="C9787" t="s">
        <v>15021</v>
      </c>
      <c r="D9787" t="s">
        <v>13792</v>
      </c>
      <c r="E9787" t="s">
        <v>13851</v>
      </c>
      <c r="F9787" t="s">
        <v>13859</v>
      </c>
      <c r="G9787" t="s">
        <v>15020</v>
      </c>
      <c r="H9787" t="s">
        <v>859</v>
      </c>
      <c r="I9787" t="s">
        <v>860</v>
      </c>
      <c r="J9787" t="str">
        <f>"9010508"</f>
        <v>9010508</v>
      </c>
      <c r="K9787">
        <v>2635031673</v>
      </c>
      <c r="M9787" t="s">
        <v>15022</v>
      </c>
      <c r="N9787" t="s">
        <v>15023</v>
      </c>
      <c r="O9787" t="s">
        <v>15024</v>
      </c>
      <c r="P9787">
        <v>30015</v>
      </c>
      <c r="Q9787" t="str">
        <f>"38.486368"</f>
        <v>38.486368</v>
      </c>
      <c r="R9787" t="str">
        <f>"21.625806"</f>
        <v>21.625806</v>
      </c>
      <c r="S9787" t="s">
        <v>26</v>
      </c>
    </row>
    <row r="9788" spans="1:19" x14ac:dyDescent="0.3">
      <c r="A9788" t="s">
        <v>13791</v>
      </c>
      <c r="B9788" t="s">
        <v>14950</v>
      </c>
      <c r="C9788" t="s">
        <v>15026</v>
      </c>
      <c r="D9788" t="s">
        <v>13792</v>
      </c>
      <c r="E9788" t="s">
        <v>13851</v>
      </c>
      <c r="F9788" t="s">
        <v>13942</v>
      </c>
      <c r="G9788" t="s">
        <v>15025</v>
      </c>
      <c r="H9788" t="s">
        <v>859</v>
      </c>
      <c r="I9788" t="s">
        <v>860</v>
      </c>
      <c r="J9788" t="str">
        <f>"9010532"</f>
        <v>9010532</v>
      </c>
      <c r="K9788">
        <v>2641063311</v>
      </c>
      <c r="L9788">
        <v>2641063113</v>
      </c>
      <c r="M9788" t="s">
        <v>15027</v>
      </c>
      <c r="N9788" t="s">
        <v>15028</v>
      </c>
      <c r="O9788" t="s">
        <v>15029</v>
      </c>
      <c r="P9788">
        <v>30010</v>
      </c>
      <c r="Q9788" t="str">
        <f>"38.602818"</f>
        <v>38.602818</v>
      </c>
      <c r="R9788" t="str">
        <f>"21.558659"</f>
        <v>21.558659</v>
      </c>
      <c r="S9788" t="s">
        <v>26</v>
      </c>
    </row>
    <row r="9789" spans="1:19" x14ac:dyDescent="0.3">
      <c r="A9789" t="s">
        <v>13791</v>
      </c>
      <c r="B9789" t="s">
        <v>14950</v>
      </c>
      <c r="C9789" t="s">
        <v>15030</v>
      </c>
      <c r="D9789" t="s">
        <v>13792</v>
      </c>
      <c r="E9789" t="s">
        <v>13851</v>
      </c>
      <c r="F9789" t="s">
        <v>13851</v>
      </c>
      <c r="G9789" t="s">
        <v>13851</v>
      </c>
      <c r="H9789" t="s">
        <v>859</v>
      </c>
      <c r="I9789" t="s">
        <v>860</v>
      </c>
      <c r="J9789" t="str">
        <f>"9010009"</f>
        <v>9010009</v>
      </c>
      <c r="K9789">
        <v>2641026818</v>
      </c>
      <c r="L9789">
        <v>2641026818</v>
      </c>
      <c r="M9789" t="s">
        <v>15031</v>
      </c>
      <c r="N9789" t="s">
        <v>13851</v>
      </c>
      <c r="O9789" t="s">
        <v>15032</v>
      </c>
      <c r="P9789">
        <v>30131</v>
      </c>
      <c r="Q9789" t="str">
        <f>"38.622532"</f>
        <v>38.622532</v>
      </c>
      <c r="R9789" t="str">
        <f>"21.411225"</f>
        <v>21.411225</v>
      </c>
      <c r="S9789" t="s">
        <v>26</v>
      </c>
    </row>
    <row r="9790" spans="1:19" x14ac:dyDescent="0.3">
      <c r="A9790" t="s">
        <v>13791</v>
      </c>
      <c r="B9790" t="s">
        <v>14950</v>
      </c>
      <c r="C9790" t="s">
        <v>15034</v>
      </c>
      <c r="D9790" t="s">
        <v>13792</v>
      </c>
      <c r="E9790" t="s">
        <v>13851</v>
      </c>
      <c r="F9790" t="s">
        <v>13851</v>
      </c>
      <c r="G9790" t="s">
        <v>15033</v>
      </c>
      <c r="H9790" t="s">
        <v>859</v>
      </c>
      <c r="I9790" t="s">
        <v>860</v>
      </c>
      <c r="J9790" t="str">
        <f>"9010512"</f>
        <v>9010512</v>
      </c>
      <c r="K9790">
        <v>2641028665</v>
      </c>
      <c r="L9790">
        <v>2641028665</v>
      </c>
      <c r="M9790" t="s">
        <v>15035</v>
      </c>
      <c r="N9790" t="s">
        <v>15033</v>
      </c>
      <c r="O9790" t="s">
        <v>15036</v>
      </c>
      <c r="P9790">
        <v>30100</v>
      </c>
      <c r="Q9790" t="str">
        <f>"38.631548"</f>
        <v>38.631548</v>
      </c>
      <c r="R9790" t="str">
        <f>"21.445147"</f>
        <v>21.445147</v>
      </c>
      <c r="S9790" t="s">
        <v>26</v>
      </c>
    </row>
    <row r="9791" spans="1:19" x14ac:dyDescent="0.3">
      <c r="A9791" t="s">
        <v>13791</v>
      </c>
      <c r="B9791" t="s">
        <v>14950</v>
      </c>
      <c r="C9791" t="s">
        <v>15037</v>
      </c>
      <c r="D9791" t="s">
        <v>13792</v>
      </c>
      <c r="E9791" t="s">
        <v>13851</v>
      </c>
      <c r="F9791" t="s">
        <v>13942</v>
      </c>
      <c r="G9791" t="s">
        <v>13942</v>
      </c>
      <c r="H9791" t="s">
        <v>859</v>
      </c>
      <c r="I9791" t="s">
        <v>860</v>
      </c>
      <c r="J9791" t="str">
        <f>"9010455"</f>
        <v>9010455</v>
      </c>
      <c r="K9791">
        <v>2641064955</v>
      </c>
      <c r="L9791">
        <v>2641064955</v>
      </c>
      <c r="M9791" t="s">
        <v>15038</v>
      </c>
      <c r="N9791" t="s">
        <v>13942</v>
      </c>
      <c r="O9791" t="s">
        <v>13946</v>
      </c>
      <c r="P9791">
        <v>30010</v>
      </c>
      <c r="Q9791" t="str">
        <f>"38.613990"</f>
        <v>38.613990</v>
      </c>
      <c r="R9791" t="str">
        <f>"21.523462"</f>
        <v>21.523462</v>
      </c>
      <c r="S9791" t="s">
        <v>26</v>
      </c>
    </row>
    <row r="9792" spans="1:19" x14ac:dyDescent="0.3">
      <c r="A9792" t="s">
        <v>13791</v>
      </c>
      <c r="B9792" t="s">
        <v>14950</v>
      </c>
      <c r="C9792" t="s">
        <v>15039</v>
      </c>
      <c r="D9792" t="s">
        <v>13792</v>
      </c>
      <c r="E9792" t="s">
        <v>13851</v>
      </c>
      <c r="F9792" t="s">
        <v>13851</v>
      </c>
      <c r="G9792" t="s">
        <v>13851</v>
      </c>
      <c r="H9792" t="s">
        <v>859</v>
      </c>
      <c r="I9792" t="s">
        <v>860</v>
      </c>
      <c r="J9792" t="str">
        <f>"9010581"</f>
        <v>9010581</v>
      </c>
      <c r="K9792">
        <v>2641027407</v>
      </c>
      <c r="M9792" t="s">
        <v>15040</v>
      </c>
      <c r="N9792" t="s">
        <v>13851</v>
      </c>
      <c r="O9792" t="s">
        <v>15041</v>
      </c>
      <c r="P9792">
        <v>30133</v>
      </c>
      <c r="Q9792" t="str">
        <f>"38.629798"</f>
        <v>38.629798</v>
      </c>
      <c r="R9792" t="str">
        <f>"21.419628"</f>
        <v>21.419628</v>
      </c>
      <c r="S9792" t="s">
        <v>26</v>
      </c>
    </row>
    <row r="9793" spans="1:19" x14ac:dyDescent="0.3">
      <c r="A9793" t="s">
        <v>13791</v>
      </c>
      <c r="B9793" t="s">
        <v>14950</v>
      </c>
      <c r="C9793" t="s">
        <v>15044</v>
      </c>
      <c r="D9793" t="s">
        <v>13792</v>
      </c>
      <c r="E9793" t="s">
        <v>13851</v>
      </c>
      <c r="F9793" t="s">
        <v>13852</v>
      </c>
      <c r="G9793" t="s">
        <v>13969</v>
      </c>
      <c r="H9793" t="s">
        <v>859</v>
      </c>
      <c r="I9793" t="s">
        <v>860</v>
      </c>
      <c r="J9793" t="str">
        <f>"9010511"</f>
        <v>9010511</v>
      </c>
      <c r="K9793">
        <v>2641051462</v>
      </c>
      <c r="M9793" t="s">
        <v>15045</v>
      </c>
      <c r="O9793" t="s">
        <v>13979</v>
      </c>
      <c r="P9793">
        <v>30003</v>
      </c>
      <c r="Q9793" t="str">
        <f>"38.583286"</f>
        <v>38.583286</v>
      </c>
      <c r="R9793" t="str">
        <f>"21.444857"</f>
        <v>21.444857</v>
      </c>
      <c r="S9793" t="s">
        <v>26</v>
      </c>
    </row>
    <row r="9794" spans="1:19" x14ac:dyDescent="0.3">
      <c r="A9794" t="s">
        <v>13791</v>
      </c>
      <c r="B9794" t="s">
        <v>14950</v>
      </c>
      <c r="C9794" t="s">
        <v>15047</v>
      </c>
      <c r="D9794" t="s">
        <v>13792</v>
      </c>
      <c r="E9794" t="s">
        <v>13851</v>
      </c>
      <c r="F9794" t="s">
        <v>15046</v>
      </c>
      <c r="G9794" t="s">
        <v>15046</v>
      </c>
      <c r="H9794" t="s">
        <v>859</v>
      </c>
      <c r="I9794" t="s">
        <v>860</v>
      </c>
      <c r="J9794" t="str">
        <f>"9010585"</f>
        <v>9010585</v>
      </c>
      <c r="K9794">
        <v>2641093574</v>
      </c>
      <c r="L9794">
        <v>2641093574</v>
      </c>
      <c r="M9794" t="s">
        <v>15048</v>
      </c>
      <c r="N9794" t="s">
        <v>15046</v>
      </c>
      <c r="O9794" t="s">
        <v>15049</v>
      </c>
      <c r="P9794">
        <v>30400</v>
      </c>
      <c r="Q9794" t="str">
        <f>"38.565565"</f>
        <v>38.565565</v>
      </c>
      <c r="R9794" t="str">
        <f>"21.297078"</f>
        <v>21.297078</v>
      </c>
      <c r="S9794" t="s">
        <v>26</v>
      </c>
    </row>
    <row r="9795" spans="1:19" x14ac:dyDescent="0.3">
      <c r="A9795" t="s">
        <v>13791</v>
      </c>
      <c r="B9795" t="s">
        <v>14950</v>
      </c>
      <c r="C9795" t="s">
        <v>15051</v>
      </c>
      <c r="D9795" t="s">
        <v>13792</v>
      </c>
      <c r="E9795" t="s">
        <v>13851</v>
      </c>
      <c r="F9795" t="s">
        <v>13851</v>
      </c>
      <c r="G9795" t="s">
        <v>15050</v>
      </c>
      <c r="H9795" t="s">
        <v>859</v>
      </c>
      <c r="I9795" t="s">
        <v>860</v>
      </c>
      <c r="J9795" t="str">
        <f>"9010480"</f>
        <v>9010480</v>
      </c>
      <c r="K9795">
        <v>2641032734</v>
      </c>
      <c r="L9795">
        <v>2641032734</v>
      </c>
      <c r="M9795" t="s">
        <v>15052</v>
      </c>
      <c r="N9795" t="s">
        <v>15053</v>
      </c>
      <c r="O9795" t="s">
        <v>15054</v>
      </c>
      <c r="P9795">
        <v>30100</v>
      </c>
      <c r="Q9795" t="str">
        <f>"38.614148"</f>
        <v>38.614148</v>
      </c>
      <c r="R9795" t="str">
        <f>"21.378443"</f>
        <v>21.378443</v>
      </c>
      <c r="S9795" t="s">
        <v>26</v>
      </c>
    </row>
    <row r="9796" spans="1:19" x14ac:dyDescent="0.3">
      <c r="A9796" t="s">
        <v>13791</v>
      </c>
      <c r="B9796" t="s">
        <v>14950</v>
      </c>
      <c r="C9796" t="s">
        <v>15059</v>
      </c>
      <c r="D9796" t="s">
        <v>13792</v>
      </c>
      <c r="E9796" t="s">
        <v>13851</v>
      </c>
      <c r="F9796" t="s">
        <v>13851</v>
      </c>
      <c r="G9796" t="s">
        <v>13851</v>
      </c>
      <c r="H9796" t="s">
        <v>859</v>
      </c>
      <c r="I9796" t="s">
        <v>860</v>
      </c>
      <c r="J9796" t="str">
        <f>"9010598"</f>
        <v>9010598</v>
      </c>
      <c r="K9796">
        <v>2641045394</v>
      </c>
      <c r="L9796">
        <v>2641045394</v>
      </c>
      <c r="M9796" t="s">
        <v>15060</v>
      </c>
      <c r="N9796" t="s">
        <v>15061</v>
      </c>
      <c r="O9796" t="s">
        <v>15062</v>
      </c>
      <c r="P9796">
        <v>30100</v>
      </c>
      <c r="Q9796" t="str">
        <f>"38.618847"</f>
        <v>38.618847</v>
      </c>
      <c r="R9796" t="str">
        <f>"21.411954"</f>
        <v>21.411954</v>
      </c>
      <c r="S9796" t="s">
        <v>26</v>
      </c>
    </row>
    <row r="9797" spans="1:19" x14ac:dyDescent="0.3">
      <c r="A9797" t="s">
        <v>13791</v>
      </c>
      <c r="B9797" t="s">
        <v>14950</v>
      </c>
      <c r="C9797" t="s">
        <v>15063</v>
      </c>
      <c r="D9797" t="s">
        <v>13792</v>
      </c>
      <c r="E9797" t="s">
        <v>13851</v>
      </c>
      <c r="F9797" t="s">
        <v>13852</v>
      </c>
      <c r="G9797" t="s">
        <v>13969</v>
      </c>
      <c r="H9797" t="s">
        <v>859</v>
      </c>
      <c r="I9797" t="s">
        <v>860</v>
      </c>
      <c r="J9797" t="str">
        <f>"9010454"</f>
        <v>9010454</v>
      </c>
      <c r="K9797">
        <v>2641051591</v>
      </c>
      <c r="M9797" t="s">
        <v>15064</v>
      </c>
      <c r="N9797" t="s">
        <v>13979</v>
      </c>
      <c r="O9797" t="s">
        <v>15065</v>
      </c>
      <c r="P9797">
        <v>30003</v>
      </c>
      <c r="Q9797" t="str">
        <f>"38.585144"</f>
        <v>38.585144</v>
      </c>
      <c r="R9797" t="str">
        <f>"21.443075"</f>
        <v>21.443075</v>
      </c>
      <c r="S9797" t="s">
        <v>26</v>
      </c>
    </row>
    <row r="9798" spans="1:19" x14ac:dyDescent="0.3">
      <c r="A9798" t="s">
        <v>13791</v>
      </c>
      <c r="B9798" t="s">
        <v>14950</v>
      </c>
      <c r="C9798" t="s">
        <v>15066</v>
      </c>
      <c r="D9798" t="s">
        <v>13792</v>
      </c>
      <c r="E9798" t="s">
        <v>13851</v>
      </c>
      <c r="F9798" t="s">
        <v>13851</v>
      </c>
      <c r="G9798" t="s">
        <v>13851</v>
      </c>
      <c r="H9798" t="s">
        <v>859</v>
      </c>
      <c r="I9798" t="s">
        <v>860</v>
      </c>
      <c r="J9798" t="str">
        <f>"9010587"</f>
        <v>9010587</v>
      </c>
      <c r="K9798">
        <v>2641031047</v>
      </c>
      <c r="M9798" t="s">
        <v>15067</v>
      </c>
      <c r="N9798" t="s">
        <v>15068</v>
      </c>
      <c r="O9798" t="s">
        <v>15069</v>
      </c>
      <c r="P9798">
        <v>30150</v>
      </c>
      <c r="Q9798" t="str">
        <f>"38.599025"</f>
        <v>38.599025</v>
      </c>
      <c r="R9798" t="str">
        <f>"21.407537"</f>
        <v>21.407537</v>
      </c>
      <c r="S9798" t="s">
        <v>26</v>
      </c>
    </row>
    <row r="9799" spans="1:19" x14ac:dyDescent="0.3">
      <c r="A9799" t="s">
        <v>13791</v>
      </c>
      <c r="B9799" t="s">
        <v>14950</v>
      </c>
      <c r="C9799" t="s">
        <v>15081</v>
      </c>
      <c r="D9799" t="s">
        <v>13792</v>
      </c>
      <c r="E9799" t="s">
        <v>13851</v>
      </c>
      <c r="F9799" t="s">
        <v>13851</v>
      </c>
      <c r="G9799" t="s">
        <v>13851</v>
      </c>
      <c r="H9799" t="s">
        <v>859</v>
      </c>
      <c r="I9799" t="s">
        <v>860</v>
      </c>
      <c r="J9799" t="str">
        <f>"9010007"</f>
        <v>9010007</v>
      </c>
      <c r="K9799">
        <v>2641023981</v>
      </c>
      <c r="L9799">
        <v>2641023981</v>
      </c>
      <c r="M9799" t="s">
        <v>15082</v>
      </c>
      <c r="N9799" t="s">
        <v>3984</v>
      </c>
      <c r="O9799" t="s">
        <v>15083</v>
      </c>
      <c r="P9799">
        <v>30132</v>
      </c>
      <c r="Q9799" t="str">
        <f>"38.619931"</f>
        <v>38.619931</v>
      </c>
      <c r="R9799" t="str">
        <f>"21.415041"</f>
        <v>21.415041</v>
      </c>
      <c r="S9799" t="s">
        <v>26</v>
      </c>
    </row>
    <row r="9800" spans="1:19" x14ac:dyDescent="0.3">
      <c r="A9800" t="s">
        <v>13791</v>
      </c>
      <c r="B9800" t="s">
        <v>14950</v>
      </c>
      <c r="C9800" t="s">
        <v>15084</v>
      </c>
      <c r="D9800" t="s">
        <v>13792</v>
      </c>
      <c r="E9800" t="s">
        <v>13851</v>
      </c>
      <c r="F9800" t="s">
        <v>13851</v>
      </c>
      <c r="G9800" t="s">
        <v>13851</v>
      </c>
      <c r="H9800" t="s">
        <v>859</v>
      </c>
      <c r="I9800" t="s">
        <v>860</v>
      </c>
      <c r="J9800" t="str">
        <f>"9010006"</f>
        <v>9010006</v>
      </c>
      <c r="K9800">
        <v>2641058301</v>
      </c>
      <c r="L9800">
        <v>2641021753</v>
      </c>
      <c r="M9800" t="s">
        <v>15085</v>
      </c>
      <c r="N9800" t="s">
        <v>13851</v>
      </c>
      <c r="O9800" t="s">
        <v>15086</v>
      </c>
      <c r="P9800">
        <v>30100</v>
      </c>
      <c r="Q9800" t="str">
        <f>"38.629445"</f>
        <v>38.629445</v>
      </c>
      <c r="R9800" t="str">
        <f>"21.414253"</f>
        <v>21.414253</v>
      </c>
      <c r="S9800" t="s">
        <v>26</v>
      </c>
    </row>
    <row r="9801" spans="1:19" x14ac:dyDescent="0.3">
      <c r="A9801" t="s">
        <v>13791</v>
      </c>
      <c r="B9801" t="s">
        <v>14950</v>
      </c>
      <c r="C9801" t="s">
        <v>15087</v>
      </c>
      <c r="D9801" t="s">
        <v>13792</v>
      </c>
      <c r="E9801" t="s">
        <v>13851</v>
      </c>
      <c r="F9801" t="s">
        <v>13851</v>
      </c>
      <c r="G9801" t="s">
        <v>13851</v>
      </c>
      <c r="H9801" t="s">
        <v>859</v>
      </c>
      <c r="I9801" t="s">
        <v>860</v>
      </c>
      <c r="J9801" t="str">
        <f>"9010613"</f>
        <v>9010613</v>
      </c>
      <c r="K9801">
        <v>2641045475</v>
      </c>
      <c r="L9801">
        <v>2641045475</v>
      </c>
      <c r="M9801" t="s">
        <v>15088</v>
      </c>
      <c r="N9801" t="s">
        <v>13851</v>
      </c>
      <c r="O9801" t="s">
        <v>15089</v>
      </c>
      <c r="P9801">
        <v>30133</v>
      </c>
      <c r="Q9801" t="str">
        <f>"38.623969"</f>
        <v>38.623969</v>
      </c>
      <c r="R9801" t="str">
        <f>"21.414710"</f>
        <v>21.414710</v>
      </c>
      <c r="S9801" t="s">
        <v>26</v>
      </c>
    </row>
    <row r="9802" spans="1:19" x14ac:dyDescent="0.3">
      <c r="A9802" t="s">
        <v>13791</v>
      </c>
      <c r="B9802" t="s">
        <v>14950</v>
      </c>
      <c r="C9802" t="s">
        <v>15090</v>
      </c>
      <c r="D9802" t="s">
        <v>13792</v>
      </c>
      <c r="E9802" t="s">
        <v>13851</v>
      </c>
      <c r="F9802" t="s">
        <v>13851</v>
      </c>
      <c r="G9802" t="s">
        <v>13851</v>
      </c>
      <c r="H9802" t="s">
        <v>859</v>
      </c>
      <c r="I9802" t="s">
        <v>860</v>
      </c>
      <c r="J9802" t="str">
        <f>"9010623"</f>
        <v>9010623</v>
      </c>
      <c r="K9802">
        <v>2641048205</v>
      </c>
      <c r="M9802" t="s">
        <v>15091</v>
      </c>
      <c r="N9802" t="s">
        <v>13885</v>
      </c>
      <c r="O9802" t="s">
        <v>15092</v>
      </c>
      <c r="P9802">
        <v>30100</v>
      </c>
      <c r="Q9802" t="str">
        <f>"38.617455"</f>
        <v>38.617455</v>
      </c>
      <c r="R9802" t="str">
        <f>"21.428736"</f>
        <v>21.428736</v>
      </c>
      <c r="S9802" t="s">
        <v>26</v>
      </c>
    </row>
    <row r="9803" spans="1:19" x14ac:dyDescent="0.3">
      <c r="A9803" t="s">
        <v>13791</v>
      </c>
      <c r="B9803" t="s">
        <v>14950</v>
      </c>
      <c r="C9803" t="s">
        <v>15093</v>
      </c>
      <c r="D9803" t="s">
        <v>13792</v>
      </c>
      <c r="E9803" t="s">
        <v>13851</v>
      </c>
      <c r="F9803" t="s">
        <v>13851</v>
      </c>
      <c r="G9803" t="s">
        <v>13851</v>
      </c>
      <c r="H9803" t="s">
        <v>859</v>
      </c>
      <c r="I9803" t="s">
        <v>860</v>
      </c>
      <c r="J9803" t="str">
        <f>"9010003"</f>
        <v>9010003</v>
      </c>
      <c r="K9803">
        <v>2641027352</v>
      </c>
      <c r="M9803" t="s">
        <v>15094</v>
      </c>
      <c r="N9803" t="s">
        <v>3984</v>
      </c>
      <c r="O9803" t="s">
        <v>15095</v>
      </c>
      <c r="P9803">
        <v>30132</v>
      </c>
      <c r="Q9803" t="str">
        <f>"38.617709"</f>
        <v>38.617709</v>
      </c>
      <c r="R9803" t="str">
        <f>"21.412565"</f>
        <v>21.412565</v>
      </c>
      <c r="S9803" t="s">
        <v>26</v>
      </c>
    </row>
    <row r="9804" spans="1:19" x14ac:dyDescent="0.3">
      <c r="A9804" t="s">
        <v>13791</v>
      </c>
      <c r="B9804" t="s">
        <v>14950</v>
      </c>
      <c r="C9804" t="s">
        <v>15096</v>
      </c>
      <c r="D9804" t="s">
        <v>13792</v>
      </c>
      <c r="E9804" t="s">
        <v>13851</v>
      </c>
      <c r="F9804" t="s">
        <v>13851</v>
      </c>
      <c r="G9804" t="s">
        <v>13851</v>
      </c>
      <c r="H9804" t="s">
        <v>859</v>
      </c>
      <c r="I9804" t="s">
        <v>860</v>
      </c>
      <c r="J9804" t="str">
        <f>"9010494"</f>
        <v>9010494</v>
      </c>
      <c r="K9804">
        <v>2641024913</v>
      </c>
      <c r="L9804">
        <v>2641024913</v>
      </c>
      <c r="M9804" t="s">
        <v>15097</v>
      </c>
      <c r="N9804" t="s">
        <v>13885</v>
      </c>
      <c r="O9804" t="s">
        <v>15098</v>
      </c>
      <c r="P9804">
        <v>30133</v>
      </c>
      <c r="Q9804" t="str">
        <f>"38.623828"</f>
        <v>38.623828</v>
      </c>
      <c r="R9804" t="str">
        <f>"21.417611"</f>
        <v>21.417611</v>
      </c>
      <c r="S9804" t="s">
        <v>26</v>
      </c>
    </row>
    <row r="9805" spans="1:19" x14ac:dyDescent="0.3">
      <c r="A9805" t="s">
        <v>13791</v>
      </c>
      <c r="B9805" t="s">
        <v>14950</v>
      </c>
      <c r="C9805" t="s">
        <v>15099</v>
      </c>
      <c r="D9805" t="s">
        <v>13792</v>
      </c>
      <c r="E9805" t="s">
        <v>13851</v>
      </c>
      <c r="F9805" t="s">
        <v>13851</v>
      </c>
      <c r="G9805" t="s">
        <v>13851</v>
      </c>
      <c r="H9805" t="s">
        <v>859</v>
      </c>
      <c r="I9805" t="s">
        <v>860</v>
      </c>
      <c r="J9805" t="str">
        <f>"9010599"</f>
        <v>9010599</v>
      </c>
      <c r="K9805">
        <v>2641029566</v>
      </c>
      <c r="M9805" t="s">
        <v>15100</v>
      </c>
      <c r="N9805" t="s">
        <v>3984</v>
      </c>
      <c r="O9805" t="s">
        <v>15101</v>
      </c>
      <c r="P9805">
        <v>30132</v>
      </c>
      <c r="Q9805" t="str">
        <f>"38.621202"</f>
        <v>38.621202</v>
      </c>
      <c r="R9805" t="str">
        <f>"21.411280"</f>
        <v>21.411280</v>
      </c>
      <c r="S9805" t="s">
        <v>26</v>
      </c>
    </row>
    <row r="9806" spans="1:19" x14ac:dyDescent="0.3">
      <c r="A9806" t="s">
        <v>13791</v>
      </c>
      <c r="B9806" t="s">
        <v>14950</v>
      </c>
      <c r="C9806" t="s">
        <v>15111</v>
      </c>
      <c r="D9806" t="s">
        <v>13792</v>
      </c>
      <c r="E9806" t="s">
        <v>13851</v>
      </c>
      <c r="F9806" t="s">
        <v>13852</v>
      </c>
      <c r="G9806" t="s">
        <v>13853</v>
      </c>
      <c r="H9806" t="s">
        <v>859</v>
      </c>
      <c r="I9806" t="s">
        <v>860</v>
      </c>
      <c r="J9806" t="str">
        <f>"9010650"</f>
        <v>9010650</v>
      </c>
      <c r="K9806">
        <v>2641062993</v>
      </c>
      <c r="L9806">
        <v>2641062993</v>
      </c>
      <c r="M9806" t="s">
        <v>15112</v>
      </c>
      <c r="N9806" t="s">
        <v>13856</v>
      </c>
      <c r="O9806" t="s">
        <v>15113</v>
      </c>
      <c r="P9806">
        <v>30005</v>
      </c>
      <c r="Q9806" t="str">
        <f>"38.605027"</f>
        <v>38.605027</v>
      </c>
      <c r="R9806" t="str">
        <f>"21.492695"</f>
        <v>21.492695</v>
      </c>
      <c r="S9806" t="s">
        <v>26</v>
      </c>
    </row>
    <row r="9807" spans="1:19" x14ac:dyDescent="0.3">
      <c r="A9807" t="s">
        <v>13791</v>
      </c>
      <c r="B9807" t="s">
        <v>14950</v>
      </c>
      <c r="C9807" t="s">
        <v>15122</v>
      </c>
      <c r="D9807" t="s">
        <v>13792</v>
      </c>
      <c r="E9807" t="s">
        <v>13851</v>
      </c>
      <c r="F9807" t="s">
        <v>11666</v>
      </c>
      <c r="G9807" t="s">
        <v>15121</v>
      </c>
      <c r="H9807" t="s">
        <v>859</v>
      </c>
      <c r="I9807" t="s">
        <v>860</v>
      </c>
      <c r="J9807" t="str">
        <f>"9010544"</f>
        <v>9010544</v>
      </c>
      <c r="K9807">
        <v>2641044566</v>
      </c>
      <c r="L9807">
        <v>2641044239</v>
      </c>
      <c r="M9807" t="s">
        <v>15123</v>
      </c>
      <c r="N9807" t="s">
        <v>613</v>
      </c>
      <c r="O9807" t="s">
        <v>15124</v>
      </c>
      <c r="P9807">
        <v>30100</v>
      </c>
      <c r="Q9807" t="str">
        <f>"38.651052"</f>
        <v>38.651052</v>
      </c>
      <c r="R9807" t="str">
        <f>"21.379654"</f>
        <v>21.379654</v>
      </c>
      <c r="S9807" t="s">
        <v>26</v>
      </c>
    </row>
    <row r="9808" spans="1:19" x14ac:dyDescent="0.3">
      <c r="A9808" t="s">
        <v>13791</v>
      </c>
      <c r="B9808" t="s">
        <v>14950</v>
      </c>
      <c r="C9808" t="s">
        <v>15130</v>
      </c>
      <c r="D9808" t="s">
        <v>13792</v>
      </c>
      <c r="E9808" t="s">
        <v>13851</v>
      </c>
      <c r="F9808" t="s">
        <v>11666</v>
      </c>
      <c r="G9808" t="s">
        <v>15114</v>
      </c>
      <c r="H9808" t="s">
        <v>859</v>
      </c>
      <c r="I9808" t="s">
        <v>860</v>
      </c>
      <c r="J9808" t="str">
        <f>"9010533"</f>
        <v>9010533</v>
      </c>
      <c r="K9808">
        <v>2641044665</v>
      </c>
      <c r="L9808">
        <v>2641044665</v>
      </c>
      <c r="M9808" t="s">
        <v>15131</v>
      </c>
      <c r="N9808" t="s">
        <v>11666</v>
      </c>
      <c r="O9808" t="s">
        <v>15117</v>
      </c>
      <c r="P9808">
        <v>30100</v>
      </c>
      <c r="Q9808" t="str">
        <f>"38.646258"</f>
        <v>38.646258</v>
      </c>
      <c r="R9808" t="str">
        <f>"21.373212"</f>
        <v>21.373212</v>
      </c>
      <c r="S9808" t="s">
        <v>26</v>
      </c>
    </row>
    <row r="9809" spans="1:19" x14ac:dyDescent="0.3">
      <c r="A9809" t="s">
        <v>13791</v>
      </c>
      <c r="B9809" t="s">
        <v>14950</v>
      </c>
      <c r="C9809" t="s">
        <v>15146</v>
      </c>
      <c r="D9809" t="s">
        <v>13792</v>
      </c>
      <c r="E9809" t="s">
        <v>8765</v>
      </c>
      <c r="F9809" t="s">
        <v>8765</v>
      </c>
      <c r="G9809" t="s">
        <v>1460</v>
      </c>
      <c r="H9809" t="s">
        <v>859</v>
      </c>
      <c r="I9809" t="s">
        <v>860</v>
      </c>
      <c r="J9809" t="str">
        <f>"9010469"</f>
        <v>9010469</v>
      </c>
      <c r="K9809">
        <v>2642051922</v>
      </c>
      <c r="M9809" t="s">
        <v>15147</v>
      </c>
      <c r="N9809" t="s">
        <v>15148</v>
      </c>
      <c r="O9809" t="s">
        <v>15148</v>
      </c>
      <c r="P9809">
        <v>30500</v>
      </c>
      <c r="Q9809" t="str">
        <f>"38.942554"</f>
        <v>38.942554</v>
      </c>
      <c r="R9809" t="str">
        <f>"21.179066"</f>
        <v>21.179066</v>
      </c>
      <c r="S9809" t="s">
        <v>26</v>
      </c>
    </row>
    <row r="9810" spans="1:19" x14ac:dyDescent="0.3">
      <c r="A9810" t="s">
        <v>13791</v>
      </c>
      <c r="B9810" t="s">
        <v>14950</v>
      </c>
      <c r="C9810" t="s">
        <v>15159</v>
      </c>
      <c r="D9810" t="s">
        <v>13792</v>
      </c>
      <c r="E9810" t="s">
        <v>8765</v>
      </c>
      <c r="F9810" t="s">
        <v>13813</v>
      </c>
      <c r="G9810" t="s">
        <v>15158</v>
      </c>
      <c r="H9810" t="s">
        <v>859</v>
      </c>
      <c r="I9810" t="s">
        <v>860</v>
      </c>
      <c r="J9810" t="str">
        <f>"9010564"</f>
        <v>9010564</v>
      </c>
      <c r="K9810">
        <v>2647041414</v>
      </c>
      <c r="L9810">
        <v>2647041414</v>
      </c>
      <c r="M9810" t="s">
        <v>15160</v>
      </c>
      <c r="N9810" t="s">
        <v>15161</v>
      </c>
      <c r="O9810" t="s">
        <v>15162</v>
      </c>
      <c r="P9810">
        <v>30017</v>
      </c>
      <c r="Q9810" t="str">
        <f>"39.068054"</f>
        <v>39.068054</v>
      </c>
      <c r="R9810" t="str">
        <f>"21.272030"</f>
        <v>21.272030</v>
      </c>
      <c r="S9810" t="s">
        <v>57</v>
      </c>
    </row>
    <row r="9811" spans="1:19" x14ac:dyDescent="0.3">
      <c r="A9811" t="s">
        <v>13791</v>
      </c>
      <c r="B9811" t="s">
        <v>14950</v>
      </c>
      <c r="C9811" t="s">
        <v>15180</v>
      </c>
      <c r="D9811" t="s">
        <v>13792</v>
      </c>
      <c r="E9811" t="s">
        <v>13851</v>
      </c>
      <c r="F9811" t="s">
        <v>13851</v>
      </c>
      <c r="G9811" t="s">
        <v>13851</v>
      </c>
      <c r="H9811" t="s">
        <v>859</v>
      </c>
      <c r="I9811" t="s">
        <v>860</v>
      </c>
      <c r="J9811" t="str">
        <f>"9010612"</f>
        <v>9010612</v>
      </c>
      <c r="K9811">
        <v>2641044524</v>
      </c>
      <c r="L9811">
        <v>2641044524</v>
      </c>
      <c r="M9811" t="s">
        <v>15181</v>
      </c>
      <c r="N9811" t="s">
        <v>13851</v>
      </c>
      <c r="O9811" t="s">
        <v>15182</v>
      </c>
      <c r="P9811">
        <v>30100</v>
      </c>
      <c r="Q9811" t="str">
        <f>"38.610983"</f>
        <v>38.610983</v>
      </c>
      <c r="R9811" t="str">
        <f>"21.421919"</f>
        <v>21.421919</v>
      </c>
      <c r="S9811" t="s">
        <v>26</v>
      </c>
    </row>
    <row r="9812" spans="1:19" x14ac:dyDescent="0.3">
      <c r="A9812" t="s">
        <v>13791</v>
      </c>
      <c r="B9812" t="s">
        <v>14950</v>
      </c>
      <c r="C9812" t="s">
        <v>15204</v>
      </c>
      <c r="D9812" t="s">
        <v>13792</v>
      </c>
      <c r="E9812" t="s">
        <v>13793</v>
      </c>
      <c r="F9812" t="s">
        <v>13793</v>
      </c>
      <c r="G9812" t="s">
        <v>1872</v>
      </c>
      <c r="H9812" t="s">
        <v>859</v>
      </c>
      <c r="I9812" t="s">
        <v>860</v>
      </c>
      <c r="J9812" t="str">
        <f>"9010621"</f>
        <v>9010621</v>
      </c>
      <c r="K9812">
        <v>2631038053</v>
      </c>
      <c r="L9812">
        <v>2631038322</v>
      </c>
      <c r="M9812" t="s">
        <v>15205</v>
      </c>
      <c r="N9812" t="s">
        <v>1872</v>
      </c>
      <c r="O9812" t="s">
        <v>15206</v>
      </c>
      <c r="P9812">
        <v>30014</v>
      </c>
      <c r="Q9812" t="str">
        <f>"38.393507"</f>
        <v>38.393507</v>
      </c>
      <c r="R9812" t="str">
        <f>"21.542758"</f>
        <v>21.542758</v>
      </c>
      <c r="S9812" t="s">
        <v>26</v>
      </c>
    </row>
    <row r="9813" spans="1:19" x14ac:dyDescent="0.3">
      <c r="A9813" t="s">
        <v>13791</v>
      </c>
      <c r="B9813" t="s">
        <v>14950</v>
      </c>
      <c r="C9813" t="s">
        <v>15207</v>
      </c>
      <c r="D9813" t="s">
        <v>13792</v>
      </c>
      <c r="E9813" t="s">
        <v>13878</v>
      </c>
      <c r="F9813" t="s">
        <v>13878</v>
      </c>
      <c r="G9813" t="s">
        <v>13878</v>
      </c>
      <c r="H9813" t="s">
        <v>859</v>
      </c>
      <c r="I9813" t="s">
        <v>860</v>
      </c>
      <c r="J9813" t="str">
        <f>"9010027"</f>
        <v>9010027</v>
      </c>
      <c r="K9813">
        <v>2644022604</v>
      </c>
      <c r="M9813" t="s">
        <v>15208</v>
      </c>
      <c r="N9813" t="s">
        <v>13878</v>
      </c>
      <c r="O9813" t="s">
        <v>13881</v>
      </c>
      <c r="P9813">
        <v>30008</v>
      </c>
      <c r="Q9813" t="str">
        <f>"38.570854"</f>
        <v>38.570854</v>
      </c>
      <c r="R9813" t="str">
        <f>"21.666987"</f>
        <v>21.666987</v>
      </c>
      <c r="S9813" t="s">
        <v>26</v>
      </c>
    </row>
    <row r="9814" spans="1:19" x14ac:dyDescent="0.3">
      <c r="A9814" t="s">
        <v>13791</v>
      </c>
      <c r="B9814" t="s">
        <v>14950</v>
      </c>
      <c r="C9814" t="s">
        <v>15220</v>
      </c>
      <c r="D9814" t="s">
        <v>13792</v>
      </c>
      <c r="E9814" t="s">
        <v>13793</v>
      </c>
      <c r="F9814" t="s">
        <v>13828</v>
      </c>
      <c r="G9814" t="s">
        <v>13845</v>
      </c>
      <c r="H9814" t="s">
        <v>859</v>
      </c>
      <c r="I9814" t="s">
        <v>860</v>
      </c>
      <c r="J9814" t="str">
        <f>"9010263"</f>
        <v>9010263</v>
      </c>
      <c r="K9814">
        <v>2632092598</v>
      </c>
      <c r="L9814">
        <v>2632092598</v>
      </c>
      <c r="M9814" t="s">
        <v>15221</v>
      </c>
      <c r="N9814" t="s">
        <v>13845</v>
      </c>
      <c r="O9814" t="s">
        <v>13849</v>
      </c>
      <c r="P9814">
        <v>30007</v>
      </c>
      <c r="Q9814" t="str">
        <f>"38.416685"</f>
        <v>38.416685</v>
      </c>
      <c r="R9814" t="str">
        <f>"21.250748"</f>
        <v>21.250748</v>
      </c>
      <c r="S9814" t="s">
        <v>26</v>
      </c>
    </row>
    <row r="9815" spans="1:19" x14ac:dyDescent="0.3">
      <c r="A9815" t="s">
        <v>13791</v>
      </c>
      <c r="B9815" t="s">
        <v>14950</v>
      </c>
      <c r="C9815" t="s">
        <v>15222</v>
      </c>
      <c r="D9815" t="s">
        <v>13792</v>
      </c>
      <c r="E9815" t="s">
        <v>13793</v>
      </c>
      <c r="F9815" t="s">
        <v>13793</v>
      </c>
      <c r="G9815" t="s">
        <v>3986</v>
      </c>
      <c r="H9815" t="s">
        <v>859</v>
      </c>
      <c r="I9815" t="s">
        <v>860</v>
      </c>
      <c r="J9815" t="str">
        <f>"9010287"</f>
        <v>9010287</v>
      </c>
      <c r="K9815">
        <v>2631025526</v>
      </c>
      <c r="L9815">
        <v>2631025526</v>
      </c>
      <c r="M9815" t="s">
        <v>15223</v>
      </c>
      <c r="N9815" t="s">
        <v>3986</v>
      </c>
      <c r="O9815" t="s">
        <v>15224</v>
      </c>
      <c r="P9815">
        <v>30200</v>
      </c>
      <c r="Q9815" t="str">
        <f>"38.370713"</f>
        <v>38.370713</v>
      </c>
      <c r="R9815" t="str">
        <f>"21.428288"</f>
        <v>21.428288</v>
      </c>
      <c r="S9815" t="s">
        <v>26</v>
      </c>
    </row>
    <row r="9816" spans="1:19" x14ac:dyDescent="0.3">
      <c r="A9816" t="s">
        <v>13791</v>
      </c>
      <c r="B9816" t="s">
        <v>14950</v>
      </c>
      <c r="C9816" t="s">
        <v>15225</v>
      </c>
      <c r="D9816" t="s">
        <v>13792</v>
      </c>
      <c r="E9816" t="s">
        <v>13793</v>
      </c>
      <c r="F9816" t="s">
        <v>13793</v>
      </c>
      <c r="G9816" t="s">
        <v>3986</v>
      </c>
      <c r="H9816" t="s">
        <v>859</v>
      </c>
      <c r="I9816" t="s">
        <v>860</v>
      </c>
      <c r="J9816" t="str">
        <f>"9010449"</f>
        <v>9010449</v>
      </c>
      <c r="K9816">
        <v>2631051271</v>
      </c>
      <c r="M9816" t="s">
        <v>15226</v>
      </c>
      <c r="N9816" t="s">
        <v>13796</v>
      </c>
      <c r="O9816" t="s">
        <v>15127</v>
      </c>
      <c r="P9816">
        <v>30200</v>
      </c>
      <c r="Q9816" t="str">
        <f>"38.365293"</f>
        <v>38.365293</v>
      </c>
      <c r="R9816" t="str">
        <f>"21.425311"</f>
        <v>21.425311</v>
      </c>
      <c r="S9816" t="s">
        <v>26</v>
      </c>
    </row>
    <row r="9817" spans="1:19" x14ac:dyDescent="0.3">
      <c r="A9817" t="s">
        <v>13791</v>
      </c>
      <c r="B9817" t="s">
        <v>14950</v>
      </c>
      <c r="C9817" t="s">
        <v>15227</v>
      </c>
      <c r="D9817" t="s">
        <v>13792</v>
      </c>
      <c r="E9817" t="s">
        <v>13793</v>
      </c>
      <c r="F9817" t="s">
        <v>13828</v>
      </c>
      <c r="G9817" t="s">
        <v>14123</v>
      </c>
      <c r="H9817" t="s">
        <v>859</v>
      </c>
      <c r="I9817" t="s">
        <v>860</v>
      </c>
      <c r="J9817" t="str">
        <f>"9010505"</f>
        <v>9010505</v>
      </c>
      <c r="K9817">
        <v>2632031883</v>
      </c>
      <c r="M9817" t="s">
        <v>15228</v>
      </c>
      <c r="N9817" t="s">
        <v>14123</v>
      </c>
      <c r="O9817" t="s">
        <v>14126</v>
      </c>
      <c r="P9817">
        <v>30001</v>
      </c>
      <c r="Q9817" t="str">
        <f>"38.469863"</f>
        <v>38.469863</v>
      </c>
      <c r="R9817" t="str">
        <f>"21.260364"</f>
        <v>21.260364</v>
      </c>
      <c r="S9817" t="s">
        <v>26</v>
      </c>
    </row>
    <row r="9818" spans="1:19" x14ac:dyDescent="0.3">
      <c r="A9818" t="s">
        <v>13791</v>
      </c>
      <c r="B9818" t="s">
        <v>14950</v>
      </c>
      <c r="C9818" t="s">
        <v>15229</v>
      </c>
      <c r="D9818" t="s">
        <v>13792</v>
      </c>
      <c r="E9818" t="s">
        <v>13793</v>
      </c>
      <c r="F9818" t="s">
        <v>13828</v>
      </c>
      <c r="G9818" t="s">
        <v>13829</v>
      </c>
      <c r="H9818" t="s">
        <v>859</v>
      </c>
      <c r="I9818" t="s">
        <v>860</v>
      </c>
      <c r="J9818" t="str">
        <f>"9010295"</f>
        <v>9010295</v>
      </c>
      <c r="K9818">
        <v>2632091115</v>
      </c>
      <c r="M9818" t="s">
        <v>15230</v>
      </c>
      <c r="N9818" t="s">
        <v>13744</v>
      </c>
      <c r="O9818" t="s">
        <v>15215</v>
      </c>
      <c r="P9818">
        <v>30001</v>
      </c>
      <c r="Q9818" t="str">
        <f>"38.412123"</f>
        <v>38.412123</v>
      </c>
      <c r="R9818" t="str">
        <f>"21.274421"</f>
        <v>21.274421</v>
      </c>
      <c r="S9818" t="s">
        <v>26</v>
      </c>
    </row>
    <row r="9819" spans="1:19" x14ac:dyDescent="0.3">
      <c r="A9819" t="s">
        <v>13791</v>
      </c>
      <c r="B9819" t="s">
        <v>14950</v>
      </c>
      <c r="C9819" t="s">
        <v>15237</v>
      </c>
      <c r="D9819" t="s">
        <v>13792</v>
      </c>
      <c r="E9819" t="s">
        <v>13793</v>
      </c>
      <c r="F9819" t="s">
        <v>13828</v>
      </c>
      <c r="G9819" t="s">
        <v>13829</v>
      </c>
      <c r="H9819" t="s">
        <v>859</v>
      </c>
      <c r="I9819" t="s">
        <v>860</v>
      </c>
      <c r="J9819" t="str">
        <f>"9520770"</f>
        <v>9520770</v>
      </c>
      <c r="K9819">
        <v>2632091801</v>
      </c>
      <c r="M9819" t="s">
        <v>15238</v>
      </c>
      <c r="N9819" t="s">
        <v>13748</v>
      </c>
      <c r="O9819" t="s">
        <v>6092</v>
      </c>
      <c r="P9819">
        <v>30001</v>
      </c>
      <c r="Q9819" t="str">
        <f>"38.394319"</f>
        <v>38.394319</v>
      </c>
      <c r="R9819" t="str">
        <f>"21.264990"</f>
        <v>21.264990</v>
      </c>
      <c r="S9819" t="s">
        <v>26</v>
      </c>
    </row>
    <row r="9820" spans="1:19" x14ac:dyDescent="0.3">
      <c r="A9820" t="s">
        <v>13791</v>
      </c>
      <c r="B9820" t="s">
        <v>14950</v>
      </c>
      <c r="C9820" t="s">
        <v>15239</v>
      </c>
      <c r="D9820" t="s">
        <v>13792</v>
      </c>
      <c r="E9820" t="s">
        <v>13793</v>
      </c>
      <c r="F9820" t="s">
        <v>13987</v>
      </c>
      <c r="G9820" t="s">
        <v>13987</v>
      </c>
      <c r="H9820" t="s">
        <v>859</v>
      </c>
      <c r="I9820" t="s">
        <v>860</v>
      </c>
      <c r="J9820" t="str">
        <f>"9010279"</f>
        <v>9010279</v>
      </c>
      <c r="K9820">
        <v>2632023531</v>
      </c>
      <c r="L9820">
        <v>2632023531</v>
      </c>
      <c r="M9820" t="s">
        <v>15240</v>
      </c>
      <c r="N9820" t="s">
        <v>13987</v>
      </c>
      <c r="O9820" t="s">
        <v>15241</v>
      </c>
      <c r="P9820">
        <v>30400</v>
      </c>
      <c r="Q9820" t="str">
        <f>"38.436015"</f>
        <v>38.436015</v>
      </c>
      <c r="R9820" t="str">
        <f>"21.355928"</f>
        <v>21.355928</v>
      </c>
      <c r="S9820" t="s">
        <v>26</v>
      </c>
    </row>
    <row r="9821" spans="1:19" x14ac:dyDescent="0.3">
      <c r="A9821" t="s">
        <v>13791</v>
      </c>
      <c r="B9821" t="s">
        <v>14950</v>
      </c>
      <c r="C9821" t="s">
        <v>15244</v>
      </c>
      <c r="D9821" t="s">
        <v>13792</v>
      </c>
      <c r="E9821" t="s">
        <v>13888</v>
      </c>
      <c r="F9821" t="s">
        <v>15243</v>
      </c>
      <c r="G9821" t="s">
        <v>6337</v>
      </c>
      <c r="H9821" t="s">
        <v>859</v>
      </c>
      <c r="I9821" t="s">
        <v>860</v>
      </c>
      <c r="J9821" t="str">
        <f>"9010509"</f>
        <v>9010509</v>
      </c>
      <c r="K9821">
        <v>2631041408</v>
      </c>
      <c r="L9821">
        <v>2631041008</v>
      </c>
      <c r="M9821" t="s">
        <v>15245</v>
      </c>
      <c r="O9821" t="s">
        <v>6242</v>
      </c>
      <c r="P9821">
        <v>30014</v>
      </c>
      <c r="Q9821" t="str">
        <f>"38.358438"</f>
        <v>38.358438</v>
      </c>
      <c r="R9821" t="str">
        <f>"21.563873"</f>
        <v>21.563873</v>
      </c>
      <c r="S9821" t="s">
        <v>26</v>
      </c>
    </row>
    <row r="9822" spans="1:19" x14ac:dyDescent="0.3">
      <c r="A9822" t="s">
        <v>13791</v>
      </c>
      <c r="B9822" t="s">
        <v>14950</v>
      </c>
      <c r="C9822" t="s">
        <v>15247</v>
      </c>
      <c r="D9822" t="s">
        <v>13792</v>
      </c>
      <c r="E9822" t="s">
        <v>13793</v>
      </c>
      <c r="F9822" t="s">
        <v>13828</v>
      </c>
      <c r="G9822" t="s">
        <v>15246</v>
      </c>
      <c r="H9822" t="s">
        <v>859</v>
      </c>
      <c r="I9822" t="s">
        <v>860</v>
      </c>
      <c r="J9822" t="str">
        <f>"9010617"</f>
        <v>9010617</v>
      </c>
      <c r="K9822">
        <v>2632092813</v>
      </c>
      <c r="M9822" t="s">
        <v>15248</v>
      </c>
      <c r="N9822" t="s">
        <v>15246</v>
      </c>
      <c r="O9822" t="s">
        <v>15246</v>
      </c>
      <c r="P9822">
        <v>30001</v>
      </c>
      <c r="Q9822" t="str">
        <f>"38.436591"</f>
        <v>38.436591</v>
      </c>
      <c r="R9822" t="str">
        <f>"21.277773"</f>
        <v>21.277773</v>
      </c>
      <c r="S9822" t="s">
        <v>26</v>
      </c>
    </row>
    <row r="9823" spans="1:19" x14ac:dyDescent="0.3">
      <c r="A9823" t="s">
        <v>13791</v>
      </c>
      <c r="B9823" t="s">
        <v>14950</v>
      </c>
      <c r="C9823" t="s">
        <v>15250</v>
      </c>
      <c r="D9823" t="s">
        <v>13792</v>
      </c>
      <c r="E9823" t="s">
        <v>13793</v>
      </c>
      <c r="F9823" t="s">
        <v>13987</v>
      </c>
      <c r="G9823" t="s">
        <v>15249</v>
      </c>
      <c r="H9823" t="s">
        <v>859</v>
      </c>
      <c r="I9823" t="s">
        <v>860</v>
      </c>
      <c r="J9823" t="str">
        <f>"9010611"</f>
        <v>9010611</v>
      </c>
      <c r="K9823">
        <v>2632081346</v>
      </c>
      <c r="L9823">
        <v>2632081346</v>
      </c>
      <c r="M9823" t="s">
        <v>15251</v>
      </c>
      <c r="N9823" t="s">
        <v>15249</v>
      </c>
      <c r="O9823" t="s">
        <v>15252</v>
      </c>
      <c r="P9823">
        <v>30400</v>
      </c>
      <c r="Q9823" t="str">
        <f>"38.498171"</f>
        <v>38.498171</v>
      </c>
      <c r="R9823" t="str">
        <f>"21.354137"</f>
        <v>21.354137</v>
      </c>
      <c r="S9823" t="s">
        <v>26</v>
      </c>
    </row>
    <row r="9824" spans="1:19" x14ac:dyDescent="0.3">
      <c r="A9824" t="s">
        <v>13791</v>
      </c>
      <c r="B9824" t="s">
        <v>14950</v>
      </c>
      <c r="C9824" t="s">
        <v>15258</v>
      </c>
      <c r="D9824" t="s">
        <v>13792</v>
      </c>
      <c r="E9824" t="s">
        <v>13793</v>
      </c>
      <c r="F9824" t="s">
        <v>13828</v>
      </c>
      <c r="G9824" t="s">
        <v>15257</v>
      </c>
      <c r="H9824" t="s">
        <v>859</v>
      </c>
      <c r="I9824" t="s">
        <v>860</v>
      </c>
      <c r="J9824" t="str">
        <f>"9010479"</f>
        <v>9010479</v>
      </c>
      <c r="K9824">
        <v>2632031224</v>
      </c>
      <c r="L9824">
        <v>2632031224</v>
      </c>
      <c r="M9824" t="s">
        <v>15259</v>
      </c>
      <c r="N9824" t="s">
        <v>15257</v>
      </c>
      <c r="O9824" t="s">
        <v>15260</v>
      </c>
      <c r="P9824">
        <v>30001</v>
      </c>
      <c r="Q9824" t="str">
        <f>"38.480463"</f>
        <v>38.480463</v>
      </c>
      <c r="R9824" t="str">
        <f>"21.244786"</f>
        <v>21.244786</v>
      </c>
      <c r="S9824" t="s">
        <v>26</v>
      </c>
    </row>
    <row r="9825" spans="1:19" x14ac:dyDescent="0.3">
      <c r="A9825" t="s">
        <v>13791</v>
      </c>
      <c r="B9825" t="s">
        <v>14950</v>
      </c>
      <c r="C9825" t="s">
        <v>15263</v>
      </c>
      <c r="D9825" t="s">
        <v>13792</v>
      </c>
      <c r="E9825" t="s">
        <v>13793</v>
      </c>
      <c r="F9825" t="s">
        <v>13828</v>
      </c>
      <c r="G9825" t="s">
        <v>15106</v>
      </c>
      <c r="H9825" t="s">
        <v>859</v>
      </c>
      <c r="I9825" t="s">
        <v>860</v>
      </c>
      <c r="J9825" t="str">
        <f>"9010507"</f>
        <v>9010507</v>
      </c>
      <c r="K9825">
        <v>2632032001</v>
      </c>
      <c r="M9825" t="s">
        <v>15264</v>
      </c>
      <c r="N9825" t="s">
        <v>15106</v>
      </c>
      <c r="O9825" t="s">
        <v>15109</v>
      </c>
      <c r="P9825">
        <v>30001</v>
      </c>
      <c r="Q9825" t="str">
        <f>"38.451095"</f>
        <v>38.451095</v>
      </c>
      <c r="R9825" t="str">
        <f>"21.235924"</f>
        <v>21.235924</v>
      </c>
      <c r="S9825" t="s">
        <v>26</v>
      </c>
    </row>
    <row r="9826" spans="1:19" x14ac:dyDescent="0.3">
      <c r="A9826" t="s">
        <v>13791</v>
      </c>
      <c r="B9826" t="s">
        <v>14950</v>
      </c>
      <c r="C9826" t="s">
        <v>15266</v>
      </c>
      <c r="D9826" t="s">
        <v>13792</v>
      </c>
      <c r="E9826" t="s">
        <v>13836</v>
      </c>
      <c r="F9826" t="s">
        <v>13837</v>
      </c>
      <c r="G9826" t="s">
        <v>13838</v>
      </c>
      <c r="H9826" t="s">
        <v>859</v>
      </c>
      <c r="I9826" t="s">
        <v>860</v>
      </c>
      <c r="J9826" t="str">
        <f>"9010517"</f>
        <v>9010517</v>
      </c>
      <c r="K9826">
        <v>2643023914</v>
      </c>
      <c r="L9826">
        <v>2643023914</v>
      </c>
      <c r="M9826" t="s">
        <v>15267</v>
      </c>
      <c r="N9826" t="s">
        <v>13843</v>
      </c>
      <c r="O9826" t="s">
        <v>15268</v>
      </c>
      <c r="P9826">
        <v>30002</v>
      </c>
      <c r="Q9826" t="str">
        <f>"38.917991"</f>
        <v>38.917991</v>
      </c>
      <c r="R9826" t="str">
        <f>"20.890987"</f>
        <v>20.890987</v>
      </c>
      <c r="S9826" t="s">
        <v>26</v>
      </c>
    </row>
    <row r="9827" spans="1:19" x14ac:dyDescent="0.3">
      <c r="A9827" t="s">
        <v>13791</v>
      </c>
      <c r="B9827" t="s">
        <v>14950</v>
      </c>
      <c r="C9827" t="s">
        <v>15269</v>
      </c>
      <c r="D9827" t="s">
        <v>13792</v>
      </c>
      <c r="E9827" t="s">
        <v>13793</v>
      </c>
      <c r="F9827" t="s">
        <v>13793</v>
      </c>
      <c r="G9827" t="s">
        <v>3986</v>
      </c>
      <c r="H9827" t="s">
        <v>859</v>
      </c>
      <c r="I9827" t="s">
        <v>860</v>
      </c>
      <c r="J9827" t="str">
        <f>"9010551"</f>
        <v>9010551</v>
      </c>
      <c r="K9827">
        <v>2631023913</v>
      </c>
      <c r="L9827">
        <v>2631023913</v>
      </c>
      <c r="M9827" t="s">
        <v>15270</v>
      </c>
      <c r="N9827" t="s">
        <v>3986</v>
      </c>
      <c r="O9827" t="s">
        <v>15271</v>
      </c>
      <c r="P9827">
        <v>30200</v>
      </c>
      <c r="Q9827" t="str">
        <f>"38.382096"</f>
        <v>38.382096</v>
      </c>
      <c r="R9827" t="str">
        <f>"21.436057"</f>
        <v>21.436057</v>
      </c>
      <c r="S9827" t="s">
        <v>26</v>
      </c>
    </row>
    <row r="9828" spans="1:19" x14ac:dyDescent="0.3">
      <c r="A9828" t="s">
        <v>13791</v>
      </c>
      <c r="B9828" t="s">
        <v>14950</v>
      </c>
      <c r="C9828" t="s">
        <v>15272</v>
      </c>
      <c r="D9828" t="s">
        <v>13792</v>
      </c>
      <c r="E9828" t="s">
        <v>13793</v>
      </c>
      <c r="F9828" t="s">
        <v>13793</v>
      </c>
      <c r="G9828" t="s">
        <v>3986</v>
      </c>
      <c r="H9828" t="s">
        <v>859</v>
      </c>
      <c r="I9828" t="s">
        <v>860</v>
      </c>
      <c r="J9828" t="str">
        <f>"9010465"</f>
        <v>9010465</v>
      </c>
      <c r="K9828">
        <v>2631025150</v>
      </c>
      <c r="M9828" t="s">
        <v>15273</v>
      </c>
      <c r="N9828" t="s">
        <v>3986</v>
      </c>
      <c r="O9828" t="s">
        <v>15274</v>
      </c>
      <c r="P9828">
        <v>30200</v>
      </c>
      <c r="Q9828" t="str">
        <f>"38.369856"</f>
        <v>38.369856</v>
      </c>
      <c r="R9828" t="str">
        <f>"21.422046"</f>
        <v>21.422046</v>
      </c>
      <c r="S9828" t="s">
        <v>26</v>
      </c>
    </row>
    <row r="9829" spans="1:19" x14ac:dyDescent="0.3">
      <c r="A9829" t="s">
        <v>13791</v>
      </c>
      <c r="B9829" t="s">
        <v>14950</v>
      </c>
      <c r="C9829" t="s">
        <v>15276</v>
      </c>
      <c r="D9829" t="s">
        <v>13792</v>
      </c>
      <c r="E9829" t="s">
        <v>13793</v>
      </c>
      <c r="F9829" t="s">
        <v>13987</v>
      </c>
      <c r="G9829" t="s">
        <v>15275</v>
      </c>
      <c r="H9829" t="s">
        <v>859</v>
      </c>
      <c r="I9829" t="s">
        <v>860</v>
      </c>
      <c r="J9829" t="str">
        <f>"9010660"</f>
        <v>9010660</v>
      </c>
      <c r="K9829">
        <v>2632051052</v>
      </c>
      <c r="L9829">
        <v>2632051052</v>
      </c>
      <c r="M9829" t="s">
        <v>15277</v>
      </c>
      <c r="N9829" t="s">
        <v>15275</v>
      </c>
      <c r="O9829" t="s">
        <v>15278</v>
      </c>
      <c r="P9829">
        <v>30400</v>
      </c>
      <c r="Q9829" t="str">
        <f>"38.514885"</f>
        <v>38.514885</v>
      </c>
      <c r="R9829" t="str">
        <f>"21.283345"</f>
        <v>21.283345</v>
      </c>
      <c r="S9829" t="s">
        <v>26</v>
      </c>
    </row>
    <row r="9830" spans="1:19" x14ac:dyDescent="0.3">
      <c r="A9830" t="s">
        <v>13791</v>
      </c>
      <c r="B9830" t="s">
        <v>14950</v>
      </c>
      <c r="C9830" t="s">
        <v>15301</v>
      </c>
      <c r="D9830" t="s">
        <v>13792</v>
      </c>
      <c r="E9830" t="s">
        <v>8765</v>
      </c>
      <c r="F9830" t="s">
        <v>8765</v>
      </c>
      <c r="G9830" t="s">
        <v>8765</v>
      </c>
      <c r="H9830" t="s">
        <v>859</v>
      </c>
      <c r="I9830" t="s">
        <v>860</v>
      </c>
      <c r="J9830" t="str">
        <f>"9010147"</f>
        <v>9010147</v>
      </c>
      <c r="K9830">
        <v>2642022621</v>
      </c>
      <c r="M9830" t="s">
        <v>15302</v>
      </c>
      <c r="N9830" t="s">
        <v>8765</v>
      </c>
      <c r="O9830" t="s">
        <v>13868</v>
      </c>
      <c r="P9830">
        <v>30500</v>
      </c>
      <c r="Q9830" t="str">
        <f>"38.867028"</f>
        <v>38.867028</v>
      </c>
      <c r="R9830" t="str">
        <f>"21.161860"</f>
        <v>21.161860</v>
      </c>
      <c r="S9830" t="s">
        <v>26</v>
      </c>
    </row>
    <row r="9831" spans="1:19" x14ac:dyDescent="0.3">
      <c r="A9831" t="s">
        <v>13791</v>
      </c>
      <c r="B9831" t="s">
        <v>14950</v>
      </c>
      <c r="C9831" t="s">
        <v>15304</v>
      </c>
      <c r="D9831" t="s">
        <v>13792</v>
      </c>
      <c r="E9831" t="s">
        <v>13851</v>
      </c>
      <c r="F9831" t="s">
        <v>13859</v>
      </c>
      <c r="G9831" t="s">
        <v>15303</v>
      </c>
      <c r="H9831" t="s">
        <v>859</v>
      </c>
      <c r="I9831" t="s">
        <v>860</v>
      </c>
      <c r="J9831" t="str">
        <f>"9010450"</f>
        <v>9010450</v>
      </c>
      <c r="K9831">
        <v>2635042297</v>
      </c>
      <c r="L9831">
        <v>2635041334</v>
      </c>
      <c r="M9831" t="s">
        <v>15305</v>
      </c>
      <c r="N9831" t="s">
        <v>15306</v>
      </c>
      <c r="O9831" t="s">
        <v>15307</v>
      </c>
      <c r="P9831">
        <v>30015</v>
      </c>
      <c r="Q9831" t="str">
        <f>"38.525993"</f>
        <v>38.525993</v>
      </c>
      <c r="R9831" t="str">
        <f>"21.550285"</f>
        <v>21.550285</v>
      </c>
      <c r="S9831" t="s">
        <v>26</v>
      </c>
    </row>
    <row r="9832" spans="1:19" x14ac:dyDescent="0.3">
      <c r="A9832" t="s">
        <v>13791</v>
      </c>
      <c r="B9832" t="s">
        <v>14950</v>
      </c>
      <c r="C9832" t="s">
        <v>15308</v>
      </c>
      <c r="D9832" t="s">
        <v>13792</v>
      </c>
      <c r="E9832" t="s">
        <v>8765</v>
      </c>
      <c r="F9832" t="s">
        <v>8765</v>
      </c>
      <c r="G9832" t="s">
        <v>8765</v>
      </c>
      <c r="H9832" t="s">
        <v>859</v>
      </c>
      <c r="I9832" t="s">
        <v>860</v>
      </c>
      <c r="J9832" t="str">
        <f>"9010148"</f>
        <v>9010148</v>
      </c>
      <c r="K9832">
        <v>2642022388</v>
      </c>
      <c r="M9832" t="s">
        <v>15309</v>
      </c>
      <c r="N9832" t="s">
        <v>13868</v>
      </c>
      <c r="O9832" t="s">
        <v>15310</v>
      </c>
      <c r="P9832">
        <v>30500</v>
      </c>
      <c r="Q9832" t="str">
        <f>"38.865044"</f>
        <v>38.865044</v>
      </c>
      <c r="R9832" t="str">
        <f>"21.172910"</f>
        <v>21.172910</v>
      </c>
      <c r="S9832" t="s">
        <v>26</v>
      </c>
    </row>
    <row r="9833" spans="1:19" x14ac:dyDescent="0.3">
      <c r="A9833" t="s">
        <v>13791</v>
      </c>
      <c r="B9833" t="s">
        <v>14950</v>
      </c>
      <c r="C9833" t="s">
        <v>15311</v>
      </c>
      <c r="D9833" t="s">
        <v>13792</v>
      </c>
      <c r="E9833" t="s">
        <v>13851</v>
      </c>
      <c r="F9833" t="s">
        <v>13871</v>
      </c>
      <c r="G9833" t="s">
        <v>15199</v>
      </c>
      <c r="H9833" t="s">
        <v>859</v>
      </c>
      <c r="I9833" t="s">
        <v>860</v>
      </c>
      <c r="J9833" t="str">
        <f>"9010530"</f>
        <v>9010530</v>
      </c>
      <c r="K9833">
        <v>2635051457</v>
      </c>
      <c r="M9833" t="s">
        <v>15312</v>
      </c>
      <c r="N9833" t="s">
        <v>15313</v>
      </c>
      <c r="O9833" t="s">
        <v>15202</v>
      </c>
      <c r="P9833">
        <v>30011</v>
      </c>
      <c r="Q9833" t="str">
        <f>"38.536794"</f>
        <v>38.536794</v>
      </c>
      <c r="R9833" t="str">
        <f>"21.416336"</f>
        <v>21.416336</v>
      </c>
      <c r="S9833" t="s">
        <v>26</v>
      </c>
    </row>
    <row r="9834" spans="1:19" x14ac:dyDescent="0.3">
      <c r="A9834" t="s">
        <v>13791</v>
      </c>
      <c r="B9834" t="s">
        <v>14950</v>
      </c>
      <c r="C9834" t="s">
        <v>15314</v>
      </c>
      <c r="D9834" t="s">
        <v>13792</v>
      </c>
      <c r="E9834" t="s">
        <v>8765</v>
      </c>
      <c r="F9834" t="s">
        <v>8765</v>
      </c>
      <c r="G9834" t="s">
        <v>8765</v>
      </c>
      <c r="H9834" t="s">
        <v>859</v>
      </c>
      <c r="I9834" t="s">
        <v>860</v>
      </c>
      <c r="J9834" t="str">
        <f>"9010519"</f>
        <v>9010519</v>
      </c>
      <c r="K9834">
        <v>2642023063</v>
      </c>
      <c r="M9834" t="s">
        <v>15315</v>
      </c>
      <c r="N9834" t="s">
        <v>8765</v>
      </c>
      <c r="O9834" t="s">
        <v>15316</v>
      </c>
      <c r="P9834">
        <v>30500</v>
      </c>
      <c r="Q9834" t="str">
        <f>"38.864033"</f>
        <v>38.864033</v>
      </c>
      <c r="R9834" t="str">
        <f>"21.163506"</f>
        <v>21.163506</v>
      </c>
      <c r="S9834" t="s">
        <v>26</v>
      </c>
    </row>
    <row r="9835" spans="1:19" x14ac:dyDescent="0.3">
      <c r="A9835" t="s">
        <v>13791</v>
      </c>
      <c r="B9835" t="s">
        <v>14950</v>
      </c>
      <c r="C9835" t="s">
        <v>15318</v>
      </c>
      <c r="D9835" t="s">
        <v>13792</v>
      </c>
      <c r="E9835" t="s">
        <v>8765</v>
      </c>
      <c r="F9835" t="s">
        <v>13813</v>
      </c>
      <c r="G9835" t="s">
        <v>15317</v>
      </c>
      <c r="H9835" t="s">
        <v>859</v>
      </c>
      <c r="I9835" t="s">
        <v>860</v>
      </c>
      <c r="J9835" t="str">
        <f>"9010481"</f>
        <v>9010481</v>
      </c>
      <c r="K9835">
        <v>2647051137</v>
      </c>
      <c r="L9835">
        <v>2647051137</v>
      </c>
      <c r="M9835" t="s">
        <v>15319</v>
      </c>
      <c r="N9835" t="s">
        <v>15317</v>
      </c>
      <c r="O9835" t="s">
        <v>15320</v>
      </c>
      <c r="P9835">
        <v>30018</v>
      </c>
      <c r="Q9835" t="str">
        <f>"38.867301"</f>
        <v>38.867301</v>
      </c>
      <c r="R9835" t="str">
        <f>"21.349045"</f>
        <v>21.349045</v>
      </c>
      <c r="S9835" t="s">
        <v>26</v>
      </c>
    </row>
    <row r="9836" spans="1:19" x14ac:dyDescent="0.3">
      <c r="A9836" t="s">
        <v>13791</v>
      </c>
      <c r="B9836" t="s">
        <v>14950</v>
      </c>
      <c r="C9836" t="s">
        <v>15325</v>
      </c>
      <c r="D9836" t="s">
        <v>13792</v>
      </c>
      <c r="E9836" t="s">
        <v>13793</v>
      </c>
      <c r="F9836" t="s">
        <v>13793</v>
      </c>
      <c r="G9836" t="s">
        <v>13952</v>
      </c>
      <c r="H9836" t="s">
        <v>859</v>
      </c>
      <c r="I9836" t="s">
        <v>860</v>
      </c>
      <c r="J9836" t="str">
        <f>"9010510"</f>
        <v>9010510</v>
      </c>
      <c r="K9836">
        <v>2631039822</v>
      </c>
      <c r="L9836">
        <v>2631039822</v>
      </c>
      <c r="M9836" t="s">
        <v>15326</v>
      </c>
      <c r="N9836" t="s">
        <v>13952</v>
      </c>
      <c r="O9836" t="s">
        <v>15292</v>
      </c>
      <c r="P9836">
        <v>30014</v>
      </c>
      <c r="Q9836" t="str">
        <f>"38.359540"</f>
        <v>38.359540</v>
      </c>
      <c r="R9836" t="str">
        <f>"21.538474"</f>
        <v>21.538474</v>
      </c>
      <c r="S9836" t="s">
        <v>26</v>
      </c>
    </row>
    <row r="9837" spans="1:19" x14ac:dyDescent="0.3">
      <c r="A9837" t="s">
        <v>13791</v>
      </c>
      <c r="B9837" t="s">
        <v>14950</v>
      </c>
      <c r="C9837" t="s">
        <v>15331</v>
      </c>
      <c r="D9837" t="s">
        <v>13792</v>
      </c>
      <c r="E9837" t="s">
        <v>8765</v>
      </c>
      <c r="F9837" t="s">
        <v>13813</v>
      </c>
      <c r="G9837" t="s">
        <v>13814</v>
      </c>
      <c r="H9837" t="s">
        <v>859</v>
      </c>
      <c r="I9837" t="s">
        <v>860</v>
      </c>
      <c r="J9837" t="str">
        <f>"9010534"</f>
        <v>9010534</v>
      </c>
      <c r="K9837">
        <v>2647031868</v>
      </c>
      <c r="L9837">
        <v>2647031868</v>
      </c>
      <c r="M9837" t="s">
        <v>15332</v>
      </c>
      <c r="N9837" t="s">
        <v>13818</v>
      </c>
      <c r="O9837" t="s">
        <v>13818</v>
      </c>
      <c r="P9837">
        <v>30017</v>
      </c>
      <c r="Q9837" t="str">
        <f>"39.025914"</f>
        <v>39.025914</v>
      </c>
      <c r="R9837" t="str">
        <f>"21.316175"</f>
        <v>21.316175</v>
      </c>
      <c r="S9837" t="s">
        <v>57</v>
      </c>
    </row>
    <row r="9838" spans="1:19" x14ac:dyDescent="0.3">
      <c r="A9838" t="s">
        <v>13791</v>
      </c>
      <c r="B9838" t="s">
        <v>14950</v>
      </c>
      <c r="C9838" t="s">
        <v>15333</v>
      </c>
      <c r="D9838" t="s">
        <v>13792</v>
      </c>
      <c r="E9838" t="s">
        <v>13793</v>
      </c>
      <c r="F9838" t="s">
        <v>13793</v>
      </c>
      <c r="G9838" t="s">
        <v>3986</v>
      </c>
      <c r="H9838" t="s">
        <v>859</v>
      </c>
      <c r="I9838" t="s">
        <v>860</v>
      </c>
      <c r="J9838" t="str">
        <f>"9010531"</f>
        <v>9010531</v>
      </c>
      <c r="K9838">
        <v>2631025869</v>
      </c>
      <c r="L9838">
        <v>2631025869</v>
      </c>
      <c r="M9838" t="s">
        <v>15334</v>
      </c>
      <c r="N9838" t="s">
        <v>3986</v>
      </c>
      <c r="O9838" t="s">
        <v>15335</v>
      </c>
      <c r="P9838">
        <v>30200</v>
      </c>
      <c r="Q9838" t="str">
        <f>"38.372066"</f>
        <v>38.372066</v>
      </c>
      <c r="R9838" t="str">
        <f>"21.436690"</f>
        <v>21.436690</v>
      </c>
      <c r="S9838" t="s">
        <v>26</v>
      </c>
    </row>
    <row r="9839" spans="1:19" x14ac:dyDescent="0.3">
      <c r="A9839" t="s">
        <v>13791</v>
      </c>
      <c r="B9839" t="s">
        <v>14950</v>
      </c>
      <c r="C9839" t="s">
        <v>15339</v>
      </c>
      <c r="D9839" t="s">
        <v>13792</v>
      </c>
      <c r="E9839" t="s">
        <v>13793</v>
      </c>
      <c r="F9839" t="s">
        <v>13987</v>
      </c>
      <c r="G9839" t="s">
        <v>13987</v>
      </c>
      <c r="H9839" t="s">
        <v>859</v>
      </c>
      <c r="I9839" t="s">
        <v>860</v>
      </c>
      <c r="J9839" t="str">
        <f>"9010579"</f>
        <v>9010579</v>
      </c>
      <c r="K9839">
        <v>2632023496</v>
      </c>
      <c r="L9839">
        <v>2632022790</v>
      </c>
      <c r="M9839" t="s">
        <v>15340</v>
      </c>
      <c r="N9839" t="s">
        <v>13987</v>
      </c>
      <c r="O9839" t="s">
        <v>15341</v>
      </c>
      <c r="P9839">
        <v>30400</v>
      </c>
      <c r="Q9839" t="str">
        <f>"38.438919"</f>
        <v>38.438919</v>
      </c>
      <c r="R9839" t="str">
        <f>"21.366230"</f>
        <v>21.366230</v>
      </c>
      <c r="S9839" t="s">
        <v>26</v>
      </c>
    </row>
    <row r="9840" spans="1:19" x14ac:dyDescent="0.3">
      <c r="A9840" t="s">
        <v>13791</v>
      </c>
      <c r="B9840" t="s">
        <v>14950</v>
      </c>
      <c r="C9840" t="s">
        <v>15342</v>
      </c>
      <c r="D9840" t="s">
        <v>13792</v>
      </c>
      <c r="E9840" t="s">
        <v>13793</v>
      </c>
      <c r="F9840" t="s">
        <v>13793</v>
      </c>
      <c r="G9840" t="s">
        <v>3986</v>
      </c>
      <c r="H9840" t="s">
        <v>859</v>
      </c>
      <c r="I9840" t="s">
        <v>860</v>
      </c>
      <c r="J9840" t="str">
        <f>"9010382"</f>
        <v>9010382</v>
      </c>
      <c r="K9840">
        <v>2631025290</v>
      </c>
      <c r="L9840">
        <v>2631025290</v>
      </c>
      <c r="M9840" t="s">
        <v>15343</v>
      </c>
      <c r="N9840" t="s">
        <v>3986</v>
      </c>
      <c r="O9840" t="s">
        <v>15344</v>
      </c>
      <c r="P9840">
        <v>30200</v>
      </c>
      <c r="Q9840" t="str">
        <f>"38.378408"</f>
        <v>38.378408</v>
      </c>
      <c r="R9840" t="str">
        <f>"21.430284"</f>
        <v>21.430284</v>
      </c>
      <c r="S9840" t="s">
        <v>26</v>
      </c>
    </row>
    <row r="9841" spans="1:19" x14ac:dyDescent="0.3">
      <c r="A9841" t="s">
        <v>13791</v>
      </c>
      <c r="B9841" t="s">
        <v>14950</v>
      </c>
      <c r="C9841" t="s">
        <v>15346</v>
      </c>
      <c r="D9841" t="s">
        <v>13792</v>
      </c>
      <c r="E9841" t="s">
        <v>8765</v>
      </c>
      <c r="F9841" t="s">
        <v>8765</v>
      </c>
      <c r="G9841" t="s">
        <v>15345</v>
      </c>
      <c r="H9841" t="s">
        <v>859</v>
      </c>
      <c r="I9841" t="s">
        <v>860</v>
      </c>
      <c r="J9841" t="str">
        <f>"9010547"</f>
        <v>9010547</v>
      </c>
      <c r="K9841">
        <v>2642081255</v>
      </c>
      <c r="M9841" t="s">
        <v>15347</v>
      </c>
      <c r="N9841" t="s">
        <v>15345</v>
      </c>
      <c r="O9841" t="s">
        <v>15348</v>
      </c>
      <c r="P9841">
        <v>30500</v>
      </c>
      <c r="Q9841" t="str">
        <f>"38.821050"</f>
        <v>38.821050</v>
      </c>
      <c r="R9841" t="str">
        <f>"21.226983"</f>
        <v>21.226983</v>
      </c>
      <c r="S9841" t="s">
        <v>26</v>
      </c>
    </row>
    <row r="9842" spans="1:19" x14ac:dyDescent="0.3">
      <c r="A9842" t="s">
        <v>13791</v>
      </c>
      <c r="B9842" t="s">
        <v>14950</v>
      </c>
      <c r="C9842" t="s">
        <v>15350</v>
      </c>
      <c r="D9842" t="s">
        <v>13792</v>
      </c>
      <c r="E9842" t="s">
        <v>13851</v>
      </c>
      <c r="F9842" t="s">
        <v>13871</v>
      </c>
      <c r="G9842" t="s">
        <v>15349</v>
      </c>
      <c r="H9842" t="s">
        <v>859</v>
      </c>
      <c r="I9842" t="s">
        <v>860</v>
      </c>
      <c r="J9842" t="str">
        <f>"9010500"</f>
        <v>9010500</v>
      </c>
      <c r="K9842">
        <v>2635042323</v>
      </c>
      <c r="M9842" t="s">
        <v>15351</v>
      </c>
      <c r="N9842" t="s">
        <v>15349</v>
      </c>
      <c r="O9842" t="s">
        <v>8133</v>
      </c>
      <c r="P9842">
        <v>30015</v>
      </c>
      <c r="Q9842" t="str">
        <f>"38.528673"</f>
        <v>38.528673</v>
      </c>
      <c r="R9842" t="str">
        <f>"21.506234"</f>
        <v>21.506234</v>
      </c>
      <c r="S9842" t="s">
        <v>26</v>
      </c>
    </row>
    <row r="9843" spans="1:19" x14ac:dyDescent="0.3">
      <c r="A9843" t="s">
        <v>13791</v>
      </c>
      <c r="B9843" t="s">
        <v>14950</v>
      </c>
      <c r="C9843" t="s">
        <v>15359</v>
      </c>
      <c r="D9843" t="s">
        <v>13792</v>
      </c>
      <c r="E9843" t="s">
        <v>13851</v>
      </c>
      <c r="F9843" t="s">
        <v>13851</v>
      </c>
      <c r="G9843" t="s">
        <v>13851</v>
      </c>
      <c r="H9843" t="s">
        <v>859</v>
      </c>
      <c r="I9843" t="s">
        <v>860</v>
      </c>
      <c r="J9843" t="str">
        <f>"9010539"</f>
        <v>9010539</v>
      </c>
      <c r="K9843">
        <v>2641031042</v>
      </c>
      <c r="M9843" t="s">
        <v>15360</v>
      </c>
      <c r="N9843" t="s">
        <v>15361</v>
      </c>
      <c r="O9843" t="s">
        <v>15362</v>
      </c>
      <c r="P9843">
        <v>30100</v>
      </c>
      <c r="Q9843" t="str">
        <f>"38.618183"</f>
        <v>38.618183</v>
      </c>
      <c r="R9843" t="str">
        <f>"21.425003"</f>
        <v>21.425003</v>
      </c>
      <c r="S9843" t="s">
        <v>26</v>
      </c>
    </row>
    <row r="9844" spans="1:19" x14ac:dyDescent="0.3">
      <c r="A9844" t="s">
        <v>13791</v>
      </c>
      <c r="B9844" t="s">
        <v>14950</v>
      </c>
      <c r="C9844" t="s">
        <v>15363</v>
      </c>
      <c r="D9844" t="s">
        <v>13792</v>
      </c>
      <c r="E9844" t="s">
        <v>13851</v>
      </c>
      <c r="F9844" t="s">
        <v>13851</v>
      </c>
      <c r="G9844" t="s">
        <v>13851</v>
      </c>
      <c r="H9844" t="s">
        <v>859</v>
      </c>
      <c r="I9844" t="s">
        <v>860</v>
      </c>
      <c r="J9844" t="str">
        <f>"9010012"</f>
        <v>9010012</v>
      </c>
      <c r="K9844">
        <v>2641028551</v>
      </c>
      <c r="L9844">
        <v>2641028551</v>
      </c>
      <c r="M9844" t="s">
        <v>15364</v>
      </c>
      <c r="N9844" t="s">
        <v>13851</v>
      </c>
      <c r="O9844" t="s">
        <v>15175</v>
      </c>
      <c r="P9844">
        <v>30100</v>
      </c>
      <c r="Q9844" t="str">
        <f>"38.635637"</f>
        <v>38.635637</v>
      </c>
      <c r="R9844" t="str">
        <f>"21.417897"</f>
        <v>21.417897</v>
      </c>
      <c r="S9844" t="s">
        <v>26</v>
      </c>
    </row>
    <row r="9845" spans="1:19" x14ac:dyDescent="0.3">
      <c r="A9845" t="s">
        <v>13791</v>
      </c>
      <c r="B9845" t="s">
        <v>14950</v>
      </c>
      <c r="C9845" t="s">
        <v>15376</v>
      </c>
      <c r="D9845" t="s">
        <v>13792</v>
      </c>
      <c r="E9845" t="s">
        <v>13888</v>
      </c>
      <c r="F9845" t="s">
        <v>13889</v>
      </c>
      <c r="G9845" t="s">
        <v>13889</v>
      </c>
      <c r="H9845" t="s">
        <v>859</v>
      </c>
      <c r="I9845" t="s">
        <v>860</v>
      </c>
      <c r="J9845" t="str">
        <f>"9520782"</f>
        <v>9520782</v>
      </c>
      <c r="K9845">
        <v>2634029893</v>
      </c>
      <c r="M9845" t="s">
        <v>15377</v>
      </c>
      <c r="N9845" t="s">
        <v>13889</v>
      </c>
      <c r="O9845" t="s">
        <v>6993</v>
      </c>
      <c r="P9845">
        <v>30300</v>
      </c>
      <c r="Q9845" t="str">
        <f>"38.389595"</f>
        <v>38.389595</v>
      </c>
      <c r="R9845" t="str">
        <f>"21.816609"</f>
        <v>21.816609</v>
      </c>
      <c r="S9845" t="s">
        <v>26</v>
      </c>
    </row>
    <row r="9846" spans="1:19" x14ac:dyDescent="0.3">
      <c r="A9846" t="s">
        <v>13791</v>
      </c>
      <c r="B9846" t="s">
        <v>14950</v>
      </c>
      <c r="C9846" t="s">
        <v>15381</v>
      </c>
      <c r="D9846" t="s">
        <v>13792</v>
      </c>
      <c r="E9846" t="s">
        <v>13851</v>
      </c>
      <c r="F9846" t="s">
        <v>13851</v>
      </c>
      <c r="G9846" t="s">
        <v>13851</v>
      </c>
      <c r="H9846" t="s">
        <v>859</v>
      </c>
      <c r="I9846" t="s">
        <v>860</v>
      </c>
      <c r="J9846" t="str">
        <f>"9010616"</f>
        <v>9010616</v>
      </c>
      <c r="K9846">
        <v>2641020792</v>
      </c>
      <c r="L9846">
        <v>2641020792</v>
      </c>
      <c r="M9846" t="s">
        <v>15382</v>
      </c>
      <c r="N9846" t="s">
        <v>13851</v>
      </c>
      <c r="O9846" t="s">
        <v>15383</v>
      </c>
      <c r="P9846">
        <v>30100</v>
      </c>
      <c r="Q9846" t="str">
        <f>"38.638399"</f>
        <v>38.638399</v>
      </c>
      <c r="R9846" t="str">
        <f>"21.415063"</f>
        <v>21.415063</v>
      </c>
      <c r="S9846" t="s">
        <v>26</v>
      </c>
    </row>
    <row r="9847" spans="1:19" x14ac:dyDescent="0.3">
      <c r="A9847" t="s">
        <v>13791</v>
      </c>
      <c r="B9847" t="s">
        <v>14950</v>
      </c>
      <c r="C9847" t="s">
        <v>15384</v>
      </c>
      <c r="D9847" t="s">
        <v>13792</v>
      </c>
      <c r="E9847" t="s">
        <v>13851</v>
      </c>
      <c r="F9847" t="s">
        <v>14066</v>
      </c>
      <c r="G9847" t="s">
        <v>14067</v>
      </c>
      <c r="H9847" t="s">
        <v>859</v>
      </c>
      <c r="I9847" t="s">
        <v>860</v>
      </c>
      <c r="J9847" t="str">
        <f>"9010496"</f>
        <v>9010496</v>
      </c>
      <c r="K9847">
        <v>2641092315</v>
      </c>
      <c r="L9847">
        <v>2641092315</v>
      </c>
      <c r="M9847" t="s">
        <v>15385</v>
      </c>
      <c r="N9847" t="s">
        <v>15184</v>
      </c>
      <c r="O9847" t="s">
        <v>15184</v>
      </c>
      <c r="P9847">
        <v>30100</v>
      </c>
      <c r="Q9847" t="str">
        <f>"38.709656"</f>
        <v>38.709656</v>
      </c>
      <c r="R9847" t="str">
        <f>"21.287458"</f>
        <v>21.287458</v>
      </c>
      <c r="S9847" t="s">
        <v>26</v>
      </c>
    </row>
    <row r="9848" spans="1:19" x14ac:dyDescent="0.3">
      <c r="A9848" t="s">
        <v>13791</v>
      </c>
      <c r="B9848" t="s">
        <v>14950</v>
      </c>
      <c r="C9848" t="s">
        <v>15386</v>
      </c>
      <c r="D9848" t="s">
        <v>13792</v>
      </c>
      <c r="E9848" t="s">
        <v>13888</v>
      </c>
      <c r="F9848" t="s">
        <v>13889</v>
      </c>
      <c r="G9848" t="s">
        <v>13889</v>
      </c>
      <c r="H9848" t="s">
        <v>859</v>
      </c>
      <c r="I9848" t="s">
        <v>860</v>
      </c>
      <c r="J9848" t="str">
        <f>"9010301"</f>
        <v>9010301</v>
      </c>
      <c r="K9848">
        <v>2634028400</v>
      </c>
      <c r="L9848">
        <v>2634023310</v>
      </c>
      <c r="M9848" t="s">
        <v>15387</v>
      </c>
      <c r="N9848" t="s">
        <v>13889</v>
      </c>
      <c r="O9848" t="s">
        <v>15388</v>
      </c>
      <c r="P9848">
        <v>30300</v>
      </c>
      <c r="Q9848" t="str">
        <f>"38.389248"</f>
        <v>38.389248</v>
      </c>
      <c r="R9848" t="str">
        <f>"21.821526"</f>
        <v>21.821526</v>
      </c>
      <c r="S9848" t="s">
        <v>26</v>
      </c>
    </row>
    <row r="9849" spans="1:19" x14ac:dyDescent="0.3">
      <c r="A9849" t="s">
        <v>13791</v>
      </c>
      <c r="B9849" t="s">
        <v>14950</v>
      </c>
      <c r="C9849" t="s">
        <v>15389</v>
      </c>
      <c r="D9849" t="s">
        <v>13792</v>
      </c>
      <c r="E9849" t="s">
        <v>13888</v>
      </c>
      <c r="F9849" t="s">
        <v>13889</v>
      </c>
      <c r="G9849" t="s">
        <v>13889</v>
      </c>
      <c r="H9849" t="s">
        <v>859</v>
      </c>
      <c r="I9849" t="s">
        <v>860</v>
      </c>
      <c r="J9849" t="str">
        <f>"9010303"</f>
        <v>9010303</v>
      </c>
      <c r="K9849">
        <v>2634023596</v>
      </c>
      <c r="L9849">
        <v>2634024926</v>
      </c>
      <c r="M9849" t="s">
        <v>15390</v>
      </c>
      <c r="N9849" t="s">
        <v>13889</v>
      </c>
      <c r="O9849" t="s">
        <v>15391</v>
      </c>
      <c r="P9849">
        <v>30300</v>
      </c>
      <c r="Q9849" t="str">
        <f>"38.393493"</f>
        <v>38.393493</v>
      </c>
      <c r="R9849" t="str">
        <f>"21.842174"</f>
        <v>21.842174</v>
      </c>
      <c r="S9849" t="s">
        <v>26</v>
      </c>
    </row>
    <row r="9850" spans="1:19" x14ac:dyDescent="0.3">
      <c r="A9850" t="s">
        <v>13791</v>
      </c>
      <c r="B9850" t="s">
        <v>14950</v>
      </c>
      <c r="C9850" t="s">
        <v>15395</v>
      </c>
      <c r="D9850" t="s">
        <v>13792</v>
      </c>
      <c r="E9850" t="s">
        <v>13836</v>
      </c>
      <c r="F9850" t="s">
        <v>13837</v>
      </c>
      <c r="G9850" t="s">
        <v>13838</v>
      </c>
      <c r="H9850" t="s">
        <v>859</v>
      </c>
      <c r="I9850" t="s">
        <v>860</v>
      </c>
      <c r="J9850" t="str">
        <f>"9010221"</f>
        <v>9010221</v>
      </c>
      <c r="K9850">
        <v>2643023916</v>
      </c>
      <c r="L9850">
        <v>2643023916</v>
      </c>
      <c r="M9850" t="s">
        <v>15396</v>
      </c>
      <c r="N9850" t="s">
        <v>13843</v>
      </c>
      <c r="O9850" t="s">
        <v>15397</v>
      </c>
      <c r="P9850">
        <v>30002</v>
      </c>
      <c r="Q9850" t="str">
        <f>"38.916398"</f>
        <v>38.916398</v>
      </c>
      <c r="R9850" t="str">
        <f>"20.886491"</f>
        <v>20.886491</v>
      </c>
      <c r="S9850" t="s">
        <v>26</v>
      </c>
    </row>
    <row r="9851" spans="1:19" x14ac:dyDescent="0.3">
      <c r="A9851" t="s">
        <v>13791</v>
      </c>
      <c r="B9851" t="s">
        <v>14950</v>
      </c>
      <c r="C9851" t="s">
        <v>15398</v>
      </c>
      <c r="D9851" t="s">
        <v>13792</v>
      </c>
      <c r="E9851" t="s">
        <v>13888</v>
      </c>
      <c r="F9851" t="s">
        <v>13889</v>
      </c>
      <c r="G9851" t="s">
        <v>13889</v>
      </c>
      <c r="H9851" t="s">
        <v>859</v>
      </c>
      <c r="I9851" t="s">
        <v>860</v>
      </c>
      <c r="J9851" t="str">
        <f>"9010627"</f>
        <v>9010627</v>
      </c>
      <c r="K9851">
        <v>2634022424</v>
      </c>
      <c r="L9851">
        <v>2634022424</v>
      </c>
      <c r="M9851" t="s">
        <v>15399</v>
      </c>
      <c r="N9851" t="s">
        <v>13889</v>
      </c>
      <c r="O9851" t="s">
        <v>15400</v>
      </c>
      <c r="P9851">
        <v>30300</v>
      </c>
      <c r="Q9851" t="str">
        <f>"38.396011"</f>
        <v>38.396011</v>
      </c>
      <c r="R9851" t="str">
        <f>"21.832932"</f>
        <v>21.832932</v>
      </c>
      <c r="S9851" t="s">
        <v>26</v>
      </c>
    </row>
    <row r="9852" spans="1:19" x14ac:dyDescent="0.3">
      <c r="A9852" t="s">
        <v>13791</v>
      </c>
      <c r="B9852" t="s">
        <v>14950</v>
      </c>
      <c r="C9852" t="s">
        <v>15407</v>
      </c>
      <c r="D9852" t="s">
        <v>13792</v>
      </c>
      <c r="E9852" t="s">
        <v>13888</v>
      </c>
      <c r="F9852" t="s">
        <v>13889</v>
      </c>
      <c r="G9852" t="s">
        <v>15406</v>
      </c>
      <c r="H9852" t="s">
        <v>859</v>
      </c>
      <c r="I9852" t="s">
        <v>860</v>
      </c>
      <c r="J9852" t="str">
        <f>"9520916"</f>
        <v>9520916</v>
      </c>
      <c r="K9852">
        <v>2634024228</v>
      </c>
      <c r="L9852">
        <v>2634024569</v>
      </c>
      <c r="M9852" t="s">
        <v>15408</v>
      </c>
      <c r="N9852" t="s">
        <v>15409</v>
      </c>
      <c r="O9852" t="s">
        <v>15410</v>
      </c>
      <c r="P9852">
        <v>30300</v>
      </c>
      <c r="Q9852" t="str">
        <f>"38.405656"</f>
        <v>38.405656</v>
      </c>
      <c r="R9852" t="str">
        <f>"21.781652"</f>
        <v>21.781652</v>
      </c>
      <c r="S9852" t="s">
        <v>26</v>
      </c>
    </row>
    <row r="9853" spans="1:19" x14ac:dyDescent="0.3">
      <c r="A9853" t="s">
        <v>13791</v>
      </c>
      <c r="B9853" t="s">
        <v>14950</v>
      </c>
      <c r="C9853" t="s">
        <v>15414</v>
      </c>
      <c r="D9853" t="s">
        <v>13792</v>
      </c>
      <c r="E9853" t="s">
        <v>13888</v>
      </c>
      <c r="F9853" t="s">
        <v>13889</v>
      </c>
      <c r="G9853" t="s">
        <v>3469</v>
      </c>
      <c r="H9853" t="s">
        <v>859</v>
      </c>
      <c r="I9853" t="s">
        <v>860</v>
      </c>
      <c r="J9853" t="str">
        <f>"9010548"</f>
        <v>9010548</v>
      </c>
      <c r="K9853">
        <v>2634022154</v>
      </c>
      <c r="M9853" t="s">
        <v>15415</v>
      </c>
      <c r="N9853" t="s">
        <v>15416</v>
      </c>
      <c r="O9853" t="s">
        <v>15417</v>
      </c>
      <c r="P9853">
        <v>30300</v>
      </c>
      <c r="Q9853" t="str">
        <f>"38.414841"</f>
        <v>38.414841</v>
      </c>
      <c r="R9853" t="str">
        <f>"21.873190"</f>
        <v>21.873190</v>
      </c>
      <c r="S9853" t="s">
        <v>26</v>
      </c>
    </row>
    <row r="9854" spans="1:19" x14ac:dyDescent="0.3">
      <c r="A9854" t="s">
        <v>13791</v>
      </c>
      <c r="B9854" t="s">
        <v>14950</v>
      </c>
      <c r="C9854" t="s">
        <v>15418</v>
      </c>
      <c r="D9854" t="s">
        <v>13792</v>
      </c>
      <c r="E9854" t="s">
        <v>13888</v>
      </c>
      <c r="F9854" t="s">
        <v>13889</v>
      </c>
      <c r="G9854" t="s">
        <v>15285</v>
      </c>
      <c r="H9854" t="s">
        <v>859</v>
      </c>
      <c r="I9854" t="s">
        <v>860</v>
      </c>
      <c r="J9854" t="str">
        <f>"9010573"</f>
        <v>9010573</v>
      </c>
      <c r="K9854">
        <v>2634025146</v>
      </c>
      <c r="M9854" t="s">
        <v>15419</v>
      </c>
      <c r="N9854" t="s">
        <v>15420</v>
      </c>
      <c r="O9854" t="s">
        <v>14031</v>
      </c>
      <c r="P9854">
        <v>30300</v>
      </c>
      <c r="Q9854" t="str">
        <f>"38.409728"</f>
        <v>38.409728</v>
      </c>
      <c r="R9854" t="str">
        <f>"21.850016"</f>
        <v>21.850016</v>
      </c>
      <c r="S9854" t="s">
        <v>26</v>
      </c>
    </row>
    <row r="9855" spans="1:19" x14ac:dyDescent="0.3">
      <c r="A9855" t="s">
        <v>13791</v>
      </c>
      <c r="B9855" t="s">
        <v>14950</v>
      </c>
      <c r="C9855" t="s">
        <v>15422</v>
      </c>
      <c r="D9855" t="s">
        <v>13792</v>
      </c>
      <c r="E9855" t="s">
        <v>13888</v>
      </c>
      <c r="F9855" t="s">
        <v>13889</v>
      </c>
      <c r="G9855" t="s">
        <v>15421</v>
      </c>
      <c r="H9855" t="s">
        <v>859</v>
      </c>
      <c r="I9855" t="s">
        <v>860</v>
      </c>
      <c r="J9855" t="str">
        <f>"9010583"</f>
        <v>9010583</v>
      </c>
      <c r="K9855">
        <v>2634022579</v>
      </c>
      <c r="M9855" t="s">
        <v>15423</v>
      </c>
      <c r="N9855" t="s">
        <v>15424</v>
      </c>
      <c r="O9855" t="s">
        <v>15424</v>
      </c>
      <c r="P9855">
        <v>30300</v>
      </c>
      <c r="Q9855" t="str">
        <f>"38.403116"</f>
        <v>38.403116</v>
      </c>
      <c r="R9855" t="str">
        <f>"21.859608"</f>
        <v>21.859608</v>
      </c>
      <c r="S9855" t="s">
        <v>26</v>
      </c>
    </row>
    <row r="9856" spans="1:19" x14ac:dyDescent="0.3">
      <c r="A9856" t="s">
        <v>13791</v>
      </c>
      <c r="B9856" t="s">
        <v>14950</v>
      </c>
      <c r="C9856" t="s">
        <v>15426</v>
      </c>
      <c r="D9856" t="s">
        <v>13792</v>
      </c>
      <c r="E9856" t="s">
        <v>13888</v>
      </c>
      <c r="F9856" t="s">
        <v>15243</v>
      </c>
      <c r="G9856" t="s">
        <v>15425</v>
      </c>
      <c r="H9856" t="s">
        <v>859</v>
      </c>
      <c r="I9856" t="s">
        <v>860</v>
      </c>
      <c r="J9856" t="str">
        <f>"9010618"</f>
        <v>9010618</v>
      </c>
      <c r="K9856">
        <v>2634045528</v>
      </c>
      <c r="M9856" t="s">
        <v>15427</v>
      </c>
      <c r="N9856" t="s">
        <v>15428</v>
      </c>
      <c r="O9856" t="s">
        <v>15429</v>
      </c>
      <c r="P9856">
        <v>30014</v>
      </c>
      <c r="Q9856" t="str">
        <f>"38.409597"</f>
        <v>38.409597</v>
      </c>
      <c r="R9856" t="str">
        <f>"21.641296"</f>
        <v>21.641296</v>
      </c>
      <c r="S9856" t="s">
        <v>26</v>
      </c>
    </row>
    <row r="9857" spans="1:19" x14ac:dyDescent="0.3">
      <c r="A9857" t="s">
        <v>13791</v>
      </c>
      <c r="B9857" t="s">
        <v>14950</v>
      </c>
      <c r="C9857" t="s">
        <v>15430</v>
      </c>
      <c r="D9857" t="s">
        <v>13792</v>
      </c>
      <c r="E9857" t="s">
        <v>13888</v>
      </c>
      <c r="F9857" t="s">
        <v>14105</v>
      </c>
      <c r="G9857" t="s">
        <v>14105</v>
      </c>
      <c r="H9857" t="s">
        <v>859</v>
      </c>
      <c r="I9857" t="s">
        <v>860</v>
      </c>
      <c r="J9857" t="str">
        <f>"9010522"</f>
        <v>9010522</v>
      </c>
      <c r="K9857">
        <v>2634032365</v>
      </c>
      <c r="M9857" t="s">
        <v>15431</v>
      </c>
      <c r="N9857" t="s">
        <v>14105</v>
      </c>
      <c r="O9857" t="s">
        <v>14108</v>
      </c>
      <c r="P9857">
        <v>30020</v>
      </c>
      <c r="Q9857" t="str">
        <f>"38.330021"</f>
        <v>38.330021</v>
      </c>
      <c r="R9857" t="str">
        <f>"21.766211"</f>
        <v>21.766211</v>
      </c>
      <c r="S9857" t="s">
        <v>26</v>
      </c>
    </row>
    <row r="9858" spans="1:19" x14ac:dyDescent="0.3">
      <c r="A9858" t="s">
        <v>13791</v>
      </c>
      <c r="B9858" t="s">
        <v>14950</v>
      </c>
      <c r="C9858" t="s">
        <v>15432</v>
      </c>
      <c r="D9858" t="s">
        <v>13792</v>
      </c>
      <c r="E9858" t="s">
        <v>13888</v>
      </c>
      <c r="F9858" t="s">
        <v>13889</v>
      </c>
      <c r="G9858" t="s">
        <v>13889</v>
      </c>
      <c r="H9858" t="s">
        <v>859</v>
      </c>
      <c r="I9858" t="s">
        <v>860</v>
      </c>
      <c r="J9858" t="str">
        <f>"9010299"</f>
        <v>9010299</v>
      </c>
      <c r="K9858">
        <v>2634028158</v>
      </c>
      <c r="M9858" t="s">
        <v>15433</v>
      </c>
      <c r="N9858" t="s">
        <v>13889</v>
      </c>
      <c r="O9858" t="s">
        <v>15434</v>
      </c>
      <c r="P9858">
        <v>30300</v>
      </c>
      <c r="Q9858" t="str">
        <f>"38.392786"</f>
        <v>38.392786</v>
      </c>
      <c r="R9858" t="str">
        <f>"21.837314"</f>
        <v>21.837314</v>
      </c>
      <c r="S9858" t="s">
        <v>26</v>
      </c>
    </row>
    <row r="9859" spans="1:19" x14ac:dyDescent="0.3">
      <c r="A9859" t="s">
        <v>13791</v>
      </c>
      <c r="B9859" t="s">
        <v>14950</v>
      </c>
      <c r="C9859" t="s">
        <v>15435</v>
      </c>
      <c r="D9859" t="s">
        <v>13792</v>
      </c>
      <c r="E9859" t="s">
        <v>13888</v>
      </c>
      <c r="F9859" t="s">
        <v>13889</v>
      </c>
      <c r="G9859" t="s">
        <v>13889</v>
      </c>
      <c r="H9859" t="s">
        <v>859</v>
      </c>
      <c r="I9859" t="s">
        <v>860</v>
      </c>
      <c r="J9859" t="str">
        <f>"9010499"</f>
        <v>9010499</v>
      </c>
      <c r="K9859">
        <v>2634024671</v>
      </c>
      <c r="L9859">
        <v>2634024671</v>
      </c>
      <c r="M9859" t="s">
        <v>15436</v>
      </c>
      <c r="N9859" t="s">
        <v>13889</v>
      </c>
      <c r="O9859" t="s">
        <v>15437</v>
      </c>
      <c r="P9859">
        <v>30300</v>
      </c>
      <c r="Q9859" t="str">
        <f>"38.395639"</f>
        <v>38.395639</v>
      </c>
      <c r="R9859" t="str">
        <f>"21.805173"</f>
        <v>21.805173</v>
      </c>
      <c r="S9859" t="s">
        <v>26</v>
      </c>
    </row>
    <row r="9860" spans="1:19" x14ac:dyDescent="0.3">
      <c r="A9860" t="s">
        <v>13791</v>
      </c>
      <c r="B9860" t="s">
        <v>14950</v>
      </c>
      <c r="C9860" t="s">
        <v>15438</v>
      </c>
      <c r="D9860" t="s">
        <v>13792</v>
      </c>
      <c r="E9860" t="s">
        <v>13888</v>
      </c>
      <c r="F9860" t="s">
        <v>13889</v>
      </c>
      <c r="G9860" t="s">
        <v>13889</v>
      </c>
      <c r="H9860" t="s">
        <v>859</v>
      </c>
      <c r="I9860" t="s">
        <v>860</v>
      </c>
      <c r="J9860" t="str">
        <f>"9010549"</f>
        <v>9010549</v>
      </c>
      <c r="K9860">
        <v>2634029200</v>
      </c>
      <c r="M9860" t="s">
        <v>15439</v>
      </c>
      <c r="N9860" t="s">
        <v>13889</v>
      </c>
      <c r="O9860" t="s">
        <v>15440</v>
      </c>
      <c r="P9860">
        <v>30300</v>
      </c>
      <c r="Q9860" t="str">
        <f>"38.381930"</f>
        <v>38.381930</v>
      </c>
      <c r="R9860" t="str">
        <f>"21.799773"</f>
        <v>21.799773</v>
      </c>
      <c r="S9860" t="s">
        <v>26</v>
      </c>
    </row>
    <row r="9861" spans="1:19" x14ac:dyDescent="0.3">
      <c r="A9861" t="s">
        <v>13791</v>
      </c>
      <c r="B9861" t="s">
        <v>14950</v>
      </c>
      <c r="C9861" t="s">
        <v>15441</v>
      </c>
      <c r="D9861" t="s">
        <v>13792</v>
      </c>
      <c r="E9861" t="s">
        <v>13888</v>
      </c>
      <c r="F9861" t="s">
        <v>13889</v>
      </c>
      <c r="G9861" t="s">
        <v>13889</v>
      </c>
      <c r="H9861" t="s">
        <v>859</v>
      </c>
      <c r="I9861" t="s">
        <v>860</v>
      </c>
      <c r="J9861" t="str">
        <f>"9010572"</f>
        <v>9010572</v>
      </c>
      <c r="K9861">
        <v>2634022095</v>
      </c>
      <c r="M9861" t="s">
        <v>15442</v>
      </c>
      <c r="N9861" t="s">
        <v>13889</v>
      </c>
      <c r="O9861" t="s">
        <v>13892</v>
      </c>
      <c r="P9861">
        <v>30300</v>
      </c>
      <c r="Q9861" t="str">
        <f>"38.399021"</f>
        <v>38.399021</v>
      </c>
      <c r="R9861" t="str">
        <f>"21.847251"</f>
        <v>21.847251</v>
      </c>
      <c r="S9861" t="s">
        <v>26</v>
      </c>
    </row>
    <row r="9862" spans="1:19" x14ac:dyDescent="0.3">
      <c r="A9862" t="s">
        <v>13791</v>
      </c>
      <c r="B9862" t="s">
        <v>14950</v>
      </c>
      <c r="C9862" t="s">
        <v>15443</v>
      </c>
      <c r="D9862" t="s">
        <v>13792</v>
      </c>
      <c r="E9862" t="s">
        <v>13888</v>
      </c>
      <c r="F9862" t="s">
        <v>13889</v>
      </c>
      <c r="G9862" t="s">
        <v>13889</v>
      </c>
      <c r="H9862" t="s">
        <v>859</v>
      </c>
      <c r="I9862" t="s">
        <v>860</v>
      </c>
      <c r="J9862" t="str">
        <f>"9010628"</f>
        <v>9010628</v>
      </c>
      <c r="K9862">
        <v>2634029429</v>
      </c>
      <c r="L9862">
        <v>2634029429</v>
      </c>
      <c r="M9862" t="s">
        <v>15444</v>
      </c>
      <c r="N9862" t="s">
        <v>13889</v>
      </c>
      <c r="O9862" t="s">
        <v>15445</v>
      </c>
      <c r="P9862">
        <v>30300</v>
      </c>
      <c r="Q9862" t="str">
        <f>"38.392109"</f>
        <v>38.392109</v>
      </c>
      <c r="R9862" t="str">
        <f>"21.821387"</f>
        <v>21.821387</v>
      </c>
      <c r="S9862" t="s">
        <v>26</v>
      </c>
    </row>
    <row r="9863" spans="1:19" x14ac:dyDescent="0.3">
      <c r="A9863" t="s">
        <v>13791</v>
      </c>
      <c r="B9863" t="s">
        <v>14950</v>
      </c>
      <c r="C9863" t="s">
        <v>15447</v>
      </c>
      <c r="D9863" t="s">
        <v>13792</v>
      </c>
      <c r="E9863" t="s">
        <v>13820</v>
      </c>
      <c r="F9863" t="s">
        <v>13826</v>
      </c>
      <c r="G9863" t="s">
        <v>15446</v>
      </c>
      <c r="H9863" t="s">
        <v>859</v>
      </c>
      <c r="I9863" t="s">
        <v>860</v>
      </c>
      <c r="J9863" t="str">
        <f>"9010269"</f>
        <v>9010269</v>
      </c>
      <c r="K9863">
        <v>2632041063</v>
      </c>
      <c r="L9863">
        <v>2632041063</v>
      </c>
      <c r="M9863" t="s">
        <v>15448</v>
      </c>
      <c r="N9863" t="s">
        <v>15449</v>
      </c>
      <c r="O9863" t="s">
        <v>15449</v>
      </c>
      <c r="P9863">
        <v>30001</v>
      </c>
      <c r="Q9863" t="str">
        <f>"38.553650"</f>
        <v>38.553650</v>
      </c>
      <c r="R9863" t="str">
        <f>"21.242504"</f>
        <v>21.242504</v>
      </c>
      <c r="S9863" t="s">
        <v>26</v>
      </c>
    </row>
    <row r="9864" spans="1:19" x14ac:dyDescent="0.3">
      <c r="A9864" t="s">
        <v>13791</v>
      </c>
      <c r="B9864" t="s">
        <v>14950</v>
      </c>
      <c r="C9864" t="s">
        <v>15450</v>
      </c>
      <c r="D9864" t="s">
        <v>13792</v>
      </c>
      <c r="E9864" t="s">
        <v>13888</v>
      </c>
      <c r="F9864" t="s">
        <v>13889</v>
      </c>
      <c r="G9864" t="s">
        <v>13889</v>
      </c>
      <c r="H9864" t="s">
        <v>859</v>
      </c>
      <c r="I9864" t="s">
        <v>860</v>
      </c>
      <c r="J9864" t="str">
        <f>"9010639"</f>
        <v>9010639</v>
      </c>
      <c r="K9864">
        <v>2634021478</v>
      </c>
      <c r="M9864" t="s">
        <v>15451</v>
      </c>
      <c r="N9864" t="s">
        <v>13889</v>
      </c>
      <c r="O9864" t="s">
        <v>15452</v>
      </c>
      <c r="P9864">
        <v>30300</v>
      </c>
      <c r="Q9864" t="str">
        <f>"38.391906"</f>
        <v>38.391906</v>
      </c>
      <c r="R9864" t="str">
        <f>"21.842025"</f>
        <v>21.842025</v>
      </c>
      <c r="S9864" t="s">
        <v>26</v>
      </c>
    </row>
    <row r="9865" spans="1:19" x14ac:dyDescent="0.3">
      <c r="A9865" t="s">
        <v>13791</v>
      </c>
      <c r="B9865" t="s">
        <v>14950</v>
      </c>
      <c r="C9865" t="s">
        <v>15453</v>
      </c>
      <c r="D9865" t="s">
        <v>13792</v>
      </c>
      <c r="E9865" t="s">
        <v>13820</v>
      </c>
      <c r="F9865" t="s">
        <v>14085</v>
      </c>
      <c r="G9865" t="s">
        <v>14085</v>
      </c>
      <c r="H9865" t="s">
        <v>859</v>
      </c>
      <c r="I9865" t="s">
        <v>860</v>
      </c>
      <c r="J9865" t="str">
        <f>"9010091"</f>
        <v>9010091</v>
      </c>
      <c r="K9865">
        <v>2646022560</v>
      </c>
      <c r="L9865">
        <v>2646022560</v>
      </c>
      <c r="M9865" t="s">
        <v>15454</v>
      </c>
      <c r="N9865" t="s">
        <v>15190</v>
      </c>
      <c r="O9865" t="s">
        <v>15455</v>
      </c>
      <c r="P9865">
        <v>30009</v>
      </c>
      <c r="Q9865" t="str">
        <f>"38.695224"</f>
        <v>38.695224</v>
      </c>
      <c r="R9865" t="str">
        <f>"21.185917"</f>
        <v>21.185917</v>
      </c>
      <c r="S9865" t="s">
        <v>26</v>
      </c>
    </row>
    <row r="9866" spans="1:19" x14ac:dyDescent="0.3">
      <c r="A9866" t="s">
        <v>13791</v>
      </c>
      <c r="B9866" t="s">
        <v>14950</v>
      </c>
      <c r="C9866" t="s">
        <v>15456</v>
      </c>
      <c r="D9866" t="s">
        <v>13792</v>
      </c>
      <c r="E9866" t="s">
        <v>13851</v>
      </c>
      <c r="F9866" t="s">
        <v>13851</v>
      </c>
      <c r="G9866" t="s">
        <v>13393</v>
      </c>
      <c r="H9866" t="s">
        <v>859</v>
      </c>
      <c r="I9866" t="s">
        <v>860</v>
      </c>
      <c r="J9866" t="str">
        <f>"9010456"</f>
        <v>9010456</v>
      </c>
      <c r="K9866">
        <v>2641044509</v>
      </c>
      <c r="M9866" t="s">
        <v>15457</v>
      </c>
      <c r="N9866" t="s">
        <v>13393</v>
      </c>
      <c r="O9866" t="s">
        <v>15458</v>
      </c>
      <c r="P9866">
        <v>30027</v>
      </c>
      <c r="Q9866" t="str">
        <f>"38.631558"</f>
        <v>38.631558</v>
      </c>
      <c r="R9866" t="str">
        <f>"21.399303"</f>
        <v>21.399303</v>
      </c>
      <c r="S9866" t="s">
        <v>26</v>
      </c>
    </row>
    <row r="9867" spans="1:19" x14ac:dyDescent="0.3">
      <c r="A9867" t="s">
        <v>13791</v>
      </c>
      <c r="B9867" t="s">
        <v>14950</v>
      </c>
      <c r="C9867" t="s">
        <v>15476</v>
      </c>
      <c r="D9867" t="s">
        <v>13792</v>
      </c>
      <c r="E9867" t="s">
        <v>13836</v>
      </c>
      <c r="F9867" t="s">
        <v>13837</v>
      </c>
      <c r="G9867" t="s">
        <v>15286</v>
      </c>
      <c r="H9867" t="s">
        <v>859</v>
      </c>
      <c r="I9867" t="s">
        <v>860</v>
      </c>
      <c r="J9867" t="str">
        <f>"9010228"</f>
        <v>9010228</v>
      </c>
      <c r="K9867">
        <v>2643071496</v>
      </c>
      <c r="L9867">
        <v>2643071245</v>
      </c>
      <c r="M9867" t="s">
        <v>15477</v>
      </c>
      <c r="N9867" t="s">
        <v>15478</v>
      </c>
      <c r="O9867" t="s">
        <v>15479</v>
      </c>
      <c r="P9867">
        <v>30002</v>
      </c>
      <c r="Q9867" t="str">
        <f>"38.857031"</f>
        <v>38.857031</v>
      </c>
      <c r="R9867" t="str">
        <f>"20.981913"</f>
        <v>20.981913</v>
      </c>
      <c r="S9867" t="s">
        <v>26</v>
      </c>
    </row>
    <row r="9868" spans="1:19" x14ac:dyDescent="0.3">
      <c r="A9868" t="s">
        <v>13791</v>
      </c>
      <c r="B9868" t="s">
        <v>14950</v>
      </c>
      <c r="C9868" t="s">
        <v>15484</v>
      </c>
      <c r="D9868" t="s">
        <v>13792</v>
      </c>
      <c r="E9868" t="s">
        <v>13820</v>
      </c>
      <c r="F9868" t="s">
        <v>13826</v>
      </c>
      <c r="G9868" t="s">
        <v>15234</v>
      </c>
      <c r="H9868" t="s">
        <v>859</v>
      </c>
      <c r="I9868" t="s">
        <v>860</v>
      </c>
      <c r="J9868" t="str">
        <f>"9010528"</f>
        <v>9010528</v>
      </c>
      <c r="K9868">
        <v>2646045003</v>
      </c>
      <c r="L9868">
        <v>2646045003</v>
      </c>
      <c r="M9868" t="s">
        <v>15485</v>
      </c>
      <c r="O9868" t="s">
        <v>15486</v>
      </c>
      <c r="P9868">
        <v>30006</v>
      </c>
      <c r="Q9868" t="str">
        <f>"39.103646"</f>
        <v>39.103646</v>
      </c>
      <c r="R9868" t="str">
        <f>"21.087413"</f>
        <v>21.087413</v>
      </c>
      <c r="S9868" t="s">
        <v>26</v>
      </c>
    </row>
    <row r="9869" spans="1:19" x14ac:dyDescent="0.3">
      <c r="A9869" t="s">
        <v>13791</v>
      </c>
      <c r="B9869" t="s">
        <v>14950</v>
      </c>
      <c r="C9869" t="s">
        <v>15489</v>
      </c>
      <c r="D9869" t="s">
        <v>13792</v>
      </c>
      <c r="E9869" t="s">
        <v>13851</v>
      </c>
      <c r="F9869" t="s">
        <v>13852</v>
      </c>
      <c r="G9869" t="s">
        <v>13853</v>
      </c>
      <c r="H9869" t="s">
        <v>859</v>
      </c>
      <c r="I9869" t="s">
        <v>860</v>
      </c>
      <c r="J9869" t="str">
        <f>"9010653"</f>
        <v>9010653</v>
      </c>
      <c r="K9869">
        <v>2641061774</v>
      </c>
      <c r="L9869">
        <v>2641061774</v>
      </c>
      <c r="M9869" t="s">
        <v>15490</v>
      </c>
      <c r="N9869" t="s">
        <v>13852</v>
      </c>
      <c r="O9869" t="s">
        <v>15491</v>
      </c>
      <c r="P9869">
        <v>30005</v>
      </c>
      <c r="Q9869" t="str">
        <f>"38.605349"</f>
        <v>38.605349</v>
      </c>
      <c r="R9869" t="str">
        <f>"21.482440"</f>
        <v>21.482440</v>
      </c>
      <c r="S9869" t="s">
        <v>26</v>
      </c>
    </row>
    <row r="9870" spans="1:19" x14ac:dyDescent="0.3">
      <c r="A9870" t="s">
        <v>13791</v>
      </c>
      <c r="B9870" t="s">
        <v>14950</v>
      </c>
      <c r="C9870" t="s">
        <v>15504</v>
      </c>
      <c r="D9870" t="s">
        <v>13792</v>
      </c>
      <c r="E9870" t="s">
        <v>13793</v>
      </c>
      <c r="F9870" t="s">
        <v>13793</v>
      </c>
      <c r="G9870" t="s">
        <v>3986</v>
      </c>
      <c r="H9870" t="s">
        <v>859</v>
      </c>
      <c r="I9870" t="s">
        <v>860</v>
      </c>
      <c r="J9870" t="str">
        <f>"9010620"</f>
        <v>9010620</v>
      </c>
      <c r="K9870">
        <v>2631023544</v>
      </c>
      <c r="L9870">
        <v>2631023544</v>
      </c>
      <c r="M9870" t="s">
        <v>15505</v>
      </c>
      <c r="N9870" t="s">
        <v>3986</v>
      </c>
      <c r="O9870" t="s">
        <v>15506</v>
      </c>
      <c r="P9870">
        <v>30200</v>
      </c>
      <c r="Q9870" t="str">
        <f>"38.393512"</f>
        <v>38.393512</v>
      </c>
      <c r="R9870" t="str">
        <f>"21.413026"</f>
        <v>21.413026</v>
      </c>
      <c r="S9870" t="s">
        <v>26</v>
      </c>
    </row>
    <row r="9871" spans="1:19" x14ac:dyDescent="0.3">
      <c r="A9871" t="s">
        <v>13791</v>
      </c>
      <c r="B9871" t="s">
        <v>14950</v>
      </c>
      <c r="C9871" t="s">
        <v>15507</v>
      </c>
      <c r="D9871" t="s">
        <v>13792</v>
      </c>
      <c r="E9871" t="s">
        <v>13851</v>
      </c>
      <c r="F9871" t="s">
        <v>13859</v>
      </c>
      <c r="G9871" t="s">
        <v>13860</v>
      </c>
      <c r="H9871" t="s">
        <v>859</v>
      </c>
      <c r="I9871" t="s">
        <v>860</v>
      </c>
      <c r="J9871" t="str">
        <f>"9010451"</f>
        <v>9010451</v>
      </c>
      <c r="K9871">
        <v>2635041880</v>
      </c>
      <c r="L9871">
        <v>235041202</v>
      </c>
      <c r="M9871" t="s">
        <v>15508</v>
      </c>
      <c r="N9871" t="s">
        <v>13860</v>
      </c>
      <c r="O9871" t="s">
        <v>15210</v>
      </c>
      <c r="P9871">
        <v>30015</v>
      </c>
      <c r="Q9871" t="str">
        <f>"38.532792"</f>
        <v>38.532792</v>
      </c>
      <c r="R9871" t="str">
        <f>"21.529503"</f>
        <v>21.529503</v>
      </c>
      <c r="S9871" t="s">
        <v>26</v>
      </c>
    </row>
    <row r="9872" spans="1:19" x14ac:dyDescent="0.3">
      <c r="A9872" t="s">
        <v>13791</v>
      </c>
      <c r="B9872" t="s">
        <v>14950</v>
      </c>
      <c r="C9872" t="s">
        <v>15509</v>
      </c>
      <c r="D9872" t="s">
        <v>13792</v>
      </c>
      <c r="E9872" t="s">
        <v>8765</v>
      </c>
      <c r="F9872" t="s">
        <v>13813</v>
      </c>
      <c r="G9872" t="s">
        <v>14057</v>
      </c>
      <c r="H9872" t="s">
        <v>859</v>
      </c>
      <c r="I9872" t="s">
        <v>860</v>
      </c>
      <c r="J9872" t="str">
        <f>"9010545"</f>
        <v>9010545</v>
      </c>
      <c r="K9872">
        <v>2647051628</v>
      </c>
      <c r="M9872" t="s">
        <v>15510</v>
      </c>
      <c r="N9872" t="s">
        <v>14061</v>
      </c>
      <c r="O9872" t="s">
        <v>15511</v>
      </c>
      <c r="P9872">
        <v>30018</v>
      </c>
      <c r="Q9872" t="str">
        <f>"38.891540"</f>
        <v>38.891540</v>
      </c>
      <c r="R9872" t="str">
        <f>"21.346373"</f>
        <v>21.346373</v>
      </c>
      <c r="S9872" t="s">
        <v>26</v>
      </c>
    </row>
    <row r="9873" spans="1:19" x14ac:dyDescent="0.3">
      <c r="A9873" t="s">
        <v>13791</v>
      </c>
      <c r="B9873" t="s">
        <v>14950</v>
      </c>
      <c r="C9873" t="s">
        <v>15513</v>
      </c>
      <c r="D9873" t="s">
        <v>13792</v>
      </c>
      <c r="E9873" t="s">
        <v>8765</v>
      </c>
      <c r="F9873" t="s">
        <v>15512</v>
      </c>
      <c r="G9873" t="s">
        <v>15512</v>
      </c>
      <c r="H9873" t="s">
        <v>859</v>
      </c>
      <c r="I9873" t="s">
        <v>860</v>
      </c>
      <c r="J9873" t="str">
        <f>"9010498"</f>
        <v>9010498</v>
      </c>
      <c r="K9873">
        <v>2681088090</v>
      </c>
      <c r="L9873">
        <v>2681088229</v>
      </c>
      <c r="M9873" t="s">
        <v>15514</v>
      </c>
      <c r="N9873" t="s">
        <v>15512</v>
      </c>
      <c r="O9873" t="s">
        <v>15515</v>
      </c>
      <c r="P9873">
        <v>30016</v>
      </c>
      <c r="Q9873" t="str">
        <f>"39.042366"</f>
        <v>39.042366</v>
      </c>
      <c r="R9873" t="str">
        <f>"21.118462"</f>
        <v>21.118462</v>
      </c>
      <c r="S9873" t="s">
        <v>26</v>
      </c>
    </row>
    <row r="9874" spans="1:19" x14ac:dyDescent="0.3">
      <c r="A9874" t="s">
        <v>13791</v>
      </c>
      <c r="B9874" t="s">
        <v>14950</v>
      </c>
      <c r="C9874" t="s">
        <v>15516</v>
      </c>
      <c r="D9874" t="s">
        <v>13792</v>
      </c>
      <c r="E9874" t="s">
        <v>8765</v>
      </c>
      <c r="F9874" t="s">
        <v>8765</v>
      </c>
      <c r="G9874" t="s">
        <v>8765</v>
      </c>
      <c r="H9874" t="s">
        <v>859</v>
      </c>
      <c r="I9874" t="s">
        <v>860</v>
      </c>
      <c r="J9874" t="str">
        <f>"9010570"</f>
        <v>9010570</v>
      </c>
      <c r="K9874">
        <v>2642051186</v>
      </c>
      <c r="L9874">
        <v>2642051186</v>
      </c>
      <c r="M9874" t="s">
        <v>15517</v>
      </c>
      <c r="N9874" t="s">
        <v>15518</v>
      </c>
      <c r="O9874" t="s">
        <v>15519</v>
      </c>
      <c r="P9874">
        <v>30500</v>
      </c>
      <c r="Q9874" t="str">
        <f>"38.927632"</f>
        <v>38.927632</v>
      </c>
      <c r="R9874" t="str">
        <f>"21.142566"</f>
        <v>21.142566</v>
      </c>
      <c r="S9874" t="s">
        <v>26</v>
      </c>
    </row>
    <row r="9875" spans="1:19" x14ac:dyDescent="0.3">
      <c r="A9875" t="s">
        <v>13791</v>
      </c>
      <c r="B9875" t="s">
        <v>14950</v>
      </c>
      <c r="C9875" t="s">
        <v>15521</v>
      </c>
      <c r="D9875" t="s">
        <v>13792</v>
      </c>
      <c r="E9875" t="s">
        <v>8765</v>
      </c>
      <c r="F9875" t="s">
        <v>13813</v>
      </c>
      <c r="G9875" t="s">
        <v>15520</v>
      </c>
      <c r="H9875" t="s">
        <v>859</v>
      </c>
      <c r="I9875" t="s">
        <v>860</v>
      </c>
      <c r="J9875" t="str">
        <f>"9010562"</f>
        <v>9010562</v>
      </c>
      <c r="K9875">
        <v>2647031625</v>
      </c>
      <c r="L9875">
        <v>2647031625</v>
      </c>
      <c r="M9875" t="s">
        <v>15522</v>
      </c>
      <c r="N9875" t="s">
        <v>15520</v>
      </c>
      <c r="O9875" t="s">
        <v>15523</v>
      </c>
      <c r="P9875">
        <v>30017</v>
      </c>
      <c r="Q9875" t="str">
        <f>"39.050047"</f>
        <v>39.050047</v>
      </c>
      <c r="R9875" t="str">
        <f>"21.362860"</f>
        <v>21.362860</v>
      </c>
      <c r="S9875" t="s">
        <v>57</v>
      </c>
    </row>
    <row r="9876" spans="1:19" x14ac:dyDescent="0.3">
      <c r="A9876" t="s">
        <v>13791</v>
      </c>
      <c r="B9876" t="s">
        <v>14950</v>
      </c>
      <c r="C9876" t="s">
        <v>15525</v>
      </c>
      <c r="D9876" t="s">
        <v>13792</v>
      </c>
      <c r="E9876" t="s">
        <v>8765</v>
      </c>
      <c r="F9876" t="s">
        <v>8765</v>
      </c>
      <c r="G9876" t="s">
        <v>15524</v>
      </c>
      <c r="H9876" t="s">
        <v>859</v>
      </c>
      <c r="I9876" t="s">
        <v>860</v>
      </c>
      <c r="J9876" t="str">
        <f>"9010199"</f>
        <v>9010199</v>
      </c>
      <c r="K9876">
        <v>2642071267</v>
      </c>
      <c r="M9876" t="s">
        <v>15526</v>
      </c>
      <c r="N9876" t="s">
        <v>15527</v>
      </c>
      <c r="O9876" t="s">
        <v>15527</v>
      </c>
      <c r="P9876">
        <v>30500</v>
      </c>
      <c r="Q9876" t="str">
        <f>"38.855683"</f>
        <v>38.855683</v>
      </c>
      <c r="R9876" t="str">
        <f>"21.236808"</f>
        <v>21.236808</v>
      </c>
      <c r="S9876" t="s">
        <v>26</v>
      </c>
    </row>
    <row r="9877" spans="1:19" x14ac:dyDescent="0.3">
      <c r="A9877" t="s">
        <v>13791</v>
      </c>
      <c r="B9877" t="s">
        <v>14950</v>
      </c>
      <c r="C9877" t="s">
        <v>15529</v>
      </c>
      <c r="D9877" t="s">
        <v>13792</v>
      </c>
      <c r="E9877" t="s">
        <v>8765</v>
      </c>
      <c r="F9877" t="s">
        <v>8765</v>
      </c>
      <c r="G9877" t="s">
        <v>15528</v>
      </c>
      <c r="H9877" t="s">
        <v>859</v>
      </c>
      <c r="I9877" t="s">
        <v>860</v>
      </c>
      <c r="J9877" t="str">
        <f>"9010468"</f>
        <v>9010468</v>
      </c>
      <c r="K9877">
        <v>2642041089</v>
      </c>
      <c r="M9877" t="s">
        <v>15530</v>
      </c>
      <c r="N9877" t="s">
        <v>15531</v>
      </c>
      <c r="O9877" t="s">
        <v>15531</v>
      </c>
      <c r="P9877">
        <v>30500</v>
      </c>
      <c r="Q9877" t="str">
        <f>"38.800000"</f>
        <v>38.800000</v>
      </c>
      <c r="R9877" t="str">
        <f>"21.166667"</f>
        <v>21.166667</v>
      </c>
      <c r="S9877" t="s">
        <v>26</v>
      </c>
    </row>
    <row r="9878" spans="1:19" x14ac:dyDescent="0.3">
      <c r="A9878" t="s">
        <v>13791</v>
      </c>
      <c r="B9878" t="s">
        <v>14950</v>
      </c>
      <c r="C9878" t="s">
        <v>15533</v>
      </c>
      <c r="D9878" t="s">
        <v>13792</v>
      </c>
      <c r="E9878" t="s">
        <v>8765</v>
      </c>
      <c r="F9878" t="s">
        <v>15512</v>
      </c>
      <c r="G9878" t="s">
        <v>15532</v>
      </c>
      <c r="H9878" t="s">
        <v>859</v>
      </c>
      <c r="I9878" t="s">
        <v>860</v>
      </c>
      <c r="J9878" t="str">
        <f>"9010571"</f>
        <v>9010571</v>
      </c>
      <c r="K9878">
        <v>2681077348</v>
      </c>
      <c r="L9878">
        <v>2681077348</v>
      </c>
      <c r="M9878" t="s">
        <v>15534</v>
      </c>
      <c r="N9878" t="s">
        <v>15535</v>
      </c>
      <c r="O9878" t="s">
        <v>15536</v>
      </c>
      <c r="P9878">
        <v>47040</v>
      </c>
      <c r="Q9878" t="str">
        <f>"39.109787"</f>
        <v>39.109787</v>
      </c>
      <c r="R9878" t="str">
        <f>"21.207759"</f>
        <v>21.207759</v>
      </c>
      <c r="S9878" t="s">
        <v>57</v>
      </c>
    </row>
    <row r="9879" spans="1:19" x14ac:dyDescent="0.3">
      <c r="A9879" t="s">
        <v>13791</v>
      </c>
      <c r="B9879" t="s">
        <v>14950</v>
      </c>
      <c r="C9879" t="s">
        <v>15537</v>
      </c>
      <c r="D9879" t="s">
        <v>13792</v>
      </c>
      <c r="E9879" t="s">
        <v>13836</v>
      </c>
      <c r="F9879" t="s">
        <v>13903</v>
      </c>
      <c r="G9879" t="s">
        <v>13904</v>
      </c>
      <c r="H9879" t="s">
        <v>859</v>
      </c>
      <c r="I9879" t="s">
        <v>860</v>
      </c>
      <c r="J9879" t="str">
        <f>"9010230"</f>
        <v>9010230</v>
      </c>
      <c r="K9879">
        <v>2646031826</v>
      </c>
      <c r="L9879">
        <v>2646031826</v>
      </c>
      <c r="M9879" t="s">
        <v>15538</v>
      </c>
      <c r="O9879" t="s">
        <v>13907</v>
      </c>
      <c r="P9879">
        <v>30004</v>
      </c>
      <c r="Q9879" t="str">
        <f>"38.785422"</f>
        <v>38.785422</v>
      </c>
      <c r="R9879" t="str">
        <f>"21.113986"</f>
        <v>21.113986</v>
      </c>
      <c r="S9879" t="s">
        <v>26</v>
      </c>
    </row>
    <row r="9880" spans="1:19" x14ac:dyDescent="0.3">
      <c r="A9880" t="s">
        <v>13791</v>
      </c>
      <c r="B9880" t="s">
        <v>14950</v>
      </c>
      <c r="C9880" t="s">
        <v>15540</v>
      </c>
      <c r="D9880" t="s">
        <v>13792</v>
      </c>
      <c r="E9880" t="s">
        <v>8765</v>
      </c>
      <c r="F9880" t="s">
        <v>13813</v>
      </c>
      <c r="G9880" t="s">
        <v>15539</v>
      </c>
      <c r="H9880" t="s">
        <v>859</v>
      </c>
      <c r="I9880" t="s">
        <v>860</v>
      </c>
      <c r="J9880" t="str">
        <f>"9520915"</f>
        <v>9520915</v>
      </c>
      <c r="K9880">
        <v>2647031750</v>
      </c>
      <c r="M9880" t="s">
        <v>15541</v>
      </c>
      <c r="N9880" t="s">
        <v>15542</v>
      </c>
      <c r="O9880" t="s">
        <v>15542</v>
      </c>
      <c r="P9880">
        <v>30017</v>
      </c>
      <c r="Q9880" t="str">
        <f>"39.107612"</f>
        <v>39.107612</v>
      </c>
      <c r="R9880" t="str">
        <f>"21.409971"</f>
        <v>21.409971</v>
      </c>
      <c r="S9880" t="s">
        <v>57</v>
      </c>
    </row>
    <row r="9881" spans="1:19" x14ac:dyDescent="0.3">
      <c r="A9881" t="s">
        <v>13791</v>
      </c>
      <c r="B9881" t="s">
        <v>14950</v>
      </c>
      <c r="C9881" t="s">
        <v>15547</v>
      </c>
      <c r="D9881" t="s">
        <v>13792</v>
      </c>
      <c r="E9881" t="s">
        <v>13820</v>
      </c>
      <c r="F9881" t="s">
        <v>13821</v>
      </c>
      <c r="G9881" t="s">
        <v>15102</v>
      </c>
      <c r="H9881" t="s">
        <v>859</v>
      </c>
      <c r="I9881" t="s">
        <v>860</v>
      </c>
      <c r="J9881" t="str">
        <f>"9010249"</f>
        <v>9010249</v>
      </c>
      <c r="K9881">
        <v>2646071144</v>
      </c>
      <c r="L9881">
        <v>2646071144</v>
      </c>
      <c r="M9881" t="s">
        <v>15548</v>
      </c>
      <c r="N9881" t="s">
        <v>15102</v>
      </c>
      <c r="O9881" t="s">
        <v>15105</v>
      </c>
      <c r="P9881">
        <v>30019</v>
      </c>
      <c r="Q9881" t="str">
        <f>"38.701469"</f>
        <v>38.701469</v>
      </c>
      <c r="R9881" t="str">
        <f>"21.037458"</f>
        <v>21.037458</v>
      </c>
      <c r="S9881" t="s">
        <v>26</v>
      </c>
    </row>
    <row r="9882" spans="1:19" x14ac:dyDescent="0.3">
      <c r="A9882" t="s">
        <v>13791</v>
      </c>
      <c r="B9882" t="s">
        <v>14950</v>
      </c>
      <c r="C9882" t="s">
        <v>15563</v>
      </c>
      <c r="D9882" t="s">
        <v>13792</v>
      </c>
      <c r="E9882" t="s">
        <v>13851</v>
      </c>
      <c r="F9882" t="s">
        <v>13851</v>
      </c>
      <c r="G9882" t="s">
        <v>13851</v>
      </c>
      <c r="H9882" t="s">
        <v>859</v>
      </c>
      <c r="I9882" t="s">
        <v>860</v>
      </c>
      <c r="J9882" t="str">
        <f>"9010615"</f>
        <v>9010615</v>
      </c>
      <c r="K9882">
        <v>2641055953</v>
      </c>
      <c r="L9882">
        <v>2641055953</v>
      </c>
      <c r="M9882" t="s">
        <v>15564</v>
      </c>
      <c r="N9882" t="s">
        <v>13851</v>
      </c>
      <c r="O9882" t="s">
        <v>15565</v>
      </c>
      <c r="P9882">
        <v>30100</v>
      </c>
      <c r="Q9882" t="str">
        <f>"38.630314"</f>
        <v>38.630314</v>
      </c>
      <c r="R9882" t="str">
        <f>"21.405970"</f>
        <v>21.405970</v>
      </c>
      <c r="S9882" t="s">
        <v>26</v>
      </c>
    </row>
    <row r="9883" spans="1:19" x14ac:dyDescent="0.3">
      <c r="A9883" t="s">
        <v>13791</v>
      </c>
      <c r="B9883" t="s">
        <v>14950</v>
      </c>
      <c r="C9883" t="s">
        <v>15567</v>
      </c>
      <c r="D9883" t="s">
        <v>13792</v>
      </c>
      <c r="E9883" t="s">
        <v>13820</v>
      </c>
      <c r="F9883" t="s">
        <v>13821</v>
      </c>
      <c r="G9883" t="s">
        <v>15566</v>
      </c>
      <c r="H9883" t="s">
        <v>859</v>
      </c>
      <c r="I9883" t="s">
        <v>860</v>
      </c>
      <c r="J9883" t="str">
        <f>"9010506"</f>
        <v>9010506</v>
      </c>
      <c r="K9883">
        <v>2646051455</v>
      </c>
      <c r="L9883">
        <v>2646051455</v>
      </c>
      <c r="M9883" t="s">
        <v>15568</v>
      </c>
      <c r="N9883" t="s">
        <v>15569</v>
      </c>
      <c r="O9883" t="s">
        <v>15566</v>
      </c>
      <c r="P9883">
        <v>30019</v>
      </c>
      <c r="Q9883" t="str">
        <f>"38.703689"</f>
        <v>38.703689</v>
      </c>
      <c r="R9883" t="str">
        <f>"20.959985"</f>
        <v>20.959985</v>
      </c>
      <c r="S9883" t="s">
        <v>26</v>
      </c>
    </row>
    <row r="9884" spans="1:19" x14ac:dyDescent="0.3">
      <c r="A9884" t="s">
        <v>13791</v>
      </c>
      <c r="B9884" t="s">
        <v>14950</v>
      </c>
      <c r="C9884" t="s">
        <v>15572</v>
      </c>
      <c r="D9884" t="s">
        <v>13792</v>
      </c>
      <c r="E9884" t="s">
        <v>13820</v>
      </c>
      <c r="F9884" t="s">
        <v>13826</v>
      </c>
      <c r="G9884" t="s">
        <v>13826</v>
      </c>
      <c r="H9884" t="s">
        <v>859</v>
      </c>
      <c r="I9884" t="s">
        <v>860</v>
      </c>
      <c r="J9884" t="str">
        <f>"9010251"</f>
        <v>9010251</v>
      </c>
      <c r="K9884">
        <v>2646041098</v>
      </c>
      <c r="L9884">
        <v>2646041098</v>
      </c>
      <c r="M9884" t="s">
        <v>15573</v>
      </c>
      <c r="N9884" t="s">
        <v>13826</v>
      </c>
      <c r="O9884" t="s">
        <v>13929</v>
      </c>
      <c r="P9884">
        <v>30006</v>
      </c>
      <c r="Q9884" t="str">
        <f>"38.535719"</f>
        <v>38.535719</v>
      </c>
      <c r="R9884" t="str">
        <f>"21.082068"</f>
        <v>21.082068</v>
      </c>
      <c r="S9884" t="s">
        <v>26</v>
      </c>
    </row>
    <row r="9885" spans="1:19" x14ac:dyDescent="0.3">
      <c r="A9885" t="s">
        <v>13791</v>
      </c>
      <c r="B9885" t="s">
        <v>14950</v>
      </c>
      <c r="C9885" t="s">
        <v>15583</v>
      </c>
      <c r="D9885" t="s">
        <v>13792</v>
      </c>
      <c r="E9885" t="s">
        <v>13836</v>
      </c>
      <c r="F9885" t="s">
        <v>14005</v>
      </c>
      <c r="G9885" t="s">
        <v>13036</v>
      </c>
      <c r="H9885" t="s">
        <v>859</v>
      </c>
      <c r="I9885" t="s">
        <v>860</v>
      </c>
      <c r="J9885" t="str">
        <f>"9010563"</f>
        <v>9010563</v>
      </c>
      <c r="K9885">
        <v>2643051202</v>
      </c>
      <c r="L9885">
        <v>2643051202</v>
      </c>
      <c r="M9885" t="s">
        <v>15584</v>
      </c>
      <c r="O9885" t="s">
        <v>2755</v>
      </c>
      <c r="P9885">
        <v>30002</v>
      </c>
      <c r="Q9885" t="str">
        <f>"38.796876"</f>
        <v>38.796876</v>
      </c>
      <c r="R9885" t="str">
        <f>"20.739218"</f>
        <v>20.739218</v>
      </c>
      <c r="S9885" t="s">
        <v>26</v>
      </c>
    </row>
    <row r="9886" spans="1:19" x14ac:dyDescent="0.3">
      <c r="A9886" t="s">
        <v>13791</v>
      </c>
      <c r="B9886" t="s">
        <v>14950</v>
      </c>
      <c r="C9886" t="s">
        <v>15585</v>
      </c>
      <c r="D9886" t="s">
        <v>13792</v>
      </c>
      <c r="E9886" t="s">
        <v>13836</v>
      </c>
      <c r="F9886" t="s">
        <v>13837</v>
      </c>
      <c r="G9886" t="s">
        <v>938</v>
      </c>
      <c r="H9886" t="s">
        <v>859</v>
      </c>
      <c r="I9886" t="s">
        <v>860</v>
      </c>
      <c r="J9886" t="str">
        <f>"9010233"</f>
        <v>9010233</v>
      </c>
      <c r="K9886">
        <v>2643031573</v>
      </c>
      <c r="L9886">
        <v>2643031573</v>
      </c>
      <c r="M9886" t="s">
        <v>15586</v>
      </c>
      <c r="N9886" t="s">
        <v>938</v>
      </c>
      <c r="O9886" t="s">
        <v>941</v>
      </c>
      <c r="P9886">
        <v>30002</v>
      </c>
      <c r="Q9886" t="str">
        <f>"38.859806"</f>
        <v>38.859806</v>
      </c>
      <c r="R9886" t="str">
        <f>"20.958995"</f>
        <v>20.958995</v>
      </c>
      <c r="S9886" t="s">
        <v>26</v>
      </c>
    </row>
    <row r="9887" spans="1:19" x14ac:dyDescent="0.3">
      <c r="A9887" t="s">
        <v>13791</v>
      </c>
      <c r="B9887" t="s">
        <v>14950</v>
      </c>
      <c r="C9887" t="s">
        <v>15620</v>
      </c>
      <c r="D9887" t="s">
        <v>13792</v>
      </c>
      <c r="E9887" t="s">
        <v>13836</v>
      </c>
      <c r="F9887" t="s">
        <v>13903</v>
      </c>
      <c r="G9887" t="s">
        <v>15619</v>
      </c>
      <c r="H9887" t="s">
        <v>859</v>
      </c>
      <c r="I9887" t="s">
        <v>860</v>
      </c>
      <c r="J9887" t="str">
        <f>"9010504"</f>
        <v>9010504</v>
      </c>
      <c r="K9887">
        <v>2646096231</v>
      </c>
      <c r="L9887">
        <v>2646096231</v>
      </c>
      <c r="M9887" t="s">
        <v>15621</v>
      </c>
      <c r="N9887" t="s">
        <v>15622</v>
      </c>
      <c r="O9887" t="s">
        <v>15623</v>
      </c>
      <c r="P9887">
        <v>30004</v>
      </c>
      <c r="Q9887" t="str">
        <f>"38.707032"</f>
        <v>38.707032</v>
      </c>
      <c r="R9887" t="str">
        <f>"21.083862"</f>
        <v>21.083862</v>
      </c>
      <c r="S9887" t="s">
        <v>26</v>
      </c>
    </row>
    <row r="9888" spans="1:19" x14ac:dyDescent="0.3">
      <c r="A9888" t="s">
        <v>13791</v>
      </c>
      <c r="B9888" t="s">
        <v>14950</v>
      </c>
      <c r="C9888" t="s">
        <v>15624</v>
      </c>
      <c r="D9888" t="s">
        <v>13792</v>
      </c>
      <c r="E9888" t="s">
        <v>13820</v>
      </c>
      <c r="F9888" t="s">
        <v>13821</v>
      </c>
      <c r="G9888" t="s">
        <v>13822</v>
      </c>
      <c r="H9888" t="s">
        <v>859</v>
      </c>
      <c r="I9888" t="s">
        <v>860</v>
      </c>
      <c r="J9888" t="str">
        <f>"9010259"</f>
        <v>9010259</v>
      </c>
      <c r="K9888">
        <v>2646051533</v>
      </c>
      <c r="L9888">
        <v>2646051533</v>
      </c>
      <c r="M9888" t="s">
        <v>15625</v>
      </c>
      <c r="N9888" t="s">
        <v>13822</v>
      </c>
      <c r="O9888" t="s">
        <v>15626</v>
      </c>
      <c r="P9888">
        <v>30019</v>
      </c>
      <c r="Q9888" t="str">
        <f>"38.704829"</f>
        <v>38.704829</v>
      </c>
      <c r="R9888" t="str">
        <f>"20.944346"</f>
        <v>20.944346</v>
      </c>
      <c r="S9888" t="s">
        <v>26</v>
      </c>
    </row>
    <row r="9889" spans="1:19" x14ac:dyDescent="0.3">
      <c r="A9889" t="s">
        <v>13791</v>
      </c>
      <c r="B9889" t="s">
        <v>14950</v>
      </c>
      <c r="C9889" t="s">
        <v>15635</v>
      </c>
      <c r="D9889" t="s">
        <v>13792</v>
      </c>
      <c r="E9889" t="s">
        <v>13836</v>
      </c>
      <c r="F9889" t="s">
        <v>13837</v>
      </c>
      <c r="G9889" t="s">
        <v>15634</v>
      </c>
      <c r="H9889" t="s">
        <v>859</v>
      </c>
      <c r="I9889" t="s">
        <v>860</v>
      </c>
      <c r="J9889" t="str">
        <f>"9010521"</f>
        <v>9010521</v>
      </c>
      <c r="K9889">
        <v>2643061163</v>
      </c>
      <c r="L9889">
        <v>2643061211</v>
      </c>
      <c r="M9889" t="s">
        <v>15636</v>
      </c>
      <c r="N9889" t="s">
        <v>15634</v>
      </c>
      <c r="O9889" t="s">
        <v>15637</v>
      </c>
      <c r="P9889">
        <v>30002</v>
      </c>
      <c r="Q9889" t="str">
        <f>"38.915002"</f>
        <v>38.915002</v>
      </c>
      <c r="R9889" t="str">
        <f>"20.952298"</f>
        <v>20.952298</v>
      </c>
      <c r="S9889" t="s">
        <v>26</v>
      </c>
    </row>
    <row r="9890" spans="1:19" x14ac:dyDescent="0.3">
      <c r="A9890" t="s">
        <v>13791</v>
      </c>
      <c r="B9890" t="s">
        <v>14950</v>
      </c>
      <c r="C9890" t="s">
        <v>15642</v>
      </c>
      <c r="D9890" t="s">
        <v>13792</v>
      </c>
      <c r="E9890" t="s">
        <v>13836</v>
      </c>
      <c r="F9890" t="s">
        <v>13837</v>
      </c>
      <c r="G9890" t="s">
        <v>13838</v>
      </c>
      <c r="H9890" t="s">
        <v>859</v>
      </c>
      <c r="I9890" t="s">
        <v>860</v>
      </c>
      <c r="J9890" t="str">
        <f>"9010565"</f>
        <v>9010565</v>
      </c>
      <c r="K9890">
        <v>2643023919</v>
      </c>
      <c r="M9890" t="s">
        <v>15643</v>
      </c>
      <c r="N9890" t="s">
        <v>13843</v>
      </c>
      <c r="O9890" t="s">
        <v>15644</v>
      </c>
      <c r="P9890">
        <v>30002</v>
      </c>
      <c r="Q9890" t="str">
        <f>"38.894083"</f>
        <v>38.894083</v>
      </c>
      <c r="R9890" t="str">
        <f>"20.926820"</f>
        <v>20.926820</v>
      </c>
      <c r="S9890" t="s">
        <v>26</v>
      </c>
    </row>
    <row r="9891" spans="1:19" x14ac:dyDescent="0.3">
      <c r="A9891" t="s">
        <v>13791</v>
      </c>
      <c r="B9891" t="s">
        <v>14950</v>
      </c>
      <c r="C9891" t="s">
        <v>15645</v>
      </c>
      <c r="D9891" t="s">
        <v>13792</v>
      </c>
      <c r="E9891" t="s">
        <v>13836</v>
      </c>
      <c r="F9891" t="s">
        <v>13903</v>
      </c>
      <c r="G9891" t="s">
        <v>15464</v>
      </c>
      <c r="H9891" t="s">
        <v>859</v>
      </c>
      <c r="I9891" t="s">
        <v>860</v>
      </c>
      <c r="J9891" t="str">
        <f>"9010560"</f>
        <v>9010560</v>
      </c>
      <c r="K9891">
        <v>2646031631</v>
      </c>
      <c r="M9891" t="s">
        <v>15646</v>
      </c>
      <c r="N9891" t="s">
        <v>15464</v>
      </c>
      <c r="O9891" t="s">
        <v>15467</v>
      </c>
      <c r="P9891">
        <v>30004</v>
      </c>
      <c r="Q9891" t="str">
        <f>"38.758387"</f>
        <v>38.758387</v>
      </c>
      <c r="R9891" t="str">
        <f>"21.066615"</f>
        <v>21.066615</v>
      </c>
      <c r="S9891" t="s">
        <v>26</v>
      </c>
    </row>
    <row r="9892" spans="1:19" x14ac:dyDescent="0.3">
      <c r="A9892" t="s">
        <v>13791</v>
      </c>
      <c r="B9892" t="s">
        <v>14950</v>
      </c>
      <c r="C9892" t="s">
        <v>15670</v>
      </c>
      <c r="D9892" t="s">
        <v>13792</v>
      </c>
      <c r="E9892" t="s">
        <v>8765</v>
      </c>
      <c r="F9892" t="s">
        <v>13813</v>
      </c>
      <c r="G9892" t="s">
        <v>15605</v>
      </c>
      <c r="H9892" t="s">
        <v>859</v>
      </c>
      <c r="I9892" t="s">
        <v>860</v>
      </c>
      <c r="J9892" t="str">
        <f>"9010567"</f>
        <v>9010567</v>
      </c>
      <c r="K9892">
        <v>2647022424</v>
      </c>
      <c r="L9892">
        <v>2647038103</v>
      </c>
      <c r="M9892" t="s">
        <v>15671</v>
      </c>
      <c r="N9892" t="s">
        <v>15672</v>
      </c>
      <c r="O9892" t="s">
        <v>15672</v>
      </c>
      <c r="P9892">
        <v>30017</v>
      </c>
      <c r="Q9892" t="str">
        <f>"38.894067"</f>
        <v>38.894067</v>
      </c>
      <c r="R9892" t="str">
        <f>"21.350930"</f>
        <v>21.350930</v>
      </c>
      <c r="S9892" t="s">
        <v>26</v>
      </c>
    </row>
    <row r="9893" spans="1:19" x14ac:dyDescent="0.3">
      <c r="A9893" t="s">
        <v>13791</v>
      </c>
      <c r="B9893" t="s">
        <v>14950</v>
      </c>
      <c r="C9893" t="s">
        <v>15673</v>
      </c>
      <c r="D9893" t="s">
        <v>13792</v>
      </c>
      <c r="E9893" t="s">
        <v>13851</v>
      </c>
      <c r="F9893" t="s">
        <v>13871</v>
      </c>
      <c r="G9893" t="s">
        <v>13937</v>
      </c>
      <c r="H9893" t="s">
        <v>859</v>
      </c>
      <c r="I9893" t="s">
        <v>860</v>
      </c>
      <c r="J9893" t="str">
        <f>"9010420"</f>
        <v>9010420</v>
      </c>
      <c r="K9893">
        <v>2635022445</v>
      </c>
      <c r="L9893">
        <v>2635022445</v>
      </c>
      <c r="M9893" t="s">
        <v>15674</v>
      </c>
      <c r="N9893" t="s">
        <v>14093</v>
      </c>
      <c r="O9893" t="s">
        <v>14093</v>
      </c>
      <c r="P9893">
        <v>30011</v>
      </c>
      <c r="Q9893" t="str">
        <f>"38.525996"</f>
        <v>38.525996</v>
      </c>
      <c r="R9893" t="str">
        <f>"21.477561"</f>
        <v>21.477561</v>
      </c>
      <c r="S9893" t="s">
        <v>26</v>
      </c>
    </row>
    <row r="9894" spans="1:19" x14ac:dyDescent="0.3">
      <c r="A9894" t="s">
        <v>13791</v>
      </c>
      <c r="B9894" t="s">
        <v>14950</v>
      </c>
      <c r="C9894" t="s">
        <v>15690</v>
      </c>
      <c r="D9894" t="s">
        <v>13792</v>
      </c>
      <c r="E9894" t="s">
        <v>13888</v>
      </c>
      <c r="F9894" t="s">
        <v>15243</v>
      </c>
      <c r="G9894" t="s">
        <v>15480</v>
      </c>
      <c r="H9894" t="s">
        <v>859</v>
      </c>
      <c r="I9894" t="s">
        <v>860</v>
      </c>
      <c r="J9894" t="str">
        <f>"9010591"</f>
        <v>9010591</v>
      </c>
      <c r="K9894">
        <v>2634045741</v>
      </c>
      <c r="M9894" t="s">
        <v>15691</v>
      </c>
      <c r="N9894" t="s">
        <v>15692</v>
      </c>
      <c r="O9894" t="s">
        <v>15483</v>
      </c>
      <c r="P9894">
        <v>30014</v>
      </c>
      <c r="Q9894" t="str">
        <f>"38.382379"</f>
        <v>38.382379</v>
      </c>
      <c r="R9894" t="str">
        <f>"21.628997"</f>
        <v>21.628997</v>
      </c>
      <c r="S9894" t="s">
        <v>26</v>
      </c>
    </row>
    <row r="9895" spans="1:19" x14ac:dyDescent="0.3">
      <c r="A9895" t="s">
        <v>13791</v>
      </c>
      <c r="B9895" t="s">
        <v>14950</v>
      </c>
      <c r="C9895" t="s">
        <v>15700</v>
      </c>
      <c r="D9895" t="s">
        <v>13792</v>
      </c>
      <c r="E9895" t="s">
        <v>13851</v>
      </c>
      <c r="F9895" t="s">
        <v>14075</v>
      </c>
      <c r="G9895" t="s">
        <v>15327</v>
      </c>
      <c r="H9895" t="s">
        <v>859</v>
      </c>
      <c r="I9895" t="s">
        <v>860</v>
      </c>
      <c r="J9895" t="str">
        <f>"9010600"</f>
        <v>9010600</v>
      </c>
      <c r="K9895">
        <v>2641041233</v>
      </c>
      <c r="M9895" t="s">
        <v>15701</v>
      </c>
      <c r="N9895" t="s">
        <v>15330</v>
      </c>
      <c r="O9895" t="s">
        <v>15330</v>
      </c>
      <c r="P9895">
        <v>30100</v>
      </c>
      <c r="Q9895" t="str">
        <f>"38.768275"</f>
        <v>38.768275</v>
      </c>
      <c r="R9895" t="str">
        <f>"21.441159"</f>
        <v>21.441159</v>
      </c>
      <c r="S9895" t="s">
        <v>26</v>
      </c>
    </row>
    <row r="9896" spans="1:19" x14ac:dyDescent="0.3">
      <c r="A9896" t="s">
        <v>13791</v>
      </c>
      <c r="B9896" t="s">
        <v>14950</v>
      </c>
      <c r="C9896" t="s">
        <v>15704</v>
      </c>
      <c r="D9896" t="s">
        <v>13792</v>
      </c>
      <c r="E9896" t="s">
        <v>13851</v>
      </c>
      <c r="F9896" t="s">
        <v>13851</v>
      </c>
      <c r="G9896" t="s">
        <v>13851</v>
      </c>
      <c r="H9896" t="s">
        <v>859</v>
      </c>
      <c r="I9896" t="s">
        <v>1102</v>
      </c>
      <c r="J9896" t="str">
        <f>"9010662"</f>
        <v>9010662</v>
      </c>
      <c r="K9896">
        <v>2641026205</v>
      </c>
      <c r="L9896">
        <v>2641044413</v>
      </c>
      <c r="M9896" t="s">
        <v>15705</v>
      </c>
      <c r="N9896" t="s">
        <v>13885</v>
      </c>
      <c r="O9896" t="s">
        <v>15706</v>
      </c>
      <c r="P9896">
        <v>30132</v>
      </c>
      <c r="Q9896" t="str">
        <f>"38.624301"</f>
        <v>38.624301</v>
      </c>
      <c r="R9896" t="str">
        <f>"21.410549"</f>
        <v>21.410549</v>
      </c>
      <c r="S9896" t="s">
        <v>26</v>
      </c>
    </row>
    <row r="9897" spans="1:19" x14ac:dyDescent="0.3">
      <c r="A9897" t="s">
        <v>13791</v>
      </c>
      <c r="B9897" t="s">
        <v>14950</v>
      </c>
      <c r="C9897" t="s">
        <v>15707</v>
      </c>
      <c r="D9897" t="s">
        <v>13792</v>
      </c>
      <c r="E9897" t="s">
        <v>13851</v>
      </c>
      <c r="F9897" t="s">
        <v>13851</v>
      </c>
      <c r="G9897" t="s">
        <v>13851</v>
      </c>
      <c r="H9897" t="s">
        <v>859</v>
      </c>
      <c r="I9897" t="s">
        <v>860</v>
      </c>
      <c r="J9897" t="str">
        <f>"9010582"</f>
        <v>9010582</v>
      </c>
      <c r="K9897">
        <v>2641039677</v>
      </c>
      <c r="M9897" t="s">
        <v>15708</v>
      </c>
      <c r="N9897" t="s">
        <v>13851</v>
      </c>
      <c r="O9897" t="s">
        <v>15709</v>
      </c>
      <c r="P9897">
        <v>30100</v>
      </c>
      <c r="Q9897" t="str">
        <f>"38.625804"</f>
        <v>38.625804</v>
      </c>
      <c r="R9897" t="str">
        <f>"21.388250"</f>
        <v>21.388250</v>
      </c>
      <c r="S9897" t="s">
        <v>26</v>
      </c>
    </row>
    <row r="9898" spans="1:19" x14ac:dyDescent="0.3">
      <c r="A9898" t="s">
        <v>13791</v>
      </c>
      <c r="B9898" t="s">
        <v>14950</v>
      </c>
      <c r="C9898" t="s">
        <v>15711</v>
      </c>
      <c r="D9898" t="s">
        <v>13792</v>
      </c>
      <c r="E9898" t="s">
        <v>13851</v>
      </c>
      <c r="F9898" t="s">
        <v>11666</v>
      </c>
      <c r="G9898" t="s">
        <v>11666</v>
      </c>
      <c r="H9898" t="s">
        <v>859</v>
      </c>
      <c r="I9898" t="s">
        <v>860</v>
      </c>
      <c r="J9898" t="str">
        <f>"9010483"</f>
        <v>9010483</v>
      </c>
      <c r="K9898">
        <v>2641091301</v>
      </c>
      <c r="M9898" t="s">
        <v>15712</v>
      </c>
      <c r="N9898" t="s">
        <v>11666</v>
      </c>
      <c r="O9898" t="s">
        <v>613</v>
      </c>
      <c r="P9898">
        <v>30100</v>
      </c>
      <c r="Q9898" t="str">
        <f>"38.675541"</f>
        <v>38.675541</v>
      </c>
      <c r="R9898" t="str">
        <f>"21.361286"</f>
        <v>21.361286</v>
      </c>
      <c r="S9898" t="s">
        <v>26</v>
      </c>
    </row>
    <row r="9899" spans="1:19" x14ac:dyDescent="0.3">
      <c r="A9899" t="s">
        <v>13791</v>
      </c>
      <c r="B9899" t="s">
        <v>14950</v>
      </c>
      <c r="C9899" t="s">
        <v>15713</v>
      </c>
      <c r="D9899" t="s">
        <v>13792</v>
      </c>
      <c r="E9899" t="s">
        <v>13851</v>
      </c>
      <c r="F9899" t="s">
        <v>11666</v>
      </c>
      <c r="G9899" t="s">
        <v>15114</v>
      </c>
      <c r="H9899" t="s">
        <v>859</v>
      </c>
      <c r="I9899" t="s">
        <v>860</v>
      </c>
      <c r="J9899" t="str">
        <f>"9010543"</f>
        <v>9010543</v>
      </c>
      <c r="K9899">
        <v>2641039616</v>
      </c>
      <c r="L9899">
        <v>2641046328</v>
      </c>
      <c r="M9899" t="s">
        <v>15714</v>
      </c>
      <c r="N9899" t="s">
        <v>15715</v>
      </c>
      <c r="O9899" t="s">
        <v>15716</v>
      </c>
      <c r="P9899">
        <v>30100</v>
      </c>
      <c r="Q9899" t="str">
        <f>"38.649998"</f>
        <v>38.649998</v>
      </c>
      <c r="R9899" t="str">
        <f>"21.376713"</f>
        <v>21.376713</v>
      </c>
      <c r="S9899" t="s">
        <v>26</v>
      </c>
    </row>
    <row r="9900" spans="1:19" x14ac:dyDescent="0.3">
      <c r="A9900" t="s">
        <v>13791</v>
      </c>
      <c r="B9900" t="s">
        <v>14950</v>
      </c>
      <c r="C9900" t="s">
        <v>15725</v>
      </c>
      <c r="D9900" t="s">
        <v>13792</v>
      </c>
      <c r="E9900" t="s">
        <v>13793</v>
      </c>
      <c r="F9900" t="s">
        <v>13793</v>
      </c>
      <c r="G9900" t="s">
        <v>15717</v>
      </c>
      <c r="H9900" t="s">
        <v>859</v>
      </c>
      <c r="I9900" t="s">
        <v>860</v>
      </c>
      <c r="J9900" t="str">
        <f>"9010574"</f>
        <v>9010574</v>
      </c>
      <c r="K9900">
        <v>2631025426</v>
      </c>
      <c r="M9900" t="s">
        <v>15726</v>
      </c>
      <c r="N9900" t="s">
        <v>15717</v>
      </c>
      <c r="O9900" t="s">
        <v>15719</v>
      </c>
      <c r="P9900">
        <v>30200</v>
      </c>
      <c r="Q9900" t="str">
        <f>"38.384184"</f>
        <v>38.384184</v>
      </c>
      <c r="R9900" t="str">
        <f>"21.477596"</f>
        <v>21.477596</v>
      </c>
      <c r="S9900" t="s">
        <v>26</v>
      </c>
    </row>
    <row r="9901" spans="1:19" x14ac:dyDescent="0.3">
      <c r="A9901" t="s">
        <v>13791</v>
      </c>
      <c r="B9901" t="s">
        <v>14950</v>
      </c>
      <c r="C9901" t="s">
        <v>15727</v>
      </c>
      <c r="D9901" t="s">
        <v>13792</v>
      </c>
      <c r="E9901" t="s">
        <v>13793</v>
      </c>
      <c r="F9901" t="s">
        <v>13987</v>
      </c>
      <c r="G9901" t="s">
        <v>13987</v>
      </c>
      <c r="H9901" t="s">
        <v>859</v>
      </c>
      <c r="I9901" t="s">
        <v>860</v>
      </c>
      <c r="J9901" t="str">
        <f>"9010529"</f>
        <v>9010529</v>
      </c>
      <c r="K9901">
        <v>2632023216</v>
      </c>
      <c r="L9901">
        <v>2632023216</v>
      </c>
      <c r="M9901" t="s">
        <v>15728</v>
      </c>
      <c r="N9901" t="s">
        <v>15729</v>
      </c>
      <c r="O9901" t="s">
        <v>15187</v>
      </c>
      <c r="P9901">
        <v>30400</v>
      </c>
      <c r="Q9901" t="str">
        <f>"38.461782"</f>
        <v>38.461782</v>
      </c>
      <c r="R9901" t="str">
        <f>"21.364352"</f>
        <v>21.364352</v>
      </c>
      <c r="S9901" t="s">
        <v>26</v>
      </c>
    </row>
    <row r="9902" spans="1:19" x14ac:dyDescent="0.3">
      <c r="A9902" t="s">
        <v>13791</v>
      </c>
      <c r="B9902" t="s">
        <v>14950</v>
      </c>
      <c r="C9902" t="s">
        <v>15733</v>
      </c>
      <c r="D9902" t="s">
        <v>13792</v>
      </c>
      <c r="E9902" t="s">
        <v>13836</v>
      </c>
      <c r="F9902" t="s">
        <v>13837</v>
      </c>
      <c r="G9902" t="s">
        <v>14956</v>
      </c>
      <c r="H9902" t="s">
        <v>859</v>
      </c>
      <c r="I9902" t="s">
        <v>860</v>
      </c>
      <c r="J9902" t="str">
        <f>"9010285"</f>
        <v>9010285</v>
      </c>
      <c r="K9902">
        <v>2643081337</v>
      </c>
      <c r="M9902" t="s">
        <v>15734</v>
      </c>
      <c r="N9902" t="s">
        <v>14960</v>
      </c>
      <c r="O9902" t="s">
        <v>14960</v>
      </c>
      <c r="P9902">
        <v>30002</v>
      </c>
      <c r="Q9902" t="str">
        <f>"38.869436"</f>
        <v>38.869436</v>
      </c>
      <c r="R9902" t="str">
        <f>"20.803528"</f>
        <v>20.803528</v>
      </c>
      <c r="S9902" t="s">
        <v>26</v>
      </c>
    </row>
    <row r="9903" spans="1:19" x14ac:dyDescent="0.3">
      <c r="A9903" t="s">
        <v>13791</v>
      </c>
      <c r="B9903" t="s">
        <v>14950</v>
      </c>
      <c r="C9903" t="s">
        <v>15735</v>
      </c>
      <c r="D9903" t="s">
        <v>13792</v>
      </c>
      <c r="E9903" t="s">
        <v>13820</v>
      </c>
      <c r="F9903" t="s">
        <v>13821</v>
      </c>
      <c r="G9903" t="s">
        <v>13918</v>
      </c>
      <c r="H9903" t="s">
        <v>859</v>
      </c>
      <c r="I9903" t="s">
        <v>860</v>
      </c>
      <c r="J9903" t="str">
        <f>"9010482"</f>
        <v>9010482</v>
      </c>
      <c r="K9903">
        <v>2646081541</v>
      </c>
      <c r="L9903">
        <v>2646081541</v>
      </c>
      <c r="M9903" t="s">
        <v>15736</v>
      </c>
      <c r="N9903" t="s">
        <v>15262</v>
      </c>
      <c r="O9903" t="s">
        <v>13918</v>
      </c>
      <c r="P9903">
        <v>30019</v>
      </c>
      <c r="Q9903" t="str">
        <f>"38.670148"</f>
        <v>38.670148</v>
      </c>
      <c r="R9903" t="str">
        <f>"20.943861"</f>
        <v>20.943861</v>
      </c>
      <c r="S9903" t="s">
        <v>26</v>
      </c>
    </row>
    <row r="9904" spans="1:19" x14ac:dyDescent="0.3">
      <c r="A9904" t="s">
        <v>13791</v>
      </c>
      <c r="B9904" t="s">
        <v>14950</v>
      </c>
      <c r="C9904" t="s">
        <v>15741</v>
      </c>
      <c r="D9904" t="s">
        <v>13792</v>
      </c>
      <c r="E9904" t="s">
        <v>13851</v>
      </c>
      <c r="F9904" t="s">
        <v>14066</v>
      </c>
      <c r="G9904" t="s">
        <v>12047</v>
      </c>
      <c r="H9904" t="s">
        <v>859</v>
      </c>
      <c r="I9904" t="s">
        <v>860</v>
      </c>
      <c r="J9904" t="str">
        <f>"9010074"</f>
        <v>9010074</v>
      </c>
      <c r="K9904">
        <v>2641071309</v>
      </c>
      <c r="L9904">
        <v>2641071309</v>
      </c>
      <c r="M9904" t="s">
        <v>15742</v>
      </c>
      <c r="N9904" t="s">
        <v>12047</v>
      </c>
      <c r="O9904" t="s">
        <v>15743</v>
      </c>
      <c r="P9904">
        <v>30100</v>
      </c>
      <c r="Q9904" t="str">
        <f>"38.683694"</f>
        <v>38.683694</v>
      </c>
      <c r="R9904" t="str">
        <f>"21.266410"</f>
        <v>21.266410</v>
      </c>
      <c r="S9904" t="s">
        <v>26</v>
      </c>
    </row>
    <row r="9905" spans="1:19" x14ac:dyDescent="0.3">
      <c r="A9905" t="s">
        <v>13791</v>
      </c>
      <c r="B9905" t="s">
        <v>14950</v>
      </c>
      <c r="C9905" t="s">
        <v>15748</v>
      </c>
      <c r="D9905" t="s">
        <v>13792</v>
      </c>
      <c r="E9905" t="s">
        <v>13851</v>
      </c>
      <c r="F9905" t="s">
        <v>13851</v>
      </c>
      <c r="G9905" t="s">
        <v>13851</v>
      </c>
      <c r="H9905" t="s">
        <v>859</v>
      </c>
      <c r="I9905" t="s">
        <v>1102</v>
      </c>
      <c r="J9905" t="str">
        <f>"9010661"</f>
        <v>9010661</v>
      </c>
      <c r="K9905">
        <v>2641025666</v>
      </c>
      <c r="L9905">
        <v>2641025666</v>
      </c>
      <c r="M9905" t="s">
        <v>15749</v>
      </c>
      <c r="N9905" t="s">
        <v>13885</v>
      </c>
      <c r="O9905" t="s">
        <v>15175</v>
      </c>
      <c r="P9905">
        <v>30100</v>
      </c>
      <c r="Q9905" t="str">
        <f>"38.636985"</f>
        <v>38.636985</v>
      </c>
      <c r="R9905" t="str">
        <f>"21.417281"</f>
        <v>21.417281</v>
      </c>
      <c r="S9905" t="s">
        <v>26</v>
      </c>
    </row>
    <row r="9906" spans="1:19" x14ac:dyDescent="0.3">
      <c r="A9906" t="s">
        <v>13791</v>
      </c>
      <c r="B9906" t="s">
        <v>14950</v>
      </c>
      <c r="C9906" t="s">
        <v>15753</v>
      </c>
      <c r="D9906" t="s">
        <v>13792</v>
      </c>
      <c r="E9906" t="s">
        <v>13793</v>
      </c>
      <c r="F9906" t="s">
        <v>13793</v>
      </c>
      <c r="G9906" t="s">
        <v>3986</v>
      </c>
      <c r="H9906" t="s">
        <v>859</v>
      </c>
      <c r="I9906" t="s">
        <v>1102</v>
      </c>
      <c r="J9906" t="str">
        <f>"9521059"</f>
        <v>9521059</v>
      </c>
      <c r="K9906">
        <v>2631051114</v>
      </c>
      <c r="L9906">
        <v>2631051114</v>
      </c>
      <c r="M9906" t="s">
        <v>15754</v>
      </c>
      <c r="N9906" t="s">
        <v>3986</v>
      </c>
      <c r="O9906" t="s">
        <v>15127</v>
      </c>
      <c r="P9906">
        <v>30200</v>
      </c>
      <c r="Q9906" t="str">
        <f>"38.373121"</f>
        <v>38.373121</v>
      </c>
      <c r="R9906" t="str">
        <f>"21.427441"</f>
        <v>21.427441</v>
      </c>
      <c r="S9906" t="s">
        <v>26</v>
      </c>
    </row>
    <row r="9907" spans="1:19" x14ac:dyDescent="0.3">
      <c r="A9907" t="s">
        <v>13791</v>
      </c>
      <c r="B9907" t="s">
        <v>14950</v>
      </c>
      <c r="C9907" t="s">
        <v>15755</v>
      </c>
      <c r="D9907" t="s">
        <v>13792</v>
      </c>
      <c r="E9907" t="s">
        <v>13888</v>
      </c>
      <c r="F9907" t="s">
        <v>13889</v>
      </c>
      <c r="G9907" t="s">
        <v>13889</v>
      </c>
      <c r="H9907" t="s">
        <v>859</v>
      </c>
      <c r="I9907" t="s">
        <v>1102</v>
      </c>
      <c r="J9907" t="str">
        <f>"9521033"</f>
        <v>9521033</v>
      </c>
      <c r="K9907">
        <v>2634021622</v>
      </c>
      <c r="L9907">
        <v>2634021622</v>
      </c>
      <c r="M9907" t="s">
        <v>15756</v>
      </c>
      <c r="N9907" t="s">
        <v>13889</v>
      </c>
      <c r="O9907" t="s">
        <v>14031</v>
      </c>
      <c r="P9907">
        <v>30300</v>
      </c>
      <c r="Q9907" t="str">
        <f>"38.409728"</f>
        <v>38.409728</v>
      </c>
      <c r="R9907" t="str">
        <f>"21.850016"</f>
        <v>21.850016</v>
      </c>
      <c r="S9907" t="s">
        <v>26</v>
      </c>
    </row>
    <row r="9908" spans="1:19" x14ac:dyDescent="0.3">
      <c r="A9908" t="s">
        <v>13791</v>
      </c>
      <c r="B9908" t="s">
        <v>14950</v>
      </c>
      <c r="C9908" t="s">
        <v>15757</v>
      </c>
      <c r="D9908" t="s">
        <v>13792</v>
      </c>
      <c r="E9908" t="s">
        <v>8765</v>
      </c>
      <c r="F9908" t="s">
        <v>8765</v>
      </c>
      <c r="G9908" t="s">
        <v>15543</v>
      </c>
      <c r="H9908" t="s">
        <v>859</v>
      </c>
      <c r="I9908" t="s">
        <v>860</v>
      </c>
      <c r="J9908" t="str">
        <f>"9010566"</f>
        <v>9010566</v>
      </c>
      <c r="K9908">
        <v>2647031931</v>
      </c>
      <c r="L9908">
        <v>2647031931</v>
      </c>
      <c r="M9908" t="s">
        <v>15758</v>
      </c>
      <c r="N9908" t="s">
        <v>15543</v>
      </c>
      <c r="O9908" t="s">
        <v>15546</v>
      </c>
      <c r="P9908">
        <v>30500</v>
      </c>
      <c r="Q9908" t="str">
        <f>"38.866845"</f>
        <v>38.866845</v>
      </c>
      <c r="R9908" t="str">
        <f>"21.288185"</f>
        <v>21.288185</v>
      </c>
      <c r="S9908" t="s">
        <v>26</v>
      </c>
    </row>
    <row r="9909" spans="1:19" x14ac:dyDescent="0.3">
      <c r="A9909" t="s">
        <v>13791</v>
      </c>
      <c r="B9909" t="s">
        <v>14950</v>
      </c>
      <c r="C9909" t="s">
        <v>15759</v>
      </c>
      <c r="D9909" t="s">
        <v>13792</v>
      </c>
      <c r="E9909" t="s">
        <v>13851</v>
      </c>
      <c r="F9909" t="s">
        <v>13851</v>
      </c>
      <c r="G9909" t="s">
        <v>13851</v>
      </c>
      <c r="H9909" t="s">
        <v>859</v>
      </c>
      <c r="I9909" t="s">
        <v>860</v>
      </c>
      <c r="J9909" t="str">
        <f>"9521634"</f>
        <v>9521634</v>
      </c>
      <c r="K9909">
        <v>2641059973</v>
      </c>
      <c r="L9909">
        <v>2641059973</v>
      </c>
      <c r="M9909" t="s">
        <v>15760</v>
      </c>
      <c r="N9909" t="s">
        <v>13885</v>
      </c>
      <c r="O9909" t="s">
        <v>15761</v>
      </c>
      <c r="P9909">
        <v>30100</v>
      </c>
      <c r="Q9909" t="str">
        <f>"38.613493"</f>
        <v>38.613493</v>
      </c>
      <c r="R9909" t="str">
        <f>"21.418571"</f>
        <v>21.418571</v>
      </c>
      <c r="S9909" t="s">
        <v>26</v>
      </c>
    </row>
    <row r="9910" spans="1:19" x14ac:dyDescent="0.3">
      <c r="A9910" t="s">
        <v>13791</v>
      </c>
      <c r="B9910" t="s">
        <v>14950</v>
      </c>
      <c r="C9910" t="s">
        <v>15762</v>
      </c>
      <c r="D9910" t="s">
        <v>13792</v>
      </c>
      <c r="E9910" t="s">
        <v>13836</v>
      </c>
      <c r="F9910" t="s">
        <v>13837</v>
      </c>
      <c r="G9910" t="s">
        <v>15683</v>
      </c>
      <c r="H9910" t="s">
        <v>859</v>
      </c>
      <c r="I9910" t="s">
        <v>860</v>
      </c>
      <c r="J9910" t="str">
        <f>"9521687"</f>
        <v>9521687</v>
      </c>
      <c r="K9910">
        <v>2643091226</v>
      </c>
      <c r="L9910">
        <v>2643091498</v>
      </c>
      <c r="M9910" t="s">
        <v>15763</v>
      </c>
      <c r="N9910" t="s">
        <v>15687</v>
      </c>
      <c r="O9910" t="s">
        <v>15764</v>
      </c>
      <c r="P9910">
        <v>30002</v>
      </c>
      <c r="Q9910" t="str">
        <f>"38.881437"</f>
        <v>38.881437</v>
      </c>
      <c r="R9910" t="str">
        <f>"21.020583"</f>
        <v>21.020583</v>
      </c>
      <c r="S9910" t="s">
        <v>26</v>
      </c>
    </row>
    <row r="9911" spans="1:19" x14ac:dyDescent="0.3">
      <c r="A9911" t="s">
        <v>13791</v>
      </c>
      <c r="B9911" t="s">
        <v>14950</v>
      </c>
      <c r="C9911" t="s">
        <v>15765</v>
      </c>
      <c r="D9911" t="s">
        <v>13792</v>
      </c>
      <c r="E9911" t="s">
        <v>13851</v>
      </c>
      <c r="F9911" t="s">
        <v>14075</v>
      </c>
      <c r="G9911" t="s">
        <v>15297</v>
      </c>
      <c r="H9911" t="s">
        <v>859</v>
      </c>
      <c r="I9911" t="s">
        <v>860</v>
      </c>
      <c r="J9911" t="str">
        <f>"9521688"</f>
        <v>9521688</v>
      </c>
      <c r="K9911">
        <v>2641059725</v>
      </c>
      <c r="O9911" t="s">
        <v>15766</v>
      </c>
      <c r="Q9911" t="str">
        <f>"38.767663"</f>
        <v>38.767663</v>
      </c>
      <c r="R9911" t="str">
        <f>"21.483120"</f>
        <v>21.483120</v>
      </c>
      <c r="S9911" t="s">
        <v>26</v>
      </c>
    </row>
    <row r="9912" spans="1:19" x14ac:dyDescent="0.3">
      <c r="A9912" t="s">
        <v>13791</v>
      </c>
      <c r="B9912" t="s">
        <v>14950</v>
      </c>
      <c r="C9912" t="s">
        <v>15767</v>
      </c>
      <c r="D9912" t="s">
        <v>13792</v>
      </c>
      <c r="E9912" t="s">
        <v>13851</v>
      </c>
      <c r="F9912" t="s">
        <v>15075</v>
      </c>
      <c r="G9912" t="s">
        <v>15076</v>
      </c>
      <c r="H9912" t="s">
        <v>859</v>
      </c>
      <c r="I9912" t="s">
        <v>860</v>
      </c>
      <c r="J9912" t="str">
        <f>"9521718"</f>
        <v>9521718</v>
      </c>
      <c r="K9912">
        <v>2641042358</v>
      </c>
      <c r="L9912">
        <v>2641042358</v>
      </c>
      <c r="M9912" t="s">
        <v>15768</v>
      </c>
      <c r="O9912" t="s">
        <v>15079</v>
      </c>
      <c r="P9912">
        <v>30100</v>
      </c>
      <c r="Q9912" t="str">
        <f>"38.682451"</f>
        <v>38.682451</v>
      </c>
      <c r="R9912" t="str">
        <f>"21.475135"</f>
        <v>21.475135</v>
      </c>
      <c r="S9912" t="s">
        <v>26</v>
      </c>
    </row>
    <row r="9913" spans="1:19" x14ac:dyDescent="0.3">
      <c r="A9913" t="s">
        <v>13791</v>
      </c>
      <c r="B9913" t="s">
        <v>14950</v>
      </c>
      <c r="C9913" t="s">
        <v>15769</v>
      </c>
      <c r="D9913" t="s">
        <v>13792</v>
      </c>
      <c r="E9913" t="s">
        <v>13836</v>
      </c>
      <c r="F9913" t="s">
        <v>13903</v>
      </c>
      <c r="G9913" t="s">
        <v>15216</v>
      </c>
      <c r="H9913" t="s">
        <v>859</v>
      </c>
      <c r="I9913" t="s">
        <v>860</v>
      </c>
      <c r="J9913" t="str">
        <f>"9521719"</f>
        <v>9521719</v>
      </c>
      <c r="K9913">
        <v>2646061260</v>
      </c>
      <c r="M9913" t="s">
        <v>15770</v>
      </c>
      <c r="N9913" t="s">
        <v>15219</v>
      </c>
      <c r="O9913" t="s">
        <v>15771</v>
      </c>
      <c r="P9913">
        <v>30004</v>
      </c>
      <c r="Q9913" t="str">
        <f>"38.824991"</f>
        <v>38.824991</v>
      </c>
      <c r="R9913" t="str">
        <f>"21.074594"</f>
        <v>21.074594</v>
      </c>
      <c r="S9913" t="s">
        <v>26</v>
      </c>
    </row>
    <row r="9914" spans="1:19" x14ac:dyDescent="0.3">
      <c r="A9914" t="s">
        <v>13791</v>
      </c>
      <c r="B9914" t="s">
        <v>14950</v>
      </c>
      <c r="C9914" t="s">
        <v>15772</v>
      </c>
      <c r="D9914" t="s">
        <v>13792</v>
      </c>
      <c r="E9914" t="s">
        <v>13836</v>
      </c>
      <c r="F9914" t="s">
        <v>13837</v>
      </c>
      <c r="G9914" t="s">
        <v>13838</v>
      </c>
      <c r="H9914" t="s">
        <v>859</v>
      </c>
      <c r="I9914" t="s">
        <v>1102</v>
      </c>
      <c r="J9914" t="str">
        <f>"9011001"</f>
        <v>9011001</v>
      </c>
      <c r="K9914">
        <v>2643022051</v>
      </c>
      <c r="L9914">
        <v>2643022051</v>
      </c>
      <c r="M9914" t="s">
        <v>15773</v>
      </c>
      <c r="N9914" t="s">
        <v>13842</v>
      </c>
      <c r="O9914" t="s">
        <v>15774</v>
      </c>
      <c r="P9914">
        <v>30002</v>
      </c>
      <c r="Q9914" t="str">
        <f>"38.918954"</f>
        <v>38.918954</v>
      </c>
      <c r="R9914" t="str">
        <f>"20.890398"</f>
        <v>20.890398</v>
      </c>
      <c r="S9914" t="s">
        <v>26</v>
      </c>
    </row>
    <row r="9915" spans="1:19" x14ac:dyDescent="0.3">
      <c r="A9915" t="s">
        <v>13791</v>
      </c>
      <c r="B9915" t="s">
        <v>15775</v>
      </c>
      <c r="C9915" t="s">
        <v>15776</v>
      </c>
      <c r="D9915" t="s">
        <v>13798</v>
      </c>
      <c r="E9915" t="s">
        <v>14223</v>
      </c>
      <c r="F9915" t="s">
        <v>14546</v>
      </c>
      <c r="G9915" t="s">
        <v>14547</v>
      </c>
      <c r="H9915" t="s">
        <v>859</v>
      </c>
      <c r="I9915" t="s">
        <v>860</v>
      </c>
      <c r="J9915" t="str">
        <f>"9060558"</f>
        <v>9060558</v>
      </c>
      <c r="K9915">
        <v>2692051313</v>
      </c>
      <c r="L9915">
        <v>2692051313</v>
      </c>
      <c r="M9915" t="s">
        <v>15777</v>
      </c>
      <c r="N9915" t="s">
        <v>15778</v>
      </c>
      <c r="O9915" t="s">
        <v>15779</v>
      </c>
      <c r="P9915">
        <v>25016</v>
      </c>
      <c r="Q9915" t="str">
        <f>"37.880782"</f>
        <v>37.880782</v>
      </c>
      <c r="R9915" t="str">
        <f>"21.984756"</f>
        <v>21.984756</v>
      </c>
      <c r="S9915" t="s">
        <v>57</v>
      </c>
    </row>
    <row r="9916" spans="1:19" x14ac:dyDescent="0.3">
      <c r="A9916" t="s">
        <v>13791</v>
      </c>
      <c r="B9916" t="s">
        <v>15775</v>
      </c>
      <c r="C9916" t="s">
        <v>15780</v>
      </c>
      <c r="D9916" t="s">
        <v>13798</v>
      </c>
      <c r="E9916" t="s">
        <v>13799</v>
      </c>
      <c r="F9916" t="s">
        <v>14276</v>
      </c>
      <c r="G9916" t="s">
        <v>14541</v>
      </c>
      <c r="H9916" t="s">
        <v>859</v>
      </c>
      <c r="I9916" t="s">
        <v>860</v>
      </c>
      <c r="J9916" t="str">
        <f>"9060534"</f>
        <v>9060534</v>
      </c>
      <c r="K9916">
        <v>2610992292</v>
      </c>
      <c r="L9916">
        <v>2610992292</v>
      </c>
      <c r="M9916" t="s">
        <v>15781</v>
      </c>
      <c r="N9916" t="s">
        <v>15782</v>
      </c>
      <c r="O9916" t="s">
        <v>15783</v>
      </c>
      <c r="P9916">
        <v>26504</v>
      </c>
      <c r="Q9916" t="str">
        <f>"38.309400"</f>
        <v>38.309400</v>
      </c>
      <c r="R9916" t="str">
        <f>"21.807487"</f>
        <v>21.807487</v>
      </c>
      <c r="S9916" t="s">
        <v>26</v>
      </c>
    </row>
    <row r="9917" spans="1:19" x14ac:dyDescent="0.3">
      <c r="A9917" t="s">
        <v>13791</v>
      </c>
      <c r="B9917" t="s">
        <v>15775</v>
      </c>
      <c r="C9917" t="s">
        <v>15786</v>
      </c>
      <c r="D9917" t="s">
        <v>13798</v>
      </c>
      <c r="E9917" t="s">
        <v>13799</v>
      </c>
      <c r="F9917" t="s">
        <v>13799</v>
      </c>
      <c r="G9917" t="s">
        <v>14241</v>
      </c>
      <c r="H9917" t="s">
        <v>859</v>
      </c>
      <c r="I9917" t="s">
        <v>860</v>
      </c>
      <c r="J9917" t="str">
        <f>"9060407"</f>
        <v>9060407</v>
      </c>
      <c r="K9917">
        <v>2610643790</v>
      </c>
      <c r="L9917">
        <v>2610643790</v>
      </c>
      <c r="M9917" t="s">
        <v>15787</v>
      </c>
      <c r="N9917" t="s">
        <v>14309</v>
      </c>
      <c r="O9917" t="s">
        <v>15788</v>
      </c>
      <c r="P9917">
        <v>26334</v>
      </c>
      <c r="Q9917" t="str">
        <f>"38.211116"</f>
        <v>38.211116</v>
      </c>
      <c r="R9917" t="str">
        <f>"21.754464"</f>
        <v>21.754464</v>
      </c>
      <c r="S9917" t="s">
        <v>26</v>
      </c>
    </row>
    <row r="9918" spans="1:19" x14ac:dyDescent="0.3">
      <c r="A9918" t="s">
        <v>13791</v>
      </c>
      <c r="B9918" t="s">
        <v>15775</v>
      </c>
      <c r="C9918" t="s">
        <v>15811</v>
      </c>
      <c r="D9918" t="s">
        <v>13798</v>
      </c>
      <c r="E9918" t="s">
        <v>13799</v>
      </c>
      <c r="F9918" t="s">
        <v>13799</v>
      </c>
      <c r="G9918" t="s">
        <v>13800</v>
      </c>
      <c r="H9918" t="s">
        <v>859</v>
      </c>
      <c r="I9918" t="s">
        <v>860</v>
      </c>
      <c r="J9918" t="str">
        <f>"9060464"</f>
        <v>9060464</v>
      </c>
      <c r="K9918">
        <v>2610429965</v>
      </c>
      <c r="L9918">
        <v>2610429965</v>
      </c>
      <c r="M9918" t="s">
        <v>15812</v>
      </c>
      <c r="N9918" t="s">
        <v>14309</v>
      </c>
      <c r="O9918" t="s">
        <v>15813</v>
      </c>
      <c r="P9918">
        <v>26443</v>
      </c>
      <c r="Q9918" t="str">
        <f>"38.262569"</f>
        <v>38.262569</v>
      </c>
      <c r="R9918" t="str">
        <f>"21.753888"</f>
        <v>21.753888</v>
      </c>
      <c r="S9918" t="s">
        <v>26</v>
      </c>
    </row>
    <row r="9919" spans="1:19" x14ac:dyDescent="0.3">
      <c r="A9919" t="s">
        <v>13791</v>
      </c>
      <c r="B9919" t="s">
        <v>15775</v>
      </c>
      <c r="C9919" t="s">
        <v>15821</v>
      </c>
      <c r="D9919" t="s">
        <v>13798</v>
      </c>
      <c r="E9919" t="s">
        <v>13799</v>
      </c>
      <c r="F9919" t="s">
        <v>13799</v>
      </c>
      <c r="G9919" t="s">
        <v>14241</v>
      </c>
      <c r="H9919" t="s">
        <v>859</v>
      </c>
      <c r="I9919" t="s">
        <v>860</v>
      </c>
      <c r="J9919" t="str">
        <f>"9060465"</f>
        <v>9060465</v>
      </c>
      <c r="K9919">
        <v>2610623748</v>
      </c>
      <c r="L9919">
        <v>2610623748</v>
      </c>
      <c r="M9919" t="s">
        <v>15822</v>
      </c>
      <c r="N9919" t="s">
        <v>14309</v>
      </c>
      <c r="O9919" t="s">
        <v>15823</v>
      </c>
      <c r="P9919">
        <v>26331</v>
      </c>
      <c r="Q9919" t="str">
        <f>"38.232289"</f>
        <v>38.232289</v>
      </c>
      <c r="R9919" t="str">
        <f>"21.764215"</f>
        <v>21.764215</v>
      </c>
      <c r="S9919" t="s">
        <v>26</v>
      </c>
    </row>
    <row r="9920" spans="1:19" x14ac:dyDescent="0.3">
      <c r="A9920" t="s">
        <v>13791</v>
      </c>
      <c r="B9920" t="s">
        <v>15775</v>
      </c>
      <c r="C9920" t="s">
        <v>15837</v>
      </c>
      <c r="D9920" t="s">
        <v>13798</v>
      </c>
      <c r="E9920" t="s">
        <v>14200</v>
      </c>
      <c r="F9920" t="s">
        <v>14201</v>
      </c>
      <c r="G9920" t="s">
        <v>15836</v>
      </c>
      <c r="H9920" t="s">
        <v>859</v>
      </c>
      <c r="I9920" t="s">
        <v>860</v>
      </c>
      <c r="J9920" t="str">
        <f>"9060111"</f>
        <v>9060111</v>
      </c>
      <c r="K9920">
        <v>2693051424</v>
      </c>
      <c r="L9920">
        <v>2693051424</v>
      </c>
      <c r="M9920" t="s">
        <v>15838</v>
      </c>
      <c r="N9920" t="s">
        <v>15839</v>
      </c>
      <c r="O9920" t="s">
        <v>15840</v>
      </c>
      <c r="P9920">
        <v>25200</v>
      </c>
      <c r="Q9920" t="str">
        <f>"38.167785"</f>
        <v>38.167785</v>
      </c>
      <c r="R9920" t="str">
        <f>"21.494269"</f>
        <v>21.494269</v>
      </c>
      <c r="S9920" t="s">
        <v>26</v>
      </c>
    </row>
    <row r="9921" spans="1:19" x14ac:dyDescent="0.3">
      <c r="A9921" t="s">
        <v>13791</v>
      </c>
      <c r="B9921" t="s">
        <v>15775</v>
      </c>
      <c r="C9921" t="s">
        <v>15844</v>
      </c>
      <c r="D9921" t="s">
        <v>13798</v>
      </c>
      <c r="E9921" t="s">
        <v>13799</v>
      </c>
      <c r="F9921" t="s">
        <v>14276</v>
      </c>
      <c r="G9921" t="s">
        <v>15843</v>
      </c>
      <c r="H9921" t="s">
        <v>859</v>
      </c>
      <c r="I9921" t="s">
        <v>860</v>
      </c>
      <c r="J9921" t="str">
        <f>"9060505"</f>
        <v>9060505</v>
      </c>
      <c r="K9921">
        <v>2610936128</v>
      </c>
      <c r="L9921">
        <v>2610936262</v>
      </c>
      <c r="M9921" t="s">
        <v>15845</v>
      </c>
      <c r="N9921" t="s">
        <v>15843</v>
      </c>
      <c r="O9921" t="s">
        <v>15846</v>
      </c>
      <c r="P9921">
        <v>26504</v>
      </c>
      <c r="Q9921" t="str">
        <f>"38.271103"</f>
        <v>38.271103</v>
      </c>
      <c r="R9921" t="str">
        <f>"21.834969"</f>
        <v>21.834969</v>
      </c>
      <c r="S9921" t="s">
        <v>26</v>
      </c>
    </row>
    <row r="9922" spans="1:19" x14ac:dyDescent="0.3">
      <c r="A9922" t="s">
        <v>13791</v>
      </c>
      <c r="B9922" t="s">
        <v>15775</v>
      </c>
      <c r="C9922" t="s">
        <v>15857</v>
      </c>
      <c r="D9922" t="s">
        <v>13798</v>
      </c>
      <c r="E9922" t="s">
        <v>13799</v>
      </c>
      <c r="F9922" t="s">
        <v>13799</v>
      </c>
      <c r="G9922" t="s">
        <v>13800</v>
      </c>
      <c r="H9922" t="s">
        <v>859</v>
      </c>
      <c r="I9922" t="s">
        <v>860</v>
      </c>
      <c r="J9922" t="str">
        <f>"9060394"</f>
        <v>9060394</v>
      </c>
      <c r="K9922">
        <v>2610424504</v>
      </c>
      <c r="L9922">
        <v>2610424504</v>
      </c>
      <c r="M9922" t="s">
        <v>15858</v>
      </c>
      <c r="N9922" t="s">
        <v>14309</v>
      </c>
      <c r="O9922" t="s">
        <v>15859</v>
      </c>
      <c r="P9922">
        <v>26442</v>
      </c>
      <c r="Q9922" t="str">
        <f>"38.266657"</f>
        <v>38.266657</v>
      </c>
      <c r="R9922" t="str">
        <f>"21.750564"</f>
        <v>21.750564</v>
      </c>
      <c r="S9922" t="s">
        <v>26</v>
      </c>
    </row>
    <row r="9923" spans="1:19" x14ac:dyDescent="0.3">
      <c r="A9923" t="s">
        <v>13791</v>
      </c>
      <c r="B9923" t="s">
        <v>15775</v>
      </c>
      <c r="C9923" t="s">
        <v>15868</v>
      </c>
      <c r="D9923" t="s">
        <v>13798</v>
      </c>
      <c r="E9923" t="s">
        <v>13799</v>
      </c>
      <c r="F9923" t="s">
        <v>13799</v>
      </c>
      <c r="G9923" t="s">
        <v>13809</v>
      </c>
      <c r="H9923" t="s">
        <v>859</v>
      </c>
      <c r="I9923" t="s">
        <v>860</v>
      </c>
      <c r="J9923" t="str">
        <f>"9060525"</f>
        <v>9060525</v>
      </c>
      <c r="K9923">
        <v>2610334150</v>
      </c>
      <c r="M9923" t="s">
        <v>15869</v>
      </c>
      <c r="N9923" t="s">
        <v>14309</v>
      </c>
      <c r="O9923" t="s">
        <v>15870</v>
      </c>
      <c r="P9923">
        <v>26224</v>
      </c>
      <c r="Q9923" t="str">
        <f>"38.238216"</f>
        <v>38.238216</v>
      </c>
      <c r="R9923" t="str">
        <f>"21.733903"</f>
        <v>21.733903</v>
      </c>
      <c r="S9923" t="s">
        <v>26</v>
      </c>
    </row>
    <row r="9924" spans="1:19" x14ac:dyDescent="0.3">
      <c r="A9924" t="s">
        <v>13791</v>
      </c>
      <c r="B9924" t="s">
        <v>15775</v>
      </c>
      <c r="C9924" t="s">
        <v>15881</v>
      </c>
      <c r="D9924" t="s">
        <v>13798</v>
      </c>
      <c r="E9924" t="s">
        <v>13799</v>
      </c>
      <c r="F9924" t="s">
        <v>14349</v>
      </c>
      <c r="G9924" t="s">
        <v>15880</v>
      </c>
      <c r="H9924" t="s">
        <v>859</v>
      </c>
      <c r="I9924" t="s">
        <v>860</v>
      </c>
      <c r="J9924" t="str">
        <f>"9060556"</f>
        <v>9060556</v>
      </c>
      <c r="K9924">
        <v>2610523666</v>
      </c>
      <c r="L9924">
        <v>2610521491</v>
      </c>
      <c r="M9924" t="s">
        <v>15882</v>
      </c>
      <c r="O9924" t="s">
        <v>15883</v>
      </c>
      <c r="P9924">
        <v>26500</v>
      </c>
      <c r="Q9924" t="str">
        <f>"38.183884"</f>
        <v>38.183884</v>
      </c>
      <c r="R9924" t="str">
        <f>"21.749077"</f>
        <v>21.749077</v>
      </c>
      <c r="S9924" t="s">
        <v>26</v>
      </c>
    </row>
    <row r="9925" spans="1:19" x14ac:dyDescent="0.3">
      <c r="A9925" t="s">
        <v>13791</v>
      </c>
      <c r="B9925" t="s">
        <v>15775</v>
      </c>
      <c r="C9925" t="s">
        <v>15900</v>
      </c>
      <c r="D9925" t="s">
        <v>13798</v>
      </c>
      <c r="E9925" t="s">
        <v>13799</v>
      </c>
      <c r="F9925" t="s">
        <v>13799</v>
      </c>
      <c r="G9925" t="s">
        <v>13809</v>
      </c>
      <c r="H9925" t="s">
        <v>859</v>
      </c>
      <c r="I9925" t="s">
        <v>860</v>
      </c>
      <c r="J9925" t="str">
        <f>"9060387"</f>
        <v>9060387</v>
      </c>
      <c r="K9925">
        <v>2610437656</v>
      </c>
      <c r="L9925">
        <v>2610437656</v>
      </c>
      <c r="M9925" t="s">
        <v>15901</v>
      </c>
      <c r="N9925" t="s">
        <v>14309</v>
      </c>
      <c r="O9925" t="s">
        <v>15902</v>
      </c>
      <c r="P9925">
        <v>26441</v>
      </c>
      <c r="Q9925" t="str">
        <f>"38.260631"</f>
        <v>38.260631</v>
      </c>
      <c r="R9925" t="str">
        <f>"21.740922"</f>
        <v>21.740922</v>
      </c>
      <c r="S9925" t="s">
        <v>26</v>
      </c>
    </row>
    <row r="9926" spans="1:19" x14ac:dyDescent="0.3">
      <c r="A9926" t="s">
        <v>13791</v>
      </c>
      <c r="B9926" t="s">
        <v>15775</v>
      </c>
      <c r="C9926" t="s">
        <v>15904</v>
      </c>
      <c r="D9926" t="s">
        <v>13798</v>
      </c>
      <c r="E9926" t="s">
        <v>14181</v>
      </c>
      <c r="F9926" t="s">
        <v>14317</v>
      </c>
      <c r="G9926" t="s">
        <v>14317</v>
      </c>
      <c r="H9926" t="s">
        <v>859</v>
      </c>
      <c r="I9926" t="s">
        <v>860</v>
      </c>
      <c r="J9926" t="str">
        <f>"9060418"</f>
        <v>9060418</v>
      </c>
      <c r="K9926">
        <v>2691041606</v>
      </c>
      <c r="M9926" t="s">
        <v>15905</v>
      </c>
      <c r="N9926" t="s">
        <v>14317</v>
      </c>
      <c r="O9926" t="s">
        <v>14321</v>
      </c>
      <c r="P9926">
        <v>25003</v>
      </c>
      <c r="Q9926" t="str">
        <f>"38.194738"</f>
        <v>38.194738</v>
      </c>
      <c r="R9926" t="str">
        <f>"22.200113"</f>
        <v>22.200113</v>
      </c>
      <c r="S9926" t="s">
        <v>26</v>
      </c>
    </row>
    <row r="9927" spans="1:19" x14ac:dyDescent="0.3">
      <c r="A9927" t="s">
        <v>13791</v>
      </c>
      <c r="B9927" t="s">
        <v>15775</v>
      </c>
      <c r="C9927" t="s">
        <v>15906</v>
      </c>
      <c r="D9927" t="s">
        <v>13798</v>
      </c>
      <c r="E9927" t="s">
        <v>13799</v>
      </c>
      <c r="F9927" t="s">
        <v>13799</v>
      </c>
      <c r="G9927" t="s">
        <v>14236</v>
      </c>
      <c r="H9927" t="s">
        <v>859</v>
      </c>
      <c r="I9927" t="s">
        <v>860</v>
      </c>
      <c r="J9927" t="str">
        <f>"9060300"</f>
        <v>9060300</v>
      </c>
      <c r="K9927">
        <v>2610322868</v>
      </c>
      <c r="L9927">
        <v>2610322068</v>
      </c>
      <c r="M9927" t="s">
        <v>15907</v>
      </c>
      <c r="N9927" t="s">
        <v>14309</v>
      </c>
      <c r="O9927" t="s">
        <v>15908</v>
      </c>
      <c r="P9927">
        <v>26332</v>
      </c>
      <c r="Q9927" t="str">
        <f>"38.228682"</f>
        <v>38.228682</v>
      </c>
      <c r="R9927" t="str">
        <f>"21.736456"</f>
        <v>21.736456</v>
      </c>
      <c r="S9927" t="s">
        <v>26</v>
      </c>
    </row>
    <row r="9928" spans="1:19" x14ac:dyDescent="0.3">
      <c r="A9928" t="s">
        <v>13791</v>
      </c>
      <c r="B9928" t="s">
        <v>15775</v>
      </c>
      <c r="C9928" t="s">
        <v>15909</v>
      </c>
      <c r="D9928" t="s">
        <v>13798</v>
      </c>
      <c r="E9928" t="s">
        <v>14181</v>
      </c>
      <c r="F9928" t="s">
        <v>14381</v>
      </c>
      <c r="G9928" t="s">
        <v>14381</v>
      </c>
      <c r="H9928" t="s">
        <v>859</v>
      </c>
      <c r="I9928" t="s">
        <v>860</v>
      </c>
      <c r="J9928" t="str">
        <f>"9060472"</f>
        <v>9060472</v>
      </c>
      <c r="K9928">
        <v>2696032092</v>
      </c>
      <c r="L9928">
        <v>2696032092</v>
      </c>
      <c r="M9928" t="s">
        <v>15910</v>
      </c>
      <c r="N9928" t="s">
        <v>14381</v>
      </c>
      <c r="O9928" t="s">
        <v>15911</v>
      </c>
      <c r="P9928">
        <v>25010</v>
      </c>
      <c r="Q9928" t="str">
        <f>"38.143850"</f>
        <v>38.143850</v>
      </c>
      <c r="R9928" t="str">
        <f>"22.355157"</f>
        <v>22.355157</v>
      </c>
      <c r="S9928" t="s">
        <v>26</v>
      </c>
    </row>
    <row r="9929" spans="1:19" x14ac:dyDescent="0.3">
      <c r="A9929" t="s">
        <v>13791</v>
      </c>
      <c r="B9929" t="s">
        <v>15775</v>
      </c>
      <c r="C9929" t="s">
        <v>15924</v>
      </c>
      <c r="D9929" t="s">
        <v>13798</v>
      </c>
      <c r="E9929" t="s">
        <v>13799</v>
      </c>
      <c r="F9929" t="s">
        <v>13799</v>
      </c>
      <c r="G9929" t="s">
        <v>14241</v>
      </c>
      <c r="H9929" t="s">
        <v>859</v>
      </c>
      <c r="I9929" t="s">
        <v>860</v>
      </c>
      <c r="J9929" t="str">
        <f>"9060302"</f>
        <v>9060302</v>
      </c>
      <c r="K9929">
        <v>2610641096</v>
      </c>
      <c r="L9929">
        <v>2610641096</v>
      </c>
      <c r="M9929" t="s">
        <v>15925</v>
      </c>
      <c r="N9929" t="s">
        <v>14309</v>
      </c>
      <c r="O9929" t="s">
        <v>15926</v>
      </c>
      <c r="P9929">
        <v>26335</v>
      </c>
      <c r="Q9929" t="str">
        <f>"38.225789"</f>
        <v>38.225789</v>
      </c>
      <c r="R9929" t="str">
        <f>"21.761971"</f>
        <v>21.761971</v>
      </c>
      <c r="S9929" t="s">
        <v>26</v>
      </c>
    </row>
    <row r="9930" spans="1:19" x14ac:dyDescent="0.3">
      <c r="A9930" t="s">
        <v>13791</v>
      </c>
      <c r="B9930" t="s">
        <v>15775</v>
      </c>
      <c r="C9930" t="s">
        <v>15927</v>
      </c>
      <c r="D9930" t="s">
        <v>13798</v>
      </c>
      <c r="E9930" t="s">
        <v>13799</v>
      </c>
      <c r="F9930" t="s">
        <v>13799</v>
      </c>
      <c r="G9930" t="s">
        <v>13809</v>
      </c>
      <c r="H9930" t="s">
        <v>859</v>
      </c>
      <c r="I9930" t="s">
        <v>860</v>
      </c>
      <c r="J9930" t="str">
        <f>"9060298"</f>
        <v>9060298</v>
      </c>
      <c r="K9930">
        <v>2610276508</v>
      </c>
      <c r="L9930">
        <v>2610276508</v>
      </c>
      <c r="M9930" t="s">
        <v>15928</v>
      </c>
      <c r="N9930" t="s">
        <v>14309</v>
      </c>
      <c r="O9930" t="s">
        <v>15929</v>
      </c>
      <c r="P9930">
        <v>26331</v>
      </c>
      <c r="Q9930" t="str">
        <f>"38.240171"</f>
        <v>38.240171</v>
      </c>
      <c r="R9930" t="str">
        <f>"21.744650"</f>
        <v>21.744650</v>
      </c>
      <c r="S9930" t="s">
        <v>26</v>
      </c>
    </row>
    <row r="9931" spans="1:19" x14ac:dyDescent="0.3">
      <c r="A9931" t="s">
        <v>13791</v>
      </c>
      <c r="B9931" t="s">
        <v>15775</v>
      </c>
      <c r="C9931" t="s">
        <v>15945</v>
      </c>
      <c r="D9931" t="s">
        <v>13798</v>
      </c>
      <c r="E9931" t="s">
        <v>13799</v>
      </c>
      <c r="F9931" t="s">
        <v>14276</v>
      </c>
      <c r="G9931" t="s">
        <v>15944</v>
      </c>
      <c r="H9931" t="s">
        <v>859</v>
      </c>
      <c r="I9931" t="s">
        <v>860</v>
      </c>
      <c r="J9931" t="str">
        <f>"9060544"</f>
        <v>9060544</v>
      </c>
      <c r="K9931">
        <v>2610931021</v>
      </c>
      <c r="M9931" t="s">
        <v>15946</v>
      </c>
      <c r="N9931" t="s">
        <v>15947</v>
      </c>
      <c r="O9931" t="s">
        <v>15948</v>
      </c>
      <c r="P9931">
        <v>26504</v>
      </c>
      <c r="Q9931" t="str">
        <f>"38.323859"</f>
        <v>38.323859</v>
      </c>
      <c r="R9931" t="str">
        <f>"21.847768"</f>
        <v>21.847768</v>
      </c>
      <c r="S9931" t="s">
        <v>26</v>
      </c>
    </row>
    <row r="9932" spans="1:19" x14ac:dyDescent="0.3">
      <c r="A9932" t="s">
        <v>13791</v>
      </c>
      <c r="B9932" t="s">
        <v>15775</v>
      </c>
      <c r="C9932" t="s">
        <v>15954</v>
      </c>
      <c r="D9932" t="s">
        <v>13798</v>
      </c>
      <c r="E9932" t="s">
        <v>14200</v>
      </c>
      <c r="F9932" t="s">
        <v>2699</v>
      </c>
      <c r="G9932" t="s">
        <v>14291</v>
      </c>
      <c r="H9932" t="s">
        <v>859</v>
      </c>
      <c r="I9932" t="s">
        <v>860</v>
      </c>
      <c r="J9932" t="str">
        <f>"9060409"</f>
        <v>9060409</v>
      </c>
      <c r="K9932">
        <v>2693024389</v>
      </c>
      <c r="L9932">
        <v>2693024389</v>
      </c>
      <c r="M9932" t="s">
        <v>15955</v>
      </c>
      <c r="N9932" t="s">
        <v>15956</v>
      </c>
      <c r="O9932" t="s">
        <v>15957</v>
      </c>
      <c r="P9932">
        <v>25200</v>
      </c>
      <c r="Q9932" t="str">
        <f>"38.145392"</f>
        <v>38.145392</v>
      </c>
      <c r="R9932" t="str">
        <f>"21.547084"</f>
        <v>21.547084</v>
      </c>
      <c r="S9932" t="s">
        <v>26</v>
      </c>
    </row>
    <row r="9933" spans="1:19" x14ac:dyDescent="0.3">
      <c r="A9933" t="s">
        <v>13791</v>
      </c>
      <c r="B9933" t="s">
        <v>15775</v>
      </c>
      <c r="C9933" t="s">
        <v>15958</v>
      </c>
      <c r="D9933" t="s">
        <v>13798</v>
      </c>
      <c r="E9933" t="s">
        <v>13799</v>
      </c>
      <c r="F9933" t="s">
        <v>13799</v>
      </c>
      <c r="G9933" t="s">
        <v>13809</v>
      </c>
      <c r="H9933" t="s">
        <v>859</v>
      </c>
      <c r="I9933" t="s">
        <v>860</v>
      </c>
      <c r="J9933" t="str">
        <f>"9060299"</f>
        <v>9060299</v>
      </c>
      <c r="K9933">
        <v>2610625873</v>
      </c>
      <c r="L9933">
        <v>2610</v>
      </c>
      <c r="M9933" t="s">
        <v>15959</v>
      </c>
      <c r="N9933" t="s">
        <v>14309</v>
      </c>
      <c r="O9933" t="s">
        <v>15960</v>
      </c>
      <c r="P9933">
        <v>26331</v>
      </c>
      <c r="Q9933" t="str">
        <f>"38.240138"</f>
        <v>38.240138</v>
      </c>
      <c r="R9933" t="str">
        <f>"21.744729"</f>
        <v>21.744729</v>
      </c>
      <c r="S9933" t="s">
        <v>26</v>
      </c>
    </row>
    <row r="9934" spans="1:19" x14ac:dyDescent="0.3">
      <c r="A9934" t="s">
        <v>13791</v>
      </c>
      <c r="B9934" t="s">
        <v>15775</v>
      </c>
      <c r="C9934" t="s">
        <v>15962</v>
      </c>
      <c r="D9934" t="s">
        <v>13798</v>
      </c>
      <c r="E9934" t="s">
        <v>14200</v>
      </c>
      <c r="F9934" t="s">
        <v>14286</v>
      </c>
      <c r="G9934" t="s">
        <v>15961</v>
      </c>
      <c r="H9934" t="s">
        <v>859</v>
      </c>
      <c r="I9934" t="s">
        <v>860</v>
      </c>
      <c r="J9934" t="str">
        <f>"9060609"</f>
        <v>9060609</v>
      </c>
      <c r="K9934">
        <v>2693092409</v>
      </c>
      <c r="M9934" t="s">
        <v>15963</v>
      </c>
      <c r="N9934" t="s">
        <v>15961</v>
      </c>
      <c r="O9934" t="s">
        <v>15964</v>
      </c>
      <c r="P9934">
        <v>27052</v>
      </c>
      <c r="Q9934" t="str">
        <f>"37.943696"</f>
        <v>37.943696</v>
      </c>
      <c r="R9934" t="str">
        <f>"21.532637"</f>
        <v>21.532637</v>
      </c>
      <c r="S9934" t="s">
        <v>57</v>
      </c>
    </row>
    <row r="9935" spans="1:19" x14ac:dyDescent="0.3">
      <c r="A9935" t="s">
        <v>13791</v>
      </c>
      <c r="B9935" t="s">
        <v>15775</v>
      </c>
      <c r="C9935" t="s">
        <v>15968</v>
      </c>
      <c r="D9935" t="s">
        <v>13798</v>
      </c>
      <c r="E9935" t="s">
        <v>14181</v>
      </c>
      <c r="F9935" t="s">
        <v>14182</v>
      </c>
      <c r="G9935" t="s">
        <v>15967</v>
      </c>
      <c r="H9935" t="s">
        <v>859</v>
      </c>
      <c r="I9935" t="s">
        <v>860</v>
      </c>
      <c r="J9935" t="str">
        <f>"9060471"</f>
        <v>9060471</v>
      </c>
      <c r="K9935">
        <v>2691029520</v>
      </c>
      <c r="L9935">
        <v>2691029520</v>
      </c>
      <c r="M9935" t="s">
        <v>15969</v>
      </c>
      <c r="N9935" t="s">
        <v>15967</v>
      </c>
      <c r="O9935" t="s">
        <v>15970</v>
      </c>
      <c r="P9935">
        <v>25100</v>
      </c>
      <c r="Q9935" t="str">
        <f>"38.237241"</f>
        <v>38.237241</v>
      </c>
      <c r="R9935" t="str">
        <f>"22.084022"</f>
        <v>22.084022</v>
      </c>
      <c r="S9935" t="s">
        <v>26</v>
      </c>
    </row>
    <row r="9936" spans="1:19" x14ac:dyDescent="0.3">
      <c r="A9936" t="s">
        <v>13791</v>
      </c>
      <c r="B9936" t="s">
        <v>15775</v>
      </c>
      <c r="C9936" t="s">
        <v>15971</v>
      </c>
      <c r="D9936" t="s">
        <v>13798</v>
      </c>
      <c r="E9936" t="s">
        <v>13799</v>
      </c>
      <c r="F9936" t="s">
        <v>14212</v>
      </c>
      <c r="G9936" t="s">
        <v>15831</v>
      </c>
      <c r="H9936" t="s">
        <v>859</v>
      </c>
      <c r="I9936" t="s">
        <v>860</v>
      </c>
      <c r="J9936" t="str">
        <f>"9060457"</f>
        <v>9060457</v>
      </c>
      <c r="K9936">
        <v>2610528970</v>
      </c>
      <c r="L9936">
        <v>2610528970</v>
      </c>
      <c r="M9936" t="s">
        <v>15972</v>
      </c>
      <c r="N9936" t="s">
        <v>15831</v>
      </c>
      <c r="O9936" t="s">
        <v>15973</v>
      </c>
      <c r="P9936">
        <v>26500</v>
      </c>
      <c r="Q9936" t="str">
        <f>"38.183496"</f>
        <v>38.183496</v>
      </c>
      <c r="R9936" t="str">
        <f>"21.697179"</f>
        <v>21.697179</v>
      </c>
      <c r="S9936" t="s">
        <v>26</v>
      </c>
    </row>
    <row r="9937" spans="1:19" x14ac:dyDescent="0.3">
      <c r="A9937" t="s">
        <v>13791</v>
      </c>
      <c r="B9937" t="s">
        <v>15775</v>
      </c>
      <c r="C9937" t="s">
        <v>15975</v>
      </c>
      <c r="D9937" t="s">
        <v>13798</v>
      </c>
      <c r="E9937" t="s">
        <v>13799</v>
      </c>
      <c r="F9937" t="s">
        <v>13799</v>
      </c>
      <c r="G9937" t="s">
        <v>15974</v>
      </c>
      <c r="H9937" t="s">
        <v>859</v>
      </c>
      <c r="I9937" t="s">
        <v>860</v>
      </c>
      <c r="J9937" t="str">
        <f>"9060490"</f>
        <v>9060490</v>
      </c>
      <c r="K9937">
        <v>2610641905</v>
      </c>
      <c r="L9937">
        <v>2610641905</v>
      </c>
      <c r="M9937" t="s">
        <v>15976</v>
      </c>
      <c r="N9937" t="s">
        <v>13803</v>
      </c>
      <c r="O9937" t="s">
        <v>15977</v>
      </c>
      <c r="P9937">
        <v>26500</v>
      </c>
      <c r="Q9937" t="str">
        <f>"38.227157"</f>
        <v>38.227157</v>
      </c>
      <c r="R9937" t="str">
        <f>"21.784618"</f>
        <v>21.784618</v>
      </c>
      <c r="S9937" t="s">
        <v>26</v>
      </c>
    </row>
    <row r="9938" spans="1:19" x14ac:dyDescent="0.3">
      <c r="A9938" t="s">
        <v>13791</v>
      </c>
      <c r="B9938" t="s">
        <v>15775</v>
      </c>
      <c r="C9938" t="s">
        <v>15986</v>
      </c>
      <c r="D9938" t="s">
        <v>13798</v>
      </c>
      <c r="E9938" t="s">
        <v>13799</v>
      </c>
      <c r="F9938" t="s">
        <v>13799</v>
      </c>
      <c r="G9938" t="s">
        <v>14241</v>
      </c>
      <c r="H9938" t="s">
        <v>859</v>
      </c>
      <c r="I9938" t="s">
        <v>860</v>
      </c>
      <c r="J9938" t="str">
        <f>"9060410"</f>
        <v>9060410</v>
      </c>
      <c r="K9938">
        <v>2610277218</v>
      </c>
      <c r="L9938">
        <v>2610277218</v>
      </c>
      <c r="M9938" t="s">
        <v>15987</v>
      </c>
      <c r="N9938" t="s">
        <v>14309</v>
      </c>
      <c r="O9938" t="s">
        <v>15988</v>
      </c>
      <c r="P9938">
        <v>26334</v>
      </c>
      <c r="Q9938" t="str">
        <f>"38.235164"</f>
        <v>38.235164</v>
      </c>
      <c r="R9938" t="str">
        <f>"21.756179"</f>
        <v>21.756179</v>
      </c>
      <c r="S9938" t="s">
        <v>26</v>
      </c>
    </row>
    <row r="9939" spans="1:19" x14ac:dyDescent="0.3">
      <c r="A9939" t="s">
        <v>13791</v>
      </c>
      <c r="B9939" t="s">
        <v>15775</v>
      </c>
      <c r="C9939" t="s">
        <v>15990</v>
      </c>
      <c r="D9939" t="s">
        <v>13798</v>
      </c>
      <c r="E9939" t="s">
        <v>14181</v>
      </c>
      <c r="F9939" t="s">
        <v>14317</v>
      </c>
      <c r="G9939" t="s">
        <v>15989</v>
      </c>
      <c r="H9939" t="s">
        <v>859</v>
      </c>
      <c r="I9939" t="s">
        <v>860</v>
      </c>
      <c r="J9939" t="str">
        <f>"9060579"</f>
        <v>9060579</v>
      </c>
      <c r="K9939">
        <v>2691081950</v>
      </c>
      <c r="L9939">
        <v>2691081950</v>
      </c>
      <c r="M9939" t="s">
        <v>15991</v>
      </c>
      <c r="N9939" t="s">
        <v>15992</v>
      </c>
      <c r="O9939" t="s">
        <v>15993</v>
      </c>
      <c r="P9939">
        <v>25100</v>
      </c>
      <c r="Q9939" t="str">
        <f>"38.209024"</f>
        <v>38.209024</v>
      </c>
      <c r="R9939" t="str">
        <f>"22.141138"</f>
        <v>22.141138</v>
      </c>
      <c r="S9939" t="s">
        <v>26</v>
      </c>
    </row>
    <row r="9940" spans="1:19" x14ac:dyDescent="0.3">
      <c r="A9940" t="s">
        <v>13791</v>
      </c>
      <c r="B9940" t="s">
        <v>15775</v>
      </c>
      <c r="C9940" t="s">
        <v>15995</v>
      </c>
      <c r="D9940" t="s">
        <v>13798</v>
      </c>
      <c r="E9940" t="s">
        <v>14200</v>
      </c>
      <c r="F9940" t="s">
        <v>2699</v>
      </c>
      <c r="G9940" t="s">
        <v>15994</v>
      </c>
      <c r="H9940" t="s">
        <v>859</v>
      </c>
      <c r="I9940" t="s">
        <v>860</v>
      </c>
      <c r="J9940" t="str">
        <f>"9060602"</f>
        <v>9060602</v>
      </c>
      <c r="K9940">
        <v>2693071688</v>
      </c>
      <c r="L9940">
        <v>2693071545</v>
      </c>
      <c r="M9940" t="s">
        <v>15996</v>
      </c>
      <c r="N9940" t="s">
        <v>15994</v>
      </c>
      <c r="O9940" t="s">
        <v>15997</v>
      </c>
      <c r="P9940">
        <v>25002</v>
      </c>
      <c r="Q9940" t="str">
        <f>"38.142259"</f>
        <v>38.142259</v>
      </c>
      <c r="R9940" t="str">
        <f>"21.573255"</f>
        <v>21.573255</v>
      </c>
      <c r="S9940" t="s">
        <v>26</v>
      </c>
    </row>
    <row r="9941" spans="1:19" x14ac:dyDescent="0.3">
      <c r="A9941" t="s">
        <v>13791</v>
      </c>
      <c r="B9941" t="s">
        <v>15775</v>
      </c>
      <c r="C9941" t="s">
        <v>16003</v>
      </c>
      <c r="D9941" t="s">
        <v>13798</v>
      </c>
      <c r="E9941" t="s">
        <v>13799</v>
      </c>
      <c r="F9941" t="s">
        <v>13799</v>
      </c>
      <c r="G9941" t="s">
        <v>14241</v>
      </c>
      <c r="H9941" t="s">
        <v>859</v>
      </c>
      <c r="I9941" t="s">
        <v>860</v>
      </c>
      <c r="J9941" t="str">
        <f>"9060414"</f>
        <v>9060414</v>
      </c>
      <c r="K9941">
        <v>2610270336</v>
      </c>
      <c r="L9941">
        <v>2610223118</v>
      </c>
      <c r="M9941" t="s">
        <v>16004</v>
      </c>
      <c r="N9941" t="s">
        <v>14309</v>
      </c>
      <c r="O9941" t="s">
        <v>16005</v>
      </c>
      <c r="P9941">
        <v>26335</v>
      </c>
      <c r="Q9941" t="str">
        <f>"38.230589"</f>
        <v>38.230589</v>
      </c>
      <c r="R9941" t="str">
        <f>"21.751997"</f>
        <v>21.751997</v>
      </c>
      <c r="S9941" t="s">
        <v>26</v>
      </c>
    </row>
    <row r="9942" spans="1:19" x14ac:dyDescent="0.3">
      <c r="A9942" t="s">
        <v>13791</v>
      </c>
      <c r="B9942" t="s">
        <v>15775</v>
      </c>
      <c r="C9942" t="s">
        <v>16006</v>
      </c>
      <c r="D9942" t="s">
        <v>13798</v>
      </c>
      <c r="E9942" t="s">
        <v>13799</v>
      </c>
      <c r="F9942" t="s">
        <v>13799</v>
      </c>
      <c r="G9942" t="s">
        <v>13809</v>
      </c>
      <c r="H9942" t="s">
        <v>859</v>
      </c>
      <c r="I9942" t="s">
        <v>860</v>
      </c>
      <c r="J9942" t="str">
        <f>"9060462"</f>
        <v>9060462</v>
      </c>
      <c r="K9942">
        <v>2610327312</v>
      </c>
      <c r="L9942">
        <v>2610327312</v>
      </c>
      <c r="M9942" t="s">
        <v>16007</v>
      </c>
      <c r="N9942" t="s">
        <v>14309</v>
      </c>
      <c r="O9942" t="s">
        <v>16008</v>
      </c>
      <c r="P9942">
        <v>26226</v>
      </c>
      <c r="Q9942" t="str">
        <f>"38.235549"</f>
        <v>38.235549</v>
      </c>
      <c r="R9942" t="str">
        <f>"21.744243"</f>
        <v>21.744243</v>
      </c>
      <c r="S9942" t="s">
        <v>26</v>
      </c>
    </row>
    <row r="9943" spans="1:19" x14ac:dyDescent="0.3">
      <c r="A9943" t="s">
        <v>13791</v>
      </c>
      <c r="B9943" t="s">
        <v>15775</v>
      </c>
      <c r="C9943" t="s">
        <v>16009</v>
      </c>
      <c r="D9943" t="s">
        <v>13798</v>
      </c>
      <c r="E9943" t="s">
        <v>14181</v>
      </c>
      <c r="F9943" t="s">
        <v>14230</v>
      </c>
      <c r="G9943" t="s">
        <v>14231</v>
      </c>
      <c r="H9943" t="s">
        <v>859</v>
      </c>
      <c r="I9943" t="s">
        <v>860</v>
      </c>
      <c r="J9943" t="str">
        <f>"9060453"</f>
        <v>9060453</v>
      </c>
      <c r="K9943">
        <v>2691032336</v>
      </c>
      <c r="L9943">
        <v>2691032715</v>
      </c>
      <c r="M9943" t="s">
        <v>16010</v>
      </c>
      <c r="N9943" t="s">
        <v>14231</v>
      </c>
      <c r="O9943" t="s">
        <v>13150</v>
      </c>
      <c r="P9943">
        <v>25009</v>
      </c>
      <c r="Q9943" t="str">
        <f>"38.301755"</f>
        <v>38.301755</v>
      </c>
      <c r="R9943" t="str">
        <f>"22.003609"</f>
        <v>22.003609</v>
      </c>
      <c r="S9943" t="s">
        <v>26</v>
      </c>
    </row>
    <row r="9944" spans="1:19" x14ac:dyDescent="0.3">
      <c r="A9944" t="s">
        <v>13791</v>
      </c>
      <c r="B9944" t="s">
        <v>15775</v>
      </c>
      <c r="C9944" t="s">
        <v>16011</v>
      </c>
      <c r="D9944" t="s">
        <v>13798</v>
      </c>
      <c r="E9944" t="s">
        <v>13799</v>
      </c>
      <c r="F9944" t="s">
        <v>13799</v>
      </c>
      <c r="G9944" t="s">
        <v>14236</v>
      </c>
      <c r="H9944" t="s">
        <v>859</v>
      </c>
      <c r="I9944" t="s">
        <v>860</v>
      </c>
      <c r="J9944" t="str">
        <f>"9060537"</f>
        <v>9060537</v>
      </c>
      <c r="K9944">
        <v>2610310058</v>
      </c>
      <c r="L9944">
        <v>2610310058</v>
      </c>
      <c r="M9944" t="s">
        <v>16012</v>
      </c>
      <c r="N9944" t="s">
        <v>14309</v>
      </c>
      <c r="O9944" t="s">
        <v>16013</v>
      </c>
      <c r="P9944">
        <v>26334</v>
      </c>
      <c r="Q9944" t="str">
        <f>"38.223706"</f>
        <v>38.223706</v>
      </c>
      <c r="R9944" t="str">
        <f>"21.745866"</f>
        <v>21.745866</v>
      </c>
      <c r="S9944" t="s">
        <v>26</v>
      </c>
    </row>
    <row r="9945" spans="1:19" x14ac:dyDescent="0.3">
      <c r="A9945" t="s">
        <v>13791</v>
      </c>
      <c r="B9945" t="s">
        <v>15775</v>
      </c>
      <c r="C9945" t="s">
        <v>16014</v>
      </c>
      <c r="D9945" t="s">
        <v>13798</v>
      </c>
      <c r="E9945" t="s">
        <v>13799</v>
      </c>
      <c r="F9945" t="s">
        <v>13799</v>
      </c>
      <c r="G9945" t="s">
        <v>14236</v>
      </c>
      <c r="H9945" t="s">
        <v>859</v>
      </c>
      <c r="I9945" t="s">
        <v>860</v>
      </c>
      <c r="J9945" t="str">
        <f>"9060577"</f>
        <v>9060577</v>
      </c>
      <c r="K9945">
        <v>2610338005</v>
      </c>
      <c r="L9945">
        <v>2610333312</v>
      </c>
      <c r="M9945" t="s">
        <v>16015</v>
      </c>
      <c r="N9945" t="s">
        <v>14309</v>
      </c>
      <c r="O9945" t="s">
        <v>16016</v>
      </c>
      <c r="P9945">
        <v>26333</v>
      </c>
      <c r="Q9945" t="str">
        <f>"38.226513"</f>
        <v>38.226513</v>
      </c>
      <c r="R9945" t="str">
        <f>"21.729403"</f>
        <v>21.729403</v>
      </c>
      <c r="S9945" t="s">
        <v>26</v>
      </c>
    </row>
    <row r="9946" spans="1:19" x14ac:dyDescent="0.3">
      <c r="A9946" t="s">
        <v>13791</v>
      </c>
      <c r="B9946" t="s">
        <v>15775</v>
      </c>
      <c r="C9946" t="s">
        <v>16017</v>
      </c>
      <c r="D9946" t="s">
        <v>13798</v>
      </c>
      <c r="E9946" t="s">
        <v>14181</v>
      </c>
      <c r="F9946" t="s">
        <v>15801</v>
      </c>
      <c r="G9946" t="s">
        <v>15875</v>
      </c>
      <c r="H9946" t="s">
        <v>859</v>
      </c>
      <c r="I9946" t="s">
        <v>860</v>
      </c>
      <c r="J9946" t="str">
        <f>"9060451"</f>
        <v>9060451</v>
      </c>
      <c r="K9946">
        <v>2691071773</v>
      </c>
      <c r="L9946">
        <v>2691071773</v>
      </c>
      <c r="M9946" t="s">
        <v>16018</v>
      </c>
      <c r="N9946" t="s">
        <v>16019</v>
      </c>
      <c r="O9946" t="s">
        <v>16020</v>
      </c>
      <c r="P9946">
        <v>25100</v>
      </c>
      <c r="Q9946" t="str">
        <f>"38.262604"</f>
        <v>38.262604</v>
      </c>
      <c r="R9946" t="str">
        <f>"22.048618"</f>
        <v>22.048618</v>
      </c>
      <c r="S9946" t="s">
        <v>26</v>
      </c>
    </row>
    <row r="9947" spans="1:19" x14ac:dyDescent="0.3">
      <c r="A9947" t="s">
        <v>13791</v>
      </c>
      <c r="B9947" t="s">
        <v>15775</v>
      </c>
      <c r="C9947" t="s">
        <v>16021</v>
      </c>
      <c r="D9947" t="s">
        <v>13798</v>
      </c>
      <c r="E9947" t="s">
        <v>13799</v>
      </c>
      <c r="F9947" t="s">
        <v>13799</v>
      </c>
      <c r="G9947" t="s">
        <v>14236</v>
      </c>
      <c r="H9947" t="s">
        <v>859</v>
      </c>
      <c r="I9947" t="s">
        <v>860</v>
      </c>
      <c r="J9947" t="str">
        <f>"9060391"</f>
        <v>9060391</v>
      </c>
      <c r="K9947">
        <v>2610322350</v>
      </c>
      <c r="L9947">
        <v>2610313453</v>
      </c>
      <c r="M9947" t="s">
        <v>16022</v>
      </c>
      <c r="N9947" t="s">
        <v>14309</v>
      </c>
      <c r="O9947" t="s">
        <v>16023</v>
      </c>
      <c r="P9947">
        <v>26334</v>
      </c>
      <c r="Q9947" t="str">
        <f>"38.222277"</f>
        <v>38.222277</v>
      </c>
      <c r="R9947" t="str">
        <f>"21.744568"</f>
        <v>21.744568</v>
      </c>
      <c r="S9947" t="s">
        <v>26</v>
      </c>
    </row>
    <row r="9948" spans="1:19" x14ac:dyDescent="0.3">
      <c r="A9948" t="s">
        <v>13791</v>
      </c>
      <c r="B9948" t="s">
        <v>15775</v>
      </c>
      <c r="C9948" t="s">
        <v>16024</v>
      </c>
      <c r="D9948" t="s">
        <v>13798</v>
      </c>
      <c r="E9948" t="s">
        <v>14181</v>
      </c>
      <c r="F9948" t="s">
        <v>15801</v>
      </c>
      <c r="G9948" t="s">
        <v>15802</v>
      </c>
      <c r="H9948" t="s">
        <v>859</v>
      </c>
      <c r="I9948" t="s">
        <v>860</v>
      </c>
      <c r="J9948" t="str">
        <f>"9060568"</f>
        <v>9060568</v>
      </c>
      <c r="K9948">
        <v>2691074206</v>
      </c>
      <c r="L9948">
        <v>2691074206</v>
      </c>
      <c r="M9948" t="s">
        <v>16025</v>
      </c>
      <c r="N9948" t="s">
        <v>15802</v>
      </c>
      <c r="O9948" t="s">
        <v>15805</v>
      </c>
      <c r="P9948">
        <v>25100</v>
      </c>
      <c r="Q9948" t="str">
        <f>"38.281959"</f>
        <v>38.281959</v>
      </c>
      <c r="R9948" t="str">
        <f>"22.028775"</f>
        <v>22.028775</v>
      </c>
      <c r="S9948" t="s">
        <v>26</v>
      </c>
    </row>
    <row r="9949" spans="1:19" x14ac:dyDescent="0.3">
      <c r="A9949" t="s">
        <v>13791</v>
      </c>
      <c r="B9949" t="s">
        <v>15775</v>
      </c>
      <c r="C9949" t="s">
        <v>16029</v>
      </c>
      <c r="D9949" t="s">
        <v>13798</v>
      </c>
      <c r="E9949" t="s">
        <v>14181</v>
      </c>
      <c r="F9949" t="s">
        <v>14182</v>
      </c>
      <c r="G9949" t="s">
        <v>16028</v>
      </c>
      <c r="H9949" t="s">
        <v>859</v>
      </c>
      <c r="I9949" t="s">
        <v>860</v>
      </c>
      <c r="J9949" t="str">
        <f>"9060438"</f>
        <v>9060438</v>
      </c>
      <c r="K9949">
        <v>2691051697</v>
      </c>
      <c r="L9949">
        <v>2691051154</v>
      </c>
      <c r="M9949" t="s">
        <v>16030</v>
      </c>
      <c r="N9949" t="s">
        <v>16031</v>
      </c>
      <c r="O9949" t="s">
        <v>16032</v>
      </c>
      <c r="P9949">
        <v>25100</v>
      </c>
      <c r="Q9949" t="str">
        <f>"38.237890"</f>
        <v>38.237890</v>
      </c>
      <c r="R9949" t="str">
        <f>"22.122602"</f>
        <v>22.122602</v>
      </c>
      <c r="S9949" t="s">
        <v>26</v>
      </c>
    </row>
    <row r="9950" spans="1:19" x14ac:dyDescent="0.3">
      <c r="A9950" t="s">
        <v>13791</v>
      </c>
      <c r="B9950" t="s">
        <v>15775</v>
      </c>
      <c r="C9950" t="s">
        <v>16033</v>
      </c>
      <c r="D9950" t="s">
        <v>13798</v>
      </c>
      <c r="E9950" t="s">
        <v>14181</v>
      </c>
      <c r="F9950" t="s">
        <v>15801</v>
      </c>
      <c r="G9950" t="s">
        <v>15875</v>
      </c>
      <c r="H9950" t="s">
        <v>859</v>
      </c>
      <c r="I9950" t="s">
        <v>860</v>
      </c>
      <c r="J9950" t="str">
        <f>"9060513"</f>
        <v>9060513</v>
      </c>
      <c r="K9950">
        <v>2691073314</v>
      </c>
      <c r="L9950">
        <v>2691073314</v>
      </c>
      <c r="M9950" t="s">
        <v>16034</v>
      </c>
      <c r="N9950" t="s">
        <v>16035</v>
      </c>
      <c r="O9950" t="s">
        <v>16035</v>
      </c>
      <c r="P9950">
        <v>25100</v>
      </c>
      <c r="Q9950" t="str">
        <f>"38.273083"</f>
        <v>38.273083</v>
      </c>
      <c r="R9950" t="str">
        <f>"22.049835"</f>
        <v>22.049835</v>
      </c>
      <c r="S9950" t="s">
        <v>26</v>
      </c>
    </row>
    <row r="9951" spans="1:19" x14ac:dyDescent="0.3">
      <c r="A9951" t="s">
        <v>13791</v>
      </c>
      <c r="B9951" t="s">
        <v>15775</v>
      </c>
      <c r="C9951" t="s">
        <v>16036</v>
      </c>
      <c r="D9951" t="s">
        <v>13798</v>
      </c>
      <c r="E9951" t="s">
        <v>14188</v>
      </c>
      <c r="F9951" t="s">
        <v>14391</v>
      </c>
      <c r="G9951" t="s">
        <v>14477</v>
      </c>
      <c r="H9951" t="s">
        <v>859</v>
      </c>
      <c r="I9951" t="s">
        <v>860</v>
      </c>
      <c r="J9951" t="str">
        <f>"9060583"</f>
        <v>9060583</v>
      </c>
      <c r="K9951">
        <v>2694051460</v>
      </c>
      <c r="M9951" t="s">
        <v>16037</v>
      </c>
      <c r="N9951" t="s">
        <v>16038</v>
      </c>
      <c r="O9951" t="s">
        <v>16038</v>
      </c>
      <c r="P9951">
        <v>25015</v>
      </c>
      <c r="Q9951" t="str">
        <f>"37.939384"</f>
        <v>37.939384</v>
      </c>
      <c r="R9951" t="str">
        <f>"21.679804"</f>
        <v>21.679804</v>
      </c>
      <c r="S9951" t="s">
        <v>26</v>
      </c>
    </row>
    <row r="9952" spans="1:19" x14ac:dyDescent="0.3">
      <c r="A9952" t="s">
        <v>13791</v>
      </c>
      <c r="B9952" t="s">
        <v>15775</v>
      </c>
      <c r="C9952" t="s">
        <v>16039</v>
      </c>
      <c r="D9952" t="s">
        <v>13798</v>
      </c>
      <c r="E9952" t="s">
        <v>14181</v>
      </c>
      <c r="F9952" t="s">
        <v>14261</v>
      </c>
      <c r="G9952" t="s">
        <v>14261</v>
      </c>
      <c r="H9952" t="s">
        <v>859</v>
      </c>
      <c r="I9952" t="s">
        <v>860</v>
      </c>
      <c r="J9952" t="str">
        <f>"9060015"</f>
        <v>9060015</v>
      </c>
      <c r="K9952">
        <v>2696022277</v>
      </c>
      <c r="L9952">
        <v>2696022277</v>
      </c>
      <c r="M9952" t="s">
        <v>16040</v>
      </c>
      <c r="N9952" t="s">
        <v>14261</v>
      </c>
      <c r="O9952" t="s">
        <v>14471</v>
      </c>
      <c r="P9952">
        <v>25006</v>
      </c>
      <c r="Q9952" t="str">
        <f>"38.153521"</f>
        <v>38.153521</v>
      </c>
      <c r="R9952" t="str">
        <f>"22.314377"</f>
        <v>22.314377</v>
      </c>
      <c r="S9952" t="s">
        <v>26</v>
      </c>
    </row>
    <row r="9953" spans="1:19" x14ac:dyDescent="0.3">
      <c r="A9953" t="s">
        <v>13791</v>
      </c>
      <c r="B9953" t="s">
        <v>15775</v>
      </c>
      <c r="C9953" t="s">
        <v>16042</v>
      </c>
      <c r="D9953" t="s">
        <v>13798</v>
      </c>
      <c r="E9953" t="s">
        <v>13799</v>
      </c>
      <c r="F9953" t="s">
        <v>14276</v>
      </c>
      <c r="G9953" t="s">
        <v>14277</v>
      </c>
      <c r="H9953" t="s">
        <v>859</v>
      </c>
      <c r="I9953" t="s">
        <v>16041</v>
      </c>
      <c r="J9953" t="str">
        <f>"9060552"</f>
        <v>9060552</v>
      </c>
      <c r="K9953">
        <v>2610992953</v>
      </c>
      <c r="L9953">
        <v>2610992100</v>
      </c>
      <c r="M9953" t="s">
        <v>16043</v>
      </c>
      <c r="N9953" t="s">
        <v>14309</v>
      </c>
      <c r="O9953" t="s">
        <v>16044</v>
      </c>
      <c r="P9953">
        <v>26500</v>
      </c>
      <c r="Q9953" t="str">
        <f>"38.281702"</f>
        <v>38.281702</v>
      </c>
      <c r="R9953" t="str">
        <f>"21.790316"</f>
        <v>21.790316</v>
      </c>
      <c r="S9953" t="s">
        <v>26</v>
      </c>
    </row>
    <row r="9954" spans="1:19" x14ac:dyDescent="0.3">
      <c r="A9954" t="s">
        <v>13791</v>
      </c>
      <c r="B9954" t="s">
        <v>15775</v>
      </c>
      <c r="C9954" t="s">
        <v>16049</v>
      </c>
      <c r="D9954" t="s">
        <v>13798</v>
      </c>
      <c r="E9954" t="s">
        <v>14181</v>
      </c>
      <c r="F9954" t="s">
        <v>14261</v>
      </c>
      <c r="G9954" t="s">
        <v>16048</v>
      </c>
      <c r="H9954" t="s">
        <v>859</v>
      </c>
      <c r="I9954" t="s">
        <v>860</v>
      </c>
      <c r="J9954" t="str">
        <f>"9060593"</f>
        <v>9060593</v>
      </c>
      <c r="K9954">
        <v>2696032400</v>
      </c>
      <c r="L9954">
        <v>2696032400</v>
      </c>
      <c r="M9954" t="s">
        <v>16050</v>
      </c>
      <c r="N9954" t="s">
        <v>14261</v>
      </c>
      <c r="O9954" t="s">
        <v>16051</v>
      </c>
      <c r="P9954">
        <v>25006</v>
      </c>
      <c r="Q9954" t="str">
        <f>"38.158328"</f>
        <v>38.158328</v>
      </c>
      <c r="R9954" t="str">
        <f>"22.344675"</f>
        <v>22.344675</v>
      </c>
      <c r="S9954" t="s">
        <v>26</v>
      </c>
    </row>
    <row r="9955" spans="1:19" x14ac:dyDescent="0.3">
      <c r="A9955" t="s">
        <v>13791</v>
      </c>
      <c r="B9955" t="s">
        <v>15775</v>
      </c>
      <c r="C9955" t="s">
        <v>16052</v>
      </c>
      <c r="D9955" t="s">
        <v>13798</v>
      </c>
      <c r="E9955" t="s">
        <v>13799</v>
      </c>
      <c r="F9955" t="s">
        <v>13799</v>
      </c>
      <c r="G9955" t="s">
        <v>13809</v>
      </c>
      <c r="H9955" t="s">
        <v>859</v>
      </c>
      <c r="I9955" t="s">
        <v>860</v>
      </c>
      <c r="J9955" t="str">
        <f>"9060141"</f>
        <v>9060141</v>
      </c>
      <c r="K9955">
        <v>2610274751</v>
      </c>
      <c r="L9955">
        <v>2610274751</v>
      </c>
      <c r="M9955" t="s">
        <v>16053</v>
      </c>
      <c r="N9955" t="s">
        <v>14309</v>
      </c>
      <c r="O9955" t="s">
        <v>16054</v>
      </c>
      <c r="P9955">
        <v>26225</v>
      </c>
      <c r="Q9955" t="str">
        <f>"38.243705"</f>
        <v>38.243705</v>
      </c>
      <c r="R9955" t="str">
        <f>"21.738470"</f>
        <v>21.738470</v>
      </c>
      <c r="S9955" t="s">
        <v>26</v>
      </c>
    </row>
    <row r="9956" spans="1:19" x14ac:dyDescent="0.3">
      <c r="A9956" t="s">
        <v>13791</v>
      </c>
      <c r="B9956" t="s">
        <v>15775</v>
      </c>
      <c r="C9956" t="s">
        <v>16055</v>
      </c>
      <c r="D9956" t="s">
        <v>13798</v>
      </c>
      <c r="E9956" t="s">
        <v>13799</v>
      </c>
      <c r="F9956" t="s">
        <v>13799</v>
      </c>
      <c r="G9956" t="s">
        <v>13809</v>
      </c>
      <c r="H9956" t="s">
        <v>859</v>
      </c>
      <c r="I9956" t="s">
        <v>860</v>
      </c>
      <c r="J9956" t="str">
        <f>"9060232"</f>
        <v>9060232</v>
      </c>
      <c r="K9956">
        <v>2610225589</v>
      </c>
      <c r="L9956">
        <v>2610225589</v>
      </c>
      <c r="M9956" t="s">
        <v>16056</v>
      </c>
      <c r="N9956" t="s">
        <v>14309</v>
      </c>
      <c r="O9956" t="s">
        <v>16057</v>
      </c>
      <c r="P9956">
        <v>26223</v>
      </c>
      <c r="Q9956" t="str">
        <f>"38.250763"</f>
        <v>38.250763</v>
      </c>
      <c r="R9956" t="str">
        <f>"21.738384"</f>
        <v>21.738384</v>
      </c>
      <c r="S9956" t="s">
        <v>26</v>
      </c>
    </row>
    <row r="9957" spans="1:19" x14ac:dyDescent="0.3">
      <c r="A9957" t="s">
        <v>13791</v>
      </c>
      <c r="B9957" t="s">
        <v>15775</v>
      </c>
      <c r="C9957" t="s">
        <v>16064</v>
      </c>
      <c r="D9957" t="s">
        <v>13798</v>
      </c>
      <c r="E9957" t="s">
        <v>13799</v>
      </c>
      <c r="F9957" t="s">
        <v>14349</v>
      </c>
      <c r="G9957" t="s">
        <v>14350</v>
      </c>
      <c r="H9957" t="s">
        <v>859</v>
      </c>
      <c r="I9957" t="s">
        <v>860</v>
      </c>
      <c r="J9957" t="str">
        <f>"9060506"</f>
        <v>9060506</v>
      </c>
      <c r="K9957">
        <v>2610523964</v>
      </c>
      <c r="L9957">
        <v>2610528579</v>
      </c>
      <c r="M9957" t="s">
        <v>16065</v>
      </c>
      <c r="N9957" t="s">
        <v>16066</v>
      </c>
      <c r="O9957" t="s">
        <v>16067</v>
      </c>
      <c r="P9957">
        <v>26500</v>
      </c>
      <c r="Q9957" t="str">
        <f>"38.200773"</f>
        <v>38.200773</v>
      </c>
      <c r="R9957" t="str">
        <f>"21.740038"</f>
        <v>21.740038</v>
      </c>
      <c r="S9957" t="s">
        <v>26</v>
      </c>
    </row>
    <row r="9958" spans="1:19" x14ac:dyDescent="0.3">
      <c r="A9958" t="s">
        <v>13791</v>
      </c>
      <c r="B9958" t="s">
        <v>15775</v>
      </c>
      <c r="C9958" t="s">
        <v>16073</v>
      </c>
      <c r="D9958" t="s">
        <v>13798</v>
      </c>
      <c r="E9958" t="s">
        <v>14188</v>
      </c>
      <c r="F9958" t="s">
        <v>14189</v>
      </c>
      <c r="G9958" t="s">
        <v>14483</v>
      </c>
      <c r="H9958" t="s">
        <v>859</v>
      </c>
      <c r="I9958" t="s">
        <v>860</v>
      </c>
      <c r="J9958" t="str">
        <f>"9060538"</f>
        <v>9060538</v>
      </c>
      <c r="K9958">
        <v>2694062041</v>
      </c>
      <c r="L9958">
        <v>2694061368</v>
      </c>
      <c r="M9958" t="s">
        <v>16074</v>
      </c>
      <c r="N9958" t="s">
        <v>14189</v>
      </c>
      <c r="O9958" t="s">
        <v>15950</v>
      </c>
      <c r="P9958">
        <v>25008</v>
      </c>
      <c r="Q9958" t="str">
        <f>"38.091434"</f>
        <v>38.091434</v>
      </c>
      <c r="R9958" t="str">
        <f>"21.717527"</f>
        <v>21.717527</v>
      </c>
      <c r="S9958" t="s">
        <v>26</v>
      </c>
    </row>
    <row r="9959" spans="1:19" x14ac:dyDescent="0.3">
      <c r="A9959" t="s">
        <v>13791</v>
      </c>
      <c r="B9959" t="s">
        <v>15775</v>
      </c>
      <c r="C9959" t="s">
        <v>16083</v>
      </c>
      <c r="D9959" t="s">
        <v>13798</v>
      </c>
      <c r="E9959" t="s">
        <v>14200</v>
      </c>
      <c r="F9959" t="s">
        <v>14286</v>
      </c>
      <c r="G9959" t="s">
        <v>14522</v>
      </c>
      <c r="H9959" t="s">
        <v>859</v>
      </c>
      <c r="I9959" t="s">
        <v>860</v>
      </c>
      <c r="J9959" t="str">
        <f>"9060495"</f>
        <v>9060495</v>
      </c>
      <c r="K9959">
        <v>2693099433</v>
      </c>
      <c r="L9959">
        <v>2693099433</v>
      </c>
      <c r="M9959" t="s">
        <v>16084</v>
      </c>
      <c r="N9959" t="s">
        <v>14522</v>
      </c>
      <c r="O9959" t="s">
        <v>16085</v>
      </c>
      <c r="P9959">
        <v>25200</v>
      </c>
      <c r="Q9959" t="str">
        <f>"38.056820"</f>
        <v>38.056820</v>
      </c>
      <c r="R9959" t="str">
        <f>"21.464292"</f>
        <v>21.464292</v>
      </c>
      <c r="S9959" t="s">
        <v>26</v>
      </c>
    </row>
    <row r="9960" spans="1:19" x14ac:dyDescent="0.3">
      <c r="A9960" t="s">
        <v>13791</v>
      </c>
      <c r="B9960" t="s">
        <v>15775</v>
      </c>
      <c r="C9960" t="s">
        <v>16086</v>
      </c>
      <c r="D9960" t="s">
        <v>13798</v>
      </c>
      <c r="E9960" t="s">
        <v>14181</v>
      </c>
      <c r="F9960" t="s">
        <v>14182</v>
      </c>
      <c r="G9960" t="s">
        <v>14182</v>
      </c>
      <c r="H9960" t="s">
        <v>859</v>
      </c>
      <c r="I9960" t="s">
        <v>860</v>
      </c>
      <c r="J9960" t="str">
        <f>"9060002"</f>
        <v>9060002</v>
      </c>
      <c r="K9960">
        <v>2691027019</v>
      </c>
      <c r="L9960">
        <v>2691027019</v>
      </c>
      <c r="M9960" t="s">
        <v>16087</v>
      </c>
      <c r="N9960" t="s">
        <v>14182</v>
      </c>
      <c r="O9960" t="s">
        <v>16088</v>
      </c>
      <c r="P9960">
        <v>25100</v>
      </c>
      <c r="Q9960" t="str">
        <f>"38.252607"</f>
        <v>38.252607</v>
      </c>
      <c r="R9960" t="str">
        <f>"22.074780"</f>
        <v>22.074780</v>
      </c>
      <c r="S9960" t="s">
        <v>26</v>
      </c>
    </row>
    <row r="9961" spans="1:19" x14ac:dyDescent="0.3">
      <c r="A9961" t="s">
        <v>13791</v>
      </c>
      <c r="B9961" t="s">
        <v>15775</v>
      </c>
      <c r="C9961" t="s">
        <v>16089</v>
      </c>
      <c r="D9961" t="s">
        <v>13798</v>
      </c>
      <c r="E9961" t="s">
        <v>14181</v>
      </c>
      <c r="F9961" t="s">
        <v>14182</v>
      </c>
      <c r="G9961" t="s">
        <v>14182</v>
      </c>
      <c r="H9961" t="s">
        <v>859</v>
      </c>
      <c r="I9961" t="s">
        <v>860</v>
      </c>
      <c r="J9961" t="str">
        <f>"9060003"</f>
        <v>9060003</v>
      </c>
      <c r="K9961">
        <v>2691025441</v>
      </c>
      <c r="L9961">
        <v>2691025441</v>
      </c>
      <c r="M9961" t="s">
        <v>16090</v>
      </c>
      <c r="N9961" t="s">
        <v>14182</v>
      </c>
      <c r="O9961" t="s">
        <v>16091</v>
      </c>
      <c r="P9961">
        <v>25100</v>
      </c>
      <c r="Q9961" t="str">
        <f>"38.248886"</f>
        <v>38.248886</v>
      </c>
      <c r="R9961" t="str">
        <f>"22.098871"</f>
        <v>22.098871</v>
      </c>
      <c r="S9961" t="s">
        <v>26</v>
      </c>
    </row>
    <row r="9962" spans="1:19" x14ac:dyDescent="0.3">
      <c r="A9962" t="s">
        <v>13791</v>
      </c>
      <c r="B9962" t="s">
        <v>15775</v>
      </c>
      <c r="C9962" t="s">
        <v>16097</v>
      </c>
      <c r="D9962" t="s">
        <v>13798</v>
      </c>
      <c r="E9962" t="s">
        <v>14181</v>
      </c>
      <c r="F9962" t="s">
        <v>14182</v>
      </c>
      <c r="G9962" t="s">
        <v>14182</v>
      </c>
      <c r="H9962" t="s">
        <v>859</v>
      </c>
      <c r="I9962" t="s">
        <v>860</v>
      </c>
      <c r="J9962" t="str">
        <f>"9060397"</f>
        <v>9060397</v>
      </c>
      <c r="K9962">
        <v>2691027420</v>
      </c>
      <c r="L9962">
        <v>2691027420</v>
      </c>
      <c r="M9962" t="s">
        <v>16098</v>
      </c>
      <c r="N9962" t="s">
        <v>14182</v>
      </c>
      <c r="O9962" t="s">
        <v>16099</v>
      </c>
      <c r="P9962">
        <v>25100</v>
      </c>
      <c r="Q9962" t="str">
        <f>"38.249389"</f>
        <v>38.249389</v>
      </c>
      <c r="R9962" t="str">
        <f>"22.081551"</f>
        <v>22.081551</v>
      </c>
      <c r="S9962" t="s">
        <v>26</v>
      </c>
    </row>
    <row r="9963" spans="1:19" x14ac:dyDescent="0.3">
      <c r="A9963" t="s">
        <v>13791</v>
      </c>
      <c r="B9963" t="s">
        <v>15775</v>
      </c>
      <c r="C9963" t="s">
        <v>16100</v>
      </c>
      <c r="D9963" t="s">
        <v>13798</v>
      </c>
      <c r="E9963" t="s">
        <v>14200</v>
      </c>
      <c r="F9963" t="s">
        <v>2699</v>
      </c>
      <c r="G9963" t="s">
        <v>15930</v>
      </c>
      <c r="H9963" t="s">
        <v>859</v>
      </c>
      <c r="I9963" t="s">
        <v>860</v>
      </c>
      <c r="J9963" t="str">
        <f>"9060563"</f>
        <v>9060563</v>
      </c>
      <c r="K9963">
        <v>2693023718</v>
      </c>
      <c r="M9963" t="s">
        <v>16101</v>
      </c>
      <c r="N9963" t="s">
        <v>16102</v>
      </c>
      <c r="O9963" t="s">
        <v>16103</v>
      </c>
      <c r="P9963">
        <v>25200</v>
      </c>
      <c r="Q9963" t="str">
        <f>"38.103009"</f>
        <v>38.103009</v>
      </c>
      <c r="R9963" t="str">
        <f>"21.548032"</f>
        <v>21.548032</v>
      </c>
      <c r="S9963" t="s">
        <v>26</v>
      </c>
    </row>
    <row r="9964" spans="1:19" x14ac:dyDescent="0.3">
      <c r="A9964" t="s">
        <v>13791</v>
      </c>
      <c r="B9964" t="s">
        <v>15775</v>
      </c>
      <c r="C9964" t="s">
        <v>16116</v>
      </c>
      <c r="D9964" t="s">
        <v>13798</v>
      </c>
      <c r="E9964" t="s">
        <v>14181</v>
      </c>
      <c r="F9964" t="s">
        <v>14182</v>
      </c>
      <c r="G9964" t="s">
        <v>14182</v>
      </c>
      <c r="H9964" t="s">
        <v>859</v>
      </c>
      <c r="I9964" t="s">
        <v>860</v>
      </c>
      <c r="J9964" t="str">
        <f>"9060416"</f>
        <v>9060416</v>
      </c>
      <c r="K9964">
        <v>2691029400</v>
      </c>
      <c r="M9964" t="s">
        <v>16117</v>
      </c>
      <c r="N9964" t="s">
        <v>14182</v>
      </c>
      <c r="O9964" t="s">
        <v>16118</v>
      </c>
      <c r="P9964">
        <v>25100</v>
      </c>
      <c r="Q9964" t="str">
        <f>"38.247412"</f>
        <v>38.247412</v>
      </c>
      <c r="R9964" t="str">
        <f>"22.076105"</f>
        <v>22.076105</v>
      </c>
      <c r="S9964" t="s">
        <v>26</v>
      </c>
    </row>
    <row r="9965" spans="1:19" x14ac:dyDescent="0.3">
      <c r="A9965" t="s">
        <v>13791</v>
      </c>
      <c r="B9965" t="s">
        <v>15775</v>
      </c>
      <c r="C9965" t="s">
        <v>16119</v>
      </c>
      <c r="D9965" t="s">
        <v>13798</v>
      </c>
      <c r="E9965" t="s">
        <v>14181</v>
      </c>
      <c r="F9965" t="s">
        <v>14182</v>
      </c>
      <c r="G9965" t="s">
        <v>14182</v>
      </c>
      <c r="H9965" t="s">
        <v>859</v>
      </c>
      <c r="I9965" t="s">
        <v>860</v>
      </c>
      <c r="J9965" t="str">
        <f>"9060417"</f>
        <v>9060417</v>
      </c>
      <c r="K9965">
        <v>2691025882</v>
      </c>
      <c r="L9965">
        <v>2691025882</v>
      </c>
      <c r="M9965" t="s">
        <v>16120</v>
      </c>
      <c r="N9965" t="s">
        <v>14182</v>
      </c>
      <c r="O9965" t="s">
        <v>16121</v>
      </c>
      <c r="P9965">
        <v>25100</v>
      </c>
      <c r="Q9965" t="str">
        <f>"38.246197"</f>
        <v>38.246197</v>
      </c>
      <c r="R9965" t="str">
        <f>"22.090281"</f>
        <v>22.090281</v>
      </c>
      <c r="S9965" t="s">
        <v>26</v>
      </c>
    </row>
    <row r="9966" spans="1:19" x14ac:dyDescent="0.3">
      <c r="A9966" t="s">
        <v>13791</v>
      </c>
      <c r="B9966" t="s">
        <v>15775</v>
      </c>
      <c r="C9966" t="s">
        <v>16122</v>
      </c>
      <c r="D9966" t="s">
        <v>13798</v>
      </c>
      <c r="E9966" t="s">
        <v>14181</v>
      </c>
      <c r="F9966" t="s">
        <v>14182</v>
      </c>
      <c r="G9966" t="s">
        <v>14182</v>
      </c>
      <c r="H9966" t="s">
        <v>859</v>
      </c>
      <c r="I9966" t="s">
        <v>860</v>
      </c>
      <c r="J9966" t="str">
        <f>"9060470"</f>
        <v>9060470</v>
      </c>
      <c r="K9966">
        <v>2691022149</v>
      </c>
      <c r="L9966">
        <v>2691022149</v>
      </c>
      <c r="M9966" t="s">
        <v>16123</v>
      </c>
      <c r="N9966" t="s">
        <v>14182</v>
      </c>
      <c r="O9966" t="s">
        <v>16124</v>
      </c>
      <c r="P9966">
        <v>25100</v>
      </c>
      <c r="Q9966" t="str">
        <f>"38.254140"</f>
        <v>38.254140</v>
      </c>
      <c r="R9966" t="str">
        <f>"22.103063"</f>
        <v>22.103063</v>
      </c>
      <c r="S9966" t="s">
        <v>26</v>
      </c>
    </row>
    <row r="9967" spans="1:19" x14ac:dyDescent="0.3">
      <c r="A9967" t="s">
        <v>13791</v>
      </c>
      <c r="B9967" t="s">
        <v>15775</v>
      </c>
      <c r="C9967" t="s">
        <v>16125</v>
      </c>
      <c r="D9967" t="s">
        <v>13798</v>
      </c>
      <c r="E9967" t="s">
        <v>14181</v>
      </c>
      <c r="F9967" t="s">
        <v>14182</v>
      </c>
      <c r="G9967" t="s">
        <v>14182</v>
      </c>
      <c r="H9967" t="s">
        <v>859</v>
      </c>
      <c r="I9967" t="s">
        <v>860</v>
      </c>
      <c r="J9967" t="str">
        <f>"9060540"</f>
        <v>9060540</v>
      </c>
      <c r="K9967">
        <v>2691026508</v>
      </c>
      <c r="L9967">
        <v>2691026508</v>
      </c>
      <c r="M9967" t="s">
        <v>16126</v>
      </c>
      <c r="N9967" t="s">
        <v>14182</v>
      </c>
      <c r="O9967" t="s">
        <v>16127</v>
      </c>
      <c r="P9967">
        <v>25100</v>
      </c>
      <c r="Q9967" t="str">
        <f>"38.249960"</f>
        <v>38.249960</v>
      </c>
      <c r="R9967" t="str">
        <f>"22.083213"</f>
        <v>22.083213</v>
      </c>
      <c r="S9967" t="s">
        <v>26</v>
      </c>
    </row>
    <row r="9968" spans="1:19" x14ac:dyDescent="0.3">
      <c r="A9968" t="s">
        <v>13791</v>
      </c>
      <c r="B9968" t="s">
        <v>15775</v>
      </c>
      <c r="C9968" t="s">
        <v>16128</v>
      </c>
      <c r="D9968" t="s">
        <v>13798</v>
      </c>
      <c r="E9968" t="s">
        <v>13799</v>
      </c>
      <c r="F9968" t="s">
        <v>14212</v>
      </c>
      <c r="G9968" t="s">
        <v>14212</v>
      </c>
      <c r="H9968" t="s">
        <v>859</v>
      </c>
      <c r="I9968" t="s">
        <v>860</v>
      </c>
      <c r="J9968" t="str">
        <f>"9060455"</f>
        <v>9060455</v>
      </c>
      <c r="K9968">
        <v>2610526210</v>
      </c>
      <c r="L9968">
        <v>2610522619</v>
      </c>
      <c r="M9968" t="s">
        <v>16129</v>
      </c>
      <c r="N9968" t="s">
        <v>14212</v>
      </c>
      <c r="O9968" t="s">
        <v>16130</v>
      </c>
      <c r="P9968">
        <v>26333</v>
      </c>
      <c r="Q9968" t="str">
        <f>"38.197415"</f>
        <v>38.197415</v>
      </c>
      <c r="R9968" t="str">
        <f>"21.710543"</f>
        <v>21.710543</v>
      </c>
      <c r="S9968" t="s">
        <v>26</v>
      </c>
    </row>
    <row r="9969" spans="1:19" x14ac:dyDescent="0.3">
      <c r="A9969" t="s">
        <v>13791</v>
      </c>
      <c r="B9969" t="s">
        <v>15775</v>
      </c>
      <c r="C9969" t="s">
        <v>16131</v>
      </c>
      <c r="D9969" t="s">
        <v>13798</v>
      </c>
      <c r="E9969" t="s">
        <v>14181</v>
      </c>
      <c r="F9969" t="s">
        <v>14182</v>
      </c>
      <c r="G9969" t="s">
        <v>14182</v>
      </c>
      <c r="H9969" t="s">
        <v>859</v>
      </c>
      <c r="I9969" t="s">
        <v>860</v>
      </c>
      <c r="J9969" t="str">
        <f>"9060562"</f>
        <v>9060562</v>
      </c>
      <c r="K9969">
        <v>2691027744</v>
      </c>
      <c r="L9969">
        <v>2691027744</v>
      </c>
      <c r="M9969" t="s">
        <v>16132</v>
      </c>
      <c r="N9969" t="s">
        <v>14182</v>
      </c>
      <c r="O9969" t="s">
        <v>16133</v>
      </c>
      <c r="P9969">
        <v>25100</v>
      </c>
      <c r="Q9969" t="str">
        <f>"38.239299"</f>
        <v>38.239299</v>
      </c>
      <c r="R9969" t="str">
        <f>"22.092949"</f>
        <v>22.092949</v>
      </c>
      <c r="S9969" t="s">
        <v>26</v>
      </c>
    </row>
    <row r="9970" spans="1:19" x14ac:dyDescent="0.3">
      <c r="A9970" t="s">
        <v>13791</v>
      </c>
      <c r="B9970" t="s">
        <v>15775</v>
      </c>
      <c r="C9970" t="s">
        <v>16134</v>
      </c>
      <c r="D9970" t="s">
        <v>13798</v>
      </c>
      <c r="E9970" t="s">
        <v>13799</v>
      </c>
      <c r="F9970" t="s">
        <v>13799</v>
      </c>
      <c r="G9970" t="s">
        <v>14236</v>
      </c>
      <c r="H9970" t="s">
        <v>859</v>
      </c>
      <c r="I9970" t="s">
        <v>860</v>
      </c>
      <c r="J9970" t="str">
        <f>"9060494"</f>
        <v>9060494</v>
      </c>
      <c r="K9970">
        <v>2610338527</v>
      </c>
      <c r="L9970">
        <v>2610338527</v>
      </c>
      <c r="M9970" t="s">
        <v>16135</v>
      </c>
      <c r="N9970" t="s">
        <v>14309</v>
      </c>
      <c r="O9970" t="s">
        <v>9620</v>
      </c>
      <c r="P9970">
        <v>26332</v>
      </c>
      <c r="Q9970" t="str">
        <f>"38.217430"</f>
        <v>38.217430</v>
      </c>
      <c r="R9970" t="str">
        <f>"21.737360"</f>
        <v>21.737360</v>
      </c>
      <c r="S9970" t="s">
        <v>26</v>
      </c>
    </row>
    <row r="9971" spans="1:19" x14ac:dyDescent="0.3">
      <c r="A9971" t="s">
        <v>13791</v>
      </c>
      <c r="B9971" t="s">
        <v>15775</v>
      </c>
      <c r="C9971" t="s">
        <v>16136</v>
      </c>
      <c r="D9971" t="s">
        <v>13798</v>
      </c>
      <c r="E9971" t="s">
        <v>14181</v>
      </c>
      <c r="F9971" t="s">
        <v>14182</v>
      </c>
      <c r="G9971" t="s">
        <v>14182</v>
      </c>
      <c r="H9971" t="s">
        <v>859</v>
      </c>
      <c r="I9971" t="s">
        <v>860</v>
      </c>
      <c r="J9971" t="str">
        <f>"9060597"</f>
        <v>9060597</v>
      </c>
      <c r="K9971">
        <v>2691022988</v>
      </c>
      <c r="L9971">
        <v>2691068476</v>
      </c>
      <c r="M9971" t="s">
        <v>16137</v>
      </c>
      <c r="N9971" t="s">
        <v>14182</v>
      </c>
      <c r="O9971" t="s">
        <v>16138</v>
      </c>
      <c r="P9971">
        <v>25100</v>
      </c>
      <c r="Q9971" t="str">
        <f>"38.258645"</f>
        <v>38.258645</v>
      </c>
      <c r="R9971" t="str">
        <f>"22.067912"</f>
        <v>22.067912</v>
      </c>
      <c r="S9971" t="s">
        <v>26</v>
      </c>
    </row>
    <row r="9972" spans="1:19" x14ac:dyDescent="0.3">
      <c r="A9972" t="s">
        <v>13791</v>
      </c>
      <c r="B9972" t="s">
        <v>15775</v>
      </c>
      <c r="C9972" t="s">
        <v>16144</v>
      </c>
      <c r="D9972" t="s">
        <v>13798</v>
      </c>
      <c r="E9972" t="s">
        <v>13799</v>
      </c>
      <c r="F9972" t="s">
        <v>13799</v>
      </c>
      <c r="G9972" t="s">
        <v>13809</v>
      </c>
      <c r="H9972" t="s">
        <v>859</v>
      </c>
      <c r="I9972" t="s">
        <v>860</v>
      </c>
      <c r="J9972" t="str">
        <f>"9060393"</f>
        <v>9060393</v>
      </c>
      <c r="K9972">
        <v>2610222366</v>
      </c>
      <c r="L9972">
        <v>2610222366</v>
      </c>
      <c r="M9972" t="s">
        <v>16145</v>
      </c>
      <c r="N9972" t="s">
        <v>14309</v>
      </c>
      <c r="O9972" t="s">
        <v>16146</v>
      </c>
      <c r="P9972">
        <v>26223</v>
      </c>
      <c r="Q9972" t="str">
        <f>"38.250157"</f>
        <v>38.250157</v>
      </c>
      <c r="R9972" t="str">
        <f>"21.739356"</f>
        <v>21.739356</v>
      </c>
      <c r="S9972" t="s">
        <v>26</v>
      </c>
    </row>
    <row r="9973" spans="1:19" x14ac:dyDescent="0.3">
      <c r="A9973" t="s">
        <v>13791</v>
      </c>
      <c r="B9973" t="s">
        <v>15775</v>
      </c>
      <c r="C9973" t="s">
        <v>16147</v>
      </c>
      <c r="D9973" t="s">
        <v>13798</v>
      </c>
      <c r="E9973" t="s">
        <v>14223</v>
      </c>
      <c r="F9973" t="s">
        <v>14223</v>
      </c>
      <c r="G9973" t="s">
        <v>14223</v>
      </c>
      <c r="H9973" t="s">
        <v>859</v>
      </c>
      <c r="I9973" t="s">
        <v>860</v>
      </c>
      <c r="J9973" t="str">
        <f>"9060069"</f>
        <v>9060069</v>
      </c>
      <c r="K9973">
        <v>2692022658</v>
      </c>
      <c r="L9973">
        <v>2692022658</v>
      </c>
      <c r="M9973" t="s">
        <v>16148</v>
      </c>
      <c r="N9973" t="s">
        <v>14223</v>
      </c>
      <c r="O9973" t="s">
        <v>16149</v>
      </c>
      <c r="P9973">
        <v>25001</v>
      </c>
      <c r="Q9973" t="str">
        <f>"38.034077"</f>
        <v>38.034077</v>
      </c>
      <c r="R9973" t="str">
        <f>"22.108243"</f>
        <v>22.108243</v>
      </c>
      <c r="S9973" t="s">
        <v>26</v>
      </c>
    </row>
    <row r="9974" spans="1:19" x14ac:dyDescent="0.3">
      <c r="A9974" t="s">
        <v>13791</v>
      </c>
      <c r="B9974" t="s">
        <v>15775</v>
      </c>
      <c r="C9974" t="s">
        <v>16155</v>
      </c>
      <c r="D9974" t="s">
        <v>13798</v>
      </c>
      <c r="E9974" t="s">
        <v>13799</v>
      </c>
      <c r="F9974" t="s">
        <v>13799</v>
      </c>
      <c r="G9974" t="s">
        <v>13809</v>
      </c>
      <c r="H9974" t="s">
        <v>859</v>
      </c>
      <c r="I9974" t="s">
        <v>860</v>
      </c>
      <c r="J9974" t="str">
        <f>"9060395"</f>
        <v>9060395</v>
      </c>
      <c r="K9974">
        <v>2610222130</v>
      </c>
      <c r="M9974" t="s">
        <v>16156</v>
      </c>
      <c r="N9974" t="s">
        <v>14309</v>
      </c>
      <c r="O9974" t="s">
        <v>16157</v>
      </c>
      <c r="P9974">
        <v>26225</v>
      </c>
      <c r="Q9974" t="str">
        <f>"38.247850"</f>
        <v>38.247850</v>
      </c>
      <c r="R9974" t="str">
        <f>"21.742686"</f>
        <v>21.742686</v>
      </c>
      <c r="S9974" t="s">
        <v>26</v>
      </c>
    </row>
    <row r="9975" spans="1:19" x14ac:dyDescent="0.3">
      <c r="A9975" t="s">
        <v>13791</v>
      </c>
      <c r="B9975" t="s">
        <v>15775</v>
      </c>
      <c r="C9975" t="s">
        <v>16162</v>
      </c>
      <c r="D9975" t="s">
        <v>13798</v>
      </c>
      <c r="E9975" t="s">
        <v>13799</v>
      </c>
      <c r="F9975" t="s">
        <v>13799</v>
      </c>
      <c r="G9975" t="s">
        <v>13809</v>
      </c>
      <c r="H9975" t="s">
        <v>859</v>
      </c>
      <c r="I9975" t="s">
        <v>860</v>
      </c>
      <c r="J9975" t="str">
        <f>"9060456"</f>
        <v>9060456</v>
      </c>
      <c r="K9975">
        <v>2610321584</v>
      </c>
      <c r="L9975">
        <v>2610321584</v>
      </c>
      <c r="M9975" t="s">
        <v>16163</v>
      </c>
      <c r="N9975" t="s">
        <v>14309</v>
      </c>
      <c r="O9975" t="s">
        <v>16164</v>
      </c>
      <c r="P9975">
        <v>26222</v>
      </c>
      <c r="Q9975" t="str">
        <f>"38.240650"</f>
        <v>38.240650</v>
      </c>
      <c r="R9975" t="str">
        <f>"21.729788"</f>
        <v>21.729788</v>
      </c>
      <c r="S9975" t="s">
        <v>26</v>
      </c>
    </row>
    <row r="9976" spans="1:19" x14ac:dyDescent="0.3">
      <c r="A9976" t="s">
        <v>13791</v>
      </c>
      <c r="B9976" t="s">
        <v>15775</v>
      </c>
      <c r="C9976" t="s">
        <v>16170</v>
      </c>
      <c r="D9976" t="s">
        <v>13798</v>
      </c>
      <c r="E9976" t="s">
        <v>14200</v>
      </c>
      <c r="F9976" t="s">
        <v>14286</v>
      </c>
      <c r="G9976" t="s">
        <v>16169</v>
      </c>
      <c r="H9976" t="s">
        <v>859</v>
      </c>
      <c r="I9976" t="s">
        <v>860</v>
      </c>
      <c r="J9976" t="str">
        <f>"9060496"</f>
        <v>9060496</v>
      </c>
      <c r="K9976">
        <v>2693099032</v>
      </c>
      <c r="L9976">
        <v>2693099032</v>
      </c>
      <c r="M9976" t="s">
        <v>16171</v>
      </c>
      <c r="N9976" t="s">
        <v>16169</v>
      </c>
      <c r="O9976" t="s">
        <v>16172</v>
      </c>
      <c r="P9976">
        <v>25200</v>
      </c>
      <c r="Q9976" t="str">
        <f>"38.040342"</f>
        <v>38.040342</v>
      </c>
      <c r="R9976" t="str">
        <f>"21.448450"</f>
        <v>21.448450</v>
      </c>
      <c r="S9976" t="s">
        <v>26</v>
      </c>
    </row>
    <row r="9977" spans="1:19" x14ac:dyDescent="0.3">
      <c r="A9977" t="s">
        <v>13791</v>
      </c>
      <c r="B9977" t="s">
        <v>15775</v>
      </c>
      <c r="C9977" t="s">
        <v>16173</v>
      </c>
      <c r="D9977" t="s">
        <v>13798</v>
      </c>
      <c r="E9977" t="s">
        <v>13799</v>
      </c>
      <c r="F9977" t="s">
        <v>14212</v>
      </c>
      <c r="G9977" t="s">
        <v>14212</v>
      </c>
      <c r="H9977" t="s">
        <v>859</v>
      </c>
      <c r="I9977" t="s">
        <v>860</v>
      </c>
      <c r="J9977" t="str">
        <f>"9060408"</f>
        <v>9060408</v>
      </c>
      <c r="K9977">
        <v>2610523550</v>
      </c>
      <c r="M9977" t="s">
        <v>16174</v>
      </c>
      <c r="N9977" t="s">
        <v>14212</v>
      </c>
      <c r="O9977" t="s">
        <v>16175</v>
      </c>
      <c r="P9977">
        <v>26333</v>
      </c>
      <c r="Q9977" t="str">
        <f>"38.195503"</f>
        <v>38.195503</v>
      </c>
      <c r="R9977" t="str">
        <f>"21.696939"</f>
        <v>21.696939</v>
      </c>
      <c r="S9977" t="s">
        <v>26</v>
      </c>
    </row>
    <row r="9978" spans="1:19" x14ac:dyDescent="0.3">
      <c r="A9978" t="s">
        <v>13791</v>
      </c>
      <c r="B9978" t="s">
        <v>15775</v>
      </c>
      <c r="C9978" t="s">
        <v>16176</v>
      </c>
      <c r="D9978" t="s">
        <v>13798</v>
      </c>
      <c r="E9978" t="s">
        <v>14188</v>
      </c>
      <c r="F9978" t="s">
        <v>14391</v>
      </c>
      <c r="G9978" t="s">
        <v>14392</v>
      </c>
      <c r="H9978" t="s">
        <v>859</v>
      </c>
      <c r="I9978" t="s">
        <v>860</v>
      </c>
      <c r="J9978" t="str">
        <f>"9520707"</f>
        <v>9520707</v>
      </c>
      <c r="K9978">
        <v>2694031277</v>
      </c>
      <c r="M9978" t="s">
        <v>16177</v>
      </c>
      <c r="N9978" t="s">
        <v>14392</v>
      </c>
      <c r="O9978" t="s">
        <v>14396</v>
      </c>
      <c r="P9978">
        <v>25015</v>
      </c>
      <c r="Q9978" t="str">
        <f>"37.980131"</f>
        <v>37.980131</v>
      </c>
      <c r="R9978" t="str">
        <f>"21.729373"</f>
        <v>21.729373</v>
      </c>
      <c r="S9978" t="s">
        <v>26</v>
      </c>
    </row>
    <row r="9979" spans="1:19" x14ac:dyDescent="0.3">
      <c r="A9979" t="s">
        <v>13791</v>
      </c>
      <c r="B9979" t="s">
        <v>15775</v>
      </c>
      <c r="C9979" t="s">
        <v>16178</v>
      </c>
      <c r="D9979" t="s">
        <v>13798</v>
      </c>
      <c r="E9979" t="s">
        <v>13799</v>
      </c>
      <c r="F9979" t="s">
        <v>14276</v>
      </c>
      <c r="G9979" t="s">
        <v>16092</v>
      </c>
      <c r="H9979" t="s">
        <v>859</v>
      </c>
      <c r="I9979" t="s">
        <v>860</v>
      </c>
      <c r="J9979" t="str">
        <f>"9060605"</f>
        <v>9060605</v>
      </c>
      <c r="K9979">
        <v>2610995731</v>
      </c>
      <c r="L9979">
        <v>2610995731</v>
      </c>
      <c r="M9979" t="s">
        <v>16179</v>
      </c>
      <c r="N9979" t="s">
        <v>16092</v>
      </c>
      <c r="O9979" t="s">
        <v>16180</v>
      </c>
      <c r="P9979">
        <v>26504</v>
      </c>
      <c r="Q9979" t="str">
        <f>"38.301867"</f>
        <v>38.301867</v>
      </c>
      <c r="R9979" t="str">
        <f>"21.795440"</f>
        <v>21.795440</v>
      </c>
      <c r="S9979" t="s">
        <v>26</v>
      </c>
    </row>
    <row r="9980" spans="1:19" x14ac:dyDescent="0.3">
      <c r="A9980" t="s">
        <v>13791</v>
      </c>
      <c r="B9980" t="s">
        <v>15775</v>
      </c>
      <c r="C9980" t="s">
        <v>16190</v>
      </c>
      <c r="D9980" t="s">
        <v>13798</v>
      </c>
      <c r="E9980" t="s">
        <v>13799</v>
      </c>
      <c r="F9980" t="s">
        <v>13799</v>
      </c>
      <c r="G9980" t="s">
        <v>13809</v>
      </c>
      <c r="H9980" t="s">
        <v>859</v>
      </c>
      <c r="I9980" t="s">
        <v>860</v>
      </c>
      <c r="J9980" t="str">
        <f>"9060233"</f>
        <v>9060233</v>
      </c>
      <c r="K9980">
        <v>2610427105</v>
      </c>
      <c r="M9980" t="s">
        <v>16191</v>
      </c>
      <c r="N9980" t="s">
        <v>14309</v>
      </c>
      <c r="O9980" t="s">
        <v>16192</v>
      </c>
      <c r="P9980">
        <v>26441</v>
      </c>
      <c r="Q9980" t="str">
        <f>"38.258616"</f>
        <v>38.258616</v>
      </c>
      <c r="R9980" t="str">
        <f>"21.745282"</f>
        <v>21.745282</v>
      </c>
      <c r="S9980" t="s">
        <v>26</v>
      </c>
    </row>
    <row r="9981" spans="1:19" x14ac:dyDescent="0.3">
      <c r="A9981" t="s">
        <v>13791</v>
      </c>
      <c r="B9981" t="s">
        <v>15775</v>
      </c>
      <c r="C9981" t="s">
        <v>16193</v>
      </c>
      <c r="D9981" t="s">
        <v>13798</v>
      </c>
      <c r="E9981" t="s">
        <v>13799</v>
      </c>
      <c r="F9981" t="s">
        <v>13799</v>
      </c>
      <c r="G9981" t="s">
        <v>14241</v>
      </c>
      <c r="H9981" t="s">
        <v>859</v>
      </c>
      <c r="I9981" t="s">
        <v>860</v>
      </c>
      <c r="J9981" t="str">
        <f>"9060301"</f>
        <v>9060301</v>
      </c>
      <c r="K9981">
        <v>2610225300</v>
      </c>
      <c r="L9981">
        <v>2610225300</v>
      </c>
      <c r="M9981" t="s">
        <v>16194</v>
      </c>
      <c r="N9981" t="s">
        <v>13803</v>
      </c>
      <c r="O9981" t="s">
        <v>16195</v>
      </c>
      <c r="P9981">
        <v>26331</v>
      </c>
      <c r="Q9981" t="str">
        <f>"38.243813"</f>
        <v>38.243813</v>
      </c>
      <c r="R9981" t="str">
        <f>"21.753548"</f>
        <v>21.753548</v>
      </c>
      <c r="S9981" t="s">
        <v>26</v>
      </c>
    </row>
    <row r="9982" spans="1:19" x14ac:dyDescent="0.3">
      <c r="A9982" t="s">
        <v>13791</v>
      </c>
      <c r="B9982" t="s">
        <v>15775</v>
      </c>
      <c r="C9982" t="s">
        <v>16196</v>
      </c>
      <c r="D9982" t="s">
        <v>13798</v>
      </c>
      <c r="E9982" t="s">
        <v>13799</v>
      </c>
      <c r="F9982" t="s">
        <v>13799</v>
      </c>
      <c r="G9982" t="s">
        <v>13809</v>
      </c>
      <c r="H9982" t="s">
        <v>859</v>
      </c>
      <c r="I9982" t="s">
        <v>860</v>
      </c>
      <c r="J9982" t="str">
        <f>"9060412"</f>
        <v>9060412</v>
      </c>
      <c r="K9982">
        <v>2610226049</v>
      </c>
      <c r="L9982">
        <v>2610226049</v>
      </c>
      <c r="M9982" t="s">
        <v>16197</v>
      </c>
      <c r="N9982" t="s">
        <v>14309</v>
      </c>
      <c r="O9982" t="s">
        <v>16198</v>
      </c>
      <c r="P9982">
        <v>26225</v>
      </c>
      <c r="Q9982" t="str">
        <f>"38.242684"</f>
        <v>38.242684</v>
      </c>
      <c r="R9982" t="str">
        <f>"21.737034"</f>
        <v>21.737034</v>
      </c>
      <c r="S9982" t="s">
        <v>26</v>
      </c>
    </row>
    <row r="9983" spans="1:19" x14ac:dyDescent="0.3">
      <c r="A9983" t="s">
        <v>13791</v>
      </c>
      <c r="B9983" t="s">
        <v>15775</v>
      </c>
      <c r="C9983" t="s">
        <v>16199</v>
      </c>
      <c r="D9983" t="s">
        <v>13798</v>
      </c>
      <c r="E9983" t="s">
        <v>13799</v>
      </c>
      <c r="F9983" t="s">
        <v>13799</v>
      </c>
      <c r="G9983" t="s">
        <v>13809</v>
      </c>
      <c r="H9983" t="s">
        <v>859</v>
      </c>
      <c r="I9983" t="s">
        <v>860</v>
      </c>
      <c r="J9983" t="str">
        <f>"9060413"</f>
        <v>9060413</v>
      </c>
      <c r="K9983">
        <v>2610428467</v>
      </c>
      <c r="L9983">
        <v>2610452619</v>
      </c>
      <c r="M9983" t="s">
        <v>16200</v>
      </c>
      <c r="N9983" t="s">
        <v>14309</v>
      </c>
      <c r="O9983" t="s">
        <v>16192</v>
      </c>
      <c r="P9983">
        <v>26441</v>
      </c>
      <c r="Q9983" t="str">
        <f>"38.258616"</f>
        <v>38.258616</v>
      </c>
      <c r="R9983" t="str">
        <f>"21.745282"</f>
        <v>21.745282</v>
      </c>
      <c r="S9983" t="s">
        <v>26</v>
      </c>
    </row>
    <row r="9984" spans="1:19" x14ac:dyDescent="0.3">
      <c r="A9984" t="s">
        <v>13791</v>
      </c>
      <c r="B9984" t="s">
        <v>15775</v>
      </c>
      <c r="C9984" t="s">
        <v>16201</v>
      </c>
      <c r="D9984" t="s">
        <v>13798</v>
      </c>
      <c r="E9984" t="s">
        <v>13799</v>
      </c>
      <c r="F9984" t="s">
        <v>13799</v>
      </c>
      <c r="G9984" t="s">
        <v>14241</v>
      </c>
      <c r="H9984" t="s">
        <v>859</v>
      </c>
      <c r="I9984" t="s">
        <v>860</v>
      </c>
      <c r="J9984" t="str">
        <f>"9060454"</f>
        <v>9060454</v>
      </c>
      <c r="K9984">
        <v>2610275403</v>
      </c>
      <c r="L9984">
        <v>2610275403</v>
      </c>
      <c r="M9984" t="s">
        <v>16202</v>
      </c>
      <c r="N9984" t="s">
        <v>14309</v>
      </c>
      <c r="O9984" t="s">
        <v>16203</v>
      </c>
      <c r="P9984">
        <v>26331</v>
      </c>
      <c r="Q9984" t="str">
        <f>"38.244904"</f>
        <v>38.244904</v>
      </c>
      <c r="R9984" t="str">
        <f>"21.744393"</f>
        <v>21.744393</v>
      </c>
      <c r="S9984" t="s">
        <v>26</v>
      </c>
    </row>
    <row r="9985" spans="1:19" x14ac:dyDescent="0.3">
      <c r="A9985" t="s">
        <v>13791</v>
      </c>
      <c r="B9985" t="s">
        <v>15775</v>
      </c>
      <c r="C9985" t="s">
        <v>16204</v>
      </c>
      <c r="D9985" t="s">
        <v>13798</v>
      </c>
      <c r="E9985" t="s">
        <v>13799</v>
      </c>
      <c r="F9985" t="s">
        <v>13799</v>
      </c>
      <c r="G9985" t="s">
        <v>14241</v>
      </c>
      <c r="H9985" t="s">
        <v>859</v>
      </c>
      <c r="I9985" t="s">
        <v>860</v>
      </c>
      <c r="J9985" t="str">
        <f>"9060303"</f>
        <v>9060303</v>
      </c>
      <c r="K9985">
        <v>2610270212</v>
      </c>
      <c r="M9985" t="s">
        <v>16205</v>
      </c>
      <c r="N9985" t="s">
        <v>14309</v>
      </c>
      <c r="O9985" t="s">
        <v>16078</v>
      </c>
      <c r="P9985">
        <v>26335</v>
      </c>
      <c r="Q9985" t="str">
        <f>"38.237621"</f>
        <v>38.237621</v>
      </c>
      <c r="R9985" t="str">
        <f>"21.747149"</f>
        <v>21.747149</v>
      </c>
      <c r="S9985" t="s">
        <v>26</v>
      </c>
    </row>
    <row r="9986" spans="1:19" x14ac:dyDescent="0.3">
      <c r="A9986" t="s">
        <v>13791</v>
      </c>
      <c r="B9986" t="s">
        <v>15775</v>
      </c>
      <c r="C9986" t="s">
        <v>16206</v>
      </c>
      <c r="D9986" t="s">
        <v>13798</v>
      </c>
      <c r="E9986" t="s">
        <v>13799</v>
      </c>
      <c r="F9986" t="s">
        <v>13799</v>
      </c>
      <c r="G9986" t="s">
        <v>13800</v>
      </c>
      <c r="H9986" t="s">
        <v>859</v>
      </c>
      <c r="I9986" t="s">
        <v>860</v>
      </c>
      <c r="J9986" t="str">
        <f>"9060458"</f>
        <v>9060458</v>
      </c>
      <c r="K9986">
        <v>2610432047</v>
      </c>
      <c r="L9986">
        <v>2610432047</v>
      </c>
      <c r="M9986" t="s">
        <v>16207</v>
      </c>
      <c r="N9986" t="s">
        <v>14309</v>
      </c>
      <c r="O9986" t="s">
        <v>16208</v>
      </c>
      <c r="P9986">
        <v>26442</v>
      </c>
      <c r="Q9986" t="str">
        <f>"38.271522"</f>
        <v>38.271522</v>
      </c>
      <c r="R9986" t="str">
        <f>"21.744637"</f>
        <v>21.744637</v>
      </c>
      <c r="S9986" t="s">
        <v>26</v>
      </c>
    </row>
    <row r="9987" spans="1:19" x14ac:dyDescent="0.3">
      <c r="A9987" t="s">
        <v>13791</v>
      </c>
      <c r="B9987" t="s">
        <v>15775</v>
      </c>
      <c r="C9987" t="s">
        <v>16209</v>
      </c>
      <c r="D9987" t="s">
        <v>13798</v>
      </c>
      <c r="E9987" t="s">
        <v>13799</v>
      </c>
      <c r="F9987" t="s">
        <v>13799</v>
      </c>
      <c r="G9987" t="s">
        <v>13809</v>
      </c>
      <c r="H9987" t="s">
        <v>859</v>
      </c>
      <c r="I9987" t="s">
        <v>860</v>
      </c>
      <c r="J9987" t="str">
        <f>"9060459"</f>
        <v>9060459</v>
      </c>
      <c r="K9987">
        <v>2610453698</v>
      </c>
      <c r="L9987">
        <v>2610453698</v>
      </c>
      <c r="M9987" t="s">
        <v>16210</v>
      </c>
      <c r="N9987" t="s">
        <v>14309</v>
      </c>
      <c r="O9987" t="s">
        <v>16211</v>
      </c>
      <c r="P9987">
        <v>26223</v>
      </c>
      <c r="Q9987" t="str">
        <f>"38.251353"</f>
        <v>38.251353</v>
      </c>
      <c r="R9987" t="str">
        <f>"21.749201"</f>
        <v>21.749201</v>
      </c>
      <c r="S9987" t="s">
        <v>26</v>
      </c>
    </row>
    <row r="9988" spans="1:19" x14ac:dyDescent="0.3">
      <c r="A9988" t="s">
        <v>13791</v>
      </c>
      <c r="B9988" t="s">
        <v>15775</v>
      </c>
      <c r="C9988" t="s">
        <v>16212</v>
      </c>
      <c r="D9988" t="s">
        <v>13798</v>
      </c>
      <c r="E9988" t="s">
        <v>13799</v>
      </c>
      <c r="F9988" t="s">
        <v>13799</v>
      </c>
      <c r="G9988" t="s">
        <v>13800</v>
      </c>
      <c r="H9988" t="s">
        <v>859</v>
      </c>
      <c r="I9988" t="s">
        <v>860</v>
      </c>
      <c r="J9988" t="str">
        <f>"9060466"</f>
        <v>9060466</v>
      </c>
      <c r="K9988">
        <v>2610427206</v>
      </c>
      <c r="L9988">
        <v>2610427206</v>
      </c>
      <c r="M9988" t="s">
        <v>16213</v>
      </c>
      <c r="N9988" t="s">
        <v>13803</v>
      </c>
      <c r="O9988" t="s">
        <v>16214</v>
      </c>
      <c r="P9988">
        <v>26443</v>
      </c>
      <c r="Q9988" t="str">
        <f>"38.268043"</f>
        <v>38.268043</v>
      </c>
      <c r="R9988" t="str">
        <f>"21.757215"</f>
        <v>21.757215</v>
      </c>
      <c r="S9988" t="s">
        <v>26</v>
      </c>
    </row>
    <row r="9989" spans="1:19" x14ac:dyDescent="0.3">
      <c r="A9989" t="s">
        <v>13791</v>
      </c>
      <c r="B9989" t="s">
        <v>15775</v>
      </c>
      <c r="C9989" t="s">
        <v>16215</v>
      </c>
      <c r="D9989" t="s">
        <v>13798</v>
      </c>
      <c r="E9989" t="s">
        <v>13799</v>
      </c>
      <c r="F9989" t="s">
        <v>13799</v>
      </c>
      <c r="G9989" t="s">
        <v>13800</v>
      </c>
      <c r="H9989" t="s">
        <v>859</v>
      </c>
      <c r="I9989" t="s">
        <v>860</v>
      </c>
      <c r="J9989" t="str">
        <f>"9060463"</f>
        <v>9060463</v>
      </c>
      <c r="K9989">
        <v>2610422913</v>
      </c>
      <c r="L9989">
        <v>2610422913</v>
      </c>
      <c r="M9989" t="s">
        <v>16216</v>
      </c>
      <c r="N9989" t="s">
        <v>14309</v>
      </c>
      <c r="O9989" t="s">
        <v>16217</v>
      </c>
      <c r="P9989">
        <v>26443</v>
      </c>
      <c r="Q9989" t="str">
        <f>"38.280349"</f>
        <v>38.280349</v>
      </c>
      <c r="R9989" t="str">
        <f>"21.773367"</f>
        <v>21.773367</v>
      </c>
      <c r="S9989" t="s">
        <v>26</v>
      </c>
    </row>
    <row r="9990" spans="1:19" x14ac:dyDescent="0.3">
      <c r="A9990" t="s">
        <v>13791</v>
      </c>
      <c r="B9990" t="s">
        <v>15775</v>
      </c>
      <c r="C9990" t="s">
        <v>16218</v>
      </c>
      <c r="D9990" t="s">
        <v>13798</v>
      </c>
      <c r="E9990" t="s">
        <v>14200</v>
      </c>
      <c r="F9990" t="s">
        <v>14201</v>
      </c>
      <c r="G9990" t="s">
        <v>15836</v>
      </c>
      <c r="H9990" t="s">
        <v>859</v>
      </c>
      <c r="I9990" t="s">
        <v>860</v>
      </c>
      <c r="J9990" t="str">
        <f>"9060188"</f>
        <v>9060188</v>
      </c>
      <c r="K9990">
        <v>2693051244</v>
      </c>
      <c r="L9990">
        <v>2693051133</v>
      </c>
      <c r="M9990" t="s">
        <v>16219</v>
      </c>
      <c r="N9990" t="s">
        <v>15836</v>
      </c>
      <c r="O9990" t="s">
        <v>16220</v>
      </c>
      <c r="P9990">
        <v>25200</v>
      </c>
      <c r="Q9990" t="str">
        <f>"38.141153"</f>
        <v>38.141153</v>
      </c>
      <c r="R9990" t="str">
        <f>"21.480469"</f>
        <v>21.480469</v>
      </c>
      <c r="S9990" t="s">
        <v>26</v>
      </c>
    </row>
    <row r="9991" spans="1:19" x14ac:dyDescent="0.3">
      <c r="A9991" t="s">
        <v>13791</v>
      </c>
      <c r="B9991" t="s">
        <v>15775</v>
      </c>
      <c r="C9991" t="s">
        <v>16221</v>
      </c>
      <c r="D9991" t="s">
        <v>13798</v>
      </c>
      <c r="E9991" t="s">
        <v>14200</v>
      </c>
      <c r="F9991" t="s">
        <v>14286</v>
      </c>
      <c r="G9991" t="s">
        <v>15887</v>
      </c>
      <c r="H9991" t="s">
        <v>859</v>
      </c>
      <c r="I9991" t="s">
        <v>860</v>
      </c>
      <c r="J9991" t="str">
        <f>"9060611"</f>
        <v>9060611</v>
      </c>
      <c r="K9991">
        <v>2693031390</v>
      </c>
      <c r="L9991">
        <v>2693031390</v>
      </c>
      <c r="M9991" t="s">
        <v>16222</v>
      </c>
      <c r="N9991" t="s">
        <v>16223</v>
      </c>
      <c r="O9991" t="s">
        <v>16224</v>
      </c>
      <c r="P9991">
        <v>25200</v>
      </c>
      <c r="Q9991" t="str">
        <f>"38.073694"</f>
        <v>38.073694</v>
      </c>
      <c r="R9991" t="str">
        <f>"21.428838"</f>
        <v>21.428838</v>
      </c>
      <c r="S9991" t="s">
        <v>26</v>
      </c>
    </row>
    <row r="9992" spans="1:19" x14ac:dyDescent="0.3">
      <c r="A9992" t="s">
        <v>13791</v>
      </c>
      <c r="B9992" t="s">
        <v>15775</v>
      </c>
      <c r="C9992" t="s">
        <v>16225</v>
      </c>
      <c r="D9992" t="s">
        <v>13798</v>
      </c>
      <c r="E9992" t="s">
        <v>13799</v>
      </c>
      <c r="F9992" t="s">
        <v>13799</v>
      </c>
      <c r="G9992" t="s">
        <v>13800</v>
      </c>
      <c r="H9992" t="s">
        <v>859</v>
      </c>
      <c r="I9992" t="s">
        <v>860</v>
      </c>
      <c r="J9992" t="str">
        <f>"9060482"</f>
        <v>9060482</v>
      </c>
      <c r="K9992">
        <v>2610434898</v>
      </c>
      <c r="L9992">
        <v>2610434898</v>
      </c>
      <c r="M9992" t="s">
        <v>16226</v>
      </c>
      <c r="N9992" t="s">
        <v>14309</v>
      </c>
      <c r="O9992" t="s">
        <v>16227</v>
      </c>
      <c r="P9992">
        <v>26442</v>
      </c>
      <c r="Q9992" t="str">
        <f>"38.264765"</f>
        <v>38.264765</v>
      </c>
      <c r="R9992" t="str">
        <f>"21.761960"</f>
        <v>21.761960</v>
      </c>
      <c r="S9992" t="s">
        <v>26</v>
      </c>
    </row>
    <row r="9993" spans="1:19" x14ac:dyDescent="0.3">
      <c r="A9993" t="s">
        <v>13791</v>
      </c>
      <c r="B9993" t="s">
        <v>15775</v>
      </c>
      <c r="C9993" t="s">
        <v>16228</v>
      </c>
      <c r="D9993" t="s">
        <v>13798</v>
      </c>
      <c r="E9993" t="s">
        <v>13799</v>
      </c>
      <c r="F9993" t="s">
        <v>13799</v>
      </c>
      <c r="G9993" t="s">
        <v>13800</v>
      </c>
      <c r="H9993" t="s">
        <v>859</v>
      </c>
      <c r="I9993" t="s">
        <v>860</v>
      </c>
      <c r="J9993" t="str">
        <f>"9060486"</f>
        <v>9060486</v>
      </c>
      <c r="K9993">
        <v>2610422882</v>
      </c>
      <c r="L9993">
        <v>2610422882</v>
      </c>
      <c r="M9993" t="s">
        <v>16229</v>
      </c>
      <c r="N9993" t="s">
        <v>13803</v>
      </c>
      <c r="O9993" t="s">
        <v>16230</v>
      </c>
      <c r="P9993">
        <v>26442</v>
      </c>
      <c r="Q9993" t="str">
        <f>"38.286538"</f>
        <v>38.286538</v>
      </c>
      <c r="R9993" t="str">
        <f>"21.762586"</f>
        <v>21.762586</v>
      </c>
      <c r="S9993" t="s">
        <v>26</v>
      </c>
    </row>
    <row r="9994" spans="1:19" x14ac:dyDescent="0.3">
      <c r="A9994" t="s">
        <v>13791</v>
      </c>
      <c r="B9994" t="s">
        <v>15775</v>
      </c>
      <c r="C9994" t="s">
        <v>16231</v>
      </c>
      <c r="D9994" t="s">
        <v>13798</v>
      </c>
      <c r="E9994" t="s">
        <v>13799</v>
      </c>
      <c r="F9994" t="s">
        <v>13799</v>
      </c>
      <c r="G9994" t="s">
        <v>13800</v>
      </c>
      <c r="H9994" t="s">
        <v>859</v>
      </c>
      <c r="I9994" t="s">
        <v>860</v>
      </c>
      <c r="J9994" t="str">
        <f>"9060526"</f>
        <v>9060526</v>
      </c>
      <c r="K9994">
        <v>2610451122</v>
      </c>
      <c r="L9994">
        <v>2610451122</v>
      </c>
      <c r="M9994" t="s">
        <v>16232</v>
      </c>
      <c r="N9994" t="s">
        <v>14309</v>
      </c>
      <c r="O9994" t="s">
        <v>16233</v>
      </c>
      <c r="P9994">
        <v>26442</v>
      </c>
      <c r="Q9994" t="str">
        <f>"38.264532"</f>
        <v>38.264532</v>
      </c>
      <c r="R9994" t="str">
        <f>"21.741572"</f>
        <v>21.741572</v>
      </c>
      <c r="S9994" t="s">
        <v>26</v>
      </c>
    </row>
    <row r="9995" spans="1:19" x14ac:dyDescent="0.3">
      <c r="A9995" t="s">
        <v>13791</v>
      </c>
      <c r="B9995" t="s">
        <v>15775</v>
      </c>
      <c r="C9995" t="s">
        <v>16234</v>
      </c>
      <c r="D9995" t="s">
        <v>13798</v>
      </c>
      <c r="E9995" t="s">
        <v>13799</v>
      </c>
      <c r="F9995" t="s">
        <v>13799</v>
      </c>
      <c r="G9995" t="s">
        <v>13800</v>
      </c>
      <c r="H9995" t="s">
        <v>859</v>
      </c>
      <c r="I9995" t="s">
        <v>860</v>
      </c>
      <c r="J9995" t="str">
        <f>"9060491"</f>
        <v>9060491</v>
      </c>
      <c r="K9995">
        <v>2610459022</v>
      </c>
      <c r="L9995">
        <v>2610459022</v>
      </c>
      <c r="M9995" t="s">
        <v>16235</v>
      </c>
      <c r="N9995" t="s">
        <v>14309</v>
      </c>
      <c r="O9995" t="s">
        <v>16236</v>
      </c>
      <c r="P9995">
        <v>26500</v>
      </c>
      <c r="Q9995" t="str">
        <f>"38.258217"</f>
        <v>38.258217</v>
      </c>
      <c r="R9995" t="str">
        <f>"21.786525"</f>
        <v>21.786525</v>
      </c>
      <c r="S9995" t="s">
        <v>26</v>
      </c>
    </row>
    <row r="9996" spans="1:19" x14ac:dyDescent="0.3">
      <c r="A9996" t="s">
        <v>13791</v>
      </c>
      <c r="B9996" t="s">
        <v>15775</v>
      </c>
      <c r="C9996" t="s">
        <v>16239</v>
      </c>
      <c r="D9996" t="s">
        <v>13798</v>
      </c>
      <c r="E9996" t="s">
        <v>13799</v>
      </c>
      <c r="F9996" t="s">
        <v>13799</v>
      </c>
      <c r="G9996" t="s">
        <v>14241</v>
      </c>
      <c r="H9996" t="s">
        <v>859</v>
      </c>
      <c r="I9996" t="s">
        <v>860</v>
      </c>
      <c r="J9996" t="str">
        <f>"9060429"</f>
        <v>9060429</v>
      </c>
      <c r="K9996">
        <v>2610640352</v>
      </c>
      <c r="L9996">
        <v>2610640352</v>
      </c>
      <c r="M9996" t="s">
        <v>16240</v>
      </c>
      <c r="N9996" t="s">
        <v>14309</v>
      </c>
      <c r="O9996" t="s">
        <v>16241</v>
      </c>
      <c r="P9996">
        <v>26335</v>
      </c>
      <c r="Q9996" t="str">
        <f>"38.208221"</f>
        <v>38.208221</v>
      </c>
      <c r="R9996" t="str">
        <f>"21.774000"</f>
        <v>21.774000</v>
      </c>
      <c r="S9996" t="s">
        <v>26</v>
      </c>
    </row>
    <row r="9997" spans="1:19" x14ac:dyDescent="0.3">
      <c r="A9997" t="s">
        <v>13791</v>
      </c>
      <c r="B9997" t="s">
        <v>15775</v>
      </c>
      <c r="C9997" t="s">
        <v>16242</v>
      </c>
      <c r="D9997" t="s">
        <v>13798</v>
      </c>
      <c r="E9997" t="s">
        <v>14181</v>
      </c>
      <c r="F9997" t="s">
        <v>14317</v>
      </c>
      <c r="G9997" t="s">
        <v>16106</v>
      </c>
      <c r="H9997" t="s">
        <v>859</v>
      </c>
      <c r="I9997" t="s">
        <v>860</v>
      </c>
      <c r="J9997" t="str">
        <f>"9060571"</f>
        <v>9060571</v>
      </c>
      <c r="K9997">
        <v>2691043803</v>
      </c>
      <c r="L9997">
        <v>2691043803</v>
      </c>
      <c r="M9997" t="s">
        <v>16243</v>
      </c>
      <c r="N9997" t="s">
        <v>16244</v>
      </c>
      <c r="O9997" t="s">
        <v>16245</v>
      </c>
      <c r="P9997">
        <v>25003</v>
      </c>
      <c r="Q9997" t="str">
        <f>"38.198393"</f>
        <v>38.198393</v>
      </c>
      <c r="R9997" t="str">
        <f>"22.171916"</f>
        <v>22.171916</v>
      </c>
      <c r="S9997" t="s">
        <v>26</v>
      </c>
    </row>
    <row r="9998" spans="1:19" x14ac:dyDescent="0.3">
      <c r="A9998" t="s">
        <v>13791</v>
      </c>
      <c r="B9998" t="s">
        <v>15775</v>
      </c>
      <c r="C9998" t="s">
        <v>16248</v>
      </c>
      <c r="D9998" t="s">
        <v>13798</v>
      </c>
      <c r="E9998" t="s">
        <v>13799</v>
      </c>
      <c r="F9998" t="s">
        <v>14276</v>
      </c>
      <c r="G9998" t="s">
        <v>15939</v>
      </c>
      <c r="H9998" t="s">
        <v>859</v>
      </c>
      <c r="I9998" t="s">
        <v>860</v>
      </c>
      <c r="J9998" t="str">
        <f>"9060547"</f>
        <v>9060547</v>
      </c>
      <c r="K9998">
        <v>2610931872</v>
      </c>
      <c r="L9998">
        <v>2610931232</v>
      </c>
      <c r="M9998" t="s">
        <v>16249</v>
      </c>
      <c r="N9998" t="s">
        <v>15939</v>
      </c>
      <c r="O9998" t="s">
        <v>15943</v>
      </c>
      <c r="P9998">
        <v>26504</v>
      </c>
      <c r="Q9998" t="str">
        <f>"38.328801"</f>
        <v>38.328801</v>
      </c>
      <c r="R9998" t="str">
        <f>"21.871584"</f>
        <v>21.871584</v>
      </c>
      <c r="S9998" t="s">
        <v>26</v>
      </c>
    </row>
    <row r="9999" spans="1:19" x14ac:dyDescent="0.3">
      <c r="A9999" t="s">
        <v>13791</v>
      </c>
      <c r="B9999" t="s">
        <v>15775</v>
      </c>
      <c r="C9999" t="s">
        <v>16250</v>
      </c>
      <c r="D9999" t="s">
        <v>13798</v>
      </c>
      <c r="E9999" t="s">
        <v>13799</v>
      </c>
      <c r="F9999" t="s">
        <v>14276</v>
      </c>
      <c r="G9999" t="s">
        <v>14276</v>
      </c>
      <c r="H9999" t="s">
        <v>859</v>
      </c>
      <c r="I9999" t="s">
        <v>860</v>
      </c>
      <c r="J9999" t="str">
        <f>"9520830"</f>
        <v>9520830</v>
      </c>
      <c r="K9999">
        <v>2610995725</v>
      </c>
      <c r="L9999">
        <v>2610995725</v>
      </c>
      <c r="M9999" t="s">
        <v>16251</v>
      </c>
      <c r="N9999" t="s">
        <v>14276</v>
      </c>
      <c r="O9999" t="s">
        <v>16252</v>
      </c>
      <c r="P9999">
        <v>26504</v>
      </c>
      <c r="Q9999" t="str">
        <f>"38.289076"</f>
        <v>38.289076</v>
      </c>
      <c r="R9999" t="str">
        <f>"21.774128"</f>
        <v>21.774128</v>
      </c>
      <c r="S9999" t="s">
        <v>26</v>
      </c>
    </row>
    <row r="10000" spans="1:19" x14ac:dyDescent="0.3">
      <c r="A10000" t="s">
        <v>13791</v>
      </c>
      <c r="B10000" t="s">
        <v>15775</v>
      </c>
      <c r="C10000" t="s">
        <v>16253</v>
      </c>
      <c r="D10000" t="s">
        <v>13798</v>
      </c>
      <c r="E10000" t="s">
        <v>14188</v>
      </c>
      <c r="F10000" t="s">
        <v>14391</v>
      </c>
      <c r="G10000" t="s">
        <v>3092</v>
      </c>
      <c r="H10000" t="s">
        <v>859</v>
      </c>
      <c r="I10000" t="s">
        <v>860</v>
      </c>
      <c r="J10000" t="str">
        <f>"9060508"</f>
        <v>9060508</v>
      </c>
      <c r="K10000">
        <v>2694053247</v>
      </c>
      <c r="L10000">
        <v>2694053247</v>
      </c>
      <c r="M10000" t="s">
        <v>16254</v>
      </c>
      <c r="N10000" t="s">
        <v>3092</v>
      </c>
      <c r="O10000" t="s">
        <v>3092</v>
      </c>
      <c r="P10000">
        <v>25015</v>
      </c>
      <c r="Q10000" t="str">
        <f>"37.883744"</f>
        <v>37.883744</v>
      </c>
      <c r="R10000" t="str">
        <f>"21.681397"</f>
        <v>21.681397</v>
      </c>
      <c r="S10000" t="s">
        <v>26</v>
      </c>
    </row>
    <row r="10001" spans="1:19" x14ac:dyDescent="0.3">
      <c r="A10001" t="s">
        <v>13791</v>
      </c>
      <c r="B10001" t="s">
        <v>15775</v>
      </c>
      <c r="C10001" t="s">
        <v>16255</v>
      </c>
      <c r="D10001" t="s">
        <v>13798</v>
      </c>
      <c r="E10001" t="s">
        <v>14200</v>
      </c>
      <c r="F10001" t="s">
        <v>14201</v>
      </c>
      <c r="G10001" t="s">
        <v>14202</v>
      </c>
      <c r="H10001" t="s">
        <v>859</v>
      </c>
      <c r="I10001" t="s">
        <v>860</v>
      </c>
      <c r="J10001" t="str">
        <f>"9060220"</f>
        <v>9060220</v>
      </c>
      <c r="K10001">
        <v>2693041050</v>
      </c>
      <c r="L10001">
        <v>2693041294</v>
      </c>
      <c r="M10001" t="s">
        <v>16256</v>
      </c>
      <c r="N10001" t="s">
        <v>14202</v>
      </c>
      <c r="O10001" t="s">
        <v>16257</v>
      </c>
      <c r="P10001">
        <v>25005</v>
      </c>
      <c r="Q10001" t="str">
        <f>"38.106510"</f>
        <v>38.106510</v>
      </c>
      <c r="R10001" t="str">
        <f>"21.473005"</f>
        <v>21.473005</v>
      </c>
      <c r="S10001" t="s">
        <v>26</v>
      </c>
    </row>
    <row r="10002" spans="1:19" x14ac:dyDescent="0.3">
      <c r="A10002" t="s">
        <v>13791</v>
      </c>
      <c r="B10002" t="s">
        <v>15775</v>
      </c>
      <c r="C10002" t="s">
        <v>16259</v>
      </c>
      <c r="D10002" t="s">
        <v>13798</v>
      </c>
      <c r="E10002" t="s">
        <v>14200</v>
      </c>
      <c r="F10002" t="s">
        <v>14201</v>
      </c>
      <c r="G10002" t="s">
        <v>16258</v>
      </c>
      <c r="H10002" t="s">
        <v>859</v>
      </c>
      <c r="I10002" t="s">
        <v>860</v>
      </c>
      <c r="J10002" t="str">
        <f>"9060613"</f>
        <v>9060613</v>
      </c>
      <c r="K10002">
        <v>2693081034</v>
      </c>
      <c r="L10002">
        <v>2693081034</v>
      </c>
      <c r="M10002" t="s">
        <v>16260</v>
      </c>
      <c r="N10002" t="s">
        <v>16258</v>
      </c>
      <c r="O10002" t="s">
        <v>16261</v>
      </c>
      <c r="P10002">
        <v>25200</v>
      </c>
      <c r="Q10002" t="str">
        <f>"38.108692"</f>
        <v>38.108692</v>
      </c>
      <c r="R10002" t="str">
        <f>"21.501756"</f>
        <v>21.501756</v>
      </c>
      <c r="S10002" t="s">
        <v>26</v>
      </c>
    </row>
    <row r="10003" spans="1:19" x14ac:dyDescent="0.3">
      <c r="A10003" t="s">
        <v>13791</v>
      </c>
      <c r="B10003" t="s">
        <v>15775</v>
      </c>
      <c r="C10003" t="s">
        <v>16262</v>
      </c>
      <c r="D10003" t="s">
        <v>13798</v>
      </c>
      <c r="E10003" t="s">
        <v>13799</v>
      </c>
      <c r="F10003" t="s">
        <v>13799</v>
      </c>
      <c r="G10003" t="s">
        <v>14236</v>
      </c>
      <c r="H10003" t="s">
        <v>859</v>
      </c>
      <c r="I10003" t="s">
        <v>860</v>
      </c>
      <c r="J10003" t="str">
        <f>"9060492"</f>
        <v>9060492</v>
      </c>
      <c r="K10003">
        <v>2610523435</v>
      </c>
      <c r="L10003">
        <v>2610523435</v>
      </c>
      <c r="M10003" t="s">
        <v>16263</v>
      </c>
      <c r="N10003" t="s">
        <v>14309</v>
      </c>
      <c r="O10003" t="s">
        <v>16063</v>
      </c>
      <c r="P10003">
        <v>26333</v>
      </c>
      <c r="Q10003" t="str">
        <f>"38.206131"</f>
        <v>38.206131</v>
      </c>
      <c r="R10003" t="str">
        <f>"21.725599"</f>
        <v>21.725599</v>
      </c>
      <c r="S10003" t="s">
        <v>26</v>
      </c>
    </row>
    <row r="10004" spans="1:19" x14ac:dyDescent="0.3">
      <c r="A10004" t="s">
        <v>13791</v>
      </c>
      <c r="B10004" t="s">
        <v>15775</v>
      </c>
      <c r="C10004" t="s">
        <v>16265</v>
      </c>
      <c r="D10004" t="s">
        <v>13798</v>
      </c>
      <c r="E10004" t="s">
        <v>13799</v>
      </c>
      <c r="F10004" t="s">
        <v>13799</v>
      </c>
      <c r="G10004" t="s">
        <v>16264</v>
      </c>
      <c r="H10004" t="s">
        <v>859</v>
      </c>
      <c r="I10004" t="s">
        <v>860</v>
      </c>
      <c r="J10004" t="str">
        <f>"9060489"</f>
        <v>9060489</v>
      </c>
      <c r="K10004">
        <v>2610640543</v>
      </c>
      <c r="L10004">
        <v>2610640543</v>
      </c>
      <c r="M10004" t="s">
        <v>16266</v>
      </c>
      <c r="N10004" t="s">
        <v>14309</v>
      </c>
      <c r="O10004" t="s">
        <v>16267</v>
      </c>
      <c r="P10004">
        <v>26500</v>
      </c>
      <c r="Q10004" t="str">
        <f>"38.212501"</f>
        <v>38.212501</v>
      </c>
      <c r="R10004" t="str">
        <f>"21.784611"</f>
        <v>21.784611</v>
      </c>
      <c r="S10004" t="s">
        <v>26</v>
      </c>
    </row>
    <row r="10005" spans="1:19" x14ac:dyDescent="0.3">
      <c r="A10005" t="s">
        <v>13791</v>
      </c>
      <c r="B10005" t="s">
        <v>15775</v>
      </c>
      <c r="C10005" t="s">
        <v>16268</v>
      </c>
      <c r="D10005" t="s">
        <v>13798</v>
      </c>
      <c r="E10005" t="s">
        <v>14200</v>
      </c>
      <c r="F10005" t="s">
        <v>14201</v>
      </c>
      <c r="G10005" t="s">
        <v>15912</v>
      </c>
      <c r="H10005" t="s">
        <v>859</v>
      </c>
      <c r="I10005" t="s">
        <v>860</v>
      </c>
      <c r="J10005" t="str">
        <f>"9060591"</f>
        <v>9060591</v>
      </c>
      <c r="K10005">
        <v>2693081027</v>
      </c>
      <c r="M10005" t="s">
        <v>16269</v>
      </c>
      <c r="N10005" t="s">
        <v>15915</v>
      </c>
      <c r="O10005" t="s">
        <v>15915</v>
      </c>
      <c r="P10005">
        <v>25200</v>
      </c>
      <c r="Q10005" t="str">
        <f>"38.074382"</f>
        <v>38.074382</v>
      </c>
      <c r="R10005" t="str">
        <f>"21.484269"</f>
        <v>21.484269</v>
      </c>
      <c r="S10005" t="s">
        <v>26</v>
      </c>
    </row>
    <row r="10006" spans="1:19" x14ac:dyDescent="0.3">
      <c r="A10006" t="s">
        <v>13791</v>
      </c>
      <c r="B10006" t="s">
        <v>15775</v>
      </c>
      <c r="C10006" t="s">
        <v>16270</v>
      </c>
      <c r="D10006" t="s">
        <v>13798</v>
      </c>
      <c r="E10006" t="s">
        <v>13799</v>
      </c>
      <c r="F10006" t="s">
        <v>14349</v>
      </c>
      <c r="G10006" t="s">
        <v>14411</v>
      </c>
      <c r="H10006" t="s">
        <v>859</v>
      </c>
      <c r="I10006" t="s">
        <v>860</v>
      </c>
      <c r="J10006" t="str">
        <f>"9060567"</f>
        <v>9060567</v>
      </c>
      <c r="K10006">
        <v>2610521343</v>
      </c>
      <c r="L10006">
        <v>2610521343</v>
      </c>
      <c r="M10006" t="s">
        <v>16271</v>
      </c>
      <c r="N10006" t="s">
        <v>14411</v>
      </c>
      <c r="O10006" t="s">
        <v>16272</v>
      </c>
      <c r="P10006">
        <v>26500</v>
      </c>
      <c r="Q10006" t="str">
        <f>"38.188651"</f>
        <v>38.188651</v>
      </c>
      <c r="R10006" t="str">
        <f>"21.732928"</f>
        <v>21.732928</v>
      </c>
      <c r="S10006" t="s">
        <v>26</v>
      </c>
    </row>
    <row r="10007" spans="1:19" x14ac:dyDescent="0.3">
      <c r="A10007" t="s">
        <v>13791</v>
      </c>
      <c r="B10007" t="s">
        <v>15775</v>
      </c>
      <c r="C10007" t="s">
        <v>16273</v>
      </c>
      <c r="D10007" t="s">
        <v>13798</v>
      </c>
      <c r="E10007" t="s">
        <v>13799</v>
      </c>
      <c r="F10007" t="s">
        <v>13799</v>
      </c>
      <c r="G10007" t="s">
        <v>13809</v>
      </c>
      <c r="H10007" t="s">
        <v>859</v>
      </c>
      <c r="I10007" t="s">
        <v>860</v>
      </c>
      <c r="J10007" t="str">
        <f>"9060386"</f>
        <v>9060386</v>
      </c>
      <c r="K10007">
        <v>2610327407</v>
      </c>
      <c r="L10007">
        <v>2610327407</v>
      </c>
      <c r="M10007" t="s">
        <v>16274</v>
      </c>
      <c r="N10007" t="s">
        <v>14309</v>
      </c>
      <c r="O10007" t="s">
        <v>16275</v>
      </c>
      <c r="P10007">
        <v>26224</v>
      </c>
      <c r="Q10007" t="str">
        <f>"38.238734"</f>
        <v>38.238734</v>
      </c>
      <c r="R10007" t="str">
        <f>"21.734211"</f>
        <v>21.734211</v>
      </c>
      <c r="S10007" t="s">
        <v>26</v>
      </c>
    </row>
    <row r="10008" spans="1:19" x14ac:dyDescent="0.3">
      <c r="A10008" t="s">
        <v>13791</v>
      </c>
      <c r="B10008" t="s">
        <v>15775</v>
      </c>
      <c r="C10008" t="s">
        <v>16276</v>
      </c>
      <c r="D10008" t="s">
        <v>13798</v>
      </c>
      <c r="E10008" t="s">
        <v>13799</v>
      </c>
      <c r="F10008" t="s">
        <v>13799</v>
      </c>
      <c r="G10008" t="s">
        <v>14236</v>
      </c>
      <c r="H10008" t="s">
        <v>859</v>
      </c>
      <c r="I10008" t="s">
        <v>860</v>
      </c>
      <c r="J10008" t="str">
        <f>"9060590"</f>
        <v>9060590</v>
      </c>
      <c r="K10008">
        <v>2610336314</v>
      </c>
      <c r="L10008">
        <v>2610336314</v>
      </c>
      <c r="M10008" t="s">
        <v>16277</v>
      </c>
      <c r="N10008" t="s">
        <v>14309</v>
      </c>
      <c r="O10008" t="s">
        <v>16278</v>
      </c>
      <c r="P10008">
        <v>26332</v>
      </c>
      <c r="Q10008" t="str">
        <f>"38.222379"</f>
        <v>38.222379</v>
      </c>
      <c r="R10008" t="str">
        <f>"21.724723"</f>
        <v>21.724723</v>
      </c>
      <c r="S10008" t="s">
        <v>26</v>
      </c>
    </row>
    <row r="10009" spans="1:19" x14ac:dyDescent="0.3">
      <c r="A10009" t="s">
        <v>13791</v>
      </c>
      <c r="B10009" t="s">
        <v>15775</v>
      </c>
      <c r="C10009" t="s">
        <v>16279</v>
      </c>
      <c r="D10009" t="s">
        <v>13798</v>
      </c>
      <c r="E10009" t="s">
        <v>13799</v>
      </c>
      <c r="F10009" t="s">
        <v>13799</v>
      </c>
      <c r="G10009" t="s">
        <v>13809</v>
      </c>
      <c r="H10009" t="s">
        <v>859</v>
      </c>
      <c r="I10009" t="s">
        <v>860</v>
      </c>
      <c r="J10009" t="str">
        <f>"9060297"</f>
        <v>9060297</v>
      </c>
      <c r="K10009">
        <v>2610330004</v>
      </c>
      <c r="L10009">
        <v>2610330004</v>
      </c>
      <c r="M10009" t="s">
        <v>16280</v>
      </c>
      <c r="N10009" t="s">
        <v>14309</v>
      </c>
      <c r="O10009" t="s">
        <v>16281</v>
      </c>
      <c r="P10009">
        <v>26226</v>
      </c>
      <c r="Q10009" t="str">
        <f>"38.234968"</f>
        <v>38.234968</v>
      </c>
      <c r="R10009" t="str">
        <f>"21.745895"</f>
        <v>21.745895</v>
      </c>
      <c r="S10009" t="s">
        <v>26</v>
      </c>
    </row>
    <row r="10010" spans="1:19" x14ac:dyDescent="0.3">
      <c r="A10010" t="s">
        <v>13791</v>
      </c>
      <c r="B10010" t="s">
        <v>15775</v>
      </c>
      <c r="C10010" t="s">
        <v>16282</v>
      </c>
      <c r="D10010" t="s">
        <v>13798</v>
      </c>
      <c r="E10010" t="s">
        <v>13799</v>
      </c>
      <c r="F10010" t="s">
        <v>14212</v>
      </c>
      <c r="G10010" t="s">
        <v>16139</v>
      </c>
      <c r="H10010" t="s">
        <v>859</v>
      </c>
      <c r="I10010" t="s">
        <v>860</v>
      </c>
      <c r="J10010" t="str">
        <f>"9060481"</f>
        <v>9060481</v>
      </c>
      <c r="K10010">
        <v>2610670863</v>
      </c>
      <c r="L10010">
        <v>2610670863</v>
      </c>
      <c r="M10010" t="s">
        <v>16283</v>
      </c>
      <c r="N10010" t="s">
        <v>16284</v>
      </c>
      <c r="O10010" t="s">
        <v>16285</v>
      </c>
      <c r="P10010">
        <v>25002</v>
      </c>
      <c r="Q10010" t="str">
        <f>"38.181721"</f>
        <v>38.181721</v>
      </c>
      <c r="R10010" t="str">
        <f>"21.686278"</f>
        <v>21.686278</v>
      </c>
      <c r="S10010" t="s">
        <v>26</v>
      </c>
    </row>
    <row r="10011" spans="1:19" x14ac:dyDescent="0.3">
      <c r="A10011" t="s">
        <v>13791</v>
      </c>
      <c r="B10011" t="s">
        <v>15775</v>
      </c>
      <c r="C10011" t="s">
        <v>16287</v>
      </c>
      <c r="D10011" t="s">
        <v>13798</v>
      </c>
      <c r="E10011" t="s">
        <v>13799</v>
      </c>
      <c r="F10011" t="s">
        <v>14323</v>
      </c>
      <c r="G10011" t="s">
        <v>16286</v>
      </c>
      <c r="H10011" t="s">
        <v>859</v>
      </c>
      <c r="I10011" t="s">
        <v>860</v>
      </c>
      <c r="J10011" t="str">
        <f>"9060541"</f>
        <v>9060541</v>
      </c>
      <c r="K10011">
        <v>2610671147</v>
      </c>
      <c r="L10011">
        <v>2610671147</v>
      </c>
      <c r="M10011" t="s">
        <v>16288</v>
      </c>
      <c r="N10011" t="s">
        <v>16286</v>
      </c>
      <c r="O10011" t="s">
        <v>16289</v>
      </c>
      <c r="P10011">
        <v>25002</v>
      </c>
      <c r="Q10011" t="str">
        <f>"38.149334"</f>
        <v>38.149334</v>
      </c>
      <c r="R10011" t="str">
        <f>"21.623378"</f>
        <v>21.623378</v>
      </c>
      <c r="S10011" t="s">
        <v>26</v>
      </c>
    </row>
    <row r="10012" spans="1:19" x14ac:dyDescent="0.3">
      <c r="A10012" t="s">
        <v>13791</v>
      </c>
      <c r="B10012" t="s">
        <v>15775</v>
      </c>
      <c r="C10012" t="s">
        <v>16290</v>
      </c>
      <c r="D10012" t="s">
        <v>13798</v>
      </c>
      <c r="E10012" t="s">
        <v>14200</v>
      </c>
      <c r="F10012" t="s">
        <v>14286</v>
      </c>
      <c r="G10012" t="s">
        <v>14460</v>
      </c>
      <c r="H10012" t="s">
        <v>859</v>
      </c>
      <c r="I10012" t="s">
        <v>860</v>
      </c>
      <c r="J10012" t="str">
        <f>"9060186"</f>
        <v>9060186</v>
      </c>
      <c r="K10012">
        <v>2693051562</v>
      </c>
      <c r="L10012">
        <v>2693051761</v>
      </c>
      <c r="M10012" t="s">
        <v>16291</v>
      </c>
      <c r="N10012" t="s">
        <v>14460</v>
      </c>
      <c r="O10012" t="s">
        <v>16027</v>
      </c>
      <c r="P10012">
        <v>25200</v>
      </c>
      <c r="Q10012" t="str">
        <f>"38.171434"</f>
        <v>38.171434</v>
      </c>
      <c r="R10012" t="str">
        <f>"21.457794"</f>
        <v>21.457794</v>
      </c>
      <c r="S10012" t="s">
        <v>26</v>
      </c>
    </row>
    <row r="10013" spans="1:19" x14ac:dyDescent="0.3">
      <c r="A10013" t="s">
        <v>13791</v>
      </c>
      <c r="B10013" t="s">
        <v>15775</v>
      </c>
      <c r="C10013" t="s">
        <v>16292</v>
      </c>
      <c r="D10013" t="s">
        <v>13798</v>
      </c>
      <c r="E10013" t="s">
        <v>13799</v>
      </c>
      <c r="F10013" t="s">
        <v>14349</v>
      </c>
      <c r="G10013" t="s">
        <v>14411</v>
      </c>
      <c r="H10013" t="s">
        <v>859</v>
      </c>
      <c r="I10013" t="s">
        <v>860</v>
      </c>
      <c r="J10013" t="str">
        <f>"9060467"</f>
        <v>9060467</v>
      </c>
      <c r="K10013">
        <v>2610526685</v>
      </c>
      <c r="L10013">
        <v>2610526685</v>
      </c>
      <c r="M10013" t="s">
        <v>16293</v>
      </c>
      <c r="N10013" t="s">
        <v>14411</v>
      </c>
      <c r="O10013" t="s">
        <v>16294</v>
      </c>
      <c r="P10013">
        <v>26500</v>
      </c>
      <c r="Q10013" t="str">
        <f>"38.187326"</f>
        <v>38.187326</v>
      </c>
      <c r="R10013" t="str">
        <f>"21.724549"</f>
        <v>21.724549</v>
      </c>
      <c r="S10013" t="s">
        <v>26</v>
      </c>
    </row>
    <row r="10014" spans="1:19" x14ac:dyDescent="0.3">
      <c r="A10014" t="s">
        <v>13791</v>
      </c>
      <c r="B10014" t="s">
        <v>15775</v>
      </c>
      <c r="C10014" t="s">
        <v>16295</v>
      </c>
      <c r="D10014" t="s">
        <v>13798</v>
      </c>
      <c r="E10014" t="s">
        <v>13799</v>
      </c>
      <c r="F10014" t="s">
        <v>13799</v>
      </c>
      <c r="G10014" t="s">
        <v>14236</v>
      </c>
      <c r="H10014" t="s">
        <v>859</v>
      </c>
      <c r="I10014" t="s">
        <v>860</v>
      </c>
      <c r="J10014" t="str">
        <f>"9060390"</f>
        <v>9060390</v>
      </c>
      <c r="K10014">
        <v>2610318887</v>
      </c>
      <c r="L10014">
        <v>2610318887</v>
      </c>
      <c r="M10014" t="s">
        <v>16296</v>
      </c>
      <c r="N10014" t="s">
        <v>14309</v>
      </c>
      <c r="O10014" t="s">
        <v>16297</v>
      </c>
      <c r="P10014">
        <v>26332</v>
      </c>
      <c r="Q10014" t="str">
        <f>"38.220186"</f>
        <v>38.220186</v>
      </c>
      <c r="R10014" t="str">
        <f>"21.728585"</f>
        <v>21.728585</v>
      </c>
      <c r="S10014" t="s">
        <v>26</v>
      </c>
    </row>
    <row r="10015" spans="1:19" x14ac:dyDescent="0.3">
      <c r="A10015" t="s">
        <v>13791</v>
      </c>
      <c r="B10015" t="s">
        <v>15775</v>
      </c>
      <c r="C10015" t="s">
        <v>16298</v>
      </c>
      <c r="D10015" t="s">
        <v>13798</v>
      </c>
      <c r="E10015" t="s">
        <v>14200</v>
      </c>
      <c r="F10015" t="s">
        <v>14286</v>
      </c>
      <c r="G10015" t="s">
        <v>15981</v>
      </c>
      <c r="H10015" t="s">
        <v>859</v>
      </c>
      <c r="I10015" t="s">
        <v>860</v>
      </c>
      <c r="J10015" t="str">
        <f>"9060527"</f>
        <v>9060527</v>
      </c>
      <c r="K10015">
        <v>2693092000</v>
      </c>
      <c r="L10015">
        <v>2693092000</v>
      </c>
      <c r="M10015" t="s">
        <v>16299</v>
      </c>
      <c r="N10015" t="s">
        <v>15981</v>
      </c>
      <c r="O10015" t="s">
        <v>15985</v>
      </c>
      <c r="P10015">
        <v>27052</v>
      </c>
      <c r="Q10015" t="str">
        <f>"38.080445"</f>
        <v>38.080445</v>
      </c>
      <c r="R10015" t="str">
        <f>"21.345436"</f>
        <v>21.345436</v>
      </c>
      <c r="S10015" t="s">
        <v>26</v>
      </c>
    </row>
    <row r="10016" spans="1:19" x14ac:dyDescent="0.3">
      <c r="A10016" t="s">
        <v>13791</v>
      </c>
      <c r="B10016" t="s">
        <v>15775</v>
      </c>
      <c r="C10016" t="s">
        <v>16300</v>
      </c>
      <c r="D10016" t="s">
        <v>13798</v>
      </c>
      <c r="E10016" t="s">
        <v>14200</v>
      </c>
      <c r="F10016" t="s">
        <v>14329</v>
      </c>
      <c r="G10016" t="s">
        <v>14330</v>
      </c>
      <c r="H10016" t="s">
        <v>859</v>
      </c>
      <c r="I10016" t="s">
        <v>860</v>
      </c>
      <c r="J10016" t="str">
        <f>"9060190"</f>
        <v>9060190</v>
      </c>
      <c r="K10016">
        <v>2693061837</v>
      </c>
      <c r="L10016">
        <v>2693061837</v>
      </c>
      <c r="M10016" t="s">
        <v>16301</v>
      </c>
      <c r="N10016" t="s">
        <v>14330</v>
      </c>
      <c r="O10016" t="s">
        <v>16302</v>
      </c>
      <c r="P10016">
        <v>25200</v>
      </c>
      <c r="Q10016" t="str">
        <f>"38.109922"</f>
        <v>38.109922</v>
      </c>
      <c r="R10016" t="str">
        <f>"21.588370"</f>
        <v>21.588370</v>
      </c>
      <c r="S10016" t="s">
        <v>26</v>
      </c>
    </row>
    <row r="10017" spans="1:19" x14ac:dyDescent="0.3">
      <c r="A10017" t="s">
        <v>13791</v>
      </c>
      <c r="B10017" t="s">
        <v>15775</v>
      </c>
      <c r="C10017" t="s">
        <v>16304</v>
      </c>
      <c r="D10017" t="s">
        <v>13798</v>
      </c>
      <c r="E10017" t="s">
        <v>13799</v>
      </c>
      <c r="F10017" t="s">
        <v>14349</v>
      </c>
      <c r="G10017" t="s">
        <v>14398</v>
      </c>
      <c r="H10017" t="s">
        <v>859</v>
      </c>
      <c r="I10017" t="s">
        <v>860</v>
      </c>
      <c r="J10017" t="str">
        <f>"9060559"</f>
        <v>9060559</v>
      </c>
      <c r="K10017">
        <v>2610523546</v>
      </c>
      <c r="L10017">
        <v>2610523546</v>
      </c>
      <c r="M10017" t="s">
        <v>16305</v>
      </c>
      <c r="N10017" t="s">
        <v>16306</v>
      </c>
      <c r="O10017" t="s">
        <v>16307</v>
      </c>
      <c r="P10017">
        <v>26500</v>
      </c>
      <c r="Q10017" t="str">
        <f>"38.199212"</f>
        <v>38.199212</v>
      </c>
      <c r="R10017" t="str">
        <f>"21.766807"</f>
        <v>21.766807</v>
      </c>
      <c r="S10017" t="s">
        <v>26</v>
      </c>
    </row>
    <row r="10018" spans="1:19" x14ac:dyDescent="0.3">
      <c r="A10018" t="s">
        <v>13791</v>
      </c>
      <c r="B10018" t="s">
        <v>15775</v>
      </c>
      <c r="C10018" t="s">
        <v>16308</v>
      </c>
      <c r="D10018" t="s">
        <v>13798</v>
      </c>
      <c r="E10018" t="s">
        <v>14200</v>
      </c>
      <c r="F10018" t="s">
        <v>14286</v>
      </c>
      <c r="G10018" t="s">
        <v>13937</v>
      </c>
      <c r="H10018" t="s">
        <v>859</v>
      </c>
      <c r="I10018" t="s">
        <v>860</v>
      </c>
      <c r="J10018" t="str">
        <f>"9060553"</f>
        <v>9060553</v>
      </c>
      <c r="K10018">
        <v>2693099364</v>
      </c>
      <c r="L10018">
        <v>2693099364</v>
      </c>
      <c r="M10018" t="s">
        <v>16309</v>
      </c>
      <c r="N10018" t="s">
        <v>14093</v>
      </c>
      <c r="O10018" t="s">
        <v>14093</v>
      </c>
      <c r="P10018">
        <v>25200</v>
      </c>
      <c r="Q10018" t="str">
        <f>"38.019933"</f>
        <v>38.019933</v>
      </c>
      <c r="R10018" t="str">
        <f>"21.471398"</f>
        <v>21.471398</v>
      </c>
      <c r="S10018" t="s">
        <v>26</v>
      </c>
    </row>
    <row r="10019" spans="1:19" x14ac:dyDescent="0.3">
      <c r="A10019" t="s">
        <v>13791</v>
      </c>
      <c r="B10019" t="s">
        <v>15775</v>
      </c>
      <c r="C10019" t="s">
        <v>16310</v>
      </c>
      <c r="D10019" t="s">
        <v>13798</v>
      </c>
      <c r="E10019" t="s">
        <v>13799</v>
      </c>
      <c r="F10019" t="s">
        <v>14212</v>
      </c>
      <c r="G10019" t="s">
        <v>14212</v>
      </c>
      <c r="H10019" t="s">
        <v>859</v>
      </c>
      <c r="I10019" t="s">
        <v>860</v>
      </c>
      <c r="J10019" t="str">
        <f>"9520565"</f>
        <v>9520565</v>
      </c>
      <c r="K10019">
        <v>2610527301</v>
      </c>
      <c r="L10019">
        <v>2610527301</v>
      </c>
      <c r="M10019" t="s">
        <v>16311</v>
      </c>
      <c r="N10019" t="s">
        <v>14212</v>
      </c>
      <c r="O10019" t="s">
        <v>16312</v>
      </c>
      <c r="P10019">
        <v>26333</v>
      </c>
      <c r="Q10019" t="str">
        <f>"38.192300"</f>
        <v>38.192300</v>
      </c>
      <c r="R10019" t="str">
        <f>"21.710898"</f>
        <v>21.710898</v>
      </c>
      <c r="S10019" t="s">
        <v>26</v>
      </c>
    </row>
    <row r="10020" spans="1:19" x14ac:dyDescent="0.3">
      <c r="A10020" t="s">
        <v>13791</v>
      </c>
      <c r="B10020" t="s">
        <v>15775</v>
      </c>
      <c r="C10020" t="s">
        <v>16313</v>
      </c>
      <c r="D10020" t="s">
        <v>13798</v>
      </c>
      <c r="E10020" t="s">
        <v>13799</v>
      </c>
      <c r="F10020" t="s">
        <v>13799</v>
      </c>
      <c r="G10020" t="s">
        <v>14236</v>
      </c>
      <c r="H10020" t="s">
        <v>859</v>
      </c>
      <c r="I10020" t="s">
        <v>860</v>
      </c>
      <c r="J10020" t="str">
        <f>"9060543"</f>
        <v>9060543</v>
      </c>
      <c r="K10020">
        <v>2610339154</v>
      </c>
      <c r="L10020">
        <v>2610339154</v>
      </c>
      <c r="M10020" t="s">
        <v>16314</v>
      </c>
      <c r="N10020" t="s">
        <v>14309</v>
      </c>
      <c r="O10020" t="s">
        <v>16315</v>
      </c>
      <c r="P10020">
        <v>26332</v>
      </c>
      <c r="Q10020" t="str">
        <f>"38.219268"</f>
        <v>38.219268</v>
      </c>
      <c r="R10020" t="str">
        <f>"21.730623"</f>
        <v>21.730623</v>
      </c>
      <c r="S10020" t="s">
        <v>26</v>
      </c>
    </row>
    <row r="10021" spans="1:19" x14ac:dyDescent="0.3">
      <c r="A10021" t="s">
        <v>13791</v>
      </c>
      <c r="B10021" t="s">
        <v>15775</v>
      </c>
      <c r="C10021" t="s">
        <v>16318</v>
      </c>
      <c r="D10021" t="s">
        <v>13798</v>
      </c>
      <c r="E10021" t="s">
        <v>13799</v>
      </c>
      <c r="F10021" t="s">
        <v>13799</v>
      </c>
      <c r="G10021" t="s">
        <v>14236</v>
      </c>
      <c r="H10021" t="s">
        <v>859</v>
      </c>
      <c r="I10021" t="s">
        <v>860</v>
      </c>
      <c r="J10021" t="str">
        <f>"9060389"</f>
        <v>9060389</v>
      </c>
      <c r="K10021">
        <v>2610523358</v>
      </c>
      <c r="L10021">
        <v>2610523358</v>
      </c>
      <c r="M10021" t="s">
        <v>16319</v>
      </c>
      <c r="N10021" t="s">
        <v>16320</v>
      </c>
      <c r="O10021" t="s">
        <v>16321</v>
      </c>
      <c r="P10021">
        <v>26333</v>
      </c>
      <c r="Q10021" t="str">
        <f>"38.211045"</f>
        <v>38.211045</v>
      </c>
      <c r="R10021" t="str">
        <f>"21.717030"</f>
        <v>21.717030</v>
      </c>
      <c r="S10021" t="s">
        <v>26</v>
      </c>
    </row>
    <row r="10022" spans="1:19" x14ac:dyDescent="0.3">
      <c r="A10022" t="s">
        <v>13791</v>
      </c>
      <c r="B10022" t="s">
        <v>15775</v>
      </c>
      <c r="C10022" t="s">
        <v>16322</v>
      </c>
      <c r="D10022" t="s">
        <v>13798</v>
      </c>
      <c r="E10022" t="s">
        <v>13799</v>
      </c>
      <c r="F10022" t="s">
        <v>13799</v>
      </c>
      <c r="G10022" t="s">
        <v>13809</v>
      </c>
      <c r="H10022" t="s">
        <v>859</v>
      </c>
      <c r="I10022" t="s">
        <v>860</v>
      </c>
      <c r="J10022" t="str">
        <f>"9060446"</f>
        <v>9060446</v>
      </c>
      <c r="K10022">
        <v>2610340130</v>
      </c>
      <c r="L10022">
        <v>2610340130</v>
      </c>
      <c r="M10022" t="s">
        <v>16323</v>
      </c>
      <c r="N10022" t="s">
        <v>14309</v>
      </c>
      <c r="O10022" t="s">
        <v>16076</v>
      </c>
      <c r="P10022">
        <v>26334</v>
      </c>
      <c r="Q10022" t="str">
        <f>"38.230449"</f>
        <v>38.230449</v>
      </c>
      <c r="R10022" t="str">
        <f>"21.745182"</f>
        <v>21.745182</v>
      </c>
      <c r="S10022" t="s">
        <v>26</v>
      </c>
    </row>
    <row r="10023" spans="1:19" x14ac:dyDescent="0.3">
      <c r="A10023" t="s">
        <v>13791</v>
      </c>
      <c r="B10023" t="s">
        <v>15775</v>
      </c>
      <c r="C10023" t="s">
        <v>16324</v>
      </c>
      <c r="D10023" t="s">
        <v>13798</v>
      </c>
      <c r="E10023" t="s">
        <v>13799</v>
      </c>
      <c r="F10023" t="s">
        <v>13799</v>
      </c>
      <c r="G10023" t="s">
        <v>14236</v>
      </c>
      <c r="H10023" t="s">
        <v>859</v>
      </c>
      <c r="I10023" t="s">
        <v>860</v>
      </c>
      <c r="J10023" t="str">
        <f>"9060411"</f>
        <v>9060411</v>
      </c>
      <c r="K10023">
        <v>2610525639</v>
      </c>
      <c r="L10023">
        <v>2610525639</v>
      </c>
      <c r="M10023" t="s">
        <v>16325</v>
      </c>
      <c r="N10023" t="s">
        <v>14309</v>
      </c>
      <c r="O10023" t="s">
        <v>16326</v>
      </c>
      <c r="P10023">
        <v>26500</v>
      </c>
      <c r="Q10023" t="str">
        <f>"38.204190"</f>
        <v>38.204190</v>
      </c>
      <c r="R10023" t="str">
        <f>"21.738107"</f>
        <v>21.738107</v>
      </c>
      <c r="S10023" t="s">
        <v>26</v>
      </c>
    </row>
    <row r="10024" spans="1:19" x14ac:dyDescent="0.3">
      <c r="A10024" t="s">
        <v>13791</v>
      </c>
      <c r="B10024" t="s">
        <v>15775</v>
      </c>
      <c r="C10024" t="s">
        <v>16327</v>
      </c>
      <c r="D10024" t="s">
        <v>13798</v>
      </c>
      <c r="E10024" t="s">
        <v>13799</v>
      </c>
      <c r="F10024" t="s">
        <v>14349</v>
      </c>
      <c r="G10024" t="s">
        <v>14411</v>
      </c>
      <c r="H10024" t="s">
        <v>859</v>
      </c>
      <c r="I10024" t="s">
        <v>860</v>
      </c>
      <c r="J10024" t="str">
        <f>"9060606"</f>
        <v>9060606</v>
      </c>
      <c r="K10024">
        <v>2610526075</v>
      </c>
      <c r="L10024">
        <v>2610526075</v>
      </c>
      <c r="M10024" t="s">
        <v>16328</v>
      </c>
      <c r="N10024" t="s">
        <v>14411</v>
      </c>
      <c r="O10024" t="s">
        <v>16329</v>
      </c>
      <c r="P10024">
        <v>26334</v>
      </c>
      <c r="Q10024" t="str">
        <f>"38.188412"</f>
        <v>38.188412</v>
      </c>
      <c r="R10024" t="str">
        <f>"21.714778"</f>
        <v>21.714778</v>
      </c>
      <c r="S10024" t="s">
        <v>26</v>
      </c>
    </row>
    <row r="10025" spans="1:19" x14ac:dyDescent="0.3">
      <c r="A10025" t="s">
        <v>13791</v>
      </c>
      <c r="B10025" t="s">
        <v>15775</v>
      </c>
      <c r="C10025" t="s">
        <v>16330</v>
      </c>
      <c r="D10025" t="s">
        <v>13798</v>
      </c>
      <c r="E10025" t="s">
        <v>13799</v>
      </c>
      <c r="F10025" t="s">
        <v>14276</v>
      </c>
      <c r="G10025" t="s">
        <v>14277</v>
      </c>
      <c r="H10025" t="s">
        <v>859</v>
      </c>
      <c r="I10025" t="s">
        <v>860</v>
      </c>
      <c r="J10025" t="str">
        <f>"9520829"</f>
        <v>9520829</v>
      </c>
      <c r="K10025">
        <v>2610993107</v>
      </c>
      <c r="L10025">
        <v>2610993107</v>
      </c>
      <c r="M10025" t="s">
        <v>16331</v>
      </c>
      <c r="N10025" t="s">
        <v>14592</v>
      </c>
      <c r="O10025" t="s">
        <v>16332</v>
      </c>
      <c r="P10025">
        <v>26504</v>
      </c>
      <c r="Q10025" t="str">
        <f>"38.289491"</f>
        <v>38.289491</v>
      </c>
      <c r="R10025" t="str">
        <f>"21.799880"</f>
        <v>21.799880</v>
      </c>
      <c r="S10025" t="s">
        <v>26</v>
      </c>
    </row>
    <row r="10026" spans="1:19" x14ac:dyDescent="0.3">
      <c r="A10026" t="s">
        <v>13791</v>
      </c>
      <c r="B10026" t="s">
        <v>15775</v>
      </c>
      <c r="C10026" t="s">
        <v>16334</v>
      </c>
      <c r="D10026" t="s">
        <v>13798</v>
      </c>
      <c r="E10026" t="s">
        <v>14200</v>
      </c>
      <c r="F10026" t="s">
        <v>14329</v>
      </c>
      <c r="G10026" t="s">
        <v>16333</v>
      </c>
      <c r="H10026" t="s">
        <v>859</v>
      </c>
      <c r="I10026" t="s">
        <v>860</v>
      </c>
      <c r="J10026" t="str">
        <f>"9520828"</f>
        <v>9520828</v>
      </c>
      <c r="K10026">
        <v>2693091161</v>
      </c>
      <c r="M10026" t="s">
        <v>16335</v>
      </c>
      <c r="N10026" t="s">
        <v>16336</v>
      </c>
      <c r="O10026" t="s">
        <v>16336</v>
      </c>
      <c r="P10026">
        <v>25200</v>
      </c>
      <c r="Q10026" t="str">
        <f>"38.057553"</f>
        <v>38.057553</v>
      </c>
      <c r="R10026" t="str">
        <f>"21.598451"</f>
        <v>21.598451</v>
      </c>
      <c r="S10026" t="s">
        <v>26</v>
      </c>
    </row>
    <row r="10027" spans="1:19" x14ac:dyDescent="0.3">
      <c r="A10027" t="s">
        <v>13791</v>
      </c>
      <c r="B10027" t="s">
        <v>15775</v>
      </c>
      <c r="C10027" t="s">
        <v>16337</v>
      </c>
      <c r="D10027" t="s">
        <v>13798</v>
      </c>
      <c r="E10027" t="s">
        <v>13799</v>
      </c>
      <c r="F10027" t="s">
        <v>13799</v>
      </c>
      <c r="G10027" t="s">
        <v>14241</v>
      </c>
      <c r="H10027" t="s">
        <v>859</v>
      </c>
      <c r="I10027" t="s">
        <v>860</v>
      </c>
      <c r="J10027" t="str">
        <f>"9060555"</f>
        <v>9060555</v>
      </c>
      <c r="K10027">
        <v>2610334928</v>
      </c>
      <c r="L10027">
        <v>2610334928</v>
      </c>
      <c r="M10027" t="s">
        <v>16338</v>
      </c>
      <c r="N10027" t="s">
        <v>14309</v>
      </c>
      <c r="O10027" t="s">
        <v>16339</v>
      </c>
      <c r="P10027">
        <v>26332</v>
      </c>
      <c r="Q10027" t="str">
        <f>"38.212706"</f>
        <v>38.212706</v>
      </c>
      <c r="R10027" t="str">
        <f>"21.742041"</f>
        <v>21.742041</v>
      </c>
      <c r="S10027" t="s">
        <v>26</v>
      </c>
    </row>
    <row r="10028" spans="1:19" x14ac:dyDescent="0.3">
      <c r="A10028" t="s">
        <v>13791</v>
      </c>
      <c r="B10028" t="s">
        <v>15775</v>
      </c>
      <c r="C10028" t="s">
        <v>16345</v>
      </c>
      <c r="D10028" t="s">
        <v>13798</v>
      </c>
      <c r="E10028" t="s">
        <v>13799</v>
      </c>
      <c r="F10028" t="s">
        <v>13799</v>
      </c>
      <c r="G10028" t="s">
        <v>13809</v>
      </c>
      <c r="H10028" t="s">
        <v>859</v>
      </c>
      <c r="I10028" t="s">
        <v>860</v>
      </c>
      <c r="J10028" t="str">
        <f>"9060535"</f>
        <v>9060535</v>
      </c>
      <c r="K10028">
        <v>2610437181</v>
      </c>
      <c r="L10028">
        <v>2610437181</v>
      </c>
      <c r="M10028" t="s">
        <v>16346</v>
      </c>
      <c r="N10028" t="s">
        <v>14309</v>
      </c>
      <c r="O10028" t="s">
        <v>16347</v>
      </c>
      <c r="P10028">
        <v>26441</v>
      </c>
      <c r="Q10028" t="str">
        <f>"38.256447"</f>
        <v>38.256447</v>
      </c>
      <c r="R10028" t="str">
        <f>"21.746174"</f>
        <v>21.746174</v>
      </c>
      <c r="S10028" t="s">
        <v>26</v>
      </c>
    </row>
    <row r="10029" spans="1:19" x14ac:dyDescent="0.3">
      <c r="A10029" t="s">
        <v>13791</v>
      </c>
      <c r="B10029" t="s">
        <v>15775</v>
      </c>
      <c r="C10029" t="s">
        <v>16348</v>
      </c>
      <c r="D10029" t="s">
        <v>13798</v>
      </c>
      <c r="E10029" t="s">
        <v>14200</v>
      </c>
      <c r="F10029" t="s">
        <v>14329</v>
      </c>
      <c r="G10029" t="s">
        <v>14505</v>
      </c>
      <c r="H10029" t="s">
        <v>859</v>
      </c>
      <c r="I10029" t="s">
        <v>860</v>
      </c>
      <c r="J10029" t="str">
        <f>"9060392"</f>
        <v>9060392</v>
      </c>
      <c r="K10029">
        <v>2694061188</v>
      </c>
      <c r="L10029">
        <v>2694061555</v>
      </c>
      <c r="M10029" t="s">
        <v>16349</v>
      </c>
      <c r="N10029" t="s">
        <v>16350</v>
      </c>
      <c r="O10029" t="s">
        <v>14505</v>
      </c>
      <c r="P10029">
        <v>25008</v>
      </c>
      <c r="Q10029" t="str">
        <f>"38.069030"</f>
        <v>38.069030</v>
      </c>
      <c r="R10029" t="str">
        <f>"21.652800"</f>
        <v>21.652800</v>
      </c>
      <c r="S10029" t="s">
        <v>26</v>
      </c>
    </row>
    <row r="10030" spans="1:19" x14ac:dyDescent="0.3">
      <c r="A10030" t="s">
        <v>13791</v>
      </c>
      <c r="B10030" t="s">
        <v>15775</v>
      </c>
      <c r="C10030" t="s">
        <v>16351</v>
      </c>
      <c r="D10030" t="s">
        <v>13798</v>
      </c>
      <c r="E10030" t="s">
        <v>13799</v>
      </c>
      <c r="F10030" t="s">
        <v>13799</v>
      </c>
      <c r="G10030" t="s">
        <v>14236</v>
      </c>
      <c r="H10030" t="s">
        <v>859</v>
      </c>
      <c r="I10030" t="s">
        <v>860</v>
      </c>
      <c r="J10030" t="str">
        <f>"9060140"</f>
        <v>9060140</v>
      </c>
      <c r="K10030">
        <v>2610324849</v>
      </c>
      <c r="L10030">
        <v>2610339247</v>
      </c>
      <c r="M10030" t="s">
        <v>16352</v>
      </c>
      <c r="N10030" t="s">
        <v>14309</v>
      </c>
      <c r="O10030" t="s">
        <v>16238</v>
      </c>
      <c r="P10030">
        <v>26333</v>
      </c>
      <c r="Q10030" t="str">
        <f>"38.227954"</f>
        <v>38.227954</v>
      </c>
      <c r="R10030" t="str">
        <f>"21.723654"</f>
        <v>21.723654</v>
      </c>
      <c r="S10030" t="s">
        <v>26</v>
      </c>
    </row>
    <row r="10031" spans="1:19" x14ac:dyDescent="0.3">
      <c r="A10031" t="s">
        <v>13791</v>
      </c>
      <c r="B10031" t="s">
        <v>15775</v>
      </c>
      <c r="C10031" t="s">
        <v>16353</v>
      </c>
      <c r="D10031" t="s">
        <v>13798</v>
      </c>
      <c r="E10031" t="s">
        <v>13799</v>
      </c>
      <c r="F10031" t="s">
        <v>13799</v>
      </c>
      <c r="G10031" t="s">
        <v>13800</v>
      </c>
      <c r="H10031" t="s">
        <v>859</v>
      </c>
      <c r="I10031" t="s">
        <v>860</v>
      </c>
      <c r="J10031" t="str">
        <f>"9060369"</f>
        <v>9060369</v>
      </c>
      <c r="K10031">
        <v>2610428581</v>
      </c>
      <c r="L10031">
        <v>2610428581</v>
      </c>
      <c r="M10031" t="s">
        <v>16354</v>
      </c>
      <c r="N10031" t="s">
        <v>14309</v>
      </c>
      <c r="O10031" t="s">
        <v>16355</v>
      </c>
      <c r="P10031">
        <v>26441</v>
      </c>
      <c r="Q10031" t="str">
        <f>"38.256176"</f>
        <v>38.256176</v>
      </c>
      <c r="R10031" t="str">
        <f>"21.751795"</f>
        <v>21.751795</v>
      </c>
      <c r="S10031" t="s">
        <v>26</v>
      </c>
    </row>
    <row r="10032" spans="1:19" x14ac:dyDescent="0.3">
      <c r="A10032" t="s">
        <v>13791</v>
      </c>
      <c r="B10032" t="s">
        <v>15775</v>
      </c>
      <c r="C10032" t="s">
        <v>16357</v>
      </c>
      <c r="D10032" t="s">
        <v>13798</v>
      </c>
      <c r="E10032" t="s">
        <v>13799</v>
      </c>
      <c r="F10032" t="s">
        <v>14323</v>
      </c>
      <c r="G10032" t="s">
        <v>16356</v>
      </c>
      <c r="H10032" t="s">
        <v>859</v>
      </c>
      <c r="I10032" t="s">
        <v>860</v>
      </c>
      <c r="J10032" t="str">
        <f>"9060504"</f>
        <v>9060504</v>
      </c>
      <c r="K10032">
        <v>2610672452</v>
      </c>
      <c r="L10032">
        <v>2610672452</v>
      </c>
      <c r="M10032" t="s">
        <v>16358</v>
      </c>
      <c r="N10032" t="s">
        <v>16356</v>
      </c>
      <c r="O10032" t="s">
        <v>16359</v>
      </c>
      <c r="P10032">
        <v>25002</v>
      </c>
      <c r="Q10032" t="str">
        <f>"38.155160"</f>
        <v>38.155160</v>
      </c>
      <c r="R10032" t="str">
        <f>"21.643451"</f>
        <v>21.643451</v>
      </c>
      <c r="S10032" t="s">
        <v>26</v>
      </c>
    </row>
    <row r="10033" spans="1:19" x14ac:dyDescent="0.3">
      <c r="A10033" t="s">
        <v>13791</v>
      </c>
      <c r="B10033" t="s">
        <v>15775</v>
      </c>
      <c r="C10033" t="s">
        <v>16360</v>
      </c>
      <c r="D10033" t="s">
        <v>13798</v>
      </c>
      <c r="E10033" t="s">
        <v>13799</v>
      </c>
      <c r="F10033" t="s">
        <v>13799</v>
      </c>
      <c r="G10033" t="s">
        <v>14236</v>
      </c>
      <c r="H10033" t="s">
        <v>859</v>
      </c>
      <c r="I10033" t="s">
        <v>860</v>
      </c>
      <c r="J10033" t="str">
        <f>"9060588"</f>
        <v>9060588</v>
      </c>
      <c r="K10033">
        <v>2610342939</v>
      </c>
      <c r="L10033">
        <v>2610342939</v>
      </c>
      <c r="M10033" t="s">
        <v>16361</v>
      </c>
      <c r="N10033" t="s">
        <v>14309</v>
      </c>
      <c r="O10033" t="s">
        <v>16362</v>
      </c>
      <c r="P10033">
        <v>26332</v>
      </c>
      <c r="Q10033" t="str">
        <f>"38.220688"</f>
        <v>38.220688</v>
      </c>
      <c r="R10033" t="str">
        <f>"21.734344"</f>
        <v>21.734344</v>
      </c>
      <c r="S10033" t="s">
        <v>26</v>
      </c>
    </row>
    <row r="10034" spans="1:19" x14ac:dyDescent="0.3">
      <c r="A10034" t="s">
        <v>13791</v>
      </c>
      <c r="B10034" t="s">
        <v>15775</v>
      </c>
      <c r="C10034" t="s">
        <v>16363</v>
      </c>
      <c r="D10034" t="s">
        <v>13798</v>
      </c>
      <c r="E10034" t="s">
        <v>13799</v>
      </c>
      <c r="F10034" t="s">
        <v>13799</v>
      </c>
      <c r="G10034" t="s">
        <v>14236</v>
      </c>
      <c r="H10034" t="s">
        <v>859</v>
      </c>
      <c r="I10034" t="s">
        <v>860</v>
      </c>
      <c r="J10034" t="str">
        <f>"9520792"</f>
        <v>9520792</v>
      </c>
      <c r="K10034">
        <v>2610316618</v>
      </c>
      <c r="L10034">
        <v>2610316618</v>
      </c>
      <c r="M10034" t="s">
        <v>16364</v>
      </c>
      <c r="N10034" t="s">
        <v>14309</v>
      </c>
      <c r="O10034" t="s">
        <v>16365</v>
      </c>
      <c r="P10034">
        <v>26332</v>
      </c>
      <c r="Q10034" t="str">
        <f>"38.222049"</f>
        <v>38.222049</v>
      </c>
      <c r="R10034" t="str">
        <f>"21.732960"</f>
        <v>21.732960</v>
      </c>
      <c r="S10034" t="s">
        <v>26</v>
      </c>
    </row>
    <row r="10035" spans="1:19" x14ac:dyDescent="0.3">
      <c r="A10035" t="s">
        <v>13791</v>
      </c>
      <c r="B10035" t="s">
        <v>15775</v>
      </c>
      <c r="C10035" t="s">
        <v>16366</v>
      </c>
      <c r="D10035" t="s">
        <v>13798</v>
      </c>
      <c r="E10035" t="s">
        <v>13799</v>
      </c>
      <c r="F10035" t="s">
        <v>13799</v>
      </c>
      <c r="G10035" t="s">
        <v>14236</v>
      </c>
      <c r="H10035" t="s">
        <v>859</v>
      </c>
      <c r="I10035" t="s">
        <v>860</v>
      </c>
      <c r="J10035" t="str">
        <f>"9060483"</f>
        <v>9060483</v>
      </c>
      <c r="K10035">
        <v>2610343176</v>
      </c>
      <c r="L10035">
        <v>2610343176</v>
      </c>
      <c r="M10035" t="s">
        <v>16367</v>
      </c>
      <c r="N10035" t="s">
        <v>14309</v>
      </c>
      <c r="O10035" t="s">
        <v>16368</v>
      </c>
      <c r="P10035">
        <v>26333</v>
      </c>
      <c r="Q10035" t="str">
        <f>"38.231628"</f>
        <v>38.231628</v>
      </c>
      <c r="R10035" t="str">
        <f>"21.732040"</f>
        <v>21.732040</v>
      </c>
      <c r="S10035" t="s">
        <v>26</v>
      </c>
    </row>
    <row r="10036" spans="1:19" x14ac:dyDescent="0.3">
      <c r="A10036" t="s">
        <v>13791</v>
      </c>
      <c r="B10036" t="s">
        <v>15775</v>
      </c>
      <c r="C10036" t="s">
        <v>16369</v>
      </c>
      <c r="D10036" t="s">
        <v>13798</v>
      </c>
      <c r="E10036" t="s">
        <v>13799</v>
      </c>
      <c r="F10036" t="s">
        <v>13799</v>
      </c>
      <c r="G10036" t="s">
        <v>13809</v>
      </c>
      <c r="H10036" t="s">
        <v>859</v>
      </c>
      <c r="I10036" t="s">
        <v>860</v>
      </c>
      <c r="J10036" t="str">
        <f>"9060296"</f>
        <v>9060296</v>
      </c>
      <c r="K10036">
        <v>2610328278</v>
      </c>
      <c r="M10036" t="s">
        <v>16370</v>
      </c>
      <c r="N10036" t="s">
        <v>14309</v>
      </c>
      <c r="O10036" t="s">
        <v>16371</v>
      </c>
      <c r="P10036">
        <v>26224</v>
      </c>
      <c r="Q10036" t="str">
        <f>"38.234777"</f>
        <v>38.234777</v>
      </c>
      <c r="R10036" t="str">
        <f>"21.737453"</f>
        <v>21.737453</v>
      </c>
      <c r="S10036" t="s">
        <v>26</v>
      </c>
    </row>
    <row r="10037" spans="1:19" x14ac:dyDescent="0.3">
      <c r="A10037" t="s">
        <v>13791</v>
      </c>
      <c r="B10037" t="s">
        <v>15775</v>
      </c>
      <c r="C10037" t="s">
        <v>16372</v>
      </c>
      <c r="D10037" t="s">
        <v>13798</v>
      </c>
      <c r="E10037" t="s">
        <v>13799</v>
      </c>
      <c r="F10037" t="s">
        <v>13799</v>
      </c>
      <c r="G10037" t="s">
        <v>13809</v>
      </c>
      <c r="H10037" t="s">
        <v>859</v>
      </c>
      <c r="I10037" t="s">
        <v>860</v>
      </c>
      <c r="J10037" t="str">
        <f>"9060510"</f>
        <v>9060510</v>
      </c>
      <c r="K10037">
        <v>2610311946</v>
      </c>
      <c r="M10037" t="s">
        <v>16373</v>
      </c>
      <c r="N10037" t="s">
        <v>14309</v>
      </c>
      <c r="O10037" t="s">
        <v>16113</v>
      </c>
      <c r="P10037">
        <v>26222</v>
      </c>
      <c r="Q10037" t="str">
        <f>"38.237662"</f>
        <v>38.237662</v>
      </c>
      <c r="R10037" t="str">
        <f>"21.730500"</f>
        <v>21.730500</v>
      </c>
      <c r="S10037" t="s">
        <v>26</v>
      </c>
    </row>
    <row r="10038" spans="1:19" x14ac:dyDescent="0.3">
      <c r="A10038" t="s">
        <v>13791</v>
      </c>
      <c r="B10038" t="s">
        <v>15775</v>
      </c>
      <c r="C10038" t="s">
        <v>16374</v>
      </c>
      <c r="D10038" t="s">
        <v>13798</v>
      </c>
      <c r="E10038" t="s">
        <v>13799</v>
      </c>
      <c r="F10038" t="s">
        <v>14212</v>
      </c>
      <c r="G10038" t="s">
        <v>14212</v>
      </c>
      <c r="H10038" t="s">
        <v>859</v>
      </c>
      <c r="I10038" t="s">
        <v>860</v>
      </c>
      <c r="J10038" t="str">
        <f>"9520791"</f>
        <v>9520791</v>
      </c>
      <c r="K10038">
        <v>2610528938</v>
      </c>
      <c r="L10038">
        <v>2610528938</v>
      </c>
      <c r="M10038" t="s">
        <v>16375</v>
      </c>
      <c r="N10038" t="s">
        <v>14212</v>
      </c>
      <c r="O10038" t="s">
        <v>16376</v>
      </c>
      <c r="P10038">
        <v>26333</v>
      </c>
      <c r="Q10038" t="str">
        <f>"38.192253"</f>
        <v>38.192253</v>
      </c>
      <c r="R10038" t="str">
        <f>"21.699456"</f>
        <v>21.699456</v>
      </c>
      <c r="S10038" t="s">
        <v>26</v>
      </c>
    </row>
    <row r="10039" spans="1:19" x14ac:dyDescent="0.3">
      <c r="A10039" t="s">
        <v>13791</v>
      </c>
      <c r="B10039" t="s">
        <v>15775</v>
      </c>
      <c r="C10039" t="s">
        <v>16377</v>
      </c>
      <c r="D10039" t="s">
        <v>13798</v>
      </c>
      <c r="E10039" t="s">
        <v>13799</v>
      </c>
      <c r="F10039" t="s">
        <v>13799</v>
      </c>
      <c r="G10039" t="s">
        <v>14236</v>
      </c>
      <c r="H10039" t="s">
        <v>859</v>
      </c>
      <c r="I10039" t="s">
        <v>860</v>
      </c>
      <c r="J10039" t="str">
        <f>"9060493"</f>
        <v>9060493</v>
      </c>
      <c r="K10039">
        <v>2610325744</v>
      </c>
      <c r="L10039">
        <v>2610325744</v>
      </c>
      <c r="M10039" t="s">
        <v>16378</v>
      </c>
      <c r="N10039" t="s">
        <v>14309</v>
      </c>
      <c r="O10039" t="s">
        <v>16379</v>
      </c>
      <c r="P10039">
        <v>26333</v>
      </c>
      <c r="Q10039" t="str">
        <f>"38.213679"</f>
        <v>38.213679</v>
      </c>
      <c r="R10039" t="str">
        <f>"21.723288"</f>
        <v>21.723288</v>
      </c>
      <c r="S10039" t="s">
        <v>26</v>
      </c>
    </row>
    <row r="10040" spans="1:19" x14ac:dyDescent="0.3">
      <c r="A10040" t="s">
        <v>13791</v>
      </c>
      <c r="B10040" t="s">
        <v>15775</v>
      </c>
      <c r="C10040" t="s">
        <v>16380</v>
      </c>
      <c r="D10040" t="s">
        <v>13798</v>
      </c>
      <c r="E10040" t="s">
        <v>13799</v>
      </c>
      <c r="F10040" t="s">
        <v>13799</v>
      </c>
      <c r="G10040" t="s">
        <v>14236</v>
      </c>
      <c r="H10040" t="s">
        <v>859</v>
      </c>
      <c r="I10040" t="s">
        <v>860</v>
      </c>
      <c r="J10040" t="str">
        <f>"9060468"</f>
        <v>9060468</v>
      </c>
      <c r="K10040">
        <v>2610334454</v>
      </c>
      <c r="L10040">
        <v>2610334454</v>
      </c>
      <c r="M10040" t="s">
        <v>16381</v>
      </c>
      <c r="N10040" t="s">
        <v>14309</v>
      </c>
      <c r="O10040" t="s">
        <v>16382</v>
      </c>
      <c r="P10040">
        <v>26332</v>
      </c>
      <c r="Q10040" t="str">
        <f>"38.222232"</f>
        <v>38.222232</v>
      </c>
      <c r="R10040" t="str">
        <f>"21.739994"</f>
        <v>21.739994</v>
      </c>
      <c r="S10040" t="s">
        <v>26</v>
      </c>
    </row>
    <row r="10041" spans="1:19" x14ac:dyDescent="0.3">
      <c r="A10041" t="s">
        <v>13791</v>
      </c>
      <c r="B10041" t="s">
        <v>15775</v>
      </c>
      <c r="C10041" t="s">
        <v>16383</v>
      </c>
      <c r="D10041" t="s">
        <v>13798</v>
      </c>
      <c r="E10041" t="s">
        <v>13799</v>
      </c>
      <c r="F10041" t="s">
        <v>13799</v>
      </c>
      <c r="G10041" t="s">
        <v>13809</v>
      </c>
      <c r="H10041" t="s">
        <v>859</v>
      </c>
      <c r="I10041" t="s">
        <v>860</v>
      </c>
      <c r="J10041" t="str">
        <f>"9060480"</f>
        <v>9060480</v>
      </c>
      <c r="K10041">
        <v>2610333880</v>
      </c>
      <c r="L10041">
        <v>2610333880</v>
      </c>
      <c r="M10041" t="s">
        <v>16384</v>
      </c>
      <c r="N10041" t="s">
        <v>13803</v>
      </c>
      <c r="O10041" t="s">
        <v>16385</v>
      </c>
      <c r="P10041">
        <v>26222</v>
      </c>
      <c r="Q10041" t="str">
        <f>"38.240196"</f>
        <v>38.240196</v>
      </c>
      <c r="R10041" t="str">
        <f>"21.731527"</f>
        <v>21.731527</v>
      </c>
      <c r="S10041" t="s">
        <v>26</v>
      </c>
    </row>
    <row r="10042" spans="1:19" x14ac:dyDescent="0.3">
      <c r="A10042" t="s">
        <v>13791</v>
      </c>
      <c r="B10042" t="s">
        <v>15775</v>
      </c>
      <c r="C10042" t="s">
        <v>16386</v>
      </c>
      <c r="D10042" t="s">
        <v>13798</v>
      </c>
      <c r="E10042" t="s">
        <v>14200</v>
      </c>
      <c r="F10042" t="s">
        <v>14329</v>
      </c>
      <c r="G10042" t="s">
        <v>16181</v>
      </c>
      <c r="H10042" t="s">
        <v>859</v>
      </c>
      <c r="I10042" t="s">
        <v>860</v>
      </c>
      <c r="J10042" t="str">
        <f>"9520794"</f>
        <v>9520794</v>
      </c>
      <c r="K10042">
        <v>2610242137</v>
      </c>
      <c r="L10042">
        <v>2610647092</v>
      </c>
      <c r="M10042" t="s">
        <v>16387</v>
      </c>
      <c r="N10042" t="s">
        <v>16181</v>
      </c>
      <c r="O10042" t="s">
        <v>16184</v>
      </c>
      <c r="P10042">
        <v>25200</v>
      </c>
      <c r="Q10042" t="str">
        <f>"38.103780"</f>
        <v>38.103780</v>
      </c>
      <c r="R10042" t="str">
        <f>"21.660613"</f>
        <v>21.660613</v>
      </c>
      <c r="S10042" t="s">
        <v>26</v>
      </c>
    </row>
    <row r="10043" spans="1:19" x14ac:dyDescent="0.3">
      <c r="A10043" t="s">
        <v>13791</v>
      </c>
      <c r="B10043" t="s">
        <v>15775</v>
      </c>
      <c r="C10043" t="s">
        <v>16388</v>
      </c>
      <c r="D10043" t="s">
        <v>13798</v>
      </c>
      <c r="E10043" t="s">
        <v>13799</v>
      </c>
      <c r="F10043" t="s">
        <v>13799</v>
      </c>
      <c r="G10043" t="s">
        <v>13809</v>
      </c>
      <c r="H10043" t="s">
        <v>859</v>
      </c>
      <c r="I10043" t="s">
        <v>860</v>
      </c>
      <c r="J10043" t="str">
        <f>"9060139"</f>
        <v>9060139</v>
      </c>
      <c r="K10043">
        <v>2610338808</v>
      </c>
      <c r="L10043">
        <v>2610338808</v>
      </c>
      <c r="M10043" t="s">
        <v>16389</v>
      </c>
      <c r="N10043" t="s">
        <v>13803</v>
      </c>
      <c r="O10043" t="s">
        <v>16390</v>
      </c>
      <c r="P10043">
        <v>26222</v>
      </c>
      <c r="Q10043" t="str">
        <f>"38.239969"</f>
        <v>38.239969</v>
      </c>
      <c r="R10043" t="str">
        <f>"21.730476"</f>
        <v>21.730476</v>
      </c>
      <c r="S10043" t="s">
        <v>26</v>
      </c>
    </row>
    <row r="10044" spans="1:19" x14ac:dyDescent="0.3">
      <c r="A10044" t="s">
        <v>13791</v>
      </c>
      <c r="B10044" t="s">
        <v>15775</v>
      </c>
      <c r="C10044" t="s">
        <v>16404</v>
      </c>
      <c r="D10044" t="s">
        <v>13798</v>
      </c>
      <c r="E10044" t="s">
        <v>14200</v>
      </c>
      <c r="F10044" t="s">
        <v>14286</v>
      </c>
      <c r="G10044" t="s">
        <v>14287</v>
      </c>
      <c r="H10044" t="s">
        <v>859</v>
      </c>
      <c r="I10044" t="s">
        <v>860</v>
      </c>
      <c r="J10044" t="str">
        <f>"9060194"</f>
        <v>9060194</v>
      </c>
      <c r="K10044">
        <v>2693031889</v>
      </c>
      <c r="M10044" t="s">
        <v>16405</v>
      </c>
      <c r="N10044" t="s">
        <v>14448</v>
      </c>
      <c r="O10044" t="s">
        <v>14448</v>
      </c>
      <c r="P10044">
        <v>25200</v>
      </c>
      <c r="Q10044" t="str">
        <f>"38.098401"</f>
        <v>38.098401</v>
      </c>
      <c r="R10044" t="str">
        <f>"21.418822"</f>
        <v>21.418822</v>
      </c>
      <c r="S10044" t="s">
        <v>26</v>
      </c>
    </row>
    <row r="10045" spans="1:19" x14ac:dyDescent="0.3">
      <c r="A10045" t="s">
        <v>13791</v>
      </c>
      <c r="B10045" t="s">
        <v>15775</v>
      </c>
      <c r="C10045" t="s">
        <v>16406</v>
      </c>
      <c r="D10045" t="s">
        <v>13798</v>
      </c>
      <c r="E10045" t="s">
        <v>13799</v>
      </c>
      <c r="F10045" t="s">
        <v>14323</v>
      </c>
      <c r="G10045" t="s">
        <v>14323</v>
      </c>
      <c r="H10045" t="s">
        <v>859</v>
      </c>
      <c r="I10045" t="s">
        <v>860</v>
      </c>
      <c r="J10045" t="str">
        <f>"9520946"</f>
        <v>9520946</v>
      </c>
      <c r="K10045">
        <v>2610672331</v>
      </c>
      <c r="L10045">
        <v>2610672331</v>
      </c>
      <c r="M10045" t="s">
        <v>16407</v>
      </c>
      <c r="N10045" t="s">
        <v>14323</v>
      </c>
      <c r="O10045" t="s">
        <v>16408</v>
      </c>
      <c r="P10045">
        <v>25002</v>
      </c>
      <c r="Q10045" t="str">
        <f>"38.163084"</f>
        <v>38.163084</v>
      </c>
      <c r="R10045" t="str">
        <f>"21.670518"</f>
        <v>21.670518</v>
      </c>
      <c r="S10045" t="s">
        <v>26</v>
      </c>
    </row>
    <row r="10046" spans="1:19" x14ac:dyDescent="0.3">
      <c r="A10046" t="s">
        <v>13791</v>
      </c>
      <c r="B10046" t="s">
        <v>15775</v>
      </c>
      <c r="C10046" t="s">
        <v>16409</v>
      </c>
      <c r="D10046" t="s">
        <v>13798</v>
      </c>
      <c r="E10046" t="s">
        <v>14200</v>
      </c>
      <c r="F10046" t="s">
        <v>2699</v>
      </c>
      <c r="G10046" t="s">
        <v>14291</v>
      </c>
      <c r="H10046" t="s">
        <v>859</v>
      </c>
      <c r="I10046" t="s">
        <v>860</v>
      </c>
      <c r="J10046" t="str">
        <f>"9060181"</f>
        <v>9060181</v>
      </c>
      <c r="K10046">
        <v>2693024222</v>
      </c>
      <c r="L10046">
        <v>2693024222</v>
      </c>
      <c r="M10046" t="s">
        <v>16410</v>
      </c>
      <c r="N10046" t="s">
        <v>15956</v>
      </c>
      <c r="O10046" t="s">
        <v>16411</v>
      </c>
      <c r="P10046">
        <v>25200</v>
      </c>
      <c r="Q10046" t="str">
        <f>"38.143938"</f>
        <v>38.143938</v>
      </c>
      <c r="R10046" t="str">
        <f>"21.558576"</f>
        <v>21.558576</v>
      </c>
      <c r="S10046" t="s">
        <v>26</v>
      </c>
    </row>
    <row r="10047" spans="1:19" x14ac:dyDescent="0.3">
      <c r="A10047" t="s">
        <v>13791</v>
      </c>
      <c r="B10047" t="s">
        <v>15775</v>
      </c>
      <c r="C10047" t="s">
        <v>16412</v>
      </c>
      <c r="D10047" t="s">
        <v>13798</v>
      </c>
      <c r="E10047" t="s">
        <v>13799</v>
      </c>
      <c r="F10047" t="s">
        <v>14323</v>
      </c>
      <c r="G10047" t="s">
        <v>14323</v>
      </c>
      <c r="H10047" t="s">
        <v>859</v>
      </c>
      <c r="I10047" t="s">
        <v>860</v>
      </c>
      <c r="J10047" t="str">
        <f>"9060169"</f>
        <v>9060169</v>
      </c>
      <c r="K10047">
        <v>2610671214</v>
      </c>
      <c r="L10047">
        <v>2610671214</v>
      </c>
      <c r="M10047" t="s">
        <v>16413</v>
      </c>
      <c r="N10047" t="s">
        <v>14323</v>
      </c>
      <c r="O10047" t="s">
        <v>16414</v>
      </c>
      <c r="P10047">
        <v>25002</v>
      </c>
      <c r="Q10047" t="str">
        <f>"38.160213"</f>
        <v>38.160213</v>
      </c>
      <c r="R10047" t="str">
        <f>"21.669085"</f>
        <v>21.669085</v>
      </c>
      <c r="S10047" t="s">
        <v>26</v>
      </c>
    </row>
    <row r="10048" spans="1:19" x14ac:dyDescent="0.3">
      <c r="A10048" t="s">
        <v>13791</v>
      </c>
      <c r="B10048" t="s">
        <v>15775</v>
      </c>
      <c r="C10048" t="s">
        <v>16415</v>
      </c>
      <c r="D10048" t="s">
        <v>13798</v>
      </c>
      <c r="E10048" t="s">
        <v>13799</v>
      </c>
      <c r="F10048" t="s">
        <v>13799</v>
      </c>
      <c r="G10048" t="s">
        <v>13800</v>
      </c>
      <c r="H10048" t="s">
        <v>859</v>
      </c>
      <c r="I10048" t="s">
        <v>860</v>
      </c>
      <c r="J10048" t="str">
        <f>"9060616"</f>
        <v>9060616</v>
      </c>
      <c r="K10048">
        <v>2610455088</v>
      </c>
      <c r="L10048">
        <v>2610455088</v>
      </c>
      <c r="M10048" t="s">
        <v>16416</v>
      </c>
      <c r="N10048" t="s">
        <v>14309</v>
      </c>
      <c r="O10048" t="s">
        <v>16417</v>
      </c>
      <c r="P10048">
        <v>26442</v>
      </c>
      <c r="Q10048" t="str">
        <f>"38.264576"</f>
        <v>38.264576</v>
      </c>
      <c r="R10048" t="str">
        <f>"21.747350"</f>
        <v>21.747350</v>
      </c>
      <c r="S10048" t="s">
        <v>26</v>
      </c>
    </row>
    <row r="10049" spans="1:19" x14ac:dyDescent="0.3">
      <c r="A10049" t="s">
        <v>13791</v>
      </c>
      <c r="B10049" t="s">
        <v>15775</v>
      </c>
      <c r="C10049" t="s">
        <v>16424</v>
      </c>
      <c r="D10049" t="s">
        <v>13798</v>
      </c>
      <c r="E10049" t="s">
        <v>13799</v>
      </c>
      <c r="F10049" t="s">
        <v>13799</v>
      </c>
      <c r="G10049" t="s">
        <v>13800</v>
      </c>
      <c r="H10049" t="s">
        <v>859</v>
      </c>
      <c r="I10049" t="s">
        <v>860</v>
      </c>
      <c r="J10049" t="str">
        <f>"9060485"</f>
        <v>9060485</v>
      </c>
      <c r="K10049">
        <v>2610433454</v>
      </c>
      <c r="L10049">
        <v>2610433454</v>
      </c>
      <c r="M10049" t="s">
        <v>16425</v>
      </c>
      <c r="N10049" t="s">
        <v>14309</v>
      </c>
      <c r="O10049" t="s">
        <v>16426</v>
      </c>
      <c r="P10049">
        <v>26442</v>
      </c>
      <c r="Q10049" t="str">
        <f>"38.264631"</f>
        <v>38.264631</v>
      </c>
      <c r="R10049" t="str">
        <f>"21.747208"</f>
        <v>21.747208</v>
      </c>
      <c r="S10049" t="s">
        <v>26</v>
      </c>
    </row>
    <row r="10050" spans="1:19" x14ac:dyDescent="0.3">
      <c r="A10050" t="s">
        <v>13791</v>
      </c>
      <c r="B10050" t="s">
        <v>15775</v>
      </c>
      <c r="C10050" t="s">
        <v>16427</v>
      </c>
      <c r="D10050" t="s">
        <v>13798</v>
      </c>
      <c r="E10050" t="s">
        <v>13799</v>
      </c>
      <c r="F10050" t="s">
        <v>14276</v>
      </c>
      <c r="G10050" t="s">
        <v>14276</v>
      </c>
      <c r="H10050" t="s">
        <v>859</v>
      </c>
      <c r="I10050" t="s">
        <v>860</v>
      </c>
      <c r="J10050" t="str">
        <f>"9060461"</f>
        <v>9060461</v>
      </c>
      <c r="K10050">
        <v>2610991129</v>
      </c>
      <c r="L10050">
        <v>2610991129</v>
      </c>
      <c r="M10050" t="s">
        <v>16428</v>
      </c>
      <c r="N10050" t="s">
        <v>14276</v>
      </c>
      <c r="O10050" t="s">
        <v>16429</v>
      </c>
      <c r="P10050">
        <v>26500</v>
      </c>
      <c r="Q10050" t="str">
        <f>"38.300045"</f>
        <v>38.300045</v>
      </c>
      <c r="R10050" t="str">
        <f>"21.786602"</f>
        <v>21.786602</v>
      </c>
      <c r="S10050" t="s">
        <v>26</v>
      </c>
    </row>
    <row r="10051" spans="1:19" x14ac:dyDescent="0.3">
      <c r="A10051" t="s">
        <v>13791</v>
      </c>
      <c r="B10051" t="s">
        <v>15775</v>
      </c>
      <c r="C10051" t="s">
        <v>16448</v>
      </c>
      <c r="D10051" t="s">
        <v>13798</v>
      </c>
      <c r="E10051" t="s">
        <v>14188</v>
      </c>
      <c r="F10051" t="s">
        <v>14189</v>
      </c>
      <c r="G10051" t="s">
        <v>14190</v>
      </c>
      <c r="H10051" t="s">
        <v>859</v>
      </c>
      <c r="I10051" t="s">
        <v>860</v>
      </c>
      <c r="J10051" t="str">
        <f>"9060415"</f>
        <v>9060415</v>
      </c>
      <c r="K10051">
        <v>2694022815</v>
      </c>
      <c r="L10051">
        <v>2694022815</v>
      </c>
      <c r="M10051" t="s">
        <v>16449</v>
      </c>
      <c r="N10051" t="s">
        <v>16450</v>
      </c>
      <c r="O10051" t="s">
        <v>14194</v>
      </c>
      <c r="P10051">
        <v>25008</v>
      </c>
      <c r="Q10051" t="str">
        <f>"38.106152"</f>
        <v>38.106152</v>
      </c>
      <c r="R10051" t="str">
        <f>"21.787735"</f>
        <v>21.787735</v>
      </c>
      <c r="S10051" t="s">
        <v>26</v>
      </c>
    </row>
    <row r="10052" spans="1:19" x14ac:dyDescent="0.3">
      <c r="A10052" t="s">
        <v>13791</v>
      </c>
      <c r="B10052" t="s">
        <v>15775</v>
      </c>
      <c r="C10052" t="s">
        <v>16459</v>
      </c>
      <c r="D10052" t="s">
        <v>13798</v>
      </c>
      <c r="E10052" t="s">
        <v>13799</v>
      </c>
      <c r="F10052" t="s">
        <v>13799</v>
      </c>
      <c r="G10052" t="s">
        <v>13800</v>
      </c>
      <c r="H10052" t="s">
        <v>859</v>
      </c>
      <c r="I10052" t="s">
        <v>860</v>
      </c>
      <c r="J10052" t="str">
        <f>"9060487"</f>
        <v>9060487</v>
      </c>
      <c r="K10052">
        <v>2610433781</v>
      </c>
      <c r="L10052">
        <v>2610433781</v>
      </c>
      <c r="M10052" t="s">
        <v>16460</v>
      </c>
      <c r="N10052" t="s">
        <v>14309</v>
      </c>
      <c r="O10052" t="s">
        <v>15936</v>
      </c>
      <c r="P10052">
        <v>26442</v>
      </c>
      <c r="Q10052" t="str">
        <f>"38.276025"</f>
        <v>38.276025</v>
      </c>
      <c r="R10052" t="str">
        <f>"21.760435"</f>
        <v>21.760435</v>
      </c>
      <c r="S10052" t="s">
        <v>26</v>
      </c>
    </row>
    <row r="10053" spans="1:19" x14ac:dyDescent="0.3">
      <c r="A10053" t="s">
        <v>13791</v>
      </c>
      <c r="B10053" t="s">
        <v>15775</v>
      </c>
      <c r="C10053" t="s">
        <v>16461</v>
      </c>
      <c r="D10053" t="s">
        <v>13798</v>
      </c>
      <c r="E10053" t="s">
        <v>13799</v>
      </c>
      <c r="F10053" t="s">
        <v>14349</v>
      </c>
      <c r="G10053" t="s">
        <v>14350</v>
      </c>
      <c r="H10053" t="s">
        <v>859</v>
      </c>
      <c r="I10053" t="s">
        <v>860</v>
      </c>
      <c r="J10053" t="str">
        <f>"9060614"</f>
        <v>9060614</v>
      </c>
      <c r="K10053">
        <v>2610526110</v>
      </c>
      <c r="L10053">
        <v>2610526110</v>
      </c>
      <c r="M10053" t="s">
        <v>16462</v>
      </c>
      <c r="N10053" t="s">
        <v>16066</v>
      </c>
      <c r="O10053" t="s">
        <v>16463</v>
      </c>
      <c r="P10053">
        <v>26500</v>
      </c>
      <c r="Q10053" t="str">
        <f>"38.204095"</f>
        <v>38.204095</v>
      </c>
      <c r="R10053" t="str">
        <f>"21.747167"</f>
        <v>21.747167</v>
      </c>
      <c r="S10053" t="s">
        <v>26</v>
      </c>
    </row>
    <row r="10054" spans="1:19" x14ac:dyDescent="0.3">
      <c r="A10054" t="s">
        <v>13791</v>
      </c>
      <c r="B10054" t="s">
        <v>15775</v>
      </c>
      <c r="C10054" t="s">
        <v>16464</v>
      </c>
      <c r="D10054" t="s">
        <v>13798</v>
      </c>
      <c r="E10054" t="s">
        <v>13799</v>
      </c>
      <c r="F10054" t="s">
        <v>14349</v>
      </c>
      <c r="G10054" t="s">
        <v>14350</v>
      </c>
      <c r="H10054" t="s">
        <v>859</v>
      </c>
      <c r="I10054" t="s">
        <v>860</v>
      </c>
      <c r="J10054" t="str">
        <f>"9060488"</f>
        <v>9060488</v>
      </c>
      <c r="K10054">
        <v>2610522002</v>
      </c>
      <c r="L10054">
        <v>2610522002</v>
      </c>
      <c r="M10054" t="s">
        <v>16465</v>
      </c>
      <c r="N10054" t="s">
        <v>14350</v>
      </c>
      <c r="O10054" t="s">
        <v>16466</v>
      </c>
      <c r="P10054">
        <v>26500</v>
      </c>
      <c r="Q10054" t="str">
        <f>"38.191583"</f>
        <v>38.191583</v>
      </c>
      <c r="R10054" t="str">
        <f>"21.760901"</f>
        <v>21.760901</v>
      </c>
      <c r="S10054" t="s">
        <v>26</v>
      </c>
    </row>
    <row r="10055" spans="1:19" x14ac:dyDescent="0.3">
      <c r="A10055" t="s">
        <v>13791</v>
      </c>
      <c r="B10055" t="s">
        <v>15775</v>
      </c>
      <c r="C10055" t="s">
        <v>16469</v>
      </c>
      <c r="D10055" t="s">
        <v>13798</v>
      </c>
      <c r="E10055" t="s">
        <v>13799</v>
      </c>
      <c r="F10055" t="s">
        <v>14276</v>
      </c>
      <c r="G10055" t="s">
        <v>15824</v>
      </c>
      <c r="H10055" t="s">
        <v>859</v>
      </c>
      <c r="I10055" t="s">
        <v>860</v>
      </c>
      <c r="J10055" t="str">
        <f>"9060536"</f>
        <v>9060536</v>
      </c>
      <c r="K10055">
        <v>2610931607</v>
      </c>
      <c r="L10055">
        <v>2610931463</v>
      </c>
      <c r="M10055" t="s">
        <v>16470</v>
      </c>
      <c r="N10055" t="s">
        <v>15827</v>
      </c>
      <c r="O10055" t="s">
        <v>16471</v>
      </c>
      <c r="P10055">
        <v>26504</v>
      </c>
      <c r="Q10055" t="str">
        <f>"38.322234"</f>
        <v>38.322234</v>
      </c>
      <c r="R10055" t="str">
        <f>"21.853110"</f>
        <v>21.853110</v>
      </c>
      <c r="S10055" t="s">
        <v>26</v>
      </c>
    </row>
    <row r="10056" spans="1:19" x14ac:dyDescent="0.3">
      <c r="A10056" t="s">
        <v>13791</v>
      </c>
      <c r="B10056" t="s">
        <v>15775</v>
      </c>
      <c r="C10056" t="s">
        <v>16492</v>
      </c>
      <c r="D10056" t="s">
        <v>13798</v>
      </c>
      <c r="E10056" t="s">
        <v>14200</v>
      </c>
      <c r="F10056" t="s">
        <v>2699</v>
      </c>
      <c r="G10056" t="s">
        <v>16491</v>
      </c>
      <c r="H10056" t="s">
        <v>859</v>
      </c>
      <c r="I10056" t="s">
        <v>860</v>
      </c>
      <c r="J10056" t="str">
        <f>"9060620"</f>
        <v>9060620</v>
      </c>
      <c r="K10056">
        <v>2693023688</v>
      </c>
      <c r="L10056">
        <v>2693023688</v>
      </c>
      <c r="M10056" t="s">
        <v>16493</v>
      </c>
      <c r="N10056" t="s">
        <v>16494</v>
      </c>
      <c r="O10056" t="s">
        <v>16494</v>
      </c>
      <c r="P10056">
        <v>25200</v>
      </c>
      <c r="Q10056" t="str">
        <f>"38.155154"</f>
        <v>38.155154</v>
      </c>
      <c r="R10056" t="str">
        <f>"21.531548"</f>
        <v>21.531548</v>
      </c>
      <c r="S10056" t="s">
        <v>26</v>
      </c>
    </row>
    <row r="10057" spans="1:19" x14ac:dyDescent="0.3">
      <c r="A10057" t="s">
        <v>13791</v>
      </c>
      <c r="B10057" t="s">
        <v>15775</v>
      </c>
      <c r="C10057" t="s">
        <v>16497</v>
      </c>
      <c r="D10057" t="s">
        <v>13798</v>
      </c>
      <c r="E10057" t="s">
        <v>13799</v>
      </c>
      <c r="F10057" t="s">
        <v>13799</v>
      </c>
      <c r="G10057" t="s">
        <v>13800</v>
      </c>
      <c r="H10057" t="s">
        <v>859</v>
      </c>
      <c r="I10057" t="s">
        <v>860</v>
      </c>
      <c r="J10057" t="str">
        <f>"9520962"</f>
        <v>9520962</v>
      </c>
      <c r="K10057">
        <v>2610451319</v>
      </c>
      <c r="L10057">
        <v>2610451319</v>
      </c>
      <c r="M10057" t="s">
        <v>16498</v>
      </c>
      <c r="N10057" t="s">
        <v>14309</v>
      </c>
      <c r="O10057" t="s">
        <v>16499</v>
      </c>
      <c r="P10057">
        <v>26442</v>
      </c>
      <c r="Q10057" t="str">
        <f>"38.274985"</f>
        <v>38.274985</v>
      </c>
      <c r="R10057" t="str">
        <f>"21.754485"</f>
        <v>21.754485</v>
      </c>
      <c r="S10057" t="s">
        <v>26</v>
      </c>
    </row>
    <row r="10058" spans="1:19" x14ac:dyDescent="0.3">
      <c r="A10058" t="s">
        <v>13791</v>
      </c>
      <c r="B10058" t="s">
        <v>15775</v>
      </c>
      <c r="C10058" t="s">
        <v>16500</v>
      </c>
      <c r="D10058" t="s">
        <v>13798</v>
      </c>
      <c r="E10058" t="s">
        <v>13799</v>
      </c>
      <c r="F10058" t="s">
        <v>13799</v>
      </c>
      <c r="G10058" t="s">
        <v>13800</v>
      </c>
      <c r="H10058" t="s">
        <v>859</v>
      </c>
      <c r="I10058" t="s">
        <v>1102</v>
      </c>
      <c r="J10058" t="str">
        <f>"9060572"</f>
        <v>9060572</v>
      </c>
      <c r="K10058">
        <v>2610461272</v>
      </c>
      <c r="L10058">
        <v>2610461272</v>
      </c>
      <c r="M10058" t="s">
        <v>16501</v>
      </c>
      <c r="N10058" t="s">
        <v>16502</v>
      </c>
      <c r="O10058" t="s">
        <v>14221</v>
      </c>
      <c r="P10058">
        <v>26443</v>
      </c>
      <c r="Q10058" t="str">
        <f>"38.276314"</f>
        <v>38.276314</v>
      </c>
      <c r="R10058" t="str">
        <f>"21.763657"</f>
        <v>21.763657</v>
      </c>
      <c r="S10058" t="s">
        <v>26</v>
      </c>
    </row>
    <row r="10059" spans="1:19" x14ac:dyDescent="0.3">
      <c r="A10059" t="s">
        <v>13791</v>
      </c>
      <c r="B10059" t="s">
        <v>15775</v>
      </c>
      <c r="C10059" t="s">
        <v>16561</v>
      </c>
      <c r="D10059" t="s">
        <v>13798</v>
      </c>
      <c r="E10059" t="s">
        <v>14223</v>
      </c>
      <c r="F10059" t="s">
        <v>14223</v>
      </c>
      <c r="G10059" t="s">
        <v>16560</v>
      </c>
      <c r="H10059" t="s">
        <v>859</v>
      </c>
      <c r="I10059" t="s">
        <v>860</v>
      </c>
      <c r="J10059" t="str">
        <f>"9060581"</f>
        <v>9060581</v>
      </c>
      <c r="K10059">
        <v>2692041231</v>
      </c>
      <c r="L10059">
        <v>2692041231</v>
      </c>
      <c r="M10059" t="s">
        <v>16562</v>
      </c>
      <c r="N10059" t="s">
        <v>14223</v>
      </c>
      <c r="O10059" t="s">
        <v>16563</v>
      </c>
      <c r="P10059">
        <v>25013</v>
      </c>
      <c r="Q10059" t="str">
        <f>"38.016328"</f>
        <v>38.016328</v>
      </c>
      <c r="R10059" t="str">
        <f>"21.962070"</f>
        <v>21.962070</v>
      </c>
      <c r="S10059" t="s">
        <v>57</v>
      </c>
    </row>
    <row r="10060" spans="1:19" x14ac:dyDescent="0.3">
      <c r="A10060" t="s">
        <v>13791</v>
      </c>
      <c r="B10060" t="s">
        <v>15775</v>
      </c>
      <c r="C10060" t="s">
        <v>16569</v>
      </c>
      <c r="D10060" t="s">
        <v>13798</v>
      </c>
      <c r="E10060" t="s">
        <v>14223</v>
      </c>
      <c r="F10060" t="s">
        <v>14365</v>
      </c>
      <c r="G10060" t="s">
        <v>14365</v>
      </c>
      <c r="H10060" t="s">
        <v>859</v>
      </c>
      <c r="I10060" t="s">
        <v>860</v>
      </c>
      <c r="J10060" t="str">
        <f>"9060092"</f>
        <v>9060092</v>
      </c>
      <c r="K10060">
        <v>2692031727</v>
      </c>
      <c r="L10060">
        <v>2692031727</v>
      </c>
      <c r="M10060" t="s">
        <v>16570</v>
      </c>
      <c r="N10060" t="s">
        <v>14365</v>
      </c>
      <c r="O10060" t="s">
        <v>14368</v>
      </c>
      <c r="P10060">
        <v>25007</v>
      </c>
      <c r="Q10060" t="str">
        <f>"37.899791"</f>
        <v>37.899791</v>
      </c>
      <c r="R10060" t="str">
        <f>"22.116495"</f>
        <v>22.116495</v>
      </c>
      <c r="S10060" t="s">
        <v>26</v>
      </c>
    </row>
    <row r="10061" spans="1:19" x14ac:dyDescent="0.3">
      <c r="A10061" t="s">
        <v>13791</v>
      </c>
      <c r="B10061" t="s">
        <v>15775</v>
      </c>
      <c r="C10061" t="s">
        <v>16571</v>
      </c>
      <c r="D10061" t="s">
        <v>13798</v>
      </c>
      <c r="E10061" t="s">
        <v>14223</v>
      </c>
      <c r="F10061" t="s">
        <v>14223</v>
      </c>
      <c r="G10061" t="s">
        <v>15849</v>
      </c>
      <c r="H10061" t="s">
        <v>859</v>
      </c>
      <c r="I10061" t="s">
        <v>860</v>
      </c>
      <c r="J10061" t="str">
        <f>"9060514"</f>
        <v>9060514</v>
      </c>
      <c r="K10061">
        <v>2692022397</v>
      </c>
      <c r="M10061" t="s">
        <v>16572</v>
      </c>
      <c r="N10061" t="s">
        <v>15849</v>
      </c>
      <c r="O10061" t="s">
        <v>15852</v>
      </c>
      <c r="P10061">
        <v>25001</v>
      </c>
      <c r="Q10061" t="str">
        <f>"37.999767"</f>
        <v>37.999767</v>
      </c>
      <c r="R10061" t="str">
        <f>"22.091706"</f>
        <v>22.091706</v>
      </c>
      <c r="S10061" t="s">
        <v>57</v>
      </c>
    </row>
    <row r="10062" spans="1:19" x14ac:dyDescent="0.3">
      <c r="A10062" t="s">
        <v>13791</v>
      </c>
      <c r="B10062" t="s">
        <v>15775</v>
      </c>
      <c r="C10062" t="s">
        <v>16573</v>
      </c>
      <c r="D10062" t="s">
        <v>13798</v>
      </c>
      <c r="E10062" t="s">
        <v>14223</v>
      </c>
      <c r="F10062" t="s">
        <v>14297</v>
      </c>
      <c r="G10062" t="s">
        <v>3469</v>
      </c>
      <c r="H10062" t="s">
        <v>859</v>
      </c>
      <c r="I10062" t="s">
        <v>860</v>
      </c>
      <c r="J10062" t="str">
        <f>"9060067"</f>
        <v>9060067</v>
      </c>
      <c r="K10062">
        <v>2692071210</v>
      </c>
      <c r="L10062">
        <v>2692071210</v>
      </c>
      <c r="M10062" t="s">
        <v>16574</v>
      </c>
      <c r="N10062" t="s">
        <v>3549</v>
      </c>
      <c r="O10062" t="s">
        <v>14301</v>
      </c>
      <c r="P10062">
        <v>25004</v>
      </c>
      <c r="Q10062" t="str">
        <f>"37.809080"</f>
        <v>37.809080</v>
      </c>
      <c r="R10062" t="str">
        <f>"22.023233"</f>
        <v>22.023233</v>
      </c>
      <c r="S10062" t="s">
        <v>57</v>
      </c>
    </row>
    <row r="10063" spans="1:19" x14ac:dyDescent="0.3">
      <c r="A10063" t="s">
        <v>13791</v>
      </c>
      <c r="B10063" t="s">
        <v>15775</v>
      </c>
      <c r="C10063" t="s">
        <v>16653</v>
      </c>
      <c r="D10063" t="s">
        <v>13798</v>
      </c>
      <c r="E10063" t="s">
        <v>13799</v>
      </c>
      <c r="F10063" t="s">
        <v>13799</v>
      </c>
      <c r="G10063" t="s">
        <v>14236</v>
      </c>
      <c r="H10063" t="s">
        <v>859</v>
      </c>
      <c r="I10063" t="s">
        <v>1102</v>
      </c>
      <c r="J10063" t="str">
        <f>"9060574"</f>
        <v>9060574</v>
      </c>
      <c r="K10063">
        <v>2610312947</v>
      </c>
      <c r="L10063">
        <v>2610312948</v>
      </c>
      <c r="M10063" t="s">
        <v>16654</v>
      </c>
      <c r="N10063" t="s">
        <v>13803</v>
      </c>
      <c r="O10063" t="s">
        <v>16649</v>
      </c>
      <c r="P10063">
        <v>26334</v>
      </c>
      <c r="Q10063" t="str">
        <f>"38.223945"</f>
        <v>38.223945</v>
      </c>
      <c r="R10063" t="str">
        <f>"21.740801"</f>
        <v>21.740801</v>
      </c>
      <c r="S10063" t="s">
        <v>26</v>
      </c>
    </row>
    <row r="10064" spans="1:19" x14ac:dyDescent="0.3">
      <c r="A10064" t="s">
        <v>13791</v>
      </c>
      <c r="B10064" t="s">
        <v>15775</v>
      </c>
      <c r="C10064" t="s">
        <v>16655</v>
      </c>
      <c r="D10064" t="s">
        <v>13798</v>
      </c>
      <c r="E10064" t="s">
        <v>14200</v>
      </c>
      <c r="F10064" t="s">
        <v>2699</v>
      </c>
      <c r="G10064" t="s">
        <v>14291</v>
      </c>
      <c r="H10064" t="s">
        <v>859</v>
      </c>
      <c r="I10064" t="s">
        <v>860</v>
      </c>
      <c r="J10064" t="str">
        <f>"9060619"</f>
        <v>9060619</v>
      </c>
      <c r="K10064">
        <v>2693023651</v>
      </c>
      <c r="L10064">
        <v>2693023651</v>
      </c>
      <c r="M10064" t="s">
        <v>16656</v>
      </c>
      <c r="N10064" t="s">
        <v>14291</v>
      </c>
      <c r="O10064" t="s">
        <v>16657</v>
      </c>
      <c r="P10064">
        <v>25200</v>
      </c>
      <c r="Q10064" t="str">
        <f>"38.144740"</f>
        <v>38.144740</v>
      </c>
      <c r="R10064" t="str">
        <f>"21.546860"</f>
        <v>21.546860</v>
      </c>
      <c r="S10064" t="s">
        <v>26</v>
      </c>
    </row>
    <row r="10065" spans="1:19" x14ac:dyDescent="0.3">
      <c r="A10065" t="s">
        <v>13791</v>
      </c>
      <c r="B10065" t="s">
        <v>15775</v>
      </c>
      <c r="C10065" t="s">
        <v>16659</v>
      </c>
      <c r="D10065" t="s">
        <v>13798</v>
      </c>
      <c r="E10065" t="s">
        <v>13799</v>
      </c>
      <c r="F10065" t="s">
        <v>13799</v>
      </c>
      <c r="G10065" t="s">
        <v>14241</v>
      </c>
      <c r="H10065" t="s">
        <v>859</v>
      </c>
      <c r="I10065" t="s">
        <v>1102</v>
      </c>
      <c r="J10065" t="str">
        <f>"9060621"</f>
        <v>9060621</v>
      </c>
      <c r="K10065">
        <v>2610431446</v>
      </c>
      <c r="L10065">
        <v>2610311466</v>
      </c>
      <c r="M10065" t="s">
        <v>16660</v>
      </c>
      <c r="N10065" t="s">
        <v>13803</v>
      </c>
      <c r="O10065" t="s">
        <v>16661</v>
      </c>
      <c r="Q10065" t="str">
        <f>"38.251318"</f>
        <v>38.251318</v>
      </c>
      <c r="R10065" t="str">
        <f>"21.749203"</f>
        <v>21.749203</v>
      </c>
      <c r="S10065" t="s">
        <v>26</v>
      </c>
    </row>
    <row r="10066" spans="1:19" x14ac:dyDescent="0.3">
      <c r="A10066" t="s">
        <v>13791</v>
      </c>
      <c r="B10066" t="s">
        <v>15775</v>
      </c>
      <c r="C10066" t="s">
        <v>16666</v>
      </c>
      <c r="D10066" t="s">
        <v>13798</v>
      </c>
      <c r="E10066" t="s">
        <v>14188</v>
      </c>
      <c r="F10066" t="s">
        <v>14189</v>
      </c>
      <c r="G10066" t="s">
        <v>16068</v>
      </c>
      <c r="H10066" t="s">
        <v>859</v>
      </c>
      <c r="I10066" t="s">
        <v>860</v>
      </c>
      <c r="J10066" t="str">
        <f>"9060539"</f>
        <v>9060539</v>
      </c>
      <c r="K10066">
        <v>2694061443</v>
      </c>
      <c r="M10066" t="s">
        <v>16667</v>
      </c>
      <c r="N10066" t="s">
        <v>14189</v>
      </c>
      <c r="O10066" t="s">
        <v>16668</v>
      </c>
      <c r="P10066">
        <v>25008</v>
      </c>
      <c r="Q10066" t="str">
        <f>"38.118149"</f>
        <v>38.118149</v>
      </c>
      <c r="R10066" t="str">
        <f>"21.722120"</f>
        <v>21.722120</v>
      </c>
      <c r="S10066" t="s">
        <v>26</v>
      </c>
    </row>
    <row r="10067" spans="1:19" x14ac:dyDescent="0.3">
      <c r="A10067" t="s">
        <v>13791</v>
      </c>
      <c r="B10067" t="s">
        <v>15775</v>
      </c>
      <c r="C10067" t="s">
        <v>16673</v>
      </c>
      <c r="D10067" t="s">
        <v>13798</v>
      </c>
      <c r="E10067" t="s">
        <v>13799</v>
      </c>
      <c r="F10067" t="s">
        <v>13799</v>
      </c>
      <c r="G10067" t="s">
        <v>13809</v>
      </c>
      <c r="H10067" t="s">
        <v>859</v>
      </c>
      <c r="I10067" t="s">
        <v>1102</v>
      </c>
      <c r="J10067" t="str">
        <f>"9521162"</f>
        <v>9521162</v>
      </c>
      <c r="N10067" t="s">
        <v>14309</v>
      </c>
      <c r="O10067" t="s">
        <v>14667</v>
      </c>
      <c r="P10067">
        <v>0</v>
      </c>
      <c r="Q10067" t="str">
        <f>""</f>
        <v/>
      </c>
      <c r="R10067" t="str">
        <f>""</f>
        <v/>
      </c>
      <c r="S10067" t="s">
        <v>26</v>
      </c>
    </row>
    <row r="10068" spans="1:19" x14ac:dyDescent="0.3">
      <c r="A10068" t="s">
        <v>13791</v>
      </c>
      <c r="B10068" t="s">
        <v>15775</v>
      </c>
      <c r="C10068" t="s">
        <v>16680</v>
      </c>
      <c r="D10068" t="s">
        <v>13798</v>
      </c>
      <c r="E10068" t="s">
        <v>14200</v>
      </c>
      <c r="F10068" t="s">
        <v>2699</v>
      </c>
      <c r="G10068" t="s">
        <v>14291</v>
      </c>
      <c r="H10068" t="s">
        <v>859</v>
      </c>
      <c r="I10068" t="s">
        <v>1102</v>
      </c>
      <c r="J10068" t="str">
        <f>"9521035"</f>
        <v>9521035</v>
      </c>
      <c r="K10068">
        <v>2693023651</v>
      </c>
      <c r="M10068" t="s">
        <v>16681</v>
      </c>
      <c r="N10068" t="s">
        <v>15916</v>
      </c>
      <c r="O10068" t="s">
        <v>16682</v>
      </c>
      <c r="P10068">
        <v>25200</v>
      </c>
      <c r="Q10068" t="str">
        <f>"38.145403"</f>
        <v>38.145403</v>
      </c>
      <c r="R10068" t="str">
        <f>"21.546583"</f>
        <v>21.546583</v>
      </c>
      <c r="S10068" t="s">
        <v>26</v>
      </c>
    </row>
    <row r="10069" spans="1:19" x14ac:dyDescent="0.3">
      <c r="A10069" t="s">
        <v>13791</v>
      </c>
      <c r="B10069" t="s">
        <v>15775</v>
      </c>
      <c r="C10069" t="s">
        <v>16683</v>
      </c>
      <c r="D10069" t="s">
        <v>13798</v>
      </c>
      <c r="E10069" t="s">
        <v>13799</v>
      </c>
      <c r="F10069" t="s">
        <v>13799</v>
      </c>
      <c r="G10069" t="s">
        <v>13809</v>
      </c>
      <c r="H10069" t="s">
        <v>859</v>
      </c>
      <c r="I10069" t="s">
        <v>1102</v>
      </c>
      <c r="J10069" t="str">
        <f>"9521282"</f>
        <v>9521282</v>
      </c>
      <c r="K10069">
        <v>2610642482</v>
      </c>
      <c r="L10069">
        <v>2610642482</v>
      </c>
      <c r="M10069" t="s">
        <v>16684</v>
      </c>
      <c r="N10069" t="s">
        <v>14253</v>
      </c>
      <c r="O10069" t="s">
        <v>16685</v>
      </c>
      <c r="P10069">
        <v>26222</v>
      </c>
      <c r="Q10069" t="str">
        <f>"38.243995"</f>
        <v>38.243995</v>
      </c>
      <c r="R10069" t="str">
        <f>"21.731270"</f>
        <v>21.731270</v>
      </c>
      <c r="S10069" t="s">
        <v>26</v>
      </c>
    </row>
    <row r="10070" spans="1:19" x14ac:dyDescent="0.3">
      <c r="A10070" t="s">
        <v>13791</v>
      </c>
      <c r="B10070" t="s">
        <v>15775</v>
      </c>
      <c r="C10070" t="s">
        <v>16686</v>
      </c>
      <c r="D10070" t="s">
        <v>13798</v>
      </c>
      <c r="E10070" t="s">
        <v>13799</v>
      </c>
      <c r="F10070" t="s">
        <v>13799</v>
      </c>
      <c r="G10070" t="s">
        <v>13800</v>
      </c>
      <c r="H10070" t="s">
        <v>859</v>
      </c>
      <c r="I10070" t="s">
        <v>1102</v>
      </c>
      <c r="J10070" t="str">
        <f>"9060622"</f>
        <v>9060622</v>
      </c>
      <c r="K10070">
        <v>2610341698</v>
      </c>
      <c r="L10070">
        <v>2610341698</v>
      </c>
      <c r="M10070" t="s">
        <v>16687</v>
      </c>
      <c r="N10070" t="s">
        <v>13798</v>
      </c>
      <c r="O10070" t="s">
        <v>15862</v>
      </c>
      <c r="P10070">
        <v>26332</v>
      </c>
      <c r="Q10070" t="str">
        <f>""</f>
        <v/>
      </c>
      <c r="R10070" t="str">
        <f>""</f>
        <v/>
      </c>
      <c r="S10070" t="s">
        <v>26</v>
      </c>
    </row>
    <row r="10071" spans="1:19" x14ac:dyDescent="0.3">
      <c r="A10071" t="s">
        <v>13791</v>
      </c>
      <c r="B10071" t="s">
        <v>15775</v>
      </c>
      <c r="C10071" t="s">
        <v>16688</v>
      </c>
      <c r="D10071" t="s">
        <v>13798</v>
      </c>
      <c r="E10071" t="s">
        <v>13799</v>
      </c>
      <c r="F10071" t="s">
        <v>14349</v>
      </c>
      <c r="G10071" t="s">
        <v>5563</v>
      </c>
      <c r="H10071" t="s">
        <v>859</v>
      </c>
      <c r="I10071" t="s">
        <v>860</v>
      </c>
      <c r="J10071" t="str">
        <f>"9060601"</f>
        <v>9060601</v>
      </c>
      <c r="K10071">
        <v>2610590441</v>
      </c>
      <c r="L10071">
        <v>2610590441</v>
      </c>
      <c r="M10071" t="s">
        <v>16689</v>
      </c>
      <c r="N10071" t="s">
        <v>16690</v>
      </c>
      <c r="O10071" t="s">
        <v>16691</v>
      </c>
      <c r="P10071">
        <v>26500</v>
      </c>
      <c r="Q10071" t="str">
        <f>"38.163338"</f>
        <v>38.163338</v>
      </c>
      <c r="R10071" t="str">
        <f>"21.728821"</f>
        <v>21.728821</v>
      </c>
      <c r="S10071" t="s">
        <v>26</v>
      </c>
    </row>
    <row r="10072" spans="1:19" x14ac:dyDescent="0.3">
      <c r="A10072" t="s">
        <v>13791</v>
      </c>
      <c r="B10072" t="s">
        <v>15775</v>
      </c>
      <c r="C10072" t="s">
        <v>16692</v>
      </c>
      <c r="D10072" t="s">
        <v>13798</v>
      </c>
      <c r="E10072" t="s">
        <v>13799</v>
      </c>
      <c r="F10072" t="s">
        <v>13799</v>
      </c>
      <c r="G10072" t="s">
        <v>13800</v>
      </c>
      <c r="H10072" t="s">
        <v>859</v>
      </c>
      <c r="I10072" t="s">
        <v>860</v>
      </c>
      <c r="J10072" t="str">
        <f>"9521435"</f>
        <v>9521435</v>
      </c>
      <c r="K10072">
        <v>2610490253</v>
      </c>
      <c r="L10072">
        <v>2610490253</v>
      </c>
      <c r="M10072" t="s">
        <v>16693</v>
      </c>
      <c r="N10072" t="s">
        <v>13803</v>
      </c>
      <c r="O10072" t="s">
        <v>16473</v>
      </c>
      <c r="P10072">
        <v>26441</v>
      </c>
      <c r="Q10072" t="str">
        <f>"38.258549"</f>
        <v>38.258549</v>
      </c>
      <c r="R10072" t="str">
        <f>"21.750006"</f>
        <v>21.750006</v>
      </c>
      <c r="S10072" t="s">
        <v>26</v>
      </c>
    </row>
    <row r="10073" spans="1:19" x14ac:dyDescent="0.3">
      <c r="A10073" t="s">
        <v>13791</v>
      </c>
      <c r="B10073" t="s">
        <v>15775</v>
      </c>
      <c r="C10073" t="s">
        <v>16694</v>
      </c>
      <c r="D10073" t="s">
        <v>13798</v>
      </c>
      <c r="E10073" t="s">
        <v>13799</v>
      </c>
      <c r="F10073" t="s">
        <v>14276</v>
      </c>
      <c r="G10073" t="s">
        <v>16079</v>
      </c>
      <c r="H10073" t="s">
        <v>859</v>
      </c>
      <c r="I10073" t="s">
        <v>860</v>
      </c>
      <c r="J10073" t="str">
        <f>"9521589"</f>
        <v>9521589</v>
      </c>
      <c r="K10073">
        <v>2610998473</v>
      </c>
      <c r="M10073" t="s">
        <v>16695</v>
      </c>
      <c r="N10073" t="s">
        <v>16079</v>
      </c>
      <c r="O10073" t="s">
        <v>16082</v>
      </c>
      <c r="P10073">
        <v>26504</v>
      </c>
      <c r="Q10073" t="str">
        <f>"38.280698"</f>
        <v>38.280698</v>
      </c>
      <c r="R10073" t="str">
        <f>"21.883256"</f>
        <v>21.883256</v>
      </c>
      <c r="S10073" t="s">
        <v>26</v>
      </c>
    </row>
    <row r="10074" spans="1:19" x14ac:dyDescent="0.3">
      <c r="A10074" t="s">
        <v>13791</v>
      </c>
      <c r="B10074" t="s">
        <v>15775</v>
      </c>
      <c r="C10074" t="s">
        <v>16696</v>
      </c>
      <c r="D10074" t="s">
        <v>13798</v>
      </c>
      <c r="E10074" t="s">
        <v>14188</v>
      </c>
      <c r="F10074" t="s">
        <v>14189</v>
      </c>
      <c r="G10074" t="s">
        <v>16516</v>
      </c>
      <c r="H10074" t="s">
        <v>859</v>
      </c>
      <c r="I10074" t="s">
        <v>860</v>
      </c>
      <c r="J10074" t="str">
        <f>"9060507"</f>
        <v>9060507</v>
      </c>
      <c r="K10074">
        <v>2694061543</v>
      </c>
      <c r="L10074">
        <v>2694061457</v>
      </c>
      <c r="M10074" t="s">
        <v>16697</v>
      </c>
      <c r="N10074" t="s">
        <v>16516</v>
      </c>
      <c r="O10074" t="s">
        <v>16520</v>
      </c>
      <c r="P10074">
        <v>25008</v>
      </c>
      <c r="Q10074" t="str">
        <f>"38.097759"</f>
        <v>38.097759</v>
      </c>
      <c r="R10074" t="str">
        <f>"21.695390"</f>
        <v>21.695390</v>
      </c>
      <c r="S10074" t="s">
        <v>26</v>
      </c>
    </row>
    <row r="10075" spans="1:19" x14ac:dyDescent="0.3">
      <c r="A10075" t="s">
        <v>13791</v>
      </c>
      <c r="B10075" t="s">
        <v>15775</v>
      </c>
      <c r="C10075" t="s">
        <v>16698</v>
      </c>
      <c r="D10075" t="s">
        <v>13798</v>
      </c>
      <c r="E10075" t="s">
        <v>13799</v>
      </c>
      <c r="F10075" t="s">
        <v>13799</v>
      </c>
      <c r="G10075" t="s">
        <v>14241</v>
      </c>
      <c r="H10075" t="s">
        <v>859</v>
      </c>
      <c r="I10075" t="s">
        <v>860</v>
      </c>
      <c r="J10075" t="str">
        <f>"9060564"</f>
        <v>9060564</v>
      </c>
      <c r="K10075">
        <v>2610641868</v>
      </c>
      <c r="L10075">
        <v>2610641868</v>
      </c>
      <c r="M10075" t="s">
        <v>16699</v>
      </c>
      <c r="N10075" t="s">
        <v>14309</v>
      </c>
      <c r="O10075" t="s">
        <v>16700</v>
      </c>
      <c r="P10075">
        <v>26500</v>
      </c>
      <c r="Q10075" t="str">
        <f>"38.231882"</f>
        <v>38.231882</v>
      </c>
      <c r="R10075" t="str">
        <f>"21.753843"</f>
        <v>21.753843</v>
      </c>
      <c r="S10075" t="s">
        <v>26</v>
      </c>
    </row>
    <row r="10076" spans="1:19" x14ac:dyDescent="0.3">
      <c r="A10076" t="s">
        <v>13791</v>
      </c>
      <c r="B10076" t="s">
        <v>15775</v>
      </c>
      <c r="C10076" t="s">
        <v>16702</v>
      </c>
      <c r="D10076" t="s">
        <v>13798</v>
      </c>
      <c r="E10076" t="s">
        <v>14181</v>
      </c>
      <c r="F10076" t="s">
        <v>14182</v>
      </c>
      <c r="G10076" t="s">
        <v>14182</v>
      </c>
      <c r="H10076" t="s">
        <v>859</v>
      </c>
      <c r="I10076" t="s">
        <v>1102</v>
      </c>
      <c r="J10076" t="str">
        <f>"9521696"</f>
        <v>9521696</v>
      </c>
      <c r="K10076">
        <v>2691600748</v>
      </c>
      <c r="L10076">
        <v>2691029400</v>
      </c>
      <c r="M10076" t="s">
        <v>16703</v>
      </c>
      <c r="N10076" t="s">
        <v>14185</v>
      </c>
      <c r="O10076" t="s">
        <v>16118</v>
      </c>
      <c r="P10076">
        <v>25100</v>
      </c>
      <c r="Q10076" t="str">
        <f>"38.247412"</f>
        <v>38.247412</v>
      </c>
      <c r="R10076" t="str">
        <f>"22.076105"</f>
        <v>22.076105</v>
      </c>
      <c r="S10076" t="s">
        <v>26</v>
      </c>
    </row>
    <row r="10077" spans="1:19" x14ac:dyDescent="0.3">
      <c r="A10077" t="s">
        <v>13791</v>
      </c>
      <c r="B10077" t="s">
        <v>15775</v>
      </c>
      <c r="C10077" t="s">
        <v>16706</v>
      </c>
      <c r="D10077" t="s">
        <v>13798</v>
      </c>
      <c r="E10077" t="s">
        <v>14200</v>
      </c>
      <c r="F10077" t="s">
        <v>2699</v>
      </c>
      <c r="G10077" t="s">
        <v>14291</v>
      </c>
      <c r="H10077" t="s">
        <v>859</v>
      </c>
      <c r="I10077" t="s">
        <v>860</v>
      </c>
      <c r="J10077" t="str">
        <f>"9061001"</f>
        <v>9061001</v>
      </c>
      <c r="K10077">
        <v>2693025296</v>
      </c>
      <c r="M10077" t="s">
        <v>16707</v>
      </c>
      <c r="N10077" t="s">
        <v>14346</v>
      </c>
      <c r="O10077" t="s">
        <v>16708</v>
      </c>
      <c r="P10077">
        <v>25200</v>
      </c>
      <c r="Q10077" t="str">
        <f>"38.144199"</f>
        <v>38.144199</v>
      </c>
      <c r="R10077" t="str">
        <f>"21.546858"</f>
        <v>21.546858</v>
      </c>
      <c r="S10077" t="s">
        <v>26</v>
      </c>
    </row>
    <row r="10078" spans="1:19" x14ac:dyDescent="0.3">
      <c r="A10078" t="s">
        <v>13791</v>
      </c>
      <c r="B10078" t="s">
        <v>16709</v>
      </c>
      <c r="C10078" t="s">
        <v>16710</v>
      </c>
      <c r="D10078" t="s">
        <v>13805</v>
      </c>
      <c r="E10078" t="s">
        <v>14709</v>
      </c>
      <c r="F10078" t="s">
        <v>14710</v>
      </c>
      <c r="G10078" t="s">
        <v>14828</v>
      </c>
      <c r="H10078" t="s">
        <v>859</v>
      </c>
      <c r="I10078" t="s">
        <v>860</v>
      </c>
      <c r="J10078" t="str">
        <f>"9150344"</f>
        <v>9150344</v>
      </c>
      <c r="K10078">
        <v>2622061938</v>
      </c>
      <c r="M10078" t="s">
        <v>16711</v>
      </c>
      <c r="N10078" t="s">
        <v>14828</v>
      </c>
      <c r="O10078" t="s">
        <v>14832</v>
      </c>
      <c r="P10078">
        <v>27200</v>
      </c>
      <c r="Q10078" t="str">
        <f>"37.821812"</f>
        <v>37.821812</v>
      </c>
      <c r="R10078" t="str">
        <f>"21.291857"</f>
        <v>21.291857</v>
      </c>
      <c r="S10078" t="s">
        <v>26</v>
      </c>
    </row>
    <row r="10079" spans="1:19" x14ac:dyDescent="0.3">
      <c r="A10079" t="s">
        <v>13791</v>
      </c>
      <c r="B10079" t="s">
        <v>16709</v>
      </c>
      <c r="C10079" t="s">
        <v>16712</v>
      </c>
      <c r="D10079" t="s">
        <v>13805</v>
      </c>
      <c r="E10079" t="s">
        <v>14709</v>
      </c>
      <c r="F10079" t="s">
        <v>14710</v>
      </c>
      <c r="G10079" t="s">
        <v>14710</v>
      </c>
      <c r="H10079" t="s">
        <v>859</v>
      </c>
      <c r="I10079" t="s">
        <v>860</v>
      </c>
      <c r="J10079" t="str">
        <f>"9150331"</f>
        <v>9150331</v>
      </c>
      <c r="K10079">
        <v>2622028257</v>
      </c>
      <c r="M10079" t="s">
        <v>16713</v>
      </c>
      <c r="N10079" t="s">
        <v>14658</v>
      </c>
      <c r="O10079" t="s">
        <v>16714</v>
      </c>
      <c r="P10079">
        <v>27200</v>
      </c>
      <c r="Q10079" t="str">
        <f>"37.800726"</f>
        <v>37.800726</v>
      </c>
      <c r="R10079" t="str">
        <f>"21.357419"</f>
        <v>21.357419</v>
      </c>
      <c r="S10079" t="s">
        <v>26</v>
      </c>
    </row>
    <row r="10080" spans="1:19" x14ac:dyDescent="0.3">
      <c r="A10080" t="s">
        <v>13791</v>
      </c>
      <c r="B10080" t="s">
        <v>16709</v>
      </c>
      <c r="C10080" t="s">
        <v>16715</v>
      </c>
      <c r="D10080" t="s">
        <v>13805</v>
      </c>
      <c r="E10080" t="s">
        <v>14709</v>
      </c>
      <c r="F10080" t="s">
        <v>14710</v>
      </c>
      <c r="G10080" t="s">
        <v>14710</v>
      </c>
      <c r="H10080" t="s">
        <v>859</v>
      </c>
      <c r="I10080" t="s">
        <v>860</v>
      </c>
      <c r="J10080" t="str">
        <f>"9150323"</f>
        <v>9150323</v>
      </c>
      <c r="K10080">
        <v>2622027257</v>
      </c>
      <c r="L10080">
        <v>2622027257</v>
      </c>
      <c r="M10080" t="s">
        <v>16716</v>
      </c>
      <c r="N10080" t="s">
        <v>14658</v>
      </c>
      <c r="O10080" t="s">
        <v>16717</v>
      </c>
      <c r="P10080">
        <v>27200</v>
      </c>
      <c r="Q10080" t="str">
        <f>"37.792774"</f>
        <v>37.792774</v>
      </c>
      <c r="R10080" t="str">
        <f>"21.343847"</f>
        <v>21.343847</v>
      </c>
      <c r="S10080" t="s">
        <v>26</v>
      </c>
    </row>
    <row r="10081" spans="1:19" x14ac:dyDescent="0.3">
      <c r="A10081" t="s">
        <v>13791</v>
      </c>
      <c r="B10081" t="s">
        <v>16709</v>
      </c>
      <c r="C10081" t="s">
        <v>16718</v>
      </c>
      <c r="D10081" t="s">
        <v>13805</v>
      </c>
      <c r="E10081" t="s">
        <v>14709</v>
      </c>
      <c r="F10081" t="s">
        <v>14784</v>
      </c>
      <c r="G10081" t="s">
        <v>14785</v>
      </c>
      <c r="H10081" t="s">
        <v>859</v>
      </c>
      <c r="I10081" t="s">
        <v>860</v>
      </c>
      <c r="J10081" t="str">
        <f>"9150456"</f>
        <v>9150456</v>
      </c>
      <c r="K10081">
        <v>2622031279</v>
      </c>
      <c r="L10081">
        <v>2622031279</v>
      </c>
      <c r="M10081" t="s">
        <v>16719</v>
      </c>
      <c r="N10081" t="s">
        <v>16720</v>
      </c>
      <c r="O10081" t="s">
        <v>16720</v>
      </c>
      <c r="P10081">
        <v>27069</v>
      </c>
      <c r="Q10081" t="str">
        <f>"37.848086"</f>
        <v>37.848086</v>
      </c>
      <c r="R10081" t="str">
        <f>"21.564105"</f>
        <v>21.564105</v>
      </c>
      <c r="S10081" t="s">
        <v>26</v>
      </c>
    </row>
    <row r="10082" spans="1:19" x14ac:dyDescent="0.3">
      <c r="A10082" t="s">
        <v>13791</v>
      </c>
      <c r="B10082" t="s">
        <v>16709</v>
      </c>
      <c r="C10082" t="s">
        <v>16721</v>
      </c>
      <c r="D10082" t="s">
        <v>13805</v>
      </c>
      <c r="E10082" t="s">
        <v>14709</v>
      </c>
      <c r="F10082" t="s">
        <v>14710</v>
      </c>
      <c r="G10082" t="s">
        <v>14710</v>
      </c>
      <c r="H10082" t="s">
        <v>859</v>
      </c>
      <c r="I10082" t="s">
        <v>860</v>
      </c>
      <c r="J10082" t="str">
        <f>"9150462"</f>
        <v>9150462</v>
      </c>
      <c r="K10082">
        <v>2622022728</v>
      </c>
      <c r="L10082">
        <v>2622022728</v>
      </c>
      <c r="M10082" t="s">
        <v>16722</v>
      </c>
      <c r="N10082" t="s">
        <v>14658</v>
      </c>
      <c r="O10082" t="s">
        <v>16723</v>
      </c>
      <c r="P10082">
        <v>27200</v>
      </c>
      <c r="Q10082" t="str">
        <f>"37.807109"</f>
        <v>37.807109</v>
      </c>
      <c r="R10082" t="str">
        <f>"21.347687"</f>
        <v>21.347687</v>
      </c>
      <c r="S10082" t="s">
        <v>26</v>
      </c>
    </row>
    <row r="10083" spans="1:19" x14ac:dyDescent="0.3">
      <c r="A10083" t="s">
        <v>13791</v>
      </c>
      <c r="B10083" t="s">
        <v>16709</v>
      </c>
      <c r="C10083" t="s">
        <v>16724</v>
      </c>
      <c r="D10083" t="s">
        <v>13805</v>
      </c>
      <c r="E10083" t="s">
        <v>14741</v>
      </c>
      <c r="F10083" t="s">
        <v>14742</v>
      </c>
      <c r="G10083" t="s">
        <v>14742</v>
      </c>
      <c r="H10083" t="s">
        <v>859</v>
      </c>
      <c r="I10083" t="s">
        <v>860</v>
      </c>
      <c r="J10083" t="str">
        <f>"9150362"</f>
        <v>9150362</v>
      </c>
      <c r="K10083">
        <v>2623032594</v>
      </c>
      <c r="M10083" t="s">
        <v>16725</v>
      </c>
      <c r="N10083" t="s">
        <v>14742</v>
      </c>
      <c r="O10083" t="s">
        <v>16726</v>
      </c>
      <c r="P10083">
        <v>27300</v>
      </c>
      <c r="Q10083" t="str">
        <f>"37.848099"</f>
        <v>37.848099</v>
      </c>
      <c r="R10083" t="str">
        <f>"21.247264"</f>
        <v>21.247264</v>
      </c>
      <c r="S10083" t="s">
        <v>26</v>
      </c>
    </row>
    <row r="10084" spans="1:19" x14ac:dyDescent="0.3">
      <c r="A10084" t="s">
        <v>13791</v>
      </c>
      <c r="B10084" t="s">
        <v>16709</v>
      </c>
      <c r="C10084" t="s">
        <v>16728</v>
      </c>
      <c r="D10084" t="s">
        <v>13805</v>
      </c>
      <c r="E10084" t="s">
        <v>14709</v>
      </c>
      <c r="F10084" t="s">
        <v>14710</v>
      </c>
      <c r="G10084" t="s">
        <v>16727</v>
      </c>
      <c r="H10084" t="s">
        <v>859</v>
      </c>
      <c r="I10084" t="s">
        <v>860</v>
      </c>
      <c r="J10084" t="str">
        <f>"9150325"</f>
        <v>9150325</v>
      </c>
      <c r="K10084">
        <v>2622038196</v>
      </c>
      <c r="M10084" t="s">
        <v>16729</v>
      </c>
      <c r="N10084" t="s">
        <v>16727</v>
      </c>
      <c r="O10084" t="s">
        <v>16730</v>
      </c>
      <c r="P10084">
        <v>27200</v>
      </c>
      <c r="Q10084" t="str">
        <f>"37.764329"</f>
        <v>37.764329</v>
      </c>
      <c r="R10084" t="str">
        <f>"21.342072"</f>
        <v>21.342072</v>
      </c>
      <c r="S10084" t="s">
        <v>26</v>
      </c>
    </row>
    <row r="10085" spans="1:19" x14ac:dyDescent="0.3">
      <c r="A10085" t="s">
        <v>13791</v>
      </c>
      <c r="B10085" t="s">
        <v>16709</v>
      </c>
      <c r="C10085" t="s">
        <v>16731</v>
      </c>
      <c r="D10085" t="s">
        <v>13805</v>
      </c>
      <c r="E10085" t="s">
        <v>14669</v>
      </c>
      <c r="F10085" t="s">
        <v>14812</v>
      </c>
      <c r="G10085" t="s">
        <v>14812</v>
      </c>
      <c r="H10085" t="s">
        <v>859</v>
      </c>
      <c r="I10085" t="s">
        <v>860</v>
      </c>
      <c r="J10085" t="str">
        <f>"9150468"</f>
        <v>9150468</v>
      </c>
      <c r="K10085">
        <v>2624081102</v>
      </c>
      <c r="M10085" t="s">
        <v>16732</v>
      </c>
      <c r="N10085" t="s">
        <v>13805</v>
      </c>
      <c r="O10085" t="s">
        <v>14816</v>
      </c>
      <c r="P10085">
        <v>27063</v>
      </c>
      <c r="Q10085" t="str">
        <f>"37.859338"</f>
        <v>37.859338</v>
      </c>
      <c r="R10085" t="str">
        <f>"21.806599"</f>
        <v>21.806599</v>
      </c>
      <c r="S10085" t="s">
        <v>57</v>
      </c>
    </row>
    <row r="10086" spans="1:19" x14ac:dyDescent="0.3">
      <c r="A10086" t="s">
        <v>13791</v>
      </c>
      <c r="B10086" t="s">
        <v>16709</v>
      </c>
      <c r="C10086" t="s">
        <v>16733</v>
      </c>
      <c r="D10086" t="s">
        <v>13805</v>
      </c>
      <c r="E10086" t="s">
        <v>1210</v>
      </c>
      <c r="F10086" t="s">
        <v>14645</v>
      </c>
      <c r="G10086" t="s">
        <v>14908</v>
      </c>
      <c r="H10086" t="s">
        <v>859</v>
      </c>
      <c r="I10086" t="s">
        <v>860</v>
      </c>
      <c r="J10086" t="str">
        <f>"9150285"</f>
        <v>9150285</v>
      </c>
      <c r="K10086">
        <v>2621093100</v>
      </c>
      <c r="M10086" t="s">
        <v>16734</v>
      </c>
      <c r="O10086" t="s">
        <v>14911</v>
      </c>
      <c r="P10086">
        <v>27064</v>
      </c>
      <c r="Q10086" t="str">
        <f>"37.762283"</f>
        <v>37.762283</v>
      </c>
      <c r="R10086" t="str">
        <f>"21.615288"</f>
        <v>21.615288</v>
      </c>
      <c r="S10086" t="s">
        <v>26</v>
      </c>
    </row>
    <row r="10087" spans="1:19" x14ac:dyDescent="0.3">
      <c r="A10087" t="s">
        <v>13791</v>
      </c>
      <c r="B10087" t="s">
        <v>16709</v>
      </c>
      <c r="C10087" t="s">
        <v>16735</v>
      </c>
      <c r="D10087" t="s">
        <v>13805</v>
      </c>
      <c r="E10087" t="s">
        <v>14669</v>
      </c>
      <c r="F10087" t="s">
        <v>14669</v>
      </c>
      <c r="G10087" t="s">
        <v>14670</v>
      </c>
      <c r="H10087" t="s">
        <v>859</v>
      </c>
      <c r="I10087" t="s">
        <v>860</v>
      </c>
      <c r="J10087" t="str">
        <f>"9150109"</f>
        <v>9150109</v>
      </c>
      <c r="K10087">
        <v>2624032108</v>
      </c>
      <c r="L10087">
        <v>2624032803</v>
      </c>
      <c r="M10087" t="s">
        <v>16736</v>
      </c>
      <c r="N10087" t="s">
        <v>14675</v>
      </c>
      <c r="O10087" t="s">
        <v>14675</v>
      </c>
      <c r="P10087">
        <v>27065</v>
      </c>
      <c r="Q10087" t="str">
        <f>"37.674427"</f>
        <v>37.674427</v>
      </c>
      <c r="R10087" t="str">
        <f>"21.592450"</f>
        <v>21.592450</v>
      </c>
      <c r="S10087" t="s">
        <v>26</v>
      </c>
    </row>
    <row r="10088" spans="1:19" x14ac:dyDescent="0.3">
      <c r="A10088" t="s">
        <v>13791</v>
      </c>
      <c r="B10088" t="s">
        <v>16709</v>
      </c>
      <c r="C10088" t="s">
        <v>16738</v>
      </c>
      <c r="D10088" t="s">
        <v>13805</v>
      </c>
      <c r="E10088" t="s">
        <v>1210</v>
      </c>
      <c r="F10088" t="s">
        <v>1210</v>
      </c>
      <c r="G10088" t="s">
        <v>16737</v>
      </c>
      <c r="H10088" t="s">
        <v>859</v>
      </c>
      <c r="I10088" t="s">
        <v>860</v>
      </c>
      <c r="J10088" t="str">
        <f>"9150388"</f>
        <v>9150388</v>
      </c>
      <c r="K10088">
        <v>2621054300</v>
      </c>
      <c r="M10088" t="s">
        <v>16739</v>
      </c>
      <c r="N10088" t="s">
        <v>16740</v>
      </c>
      <c r="O10088" t="s">
        <v>16740</v>
      </c>
      <c r="P10088">
        <v>27100</v>
      </c>
      <c r="Q10088" t="str">
        <f>"37.716966"</f>
        <v>37.716966</v>
      </c>
      <c r="R10088" t="str">
        <f>"21.354093"</f>
        <v>21.354093</v>
      </c>
      <c r="S10088" t="s">
        <v>26</v>
      </c>
    </row>
    <row r="10089" spans="1:19" x14ac:dyDescent="0.3">
      <c r="A10089" t="s">
        <v>13791</v>
      </c>
      <c r="B10089" t="s">
        <v>16709</v>
      </c>
      <c r="C10089" t="s">
        <v>16741</v>
      </c>
      <c r="D10089" t="s">
        <v>13805</v>
      </c>
      <c r="E10089" t="s">
        <v>14709</v>
      </c>
      <c r="F10089" t="s">
        <v>14710</v>
      </c>
      <c r="G10089" t="s">
        <v>14710</v>
      </c>
      <c r="H10089" t="s">
        <v>859</v>
      </c>
      <c r="I10089" t="s">
        <v>860</v>
      </c>
      <c r="J10089" t="str">
        <f>"9150002"</f>
        <v>9150002</v>
      </c>
      <c r="K10089">
        <v>2622027511</v>
      </c>
      <c r="M10089" t="s">
        <v>16742</v>
      </c>
      <c r="N10089" t="s">
        <v>14658</v>
      </c>
      <c r="O10089" t="s">
        <v>16743</v>
      </c>
      <c r="P10089">
        <v>27200</v>
      </c>
      <c r="Q10089" t="str">
        <f>"37.798266"</f>
        <v>37.798266</v>
      </c>
      <c r="R10089" t="str">
        <f>"21.347444"</f>
        <v>21.347444</v>
      </c>
      <c r="S10089" t="s">
        <v>26</v>
      </c>
    </row>
    <row r="10090" spans="1:19" x14ac:dyDescent="0.3">
      <c r="A10090" t="s">
        <v>13791</v>
      </c>
      <c r="B10090" t="s">
        <v>16709</v>
      </c>
      <c r="C10090" t="s">
        <v>16744</v>
      </c>
      <c r="D10090" t="s">
        <v>13805</v>
      </c>
      <c r="E10090" t="s">
        <v>1210</v>
      </c>
      <c r="F10090" t="s">
        <v>1210</v>
      </c>
      <c r="G10090" t="s">
        <v>1210</v>
      </c>
      <c r="H10090" t="s">
        <v>859</v>
      </c>
      <c r="I10090" t="s">
        <v>860</v>
      </c>
      <c r="J10090" t="str">
        <f>"9150322"</f>
        <v>9150322</v>
      </c>
      <c r="K10090">
        <v>2621034006</v>
      </c>
      <c r="L10090">
        <v>2621034006</v>
      </c>
      <c r="M10090" t="s">
        <v>16745</v>
      </c>
      <c r="N10090" t="s">
        <v>1211</v>
      </c>
      <c r="O10090" t="s">
        <v>16717</v>
      </c>
      <c r="P10090">
        <v>27131</v>
      </c>
      <c r="Q10090" t="str">
        <f>"37.673521"</f>
        <v>37.673521</v>
      </c>
      <c r="R10090" t="str">
        <f>"21.431375"</f>
        <v>21.431375</v>
      </c>
      <c r="S10090" t="s">
        <v>26</v>
      </c>
    </row>
    <row r="10091" spans="1:19" x14ac:dyDescent="0.3">
      <c r="A10091" t="s">
        <v>13791</v>
      </c>
      <c r="B10091" t="s">
        <v>16709</v>
      </c>
      <c r="C10091" t="s">
        <v>16746</v>
      </c>
      <c r="D10091" t="s">
        <v>13805</v>
      </c>
      <c r="E10091" t="s">
        <v>14709</v>
      </c>
      <c r="F10091" t="s">
        <v>14710</v>
      </c>
      <c r="G10091" t="s">
        <v>14710</v>
      </c>
      <c r="H10091" t="s">
        <v>859</v>
      </c>
      <c r="I10091" t="s">
        <v>860</v>
      </c>
      <c r="J10091" t="str">
        <f>"9150466"</f>
        <v>9150466</v>
      </c>
      <c r="K10091">
        <v>2622022489</v>
      </c>
      <c r="M10091" t="s">
        <v>16747</v>
      </c>
      <c r="N10091" t="s">
        <v>14658</v>
      </c>
      <c r="O10091" t="s">
        <v>16748</v>
      </c>
      <c r="P10091">
        <v>27200</v>
      </c>
      <c r="Q10091" t="str">
        <f>"37.791652"</f>
        <v>37.791652</v>
      </c>
      <c r="R10091" t="str">
        <f>"21.357575"</f>
        <v>21.357575</v>
      </c>
      <c r="S10091" t="s">
        <v>26</v>
      </c>
    </row>
    <row r="10092" spans="1:19" x14ac:dyDescent="0.3">
      <c r="A10092" t="s">
        <v>13791</v>
      </c>
      <c r="B10092" t="s">
        <v>16709</v>
      </c>
      <c r="C10092" t="s">
        <v>16750</v>
      </c>
      <c r="D10092" t="s">
        <v>13805</v>
      </c>
      <c r="E10092" t="s">
        <v>14669</v>
      </c>
      <c r="F10092" t="s">
        <v>14685</v>
      </c>
      <c r="G10092" t="s">
        <v>16749</v>
      </c>
      <c r="H10092" t="s">
        <v>859</v>
      </c>
      <c r="I10092" t="s">
        <v>860</v>
      </c>
      <c r="J10092" t="str">
        <f>"9150072"</f>
        <v>9150072</v>
      </c>
      <c r="K10092">
        <v>2624061704</v>
      </c>
      <c r="L10092">
        <v>2624061003</v>
      </c>
      <c r="M10092" t="s">
        <v>16751</v>
      </c>
      <c r="N10092" t="s">
        <v>16749</v>
      </c>
      <c r="O10092" t="s">
        <v>16749</v>
      </c>
      <c r="P10092">
        <v>27066</v>
      </c>
      <c r="Q10092" t="str">
        <f>"37.790334"</f>
        <v>37.790334</v>
      </c>
      <c r="R10092" t="str">
        <f>"21.750060"</f>
        <v>21.750060</v>
      </c>
      <c r="S10092" t="s">
        <v>26</v>
      </c>
    </row>
    <row r="10093" spans="1:19" x14ac:dyDescent="0.3">
      <c r="A10093" t="s">
        <v>13791</v>
      </c>
      <c r="B10093" t="s">
        <v>16709</v>
      </c>
      <c r="C10093" t="s">
        <v>16752</v>
      </c>
      <c r="D10093" t="s">
        <v>13805</v>
      </c>
      <c r="E10093" t="s">
        <v>1210</v>
      </c>
      <c r="F10093" t="s">
        <v>914</v>
      </c>
      <c r="G10093" t="s">
        <v>14849</v>
      </c>
      <c r="H10093" t="s">
        <v>859</v>
      </c>
      <c r="I10093" t="s">
        <v>860</v>
      </c>
      <c r="J10093" t="str">
        <f>"9150143"</f>
        <v>9150143</v>
      </c>
      <c r="K10093">
        <v>2621072149</v>
      </c>
      <c r="L10093">
        <v>2621071235</v>
      </c>
      <c r="M10093" t="s">
        <v>16753</v>
      </c>
      <c r="N10093" t="s">
        <v>14852</v>
      </c>
      <c r="O10093" t="s">
        <v>14852</v>
      </c>
      <c r="P10093">
        <v>27058</v>
      </c>
      <c r="Q10093" t="str">
        <f>"37.630263"</f>
        <v>37.630263</v>
      </c>
      <c r="R10093" t="str">
        <f>"21.490551"</f>
        <v>21.490551</v>
      </c>
      <c r="S10093" t="s">
        <v>26</v>
      </c>
    </row>
    <row r="10094" spans="1:19" x14ac:dyDescent="0.3">
      <c r="A10094" t="s">
        <v>13791</v>
      </c>
      <c r="B10094" t="s">
        <v>16709</v>
      </c>
      <c r="C10094" t="s">
        <v>16755</v>
      </c>
      <c r="D10094" t="s">
        <v>13805</v>
      </c>
      <c r="E10094" t="s">
        <v>1210</v>
      </c>
      <c r="F10094" t="s">
        <v>1210</v>
      </c>
      <c r="G10094" t="s">
        <v>16754</v>
      </c>
      <c r="H10094" t="s">
        <v>859</v>
      </c>
      <c r="I10094" t="s">
        <v>860</v>
      </c>
      <c r="J10094" t="str">
        <f>"9150321"</f>
        <v>9150321</v>
      </c>
      <c r="K10094">
        <v>2621044826</v>
      </c>
      <c r="L10094">
        <v>2621044826</v>
      </c>
      <c r="M10094" t="s">
        <v>16756</v>
      </c>
      <c r="N10094" t="s">
        <v>16757</v>
      </c>
      <c r="O10094" t="s">
        <v>16757</v>
      </c>
      <c r="P10094">
        <v>27100</v>
      </c>
      <c r="Q10094" t="str">
        <f>"37.671481"</f>
        <v>37.671481</v>
      </c>
      <c r="R10094" t="str">
        <f>"21.497473"</f>
        <v>21.497473</v>
      </c>
      <c r="S10094" t="s">
        <v>26</v>
      </c>
    </row>
    <row r="10095" spans="1:19" x14ac:dyDescent="0.3">
      <c r="A10095" t="s">
        <v>13791</v>
      </c>
      <c r="B10095" t="s">
        <v>16709</v>
      </c>
      <c r="C10095" t="s">
        <v>16758</v>
      </c>
      <c r="D10095" t="s">
        <v>13805</v>
      </c>
      <c r="E10095" t="s">
        <v>1210</v>
      </c>
      <c r="F10095" t="s">
        <v>14754</v>
      </c>
      <c r="G10095" t="s">
        <v>14755</v>
      </c>
      <c r="H10095" t="s">
        <v>859</v>
      </c>
      <c r="I10095" t="s">
        <v>860</v>
      </c>
      <c r="J10095" t="str">
        <f>"9150348"</f>
        <v>9150348</v>
      </c>
      <c r="K10095">
        <v>2621052031</v>
      </c>
      <c r="L10095">
        <v>2621052031</v>
      </c>
      <c r="M10095" t="s">
        <v>16759</v>
      </c>
      <c r="N10095" t="s">
        <v>16760</v>
      </c>
      <c r="O10095" t="s">
        <v>16760</v>
      </c>
      <c r="P10095">
        <v>27131</v>
      </c>
      <c r="Q10095" t="str">
        <f>"37.733975"</f>
        <v>37.733975</v>
      </c>
      <c r="R10095" t="str">
        <f>"21.407305"</f>
        <v>21.407305</v>
      </c>
      <c r="S10095" t="s">
        <v>26</v>
      </c>
    </row>
    <row r="10096" spans="1:19" x14ac:dyDescent="0.3">
      <c r="A10096" t="s">
        <v>13791</v>
      </c>
      <c r="B10096" t="s">
        <v>16709</v>
      </c>
      <c r="C10096" t="s">
        <v>16761</v>
      </c>
      <c r="D10096" t="s">
        <v>13805</v>
      </c>
      <c r="E10096" t="s">
        <v>1210</v>
      </c>
      <c r="F10096" t="s">
        <v>1210</v>
      </c>
      <c r="G10096" t="s">
        <v>1210</v>
      </c>
      <c r="H10096" t="s">
        <v>859</v>
      </c>
      <c r="I10096" t="s">
        <v>860</v>
      </c>
      <c r="J10096" t="str">
        <f>"9520971"</f>
        <v>9520971</v>
      </c>
      <c r="K10096">
        <v>2621022015</v>
      </c>
      <c r="L10096">
        <v>2621022015</v>
      </c>
      <c r="M10096" t="s">
        <v>16762</v>
      </c>
      <c r="N10096" t="s">
        <v>1211</v>
      </c>
      <c r="O10096" t="s">
        <v>16763</v>
      </c>
      <c r="P10096">
        <v>27100</v>
      </c>
      <c r="Q10096" t="str">
        <f>"37.675803"</f>
        <v>37.675803</v>
      </c>
      <c r="R10096" t="str">
        <f>"21.435410"</f>
        <v>21.435410</v>
      </c>
      <c r="S10096" t="s">
        <v>26</v>
      </c>
    </row>
    <row r="10097" spans="1:19" x14ac:dyDescent="0.3">
      <c r="A10097" t="s">
        <v>13791</v>
      </c>
      <c r="B10097" t="s">
        <v>16709</v>
      </c>
      <c r="C10097" t="s">
        <v>16764</v>
      </c>
      <c r="D10097" t="s">
        <v>13805</v>
      </c>
      <c r="E10097" t="s">
        <v>1210</v>
      </c>
      <c r="F10097" t="s">
        <v>1210</v>
      </c>
      <c r="G10097" t="s">
        <v>1210</v>
      </c>
      <c r="H10097" t="s">
        <v>859</v>
      </c>
      <c r="I10097" t="s">
        <v>860</v>
      </c>
      <c r="J10097" t="str">
        <f>"9150458"</f>
        <v>9150458</v>
      </c>
      <c r="K10097">
        <v>2621030420</v>
      </c>
      <c r="M10097" t="s">
        <v>16765</v>
      </c>
      <c r="N10097" t="s">
        <v>1210</v>
      </c>
      <c r="O10097" t="s">
        <v>16766</v>
      </c>
      <c r="P10097">
        <v>27100</v>
      </c>
      <c r="Q10097" t="str">
        <f>"37.670774"</f>
        <v>37.670774</v>
      </c>
      <c r="R10097" t="str">
        <f>"21.425670"</f>
        <v>21.425670</v>
      </c>
      <c r="S10097" t="s">
        <v>26</v>
      </c>
    </row>
    <row r="10098" spans="1:19" x14ac:dyDescent="0.3">
      <c r="A10098" t="s">
        <v>13791</v>
      </c>
      <c r="B10098" t="s">
        <v>16709</v>
      </c>
      <c r="C10098" t="s">
        <v>16767</v>
      </c>
      <c r="D10098" t="s">
        <v>13805</v>
      </c>
      <c r="E10098" t="s">
        <v>1210</v>
      </c>
      <c r="F10098" t="s">
        <v>1210</v>
      </c>
      <c r="G10098" t="s">
        <v>1210</v>
      </c>
      <c r="H10098" t="s">
        <v>859</v>
      </c>
      <c r="I10098" t="s">
        <v>860</v>
      </c>
      <c r="J10098" t="str">
        <f>"9150441"</f>
        <v>9150441</v>
      </c>
      <c r="K10098">
        <v>2621035478</v>
      </c>
      <c r="L10098">
        <v>2621035478</v>
      </c>
      <c r="M10098" t="s">
        <v>16768</v>
      </c>
      <c r="N10098" t="s">
        <v>1210</v>
      </c>
      <c r="O10098" t="s">
        <v>16769</v>
      </c>
      <c r="P10098">
        <v>27131</v>
      </c>
      <c r="Q10098" t="str">
        <f>"37.676803"</f>
        <v>37.676803</v>
      </c>
      <c r="R10098" t="str">
        <f>"21.448266"</f>
        <v>21.448266</v>
      </c>
      <c r="S10098" t="s">
        <v>26</v>
      </c>
    </row>
    <row r="10099" spans="1:19" x14ac:dyDescent="0.3">
      <c r="A10099" t="s">
        <v>13791</v>
      </c>
      <c r="B10099" t="s">
        <v>16709</v>
      </c>
      <c r="C10099" t="s">
        <v>16770</v>
      </c>
      <c r="D10099" t="s">
        <v>13805</v>
      </c>
      <c r="E10099" t="s">
        <v>14741</v>
      </c>
      <c r="F10099" t="s">
        <v>14742</v>
      </c>
      <c r="G10099" t="s">
        <v>14742</v>
      </c>
      <c r="H10099" t="s">
        <v>859</v>
      </c>
      <c r="I10099" t="s">
        <v>860</v>
      </c>
      <c r="J10099" t="str">
        <f>"9150324"</f>
        <v>9150324</v>
      </c>
      <c r="K10099">
        <v>2623033060</v>
      </c>
      <c r="M10099" t="s">
        <v>16771</v>
      </c>
      <c r="N10099" t="s">
        <v>14742</v>
      </c>
      <c r="O10099" t="s">
        <v>16772</v>
      </c>
      <c r="P10099">
        <v>27300</v>
      </c>
      <c r="Q10099" t="str">
        <f>"37.850364"</f>
        <v>37.850364</v>
      </c>
      <c r="R10099" t="str">
        <f>"21.256835"</f>
        <v>21.256835</v>
      </c>
      <c r="S10099" t="s">
        <v>26</v>
      </c>
    </row>
    <row r="10100" spans="1:19" x14ac:dyDescent="0.3">
      <c r="A10100" t="s">
        <v>13791</v>
      </c>
      <c r="B10100" t="s">
        <v>16709</v>
      </c>
      <c r="C10100" t="s">
        <v>16773</v>
      </c>
      <c r="D10100" t="s">
        <v>13805</v>
      </c>
      <c r="E10100" t="s">
        <v>1210</v>
      </c>
      <c r="F10100" t="s">
        <v>1210</v>
      </c>
      <c r="G10100" t="s">
        <v>1210</v>
      </c>
      <c r="H10100" t="s">
        <v>859</v>
      </c>
      <c r="I10100" t="s">
        <v>860</v>
      </c>
      <c r="J10100" t="str">
        <f>"9150469"</f>
        <v>9150469</v>
      </c>
      <c r="K10100">
        <v>2621021965</v>
      </c>
      <c r="M10100" t="s">
        <v>16774</v>
      </c>
      <c r="N10100" t="s">
        <v>1211</v>
      </c>
      <c r="O10100" t="s">
        <v>16775</v>
      </c>
      <c r="P10100">
        <v>27100</v>
      </c>
      <c r="Q10100" t="str">
        <f>"37.679322"</f>
        <v>37.679322</v>
      </c>
      <c r="R10100" t="str">
        <f>"21.438910"</f>
        <v>21.438910</v>
      </c>
      <c r="S10100" t="s">
        <v>26</v>
      </c>
    </row>
    <row r="10101" spans="1:19" x14ac:dyDescent="0.3">
      <c r="A10101" t="s">
        <v>13791</v>
      </c>
      <c r="B10101" t="s">
        <v>16709</v>
      </c>
      <c r="C10101" t="s">
        <v>16776</v>
      </c>
      <c r="D10101" t="s">
        <v>13805</v>
      </c>
      <c r="E10101" t="s">
        <v>1210</v>
      </c>
      <c r="F10101" t="s">
        <v>1210</v>
      </c>
      <c r="G10101" t="s">
        <v>1210</v>
      </c>
      <c r="H10101" t="s">
        <v>859</v>
      </c>
      <c r="I10101" t="s">
        <v>860</v>
      </c>
      <c r="J10101" t="str">
        <f>"9150326"</f>
        <v>9150326</v>
      </c>
      <c r="K10101">
        <v>2621031681</v>
      </c>
      <c r="M10101" t="s">
        <v>16777</v>
      </c>
      <c r="N10101" t="s">
        <v>1211</v>
      </c>
      <c r="O10101" t="s">
        <v>16778</v>
      </c>
      <c r="P10101">
        <v>27100</v>
      </c>
      <c r="Q10101" t="str">
        <f>"37.687418"</f>
        <v>37.687418</v>
      </c>
      <c r="R10101" t="str">
        <f>"21.456774"</f>
        <v>21.456774</v>
      </c>
      <c r="S10101" t="s">
        <v>26</v>
      </c>
    </row>
    <row r="10102" spans="1:19" x14ac:dyDescent="0.3">
      <c r="A10102" t="s">
        <v>13791</v>
      </c>
      <c r="B10102" t="s">
        <v>16709</v>
      </c>
      <c r="C10102" t="s">
        <v>16779</v>
      </c>
      <c r="D10102" t="s">
        <v>13805</v>
      </c>
      <c r="E10102" t="s">
        <v>14669</v>
      </c>
      <c r="F10102" t="s">
        <v>14892</v>
      </c>
      <c r="G10102" t="s">
        <v>14893</v>
      </c>
      <c r="H10102" t="s">
        <v>859</v>
      </c>
      <c r="I10102" t="s">
        <v>860</v>
      </c>
      <c r="J10102" t="str">
        <f>"9150463"</f>
        <v>9150463</v>
      </c>
      <c r="K10102">
        <v>2624061403</v>
      </c>
      <c r="L10102">
        <v>2624061403</v>
      </c>
      <c r="M10102" t="s">
        <v>16780</v>
      </c>
      <c r="N10102" t="s">
        <v>14896</v>
      </c>
      <c r="O10102" t="s">
        <v>14896</v>
      </c>
      <c r="P10102">
        <v>27063</v>
      </c>
      <c r="Q10102" t="str">
        <f>"37.818633"</f>
        <v>37.818633</v>
      </c>
      <c r="R10102" t="str">
        <f>"21.688991"</f>
        <v>21.688991</v>
      </c>
      <c r="S10102" t="s">
        <v>26</v>
      </c>
    </row>
    <row r="10103" spans="1:19" x14ac:dyDescent="0.3">
      <c r="A10103" t="s">
        <v>13791</v>
      </c>
      <c r="B10103" t="s">
        <v>16709</v>
      </c>
      <c r="C10103" t="s">
        <v>16782</v>
      </c>
      <c r="D10103" t="s">
        <v>13805</v>
      </c>
      <c r="E10103" t="s">
        <v>14669</v>
      </c>
      <c r="F10103" t="s">
        <v>14669</v>
      </c>
      <c r="G10103" t="s">
        <v>16781</v>
      </c>
      <c r="H10103" t="s">
        <v>859</v>
      </c>
      <c r="I10103" t="s">
        <v>860</v>
      </c>
      <c r="J10103" t="str">
        <f>"9150404"</f>
        <v>9150404</v>
      </c>
      <c r="K10103">
        <v>2624022343</v>
      </c>
      <c r="M10103" t="s">
        <v>16783</v>
      </c>
      <c r="N10103" t="s">
        <v>16784</v>
      </c>
      <c r="O10103" t="s">
        <v>16784</v>
      </c>
      <c r="P10103">
        <v>27065</v>
      </c>
      <c r="Q10103" t="str">
        <f>"37.642990"</f>
        <v>37.642990</v>
      </c>
      <c r="R10103" t="str">
        <f>"21.653487"</f>
        <v>21.653487</v>
      </c>
      <c r="S10103" t="s">
        <v>26</v>
      </c>
    </row>
    <row r="10104" spans="1:19" x14ac:dyDescent="0.3">
      <c r="A10104" t="s">
        <v>13791</v>
      </c>
      <c r="B10104" t="s">
        <v>16709</v>
      </c>
      <c r="C10104" t="s">
        <v>16785</v>
      </c>
      <c r="D10104" t="s">
        <v>13805</v>
      </c>
      <c r="E10104" t="s">
        <v>1210</v>
      </c>
      <c r="F10104" t="s">
        <v>1210</v>
      </c>
      <c r="G10104" t="s">
        <v>1210</v>
      </c>
      <c r="H10104" t="s">
        <v>859</v>
      </c>
      <c r="I10104" t="s">
        <v>860</v>
      </c>
      <c r="J10104" t="str">
        <f>"9520844"</f>
        <v>9520844</v>
      </c>
      <c r="K10104">
        <v>2621035855</v>
      </c>
      <c r="L10104">
        <v>2621035855</v>
      </c>
      <c r="M10104" t="s">
        <v>16786</v>
      </c>
      <c r="N10104" t="s">
        <v>1211</v>
      </c>
      <c r="O10104" t="s">
        <v>16787</v>
      </c>
      <c r="P10104">
        <v>27100</v>
      </c>
      <c r="Q10104" t="str">
        <f>"37.673332"</f>
        <v>37.673332</v>
      </c>
      <c r="R10104" t="str">
        <f>"21.431328"</f>
        <v>21.431328</v>
      </c>
      <c r="S10104" t="s">
        <v>26</v>
      </c>
    </row>
    <row r="10105" spans="1:19" x14ac:dyDescent="0.3">
      <c r="A10105" t="s">
        <v>13791</v>
      </c>
      <c r="B10105" t="s">
        <v>16709</v>
      </c>
      <c r="C10105" t="s">
        <v>16788</v>
      </c>
      <c r="D10105" t="s">
        <v>13805</v>
      </c>
      <c r="E10105" t="s">
        <v>1210</v>
      </c>
      <c r="F10105" t="s">
        <v>1210</v>
      </c>
      <c r="G10105" t="s">
        <v>1210</v>
      </c>
      <c r="H10105" t="s">
        <v>859</v>
      </c>
      <c r="I10105" t="s">
        <v>860</v>
      </c>
      <c r="J10105" t="str">
        <f>"9150260"</f>
        <v>9150260</v>
      </c>
      <c r="K10105">
        <v>2621020352</v>
      </c>
      <c r="L10105">
        <v>2621020352</v>
      </c>
      <c r="M10105" t="s">
        <v>16789</v>
      </c>
      <c r="N10105" t="s">
        <v>1211</v>
      </c>
      <c r="O10105" t="s">
        <v>16790</v>
      </c>
      <c r="P10105">
        <v>27100</v>
      </c>
      <c r="Q10105" t="str">
        <f>"37.671849"</f>
        <v>37.671849</v>
      </c>
      <c r="R10105" t="str">
        <f>"21.443226"</f>
        <v>21.443226</v>
      </c>
      <c r="S10105" t="s">
        <v>26</v>
      </c>
    </row>
    <row r="10106" spans="1:19" x14ac:dyDescent="0.3">
      <c r="A10106" t="s">
        <v>13791</v>
      </c>
      <c r="B10106" t="s">
        <v>16709</v>
      </c>
      <c r="C10106" t="s">
        <v>16793</v>
      </c>
      <c r="D10106" t="s">
        <v>13805</v>
      </c>
      <c r="E10106" t="s">
        <v>1210</v>
      </c>
      <c r="F10106" t="s">
        <v>1210</v>
      </c>
      <c r="G10106" t="s">
        <v>1210</v>
      </c>
      <c r="H10106" t="s">
        <v>859</v>
      </c>
      <c r="I10106" t="s">
        <v>860</v>
      </c>
      <c r="J10106" t="str">
        <f>"9150058"</f>
        <v>9150058</v>
      </c>
      <c r="K10106">
        <v>2621033933</v>
      </c>
      <c r="M10106" t="s">
        <v>16794</v>
      </c>
      <c r="N10106" t="s">
        <v>1211</v>
      </c>
      <c r="O10106" t="s">
        <v>16795</v>
      </c>
      <c r="P10106">
        <v>27100</v>
      </c>
      <c r="Q10106" t="str">
        <f>"37.669176"</f>
        <v>37.669176</v>
      </c>
      <c r="R10106" t="str">
        <f>"21.430382"</f>
        <v>21.430382</v>
      </c>
      <c r="S10106" t="s">
        <v>26</v>
      </c>
    </row>
    <row r="10107" spans="1:19" x14ac:dyDescent="0.3">
      <c r="A10107" t="s">
        <v>13791</v>
      </c>
      <c r="B10107" t="s">
        <v>16709</v>
      </c>
      <c r="C10107" t="s">
        <v>16796</v>
      </c>
      <c r="D10107" t="s">
        <v>13805</v>
      </c>
      <c r="E10107" t="s">
        <v>14741</v>
      </c>
      <c r="F10107" t="s">
        <v>14742</v>
      </c>
      <c r="G10107" t="s">
        <v>14742</v>
      </c>
      <c r="H10107" t="s">
        <v>859</v>
      </c>
      <c r="I10107" t="s">
        <v>860</v>
      </c>
      <c r="J10107" t="str">
        <f>"9150012"</f>
        <v>9150012</v>
      </c>
      <c r="K10107">
        <v>2623032130</v>
      </c>
      <c r="L10107">
        <v>2623032130</v>
      </c>
      <c r="M10107" t="s">
        <v>16797</v>
      </c>
      <c r="N10107" t="s">
        <v>14742</v>
      </c>
      <c r="O10107" t="s">
        <v>16798</v>
      </c>
      <c r="P10107">
        <v>27300</v>
      </c>
      <c r="Q10107" t="str">
        <f>"37.854845"</f>
        <v>37.854845</v>
      </c>
      <c r="R10107" t="str">
        <f>"21.260381"</f>
        <v>21.260381</v>
      </c>
      <c r="S10107" t="s">
        <v>26</v>
      </c>
    </row>
    <row r="10108" spans="1:19" x14ac:dyDescent="0.3">
      <c r="A10108" t="s">
        <v>13791</v>
      </c>
      <c r="B10108" t="s">
        <v>16709</v>
      </c>
      <c r="C10108" t="s">
        <v>16799</v>
      </c>
      <c r="D10108" t="s">
        <v>13805</v>
      </c>
      <c r="E10108" t="s">
        <v>14741</v>
      </c>
      <c r="F10108" t="s">
        <v>14742</v>
      </c>
      <c r="G10108" t="s">
        <v>14742</v>
      </c>
      <c r="H10108" t="s">
        <v>859</v>
      </c>
      <c r="I10108" t="s">
        <v>860</v>
      </c>
      <c r="J10108" t="str">
        <f>"9150352"</f>
        <v>9150352</v>
      </c>
      <c r="K10108">
        <v>2623035529</v>
      </c>
      <c r="L10108">
        <v>2623032553</v>
      </c>
      <c r="M10108" t="s">
        <v>16800</v>
      </c>
      <c r="N10108" t="s">
        <v>14742</v>
      </c>
      <c r="O10108" t="s">
        <v>16801</v>
      </c>
      <c r="P10108">
        <v>27300</v>
      </c>
      <c r="Q10108" t="str">
        <f>"37.845951"</f>
        <v>37.845951</v>
      </c>
      <c r="R10108" t="str">
        <f>"21.250573"</f>
        <v>21.250573</v>
      </c>
      <c r="S10108" t="s">
        <v>26</v>
      </c>
    </row>
    <row r="10109" spans="1:19" x14ac:dyDescent="0.3">
      <c r="A10109" t="s">
        <v>13791</v>
      </c>
      <c r="B10109" t="s">
        <v>16709</v>
      </c>
      <c r="C10109" t="s">
        <v>16802</v>
      </c>
      <c r="D10109" t="s">
        <v>13805</v>
      </c>
      <c r="E10109" t="s">
        <v>1210</v>
      </c>
      <c r="F10109" t="s">
        <v>1210</v>
      </c>
      <c r="G10109" t="s">
        <v>1210</v>
      </c>
      <c r="H10109" t="s">
        <v>859</v>
      </c>
      <c r="I10109" t="s">
        <v>860</v>
      </c>
      <c r="J10109" t="str">
        <f>"9150440"</f>
        <v>9150440</v>
      </c>
      <c r="K10109">
        <v>2621032612</v>
      </c>
      <c r="M10109" t="s">
        <v>16803</v>
      </c>
      <c r="N10109" t="s">
        <v>1211</v>
      </c>
      <c r="O10109" t="s">
        <v>16804</v>
      </c>
      <c r="P10109">
        <v>27131</v>
      </c>
      <c r="Q10109" t="str">
        <f>"37.668071"</f>
        <v>37.668071</v>
      </c>
      <c r="R10109" t="str">
        <f>"21.437742"</f>
        <v>21.437742</v>
      </c>
      <c r="S10109" t="s">
        <v>26</v>
      </c>
    </row>
    <row r="10110" spans="1:19" x14ac:dyDescent="0.3">
      <c r="A10110" t="s">
        <v>13791</v>
      </c>
      <c r="B10110" t="s">
        <v>16709</v>
      </c>
      <c r="C10110" t="s">
        <v>16805</v>
      </c>
      <c r="D10110" t="s">
        <v>13805</v>
      </c>
      <c r="E10110" t="s">
        <v>1210</v>
      </c>
      <c r="F10110" t="s">
        <v>1210</v>
      </c>
      <c r="G10110" t="s">
        <v>1210</v>
      </c>
      <c r="H10110" t="s">
        <v>859</v>
      </c>
      <c r="I10110" t="s">
        <v>860</v>
      </c>
      <c r="J10110" t="str">
        <f>"9150329"</f>
        <v>9150329</v>
      </c>
      <c r="K10110">
        <v>2621037313</v>
      </c>
      <c r="L10110">
        <v>2621037313</v>
      </c>
      <c r="M10110" t="s">
        <v>16806</v>
      </c>
      <c r="N10110" t="s">
        <v>1211</v>
      </c>
      <c r="O10110" t="s">
        <v>14826</v>
      </c>
      <c r="P10110">
        <v>27131</v>
      </c>
      <c r="Q10110" t="str">
        <f>"37.664579"</f>
        <v>37.664579</v>
      </c>
      <c r="R10110" t="str">
        <f>"21.444706"</f>
        <v>21.444706</v>
      </c>
      <c r="S10110" t="s">
        <v>26</v>
      </c>
    </row>
    <row r="10111" spans="1:19" x14ac:dyDescent="0.3">
      <c r="A10111" t="s">
        <v>13791</v>
      </c>
      <c r="B10111" t="s">
        <v>16709</v>
      </c>
      <c r="C10111" t="s">
        <v>16807</v>
      </c>
      <c r="D10111" t="s">
        <v>13805</v>
      </c>
      <c r="E10111" t="s">
        <v>1210</v>
      </c>
      <c r="F10111" t="s">
        <v>1210</v>
      </c>
      <c r="G10111" t="s">
        <v>1210</v>
      </c>
      <c r="H10111" t="s">
        <v>859</v>
      </c>
      <c r="I10111" t="s">
        <v>860</v>
      </c>
      <c r="J10111" t="str">
        <f>"9150330"</f>
        <v>9150330</v>
      </c>
      <c r="K10111">
        <v>2621027834</v>
      </c>
      <c r="L10111">
        <v>2621027834</v>
      </c>
      <c r="M10111" t="s">
        <v>16808</v>
      </c>
      <c r="N10111" t="s">
        <v>1211</v>
      </c>
      <c r="O10111" t="s">
        <v>16809</v>
      </c>
      <c r="P10111">
        <v>27100</v>
      </c>
      <c r="Q10111" t="str">
        <f>"37.672665"</f>
        <v>37.672665</v>
      </c>
      <c r="R10111" t="str">
        <f>"21.443570"</f>
        <v>21.443570</v>
      </c>
      <c r="S10111" t="s">
        <v>26</v>
      </c>
    </row>
    <row r="10112" spans="1:19" x14ac:dyDescent="0.3">
      <c r="A10112" t="s">
        <v>13791</v>
      </c>
      <c r="B10112" t="s">
        <v>16709</v>
      </c>
      <c r="C10112" t="s">
        <v>16810</v>
      </c>
      <c r="D10112" t="s">
        <v>13805</v>
      </c>
      <c r="E10112" t="s">
        <v>1210</v>
      </c>
      <c r="F10112" t="s">
        <v>1210</v>
      </c>
      <c r="G10112" t="s">
        <v>1210</v>
      </c>
      <c r="H10112" t="s">
        <v>859</v>
      </c>
      <c r="I10112" t="s">
        <v>860</v>
      </c>
      <c r="J10112" t="str">
        <f>"9150263"</f>
        <v>9150263</v>
      </c>
      <c r="K10112">
        <v>2621029531</v>
      </c>
      <c r="L10112">
        <v>2621029531</v>
      </c>
      <c r="M10112" t="s">
        <v>16811</v>
      </c>
      <c r="N10112" t="s">
        <v>1211</v>
      </c>
      <c r="O10112" t="s">
        <v>16812</v>
      </c>
      <c r="P10112">
        <v>27131</v>
      </c>
      <c r="Q10112" t="str">
        <f>"37.666936"</f>
        <v>37.666936</v>
      </c>
      <c r="R10112" t="str">
        <f>"21.457912"</f>
        <v>21.457912</v>
      </c>
      <c r="S10112" t="s">
        <v>26</v>
      </c>
    </row>
    <row r="10113" spans="1:19" x14ac:dyDescent="0.3">
      <c r="A10113" t="s">
        <v>13791</v>
      </c>
      <c r="B10113" t="s">
        <v>16709</v>
      </c>
      <c r="C10113" t="s">
        <v>16813</v>
      </c>
      <c r="D10113" t="s">
        <v>13805</v>
      </c>
      <c r="E10113" t="s">
        <v>14709</v>
      </c>
      <c r="F10113" t="s">
        <v>14710</v>
      </c>
      <c r="G10113" t="s">
        <v>14818</v>
      </c>
      <c r="H10113" t="s">
        <v>859</v>
      </c>
      <c r="I10113" t="s">
        <v>860</v>
      </c>
      <c r="J10113" t="str">
        <f>"9150332"</f>
        <v>9150332</v>
      </c>
      <c r="K10113">
        <v>2622091510</v>
      </c>
      <c r="M10113" t="s">
        <v>16814</v>
      </c>
      <c r="N10113" t="s">
        <v>14818</v>
      </c>
      <c r="O10113" t="s">
        <v>16815</v>
      </c>
      <c r="P10113">
        <v>27059</v>
      </c>
      <c r="Q10113" t="str">
        <f>"37.850560"</f>
        <v>37.850560</v>
      </c>
      <c r="R10113" t="str">
        <f>"21.384942"</f>
        <v>21.384942</v>
      </c>
      <c r="S10113" t="s">
        <v>26</v>
      </c>
    </row>
    <row r="10114" spans="1:19" x14ac:dyDescent="0.3">
      <c r="A10114" t="s">
        <v>13791</v>
      </c>
      <c r="B10114" t="s">
        <v>16709</v>
      </c>
      <c r="C10114" t="s">
        <v>16816</v>
      </c>
      <c r="D10114" t="s">
        <v>13805</v>
      </c>
      <c r="E10114" t="s">
        <v>14669</v>
      </c>
      <c r="F10114" t="s">
        <v>14669</v>
      </c>
      <c r="G10114" t="s">
        <v>14669</v>
      </c>
      <c r="H10114" t="s">
        <v>859</v>
      </c>
      <c r="I10114" t="s">
        <v>860</v>
      </c>
      <c r="J10114" t="str">
        <f>"9150327"</f>
        <v>9150327</v>
      </c>
      <c r="K10114">
        <v>2624023140</v>
      </c>
      <c r="M10114" t="s">
        <v>16817</v>
      </c>
      <c r="N10114" t="s">
        <v>14837</v>
      </c>
      <c r="O10114" t="s">
        <v>16818</v>
      </c>
      <c r="P10114">
        <v>27065</v>
      </c>
      <c r="Q10114" t="str">
        <f>"37.646423"</f>
        <v>37.646423</v>
      </c>
      <c r="R10114" t="str">
        <f>"21.624793"</f>
        <v>21.624793</v>
      </c>
      <c r="S10114" t="s">
        <v>26</v>
      </c>
    </row>
    <row r="10115" spans="1:19" x14ac:dyDescent="0.3">
      <c r="A10115" t="s">
        <v>13791</v>
      </c>
      <c r="B10115" t="s">
        <v>16709</v>
      </c>
      <c r="C10115" t="s">
        <v>16823</v>
      </c>
      <c r="D10115" t="s">
        <v>13805</v>
      </c>
      <c r="E10115" t="s">
        <v>14709</v>
      </c>
      <c r="F10115" t="s">
        <v>14710</v>
      </c>
      <c r="G10115" t="s">
        <v>14710</v>
      </c>
      <c r="H10115" t="s">
        <v>859</v>
      </c>
      <c r="I10115" t="s">
        <v>860</v>
      </c>
      <c r="J10115" t="str">
        <f>"9150343"</f>
        <v>9150343</v>
      </c>
      <c r="K10115">
        <v>2622027362</v>
      </c>
      <c r="L10115">
        <v>2622038379</v>
      </c>
      <c r="M10115" t="s">
        <v>16824</v>
      </c>
      <c r="N10115" t="s">
        <v>14658</v>
      </c>
      <c r="O10115" t="s">
        <v>16825</v>
      </c>
      <c r="P10115">
        <v>27200</v>
      </c>
      <c r="Q10115" t="str">
        <f>"37.791759"</f>
        <v>37.791759</v>
      </c>
      <c r="R10115" t="str">
        <f>"21.351513"</f>
        <v>21.351513</v>
      </c>
      <c r="S10115" t="s">
        <v>26</v>
      </c>
    </row>
    <row r="10116" spans="1:19" x14ac:dyDescent="0.3">
      <c r="A10116" t="s">
        <v>13791</v>
      </c>
      <c r="B10116" t="s">
        <v>16709</v>
      </c>
      <c r="C10116" t="s">
        <v>16838</v>
      </c>
      <c r="D10116" t="s">
        <v>13805</v>
      </c>
      <c r="E10116" t="s">
        <v>14651</v>
      </c>
      <c r="F10116" t="s">
        <v>14696</v>
      </c>
      <c r="G10116" t="s">
        <v>14697</v>
      </c>
      <c r="H10116" t="s">
        <v>859</v>
      </c>
      <c r="I10116" t="s">
        <v>860</v>
      </c>
      <c r="J10116" t="str">
        <f>"9150400"</f>
        <v>9150400</v>
      </c>
      <c r="K10116">
        <v>2623072205</v>
      </c>
      <c r="L10116">
        <v>2623072205</v>
      </c>
      <c r="M10116" t="s">
        <v>16839</v>
      </c>
      <c r="N10116" t="s">
        <v>16840</v>
      </c>
      <c r="O10116" t="s">
        <v>16840</v>
      </c>
      <c r="P10116">
        <v>27052</v>
      </c>
      <c r="Q10116" t="str">
        <f>"38.022336"</f>
        <v>38.022336</v>
      </c>
      <c r="R10116" t="str">
        <f>"21.359383"</f>
        <v>21.359383</v>
      </c>
      <c r="S10116" t="s">
        <v>26</v>
      </c>
    </row>
    <row r="10117" spans="1:19" x14ac:dyDescent="0.3">
      <c r="A10117" t="s">
        <v>13791</v>
      </c>
      <c r="B10117" t="s">
        <v>16709</v>
      </c>
      <c r="C10117" t="s">
        <v>16850</v>
      </c>
      <c r="D10117" t="s">
        <v>13805</v>
      </c>
      <c r="E10117" t="s">
        <v>14651</v>
      </c>
      <c r="F10117" t="s">
        <v>14691</v>
      </c>
      <c r="G10117" t="s">
        <v>14691</v>
      </c>
      <c r="H10117" t="s">
        <v>859</v>
      </c>
      <c r="I10117" t="s">
        <v>860</v>
      </c>
      <c r="J10117" t="str">
        <f>"9520947"</f>
        <v>9520947</v>
      </c>
      <c r="K10117">
        <v>2623054333</v>
      </c>
      <c r="L10117">
        <v>2623054333</v>
      </c>
      <c r="M10117" t="s">
        <v>16851</v>
      </c>
      <c r="N10117" t="s">
        <v>14694</v>
      </c>
      <c r="O10117" t="s">
        <v>13933</v>
      </c>
      <c r="P10117">
        <v>27051</v>
      </c>
      <c r="Q10117" t="str">
        <f>"37.903377"</f>
        <v>37.903377</v>
      </c>
      <c r="R10117" t="str">
        <f>"21.270707"</f>
        <v>21.270707</v>
      </c>
      <c r="S10117" t="s">
        <v>26</v>
      </c>
    </row>
    <row r="10118" spans="1:19" x14ac:dyDescent="0.3">
      <c r="A10118" t="s">
        <v>13791</v>
      </c>
      <c r="B10118" t="s">
        <v>16709</v>
      </c>
      <c r="C10118" t="s">
        <v>16852</v>
      </c>
      <c r="D10118" t="s">
        <v>13805</v>
      </c>
      <c r="E10118" t="s">
        <v>14709</v>
      </c>
      <c r="F10118" t="s">
        <v>14710</v>
      </c>
      <c r="G10118" t="s">
        <v>5087</v>
      </c>
      <c r="H10118" t="s">
        <v>859</v>
      </c>
      <c r="I10118" t="s">
        <v>860</v>
      </c>
      <c r="J10118" t="str">
        <f>"9150360"</f>
        <v>9150360</v>
      </c>
      <c r="K10118">
        <v>2622095252</v>
      </c>
      <c r="L10118">
        <v>2622095252</v>
      </c>
      <c r="M10118" t="s">
        <v>16853</v>
      </c>
      <c r="N10118" t="s">
        <v>5087</v>
      </c>
      <c r="O10118" t="s">
        <v>5102</v>
      </c>
      <c r="P10118">
        <v>27200</v>
      </c>
      <c r="Q10118" t="str">
        <f>"37.806046"</f>
        <v>37.806046</v>
      </c>
      <c r="R10118" t="str">
        <f>"21.474550"</f>
        <v>21.474550</v>
      </c>
      <c r="S10118" t="s">
        <v>26</v>
      </c>
    </row>
    <row r="10119" spans="1:19" x14ac:dyDescent="0.3">
      <c r="A10119" t="s">
        <v>13791</v>
      </c>
      <c r="B10119" t="s">
        <v>16709</v>
      </c>
      <c r="C10119" t="s">
        <v>16854</v>
      </c>
      <c r="D10119" t="s">
        <v>13805</v>
      </c>
      <c r="E10119" t="s">
        <v>14709</v>
      </c>
      <c r="F10119" t="s">
        <v>14710</v>
      </c>
      <c r="G10119" t="s">
        <v>14710</v>
      </c>
      <c r="H10119" t="s">
        <v>859</v>
      </c>
      <c r="I10119" t="s">
        <v>860</v>
      </c>
      <c r="J10119" t="str">
        <f>"9150001"</f>
        <v>9150001</v>
      </c>
      <c r="K10119">
        <v>2622028236</v>
      </c>
      <c r="L10119">
        <v>2622028236</v>
      </c>
      <c r="M10119" t="s">
        <v>16855</v>
      </c>
      <c r="N10119" t="s">
        <v>14658</v>
      </c>
      <c r="O10119" t="s">
        <v>16856</v>
      </c>
      <c r="P10119">
        <v>27200</v>
      </c>
      <c r="Q10119" t="str">
        <f>"37.796757"</f>
        <v>37.796757</v>
      </c>
      <c r="R10119" t="str">
        <f>"21.357575"</f>
        <v>21.357575</v>
      </c>
      <c r="S10119" t="s">
        <v>26</v>
      </c>
    </row>
    <row r="10120" spans="1:19" x14ac:dyDescent="0.3">
      <c r="A10120" t="s">
        <v>13791</v>
      </c>
      <c r="B10120" t="s">
        <v>16709</v>
      </c>
      <c r="C10120" t="s">
        <v>16857</v>
      </c>
      <c r="D10120" t="s">
        <v>13805</v>
      </c>
      <c r="E10120" t="s">
        <v>14741</v>
      </c>
      <c r="F10120" t="s">
        <v>14806</v>
      </c>
      <c r="G10120" t="s">
        <v>14031</v>
      </c>
      <c r="H10120" t="s">
        <v>859</v>
      </c>
      <c r="I10120" t="s">
        <v>860</v>
      </c>
      <c r="J10120" t="str">
        <f>"9150442"</f>
        <v>9150442</v>
      </c>
      <c r="K10120">
        <v>2623096418</v>
      </c>
      <c r="M10120" t="s">
        <v>16858</v>
      </c>
      <c r="N10120" t="s">
        <v>15285</v>
      </c>
      <c r="O10120" t="s">
        <v>15285</v>
      </c>
      <c r="P10120">
        <v>27050</v>
      </c>
      <c r="Q10120" t="str">
        <f>"37.859879"</f>
        <v>37.859879</v>
      </c>
      <c r="R10120" t="str">
        <f>"21.154989"</f>
        <v>21.154989</v>
      </c>
      <c r="S10120" t="s">
        <v>26</v>
      </c>
    </row>
    <row r="10121" spans="1:19" x14ac:dyDescent="0.3">
      <c r="A10121" t="s">
        <v>13791</v>
      </c>
      <c r="B10121" t="s">
        <v>16709</v>
      </c>
      <c r="C10121" t="s">
        <v>16859</v>
      </c>
      <c r="D10121" t="s">
        <v>13805</v>
      </c>
      <c r="E10121" t="s">
        <v>14651</v>
      </c>
      <c r="F10121" t="s">
        <v>14696</v>
      </c>
      <c r="G10121" t="s">
        <v>14697</v>
      </c>
      <c r="H10121" t="s">
        <v>859</v>
      </c>
      <c r="I10121" t="s">
        <v>860</v>
      </c>
      <c r="J10121" t="str">
        <f>"9150219"</f>
        <v>9150219</v>
      </c>
      <c r="K10121">
        <v>2623071054</v>
      </c>
      <c r="L10121">
        <v>2623071054</v>
      </c>
      <c r="M10121" t="s">
        <v>16860</v>
      </c>
      <c r="N10121" t="s">
        <v>14701</v>
      </c>
      <c r="O10121" t="s">
        <v>16861</v>
      </c>
      <c r="P10121">
        <v>27052</v>
      </c>
      <c r="Q10121" t="str">
        <f>"38.031989"</f>
        <v>38.031989</v>
      </c>
      <c r="R10121" t="str">
        <f>"21.368389"</f>
        <v>21.368389</v>
      </c>
      <c r="S10121" t="s">
        <v>26</v>
      </c>
    </row>
    <row r="10122" spans="1:19" x14ac:dyDescent="0.3">
      <c r="A10122" t="s">
        <v>13791</v>
      </c>
      <c r="B10122" t="s">
        <v>16709</v>
      </c>
      <c r="C10122" t="s">
        <v>16862</v>
      </c>
      <c r="D10122" t="s">
        <v>13805</v>
      </c>
      <c r="E10122" t="s">
        <v>14741</v>
      </c>
      <c r="F10122" t="s">
        <v>14806</v>
      </c>
      <c r="G10122" t="s">
        <v>14806</v>
      </c>
      <c r="H10122" t="s">
        <v>859</v>
      </c>
      <c r="I10122" t="s">
        <v>860</v>
      </c>
      <c r="J10122" t="str">
        <f>"9150408"</f>
        <v>9150408</v>
      </c>
      <c r="K10122">
        <v>2623042522</v>
      </c>
      <c r="L10122">
        <v>2623042522</v>
      </c>
      <c r="M10122" t="s">
        <v>16863</v>
      </c>
      <c r="N10122" t="s">
        <v>14889</v>
      </c>
      <c r="O10122" t="s">
        <v>14889</v>
      </c>
      <c r="P10122">
        <v>27050</v>
      </c>
      <c r="Q10122" t="str">
        <f>"37.858954"</f>
        <v>37.858954</v>
      </c>
      <c r="R10122" t="str">
        <f>"21.199458"</f>
        <v>21.199458</v>
      </c>
      <c r="S10122" t="s">
        <v>26</v>
      </c>
    </row>
    <row r="10123" spans="1:19" x14ac:dyDescent="0.3">
      <c r="A10123" t="s">
        <v>13791</v>
      </c>
      <c r="B10123" t="s">
        <v>16709</v>
      </c>
      <c r="C10123" t="s">
        <v>16864</v>
      </c>
      <c r="D10123" t="s">
        <v>13805</v>
      </c>
      <c r="E10123" t="s">
        <v>14741</v>
      </c>
      <c r="F10123" t="s">
        <v>14742</v>
      </c>
      <c r="G10123" t="s">
        <v>16829</v>
      </c>
      <c r="H10123" t="s">
        <v>859</v>
      </c>
      <c r="I10123" t="s">
        <v>860</v>
      </c>
      <c r="J10123" t="str">
        <f>"9150381"</f>
        <v>9150381</v>
      </c>
      <c r="K10123">
        <v>2623034205</v>
      </c>
      <c r="M10123" t="s">
        <v>16865</v>
      </c>
      <c r="N10123" t="s">
        <v>16829</v>
      </c>
      <c r="O10123" t="s">
        <v>16866</v>
      </c>
      <c r="P10123">
        <v>27300</v>
      </c>
      <c r="Q10123" t="str">
        <f>"37.875106"</f>
        <v>37.875106</v>
      </c>
      <c r="R10123" t="str">
        <f>"21.262023"</f>
        <v>21.262023</v>
      </c>
      <c r="S10123" t="s">
        <v>26</v>
      </c>
    </row>
    <row r="10124" spans="1:19" x14ac:dyDescent="0.3">
      <c r="A10124" t="s">
        <v>13791</v>
      </c>
      <c r="B10124" t="s">
        <v>16709</v>
      </c>
      <c r="C10124" t="s">
        <v>16868</v>
      </c>
      <c r="D10124" t="s">
        <v>13805</v>
      </c>
      <c r="E10124" t="s">
        <v>14651</v>
      </c>
      <c r="F10124" t="s">
        <v>14652</v>
      </c>
      <c r="G10124" t="s">
        <v>16867</v>
      </c>
      <c r="H10124" t="s">
        <v>859</v>
      </c>
      <c r="I10124" t="s">
        <v>860</v>
      </c>
      <c r="J10124" t="str">
        <f>"9150379"</f>
        <v>9150379</v>
      </c>
      <c r="K10124">
        <v>2623095183</v>
      </c>
      <c r="L10124">
        <v>2623095183</v>
      </c>
      <c r="M10124" t="s">
        <v>16869</v>
      </c>
      <c r="N10124" t="s">
        <v>16870</v>
      </c>
      <c r="O10124" t="s">
        <v>16871</v>
      </c>
      <c r="P10124">
        <v>27050</v>
      </c>
      <c r="Q10124" t="str">
        <f>"37.889754"</f>
        <v>37.889754</v>
      </c>
      <c r="R10124" t="str">
        <f>"21.137668"</f>
        <v>21.137668</v>
      </c>
      <c r="S10124" t="s">
        <v>26</v>
      </c>
    </row>
    <row r="10125" spans="1:19" x14ac:dyDescent="0.3">
      <c r="A10125" t="s">
        <v>13791</v>
      </c>
      <c r="B10125" t="s">
        <v>16709</v>
      </c>
      <c r="C10125" t="s">
        <v>16873</v>
      </c>
      <c r="D10125" t="s">
        <v>13805</v>
      </c>
      <c r="E10125" t="s">
        <v>14709</v>
      </c>
      <c r="F10125" t="s">
        <v>14710</v>
      </c>
      <c r="G10125" t="s">
        <v>16872</v>
      </c>
      <c r="H10125" t="s">
        <v>859</v>
      </c>
      <c r="I10125" t="s">
        <v>860</v>
      </c>
      <c r="J10125" t="str">
        <f>"9150357"</f>
        <v>9150357</v>
      </c>
      <c r="K10125">
        <v>2622061282</v>
      </c>
      <c r="M10125" t="s">
        <v>16874</v>
      </c>
      <c r="N10125" t="s">
        <v>16872</v>
      </c>
      <c r="O10125" t="s">
        <v>16875</v>
      </c>
      <c r="P10125">
        <v>27200</v>
      </c>
      <c r="Q10125" t="str">
        <f>"37.833418"</f>
        <v>37.833418</v>
      </c>
      <c r="R10125" t="str">
        <f>"21.312082"</f>
        <v>21.312082</v>
      </c>
      <c r="S10125" t="s">
        <v>26</v>
      </c>
    </row>
    <row r="10126" spans="1:19" x14ac:dyDescent="0.3">
      <c r="A10126" t="s">
        <v>13791</v>
      </c>
      <c r="B10126" t="s">
        <v>16709</v>
      </c>
      <c r="C10126" t="s">
        <v>16877</v>
      </c>
      <c r="D10126" t="s">
        <v>13805</v>
      </c>
      <c r="E10126" t="s">
        <v>14709</v>
      </c>
      <c r="F10126" t="s">
        <v>14710</v>
      </c>
      <c r="G10126" t="s">
        <v>16876</v>
      </c>
      <c r="H10126" t="s">
        <v>859</v>
      </c>
      <c r="I10126" t="s">
        <v>860</v>
      </c>
      <c r="J10126" t="str">
        <f>"9150340"</f>
        <v>9150340</v>
      </c>
      <c r="K10126">
        <v>2622023160</v>
      </c>
      <c r="M10126" t="s">
        <v>16878</v>
      </c>
      <c r="N10126" t="s">
        <v>16876</v>
      </c>
      <c r="O10126" t="s">
        <v>16879</v>
      </c>
      <c r="P10126">
        <v>27200</v>
      </c>
      <c r="Q10126" t="str">
        <f>"37.794950"</f>
        <v>37.794950</v>
      </c>
      <c r="R10126" t="str">
        <f>"21.395780"</f>
        <v>21.395780</v>
      </c>
      <c r="S10126" t="s">
        <v>26</v>
      </c>
    </row>
    <row r="10127" spans="1:19" x14ac:dyDescent="0.3">
      <c r="A10127" t="s">
        <v>13791</v>
      </c>
      <c r="B10127" t="s">
        <v>16709</v>
      </c>
      <c r="C10127" t="s">
        <v>16881</v>
      </c>
      <c r="D10127" t="s">
        <v>13805</v>
      </c>
      <c r="E10127" t="s">
        <v>14709</v>
      </c>
      <c r="F10127" t="s">
        <v>14710</v>
      </c>
      <c r="G10127" t="s">
        <v>16880</v>
      </c>
      <c r="H10127" t="s">
        <v>859</v>
      </c>
      <c r="I10127" t="s">
        <v>860</v>
      </c>
      <c r="J10127" t="str">
        <f>"9150353"</f>
        <v>9150353</v>
      </c>
      <c r="K10127">
        <v>2622092201</v>
      </c>
      <c r="M10127" t="s">
        <v>16882</v>
      </c>
      <c r="N10127" t="s">
        <v>16883</v>
      </c>
      <c r="O10127" t="s">
        <v>16884</v>
      </c>
      <c r="P10127">
        <v>27200</v>
      </c>
      <c r="Q10127" t="str">
        <f>"37.744968"</f>
        <v>37.744968</v>
      </c>
      <c r="R10127" t="str">
        <f>"21.330888"</f>
        <v>21.330888</v>
      </c>
      <c r="S10127" t="s">
        <v>26</v>
      </c>
    </row>
    <row r="10128" spans="1:19" x14ac:dyDescent="0.3">
      <c r="A10128" t="s">
        <v>13791</v>
      </c>
      <c r="B10128" t="s">
        <v>16709</v>
      </c>
      <c r="C10128" t="s">
        <v>16885</v>
      </c>
      <c r="D10128" t="s">
        <v>13805</v>
      </c>
      <c r="E10128" t="s">
        <v>14709</v>
      </c>
      <c r="F10128" t="s">
        <v>14784</v>
      </c>
      <c r="G10128" t="s">
        <v>14882</v>
      </c>
      <c r="H10128" t="s">
        <v>859</v>
      </c>
      <c r="I10128" t="s">
        <v>860</v>
      </c>
      <c r="J10128" t="str">
        <f>"9150364"</f>
        <v>9150364</v>
      </c>
      <c r="K10128">
        <v>2622051204</v>
      </c>
      <c r="L10128">
        <v>2622051332</v>
      </c>
      <c r="M10128" t="s">
        <v>16886</v>
      </c>
      <c r="N10128" t="s">
        <v>14882</v>
      </c>
      <c r="O10128" t="s">
        <v>14886</v>
      </c>
      <c r="P10128">
        <v>27069</v>
      </c>
      <c r="Q10128" t="str">
        <f>"37.853652"</f>
        <v>37.853652</v>
      </c>
      <c r="R10128" t="str">
        <f>"21.517277"</f>
        <v>21.517277</v>
      </c>
      <c r="S10128" t="s">
        <v>26</v>
      </c>
    </row>
    <row r="10129" spans="1:19" x14ac:dyDescent="0.3">
      <c r="A10129" t="s">
        <v>13791</v>
      </c>
      <c r="B10129" t="s">
        <v>16709</v>
      </c>
      <c r="C10129" t="s">
        <v>16888</v>
      </c>
      <c r="D10129" t="s">
        <v>13805</v>
      </c>
      <c r="E10129" t="s">
        <v>14709</v>
      </c>
      <c r="F10129" t="s">
        <v>14710</v>
      </c>
      <c r="G10129" t="s">
        <v>16887</v>
      </c>
      <c r="H10129" t="s">
        <v>859</v>
      </c>
      <c r="I10129" t="s">
        <v>860</v>
      </c>
      <c r="J10129" t="str">
        <f>"9150395"</f>
        <v>9150395</v>
      </c>
      <c r="K10129">
        <v>2622041720</v>
      </c>
      <c r="L10129">
        <v>2622041720</v>
      </c>
      <c r="M10129" t="s">
        <v>16889</v>
      </c>
      <c r="N10129" t="s">
        <v>16890</v>
      </c>
      <c r="O10129" t="s">
        <v>16891</v>
      </c>
      <c r="P10129">
        <v>27300</v>
      </c>
      <c r="Q10129" t="str">
        <f>"37.886082"</f>
        <v>37.886082</v>
      </c>
      <c r="R10129" t="str">
        <f>"21.366435"</f>
        <v>21.366435</v>
      </c>
      <c r="S10129" t="s">
        <v>26</v>
      </c>
    </row>
    <row r="10130" spans="1:19" x14ac:dyDescent="0.3">
      <c r="A10130" t="s">
        <v>13791</v>
      </c>
      <c r="B10130" t="s">
        <v>16709</v>
      </c>
      <c r="C10130" t="s">
        <v>16893</v>
      </c>
      <c r="D10130" t="s">
        <v>13805</v>
      </c>
      <c r="E10130" t="s">
        <v>14709</v>
      </c>
      <c r="F10130" t="s">
        <v>14710</v>
      </c>
      <c r="G10130" t="s">
        <v>16892</v>
      </c>
      <c r="H10130" t="s">
        <v>859</v>
      </c>
      <c r="I10130" t="s">
        <v>860</v>
      </c>
      <c r="J10130" t="str">
        <f>"9150454"</f>
        <v>9150454</v>
      </c>
      <c r="K10130">
        <v>2622041680</v>
      </c>
      <c r="L10130">
        <v>2622041529</v>
      </c>
      <c r="M10130" t="s">
        <v>16894</v>
      </c>
      <c r="N10130" t="s">
        <v>16892</v>
      </c>
      <c r="O10130" t="s">
        <v>1632</v>
      </c>
      <c r="P10130">
        <v>27069</v>
      </c>
      <c r="Q10130" t="str">
        <f>"37.897527"</f>
        <v>37.897527</v>
      </c>
      <c r="R10130" t="str">
        <f>"21.445949"</f>
        <v>21.445949</v>
      </c>
      <c r="S10130" t="s">
        <v>26</v>
      </c>
    </row>
    <row r="10131" spans="1:19" x14ac:dyDescent="0.3">
      <c r="A10131" t="s">
        <v>13791</v>
      </c>
      <c r="B10131" t="s">
        <v>16709</v>
      </c>
      <c r="C10131" t="s">
        <v>16896</v>
      </c>
      <c r="D10131" t="s">
        <v>13805</v>
      </c>
      <c r="E10131" t="s">
        <v>14741</v>
      </c>
      <c r="F10131" t="s">
        <v>14742</v>
      </c>
      <c r="G10131" t="s">
        <v>16895</v>
      </c>
      <c r="H10131" t="s">
        <v>859</v>
      </c>
      <c r="I10131" t="s">
        <v>860</v>
      </c>
      <c r="J10131" t="str">
        <f>"9150429"</f>
        <v>9150429</v>
      </c>
      <c r="K10131">
        <v>2623032422</v>
      </c>
      <c r="M10131" t="s">
        <v>16897</v>
      </c>
      <c r="N10131" t="s">
        <v>16895</v>
      </c>
      <c r="O10131" t="s">
        <v>16898</v>
      </c>
      <c r="P10131">
        <v>27300</v>
      </c>
      <c r="Q10131" t="str">
        <f>"37.863560"</f>
        <v>37.863560</v>
      </c>
      <c r="R10131" t="str">
        <f>"21.321736"</f>
        <v>21.321736</v>
      </c>
      <c r="S10131" t="s">
        <v>26</v>
      </c>
    </row>
    <row r="10132" spans="1:19" x14ac:dyDescent="0.3">
      <c r="A10132" t="s">
        <v>13791</v>
      </c>
      <c r="B10132" t="s">
        <v>16709</v>
      </c>
      <c r="C10132" t="s">
        <v>16899</v>
      </c>
      <c r="D10132" t="s">
        <v>13805</v>
      </c>
      <c r="E10132" t="s">
        <v>14741</v>
      </c>
      <c r="F10132" t="s">
        <v>14806</v>
      </c>
      <c r="G10132" t="s">
        <v>14806</v>
      </c>
      <c r="H10132" t="s">
        <v>859</v>
      </c>
      <c r="I10132" t="s">
        <v>860</v>
      </c>
      <c r="J10132" t="str">
        <f>"9150215"</f>
        <v>9150215</v>
      </c>
      <c r="K10132">
        <v>2623041301</v>
      </c>
      <c r="L10132">
        <v>2623041301</v>
      </c>
      <c r="M10132" t="s">
        <v>16900</v>
      </c>
      <c r="N10132" t="s">
        <v>14889</v>
      </c>
      <c r="O10132" t="s">
        <v>16901</v>
      </c>
      <c r="P10132">
        <v>27050</v>
      </c>
      <c r="Q10132" t="str">
        <f>"37.862528"</f>
        <v>37.862528</v>
      </c>
      <c r="R10132" t="str">
        <f>"21.207802"</f>
        <v>21.207802</v>
      </c>
      <c r="S10132" t="s">
        <v>26</v>
      </c>
    </row>
    <row r="10133" spans="1:19" x14ac:dyDescent="0.3">
      <c r="A10133" t="s">
        <v>13791</v>
      </c>
      <c r="B10133" t="s">
        <v>16709</v>
      </c>
      <c r="C10133" t="s">
        <v>16906</v>
      </c>
      <c r="D10133" t="s">
        <v>13805</v>
      </c>
      <c r="E10133" t="s">
        <v>14651</v>
      </c>
      <c r="F10133" t="s">
        <v>14696</v>
      </c>
      <c r="G10133" t="s">
        <v>16905</v>
      </c>
      <c r="H10133" t="s">
        <v>859</v>
      </c>
      <c r="I10133" t="s">
        <v>860</v>
      </c>
      <c r="J10133" t="str">
        <f>"9150248"</f>
        <v>9150248</v>
      </c>
      <c r="K10133">
        <v>2623071014</v>
      </c>
      <c r="M10133" t="s">
        <v>16907</v>
      </c>
      <c r="N10133" t="s">
        <v>16908</v>
      </c>
      <c r="O10133" t="s">
        <v>16909</v>
      </c>
      <c r="P10133">
        <v>27052</v>
      </c>
      <c r="Q10133" t="str">
        <f>"38.046716"</f>
        <v>38.046716</v>
      </c>
      <c r="R10133" t="str">
        <f>"21.348277"</f>
        <v>21.348277</v>
      </c>
      <c r="S10133" t="s">
        <v>26</v>
      </c>
    </row>
    <row r="10134" spans="1:19" x14ac:dyDescent="0.3">
      <c r="A10134" t="s">
        <v>13791</v>
      </c>
      <c r="B10134" t="s">
        <v>16709</v>
      </c>
      <c r="C10134" t="s">
        <v>16921</v>
      </c>
      <c r="D10134" t="s">
        <v>13805</v>
      </c>
      <c r="E10134" t="s">
        <v>14651</v>
      </c>
      <c r="F10134" t="s">
        <v>14652</v>
      </c>
      <c r="G10134" t="s">
        <v>16920</v>
      </c>
      <c r="H10134" t="s">
        <v>859</v>
      </c>
      <c r="I10134" t="s">
        <v>860</v>
      </c>
      <c r="J10134" t="str">
        <f>"9150346"</f>
        <v>9150346</v>
      </c>
      <c r="K10134">
        <v>2623094267</v>
      </c>
      <c r="M10134" t="s">
        <v>16922</v>
      </c>
      <c r="N10134" t="s">
        <v>16923</v>
      </c>
      <c r="O10134" t="s">
        <v>16924</v>
      </c>
      <c r="P10134">
        <v>27051</v>
      </c>
      <c r="Q10134" t="str">
        <f>"37.922642"</f>
        <v>37.922642</v>
      </c>
      <c r="R10134" t="str">
        <f>"21.168901"</f>
        <v>21.168901</v>
      </c>
      <c r="S10134" t="s">
        <v>26</v>
      </c>
    </row>
    <row r="10135" spans="1:19" x14ac:dyDescent="0.3">
      <c r="A10135" t="s">
        <v>13791</v>
      </c>
      <c r="B10135" t="s">
        <v>16709</v>
      </c>
      <c r="C10135" t="s">
        <v>16927</v>
      </c>
      <c r="D10135" t="s">
        <v>13805</v>
      </c>
      <c r="E10135" t="s">
        <v>14651</v>
      </c>
      <c r="F10135" t="s">
        <v>14691</v>
      </c>
      <c r="G10135" t="s">
        <v>14691</v>
      </c>
      <c r="H10135" t="s">
        <v>859</v>
      </c>
      <c r="I10135" t="s">
        <v>860</v>
      </c>
      <c r="J10135" t="str">
        <f>"9150199"</f>
        <v>9150199</v>
      </c>
      <c r="K10135">
        <v>2623054375</v>
      </c>
      <c r="M10135" t="s">
        <v>16928</v>
      </c>
      <c r="N10135" t="s">
        <v>14694</v>
      </c>
      <c r="O10135" t="s">
        <v>16929</v>
      </c>
      <c r="P10135">
        <v>27051</v>
      </c>
      <c r="Q10135" t="str">
        <f>"37.909418"</f>
        <v>37.909418</v>
      </c>
      <c r="R10135" t="str">
        <f>"21.269897"</f>
        <v>21.269897</v>
      </c>
      <c r="S10135" t="s">
        <v>26</v>
      </c>
    </row>
    <row r="10136" spans="1:19" x14ac:dyDescent="0.3">
      <c r="A10136" t="s">
        <v>13791</v>
      </c>
      <c r="B10136" t="s">
        <v>16709</v>
      </c>
      <c r="C10136" t="s">
        <v>16931</v>
      </c>
      <c r="D10136" t="s">
        <v>13805</v>
      </c>
      <c r="E10136" t="s">
        <v>14651</v>
      </c>
      <c r="F10136" t="s">
        <v>14696</v>
      </c>
      <c r="G10136" t="s">
        <v>16930</v>
      </c>
      <c r="H10136" t="s">
        <v>859</v>
      </c>
      <c r="I10136" t="s">
        <v>860</v>
      </c>
      <c r="J10136" t="str">
        <f>"9150380"</f>
        <v>9150380</v>
      </c>
      <c r="K10136">
        <v>2623071809</v>
      </c>
      <c r="M10136" t="s">
        <v>16932</v>
      </c>
      <c r="N10136" t="s">
        <v>16933</v>
      </c>
      <c r="O10136" t="s">
        <v>16934</v>
      </c>
      <c r="P10136">
        <v>27052</v>
      </c>
      <c r="Q10136" t="str">
        <f>"38.044937"</f>
        <v>38.044937</v>
      </c>
      <c r="R10136" t="str">
        <f>"21.349613"</f>
        <v>21.349613</v>
      </c>
      <c r="S10136" t="s">
        <v>26</v>
      </c>
    </row>
    <row r="10137" spans="1:19" x14ac:dyDescent="0.3">
      <c r="A10137" t="s">
        <v>13791</v>
      </c>
      <c r="B10137" t="s">
        <v>16709</v>
      </c>
      <c r="C10137" t="s">
        <v>16936</v>
      </c>
      <c r="D10137" t="s">
        <v>13805</v>
      </c>
      <c r="E10137" t="s">
        <v>14741</v>
      </c>
      <c r="F10137" t="s">
        <v>14869</v>
      </c>
      <c r="G10137" t="s">
        <v>14869</v>
      </c>
      <c r="H10137" t="s">
        <v>859</v>
      </c>
      <c r="I10137" t="s">
        <v>860</v>
      </c>
      <c r="J10137" t="str">
        <f>"9150258"</f>
        <v>9150258</v>
      </c>
      <c r="K10137">
        <v>2623061329</v>
      </c>
      <c r="M10137" t="s">
        <v>16937</v>
      </c>
      <c r="N10137" t="s">
        <v>16938</v>
      </c>
      <c r="O10137" t="s">
        <v>16938</v>
      </c>
      <c r="P10137">
        <v>27057</v>
      </c>
      <c r="Q10137" t="str">
        <f>"37.897817"</f>
        <v>37.897817</v>
      </c>
      <c r="R10137" t="str">
        <f>"21.313840"</f>
        <v>21.313840</v>
      </c>
      <c r="S10137" t="s">
        <v>26</v>
      </c>
    </row>
    <row r="10138" spans="1:19" x14ac:dyDescent="0.3">
      <c r="A10138" t="s">
        <v>13791</v>
      </c>
      <c r="B10138" t="s">
        <v>16709</v>
      </c>
      <c r="C10138" t="s">
        <v>16939</v>
      </c>
      <c r="D10138" t="s">
        <v>13805</v>
      </c>
      <c r="E10138" t="s">
        <v>14651</v>
      </c>
      <c r="F10138" t="s">
        <v>14748</v>
      </c>
      <c r="G10138" t="s">
        <v>14748</v>
      </c>
      <c r="H10138" t="s">
        <v>859</v>
      </c>
      <c r="I10138" t="s">
        <v>860</v>
      </c>
      <c r="J10138" t="str">
        <f>"9150334"</f>
        <v>9150334</v>
      </c>
      <c r="K10138">
        <v>2623023250</v>
      </c>
      <c r="M10138" t="s">
        <v>16940</v>
      </c>
      <c r="N10138" t="s">
        <v>14751</v>
      </c>
      <c r="O10138" t="s">
        <v>16941</v>
      </c>
      <c r="P10138">
        <v>27053</v>
      </c>
      <c r="Q10138" t="str">
        <f>"37.937102"</f>
        <v>37.937102</v>
      </c>
      <c r="R10138" t="str">
        <f>"21.257267"</f>
        <v>21.257267</v>
      </c>
      <c r="S10138" t="s">
        <v>26</v>
      </c>
    </row>
    <row r="10139" spans="1:19" x14ac:dyDescent="0.3">
      <c r="A10139" t="s">
        <v>13791</v>
      </c>
      <c r="B10139" t="s">
        <v>16709</v>
      </c>
      <c r="C10139" t="s">
        <v>16942</v>
      </c>
      <c r="D10139" t="s">
        <v>13805</v>
      </c>
      <c r="E10139" t="s">
        <v>14651</v>
      </c>
      <c r="F10139" t="s">
        <v>14748</v>
      </c>
      <c r="G10139" t="s">
        <v>14748</v>
      </c>
      <c r="H10139" t="s">
        <v>859</v>
      </c>
      <c r="I10139" t="s">
        <v>860</v>
      </c>
      <c r="J10139" t="str">
        <f>"9150204"</f>
        <v>9150204</v>
      </c>
      <c r="K10139">
        <v>2623022553</v>
      </c>
      <c r="L10139">
        <v>2623022553</v>
      </c>
      <c r="M10139" t="s">
        <v>16943</v>
      </c>
      <c r="N10139" t="s">
        <v>14751</v>
      </c>
      <c r="O10139" t="s">
        <v>14751</v>
      </c>
      <c r="P10139">
        <v>27053</v>
      </c>
      <c r="Q10139" t="str">
        <f>"37.933874"</f>
        <v>37.933874</v>
      </c>
      <c r="R10139" t="str">
        <f>"21.262129"</f>
        <v>21.262129</v>
      </c>
      <c r="S10139" t="s">
        <v>26</v>
      </c>
    </row>
    <row r="10140" spans="1:19" x14ac:dyDescent="0.3">
      <c r="A10140" t="s">
        <v>13791</v>
      </c>
      <c r="B10140" t="s">
        <v>16709</v>
      </c>
      <c r="C10140" t="s">
        <v>16948</v>
      </c>
      <c r="D10140" t="s">
        <v>13805</v>
      </c>
      <c r="E10140" t="s">
        <v>14651</v>
      </c>
      <c r="F10140" t="s">
        <v>14748</v>
      </c>
      <c r="G10140" t="s">
        <v>16947</v>
      </c>
      <c r="H10140" t="s">
        <v>859</v>
      </c>
      <c r="I10140" t="s">
        <v>860</v>
      </c>
      <c r="J10140" t="str">
        <f>"9150464"</f>
        <v>9150464</v>
      </c>
      <c r="K10140">
        <v>2623022241</v>
      </c>
      <c r="M10140" t="s">
        <v>16949</v>
      </c>
      <c r="N10140" t="s">
        <v>16950</v>
      </c>
      <c r="O10140" t="s">
        <v>16950</v>
      </c>
      <c r="P10140">
        <v>27052</v>
      </c>
      <c r="Q10140" t="str">
        <f>"37.927103"</f>
        <v>37.927103</v>
      </c>
      <c r="R10140" t="str">
        <f>"21.438182"</f>
        <v>21.438182</v>
      </c>
      <c r="S10140" t="s">
        <v>26</v>
      </c>
    </row>
    <row r="10141" spans="1:19" x14ac:dyDescent="0.3">
      <c r="A10141" t="s">
        <v>13791</v>
      </c>
      <c r="B10141" t="s">
        <v>16709</v>
      </c>
      <c r="C10141" t="s">
        <v>17109</v>
      </c>
      <c r="D10141" t="s">
        <v>13805</v>
      </c>
      <c r="E10141" t="s">
        <v>1210</v>
      </c>
      <c r="F10141" t="s">
        <v>14645</v>
      </c>
      <c r="G10141" t="s">
        <v>17108</v>
      </c>
      <c r="H10141" t="s">
        <v>859</v>
      </c>
      <c r="I10141" t="s">
        <v>860</v>
      </c>
      <c r="J10141" t="str">
        <f>"9150376"</f>
        <v>9150376</v>
      </c>
      <c r="K10141">
        <v>2621069255</v>
      </c>
      <c r="M10141" t="s">
        <v>17110</v>
      </c>
      <c r="N10141" t="s">
        <v>14646</v>
      </c>
      <c r="O10141" t="s">
        <v>17111</v>
      </c>
      <c r="P10141">
        <v>27064</v>
      </c>
      <c r="Q10141" t="str">
        <f>"37.707719"</f>
        <v>37.707719</v>
      </c>
      <c r="R10141" t="str">
        <f>"21.560539"</f>
        <v>21.560539</v>
      </c>
      <c r="S10141" t="s">
        <v>26</v>
      </c>
    </row>
    <row r="10142" spans="1:19" x14ac:dyDescent="0.3">
      <c r="A10142" t="s">
        <v>13791</v>
      </c>
      <c r="B10142" t="s">
        <v>16709</v>
      </c>
      <c r="C10142" t="s">
        <v>17112</v>
      </c>
      <c r="D10142" t="s">
        <v>13805</v>
      </c>
      <c r="E10142" t="s">
        <v>14669</v>
      </c>
      <c r="F10142" t="s">
        <v>14669</v>
      </c>
      <c r="G10142" t="s">
        <v>14703</v>
      </c>
      <c r="H10142" t="s">
        <v>859</v>
      </c>
      <c r="I10142" t="s">
        <v>860</v>
      </c>
      <c r="J10142" t="str">
        <f>"9150405"</f>
        <v>9150405</v>
      </c>
      <c r="K10142">
        <v>2624071271</v>
      </c>
      <c r="M10142" t="s">
        <v>17113</v>
      </c>
      <c r="N10142" t="s">
        <v>17114</v>
      </c>
      <c r="O10142" t="s">
        <v>14706</v>
      </c>
      <c r="P10142">
        <v>27065</v>
      </c>
      <c r="Q10142" t="str">
        <f>"37.648905"</f>
        <v>37.648905</v>
      </c>
      <c r="R10142" t="str">
        <f>"21.760539"</f>
        <v>21.760539</v>
      </c>
      <c r="S10142" t="s">
        <v>26</v>
      </c>
    </row>
    <row r="10143" spans="1:19" x14ac:dyDescent="0.3">
      <c r="A10143" t="s">
        <v>13791</v>
      </c>
      <c r="B10143" t="s">
        <v>16709</v>
      </c>
      <c r="C10143" t="s">
        <v>17115</v>
      </c>
      <c r="D10143" t="s">
        <v>13805</v>
      </c>
      <c r="E10143" t="s">
        <v>1210</v>
      </c>
      <c r="F10143" t="s">
        <v>14754</v>
      </c>
      <c r="G10143" t="s">
        <v>17004</v>
      </c>
      <c r="H10143" t="s">
        <v>859</v>
      </c>
      <c r="I10143" t="s">
        <v>860</v>
      </c>
      <c r="J10143" t="str">
        <f>"9150426"</f>
        <v>9150426</v>
      </c>
      <c r="K10143">
        <v>2621054040</v>
      </c>
      <c r="M10143" t="s">
        <v>17116</v>
      </c>
      <c r="N10143" t="s">
        <v>17117</v>
      </c>
      <c r="O10143" t="s">
        <v>17117</v>
      </c>
      <c r="P10143">
        <v>27100</v>
      </c>
      <c r="Q10143" t="str">
        <f>"37.724439"</f>
        <v>37.724439</v>
      </c>
      <c r="R10143" t="str">
        <f>"21.368989"</f>
        <v>21.368989</v>
      </c>
      <c r="S10143" t="s">
        <v>26</v>
      </c>
    </row>
    <row r="10144" spans="1:19" x14ac:dyDescent="0.3">
      <c r="A10144" t="s">
        <v>13791</v>
      </c>
      <c r="B10144" t="s">
        <v>16709</v>
      </c>
      <c r="C10144" t="s">
        <v>17118</v>
      </c>
      <c r="D10144" t="s">
        <v>13805</v>
      </c>
      <c r="E10144" t="s">
        <v>14669</v>
      </c>
      <c r="F10144" t="s">
        <v>14669</v>
      </c>
      <c r="G10144" t="s">
        <v>16996</v>
      </c>
      <c r="H10144" t="s">
        <v>859</v>
      </c>
      <c r="I10144" t="s">
        <v>860</v>
      </c>
      <c r="J10144" t="str">
        <f>"9150367"</f>
        <v>9150367</v>
      </c>
      <c r="K10144">
        <v>2624051202</v>
      </c>
      <c r="L10144">
        <v>2624051202</v>
      </c>
      <c r="M10144" t="s">
        <v>17119</v>
      </c>
      <c r="N10144" t="s">
        <v>16999</v>
      </c>
      <c r="O10144" t="s">
        <v>16999</v>
      </c>
      <c r="P10144">
        <v>27065</v>
      </c>
      <c r="Q10144" t="str">
        <f>"37.713594"</f>
        <v>37.713594</v>
      </c>
      <c r="R10144" t="str">
        <f>"21.624216"</f>
        <v>21.624216</v>
      </c>
      <c r="S10144" t="s">
        <v>26</v>
      </c>
    </row>
    <row r="10145" spans="1:19" x14ac:dyDescent="0.3">
      <c r="A10145" t="s">
        <v>13791</v>
      </c>
      <c r="B10145" t="s">
        <v>16709</v>
      </c>
      <c r="C10145" t="s">
        <v>17120</v>
      </c>
      <c r="D10145" t="s">
        <v>13805</v>
      </c>
      <c r="E10145" t="s">
        <v>1210</v>
      </c>
      <c r="F10145" t="s">
        <v>14645</v>
      </c>
      <c r="G10145" t="s">
        <v>14646</v>
      </c>
      <c r="H10145" t="s">
        <v>859</v>
      </c>
      <c r="I10145" t="s">
        <v>860</v>
      </c>
      <c r="J10145" t="str">
        <f>"9150347"</f>
        <v>9150347</v>
      </c>
      <c r="K10145">
        <v>2621061807</v>
      </c>
      <c r="M10145" t="s">
        <v>17121</v>
      </c>
      <c r="N10145" t="s">
        <v>14646</v>
      </c>
      <c r="O10145" t="s">
        <v>14646</v>
      </c>
      <c r="P10145">
        <v>27064</v>
      </c>
      <c r="Q10145" t="str">
        <f>"37.736527"</f>
        <v>37.736527</v>
      </c>
      <c r="R10145" t="str">
        <f>"21.536203"</f>
        <v>21.536203</v>
      </c>
      <c r="S10145" t="s">
        <v>26</v>
      </c>
    </row>
    <row r="10146" spans="1:19" x14ac:dyDescent="0.3">
      <c r="A10146" t="s">
        <v>13791</v>
      </c>
      <c r="B10146" t="s">
        <v>16709</v>
      </c>
      <c r="C10146" t="s">
        <v>17122</v>
      </c>
      <c r="D10146" t="s">
        <v>13805</v>
      </c>
      <c r="E10146" t="s">
        <v>1210</v>
      </c>
      <c r="F10146" t="s">
        <v>1210</v>
      </c>
      <c r="G10146" t="s">
        <v>17024</v>
      </c>
      <c r="H10146" t="s">
        <v>859</v>
      </c>
      <c r="I10146" t="s">
        <v>860</v>
      </c>
      <c r="J10146" t="str">
        <f>"9150385"</f>
        <v>9150385</v>
      </c>
      <c r="K10146">
        <v>2621096565</v>
      </c>
      <c r="L10146">
        <v>2621096236</v>
      </c>
      <c r="M10146" t="s">
        <v>17123</v>
      </c>
      <c r="N10146" t="s">
        <v>17026</v>
      </c>
      <c r="O10146" t="s">
        <v>17026</v>
      </c>
      <c r="P10146">
        <v>27100</v>
      </c>
      <c r="Q10146" t="str">
        <f>"37.686816"</f>
        <v>37.686816</v>
      </c>
      <c r="R10146" t="str">
        <f>"21.362282"</f>
        <v>21.362282</v>
      </c>
      <c r="S10146" t="s">
        <v>26</v>
      </c>
    </row>
    <row r="10147" spans="1:19" x14ac:dyDescent="0.3">
      <c r="A10147" t="s">
        <v>13791</v>
      </c>
      <c r="B10147" t="s">
        <v>16709</v>
      </c>
      <c r="C10147" t="s">
        <v>17124</v>
      </c>
      <c r="D10147" t="s">
        <v>13805</v>
      </c>
      <c r="E10147" t="s">
        <v>1210</v>
      </c>
      <c r="F10147" t="s">
        <v>14645</v>
      </c>
      <c r="G10147" t="s">
        <v>14645</v>
      </c>
      <c r="H10147" t="s">
        <v>859</v>
      </c>
      <c r="I10147" t="s">
        <v>860</v>
      </c>
      <c r="J10147" t="str">
        <f>"9150389"</f>
        <v>9150389</v>
      </c>
      <c r="K10147">
        <v>2621062539</v>
      </c>
      <c r="M10147" t="s">
        <v>17125</v>
      </c>
      <c r="N10147" t="s">
        <v>17011</v>
      </c>
      <c r="O10147" t="s">
        <v>17011</v>
      </c>
      <c r="P10147">
        <v>27064</v>
      </c>
      <c r="Q10147" t="str">
        <f>"37.742805"</f>
        <v>37.742805</v>
      </c>
      <c r="R10147" t="str">
        <f>"21.555494"</f>
        <v>21.555494</v>
      </c>
      <c r="S10147" t="s">
        <v>26</v>
      </c>
    </row>
    <row r="10148" spans="1:19" x14ac:dyDescent="0.3">
      <c r="A10148" t="s">
        <v>13791</v>
      </c>
      <c r="B10148" t="s">
        <v>16709</v>
      </c>
      <c r="C10148" t="s">
        <v>17126</v>
      </c>
      <c r="D10148" t="s">
        <v>13805</v>
      </c>
      <c r="E10148" t="s">
        <v>1210</v>
      </c>
      <c r="F10148" t="s">
        <v>14645</v>
      </c>
      <c r="G10148" t="s">
        <v>17000</v>
      </c>
      <c r="H10148" t="s">
        <v>859</v>
      </c>
      <c r="I10148" t="s">
        <v>860</v>
      </c>
      <c r="J10148" t="str">
        <f>"9150470"</f>
        <v>9150470</v>
      </c>
      <c r="K10148">
        <v>2621061116</v>
      </c>
      <c r="L10148">
        <v>2621061116</v>
      </c>
      <c r="M10148" t="s">
        <v>17127</v>
      </c>
      <c r="N10148" t="s">
        <v>17128</v>
      </c>
      <c r="O10148" t="s">
        <v>17128</v>
      </c>
      <c r="P10148">
        <v>27064</v>
      </c>
      <c r="Q10148" t="str">
        <f>"37.783445"</f>
        <v>37.783445</v>
      </c>
      <c r="R10148" t="str">
        <f>"21.554860"</f>
        <v>21.554860</v>
      </c>
      <c r="S10148" t="s">
        <v>26</v>
      </c>
    </row>
    <row r="10149" spans="1:19" x14ac:dyDescent="0.3">
      <c r="A10149" t="s">
        <v>13791</v>
      </c>
      <c r="B10149" t="s">
        <v>16709</v>
      </c>
      <c r="C10149" t="s">
        <v>17129</v>
      </c>
      <c r="D10149" t="s">
        <v>13805</v>
      </c>
      <c r="E10149" t="s">
        <v>1210</v>
      </c>
      <c r="F10149" t="s">
        <v>1210</v>
      </c>
      <c r="G10149" t="s">
        <v>1872</v>
      </c>
      <c r="H10149" t="s">
        <v>859</v>
      </c>
      <c r="I10149" t="s">
        <v>860</v>
      </c>
      <c r="J10149" t="str">
        <f>"9150350"</f>
        <v>9150350</v>
      </c>
      <c r="K10149">
        <v>2621306775</v>
      </c>
      <c r="M10149" t="s">
        <v>17130</v>
      </c>
      <c r="N10149" t="s">
        <v>17131</v>
      </c>
      <c r="O10149" t="s">
        <v>17132</v>
      </c>
      <c r="P10149">
        <v>27100</v>
      </c>
      <c r="Q10149" t="str">
        <f>"37.700951"</f>
        <v>37.700951</v>
      </c>
      <c r="R10149" t="str">
        <f>"21.436292"</f>
        <v>21.436292</v>
      </c>
      <c r="S10149" t="s">
        <v>26</v>
      </c>
    </row>
    <row r="10150" spans="1:19" x14ac:dyDescent="0.3">
      <c r="A10150" t="s">
        <v>13791</v>
      </c>
      <c r="B10150" t="s">
        <v>16709</v>
      </c>
      <c r="C10150" t="s">
        <v>17135</v>
      </c>
      <c r="D10150" t="s">
        <v>13805</v>
      </c>
      <c r="E10150" t="s">
        <v>14660</v>
      </c>
      <c r="F10150" t="s">
        <v>14661</v>
      </c>
      <c r="G10150" t="s">
        <v>14667</v>
      </c>
      <c r="H10150" t="s">
        <v>859</v>
      </c>
      <c r="I10150" t="s">
        <v>860</v>
      </c>
      <c r="J10150" t="str">
        <f>"9150158"</f>
        <v>9150158</v>
      </c>
      <c r="K10150">
        <v>2625022319</v>
      </c>
      <c r="M10150" t="s">
        <v>17136</v>
      </c>
      <c r="N10150" t="s">
        <v>14667</v>
      </c>
      <c r="O10150" t="s">
        <v>14762</v>
      </c>
      <c r="P10150">
        <v>27055</v>
      </c>
      <c r="Q10150" t="str">
        <f>"37.589759"</f>
        <v>37.589759</v>
      </c>
      <c r="R10150" t="str">
        <f>"21.619651"</f>
        <v>21.619651</v>
      </c>
      <c r="S10150" t="s">
        <v>26</v>
      </c>
    </row>
    <row r="10151" spans="1:19" x14ac:dyDescent="0.3">
      <c r="A10151" t="s">
        <v>13791</v>
      </c>
      <c r="B10151" t="s">
        <v>16709</v>
      </c>
      <c r="C10151" t="s">
        <v>17137</v>
      </c>
      <c r="D10151" t="s">
        <v>13805</v>
      </c>
      <c r="E10151" t="s">
        <v>14660</v>
      </c>
      <c r="F10151" t="s">
        <v>14839</v>
      </c>
      <c r="G10151" t="s">
        <v>14839</v>
      </c>
      <c r="H10151" t="s">
        <v>859</v>
      </c>
      <c r="I10151" t="s">
        <v>860</v>
      </c>
      <c r="J10151" t="str">
        <f>"9150118"</f>
        <v>9150118</v>
      </c>
      <c r="K10151">
        <v>2626022407</v>
      </c>
      <c r="L10151">
        <v>2626022255</v>
      </c>
      <c r="M10151" t="s">
        <v>17138</v>
      </c>
      <c r="N10151" t="s">
        <v>14844</v>
      </c>
      <c r="O10151" t="s">
        <v>14843</v>
      </c>
      <c r="P10151">
        <v>27061</v>
      </c>
      <c r="Q10151" t="str">
        <f>"37.484101"</f>
        <v>37.484101</v>
      </c>
      <c r="R10151" t="str">
        <f>"21.905632"</f>
        <v>21.905632</v>
      </c>
      <c r="S10151" t="s">
        <v>26</v>
      </c>
    </row>
    <row r="10152" spans="1:19" x14ac:dyDescent="0.3">
      <c r="A10152" t="s">
        <v>13791</v>
      </c>
      <c r="B10152" t="s">
        <v>16709</v>
      </c>
      <c r="C10152" t="s">
        <v>17139</v>
      </c>
      <c r="D10152" t="s">
        <v>13805</v>
      </c>
      <c r="E10152" t="s">
        <v>14677</v>
      </c>
      <c r="F10152" t="s">
        <v>14677</v>
      </c>
      <c r="G10152" t="s">
        <v>14677</v>
      </c>
      <c r="H10152" t="s">
        <v>859</v>
      </c>
      <c r="I10152" t="s">
        <v>860</v>
      </c>
      <c r="J10152" t="str">
        <f>"9150122"</f>
        <v>9150122</v>
      </c>
      <c r="K10152">
        <v>2625031920</v>
      </c>
      <c r="M10152" t="s">
        <v>17140</v>
      </c>
      <c r="N10152" t="s">
        <v>14677</v>
      </c>
      <c r="O10152" t="s">
        <v>17134</v>
      </c>
      <c r="P10152">
        <v>27054</v>
      </c>
      <c r="Q10152" t="str">
        <f>"37.484023"</f>
        <v>37.484023</v>
      </c>
      <c r="R10152" t="str">
        <f>"21.650015"</f>
        <v>21.650015</v>
      </c>
      <c r="S10152" t="s">
        <v>26</v>
      </c>
    </row>
    <row r="10153" spans="1:19" x14ac:dyDescent="0.3">
      <c r="A10153" t="s">
        <v>13791</v>
      </c>
      <c r="B10153" t="s">
        <v>16709</v>
      </c>
      <c r="C10153" t="s">
        <v>17141</v>
      </c>
      <c r="D10153" t="s">
        <v>13805</v>
      </c>
      <c r="E10153" t="s">
        <v>14677</v>
      </c>
      <c r="F10153" t="s">
        <v>14677</v>
      </c>
      <c r="G10153" t="s">
        <v>14677</v>
      </c>
      <c r="H10153" t="s">
        <v>859</v>
      </c>
      <c r="I10153" t="s">
        <v>860</v>
      </c>
      <c r="J10153" t="str">
        <f>"9150445"</f>
        <v>9150445</v>
      </c>
      <c r="K10153">
        <v>2625032425</v>
      </c>
      <c r="L10153">
        <v>2625031524</v>
      </c>
      <c r="M10153" t="s">
        <v>17142</v>
      </c>
      <c r="N10153" t="s">
        <v>14677</v>
      </c>
      <c r="O10153" t="s">
        <v>17134</v>
      </c>
      <c r="P10153">
        <v>27054</v>
      </c>
      <c r="Q10153" t="str">
        <f>"37.489093"</f>
        <v>37.489093</v>
      </c>
      <c r="R10153" t="str">
        <f>"21.647939"</f>
        <v>21.647939</v>
      </c>
      <c r="S10153" t="s">
        <v>26</v>
      </c>
    </row>
    <row r="10154" spans="1:19" x14ac:dyDescent="0.3">
      <c r="A10154" t="s">
        <v>13791</v>
      </c>
      <c r="B10154" t="s">
        <v>16709</v>
      </c>
      <c r="C10154" t="s">
        <v>17143</v>
      </c>
      <c r="D10154" t="s">
        <v>13805</v>
      </c>
      <c r="E10154" t="s">
        <v>14660</v>
      </c>
      <c r="F10154" t="s">
        <v>14661</v>
      </c>
      <c r="G10154" t="s">
        <v>14662</v>
      </c>
      <c r="H10154" t="s">
        <v>859</v>
      </c>
      <c r="I10154" t="s">
        <v>860</v>
      </c>
      <c r="J10154" t="str">
        <f>"9150168"</f>
        <v>9150168</v>
      </c>
      <c r="K10154">
        <v>2625023017</v>
      </c>
      <c r="L10154">
        <v>2625023017</v>
      </c>
      <c r="M10154" t="s">
        <v>17144</v>
      </c>
      <c r="N10154" t="s">
        <v>14662</v>
      </c>
      <c r="O10154" t="s">
        <v>14666</v>
      </c>
      <c r="P10154">
        <v>27055</v>
      </c>
      <c r="Q10154" t="str">
        <f>"37.609949"</f>
        <v>37.609949</v>
      </c>
      <c r="R10154" t="str">
        <f>"21.606560"</f>
        <v>21.606560</v>
      </c>
      <c r="S10154" t="s">
        <v>26</v>
      </c>
    </row>
    <row r="10155" spans="1:19" x14ac:dyDescent="0.3">
      <c r="A10155" t="s">
        <v>13791</v>
      </c>
      <c r="B10155" t="s">
        <v>16709</v>
      </c>
      <c r="C10155" t="s">
        <v>17145</v>
      </c>
      <c r="D10155" t="s">
        <v>13805</v>
      </c>
      <c r="E10155" t="s">
        <v>14677</v>
      </c>
      <c r="F10155" t="s">
        <v>14677</v>
      </c>
      <c r="G10155" t="s">
        <v>17072</v>
      </c>
      <c r="H10155" t="s">
        <v>859</v>
      </c>
      <c r="I10155" t="s">
        <v>860</v>
      </c>
      <c r="J10155" t="str">
        <f>"9150377"</f>
        <v>9150377</v>
      </c>
      <c r="K10155">
        <v>2625061425</v>
      </c>
      <c r="L10155">
        <v>2625061425</v>
      </c>
      <c r="M10155" t="s">
        <v>17146</v>
      </c>
      <c r="O10155" t="s">
        <v>17075</v>
      </c>
      <c r="P10155">
        <v>27054</v>
      </c>
      <c r="Q10155" t="str">
        <f>"37.393430"</f>
        <v>37.393430</v>
      </c>
      <c r="R10155" t="str">
        <f>"21.689362"</f>
        <v>21.689362</v>
      </c>
      <c r="S10155" t="s">
        <v>26</v>
      </c>
    </row>
    <row r="10156" spans="1:19" x14ac:dyDescent="0.3">
      <c r="A10156" t="s">
        <v>13791</v>
      </c>
      <c r="B10156" t="s">
        <v>16709</v>
      </c>
      <c r="C10156" t="s">
        <v>17147</v>
      </c>
      <c r="D10156" t="s">
        <v>13805</v>
      </c>
      <c r="E10156" t="s">
        <v>14660</v>
      </c>
      <c r="F10156" t="s">
        <v>14661</v>
      </c>
      <c r="G10156" t="s">
        <v>17035</v>
      </c>
      <c r="H10156" t="s">
        <v>859</v>
      </c>
      <c r="I10156" t="s">
        <v>860</v>
      </c>
      <c r="J10156" t="str">
        <f>"9150378"</f>
        <v>9150378</v>
      </c>
      <c r="K10156">
        <v>2625022656</v>
      </c>
      <c r="M10156" t="s">
        <v>17148</v>
      </c>
      <c r="N10156" t="s">
        <v>17035</v>
      </c>
      <c r="O10156" t="s">
        <v>17039</v>
      </c>
      <c r="P10156">
        <v>27058</v>
      </c>
      <c r="Q10156" t="str">
        <f>"37.587091"</f>
        <v>37.587091</v>
      </c>
      <c r="R10156" t="str">
        <f>"21.584500"</f>
        <v>21.584500</v>
      </c>
      <c r="S10156" t="s">
        <v>26</v>
      </c>
    </row>
    <row r="10157" spans="1:19" x14ac:dyDescent="0.3">
      <c r="A10157" t="s">
        <v>13791</v>
      </c>
      <c r="B10157" t="s">
        <v>16709</v>
      </c>
      <c r="C10157" t="s">
        <v>17149</v>
      </c>
      <c r="D10157" t="s">
        <v>13805</v>
      </c>
      <c r="E10157" t="s">
        <v>14660</v>
      </c>
      <c r="F10157" t="s">
        <v>14864</v>
      </c>
      <c r="G10157" t="s">
        <v>17067</v>
      </c>
      <c r="H10157" t="s">
        <v>859</v>
      </c>
      <c r="I10157" t="s">
        <v>860</v>
      </c>
      <c r="J10157" t="str">
        <f>"9520714"</f>
        <v>9520714</v>
      </c>
      <c r="K10157">
        <v>2626041514</v>
      </c>
      <c r="L10157">
        <v>2626041514</v>
      </c>
      <c r="M10157" t="s">
        <v>17150</v>
      </c>
      <c r="N10157" t="s">
        <v>17151</v>
      </c>
      <c r="O10157" t="s">
        <v>17071</v>
      </c>
      <c r="P10157">
        <v>27061</v>
      </c>
      <c r="Q10157" t="str">
        <f>"37.516415"</f>
        <v>37.516415</v>
      </c>
      <c r="R10157" t="str">
        <f>"21.858814"</f>
        <v>21.858814</v>
      </c>
      <c r="S10157" t="s">
        <v>26</v>
      </c>
    </row>
    <row r="10158" spans="1:19" x14ac:dyDescent="0.3">
      <c r="A10158" t="s">
        <v>13791</v>
      </c>
      <c r="B10158" t="s">
        <v>16709</v>
      </c>
      <c r="C10158" t="s">
        <v>17152</v>
      </c>
      <c r="D10158" t="s">
        <v>13805</v>
      </c>
      <c r="E10158" t="s">
        <v>14677</v>
      </c>
      <c r="F10158" t="s">
        <v>14678</v>
      </c>
      <c r="G10158" t="s">
        <v>14679</v>
      </c>
      <c r="H10158" t="s">
        <v>859</v>
      </c>
      <c r="I10158" t="s">
        <v>860</v>
      </c>
      <c r="J10158" t="str">
        <f>"9150153"</f>
        <v>9150153</v>
      </c>
      <c r="K10158">
        <v>6908650626</v>
      </c>
      <c r="M10158" t="s">
        <v>17153</v>
      </c>
      <c r="N10158" t="s">
        <v>14679</v>
      </c>
      <c r="O10158" t="s">
        <v>14683</v>
      </c>
      <c r="P10158">
        <v>27056</v>
      </c>
      <c r="Q10158" t="str">
        <f>"37.442339"</f>
        <v>37.442339</v>
      </c>
      <c r="R10158" t="str">
        <f>"21.771730"</f>
        <v>21.771730</v>
      </c>
      <c r="S10158" t="s">
        <v>26</v>
      </c>
    </row>
    <row r="10159" spans="1:19" x14ac:dyDescent="0.3">
      <c r="A10159" t="s">
        <v>13791</v>
      </c>
      <c r="B10159" t="s">
        <v>16709</v>
      </c>
      <c r="C10159" t="s">
        <v>17158</v>
      </c>
      <c r="D10159" t="s">
        <v>13805</v>
      </c>
      <c r="E10159" t="s">
        <v>1210</v>
      </c>
      <c r="F10159" t="s">
        <v>1210</v>
      </c>
      <c r="G10159" t="s">
        <v>17055</v>
      </c>
      <c r="H10159" t="s">
        <v>859</v>
      </c>
      <c r="I10159" t="s">
        <v>860</v>
      </c>
      <c r="J10159" t="str">
        <f>"9150384"</f>
        <v>9150384</v>
      </c>
      <c r="K10159">
        <v>2621095104</v>
      </c>
      <c r="M10159" t="s">
        <v>17159</v>
      </c>
      <c r="N10159" t="s">
        <v>17160</v>
      </c>
      <c r="O10159" t="s">
        <v>17058</v>
      </c>
      <c r="P10159">
        <v>27100</v>
      </c>
      <c r="Q10159" t="str">
        <f>"37.730862"</f>
        <v>37.730862</v>
      </c>
      <c r="R10159" t="str">
        <f>"21.464059"</f>
        <v>21.464059</v>
      </c>
      <c r="S10159" t="s">
        <v>26</v>
      </c>
    </row>
    <row r="10160" spans="1:19" x14ac:dyDescent="0.3">
      <c r="A10160" t="s">
        <v>13791</v>
      </c>
      <c r="B10160" t="s">
        <v>16709</v>
      </c>
      <c r="C10160" t="s">
        <v>17161</v>
      </c>
      <c r="D10160" t="s">
        <v>13805</v>
      </c>
      <c r="E10160" t="s">
        <v>1210</v>
      </c>
      <c r="F10160" t="s">
        <v>1210</v>
      </c>
      <c r="G10160" t="s">
        <v>17021</v>
      </c>
      <c r="H10160" t="s">
        <v>859</v>
      </c>
      <c r="I10160" t="s">
        <v>860</v>
      </c>
      <c r="J10160" t="str">
        <f>"9150359"</f>
        <v>9150359</v>
      </c>
      <c r="K10160">
        <v>2621044253</v>
      </c>
      <c r="M10160" t="s">
        <v>17162</v>
      </c>
      <c r="N10160" t="s">
        <v>17021</v>
      </c>
      <c r="O10160" t="s">
        <v>2671</v>
      </c>
      <c r="P10160">
        <v>27100</v>
      </c>
      <c r="Q10160" t="str">
        <f>"37.660341"</f>
        <v>37.660341</v>
      </c>
      <c r="R10160" t="str">
        <f>"21.532971"</f>
        <v>21.532971</v>
      </c>
      <c r="S10160" t="s">
        <v>26</v>
      </c>
    </row>
    <row r="10161" spans="1:19" x14ac:dyDescent="0.3">
      <c r="A10161" t="s">
        <v>13791</v>
      </c>
      <c r="B10161" t="s">
        <v>16709</v>
      </c>
      <c r="C10161" t="s">
        <v>17164</v>
      </c>
      <c r="D10161" t="s">
        <v>13805</v>
      </c>
      <c r="E10161" t="s">
        <v>1210</v>
      </c>
      <c r="F10161" t="s">
        <v>1210</v>
      </c>
      <c r="G10161" t="s">
        <v>17163</v>
      </c>
      <c r="H10161" t="s">
        <v>859</v>
      </c>
      <c r="I10161" t="s">
        <v>860</v>
      </c>
      <c r="J10161" t="str">
        <f>"9150390"</f>
        <v>9150390</v>
      </c>
      <c r="K10161">
        <v>2621041861</v>
      </c>
      <c r="L10161">
        <v>2621041225</v>
      </c>
      <c r="M10161" t="s">
        <v>17165</v>
      </c>
      <c r="N10161" t="s">
        <v>17166</v>
      </c>
      <c r="O10161" t="s">
        <v>17166</v>
      </c>
      <c r="P10161">
        <v>27067</v>
      </c>
      <c r="Q10161" t="str">
        <f>"37.652425"</f>
        <v>37.652425</v>
      </c>
      <c r="R10161" t="str">
        <f>"21.316445"</f>
        <v>21.316445</v>
      </c>
      <c r="S10161" t="s">
        <v>26</v>
      </c>
    </row>
    <row r="10162" spans="1:19" x14ac:dyDescent="0.3">
      <c r="A10162" t="s">
        <v>13791</v>
      </c>
      <c r="B10162" t="s">
        <v>16709</v>
      </c>
      <c r="C10162" t="s">
        <v>17168</v>
      </c>
      <c r="D10162" t="s">
        <v>13805</v>
      </c>
      <c r="E10162" t="s">
        <v>1210</v>
      </c>
      <c r="F10162" t="s">
        <v>14754</v>
      </c>
      <c r="G10162" t="s">
        <v>17167</v>
      </c>
      <c r="H10162" t="s">
        <v>859</v>
      </c>
      <c r="I10162" t="s">
        <v>860</v>
      </c>
      <c r="J10162" t="str">
        <f>"9150453"</f>
        <v>9150453</v>
      </c>
      <c r="K10162">
        <v>2621051994</v>
      </c>
      <c r="M10162" t="s">
        <v>17169</v>
      </c>
      <c r="N10162" t="s">
        <v>17170</v>
      </c>
      <c r="O10162" t="s">
        <v>17170</v>
      </c>
      <c r="P10162">
        <v>27150</v>
      </c>
      <c r="Q10162" t="str">
        <f>"37.717385"</f>
        <v>37.717385</v>
      </c>
      <c r="R10162" t="str">
        <f>"21.425174"</f>
        <v>21.425174</v>
      </c>
      <c r="S10162" t="s">
        <v>26</v>
      </c>
    </row>
    <row r="10163" spans="1:19" x14ac:dyDescent="0.3">
      <c r="A10163" t="s">
        <v>13791</v>
      </c>
      <c r="B10163" t="s">
        <v>16709</v>
      </c>
      <c r="C10163" t="s">
        <v>17171</v>
      </c>
      <c r="D10163" t="s">
        <v>13805</v>
      </c>
      <c r="E10163" t="s">
        <v>14669</v>
      </c>
      <c r="F10163" t="s">
        <v>14685</v>
      </c>
      <c r="G10163" t="s">
        <v>14686</v>
      </c>
      <c r="H10163" t="s">
        <v>859</v>
      </c>
      <c r="I10163" t="s">
        <v>860</v>
      </c>
      <c r="J10163" t="str">
        <f>"9150371"</f>
        <v>9150371</v>
      </c>
      <c r="K10163">
        <v>2624041095</v>
      </c>
      <c r="L10163">
        <v>2624041494</v>
      </c>
      <c r="M10163" t="s">
        <v>17172</v>
      </c>
      <c r="N10163" t="s">
        <v>14686</v>
      </c>
      <c r="O10163" t="s">
        <v>14686</v>
      </c>
      <c r="P10163">
        <v>27066</v>
      </c>
      <c r="Q10163" t="str">
        <f>"37.712581"</f>
        <v>37.712581</v>
      </c>
      <c r="R10163" t="str">
        <f>"21.738536"</f>
        <v>21.738536</v>
      </c>
      <c r="S10163" t="s">
        <v>26</v>
      </c>
    </row>
    <row r="10164" spans="1:19" x14ac:dyDescent="0.3">
      <c r="A10164" t="s">
        <v>13791</v>
      </c>
      <c r="B10164" t="s">
        <v>16709</v>
      </c>
      <c r="C10164" t="s">
        <v>17173</v>
      </c>
      <c r="D10164" t="s">
        <v>13805</v>
      </c>
      <c r="E10164" t="s">
        <v>1210</v>
      </c>
      <c r="F10164" t="s">
        <v>914</v>
      </c>
      <c r="G10164" t="s">
        <v>17040</v>
      </c>
      <c r="H10164" t="s">
        <v>859</v>
      </c>
      <c r="I10164" t="s">
        <v>860</v>
      </c>
      <c r="J10164" t="str">
        <f>"9150333"</f>
        <v>9150333</v>
      </c>
      <c r="K10164">
        <v>2621072182</v>
      </c>
      <c r="L10164">
        <v>2621072182</v>
      </c>
      <c r="M10164" t="s">
        <v>17174</v>
      </c>
      <c r="N10164" t="s">
        <v>17043</v>
      </c>
      <c r="O10164" t="s">
        <v>17043</v>
      </c>
      <c r="P10164">
        <v>27058</v>
      </c>
      <c r="Q10164" t="str">
        <f>"37.640368"</f>
        <v>37.640368</v>
      </c>
      <c r="R10164" t="str">
        <f>"21.534068"</f>
        <v>21.534068</v>
      </c>
      <c r="S10164" t="s">
        <v>26</v>
      </c>
    </row>
    <row r="10165" spans="1:19" x14ac:dyDescent="0.3">
      <c r="A10165" t="s">
        <v>13791</v>
      </c>
      <c r="B10165" t="s">
        <v>16709</v>
      </c>
      <c r="C10165" t="s">
        <v>17193</v>
      </c>
      <c r="D10165" t="s">
        <v>13805</v>
      </c>
      <c r="E10165" t="s">
        <v>14651</v>
      </c>
      <c r="F10165" t="s">
        <v>14748</v>
      </c>
      <c r="G10165" t="s">
        <v>16951</v>
      </c>
      <c r="H10165" t="s">
        <v>859</v>
      </c>
      <c r="I10165" t="s">
        <v>860</v>
      </c>
      <c r="J10165" t="str">
        <f>"9150335"</f>
        <v>9150335</v>
      </c>
      <c r="K10165">
        <v>2623024264</v>
      </c>
      <c r="L10165">
        <v>2623024264</v>
      </c>
      <c r="M10165" t="s">
        <v>17194</v>
      </c>
      <c r="N10165" t="s">
        <v>17195</v>
      </c>
      <c r="O10165" t="s">
        <v>17196</v>
      </c>
      <c r="P10165">
        <v>27053</v>
      </c>
      <c r="Q10165" t="str">
        <f>"37.920968"</f>
        <v>37.920968</v>
      </c>
      <c r="R10165" t="str">
        <f>"21.237412"</f>
        <v>21.237412</v>
      </c>
      <c r="S10165" t="s">
        <v>26</v>
      </c>
    </row>
    <row r="10166" spans="1:19" x14ac:dyDescent="0.3">
      <c r="A10166" t="s">
        <v>13791</v>
      </c>
      <c r="B10166" t="s">
        <v>16709</v>
      </c>
      <c r="C10166" t="s">
        <v>17197</v>
      </c>
      <c r="D10166" t="s">
        <v>13805</v>
      </c>
      <c r="E10166" t="s">
        <v>14651</v>
      </c>
      <c r="F10166" t="s">
        <v>14696</v>
      </c>
      <c r="G10166" t="s">
        <v>16992</v>
      </c>
      <c r="H10166" t="s">
        <v>859</v>
      </c>
      <c r="I10166" t="s">
        <v>860</v>
      </c>
      <c r="J10166" t="str">
        <f>"9150399"</f>
        <v>9150399</v>
      </c>
      <c r="K10166">
        <v>2623091103</v>
      </c>
      <c r="L10166">
        <v>2623091103</v>
      </c>
      <c r="M10166" t="s">
        <v>17198</v>
      </c>
      <c r="N10166" t="s">
        <v>17199</v>
      </c>
      <c r="O10166" t="s">
        <v>17200</v>
      </c>
      <c r="P10166">
        <v>27052</v>
      </c>
      <c r="Q10166" t="str">
        <f>"37.979532"</f>
        <v>37.979532</v>
      </c>
      <c r="R10166" t="str">
        <f>"21.321039"</f>
        <v>21.321039</v>
      </c>
      <c r="S10166" t="s">
        <v>26</v>
      </c>
    </row>
    <row r="10167" spans="1:19" x14ac:dyDescent="0.3">
      <c r="A10167" t="s">
        <v>13791</v>
      </c>
      <c r="B10167" t="s">
        <v>16709</v>
      </c>
      <c r="C10167" t="s">
        <v>17201</v>
      </c>
      <c r="D10167" t="s">
        <v>13805</v>
      </c>
      <c r="E10167" t="s">
        <v>14660</v>
      </c>
      <c r="F10167" t="s">
        <v>14661</v>
      </c>
      <c r="G10167" t="s">
        <v>14667</v>
      </c>
      <c r="H10167" t="s">
        <v>859</v>
      </c>
      <c r="I10167" t="s">
        <v>1102</v>
      </c>
      <c r="J10167" t="str">
        <f>"9150477"</f>
        <v>9150477</v>
      </c>
      <c r="K10167">
        <v>2625022262</v>
      </c>
      <c r="M10167" t="s">
        <v>17202</v>
      </c>
      <c r="N10167" t="s">
        <v>14667</v>
      </c>
      <c r="O10167" t="s">
        <v>14762</v>
      </c>
      <c r="P10167">
        <v>27055</v>
      </c>
      <c r="Q10167" t="str">
        <f>"37.590006"</f>
        <v>37.590006</v>
      </c>
      <c r="R10167" t="str">
        <f>"21.619018"</f>
        <v>21.619018</v>
      </c>
      <c r="S10167" t="s">
        <v>26</v>
      </c>
    </row>
    <row r="10168" spans="1:19" x14ac:dyDescent="0.3">
      <c r="A10168" t="s">
        <v>13791</v>
      </c>
      <c r="B10168" t="s">
        <v>16709</v>
      </c>
      <c r="C10168" t="s">
        <v>17204</v>
      </c>
      <c r="D10168" t="s">
        <v>13805</v>
      </c>
      <c r="E10168" t="s">
        <v>14651</v>
      </c>
      <c r="F10168" t="s">
        <v>14652</v>
      </c>
      <c r="G10168" t="s">
        <v>17203</v>
      </c>
      <c r="H10168" t="s">
        <v>859</v>
      </c>
      <c r="I10168" t="s">
        <v>860</v>
      </c>
      <c r="J10168" t="str">
        <f>"9150396"</f>
        <v>9150396</v>
      </c>
      <c r="K10168">
        <v>2623092220</v>
      </c>
      <c r="L10168">
        <v>2623092220</v>
      </c>
      <c r="M10168" t="s">
        <v>17205</v>
      </c>
      <c r="N10168" t="s">
        <v>17206</v>
      </c>
      <c r="P10168">
        <v>27068</v>
      </c>
      <c r="Q10168" t="str">
        <f>"37.933709"</f>
        <v>37.933709</v>
      </c>
      <c r="R10168" t="str">
        <f>"21.144214"</f>
        <v>21.144214</v>
      </c>
      <c r="S10168" t="s">
        <v>26</v>
      </c>
    </row>
    <row r="10169" spans="1:19" x14ac:dyDescent="0.3">
      <c r="A10169" t="s">
        <v>13791</v>
      </c>
      <c r="B10169" t="s">
        <v>16709</v>
      </c>
      <c r="C10169" t="s">
        <v>17207</v>
      </c>
      <c r="D10169" t="s">
        <v>13805</v>
      </c>
      <c r="E10169" t="s">
        <v>1210</v>
      </c>
      <c r="F10169" t="s">
        <v>1210</v>
      </c>
      <c r="G10169" t="s">
        <v>1210</v>
      </c>
      <c r="H10169" t="s">
        <v>859</v>
      </c>
      <c r="I10169" t="s">
        <v>860</v>
      </c>
      <c r="J10169" t="str">
        <f>"9521442"</f>
        <v>9521442</v>
      </c>
      <c r="K10169">
        <v>2621023886</v>
      </c>
      <c r="M10169" t="s">
        <v>17208</v>
      </c>
      <c r="N10169" t="s">
        <v>17209</v>
      </c>
      <c r="O10169" t="s">
        <v>17210</v>
      </c>
      <c r="P10169">
        <v>27100</v>
      </c>
      <c r="Q10169" t="str">
        <f>"37.651611"</f>
        <v>37.651611</v>
      </c>
      <c r="R10169" t="str">
        <f>"21.431627"</f>
        <v>21.431627</v>
      </c>
      <c r="S10169" t="s">
        <v>26</v>
      </c>
    </row>
    <row r="10170" spans="1:19" x14ac:dyDescent="0.3">
      <c r="A10170" t="s">
        <v>13791</v>
      </c>
      <c r="B10170" t="s">
        <v>16709</v>
      </c>
      <c r="C10170" t="s">
        <v>17213</v>
      </c>
      <c r="D10170" t="s">
        <v>13805</v>
      </c>
      <c r="E10170" t="s">
        <v>14651</v>
      </c>
      <c r="F10170" t="s">
        <v>14652</v>
      </c>
      <c r="G10170" t="s">
        <v>14653</v>
      </c>
      <c r="H10170" t="s">
        <v>859</v>
      </c>
      <c r="I10170" t="s">
        <v>860</v>
      </c>
      <c r="J10170" t="str">
        <f>"9150382"</f>
        <v>9150382</v>
      </c>
      <c r="K10170">
        <v>2623094519</v>
      </c>
      <c r="M10170" t="s">
        <v>17214</v>
      </c>
      <c r="N10170" t="s">
        <v>13748</v>
      </c>
      <c r="O10170" t="s">
        <v>13748</v>
      </c>
      <c r="P10170">
        <v>27053</v>
      </c>
      <c r="Q10170" t="str">
        <f>"37.908378"</f>
        <v>37.908378</v>
      </c>
      <c r="R10170" t="str">
        <f>"21.205364"</f>
        <v>21.205364</v>
      </c>
      <c r="S10170" t="s">
        <v>26</v>
      </c>
    </row>
    <row r="10171" spans="1:19" x14ac:dyDescent="0.3">
      <c r="A10171" t="s">
        <v>13791</v>
      </c>
      <c r="B10171" t="s">
        <v>16709</v>
      </c>
      <c r="C10171" t="s">
        <v>17216</v>
      </c>
      <c r="D10171" t="s">
        <v>13805</v>
      </c>
      <c r="E10171" t="s">
        <v>14651</v>
      </c>
      <c r="F10171" t="s">
        <v>14748</v>
      </c>
      <c r="G10171" t="s">
        <v>17215</v>
      </c>
      <c r="H10171" t="s">
        <v>859</v>
      </c>
      <c r="I10171" t="s">
        <v>860</v>
      </c>
      <c r="J10171" t="str">
        <f>"9521367"</f>
        <v>9521367</v>
      </c>
      <c r="K10171">
        <v>2623022432</v>
      </c>
      <c r="L10171">
        <v>2623022432</v>
      </c>
      <c r="M10171" t="s">
        <v>17217</v>
      </c>
      <c r="N10171" t="s">
        <v>17218</v>
      </c>
      <c r="O10171" t="s">
        <v>17219</v>
      </c>
      <c r="P10171">
        <v>27052</v>
      </c>
      <c r="Q10171" t="str">
        <f>"37.950309"</f>
        <v>37.950309</v>
      </c>
      <c r="R10171" t="str">
        <f>"21.373047"</f>
        <v>21.373047</v>
      </c>
      <c r="S10171" t="s">
        <v>26</v>
      </c>
    </row>
    <row r="10172" spans="1:19" x14ac:dyDescent="0.3">
      <c r="A10172" t="s">
        <v>13791</v>
      </c>
      <c r="B10172" t="s">
        <v>16709</v>
      </c>
      <c r="C10172" t="s">
        <v>17222</v>
      </c>
      <c r="D10172" t="s">
        <v>13805</v>
      </c>
      <c r="E10172" t="s">
        <v>14660</v>
      </c>
      <c r="F10172" t="s">
        <v>14661</v>
      </c>
      <c r="G10172" t="s">
        <v>17221</v>
      </c>
      <c r="H10172" t="s">
        <v>859</v>
      </c>
      <c r="I10172" t="s">
        <v>860</v>
      </c>
      <c r="J10172" t="str">
        <f>"9150412"</f>
        <v>9150412</v>
      </c>
      <c r="K10172">
        <v>2625022751</v>
      </c>
      <c r="L10172">
        <v>2625022751</v>
      </c>
      <c r="M10172" t="s">
        <v>17223</v>
      </c>
      <c r="O10172" t="s">
        <v>17224</v>
      </c>
      <c r="P10172">
        <v>27055</v>
      </c>
      <c r="Q10172" t="str">
        <f>"37.567910"</f>
        <v>37.567910</v>
      </c>
      <c r="R10172" t="str">
        <f>"21.637040"</f>
        <v>21.637040</v>
      </c>
      <c r="S10172" t="s">
        <v>26</v>
      </c>
    </row>
    <row r="10173" spans="1:19" x14ac:dyDescent="0.3">
      <c r="A10173" t="s">
        <v>13791</v>
      </c>
      <c r="B10173" t="s">
        <v>16709</v>
      </c>
      <c r="C10173" t="s">
        <v>17225</v>
      </c>
      <c r="D10173" t="s">
        <v>13805</v>
      </c>
      <c r="E10173" t="s">
        <v>14709</v>
      </c>
      <c r="F10173" t="s">
        <v>14710</v>
      </c>
      <c r="G10173" t="s">
        <v>14710</v>
      </c>
      <c r="H10173" t="s">
        <v>859</v>
      </c>
      <c r="I10173" t="s">
        <v>860</v>
      </c>
      <c r="J10173" t="str">
        <f>"9150472"</f>
        <v>9150472</v>
      </c>
      <c r="K10173">
        <v>2622028042</v>
      </c>
      <c r="N10173" t="s">
        <v>17226</v>
      </c>
      <c r="O10173" t="s">
        <v>17227</v>
      </c>
      <c r="P10173">
        <v>27200</v>
      </c>
      <c r="Q10173" t="str">
        <f>"37.825754"</f>
        <v>37.825754</v>
      </c>
      <c r="R10173" t="str">
        <f>"21.360273"</f>
        <v>21.360273</v>
      </c>
      <c r="S10173" t="s">
        <v>26</v>
      </c>
    </row>
    <row r="10174" spans="1:19" x14ac:dyDescent="0.3">
      <c r="A10174" t="s">
        <v>13791</v>
      </c>
      <c r="B10174" t="s">
        <v>16709</v>
      </c>
      <c r="C10174" t="s">
        <v>17228</v>
      </c>
      <c r="D10174" t="s">
        <v>13805</v>
      </c>
      <c r="E10174" t="s">
        <v>14660</v>
      </c>
      <c r="F10174" t="s">
        <v>14864</v>
      </c>
      <c r="G10174" t="s">
        <v>5563</v>
      </c>
      <c r="H10174" t="s">
        <v>859</v>
      </c>
      <c r="I10174" t="s">
        <v>860</v>
      </c>
      <c r="J10174" t="str">
        <f>"9150402"</f>
        <v>9150402</v>
      </c>
      <c r="K10174">
        <v>2626031107</v>
      </c>
      <c r="M10174" t="s">
        <v>17229</v>
      </c>
      <c r="N10174" t="s">
        <v>14667</v>
      </c>
      <c r="O10174" t="s">
        <v>5567</v>
      </c>
      <c r="P10174">
        <v>27055</v>
      </c>
      <c r="Q10174" t="str">
        <f>"37.519213"</f>
        <v>37.519213</v>
      </c>
      <c r="R10174" t="str">
        <f>"21.790059"</f>
        <v>21.790059</v>
      </c>
      <c r="S10174" t="s">
        <v>26</v>
      </c>
    </row>
    <row r="10175" spans="1:19" x14ac:dyDescent="0.3">
      <c r="A10175" t="s">
        <v>13791</v>
      </c>
      <c r="B10175" t="s">
        <v>16709</v>
      </c>
      <c r="C10175" t="s">
        <v>17233</v>
      </c>
      <c r="D10175" t="s">
        <v>13805</v>
      </c>
      <c r="E10175" t="s">
        <v>1210</v>
      </c>
      <c r="F10175" t="s">
        <v>1210</v>
      </c>
      <c r="G10175" t="s">
        <v>16106</v>
      </c>
      <c r="H10175" t="s">
        <v>859</v>
      </c>
      <c r="I10175" t="s">
        <v>860</v>
      </c>
      <c r="J10175" t="str">
        <f>"9150407"</f>
        <v>9150407</v>
      </c>
      <c r="K10175">
        <v>2621095606</v>
      </c>
      <c r="L10175">
        <v>2621095606</v>
      </c>
      <c r="M10175" t="s">
        <v>17234</v>
      </c>
      <c r="N10175" t="s">
        <v>16244</v>
      </c>
      <c r="O10175" t="s">
        <v>16244</v>
      </c>
      <c r="P10175">
        <v>27100</v>
      </c>
      <c r="Q10175" t="str">
        <f>"37.745543"</f>
        <v>37.745543</v>
      </c>
      <c r="R10175" t="str">
        <f>"21.466249"</f>
        <v>21.466249</v>
      </c>
      <c r="S10175" t="s">
        <v>26</v>
      </c>
    </row>
    <row r="10176" spans="1:19" x14ac:dyDescent="0.3">
      <c r="A10176" t="s">
        <v>13791</v>
      </c>
      <c r="B10176" t="s">
        <v>16709</v>
      </c>
      <c r="C10176" t="s">
        <v>17238</v>
      </c>
      <c r="D10176" t="s">
        <v>13805</v>
      </c>
      <c r="E10176" t="s">
        <v>1210</v>
      </c>
      <c r="F10176" t="s">
        <v>1210</v>
      </c>
      <c r="G10176" t="s">
        <v>1210</v>
      </c>
      <c r="H10176" t="s">
        <v>859</v>
      </c>
      <c r="I10176" t="s">
        <v>1102</v>
      </c>
      <c r="J10176" t="str">
        <f>"9521486"</f>
        <v>9521486</v>
      </c>
      <c r="K10176">
        <v>2621023886</v>
      </c>
      <c r="L10176">
        <v>2621023886</v>
      </c>
      <c r="M10176" t="s">
        <v>17239</v>
      </c>
      <c r="N10176" t="s">
        <v>1210</v>
      </c>
      <c r="O10176" t="s">
        <v>17210</v>
      </c>
      <c r="P10176">
        <v>27100</v>
      </c>
      <c r="Q10176" t="str">
        <f>"37.651684"</f>
        <v>37.651684</v>
      </c>
      <c r="R10176" t="str">
        <f>"21.431692"</f>
        <v>21.431692</v>
      </c>
      <c r="S10176" t="s">
        <v>26</v>
      </c>
    </row>
    <row r="10177" spans="1:19" x14ac:dyDescent="0.3">
      <c r="A10177" t="s">
        <v>13791</v>
      </c>
      <c r="B10177" t="s">
        <v>16709</v>
      </c>
      <c r="C10177" t="s">
        <v>17240</v>
      </c>
      <c r="D10177" t="s">
        <v>13805</v>
      </c>
      <c r="E10177" t="s">
        <v>14669</v>
      </c>
      <c r="F10177" t="s">
        <v>14669</v>
      </c>
      <c r="G10177" t="s">
        <v>13386</v>
      </c>
      <c r="H10177" t="s">
        <v>859</v>
      </c>
      <c r="I10177" t="s">
        <v>860</v>
      </c>
      <c r="J10177" t="str">
        <f>"9150112"</f>
        <v>9150112</v>
      </c>
      <c r="K10177">
        <v>2624022679</v>
      </c>
      <c r="M10177" t="s">
        <v>17241</v>
      </c>
      <c r="N10177" t="s">
        <v>14669</v>
      </c>
      <c r="O10177" t="s">
        <v>13389</v>
      </c>
      <c r="P10177">
        <v>27065</v>
      </c>
      <c r="Q10177" t="str">
        <f>"37.668981"</f>
        <v>37.668981</v>
      </c>
      <c r="R10177" t="str">
        <f>"21.604012"</f>
        <v>21.604012</v>
      </c>
      <c r="S10177" t="s">
        <v>26</v>
      </c>
    </row>
    <row r="10178" spans="1:19" x14ac:dyDescent="0.3">
      <c r="A10178" t="s">
        <v>13791</v>
      </c>
      <c r="B10178" t="s">
        <v>16709</v>
      </c>
      <c r="C10178" t="s">
        <v>17242</v>
      </c>
      <c r="D10178" t="s">
        <v>13805</v>
      </c>
      <c r="E10178" t="s">
        <v>1210</v>
      </c>
      <c r="F10178" t="s">
        <v>14645</v>
      </c>
      <c r="G10178" t="s">
        <v>17013</v>
      </c>
      <c r="H10178" t="s">
        <v>859</v>
      </c>
      <c r="I10178" t="s">
        <v>860</v>
      </c>
      <c r="J10178" t="str">
        <f>"9150425"</f>
        <v>9150425</v>
      </c>
      <c r="K10178">
        <v>2621062092</v>
      </c>
      <c r="M10178" t="s">
        <v>17243</v>
      </c>
      <c r="O10178" t="s">
        <v>17016</v>
      </c>
      <c r="Q10178" t="str">
        <f>"37.761784"</f>
        <v>37.761784</v>
      </c>
      <c r="R10178" t="str">
        <f>"21.505907"</f>
        <v>21.505907</v>
      </c>
      <c r="S10178" t="s">
        <v>26</v>
      </c>
    </row>
    <row r="10179" spans="1:19" x14ac:dyDescent="0.3">
      <c r="A10179" t="s">
        <v>17244</v>
      </c>
      <c r="B10179" t="s">
        <v>17789</v>
      </c>
      <c r="C10179" t="s">
        <v>17792</v>
      </c>
      <c r="D10179" t="s">
        <v>17245</v>
      </c>
      <c r="E10179" t="s">
        <v>17245</v>
      </c>
      <c r="F10179" t="s">
        <v>17790</v>
      </c>
      <c r="G10179" t="s">
        <v>17791</v>
      </c>
      <c r="H10179" t="s">
        <v>859</v>
      </c>
      <c r="I10179" t="s">
        <v>860</v>
      </c>
      <c r="J10179" t="str">
        <f>"9080056"</f>
        <v>9080056</v>
      </c>
      <c r="K10179">
        <v>2462041620</v>
      </c>
      <c r="M10179" t="s">
        <v>17793</v>
      </c>
      <c r="N10179" t="s">
        <v>17791</v>
      </c>
      <c r="O10179" t="s">
        <v>17794</v>
      </c>
      <c r="P10179">
        <v>51030</v>
      </c>
      <c r="Q10179" t="str">
        <f>"40.200670"</f>
        <v>40.200670</v>
      </c>
      <c r="R10179" t="str">
        <f>"21.444301"</f>
        <v>21.444301</v>
      </c>
      <c r="S10179" t="s">
        <v>26</v>
      </c>
    </row>
    <row r="10180" spans="1:19" x14ac:dyDescent="0.3">
      <c r="A10180" t="s">
        <v>17244</v>
      </c>
      <c r="B10180" t="s">
        <v>17789</v>
      </c>
      <c r="C10180" t="s">
        <v>17795</v>
      </c>
      <c r="D10180" t="s">
        <v>17245</v>
      </c>
      <c r="E10180" t="s">
        <v>17245</v>
      </c>
      <c r="F10180" t="s">
        <v>17245</v>
      </c>
      <c r="G10180" t="s">
        <v>17245</v>
      </c>
      <c r="H10180" t="s">
        <v>859</v>
      </c>
      <c r="I10180" t="s">
        <v>860</v>
      </c>
      <c r="J10180" t="str">
        <f>"9080149"</f>
        <v>9080149</v>
      </c>
      <c r="K10180">
        <v>2462028776</v>
      </c>
      <c r="L10180">
        <v>2462028776</v>
      </c>
      <c r="M10180" t="s">
        <v>17796</v>
      </c>
      <c r="N10180" t="s">
        <v>17245</v>
      </c>
      <c r="O10180" t="s">
        <v>11247</v>
      </c>
      <c r="P10180">
        <v>51100</v>
      </c>
      <c r="Q10180" t="str">
        <f>"40.087269"</f>
        <v>40.087269</v>
      </c>
      <c r="R10180" t="str">
        <f>"21.414821"</f>
        <v>21.414821</v>
      </c>
      <c r="S10180" t="s">
        <v>26</v>
      </c>
    </row>
    <row r="10181" spans="1:19" x14ac:dyDescent="0.3">
      <c r="A10181" t="s">
        <v>17244</v>
      </c>
      <c r="B10181" t="s">
        <v>17789</v>
      </c>
      <c r="C10181" t="s">
        <v>17797</v>
      </c>
      <c r="D10181" t="s">
        <v>17245</v>
      </c>
      <c r="E10181" t="s">
        <v>17245</v>
      </c>
      <c r="F10181" t="s">
        <v>17245</v>
      </c>
      <c r="G10181" t="s">
        <v>17245</v>
      </c>
      <c r="H10181" t="s">
        <v>859</v>
      </c>
      <c r="I10181" t="s">
        <v>860</v>
      </c>
      <c r="J10181" t="str">
        <f>"9080120"</f>
        <v>9080120</v>
      </c>
      <c r="K10181">
        <v>2462023930</v>
      </c>
      <c r="L10181">
        <v>2462023930</v>
      </c>
      <c r="M10181" t="s">
        <v>17798</v>
      </c>
      <c r="N10181" t="s">
        <v>17245</v>
      </c>
      <c r="O10181" t="s">
        <v>17799</v>
      </c>
      <c r="P10181">
        <v>51100</v>
      </c>
      <c r="Q10181" t="str">
        <f>"40.086635"</f>
        <v>40.086635</v>
      </c>
      <c r="R10181" t="str">
        <f>"21.435739"</f>
        <v>21.435739</v>
      </c>
      <c r="S10181" t="s">
        <v>26</v>
      </c>
    </row>
    <row r="10182" spans="1:19" x14ac:dyDescent="0.3">
      <c r="A10182" t="s">
        <v>17244</v>
      </c>
      <c r="B10182" t="s">
        <v>17789</v>
      </c>
      <c r="C10182" t="s">
        <v>17816</v>
      </c>
      <c r="D10182" t="s">
        <v>17245</v>
      </c>
      <c r="E10182" t="s">
        <v>17245</v>
      </c>
      <c r="F10182" t="s">
        <v>17245</v>
      </c>
      <c r="G10182" t="s">
        <v>17245</v>
      </c>
      <c r="H10182" t="s">
        <v>859</v>
      </c>
      <c r="I10182" t="s">
        <v>860</v>
      </c>
      <c r="J10182" t="str">
        <f>"9080014"</f>
        <v>9080014</v>
      </c>
      <c r="K10182">
        <v>2462028670</v>
      </c>
      <c r="L10182">
        <v>2462087988</v>
      </c>
      <c r="M10182" t="s">
        <v>17817</v>
      </c>
      <c r="N10182" t="s">
        <v>17245</v>
      </c>
      <c r="O10182" t="s">
        <v>17818</v>
      </c>
      <c r="P10182">
        <v>51100</v>
      </c>
      <c r="Q10182" t="str">
        <f>"40.083664"</f>
        <v>40.083664</v>
      </c>
      <c r="R10182" t="str">
        <f>"21.423267"</f>
        <v>21.423267</v>
      </c>
      <c r="S10182" t="s">
        <v>26</v>
      </c>
    </row>
    <row r="10183" spans="1:19" x14ac:dyDescent="0.3">
      <c r="A10183" t="s">
        <v>17244</v>
      </c>
      <c r="B10183" t="s">
        <v>17789</v>
      </c>
      <c r="C10183" t="s">
        <v>17819</v>
      </c>
      <c r="D10183" t="s">
        <v>17245</v>
      </c>
      <c r="E10183" t="s">
        <v>17267</v>
      </c>
      <c r="F10183" t="s">
        <v>17277</v>
      </c>
      <c r="G10183" t="s">
        <v>17278</v>
      </c>
      <c r="H10183" t="s">
        <v>859</v>
      </c>
      <c r="I10183" t="s">
        <v>860</v>
      </c>
      <c r="J10183" t="str">
        <f>"9080048"</f>
        <v>9080048</v>
      </c>
      <c r="K10183">
        <v>2462034234</v>
      </c>
      <c r="M10183" t="s">
        <v>17820</v>
      </c>
      <c r="N10183" t="s">
        <v>17821</v>
      </c>
      <c r="O10183" t="s">
        <v>17822</v>
      </c>
      <c r="P10183">
        <v>51100</v>
      </c>
      <c r="Q10183" t="str">
        <f>"39.946495"</f>
        <v>39.946495</v>
      </c>
      <c r="R10183" t="str">
        <f>"21.664066"</f>
        <v>21.664066</v>
      </c>
      <c r="S10183" t="s">
        <v>26</v>
      </c>
    </row>
    <row r="10184" spans="1:19" x14ac:dyDescent="0.3">
      <c r="A10184" t="s">
        <v>17244</v>
      </c>
      <c r="B10184" t="s">
        <v>17789</v>
      </c>
      <c r="C10184" t="s">
        <v>17823</v>
      </c>
      <c r="D10184" t="s">
        <v>17245</v>
      </c>
      <c r="E10184" t="s">
        <v>17267</v>
      </c>
      <c r="F10184" t="s">
        <v>17267</v>
      </c>
      <c r="G10184" t="s">
        <v>17267</v>
      </c>
      <c r="H10184" t="s">
        <v>859</v>
      </c>
      <c r="I10184" t="s">
        <v>860</v>
      </c>
      <c r="J10184" t="str">
        <f>"9080018"</f>
        <v>9080018</v>
      </c>
      <c r="K10184">
        <v>2462031980</v>
      </c>
      <c r="M10184" t="s">
        <v>17824</v>
      </c>
      <c r="N10184" t="s">
        <v>17267</v>
      </c>
      <c r="O10184" t="s">
        <v>17271</v>
      </c>
      <c r="P10184">
        <v>51200</v>
      </c>
      <c r="Q10184" t="str">
        <f>"39.924979"</f>
        <v>39.924979</v>
      </c>
      <c r="R10184" t="str">
        <f>"21.813792"</f>
        <v>21.813792</v>
      </c>
      <c r="S10184" t="s">
        <v>26</v>
      </c>
    </row>
    <row r="10185" spans="1:19" x14ac:dyDescent="0.3">
      <c r="A10185" t="s">
        <v>17244</v>
      </c>
      <c r="B10185" t="s">
        <v>17789</v>
      </c>
      <c r="C10185" t="s">
        <v>17825</v>
      </c>
      <c r="D10185" t="s">
        <v>17245</v>
      </c>
      <c r="E10185" t="s">
        <v>17267</v>
      </c>
      <c r="F10185" t="s">
        <v>17267</v>
      </c>
      <c r="G10185" t="s">
        <v>17267</v>
      </c>
      <c r="H10185" t="s">
        <v>859</v>
      </c>
      <c r="I10185" t="s">
        <v>860</v>
      </c>
      <c r="J10185" t="str">
        <f>"9080019"</f>
        <v>9080019</v>
      </c>
      <c r="K10185">
        <v>2462031589</v>
      </c>
      <c r="L10185">
        <v>2462031589</v>
      </c>
      <c r="M10185" t="s">
        <v>17826</v>
      </c>
      <c r="N10185" t="s">
        <v>17267</v>
      </c>
      <c r="O10185" t="s">
        <v>17271</v>
      </c>
      <c r="P10185">
        <v>51200</v>
      </c>
      <c r="Q10185" t="str">
        <f>"39.923605"</f>
        <v>39.923605</v>
      </c>
      <c r="R10185" t="str">
        <f>"21.808212"</f>
        <v>21.808212</v>
      </c>
      <c r="S10185" t="s">
        <v>26</v>
      </c>
    </row>
    <row r="10186" spans="1:19" x14ac:dyDescent="0.3">
      <c r="A10186" t="s">
        <v>17244</v>
      </c>
      <c r="B10186" t="s">
        <v>17789</v>
      </c>
      <c r="C10186" t="s">
        <v>17834</v>
      </c>
      <c r="D10186" t="s">
        <v>17245</v>
      </c>
      <c r="E10186" t="s">
        <v>17245</v>
      </c>
      <c r="F10186" t="s">
        <v>17245</v>
      </c>
      <c r="G10186" t="s">
        <v>17245</v>
      </c>
      <c r="H10186" t="s">
        <v>859</v>
      </c>
      <c r="I10186" t="s">
        <v>860</v>
      </c>
      <c r="J10186" t="str">
        <f>"9080015"</f>
        <v>9080015</v>
      </c>
      <c r="K10186">
        <v>2462024387</v>
      </c>
      <c r="L10186">
        <v>2462024387</v>
      </c>
      <c r="M10186" t="s">
        <v>17835</v>
      </c>
      <c r="N10186" t="s">
        <v>17245</v>
      </c>
      <c r="O10186" t="s">
        <v>17836</v>
      </c>
      <c r="P10186">
        <v>51100</v>
      </c>
      <c r="Q10186" t="str">
        <f>"40.077496"</f>
        <v>40.077496</v>
      </c>
      <c r="R10186" t="str">
        <f>"21.417403"</f>
        <v>21.417403</v>
      </c>
      <c r="S10186" t="s">
        <v>26</v>
      </c>
    </row>
    <row r="10187" spans="1:19" x14ac:dyDescent="0.3">
      <c r="A10187" t="s">
        <v>17244</v>
      </c>
      <c r="B10187" t="s">
        <v>17789</v>
      </c>
      <c r="C10187" t="s">
        <v>17837</v>
      </c>
      <c r="D10187" t="s">
        <v>17245</v>
      </c>
      <c r="E10187" t="s">
        <v>17245</v>
      </c>
      <c r="F10187" t="s">
        <v>17245</v>
      </c>
      <c r="G10187" t="s">
        <v>17245</v>
      </c>
      <c r="H10187" t="s">
        <v>859</v>
      </c>
      <c r="I10187" t="s">
        <v>860</v>
      </c>
      <c r="J10187" t="str">
        <f>"9080013"</f>
        <v>9080013</v>
      </c>
      <c r="K10187">
        <v>2462022922</v>
      </c>
      <c r="M10187" t="s">
        <v>17838</v>
      </c>
      <c r="N10187" t="s">
        <v>17245</v>
      </c>
      <c r="O10187" t="s">
        <v>17839</v>
      </c>
      <c r="P10187">
        <v>51100</v>
      </c>
      <c r="Q10187" t="str">
        <f>"40.085011"</f>
        <v>40.085011</v>
      </c>
      <c r="R10187" t="str">
        <f>"21.430936"</f>
        <v>21.430936</v>
      </c>
      <c r="S10187" t="s">
        <v>26</v>
      </c>
    </row>
    <row r="10188" spans="1:19" x14ac:dyDescent="0.3">
      <c r="A10188" t="s">
        <v>17244</v>
      </c>
      <c r="B10188" t="s">
        <v>17789</v>
      </c>
      <c r="C10188" t="s">
        <v>17862</v>
      </c>
      <c r="D10188" t="s">
        <v>17245</v>
      </c>
      <c r="E10188" t="s">
        <v>17245</v>
      </c>
      <c r="F10188" t="s">
        <v>17827</v>
      </c>
      <c r="G10188" t="s">
        <v>17828</v>
      </c>
      <c r="H10188" t="s">
        <v>859</v>
      </c>
      <c r="I10188" t="s">
        <v>860</v>
      </c>
      <c r="J10188" t="str">
        <f>"9080066"</f>
        <v>9080066</v>
      </c>
      <c r="K10188">
        <v>2462086205</v>
      </c>
      <c r="L10188">
        <v>2462086205</v>
      </c>
      <c r="M10188" t="s">
        <v>17863</v>
      </c>
      <c r="N10188" t="s">
        <v>17864</v>
      </c>
      <c r="O10188" t="s">
        <v>17865</v>
      </c>
      <c r="P10188">
        <v>51100</v>
      </c>
      <c r="Q10188" t="str">
        <f>"39.898049"</f>
        <v>39.898049</v>
      </c>
      <c r="R10188" t="str">
        <f>"21.282840"</f>
        <v>21.282840</v>
      </c>
      <c r="S10188" t="s">
        <v>57</v>
      </c>
    </row>
    <row r="10189" spans="1:19" x14ac:dyDescent="0.3">
      <c r="A10189" t="s">
        <v>17244</v>
      </c>
      <c r="B10189" t="s">
        <v>17789</v>
      </c>
      <c r="C10189" t="s">
        <v>17866</v>
      </c>
      <c r="D10189" t="s">
        <v>17245</v>
      </c>
      <c r="E10189" t="s">
        <v>17245</v>
      </c>
      <c r="F10189" t="s">
        <v>17245</v>
      </c>
      <c r="G10189" t="s">
        <v>17245</v>
      </c>
      <c r="H10189" t="s">
        <v>859</v>
      </c>
      <c r="I10189" t="s">
        <v>860</v>
      </c>
      <c r="J10189" t="str">
        <f>"9521359"</f>
        <v>9521359</v>
      </c>
      <c r="K10189">
        <v>2462083813</v>
      </c>
      <c r="L10189">
        <v>2462083813</v>
      </c>
      <c r="M10189" t="s">
        <v>17867</v>
      </c>
      <c r="N10189" t="s">
        <v>17245</v>
      </c>
      <c r="O10189" t="s">
        <v>17308</v>
      </c>
      <c r="P10189">
        <v>51100</v>
      </c>
      <c r="Q10189" t="str">
        <f>"40.086623"</f>
        <v>40.086623</v>
      </c>
      <c r="R10189" t="str">
        <f>"21.435718"</f>
        <v>21.435718</v>
      </c>
      <c r="S10189" t="s">
        <v>26</v>
      </c>
    </row>
    <row r="10190" spans="1:19" x14ac:dyDescent="0.3">
      <c r="A10190" t="s">
        <v>17244</v>
      </c>
      <c r="B10190" t="s">
        <v>17789</v>
      </c>
      <c r="C10190" t="s">
        <v>17869</v>
      </c>
      <c r="D10190" t="s">
        <v>17245</v>
      </c>
      <c r="E10190" t="s">
        <v>17245</v>
      </c>
      <c r="F10190" t="s">
        <v>17245</v>
      </c>
      <c r="G10190" t="s">
        <v>17245</v>
      </c>
      <c r="H10190" t="s">
        <v>859</v>
      </c>
      <c r="I10190" t="s">
        <v>1102</v>
      </c>
      <c r="J10190" t="str">
        <f>"9521061"</f>
        <v>9521061</v>
      </c>
      <c r="K10190">
        <v>2462083520</v>
      </c>
      <c r="M10190" t="s">
        <v>17870</v>
      </c>
      <c r="N10190" t="s">
        <v>17248</v>
      </c>
      <c r="O10190" t="s">
        <v>17871</v>
      </c>
      <c r="P10190">
        <v>51100</v>
      </c>
      <c r="Q10190" t="str">
        <f>"40.086666"</f>
        <v>40.086666</v>
      </c>
      <c r="R10190" t="str">
        <f>"21.438000"</f>
        <v>21.438000</v>
      </c>
      <c r="S10190" t="s">
        <v>26</v>
      </c>
    </row>
    <row r="10191" spans="1:19" x14ac:dyDescent="0.3">
      <c r="A10191" t="s">
        <v>17244</v>
      </c>
      <c r="B10191" t="s">
        <v>17789</v>
      </c>
      <c r="C10191" t="s">
        <v>17873</v>
      </c>
      <c r="D10191" t="s">
        <v>17245</v>
      </c>
      <c r="E10191" t="s">
        <v>17245</v>
      </c>
      <c r="F10191" t="s">
        <v>17847</v>
      </c>
      <c r="G10191" t="s">
        <v>17872</v>
      </c>
      <c r="H10191" t="s">
        <v>859</v>
      </c>
      <c r="I10191" t="s">
        <v>860</v>
      </c>
      <c r="J10191" t="str">
        <f>"9521643"</f>
        <v>9521643</v>
      </c>
      <c r="K10191">
        <v>2462091137</v>
      </c>
      <c r="M10191" t="s">
        <v>17874</v>
      </c>
      <c r="N10191" t="s">
        <v>17872</v>
      </c>
      <c r="O10191" t="s">
        <v>17875</v>
      </c>
      <c r="P10191">
        <v>51100</v>
      </c>
      <c r="Q10191" t="str">
        <f>"40.097004"</f>
        <v>40.097004</v>
      </c>
      <c r="R10191" t="str">
        <f>"21.590452"</f>
        <v>21.590452</v>
      </c>
      <c r="S10191" t="s">
        <v>26</v>
      </c>
    </row>
    <row r="10192" spans="1:19" x14ac:dyDescent="0.3">
      <c r="A10192" t="s">
        <v>17244</v>
      </c>
      <c r="B10192" t="s">
        <v>17789</v>
      </c>
      <c r="C10192" t="s">
        <v>17878</v>
      </c>
      <c r="D10192" t="s">
        <v>17245</v>
      </c>
      <c r="E10192" t="s">
        <v>17245</v>
      </c>
      <c r="F10192" t="s">
        <v>17876</v>
      </c>
      <c r="G10192" t="s">
        <v>17877</v>
      </c>
      <c r="H10192" t="s">
        <v>859</v>
      </c>
      <c r="I10192" t="s">
        <v>860</v>
      </c>
      <c r="J10192" t="str">
        <f>"9521642"</f>
        <v>9521642</v>
      </c>
      <c r="K10192">
        <v>2462083177</v>
      </c>
      <c r="L10192">
        <v>2462083177</v>
      </c>
      <c r="M10192" t="s">
        <v>17879</v>
      </c>
      <c r="N10192" t="s">
        <v>17880</v>
      </c>
      <c r="O10192" t="s">
        <v>17881</v>
      </c>
      <c r="P10192">
        <v>0</v>
      </c>
      <c r="Q10192" t="str">
        <f>"40.045951"</f>
        <v>40.045951</v>
      </c>
      <c r="R10192" t="str">
        <f>"21.313394"</f>
        <v>21.313394</v>
      </c>
      <c r="S10192" t="s">
        <v>26</v>
      </c>
    </row>
    <row r="10193" spans="1:19" x14ac:dyDescent="0.3">
      <c r="A10193" t="s">
        <v>17244</v>
      </c>
      <c r="B10193" t="s">
        <v>17882</v>
      </c>
      <c r="C10193" t="s">
        <v>17885</v>
      </c>
      <c r="D10193" t="s">
        <v>17250</v>
      </c>
      <c r="E10193" t="s">
        <v>17250</v>
      </c>
      <c r="F10193" t="s">
        <v>17250</v>
      </c>
      <c r="G10193" t="s">
        <v>17250</v>
      </c>
      <c r="H10193" t="s">
        <v>859</v>
      </c>
      <c r="I10193" t="s">
        <v>860</v>
      </c>
      <c r="J10193" t="str">
        <f>"9230018"</f>
        <v>9230018</v>
      </c>
      <c r="K10193">
        <v>2467072154</v>
      </c>
      <c r="L10193">
        <v>2467072154</v>
      </c>
      <c r="M10193" t="s">
        <v>17886</v>
      </c>
      <c r="N10193" t="s">
        <v>1139</v>
      </c>
      <c r="O10193" t="s">
        <v>1142</v>
      </c>
      <c r="P10193">
        <v>52100</v>
      </c>
      <c r="Q10193" t="str">
        <f>""</f>
        <v/>
      </c>
      <c r="R10193" t="str">
        <f>""</f>
        <v/>
      </c>
      <c r="S10193" t="s">
        <v>26</v>
      </c>
    </row>
    <row r="10194" spans="1:19" x14ac:dyDescent="0.3">
      <c r="A10194" t="s">
        <v>17244</v>
      </c>
      <c r="B10194" t="s">
        <v>17882</v>
      </c>
      <c r="C10194" t="s">
        <v>17887</v>
      </c>
      <c r="D10194" t="s">
        <v>17250</v>
      </c>
      <c r="E10194" t="s">
        <v>17250</v>
      </c>
      <c r="F10194" t="s">
        <v>17250</v>
      </c>
      <c r="G10194" t="s">
        <v>17250</v>
      </c>
      <c r="H10194" t="s">
        <v>859</v>
      </c>
      <c r="I10194" t="s">
        <v>860</v>
      </c>
      <c r="J10194" t="str">
        <f>"9230182"</f>
        <v>9230182</v>
      </c>
      <c r="K10194">
        <v>2467024234</v>
      </c>
      <c r="L10194">
        <v>2467024234</v>
      </c>
      <c r="M10194" t="s">
        <v>17888</v>
      </c>
      <c r="N10194" t="s">
        <v>17250</v>
      </c>
      <c r="O10194" t="s">
        <v>3017</v>
      </c>
      <c r="P10194">
        <v>52100</v>
      </c>
      <c r="Q10194" t="str">
        <f>"40.541130"</f>
        <v>40.541130</v>
      </c>
      <c r="R10194" t="str">
        <f>"21.259758"</f>
        <v>21.259758</v>
      </c>
      <c r="S10194" t="s">
        <v>26</v>
      </c>
    </row>
    <row r="10195" spans="1:19" x14ac:dyDescent="0.3">
      <c r="A10195" t="s">
        <v>17244</v>
      </c>
      <c r="B10195" t="s">
        <v>17882</v>
      </c>
      <c r="C10195" t="s">
        <v>17889</v>
      </c>
      <c r="D10195" t="s">
        <v>17250</v>
      </c>
      <c r="E10195" t="s">
        <v>17250</v>
      </c>
      <c r="F10195" t="s">
        <v>17250</v>
      </c>
      <c r="G10195" t="s">
        <v>17250</v>
      </c>
      <c r="H10195" t="s">
        <v>859</v>
      </c>
      <c r="I10195" t="s">
        <v>860</v>
      </c>
      <c r="J10195" t="str">
        <f>"9230009"</f>
        <v>9230009</v>
      </c>
      <c r="K10195">
        <v>2467023003</v>
      </c>
      <c r="M10195" t="s">
        <v>17890</v>
      </c>
      <c r="N10195" t="s">
        <v>17250</v>
      </c>
      <c r="O10195" t="s">
        <v>17891</v>
      </c>
      <c r="P10195">
        <v>52100</v>
      </c>
      <c r="Q10195" t="str">
        <f>"40.521430"</f>
        <v>40.521430</v>
      </c>
      <c r="R10195" t="str">
        <f>"21.267032"</f>
        <v>21.267032</v>
      </c>
      <c r="S10195" t="s">
        <v>26</v>
      </c>
    </row>
    <row r="10196" spans="1:19" x14ac:dyDescent="0.3">
      <c r="A10196" t="s">
        <v>17244</v>
      </c>
      <c r="B10196" t="s">
        <v>17882</v>
      </c>
      <c r="C10196" t="s">
        <v>17894</v>
      </c>
      <c r="D10196" t="s">
        <v>17250</v>
      </c>
      <c r="E10196" t="s">
        <v>17250</v>
      </c>
      <c r="F10196" t="s">
        <v>17892</v>
      </c>
      <c r="G10196" t="s">
        <v>17893</v>
      </c>
      <c r="H10196" t="s">
        <v>859</v>
      </c>
      <c r="I10196" t="s">
        <v>860</v>
      </c>
      <c r="J10196" t="str">
        <f>"9230071"</f>
        <v>9230071</v>
      </c>
      <c r="K10196">
        <v>2467072250</v>
      </c>
      <c r="L10196">
        <v>2467072250</v>
      </c>
      <c r="M10196" t="s">
        <v>17895</v>
      </c>
      <c r="N10196" t="s">
        <v>17893</v>
      </c>
      <c r="O10196" t="s">
        <v>17896</v>
      </c>
      <c r="P10196">
        <v>52059</v>
      </c>
      <c r="Q10196" t="str">
        <f>"40.584131"</f>
        <v>40.584131</v>
      </c>
      <c r="R10196" t="str">
        <f>"21.305074"</f>
        <v>21.305074</v>
      </c>
      <c r="S10196" t="s">
        <v>26</v>
      </c>
    </row>
    <row r="10197" spans="1:19" x14ac:dyDescent="0.3">
      <c r="A10197" t="s">
        <v>17244</v>
      </c>
      <c r="B10197" t="s">
        <v>17882</v>
      </c>
      <c r="C10197" t="s">
        <v>17897</v>
      </c>
      <c r="D10197" t="s">
        <v>17250</v>
      </c>
      <c r="E10197" t="s">
        <v>17250</v>
      </c>
      <c r="F10197" t="s">
        <v>17250</v>
      </c>
      <c r="G10197" t="s">
        <v>17250</v>
      </c>
      <c r="H10197" t="s">
        <v>859</v>
      </c>
      <c r="I10197" t="s">
        <v>860</v>
      </c>
      <c r="J10197" t="str">
        <f>"9230151"</f>
        <v>9230151</v>
      </c>
      <c r="K10197">
        <v>2467023975</v>
      </c>
      <c r="M10197" t="s">
        <v>17898</v>
      </c>
      <c r="N10197" t="s">
        <v>17250</v>
      </c>
      <c r="O10197" t="s">
        <v>17899</v>
      </c>
      <c r="P10197">
        <v>52100</v>
      </c>
      <c r="Q10197" t="str">
        <f>"40.521387"</f>
        <v>40.521387</v>
      </c>
      <c r="R10197" t="str">
        <f>"21.262689"</f>
        <v>21.262689</v>
      </c>
      <c r="S10197" t="s">
        <v>26</v>
      </c>
    </row>
    <row r="10198" spans="1:19" x14ac:dyDescent="0.3">
      <c r="A10198" t="s">
        <v>17244</v>
      </c>
      <c r="B10198" t="s">
        <v>17882</v>
      </c>
      <c r="C10198" t="s">
        <v>17901</v>
      </c>
      <c r="D10198" t="s">
        <v>17250</v>
      </c>
      <c r="E10198" t="s">
        <v>17328</v>
      </c>
      <c r="F10198" t="s">
        <v>17387</v>
      </c>
      <c r="G10198" t="s">
        <v>17900</v>
      </c>
      <c r="H10198" t="s">
        <v>859</v>
      </c>
      <c r="I10198" t="s">
        <v>860</v>
      </c>
      <c r="J10198" t="str">
        <f>"9230045"</f>
        <v>9230045</v>
      </c>
      <c r="K10198">
        <v>2467073268</v>
      </c>
      <c r="M10198" t="s">
        <v>17902</v>
      </c>
      <c r="N10198" t="s">
        <v>17900</v>
      </c>
      <c r="O10198" t="s">
        <v>17903</v>
      </c>
      <c r="P10198">
        <v>52200</v>
      </c>
      <c r="Q10198" t="str">
        <f>"40.434208"</f>
        <v>40.434208</v>
      </c>
      <c r="R10198" t="str">
        <f>"21.329849"</f>
        <v>21.329849</v>
      </c>
      <c r="S10198" t="s">
        <v>26</v>
      </c>
    </row>
    <row r="10199" spans="1:19" x14ac:dyDescent="0.3">
      <c r="A10199" t="s">
        <v>17244</v>
      </c>
      <c r="B10199" t="s">
        <v>17882</v>
      </c>
      <c r="C10199" t="s">
        <v>17904</v>
      </c>
      <c r="D10199" t="s">
        <v>17250</v>
      </c>
      <c r="E10199" t="s">
        <v>17250</v>
      </c>
      <c r="F10199" t="s">
        <v>17366</v>
      </c>
      <c r="G10199" t="s">
        <v>17367</v>
      </c>
      <c r="H10199" t="s">
        <v>859</v>
      </c>
      <c r="I10199" t="s">
        <v>860</v>
      </c>
      <c r="J10199" t="str">
        <f>"9230051"</f>
        <v>9230051</v>
      </c>
      <c r="K10199">
        <v>2467074363</v>
      </c>
      <c r="M10199" t="s">
        <v>17905</v>
      </c>
      <c r="N10199" t="s">
        <v>17367</v>
      </c>
      <c r="O10199" t="s">
        <v>17370</v>
      </c>
      <c r="P10199">
        <v>52056</v>
      </c>
      <c r="Q10199" t="str">
        <f>"40.512713"</f>
        <v>40.512713</v>
      </c>
      <c r="R10199" t="str">
        <f>"21.323900"</f>
        <v>21.323900</v>
      </c>
      <c r="S10199" t="s">
        <v>26</v>
      </c>
    </row>
    <row r="10200" spans="1:19" x14ac:dyDescent="0.3">
      <c r="A10200" t="s">
        <v>17244</v>
      </c>
      <c r="B10200" t="s">
        <v>17882</v>
      </c>
      <c r="C10200" t="s">
        <v>17907</v>
      </c>
      <c r="D10200" t="s">
        <v>17250</v>
      </c>
      <c r="E10200" t="s">
        <v>17328</v>
      </c>
      <c r="F10200" t="s">
        <v>17387</v>
      </c>
      <c r="G10200" t="s">
        <v>17906</v>
      </c>
      <c r="H10200" t="s">
        <v>859</v>
      </c>
      <c r="I10200" t="s">
        <v>860</v>
      </c>
      <c r="J10200" t="str">
        <f>"9230024"</f>
        <v>9230024</v>
      </c>
      <c r="K10200">
        <v>2467085110</v>
      </c>
      <c r="L10200">
        <v>2467085368</v>
      </c>
      <c r="M10200" t="s">
        <v>17908</v>
      </c>
      <c r="N10200" t="s">
        <v>3379</v>
      </c>
      <c r="O10200" t="s">
        <v>3379</v>
      </c>
      <c r="P10200">
        <v>52057</v>
      </c>
      <c r="Q10200" t="str">
        <f>"40.463116"</f>
        <v>40.463116</v>
      </c>
      <c r="R10200" t="str">
        <f>"21.308665"</f>
        <v>21.308665</v>
      </c>
      <c r="S10200" t="s">
        <v>26</v>
      </c>
    </row>
    <row r="10201" spans="1:19" x14ac:dyDescent="0.3">
      <c r="A10201" t="s">
        <v>17244</v>
      </c>
      <c r="B10201" t="s">
        <v>17882</v>
      </c>
      <c r="C10201" t="s">
        <v>17909</v>
      </c>
      <c r="D10201" t="s">
        <v>17250</v>
      </c>
      <c r="E10201" t="s">
        <v>17328</v>
      </c>
      <c r="F10201" t="s">
        <v>17328</v>
      </c>
      <c r="G10201" t="s">
        <v>17328</v>
      </c>
      <c r="H10201" t="s">
        <v>859</v>
      </c>
      <c r="I10201" t="s">
        <v>860</v>
      </c>
      <c r="J10201" t="str">
        <f>"9230163"</f>
        <v>9230163</v>
      </c>
      <c r="K10201">
        <v>2467041210</v>
      </c>
      <c r="L10201">
        <v>2467041210</v>
      </c>
      <c r="M10201" t="s">
        <v>17910</v>
      </c>
      <c r="N10201" t="s">
        <v>17911</v>
      </c>
      <c r="O10201" t="s">
        <v>17912</v>
      </c>
      <c r="P10201">
        <v>52200</v>
      </c>
      <c r="Q10201" t="str">
        <f>"40.459486"</f>
        <v>40.459486</v>
      </c>
      <c r="R10201" t="str">
        <f>"21.259149"</f>
        <v>21.259149</v>
      </c>
      <c r="S10201" t="s">
        <v>26</v>
      </c>
    </row>
    <row r="10202" spans="1:19" x14ac:dyDescent="0.3">
      <c r="A10202" t="s">
        <v>17244</v>
      </c>
      <c r="B10202" t="s">
        <v>17882</v>
      </c>
      <c r="C10202" t="s">
        <v>17914</v>
      </c>
      <c r="D10202" t="s">
        <v>17250</v>
      </c>
      <c r="E10202" t="s">
        <v>17250</v>
      </c>
      <c r="F10202" t="s">
        <v>17366</v>
      </c>
      <c r="G10202" t="s">
        <v>17913</v>
      </c>
      <c r="H10202" t="s">
        <v>859</v>
      </c>
      <c r="I10202" t="s">
        <v>860</v>
      </c>
      <c r="J10202" t="str">
        <f>"9230066"</f>
        <v>9230066</v>
      </c>
      <c r="K10202">
        <v>2467074770</v>
      </c>
      <c r="M10202" t="s">
        <v>17915</v>
      </c>
      <c r="N10202" t="s">
        <v>17913</v>
      </c>
      <c r="O10202" t="s">
        <v>17916</v>
      </c>
      <c r="P10202">
        <v>52056</v>
      </c>
      <c r="Q10202" t="str">
        <f>"40.522315"</f>
        <v>40.522315</v>
      </c>
      <c r="R10202" t="str">
        <f>"21.319635"</f>
        <v>21.319635</v>
      </c>
      <c r="S10202" t="s">
        <v>26</v>
      </c>
    </row>
    <row r="10203" spans="1:19" x14ac:dyDescent="0.3">
      <c r="A10203" t="s">
        <v>17244</v>
      </c>
      <c r="B10203" t="s">
        <v>17882</v>
      </c>
      <c r="C10203" t="s">
        <v>17917</v>
      </c>
      <c r="D10203" t="s">
        <v>17250</v>
      </c>
      <c r="E10203" t="s">
        <v>17328</v>
      </c>
      <c r="F10203" t="s">
        <v>17328</v>
      </c>
      <c r="G10203" t="s">
        <v>17328</v>
      </c>
      <c r="H10203" t="s">
        <v>859</v>
      </c>
      <c r="I10203" t="s">
        <v>860</v>
      </c>
      <c r="J10203" t="str">
        <f>"9230001"</f>
        <v>9230001</v>
      </c>
      <c r="K10203">
        <v>2467043322</v>
      </c>
      <c r="M10203" t="s">
        <v>17918</v>
      </c>
      <c r="N10203" t="s">
        <v>17911</v>
      </c>
      <c r="O10203" t="s">
        <v>17919</v>
      </c>
      <c r="P10203">
        <v>52200</v>
      </c>
      <c r="Q10203" t="str">
        <f>"40.455068"</f>
        <v>40.455068</v>
      </c>
      <c r="R10203" t="str">
        <f>"21.254335"</f>
        <v>21.254335</v>
      </c>
      <c r="S10203" t="s">
        <v>26</v>
      </c>
    </row>
    <row r="10204" spans="1:19" x14ac:dyDescent="0.3">
      <c r="A10204" t="s">
        <v>17244</v>
      </c>
      <c r="B10204" t="s">
        <v>17882</v>
      </c>
      <c r="C10204" t="s">
        <v>17920</v>
      </c>
      <c r="D10204" t="s">
        <v>17250</v>
      </c>
      <c r="E10204" t="s">
        <v>17328</v>
      </c>
      <c r="F10204" t="s">
        <v>17328</v>
      </c>
      <c r="G10204" t="s">
        <v>17328</v>
      </c>
      <c r="H10204" t="s">
        <v>859</v>
      </c>
      <c r="I10204" t="s">
        <v>860</v>
      </c>
      <c r="J10204" t="str">
        <f>"9230170"</f>
        <v>9230170</v>
      </c>
      <c r="K10204">
        <v>2467042681</v>
      </c>
      <c r="L10204">
        <v>2467041240</v>
      </c>
      <c r="M10204" t="s">
        <v>17921</v>
      </c>
      <c r="N10204" t="s">
        <v>17911</v>
      </c>
      <c r="O10204" t="s">
        <v>17922</v>
      </c>
      <c r="P10204">
        <v>52200</v>
      </c>
      <c r="Q10204" t="str">
        <f>"40.446002"</f>
        <v>40.446002</v>
      </c>
      <c r="R10204" t="str">
        <f>"21.262824"</f>
        <v>21.262824</v>
      </c>
      <c r="S10204" t="s">
        <v>26</v>
      </c>
    </row>
    <row r="10205" spans="1:19" x14ac:dyDescent="0.3">
      <c r="A10205" t="s">
        <v>17244</v>
      </c>
      <c r="B10205" t="s">
        <v>17882</v>
      </c>
      <c r="C10205" t="s">
        <v>17924</v>
      </c>
      <c r="D10205" t="s">
        <v>17250</v>
      </c>
      <c r="E10205" t="s">
        <v>17250</v>
      </c>
      <c r="F10205" t="s">
        <v>17366</v>
      </c>
      <c r="G10205" t="s">
        <v>17923</v>
      </c>
      <c r="H10205" t="s">
        <v>859</v>
      </c>
      <c r="I10205" t="s">
        <v>860</v>
      </c>
      <c r="J10205" t="str">
        <f>"9230036"</f>
        <v>9230036</v>
      </c>
      <c r="K10205">
        <v>2467085925</v>
      </c>
      <c r="L10205">
        <v>2467085925</v>
      </c>
      <c r="M10205" t="s">
        <v>17925</v>
      </c>
      <c r="N10205" t="s">
        <v>17926</v>
      </c>
      <c r="O10205" t="s">
        <v>17927</v>
      </c>
      <c r="P10205">
        <v>52057</v>
      </c>
      <c r="Q10205" t="str">
        <f>"40.483557"</f>
        <v>40.483557</v>
      </c>
      <c r="R10205" t="str">
        <f>"21.285341"</f>
        <v>21.285341</v>
      </c>
      <c r="S10205" t="s">
        <v>26</v>
      </c>
    </row>
    <row r="10206" spans="1:19" x14ac:dyDescent="0.3">
      <c r="A10206" t="s">
        <v>17244</v>
      </c>
      <c r="B10206" t="s">
        <v>17882</v>
      </c>
      <c r="C10206" t="s">
        <v>17928</v>
      </c>
      <c r="D10206" t="s">
        <v>17250</v>
      </c>
      <c r="E10206" t="s">
        <v>17250</v>
      </c>
      <c r="F10206" t="s">
        <v>17250</v>
      </c>
      <c r="G10206" t="s">
        <v>17250</v>
      </c>
      <c r="H10206" t="s">
        <v>859</v>
      </c>
      <c r="I10206" t="s">
        <v>860</v>
      </c>
      <c r="J10206" t="str">
        <f>"9230007"</f>
        <v>9230007</v>
      </c>
      <c r="K10206">
        <v>2467027991</v>
      </c>
      <c r="L10206">
        <v>2467027991</v>
      </c>
      <c r="M10206" t="s">
        <v>17929</v>
      </c>
      <c r="N10206" t="s">
        <v>17250</v>
      </c>
      <c r="O10206" t="s">
        <v>17930</v>
      </c>
      <c r="P10206">
        <v>52100</v>
      </c>
      <c r="Q10206" t="str">
        <f>"40.517606"</f>
        <v>40.517606</v>
      </c>
      <c r="R10206" t="str">
        <f>"21.267160"</f>
        <v>21.267160</v>
      </c>
      <c r="S10206" t="s">
        <v>26</v>
      </c>
    </row>
    <row r="10207" spans="1:19" x14ac:dyDescent="0.3">
      <c r="A10207" t="s">
        <v>17244</v>
      </c>
      <c r="B10207" t="s">
        <v>17882</v>
      </c>
      <c r="C10207" t="s">
        <v>17931</v>
      </c>
      <c r="D10207" t="s">
        <v>17250</v>
      </c>
      <c r="E10207" t="s">
        <v>17250</v>
      </c>
      <c r="F10207" t="s">
        <v>17250</v>
      </c>
      <c r="G10207" t="s">
        <v>17250</v>
      </c>
      <c r="H10207" t="s">
        <v>859</v>
      </c>
      <c r="I10207" t="s">
        <v>860</v>
      </c>
      <c r="J10207" t="str">
        <f>"9230010"</f>
        <v>9230010</v>
      </c>
      <c r="K10207">
        <v>2467082574</v>
      </c>
      <c r="L10207">
        <v>2467082574</v>
      </c>
      <c r="M10207" t="s">
        <v>17932</v>
      </c>
      <c r="N10207" t="s">
        <v>17250</v>
      </c>
      <c r="O10207" t="s">
        <v>17933</v>
      </c>
      <c r="P10207">
        <v>52100</v>
      </c>
      <c r="Q10207" t="str">
        <f>"40.510645"</f>
        <v>40.510645</v>
      </c>
      <c r="R10207" t="str">
        <f>"21.251824"</f>
        <v>21.251824</v>
      </c>
      <c r="S10207" t="s">
        <v>26</v>
      </c>
    </row>
    <row r="10208" spans="1:19" x14ac:dyDescent="0.3">
      <c r="A10208" t="s">
        <v>17244</v>
      </c>
      <c r="B10208" t="s">
        <v>17882</v>
      </c>
      <c r="C10208" t="s">
        <v>17934</v>
      </c>
      <c r="D10208" t="s">
        <v>17250</v>
      </c>
      <c r="E10208" t="s">
        <v>17328</v>
      </c>
      <c r="F10208" t="s">
        <v>17328</v>
      </c>
      <c r="G10208" t="s">
        <v>17328</v>
      </c>
      <c r="H10208" t="s">
        <v>859</v>
      </c>
      <c r="I10208" t="s">
        <v>860</v>
      </c>
      <c r="J10208" t="str">
        <f>"9230002"</f>
        <v>9230002</v>
      </c>
      <c r="K10208">
        <v>2467042970</v>
      </c>
      <c r="L10208">
        <v>2467042970</v>
      </c>
      <c r="M10208" t="s">
        <v>17935</v>
      </c>
      <c r="N10208" t="s">
        <v>17936</v>
      </c>
      <c r="O10208" t="s">
        <v>17937</v>
      </c>
      <c r="P10208">
        <v>52200</v>
      </c>
      <c r="Q10208" t="str">
        <f>"40.450976"</f>
        <v>40.450976</v>
      </c>
      <c r="R10208" t="str">
        <f>"21.260328"</f>
        <v>21.260328</v>
      </c>
      <c r="S10208" t="s">
        <v>26</v>
      </c>
    </row>
    <row r="10209" spans="1:19" x14ac:dyDescent="0.3">
      <c r="A10209" t="s">
        <v>17244</v>
      </c>
      <c r="B10209" t="s">
        <v>17882</v>
      </c>
      <c r="C10209" t="s">
        <v>17938</v>
      </c>
      <c r="D10209" t="s">
        <v>17250</v>
      </c>
      <c r="E10209" t="s">
        <v>17250</v>
      </c>
      <c r="F10209" t="s">
        <v>17250</v>
      </c>
      <c r="G10209" t="s">
        <v>17250</v>
      </c>
      <c r="H10209" t="s">
        <v>859</v>
      </c>
      <c r="I10209" t="s">
        <v>860</v>
      </c>
      <c r="J10209" t="str">
        <f>"9230011"</f>
        <v>9230011</v>
      </c>
      <c r="K10209">
        <v>2467081683</v>
      </c>
      <c r="L10209">
        <v>2467081683</v>
      </c>
      <c r="M10209" t="s">
        <v>17939</v>
      </c>
      <c r="N10209" t="s">
        <v>17250</v>
      </c>
      <c r="O10209" t="s">
        <v>17940</v>
      </c>
      <c r="P10209">
        <v>52100</v>
      </c>
      <c r="Q10209" t="str">
        <f>"40.525369"</f>
        <v>40.525369</v>
      </c>
      <c r="R10209" t="str">
        <f>"21.262085"</f>
        <v>21.262085</v>
      </c>
      <c r="S10209" t="s">
        <v>26</v>
      </c>
    </row>
    <row r="10210" spans="1:19" x14ac:dyDescent="0.3">
      <c r="A10210" t="s">
        <v>17244</v>
      </c>
      <c r="B10210" t="s">
        <v>17882</v>
      </c>
      <c r="C10210" t="s">
        <v>17941</v>
      </c>
      <c r="D10210" t="s">
        <v>17250</v>
      </c>
      <c r="E10210" t="s">
        <v>17250</v>
      </c>
      <c r="F10210" t="s">
        <v>17250</v>
      </c>
      <c r="G10210" t="s">
        <v>17250</v>
      </c>
      <c r="H10210" t="s">
        <v>859</v>
      </c>
      <c r="I10210" t="s">
        <v>860</v>
      </c>
      <c r="J10210" t="str">
        <f>"9230008"</f>
        <v>9230008</v>
      </c>
      <c r="K10210">
        <v>2467025356</v>
      </c>
      <c r="L10210">
        <v>2467025356</v>
      </c>
      <c r="M10210" t="s">
        <v>17942</v>
      </c>
      <c r="N10210" t="s">
        <v>17250</v>
      </c>
      <c r="O10210" t="s">
        <v>17943</v>
      </c>
      <c r="P10210">
        <v>52100</v>
      </c>
      <c r="Q10210" t="str">
        <f>"40.520082"</f>
        <v>40.520082</v>
      </c>
      <c r="R10210" t="str">
        <f>"21.270945"</f>
        <v>21.270945</v>
      </c>
      <c r="S10210" t="s">
        <v>26</v>
      </c>
    </row>
    <row r="10211" spans="1:19" x14ac:dyDescent="0.3">
      <c r="A10211" t="s">
        <v>17244</v>
      </c>
      <c r="B10211" t="s">
        <v>17882</v>
      </c>
      <c r="C10211" t="s">
        <v>17944</v>
      </c>
      <c r="D10211" t="s">
        <v>17250</v>
      </c>
      <c r="E10211" t="s">
        <v>17250</v>
      </c>
      <c r="F10211" t="s">
        <v>17250</v>
      </c>
      <c r="G10211" t="s">
        <v>17250</v>
      </c>
      <c r="H10211" t="s">
        <v>859</v>
      </c>
      <c r="I10211" t="s">
        <v>860</v>
      </c>
      <c r="J10211" t="str">
        <f>"9230173"</f>
        <v>9230173</v>
      </c>
      <c r="K10211">
        <v>2467081420</v>
      </c>
      <c r="L10211">
        <v>2467081420</v>
      </c>
      <c r="M10211" t="s">
        <v>17945</v>
      </c>
      <c r="N10211" t="s">
        <v>17250</v>
      </c>
      <c r="O10211" t="s">
        <v>17946</v>
      </c>
      <c r="P10211">
        <v>52100</v>
      </c>
      <c r="Q10211" t="str">
        <f>"40.516259"</f>
        <v>40.516259</v>
      </c>
      <c r="R10211" t="str">
        <f>"21.253484"</f>
        <v>21.253484</v>
      </c>
      <c r="S10211" t="s">
        <v>26</v>
      </c>
    </row>
    <row r="10212" spans="1:19" x14ac:dyDescent="0.3">
      <c r="A10212" t="s">
        <v>17244</v>
      </c>
      <c r="B10212" t="s">
        <v>17882</v>
      </c>
      <c r="C10212" t="s">
        <v>17947</v>
      </c>
      <c r="D10212" t="s">
        <v>17250</v>
      </c>
      <c r="E10212" t="s">
        <v>17250</v>
      </c>
      <c r="F10212" t="s">
        <v>17250</v>
      </c>
      <c r="G10212" t="s">
        <v>17250</v>
      </c>
      <c r="H10212" t="s">
        <v>859</v>
      </c>
      <c r="I10212" t="s">
        <v>860</v>
      </c>
      <c r="J10212" t="str">
        <f>"9230152"</f>
        <v>9230152</v>
      </c>
      <c r="K10212">
        <v>2467028386</v>
      </c>
      <c r="L10212">
        <v>2467028359</v>
      </c>
      <c r="M10212" t="s">
        <v>17948</v>
      </c>
      <c r="N10212" t="s">
        <v>17250</v>
      </c>
      <c r="O10212" t="s">
        <v>17949</v>
      </c>
      <c r="P10212">
        <v>52100</v>
      </c>
      <c r="Q10212" t="str">
        <f>"40.517483"</f>
        <v>40.517483</v>
      </c>
      <c r="R10212" t="str">
        <f>"21.271806"</f>
        <v>21.271806</v>
      </c>
      <c r="S10212" t="s">
        <v>26</v>
      </c>
    </row>
    <row r="10213" spans="1:19" x14ac:dyDescent="0.3">
      <c r="A10213" t="s">
        <v>17244</v>
      </c>
      <c r="B10213" t="s">
        <v>17882</v>
      </c>
      <c r="C10213" t="s">
        <v>17950</v>
      </c>
      <c r="D10213" t="s">
        <v>17250</v>
      </c>
      <c r="E10213" t="s">
        <v>17250</v>
      </c>
      <c r="F10213" t="s">
        <v>5085</v>
      </c>
      <c r="G10213" t="s">
        <v>17397</v>
      </c>
      <c r="H10213" t="s">
        <v>859</v>
      </c>
      <c r="I10213" t="s">
        <v>860</v>
      </c>
      <c r="J10213" t="str">
        <f>"9230040"</f>
        <v>9230040</v>
      </c>
      <c r="K10213">
        <v>2467051231</v>
      </c>
      <c r="M10213" t="s">
        <v>17951</v>
      </c>
      <c r="N10213" t="s">
        <v>17397</v>
      </c>
      <c r="O10213" t="s">
        <v>17401</v>
      </c>
      <c r="P10213">
        <v>52052</v>
      </c>
      <c r="Q10213" t="str">
        <f>"40.503609"</f>
        <v>40.503609</v>
      </c>
      <c r="R10213" t="str">
        <f>"21.379145"</f>
        <v>21.379145</v>
      </c>
      <c r="S10213" t="s">
        <v>26</v>
      </c>
    </row>
    <row r="10214" spans="1:19" x14ac:dyDescent="0.3">
      <c r="A10214" t="s">
        <v>17244</v>
      </c>
      <c r="B10214" t="s">
        <v>17882</v>
      </c>
      <c r="C10214" t="s">
        <v>17956</v>
      </c>
      <c r="D10214" t="s">
        <v>17250</v>
      </c>
      <c r="E10214" t="s">
        <v>17250</v>
      </c>
      <c r="F10214" t="s">
        <v>17334</v>
      </c>
      <c r="G10214" t="s">
        <v>17335</v>
      </c>
      <c r="H10214" t="s">
        <v>859</v>
      </c>
      <c r="I10214" t="s">
        <v>860</v>
      </c>
      <c r="J10214" t="str">
        <f>"9230135"</f>
        <v>9230135</v>
      </c>
      <c r="K10214">
        <v>2467080013</v>
      </c>
      <c r="M10214" t="s">
        <v>17957</v>
      </c>
      <c r="N10214" t="s">
        <v>17335</v>
      </c>
      <c r="O10214" t="s">
        <v>17958</v>
      </c>
      <c r="P10214">
        <v>52100</v>
      </c>
      <c r="Q10214" t="str">
        <f>"40.498213"</f>
        <v>40.498213</v>
      </c>
      <c r="R10214" t="str">
        <f>"21.240920"</f>
        <v>21.240920</v>
      </c>
      <c r="S10214" t="s">
        <v>26</v>
      </c>
    </row>
    <row r="10215" spans="1:19" x14ac:dyDescent="0.3">
      <c r="A10215" t="s">
        <v>17244</v>
      </c>
      <c r="B10215" t="s">
        <v>17882</v>
      </c>
      <c r="C10215" t="s">
        <v>17959</v>
      </c>
      <c r="D10215" t="s">
        <v>17250</v>
      </c>
      <c r="E10215" t="s">
        <v>17250</v>
      </c>
      <c r="F10215" t="s">
        <v>17346</v>
      </c>
      <c r="G10215" t="s">
        <v>17375</v>
      </c>
      <c r="H10215" t="s">
        <v>859</v>
      </c>
      <c r="I10215" t="s">
        <v>860</v>
      </c>
      <c r="J10215" t="str">
        <f>"9230121"</f>
        <v>9230121</v>
      </c>
      <c r="K10215">
        <v>2467092175</v>
      </c>
      <c r="L10215">
        <v>2467092175</v>
      </c>
      <c r="M10215" t="s">
        <v>17960</v>
      </c>
      <c r="N10215" t="s">
        <v>17375</v>
      </c>
      <c r="O10215" t="s">
        <v>17961</v>
      </c>
      <c r="P10215">
        <v>52050</v>
      </c>
      <c r="Q10215" t="str">
        <f>"40.517971"</f>
        <v>40.517971</v>
      </c>
      <c r="R10215" t="str">
        <f>"21.083935"</f>
        <v>21.083935</v>
      </c>
      <c r="S10215" t="s">
        <v>26</v>
      </c>
    </row>
    <row r="10216" spans="1:19" x14ac:dyDescent="0.3">
      <c r="A10216" t="s">
        <v>17244</v>
      </c>
      <c r="B10216" t="s">
        <v>17882</v>
      </c>
      <c r="C10216" t="s">
        <v>17962</v>
      </c>
      <c r="D10216" t="s">
        <v>17250</v>
      </c>
      <c r="E10216" t="s">
        <v>17250</v>
      </c>
      <c r="F10216" t="s">
        <v>17334</v>
      </c>
      <c r="G10216" t="s">
        <v>17335</v>
      </c>
      <c r="H10216" t="s">
        <v>859</v>
      </c>
      <c r="I10216" t="s">
        <v>860</v>
      </c>
      <c r="J10216" t="str">
        <f>"9230160"</f>
        <v>9230160</v>
      </c>
      <c r="K10216">
        <v>2467081022</v>
      </c>
      <c r="M10216" t="s">
        <v>17963</v>
      </c>
      <c r="N10216" t="s">
        <v>17335</v>
      </c>
      <c r="O10216" t="s">
        <v>17964</v>
      </c>
      <c r="P10216">
        <v>52100</v>
      </c>
      <c r="Q10216" t="str">
        <f>"40.502670"</f>
        <v>40.502670</v>
      </c>
      <c r="R10216" t="str">
        <f>"21.245319"</f>
        <v>21.245319</v>
      </c>
      <c r="S10216" t="s">
        <v>26</v>
      </c>
    </row>
    <row r="10217" spans="1:19" x14ac:dyDescent="0.3">
      <c r="A10217" t="s">
        <v>17244</v>
      </c>
      <c r="B10217" t="s">
        <v>17882</v>
      </c>
      <c r="C10217" t="s">
        <v>17967</v>
      </c>
      <c r="D10217" t="s">
        <v>17250</v>
      </c>
      <c r="E10217" t="s">
        <v>17322</v>
      </c>
      <c r="F10217" t="s">
        <v>17965</v>
      </c>
      <c r="G10217" t="s">
        <v>17966</v>
      </c>
      <c r="H10217" t="s">
        <v>859</v>
      </c>
      <c r="I10217" t="s">
        <v>860</v>
      </c>
      <c r="J10217" t="str">
        <f>"9230089"</f>
        <v>9230089</v>
      </c>
      <c r="K10217">
        <v>2467091301</v>
      </c>
      <c r="L10217">
        <v>2467091301</v>
      </c>
      <c r="M10217" t="s">
        <v>17968</v>
      </c>
      <c r="N10217" t="s">
        <v>17966</v>
      </c>
      <c r="O10217" t="s">
        <v>17969</v>
      </c>
      <c r="P10217">
        <v>52058</v>
      </c>
      <c r="Q10217" t="str">
        <f>"40.487908"</f>
        <v>40.487908</v>
      </c>
      <c r="R10217" t="str">
        <f>"20.986760"</f>
        <v>20.986760</v>
      </c>
      <c r="S10217" t="s">
        <v>57</v>
      </c>
    </row>
    <row r="10218" spans="1:19" x14ac:dyDescent="0.3">
      <c r="A10218" t="s">
        <v>17244</v>
      </c>
      <c r="B10218" t="s">
        <v>17882</v>
      </c>
      <c r="C10218" t="s">
        <v>17974</v>
      </c>
      <c r="D10218" t="s">
        <v>17250</v>
      </c>
      <c r="E10218" t="s">
        <v>17250</v>
      </c>
      <c r="F10218" t="s">
        <v>17346</v>
      </c>
      <c r="G10218" t="s">
        <v>17346</v>
      </c>
      <c r="H10218" t="s">
        <v>859</v>
      </c>
      <c r="I10218" t="s">
        <v>860</v>
      </c>
      <c r="J10218" t="str">
        <f>"9230112"</f>
        <v>9230112</v>
      </c>
      <c r="K10218">
        <v>2467071998</v>
      </c>
      <c r="L10218">
        <v>2467071998</v>
      </c>
      <c r="M10218" t="s">
        <v>17975</v>
      </c>
      <c r="N10218" t="s">
        <v>17250</v>
      </c>
      <c r="O10218" t="s">
        <v>17976</v>
      </c>
      <c r="P10218">
        <v>52050</v>
      </c>
      <c r="Q10218" t="str">
        <f>"40.504393"</f>
        <v>40.504393</v>
      </c>
      <c r="R10218" t="str">
        <f>"21.207841"</f>
        <v>21.207841</v>
      </c>
      <c r="S10218" t="s">
        <v>26</v>
      </c>
    </row>
    <row r="10219" spans="1:19" x14ac:dyDescent="0.3">
      <c r="A10219" t="s">
        <v>17244</v>
      </c>
      <c r="B10219" t="s">
        <v>17882</v>
      </c>
      <c r="C10219" t="s">
        <v>17977</v>
      </c>
      <c r="D10219" t="s">
        <v>17250</v>
      </c>
      <c r="E10219" t="s">
        <v>17250</v>
      </c>
      <c r="F10219" t="s">
        <v>17334</v>
      </c>
      <c r="G10219" t="s">
        <v>17070</v>
      </c>
      <c r="H10219" t="s">
        <v>859</v>
      </c>
      <c r="I10219" t="s">
        <v>860</v>
      </c>
      <c r="J10219" t="str">
        <f>"9230082"</f>
        <v>9230082</v>
      </c>
      <c r="K10219">
        <v>2467071695</v>
      </c>
      <c r="L10219">
        <v>2467071695</v>
      </c>
      <c r="M10219" t="s">
        <v>17978</v>
      </c>
      <c r="N10219" t="s">
        <v>17070</v>
      </c>
      <c r="O10219" t="s">
        <v>17071</v>
      </c>
      <c r="P10219">
        <v>52050</v>
      </c>
      <c r="Q10219" t="str">
        <f>"40.521391"</f>
        <v>40.521391</v>
      </c>
      <c r="R10219" t="str">
        <f>"21.207953"</f>
        <v>21.207953</v>
      </c>
      <c r="S10219" t="s">
        <v>26</v>
      </c>
    </row>
    <row r="10220" spans="1:19" x14ac:dyDescent="0.3">
      <c r="A10220" t="s">
        <v>17244</v>
      </c>
      <c r="B10220" t="s">
        <v>17882</v>
      </c>
      <c r="C10220" t="s">
        <v>17980</v>
      </c>
      <c r="D10220" t="s">
        <v>17250</v>
      </c>
      <c r="E10220" t="s">
        <v>17250</v>
      </c>
      <c r="F10220" t="s">
        <v>17334</v>
      </c>
      <c r="G10220" t="s">
        <v>17979</v>
      </c>
      <c r="H10220" t="s">
        <v>859</v>
      </c>
      <c r="I10220" t="s">
        <v>860</v>
      </c>
      <c r="J10220" t="str">
        <f>"9230139"</f>
        <v>9230139</v>
      </c>
      <c r="K10220">
        <v>2467071132</v>
      </c>
      <c r="L10220">
        <v>2467071132</v>
      </c>
      <c r="M10220" t="s">
        <v>17981</v>
      </c>
      <c r="N10220" t="s">
        <v>17979</v>
      </c>
      <c r="O10220" t="s">
        <v>17982</v>
      </c>
      <c r="P10220">
        <v>52200</v>
      </c>
      <c r="Q10220" t="str">
        <f>"40.487847"</f>
        <v>40.487847</v>
      </c>
      <c r="R10220" t="str">
        <f>"21.215484"</f>
        <v>21.215484</v>
      </c>
      <c r="S10220" t="s">
        <v>26</v>
      </c>
    </row>
    <row r="10221" spans="1:19" x14ac:dyDescent="0.3">
      <c r="A10221" t="s">
        <v>17244</v>
      </c>
      <c r="B10221" t="s">
        <v>17882</v>
      </c>
      <c r="C10221" t="s">
        <v>17984</v>
      </c>
      <c r="D10221" t="s">
        <v>17250</v>
      </c>
      <c r="E10221" t="s">
        <v>17250</v>
      </c>
      <c r="F10221" t="s">
        <v>17346</v>
      </c>
      <c r="G10221" t="s">
        <v>17983</v>
      </c>
      <c r="H10221" t="s">
        <v>859</v>
      </c>
      <c r="I10221" t="s">
        <v>860</v>
      </c>
      <c r="J10221" t="str">
        <f>"9230093"</f>
        <v>9230093</v>
      </c>
      <c r="K10221">
        <v>2467062072</v>
      </c>
      <c r="L10221">
        <v>2467062072</v>
      </c>
      <c r="N10221" t="s">
        <v>17985</v>
      </c>
      <c r="O10221" t="s">
        <v>17985</v>
      </c>
      <c r="P10221">
        <v>52050</v>
      </c>
      <c r="Q10221" t="str">
        <f>""</f>
        <v/>
      </c>
      <c r="R10221" t="str">
        <f>""</f>
        <v/>
      </c>
      <c r="S10221" t="s">
        <v>26</v>
      </c>
    </row>
    <row r="10222" spans="1:19" x14ac:dyDescent="0.3">
      <c r="A10222" t="s">
        <v>17244</v>
      </c>
      <c r="B10222" t="s">
        <v>17882</v>
      </c>
      <c r="C10222" t="s">
        <v>17986</v>
      </c>
      <c r="D10222" t="s">
        <v>17250</v>
      </c>
      <c r="E10222" t="s">
        <v>17250</v>
      </c>
      <c r="F10222" t="s">
        <v>17334</v>
      </c>
      <c r="G10222" t="s">
        <v>17335</v>
      </c>
      <c r="H10222" t="s">
        <v>859</v>
      </c>
      <c r="I10222" t="s">
        <v>860</v>
      </c>
      <c r="J10222" t="str">
        <f>"9230168"</f>
        <v>9230168</v>
      </c>
      <c r="K10222">
        <v>2467081022</v>
      </c>
      <c r="L10222">
        <v>2467080283</v>
      </c>
      <c r="M10222" t="s">
        <v>17987</v>
      </c>
      <c r="N10222" t="s">
        <v>17335</v>
      </c>
      <c r="O10222" t="s">
        <v>17988</v>
      </c>
      <c r="P10222">
        <v>52100</v>
      </c>
      <c r="Q10222" t="str">
        <f>"40.502625"</f>
        <v>40.502625</v>
      </c>
      <c r="R10222" t="str">
        <f>"21.245250"</f>
        <v>21.245250</v>
      </c>
      <c r="S10222" t="s">
        <v>26</v>
      </c>
    </row>
    <row r="10223" spans="1:19" x14ac:dyDescent="0.3">
      <c r="A10223" t="s">
        <v>17244</v>
      </c>
      <c r="B10223" t="s">
        <v>17882</v>
      </c>
      <c r="C10223" t="s">
        <v>17989</v>
      </c>
      <c r="D10223" t="s">
        <v>17250</v>
      </c>
      <c r="E10223" t="s">
        <v>17250</v>
      </c>
      <c r="F10223" t="s">
        <v>17346</v>
      </c>
      <c r="G10223" t="s">
        <v>17346</v>
      </c>
      <c r="H10223" t="s">
        <v>859</v>
      </c>
      <c r="I10223" t="s">
        <v>860</v>
      </c>
      <c r="J10223" t="str">
        <f>"9230184"</f>
        <v>9230184</v>
      </c>
      <c r="K10223">
        <v>2467062075</v>
      </c>
      <c r="L10223">
        <v>2467062075</v>
      </c>
      <c r="M10223" t="s">
        <v>17990</v>
      </c>
      <c r="N10223" t="s">
        <v>17346</v>
      </c>
      <c r="O10223" t="s">
        <v>17991</v>
      </c>
      <c r="P10223">
        <v>52050</v>
      </c>
      <c r="Q10223" t="str">
        <f>"40.503622"</f>
        <v>40.503622</v>
      </c>
      <c r="R10223" t="str">
        <f>"21.156822"</f>
        <v>21.156822</v>
      </c>
      <c r="S10223" t="s">
        <v>26</v>
      </c>
    </row>
    <row r="10224" spans="1:19" x14ac:dyDescent="0.3">
      <c r="A10224" t="s">
        <v>17244</v>
      </c>
      <c r="B10224" t="s">
        <v>17882</v>
      </c>
      <c r="C10224" t="s">
        <v>17992</v>
      </c>
      <c r="D10224" t="s">
        <v>17250</v>
      </c>
      <c r="E10224" t="s">
        <v>17250</v>
      </c>
      <c r="F10224" t="s">
        <v>17334</v>
      </c>
      <c r="G10224" t="s">
        <v>17411</v>
      </c>
      <c r="H10224" t="s">
        <v>859</v>
      </c>
      <c r="I10224" t="s">
        <v>860</v>
      </c>
      <c r="J10224" t="str">
        <f>"9230125"</f>
        <v>9230125</v>
      </c>
      <c r="K10224">
        <v>2467097404</v>
      </c>
      <c r="M10224" t="s">
        <v>17993</v>
      </c>
      <c r="N10224" t="s">
        <v>17411</v>
      </c>
      <c r="O10224" t="s">
        <v>17414</v>
      </c>
      <c r="P10224">
        <v>52200</v>
      </c>
      <c r="Q10224" t="str">
        <f>"40.455279"</f>
        <v>40.455279</v>
      </c>
      <c r="R10224" t="str">
        <f>"21.143483"</f>
        <v>21.143483</v>
      </c>
      <c r="S10224" t="s">
        <v>26</v>
      </c>
    </row>
    <row r="10225" spans="1:19" x14ac:dyDescent="0.3">
      <c r="A10225" t="s">
        <v>17244</v>
      </c>
      <c r="B10225" t="s">
        <v>17882</v>
      </c>
      <c r="C10225" t="s">
        <v>17994</v>
      </c>
      <c r="D10225" t="s">
        <v>17250</v>
      </c>
      <c r="E10225" t="s">
        <v>17250</v>
      </c>
      <c r="F10225" t="s">
        <v>17346</v>
      </c>
      <c r="G10225" t="s">
        <v>17346</v>
      </c>
      <c r="H10225" t="s">
        <v>859</v>
      </c>
      <c r="I10225" t="s">
        <v>860</v>
      </c>
      <c r="J10225" t="str">
        <f>"9230114"</f>
        <v>9230114</v>
      </c>
      <c r="K10225">
        <v>2467061845</v>
      </c>
      <c r="L10225">
        <v>2467061845</v>
      </c>
      <c r="M10225" t="s">
        <v>17995</v>
      </c>
      <c r="N10225" t="s">
        <v>17346</v>
      </c>
      <c r="O10225" t="s">
        <v>17991</v>
      </c>
      <c r="P10225">
        <v>52050</v>
      </c>
      <c r="Q10225" t="str">
        <f>"40.506941"</f>
        <v>40.506941</v>
      </c>
      <c r="R10225" t="str">
        <f>"21.159018"</f>
        <v>21.159018</v>
      </c>
      <c r="S10225" t="s">
        <v>26</v>
      </c>
    </row>
    <row r="10226" spans="1:19" x14ac:dyDescent="0.3">
      <c r="A10226" t="s">
        <v>17244</v>
      </c>
      <c r="B10226" t="s">
        <v>17882</v>
      </c>
      <c r="C10226" t="s">
        <v>17997</v>
      </c>
      <c r="D10226" t="s">
        <v>17250</v>
      </c>
      <c r="E10226" t="s">
        <v>17328</v>
      </c>
      <c r="F10226" t="s">
        <v>17328</v>
      </c>
      <c r="G10226" t="s">
        <v>17996</v>
      </c>
      <c r="H10226" t="s">
        <v>859</v>
      </c>
      <c r="I10226" t="s">
        <v>860</v>
      </c>
      <c r="J10226" t="str">
        <f>"9230026"</f>
        <v>9230026</v>
      </c>
      <c r="K10226">
        <v>2467083562</v>
      </c>
      <c r="M10226" t="s">
        <v>17998</v>
      </c>
      <c r="N10226" t="s">
        <v>17996</v>
      </c>
      <c r="O10226" t="s">
        <v>17999</v>
      </c>
      <c r="P10226">
        <v>52200</v>
      </c>
      <c r="Q10226" t="str">
        <f>"40.406925"</f>
        <v>40.406925</v>
      </c>
      <c r="R10226" t="str">
        <f>"21.255149"</f>
        <v>21.255149</v>
      </c>
      <c r="S10226" t="s">
        <v>26</v>
      </c>
    </row>
    <row r="10227" spans="1:19" x14ac:dyDescent="0.3">
      <c r="A10227" t="s">
        <v>17244</v>
      </c>
      <c r="B10227" t="s">
        <v>17882</v>
      </c>
      <c r="C10227" t="s">
        <v>18007</v>
      </c>
      <c r="D10227" t="s">
        <v>17250</v>
      </c>
      <c r="E10227" t="s">
        <v>17250</v>
      </c>
      <c r="F10227" t="s">
        <v>18005</v>
      </c>
      <c r="G10227" t="s">
        <v>18006</v>
      </c>
      <c r="H10227" t="s">
        <v>859</v>
      </c>
      <c r="I10227" t="s">
        <v>860</v>
      </c>
      <c r="J10227" t="str">
        <f>"9230174"</f>
        <v>9230174</v>
      </c>
      <c r="K10227">
        <v>2467033003</v>
      </c>
      <c r="L10227">
        <v>2467087029</v>
      </c>
      <c r="M10227" t="s">
        <v>18008</v>
      </c>
      <c r="N10227" t="s">
        <v>18009</v>
      </c>
      <c r="O10227" t="s">
        <v>18009</v>
      </c>
      <c r="P10227">
        <v>52055</v>
      </c>
      <c r="Q10227" t="str">
        <f>"40.624839"</f>
        <v>40.624839</v>
      </c>
      <c r="R10227" t="str">
        <f>"21.201152"</f>
        <v>21.201152</v>
      </c>
      <c r="S10227" t="s">
        <v>26</v>
      </c>
    </row>
    <row r="10228" spans="1:19" x14ac:dyDescent="0.3">
      <c r="A10228" t="s">
        <v>17244</v>
      </c>
      <c r="B10228" t="s">
        <v>17882</v>
      </c>
      <c r="C10228" t="s">
        <v>18061</v>
      </c>
      <c r="D10228" t="s">
        <v>17250</v>
      </c>
      <c r="E10228" t="s">
        <v>17250</v>
      </c>
      <c r="F10228" t="s">
        <v>17250</v>
      </c>
      <c r="G10228" t="s">
        <v>17250</v>
      </c>
      <c r="H10228" t="s">
        <v>859</v>
      </c>
      <c r="I10228" t="s">
        <v>860</v>
      </c>
      <c r="J10228" t="str">
        <f>"9230180"</f>
        <v>9230180</v>
      </c>
      <c r="K10228">
        <v>2467028051</v>
      </c>
      <c r="M10228" t="s">
        <v>18062</v>
      </c>
      <c r="N10228" t="s">
        <v>17250</v>
      </c>
      <c r="O10228" t="s">
        <v>3017</v>
      </c>
      <c r="P10228">
        <v>52100</v>
      </c>
      <c r="Q10228" t="str">
        <f>"40.540959"</f>
        <v>40.540959</v>
      </c>
      <c r="R10228" t="str">
        <f>"21.260144"</f>
        <v>21.260144</v>
      </c>
      <c r="S10228" t="s">
        <v>26</v>
      </c>
    </row>
    <row r="10229" spans="1:19" x14ac:dyDescent="0.3">
      <c r="A10229" t="s">
        <v>17244</v>
      </c>
      <c r="B10229" t="s">
        <v>17882</v>
      </c>
      <c r="C10229" t="s">
        <v>18067</v>
      </c>
      <c r="D10229" t="s">
        <v>17250</v>
      </c>
      <c r="E10229" t="s">
        <v>17250</v>
      </c>
      <c r="F10229" t="s">
        <v>17250</v>
      </c>
      <c r="G10229" t="s">
        <v>17250</v>
      </c>
      <c r="H10229" t="s">
        <v>859</v>
      </c>
      <c r="I10229" t="s">
        <v>860</v>
      </c>
      <c r="J10229" t="str">
        <f>"9521705"</f>
        <v>9521705</v>
      </c>
      <c r="N10229" t="s">
        <v>17253</v>
      </c>
      <c r="O10229" t="s">
        <v>3017</v>
      </c>
      <c r="P10229">
        <v>0</v>
      </c>
      <c r="Q10229" t="str">
        <f>""</f>
        <v/>
      </c>
      <c r="R10229" t="str">
        <f>""</f>
        <v/>
      </c>
      <c r="S10229" t="s">
        <v>26</v>
      </c>
    </row>
    <row r="10230" spans="1:19" x14ac:dyDescent="0.3">
      <c r="A10230" t="s">
        <v>17244</v>
      </c>
      <c r="B10230" t="s">
        <v>17882</v>
      </c>
      <c r="C10230" t="s">
        <v>18068</v>
      </c>
      <c r="D10230" t="s">
        <v>17250</v>
      </c>
      <c r="E10230" t="s">
        <v>17250</v>
      </c>
      <c r="F10230" t="s">
        <v>17250</v>
      </c>
      <c r="G10230" t="s">
        <v>17250</v>
      </c>
      <c r="H10230" t="s">
        <v>859</v>
      </c>
      <c r="I10230" t="s">
        <v>1102</v>
      </c>
      <c r="J10230" t="str">
        <f>"9520806"</f>
        <v>9520806</v>
      </c>
      <c r="K10230">
        <v>2467029321</v>
      </c>
      <c r="L10230">
        <v>2467029321</v>
      </c>
      <c r="M10230" t="s">
        <v>18069</v>
      </c>
      <c r="N10230" t="s">
        <v>17250</v>
      </c>
      <c r="O10230" t="s">
        <v>3017</v>
      </c>
      <c r="P10230">
        <v>52100</v>
      </c>
      <c r="Q10230" t="str">
        <f>"40.540861"</f>
        <v>40.540861</v>
      </c>
      <c r="R10230" t="str">
        <f>"21.260466"</f>
        <v>21.260466</v>
      </c>
      <c r="S10230" t="s">
        <v>26</v>
      </c>
    </row>
    <row r="10231" spans="1:19" x14ac:dyDescent="0.3">
      <c r="A10231" t="s">
        <v>17244</v>
      </c>
      <c r="B10231" t="s">
        <v>17882</v>
      </c>
      <c r="C10231" t="s">
        <v>18070</v>
      </c>
      <c r="D10231" t="s">
        <v>17250</v>
      </c>
      <c r="E10231" t="s">
        <v>17322</v>
      </c>
      <c r="F10231" t="s">
        <v>17322</v>
      </c>
      <c r="G10231" t="s">
        <v>17322</v>
      </c>
      <c r="H10231" t="s">
        <v>859</v>
      </c>
      <c r="I10231" t="s">
        <v>860</v>
      </c>
      <c r="J10231" t="str">
        <f>"9230116"</f>
        <v>9230116</v>
      </c>
      <c r="K10231">
        <v>2467031338</v>
      </c>
      <c r="L10231">
        <v>2467031338</v>
      </c>
      <c r="M10231" t="s">
        <v>18071</v>
      </c>
      <c r="N10231" t="s">
        <v>17322</v>
      </c>
      <c r="O10231" t="s">
        <v>17326</v>
      </c>
      <c r="P10231">
        <v>52051</v>
      </c>
      <c r="Q10231" t="str">
        <f>"40.414390"</f>
        <v>40.414390</v>
      </c>
      <c r="R10231" t="str">
        <f>"21.061102"</f>
        <v>21.061102</v>
      </c>
      <c r="S10231" t="s">
        <v>26</v>
      </c>
    </row>
    <row r="10232" spans="1:19" x14ac:dyDescent="0.3">
      <c r="A10232" t="s">
        <v>17244</v>
      </c>
      <c r="B10232" t="s">
        <v>18072</v>
      </c>
      <c r="C10232" t="s">
        <v>18074</v>
      </c>
      <c r="D10232" t="s">
        <v>17255</v>
      </c>
      <c r="E10232" t="s">
        <v>17255</v>
      </c>
      <c r="F10232" t="s">
        <v>17551</v>
      </c>
      <c r="G10232" t="s">
        <v>18073</v>
      </c>
      <c r="H10232" t="s">
        <v>859</v>
      </c>
      <c r="I10232" t="s">
        <v>860</v>
      </c>
      <c r="J10232" t="str">
        <f>"9270283"</f>
        <v>9270283</v>
      </c>
      <c r="K10232">
        <v>461090424</v>
      </c>
      <c r="M10232" t="s">
        <v>18075</v>
      </c>
      <c r="N10232" t="s">
        <v>18076</v>
      </c>
      <c r="O10232" t="s">
        <v>18076</v>
      </c>
      <c r="P10232">
        <v>50100</v>
      </c>
      <c r="Q10232" t="str">
        <f>""</f>
        <v/>
      </c>
      <c r="R10232" t="str">
        <f>""</f>
        <v/>
      </c>
      <c r="S10232" t="s">
        <v>26</v>
      </c>
    </row>
    <row r="10233" spans="1:19" x14ac:dyDescent="0.3">
      <c r="A10233" t="s">
        <v>17244</v>
      </c>
      <c r="B10233" t="s">
        <v>18072</v>
      </c>
      <c r="C10233" t="s">
        <v>18081</v>
      </c>
      <c r="D10233" t="s">
        <v>17255</v>
      </c>
      <c r="E10233" t="s">
        <v>17255</v>
      </c>
      <c r="F10233" t="s">
        <v>17255</v>
      </c>
      <c r="G10233" t="s">
        <v>17255</v>
      </c>
      <c r="H10233" t="s">
        <v>859</v>
      </c>
      <c r="I10233" t="s">
        <v>860</v>
      </c>
      <c r="J10233" t="str">
        <f>"9270365"</f>
        <v>9270365</v>
      </c>
      <c r="K10233">
        <v>2461028596</v>
      </c>
      <c r="L10233">
        <v>2461028596</v>
      </c>
      <c r="M10233" t="s">
        <v>18082</v>
      </c>
      <c r="N10233" t="s">
        <v>17258</v>
      </c>
      <c r="O10233" t="s">
        <v>18083</v>
      </c>
      <c r="P10233">
        <v>50132</v>
      </c>
      <c r="Q10233" t="str">
        <f>"40.292245"</f>
        <v>40.292245</v>
      </c>
      <c r="R10233" t="str">
        <f>"21.799126"</f>
        <v>21.799126</v>
      </c>
      <c r="S10233" t="s">
        <v>26</v>
      </c>
    </row>
    <row r="10234" spans="1:19" x14ac:dyDescent="0.3">
      <c r="A10234" t="s">
        <v>17244</v>
      </c>
      <c r="B10234" t="s">
        <v>18072</v>
      </c>
      <c r="C10234" t="s">
        <v>18084</v>
      </c>
      <c r="D10234" t="s">
        <v>17255</v>
      </c>
      <c r="E10234" t="s">
        <v>17488</v>
      </c>
      <c r="F10234" t="s">
        <v>17489</v>
      </c>
      <c r="G10234" t="s">
        <v>17490</v>
      </c>
      <c r="H10234" t="s">
        <v>859</v>
      </c>
      <c r="I10234" t="s">
        <v>860</v>
      </c>
      <c r="J10234" t="str">
        <f>"9270089"</f>
        <v>9270089</v>
      </c>
      <c r="K10234">
        <v>2463054721</v>
      </c>
      <c r="L10234">
        <v>2463054721</v>
      </c>
      <c r="M10234" t="s">
        <v>18085</v>
      </c>
      <c r="N10234" t="s">
        <v>17493</v>
      </c>
      <c r="O10234" t="s">
        <v>18086</v>
      </c>
      <c r="P10234">
        <v>50200</v>
      </c>
      <c r="Q10234" t="str">
        <f>"40.518482"</f>
        <v>40.518482</v>
      </c>
      <c r="R10234" t="str">
        <f>"21.691882"</f>
        <v>21.691882</v>
      </c>
      <c r="S10234" t="s">
        <v>26</v>
      </c>
    </row>
    <row r="10235" spans="1:19" x14ac:dyDescent="0.3">
      <c r="A10235" t="s">
        <v>17244</v>
      </c>
      <c r="B10235" t="s">
        <v>18072</v>
      </c>
      <c r="C10235" t="s">
        <v>18088</v>
      </c>
      <c r="D10235" t="s">
        <v>17255</v>
      </c>
      <c r="E10235" t="s">
        <v>17488</v>
      </c>
      <c r="F10235" t="s">
        <v>17576</v>
      </c>
      <c r="G10235" t="s">
        <v>18087</v>
      </c>
      <c r="H10235" t="s">
        <v>859</v>
      </c>
      <c r="I10235" t="s">
        <v>860</v>
      </c>
      <c r="J10235" t="str">
        <f>"9270106"</f>
        <v>9270106</v>
      </c>
      <c r="K10235">
        <v>2463074414</v>
      </c>
      <c r="L10235">
        <v>2463074414</v>
      </c>
      <c r="M10235" t="s">
        <v>18089</v>
      </c>
      <c r="N10235" t="s">
        <v>18090</v>
      </c>
      <c r="O10235" t="s">
        <v>18091</v>
      </c>
      <c r="P10235">
        <v>50200</v>
      </c>
      <c r="Q10235" t="str">
        <f>"40.477693"</f>
        <v>40.477693</v>
      </c>
      <c r="R10235" t="str">
        <f>"21.634446"</f>
        <v>21.634446</v>
      </c>
      <c r="S10235" t="s">
        <v>26</v>
      </c>
    </row>
    <row r="10236" spans="1:19" x14ac:dyDescent="0.3">
      <c r="A10236" t="s">
        <v>17244</v>
      </c>
      <c r="B10236" t="s">
        <v>18072</v>
      </c>
      <c r="C10236" t="s">
        <v>18093</v>
      </c>
      <c r="D10236" t="s">
        <v>17255</v>
      </c>
      <c r="E10236" t="s">
        <v>17488</v>
      </c>
      <c r="F10236" t="s">
        <v>152</v>
      </c>
      <c r="G10236" t="s">
        <v>18092</v>
      </c>
      <c r="H10236" t="s">
        <v>859</v>
      </c>
      <c r="I10236" t="s">
        <v>860</v>
      </c>
      <c r="J10236" t="str">
        <f>"9270100"</f>
        <v>9270100</v>
      </c>
      <c r="K10236">
        <v>2463051212</v>
      </c>
      <c r="L10236">
        <v>2463051212</v>
      </c>
      <c r="M10236" t="s">
        <v>18094</v>
      </c>
      <c r="N10236" t="s">
        <v>18092</v>
      </c>
      <c r="O10236" t="s">
        <v>478</v>
      </c>
      <c r="P10236">
        <v>50200</v>
      </c>
      <c r="Q10236" t="str">
        <f>"40.516018"</f>
        <v>40.516018</v>
      </c>
      <c r="R10236" t="str">
        <f>"21.754532"</f>
        <v>21.754532</v>
      </c>
      <c r="S10236" t="s">
        <v>26</v>
      </c>
    </row>
    <row r="10237" spans="1:19" x14ac:dyDescent="0.3">
      <c r="A10237" t="s">
        <v>17244</v>
      </c>
      <c r="B10237" t="s">
        <v>18072</v>
      </c>
      <c r="C10237" t="s">
        <v>18096</v>
      </c>
      <c r="D10237" t="s">
        <v>17255</v>
      </c>
      <c r="E10237" t="s">
        <v>17488</v>
      </c>
      <c r="F10237" t="s">
        <v>17576</v>
      </c>
      <c r="G10237" t="s">
        <v>18095</v>
      </c>
      <c r="H10237" t="s">
        <v>859</v>
      </c>
      <c r="I10237" t="s">
        <v>860</v>
      </c>
      <c r="J10237" t="str">
        <f>"9270144"</f>
        <v>9270144</v>
      </c>
      <c r="K10237">
        <v>2463061422</v>
      </c>
      <c r="L10237">
        <v>2463061422</v>
      </c>
      <c r="M10237" t="s">
        <v>18097</v>
      </c>
      <c r="N10237" t="s">
        <v>18095</v>
      </c>
      <c r="O10237" t="s">
        <v>18098</v>
      </c>
      <c r="P10237">
        <v>50005</v>
      </c>
      <c r="Q10237" t="str">
        <f>"40.521933"</f>
        <v>40.521933</v>
      </c>
      <c r="R10237" t="str">
        <f>"21.553575"</f>
        <v>21.553575</v>
      </c>
      <c r="S10237" t="s">
        <v>26</v>
      </c>
    </row>
    <row r="10238" spans="1:19" x14ac:dyDescent="0.3">
      <c r="A10238" t="s">
        <v>17244</v>
      </c>
      <c r="B10238" t="s">
        <v>18072</v>
      </c>
      <c r="C10238" t="s">
        <v>18100</v>
      </c>
      <c r="D10238" t="s">
        <v>17255</v>
      </c>
      <c r="E10238" t="s">
        <v>17488</v>
      </c>
      <c r="F10238" t="s">
        <v>17489</v>
      </c>
      <c r="G10238" t="s">
        <v>18099</v>
      </c>
      <c r="H10238" t="s">
        <v>859</v>
      </c>
      <c r="I10238" t="s">
        <v>860</v>
      </c>
      <c r="J10238" t="str">
        <f>"9270112"</f>
        <v>9270112</v>
      </c>
      <c r="K10238">
        <v>2463075208</v>
      </c>
      <c r="L10238">
        <v>2463075208</v>
      </c>
      <c r="M10238" t="s">
        <v>18101</v>
      </c>
      <c r="N10238" t="s">
        <v>18099</v>
      </c>
      <c r="O10238" t="s">
        <v>18102</v>
      </c>
      <c r="P10238">
        <v>50200</v>
      </c>
      <c r="Q10238" t="str">
        <f>"40.557562"</f>
        <v>40.557562</v>
      </c>
      <c r="R10238" t="str">
        <f>"21.602073"</f>
        <v>21.602073</v>
      </c>
      <c r="S10238" t="s">
        <v>26</v>
      </c>
    </row>
    <row r="10239" spans="1:19" x14ac:dyDescent="0.3">
      <c r="A10239" t="s">
        <v>17244</v>
      </c>
      <c r="B10239" t="s">
        <v>18072</v>
      </c>
      <c r="C10239" t="s">
        <v>18103</v>
      </c>
      <c r="D10239" t="s">
        <v>17255</v>
      </c>
      <c r="E10239" t="s">
        <v>17488</v>
      </c>
      <c r="F10239" t="s">
        <v>17489</v>
      </c>
      <c r="G10239" t="s">
        <v>17490</v>
      </c>
      <c r="H10239" t="s">
        <v>859</v>
      </c>
      <c r="I10239" t="s">
        <v>860</v>
      </c>
      <c r="J10239" t="str">
        <f>"9270091"</f>
        <v>9270091</v>
      </c>
      <c r="K10239">
        <v>2463028995</v>
      </c>
      <c r="L10239">
        <v>2463028995</v>
      </c>
      <c r="M10239" t="s">
        <v>18104</v>
      </c>
      <c r="N10239" t="s">
        <v>17489</v>
      </c>
      <c r="O10239" t="s">
        <v>18105</v>
      </c>
      <c r="P10239">
        <v>50200</v>
      </c>
      <c r="Q10239" t="str">
        <f>"40.507006"</f>
        <v>40.507006</v>
      </c>
      <c r="R10239" t="str">
        <f>"21.674311"</f>
        <v>21.674311</v>
      </c>
      <c r="S10239" t="s">
        <v>26</v>
      </c>
    </row>
    <row r="10240" spans="1:19" x14ac:dyDescent="0.3">
      <c r="A10240" t="s">
        <v>17244</v>
      </c>
      <c r="B10240" t="s">
        <v>18072</v>
      </c>
      <c r="C10240" t="s">
        <v>18106</v>
      </c>
      <c r="D10240" t="s">
        <v>17255</v>
      </c>
      <c r="E10240" t="s">
        <v>17488</v>
      </c>
      <c r="F10240" t="s">
        <v>17489</v>
      </c>
      <c r="G10240" t="s">
        <v>17490</v>
      </c>
      <c r="H10240" t="s">
        <v>859</v>
      </c>
      <c r="I10240" t="s">
        <v>860</v>
      </c>
      <c r="J10240" t="str">
        <f>"9270090"</f>
        <v>9270090</v>
      </c>
      <c r="K10240">
        <v>2463027727</v>
      </c>
      <c r="L10240">
        <v>2463027727</v>
      </c>
      <c r="M10240" t="s">
        <v>18107</v>
      </c>
      <c r="N10240" t="s">
        <v>17489</v>
      </c>
      <c r="O10240" t="s">
        <v>18108</v>
      </c>
      <c r="P10240">
        <v>50200</v>
      </c>
      <c r="Q10240" t="str">
        <f>"40.506984"</f>
        <v>40.506984</v>
      </c>
      <c r="R10240" t="str">
        <f>"21.674278"</f>
        <v>21.674278</v>
      </c>
      <c r="S10240" t="s">
        <v>26</v>
      </c>
    </row>
    <row r="10241" spans="1:19" x14ac:dyDescent="0.3">
      <c r="A10241" t="s">
        <v>17244</v>
      </c>
      <c r="B10241" t="s">
        <v>18072</v>
      </c>
      <c r="C10241" t="s">
        <v>18109</v>
      </c>
      <c r="D10241" t="s">
        <v>17255</v>
      </c>
      <c r="E10241" t="s">
        <v>17488</v>
      </c>
      <c r="F10241" t="s">
        <v>17489</v>
      </c>
      <c r="G10241" t="s">
        <v>17490</v>
      </c>
      <c r="H10241" t="s">
        <v>859</v>
      </c>
      <c r="I10241" t="s">
        <v>860</v>
      </c>
      <c r="J10241" t="str">
        <f>"9270293"</f>
        <v>9270293</v>
      </c>
      <c r="K10241">
        <v>2463025629</v>
      </c>
      <c r="L10241">
        <v>2463025629</v>
      </c>
      <c r="M10241" t="s">
        <v>18110</v>
      </c>
      <c r="N10241" t="s">
        <v>17523</v>
      </c>
      <c r="O10241" t="s">
        <v>18111</v>
      </c>
      <c r="P10241">
        <v>50200</v>
      </c>
      <c r="Q10241" t="str">
        <f>"40.514883"</f>
        <v>40.514883</v>
      </c>
      <c r="R10241" t="str">
        <f>"21.674081"</f>
        <v>21.674081</v>
      </c>
      <c r="S10241" t="s">
        <v>26</v>
      </c>
    </row>
    <row r="10242" spans="1:19" x14ac:dyDescent="0.3">
      <c r="A10242" t="s">
        <v>17244</v>
      </c>
      <c r="B10242" t="s">
        <v>18072</v>
      </c>
      <c r="C10242" t="s">
        <v>18112</v>
      </c>
      <c r="D10242" t="s">
        <v>17255</v>
      </c>
      <c r="E10242" t="s">
        <v>17488</v>
      </c>
      <c r="F10242" t="s">
        <v>17489</v>
      </c>
      <c r="G10242" t="s">
        <v>17597</v>
      </c>
      <c r="H10242" t="s">
        <v>859</v>
      </c>
      <c r="I10242" t="s">
        <v>860</v>
      </c>
      <c r="J10242" t="str">
        <f>"9270135"</f>
        <v>9270135</v>
      </c>
      <c r="K10242">
        <v>2463077333</v>
      </c>
      <c r="L10242">
        <v>2463077333</v>
      </c>
      <c r="M10242" t="s">
        <v>18113</v>
      </c>
      <c r="N10242" t="s">
        <v>17597</v>
      </c>
      <c r="O10242" t="s">
        <v>17600</v>
      </c>
      <c r="P10242">
        <v>50200</v>
      </c>
      <c r="Q10242" t="str">
        <f>"40.561283"</f>
        <v>40.561283</v>
      </c>
      <c r="R10242" t="str">
        <f>"21.698733"</f>
        <v>21.698733</v>
      </c>
      <c r="S10242" t="s">
        <v>26</v>
      </c>
    </row>
    <row r="10243" spans="1:19" x14ac:dyDescent="0.3">
      <c r="A10243" t="s">
        <v>17244</v>
      </c>
      <c r="B10243" t="s">
        <v>18072</v>
      </c>
      <c r="C10243" t="s">
        <v>18114</v>
      </c>
      <c r="D10243" t="s">
        <v>17255</v>
      </c>
      <c r="E10243" t="s">
        <v>17488</v>
      </c>
      <c r="F10243" t="s">
        <v>17489</v>
      </c>
      <c r="G10243" t="s">
        <v>17490</v>
      </c>
      <c r="H10243" t="s">
        <v>859</v>
      </c>
      <c r="I10243" t="s">
        <v>860</v>
      </c>
      <c r="J10243" t="str">
        <f>"9270086"</f>
        <v>9270086</v>
      </c>
      <c r="K10243">
        <v>2463023904</v>
      </c>
      <c r="L10243">
        <v>2463023904</v>
      </c>
      <c r="M10243" t="s">
        <v>18115</v>
      </c>
      <c r="N10243" t="s">
        <v>17489</v>
      </c>
      <c r="O10243" t="s">
        <v>18116</v>
      </c>
      <c r="P10243">
        <v>50200</v>
      </c>
      <c r="Q10243" t="str">
        <f>"40.516033"</f>
        <v>40.516033</v>
      </c>
      <c r="R10243" t="str">
        <f>"21.676557"</f>
        <v>21.676557</v>
      </c>
      <c r="S10243" t="s">
        <v>26</v>
      </c>
    </row>
    <row r="10244" spans="1:19" x14ac:dyDescent="0.3">
      <c r="A10244" t="s">
        <v>17244</v>
      </c>
      <c r="B10244" t="s">
        <v>18072</v>
      </c>
      <c r="C10244" t="s">
        <v>18117</v>
      </c>
      <c r="D10244" t="s">
        <v>17255</v>
      </c>
      <c r="E10244" t="s">
        <v>17488</v>
      </c>
      <c r="F10244" t="s">
        <v>17489</v>
      </c>
      <c r="G10244" t="s">
        <v>17490</v>
      </c>
      <c r="H10244" t="s">
        <v>859</v>
      </c>
      <c r="I10244" t="s">
        <v>860</v>
      </c>
      <c r="J10244" t="str">
        <f>"9270354"</f>
        <v>9270354</v>
      </c>
      <c r="K10244">
        <v>2463022491</v>
      </c>
      <c r="L10244">
        <v>2463022491</v>
      </c>
      <c r="M10244" t="s">
        <v>18118</v>
      </c>
      <c r="N10244" t="s">
        <v>17489</v>
      </c>
      <c r="O10244" t="s">
        <v>18119</v>
      </c>
      <c r="P10244">
        <v>50200</v>
      </c>
      <c r="Q10244" t="str">
        <f>"40.516449"</f>
        <v>40.516449</v>
      </c>
      <c r="R10244" t="str">
        <f>"21.679223"</f>
        <v>21.679223</v>
      </c>
      <c r="S10244" t="s">
        <v>26</v>
      </c>
    </row>
    <row r="10245" spans="1:19" x14ac:dyDescent="0.3">
      <c r="A10245" t="s">
        <v>17244</v>
      </c>
      <c r="B10245" t="s">
        <v>18072</v>
      </c>
      <c r="C10245" t="s">
        <v>18120</v>
      </c>
      <c r="D10245" t="s">
        <v>17255</v>
      </c>
      <c r="E10245" t="s">
        <v>17488</v>
      </c>
      <c r="F10245" t="s">
        <v>17489</v>
      </c>
      <c r="G10245" t="s">
        <v>17490</v>
      </c>
      <c r="H10245" t="s">
        <v>859</v>
      </c>
      <c r="I10245" t="s">
        <v>860</v>
      </c>
      <c r="J10245" t="str">
        <f>"9270084"</f>
        <v>9270084</v>
      </c>
      <c r="K10245">
        <v>2463029372</v>
      </c>
      <c r="L10245">
        <v>2463029372</v>
      </c>
      <c r="M10245" t="s">
        <v>18121</v>
      </c>
      <c r="N10245" t="s">
        <v>17489</v>
      </c>
      <c r="O10245" t="s">
        <v>18122</v>
      </c>
      <c r="P10245">
        <v>50200</v>
      </c>
      <c r="Q10245" t="str">
        <f>"40.510533"</f>
        <v>40.510533</v>
      </c>
      <c r="R10245" t="str">
        <f>"21.675387"</f>
        <v>21.675387</v>
      </c>
      <c r="S10245" t="s">
        <v>26</v>
      </c>
    </row>
    <row r="10246" spans="1:19" x14ac:dyDescent="0.3">
      <c r="A10246" t="s">
        <v>17244</v>
      </c>
      <c r="B10246" t="s">
        <v>18072</v>
      </c>
      <c r="C10246" t="s">
        <v>18123</v>
      </c>
      <c r="D10246" t="s">
        <v>17255</v>
      </c>
      <c r="E10246" t="s">
        <v>17488</v>
      </c>
      <c r="F10246" t="s">
        <v>17489</v>
      </c>
      <c r="G10246" t="s">
        <v>17490</v>
      </c>
      <c r="H10246" t="s">
        <v>859</v>
      </c>
      <c r="I10246" t="s">
        <v>860</v>
      </c>
      <c r="J10246" t="str">
        <f>"9270384"</f>
        <v>9270384</v>
      </c>
      <c r="K10246">
        <v>2463029372</v>
      </c>
      <c r="L10246">
        <v>2463029372</v>
      </c>
      <c r="M10246" t="s">
        <v>18124</v>
      </c>
      <c r="N10246" t="s">
        <v>17495</v>
      </c>
      <c r="O10246" t="s">
        <v>18122</v>
      </c>
      <c r="P10246">
        <v>50200</v>
      </c>
      <c r="Q10246" t="str">
        <f>"40.510565"</f>
        <v>40.510565</v>
      </c>
      <c r="R10246" t="str">
        <f>"21.675355"</f>
        <v>21.675355</v>
      </c>
      <c r="S10246" t="s">
        <v>26</v>
      </c>
    </row>
    <row r="10247" spans="1:19" x14ac:dyDescent="0.3">
      <c r="A10247" t="s">
        <v>17244</v>
      </c>
      <c r="B10247" t="s">
        <v>18072</v>
      </c>
      <c r="C10247" t="s">
        <v>18125</v>
      </c>
      <c r="D10247" t="s">
        <v>17255</v>
      </c>
      <c r="E10247" t="s">
        <v>17488</v>
      </c>
      <c r="F10247" t="s">
        <v>17489</v>
      </c>
      <c r="G10247" t="s">
        <v>17490</v>
      </c>
      <c r="H10247" t="s">
        <v>859</v>
      </c>
      <c r="I10247" t="s">
        <v>860</v>
      </c>
      <c r="J10247" t="str">
        <f>"9270364"</f>
        <v>9270364</v>
      </c>
      <c r="K10247">
        <v>2463025877</v>
      </c>
      <c r="L10247">
        <v>2463025877</v>
      </c>
      <c r="M10247" t="s">
        <v>18126</v>
      </c>
      <c r="N10247" t="s">
        <v>17489</v>
      </c>
      <c r="O10247" t="s">
        <v>18127</v>
      </c>
      <c r="P10247">
        <v>50200</v>
      </c>
      <c r="Q10247" t="str">
        <f>"40.505590"</f>
        <v>40.505590</v>
      </c>
      <c r="R10247" t="str">
        <f>"21.672126"</f>
        <v>21.672126</v>
      </c>
      <c r="S10247" t="s">
        <v>26</v>
      </c>
    </row>
    <row r="10248" spans="1:19" x14ac:dyDescent="0.3">
      <c r="A10248" t="s">
        <v>17244</v>
      </c>
      <c r="B10248" t="s">
        <v>18072</v>
      </c>
      <c r="C10248" t="s">
        <v>18128</v>
      </c>
      <c r="D10248" t="s">
        <v>17255</v>
      </c>
      <c r="E10248" t="s">
        <v>17488</v>
      </c>
      <c r="F10248" t="s">
        <v>17624</v>
      </c>
      <c r="G10248" t="s">
        <v>17625</v>
      </c>
      <c r="H10248" t="s">
        <v>859</v>
      </c>
      <c r="I10248" t="s">
        <v>860</v>
      </c>
      <c r="J10248" t="str">
        <f>"9270104"</f>
        <v>9270104</v>
      </c>
      <c r="K10248">
        <v>2463031270</v>
      </c>
      <c r="L10248">
        <v>2463031088</v>
      </c>
      <c r="M10248" t="s">
        <v>18129</v>
      </c>
      <c r="N10248" t="s">
        <v>17625</v>
      </c>
      <c r="O10248" t="s">
        <v>18130</v>
      </c>
      <c r="P10248">
        <v>50200</v>
      </c>
      <c r="Q10248" t="str">
        <f>"40.543101"</f>
        <v>40.543101</v>
      </c>
      <c r="R10248" t="str">
        <f>"21.748358"</f>
        <v>21.748358</v>
      </c>
      <c r="S10248" t="s">
        <v>26</v>
      </c>
    </row>
    <row r="10249" spans="1:19" x14ac:dyDescent="0.3">
      <c r="A10249" t="s">
        <v>17244</v>
      </c>
      <c r="B10249" t="s">
        <v>18072</v>
      </c>
      <c r="C10249" t="s">
        <v>18198</v>
      </c>
      <c r="D10249" t="s">
        <v>17255</v>
      </c>
      <c r="E10249" t="s">
        <v>17488</v>
      </c>
      <c r="F10249" t="s">
        <v>17624</v>
      </c>
      <c r="G10249" t="s">
        <v>18197</v>
      </c>
      <c r="H10249" t="s">
        <v>859</v>
      </c>
      <c r="I10249" t="s">
        <v>860</v>
      </c>
      <c r="J10249" t="str">
        <f>"9270126"</f>
        <v>9270126</v>
      </c>
      <c r="K10249">
        <v>2463091062</v>
      </c>
      <c r="N10249" t="s">
        <v>18197</v>
      </c>
      <c r="O10249" t="s">
        <v>18199</v>
      </c>
      <c r="P10249">
        <v>53070</v>
      </c>
      <c r="Q10249" t="str">
        <f>"40.627248"</f>
        <v>40.627248</v>
      </c>
      <c r="R10249" t="str">
        <f>"21.833174"</f>
        <v>21.833174</v>
      </c>
      <c r="S10249" t="s">
        <v>26</v>
      </c>
    </row>
    <row r="10250" spans="1:19" x14ac:dyDescent="0.3">
      <c r="A10250" t="s">
        <v>17244</v>
      </c>
      <c r="B10250" t="s">
        <v>18072</v>
      </c>
      <c r="C10250" t="s">
        <v>18204</v>
      </c>
      <c r="D10250" t="s">
        <v>17255</v>
      </c>
      <c r="E10250" t="s">
        <v>17488</v>
      </c>
      <c r="F10250" t="s">
        <v>17624</v>
      </c>
      <c r="G10250" t="s">
        <v>2393</v>
      </c>
      <c r="H10250" t="s">
        <v>859</v>
      </c>
      <c r="I10250" t="s">
        <v>860</v>
      </c>
      <c r="J10250" t="str">
        <f>"9270122"</f>
        <v>9270122</v>
      </c>
      <c r="K10250">
        <v>2463031243</v>
      </c>
      <c r="M10250" t="s">
        <v>18205</v>
      </c>
      <c r="N10250" t="s">
        <v>2393</v>
      </c>
      <c r="O10250" t="s">
        <v>18206</v>
      </c>
      <c r="P10250">
        <v>53070</v>
      </c>
      <c r="Q10250" t="str">
        <f>"40.474807"</f>
        <v>40.474807</v>
      </c>
      <c r="R10250" t="str">
        <f>"21.562457"</f>
        <v>21.562457</v>
      </c>
      <c r="S10250" t="s">
        <v>26</v>
      </c>
    </row>
    <row r="10251" spans="1:19" x14ac:dyDescent="0.3">
      <c r="A10251" t="s">
        <v>17244</v>
      </c>
      <c r="B10251" t="s">
        <v>18072</v>
      </c>
      <c r="C10251" t="s">
        <v>18209</v>
      </c>
      <c r="D10251" t="s">
        <v>17255</v>
      </c>
      <c r="E10251" t="s">
        <v>17434</v>
      </c>
      <c r="F10251" t="s">
        <v>17586</v>
      </c>
      <c r="G10251" t="s">
        <v>17587</v>
      </c>
      <c r="H10251" t="s">
        <v>859</v>
      </c>
      <c r="I10251" t="s">
        <v>860</v>
      </c>
      <c r="J10251" t="str">
        <f>"9270070"</f>
        <v>9270070</v>
      </c>
      <c r="K10251">
        <v>2468031507</v>
      </c>
      <c r="L10251">
        <v>2468031049</v>
      </c>
      <c r="M10251" t="s">
        <v>18210</v>
      </c>
      <c r="N10251" t="s">
        <v>17590</v>
      </c>
      <c r="O10251" t="s">
        <v>18211</v>
      </c>
      <c r="P10251">
        <v>50002</v>
      </c>
      <c r="Q10251" t="str">
        <f>"40.262732"</f>
        <v>40.262732</v>
      </c>
      <c r="R10251" t="str">
        <f>"21.322619"</f>
        <v>21.322619</v>
      </c>
      <c r="S10251" t="s">
        <v>26</v>
      </c>
    </row>
    <row r="10252" spans="1:19" x14ac:dyDescent="0.3">
      <c r="A10252" t="s">
        <v>17244</v>
      </c>
      <c r="B10252" t="s">
        <v>18072</v>
      </c>
      <c r="C10252" t="s">
        <v>18212</v>
      </c>
      <c r="D10252" t="s">
        <v>17255</v>
      </c>
      <c r="E10252" t="s">
        <v>17488</v>
      </c>
      <c r="F10252" t="s">
        <v>17489</v>
      </c>
      <c r="G10252" t="s">
        <v>17490</v>
      </c>
      <c r="H10252" t="s">
        <v>859</v>
      </c>
      <c r="I10252" t="s">
        <v>860</v>
      </c>
      <c r="J10252" t="str">
        <f>"9270085"</f>
        <v>9270085</v>
      </c>
      <c r="K10252">
        <v>2463026124</v>
      </c>
      <c r="L10252">
        <v>2463026124</v>
      </c>
      <c r="M10252" t="s">
        <v>18213</v>
      </c>
      <c r="N10252" t="s">
        <v>17489</v>
      </c>
      <c r="O10252" t="s">
        <v>18214</v>
      </c>
      <c r="P10252">
        <v>50200</v>
      </c>
      <c r="Q10252" t="str">
        <f>"40.513719"</f>
        <v>40.513719</v>
      </c>
      <c r="R10252" t="str">
        <f>"21.688932"</f>
        <v>21.688932</v>
      </c>
      <c r="S10252" t="s">
        <v>26</v>
      </c>
    </row>
    <row r="10253" spans="1:19" x14ac:dyDescent="0.3">
      <c r="A10253" t="s">
        <v>17244</v>
      </c>
      <c r="B10253" t="s">
        <v>18072</v>
      </c>
      <c r="C10253" t="s">
        <v>18216</v>
      </c>
      <c r="D10253" t="s">
        <v>17255</v>
      </c>
      <c r="E10253" t="s">
        <v>17488</v>
      </c>
      <c r="F10253" t="s">
        <v>17624</v>
      </c>
      <c r="G10253" t="s">
        <v>18215</v>
      </c>
      <c r="H10253" t="s">
        <v>859</v>
      </c>
      <c r="I10253" t="s">
        <v>860</v>
      </c>
      <c r="J10253" t="str">
        <f>"9270139"</f>
        <v>9270139</v>
      </c>
      <c r="K10253">
        <v>2463091611</v>
      </c>
      <c r="L10253">
        <v>2463091203</v>
      </c>
      <c r="M10253" t="s">
        <v>18217</v>
      </c>
      <c r="N10253" t="s">
        <v>18215</v>
      </c>
      <c r="O10253" t="s">
        <v>18218</v>
      </c>
      <c r="P10253">
        <v>50006</v>
      </c>
      <c r="Q10253" t="str">
        <f>"40.669448"</f>
        <v>40.669448</v>
      </c>
      <c r="R10253" t="str">
        <f>"21.837069"</f>
        <v>21.837069</v>
      </c>
      <c r="S10253" t="s">
        <v>26</v>
      </c>
    </row>
    <row r="10254" spans="1:19" x14ac:dyDescent="0.3">
      <c r="A10254" t="s">
        <v>17244</v>
      </c>
      <c r="B10254" t="s">
        <v>18072</v>
      </c>
      <c r="C10254" t="s">
        <v>18219</v>
      </c>
      <c r="D10254" t="s">
        <v>17255</v>
      </c>
      <c r="E10254" t="s">
        <v>17488</v>
      </c>
      <c r="F10254" t="s">
        <v>17489</v>
      </c>
      <c r="G10254" t="s">
        <v>17490</v>
      </c>
      <c r="H10254" t="s">
        <v>859</v>
      </c>
      <c r="I10254" t="s">
        <v>860</v>
      </c>
      <c r="J10254" t="str">
        <f>"9270088"</f>
        <v>9270088</v>
      </c>
      <c r="K10254">
        <v>2463027421</v>
      </c>
      <c r="L10254">
        <v>2463027421</v>
      </c>
      <c r="M10254" t="s">
        <v>18220</v>
      </c>
      <c r="N10254" t="s">
        <v>17489</v>
      </c>
      <c r="O10254" t="s">
        <v>18221</v>
      </c>
      <c r="P10254">
        <v>50200</v>
      </c>
      <c r="Q10254" t="str">
        <f>"40.519452"</f>
        <v>40.519452</v>
      </c>
      <c r="R10254" t="str">
        <f>"21.680537"</f>
        <v>21.680537</v>
      </c>
      <c r="S10254" t="s">
        <v>26</v>
      </c>
    </row>
    <row r="10255" spans="1:19" x14ac:dyDescent="0.3">
      <c r="A10255" t="s">
        <v>17244</v>
      </c>
      <c r="B10255" t="s">
        <v>18072</v>
      </c>
      <c r="C10255" t="s">
        <v>18226</v>
      </c>
      <c r="D10255" t="s">
        <v>17255</v>
      </c>
      <c r="E10255" t="s">
        <v>17488</v>
      </c>
      <c r="F10255" t="s">
        <v>17576</v>
      </c>
      <c r="G10255" t="s">
        <v>18225</v>
      </c>
      <c r="H10255" t="s">
        <v>859</v>
      </c>
      <c r="I10255" t="s">
        <v>860</v>
      </c>
      <c r="J10255" t="str">
        <f>"9270128"</f>
        <v>9270128</v>
      </c>
      <c r="K10255">
        <v>2463062062</v>
      </c>
      <c r="L10255">
        <v>2463062062</v>
      </c>
      <c r="M10255" t="s">
        <v>18227</v>
      </c>
      <c r="N10255" t="s">
        <v>18225</v>
      </c>
      <c r="O10255" t="s">
        <v>18228</v>
      </c>
      <c r="P10255">
        <v>50005</v>
      </c>
      <c r="Q10255" t="str">
        <f>"40.505563"</f>
        <v>40.505563</v>
      </c>
      <c r="R10255" t="str">
        <f>"21.536897"</f>
        <v>21.536897</v>
      </c>
      <c r="S10255" t="s">
        <v>26</v>
      </c>
    </row>
    <row r="10256" spans="1:19" x14ac:dyDescent="0.3">
      <c r="A10256" t="s">
        <v>17244</v>
      </c>
      <c r="B10256" t="s">
        <v>18072</v>
      </c>
      <c r="C10256" t="s">
        <v>18231</v>
      </c>
      <c r="D10256" t="s">
        <v>17255</v>
      </c>
      <c r="E10256" t="s">
        <v>17488</v>
      </c>
      <c r="F10256" t="s">
        <v>17489</v>
      </c>
      <c r="G10256" t="s">
        <v>17490</v>
      </c>
      <c r="H10256" t="s">
        <v>859</v>
      </c>
      <c r="I10256" t="s">
        <v>860</v>
      </c>
      <c r="J10256" t="str">
        <f>"9270340"</f>
        <v>9270340</v>
      </c>
      <c r="K10256">
        <v>2463020815</v>
      </c>
      <c r="L10256">
        <v>2463020815</v>
      </c>
      <c r="M10256" t="s">
        <v>18232</v>
      </c>
      <c r="N10256" t="s">
        <v>17489</v>
      </c>
      <c r="O10256" t="s">
        <v>18233</v>
      </c>
      <c r="P10256">
        <v>50200</v>
      </c>
      <c r="Q10256" t="str">
        <f>"40.514791"</f>
        <v>40.514791</v>
      </c>
      <c r="R10256" t="str">
        <f>"21.682867"</f>
        <v>21.682867</v>
      </c>
      <c r="S10256" t="s">
        <v>26</v>
      </c>
    </row>
    <row r="10257" spans="1:19" x14ac:dyDescent="0.3">
      <c r="A10257" t="s">
        <v>17244</v>
      </c>
      <c r="B10257" t="s">
        <v>18072</v>
      </c>
      <c r="C10257" t="s">
        <v>18236</v>
      </c>
      <c r="D10257" t="s">
        <v>17255</v>
      </c>
      <c r="E10257" t="s">
        <v>17488</v>
      </c>
      <c r="F10257" t="s">
        <v>17489</v>
      </c>
      <c r="G10257" t="s">
        <v>17490</v>
      </c>
      <c r="H10257" t="s">
        <v>859</v>
      </c>
      <c r="I10257" t="s">
        <v>860</v>
      </c>
      <c r="J10257" t="str">
        <f>"9270087"</f>
        <v>9270087</v>
      </c>
      <c r="K10257">
        <v>2463023444</v>
      </c>
      <c r="L10257">
        <v>2463023444</v>
      </c>
      <c r="M10257" t="s">
        <v>18237</v>
      </c>
      <c r="N10257" t="s">
        <v>17489</v>
      </c>
      <c r="O10257" t="s">
        <v>18238</v>
      </c>
      <c r="P10257">
        <v>50200</v>
      </c>
      <c r="Q10257" t="str">
        <f>"40.510191"</f>
        <v>40.510191</v>
      </c>
      <c r="R10257" t="str">
        <f>"21.685451"</f>
        <v>21.685451</v>
      </c>
      <c r="S10257" t="s">
        <v>26</v>
      </c>
    </row>
    <row r="10258" spans="1:19" x14ac:dyDescent="0.3">
      <c r="A10258" t="s">
        <v>17244</v>
      </c>
      <c r="B10258" t="s">
        <v>18072</v>
      </c>
      <c r="C10258" t="s">
        <v>18244</v>
      </c>
      <c r="D10258" t="s">
        <v>17255</v>
      </c>
      <c r="E10258" t="s">
        <v>17255</v>
      </c>
      <c r="F10258" t="s">
        <v>17255</v>
      </c>
      <c r="G10258" t="s">
        <v>17255</v>
      </c>
      <c r="H10258" t="s">
        <v>859</v>
      </c>
      <c r="I10258" t="s">
        <v>860</v>
      </c>
      <c r="J10258" t="str">
        <f>"9270333"</f>
        <v>9270333</v>
      </c>
      <c r="K10258">
        <v>2461035965</v>
      </c>
      <c r="M10258" t="s">
        <v>18245</v>
      </c>
      <c r="N10258" t="s">
        <v>17258</v>
      </c>
      <c r="O10258" t="s">
        <v>18246</v>
      </c>
      <c r="P10258">
        <v>50100</v>
      </c>
      <c r="Q10258" t="str">
        <f>"40.290834"</f>
        <v>40.290834</v>
      </c>
      <c r="R10258" t="str">
        <f>"21.785259"</f>
        <v>21.785259</v>
      </c>
      <c r="S10258" t="s">
        <v>26</v>
      </c>
    </row>
    <row r="10259" spans="1:19" x14ac:dyDescent="0.3">
      <c r="A10259" t="s">
        <v>17244</v>
      </c>
      <c r="B10259" t="s">
        <v>18072</v>
      </c>
      <c r="C10259" t="s">
        <v>18247</v>
      </c>
      <c r="D10259" t="s">
        <v>17255</v>
      </c>
      <c r="E10259" t="s">
        <v>17434</v>
      </c>
      <c r="F10259" t="s">
        <v>17435</v>
      </c>
      <c r="G10259" t="s">
        <v>18174</v>
      </c>
      <c r="H10259" t="s">
        <v>859</v>
      </c>
      <c r="I10259" t="s">
        <v>860</v>
      </c>
      <c r="J10259" t="str">
        <f>"9270030"</f>
        <v>9270030</v>
      </c>
      <c r="K10259">
        <v>2465031118</v>
      </c>
      <c r="L10259">
        <v>2465031218</v>
      </c>
      <c r="M10259" t="s">
        <v>18248</v>
      </c>
      <c r="N10259" t="s">
        <v>18249</v>
      </c>
      <c r="O10259" t="s">
        <v>18249</v>
      </c>
      <c r="P10259">
        <v>50003</v>
      </c>
      <c r="Q10259" t="str">
        <f>"40.342467"</f>
        <v>40.342467</v>
      </c>
      <c r="R10259" t="str">
        <f>"21.510332"</f>
        <v>21.510332</v>
      </c>
      <c r="S10259" t="s">
        <v>26</v>
      </c>
    </row>
    <row r="10260" spans="1:19" x14ac:dyDescent="0.3">
      <c r="A10260" t="s">
        <v>17244</v>
      </c>
      <c r="B10260" t="s">
        <v>18072</v>
      </c>
      <c r="C10260" t="s">
        <v>18250</v>
      </c>
      <c r="D10260" t="s">
        <v>17255</v>
      </c>
      <c r="E10260" t="s">
        <v>17434</v>
      </c>
      <c r="F10260" t="s">
        <v>15257</v>
      </c>
      <c r="G10260" t="s">
        <v>15257</v>
      </c>
      <c r="H10260" t="s">
        <v>859</v>
      </c>
      <c r="I10260" t="s">
        <v>860</v>
      </c>
      <c r="J10260" t="str">
        <f>"9270053"</f>
        <v>9270053</v>
      </c>
      <c r="K10260">
        <v>2468041211</v>
      </c>
      <c r="L10260">
        <v>2468041211</v>
      </c>
      <c r="M10260" t="s">
        <v>18251</v>
      </c>
      <c r="N10260" t="s">
        <v>15374</v>
      </c>
      <c r="O10260" t="s">
        <v>15374</v>
      </c>
      <c r="P10260">
        <v>50007</v>
      </c>
      <c r="Q10260" t="str">
        <f>"40.193389"</f>
        <v>40.193389</v>
      </c>
      <c r="R10260" t="str">
        <f>"21.140848"</f>
        <v>21.140848</v>
      </c>
      <c r="S10260" t="s">
        <v>57</v>
      </c>
    </row>
    <row r="10261" spans="1:19" x14ac:dyDescent="0.3">
      <c r="A10261" t="s">
        <v>17244</v>
      </c>
      <c r="B10261" t="s">
        <v>18072</v>
      </c>
      <c r="C10261" t="s">
        <v>18263</v>
      </c>
      <c r="D10261" t="s">
        <v>17255</v>
      </c>
      <c r="E10261" t="s">
        <v>17460</v>
      </c>
      <c r="F10261" t="s">
        <v>17460</v>
      </c>
      <c r="G10261" t="s">
        <v>17460</v>
      </c>
      <c r="H10261" t="s">
        <v>859</v>
      </c>
      <c r="I10261" t="s">
        <v>860</v>
      </c>
      <c r="J10261" t="str">
        <f>"9270331"</f>
        <v>9270331</v>
      </c>
      <c r="K10261">
        <v>2464023982</v>
      </c>
      <c r="L10261">
        <v>2464023982</v>
      </c>
      <c r="M10261" t="s">
        <v>18264</v>
      </c>
      <c r="N10261" t="s">
        <v>17476</v>
      </c>
      <c r="O10261" t="s">
        <v>18265</v>
      </c>
      <c r="P10261">
        <v>50500</v>
      </c>
      <c r="Q10261" t="str">
        <f>"40.185309"</f>
        <v>40.185309</v>
      </c>
      <c r="R10261" t="str">
        <f>"21.999192"</f>
        <v>21.999192</v>
      </c>
      <c r="S10261" t="s">
        <v>26</v>
      </c>
    </row>
    <row r="10262" spans="1:19" x14ac:dyDescent="0.3">
      <c r="A10262" t="s">
        <v>17244</v>
      </c>
      <c r="B10262" t="s">
        <v>18072</v>
      </c>
      <c r="C10262" t="s">
        <v>18272</v>
      </c>
      <c r="D10262" t="s">
        <v>17255</v>
      </c>
      <c r="E10262" t="s">
        <v>17460</v>
      </c>
      <c r="F10262" t="s">
        <v>17636</v>
      </c>
      <c r="G10262" t="s">
        <v>17637</v>
      </c>
      <c r="H10262" t="s">
        <v>859</v>
      </c>
      <c r="I10262" t="s">
        <v>860</v>
      </c>
      <c r="J10262" t="str">
        <f>"9270306"</f>
        <v>9270306</v>
      </c>
      <c r="K10262">
        <v>2464051267</v>
      </c>
      <c r="L10262">
        <v>2464051267</v>
      </c>
      <c r="M10262" t="s">
        <v>18273</v>
      </c>
      <c r="N10262" t="s">
        <v>17641</v>
      </c>
      <c r="O10262" t="s">
        <v>17641</v>
      </c>
      <c r="P10262">
        <v>50500</v>
      </c>
      <c r="Q10262" t="str">
        <f>"40.060348"</f>
        <v>40.060348</v>
      </c>
      <c r="R10262" t="str">
        <f>"21.867126"</f>
        <v>21.867126</v>
      </c>
      <c r="S10262" t="s">
        <v>26</v>
      </c>
    </row>
    <row r="10263" spans="1:19" x14ac:dyDescent="0.3">
      <c r="A10263" t="s">
        <v>17244</v>
      </c>
      <c r="B10263" t="s">
        <v>18072</v>
      </c>
      <c r="C10263" t="s">
        <v>18274</v>
      </c>
      <c r="D10263" t="s">
        <v>17255</v>
      </c>
      <c r="E10263" t="s">
        <v>17255</v>
      </c>
      <c r="F10263" t="s">
        <v>17551</v>
      </c>
      <c r="G10263" t="s">
        <v>15824</v>
      </c>
      <c r="H10263" t="s">
        <v>859</v>
      </c>
      <c r="I10263" t="s">
        <v>860</v>
      </c>
      <c r="J10263" t="str">
        <f>"9270181"</f>
        <v>9270181</v>
      </c>
      <c r="K10263">
        <v>2461092476</v>
      </c>
      <c r="L10263">
        <v>2461092476</v>
      </c>
      <c r="M10263" t="s">
        <v>18275</v>
      </c>
      <c r="O10263" t="s">
        <v>18159</v>
      </c>
      <c r="P10263">
        <v>50100</v>
      </c>
      <c r="Q10263" t="str">
        <f>"40.352026"</f>
        <v>40.352026</v>
      </c>
      <c r="R10263" t="str">
        <f>"21.833376"</f>
        <v>21.833376</v>
      </c>
      <c r="S10263" t="s">
        <v>26</v>
      </c>
    </row>
    <row r="10264" spans="1:19" x14ac:dyDescent="0.3">
      <c r="A10264" t="s">
        <v>17244</v>
      </c>
      <c r="B10264" t="s">
        <v>18072</v>
      </c>
      <c r="C10264" t="s">
        <v>18278</v>
      </c>
      <c r="D10264" t="s">
        <v>17255</v>
      </c>
      <c r="E10264" t="s">
        <v>17255</v>
      </c>
      <c r="F10264" t="s">
        <v>17642</v>
      </c>
      <c r="G10264" t="s">
        <v>17642</v>
      </c>
      <c r="H10264" t="s">
        <v>859</v>
      </c>
      <c r="I10264" t="s">
        <v>860</v>
      </c>
      <c r="J10264" t="str">
        <f>"9270285"</f>
        <v>9270285</v>
      </c>
      <c r="K10264">
        <v>2461098603</v>
      </c>
      <c r="L10264">
        <v>2461098603</v>
      </c>
      <c r="M10264" t="s">
        <v>18279</v>
      </c>
      <c r="N10264" t="s">
        <v>18258</v>
      </c>
      <c r="O10264" t="s">
        <v>18258</v>
      </c>
      <c r="P10264">
        <v>50004</v>
      </c>
      <c r="Q10264" t="str">
        <f>"40.161741"</f>
        <v>40.161741</v>
      </c>
      <c r="R10264" t="str">
        <f>"21.818345"</f>
        <v>21.818345</v>
      </c>
      <c r="S10264" t="s">
        <v>26</v>
      </c>
    </row>
    <row r="10265" spans="1:19" x14ac:dyDescent="0.3">
      <c r="A10265" t="s">
        <v>17244</v>
      </c>
      <c r="B10265" t="s">
        <v>18072</v>
      </c>
      <c r="C10265" t="s">
        <v>18281</v>
      </c>
      <c r="D10265" t="s">
        <v>17255</v>
      </c>
      <c r="E10265" t="s">
        <v>17255</v>
      </c>
      <c r="F10265" t="s">
        <v>17255</v>
      </c>
      <c r="G10265" t="s">
        <v>18280</v>
      </c>
      <c r="H10265" t="s">
        <v>859</v>
      </c>
      <c r="I10265" t="s">
        <v>860</v>
      </c>
      <c r="J10265" t="str">
        <f>"9270321"</f>
        <v>9270321</v>
      </c>
      <c r="K10265">
        <v>2461045385</v>
      </c>
      <c r="L10265">
        <v>2461045385</v>
      </c>
      <c r="M10265" t="s">
        <v>18282</v>
      </c>
      <c r="N10265" t="s">
        <v>18283</v>
      </c>
      <c r="O10265" t="s">
        <v>18283</v>
      </c>
      <c r="P10265">
        <v>50100</v>
      </c>
      <c r="Q10265" t="str">
        <f>"40.331721"</f>
        <v>40.331721</v>
      </c>
      <c r="R10265" t="str">
        <f>"21.790334"</f>
        <v>21.790334</v>
      </c>
      <c r="S10265" t="s">
        <v>26</v>
      </c>
    </row>
    <row r="10266" spans="1:19" x14ac:dyDescent="0.3">
      <c r="A10266" t="s">
        <v>17244</v>
      </c>
      <c r="B10266" t="s">
        <v>18072</v>
      </c>
      <c r="C10266" t="s">
        <v>18295</v>
      </c>
      <c r="D10266" t="s">
        <v>17255</v>
      </c>
      <c r="E10266" t="s">
        <v>17460</v>
      </c>
      <c r="F10266" t="s">
        <v>17460</v>
      </c>
      <c r="G10266" t="s">
        <v>17460</v>
      </c>
      <c r="H10266" t="s">
        <v>859</v>
      </c>
      <c r="I10266" t="s">
        <v>860</v>
      </c>
      <c r="J10266" t="str">
        <f>"9270398"</f>
        <v>9270398</v>
      </c>
      <c r="K10266">
        <v>2464024532</v>
      </c>
      <c r="L10266">
        <v>2464024532</v>
      </c>
      <c r="M10266" t="s">
        <v>18296</v>
      </c>
      <c r="N10266" t="s">
        <v>17476</v>
      </c>
      <c r="O10266" t="s">
        <v>17476</v>
      </c>
      <c r="P10266">
        <v>50500</v>
      </c>
      <c r="Q10266" t="str">
        <f>"40.191408"</f>
        <v>40.191408</v>
      </c>
      <c r="R10266" t="str">
        <f>"22.015111"</f>
        <v>22.015111</v>
      </c>
      <c r="S10266" t="s">
        <v>26</v>
      </c>
    </row>
    <row r="10267" spans="1:19" x14ac:dyDescent="0.3">
      <c r="A10267" t="s">
        <v>17244</v>
      </c>
      <c r="B10267" t="s">
        <v>18072</v>
      </c>
      <c r="C10267" t="s">
        <v>18297</v>
      </c>
      <c r="D10267" t="s">
        <v>17255</v>
      </c>
      <c r="E10267" t="s">
        <v>17255</v>
      </c>
      <c r="F10267" t="s">
        <v>17551</v>
      </c>
      <c r="G10267" t="s">
        <v>3295</v>
      </c>
      <c r="H10267" t="s">
        <v>859</v>
      </c>
      <c r="I10267" t="s">
        <v>860</v>
      </c>
      <c r="J10267" t="str">
        <f>"9270169"</f>
        <v>9270169</v>
      </c>
      <c r="K10267">
        <v>2461094363</v>
      </c>
      <c r="L10267">
        <v>2461094363</v>
      </c>
      <c r="M10267" t="s">
        <v>18298</v>
      </c>
      <c r="N10267" t="s">
        <v>3472</v>
      </c>
      <c r="O10267" t="s">
        <v>3472</v>
      </c>
      <c r="P10267">
        <v>50100</v>
      </c>
      <c r="Q10267" t="str">
        <f>"40.411398"</f>
        <v>40.411398</v>
      </c>
      <c r="R10267" t="str">
        <f>"21.928765"</f>
        <v>21.928765</v>
      </c>
      <c r="S10267" t="s">
        <v>26</v>
      </c>
    </row>
    <row r="10268" spans="1:19" x14ac:dyDescent="0.3">
      <c r="A10268" t="s">
        <v>17244</v>
      </c>
      <c r="B10268" t="s">
        <v>18072</v>
      </c>
      <c r="C10268" t="s">
        <v>18299</v>
      </c>
      <c r="D10268" t="s">
        <v>17255</v>
      </c>
      <c r="E10268" t="s">
        <v>17503</v>
      </c>
      <c r="F10268" t="s">
        <v>17503</v>
      </c>
      <c r="G10268" t="s">
        <v>17503</v>
      </c>
      <c r="H10268" t="s">
        <v>859</v>
      </c>
      <c r="I10268" t="s">
        <v>860</v>
      </c>
      <c r="J10268" t="str">
        <f>"9270228"</f>
        <v>9270228</v>
      </c>
      <c r="K10268">
        <v>2464032092</v>
      </c>
      <c r="L10268">
        <v>2464032092</v>
      </c>
      <c r="M10268" t="s">
        <v>18300</v>
      </c>
      <c r="N10268" t="s">
        <v>17503</v>
      </c>
      <c r="O10268" t="s">
        <v>18132</v>
      </c>
      <c r="P10268">
        <v>50400</v>
      </c>
      <c r="Q10268" t="str">
        <f>"40.257200"</f>
        <v>40.257200</v>
      </c>
      <c r="R10268" t="str">
        <f>"22.066661"</f>
        <v>22.066661</v>
      </c>
      <c r="S10268" t="s">
        <v>26</v>
      </c>
    </row>
    <row r="10269" spans="1:19" x14ac:dyDescent="0.3">
      <c r="A10269" t="s">
        <v>17244</v>
      </c>
      <c r="B10269" t="s">
        <v>18072</v>
      </c>
      <c r="C10269" t="s">
        <v>18301</v>
      </c>
      <c r="D10269" t="s">
        <v>17255</v>
      </c>
      <c r="E10269" t="s">
        <v>17460</v>
      </c>
      <c r="F10269" t="s">
        <v>17460</v>
      </c>
      <c r="G10269" t="s">
        <v>18166</v>
      </c>
      <c r="H10269" t="s">
        <v>859</v>
      </c>
      <c r="I10269" t="s">
        <v>860</v>
      </c>
      <c r="J10269" t="str">
        <f>"9270291"</f>
        <v>9270291</v>
      </c>
      <c r="K10269">
        <v>2464022460</v>
      </c>
      <c r="L10269">
        <v>2464022460</v>
      </c>
      <c r="M10269" t="s">
        <v>18302</v>
      </c>
      <c r="N10269" t="s">
        <v>18169</v>
      </c>
      <c r="O10269" t="s">
        <v>18169</v>
      </c>
      <c r="P10269">
        <v>50500</v>
      </c>
      <c r="Q10269" t="str">
        <f>"40.199618"</f>
        <v>40.199618</v>
      </c>
      <c r="R10269" t="str">
        <f>"22.024251"</f>
        <v>22.024251</v>
      </c>
      <c r="S10269" t="s">
        <v>26</v>
      </c>
    </row>
    <row r="10270" spans="1:19" x14ac:dyDescent="0.3">
      <c r="A10270" t="s">
        <v>17244</v>
      </c>
      <c r="B10270" t="s">
        <v>18072</v>
      </c>
      <c r="C10270" t="s">
        <v>18304</v>
      </c>
      <c r="D10270" t="s">
        <v>17255</v>
      </c>
      <c r="E10270" t="s">
        <v>17255</v>
      </c>
      <c r="F10270" t="s">
        <v>17255</v>
      </c>
      <c r="G10270" t="s">
        <v>17446</v>
      </c>
      <c r="H10270" t="s">
        <v>859</v>
      </c>
      <c r="I10270" t="s">
        <v>860</v>
      </c>
      <c r="J10270" t="str">
        <f>"9270081"</f>
        <v>9270081</v>
      </c>
      <c r="K10270">
        <v>2461091479</v>
      </c>
      <c r="L10270">
        <v>2461091479</v>
      </c>
      <c r="M10270" t="s">
        <v>18305</v>
      </c>
      <c r="N10270" t="s">
        <v>18306</v>
      </c>
      <c r="O10270" t="s">
        <v>18306</v>
      </c>
      <c r="P10270">
        <v>50100</v>
      </c>
      <c r="Q10270" t="str">
        <f>"40.297331"</f>
        <v>40.297331</v>
      </c>
      <c r="R10270" t="str">
        <f>"21.661551"</f>
        <v>21.661551</v>
      </c>
      <c r="S10270" t="s">
        <v>26</v>
      </c>
    </row>
    <row r="10271" spans="1:19" x14ac:dyDescent="0.3">
      <c r="A10271" t="s">
        <v>17244</v>
      </c>
      <c r="B10271" t="s">
        <v>18072</v>
      </c>
      <c r="C10271" t="s">
        <v>18307</v>
      </c>
      <c r="D10271" t="s">
        <v>17255</v>
      </c>
      <c r="E10271" t="s">
        <v>17460</v>
      </c>
      <c r="F10271" t="s">
        <v>17604</v>
      </c>
      <c r="G10271" t="s">
        <v>17604</v>
      </c>
      <c r="H10271" t="s">
        <v>859</v>
      </c>
      <c r="I10271" t="s">
        <v>860</v>
      </c>
      <c r="J10271" t="str">
        <f>"9270245"</f>
        <v>9270245</v>
      </c>
      <c r="K10271">
        <v>2464041587</v>
      </c>
      <c r="L10271">
        <v>2464041587</v>
      </c>
      <c r="M10271" t="s">
        <v>18308</v>
      </c>
      <c r="N10271" t="s">
        <v>17608</v>
      </c>
      <c r="O10271" t="s">
        <v>17608</v>
      </c>
      <c r="P10271">
        <v>50500</v>
      </c>
      <c r="Q10271" t="str">
        <f>"40.032680"</f>
        <v>40.032680</v>
      </c>
      <c r="R10271" t="str">
        <f>"21.940005"</f>
        <v>21.940005</v>
      </c>
      <c r="S10271" t="s">
        <v>26</v>
      </c>
    </row>
    <row r="10272" spans="1:19" x14ac:dyDescent="0.3">
      <c r="A10272" t="s">
        <v>17244</v>
      </c>
      <c r="B10272" t="s">
        <v>18072</v>
      </c>
      <c r="C10272" t="s">
        <v>18309</v>
      </c>
      <c r="D10272" t="s">
        <v>17255</v>
      </c>
      <c r="E10272" t="s">
        <v>17255</v>
      </c>
      <c r="F10272" t="s">
        <v>17255</v>
      </c>
      <c r="G10272" t="s">
        <v>18201</v>
      </c>
      <c r="H10272" t="s">
        <v>859</v>
      </c>
      <c r="I10272" t="s">
        <v>860</v>
      </c>
      <c r="J10272" t="str">
        <f>"9270179"</f>
        <v>9270179</v>
      </c>
      <c r="K10272">
        <v>2461095210</v>
      </c>
      <c r="M10272" t="s">
        <v>18310</v>
      </c>
      <c r="N10272" t="s">
        <v>18203</v>
      </c>
      <c r="O10272" t="s">
        <v>18203</v>
      </c>
      <c r="P10272">
        <v>50100</v>
      </c>
      <c r="Q10272" t="str">
        <f>"40.289977"</f>
        <v>40.289977</v>
      </c>
      <c r="R10272" t="str">
        <f>"21.733256"</f>
        <v>21.733256</v>
      </c>
      <c r="S10272" t="s">
        <v>26</v>
      </c>
    </row>
    <row r="10273" spans="1:19" x14ac:dyDescent="0.3">
      <c r="A10273" t="s">
        <v>17244</v>
      </c>
      <c r="B10273" t="s">
        <v>18072</v>
      </c>
      <c r="C10273" t="s">
        <v>18312</v>
      </c>
      <c r="D10273" t="s">
        <v>17255</v>
      </c>
      <c r="E10273" t="s">
        <v>17255</v>
      </c>
      <c r="F10273" t="s">
        <v>17255</v>
      </c>
      <c r="G10273" t="s">
        <v>18311</v>
      </c>
      <c r="H10273" t="s">
        <v>859</v>
      </c>
      <c r="I10273" t="s">
        <v>860</v>
      </c>
      <c r="J10273" t="str">
        <f>"9270303"</f>
        <v>9270303</v>
      </c>
      <c r="K10273">
        <v>2461033406</v>
      </c>
      <c r="L10273">
        <v>2461033406</v>
      </c>
      <c r="M10273" t="s">
        <v>18313</v>
      </c>
      <c r="N10273" t="s">
        <v>18311</v>
      </c>
      <c r="O10273" t="s">
        <v>18314</v>
      </c>
      <c r="P10273">
        <v>50100</v>
      </c>
      <c r="Q10273" t="str">
        <f>"40.271523"</f>
        <v>40.271523</v>
      </c>
      <c r="R10273" t="str">
        <f>"21.777235"</f>
        <v>21.777235</v>
      </c>
      <c r="S10273" t="s">
        <v>26</v>
      </c>
    </row>
    <row r="10274" spans="1:19" x14ac:dyDescent="0.3">
      <c r="A10274" t="s">
        <v>17244</v>
      </c>
      <c r="B10274" t="s">
        <v>18072</v>
      </c>
      <c r="C10274" t="s">
        <v>18315</v>
      </c>
      <c r="D10274" t="s">
        <v>17255</v>
      </c>
      <c r="E10274" t="s">
        <v>17255</v>
      </c>
      <c r="F10274" t="s">
        <v>17255</v>
      </c>
      <c r="G10274" t="s">
        <v>17255</v>
      </c>
      <c r="H10274" t="s">
        <v>859</v>
      </c>
      <c r="I10274" t="s">
        <v>860</v>
      </c>
      <c r="J10274" t="str">
        <f>"9270319"</f>
        <v>9270319</v>
      </c>
      <c r="K10274">
        <v>2461040125</v>
      </c>
      <c r="L10274">
        <v>2461026717</v>
      </c>
      <c r="M10274" t="s">
        <v>18316</v>
      </c>
      <c r="N10274" t="s">
        <v>17258</v>
      </c>
      <c r="O10274" t="s">
        <v>18317</v>
      </c>
      <c r="P10274">
        <v>50100</v>
      </c>
      <c r="Q10274" t="str">
        <f>"40.307240"</f>
        <v>40.307240</v>
      </c>
      <c r="R10274" t="str">
        <f>"21.788669"</f>
        <v>21.788669</v>
      </c>
      <c r="S10274" t="s">
        <v>26</v>
      </c>
    </row>
    <row r="10275" spans="1:19" x14ac:dyDescent="0.3">
      <c r="A10275" t="s">
        <v>17244</v>
      </c>
      <c r="B10275" t="s">
        <v>18072</v>
      </c>
      <c r="C10275" t="s">
        <v>18318</v>
      </c>
      <c r="D10275" t="s">
        <v>17255</v>
      </c>
      <c r="E10275" t="s">
        <v>17255</v>
      </c>
      <c r="F10275" t="s">
        <v>17614</v>
      </c>
      <c r="G10275" t="s">
        <v>17615</v>
      </c>
      <c r="H10275" t="s">
        <v>859</v>
      </c>
      <c r="I10275" t="s">
        <v>860</v>
      </c>
      <c r="J10275" t="str">
        <f>"9270287"</f>
        <v>9270287</v>
      </c>
      <c r="K10275">
        <v>2461063880</v>
      </c>
      <c r="L10275">
        <v>2461063880</v>
      </c>
      <c r="M10275" t="s">
        <v>18319</v>
      </c>
      <c r="N10275" t="s">
        <v>18191</v>
      </c>
      <c r="O10275" t="s">
        <v>18320</v>
      </c>
      <c r="P10275">
        <v>50010</v>
      </c>
      <c r="Q10275" t="str">
        <f>"40.264231"</f>
        <v>40.264231</v>
      </c>
      <c r="R10275" t="str">
        <f>"21.816263"</f>
        <v>21.816263</v>
      </c>
      <c r="S10275" t="s">
        <v>26</v>
      </c>
    </row>
    <row r="10276" spans="1:19" x14ac:dyDescent="0.3">
      <c r="A10276" t="s">
        <v>17244</v>
      </c>
      <c r="B10276" t="s">
        <v>18072</v>
      </c>
      <c r="C10276" t="s">
        <v>18321</v>
      </c>
      <c r="D10276" t="s">
        <v>17255</v>
      </c>
      <c r="E10276" t="s">
        <v>17255</v>
      </c>
      <c r="F10276" t="s">
        <v>17255</v>
      </c>
      <c r="G10276" t="s">
        <v>17255</v>
      </c>
      <c r="H10276" t="s">
        <v>859</v>
      </c>
      <c r="I10276" t="s">
        <v>860</v>
      </c>
      <c r="J10276" t="str">
        <f>"9270289"</f>
        <v>9270289</v>
      </c>
      <c r="K10276">
        <v>2461037492</v>
      </c>
      <c r="L10276">
        <v>2461037492</v>
      </c>
      <c r="M10276" t="s">
        <v>18322</v>
      </c>
      <c r="N10276" t="s">
        <v>17258</v>
      </c>
      <c r="O10276" t="s">
        <v>18323</v>
      </c>
      <c r="P10276">
        <v>50100</v>
      </c>
      <c r="Q10276" t="str">
        <f>"40.303662"</f>
        <v>40.303662</v>
      </c>
      <c r="R10276" t="str">
        <f>"21.785494"</f>
        <v>21.785494</v>
      </c>
      <c r="S10276" t="s">
        <v>26</v>
      </c>
    </row>
    <row r="10277" spans="1:19" x14ac:dyDescent="0.3">
      <c r="A10277" t="s">
        <v>17244</v>
      </c>
      <c r="B10277" t="s">
        <v>18072</v>
      </c>
      <c r="C10277" t="s">
        <v>18324</v>
      </c>
      <c r="D10277" t="s">
        <v>17255</v>
      </c>
      <c r="E10277" t="s">
        <v>17255</v>
      </c>
      <c r="F10277" t="s">
        <v>17255</v>
      </c>
      <c r="G10277" t="s">
        <v>17255</v>
      </c>
      <c r="H10277" t="s">
        <v>859</v>
      </c>
      <c r="I10277" t="s">
        <v>860</v>
      </c>
      <c r="J10277" t="str">
        <f>"9270382"</f>
        <v>9270382</v>
      </c>
      <c r="K10277">
        <v>2461034431</v>
      </c>
      <c r="L10277">
        <v>2461034431</v>
      </c>
      <c r="M10277" t="s">
        <v>18325</v>
      </c>
      <c r="N10277" t="s">
        <v>17258</v>
      </c>
      <c r="O10277" t="s">
        <v>18326</v>
      </c>
      <c r="P10277">
        <v>50132</v>
      </c>
      <c r="Q10277" t="str">
        <f>"40.292718"</f>
        <v>40.292718</v>
      </c>
      <c r="R10277" t="str">
        <f>"21.786474"</f>
        <v>21.786474</v>
      </c>
      <c r="S10277" t="s">
        <v>26</v>
      </c>
    </row>
    <row r="10278" spans="1:19" x14ac:dyDescent="0.3">
      <c r="A10278" t="s">
        <v>17244</v>
      </c>
      <c r="B10278" t="s">
        <v>18072</v>
      </c>
      <c r="C10278" t="s">
        <v>18327</v>
      </c>
      <c r="D10278" t="s">
        <v>17255</v>
      </c>
      <c r="E10278" t="s">
        <v>17255</v>
      </c>
      <c r="F10278" t="s">
        <v>17255</v>
      </c>
      <c r="G10278" t="s">
        <v>17255</v>
      </c>
      <c r="H10278" t="s">
        <v>859</v>
      </c>
      <c r="I10278" t="s">
        <v>860</v>
      </c>
      <c r="J10278" t="str">
        <f>"9270217"</f>
        <v>9270217</v>
      </c>
      <c r="K10278">
        <v>2461036593</v>
      </c>
      <c r="L10278">
        <v>2461036593</v>
      </c>
      <c r="M10278" t="s">
        <v>18328</v>
      </c>
      <c r="N10278" t="s">
        <v>17255</v>
      </c>
      <c r="O10278" t="s">
        <v>18329</v>
      </c>
      <c r="P10278">
        <v>50100</v>
      </c>
      <c r="Q10278" t="str">
        <f>"40.291850"</f>
        <v>40.291850</v>
      </c>
      <c r="R10278" t="str">
        <f>"21.788301"</f>
        <v>21.788301</v>
      </c>
      <c r="S10278" t="s">
        <v>26</v>
      </c>
    </row>
    <row r="10279" spans="1:19" x14ac:dyDescent="0.3">
      <c r="A10279" t="s">
        <v>17244</v>
      </c>
      <c r="B10279" t="s">
        <v>18072</v>
      </c>
      <c r="C10279" t="s">
        <v>18335</v>
      </c>
      <c r="D10279" t="s">
        <v>17255</v>
      </c>
      <c r="E10279" t="s">
        <v>17255</v>
      </c>
      <c r="F10279" t="s">
        <v>17255</v>
      </c>
      <c r="G10279" t="s">
        <v>18334</v>
      </c>
      <c r="H10279" t="s">
        <v>859</v>
      </c>
      <c r="I10279" t="s">
        <v>860</v>
      </c>
      <c r="J10279" t="str">
        <f>"9270322"</f>
        <v>9270322</v>
      </c>
      <c r="K10279">
        <v>2461091337</v>
      </c>
      <c r="M10279" t="s">
        <v>18336</v>
      </c>
      <c r="N10279" t="s">
        <v>18337</v>
      </c>
      <c r="O10279" t="s">
        <v>18337</v>
      </c>
      <c r="P10279">
        <v>50100</v>
      </c>
      <c r="Q10279" t="str">
        <f>"40.310013"</f>
        <v>40.310013</v>
      </c>
      <c r="R10279" t="str">
        <f>"21.798458"</f>
        <v>21.798458</v>
      </c>
      <c r="S10279" t="s">
        <v>26</v>
      </c>
    </row>
    <row r="10280" spans="1:19" x14ac:dyDescent="0.3">
      <c r="A10280" t="s">
        <v>17244</v>
      </c>
      <c r="B10280" t="s">
        <v>18072</v>
      </c>
      <c r="C10280" t="s">
        <v>18338</v>
      </c>
      <c r="D10280" t="s">
        <v>17255</v>
      </c>
      <c r="E10280" t="s">
        <v>17255</v>
      </c>
      <c r="F10280" t="s">
        <v>17255</v>
      </c>
      <c r="G10280" t="s">
        <v>17255</v>
      </c>
      <c r="H10280" t="s">
        <v>859</v>
      </c>
      <c r="I10280" t="s">
        <v>860</v>
      </c>
      <c r="J10280" t="str">
        <f>"9270288"</f>
        <v>9270288</v>
      </c>
      <c r="K10280">
        <v>2461025489</v>
      </c>
      <c r="L10280">
        <v>2461025489</v>
      </c>
      <c r="M10280" t="s">
        <v>18339</v>
      </c>
      <c r="N10280" t="s">
        <v>17258</v>
      </c>
      <c r="O10280" t="s">
        <v>18340</v>
      </c>
      <c r="P10280">
        <v>50100</v>
      </c>
      <c r="Q10280" t="str">
        <f>"40.300271"</f>
        <v>40.300271</v>
      </c>
      <c r="R10280" t="str">
        <f>"21.784619"</f>
        <v>21.784619</v>
      </c>
      <c r="S10280" t="s">
        <v>26</v>
      </c>
    </row>
    <row r="10281" spans="1:19" x14ac:dyDescent="0.3">
      <c r="A10281" t="s">
        <v>17244</v>
      </c>
      <c r="B10281" t="s">
        <v>18072</v>
      </c>
      <c r="C10281" t="s">
        <v>18342</v>
      </c>
      <c r="D10281" t="s">
        <v>17255</v>
      </c>
      <c r="E10281" t="s">
        <v>17255</v>
      </c>
      <c r="F10281" t="s">
        <v>17255</v>
      </c>
      <c r="G10281" t="s">
        <v>18341</v>
      </c>
      <c r="H10281" t="s">
        <v>859</v>
      </c>
      <c r="I10281" t="s">
        <v>860</v>
      </c>
      <c r="J10281" t="str">
        <f>"9270253"</f>
        <v>9270253</v>
      </c>
      <c r="K10281">
        <v>2461020151</v>
      </c>
      <c r="L10281">
        <v>2461020151</v>
      </c>
      <c r="M10281" t="s">
        <v>18343</v>
      </c>
      <c r="N10281" t="s">
        <v>18344</v>
      </c>
      <c r="O10281" t="s">
        <v>18344</v>
      </c>
      <c r="P10281">
        <v>50100</v>
      </c>
      <c r="Q10281" t="str">
        <f>"40.310013"</f>
        <v>40.310013</v>
      </c>
      <c r="R10281" t="str">
        <f>"21.798458"</f>
        <v>21.798458</v>
      </c>
      <c r="S10281" t="s">
        <v>26</v>
      </c>
    </row>
    <row r="10282" spans="1:19" x14ac:dyDescent="0.3">
      <c r="A10282" t="s">
        <v>17244</v>
      </c>
      <c r="B10282" t="s">
        <v>18072</v>
      </c>
      <c r="C10282" t="s">
        <v>18345</v>
      </c>
      <c r="D10282" t="s">
        <v>17255</v>
      </c>
      <c r="E10282" t="s">
        <v>17255</v>
      </c>
      <c r="F10282" t="s">
        <v>17255</v>
      </c>
      <c r="G10282" t="s">
        <v>17255</v>
      </c>
      <c r="H10282" t="s">
        <v>859</v>
      </c>
      <c r="I10282" t="s">
        <v>860</v>
      </c>
      <c r="J10282" t="str">
        <f>"9270346"</f>
        <v>9270346</v>
      </c>
      <c r="K10282">
        <v>2461034289</v>
      </c>
      <c r="L10282">
        <v>2461034289</v>
      </c>
      <c r="M10282" t="s">
        <v>18346</v>
      </c>
      <c r="N10282" t="s">
        <v>17258</v>
      </c>
      <c r="O10282" t="s">
        <v>18347</v>
      </c>
      <c r="P10282">
        <v>50100</v>
      </c>
      <c r="Q10282" t="str">
        <f>"40.299610"</f>
        <v>40.299610</v>
      </c>
      <c r="R10282" t="str">
        <f>"21.784366"</f>
        <v>21.784366</v>
      </c>
      <c r="S10282" t="s">
        <v>26</v>
      </c>
    </row>
    <row r="10283" spans="1:19" x14ac:dyDescent="0.3">
      <c r="A10283" t="s">
        <v>17244</v>
      </c>
      <c r="B10283" t="s">
        <v>18072</v>
      </c>
      <c r="C10283" t="s">
        <v>18348</v>
      </c>
      <c r="D10283" t="s">
        <v>17255</v>
      </c>
      <c r="E10283" t="s">
        <v>17255</v>
      </c>
      <c r="F10283" t="s">
        <v>17255</v>
      </c>
      <c r="G10283" t="s">
        <v>17255</v>
      </c>
      <c r="H10283" t="s">
        <v>859</v>
      </c>
      <c r="I10283" t="s">
        <v>860</v>
      </c>
      <c r="J10283" t="str">
        <f>"9270369"</f>
        <v>9270369</v>
      </c>
      <c r="K10283">
        <v>2461041072</v>
      </c>
      <c r="L10283">
        <v>2461041072</v>
      </c>
      <c r="M10283" t="s">
        <v>18349</v>
      </c>
      <c r="N10283" t="s">
        <v>17258</v>
      </c>
      <c r="O10283" t="s">
        <v>18350</v>
      </c>
      <c r="P10283">
        <v>50100</v>
      </c>
      <c r="Q10283" t="str">
        <f>"40.299326"</f>
        <v>40.299326</v>
      </c>
      <c r="R10283" t="str">
        <f>"21.786782"</f>
        <v>21.786782</v>
      </c>
      <c r="S10283" t="s">
        <v>26</v>
      </c>
    </row>
    <row r="10284" spans="1:19" x14ac:dyDescent="0.3">
      <c r="A10284" t="s">
        <v>17244</v>
      </c>
      <c r="B10284" t="s">
        <v>18072</v>
      </c>
      <c r="C10284" t="s">
        <v>18351</v>
      </c>
      <c r="D10284" t="s">
        <v>17255</v>
      </c>
      <c r="E10284" t="s">
        <v>17434</v>
      </c>
      <c r="F10284" t="s">
        <v>11666</v>
      </c>
      <c r="G10284" t="s">
        <v>11666</v>
      </c>
      <c r="H10284" t="s">
        <v>859</v>
      </c>
      <c r="I10284" t="s">
        <v>860</v>
      </c>
      <c r="J10284" t="str">
        <f>"9270046"</f>
        <v>9270046</v>
      </c>
      <c r="K10284">
        <v>2468022819</v>
      </c>
      <c r="L10284">
        <v>2468022819</v>
      </c>
      <c r="M10284" t="s">
        <v>18352</v>
      </c>
      <c r="N10284" t="s">
        <v>613</v>
      </c>
      <c r="O10284" t="s">
        <v>18353</v>
      </c>
      <c r="P10284">
        <v>50001</v>
      </c>
      <c r="Q10284" t="str">
        <f>"40.311695"</f>
        <v>40.311695</v>
      </c>
      <c r="R10284" t="str">
        <f>"21.387044"</f>
        <v>21.387044</v>
      </c>
      <c r="S10284" t="s">
        <v>26</v>
      </c>
    </row>
    <row r="10285" spans="1:19" x14ac:dyDescent="0.3">
      <c r="A10285" t="s">
        <v>17244</v>
      </c>
      <c r="B10285" t="s">
        <v>18072</v>
      </c>
      <c r="C10285" t="s">
        <v>18354</v>
      </c>
      <c r="D10285" t="s">
        <v>17255</v>
      </c>
      <c r="E10285" t="s">
        <v>17460</v>
      </c>
      <c r="F10285" t="s">
        <v>17460</v>
      </c>
      <c r="G10285" t="s">
        <v>17460</v>
      </c>
      <c r="H10285" t="s">
        <v>859</v>
      </c>
      <c r="I10285" t="s">
        <v>860</v>
      </c>
      <c r="J10285" t="str">
        <f>"9270325"</f>
        <v>9270325</v>
      </c>
      <c r="K10285">
        <v>2464024532</v>
      </c>
      <c r="L10285">
        <v>2464023360</v>
      </c>
      <c r="M10285" t="s">
        <v>18355</v>
      </c>
      <c r="N10285" t="s">
        <v>17476</v>
      </c>
      <c r="O10285" t="s">
        <v>18356</v>
      </c>
      <c r="P10285">
        <v>50500</v>
      </c>
      <c r="Q10285" t="str">
        <f>"40.289436"</f>
        <v>40.289436</v>
      </c>
      <c r="R10285" t="str">
        <f>"21.780951"</f>
        <v>21.780951</v>
      </c>
      <c r="S10285" t="s">
        <v>26</v>
      </c>
    </row>
    <row r="10286" spans="1:19" x14ac:dyDescent="0.3">
      <c r="A10286" t="s">
        <v>17244</v>
      </c>
      <c r="B10286" t="s">
        <v>18072</v>
      </c>
      <c r="C10286" t="s">
        <v>18358</v>
      </c>
      <c r="D10286" t="s">
        <v>17255</v>
      </c>
      <c r="E10286" t="s">
        <v>17488</v>
      </c>
      <c r="F10286" t="s">
        <v>17489</v>
      </c>
      <c r="G10286" t="s">
        <v>18357</v>
      </c>
      <c r="H10286" t="s">
        <v>859</v>
      </c>
      <c r="I10286" t="s">
        <v>860</v>
      </c>
      <c r="J10286" t="str">
        <f>"9270130"</f>
        <v>9270130</v>
      </c>
      <c r="K10286">
        <v>2463075655</v>
      </c>
      <c r="L10286">
        <v>2463075655</v>
      </c>
      <c r="M10286" t="s">
        <v>18359</v>
      </c>
      <c r="N10286" t="s">
        <v>18360</v>
      </c>
      <c r="O10286" t="s">
        <v>18361</v>
      </c>
      <c r="P10286">
        <v>50200</v>
      </c>
      <c r="Q10286" t="str">
        <f>"40.569201"</f>
        <v>40.569201</v>
      </c>
      <c r="R10286" t="str">
        <f>"21.601911"</f>
        <v>21.601911</v>
      </c>
      <c r="S10286" t="s">
        <v>26</v>
      </c>
    </row>
    <row r="10287" spans="1:19" x14ac:dyDescent="0.3">
      <c r="A10287" t="s">
        <v>17244</v>
      </c>
      <c r="B10287" t="s">
        <v>18072</v>
      </c>
      <c r="C10287" t="s">
        <v>18362</v>
      </c>
      <c r="D10287" t="s">
        <v>17255</v>
      </c>
      <c r="E10287" t="s">
        <v>17255</v>
      </c>
      <c r="F10287" t="s">
        <v>17255</v>
      </c>
      <c r="G10287" t="s">
        <v>17255</v>
      </c>
      <c r="H10287" t="s">
        <v>859</v>
      </c>
      <c r="I10287" t="s">
        <v>860</v>
      </c>
      <c r="J10287" t="str">
        <f>"9270318"</f>
        <v>9270318</v>
      </c>
      <c r="L10287">
        <v>2461035979</v>
      </c>
      <c r="M10287" t="s">
        <v>18363</v>
      </c>
      <c r="N10287" t="s">
        <v>17255</v>
      </c>
      <c r="O10287" t="s">
        <v>18364</v>
      </c>
      <c r="P10287">
        <v>50100</v>
      </c>
      <c r="Q10287" t="str">
        <f>"40.302111"</f>
        <v>40.302111</v>
      </c>
      <c r="R10287" t="str">
        <f>"21.799174"</f>
        <v>21.799174</v>
      </c>
      <c r="S10287" t="s">
        <v>26</v>
      </c>
    </row>
    <row r="10288" spans="1:19" x14ac:dyDescent="0.3">
      <c r="A10288" t="s">
        <v>17244</v>
      </c>
      <c r="B10288" t="s">
        <v>18072</v>
      </c>
      <c r="C10288" t="s">
        <v>18366</v>
      </c>
      <c r="D10288" t="s">
        <v>17255</v>
      </c>
      <c r="E10288" t="s">
        <v>17488</v>
      </c>
      <c r="F10288" t="s">
        <v>152</v>
      </c>
      <c r="G10288" t="s">
        <v>18365</v>
      </c>
      <c r="H10288" t="s">
        <v>859</v>
      </c>
      <c r="I10288" t="s">
        <v>860</v>
      </c>
      <c r="J10288" t="str">
        <f>"9270118"</f>
        <v>9270118</v>
      </c>
      <c r="K10288">
        <v>2463051350</v>
      </c>
      <c r="M10288" t="s">
        <v>18367</v>
      </c>
      <c r="N10288" t="s">
        <v>18365</v>
      </c>
      <c r="O10288" t="s">
        <v>18368</v>
      </c>
      <c r="P10288">
        <v>50200</v>
      </c>
      <c r="Q10288" t="str">
        <f>"40.518290"</f>
        <v>40.518290</v>
      </c>
      <c r="R10288" t="str">
        <f>"21.688691"</f>
        <v>21.688691</v>
      </c>
      <c r="S10288" t="s">
        <v>26</v>
      </c>
    </row>
    <row r="10289" spans="1:19" x14ac:dyDescent="0.3">
      <c r="A10289" t="s">
        <v>17244</v>
      </c>
      <c r="B10289" t="s">
        <v>18072</v>
      </c>
      <c r="C10289" t="s">
        <v>18369</v>
      </c>
      <c r="D10289" t="s">
        <v>17255</v>
      </c>
      <c r="E10289" t="s">
        <v>17488</v>
      </c>
      <c r="F10289" t="s">
        <v>17489</v>
      </c>
      <c r="G10289" t="s">
        <v>17490</v>
      </c>
      <c r="H10289" t="s">
        <v>859</v>
      </c>
      <c r="I10289" t="s">
        <v>860</v>
      </c>
      <c r="J10289" t="str">
        <f>"9270353"</f>
        <v>9270353</v>
      </c>
      <c r="K10289">
        <v>2463027909</v>
      </c>
      <c r="L10289">
        <v>2463027909</v>
      </c>
      <c r="M10289" t="s">
        <v>18370</v>
      </c>
      <c r="N10289" t="s">
        <v>17489</v>
      </c>
      <c r="O10289" t="s">
        <v>18371</v>
      </c>
      <c r="P10289">
        <v>50200</v>
      </c>
      <c r="Q10289" t="str">
        <f>"40.515573"</f>
        <v>40.515573</v>
      </c>
      <c r="R10289" t="str">
        <f>"21.676934"</f>
        <v>21.676934</v>
      </c>
      <c r="S10289" t="s">
        <v>26</v>
      </c>
    </row>
    <row r="10290" spans="1:19" x14ac:dyDescent="0.3">
      <c r="A10290" t="s">
        <v>17244</v>
      </c>
      <c r="B10290" t="s">
        <v>18072</v>
      </c>
      <c r="C10290" t="s">
        <v>18372</v>
      </c>
      <c r="D10290" t="s">
        <v>17255</v>
      </c>
      <c r="E10290" t="s">
        <v>17255</v>
      </c>
      <c r="F10290" t="s">
        <v>17614</v>
      </c>
      <c r="G10290" t="s">
        <v>18293</v>
      </c>
      <c r="H10290" t="s">
        <v>859</v>
      </c>
      <c r="I10290" t="s">
        <v>860</v>
      </c>
      <c r="J10290" t="str">
        <f>"9270286"</f>
        <v>9270286</v>
      </c>
      <c r="K10290">
        <v>2461087269</v>
      </c>
      <c r="L10290">
        <v>2461087269</v>
      </c>
      <c r="M10290" t="s">
        <v>18373</v>
      </c>
      <c r="N10290" t="s">
        <v>18293</v>
      </c>
      <c r="O10290" t="s">
        <v>17673</v>
      </c>
      <c r="P10290">
        <v>50100</v>
      </c>
      <c r="Q10290" t="str">
        <f>"40.224538"</f>
        <v>40.224538</v>
      </c>
      <c r="R10290" t="str">
        <f>"21.825480"</f>
        <v>21.825480</v>
      </c>
      <c r="S10290" t="s">
        <v>26</v>
      </c>
    </row>
    <row r="10291" spans="1:19" x14ac:dyDescent="0.3">
      <c r="A10291" t="s">
        <v>17244</v>
      </c>
      <c r="B10291" t="s">
        <v>18072</v>
      </c>
      <c r="C10291" t="s">
        <v>18375</v>
      </c>
      <c r="D10291" t="s">
        <v>17255</v>
      </c>
      <c r="E10291" t="s">
        <v>17460</v>
      </c>
      <c r="F10291" t="s">
        <v>17460</v>
      </c>
      <c r="G10291" t="s">
        <v>18374</v>
      </c>
      <c r="H10291" t="s">
        <v>859</v>
      </c>
      <c r="I10291" t="s">
        <v>860</v>
      </c>
      <c r="J10291" t="str">
        <f>"9270247"</f>
        <v>9270247</v>
      </c>
      <c r="K10291">
        <v>2461071268</v>
      </c>
      <c r="L10291">
        <v>2461071261</v>
      </c>
      <c r="M10291" t="s">
        <v>18376</v>
      </c>
      <c r="N10291" t="s">
        <v>18377</v>
      </c>
      <c r="O10291" t="s">
        <v>18262</v>
      </c>
      <c r="P10291">
        <v>50100</v>
      </c>
      <c r="Q10291" t="str">
        <f>"40.261871"</f>
        <v>40.261871</v>
      </c>
      <c r="R10291" t="str">
        <f>"21.924882"</f>
        <v>21.924882</v>
      </c>
      <c r="S10291" t="s">
        <v>26</v>
      </c>
    </row>
    <row r="10292" spans="1:19" x14ac:dyDescent="0.3">
      <c r="A10292" t="s">
        <v>17244</v>
      </c>
      <c r="B10292" t="s">
        <v>18072</v>
      </c>
      <c r="C10292" t="s">
        <v>18378</v>
      </c>
      <c r="D10292" t="s">
        <v>17255</v>
      </c>
      <c r="E10292" t="s">
        <v>17255</v>
      </c>
      <c r="F10292" t="s">
        <v>17255</v>
      </c>
      <c r="G10292" t="s">
        <v>18149</v>
      </c>
      <c r="H10292" t="s">
        <v>859</v>
      </c>
      <c r="I10292" t="s">
        <v>860</v>
      </c>
      <c r="J10292" t="str">
        <f>"9270316"</f>
        <v>9270316</v>
      </c>
      <c r="K10292">
        <v>2461064218</v>
      </c>
      <c r="L10292">
        <v>2461064218</v>
      </c>
      <c r="M10292" t="s">
        <v>18379</v>
      </c>
      <c r="N10292" t="s">
        <v>18149</v>
      </c>
      <c r="O10292" t="s">
        <v>18152</v>
      </c>
      <c r="P10292">
        <v>50100</v>
      </c>
      <c r="Q10292" t="str">
        <f>"40.253650"</f>
        <v>40.253650</v>
      </c>
      <c r="R10292" t="str">
        <f>"21.799304"</f>
        <v>21.799304</v>
      </c>
      <c r="S10292" t="s">
        <v>26</v>
      </c>
    </row>
    <row r="10293" spans="1:19" x14ac:dyDescent="0.3">
      <c r="A10293" t="s">
        <v>17244</v>
      </c>
      <c r="B10293" t="s">
        <v>18072</v>
      </c>
      <c r="C10293" t="s">
        <v>18381</v>
      </c>
      <c r="D10293" t="s">
        <v>17255</v>
      </c>
      <c r="E10293" t="s">
        <v>17255</v>
      </c>
      <c r="F10293" t="s">
        <v>17614</v>
      </c>
      <c r="G10293" t="s">
        <v>18380</v>
      </c>
      <c r="H10293" t="s">
        <v>859</v>
      </c>
      <c r="I10293" t="s">
        <v>860</v>
      </c>
      <c r="J10293" t="str">
        <f>"9270302"</f>
        <v>9270302</v>
      </c>
      <c r="K10293">
        <v>2461088124</v>
      </c>
      <c r="L10293">
        <v>2461087349</v>
      </c>
      <c r="M10293" t="s">
        <v>18382</v>
      </c>
      <c r="N10293" t="s">
        <v>18383</v>
      </c>
      <c r="O10293" t="s">
        <v>18383</v>
      </c>
      <c r="P10293">
        <v>50010</v>
      </c>
      <c r="Q10293" t="str">
        <f>"40.173603"</f>
        <v>40.173603</v>
      </c>
      <c r="R10293" t="str">
        <f>"21.864653"</f>
        <v>21.864653</v>
      </c>
      <c r="S10293" t="s">
        <v>26</v>
      </c>
    </row>
    <row r="10294" spans="1:19" x14ac:dyDescent="0.3">
      <c r="A10294" t="s">
        <v>17244</v>
      </c>
      <c r="B10294" t="s">
        <v>18072</v>
      </c>
      <c r="C10294" t="s">
        <v>18386</v>
      </c>
      <c r="D10294" t="s">
        <v>17255</v>
      </c>
      <c r="E10294" t="s">
        <v>17255</v>
      </c>
      <c r="F10294" t="s">
        <v>17255</v>
      </c>
      <c r="G10294" t="s">
        <v>17255</v>
      </c>
      <c r="H10294" t="s">
        <v>859</v>
      </c>
      <c r="I10294" t="s">
        <v>860</v>
      </c>
      <c r="J10294" t="str">
        <f>"9270334"</f>
        <v>9270334</v>
      </c>
      <c r="K10294">
        <v>2461033298</v>
      </c>
      <c r="L10294">
        <v>2461033298</v>
      </c>
      <c r="M10294" t="s">
        <v>18387</v>
      </c>
      <c r="N10294" t="s">
        <v>17255</v>
      </c>
      <c r="O10294" t="s">
        <v>18388</v>
      </c>
      <c r="P10294">
        <v>50100</v>
      </c>
      <c r="Q10294" t="str">
        <f>"40.309007"</f>
        <v>40.309007</v>
      </c>
      <c r="R10294" t="str">
        <f>"21.789704"</f>
        <v>21.789704</v>
      </c>
      <c r="S10294" t="s">
        <v>26</v>
      </c>
    </row>
    <row r="10295" spans="1:19" x14ac:dyDescent="0.3">
      <c r="A10295" t="s">
        <v>17244</v>
      </c>
      <c r="B10295" t="s">
        <v>18072</v>
      </c>
      <c r="C10295" t="s">
        <v>18389</v>
      </c>
      <c r="D10295" t="s">
        <v>17255</v>
      </c>
      <c r="E10295" t="s">
        <v>17434</v>
      </c>
      <c r="F10295" t="s">
        <v>17435</v>
      </c>
      <c r="G10295" t="s">
        <v>17436</v>
      </c>
      <c r="H10295" t="s">
        <v>859</v>
      </c>
      <c r="I10295" t="s">
        <v>860</v>
      </c>
      <c r="J10295" t="str">
        <f>"9270021"</f>
        <v>9270021</v>
      </c>
      <c r="K10295">
        <v>2465041158</v>
      </c>
      <c r="L10295">
        <v>2465041705</v>
      </c>
      <c r="M10295" t="s">
        <v>18390</v>
      </c>
      <c r="N10295" t="s">
        <v>17440</v>
      </c>
      <c r="O10295" t="s">
        <v>17440</v>
      </c>
      <c r="P10295">
        <v>50300</v>
      </c>
      <c r="Q10295" t="str">
        <f>"40.319593"</f>
        <v>40.319593</v>
      </c>
      <c r="R10295" t="str">
        <f>"21.554319"</f>
        <v>21.554319</v>
      </c>
      <c r="S10295" t="s">
        <v>26</v>
      </c>
    </row>
    <row r="10296" spans="1:19" x14ac:dyDescent="0.3">
      <c r="A10296" t="s">
        <v>17244</v>
      </c>
      <c r="B10296" t="s">
        <v>18072</v>
      </c>
      <c r="C10296" t="s">
        <v>18396</v>
      </c>
      <c r="D10296" t="s">
        <v>17255</v>
      </c>
      <c r="E10296" t="s">
        <v>17434</v>
      </c>
      <c r="F10296" t="s">
        <v>17435</v>
      </c>
      <c r="G10296" t="s">
        <v>18330</v>
      </c>
      <c r="H10296" t="s">
        <v>859</v>
      </c>
      <c r="I10296" t="s">
        <v>860</v>
      </c>
      <c r="J10296" t="str">
        <f>"9270039"</f>
        <v>9270039</v>
      </c>
      <c r="K10296">
        <v>2465071101</v>
      </c>
      <c r="L10296">
        <v>2465071101</v>
      </c>
      <c r="M10296" t="s">
        <v>18397</v>
      </c>
      <c r="N10296" t="s">
        <v>18398</v>
      </c>
      <c r="O10296" t="s">
        <v>18398</v>
      </c>
      <c r="P10296">
        <v>50300</v>
      </c>
      <c r="Q10296" t="str">
        <f>"40.287061"</f>
        <v>40.287061</v>
      </c>
      <c r="R10296" t="str">
        <f>"21.491104"</f>
        <v>21.491104</v>
      </c>
      <c r="S10296" t="s">
        <v>26</v>
      </c>
    </row>
    <row r="10297" spans="1:19" x14ac:dyDescent="0.3">
      <c r="A10297" t="s">
        <v>17244</v>
      </c>
      <c r="B10297" t="s">
        <v>18072</v>
      </c>
      <c r="C10297" t="s">
        <v>18399</v>
      </c>
      <c r="D10297" t="s">
        <v>17255</v>
      </c>
      <c r="E10297" t="s">
        <v>17255</v>
      </c>
      <c r="F10297" t="s">
        <v>17255</v>
      </c>
      <c r="G10297" t="s">
        <v>18144</v>
      </c>
      <c r="H10297" t="s">
        <v>859</v>
      </c>
      <c r="I10297" t="s">
        <v>860</v>
      </c>
      <c r="J10297" t="str">
        <f>"9270387"</f>
        <v>9270387</v>
      </c>
      <c r="K10297">
        <v>2461062027</v>
      </c>
      <c r="L10297">
        <v>2461062027</v>
      </c>
      <c r="M10297" t="s">
        <v>18400</v>
      </c>
      <c r="N10297" t="s">
        <v>18147</v>
      </c>
      <c r="O10297" t="s">
        <v>18147</v>
      </c>
      <c r="P10297">
        <v>50100</v>
      </c>
      <c r="Q10297" t="str">
        <f>"40.324952"</f>
        <v>40.324952</v>
      </c>
      <c r="R10297" t="str">
        <f>"21.822126"</f>
        <v>21.822126</v>
      </c>
      <c r="S10297" t="s">
        <v>26</v>
      </c>
    </row>
    <row r="10298" spans="1:19" x14ac:dyDescent="0.3">
      <c r="A10298" t="s">
        <v>17244</v>
      </c>
      <c r="B10298" t="s">
        <v>18072</v>
      </c>
      <c r="C10298" t="s">
        <v>18402</v>
      </c>
      <c r="D10298" t="s">
        <v>17255</v>
      </c>
      <c r="E10298" t="s">
        <v>17434</v>
      </c>
      <c r="F10298" t="s">
        <v>17466</v>
      </c>
      <c r="G10298" t="s">
        <v>18401</v>
      </c>
      <c r="H10298" t="s">
        <v>859</v>
      </c>
      <c r="I10298" t="s">
        <v>860</v>
      </c>
      <c r="J10298" t="str">
        <f>"9270042"</f>
        <v>9270042</v>
      </c>
      <c r="K10298">
        <v>2465071216</v>
      </c>
      <c r="L10298">
        <v>2465071170</v>
      </c>
      <c r="M10298" t="s">
        <v>18403</v>
      </c>
      <c r="N10298" t="s">
        <v>18404</v>
      </c>
      <c r="O10298" t="s">
        <v>18404</v>
      </c>
      <c r="P10298">
        <v>50300</v>
      </c>
      <c r="Q10298" t="str">
        <f>"40.266878"</f>
        <v>40.266878</v>
      </c>
      <c r="R10298" t="str">
        <f>"21.503912"</f>
        <v>21.503912</v>
      </c>
      <c r="S10298" t="s">
        <v>26</v>
      </c>
    </row>
    <row r="10299" spans="1:19" x14ac:dyDescent="0.3">
      <c r="A10299" t="s">
        <v>17244</v>
      </c>
      <c r="B10299" t="s">
        <v>18072</v>
      </c>
      <c r="C10299" t="s">
        <v>18405</v>
      </c>
      <c r="D10299" t="s">
        <v>17255</v>
      </c>
      <c r="E10299" t="s">
        <v>17255</v>
      </c>
      <c r="F10299" t="s">
        <v>17255</v>
      </c>
      <c r="G10299" t="s">
        <v>17255</v>
      </c>
      <c r="H10299" t="s">
        <v>859</v>
      </c>
      <c r="I10299" t="s">
        <v>860</v>
      </c>
      <c r="J10299" t="str">
        <f>"9270219"</f>
        <v>9270219</v>
      </c>
      <c r="K10299">
        <v>2461038042</v>
      </c>
      <c r="L10299">
        <v>2461038042</v>
      </c>
      <c r="M10299" t="s">
        <v>18406</v>
      </c>
      <c r="N10299" t="s">
        <v>17258</v>
      </c>
      <c r="O10299" t="s">
        <v>18407</v>
      </c>
      <c r="P10299">
        <v>50132</v>
      </c>
      <c r="Q10299" t="str">
        <f>"40.301760"</f>
        <v>40.301760</v>
      </c>
      <c r="R10299" t="str">
        <f>"21.779410"</f>
        <v>21.779410</v>
      </c>
      <c r="S10299" t="s">
        <v>26</v>
      </c>
    </row>
    <row r="10300" spans="1:19" x14ac:dyDescent="0.3">
      <c r="A10300" t="s">
        <v>17244</v>
      </c>
      <c r="B10300" t="s">
        <v>18072</v>
      </c>
      <c r="C10300" t="s">
        <v>18408</v>
      </c>
      <c r="D10300" t="s">
        <v>17255</v>
      </c>
      <c r="E10300" t="s">
        <v>17434</v>
      </c>
      <c r="F10300" t="s">
        <v>17466</v>
      </c>
      <c r="G10300" t="s">
        <v>17467</v>
      </c>
      <c r="H10300" t="s">
        <v>859</v>
      </c>
      <c r="I10300" t="s">
        <v>860</v>
      </c>
      <c r="J10300" t="str">
        <f>"9270005"</f>
        <v>9270005</v>
      </c>
      <c r="K10300">
        <v>2465022257</v>
      </c>
      <c r="L10300">
        <v>2465022257</v>
      </c>
      <c r="M10300" t="s">
        <v>18409</v>
      </c>
      <c r="N10300" t="s">
        <v>18138</v>
      </c>
      <c r="O10300" t="s">
        <v>18410</v>
      </c>
      <c r="P10300">
        <v>50300</v>
      </c>
      <c r="Q10300" t="str">
        <f>"40.254739"</f>
        <v>40.254739</v>
      </c>
      <c r="R10300" t="str">
        <f>"21.555798"</f>
        <v>21.555798</v>
      </c>
      <c r="S10300" t="s">
        <v>26</v>
      </c>
    </row>
    <row r="10301" spans="1:19" x14ac:dyDescent="0.3">
      <c r="A10301" t="s">
        <v>17244</v>
      </c>
      <c r="B10301" t="s">
        <v>18072</v>
      </c>
      <c r="C10301" t="s">
        <v>18412</v>
      </c>
      <c r="D10301" t="s">
        <v>17255</v>
      </c>
      <c r="E10301" t="s">
        <v>17255</v>
      </c>
      <c r="F10301" t="s">
        <v>17255</v>
      </c>
      <c r="G10301" t="s">
        <v>18411</v>
      </c>
      <c r="H10301" t="s">
        <v>859</v>
      </c>
      <c r="I10301" t="s">
        <v>860</v>
      </c>
      <c r="J10301" t="str">
        <f>"9270339"</f>
        <v>9270339</v>
      </c>
      <c r="K10301">
        <v>2461099054</v>
      </c>
      <c r="L10301">
        <v>2461099054</v>
      </c>
      <c r="M10301" t="s">
        <v>18413</v>
      </c>
      <c r="N10301" t="s">
        <v>18414</v>
      </c>
      <c r="O10301" t="s">
        <v>18414</v>
      </c>
      <c r="P10301">
        <v>50131</v>
      </c>
      <c r="Q10301" t="str">
        <f>"40.244549"</f>
        <v>40.244549</v>
      </c>
      <c r="R10301" t="str">
        <f>"21.748054"</f>
        <v>21.748054</v>
      </c>
      <c r="S10301" t="s">
        <v>26</v>
      </c>
    </row>
    <row r="10302" spans="1:19" x14ac:dyDescent="0.3">
      <c r="A10302" t="s">
        <v>17244</v>
      </c>
      <c r="B10302" t="s">
        <v>18072</v>
      </c>
      <c r="C10302" t="s">
        <v>18419</v>
      </c>
      <c r="D10302" t="s">
        <v>17255</v>
      </c>
      <c r="E10302" t="s">
        <v>17434</v>
      </c>
      <c r="F10302" t="s">
        <v>17466</v>
      </c>
      <c r="G10302" t="s">
        <v>17467</v>
      </c>
      <c r="H10302" t="s">
        <v>859</v>
      </c>
      <c r="I10302" t="s">
        <v>860</v>
      </c>
      <c r="J10302" t="str">
        <f>"9270355"</f>
        <v>9270355</v>
      </c>
      <c r="K10302">
        <v>2465022198</v>
      </c>
      <c r="L10302">
        <v>2465022401</v>
      </c>
      <c r="M10302" t="s">
        <v>18420</v>
      </c>
      <c r="N10302" t="s">
        <v>18138</v>
      </c>
      <c r="O10302" t="s">
        <v>18421</v>
      </c>
      <c r="P10302">
        <v>50300</v>
      </c>
      <c r="Q10302" t="str">
        <f>"40.258768"</f>
        <v>40.258768</v>
      </c>
      <c r="R10302" t="str">
        <f>"21.543824"</f>
        <v>21.543824</v>
      </c>
      <c r="S10302" t="s">
        <v>26</v>
      </c>
    </row>
    <row r="10303" spans="1:19" x14ac:dyDescent="0.3">
      <c r="A10303" t="s">
        <v>17244</v>
      </c>
      <c r="B10303" t="s">
        <v>18072</v>
      </c>
      <c r="C10303" t="s">
        <v>18422</v>
      </c>
      <c r="D10303" t="s">
        <v>17255</v>
      </c>
      <c r="E10303" t="s">
        <v>17255</v>
      </c>
      <c r="F10303" t="s">
        <v>17255</v>
      </c>
      <c r="G10303" t="s">
        <v>17255</v>
      </c>
      <c r="H10303" t="s">
        <v>859</v>
      </c>
      <c r="I10303" t="s">
        <v>860</v>
      </c>
      <c r="J10303" t="str">
        <f>"9270323"</f>
        <v>9270323</v>
      </c>
      <c r="K10303">
        <v>2461025579</v>
      </c>
      <c r="L10303">
        <v>2461025579</v>
      </c>
      <c r="M10303" t="s">
        <v>18423</v>
      </c>
      <c r="N10303" t="s">
        <v>17255</v>
      </c>
      <c r="O10303" t="s">
        <v>18424</v>
      </c>
      <c r="P10303">
        <v>50132</v>
      </c>
      <c r="Q10303" t="str">
        <f>"40.295466"</f>
        <v>40.295466</v>
      </c>
      <c r="R10303" t="str">
        <f>"21.786761"</f>
        <v>21.786761</v>
      </c>
      <c r="S10303" t="s">
        <v>26</v>
      </c>
    </row>
    <row r="10304" spans="1:19" x14ac:dyDescent="0.3">
      <c r="A10304" t="s">
        <v>17244</v>
      </c>
      <c r="B10304" t="s">
        <v>18072</v>
      </c>
      <c r="C10304" t="s">
        <v>18425</v>
      </c>
      <c r="D10304" t="s">
        <v>17255</v>
      </c>
      <c r="E10304" t="s">
        <v>17434</v>
      </c>
      <c r="F10304" t="s">
        <v>17466</v>
      </c>
      <c r="G10304" t="s">
        <v>17467</v>
      </c>
      <c r="H10304" t="s">
        <v>859</v>
      </c>
      <c r="I10304" t="s">
        <v>860</v>
      </c>
      <c r="J10304" t="str">
        <f>"9270317"</f>
        <v>9270317</v>
      </c>
      <c r="K10304">
        <v>2465022012</v>
      </c>
      <c r="L10304">
        <v>2465023192</v>
      </c>
      <c r="M10304" t="s">
        <v>18426</v>
      </c>
      <c r="N10304" t="s">
        <v>18138</v>
      </c>
      <c r="O10304" t="s">
        <v>18427</v>
      </c>
      <c r="P10304">
        <v>50300</v>
      </c>
      <c r="Q10304" t="str">
        <f>"40.282852"</f>
        <v>40.282852</v>
      </c>
      <c r="R10304" t="str">
        <f>"21.554790"</f>
        <v>21.554790</v>
      </c>
      <c r="S10304" t="s">
        <v>26</v>
      </c>
    </row>
    <row r="10305" spans="1:19" x14ac:dyDescent="0.3">
      <c r="A10305" t="s">
        <v>17244</v>
      </c>
      <c r="B10305" t="s">
        <v>18072</v>
      </c>
      <c r="C10305" t="s">
        <v>18428</v>
      </c>
      <c r="D10305" t="s">
        <v>17255</v>
      </c>
      <c r="E10305" t="s">
        <v>17255</v>
      </c>
      <c r="F10305" t="s">
        <v>17255</v>
      </c>
      <c r="G10305" t="s">
        <v>17255</v>
      </c>
      <c r="H10305" t="s">
        <v>859</v>
      </c>
      <c r="I10305" t="s">
        <v>860</v>
      </c>
      <c r="J10305" t="str">
        <f>"9270388"</f>
        <v>9270388</v>
      </c>
      <c r="K10305">
        <v>2461035979</v>
      </c>
      <c r="L10305">
        <v>2461035979</v>
      </c>
      <c r="M10305" t="s">
        <v>18429</v>
      </c>
      <c r="N10305" t="s">
        <v>17258</v>
      </c>
      <c r="O10305" t="s">
        <v>18430</v>
      </c>
      <c r="P10305">
        <v>50132</v>
      </c>
      <c r="Q10305" t="str">
        <f>"40.302045"</f>
        <v>40.302045</v>
      </c>
      <c r="R10305" t="str">
        <f>"21.799474"</f>
        <v>21.799474</v>
      </c>
      <c r="S10305" t="s">
        <v>26</v>
      </c>
    </row>
    <row r="10306" spans="1:19" x14ac:dyDescent="0.3">
      <c r="A10306" t="s">
        <v>17244</v>
      </c>
      <c r="B10306" t="s">
        <v>18072</v>
      </c>
      <c r="C10306" t="s">
        <v>18431</v>
      </c>
      <c r="D10306" t="s">
        <v>17255</v>
      </c>
      <c r="E10306" t="s">
        <v>17434</v>
      </c>
      <c r="F10306" t="s">
        <v>17466</v>
      </c>
      <c r="G10306" t="s">
        <v>17467</v>
      </c>
      <c r="H10306" t="s">
        <v>859</v>
      </c>
      <c r="I10306" t="s">
        <v>860</v>
      </c>
      <c r="J10306" t="str">
        <f>"9270002"</f>
        <v>9270002</v>
      </c>
      <c r="K10306">
        <v>2465021901</v>
      </c>
      <c r="L10306">
        <v>2465021901</v>
      </c>
      <c r="M10306" t="s">
        <v>18432</v>
      </c>
      <c r="N10306" t="s">
        <v>18138</v>
      </c>
      <c r="O10306" t="s">
        <v>18433</v>
      </c>
      <c r="P10306">
        <v>50300</v>
      </c>
      <c r="Q10306" t="str">
        <f>"40.260979"</f>
        <v>40.260979</v>
      </c>
      <c r="R10306" t="str">
        <f>"21.549726"</f>
        <v>21.549726</v>
      </c>
      <c r="S10306" t="s">
        <v>26</v>
      </c>
    </row>
    <row r="10307" spans="1:19" x14ac:dyDescent="0.3">
      <c r="A10307" t="s">
        <v>17244</v>
      </c>
      <c r="B10307" t="s">
        <v>18072</v>
      </c>
      <c r="C10307" t="s">
        <v>18434</v>
      </c>
      <c r="D10307" t="s">
        <v>17255</v>
      </c>
      <c r="E10307" t="s">
        <v>17255</v>
      </c>
      <c r="F10307" t="s">
        <v>18192</v>
      </c>
      <c r="G10307" t="s">
        <v>18415</v>
      </c>
      <c r="H10307" t="s">
        <v>859</v>
      </c>
      <c r="I10307" t="s">
        <v>860</v>
      </c>
      <c r="J10307" t="str">
        <f>"9270202"</f>
        <v>9270202</v>
      </c>
      <c r="K10307">
        <v>2461096148</v>
      </c>
      <c r="L10307">
        <v>2461096148</v>
      </c>
      <c r="M10307" t="s">
        <v>18435</v>
      </c>
      <c r="N10307" t="s">
        <v>18418</v>
      </c>
      <c r="O10307" t="s">
        <v>18418</v>
      </c>
      <c r="P10307">
        <v>50100</v>
      </c>
      <c r="Q10307" t="str">
        <f>"40.381118"</f>
        <v>40.381118</v>
      </c>
      <c r="R10307" t="str">
        <f>"21.771030"</f>
        <v>21.771030</v>
      </c>
      <c r="S10307" t="s">
        <v>26</v>
      </c>
    </row>
    <row r="10308" spans="1:19" x14ac:dyDescent="0.3">
      <c r="A10308" t="s">
        <v>17244</v>
      </c>
      <c r="B10308" t="s">
        <v>18072</v>
      </c>
      <c r="C10308" t="s">
        <v>18436</v>
      </c>
      <c r="D10308" t="s">
        <v>17255</v>
      </c>
      <c r="E10308" t="s">
        <v>17255</v>
      </c>
      <c r="F10308" t="s">
        <v>17255</v>
      </c>
      <c r="G10308" t="s">
        <v>17255</v>
      </c>
      <c r="H10308" t="s">
        <v>859</v>
      </c>
      <c r="I10308" t="s">
        <v>860</v>
      </c>
      <c r="J10308" t="str">
        <f>"9270216"</f>
        <v>9270216</v>
      </c>
      <c r="K10308">
        <v>2461038190</v>
      </c>
      <c r="L10308">
        <v>2461038190</v>
      </c>
      <c r="M10308" t="s">
        <v>18437</v>
      </c>
      <c r="N10308" t="s">
        <v>17258</v>
      </c>
      <c r="O10308" t="s">
        <v>18438</v>
      </c>
      <c r="P10308">
        <v>50100</v>
      </c>
      <c r="Q10308" t="str">
        <f>"40.296436"</f>
        <v>40.296436</v>
      </c>
      <c r="R10308" t="str">
        <f>"21.796360"</f>
        <v>21.796360</v>
      </c>
      <c r="S10308" t="s">
        <v>26</v>
      </c>
    </row>
    <row r="10309" spans="1:19" x14ac:dyDescent="0.3">
      <c r="A10309" t="s">
        <v>17244</v>
      </c>
      <c r="B10309" t="s">
        <v>18072</v>
      </c>
      <c r="C10309" t="s">
        <v>18439</v>
      </c>
      <c r="D10309" t="s">
        <v>17255</v>
      </c>
      <c r="E10309" t="s">
        <v>17255</v>
      </c>
      <c r="F10309" t="s">
        <v>17255</v>
      </c>
      <c r="G10309" t="s">
        <v>17255</v>
      </c>
      <c r="H10309" t="s">
        <v>859</v>
      </c>
      <c r="I10309" t="s">
        <v>860</v>
      </c>
      <c r="J10309" t="str">
        <f>"9270378"</f>
        <v>9270378</v>
      </c>
      <c r="K10309">
        <v>2461030149</v>
      </c>
      <c r="L10309">
        <v>2461030149</v>
      </c>
      <c r="M10309" t="s">
        <v>18440</v>
      </c>
      <c r="N10309" t="s">
        <v>17258</v>
      </c>
      <c r="O10309" t="s">
        <v>18441</v>
      </c>
      <c r="P10309">
        <v>50100</v>
      </c>
      <c r="Q10309" t="str">
        <f>"40.308416"</f>
        <v>40.308416</v>
      </c>
      <c r="R10309" t="str">
        <f>"21.792562"</f>
        <v>21.792562</v>
      </c>
      <c r="S10309" t="s">
        <v>26</v>
      </c>
    </row>
    <row r="10310" spans="1:19" x14ac:dyDescent="0.3">
      <c r="A10310" t="s">
        <v>17244</v>
      </c>
      <c r="B10310" t="s">
        <v>18072</v>
      </c>
      <c r="C10310" t="s">
        <v>18442</v>
      </c>
      <c r="D10310" t="s">
        <v>17255</v>
      </c>
      <c r="E10310" t="s">
        <v>17255</v>
      </c>
      <c r="F10310" t="s">
        <v>17255</v>
      </c>
      <c r="G10310" t="s">
        <v>17255</v>
      </c>
      <c r="H10310" t="s">
        <v>859</v>
      </c>
      <c r="I10310" t="s">
        <v>860</v>
      </c>
      <c r="J10310" t="str">
        <f>"9270166"</f>
        <v>9270166</v>
      </c>
      <c r="K10310">
        <v>2461030833</v>
      </c>
      <c r="L10310">
        <v>2461030833</v>
      </c>
      <c r="M10310" t="s">
        <v>18443</v>
      </c>
      <c r="N10310" t="s">
        <v>17258</v>
      </c>
      <c r="O10310" t="s">
        <v>18080</v>
      </c>
      <c r="P10310">
        <v>50100</v>
      </c>
      <c r="Q10310" t="str">
        <f>"40.303040"</f>
        <v>40.303040</v>
      </c>
      <c r="R10310" t="str">
        <f>"21.791946"</f>
        <v>21.791946</v>
      </c>
      <c r="S10310" t="s">
        <v>26</v>
      </c>
    </row>
    <row r="10311" spans="1:19" x14ac:dyDescent="0.3">
      <c r="A10311" t="s">
        <v>17244</v>
      </c>
      <c r="B10311" t="s">
        <v>18072</v>
      </c>
      <c r="C10311" t="s">
        <v>18444</v>
      </c>
      <c r="D10311" t="s">
        <v>17255</v>
      </c>
      <c r="E10311" t="s">
        <v>17503</v>
      </c>
      <c r="F10311" t="s">
        <v>17503</v>
      </c>
      <c r="G10311" t="s">
        <v>17503</v>
      </c>
      <c r="H10311" t="s">
        <v>859</v>
      </c>
      <c r="I10311" t="s">
        <v>860</v>
      </c>
      <c r="J10311" t="str">
        <f>"9270348"</f>
        <v>9270348</v>
      </c>
      <c r="K10311">
        <v>2464032066</v>
      </c>
      <c r="L10311">
        <v>2464032066</v>
      </c>
      <c r="M10311" t="s">
        <v>18445</v>
      </c>
      <c r="N10311" t="s">
        <v>18132</v>
      </c>
      <c r="O10311" t="s">
        <v>18132</v>
      </c>
      <c r="P10311">
        <v>50400</v>
      </c>
      <c r="Q10311" t="str">
        <f>"40.255960"</f>
        <v>40.255960</v>
      </c>
      <c r="R10311" t="str">
        <f>"22.079758"</f>
        <v>22.079758</v>
      </c>
      <c r="S10311" t="s">
        <v>26</v>
      </c>
    </row>
    <row r="10312" spans="1:19" x14ac:dyDescent="0.3">
      <c r="A10312" t="s">
        <v>17244</v>
      </c>
      <c r="B10312" t="s">
        <v>18072</v>
      </c>
      <c r="C10312" t="s">
        <v>18446</v>
      </c>
      <c r="D10312" t="s">
        <v>17255</v>
      </c>
      <c r="E10312" t="s">
        <v>17255</v>
      </c>
      <c r="F10312" t="s">
        <v>17255</v>
      </c>
      <c r="G10312" t="s">
        <v>17255</v>
      </c>
      <c r="H10312" t="s">
        <v>859</v>
      </c>
      <c r="I10312" t="s">
        <v>860</v>
      </c>
      <c r="J10312" t="str">
        <f>"9270347"</f>
        <v>9270347</v>
      </c>
      <c r="K10312">
        <v>2461040079</v>
      </c>
      <c r="L10312">
        <v>2461040079</v>
      </c>
      <c r="M10312" t="s">
        <v>18447</v>
      </c>
      <c r="N10312" t="s">
        <v>17258</v>
      </c>
      <c r="O10312" t="s">
        <v>18448</v>
      </c>
      <c r="P10312">
        <v>50100</v>
      </c>
      <c r="Q10312" t="str">
        <f>"40.297974"</f>
        <v>40.297974</v>
      </c>
      <c r="R10312" t="str">
        <f>"21.788837"</f>
        <v>21.788837</v>
      </c>
      <c r="S10312" t="s">
        <v>26</v>
      </c>
    </row>
    <row r="10313" spans="1:19" x14ac:dyDescent="0.3">
      <c r="A10313" t="s">
        <v>17244</v>
      </c>
      <c r="B10313" t="s">
        <v>18072</v>
      </c>
      <c r="C10313" t="s">
        <v>18449</v>
      </c>
      <c r="D10313" t="s">
        <v>17255</v>
      </c>
      <c r="E10313" t="s">
        <v>17460</v>
      </c>
      <c r="F10313" t="s">
        <v>17460</v>
      </c>
      <c r="G10313" t="s">
        <v>17460</v>
      </c>
      <c r="H10313" t="s">
        <v>859</v>
      </c>
      <c r="I10313" t="s">
        <v>860</v>
      </c>
      <c r="J10313" t="str">
        <f>"9270262"</f>
        <v>9270262</v>
      </c>
      <c r="K10313">
        <v>2464023982</v>
      </c>
      <c r="L10313">
        <v>2464023982</v>
      </c>
      <c r="M10313" t="s">
        <v>18450</v>
      </c>
      <c r="N10313" t="s">
        <v>17476</v>
      </c>
      <c r="O10313" t="s">
        <v>18451</v>
      </c>
      <c r="P10313">
        <v>50500</v>
      </c>
      <c r="Q10313" t="str">
        <f>"40.185342"</f>
        <v>40.185342</v>
      </c>
      <c r="R10313" t="str">
        <f>"21.999139"</f>
        <v>21.999139</v>
      </c>
      <c r="S10313" t="s">
        <v>26</v>
      </c>
    </row>
    <row r="10314" spans="1:19" x14ac:dyDescent="0.3">
      <c r="A10314" t="s">
        <v>17244</v>
      </c>
      <c r="B10314" t="s">
        <v>18072</v>
      </c>
      <c r="C10314" t="s">
        <v>18452</v>
      </c>
      <c r="D10314" t="s">
        <v>17255</v>
      </c>
      <c r="E10314" t="s">
        <v>17255</v>
      </c>
      <c r="F10314" t="s">
        <v>17255</v>
      </c>
      <c r="G10314" t="s">
        <v>17563</v>
      </c>
      <c r="H10314" t="s">
        <v>859</v>
      </c>
      <c r="I10314" t="s">
        <v>860</v>
      </c>
      <c r="J10314" t="str">
        <f>"9270301"</f>
        <v>9270301</v>
      </c>
      <c r="K10314">
        <v>2461099388</v>
      </c>
      <c r="M10314" t="s">
        <v>18453</v>
      </c>
      <c r="N10314" t="s">
        <v>17566</v>
      </c>
      <c r="O10314" t="s">
        <v>17566</v>
      </c>
      <c r="P10314">
        <v>50100</v>
      </c>
      <c r="Q10314" t="str">
        <f>"40.231333"</f>
        <v>40.231333</v>
      </c>
      <c r="R10314" t="str">
        <f>"21.748748"</f>
        <v>21.748748</v>
      </c>
      <c r="S10314" t="s">
        <v>26</v>
      </c>
    </row>
    <row r="10315" spans="1:19" x14ac:dyDescent="0.3">
      <c r="A10315" t="s">
        <v>17244</v>
      </c>
      <c r="B10315" t="s">
        <v>18072</v>
      </c>
      <c r="C10315" t="s">
        <v>18456</v>
      </c>
      <c r="D10315" t="s">
        <v>17255</v>
      </c>
      <c r="E10315" t="s">
        <v>17255</v>
      </c>
      <c r="F10315" t="s">
        <v>17255</v>
      </c>
      <c r="G10315" t="s">
        <v>17255</v>
      </c>
      <c r="H10315" t="s">
        <v>859</v>
      </c>
      <c r="I10315" t="s">
        <v>1102</v>
      </c>
      <c r="J10315" t="str">
        <f>"9270383"</f>
        <v>9270383</v>
      </c>
      <c r="K10315">
        <v>2461039140</v>
      </c>
      <c r="L10315">
        <v>2461039140</v>
      </c>
      <c r="M10315" t="s">
        <v>18457</v>
      </c>
      <c r="N10315" t="s">
        <v>17255</v>
      </c>
      <c r="O10315" t="s">
        <v>18458</v>
      </c>
      <c r="P10315">
        <v>50100</v>
      </c>
      <c r="Q10315" t="str">
        <f>"40.308185"</f>
        <v>40.308185</v>
      </c>
      <c r="R10315" t="str">
        <f>"21.792103"</f>
        <v>21.792103</v>
      </c>
      <c r="S10315" t="s">
        <v>26</v>
      </c>
    </row>
    <row r="10316" spans="1:19" x14ac:dyDescent="0.3">
      <c r="A10316" t="s">
        <v>17244</v>
      </c>
      <c r="B10316" t="s">
        <v>18072</v>
      </c>
      <c r="C10316" t="s">
        <v>18459</v>
      </c>
      <c r="D10316" t="s">
        <v>17255</v>
      </c>
      <c r="E10316" t="s">
        <v>17255</v>
      </c>
      <c r="F10316" t="s">
        <v>17614</v>
      </c>
      <c r="G10316" t="s">
        <v>17615</v>
      </c>
      <c r="H10316" t="s">
        <v>859</v>
      </c>
      <c r="I10316" t="s">
        <v>860</v>
      </c>
      <c r="J10316" t="str">
        <f>"9270345"</f>
        <v>9270345</v>
      </c>
      <c r="K10316">
        <v>2461063880</v>
      </c>
      <c r="L10316">
        <v>2461063880</v>
      </c>
      <c r="M10316" t="s">
        <v>18460</v>
      </c>
      <c r="N10316" t="s">
        <v>18191</v>
      </c>
      <c r="O10316" t="s">
        <v>18191</v>
      </c>
      <c r="P10316">
        <v>50010</v>
      </c>
      <c r="Q10316" t="str">
        <f>"40.264231"</f>
        <v>40.264231</v>
      </c>
      <c r="R10316" t="str">
        <f>"21.816263"</f>
        <v>21.816263</v>
      </c>
      <c r="S10316" t="s">
        <v>26</v>
      </c>
    </row>
    <row r="10317" spans="1:19" x14ac:dyDescent="0.3">
      <c r="A10317" t="s">
        <v>17244</v>
      </c>
      <c r="B10317" t="s">
        <v>18072</v>
      </c>
      <c r="C10317" t="s">
        <v>18463</v>
      </c>
      <c r="D10317" t="s">
        <v>17255</v>
      </c>
      <c r="E10317" t="s">
        <v>17255</v>
      </c>
      <c r="F10317" t="s">
        <v>18192</v>
      </c>
      <c r="G10317" t="s">
        <v>18193</v>
      </c>
      <c r="H10317" t="s">
        <v>859</v>
      </c>
      <c r="I10317" t="s">
        <v>860</v>
      </c>
      <c r="J10317" t="str">
        <f>"9270157"</f>
        <v>9270157</v>
      </c>
      <c r="K10317">
        <v>2461096557</v>
      </c>
      <c r="L10317">
        <v>2461096557</v>
      </c>
      <c r="M10317" t="s">
        <v>18464</v>
      </c>
      <c r="N10317" t="s">
        <v>18196</v>
      </c>
      <c r="O10317" t="s">
        <v>18196</v>
      </c>
      <c r="P10317">
        <v>50200</v>
      </c>
      <c r="Q10317" t="str">
        <f>"40.410130"</f>
        <v>40.410130</v>
      </c>
      <c r="R10317" t="str">
        <f>"21.762995"</f>
        <v>21.762995</v>
      </c>
      <c r="S10317" t="s">
        <v>26</v>
      </c>
    </row>
    <row r="10318" spans="1:19" x14ac:dyDescent="0.3">
      <c r="A10318" t="s">
        <v>17244</v>
      </c>
      <c r="B10318" t="s">
        <v>18072</v>
      </c>
      <c r="C10318" t="s">
        <v>18465</v>
      </c>
      <c r="D10318" t="s">
        <v>17255</v>
      </c>
      <c r="E10318" t="s">
        <v>17255</v>
      </c>
      <c r="F10318" t="s">
        <v>17551</v>
      </c>
      <c r="G10318" t="s">
        <v>18133</v>
      </c>
      <c r="H10318" t="s">
        <v>859</v>
      </c>
      <c r="I10318" t="s">
        <v>860</v>
      </c>
      <c r="J10318" t="str">
        <f>"9270155"</f>
        <v>9270155</v>
      </c>
      <c r="K10318">
        <v>6945431990</v>
      </c>
      <c r="M10318" t="s">
        <v>18466</v>
      </c>
      <c r="N10318" t="s">
        <v>18467</v>
      </c>
      <c r="O10318" t="s">
        <v>18467</v>
      </c>
      <c r="P10318">
        <v>50100</v>
      </c>
      <c r="Q10318" t="str">
        <f>"40.256475"</f>
        <v>40.256475</v>
      </c>
      <c r="R10318" t="str">
        <f>"21.738158"</f>
        <v>21.738158</v>
      </c>
      <c r="S10318" t="s">
        <v>26</v>
      </c>
    </row>
    <row r="10319" spans="1:19" x14ac:dyDescent="0.3">
      <c r="A10319" t="s">
        <v>17244</v>
      </c>
      <c r="B10319" t="s">
        <v>18072</v>
      </c>
      <c r="C10319" t="s">
        <v>18469</v>
      </c>
      <c r="D10319" t="s">
        <v>17255</v>
      </c>
      <c r="E10319" t="s">
        <v>17255</v>
      </c>
      <c r="F10319" t="s">
        <v>17551</v>
      </c>
      <c r="G10319" t="s">
        <v>18468</v>
      </c>
      <c r="H10319" t="s">
        <v>859</v>
      </c>
      <c r="I10319" t="s">
        <v>860</v>
      </c>
      <c r="J10319" t="str">
        <f>"9270173"</f>
        <v>9270173</v>
      </c>
      <c r="K10319">
        <v>2461094808</v>
      </c>
      <c r="L10319">
        <v>2461094808</v>
      </c>
      <c r="M10319" t="s">
        <v>18470</v>
      </c>
      <c r="N10319" t="s">
        <v>18468</v>
      </c>
      <c r="O10319" t="s">
        <v>18471</v>
      </c>
      <c r="P10319">
        <v>50100</v>
      </c>
      <c r="Q10319" t="str">
        <f>"40.438641"</f>
        <v>40.438641</v>
      </c>
      <c r="R10319" t="str">
        <f>"21.906702"</f>
        <v>21.906702</v>
      </c>
      <c r="S10319" t="s">
        <v>26</v>
      </c>
    </row>
    <row r="10320" spans="1:19" x14ac:dyDescent="0.3">
      <c r="A10320" t="s">
        <v>17244</v>
      </c>
      <c r="B10320" t="s">
        <v>18072</v>
      </c>
      <c r="C10320" t="s">
        <v>18472</v>
      </c>
      <c r="D10320" t="s">
        <v>17255</v>
      </c>
      <c r="E10320" t="s">
        <v>17255</v>
      </c>
      <c r="F10320" t="s">
        <v>17255</v>
      </c>
      <c r="G10320" t="s">
        <v>17255</v>
      </c>
      <c r="H10320" t="s">
        <v>859</v>
      </c>
      <c r="I10320" t="s">
        <v>860</v>
      </c>
      <c r="J10320" t="str">
        <f>"9270164"</f>
        <v>9270164</v>
      </c>
      <c r="K10320">
        <v>2461026270</v>
      </c>
      <c r="L10320">
        <v>2461026270</v>
      </c>
      <c r="M10320" t="s">
        <v>18473</v>
      </c>
      <c r="N10320" t="s">
        <v>17258</v>
      </c>
      <c r="O10320" t="s">
        <v>18254</v>
      </c>
      <c r="P10320">
        <v>50100</v>
      </c>
      <c r="Q10320" t="str">
        <f>"40.308233"</f>
        <v>40.308233</v>
      </c>
      <c r="R10320" t="str">
        <f>"21.784918"</f>
        <v>21.784918</v>
      </c>
      <c r="S10320" t="s">
        <v>26</v>
      </c>
    </row>
    <row r="10321" spans="1:19" x14ac:dyDescent="0.3">
      <c r="A10321" t="s">
        <v>17244</v>
      </c>
      <c r="B10321" t="s">
        <v>18072</v>
      </c>
      <c r="C10321" t="s">
        <v>18474</v>
      </c>
      <c r="D10321" t="s">
        <v>17255</v>
      </c>
      <c r="E10321" t="s">
        <v>17255</v>
      </c>
      <c r="F10321" t="s">
        <v>17255</v>
      </c>
      <c r="G10321" t="s">
        <v>17255</v>
      </c>
      <c r="H10321" t="s">
        <v>859</v>
      </c>
      <c r="I10321" t="s">
        <v>860</v>
      </c>
      <c r="J10321" t="str">
        <f>"9270361"</f>
        <v>9270361</v>
      </c>
      <c r="K10321">
        <v>2461038032</v>
      </c>
      <c r="L10321">
        <v>2461038032</v>
      </c>
      <c r="M10321" t="s">
        <v>18475</v>
      </c>
      <c r="N10321" t="s">
        <v>17258</v>
      </c>
      <c r="O10321" t="s">
        <v>18476</v>
      </c>
      <c r="P10321">
        <v>50132</v>
      </c>
      <c r="Q10321" t="str">
        <f>"40.297353"</f>
        <v>40.297353</v>
      </c>
      <c r="R10321" t="str">
        <f>"21.799437"</f>
        <v>21.799437</v>
      </c>
      <c r="S10321" t="s">
        <v>26</v>
      </c>
    </row>
    <row r="10322" spans="1:19" x14ac:dyDescent="0.3">
      <c r="A10322" t="s">
        <v>17244</v>
      </c>
      <c r="B10322" t="s">
        <v>18072</v>
      </c>
      <c r="C10322" t="s">
        <v>18477</v>
      </c>
      <c r="D10322" t="s">
        <v>17255</v>
      </c>
      <c r="E10322" t="s">
        <v>17488</v>
      </c>
      <c r="F10322" t="s">
        <v>17576</v>
      </c>
      <c r="G10322" t="s">
        <v>17577</v>
      </c>
      <c r="H10322" t="s">
        <v>859</v>
      </c>
      <c r="I10322" t="s">
        <v>860</v>
      </c>
      <c r="J10322" t="str">
        <f>"9270116"</f>
        <v>9270116</v>
      </c>
      <c r="K10322">
        <v>2463061202</v>
      </c>
      <c r="L10322">
        <v>2463061202</v>
      </c>
      <c r="M10322" t="s">
        <v>18478</v>
      </c>
      <c r="N10322" t="s">
        <v>18479</v>
      </c>
      <c r="O10322" t="s">
        <v>18480</v>
      </c>
      <c r="P10322">
        <v>50005</v>
      </c>
      <c r="Q10322" t="str">
        <f>"40.491391"</f>
        <v>40.491391</v>
      </c>
      <c r="R10322" t="str">
        <f>"21.562440"</f>
        <v>21.562440</v>
      </c>
      <c r="S10322" t="s">
        <v>26</v>
      </c>
    </row>
    <row r="10323" spans="1:19" x14ac:dyDescent="0.3">
      <c r="A10323" t="s">
        <v>17244</v>
      </c>
      <c r="B10323" t="s">
        <v>18072</v>
      </c>
      <c r="C10323" t="s">
        <v>18481</v>
      </c>
      <c r="D10323" t="s">
        <v>17255</v>
      </c>
      <c r="E10323" t="s">
        <v>17488</v>
      </c>
      <c r="F10323" t="s">
        <v>17489</v>
      </c>
      <c r="G10323" t="s">
        <v>17490</v>
      </c>
      <c r="H10323" t="s">
        <v>859</v>
      </c>
      <c r="I10323" t="s">
        <v>860</v>
      </c>
      <c r="J10323" t="str">
        <f>"9270380"</f>
        <v>9270380</v>
      </c>
      <c r="K10323">
        <v>2463023919</v>
      </c>
      <c r="L10323">
        <v>2463023919</v>
      </c>
      <c r="M10323" t="s">
        <v>18482</v>
      </c>
      <c r="N10323" t="s">
        <v>17489</v>
      </c>
      <c r="O10323" t="s">
        <v>18483</v>
      </c>
      <c r="P10323">
        <v>50200</v>
      </c>
      <c r="Q10323" t="str">
        <f>"40.520342"</f>
        <v>40.520342</v>
      </c>
      <c r="R10323" t="str">
        <f>"21.678958"</f>
        <v>21.678958</v>
      </c>
      <c r="S10323" t="s">
        <v>26</v>
      </c>
    </row>
    <row r="10324" spans="1:19" x14ac:dyDescent="0.3">
      <c r="A10324" t="s">
        <v>17244</v>
      </c>
      <c r="B10324" t="s">
        <v>18072</v>
      </c>
      <c r="C10324" t="s">
        <v>18484</v>
      </c>
      <c r="D10324" t="s">
        <v>17255</v>
      </c>
      <c r="E10324" t="s">
        <v>17488</v>
      </c>
      <c r="F10324" t="s">
        <v>17489</v>
      </c>
      <c r="G10324" t="s">
        <v>17490</v>
      </c>
      <c r="H10324" t="s">
        <v>859</v>
      </c>
      <c r="I10324" t="s">
        <v>860</v>
      </c>
      <c r="J10324" t="str">
        <f>"9270352"</f>
        <v>9270352</v>
      </c>
      <c r="K10324">
        <v>2463024611</v>
      </c>
      <c r="L10324">
        <v>2463024611</v>
      </c>
      <c r="M10324" t="s">
        <v>18485</v>
      </c>
      <c r="N10324" t="s">
        <v>17489</v>
      </c>
      <c r="O10324" t="s">
        <v>18486</v>
      </c>
      <c r="P10324">
        <v>50200</v>
      </c>
      <c r="Q10324" t="str">
        <f>"40.507370"</f>
        <v>40.507370</v>
      </c>
      <c r="R10324" t="str">
        <f>"21.676864"</f>
        <v>21.676864</v>
      </c>
      <c r="S10324" t="s">
        <v>26</v>
      </c>
    </row>
    <row r="10325" spans="1:19" x14ac:dyDescent="0.3">
      <c r="A10325" t="s">
        <v>17244</v>
      </c>
      <c r="B10325" t="s">
        <v>18072</v>
      </c>
      <c r="C10325" t="s">
        <v>18490</v>
      </c>
      <c r="D10325" t="s">
        <v>17255</v>
      </c>
      <c r="E10325" t="s">
        <v>17488</v>
      </c>
      <c r="F10325" t="s">
        <v>17489</v>
      </c>
      <c r="G10325" t="s">
        <v>18489</v>
      </c>
      <c r="H10325" t="s">
        <v>859</v>
      </c>
      <c r="I10325" t="s">
        <v>860</v>
      </c>
      <c r="J10325" t="str">
        <f>"9270109"</f>
        <v>9270109</v>
      </c>
      <c r="K10325">
        <v>2463085088</v>
      </c>
      <c r="L10325">
        <v>2463028637</v>
      </c>
      <c r="M10325" t="s">
        <v>18491</v>
      </c>
      <c r="N10325" t="s">
        <v>18489</v>
      </c>
      <c r="O10325" t="s">
        <v>18492</v>
      </c>
      <c r="P10325">
        <v>50200</v>
      </c>
      <c r="Q10325" t="str">
        <f>"40.457134"</f>
        <v>40.457134</v>
      </c>
      <c r="R10325" t="str">
        <f>"21.674558"</f>
        <v>21.674558</v>
      </c>
      <c r="S10325" t="s">
        <v>26</v>
      </c>
    </row>
    <row r="10326" spans="1:19" x14ac:dyDescent="0.3">
      <c r="A10326" t="s">
        <v>17244</v>
      </c>
      <c r="B10326" t="s">
        <v>18072</v>
      </c>
      <c r="C10326" t="s">
        <v>18493</v>
      </c>
      <c r="D10326" t="s">
        <v>17255</v>
      </c>
      <c r="E10326" t="s">
        <v>17488</v>
      </c>
      <c r="F10326" t="s">
        <v>17489</v>
      </c>
      <c r="G10326" t="s">
        <v>17490</v>
      </c>
      <c r="H10326" t="s">
        <v>859</v>
      </c>
      <c r="I10326" t="s">
        <v>860</v>
      </c>
      <c r="J10326" t="str">
        <f>"9270326"</f>
        <v>9270326</v>
      </c>
      <c r="K10326">
        <v>2463055529</v>
      </c>
      <c r="L10326">
        <v>2463029693</v>
      </c>
      <c r="M10326" t="s">
        <v>18494</v>
      </c>
      <c r="N10326" t="s">
        <v>17489</v>
      </c>
      <c r="O10326" t="s">
        <v>18495</v>
      </c>
      <c r="P10326">
        <v>50200</v>
      </c>
      <c r="Q10326" t="str">
        <f>"40.509663"</f>
        <v>40.509663</v>
      </c>
      <c r="R10326" t="str">
        <f>"21.665384"</f>
        <v>21.665384</v>
      </c>
      <c r="S10326" t="s">
        <v>26</v>
      </c>
    </row>
    <row r="10327" spans="1:19" x14ac:dyDescent="0.3">
      <c r="A10327" t="s">
        <v>17244</v>
      </c>
      <c r="B10327" t="s">
        <v>18072</v>
      </c>
      <c r="C10327" t="s">
        <v>18525</v>
      </c>
      <c r="D10327" t="s">
        <v>17255</v>
      </c>
      <c r="E10327" t="s">
        <v>17488</v>
      </c>
      <c r="F10327" t="s">
        <v>17489</v>
      </c>
      <c r="G10327" t="s">
        <v>17490</v>
      </c>
      <c r="H10327" t="s">
        <v>859</v>
      </c>
      <c r="I10327" t="s">
        <v>860</v>
      </c>
      <c r="J10327" t="str">
        <f>"9270344"</f>
        <v>9270344</v>
      </c>
      <c r="K10327">
        <v>2463024577</v>
      </c>
      <c r="L10327">
        <v>2463024577</v>
      </c>
      <c r="M10327" t="s">
        <v>18526</v>
      </c>
      <c r="N10327" t="s">
        <v>17489</v>
      </c>
      <c r="O10327" t="s">
        <v>18527</v>
      </c>
      <c r="P10327">
        <v>50200</v>
      </c>
      <c r="Q10327" t="str">
        <f>"40.525499"</f>
        <v>40.525499</v>
      </c>
      <c r="R10327" t="str">
        <f>"21.686556"</f>
        <v>21.686556</v>
      </c>
      <c r="S10327" t="s">
        <v>26</v>
      </c>
    </row>
    <row r="10328" spans="1:19" x14ac:dyDescent="0.3">
      <c r="A10328" t="s">
        <v>17244</v>
      </c>
      <c r="B10328" t="s">
        <v>18072</v>
      </c>
      <c r="C10328" t="s">
        <v>18554</v>
      </c>
      <c r="D10328" t="s">
        <v>17255</v>
      </c>
      <c r="E10328" t="s">
        <v>17488</v>
      </c>
      <c r="F10328" t="s">
        <v>17489</v>
      </c>
      <c r="G10328" t="s">
        <v>18553</v>
      </c>
      <c r="H10328" t="s">
        <v>859</v>
      </c>
      <c r="I10328" t="s">
        <v>860</v>
      </c>
      <c r="J10328" t="str">
        <f>"9270137"</f>
        <v>9270137</v>
      </c>
      <c r="K10328">
        <v>2463021926</v>
      </c>
      <c r="L10328">
        <v>2463021926</v>
      </c>
      <c r="M10328" t="s">
        <v>18555</v>
      </c>
      <c r="N10328" t="s">
        <v>18556</v>
      </c>
      <c r="O10328" t="s">
        <v>18557</v>
      </c>
      <c r="P10328">
        <v>50200</v>
      </c>
      <c r="Q10328" t="str">
        <f>"40.489932"</f>
        <v>40.489932</v>
      </c>
      <c r="R10328" t="str">
        <f>"21.712995"</f>
        <v>21.712995</v>
      </c>
      <c r="S10328" t="s">
        <v>26</v>
      </c>
    </row>
    <row r="10329" spans="1:19" x14ac:dyDescent="0.3">
      <c r="A10329" t="s">
        <v>17244</v>
      </c>
      <c r="B10329" t="s">
        <v>18072</v>
      </c>
      <c r="C10329" t="s">
        <v>18561</v>
      </c>
      <c r="D10329" t="s">
        <v>17255</v>
      </c>
      <c r="E10329" t="s">
        <v>17255</v>
      </c>
      <c r="F10329" t="s">
        <v>17642</v>
      </c>
      <c r="G10329" t="s">
        <v>152</v>
      </c>
      <c r="H10329" t="s">
        <v>859</v>
      </c>
      <c r="I10329" t="s">
        <v>860</v>
      </c>
      <c r="J10329" t="str">
        <f>"9270304"</f>
        <v>9270304</v>
      </c>
      <c r="K10329">
        <v>2461089145</v>
      </c>
      <c r="L10329">
        <v>2461099103</v>
      </c>
      <c r="M10329" t="s">
        <v>18562</v>
      </c>
      <c r="N10329" t="s">
        <v>4693</v>
      </c>
      <c r="O10329" t="s">
        <v>4693</v>
      </c>
      <c r="P10329">
        <v>50100</v>
      </c>
      <c r="Q10329" t="str">
        <f>"40.218538"</f>
        <v>40.218538</v>
      </c>
      <c r="R10329" t="str">
        <f>"21.775170"</f>
        <v>21.775170</v>
      </c>
      <c r="S10329" t="s">
        <v>26</v>
      </c>
    </row>
    <row r="10330" spans="1:19" x14ac:dyDescent="0.3">
      <c r="A10330" t="s">
        <v>17244</v>
      </c>
      <c r="B10330" t="s">
        <v>18072</v>
      </c>
      <c r="C10330" t="s">
        <v>18565</v>
      </c>
      <c r="D10330" t="s">
        <v>17255</v>
      </c>
      <c r="E10330" t="s">
        <v>17488</v>
      </c>
      <c r="F10330" t="s">
        <v>17489</v>
      </c>
      <c r="G10330" t="s">
        <v>17490</v>
      </c>
      <c r="H10330" t="s">
        <v>859</v>
      </c>
      <c r="I10330" t="s">
        <v>1102</v>
      </c>
      <c r="J10330" t="str">
        <f>"9270399"</f>
        <v>9270399</v>
      </c>
      <c r="K10330">
        <v>2463081144</v>
      </c>
      <c r="L10330">
        <v>2463055536</v>
      </c>
      <c r="M10330" t="s">
        <v>18566</v>
      </c>
      <c r="N10330" t="s">
        <v>17493</v>
      </c>
      <c r="O10330" t="s">
        <v>18567</v>
      </c>
      <c r="P10330">
        <v>50200</v>
      </c>
      <c r="Q10330" t="str">
        <f>"40.515174"</f>
        <v>40.515174</v>
      </c>
      <c r="R10330" t="str">
        <f>"21.661375"</f>
        <v>21.661375</v>
      </c>
      <c r="S10330" t="s">
        <v>26</v>
      </c>
    </row>
    <row r="10331" spans="1:19" x14ac:dyDescent="0.3">
      <c r="A10331" t="s">
        <v>17244</v>
      </c>
      <c r="B10331" t="s">
        <v>18072</v>
      </c>
      <c r="C10331" t="s">
        <v>18571</v>
      </c>
      <c r="D10331" t="s">
        <v>17255</v>
      </c>
      <c r="E10331" t="s">
        <v>17255</v>
      </c>
      <c r="F10331" t="s">
        <v>17255</v>
      </c>
      <c r="G10331" t="s">
        <v>17255</v>
      </c>
      <c r="H10331" t="s">
        <v>859</v>
      </c>
      <c r="I10331" t="s">
        <v>860</v>
      </c>
      <c r="J10331" t="str">
        <f>"9521569"</f>
        <v>9521569</v>
      </c>
      <c r="K10331">
        <v>2461095693</v>
      </c>
      <c r="M10331" t="s">
        <v>18572</v>
      </c>
      <c r="N10331" t="s">
        <v>17258</v>
      </c>
      <c r="O10331" t="s">
        <v>18573</v>
      </c>
      <c r="P10331">
        <v>50100</v>
      </c>
      <c r="Q10331" t="str">
        <f>"40.274939"</f>
        <v>40.274939</v>
      </c>
      <c r="R10331" t="str">
        <f>"21.756801"</f>
        <v>21.756801</v>
      </c>
      <c r="S10331" t="s">
        <v>26</v>
      </c>
    </row>
    <row r="10332" spans="1:19" x14ac:dyDescent="0.3">
      <c r="A10332" t="s">
        <v>17244</v>
      </c>
      <c r="B10332" t="s">
        <v>18576</v>
      </c>
      <c r="C10332" t="s">
        <v>18577</v>
      </c>
      <c r="D10332" t="s">
        <v>17260</v>
      </c>
      <c r="E10332" t="s">
        <v>17260</v>
      </c>
      <c r="F10332" t="s">
        <v>17260</v>
      </c>
      <c r="G10332" t="s">
        <v>17261</v>
      </c>
      <c r="H10332" t="s">
        <v>859</v>
      </c>
      <c r="I10332" t="s">
        <v>860</v>
      </c>
      <c r="J10332" t="str">
        <f>"9470076"</f>
        <v>9470076</v>
      </c>
      <c r="K10332">
        <v>2385022703</v>
      </c>
      <c r="M10332" t="s">
        <v>18578</v>
      </c>
      <c r="N10332" t="s">
        <v>17260</v>
      </c>
      <c r="O10332" t="s">
        <v>18579</v>
      </c>
      <c r="P10332">
        <v>53100</v>
      </c>
      <c r="Q10332" t="str">
        <f>"40.778696"</f>
        <v>40.778696</v>
      </c>
      <c r="R10332" t="str">
        <f>"21.393224"</f>
        <v>21.393224</v>
      </c>
      <c r="S10332" t="s">
        <v>26</v>
      </c>
    </row>
    <row r="10333" spans="1:19" x14ac:dyDescent="0.3">
      <c r="A10333" t="s">
        <v>17244</v>
      </c>
      <c r="B10333" t="s">
        <v>18576</v>
      </c>
      <c r="C10333" t="s">
        <v>18582</v>
      </c>
      <c r="D10333" t="s">
        <v>17260</v>
      </c>
      <c r="E10333" t="s">
        <v>17260</v>
      </c>
      <c r="F10333" t="s">
        <v>17729</v>
      </c>
      <c r="G10333" t="s">
        <v>17729</v>
      </c>
      <c r="H10333" t="s">
        <v>859</v>
      </c>
      <c r="I10333" t="s">
        <v>860</v>
      </c>
      <c r="J10333" t="str">
        <f>"9470158"</f>
        <v>9470158</v>
      </c>
      <c r="K10333">
        <v>2385030001</v>
      </c>
      <c r="L10333">
        <v>2385030001</v>
      </c>
      <c r="M10333" t="s">
        <v>18583</v>
      </c>
      <c r="N10333" t="s">
        <v>17729</v>
      </c>
      <c r="O10333" t="s">
        <v>18584</v>
      </c>
      <c r="P10333">
        <v>53100</v>
      </c>
      <c r="Q10333" t="str">
        <f>"40.751597"</f>
        <v>40.751597</v>
      </c>
      <c r="R10333" t="str">
        <f>"21.465711"</f>
        <v>21.465711</v>
      </c>
      <c r="S10333" t="s">
        <v>26</v>
      </c>
    </row>
    <row r="10334" spans="1:19" x14ac:dyDescent="0.3">
      <c r="A10334" t="s">
        <v>17244</v>
      </c>
      <c r="B10334" t="s">
        <v>18576</v>
      </c>
      <c r="C10334" t="s">
        <v>18586</v>
      </c>
      <c r="D10334" t="s">
        <v>17260</v>
      </c>
      <c r="E10334" t="s">
        <v>17260</v>
      </c>
      <c r="F10334" t="s">
        <v>17686</v>
      </c>
      <c r="G10334" t="s">
        <v>18585</v>
      </c>
      <c r="H10334" t="s">
        <v>859</v>
      </c>
      <c r="I10334" t="s">
        <v>860</v>
      </c>
      <c r="J10334" t="str">
        <f>"9470064"</f>
        <v>9470064</v>
      </c>
      <c r="K10334">
        <v>2385081012</v>
      </c>
      <c r="M10334" t="s">
        <v>18587</v>
      </c>
      <c r="N10334" t="s">
        <v>18585</v>
      </c>
      <c r="O10334" t="s">
        <v>18588</v>
      </c>
      <c r="P10334">
        <v>53074</v>
      </c>
      <c r="Q10334" t="str">
        <f>"40.788517"</f>
        <v>40.788517</v>
      </c>
      <c r="R10334" t="str">
        <f>"21.538672"</f>
        <v>21.538672</v>
      </c>
      <c r="S10334" t="s">
        <v>26</v>
      </c>
    </row>
    <row r="10335" spans="1:19" x14ac:dyDescent="0.3">
      <c r="A10335" t="s">
        <v>17244</v>
      </c>
      <c r="B10335" t="s">
        <v>18576</v>
      </c>
      <c r="C10335" t="s">
        <v>18592</v>
      </c>
      <c r="D10335" t="s">
        <v>17260</v>
      </c>
      <c r="E10335" t="s">
        <v>17260</v>
      </c>
      <c r="F10335" t="s">
        <v>17729</v>
      </c>
      <c r="G10335" t="s">
        <v>13419</v>
      </c>
      <c r="H10335" t="s">
        <v>859</v>
      </c>
      <c r="I10335" t="s">
        <v>860</v>
      </c>
      <c r="J10335" t="str">
        <f>"9470172"</f>
        <v>9470172</v>
      </c>
      <c r="K10335">
        <v>2385030662</v>
      </c>
      <c r="M10335" t="s">
        <v>18593</v>
      </c>
      <c r="N10335" t="s">
        <v>18594</v>
      </c>
      <c r="O10335" t="s">
        <v>18594</v>
      </c>
      <c r="P10335">
        <v>53100</v>
      </c>
      <c r="Q10335" t="str">
        <f>"40.804883"</f>
        <v>40.804883</v>
      </c>
      <c r="R10335" t="str">
        <f>"21.527836"</f>
        <v>21.527836</v>
      </c>
      <c r="S10335" t="s">
        <v>26</v>
      </c>
    </row>
    <row r="10336" spans="1:19" x14ac:dyDescent="0.3">
      <c r="A10336" t="s">
        <v>17244</v>
      </c>
      <c r="B10336" t="s">
        <v>18576</v>
      </c>
      <c r="C10336" t="s">
        <v>18596</v>
      </c>
      <c r="D10336" t="s">
        <v>17260</v>
      </c>
      <c r="E10336" t="s">
        <v>17260</v>
      </c>
      <c r="F10336" t="s">
        <v>17686</v>
      </c>
      <c r="G10336" t="s">
        <v>18595</v>
      </c>
      <c r="H10336" t="s">
        <v>859</v>
      </c>
      <c r="I10336" t="s">
        <v>860</v>
      </c>
      <c r="J10336" t="str">
        <f>"9470049"</f>
        <v>9470049</v>
      </c>
      <c r="K10336">
        <v>2385037332</v>
      </c>
      <c r="M10336" t="s">
        <v>18597</v>
      </c>
      <c r="N10336" t="s">
        <v>18595</v>
      </c>
      <c r="O10336" t="s">
        <v>18598</v>
      </c>
      <c r="P10336">
        <v>53100</v>
      </c>
      <c r="Q10336" t="str">
        <f>"40.828435"</f>
        <v>40.828435</v>
      </c>
      <c r="R10336" t="str">
        <f>"21.542675"</f>
        <v>21.542675</v>
      </c>
      <c r="S10336" t="s">
        <v>26</v>
      </c>
    </row>
    <row r="10337" spans="1:19" x14ac:dyDescent="0.3">
      <c r="A10337" t="s">
        <v>17244</v>
      </c>
      <c r="B10337" t="s">
        <v>18576</v>
      </c>
      <c r="C10337" t="s">
        <v>18600</v>
      </c>
      <c r="D10337" t="s">
        <v>17260</v>
      </c>
      <c r="E10337" t="s">
        <v>17701</v>
      </c>
      <c r="F10337" t="s">
        <v>17701</v>
      </c>
      <c r="G10337" t="s">
        <v>18599</v>
      </c>
      <c r="H10337" t="s">
        <v>859</v>
      </c>
      <c r="I10337" t="s">
        <v>860</v>
      </c>
      <c r="J10337" t="str">
        <f>"9470032"</f>
        <v>9470032</v>
      </c>
      <c r="K10337">
        <v>2385024677</v>
      </c>
      <c r="L10337">
        <v>2385024654</v>
      </c>
      <c r="M10337" t="s">
        <v>18601</v>
      </c>
      <c r="N10337" t="s">
        <v>18599</v>
      </c>
      <c r="O10337" t="s">
        <v>18602</v>
      </c>
      <c r="P10337">
        <v>53074</v>
      </c>
      <c r="Q10337" t="str">
        <f>"40.783647"</f>
        <v>40.783647</v>
      </c>
      <c r="R10337" t="str">
        <f>"21.691610"</f>
        <v>21.691610</v>
      </c>
      <c r="S10337" t="s">
        <v>26</v>
      </c>
    </row>
    <row r="10338" spans="1:19" x14ac:dyDescent="0.3">
      <c r="A10338" t="s">
        <v>17244</v>
      </c>
      <c r="B10338" t="s">
        <v>18576</v>
      </c>
      <c r="C10338" t="s">
        <v>18604</v>
      </c>
      <c r="D10338" t="s">
        <v>17260</v>
      </c>
      <c r="E10338" t="s">
        <v>17260</v>
      </c>
      <c r="F10338" t="s">
        <v>17729</v>
      </c>
      <c r="G10338" t="s">
        <v>18603</v>
      </c>
      <c r="H10338" t="s">
        <v>859</v>
      </c>
      <c r="I10338" t="s">
        <v>860</v>
      </c>
      <c r="J10338" t="str">
        <f>"9470176"</f>
        <v>9470176</v>
      </c>
      <c r="K10338">
        <v>2385067363</v>
      </c>
      <c r="L10338">
        <v>2385067363</v>
      </c>
      <c r="M10338" t="s">
        <v>18605</v>
      </c>
      <c r="N10338" t="s">
        <v>18603</v>
      </c>
      <c r="O10338" t="s">
        <v>18606</v>
      </c>
      <c r="P10338">
        <v>53100</v>
      </c>
      <c r="Q10338" t="str">
        <f>"40.705646"</f>
        <v>40.705646</v>
      </c>
      <c r="R10338" t="str">
        <f>"21.522581"</f>
        <v>21.522581</v>
      </c>
      <c r="S10338" t="s">
        <v>26</v>
      </c>
    </row>
    <row r="10339" spans="1:19" x14ac:dyDescent="0.3">
      <c r="A10339" t="s">
        <v>17244</v>
      </c>
      <c r="B10339" t="s">
        <v>18576</v>
      </c>
      <c r="C10339" t="s">
        <v>18608</v>
      </c>
      <c r="D10339" t="s">
        <v>17260</v>
      </c>
      <c r="E10339" t="s">
        <v>17260</v>
      </c>
      <c r="F10339" t="s">
        <v>17686</v>
      </c>
      <c r="G10339" t="s">
        <v>18607</v>
      </c>
      <c r="H10339" t="s">
        <v>859</v>
      </c>
      <c r="I10339" t="s">
        <v>860</v>
      </c>
      <c r="J10339" t="str">
        <f>"9470018"</f>
        <v>9470018</v>
      </c>
      <c r="K10339">
        <v>2385037249</v>
      </c>
      <c r="M10339" t="s">
        <v>18609</v>
      </c>
      <c r="N10339" t="s">
        <v>18607</v>
      </c>
      <c r="O10339" t="s">
        <v>18610</v>
      </c>
      <c r="P10339">
        <v>53071</v>
      </c>
      <c r="Q10339" t="str">
        <f>"40.861425"</f>
        <v>40.861425</v>
      </c>
      <c r="R10339" t="str">
        <f>"21.611888"</f>
        <v>21.611888</v>
      </c>
      <c r="S10339" t="s">
        <v>26</v>
      </c>
    </row>
    <row r="10340" spans="1:19" x14ac:dyDescent="0.3">
      <c r="A10340" t="s">
        <v>17244</v>
      </c>
      <c r="B10340" t="s">
        <v>18576</v>
      </c>
      <c r="C10340" t="s">
        <v>18611</v>
      </c>
      <c r="D10340" t="s">
        <v>17260</v>
      </c>
      <c r="E10340" t="s">
        <v>17260</v>
      </c>
      <c r="F10340" t="s">
        <v>17260</v>
      </c>
      <c r="G10340" t="s">
        <v>17261</v>
      </c>
      <c r="H10340" t="s">
        <v>859</v>
      </c>
      <c r="I10340" t="s">
        <v>860</v>
      </c>
      <c r="J10340" t="str">
        <f>"9470074"</f>
        <v>9470074</v>
      </c>
      <c r="K10340">
        <v>2385046977</v>
      </c>
      <c r="L10340">
        <v>2385046977</v>
      </c>
      <c r="M10340" t="s">
        <v>18612</v>
      </c>
      <c r="N10340" t="s">
        <v>17264</v>
      </c>
      <c r="O10340" t="s">
        <v>18581</v>
      </c>
      <c r="P10340">
        <v>53100</v>
      </c>
      <c r="Q10340" t="str">
        <f>"40.782586"</f>
        <v>40.782586</v>
      </c>
      <c r="R10340" t="str">
        <f>"21.412859"</f>
        <v>21.412859</v>
      </c>
      <c r="S10340" t="s">
        <v>26</v>
      </c>
    </row>
    <row r="10341" spans="1:19" x14ac:dyDescent="0.3">
      <c r="A10341" t="s">
        <v>17244</v>
      </c>
      <c r="B10341" t="s">
        <v>18576</v>
      </c>
      <c r="C10341" t="s">
        <v>18614</v>
      </c>
      <c r="D10341" t="s">
        <v>17260</v>
      </c>
      <c r="E10341" t="s">
        <v>17260</v>
      </c>
      <c r="F10341" t="s">
        <v>17755</v>
      </c>
      <c r="G10341" t="s">
        <v>18613</v>
      </c>
      <c r="H10341" t="s">
        <v>859</v>
      </c>
      <c r="I10341" t="s">
        <v>860</v>
      </c>
      <c r="J10341" t="str">
        <f>"9470098"</f>
        <v>9470098</v>
      </c>
      <c r="K10341">
        <v>2385092728</v>
      </c>
      <c r="M10341" t="s">
        <v>18615</v>
      </c>
      <c r="N10341" t="s">
        <v>18613</v>
      </c>
      <c r="O10341" t="s">
        <v>18616</v>
      </c>
      <c r="P10341">
        <v>53100</v>
      </c>
      <c r="Q10341" t="str">
        <f>"40.857933"</f>
        <v>40.857933</v>
      </c>
      <c r="R10341" t="str">
        <f>"21.452703"</f>
        <v>21.452703</v>
      </c>
      <c r="S10341" t="s">
        <v>26</v>
      </c>
    </row>
    <row r="10342" spans="1:19" x14ac:dyDescent="0.3">
      <c r="A10342" t="s">
        <v>17244</v>
      </c>
      <c r="B10342" t="s">
        <v>18576</v>
      </c>
      <c r="C10342" t="s">
        <v>18618</v>
      </c>
      <c r="D10342" t="s">
        <v>17260</v>
      </c>
      <c r="E10342" t="s">
        <v>17260</v>
      </c>
      <c r="F10342" t="s">
        <v>17260</v>
      </c>
      <c r="G10342" t="s">
        <v>18617</v>
      </c>
      <c r="H10342" t="s">
        <v>859</v>
      </c>
      <c r="I10342" t="s">
        <v>860</v>
      </c>
      <c r="J10342" t="str">
        <f>"9470166"</f>
        <v>9470166</v>
      </c>
      <c r="K10342">
        <v>2385024129</v>
      </c>
      <c r="M10342" t="s">
        <v>18619</v>
      </c>
      <c r="N10342" t="s">
        <v>18617</v>
      </c>
      <c r="O10342" t="s">
        <v>18620</v>
      </c>
      <c r="P10342">
        <v>53100</v>
      </c>
      <c r="Q10342" t="str">
        <f>"40.763738"</f>
        <v>40.763738</v>
      </c>
      <c r="R10342" t="str">
        <f>"21.409656"</f>
        <v>21.409656</v>
      </c>
      <c r="S10342" t="s">
        <v>26</v>
      </c>
    </row>
    <row r="10343" spans="1:19" x14ac:dyDescent="0.3">
      <c r="A10343" t="s">
        <v>17244</v>
      </c>
      <c r="B10343" t="s">
        <v>18576</v>
      </c>
      <c r="C10343" t="s">
        <v>18621</v>
      </c>
      <c r="D10343" t="s">
        <v>17260</v>
      </c>
      <c r="E10343" t="s">
        <v>17260</v>
      </c>
      <c r="F10343" t="s">
        <v>17686</v>
      </c>
      <c r="G10343" t="s">
        <v>17686</v>
      </c>
      <c r="H10343" t="s">
        <v>859</v>
      </c>
      <c r="I10343" t="s">
        <v>860</v>
      </c>
      <c r="J10343" t="str">
        <f>"9470048"</f>
        <v>9470048</v>
      </c>
      <c r="K10343">
        <v>2385037416</v>
      </c>
      <c r="M10343" t="s">
        <v>18622</v>
      </c>
      <c r="N10343" t="s">
        <v>17686</v>
      </c>
      <c r="O10343" t="s">
        <v>17763</v>
      </c>
      <c r="P10343">
        <v>53071</v>
      </c>
      <c r="Q10343" t="str">
        <f>"40.834784"</f>
        <v>40.834784</v>
      </c>
      <c r="R10343" t="str">
        <f>"21.583661"</f>
        <v>21.583661</v>
      </c>
      <c r="S10343" t="s">
        <v>26</v>
      </c>
    </row>
    <row r="10344" spans="1:19" x14ac:dyDescent="0.3">
      <c r="A10344" t="s">
        <v>17244</v>
      </c>
      <c r="B10344" t="s">
        <v>18576</v>
      </c>
      <c r="C10344" t="s">
        <v>18626</v>
      </c>
      <c r="D10344" t="s">
        <v>17260</v>
      </c>
      <c r="E10344" t="s">
        <v>17260</v>
      </c>
      <c r="F10344" t="s">
        <v>17260</v>
      </c>
      <c r="G10344" t="s">
        <v>17261</v>
      </c>
      <c r="H10344" t="s">
        <v>859</v>
      </c>
      <c r="I10344" t="s">
        <v>860</v>
      </c>
      <c r="J10344" t="str">
        <f>"9470078"</f>
        <v>9470078</v>
      </c>
      <c r="K10344">
        <v>2385026585</v>
      </c>
      <c r="M10344" t="s">
        <v>18627</v>
      </c>
      <c r="N10344" t="s">
        <v>17260</v>
      </c>
      <c r="O10344" t="s">
        <v>18628</v>
      </c>
      <c r="P10344">
        <v>53100</v>
      </c>
      <c r="Q10344" t="str">
        <f>"40.780873"</f>
        <v>40.780873</v>
      </c>
      <c r="R10344" t="str">
        <f>"21.400979"</f>
        <v>21.400979</v>
      </c>
      <c r="S10344" t="s">
        <v>26</v>
      </c>
    </row>
    <row r="10345" spans="1:19" x14ac:dyDescent="0.3">
      <c r="A10345" t="s">
        <v>17244</v>
      </c>
      <c r="B10345" t="s">
        <v>18576</v>
      </c>
      <c r="C10345" t="s">
        <v>18632</v>
      </c>
      <c r="D10345" t="s">
        <v>17260</v>
      </c>
      <c r="E10345" t="s">
        <v>17701</v>
      </c>
      <c r="F10345" t="s">
        <v>17717</v>
      </c>
      <c r="G10345" t="s">
        <v>17717</v>
      </c>
      <c r="H10345" t="s">
        <v>859</v>
      </c>
      <c r="I10345" t="s">
        <v>860</v>
      </c>
      <c r="J10345" t="str">
        <f>"9470193"</f>
        <v>9470193</v>
      </c>
      <c r="K10345">
        <v>2463041644</v>
      </c>
      <c r="L10345">
        <v>2463041644</v>
      </c>
      <c r="M10345" t="s">
        <v>18633</v>
      </c>
      <c r="N10345" t="s">
        <v>17717</v>
      </c>
      <c r="O10345" t="s">
        <v>17720</v>
      </c>
      <c r="P10345">
        <v>53070</v>
      </c>
      <c r="Q10345" t="str">
        <f>"40.625315"</f>
        <v>40.625315</v>
      </c>
      <c r="R10345" t="str">
        <f>"21.705615"</f>
        <v>21.705615</v>
      </c>
      <c r="S10345" t="s">
        <v>26</v>
      </c>
    </row>
    <row r="10346" spans="1:19" x14ac:dyDescent="0.3">
      <c r="A10346" t="s">
        <v>17244</v>
      </c>
      <c r="B10346" t="s">
        <v>18576</v>
      </c>
      <c r="C10346" t="s">
        <v>18635</v>
      </c>
      <c r="D10346" t="s">
        <v>17260</v>
      </c>
      <c r="E10346" t="s">
        <v>17701</v>
      </c>
      <c r="F10346" t="s">
        <v>17701</v>
      </c>
      <c r="G10346" t="s">
        <v>18634</v>
      </c>
      <c r="H10346" t="s">
        <v>859</v>
      </c>
      <c r="I10346" t="s">
        <v>860</v>
      </c>
      <c r="J10346" t="str">
        <f>"9470053"</f>
        <v>9470053</v>
      </c>
      <c r="K10346">
        <v>2386081160</v>
      </c>
      <c r="L10346">
        <v>2386081041</v>
      </c>
      <c r="M10346" t="s">
        <v>18636</v>
      </c>
      <c r="N10346" t="s">
        <v>18634</v>
      </c>
      <c r="O10346" t="s">
        <v>18637</v>
      </c>
      <c r="P10346">
        <v>53072</v>
      </c>
      <c r="Q10346" t="str">
        <f>"40.691729"</f>
        <v>40.691729</v>
      </c>
      <c r="R10346" t="str">
        <f>"21.627608"</f>
        <v>21.627608</v>
      </c>
      <c r="S10346" t="s">
        <v>26</v>
      </c>
    </row>
    <row r="10347" spans="1:19" x14ac:dyDescent="0.3">
      <c r="A10347" t="s">
        <v>17244</v>
      </c>
      <c r="B10347" t="s">
        <v>18576</v>
      </c>
      <c r="C10347" t="s">
        <v>18640</v>
      </c>
      <c r="D10347" t="s">
        <v>17260</v>
      </c>
      <c r="E10347" t="s">
        <v>17260</v>
      </c>
      <c r="F10347" t="s">
        <v>17686</v>
      </c>
      <c r="G10347" t="s">
        <v>17687</v>
      </c>
      <c r="H10347" t="s">
        <v>859</v>
      </c>
      <c r="I10347" t="s">
        <v>860</v>
      </c>
      <c r="J10347" t="str">
        <f>"9470154"</f>
        <v>9470154</v>
      </c>
      <c r="K10347">
        <v>2385041200</v>
      </c>
      <c r="M10347" t="s">
        <v>18641</v>
      </c>
      <c r="N10347" t="s">
        <v>17687</v>
      </c>
      <c r="O10347" t="s">
        <v>17687</v>
      </c>
      <c r="P10347">
        <v>53100</v>
      </c>
      <c r="Q10347" t="str">
        <f>"40.839263"</f>
        <v>40.839263</v>
      </c>
      <c r="R10347" t="str">
        <f>"21.497222"</f>
        <v>21.497222</v>
      </c>
      <c r="S10347" t="s">
        <v>26</v>
      </c>
    </row>
    <row r="10348" spans="1:19" x14ac:dyDescent="0.3">
      <c r="A10348" t="s">
        <v>17244</v>
      </c>
      <c r="B10348" t="s">
        <v>18576</v>
      </c>
      <c r="C10348" t="s">
        <v>18642</v>
      </c>
      <c r="D10348" t="s">
        <v>17260</v>
      </c>
      <c r="E10348" t="s">
        <v>17260</v>
      </c>
      <c r="F10348" t="s">
        <v>17686</v>
      </c>
      <c r="G10348" t="s">
        <v>17686</v>
      </c>
      <c r="H10348" t="s">
        <v>859</v>
      </c>
      <c r="I10348" t="s">
        <v>860</v>
      </c>
      <c r="J10348" t="str">
        <f>"9470047"</f>
        <v>9470047</v>
      </c>
      <c r="K10348">
        <v>2385037416</v>
      </c>
      <c r="M10348" t="s">
        <v>18643</v>
      </c>
      <c r="N10348" t="s">
        <v>17686</v>
      </c>
      <c r="O10348" t="s">
        <v>17763</v>
      </c>
      <c r="P10348">
        <v>53071</v>
      </c>
      <c r="Q10348" t="str">
        <f>"40.834750"</f>
        <v>40.834750</v>
      </c>
      <c r="R10348" t="str">
        <f>"21.583822"</f>
        <v>21.583822</v>
      </c>
      <c r="S10348" t="s">
        <v>26</v>
      </c>
    </row>
    <row r="10349" spans="1:19" x14ac:dyDescent="0.3">
      <c r="A10349" t="s">
        <v>17244</v>
      </c>
      <c r="B10349" t="s">
        <v>18576</v>
      </c>
      <c r="C10349" t="s">
        <v>18648</v>
      </c>
      <c r="D10349" t="s">
        <v>17260</v>
      </c>
      <c r="E10349" t="s">
        <v>17260</v>
      </c>
      <c r="F10349" t="s">
        <v>17686</v>
      </c>
      <c r="G10349" t="s">
        <v>18647</v>
      </c>
      <c r="H10349" t="s">
        <v>859</v>
      </c>
      <c r="I10349" t="s">
        <v>860</v>
      </c>
      <c r="J10349" t="str">
        <f>"9470055"</f>
        <v>9470055</v>
      </c>
      <c r="K10349">
        <v>2385042513</v>
      </c>
      <c r="M10349" t="s">
        <v>18649</v>
      </c>
      <c r="N10349" t="s">
        <v>18647</v>
      </c>
      <c r="O10349" t="s">
        <v>18650</v>
      </c>
      <c r="P10349">
        <v>53100</v>
      </c>
      <c r="Q10349" t="str">
        <f>"40.802284"</f>
        <v>40.802284</v>
      </c>
      <c r="R10349" t="str">
        <f>"21.515643"</f>
        <v>21.515643</v>
      </c>
      <c r="S10349" t="s">
        <v>26</v>
      </c>
    </row>
    <row r="10350" spans="1:19" x14ac:dyDescent="0.3">
      <c r="A10350" t="s">
        <v>17244</v>
      </c>
      <c r="B10350" t="s">
        <v>18576</v>
      </c>
      <c r="C10350" t="s">
        <v>18651</v>
      </c>
      <c r="D10350" t="s">
        <v>17260</v>
      </c>
      <c r="E10350" t="s">
        <v>17260</v>
      </c>
      <c r="F10350" t="s">
        <v>17755</v>
      </c>
      <c r="G10350" t="s">
        <v>17755</v>
      </c>
      <c r="H10350" t="s">
        <v>859</v>
      </c>
      <c r="I10350" t="s">
        <v>860</v>
      </c>
      <c r="J10350" t="str">
        <f>"9470121"</f>
        <v>9470121</v>
      </c>
      <c r="K10350">
        <v>2385092291</v>
      </c>
      <c r="M10350" t="s">
        <v>18652</v>
      </c>
      <c r="N10350" t="s">
        <v>18653</v>
      </c>
      <c r="O10350" t="s">
        <v>18653</v>
      </c>
      <c r="P10350">
        <v>53100</v>
      </c>
      <c r="Q10350" t="str">
        <f>"40.850117"</f>
        <v>40.850117</v>
      </c>
      <c r="R10350" t="str">
        <f>"21.398558"</f>
        <v>21.398558</v>
      </c>
      <c r="S10350" t="s">
        <v>26</v>
      </c>
    </row>
    <row r="10351" spans="1:19" x14ac:dyDescent="0.3">
      <c r="A10351" t="s">
        <v>17244</v>
      </c>
      <c r="B10351" t="s">
        <v>18576</v>
      </c>
      <c r="C10351" t="s">
        <v>18659</v>
      </c>
      <c r="D10351" t="s">
        <v>17260</v>
      </c>
      <c r="E10351" t="s">
        <v>17701</v>
      </c>
      <c r="F10351" t="s">
        <v>17717</v>
      </c>
      <c r="G10351" t="s">
        <v>18658</v>
      </c>
      <c r="H10351" t="s">
        <v>859</v>
      </c>
      <c r="I10351" t="s">
        <v>860</v>
      </c>
      <c r="J10351" t="str">
        <f>"9470014"</f>
        <v>9470014</v>
      </c>
      <c r="K10351">
        <v>2463041666</v>
      </c>
      <c r="L10351">
        <v>2463041666</v>
      </c>
      <c r="M10351" t="s">
        <v>18660</v>
      </c>
      <c r="N10351" t="s">
        <v>18661</v>
      </c>
      <c r="O10351" t="s">
        <v>18662</v>
      </c>
      <c r="P10351">
        <v>53070</v>
      </c>
      <c r="Q10351" t="str">
        <f>"40.639886"</f>
        <v>40.639886</v>
      </c>
      <c r="R10351" t="str">
        <f>"21.761226"</f>
        <v>21.761226</v>
      </c>
      <c r="S10351" t="s">
        <v>57</v>
      </c>
    </row>
    <row r="10352" spans="1:19" x14ac:dyDescent="0.3">
      <c r="A10352" t="s">
        <v>17244</v>
      </c>
      <c r="B10352" t="s">
        <v>18576</v>
      </c>
      <c r="C10352" t="s">
        <v>18664</v>
      </c>
      <c r="D10352" t="s">
        <v>17260</v>
      </c>
      <c r="E10352" t="s">
        <v>17701</v>
      </c>
      <c r="F10352" t="s">
        <v>17717</v>
      </c>
      <c r="G10352" t="s">
        <v>18663</v>
      </c>
      <c r="H10352" t="s">
        <v>859</v>
      </c>
      <c r="I10352" t="s">
        <v>860</v>
      </c>
      <c r="J10352" t="str">
        <f>"9470036"</f>
        <v>9470036</v>
      </c>
      <c r="K10352">
        <v>2463041450</v>
      </c>
      <c r="L10352">
        <v>2463041450</v>
      </c>
      <c r="M10352" t="s">
        <v>18665</v>
      </c>
      <c r="N10352" t="s">
        <v>18666</v>
      </c>
      <c r="O10352" t="s">
        <v>18667</v>
      </c>
      <c r="P10352">
        <v>53200</v>
      </c>
      <c r="Q10352" t="str">
        <f>"40.688547"</f>
        <v>40.688547</v>
      </c>
      <c r="R10352" t="str">
        <f>"21.668913"</f>
        <v>21.668913</v>
      </c>
      <c r="S10352" t="s">
        <v>26</v>
      </c>
    </row>
    <row r="10353" spans="1:19" x14ac:dyDescent="0.3">
      <c r="A10353" t="s">
        <v>17244</v>
      </c>
      <c r="B10353" t="s">
        <v>18576</v>
      </c>
      <c r="C10353" t="s">
        <v>18668</v>
      </c>
      <c r="D10353" t="s">
        <v>17260</v>
      </c>
      <c r="E10353" t="s">
        <v>17260</v>
      </c>
      <c r="F10353" t="s">
        <v>17729</v>
      </c>
      <c r="G10353" t="s">
        <v>17730</v>
      </c>
      <c r="H10353" t="s">
        <v>859</v>
      </c>
      <c r="I10353" t="s">
        <v>860</v>
      </c>
      <c r="J10353" t="str">
        <f>"9470094"</f>
        <v>9470094</v>
      </c>
      <c r="K10353">
        <v>2385036524</v>
      </c>
      <c r="M10353" t="s">
        <v>18669</v>
      </c>
      <c r="N10353" t="s">
        <v>17730</v>
      </c>
      <c r="O10353" t="s">
        <v>17733</v>
      </c>
      <c r="P10353">
        <v>53100</v>
      </c>
      <c r="Q10353" t="str">
        <f>"40.782029"</f>
        <v>40.782029</v>
      </c>
      <c r="R10353" t="str">
        <f>"21.484356"</f>
        <v>21.484356</v>
      </c>
      <c r="S10353" t="s">
        <v>26</v>
      </c>
    </row>
    <row r="10354" spans="1:19" x14ac:dyDescent="0.3">
      <c r="A10354" t="s">
        <v>17244</v>
      </c>
      <c r="B10354" t="s">
        <v>18576</v>
      </c>
      <c r="C10354" t="s">
        <v>18670</v>
      </c>
      <c r="D10354" t="s">
        <v>17260</v>
      </c>
      <c r="E10354" t="s">
        <v>17260</v>
      </c>
      <c r="F10354" t="s">
        <v>17729</v>
      </c>
      <c r="G10354" t="s">
        <v>17730</v>
      </c>
      <c r="H10354" t="s">
        <v>859</v>
      </c>
      <c r="I10354" t="s">
        <v>860</v>
      </c>
      <c r="J10354" t="str">
        <f>"9470093"</f>
        <v>9470093</v>
      </c>
      <c r="K10354">
        <v>2385036524</v>
      </c>
      <c r="M10354" t="s">
        <v>18671</v>
      </c>
      <c r="N10354" t="s">
        <v>17730</v>
      </c>
      <c r="O10354" t="s">
        <v>17733</v>
      </c>
      <c r="P10354">
        <v>53100</v>
      </c>
      <c r="Q10354" t="str">
        <f>"40.782029"</f>
        <v>40.782029</v>
      </c>
      <c r="R10354" t="str">
        <f>"21.484356"</f>
        <v>21.484356</v>
      </c>
      <c r="S10354" t="s">
        <v>26</v>
      </c>
    </row>
    <row r="10355" spans="1:19" x14ac:dyDescent="0.3">
      <c r="A10355" t="s">
        <v>17244</v>
      </c>
      <c r="B10355" t="s">
        <v>18576</v>
      </c>
      <c r="C10355" t="s">
        <v>18674</v>
      </c>
      <c r="D10355" t="s">
        <v>17260</v>
      </c>
      <c r="E10355" t="s">
        <v>17260</v>
      </c>
      <c r="F10355" t="s">
        <v>17260</v>
      </c>
      <c r="G10355" t="s">
        <v>17261</v>
      </c>
      <c r="H10355" t="s">
        <v>859</v>
      </c>
      <c r="I10355" t="s">
        <v>860</v>
      </c>
      <c r="J10355" t="str">
        <f>"9470199"</f>
        <v>9470199</v>
      </c>
      <c r="K10355">
        <v>2385045225</v>
      </c>
      <c r="M10355" t="s">
        <v>18675</v>
      </c>
      <c r="N10355" t="s">
        <v>17260</v>
      </c>
      <c r="O10355" t="s">
        <v>18676</v>
      </c>
      <c r="P10355">
        <v>53100</v>
      </c>
      <c r="Q10355" t="str">
        <f>"40.788544"</f>
        <v>40.788544</v>
      </c>
      <c r="R10355" t="str">
        <f>"21.419210"</f>
        <v>21.419210</v>
      </c>
      <c r="S10355" t="s">
        <v>26</v>
      </c>
    </row>
    <row r="10356" spans="1:19" x14ac:dyDescent="0.3">
      <c r="A10356" t="s">
        <v>17244</v>
      </c>
      <c r="B10356" t="s">
        <v>18576</v>
      </c>
      <c r="C10356" t="s">
        <v>18678</v>
      </c>
      <c r="D10356" t="s">
        <v>17260</v>
      </c>
      <c r="E10356" t="s">
        <v>17701</v>
      </c>
      <c r="F10356" t="s">
        <v>15619</v>
      </c>
      <c r="G10356" t="s">
        <v>18677</v>
      </c>
      <c r="H10356" t="s">
        <v>859</v>
      </c>
      <c r="I10356" t="s">
        <v>860</v>
      </c>
      <c r="J10356" t="str">
        <f>"9470065"</f>
        <v>9470065</v>
      </c>
      <c r="K10356">
        <v>2386031204</v>
      </c>
      <c r="M10356" t="s">
        <v>18679</v>
      </c>
      <c r="N10356" t="s">
        <v>18677</v>
      </c>
      <c r="O10356" t="s">
        <v>18680</v>
      </c>
      <c r="P10356">
        <v>53075</v>
      </c>
      <c r="Q10356" t="str">
        <f>"40.620872"</f>
        <v>40.620872</v>
      </c>
      <c r="R10356" t="str">
        <f>"21.503363"</f>
        <v>21.503363</v>
      </c>
      <c r="S10356" t="s">
        <v>57</v>
      </c>
    </row>
    <row r="10357" spans="1:19" x14ac:dyDescent="0.3">
      <c r="A10357" t="s">
        <v>17244</v>
      </c>
      <c r="B10357" t="s">
        <v>18576</v>
      </c>
      <c r="C10357" t="s">
        <v>18682</v>
      </c>
      <c r="D10357" t="s">
        <v>17260</v>
      </c>
      <c r="E10357" t="s">
        <v>17701</v>
      </c>
      <c r="F10357" t="s">
        <v>17701</v>
      </c>
      <c r="G10357" t="s">
        <v>18681</v>
      </c>
      <c r="H10357" t="s">
        <v>859</v>
      </c>
      <c r="I10357" t="s">
        <v>860</v>
      </c>
      <c r="J10357" t="str">
        <f>"9470008"</f>
        <v>9470008</v>
      </c>
      <c r="K10357">
        <v>2386061483</v>
      </c>
      <c r="M10357" t="s">
        <v>18683</v>
      </c>
      <c r="N10357" t="s">
        <v>18684</v>
      </c>
      <c r="O10357" t="s">
        <v>18685</v>
      </c>
      <c r="P10357">
        <v>53200</v>
      </c>
      <c r="Q10357" t="str">
        <f>"40.726554"</f>
        <v>40.726554</v>
      </c>
      <c r="R10357" t="str">
        <f>"21.748572"</f>
        <v>21.748572</v>
      </c>
      <c r="S10357" t="s">
        <v>26</v>
      </c>
    </row>
    <row r="10358" spans="1:19" x14ac:dyDescent="0.3">
      <c r="A10358" t="s">
        <v>17244</v>
      </c>
      <c r="B10358" t="s">
        <v>18576</v>
      </c>
      <c r="C10358" t="s">
        <v>18687</v>
      </c>
      <c r="D10358" t="s">
        <v>17260</v>
      </c>
      <c r="E10358" t="s">
        <v>17701</v>
      </c>
      <c r="F10358" t="s">
        <v>17701</v>
      </c>
      <c r="G10358" t="s">
        <v>17701</v>
      </c>
      <c r="H10358" t="s">
        <v>859</v>
      </c>
      <c r="I10358" t="s">
        <v>860</v>
      </c>
      <c r="J10358" t="str">
        <f>"9470001"</f>
        <v>9470001</v>
      </c>
      <c r="K10358">
        <v>2386022159</v>
      </c>
      <c r="L10358">
        <v>2386022159</v>
      </c>
      <c r="M10358" t="s">
        <v>18688</v>
      </c>
      <c r="N10358" t="s">
        <v>17701</v>
      </c>
      <c r="O10358" t="s">
        <v>18689</v>
      </c>
      <c r="P10358">
        <v>53200</v>
      </c>
      <c r="Q10358" t="str">
        <f>"40.687632"</f>
        <v>40.687632</v>
      </c>
      <c r="R10358" t="str">
        <f>"21.676858"</f>
        <v>21.676858</v>
      </c>
      <c r="S10358" t="s">
        <v>26</v>
      </c>
    </row>
    <row r="10359" spans="1:19" x14ac:dyDescent="0.3">
      <c r="A10359" t="s">
        <v>17244</v>
      </c>
      <c r="B10359" t="s">
        <v>18576</v>
      </c>
      <c r="C10359" t="s">
        <v>18690</v>
      </c>
      <c r="D10359" t="s">
        <v>17260</v>
      </c>
      <c r="E10359" t="s">
        <v>17701</v>
      </c>
      <c r="F10359" t="s">
        <v>17701</v>
      </c>
      <c r="G10359" t="s">
        <v>17701</v>
      </c>
      <c r="H10359" t="s">
        <v>859</v>
      </c>
      <c r="I10359" t="s">
        <v>860</v>
      </c>
      <c r="J10359" t="str">
        <f>"9470219"</f>
        <v>9470219</v>
      </c>
      <c r="K10359">
        <v>2386023784</v>
      </c>
      <c r="L10359">
        <v>2386023784</v>
      </c>
      <c r="M10359" t="s">
        <v>18691</v>
      </c>
      <c r="N10359" t="s">
        <v>17701</v>
      </c>
      <c r="O10359" t="s">
        <v>15629</v>
      </c>
      <c r="P10359">
        <v>53200</v>
      </c>
      <c r="Q10359" t="str">
        <f>"40.687465"</f>
        <v>40.687465</v>
      </c>
      <c r="R10359" t="str">
        <f>"21.667164"</f>
        <v>21.667164</v>
      </c>
      <c r="S10359" t="s">
        <v>26</v>
      </c>
    </row>
    <row r="10360" spans="1:19" x14ac:dyDescent="0.3">
      <c r="A10360" t="s">
        <v>17244</v>
      </c>
      <c r="B10360" t="s">
        <v>18576</v>
      </c>
      <c r="C10360" t="s">
        <v>18692</v>
      </c>
      <c r="D10360" t="s">
        <v>17260</v>
      </c>
      <c r="E10360" t="s">
        <v>17701</v>
      </c>
      <c r="F10360" t="s">
        <v>17701</v>
      </c>
      <c r="G10360" t="s">
        <v>17701</v>
      </c>
      <c r="H10360" t="s">
        <v>859</v>
      </c>
      <c r="I10360" t="s">
        <v>860</v>
      </c>
      <c r="J10360" t="str">
        <f>"9470003"</f>
        <v>9470003</v>
      </c>
      <c r="K10360">
        <v>2386023020</v>
      </c>
      <c r="M10360" t="s">
        <v>18693</v>
      </c>
      <c r="N10360" t="s">
        <v>17701</v>
      </c>
      <c r="O10360" t="s">
        <v>18694</v>
      </c>
      <c r="P10360">
        <v>53200</v>
      </c>
      <c r="Q10360" t="str">
        <f>"40.692786"</f>
        <v>40.692786</v>
      </c>
      <c r="R10360" t="str">
        <f>"21.683644"</f>
        <v>21.683644</v>
      </c>
      <c r="S10360" t="s">
        <v>26</v>
      </c>
    </row>
    <row r="10361" spans="1:19" x14ac:dyDescent="0.3">
      <c r="A10361" t="s">
        <v>17244</v>
      </c>
      <c r="B10361" t="s">
        <v>18576</v>
      </c>
      <c r="C10361" t="s">
        <v>18696</v>
      </c>
      <c r="D10361" t="s">
        <v>17260</v>
      </c>
      <c r="E10361" t="s">
        <v>17260</v>
      </c>
      <c r="F10361" t="s">
        <v>17686</v>
      </c>
      <c r="G10361" t="s">
        <v>18695</v>
      </c>
      <c r="H10361" t="s">
        <v>859</v>
      </c>
      <c r="I10361" t="s">
        <v>860</v>
      </c>
      <c r="J10361" t="str">
        <f>"9470042"</f>
        <v>9470042</v>
      </c>
      <c r="K10361">
        <v>2385082167</v>
      </c>
      <c r="M10361" t="s">
        <v>18697</v>
      </c>
      <c r="N10361" t="s">
        <v>18695</v>
      </c>
      <c r="O10361" t="s">
        <v>18698</v>
      </c>
      <c r="P10361">
        <v>53074</v>
      </c>
      <c r="Q10361" t="str">
        <f>"40.795333"</f>
        <v>40.795333</v>
      </c>
      <c r="R10361" t="str">
        <f>"21.585304"</f>
        <v>21.585304</v>
      </c>
      <c r="S10361" t="s">
        <v>26</v>
      </c>
    </row>
    <row r="10362" spans="1:19" x14ac:dyDescent="0.3">
      <c r="A10362" t="s">
        <v>17244</v>
      </c>
      <c r="B10362" t="s">
        <v>18576</v>
      </c>
      <c r="C10362" t="s">
        <v>18700</v>
      </c>
      <c r="D10362" t="s">
        <v>17260</v>
      </c>
      <c r="E10362" t="s">
        <v>17736</v>
      </c>
      <c r="F10362" t="s">
        <v>17736</v>
      </c>
      <c r="G10362" t="s">
        <v>18699</v>
      </c>
      <c r="H10362" t="s">
        <v>859</v>
      </c>
      <c r="I10362" t="s">
        <v>860</v>
      </c>
      <c r="J10362" t="str">
        <f>"9470086"</f>
        <v>9470086</v>
      </c>
      <c r="K10362">
        <v>2385051331</v>
      </c>
      <c r="L10362">
        <v>2385051331</v>
      </c>
      <c r="M10362" t="s">
        <v>18701</v>
      </c>
      <c r="N10362" t="s">
        <v>18699</v>
      </c>
      <c r="O10362" t="s">
        <v>18702</v>
      </c>
      <c r="P10362">
        <v>53077</v>
      </c>
      <c r="Q10362" t="str">
        <f>"40.839633"</f>
        <v>40.839633</v>
      </c>
      <c r="R10362" t="str">
        <f>"21.160301"</f>
        <v>21.160301</v>
      </c>
      <c r="S10362" t="s">
        <v>57</v>
      </c>
    </row>
    <row r="10363" spans="1:19" x14ac:dyDescent="0.3">
      <c r="A10363" t="s">
        <v>17244</v>
      </c>
      <c r="B10363" t="s">
        <v>18576</v>
      </c>
      <c r="C10363" t="s">
        <v>18704</v>
      </c>
      <c r="D10363" t="s">
        <v>17260</v>
      </c>
      <c r="E10363" t="s">
        <v>17260</v>
      </c>
      <c r="F10363" t="s">
        <v>17260</v>
      </c>
      <c r="G10363" t="s">
        <v>18703</v>
      </c>
      <c r="H10363" t="s">
        <v>859</v>
      </c>
      <c r="I10363" t="s">
        <v>860</v>
      </c>
      <c r="J10363" t="str">
        <f>"9470104"</f>
        <v>9470104</v>
      </c>
      <c r="K10363">
        <v>2385036063</v>
      </c>
      <c r="M10363" t="s">
        <v>18705</v>
      </c>
      <c r="N10363" t="s">
        <v>18703</v>
      </c>
      <c r="O10363" t="s">
        <v>18706</v>
      </c>
      <c r="P10363">
        <v>53100</v>
      </c>
      <c r="Q10363" t="str">
        <f>"40.803887"</f>
        <v>40.803887</v>
      </c>
      <c r="R10363" t="str">
        <f>"21.458820"</f>
        <v>21.458820</v>
      </c>
      <c r="S10363" t="s">
        <v>26</v>
      </c>
    </row>
    <row r="10364" spans="1:19" x14ac:dyDescent="0.3">
      <c r="A10364" t="s">
        <v>17244</v>
      </c>
      <c r="B10364" t="s">
        <v>18576</v>
      </c>
      <c r="C10364" t="s">
        <v>18707</v>
      </c>
      <c r="D10364" t="s">
        <v>17260</v>
      </c>
      <c r="E10364" t="s">
        <v>17260</v>
      </c>
      <c r="F10364" t="s">
        <v>17260</v>
      </c>
      <c r="G10364" t="s">
        <v>17261</v>
      </c>
      <c r="H10364" t="s">
        <v>859</v>
      </c>
      <c r="I10364" t="s">
        <v>860</v>
      </c>
      <c r="J10364" t="str">
        <f>"9470207"</f>
        <v>9470207</v>
      </c>
      <c r="K10364">
        <v>2385023121</v>
      </c>
      <c r="L10364">
        <v>2385023121</v>
      </c>
      <c r="M10364" t="s">
        <v>18708</v>
      </c>
      <c r="N10364" t="s">
        <v>17260</v>
      </c>
      <c r="O10364" t="s">
        <v>18709</v>
      </c>
      <c r="P10364">
        <v>53100</v>
      </c>
      <c r="Q10364" t="str">
        <f>"40.778135"</f>
        <v>40.778135</v>
      </c>
      <c r="R10364" t="str">
        <f>"21.408738"</f>
        <v>21.408738</v>
      </c>
      <c r="S10364" t="s">
        <v>26</v>
      </c>
    </row>
    <row r="10365" spans="1:19" x14ac:dyDescent="0.3">
      <c r="A10365" t="s">
        <v>17244</v>
      </c>
      <c r="B10365" t="s">
        <v>18576</v>
      </c>
      <c r="C10365" t="s">
        <v>18710</v>
      </c>
      <c r="D10365" t="s">
        <v>17260</v>
      </c>
      <c r="E10365" t="s">
        <v>17260</v>
      </c>
      <c r="F10365" t="s">
        <v>17686</v>
      </c>
      <c r="G10365" t="s">
        <v>17749</v>
      </c>
      <c r="H10365" t="s">
        <v>859</v>
      </c>
      <c r="I10365" t="s">
        <v>860</v>
      </c>
      <c r="J10365" t="str">
        <f>"9470027"</f>
        <v>9470027</v>
      </c>
      <c r="K10365">
        <v>2385081225</v>
      </c>
      <c r="L10365">
        <v>2385081225</v>
      </c>
      <c r="M10365" t="s">
        <v>18711</v>
      </c>
      <c r="N10365" t="s">
        <v>17749</v>
      </c>
      <c r="O10365" t="s">
        <v>18712</v>
      </c>
      <c r="P10365">
        <v>53074</v>
      </c>
      <c r="Q10365" t="str">
        <f>"40.769960"</f>
        <v>40.769960</v>
      </c>
      <c r="R10365" t="str">
        <f>"21.617379"</f>
        <v>21.617379</v>
      </c>
      <c r="S10365" t="s">
        <v>26</v>
      </c>
    </row>
    <row r="10366" spans="1:19" x14ac:dyDescent="0.3">
      <c r="A10366" t="s">
        <v>17244</v>
      </c>
      <c r="B10366" t="s">
        <v>18576</v>
      </c>
      <c r="C10366" t="s">
        <v>18721</v>
      </c>
      <c r="D10366" t="s">
        <v>17260</v>
      </c>
      <c r="E10366" t="s">
        <v>17260</v>
      </c>
      <c r="F10366" t="s">
        <v>17260</v>
      </c>
      <c r="G10366" t="s">
        <v>17261</v>
      </c>
      <c r="H10366" t="s">
        <v>859</v>
      </c>
      <c r="I10366" t="s">
        <v>860</v>
      </c>
      <c r="J10366" t="str">
        <f>"9470079"</f>
        <v>9470079</v>
      </c>
      <c r="K10366">
        <v>2385023121</v>
      </c>
      <c r="L10366">
        <v>2385023121</v>
      </c>
      <c r="M10366" t="s">
        <v>18722</v>
      </c>
      <c r="N10366" t="s">
        <v>17260</v>
      </c>
      <c r="O10366" t="s">
        <v>18709</v>
      </c>
      <c r="P10366">
        <v>53100</v>
      </c>
      <c r="Q10366" t="str">
        <f>"40.778322"</f>
        <v>40.778322</v>
      </c>
      <c r="R10366" t="str">
        <f>"21.408899"</f>
        <v>21.408899</v>
      </c>
      <c r="S10366" t="s">
        <v>26</v>
      </c>
    </row>
    <row r="10367" spans="1:19" x14ac:dyDescent="0.3">
      <c r="A10367" t="s">
        <v>17244</v>
      </c>
      <c r="B10367" t="s">
        <v>18576</v>
      </c>
      <c r="C10367" t="s">
        <v>18724</v>
      </c>
      <c r="D10367" t="s">
        <v>17260</v>
      </c>
      <c r="E10367" t="s">
        <v>17260</v>
      </c>
      <c r="F10367" t="s">
        <v>17260</v>
      </c>
      <c r="G10367" t="s">
        <v>17261</v>
      </c>
      <c r="H10367" t="s">
        <v>859</v>
      </c>
      <c r="I10367" t="s">
        <v>860</v>
      </c>
      <c r="J10367" t="str">
        <f>"9470184"</f>
        <v>9470184</v>
      </c>
      <c r="K10367">
        <v>2385022235</v>
      </c>
      <c r="L10367">
        <v>2385022992</v>
      </c>
      <c r="M10367" t="s">
        <v>18725</v>
      </c>
      <c r="N10367" t="s">
        <v>17260</v>
      </c>
      <c r="O10367" t="s">
        <v>18726</v>
      </c>
      <c r="P10367">
        <v>53100</v>
      </c>
      <c r="Q10367" t="str">
        <f>"40.785316"</f>
        <v>40.785316</v>
      </c>
      <c r="R10367" t="str">
        <f>"21.406794"</f>
        <v>21.406794</v>
      </c>
      <c r="S10367" t="s">
        <v>26</v>
      </c>
    </row>
    <row r="10368" spans="1:19" x14ac:dyDescent="0.3">
      <c r="A10368" t="s">
        <v>17244</v>
      </c>
      <c r="B10368" t="s">
        <v>18576</v>
      </c>
      <c r="C10368" t="s">
        <v>18727</v>
      </c>
      <c r="D10368" t="s">
        <v>17260</v>
      </c>
      <c r="E10368" t="s">
        <v>17260</v>
      </c>
      <c r="F10368" t="s">
        <v>17260</v>
      </c>
      <c r="G10368" t="s">
        <v>17261</v>
      </c>
      <c r="H10368" t="s">
        <v>859</v>
      </c>
      <c r="I10368" t="s">
        <v>860</v>
      </c>
      <c r="J10368" t="str">
        <f>"9470080"</f>
        <v>9470080</v>
      </c>
      <c r="K10368">
        <v>2385023121</v>
      </c>
      <c r="L10368">
        <v>2385023121</v>
      </c>
      <c r="M10368" t="s">
        <v>18728</v>
      </c>
      <c r="N10368" t="s">
        <v>17260</v>
      </c>
      <c r="O10368" t="s">
        <v>18709</v>
      </c>
      <c r="P10368">
        <v>53100</v>
      </c>
      <c r="Q10368" t="str">
        <f>"40.777893"</f>
        <v>40.777893</v>
      </c>
      <c r="R10368" t="str">
        <f>"21.408818"</f>
        <v>21.408818</v>
      </c>
      <c r="S10368" t="s">
        <v>26</v>
      </c>
    </row>
    <row r="10369" spans="1:19" x14ac:dyDescent="0.3">
      <c r="A10369" t="s">
        <v>17244</v>
      </c>
      <c r="B10369" t="s">
        <v>18576</v>
      </c>
      <c r="C10369" t="s">
        <v>18734</v>
      </c>
      <c r="D10369" t="s">
        <v>17260</v>
      </c>
      <c r="E10369" t="s">
        <v>17701</v>
      </c>
      <c r="F10369" t="s">
        <v>15619</v>
      </c>
      <c r="G10369" t="s">
        <v>15619</v>
      </c>
      <c r="H10369" t="s">
        <v>859</v>
      </c>
      <c r="I10369" t="s">
        <v>860</v>
      </c>
      <c r="J10369" t="str">
        <f>"9470010"</f>
        <v>9470010</v>
      </c>
      <c r="K10369">
        <v>2386041261</v>
      </c>
      <c r="M10369" t="s">
        <v>18735</v>
      </c>
      <c r="N10369" t="s">
        <v>15619</v>
      </c>
      <c r="O10369" t="s">
        <v>15622</v>
      </c>
      <c r="P10369">
        <v>53075</v>
      </c>
      <c r="Q10369" t="str">
        <f>"40.659289"</f>
        <v>40.659289</v>
      </c>
      <c r="R10369" t="str">
        <f>"21.552100"</f>
        <v>21.552100</v>
      </c>
      <c r="S10369" t="s">
        <v>26</v>
      </c>
    </row>
    <row r="10370" spans="1:19" x14ac:dyDescent="0.3">
      <c r="A10370" t="s">
        <v>17244</v>
      </c>
      <c r="B10370" t="s">
        <v>18576</v>
      </c>
      <c r="C10370" t="s">
        <v>18737</v>
      </c>
      <c r="D10370" t="s">
        <v>17260</v>
      </c>
      <c r="E10370" t="s">
        <v>17701</v>
      </c>
      <c r="F10370" t="s">
        <v>17717</v>
      </c>
      <c r="G10370" t="s">
        <v>18736</v>
      </c>
      <c r="H10370" t="s">
        <v>859</v>
      </c>
      <c r="I10370" t="s">
        <v>860</v>
      </c>
      <c r="J10370" t="str">
        <f>"9470044"</f>
        <v>9470044</v>
      </c>
      <c r="K10370">
        <v>2463091402</v>
      </c>
      <c r="L10370">
        <v>2463091402</v>
      </c>
      <c r="M10370" t="s">
        <v>18738</v>
      </c>
      <c r="N10370" t="s">
        <v>18736</v>
      </c>
      <c r="O10370" t="s">
        <v>18739</v>
      </c>
      <c r="P10370">
        <v>53070</v>
      </c>
      <c r="Q10370" t="str">
        <f>"40.689929"</f>
        <v>40.689929</v>
      </c>
      <c r="R10370" t="str">
        <f>"21.774348"</f>
        <v>21.774348</v>
      </c>
      <c r="S10370" t="s">
        <v>57</v>
      </c>
    </row>
    <row r="10371" spans="1:19" x14ac:dyDescent="0.3">
      <c r="A10371" t="s">
        <v>17244</v>
      </c>
      <c r="B10371" t="s">
        <v>18576</v>
      </c>
      <c r="C10371" t="s">
        <v>18778</v>
      </c>
      <c r="D10371" t="s">
        <v>17260</v>
      </c>
      <c r="E10371" t="s">
        <v>17260</v>
      </c>
      <c r="F10371" t="s">
        <v>17260</v>
      </c>
      <c r="G10371" t="s">
        <v>17261</v>
      </c>
      <c r="H10371" t="s">
        <v>859</v>
      </c>
      <c r="I10371" t="s">
        <v>1102</v>
      </c>
      <c r="J10371" t="str">
        <f>"9470221"</f>
        <v>9470221</v>
      </c>
      <c r="K10371">
        <v>2385045479</v>
      </c>
      <c r="L10371">
        <v>2385045479</v>
      </c>
      <c r="M10371" t="s">
        <v>18779</v>
      </c>
      <c r="N10371" t="s">
        <v>17264</v>
      </c>
      <c r="O10371" t="s">
        <v>18579</v>
      </c>
      <c r="P10371">
        <v>53100</v>
      </c>
      <c r="Q10371" t="str">
        <f>"40.778117"</f>
        <v>40.778117</v>
      </c>
      <c r="R10371" t="str">
        <f>"21.392746"</f>
        <v>21.392746</v>
      </c>
      <c r="S10371" t="s">
        <v>26</v>
      </c>
    </row>
    <row r="10372" spans="1:19" x14ac:dyDescent="0.3">
      <c r="A10372" t="s">
        <v>17244</v>
      </c>
      <c r="B10372" t="s">
        <v>18576</v>
      </c>
      <c r="C10372" t="s">
        <v>18780</v>
      </c>
      <c r="D10372" t="s">
        <v>17260</v>
      </c>
      <c r="E10372" t="s">
        <v>17260</v>
      </c>
      <c r="F10372" t="s">
        <v>17260</v>
      </c>
      <c r="G10372" t="s">
        <v>17261</v>
      </c>
      <c r="H10372" t="s">
        <v>859</v>
      </c>
      <c r="I10372" t="s">
        <v>860</v>
      </c>
      <c r="J10372" t="str">
        <f>"9470075"</f>
        <v>9470075</v>
      </c>
      <c r="K10372">
        <v>2385045479</v>
      </c>
      <c r="M10372" t="s">
        <v>18781</v>
      </c>
      <c r="N10372" t="s">
        <v>17260</v>
      </c>
      <c r="O10372" t="s">
        <v>18579</v>
      </c>
      <c r="P10372">
        <v>53100</v>
      </c>
      <c r="Q10372" t="str">
        <f>"40.778037"</f>
        <v>40.778037</v>
      </c>
      <c r="R10372" t="str">
        <f>"21.392798"</f>
        <v>21.392798</v>
      </c>
      <c r="S10372" t="s">
        <v>26</v>
      </c>
    </row>
    <row r="10373" spans="1:19" x14ac:dyDescent="0.3">
      <c r="A10373" t="s">
        <v>17244</v>
      </c>
      <c r="B10373" t="s">
        <v>18576</v>
      </c>
      <c r="C10373" t="s">
        <v>18784</v>
      </c>
      <c r="D10373" t="s">
        <v>17260</v>
      </c>
      <c r="E10373" t="s">
        <v>17701</v>
      </c>
      <c r="F10373" t="s">
        <v>17773</v>
      </c>
      <c r="G10373" t="s">
        <v>17773</v>
      </c>
      <c r="H10373" t="s">
        <v>859</v>
      </c>
      <c r="I10373" t="s">
        <v>860</v>
      </c>
      <c r="J10373" t="str">
        <f>"9470038"</f>
        <v>9470038</v>
      </c>
      <c r="K10373">
        <v>2386071317</v>
      </c>
      <c r="L10373">
        <v>2386071317</v>
      </c>
      <c r="M10373" t="s">
        <v>18785</v>
      </c>
      <c r="N10373" t="s">
        <v>17773</v>
      </c>
      <c r="O10373" t="s">
        <v>17776</v>
      </c>
      <c r="P10373">
        <v>53073</v>
      </c>
      <c r="Q10373" t="str">
        <f>"40.586667"</f>
        <v>40.586667</v>
      </c>
      <c r="R10373" t="str">
        <f>"21.489051"</f>
        <v>21.489051</v>
      </c>
      <c r="S10373" t="s">
        <v>57</v>
      </c>
    </row>
    <row r="10374" spans="1:19" x14ac:dyDescent="0.3">
      <c r="A10374" t="s">
        <v>17244</v>
      </c>
      <c r="B10374" t="s">
        <v>18576</v>
      </c>
      <c r="C10374" t="s">
        <v>18786</v>
      </c>
      <c r="D10374" t="s">
        <v>17260</v>
      </c>
      <c r="E10374" t="s">
        <v>17701</v>
      </c>
      <c r="F10374" t="s">
        <v>18717</v>
      </c>
      <c r="G10374" t="s">
        <v>18717</v>
      </c>
      <c r="H10374" t="s">
        <v>859</v>
      </c>
      <c r="I10374" t="s">
        <v>860</v>
      </c>
      <c r="J10374" t="str">
        <f>"9470022"</f>
        <v>9470022</v>
      </c>
      <c r="K10374">
        <v>2463094334</v>
      </c>
      <c r="L10374">
        <v>2463094334</v>
      </c>
      <c r="M10374" t="s">
        <v>18787</v>
      </c>
      <c r="N10374" t="s">
        <v>18717</v>
      </c>
      <c r="O10374" t="s">
        <v>18720</v>
      </c>
      <c r="P10374">
        <v>50005</v>
      </c>
      <c r="Q10374" t="str">
        <f>"40.539223"</f>
        <v>40.539223</v>
      </c>
      <c r="R10374" t="str">
        <f>"21.503934"</f>
        <v>21.503934</v>
      </c>
      <c r="S10374" t="s">
        <v>57</v>
      </c>
    </row>
    <row r="10375" spans="1:19" x14ac:dyDescent="0.3">
      <c r="A10375" t="s">
        <v>17244</v>
      </c>
      <c r="B10375" t="s">
        <v>18576</v>
      </c>
      <c r="C10375" t="s">
        <v>18798</v>
      </c>
      <c r="D10375" t="s">
        <v>17260</v>
      </c>
      <c r="E10375" t="s">
        <v>17701</v>
      </c>
      <c r="F10375" t="s">
        <v>17701</v>
      </c>
      <c r="G10375" t="s">
        <v>17701</v>
      </c>
      <c r="H10375" t="s">
        <v>859</v>
      </c>
      <c r="I10375" t="s">
        <v>1102</v>
      </c>
      <c r="J10375" t="str">
        <f>"9521473"</f>
        <v>9521473</v>
      </c>
      <c r="K10375">
        <v>2386022159</v>
      </c>
      <c r="M10375" t="s">
        <v>18799</v>
      </c>
      <c r="N10375" t="s">
        <v>17701</v>
      </c>
      <c r="O10375" t="s">
        <v>18800</v>
      </c>
      <c r="P10375">
        <v>53200</v>
      </c>
      <c r="Q10375" t="str">
        <f>"40.687658"</f>
        <v>40.687658</v>
      </c>
      <c r="R10375" t="str">
        <f>"21.676825"</f>
        <v>21.676825</v>
      </c>
      <c r="S10375" t="s">
        <v>26</v>
      </c>
    </row>
    <row r="10376" spans="1:19" x14ac:dyDescent="0.3">
      <c r="A10376" t="s">
        <v>18804</v>
      </c>
      <c r="B10376" t="s">
        <v>19430</v>
      </c>
      <c r="C10376" t="s">
        <v>19431</v>
      </c>
      <c r="D10376" t="s">
        <v>18805</v>
      </c>
      <c r="E10376" t="s">
        <v>18806</v>
      </c>
      <c r="F10376" t="s">
        <v>18806</v>
      </c>
      <c r="G10376" t="s">
        <v>18806</v>
      </c>
      <c r="H10376" t="s">
        <v>859</v>
      </c>
      <c r="I10376" t="s">
        <v>860</v>
      </c>
      <c r="J10376" t="str">
        <f>"9040268"</f>
        <v>9040268</v>
      </c>
      <c r="K10376">
        <v>2681078801</v>
      </c>
      <c r="L10376">
        <v>2681078801</v>
      </c>
      <c r="M10376" t="s">
        <v>19432</v>
      </c>
      <c r="N10376" t="s">
        <v>19433</v>
      </c>
      <c r="O10376" t="s">
        <v>19434</v>
      </c>
      <c r="P10376">
        <v>47100</v>
      </c>
      <c r="Q10376" t="str">
        <f>"39.151960"</f>
        <v>39.151960</v>
      </c>
      <c r="R10376" t="str">
        <f>"20.961099"</f>
        <v>20.961099</v>
      </c>
      <c r="S10376" t="s">
        <v>26</v>
      </c>
    </row>
    <row r="10377" spans="1:19" x14ac:dyDescent="0.3">
      <c r="A10377" t="s">
        <v>18804</v>
      </c>
      <c r="B10377" t="s">
        <v>19430</v>
      </c>
      <c r="C10377" t="s">
        <v>19435</v>
      </c>
      <c r="D10377" t="s">
        <v>18805</v>
      </c>
      <c r="E10377" t="s">
        <v>18885</v>
      </c>
      <c r="F10377" t="s">
        <v>18886</v>
      </c>
      <c r="G10377" t="s">
        <v>152</v>
      </c>
      <c r="H10377" t="s">
        <v>859</v>
      </c>
      <c r="I10377" t="s">
        <v>860</v>
      </c>
      <c r="J10377" t="str">
        <f>"9040012"</f>
        <v>9040012</v>
      </c>
      <c r="K10377">
        <v>2681098084</v>
      </c>
      <c r="L10377">
        <v>2681098084</v>
      </c>
      <c r="M10377" t="s">
        <v>19436</v>
      </c>
      <c r="N10377" t="s">
        <v>19437</v>
      </c>
      <c r="O10377" t="s">
        <v>4693</v>
      </c>
      <c r="P10377">
        <v>47150</v>
      </c>
      <c r="Q10377" t="str">
        <f>"39.102246"</f>
        <v>39.102246</v>
      </c>
      <c r="R10377" t="str">
        <f>"20.991157"</f>
        <v>20.991157</v>
      </c>
      <c r="S10377" t="s">
        <v>26</v>
      </c>
    </row>
    <row r="10378" spans="1:19" x14ac:dyDescent="0.3">
      <c r="A10378" t="s">
        <v>18804</v>
      </c>
      <c r="B10378" t="s">
        <v>19430</v>
      </c>
      <c r="C10378" t="s">
        <v>19439</v>
      </c>
      <c r="D10378" t="s">
        <v>18805</v>
      </c>
      <c r="E10378" t="s">
        <v>18806</v>
      </c>
      <c r="F10378" t="s">
        <v>18806</v>
      </c>
      <c r="G10378" t="s">
        <v>19438</v>
      </c>
      <c r="H10378" t="s">
        <v>859</v>
      </c>
      <c r="I10378" t="s">
        <v>860</v>
      </c>
      <c r="J10378" t="str">
        <f>"9040243"</f>
        <v>9040243</v>
      </c>
      <c r="K10378">
        <v>2681075915</v>
      </c>
      <c r="M10378" t="s">
        <v>19440</v>
      </c>
      <c r="N10378" t="s">
        <v>19441</v>
      </c>
      <c r="O10378" t="s">
        <v>19441</v>
      </c>
      <c r="P10378">
        <v>47100</v>
      </c>
      <c r="Q10378" t="str">
        <f>"39.131664"</f>
        <v>39.131664</v>
      </c>
      <c r="R10378" t="str">
        <f>"20.978186"</f>
        <v>20.978186</v>
      </c>
      <c r="S10378" t="s">
        <v>26</v>
      </c>
    </row>
    <row r="10379" spans="1:19" x14ac:dyDescent="0.3">
      <c r="A10379" t="s">
        <v>18804</v>
      </c>
      <c r="B10379" t="s">
        <v>19430</v>
      </c>
      <c r="C10379" t="s">
        <v>19442</v>
      </c>
      <c r="D10379" t="s">
        <v>18805</v>
      </c>
      <c r="E10379" t="s">
        <v>18806</v>
      </c>
      <c r="F10379" t="s">
        <v>18806</v>
      </c>
      <c r="G10379" t="s">
        <v>18806</v>
      </c>
      <c r="H10379" t="s">
        <v>859</v>
      </c>
      <c r="I10379" t="s">
        <v>860</v>
      </c>
      <c r="J10379" t="str">
        <f>"9040102"</f>
        <v>9040102</v>
      </c>
      <c r="K10379">
        <v>2681028206</v>
      </c>
      <c r="L10379">
        <v>2681028206</v>
      </c>
      <c r="M10379" t="s">
        <v>19443</v>
      </c>
      <c r="N10379" t="s">
        <v>18809</v>
      </c>
      <c r="O10379" t="s">
        <v>19444</v>
      </c>
      <c r="P10379">
        <v>47100</v>
      </c>
      <c r="Q10379" t="str">
        <f>"39.159170"</f>
        <v>39.159170</v>
      </c>
      <c r="R10379" t="str">
        <f>"20.990097"</f>
        <v>20.990097</v>
      </c>
      <c r="S10379" t="s">
        <v>26</v>
      </c>
    </row>
    <row r="10380" spans="1:19" x14ac:dyDescent="0.3">
      <c r="A10380" t="s">
        <v>18804</v>
      </c>
      <c r="B10380" t="s">
        <v>19430</v>
      </c>
      <c r="C10380" t="s">
        <v>19445</v>
      </c>
      <c r="D10380" t="s">
        <v>18805</v>
      </c>
      <c r="E10380" t="s">
        <v>18806</v>
      </c>
      <c r="F10380" t="s">
        <v>18806</v>
      </c>
      <c r="G10380" t="s">
        <v>18806</v>
      </c>
      <c r="H10380" t="s">
        <v>859</v>
      </c>
      <c r="I10380" t="s">
        <v>860</v>
      </c>
      <c r="J10380" t="str">
        <f>"9040107"</f>
        <v>9040107</v>
      </c>
      <c r="K10380">
        <v>2681077097</v>
      </c>
      <c r="L10380">
        <v>2681077097</v>
      </c>
      <c r="M10380" t="s">
        <v>19446</v>
      </c>
      <c r="N10380" t="s">
        <v>18809</v>
      </c>
      <c r="O10380" t="s">
        <v>19447</v>
      </c>
      <c r="P10380">
        <v>47100</v>
      </c>
      <c r="Q10380" t="str">
        <f>"39.159282"</f>
        <v>39.159282</v>
      </c>
      <c r="R10380" t="str">
        <f>"20.986168"</f>
        <v>20.986168</v>
      </c>
      <c r="S10380" t="s">
        <v>26</v>
      </c>
    </row>
    <row r="10381" spans="1:19" x14ac:dyDescent="0.3">
      <c r="A10381" t="s">
        <v>18804</v>
      </c>
      <c r="B10381" t="s">
        <v>19430</v>
      </c>
      <c r="C10381" t="s">
        <v>19448</v>
      </c>
      <c r="D10381" t="s">
        <v>18805</v>
      </c>
      <c r="E10381" t="s">
        <v>18806</v>
      </c>
      <c r="F10381" t="s">
        <v>18806</v>
      </c>
      <c r="G10381" t="s">
        <v>18806</v>
      </c>
      <c r="H10381" t="s">
        <v>859</v>
      </c>
      <c r="I10381" t="s">
        <v>860</v>
      </c>
      <c r="J10381" t="str">
        <f>"9040003"</f>
        <v>9040003</v>
      </c>
      <c r="K10381">
        <v>2681070077</v>
      </c>
      <c r="L10381">
        <v>2681070077</v>
      </c>
      <c r="M10381" t="s">
        <v>19449</v>
      </c>
      <c r="N10381" t="s">
        <v>18809</v>
      </c>
      <c r="O10381" t="s">
        <v>19450</v>
      </c>
      <c r="P10381">
        <v>47131</v>
      </c>
      <c r="Q10381" t="str">
        <f>"39.162501"</f>
        <v>39.162501</v>
      </c>
      <c r="R10381" t="str">
        <f>"20.989658"</f>
        <v>20.989658</v>
      </c>
      <c r="S10381" t="s">
        <v>26</v>
      </c>
    </row>
    <row r="10382" spans="1:19" x14ac:dyDescent="0.3">
      <c r="A10382" t="s">
        <v>18804</v>
      </c>
      <c r="B10382" t="s">
        <v>19430</v>
      </c>
      <c r="C10382" t="s">
        <v>19451</v>
      </c>
      <c r="D10382" t="s">
        <v>18805</v>
      </c>
      <c r="E10382" t="s">
        <v>18806</v>
      </c>
      <c r="F10382" t="s">
        <v>18806</v>
      </c>
      <c r="G10382" t="s">
        <v>18806</v>
      </c>
      <c r="H10382" t="s">
        <v>859</v>
      </c>
      <c r="I10382" t="s">
        <v>860</v>
      </c>
      <c r="J10382" t="str">
        <f>"9040242"</f>
        <v>9040242</v>
      </c>
      <c r="K10382">
        <v>2681079560</v>
      </c>
      <c r="M10382" t="s">
        <v>19452</v>
      </c>
      <c r="N10382" t="s">
        <v>18809</v>
      </c>
      <c r="O10382" t="s">
        <v>19453</v>
      </c>
      <c r="P10382">
        <v>47100</v>
      </c>
      <c r="Q10382" t="str">
        <f>"39.151867"</f>
        <v>39.151867</v>
      </c>
      <c r="R10382" t="str">
        <f>"20.989548"</f>
        <v>20.989548</v>
      </c>
      <c r="S10382" t="s">
        <v>26</v>
      </c>
    </row>
    <row r="10383" spans="1:19" x14ac:dyDescent="0.3">
      <c r="A10383" t="s">
        <v>18804</v>
      </c>
      <c r="B10383" t="s">
        <v>19430</v>
      </c>
      <c r="C10383" t="s">
        <v>19454</v>
      </c>
      <c r="D10383" t="s">
        <v>18805</v>
      </c>
      <c r="E10383" t="s">
        <v>18885</v>
      </c>
      <c r="F10383" t="s">
        <v>18921</v>
      </c>
      <c r="G10383" t="s">
        <v>18921</v>
      </c>
      <c r="H10383" t="s">
        <v>859</v>
      </c>
      <c r="I10383" t="s">
        <v>860</v>
      </c>
      <c r="J10383" t="str">
        <f>"9040058"</f>
        <v>9040058</v>
      </c>
      <c r="K10383">
        <v>2681065521</v>
      </c>
      <c r="L10383">
        <v>2681065521</v>
      </c>
      <c r="M10383" t="s">
        <v>19455</v>
      </c>
      <c r="N10383" t="s">
        <v>18924</v>
      </c>
      <c r="O10383" t="s">
        <v>18924</v>
      </c>
      <c r="P10383">
        <v>47040</v>
      </c>
      <c r="Q10383" t="str">
        <f>"39.102737"</f>
        <v>39.102737</v>
      </c>
      <c r="R10383" t="str">
        <f>"21.082954"</f>
        <v>21.082954</v>
      </c>
      <c r="S10383" t="s">
        <v>26</v>
      </c>
    </row>
    <row r="10384" spans="1:19" x14ac:dyDescent="0.3">
      <c r="A10384" t="s">
        <v>18804</v>
      </c>
      <c r="B10384" t="s">
        <v>19430</v>
      </c>
      <c r="C10384" t="s">
        <v>19456</v>
      </c>
      <c r="D10384" t="s">
        <v>18805</v>
      </c>
      <c r="E10384" t="s">
        <v>18806</v>
      </c>
      <c r="F10384" t="s">
        <v>14994</v>
      </c>
      <c r="G10384" t="s">
        <v>18891</v>
      </c>
      <c r="H10384" t="s">
        <v>859</v>
      </c>
      <c r="I10384" t="s">
        <v>860</v>
      </c>
      <c r="J10384" t="str">
        <f>"9040137"</f>
        <v>9040137</v>
      </c>
      <c r="K10384">
        <v>2681085770</v>
      </c>
      <c r="L10384">
        <v>2681085770</v>
      </c>
      <c r="M10384" t="s">
        <v>19457</v>
      </c>
      <c r="N10384" t="s">
        <v>18894</v>
      </c>
      <c r="O10384" t="s">
        <v>18894</v>
      </c>
      <c r="P10384">
        <v>47100</v>
      </c>
      <c r="Q10384" t="str">
        <f>"39.185174"</f>
        <v>39.185174</v>
      </c>
      <c r="R10384" t="str">
        <f>"20.975173"</f>
        <v>20.975173</v>
      </c>
      <c r="S10384" t="s">
        <v>26</v>
      </c>
    </row>
    <row r="10385" spans="1:19" x14ac:dyDescent="0.3">
      <c r="A10385" t="s">
        <v>18804</v>
      </c>
      <c r="B10385" t="s">
        <v>19430</v>
      </c>
      <c r="C10385" t="s">
        <v>19459</v>
      </c>
      <c r="D10385" t="s">
        <v>18805</v>
      </c>
      <c r="E10385" t="s">
        <v>18806</v>
      </c>
      <c r="F10385" t="s">
        <v>4671</v>
      </c>
      <c r="G10385" t="s">
        <v>19458</v>
      </c>
      <c r="H10385" t="s">
        <v>859</v>
      </c>
      <c r="I10385" t="s">
        <v>860</v>
      </c>
      <c r="J10385" t="str">
        <f>"9040147"</f>
        <v>9040147</v>
      </c>
      <c r="K10385">
        <v>2681052175</v>
      </c>
      <c r="M10385" t="s">
        <v>19460</v>
      </c>
      <c r="N10385" t="s">
        <v>19461</v>
      </c>
      <c r="O10385" t="s">
        <v>19461</v>
      </c>
      <c r="P10385">
        <v>47100</v>
      </c>
      <c r="Q10385" t="str">
        <f>"39.168694"</f>
        <v>39.168694</v>
      </c>
      <c r="R10385" t="str">
        <f>"20.929462"</f>
        <v>20.929462</v>
      </c>
      <c r="S10385" t="s">
        <v>26</v>
      </c>
    </row>
    <row r="10386" spans="1:19" x14ac:dyDescent="0.3">
      <c r="A10386" t="s">
        <v>18804</v>
      </c>
      <c r="B10386" t="s">
        <v>19430</v>
      </c>
      <c r="C10386" t="s">
        <v>19463</v>
      </c>
      <c r="D10386" t="s">
        <v>18805</v>
      </c>
      <c r="E10386" t="s">
        <v>18806</v>
      </c>
      <c r="F10386" t="s">
        <v>4671</v>
      </c>
      <c r="G10386" t="s">
        <v>19462</v>
      </c>
      <c r="H10386" t="s">
        <v>859</v>
      </c>
      <c r="I10386" t="s">
        <v>860</v>
      </c>
      <c r="J10386" t="str">
        <f>"9040112"</f>
        <v>9040112</v>
      </c>
      <c r="K10386">
        <v>2683041436</v>
      </c>
      <c r="L10386">
        <v>2683041436</v>
      </c>
      <c r="M10386" t="s">
        <v>19464</v>
      </c>
      <c r="N10386" t="s">
        <v>19465</v>
      </c>
      <c r="O10386" t="s">
        <v>19465</v>
      </c>
      <c r="P10386">
        <v>47100</v>
      </c>
      <c r="Q10386" t="str">
        <f>"39.142619"</f>
        <v>39.142619</v>
      </c>
      <c r="R10386" t="str">
        <f>"20.864162"</f>
        <v>20.864162</v>
      </c>
      <c r="S10386" t="s">
        <v>26</v>
      </c>
    </row>
    <row r="10387" spans="1:19" x14ac:dyDescent="0.3">
      <c r="A10387" t="s">
        <v>18804</v>
      </c>
      <c r="B10387" t="s">
        <v>19430</v>
      </c>
      <c r="C10387" t="s">
        <v>19466</v>
      </c>
      <c r="D10387" t="s">
        <v>18805</v>
      </c>
      <c r="E10387" t="s">
        <v>18885</v>
      </c>
      <c r="F10387" t="s">
        <v>18903</v>
      </c>
      <c r="G10387" t="s">
        <v>18903</v>
      </c>
      <c r="H10387" t="s">
        <v>859</v>
      </c>
      <c r="I10387" t="s">
        <v>860</v>
      </c>
      <c r="J10387" t="str">
        <f>"9040084"</f>
        <v>9040084</v>
      </c>
      <c r="K10387">
        <v>2681083375</v>
      </c>
      <c r="L10387">
        <v>2681083375</v>
      </c>
      <c r="M10387" t="s">
        <v>19467</v>
      </c>
      <c r="N10387" t="s">
        <v>18903</v>
      </c>
      <c r="O10387" t="s">
        <v>18903</v>
      </c>
      <c r="P10387">
        <v>47200</v>
      </c>
      <c r="Q10387" t="str">
        <f>"39.168800"</f>
        <v>39.168800</v>
      </c>
      <c r="R10387" t="str">
        <f>"21.036052"</f>
        <v>21.036052</v>
      </c>
      <c r="S10387" t="s">
        <v>26</v>
      </c>
    </row>
    <row r="10388" spans="1:19" x14ac:dyDescent="0.3">
      <c r="A10388" t="s">
        <v>18804</v>
      </c>
      <c r="B10388" t="s">
        <v>19430</v>
      </c>
      <c r="C10388" t="s">
        <v>19468</v>
      </c>
      <c r="D10388" t="s">
        <v>18805</v>
      </c>
      <c r="E10388" t="s">
        <v>18885</v>
      </c>
      <c r="F10388" t="s">
        <v>18886</v>
      </c>
      <c r="G10388" t="s">
        <v>13744</v>
      </c>
      <c r="H10388" t="s">
        <v>859</v>
      </c>
      <c r="I10388" t="s">
        <v>860</v>
      </c>
      <c r="J10388" t="str">
        <f>"9040075"</f>
        <v>9040075</v>
      </c>
      <c r="K10388">
        <v>2681087977</v>
      </c>
      <c r="L10388">
        <v>2681087977</v>
      </c>
      <c r="M10388" t="s">
        <v>19469</v>
      </c>
      <c r="N10388" t="s">
        <v>13748</v>
      </c>
      <c r="O10388" t="s">
        <v>13748</v>
      </c>
      <c r="P10388">
        <v>47041</v>
      </c>
      <c r="Q10388" t="str">
        <f>"39.071117"</f>
        <v>39.071117</v>
      </c>
      <c r="R10388" t="str">
        <f>"21.018011"</f>
        <v>21.018011</v>
      </c>
      <c r="S10388" t="s">
        <v>26</v>
      </c>
    </row>
    <row r="10389" spans="1:19" x14ac:dyDescent="0.3">
      <c r="A10389" t="s">
        <v>18804</v>
      </c>
      <c r="B10389" t="s">
        <v>19430</v>
      </c>
      <c r="C10389" t="s">
        <v>19472</v>
      </c>
      <c r="D10389" t="s">
        <v>18805</v>
      </c>
      <c r="E10389" t="s">
        <v>18806</v>
      </c>
      <c r="F10389" t="s">
        <v>19470</v>
      </c>
      <c r="G10389" t="s">
        <v>19471</v>
      </c>
      <c r="H10389" t="s">
        <v>859</v>
      </c>
      <c r="I10389" t="s">
        <v>860</v>
      </c>
      <c r="J10389" t="str">
        <f>"9040121"</f>
        <v>9040121</v>
      </c>
      <c r="K10389">
        <v>2683081729</v>
      </c>
      <c r="M10389" t="s">
        <v>19473</v>
      </c>
      <c r="N10389" t="s">
        <v>19474</v>
      </c>
      <c r="O10389" t="s">
        <v>19474</v>
      </c>
      <c r="P10389">
        <v>48200</v>
      </c>
      <c r="Q10389" t="str">
        <f>"39.266753"</f>
        <v>39.266753</v>
      </c>
      <c r="R10389" t="str">
        <f>"20.939880"</f>
        <v>20.939880</v>
      </c>
      <c r="S10389" t="s">
        <v>26</v>
      </c>
    </row>
    <row r="10390" spans="1:19" x14ac:dyDescent="0.3">
      <c r="A10390" t="s">
        <v>18804</v>
      </c>
      <c r="B10390" t="s">
        <v>19430</v>
      </c>
      <c r="C10390" t="s">
        <v>19475</v>
      </c>
      <c r="D10390" t="s">
        <v>18805</v>
      </c>
      <c r="E10390" t="s">
        <v>18806</v>
      </c>
      <c r="F10390" t="s">
        <v>18806</v>
      </c>
      <c r="G10390" t="s">
        <v>18806</v>
      </c>
      <c r="H10390" t="s">
        <v>859</v>
      </c>
      <c r="I10390" t="s">
        <v>860</v>
      </c>
      <c r="J10390" t="str">
        <f>"9040109"</f>
        <v>9040109</v>
      </c>
      <c r="K10390">
        <v>2681028162</v>
      </c>
      <c r="L10390">
        <v>2681028162</v>
      </c>
      <c r="M10390" t="s">
        <v>19476</v>
      </c>
      <c r="N10390" t="s">
        <v>18809</v>
      </c>
      <c r="O10390" t="s">
        <v>19477</v>
      </c>
      <c r="P10390">
        <v>47100</v>
      </c>
      <c r="Q10390" t="str">
        <f>"39.162659"</f>
        <v>39.162659</v>
      </c>
      <c r="R10390" t="str">
        <f>"20.982298"</f>
        <v>20.982298</v>
      </c>
      <c r="S10390" t="s">
        <v>26</v>
      </c>
    </row>
    <row r="10391" spans="1:19" x14ac:dyDescent="0.3">
      <c r="A10391" t="s">
        <v>18804</v>
      </c>
      <c r="B10391" t="s">
        <v>19430</v>
      </c>
      <c r="C10391" t="s">
        <v>19479</v>
      </c>
      <c r="D10391" t="s">
        <v>18805</v>
      </c>
      <c r="E10391" t="s">
        <v>18806</v>
      </c>
      <c r="F10391" t="s">
        <v>19470</v>
      </c>
      <c r="G10391" t="s">
        <v>19478</v>
      </c>
      <c r="H10391" t="s">
        <v>859</v>
      </c>
      <c r="I10391" t="s">
        <v>860</v>
      </c>
      <c r="J10391" t="str">
        <f>"9040210"</f>
        <v>9040210</v>
      </c>
      <c r="K10391">
        <v>2683023283</v>
      </c>
      <c r="L10391">
        <v>2683023283</v>
      </c>
      <c r="M10391" t="s">
        <v>19480</v>
      </c>
      <c r="N10391" t="s">
        <v>19481</v>
      </c>
      <c r="O10391" t="s">
        <v>19481</v>
      </c>
      <c r="P10391">
        <v>48200</v>
      </c>
      <c r="Q10391" t="str">
        <f>"39.212757"</f>
        <v>39.212757</v>
      </c>
      <c r="R10391" t="str">
        <f>"20.894092"</f>
        <v>20.894092</v>
      </c>
      <c r="S10391" t="s">
        <v>26</v>
      </c>
    </row>
    <row r="10392" spans="1:19" x14ac:dyDescent="0.3">
      <c r="A10392" t="s">
        <v>18804</v>
      </c>
      <c r="B10392" t="s">
        <v>19430</v>
      </c>
      <c r="C10392" t="s">
        <v>19482</v>
      </c>
      <c r="D10392" t="s">
        <v>18805</v>
      </c>
      <c r="E10392" t="s">
        <v>18885</v>
      </c>
      <c r="F10392" t="s">
        <v>18903</v>
      </c>
      <c r="G10392" t="s">
        <v>18903</v>
      </c>
      <c r="H10392" t="s">
        <v>859</v>
      </c>
      <c r="I10392" t="s">
        <v>860</v>
      </c>
      <c r="J10392" t="str">
        <f>"9040225"</f>
        <v>9040225</v>
      </c>
      <c r="K10392">
        <v>2681083146</v>
      </c>
      <c r="L10392">
        <v>2681083146</v>
      </c>
      <c r="M10392" t="s">
        <v>19483</v>
      </c>
      <c r="N10392" t="s">
        <v>19484</v>
      </c>
      <c r="O10392" t="s">
        <v>19484</v>
      </c>
      <c r="P10392">
        <v>47150</v>
      </c>
      <c r="Q10392" t="str">
        <f>"39.160087"</f>
        <v>39.160087</v>
      </c>
      <c r="R10392" t="str">
        <f>"21.016542"</f>
        <v>21.016542</v>
      </c>
      <c r="S10392" t="s">
        <v>26</v>
      </c>
    </row>
    <row r="10393" spans="1:19" x14ac:dyDescent="0.3">
      <c r="A10393" t="s">
        <v>18804</v>
      </c>
      <c r="B10393" t="s">
        <v>19430</v>
      </c>
      <c r="C10393" t="s">
        <v>19487</v>
      </c>
      <c r="D10393" t="s">
        <v>18805</v>
      </c>
      <c r="E10393" t="s">
        <v>18806</v>
      </c>
      <c r="F10393" t="s">
        <v>14994</v>
      </c>
      <c r="G10393" t="s">
        <v>19486</v>
      </c>
      <c r="H10393" t="s">
        <v>859</v>
      </c>
      <c r="I10393" t="s">
        <v>860</v>
      </c>
      <c r="J10393" t="str">
        <f>"9040270"</f>
        <v>9040270</v>
      </c>
      <c r="K10393">
        <v>2681023288</v>
      </c>
      <c r="M10393" t="s">
        <v>19488</v>
      </c>
      <c r="N10393" t="s">
        <v>19489</v>
      </c>
      <c r="O10393" t="s">
        <v>19489</v>
      </c>
      <c r="P10393">
        <v>47100</v>
      </c>
      <c r="Q10393" t="str">
        <f>"39.246285"</f>
        <v>39.246285</v>
      </c>
      <c r="R10393" t="str">
        <f>"20.979075"</f>
        <v>20.979075</v>
      </c>
      <c r="S10393" t="s">
        <v>26</v>
      </c>
    </row>
    <row r="10394" spans="1:19" x14ac:dyDescent="0.3">
      <c r="A10394" t="s">
        <v>18804</v>
      </c>
      <c r="B10394" t="s">
        <v>19430</v>
      </c>
      <c r="C10394" t="s">
        <v>19490</v>
      </c>
      <c r="D10394" t="s">
        <v>18805</v>
      </c>
      <c r="E10394" t="s">
        <v>18878</v>
      </c>
      <c r="F10394" t="s">
        <v>18879</v>
      </c>
      <c r="G10394" t="s">
        <v>18880</v>
      </c>
      <c r="H10394" t="s">
        <v>859</v>
      </c>
      <c r="I10394" t="s">
        <v>860</v>
      </c>
      <c r="J10394" t="str">
        <f>"9040281"</f>
        <v>9040281</v>
      </c>
      <c r="K10394">
        <v>2685022245</v>
      </c>
      <c r="M10394" t="s">
        <v>19491</v>
      </c>
      <c r="N10394" t="s">
        <v>18920</v>
      </c>
      <c r="O10394" t="s">
        <v>18920</v>
      </c>
      <c r="P10394">
        <v>47045</v>
      </c>
      <c r="Q10394" t="str">
        <f>"39.369997"</f>
        <v>39.369997</v>
      </c>
      <c r="R10394" t="str">
        <f>"21.185829"</f>
        <v>21.185829</v>
      </c>
      <c r="S10394" t="s">
        <v>26</v>
      </c>
    </row>
    <row r="10395" spans="1:19" x14ac:dyDescent="0.3">
      <c r="A10395" t="s">
        <v>18804</v>
      </c>
      <c r="B10395" t="s">
        <v>19430</v>
      </c>
      <c r="C10395" t="s">
        <v>19493</v>
      </c>
      <c r="D10395" t="s">
        <v>18805</v>
      </c>
      <c r="E10395" t="s">
        <v>18806</v>
      </c>
      <c r="F10395" t="s">
        <v>18897</v>
      </c>
      <c r="G10395" t="s">
        <v>19492</v>
      </c>
      <c r="H10395" t="s">
        <v>859</v>
      </c>
      <c r="I10395" t="s">
        <v>860</v>
      </c>
      <c r="J10395" t="str">
        <f>"9040209"</f>
        <v>9040209</v>
      </c>
      <c r="K10395">
        <v>2681042617</v>
      </c>
      <c r="M10395" t="s">
        <v>19494</v>
      </c>
      <c r="N10395" t="s">
        <v>19495</v>
      </c>
      <c r="O10395" t="s">
        <v>19495</v>
      </c>
      <c r="P10395">
        <v>47100</v>
      </c>
      <c r="Q10395" t="str">
        <f>"39.093971"</f>
        <v>39.093971</v>
      </c>
      <c r="R10395" t="str">
        <f>"20.887598"</f>
        <v>20.887598</v>
      </c>
      <c r="S10395" t="s">
        <v>26</v>
      </c>
    </row>
    <row r="10396" spans="1:19" x14ac:dyDescent="0.3">
      <c r="A10396" t="s">
        <v>18804</v>
      </c>
      <c r="B10396" t="s">
        <v>19430</v>
      </c>
      <c r="C10396" t="s">
        <v>19497</v>
      </c>
      <c r="D10396" t="s">
        <v>18805</v>
      </c>
      <c r="E10396" t="s">
        <v>18806</v>
      </c>
      <c r="F10396" t="s">
        <v>18897</v>
      </c>
      <c r="G10396" t="s">
        <v>19496</v>
      </c>
      <c r="H10396" t="s">
        <v>859</v>
      </c>
      <c r="I10396" t="s">
        <v>860</v>
      </c>
      <c r="J10396" t="str">
        <f>"9040232"</f>
        <v>9040232</v>
      </c>
      <c r="K10396">
        <v>2681041391</v>
      </c>
      <c r="L10396">
        <v>2681041391</v>
      </c>
      <c r="M10396" t="s">
        <v>19498</v>
      </c>
      <c r="N10396" t="s">
        <v>19499</v>
      </c>
      <c r="O10396" t="s">
        <v>19499</v>
      </c>
      <c r="P10396">
        <v>47100</v>
      </c>
      <c r="Q10396" t="str">
        <f>"39.114390"</f>
        <v>39.114390</v>
      </c>
      <c r="R10396" t="str">
        <f>"20.899287"</f>
        <v>20.899287</v>
      </c>
      <c r="S10396" t="s">
        <v>26</v>
      </c>
    </row>
    <row r="10397" spans="1:19" x14ac:dyDescent="0.3">
      <c r="A10397" t="s">
        <v>18804</v>
      </c>
      <c r="B10397" t="s">
        <v>19430</v>
      </c>
      <c r="C10397" t="s">
        <v>19501</v>
      </c>
      <c r="D10397" t="s">
        <v>18805</v>
      </c>
      <c r="E10397" t="s">
        <v>18806</v>
      </c>
      <c r="F10397" t="s">
        <v>14994</v>
      </c>
      <c r="G10397" t="s">
        <v>19500</v>
      </c>
      <c r="H10397" t="s">
        <v>859</v>
      </c>
      <c r="I10397" t="s">
        <v>860</v>
      </c>
      <c r="J10397" t="str">
        <f>"9040201"</f>
        <v>9040201</v>
      </c>
      <c r="K10397">
        <v>2681085301</v>
      </c>
      <c r="L10397">
        <v>2681085301</v>
      </c>
      <c r="M10397" t="s">
        <v>19502</v>
      </c>
      <c r="N10397" t="s">
        <v>19503</v>
      </c>
      <c r="O10397" t="s">
        <v>19503</v>
      </c>
      <c r="P10397">
        <v>47100</v>
      </c>
      <c r="Q10397" t="str">
        <f>"39.203690"</f>
        <v>39.203690</v>
      </c>
      <c r="R10397" t="str">
        <f>"20.935755"</f>
        <v>20.935755</v>
      </c>
      <c r="S10397" t="s">
        <v>26</v>
      </c>
    </row>
    <row r="10398" spans="1:19" x14ac:dyDescent="0.3">
      <c r="A10398" t="s">
        <v>18804</v>
      </c>
      <c r="B10398" t="s">
        <v>19430</v>
      </c>
      <c r="C10398" t="s">
        <v>19504</v>
      </c>
      <c r="D10398" t="s">
        <v>18805</v>
      </c>
      <c r="E10398" t="s">
        <v>18806</v>
      </c>
      <c r="F10398" t="s">
        <v>4671</v>
      </c>
      <c r="G10398" t="s">
        <v>18939</v>
      </c>
      <c r="H10398" t="s">
        <v>859</v>
      </c>
      <c r="I10398" t="s">
        <v>860</v>
      </c>
      <c r="J10398" t="str">
        <f>"9040194"</f>
        <v>9040194</v>
      </c>
      <c r="K10398">
        <v>2681051111</v>
      </c>
      <c r="L10398">
        <v>2681051111</v>
      </c>
      <c r="M10398" t="s">
        <v>19505</v>
      </c>
      <c r="N10398" t="s">
        <v>19506</v>
      </c>
      <c r="O10398" t="s">
        <v>19507</v>
      </c>
      <c r="P10398">
        <v>47150</v>
      </c>
      <c r="Q10398" t="str">
        <f>"39.157277"</f>
        <v>39.157277</v>
      </c>
      <c r="R10398" t="str">
        <f>"20.932448"</f>
        <v>20.932448</v>
      </c>
      <c r="S10398" t="s">
        <v>26</v>
      </c>
    </row>
    <row r="10399" spans="1:19" x14ac:dyDescent="0.3">
      <c r="A10399" t="s">
        <v>18804</v>
      </c>
      <c r="B10399" t="s">
        <v>19430</v>
      </c>
      <c r="C10399" t="s">
        <v>19538</v>
      </c>
      <c r="D10399" t="s">
        <v>18805</v>
      </c>
      <c r="E10399" t="s">
        <v>18806</v>
      </c>
      <c r="F10399" t="s">
        <v>18806</v>
      </c>
      <c r="G10399" t="s">
        <v>18806</v>
      </c>
      <c r="H10399" t="s">
        <v>859</v>
      </c>
      <c r="I10399" t="s">
        <v>860</v>
      </c>
      <c r="J10399" t="str">
        <f>"9040104"</f>
        <v>9040104</v>
      </c>
      <c r="K10399">
        <v>2681023152</v>
      </c>
      <c r="L10399">
        <v>2681023152</v>
      </c>
      <c r="M10399" t="s">
        <v>19539</v>
      </c>
      <c r="N10399" t="s">
        <v>18809</v>
      </c>
      <c r="O10399" t="s">
        <v>19540</v>
      </c>
      <c r="P10399">
        <v>47132</v>
      </c>
      <c r="Q10399" t="str">
        <f>"39.153454"</f>
        <v>39.153454</v>
      </c>
      <c r="R10399" t="str">
        <f>"20.982979"</f>
        <v>20.982979</v>
      </c>
      <c r="S10399" t="s">
        <v>26</v>
      </c>
    </row>
    <row r="10400" spans="1:19" x14ac:dyDescent="0.3">
      <c r="A10400" t="s">
        <v>18804</v>
      </c>
      <c r="B10400" t="s">
        <v>19430</v>
      </c>
      <c r="C10400" t="s">
        <v>19541</v>
      </c>
      <c r="D10400" t="s">
        <v>18805</v>
      </c>
      <c r="E10400" t="s">
        <v>18806</v>
      </c>
      <c r="F10400" t="s">
        <v>18806</v>
      </c>
      <c r="G10400" t="s">
        <v>18806</v>
      </c>
      <c r="H10400" t="s">
        <v>859</v>
      </c>
      <c r="I10400" t="s">
        <v>860</v>
      </c>
      <c r="J10400" t="str">
        <f>"9040228"</f>
        <v>9040228</v>
      </c>
      <c r="K10400">
        <v>2681023540</v>
      </c>
      <c r="L10400">
        <v>2681023540</v>
      </c>
      <c r="M10400" t="s">
        <v>19542</v>
      </c>
      <c r="N10400" t="s">
        <v>5159</v>
      </c>
      <c r="O10400" t="s">
        <v>19543</v>
      </c>
      <c r="P10400">
        <v>47150</v>
      </c>
      <c r="Q10400" t="str">
        <f>"39.137050"</f>
        <v>39.137050</v>
      </c>
      <c r="R10400" t="str">
        <f>"21.024895"</f>
        <v>21.024895</v>
      </c>
      <c r="S10400" t="s">
        <v>26</v>
      </c>
    </row>
    <row r="10401" spans="1:19" x14ac:dyDescent="0.3">
      <c r="A10401" t="s">
        <v>18804</v>
      </c>
      <c r="B10401" t="s">
        <v>19430</v>
      </c>
      <c r="C10401" t="s">
        <v>19548</v>
      </c>
      <c r="D10401" t="s">
        <v>18805</v>
      </c>
      <c r="E10401" t="s">
        <v>18806</v>
      </c>
      <c r="F10401" t="s">
        <v>18806</v>
      </c>
      <c r="G10401" t="s">
        <v>18806</v>
      </c>
      <c r="H10401" t="s">
        <v>859</v>
      </c>
      <c r="I10401" t="s">
        <v>860</v>
      </c>
      <c r="J10401" t="str">
        <f>"9040005"</f>
        <v>9040005</v>
      </c>
      <c r="K10401">
        <v>2681076588</v>
      </c>
      <c r="M10401" t="s">
        <v>19549</v>
      </c>
      <c r="N10401" t="s">
        <v>18809</v>
      </c>
      <c r="O10401" t="s">
        <v>19550</v>
      </c>
      <c r="P10401">
        <v>47100</v>
      </c>
      <c r="Q10401" t="str">
        <f>"39.156704"</f>
        <v>39.156704</v>
      </c>
      <c r="R10401" t="str">
        <f>"20.979456"</f>
        <v>20.979456</v>
      </c>
      <c r="S10401" t="s">
        <v>26</v>
      </c>
    </row>
    <row r="10402" spans="1:19" x14ac:dyDescent="0.3">
      <c r="A10402" t="s">
        <v>18804</v>
      </c>
      <c r="B10402" t="s">
        <v>19430</v>
      </c>
      <c r="C10402" t="s">
        <v>19551</v>
      </c>
      <c r="D10402" t="s">
        <v>18805</v>
      </c>
      <c r="E10402" t="s">
        <v>18831</v>
      </c>
      <c r="F10402" t="s">
        <v>19526</v>
      </c>
      <c r="G10402" t="s">
        <v>19527</v>
      </c>
      <c r="H10402" t="s">
        <v>859</v>
      </c>
      <c r="I10402" t="s">
        <v>860</v>
      </c>
      <c r="J10402" t="str">
        <f>"9040277"</f>
        <v>9040277</v>
      </c>
      <c r="K10402">
        <v>2685061457</v>
      </c>
      <c r="L10402">
        <v>2685061457</v>
      </c>
      <c r="M10402" t="s">
        <v>19552</v>
      </c>
      <c r="N10402" t="s">
        <v>19530</v>
      </c>
      <c r="O10402" t="s">
        <v>19553</v>
      </c>
      <c r="P10402">
        <v>47047</v>
      </c>
      <c r="Q10402" t="str">
        <f>"39.272190"</f>
        <v>39.272190</v>
      </c>
      <c r="R10402" t="str">
        <f>"21.290637"</f>
        <v>21.290637</v>
      </c>
      <c r="S10402" t="s">
        <v>57</v>
      </c>
    </row>
    <row r="10403" spans="1:19" x14ac:dyDescent="0.3">
      <c r="A10403" t="s">
        <v>18804</v>
      </c>
      <c r="B10403" t="s">
        <v>19430</v>
      </c>
      <c r="C10403" t="s">
        <v>19554</v>
      </c>
      <c r="D10403" t="s">
        <v>18805</v>
      </c>
      <c r="E10403" t="s">
        <v>18885</v>
      </c>
      <c r="F10403" t="s">
        <v>18886</v>
      </c>
      <c r="G10403" t="s">
        <v>19534</v>
      </c>
      <c r="H10403" t="s">
        <v>859</v>
      </c>
      <c r="I10403" t="s">
        <v>860</v>
      </c>
      <c r="J10403" t="str">
        <f>"9040272"</f>
        <v>9040272</v>
      </c>
      <c r="K10403">
        <v>2681069319</v>
      </c>
      <c r="L10403">
        <v>2681069319</v>
      </c>
      <c r="M10403" t="s">
        <v>19555</v>
      </c>
      <c r="N10403" t="s">
        <v>19537</v>
      </c>
      <c r="O10403" t="s">
        <v>19537</v>
      </c>
      <c r="P10403">
        <v>47100</v>
      </c>
      <c r="Q10403" t="str">
        <f>"39.061023"</f>
        <v>39.061023</v>
      </c>
      <c r="R10403" t="str">
        <f>"21.038424"</f>
        <v>21.038424</v>
      </c>
      <c r="S10403" t="s">
        <v>26</v>
      </c>
    </row>
    <row r="10404" spans="1:19" x14ac:dyDescent="0.3">
      <c r="A10404" t="s">
        <v>18804</v>
      </c>
      <c r="B10404" t="s">
        <v>19430</v>
      </c>
      <c r="C10404" t="s">
        <v>19556</v>
      </c>
      <c r="D10404" t="s">
        <v>18805</v>
      </c>
      <c r="E10404" t="s">
        <v>18806</v>
      </c>
      <c r="F10404" t="s">
        <v>18806</v>
      </c>
      <c r="G10404" t="s">
        <v>18806</v>
      </c>
      <c r="H10404" t="s">
        <v>859</v>
      </c>
      <c r="I10404" t="s">
        <v>860</v>
      </c>
      <c r="J10404" t="str">
        <f>"9040010"</f>
        <v>9040010</v>
      </c>
      <c r="K10404">
        <v>2681070400</v>
      </c>
      <c r="L10404">
        <v>2681070400</v>
      </c>
      <c r="M10404" t="s">
        <v>19557</v>
      </c>
      <c r="N10404" t="s">
        <v>18809</v>
      </c>
      <c r="O10404" t="s">
        <v>19558</v>
      </c>
      <c r="P10404">
        <v>47131</v>
      </c>
      <c r="Q10404" t="str">
        <f>"39.154953"</f>
        <v>39.154953</v>
      </c>
      <c r="R10404" t="str">
        <f>"20.997733"</f>
        <v>20.997733</v>
      </c>
      <c r="S10404" t="s">
        <v>26</v>
      </c>
    </row>
    <row r="10405" spans="1:19" x14ac:dyDescent="0.3">
      <c r="A10405" t="s">
        <v>18804</v>
      </c>
      <c r="B10405" t="s">
        <v>19430</v>
      </c>
      <c r="C10405" t="s">
        <v>19559</v>
      </c>
      <c r="D10405" t="s">
        <v>18805</v>
      </c>
      <c r="E10405" t="s">
        <v>18831</v>
      </c>
      <c r="F10405" t="s">
        <v>18832</v>
      </c>
      <c r="G10405" t="s">
        <v>18833</v>
      </c>
      <c r="H10405" t="s">
        <v>859</v>
      </c>
      <c r="I10405" t="s">
        <v>860</v>
      </c>
      <c r="J10405" t="str">
        <f>"9040023"</f>
        <v>9040023</v>
      </c>
      <c r="K10405">
        <v>2681068220</v>
      </c>
      <c r="L10405">
        <v>2681068055</v>
      </c>
      <c r="M10405" t="s">
        <v>19560</v>
      </c>
      <c r="N10405" t="s">
        <v>18836</v>
      </c>
      <c r="O10405" t="s">
        <v>18836</v>
      </c>
      <c r="P10405">
        <v>47044</v>
      </c>
      <c r="Q10405" t="str">
        <f>"39.250658"</f>
        <v>39.250658</v>
      </c>
      <c r="R10405" t="str">
        <f>"21.158894"</f>
        <v>21.158894</v>
      </c>
      <c r="S10405" t="s">
        <v>26</v>
      </c>
    </row>
    <row r="10406" spans="1:19" x14ac:dyDescent="0.3">
      <c r="A10406" t="s">
        <v>18804</v>
      </c>
      <c r="B10406" t="s">
        <v>19430</v>
      </c>
      <c r="C10406" t="s">
        <v>19563</v>
      </c>
      <c r="D10406" t="s">
        <v>18805</v>
      </c>
      <c r="E10406" t="s">
        <v>18806</v>
      </c>
      <c r="F10406" t="s">
        <v>18806</v>
      </c>
      <c r="G10406" t="s">
        <v>18806</v>
      </c>
      <c r="H10406" t="s">
        <v>859</v>
      </c>
      <c r="I10406" t="s">
        <v>860</v>
      </c>
      <c r="J10406" t="str">
        <f>"9040261"</f>
        <v>9040261</v>
      </c>
      <c r="K10406">
        <v>2681023066</v>
      </c>
      <c r="L10406">
        <v>2681023066</v>
      </c>
      <c r="M10406" t="s">
        <v>19564</v>
      </c>
      <c r="N10406" t="s">
        <v>18809</v>
      </c>
      <c r="O10406" t="s">
        <v>19565</v>
      </c>
      <c r="P10406">
        <v>47100</v>
      </c>
      <c r="Q10406" t="str">
        <f>"39.157914"</f>
        <v>39.157914</v>
      </c>
      <c r="R10406" t="str">
        <f>"20.988292"</f>
        <v>20.988292</v>
      </c>
      <c r="S10406" t="s">
        <v>26</v>
      </c>
    </row>
    <row r="10407" spans="1:19" x14ac:dyDescent="0.3">
      <c r="A10407" t="s">
        <v>18804</v>
      </c>
      <c r="B10407" t="s">
        <v>19430</v>
      </c>
      <c r="C10407" t="s">
        <v>19571</v>
      </c>
      <c r="D10407" t="s">
        <v>18805</v>
      </c>
      <c r="E10407" t="s">
        <v>18831</v>
      </c>
      <c r="F10407" t="s">
        <v>15629</v>
      </c>
      <c r="G10407" t="s">
        <v>19570</v>
      </c>
      <c r="H10407" t="s">
        <v>859</v>
      </c>
      <c r="I10407" t="s">
        <v>860</v>
      </c>
      <c r="J10407" t="str">
        <f>"9040275"</f>
        <v>9040275</v>
      </c>
      <c r="K10407">
        <v>2681077736</v>
      </c>
      <c r="L10407">
        <v>2681077736</v>
      </c>
      <c r="M10407" t="s">
        <v>19572</v>
      </c>
      <c r="N10407" t="s">
        <v>19573</v>
      </c>
      <c r="O10407" t="s">
        <v>19574</v>
      </c>
      <c r="P10407">
        <v>47044</v>
      </c>
      <c r="Q10407" t="str">
        <f>"39.145617"</f>
        <v>39.145617</v>
      </c>
      <c r="R10407" t="str">
        <f>"21.220259"</f>
        <v>21.220259</v>
      </c>
      <c r="S10407" t="s">
        <v>26</v>
      </c>
    </row>
    <row r="10408" spans="1:19" x14ac:dyDescent="0.3">
      <c r="A10408" t="s">
        <v>18804</v>
      </c>
      <c r="B10408" t="s">
        <v>19430</v>
      </c>
      <c r="C10408" t="s">
        <v>19575</v>
      </c>
      <c r="D10408" t="s">
        <v>18805</v>
      </c>
      <c r="E10408" t="s">
        <v>18831</v>
      </c>
      <c r="F10408" t="s">
        <v>15629</v>
      </c>
      <c r="G10408" t="s">
        <v>12466</v>
      </c>
      <c r="H10408" t="s">
        <v>859</v>
      </c>
      <c r="I10408" t="s">
        <v>860</v>
      </c>
      <c r="J10408" t="str">
        <f>"9040229"</f>
        <v>9040229</v>
      </c>
      <c r="K10408">
        <v>2681067491</v>
      </c>
      <c r="L10408">
        <v>2681067491</v>
      </c>
      <c r="M10408" t="s">
        <v>19576</v>
      </c>
      <c r="N10408" t="s">
        <v>12469</v>
      </c>
      <c r="O10408" t="s">
        <v>12469</v>
      </c>
      <c r="P10408">
        <v>47048</v>
      </c>
      <c r="Q10408" t="str">
        <f>"39.165472"</f>
        <v>39.165472</v>
      </c>
      <c r="R10408" t="str">
        <f>"21.112913"</f>
        <v>21.112913</v>
      </c>
      <c r="S10408" t="s">
        <v>26</v>
      </c>
    </row>
    <row r="10409" spans="1:19" x14ac:dyDescent="0.3">
      <c r="A10409" t="s">
        <v>18804</v>
      </c>
      <c r="B10409" t="s">
        <v>19430</v>
      </c>
      <c r="C10409" t="s">
        <v>19583</v>
      </c>
      <c r="D10409" t="s">
        <v>18805</v>
      </c>
      <c r="E10409" t="s">
        <v>18885</v>
      </c>
      <c r="F10409" t="s">
        <v>18903</v>
      </c>
      <c r="G10409" t="s">
        <v>18903</v>
      </c>
      <c r="H10409" t="s">
        <v>859</v>
      </c>
      <c r="I10409" t="s">
        <v>860</v>
      </c>
      <c r="J10409" t="str">
        <f>"9040265"</f>
        <v>9040265</v>
      </c>
      <c r="K10409">
        <v>2681061380</v>
      </c>
      <c r="L10409">
        <v>2681061380</v>
      </c>
      <c r="M10409" t="s">
        <v>19584</v>
      </c>
      <c r="N10409" t="s">
        <v>19585</v>
      </c>
      <c r="O10409" t="s">
        <v>19586</v>
      </c>
      <c r="P10409">
        <v>47100</v>
      </c>
      <c r="Q10409" t="str">
        <f>"39.129251"</f>
        <v>39.129251</v>
      </c>
      <c r="R10409" t="str">
        <f>"21.042415"</f>
        <v>21.042415</v>
      </c>
      <c r="S10409" t="s">
        <v>26</v>
      </c>
    </row>
    <row r="10410" spans="1:19" x14ac:dyDescent="0.3">
      <c r="A10410" t="s">
        <v>18804</v>
      </c>
      <c r="B10410" t="s">
        <v>19430</v>
      </c>
      <c r="C10410" t="s">
        <v>19588</v>
      </c>
      <c r="D10410" t="s">
        <v>18805</v>
      </c>
      <c r="E10410" t="s">
        <v>18831</v>
      </c>
      <c r="F10410" t="s">
        <v>19526</v>
      </c>
      <c r="G10410" t="s">
        <v>19587</v>
      </c>
      <c r="H10410" t="s">
        <v>859</v>
      </c>
      <c r="I10410" t="s">
        <v>860</v>
      </c>
      <c r="J10410" t="str">
        <f>"9040208"</f>
        <v>9040208</v>
      </c>
      <c r="K10410">
        <v>2685061392</v>
      </c>
      <c r="L10410">
        <v>2685061392</v>
      </c>
      <c r="M10410" t="s">
        <v>19589</v>
      </c>
      <c r="N10410" t="s">
        <v>19590</v>
      </c>
      <c r="O10410" t="s">
        <v>19590</v>
      </c>
      <c r="P10410">
        <v>47047</v>
      </c>
      <c r="Q10410" t="str">
        <f>"39.208825"</f>
        <v>39.208825</v>
      </c>
      <c r="R10410" t="str">
        <f>"21.345860"</f>
        <v>21.345860</v>
      </c>
      <c r="S10410" t="s">
        <v>57</v>
      </c>
    </row>
    <row r="10411" spans="1:19" x14ac:dyDescent="0.3">
      <c r="A10411" t="s">
        <v>18804</v>
      </c>
      <c r="B10411" t="s">
        <v>19430</v>
      </c>
      <c r="C10411" t="s">
        <v>19600</v>
      </c>
      <c r="D10411" t="s">
        <v>18805</v>
      </c>
      <c r="E10411" t="s">
        <v>18831</v>
      </c>
      <c r="F10411" t="s">
        <v>15629</v>
      </c>
      <c r="G10411" t="s">
        <v>18860</v>
      </c>
      <c r="H10411" t="s">
        <v>859</v>
      </c>
      <c r="I10411" t="s">
        <v>860</v>
      </c>
      <c r="J10411" t="str">
        <f>"9040241"</f>
        <v>9040241</v>
      </c>
      <c r="K10411">
        <v>2681067446</v>
      </c>
      <c r="M10411" t="s">
        <v>19601</v>
      </c>
      <c r="N10411" t="s">
        <v>18863</v>
      </c>
      <c r="O10411" t="s">
        <v>19602</v>
      </c>
      <c r="P10411">
        <v>47048</v>
      </c>
      <c r="Q10411" t="str">
        <f>"39.195289"</f>
        <v>39.195289</v>
      </c>
      <c r="R10411" t="str">
        <f>"21.130798"</f>
        <v>21.130798</v>
      </c>
      <c r="S10411" t="s">
        <v>26</v>
      </c>
    </row>
    <row r="10412" spans="1:19" x14ac:dyDescent="0.3">
      <c r="A10412" t="s">
        <v>18804</v>
      </c>
      <c r="B10412" t="s">
        <v>19430</v>
      </c>
      <c r="C10412" t="s">
        <v>19616</v>
      </c>
      <c r="D10412" t="s">
        <v>18805</v>
      </c>
      <c r="E10412" t="s">
        <v>18878</v>
      </c>
      <c r="F10412" t="s">
        <v>18956</v>
      </c>
      <c r="G10412" t="s">
        <v>19513</v>
      </c>
      <c r="H10412" t="s">
        <v>859</v>
      </c>
      <c r="I10412" t="s">
        <v>860</v>
      </c>
      <c r="J10412" t="str">
        <f>"9520961"</f>
        <v>9520961</v>
      </c>
      <c r="K10412">
        <v>2685071543</v>
      </c>
      <c r="L10412">
        <v>2685070008</v>
      </c>
      <c r="M10412" t="s">
        <v>19617</v>
      </c>
      <c r="N10412" t="s">
        <v>19618</v>
      </c>
      <c r="O10412" t="s">
        <v>19618</v>
      </c>
      <c r="P10412">
        <v>47043</v>
      </c>
      <c r="Q10412" t="str">
        <f>"39.396753"</f>
        <v>39.396753</v>
      </c>
      <c r="R10412" t="str">
        <f>"21.080123"</f>
        <v>21.080123</v>
      </c>
      <c r="S10412" t="s">
        <v>26</v>
      </c>
    </row>
    <row r="10413" spans="1:19" x14ac:dyDescent="0.3">
      <c r="A10413" t="s">
        <v>18804</v>
      </c>
      <c r="B10413" t="s">
        <v>19430</v>
      </c>
      <c r="C10413" t="s">
        <v>19620</v>
      </c>
      <c r="D10413" t="s">
        <v>18805</v>
      </c>
      <c r="E10413" t="s">
        <v>18806</v>
      </c>
      <c r="F10413" t="s">
        <v>18806</v>
      </c>
      <c r="G10413" t="s">
        <v>18806</v>
      </c>
      <c r="H10413" t="s">
        <v>859</v>
      </c>
      <c r="I10413" t="s">
        <v>860</v>
      </c>
      <c r="J10413" t="str">
        <f>"9040006"</f>
        <v>9040006</v>
      </c>
      <c r="K10413">
        <v>2681027223</v>
      </c>
      <c r="L10413">
        <v>2681027223</v>
      </c>
      <c r="M10413" t="s">
        <v>19621</v>
      </c>
      <c r="N10413" t="s">
        <v>18809</v>
      </c>
      <c r="O10413" t="s">
        <v>19622</v>
      </c>
      <c r="P10413">
        <v>47132</v>
      </c>
      <c r="Q10413" t="str">
        <f>"39.164941"</f>
        <v>39.164941</v>
      </c>
      <c r="R10413" t="str">
        <f>"20.989391"</f>
        <v>20.989391</v>
      </c>
      <c r="S10413" t="s">
        <v>26</v>
      </c>
    </row>
    <row r="10414" spans="1:19" x14ac:dyDescent="0.3">
      <c r="A10414" t="s">
        <v>18804</v>
      </c>
      <c r="B10414" t="s">
        <v>19430</v>
      </c>
      <c r="C10414" t="s">
        <v>19632</v>
      </c>
      <c r="D10414" t="s">
        <v>18805</v>
      </c>
      <c r="E10414" t="s">
        <v>18831</v>
      </c>
      <c r="F10414" t="s">
        <v>15629</v>
      </c>
      <c r="G10414" t="s">
        <v>19625</v>
      </c>
      <c r="H10414" t="s">
        <v>859</v>
      </c>
      <c r="I10414" t="s">
        <v>860</v>
      </c>
      <c r="J10414" t="str">
        <f>"9040253"</f>
        <v>9040253</v>
      </c>
      <c r="K10414">
        <v>2681076249</v>
      </c>
      <c r="M10414" t="s">
        <v>19633</v>
      </c>
      <c r="N10414" t="s">
        <v>19634</v>
      </c>
      <c r="O10414" t="s">
        <v>19634</v>
      </c>
      <c r="P10414">
        <v>47048</v>
      </c>
      <c r="Q10414" t="str">
        <f>"39.171933"</f>
        <v>39.171933</v>
      </c>
      <c r="R10414" t="str">
        <f>"21.262562"</f>
        <v>21.262562</v>
      </c>
      <c r="S10414" t="s">
        <v>57</v>
      </c>
    </row>
    <row r="10415" spans="1:19" x14ac:dyDescent="0.3">
      <c r="A10415" t="s">
        <v>18804</v>
      </c>
      <c r="B10415" t="s">
        <v>19430</v>
      </c>
      <c r="C10415" t="s">
        <v>19648</v>
      </c>
      <c r="D10415" t="s">
        <v>18805</v>
      </c>
      <c r="E10415" t="s">
        <v>18806</v>
      </c>
      <c r="F10415" t="s">
        <v>18897</v>
      </c>
      <c r="G10415" t="s">
        <v>18898</v>
      </c>
      <c r="H10415" t="s">
        <v>859</v>
      </c>
      <c r="I10415" t="s">
        <v>860</v>
      </c>
      <c r="J10415" t="str">
        <f>"9040123"</f>
        <v>9040123</v>
      </c>
      <c r="K10415">
        <v>2681041245</v>
      </c>
      <c r="L10415">
        <v>2681041245</v>
      </c>
      <c r="M10415" t="s">
        <v>19649</v>
      </c>
      <c r="N10415" t="s">
        <v>18929</v>
      </c>
      <c r="O10415" t="s">
        <v>18901</v>
      </c>
      <c r="P10415">
        <v>47100</v>
      </c>
      <c r="Q10415" t="str">
        <f>"39.086636"</f>
        <v>39.086636</v>
      </c>
      <c r="R10415" t="str">
        <f>"20.926251"</f>
        <v>20.926251</v>
      </c>
      <c r="S10415" t="s">
        <v>26</v>
      </c>
    </row>
    <row r="10416" spans="1:19" x14ac:dyDescent="0.3">
      <c r="A10416" t="s">
        <v>18804</v>
      </c>
      <c r="B10416" t="s">
        <v>19430</v>
      </c>
      <c r="C10416" t="s">
        <v>19655</v>
      </c>
      <c r="D10416" t="s">
        <v>18805</v>
      </c>
      <c r="E10416" t="s">
        <v>18806</v>
      </c>
      <c r="F10416" t="s">
        <v>18806</v>
      </c>
      <c r="G10416" t="s">
        <v>18806</v>
      </c>
      <c r="H10416" t="s">
        <v>859</v>
      </c>
      <c r="I10416" t="s">
        <v>860</v>
      </c>
      <c r="J10416" t="str">
        <f>"9040211"</f>
        <v>9040211</v>
      </c>
      <c r="K10416">
        <v>2681077337</v>
      </c>
      <c r="L10416">
        <v>2681077337</v>
      </c>
      <c r="M10416" t="s">
        <v>19656</v>
      </c>
      <c r="N10416" t="s">
        <v>18809</v>
      </c>
      <c r="O10416" t="s">
        <v>19657</v>
      </c>
      <c r="P10416">
        <v>47132</v>
      </c>
      <c r="Q10416" t="str">
        <f>"39.156412"</f>
        <v>39.156412</v>
      </c>
      <c r="R10416" t="str">
        <f>"20.979832"</f>
        <v>20.979832</v>
      </c>
      <c r="S10416" t="s">
        <v>26</v>
      </c>
    </row>
    <row r="10417" spans="1:19" x14ac:dyDescent="0.3">
      <c r="A10417" t="s">
        <v>18804</v>
      </c>
      <c r="B10417" t="s">
        <v>19430</v>
      </c>
      <c r="C10417" t="s">
        <v>19676</v>
      </c>
      <c r="D10417" t="s">
        <v>18805</v>
      </c>
      <c r="E10417" t="s">
        <v>18878</v>
      </c>
      <c r="F10417" t="s">
        <v>18879</v>
      </c>
      <c r="G10417" t="s">
        <v>12047</v>
      </c>
      <c r="H10417" t="s">
        <v>859</v>
      </c>
      <c r="I10417" t="s">
        <v>860</v>
      </c>
      <c r="J10417" t="str">
        <f>"9520960"</f>
        <v>9520960</v>
      </c>
      <c r="K10417">
        <v>2685071379</v>
      </c>
      <c r="L10417">
        <v>2685071379</v>
      </c>
      <c r="M10417" t="s">
        <v>19677</v>
      </c>
      <c r="N10417" t="s">
        <v>7912</v>
      </c>
      <c r="O10417" t="s">
        <v>7912</v>
      </c>
      <c r="P10417">
        <v>47045</v>
      </c>
      <c r="Q10417" t="str">
        <f>"39.376169"</f>
        <v>39.376169</v>
      </c>
      <c r="R10417" t="str">
        <f>"21.115741"</f>
        <v>21.115741</v>
      </c>
      <c r="S10417" t="s">
        <v>57</v>
      </c>
    </row>
    <row r="10418" spans="1:19" x14ac:dyDescent="0.3">
      <c r="A10418" t="s">
        <v>18804</v>
      </c>
      <c r="B10418" t="s">
        <v>19430</v>
      </c>
      <c r="C10418" t="s">
        <v>19690</v>
      </c>
      <c r="D10418" t="s">
        <v>18805</v>
      </c>
      <c r="E10418" t="s">
        <v>18806</v>
      </c>
      <c r="F10418" t="s">
        <v>18806</v>
      </c>
      <c r="G10418" t="s">
        <v>18934</v>
      </c>
      <c r="H10418" t="s">
        <v>859</v>
      </c>
      <c r="I10418" t="s">
        <v>860</v>
      </c>
      <c r="J10418" t="str">
        <f>"9040061"</f>
        <v>9040061</v>
      </c>
      <c r="K10418">
        <v>2681070080</v>
      </c>
      <c r="L10418">
        <v>2681070080</v>
      </c>
      <c r="M10418" t="s">
        <v>19691</v>
      </c>
      <c r="N10418" t="s">
        <v>19666</v>
      </c>
      <c r="O10418" t="s">
        <v>19666</v>
      </c>
      <c r="P10418">
        <v>47100</v>
      </c>
      <c r="Q10418" t="str">
        <f>"39.136531"</f>
        <v>39.136531</v>
      </c>
      <c r="R10418" t="str">
        <f>"20.959499"</f>
        <v>20.959499</v>
      </c>
      <c r="S10418" t="s">
        <v>26</v>
      </c>
    </row>
    <row r="10419" spans="1:19" x14ac:dyDescent="0.3">
      <c r="A10419" t="s">
        <v>18804</v>
      </c>
      <c r="B10419" t="s">
        <v>19430</v>
      </c>
      <c r="C10419" t="s">
        <v>19695</v>
      </c>
      <c r="D10419" t="s">
        <v>18805</v>
      </c>
      <c r="E10419" t="s">
        <v>18806</v>
      </c>
      <c r="F10419" t="s">
        <v>4671</v>
      </c>
      <c r="G10419" t="s">
        <v>19694</v>
      </c>
      <c r="H10419" t="s">
        <v>859</v>
      </c>
      <c r="I10419" t="s">
        <v>860</v>
      </c>
      <c r="J10419" t="str">
        <f>"9040148"</f>
        <v>9040148</v>
      </c>
      <c r="K10419">
        <v>2681042848</v>
      </c>
      <c r="M10419" t="s">
        <v>19696</v>
      </c>
      <c r="N10419" t="s">
        <v>19697</v>
      </c>
      <c r="O10419" t="s">
        <v>19697</v>
      </c>
      <c r="P10419">
        <v>47100</v>
      </c>
      <c r="Q10419" t="str">
        <f>"39.129230"</f>
        <v>39.129230</v>
      </c>
      <c r="R10419" t="str">
        <f>"20.920571"</f>
        <v>20.920571</v>
      </c>
      <c r="S10419" t="s">
        <v>26</v>
      </c>
    </row>
    <row r="10420" spans="1:19" x14ac:dyDescent="0.3">
      <c r="A10420" t="s">
        <v>18804</v>
      </c>
      <c r="B10420" t="s">
        <v>19430</v>
      </c>
      <c r="C10420" t="s">
        <v>19704</v>
      </c>
      <c r="D10420" t="s">
        <v>18805</v>
      </c>
      <c r="E10420" t="s">
        <v>18806</v>
      </c>
      <c r="F10420" t="s">
        <v>18897</v>
      </c>
      <c r="G10420" t="s">
        <v>19686</v>
      </c>
      <c r="H10420" t="s">
        <v>859</v>
      </c>
      <c r="I10420" t="s">
        <v>860</v>
      </c>
      <c r="J10420" t="str">
        <f>"9040251"</f>
        <v>9040251</v>
      </c>
      <c r="K10420">
        <v>2681306773</v>
      </c>
      <c r="M10420" t="s">
        <v>19705</v>
      </c>
      <c r="N10420" t="s">
        <v>19689</v>
      </c>
      <c r="O10420" t="s">
        <v>19689</v>
      </c>
      <c r="P10420">
        <v>47100</v>
      </c>
      <c r="Q10420" t="str">
        <f>"39.103422"</f>
        <v>39.103422</v>
      </c>
      <c r="R10420" t="str">
        <f>"20.949130"</f>
        <v>20.949130</v>
      </c>
      <c r="S10420" t="s">
        <v>26</v>
      </c>
    </row>
    <row r="10421" spans="1:19" x14ac:dyDescent="0.3">
      <c r="A10421" t="s">
        <v>18804</v>
      </c>
      <c r="B10421" t="s">
        <v>19430</v>
      </c>
      <c r="C10421" t="s">
        <v>19706</v>
      </c>
      <c r="D10421" t="s">
        <v>18805</v>
      </c>
      <c r="E10421" t="s">
        <v>18806</v>
      </c>
      <c r="F10421" t="s">
        <v>18806</v>
      </c>
      <c r="G10421" t="s">
        <v>18806</v>
      </c>
      <c r="H10421" t="s">
        <v>859</v>
      </c>
      <c r="I10421" t="s">
        <v>860</v>
      </c>
      <c r="J10421" t="str">
        <f>"9040009"</f>
        <v>9040009</v>
      </c>
      <c r="K10421">
        <v>2681026617</v>
      </c>
      <c r="L10421">
        <v>2681026617</v>
      </c>
      <c r="M10421" t="s">
        <v>19707</v>
      </c>
      <c r="N10421" t="s">
        <v>18809</v>
      </c>
      <c r="O10421" t="s">
        <v>19708</v>
      </c>
      <c r="P10421">
        <v>47100</v>
      </c>
      <c r="Q10421" t="str">
        <f>"39.151494"</f>
        <v>39.151494</v>
      </c>
      <c r="R10421" t="str">
        <f>"20.981551"</f>
        <v>20.981551</v>
      </c>
      <c r="S10421" t="s">
        <v>26</v>
      </c>
    </row>
    <row r="10422" spans="1:19" x14ac:dyDescent="0.3">
      <c r="A10422" t="s">
        <v>18804</v>
      </c>
      <c r="B10422" t="s">
        <v>19430</v>
      </c>
      <c r="C10422" t="s">
        <v>19709</v>
      </c>
      <c r="D10422" t="s">
        <v>18805</v>
      </c>
      <c r="E10422" t="s">
        <v>18806</v>
      </c>
      <c r="F10422" t="s">
        <v>18806</v>
      </c>
      <c r="G10422" t="s">
        <v>18806</v>
      </c>
      <c r="H10422" t="s">
        <v>859</v>
      </c>
      <c r="I10422" t="s">
        <v>1102</v>
      </c>
      <c r="J10422" t="str">
        <f>"9040282"</f>
        <v>9040282</v>
      </c>
      <c r="K10422">
        <v>2681070245</v>
      </c>
      <c r="L10422">
        <v>2681070245</v>
      </c>
      <c r="M10422" t="s">
        <v>19710</v>
      </c>
      <c r="N10422" t="s">
        <v>18805</v>
      </c>
      <c r="O10422" t="s">
        <v>19711</v>
      </c>
      <c r="P10422">
        <v>47100</v>
      </c>
      <c r="Q10422" t="str">
        <f>"39.156931"</f>
        <v>39.156931</v>
      </c>
      <c r="R10422" t="str">
        <f>"20.979684"</f>
        <v>20.979684</v>
      </c>
      <c r="S10422" t="s">
        <v>26</v>
      </c>
    </row>
    <row r="10423" spans="1:19" x14ac:dyDescent="0.3">
      <c r="A10423" t="s">
        <v>18804</v>
      </c>
      <c r="B10423" t="s">
        <v>19430</v>
      </c>
      <c r="C10423" t="s">
        <v>19716</v>
      </c>
      <c r="D10423" t="s">
        <v>18805</v>
      </c>
      <c r="E10423" t="s">
        <v>18878</v>
      </c>
      <c r="F10423" t="s">
        <v>18879</v>
      </c>
      <c r="G10423" t="s">
        <v>19544</v>
      </c>
      <c r="H10423" t="s">
        <v>859</v>
      </c>
      <c r="I10423" t="s">
        <v>860</v>
      </c>
      <c r="J10423" t="str">
        <f>"9040233"</f>
        <v>9040233</v>
      </c>
      <c r="K10423">
        <v>2685022982</v>
      </c>
      <c r="M10423" t="s">
        <v>19717</v>
      </c>
      <c r="N10423" t="s">
        <v>19547</v>
      </c>
      <c r="O10423" t="s">
        <v>19547</v>
      </c>
      <c r="P10423">
        <v>47045</v>
      </c>
      <c r="Q10423" t="str">
        <f>"39.374978"</f>
        <v>39.374978</v>
      </c>
      <c r="R10423" t="str">
        <f>"21.216516"</f>
        <v>21.216516</v>
      </c>
      <c r="S10423" t="s">
        <v>57</v>
      </c>
    </row>
    <row r="10424" spans="1:19" x14ac:dyDescent="0.3">
      <c r="A10424" t="s">
        <v>18804</v>
      </c>
      <c r="B10424" t="s">
        <v>19430</v>
      </c>
      <c r="C10424" t="s">
        <v>19718</v>
      </c>
      <c r="D10424" t="s">
        <v>18805</v>
      </c>
      <c r="E10424" t="s">
        <v>18806</v>
      </c>
      <c r="F10424" t="s">
        <v>19470</v>
      </c>
      <c r="G10424" t="s">
        <v>19670</v>
      </c>
      <c r="H10424" t="s">
        <v>859</v>
      </c>
      <c r="I10424" t="s">
        <v>860</v>
      </c>
      <c r="J10424" t="str">
        <f>"9040237"</f>
        <v>9040237</v>
      </c>
      <c r="K10424">
        <v>2683071295</v>
      </c>
      <c r="M10424" t="s">
        <v>19719</v>
      </c>
      <c r="N10424" t="s">
        <v>19673</v>
      </c>
      <c r="O10424" t="s">
        <v>19673</v>
      </c>
      <c r="P10424">
        <v>47046</v>
      </c>
      <c r="Q10424" t="str">
        <f>"39.325265"</f>
        <v>39.325265</v>
      </c>
      <c r="R10424" t="str">
        <f>"20.998951"</f>
        <v>20.998951</v>
      </c>
      <c r="S10424" t="s">
        <v>26</v>
      </c>
    </row>
    <row r="10425" spans="1:19" x14ac:dyDescent="0.3">
      <c r="A10425" t="s">
        <v>18804</v>
      </c>
      <c r="B10425" t="s">
        <v>19730</v>
      </c>
      <c r="C10425" t="s">
        <v>19731</v>
      </c>
      <c r="D10425" t="s">
        <v>18811</v>
      </c>
      <c r="E10425" t="s">
        <v>18812</v>
      </c>
      <c r="F10425" t="s">
        <v>18813</v>
      </c>
      <c r="G10425" t="s">
        <v>18812</v>
      </c>
      <c r="H10425" t="s">
        <v>859</v>
      </c>
      <c r="I10425" t="s">
        <v>860</v>
      </c>
      <c r="J10425" t="str">
        <f>"9180251"</f>
        <v>9180251</v>
      </c>
      <c r="K10425">
        <v>2665024725</v>
      </c>
      <c r="L10425">
        <v>2665024725</v>
      </c>
      <c r="M10425" t="s">
        <v>19732</v>
      </c>
      <c r="N10425" t="s">
        <v>18812</v>
      </c>
      <c r="O10425" t="s">
        <v>19733</v>
      </c>
      <c r="P10425">
        <v>46100</v>
      </c>
      <c r="Q10425" t="str">
        <f>"39.497787"</f>
        <v>39.497787</v>
      </c>
      <c r="R10425" t="str">
        <f>"20.264923"</f>
        <v>20.264923</v>
      </c>
      <c r="S10425" t="s">
        <v>26</v>
      </c>
    </row>
    <row r="10426" spans="1:19" x14ac:dyDescent="0.3">
      <c r="A10426" t="s">
        <v>18804</v>
      </c>
      <c r="B10426" t="s">
        <v>19730</v>
      </c>
      <c r="C10426" t="s">
        <v>19734</v>
      </c>
      <c r="D10426" t="s">
        <v>18811</v>
      </c>
      <c r="E10426" t="s">
        <v>18812</v>
      </c>
      <c r="F10426" t="s">
        <v>18813</v>
      </c>
      <c r="G10426" t="s">
        <v>18812</v>
      </c>
      <c r="H10426" t="s">
        <v>859</v>
      </c>
      <c r="I10426" t="s">
        <v>860</v>
      </c>
      <c r="J10426" t="str">
        <f>"9180004"</f>
        <v>9180004</v>
      </c>
      <c r="K10426">
        <v>2665024700</v>
      </c>
      <c r="M10426" t="s">
        <v>19735</v>
      </c>
      <c r="N10426" t="s">
        <v>18812</v>
      </c>
      <c r="O10426" t="s">
        <v>19736</v>
      </c>
      <c r="P10426">
        <v>46100</v>
      </c>
      <c r="Q10426" t="str">
        <f>"39.510644"</f>
        <v>39.510644</v>
      </c>
      <c r="R10426" t="str">
        <f>"20.261945"</f>
        <v>20.261945</v>
      </c>
      <c r="S10426" t="s">
        <v>26</v>
      </c>
    </row>
    <row r="10427" spans="1:19" x14ac:dyDescent="0.3">
      <c r="A10427" t="s">
        <v>18804</v>
      </c>
      <c r="B10427" t="s">
        <v>19730</v>
      </c>
      <c r="C10427" t="s">
        <v>19737</v>
      </c>
      <c r="D10427" t="s">
        <v>18811</v>
      </c>
      <c r="E10427" t="s">
        <v>18812</v>
      </c>
      <c r="F10427" t="s">
        <v>18813</v>
      </c>
      <c r="G10427" t="s">
        <v>18812</v>
      </c>
      <c r="H10427" t="s">
        <v>859</v>
      </c>
      <c r="I10427" t="s">
        <v>860</v>
      </c>
      <c r="J10427" t="str">
        <f>"9180215"</f>
        <v>9180215</v>
      </c>
      <c r="K10427">
        <v>2665024440</v>
      </c>
      <c r="M10427" t="s">
        <v>19738</v>
      </c>
      <c r="N10427" t="s">
        <v>18812</v>
      </c>
      <c r="O10427" t="s">
        <v>19739</v>
      </c>
      <c r="P10427">
        <v>46100</v>
      </c>
      <c r="Q10427" t="str">
        <f>"39.511642"</f>
        <v>39.511642</v>
      </c>
      <c r="R10427" t="str">
        <f>"20.261905"</f>
        <v>20.261905</v>
      </c>
      <c r="S10427" t="s">
        <v>26</v>
      </c>
    </row>
    <row r="10428" spans="1:19" x14ac:dyDescent="0.3">
      <c r="A10428" t="s">
        <v>18804</v>
      </c>
      <c r="B10428" t="s">
        <v>19730</v>
      </c>
      <c r="C10428" t="s">
        <v>19740</v>
      </c>
      <c r="D10428" t="s">
        <v>18811</v>
      </c>
      <c r="E10428" t="s">
        <v>18812</v>
      </c>
      <c r="F10428" t="s">
        <v>18813</v>
      </c>
      <c r="G10428" t="s">
        <v>18812</v>
      </c>
      <c r="H10428" t="s">
        <v>859</v>
      </c>
      <c r="I10428" t="s">
        <v>860</v>
      </c>
      <c r="J10428" t="str">
        <f>"9180236"</f>
        <v>9180236</v>
      </c>
      <c r="K10428">
        <v>2665024549</v>
      </c>
      <c r="L10428">
        <v>2665024549</v>
      </c>
      <c r="M10428" t="s">
        <v>19741</v>
      </c>
      <c r="N10428" t="s">
        <v>18812</v>
      </c>
      <c r="O10428" t="s">
        <v>19742</v>
      </c>
      <c r="P10428">
        <v>46100</v>
      </c>
      <c r="Q10428" t="str">
        <f>"39.497752"</f>
        <v>39.497752</v>
      </c>
      <c r="R10428" t="str">
        <f>"20.264610"</f>
        <v>20.264610</v>
      </c>
      <c r="S10428" t="s">
        <v>26</v>
      </c>
    </row>
    <row r="10429" spans="1:19" x14ac:dyDescent="0.3">
      <c r="A10429" t="s">
        <v>18804</v>
      </c>
      <c r="B10429" t="s">
        <v>19730</v>
      </c>
      <c r="C10429" t="s">
        <v>19743</v>
      </c>
      <c r="D10429" t="s">
        <v>18811</v>
      </c>
      <c r="E10429" t="s">
        <v>18812</v>
      </c>
      <c r="F10429" t="s">
        <v>18813</v>
      </c>
      <c r="G10429" t="s">
        <v>18812</v>
      </c>
      <c r="H10429" t="s">
        <v>859</v>
      </c>
      <c r="I10429" t="s">
        <v>860</v>
      </c>
      <c r="J10429" t="str">
        <f>"9180204"</f>
        <v>9180204</v>
      </c>
      <c r="K10429">
        <v>2665400098</v>
      </c>
      <c r="L10429">
        <v>2665400098</v>
      </c>
      <c r="M10429" t="s">
        <v>19744</v>
      </c>
      <c r="N10429" t="s">
        <v>18997</v>
      </c>
      <c r="O10429" t="s">
        <v>19745</v>
      </c>
      <c r="P10429">
        <v>46100</v>
      </c>
      <c r="Q10429" t="str">
        <f>"39.527089"</f>
        <v>39.527089</v>
      </c>
      <c r="R10429" t="str">
        <f>"20.269487"</f>
        <v>20.269487</v>
      </c>
      <c r="S10429" t="s">
        <v>26</v>
      </c>
    </row>
    <row r="10430" spans="1:19" x14ac:dyDescent="0.3">
      <c r="A10430" t="s">
        <v>18804</v>
      </c>
      <c r="B10430" t="s">
        <v>19730</v>
      </c>
      <c r="C10430" t="s">
        <v>19748</v>
      </c>
      <c r="D10430" t="s">
        <v>18811</v>
      </c>
      <c r="E10430" t="s">
        <v>18981</v>
      </c>
      <c r="F10430" t="s">
        <v>19746</v>
      </c>
      <c r="G10430" t="s">
        <v>19747</v>
      </c>
      <c r="H10430" t="s">
        <v>859</v>
      </c>
      <c r="I10430" t="s">
        <v>860</v>
      </c>
      <c r="J10430" t="str">
        <f>"9180146"</f>
        <v>9180146</v>
      </c>
      <c r="K10430">
        <v>2664051305</v>
      </c>
      <c r="L10430">
        <v>2664051305</v>
      </c>
      <c r="M10430" t="s">
        <v>19749</v>
      </c>
      <c r="N10430" t="s">
        <v>19750</v>
      </c>
      <c r="O10430" t="s">
        <v>19751</v>
      </c>
      <c r="P10430">
        <v>46300</v>
      </c>
      <c r="Q10430" t="str">
        <f>"39.615596"</f>
        <v>39.615596</v>
      </c>
      <c r="R10430" t="str">
        <f>"20.222867"</f>
        <v>20.222867</v>
      </c>
      <c r="S10430" t="s">
        <v>26</v>
      </c>
    </row>
    <row r="10431" spans="1:19" x14ac:dyDescent="0.3">
      <c r="A10431" t="s">
        <v>18804</v>
      </c>
      <c r="B10431" t="s">
        <v>19730</v>
      </c>
      <c r="C10431" t="s">
        <v>19752</v>
      </c>
      <c r="D10431" t="s">
        <v>18811</v>
      </c>
      <c r="E10431" t="s">
        <v>18812</v>
      </c>
      <c r="F10431" t="s">
        <v>19014</v>
      </c>
      <c r="G10431" t="s">
        <v>19015</v>
      </c>
      <c r="H10431" t="s">
        <v>859</v>
      </c>
      <c r="I10431" t="s">
        <v>860</v>
      </c>
      <c r="J10431" t="str">
        <f>"9180028"</f>
        <v>9180028</v>
      </c>
      <c r="K10431">
        <v>2665071696</v>
      </c>
      <c r="M10431" t="s">
        <v>19753</v>
      </c>
      <c r="N10431" t="s">
        <v>19015</v>
      </c>
      <c r="O10431" t="s">
        <v>19020</v>
      </c>
      <c r="P10431">
        <v>46100</v>
      </c>
      <c r="Q10431" t="str">
        <f>"39.453056"</f>
        <v>39.453056</v>
      </c>
      <c r="R10431" t="str">
        <f>"20.276729"</f>
        <v>20.276729</v>
      </c>
      <c r="S10431" t="s">
        <v>26</v>
      </c>
    </row>
    <row r="10432" spans="1:19" x14ac:dyDescent="0.3">
      <c r="A10432" t="s">
        <v>18804</v>
      </c>
      <c r="B10432" t="s">
        <v>19730</v>
      </c>
      <c r="C10432" t="s">
        <v>19755</v>
      </c>
      <c r="D10432" t="s">
        <v>18811</v>
      </c>
      <c r="E10432" t="s">
        <v>18812</v>
      </c>
      <c r="F10432" t="s">
        <v>18813</v>
      </c>
      <c r="G10432" t="s">
        <v>19754</v>
      </c>
      <c r="H10432" t="s">
        <v>859</v>
      </c>
      <c r="I10432" t="s">
        <v>860</v>
      </c>
      <c r="J10432" t="str">
        <f>"9180263"</f>
        <v>9180263</v>
      </c>
      <c r="K10432">
        <v>2665021336</v>
      </c>
      <c r="L10432">
        <v>2665021336</v>
      </c>
      <c r="M10432" t="s">
        <v>19756</v>
      </c>
      <c r="N10432" t="s">
        <v>19757</v>
      </c>
      <c r="O10432" t="s">
        <v>19758</v>
      </c>
      <c r="P10432">
        <v>46100</v>
      </c>
      <c r="Q10432" t="str">
        <f>"39.497984"</f>
        <v>39.497984</v>
      </c>
      <c r="R10432" t="str">
        <f>"20.270859"</f>
        <v>20.270859</v>
      </c>
      <c r="S10432" t="s">
        <v>26</v>
      </c>
    </row>
    <row r="10433" spans="1:19" x14ac:dyDescent="0.3">
      <c r="A10433" t="s">
        <v>18804</v>
      </c>
      <c r="B10433" t="s">
        <v>19730</v>
      </c>
      <c r="C10433" t="s">
        <v>19759</v>
      </c>
      <c r="D10433" t="s">
        <v>18811</v>
      </c>
      <c r="E10433" t="s">
        <v>18812</v>
      </c>
      <c r="F10433" t="s">
        <v>18813</v>
      </c>
      <c r="G10433" t="s">
        <v>18965</v>
      </c>
      <c r="H10433" t="s">
        <v>859</v>
      </c>
      <c r="I10433" t="s">
        <v>860</v>
      </c>
      <c r="J10433" t="str">
        <f>"9180026"</f>
        <v>9180026</v>
      </c>
      <c r="K10433">
        <v>2665029578</v>
      </c>
      <c r="L10433">
        <v>2665029578</v>
      </c>
      <c r="M10433" t="s">
        <v>19760</v>
      </c>
      <c r="N10433" t="s">
        <v>18965</v>
      </c>
      <c r="O10433" t="s">
        <v>18968</v>
      </c>
      <c r="P10433">
        <v>46100</v>
      </c>
      <c r="Q10433" t="str">
        <f>"39.431359"</f>
        <v>39.431359</v>
      </c>
      <c r="R10433" t="str">
        <f>"20.258757"</f>
        <v>20.258757</v>
      </c>
      <c r="S10433" t="s">
        <v>26</v>
      </c>
    </row>
    <row r="10434" spans="1:19" x14ac:dyDescent="0.3">
      <c r="A10434" t="s">
        <v>18804</v>
      </c>
      <c r="B10434" t="s">
        <v>19730</v>
      </c>
      <c r="C10434" t="s">
        <v>19761</v>
      </c>
      <c r="D10434" t="s">
        <v>18811</v>
      </c>
      <c r="E10434" t="s">
        <v>18812</v>
      </c>
      <c r="F10434" t="s">
        <v>12024</v>
      </c>
      <c r="G10434" t="s">
        <v>12024</v>
      </c>
      <c r="H10434" t="s">
        <v>859</v>
      </c>
      <c r="I10434" t="s">
        <v>860</v>
      </c>
      <c r="J10434" t="str">
        <f>"9180050"</f>
        <v>9180050</v>
      </c>
      <c r="K10434">
        <v>2665091097</v>
      </c>
      <c r="L10434">
        <v>2665091287</v>
      </c>
      <c r="M10434" t="s">
        <v>19762</v>
      </c>
      <c r="N10434" t="s">
        <v>12024</v>
      </c>
      <c r="O10434" t="s">
        <v>19052</v>
      </c>
      <c r="P10434">
        <v>46100</v>
      </c>
      <c r="Q10434" t="str">
        <f>"39.369320"</f>
        <v>39.369320</v>
      </c>
      <c r="R10434" t="str">
        <f>"20.301473"</f>
        <v>20.301473</v>
      </c>
      <c r="S10434" t="s">
        <v>26</v>
      </c>
    </row>
    <row r="10435" spans="1:19" x14ac:dyDescent="0.3">
      <c r="A10435" t="s">
        <v>18804</v>
      </c>
      <c r="B10435" t="s">
        <v>19730</v>
      </c>
      <c r="C10435" t="s">
        <v>19764</v>
      </c>
      <c r="D10435" t="s">
        <v>18811</v>
      </c>
      <c r="E10435" t="s">
        <v>16264</v>
      </c>
      <c r="F10435" t="s">
        <v>18976</v>
      </c>
      <c r="G10435" t="s">
        <v>19763</v>
      </c>
      <c r="H10435" t="s">
        <v>859</v>
      </c>
      <c r="I10435" t="s">
        <v>860</v>
      </c>
      <c r="J10435" t="str">
        <f>"9180078"</f>
        <v>9180078</v>
      </c>
      <c r="K10435">
        <v>2666051611</v>
      </c>
      <c r="L10435">
        <v>2666051611</v>
      </c>
      <c r="M10435" t="s">
        <v>19765</v>
      </c>
      <c r="N10435" t="s">
        <v>19763</v>
      </c>
      <c r="O10435" t="s">
        <v>19766</v>
      </c>
      <c r="P10435">
        <v>46200</v>
      </c>
      <c r="Q10435" t="str">
        <f>"39.388806"</f>
        <v>39.388806</v>
      </c>
      <c r="R10435" t="str">
        <f>"20.481740"</f>
        <v>20.481740</v>
      </c>
      <c r="S10435" t="s">
        <v>26</v>
      </c>
    </row>
    <row r="10436" spans="1:19" x14ac:dyDescent="0.3">
      <c r="A10436" t="s">
        <v>18804</v>
      </c>
      <c r="B10436" t="s">
        <v>19730</v>
      </c>
      <c r="C10436" t="s">
        <v>19767</v>
      </c>
      <c r="D10436" t="s">
        <v>18811</v>
      </c>
      <c r="E10436" t="s">
        <v>16264</v>
      </c>
      <c r="F10436" t="s">
        <v>19025</v>
      </c>
      <c r="G10436" t="s">
        <v>19026</v>
      </c>
      <c r="H10436" t="s">
        <v>859</v>
      </c>
      <c r="I10436" t="s">
        <v>860</v>
      </c>
      <c r="J10436" t="str">
        <f>"9180068"</f>
        <v>9180068</v>
      </c>
      <c r="K10436">
        <v>2666041445</v>
      </c>
      <c r="M10436" t="s">
        <v>19768</v>
      </c>
      <c r="N10436" t="s">
        <v>19769</v>
      </c>
      <c r="O10436" t="s">
        <v>19770</v>
      </c>
      <c r="P10436">
        <v>46200</v>
      </c>
      <c r="Q10436" t="str">
        <f>"39.359657"</f>
        <v>39.359657</v>
      </c>
      <c r="R10436" t="str">
        <f>"20.561478"</f>
        <v>20.561478</v>
      </c>
      <c r="S10436" t="s">
        <v>26</v>
      </c>
    </row>
    <row r="10437" spans="1:19" x14ac:dyDescent="0.3">
      <c r="A10437" t="s">
        <v>18804</v>
      </c>
      <c r="B10437" t="s">
        <v>19730</v>
      </c>
      <c r="C10437" t="s">
        <v>19771</v>
      </c>
      <c r="D10437" t="s">
        <v>18811</v>
      </c>
      <c r="E10437" t="s">
        <v>18812</v>
      </c>
      <c r="F10437" t="s">
        <v>18813</v>
      </c>
      <c r="G10437" t="s">
        <v>19754</v>
      </c>
      <c r="H10437" t="s">
        <v>859</v>
      </c>
      <c r="I10437" t="s">
        <v>860</v>
      </c>
      <c r="J10437" t="str">
        <f>"9180017"</f>
        <v>9180017</v>
      </c>
      <c r="K10437">
        <v>2665025180</v>
      </c>
      <c r="M10437" t="s">
        <v>19772</v>
      </c>
      <c r="N10437" t="s">
        <v>19754</v>
      </c>
      <c r="O10437" t="s">
        <v>19773</v>
      </c>
      <c r="P10437">
        <v>46100</v>
      </c>
      <c r="Q10437" t="str">
        <f>"39.496462"</f>
        <v>39.496462</v>
      </c>
      <c r="R10437" t="str">
        <f>"20.275212"</f>
        <v>20.275212</v>
      </c>
      <c r="S10437" t="s">
        <v>26</v>
      </c>
    </row>
    <row r="10438" spans="1:19" x14ac:dyDescent="0.3">
      <c r="A10438" t="s">
        <v>18804</v>
      </c>
      <c r="B10438" t="s">
        <v>19730</v>
      </c>
      <c r="C10438" t="s">
        <v>19775</v>
      </c>
      <c r="D10438" t="s">
        <v>18811</v>
      </c>
      <c r="E10438" t="s">
        <v>16264</v>
      </c>
      <c r="F10438" t="s">
        <v>18976</v>
      </c>
      <c r="G10438" t="s">
        <v>19774</v>
      </c>
      <c r="H10438" t="s">
        <v>859</v>
      </c>
      <c r="I10438" t="s">
        <v>860</v>
      </c>
      <c r="J10438" t="str">
        <f>"9180075"</f>
        <v>9180075</v>
      </c>
      <c r="K10438">
        <v>2666051111</v>
      </c>
      <c r="L10438">
        <v>2666051111</v>
      </c>
      <c r="M10438" t="s">
        <v>19776</v>
      </c>
      <c r="N10438" t="s">
        <v>19777</v>
      </c>
      <c r="O10438" t="s">
        <v>19778</v>
      </c>
      <c r="P10438">
        <v>46200</v>
      </c>
      <c r="Q10438" t="str">
        <f>"39.413577"</f>
        <v>39.413577</v>
      </c>
      <c r="R10438" t="str">
        <f>"20.553121"</f>
        <v>20.553121</v>
      </c>
      <c r="S10438" t="s">
        <v>26</v>
      </c>
    </row>
    <row r="10439" spans="1:19" x14ac:dyDescent="0.3">
      <c r="A10439" t="s">
        <v>18804</v>
      </c>
      <c r="B10439" t="s">
        <v>19730</v>
      </c>
      <c r="C10439" t="s">
        <v>19780</v>
      </c>
      <c r="D10439" t="s">
        <v>18811</v>
      </c>
      <c r="E10439" t="s">
        <v>16264</v>
      </c>
      <c r="F10439" t="s">
        <v>18976</v>
      </c>
      <c r="G10439" t="s">
        <v>19779</v>
      </c>
      <c r="H10439" t="s">
        <v>859</v>
      </c>
      <c r="I10439" t="s">
        <v>860</v>
      </c>
      <c r="J10439" t="str">
        <f>"9180070"</f>
        <v>9180070</v>
      </c>
      <c r="K10439">
        <v>2666024683</v>
      </c>
      <c r="M10439" t="s">
        <v>19781</v>
      </c>
      <c r="N10439" t="s">
        <v>19782</v>
      </c>
      <c r="O10439" t="s">
        <v>19782</v>
      </c>
      <c r="P10439">
        <v>46200</v>
      </c>
      <c r="Q10439" t="str">
        <f>"39.465361"</f>
        <v>39.465361</v>
      </c>
      <c r="R10439" t="str">
        <f>"20.425666"</f>
        <v>20.425666</v>
      </c>
      <c r="S10439" t="s">
        <v>26</v>
      </c>
    </row>
    <row r="10440" spans="1:19" x14ac:dyDescent="0.3">
      <c r="A10440" t="s">
        <v>18804</v>
      </c>
      <c r="B10440" t="s">
        <v>19730</v>
      </c>
      <c r="C10440" t="s">
        <v>19791</v>
      </c>
      <c r="D10440" t="s">
        <v>18811</v>
      </c>
      <c r="E10440" t="s">
        <v>16264</v>
      </c>
      <c r="F10440" t="s">
        <v>19025</v>
      </c>
      <c r="G10440" t="s">
        <v>19790</v>
      </c>
      <c r="H10440" t="s">
        <v>859</v>
      </c>
      <c r="I10440" t="s">
        <v>860</v>
      </c>
      <c r="J10440" t="str">
        <f>"9180036"</f>
        <v>9180036</v>
      </c>
      <c r="K10440">
        <v>2666041540</v>
      </c>
      <c r="L10440">
        <v>2666041540</v>
      </c>
      <c r="M10440" t="s">
        <v>19792</v>
      </c>
      <c r="N10440" t="s">
        <v>18976</v>
      </c>
      <c r="O10440" t="s">
        <v>19793</v>
      </c>
      <c r="P10440">
        <v>46200</v>
      </c>
      <c r="Q10440" t="str">
        <f>"39.326372"</f>
        <v>39.326372</v>
      </c>
      <c r="R10440" t="str">
        <f>"20.605680"</f>
        <v>20.605680</v>
      </c>
      <c r="S10440" t="s">
        <v>26</v>
      </c>
    </row>
    <row r="10441" spans="1:19" x14ac:dyDescent="0.3">
      <c r="A10441" t="s">
        <v>18804</v>
      </c>
      <c r="B10441" t="s">
        <v>19730</v>
      </c>
      <c r="C10441" t="s">
        <v>19794</v>
      </c>
      <c r="D10441" t="s">
        <v>18811</v>
      </c>
      <c r="E10441" t="s">
        <v>18812</v>
      </c>
      <c r="F10441" t="s">
        <v>18813</v>
      </c>
      <c r="G10441" t="s">
        <v>18812</v>
      </c>
      <c r="H10441" t="s">
        <v>859</v>
      </c>
      <c r="I10441" t="s">
        <v>860</v>
      </c>
      <c r="J10441" t="str">
        <f>"9180002"</f>
        <v>9180002</v>
      </c>
      <c r="K10441">
        <v>2665024435</v>
      </c>
      <c r="L10441">
        <v>2665024435</v>
      </c>
      <c r="M10441" t="s">
        <v>19795</v>
      </c>
      <c r="N10441" t="s">
        <v>18812</v>
      </c>
      <c r="O10441" t="s">
        <v>19796</v>
      </c>
      <c r="P10441">
        <v>46100</v>
      </c>
      <c r="Q10441" t="str">
        <f>"39.502337"</f>
        <v>39.502337</v>
      </c>
      <c r="R10441" t="str">
        <f>"20.268788"</f>
        <v>20.268788</v>
      </c>
      <c r="S10441" t="s">
        <v>26</v>
      </c>
    </row>
    <row r="10442" spans="1:19" x14ac:dyDescent="0.3">
      <c r="A10442" t="s">
        <v>18804</v>
      </c>
      <c r="B10442" t="s">
        <v>19730</v>
      </c>
      <c r="C10442" t="s">
        <v>19797</v>
      </c>
      <c r="D10442" t="s">
        <v>18811</v>
      </c>
      <c r="E10442" t="s">
        <v>16264</v>
      </c>
      <c r="F10442" t="s">
        <v>18976</v>
      </c>
      <c r="G10442" t="s">
        <v>18976</v>
      </c>
      <c r="H10442" t="s">
        <v>859</v>
      </c>
      <c r="I10442" t="s">
        <v>860</v>
      </c>
      <c r="J10442" t="str">
        <f>"9180232"</f>
        <v>9180232</v>
      </c>
      <c r="K10442">
        <v>2666022158</v>
      </c>
      <c r="L10442">
        <v>2666029037</v>
      </c>
      <c r="M10442" t="s">
        <v>19798</v>
      </c>
      <c r="N10442" t="s">
        <v>18976</v>
      </c>
      <c r="O10442" t="s">
        <v>19799</v>
      </c>
      <c r="P10442">
        <v>46200</v>
      </c>
      <c r="Q10442" t="str">
        <f>"39.463669"</f>
        <v>39.463669</v>
      </c>
      <c r="R10442" t="str">
        <f>"20.514809"</f>
        <v>20.514809</v>
      </c>
      <c r="S10442" t="s">
        <v>26</v>
      </c>
    </row>
    <row r="10443" spans="1:19" x14ac:dyDescent="0.3">
      <c r="A10443" t="s">
        <v>18804</v>
      </c>
      <c r="B10443" t="s">
        <v>19730</v>
      </c>
      <c r="C10443" t="s">
        <v>19800</v>
      </c>
      <c r="D10443" t="s">
        <v>18811</v>
      </c>
      <c r="E10443" t="s">
        <v>16264</v>
      </c>
      <c r="F10443" t="s">
        <v>18976</v>
      </c>
      <c r="G10443" t="s">
        <v>18976</v>
      </c>
      <c r="H10443" t="s">
        <v>859</v>
      </c>
      <c r="I10443" t="s">
        <v>860</v>
      </c>
      <c r="J10443" t="str">
        <f>"9180249"</f>
        <v>9180249</v>
      </c>
      <c r="K10443">
        <v>2666024841</v>
      </c>
      <c r="L10443">
        <v>2666024841</v>
      </c>
      <c r="M10443" t="s">
        <v>19801</v>
      </c>
      <c r="N10443" t="s">
        <v>18976</v>
      </c>
      <c r="O10443" t="s">
        <v>19802</v>
      </c>
      <c r="P10443">
        <v>46200</v>
      </c>
      <c r="Q10443" t="str">
        <f>"39.463417"</f>
        <v>39.463417</v>
      </c>
      <c r="R10443" t="str">
        <f>"20.514247"</f>
        <v>20.514247</v>
      </c>
      <c r="S10443" t="s">
        <v>26</v>
      </c>
    </row>
    <row r="10444" spans="1:19" x14ac:dyDescent="0.3">
      <c r="A10444" t="s">
        <v>18804</v>
      </c>
      <c r="B10444" t="s">
        <v>19730</v>
      </c>
      <c r="C10444" t="s">
        <v>19805</v>
      </c>
      <c r="D10444" t="s">
        <v>18811</v>
      </c>
      <c r="E10444" t="s">
        <v>16264</v>
      </c>
      <c r="F10444" t="s">
        <v>18976</v>
      </c>
      <c r="G10444" t="s">
        <v>18976</v>
      </c>
      <c r="H10444" t="s">
        <v>859</v>
      </c>
      <c r="I10444" t="s">
        <v>860</v>
      </c>
      <c r="J10444" t="str">
        <f>"9180059"</f>
        <v>9180059</v>
      </c>
      <c r="K10444">
        <v>2666029038</v>
      </c>
      <c r="L10444">
        <v>2666029038</v>
      </c>
      <c r="M10444" t="s">
        <v>19806</v>
      </c>
      <c r="N10444" t="s">
        <v>18976</v>
      </c>
      <c r="O10444" t="s">
        <v>19807</v>
      </c>
      <c r="P10444">
        <v>46200</v>
      </c>
      <c r="Q10444" t="str">
        <f>"39.462590"</f>
        <v>39.462590</v>
      </c>
      <c r="R10444" t="str">
        <f>"20.510448"</f>
        <v>20.510448</v>
      </c>
      <c r="S10444" t="s">
        <v>26</v>
      </c>
    </row>
    <row r="10445" spans="1:19" x14ac:dyDescent="0.3">
      <c r="A10445" t="s">
        <v>18804</v>
      </c>
      <c r="B10445" t="s">
        <v>19730</v>
      </c>
      <c r="C10445" t="s">
        <v>19812</v>
      </c>
      <c r="D10445" t="s">
        <v>18811</v>
      </c>
      <c r="E10445" t="s">
        <v>18812</v>
      </c>
      <c r="F10445" t="s">
        <v>19014</v>
      </c>
      <c r="G10445" t="s">
        <v>19014</v>
      </c>
      <c r="H10445" t="s">
        <v>859</v>
      </c>
      <c r="I10445" t="s">
        <v>860</v>
      </c>
      <c r="J10445" t="str">
        <f>"9180203"</f>
        <v>9180203</v>
      </c>
      <c r="K10445">
        <v>2665093534</v>
      </c>
      <c r="M10445" t="s">
        <v>19813</v>
      </c>
      <c r="N10445" t="s">
        <v>19014</v>
      </c>
      <c r="O10445" t="s">
        <v>19814</v>
      </c>
      <c r="P10445">
        <v>46100</v>
      </c>
      <c r="Q10445" t="str">
        <f>"39.407953"</f>
        <v>39.407953</v>
      </c>
      <c r="R10445" t="str">
        <f>"20.244037"</f>
        <v>20.244037</v>
      </c>
      <c r="S10445" t="s">
        <v>26</v>
      </c>
    </row>
    <row r="10446" spans="1:19" x14ac:dyDescent="0.3">
      <c r="A10446" t="s">
        <v>18804</v>
      </c>
      <c r="B10446" t="s">
        <v>19730</v>
      </c>
      <c r="C10446" t="s">
        <v>19815</v>
      </c>
      <c r="D10446" t="s">
        <v>18811</v>
      </c>
      <c r="E10446" t="s">
        <v>18981</v>
      </c>
      <c r="F10446" t="s">
        <v>18981</v>
      </c>
      <c r="G10446" t="s">
        <v>18981</v>
      </c>
      <c r="H10446" t="s">
        <v>859</v>
      </c>
      <c r="I10446" t="s">
        <v>860</v>
      </c>
      <c r="J10446" t="str">
        <f>"9180137"</f>
        <v>9180137</v>
      </c>
      <c r="K10446">
        <v>2664022201</v>
      </c>
      <c r="L10446">
        <v>2664022201</v>
      </c>
      <c r="M10446" t="s">
        <v>19816</v>
      </c>
      <c r="N10446" t="s">
        <v>18985</v>
      </c>
      <c r="O10446" t="s">
        <v>19817</v>
      </c>
      <c r="P10446">
        <v>46300</v>
      </c>
      <c r="Q10446" t="str">
        <f>"39.600063"</f>
        <v>39.600063</v>
      </c>
      <c r="R10446" t="str">
        <f>"20.310283"</f>
        <v>20.310283</v>
      </c>
      <c r="S10446" t="s">
        <v>26</v>
      </c>
    </row>
    <row r="10447" spans="1:19" x14ac:dyDescent="0.3">
      <c r="A10447" t="s">
        <v>18804</v>
      </c>
      <c r="B10447" t="s">
        <v>19730</v>
      </c>
      <c r="C10447" t="s">
        <v>19818</v>
      </c>
      <c r="D10447" t="s">
        <v>18811</v>
      </c>
      <c r="E10447" t="s">
        <v>18981</v>
      </c>
      <c r="F10447" t="s">
        <v>18981</v>
      </c>
      <c r="G10447" t="s">
        <v>18981</v>
      </c>
      <c r="H10447" t="s">
        <v>859</v>
      </c>
      <c r="I10447" t="s">
        <v>860</v>
      </c>
      <c r="J10447" t="str">
        <f>"9180139"</f>
        <v>9180139</v>
      </c>
      <c r="K10447">
        <v>2664022410</v>
      </c>
      <c r="M10447" t="s">
        <v>19819</v>
      </c>
      <c r="N10447" t="s">
        <v>18985</v>
      </c>
      <c r="O10447" t="s">
        <v>19820</v>
      </c>
      <c r="P10447">
        <v>46300</v>
      </c>
      <c r="Q10447" t="str">
        <f>"39.600332"</f>
        <v>39.600332</v>
      </c>
      <c r="R10447" t="str">
        <f>"20.307769"</f>
        <v>20.307769</v>
      </c>
      <c r="S10447" t="s">
        <v>26</v>
      </c>
    </row>
    <row r="10448" spans="1:19" x14ac:dyDescent="0.3">
      <c r="A10448" t="s">
        <v>18804</v>
      </c>
      <c r="B10448" t="s">
        <v>19730</v>
      </c>
      <c r="C10448" t="s">
        <v>19822</v>
      </c>
      <c r="D10448" t="s">
        <v>18811</v>
      </c>
      <c r="E10448" t="s">
        <v>18812</v>
      </c>
      <c r="F10448" t="s">
        <v>18999</v>
      </c>
      <c r="G10448" t="s">
        <v>19821</v>
      </c>
      <c r="H10448" t="s">
        <v>859</v>
      </c>
      <c r="I10448" t="s">
        <v>860</v>
      </c>
      <c r="J10448" t="str">
        <f>"9180043"</f>
        <v>9180043</v>
      </c>
      <c r="K10448">
        <v>2665095575</v>
      </c>
      <c r="L10448">
        <v>2665095285</v>
      </c>
      <c r="M10448" t="s">
        <v>19823</v>
      </c>
      <c r="N10448" t="s">
        <v>19821</v>
      </c>
      <c r="O10448" t="s">
        <v>19824</v>
      </c>
      <c r="P10448">
        <v>46100</v>
      </c>
      <c r="Q10448" t="str">
        <f>"39.431359"</f>
        <v>39.431359</v>
      </c>
      <c r="R10448" t="str">
        <f>"20.258757"</f>
        <v>20.258757</v>
      </c>
      <c r="S10448" t="s">
        <v>26</v>
      </c>
    </row>
    <row r="10449" spans="1:19" x14ac:dyDescent="0.3">
      <c r="A10449" t="s">
        <v>18804</v>
      </c>
      <c r="B10449" t="s">
        <v>19730</v>
      </c>
      <c r="C10449" t="s">
        <v>19825</v>
      </c>
      <c r="D10449" t="s">
        <v>18811</v>
      </c>
      <c r="E10449" t="s">
        <v>18812</v>
      </c>
      <c r="F10449" t="s">
        <v>18813</v>
      </c>
      <c r="G10449" t="s">
        <v>18812</v>
      </c>
      <c r="H10449" t="s">
        <v>859</v>
      </c>
      <c r="I10449" t="s">
        <v>860</v>
      </c>
      <c r="J10449" t="str">
        <f>"9180247"</f>
        <v>9180247</v>
      </c>
      <c r="K10449">
        <v>2665027117</v>
      </c>
      <c r="L10449">
        <v>2665027117</v>
      </c>
      <c r="M10449" t="s">
        <v>19826</v>
      </c>
      <c r="N10449" t="s">
        <v>18812</v>
      </c>
      <c r="O10449" t="s">
        <v>19827</v>
      </c>
      <c r="P10449">
        <v>46100</v>
      </c>
      <c r="Q10449" t="str">
        <f>"39.511775"</f>
        <v>39.511775</v>
      </c>
      <c r="R10449" t="str">
        <f>"20.259418"</f>
        <v>20.259418</v>
      </c>
      <c r="S10449" t="s">
        <v>26</v>
      </c>
    </row>
    <row r="10450" spans="1:19" x14ac:dyDescent="0.3">
      <c r="A10450" t="s">
        <v>18804</v>
      </c>
      <c r="B10450" t="s">
        <v>19730</v>
      </c>
      <c r="C10450" t="s">
        <v>19828</v>
      </c>
      <c r="D10450" t="s">
        <v>18811</v>
      </c>
      <c r="E10450" t="s">
        <v>18812</v>
      </c>
      <c r="F10450" t="s">
        <v>18813</v>
      </c>
      <c r="G10450" t="s">
        <v>18812</v>
      </c>
      <c r="H10450" t="s">
        <v>859</v>
      </c>
      <c r="I10450" t="s">
        <v>860</v>
      </c>
      <c r="J10450" t="str">
        <f>"9180248"</f>
        <v>9180248</v>
      </c>
      <c r="K10450">
        <v>2665024133</v>
      </c>
      <c r="L10450">
        <v>2665024133</v>
      </c>
      <c r="M10450" t="s">
        <v>19829</v>
      </c>
      <c r="N10450" t="s">
        <v>18812</v>
      </c>
      <c r="O10450" t="s">
        <v>19830</v>
      </c>
      <c r="P10450">
        <v>46100</v>
      </c>
      <c r="Q10450" t="str">
        <f>"39.510088"</f>
        <v>39.510088</v>
      </c>
      <c r="R10450" t="str">
        <f>"20.262165"</f>
        <v>20.262165</v>
      </c>
      <c r="S10450" t="s">
        <v>26</v>
      </c>
    </row>
    <row r="10451" spans="1:19" x14ac:dyDescent="0.3">
      <c r="A10451" t="s">
        <v>18804</v>
      </c>
      <c r="B10451" t="s">
        <v>19730</v>
      </c>
      <c r="C10451" t="s">
        <v>19831</v>
      </c>
      <c r="D10451" t="s">
        <v>18811</v>
      </c>
      <c r="E10451" t="s">
        <v>18981</v>
      </c>
      <c r="F10451" t="s">
        <v>19746</v>
      </c>
      <c r="G10451" t="s">
        <v>19746</v>
      </c>
      <c r="H10451" t="s">
        <v>859</v>
      </c>
      <c r="I10451" t="s">
        <v>860</v>
      </c>
      <c r="J10451" t="str">
        <f>"9180188"</f>
        <v>9180188</v>
      </c>
      <c r="K10451">
        <v>2664051183</v>
      </c>
      <c r="M10451" t="s">
        <v>19832</v>
      </c>
      <c r="N10451" t="s">
        <v>19746</v>
      </c>
      <c r="O10451" t="s">
        <v>19833</v>
      </c>
      <c r="P10451">
        <v>46300</v>
      </c>
      <c r="Q10451" t="str">
        <f>"39.622554"</f>
        <v>39.622554</v>
      </c>
      <c r="R10451" t="str">
        <f>"20.195749"</f>
        <v>20.195749</v>
      </c>
      <c r="S10451" t="s">
        <v>26</v>
      </c>
    </row>
    <row r="10452" spans="1:19" x14ac:dyDescent="0.3">
      <c r="A10452" t="s">
        <v>18804</v>
      </c>
      <c r="B10452" t="s">
        <v>19730</v>
      </c>
      <c r="C10452" t="s">
        <v>19835</v>
      </c>
      <c r="D10452" t="s">
        <v>18811</v>
      </c>
      <c r="E10452" t="s">
        <v>18812</v>
      </c>
      <c r="F10452" t="s">
        <v>19834</v>
      </c>
      <c r="G10452" t="s">
        <v>19834</v>
      </c>
      <c r="H10452" t="s">
        <v>859</v>
      </c>
      <c r="I10452" t="s">
        <v>860</v>
      </c>
      <c r="J10452" t="str">
        <f>"9180124"</f>
        <v>9180124</v>
      </c>
      <c r="K10452">
        <v>2665092036</v>
      </c>
      <c r="M10452" t="s">
        <v>19836</v>
      </c>
      <c r="N10452" t="s">
        <v>19834</v>
      </c>
      <c r="O10452" t="s">
        <v>19837</v>
      </c>
      <c r="P10452">
        <v>46100</v>
      </c>
      <c r="Q10452" t="str">
        <f>"39.547635"</f>
        <v>39.547635</v>
      </c>
      <c r="R10452" t="str">
        <f>"20.325223"</f>
        <v>20.325223</v>
      </c>
      <c r="S10452" t="s">
        <v>26</v>
      </c>
    </row>
    <row r="10453" spans="1:19" x14ac:dyDescent="0.3">
      <c r="A10453" t="s">
        <v>18804</v>
      </c>
      <c r="B10453" t="s">
        <v>19730</v>
      </c>
      <c r="C10453" t="s">
        <v>19840</v>
      </c>
      <c r="D10453" t="s">
        <v>18811</v>
      </c>
      <c r="E10453" t="s">
        <v>18981</v>
      </c>
      <c r="F10453" t="s">
        <v>19746</v>
      </c>
      <c r="G10453" t="s">
        <v>19839</v>
      </c>
      <c r="H10453" t="s">
        <v>859</v>
      </c>
      <c r="I10453" t="s">
        <v>860</v>
      </c>
      <c r="J10453" t="str">
        <f>"9180160"</f>
        <v>9180160</v>
      </c>
      <c r="K10453">
        <v>2665028634</v>
      </c>
      <c r="M10453" t="s">
        <v>19841</v>
      </c>
      <c r="N10453" t="s">
        <v>19839</v>
      </c>
      <c r="O10453" t="s">
        <v>19842</v>
      </c>
      <c r="P10453">
        <v>46100</v>
      </c>
      <c r="Q10453" t="str">
        <f>"39.560067"</f>
        <v>39.560067</v>
      </c>
      <c r="R10453" t="str">
        <f>"20.196657"</f>
        <v>20.196657</v>
      </c>
      <c r="S10453" t="s">
        <v>26</v>
      </c>
    </row>
    <row r="10454" spans="1:19" x14ac:dyDescent="0.3">
      <c r="A10454" t="s">
        <v>18804</v>
      </c>
      <c r="B10454" t="s">
        <v>19730</v>
      </c>
      <c r="C10454" t="s">
        <v>19846</v>
      </c>
      <c r="D10454" t="s">
        <v>18811</v>
      </c>
      <c r="E10454" t="s">
        <v>18812</v>
      </c>
      <c r="F10454" t="s">
        <v>18813</v>
      </c>
      <c r="G10454" t="s">
        <v>19845</v>
      </c>
      <c r="H10454" t="s">
        <v>859</v>
      </c>
      <c r="I10454" t="s">
        <v>860</v>
      </c>
      <c r="J10454" t="str">
        <f>"9180023"</f>
        <v>9180023</v>
      </c>
      <c r="K10454">
        <v>2665023767</v>
      </c>
      <c r="L10454">
        <v>2665023767</v>
      </c>
      <c r="M10454" t="s">
        <v>19847</v>
      </c>
      <c r="O10454" t="s">
        <v>19848</v>
      </c>
      <c r="P10454">
        <v>46100</v>
      </c>
      <c r="Q10454" t="str">
        <f>"39.491528"</f>
        <v>39.491528</v>
      </c>
      <c r="R10454" t="str">
        <f>"20.261189"</f>
        <v>20.261189</v>
      </c>
      <c r="S10454" t="s">
        <v>26</v>
      </c>
    </row>
    <row r="10455" spans="1:19" x14ac:dyDescent="0.3">
      <c r="A10455" t="s">
        <v>18804</v>
      </c>
      <c r="B10455" t="s">
        <v>19730</v>
      </c>
      <c r="C10455" t="s">
        <v>19849</v>
      </c>
      <c r="D10455" t="s">
        <v>18811</v>
      </c>
      <c r="E10455" t="s">
        <v>18812</v>
      </c>
      <c r="F10455" t="s">
        <v>18813</v>
      </c>
      <c r="G10455" t="s">
        <v>14076</v>
      </c>
      <c r="H10455" t="s">
        <v>859</v>
      </c>
      <c r="I10455" t="s">
        <v>860</v>
      </c>
      <c r="J10455" t="str">
        <f>"9180018"</f>
        <v>9180018</v>
      </c>
      <c r="K10455">
        <v>2665041249</v>
      </c>
      <c r="M10455" t="s">
        <v>19850</v>
      </c>
      <c r="N10455" t="s">
        <v>15358</v>
      </c>
      <c r="O10455" t="s">
        <v>19851</v>
      </c>
      <c r="P10455">
        <v>46100</v>
      </c>
      <c r="Q10455" t="str">
        <f>"39.557332"</f>
        <v>39.557332</v>
      </c>
      <c r="R10455" t="str">
        <f>"20.279653"</f>
        <v>20.279653</v>
      </c>
      <c r="S10455" t="s">
        <v>26</v>
      </c>
    </row>
    <row r="10456" spans="1:19" x14ac:dyDescent="0.3">
      <c r="A10456" t="s">
        <v>18804</v>
      </c>
      <c r="B10456" t="s">
        <v>19730</v>
      </c>
      <c r="C10456" t="s">
        <v>19857</v>
      </c>
      <c r="D10456" t="s">
        <v>18811</v>
      </c>
      <c r="E10456" t="s">
        <v>18812</v>
      </c>
      <c r="F10456" t="s">
        <v>18813</v>
      </c>
      <c r="G10456" t="s">
        <v>19856</v>
      </c>
      <c r="H10456" t="s">
        <v>859</v>
      </c>
      <c r="I10456" t="s">
        <v>860</v>
      </c>
      <c r="J10456" t="str">
        <f>"9180245"</f>
        <v>9180245</v>
      </c>
      <c r="K10456">
        <v>2665041444</v>
      </c>
      <c r="M10456" t="s">
        <v>19858</v>
      </c>
      <c r="N10456" t="s">
        <v>19856</v>
      </c>
      <c r="O10456" t="s">
        <v>19859</v>
      </c>
      <c r="P10456">
        <v>46100</v>
      </c>
      <c r="Q10456" t="str">
        <f>"39.537086"</f>
        <v>39.537086</v>
      </c>
      <c r="R10456" t="str">
        <f>"20.287153"</f>
        <v>20.287153</v>
      </c>
      <c r="S10456" t="s">
        <v>26</v>
      </c>
    </row>
    <row r="10457" spans="1:19" x14ac:dyDescent="0.3">
      <c r="A10457" t="s">
        <v>18804</v>
      </c>
      <c r="B10457" t="s">
        <v>19730</v>
      </c>
      <c r="C10457" t="s">
        <v>19862</v>
      </c>
      <c r="D10457" t="s">
        <v>18811</v>
      </c>
      <c r="E10457" t="s">
        <v>18812</v>
      </c>
      <c r="F10457" t="s">
        <v>18813</v>
      </c>
      <c r="G10457" t="s">
        <v>18812</v>
      </c>
      <c r="H10457" t="s">
        <v>859</v>
      </c>
      <c r="I10457" t="s">
        <v>1102</v>
      </c>
      <c r="J10457" t="str">
        <f>"9520895"</f>
        <v>9520895</v>
      </c>
      <c r="K10457">
        <v>2665023000</v>
      </c>
      <c r="L10457">
        <v>2665023000</v>
      </c>
      <c r="M10457" t="s">
        <v>19863</v>
      </c>
      <c r="N10457" t="s">
        <v>18816</v>
      </c>
      <c r="O10457" t="s">
        <v>19864</v>
      </c>
      <c r="P10457">
        <v>46100</v>
      </c>
      <c r="Q10457" t="str">
        <f>"39.510644"</f>
        <v>39.510644</v>
      </c>
      <c r="R10457" t="str">
        <f>"20.261945"</f>
        <v>20.261945</v>
      </c>
      <c r="S10457" t="s">
        <v>26</v>
      </c>
    </row>
    <row r="10458" spans="1:19" x14ac:dyDescent="0.3">
      <c r="A10458" t="s">
        <v>18804</v>
      </c>
      <c r="B10458" t="s">
        <v>19730</v>
      </c>
      <c r="C10458" t="s">
        <v>19885</v>
      </c>
      <c r="D10458" t="s">
        <v>18811</v>
      </c>
      <c r="E10458" t="s">
        <v>18812</v>
      </c>
      <c r="F10458" t="s">
        <v>18999</v>
      </c>
      <c r="G10458" t="s">
        <v>18999</v>
      </c>
      <c r="H10458" t="s">
        <v>859</v>
      </c>
      <c r="I10458" t="s">
        <v>860</v>
      </c>
      <c r="J10458" t="str">
        <f>"9180045"</f>
        <v>9180045</v>
      </c>
      <c r="K10458">
        <v>2665094639</v>
      </c>
      <c r="L10458">
        <v>2665094639</v>
      </c>
      <c r="M10458" t="s">
        <v>19886</v>
      </c>
      <c r="N10458" t="s">
        <v>18999</v>
      </c>
      <c r="O10458" t="s">
        <v>19003</v>
      </c>
      <c r="P10458">
        <v>46030</v>
      </c>
      <c r="Q10458" t="str">
        <f>"39.357367"</f>
        <v>39.357367</v>
      </c>
      <c r="R10458" t="str">
        <f>"20.439954"</f>
        <v>20.439954</v>
      </c>
      <c r="S10458" t="s">
        <v>26</v>
      </c>
    </row>
    <row r="10459" spans="1:19" x14ac:dyDescent="0.3">
      <c r="A10459" t="s">
        <v>18804</v>
      </c>
      <c r="B10459" t="s">
        <v>19730</v>
      </c>
      <c r="C10459" t="s">
        <v>19914</v>
      </c>
      <c r="D10459" t="s">
        <v>18811</v>
      </c>
      <c r="E10459" t="s">
        <v>16264</v>
      </c>
      <c r="F10459" t="s">
        <v>18976</v>
      </c>
      <c r="G10459" t="s">
        <v>13744</v>
      </c>
      <c r="H10459" t="s">
        <v>859</v>
      </c>
      <c r="I10459" t="s">
        <v>860</v>
      </c>
      <c r="J10459" t="str">
        <f>"9180201"</f>
        <v>9180201</v>
      </c>
      <c r="K10459">
        <v>2666031001</v>
      </c>
      <c r="L10459">
        <v>2666031240</v>
      </c>
      <c r="M10459" t="s">
        <v>19915</v>
      </c>
      <c r="N10459" t="s">
        <v>19916</v>
      </c>
      <c r="O10459" t="s">
        <v>19917</v>
      </c>
      <c r="P10459">
        <v>46200</v>
      </c>
      <c r="Q10459" t="str">
        <f>"39.523359"</f>
        <v>39.523359</v>
      </c>
      <c r="R10459" t="str">
        <f>"20.433753"</f>
        <v>20.433753</v>
      </c>
      <c r="S10459" t="s">
        <v>26</v>
      </c>
    </row>
    <row r="10460" spans="1:19" x14ac:dyDescent="0.3">
      <c r="A10460" t="s">
        <v>18804</v>
      </c>
      <c r="B10460" t="s">
        <v>19730</v>
      </c>
      <c r="C10460" t="s">
        <v>19918</v>
      </c>
      <c r="D10460" t="s">
        <v>18811</v>
      </c>
      <c r="E10460" t="s">
        <v>16264</v>
      </c>
      <c r="F10460" t="s">
        <v>16264</v>
      </c>
      <c r="G10460" t="s">
        <v>19888</v>
      </c>
      <c r="H10460" t="s">
        <v>859</v>
      </c>
      <c r="I10460" t="s">
        <v>860</v>
      </c>
      <c r="J10460" t="str">
        <f>"9520972"</f>
        <v>9520972</v>
      </c>
      <c r="K10460">
        <v>2666024594</v>
      </c>
      <c r="M10460" t="s">
        <v>19919</v>
      </c>
      <c r="N10460" t="s">
        <v>19891</v>
      </c>
      <c r="O10460" t="s">
        <v>19891</v>
      </c>
      <c r="P10460">
        <v>46200</v>
      </c>
      <c r="Q10460" t="str">
        <f>"39.417781"</f>
        <v>39.417781</v>
      </c>
      <c r="R10460" t="str">
        <f>"20.610674"</f>
        <v>20.610674</v>
      </c>
      <c r="S10460" t="s">
        <v>57</v>
      </c>
    </row>
    <row r="10461" spans="1:19" x14ac:dyDescent="0.3">
      <c r="A10461" t="s">
        <v>18804</v>
      </c>
      <c r="B10461" t="s">
        <v>19730</v>
      </c>
      <c r="C10461" t="s">
        <v>19925</v>
      </c>
      <c r="D10461" t="s">
        <v>18811</v>
      </c>
      <c r="E10461" t="s">
        <v>18981</v>
      </c>
      <c r="F10461" t="s">
        <v>18981</v>
      </c>
      <c r="G10461" t="s">
        <v>19920</v>
      </c>
      <c r="H10461" t="s">
        <v>859</v>
      </c>
      <c r="I10461" t="s">
        <v>860</v>
      </c>
      <c r="J10461" t="str">
        <f>"9521681"</f>
        <v>9521681</v>
      </c>
      <c r="K10461">
        <v>2664041459</v>
      </c>
      <c r="M10461" t="s">
        <v>19926</v>
      </c>
      <c r="N10461" t="s">
        <v>19923</v>
      </c>
      <c r="O10461" t="s">
        <v>19923</v>
      </c>
      <c r="P10461">
        <v>44017</v>
      </c>
      <c r="Q10461" t="str">
        <f>"39.664795"</f>
        <v>39.664795</v>
      </c>
      <c r="R10461" t="str">
        <f>"20.514046"</f>
        <v>20.514046</v>
      </c>
      <c r="S10461" t="s">
        <v>26</v>
      </c>
    </row>
    <row r="10462" spans="1:19" x14ac:dyDescent="0.3">
      <c r="A10462" t="s">
        <v>18804</v>
      </c>
      <c r="B10462" t="s">
        <v>19929</v>
      </c>
      <c r="C10462" t="s">
        <v>19930</v>
      </c>
      <c r="D10462" t="s">
        <v>18818</v>
      </c>
      <c r="E10462" t="s">
        <v>18819</v>
      </c>
      <c r="F10462" t="s">
        <v>18819</v>
      </c>
      <c r="G10462" t="s">
        <v>18819</v>
      </c>
      <c r="H10462" t="s">
        <v>859</v>
      </c>
      <c r="I10462" t="s">
        <v>860</v>
      </c>
      <c r="J10462" t="str">
        <f>"9200492"</f>
        <v>9200492</v>
      </c>
      <c r="K10462">
        <v>2651073288</v>
      </c>
      <c r="L10462">
        <v>2651073288</v>
      </c>
      <c r="M10462" t="s">
        <v>19931</v>
      </c>
      <c r="N10462" t="s">
        <v>18818</v>
      </c>
      <c r="O10462" t="s">
        <v>19932</v>
      </c>
      <c r="P10462">
        <v>45221</v>
      </c>
      <c r="Q10462" t="str">
        <f>"39.650981"</f>
        <v>39.650981</v>
      </c>
      <c r="R10462" t="str">
        <f>"20.861748"</f>
        <v>20.861748</v>
      </c>
      <c r="S10462" t="s">
        <v>26</v>
      </c>
    </row>
    <row r="10463" spans="1:19" x14ac:dyDescent="0.3">
      <c r="A10463" t="s">
        <v>18804</v>
      </c>
      <c r="B10463" t="s">
        <v>19929</v>
      </c>
      <c r="C10463" t="s">
        <v>19933</v>
      </c>
      <c r="D10463" t="s">
        <v>18818</v>
      </c>
      <c r="E10463" t="s">
        <v>18819</v>
      </c>
      <c r="F10463" t="s">
        <v>18819</v>
      </c>
      <c r="G10463" t="s">
        <v>18819</v>
      </c>
      <c r="H10463" t="s">
        <v>859</v>
      </c>
      <c r="I10463" t="s">
        <v>860</v>
      </c>
      <c r="J10463" t="str">
        <f>"9200540"</f>
        <v>9200540</v>
      </c>
      <c r="K10463">
        <v>2651037562</v>
      </c>
      <c r="L10463">
        <v>2651037562</v>
      </c>
      <c r="M10463" t="s">
        <v>19934</v>
      </c>
      <c r="N10463" t="s">
        <v>18818</v>
      </c>
      <c r="O10463" t="s">
        <v>19935</v>
      </c>
      <c r="P10463">
        <v>45333</v>
      </c>
      <c r="Q10463" t="str">
        <f>"39.672299"</f>
        <v>39.672299</v>
      </c>
      <c r="R10463" t="str">
        <f>"20.842124"</f>
        <v>20.842124</v>
      </c>
      <c r="S10463" t="s">
        <v>26</v>
      </c>
    </row>
    <row r="10464" spans="1:19" x14ac:dyDescent="0.3">
      <c r="A10464" t="s">
        <v>18804</v>
      </c>
      <c r="B10464" t="s">
        <v>19929</v>
      </c>
      <c r="C10464" t="s">
        <v>19942</v>
      </c>
      <c r="D10464" t="s">
        <v>18818</v>
      </c>
      <c r="E10464" t="s">
        <v>18819</v>
      </c>
      <c r="F10464" t="s">
        <v>18819</v>
      </c>
      <c r="G10464" t="s">
        <v>18819</v>
      </c>
      <c r="H10464" t="s">
        <v>859</v>
      </c>
      <c r="I10464" t="s">
        <v>860</v>
      </c>
      <c r="J10464" t="str">
        <f>"9200571"</f>
        <v>9200571</v>
      </c>
      <c r="K10464">
        <v>2651064415</v>
      </c>
      <c r="L10464">
        <v>2651075932</v>
      </c>
      <c r="M10464" t="s">
        <v>19943</v>
      </c>
      <c r="N10464" t="s">
        <v>18818</v>
      </c>
      <c r="O10464" t="s">
        <v>19944</v>
      </c>
      <c r="P10464">
        <v>45333</v>
      </c>
      <c r="Q10464" t="str">
        <f>"39.673353"</f>
        <v>39.673353</v>
      </c>
      <c r="R10464" t="str">
        <f>"20.839222"</f>
        <v>20.839222</v>
      </c>
      <c r="S10464" t="s">
        <v>26</v>
      </c>
    </row>
    <row r="10465" spans="1:19" x14ac:dyDescent="0.3">
      <c r="A10465" t="s">
        <v>18804</v>
      </c>
      <c r="B10465" t="s">
        <v>19929</v>
      </c>
      <c r="C10465" t="s">
        <v>19949</v>
      </c>
      <c r="D10465" t="s">
        <v>18818</v>
      </c>
      <c r="E10465" t="s">
        <v>19105</v>
      </c>
      <c r="F10465" t="s">
        <v>19105</v>
      </c>
      <c r="G10465" t="s">
        <v>19106</v>
      </c>
      <c r="H10465" t="s">
        <v>859</v>
      </c>
      <c r="I10465" t="s">
        <v>860</v>
      </c>
      <c r="J10465" t="str">
        <f>"9200297"</f>
        <v>9200297</v>
      </c>
      <c r="K10465">
        <v>2655022566</v>
      </c>
      <c r="L10465">
        <v>2655022566</v>
      </c>
      <c r="M10465" t="s">
        <v>19950</v>
      </c>
      <c r="N10465" t="s">
        <v>19105</v>
      </c>
      <c r="O10465" t="s">
        <v>19109</v>
      </c>
      <c r="P10465">
        <v>44100</v>
      </c>
      <c r="Q10465" t="str">
        <f>"40.043661"</f>
        <v>40.043661</v>
      </c>
      <c r="R10465" t="str">
        <f>"20.743705"</f>
        <v>20.743705</v>
      </c>
      <c r="S10465" t="s">
        <v>26</v>
      </c>
    </row>
    <row r="10466" spans="1:19" x14ac:dyDescent="0.3">
      <c r="A10466" t="s">
        <v>18804</v>
      </c>
      <c r="B10466" t="s">
        <v>19929</v>
      </c>
      <c r="C10466" t="s">
        <v>19952</v>
      </c>
      <c r="D10466" t="s">
        <v>18818</v>
      </c>
      <c r="E10466" t="s">
        <v>19111</v>
      </c>
      <c r="F10466" t="s">
        <v>19293</v>
      </c>
      <c r="G10466" t="s">
        <v>19951</v>
      </c>
      <c r="H10466" t="s">
        <v>859</v>
      </c>
      <c r="I10466" t="s">
        <v>860</v>
      </c>
      <c r="J10466" t="str">
        <f>"9200597"</f>
        <v>9200597</v>
      </c>
      <c r="K10466">
        <v>2658031001</v>
      </c>
      <c r="L10466">
        <v>2658031001</v>
      </c>
      <c r="M10466" t="s">
        <v>19953</v>
      </c>
      <c r="N10466" t="s">
        <v>19951</v>
      </c>
      <c r="O10466" t="s">
        <v>19954</v>
      </c>
      <c r="P10466">
        <v>44003</v>
      </c>
      <c r="Q10466" t="str">
        <f>"39.668537"</f>
        <v>39.668537</v>
      </c>
      <c r="R10466" t="str">
        <f>"20.590789"</f>
        <v>20.590789</v>
      </c>
      <c r="S10466" t="s">
        <v>26</v>
      </c>
    </row>
    <row r="10467" spans="1:19" x14ac:dyDescent="0.3">
      <c r="A10467" t="s">
        <v>18804</v>
      </c>
      <c r="B10467" t="s">
        <v>19929</v>
      </c>
      <c r="C10467" t="s">
        <v>19959</v>
      </c>
      <c r="D10467" t="s">
        <v>18818</v>
      </c>
      <c r="E10467" t="s">
        <v>18819</v>
      </c>
      <c r="F10467" t="s">
        <v>19179</v>
      </c>
      <c r="G10467" t="s">
        <v>19179</v>
      </c>
      <c r="H10467" t="s">
        <v>859</v>
      </c>
      <c r="I10467" t="s">
        <v>860</v>
      </c>
      <c r="J10467" t="str">
        <f>"9200111"</f>
        <v>9200111</v>
      </c>
      <c r="K10467">
        <v>2651048828</v>
      </c>
      <c r="L10467">
        <v>2651048828</v>
      </c>
      <c r="M10467" t="s">
        <v>19960</v>
      </c>
      <c r="N10467" t="s">
        <v>19179</v>
      </c>
      <c r="O10467" t="s">
        <v>19961</v>
      </c>
      <c r="P10467">
        <v>45221</v>
      </c>
      <c r="Q10467" t="str">
        <f>"39.638831"</f>
        <v>39.638831</v>
      </c>
      <c r="R10467" t="str">
        <f>"20.864255"</f>
        <v>20.864255</v>
      </c>
      <c r="S10467" t="s">
        <v>26</v>
      </c>
    </row>
    <row r="10468" spans="1:19" x14ac:dyDescent="0.3">
      <c r="A10468" t="s">
        <v>18804</v>
      </c>
      <c r="B10468" t="s">
        <v>19929</v>
      </c>
      <c r="C10468" t="s">
        <v>19967</v>
      </c>
      <c r="D10468" t="s">
        <v>18818</v>
      </c>
      <c r="E10468" t="s">
        <v>19964</v>
      </c>
      <c r="F10468" t="s">
        <v>19965</v>
      </c>
      <c r="G10468" t="s">
        <v>19966</v>
      </c>
      <c r="H10468" t="s">
        <v>859</v>
      </c>
      <c r="I10468" t="s">
        <v>860</v>
      </c>
      <c r="J10468" t="str">
        <f>"9200434"</f>
        <v>9200434</v>
      </c>
      <c r="K10468">
        <v>2654041577</v>
      </c>
      <c r="L10468">
        <v>2654041577</v>
      </c>
      <c r="M10468" t="s">
        <v>19968</v>
      </c>
      <c r="N10468" t="s">
        <v>19969</v>
      </c>
      <c r="O10468" t="s">
        <v>15977</v>
      </c>
      <c r="P10468">
        <v>44009</v>
      </c>
      <c r="Q10468" t="str">
        <f>"39.389730"</f>
        <v>39.389730</v>
      </c>
      <c r="R10468" t="str">
        <f>"20.700076"</f>
        <v>20.700076</v>
      </c>
      <c r="S10468" t="s">
        <v>26</v>
      </c>
    </row>
    <row r="10469" spans="1:19" x14ac:dyDescent="0.3">
      <c r="A10469" t="s">
        <v>18804</v>
      </c>
      <c r="B10469" t="s">
        <v>19929</v>
      </c>
      <c r="C10469" t="s">
        <v>19970</v>
      </c>
      <c r="D10469" t="s">
        <v>18818</v>
      </c>
      <c r="E10469" t="s">
        <v>19111</v>
      </c>
      <c r="F10469" t="s">
        <v>19138</v>
      </c>
      <c r="G10469" t="s">
        <v>14943</v>
      </c>
      <c r="H10469" t="s">
        <v>859</v>
      </c>
      <c r="I10469" t="s">
        <v>860</v>
      </c>
      <c r="J10469" t="str">
        <f>"9200519"</f>
        <v>9200519</v>
      </c>
      <c r="K10469">
        <v>2651063783</v>
      </c>
      <c r="L10469">
        <v>2651061208</v>
      </c>
      <c r="M10469" t="s">
        <v>19971</v>
      </c>
      <c r="N10469" t="s">
        <v>19972</v>
      </c>
      <c r="O10469" t="s">
        <v>19973</v>
      </c>
      <c r="P10469">
        <v>45500</v>
      </c>
      <c r="Q10469" t="str">
        <f>"39.701108"</f>
        <v>39.701108</v>
      </c>
      <c r="R10469" t="str">
        <f>"20.810977"</f>
        <v>20.810977</v>
      </c>
      <c r="S10469" t="s">
        <v>26</v>
      </c>
    </row>
    <row r="10470" spans="1:19" x14ac:dyDescent="0.3">
      <c r="A10470" t="s">
        <v>18804</v>
      </c>
      <c r="B10470" t="s">
        <v>19929</v>
      </c>
      <c r="C10470" t="s">
        <v>19979</v>
      </c>
      <c r="D10470" t="s">
        <v>18818</v>
      </c>
      <c r="E10470" t="s">
        <v>18819</v>
      </c>
      <c r="F10470" t="s">
        <v>19275</v>
      </c>
      <c r="G10470" t="s">
        <v>19978</v>
      </c>
      <c r="H10470" t="s">
        <v>859</v>
      </c>
      <c r="I10470" t="s">
        <v>860</v>
      </c>
      <c r="J10470" t="str">
        <f>"9200520"</f>
        <v>9200520</v>
      </c>
      <c r="K10470">
        <v>2651051876</v>
      </c>
      <c r="L10470">
        <v>2651051876</v>
      </c>
      <c r="M10470" t="s">
        <v>19980</v>
      </c>
      <c r="N10470" t="s">
        <v>19978</v>
      </c>
      <c r="O10470" t="s">
        <v>19981</v>
      </c>
      <c r="P10470">
        <v>45500</v>
      </c>
      <c r="Q10470" t="str">
        <f>"39.626561"</f>
        <v>39.626561</v>
      </c>
      <c r="R10470" t="str">
        <f>"20.776275"</f>
        <v>20.776275</v>
      </c>
      <c r="S10470" t="s">
        <v>26</v>
      </c>
    </row>
    <row r="10471" spans="1:19" x14ac:dyDescent="0.3">
      <c r="A10471" t="s">
        <v>18804</v>
      </c>
      <c r="B10471" t="s">
        <v>19929</v>
      </c>
      <c r="C10471" t="s">
        <v>19982</v>
      </c>
      <c r="D10471" t="s">
        <v>18818</v>
      </c>
      <c r="E10471" t="s">
        <v>19111</v>
      </c>
      <c r="F10471" t="s">
        <v>19111</v>
      </c>
      <c r="G10471" t="s">
        <v>19112</v>
      </c>
      <c r="H10471" t="s">
        <v>859</v>
      </c>
      <c r="I10471" t="s">
        <v>860</v>
      </c>
      <c r="J10471" t="str">
        <f>"9200361"</f>
        <v>9200361</v>
      </c>
      <c r="K10471">
        <v>2658023328</v>
      </c>
      <c r="M10471" t="s">
        <v>19983</v>
      </c>
      <c r="N10471" t="s">
        <v>19111</v>
      </c>
      <c r="O10471" t="s">
        <v>19984</v>
      </c>
      <c r="P10471">
        <v>44003</v>
      </c>
      <c r="Q10471" t="str">
        <f>"39.754604"</f>
        <v>39.754604</v>
      </c>
      <c r="R10471" t="str">
        <f>"20.649482"</f>
        <v>20.649482</v>
      </c>
      <c r="S10471" t="s">
        <v>26</v>
      </c>
    </row>
    <row r="10472" spans="1:19" x14ac:dyDescent="0.3">
      <c r="A10472" t="s">
        <v>18804</v>
      </c>
      <c r="B10472" t="s">
        <v>19929</v>
      </c>
      <c r="C10472" t="s">
        <v>19986</v>
      </c>
      <c r="D10472" t="s">
        <v>18818</v>
      </c>
      <c r="E10472" t="s">
        <v>19111</v>
      </c>
      <c r="F10472" t="s">
        <v>19138</v>
      </c>
      <c r="G10472" t="s">
        <v>19985</v>
      </c>
      <c r="H10472" t="s">
        <v>859</v>
      </c>
      <c r="I10472" t="s">
        <v>860</v>
      </c>
      <c r="J10472" t="str">
        <f>"9200536"</f>
        <v>9200536</v>
      </c>
      <c r="K10472">
        <v>2651060402</v>
      </c>
      <c r="M10472" t="s">
        <v>19987</v>
      </c>
      <c r="N10472" t="s">
        <v>19985</v>
      </c>
      <c r="O10472" t="s">
        <v>19988</v>
      </c>
      <c r="P10472">
        <v>45500</v>
      </c>
      <c r="Q10472" t="str">
        <f>"39.691236"</f>
        <v>39.691236</v>
      </c>
      <c r="R10472" t="str">
        <f>"20.764368"</f>
        <v>20.764368</v>
      </c>
      <c r="S10472" t="s">
        <v>26</v>
      </c>
    </row>
    <row r="10473" spans="1:19" x14ac:dyDescent="0.3">
      <c r="A10473" t="s">
        <v>18804</v>
      </c>
      <c r="B10473" t="s">
        <v>19929</v>
      </c>
      <c r="C10473" t="s">
        <v>19989</v>
      </c>
      <c r="D10473" t="s">
        <v>18818</v>
      </c>
      <c r="E10473" t="s">
        <v>19061</v>
      </c>
      <c r="F10473" t="s">
        <v>19215</v>
      </c>
      <c r="G10473" t="s">
        <v>19215</v>
      </c>
      <c r="H10473" t="s">
        <v>859</v>
      </c>
      <c r="I10473" t="s">
        <v>860</v>
      </c>
      <c r="J10473" t="str">
        <f>"9200387"</f>
        <v>9200387</v>
      </c>
      <c r="K10473">
        <v>2657022283</v>
      </c>
      <c r="M10473" t="s">
        <v>19990</v>
      </c>
      <c r="N10473" t="s">
        <v>19215</v>
      </c>
      <c r="O10473" t="s">
        <v>19218</v>
      </c>
      <c r="P10473">
        <v>44002</v>
      </c>
      <c r="Q10473" t="str">
        <f>"39.934640"</f>
        <v>39.934640</v>
      </c>
      <c r="R10473" t="str">
        <f>"20.464806"</f>
        <v>20.464806</v>
      </c>
      <c r="S10473" t="s">
        <v>26</v>
      </c>
    </row>
    <row r="10474" spans="1:19" x14ac:dyDescent="0.3">
      <c r="A10474" t="s">
        <v>18804</v>
      </c>
      <c r="B10474" t="s">
        <v>19929</v>
      </c>
      <c r="C10474" t="s">
        <v>19991</v>
      </c>
      <c r="D10474" t="s">
        <v>18818</v>
      </c>
      <c r="E10474" t="s">
        <v>18819</v>
      </c>
      <c r="F10474" t="s">
        <v>18819</v>
      </c>
      <c r="G10474" t="s">
        <v>18819</v>
      </c>
      <c r="H10474" t="s">
        <v>859</v>
      </c>
      <c r="I10474" t="s">
        <v>860</v>
      </c>
      <c r="J10474" t="str">
        <f>"9200422"</f>
        <v>9200422</v>
      </c>
      <c r="K10474">
        <v>2651046788</v>
      </c>
      <c r="L10474">
        <v>2651046788</v>
      </c>
      <c r="M10474" t="s">
        <v>19992</v>
      </c>
      <c r="N10474" t="s">
        <v>18818</v>
      </c>
      <c r="O10474" t="s">
        <v>19993</v>
      </c>
      <c r="P10474">
        <v>45332</v>
      </c>
      <c r="Q10474" t="str">
        <f>"39.661238"</f>
        <v>39.661238</v>
      </c>
      <c r="R10474" t="str">
        <f>"20.850464"</f>
        <v>20.850464</v>
      </c>
      <c r="S10474" t="s">
        <v>26</v>
      </c>
    </row>
    <row r="10475" spans="1:19" x14ac:dyDescent="0.3">
      <c r="A10475" t="s">
        <v>18804</v>
      </c>
      <c r="B10475" t="s">
        <v>19929</v>
      </c>
      <c r="C10475" t="s">
        <v>19994</v>
      </c>
      <c r="D10475" t="s">
        <v>18818</v>
      </c>
      <c r="E10475" t="s">
        <v>18819</v>
      </c>
      <c r="F10475" t="s">
        <v>18819</v>
      </c>
      <c r="G10475" t="s">
        <v>18819</v>
      </c>
      <c r="H10475" t="s">
        <v>859</v>
      </c>
      <c r="I10475" t="s">
        <v>860</v>
      </c>
      <c r="J10475" t="str">
        <f>"9200099"</f>
        <v>9200099</v>
      </c>
      <c r="K10475">
        <v>2651066282</v>
      </c>
      <c r="M10475" t="s">
        <v>19995</v>
      </c>
      <c r="N10475" t="s">
        <v>18818</v>
      </c>
      <c r="O10475" t="s">
        <v>19996</v>
      </c>
      <c r="P10475">
        <v>45332</v>
      </c>
      <c r="Q10475" t="str">
        <f>"39.660270"</f>
        <v>39.660270</v>
      </c>
      <c r="R10475" t="str">
        <f>"20.845127"</f>
        <v>20.845127</v>
      </c>
      <c r="S10475" t="s">
        <v>26</v>
      </c>
    </row>
    <row r="10476" spans="1:19" x14ac:dyDescent="0.3">
      <c r="A10476" t="s">
        <v>18804</v>
      </c>
      <c r="B10476" t="s">
        <v>19929</v>
      </c>
      <c r="C10476" t="s">
        <v>19998</v>
      </c>
      <c r="D10476" t="s">
        <v>18818</v>
      </c>
      <c r="E10476" t="s">
        <v>19111</v>
      </c>
      <c r="F10476" t="s">
        <v>19138</v>
      </c>
      <c r="G10476" t="s">
        <v>19997</v>
      </c>
      <c r="H10476" t="s">
        <v>859</v>
      </c>
      <c r="I10476" t="s">
        <v>860</v>
      </c>
      <c r="J10476" t="str">
        <f>"9200072"</f>
        <v>9200072</v>
      </c>
      <c r="K10476">
        <v>2651057990</v>
      </c>
      <c r="L10476">
        <v>2651057110</v>
      </c>
      <c r="M10476" t="s">
        <v>19999</v>
      </c>
      <c r="N10476" t="s">
        <v>19997</v>
      </c>
      <c r="O10476" t="s">
        <v>20000</v>
      </c>
      <c r="P10476">
        <v>45500</v>
      </c>
      <c r="Q10476" t="str">
        <f>"39.707286"</f>
        <v>39.707286</v>
      </c>
      <c r="R10476" t="str">
        <f>"20.727915"</f>
        <v>20.727915</v>
      </c>
      <c r="S10476" t="s">
        <v>26</v>
      </c>
    </row>
    <row r="10477" spans="1:19" x14ac:dyDescent="0.3">
      <c r="A10477" t="s">
        <v>18804</v>
      </c>
      <c r="B10477" t="s">
        <v>19929</v>
      </c>
      <c r="C10477" t="s">
        <v>20004</v>
      </c>
      <c r="D10477" t="s">
        <v>18818</v>
      </c>
      <c r="E10477" t="s">
        <v>18819</v>
      </c>
      <c r="F10477" t="s">
        <v>18819</v>
      </c>
      <c r="G10477" t="s">
        <v>18819</v>
      </c>
      <c r="H10477" t="s">
        <v>859</v>
      </c>
      <c r="I10477" t="s">
        <v>860</v>
      </c>
      <c r="J10477" t="str">
        <f>"9200592"</f>
        <v>9200592</v>
      </c>
      <c r="K10477">
        <v>2651046145</v>
      </c>
      <c r="M10477" t="s">
        <v>20005</v>
      </c>
      <c r="N10477" t="s">
        <v>18818</v>
      </c>
      <c r="O10477" t="s">
        <v>20006</v>
      </c>
      <c r="P10477">
        <v>45332</v>
      </c>
      <c r="Q10477" t="str">
        <f>"39.650449"</f>
        <v>39.650449</v>
      </c>
      <c r="R10477" t="str">
        <f>"20.843163"</f>
        <v>20.843163</v>
      </c>
      <c r="S10477" t="s">
        <v>26</v>
      </c>
    </row>
    <row r="10478" spans="1:19" x14ac:dyDescent="0.3">
      <c r="A10478" t="s">
        <v>18804</v>
      </c>
      <c r="B10478" t="s">
        <v>19929</v>
      </c>
      <c r="C10478" t="s">
        <v>20007</v>
      </c>
      <c r="D10478" t="s">
        <v>18818</v>
      </c>
      <c r="E10478" t="s">
        <v>19268</v>
      </c>
      <c r="F10478" t="s">
        <v>19269</v>
      </c>
      <c r="G10478" t="s">
        <v>19269</v>
      </c>
      <c r="H10478" t="s">
        <v>859</v>
      </c>
      <c r="I10478" t="s">
        <v>860</v>
      </c>
      <c r="J10478" t="str">
        <f>"9200168"</f>
        <v>9200168</v>
      </c>
      <c r="K10478">
        <v>2659061240</v>
      </c>
      <c r="L10478">
        <v>2659061240</v>
      </c>
      <c r="M10478" t="s">
        <v>20008</v>
      </c>
      <c r="N10478" t="s">
        <v>19269</v>
      </c>
      <c r="O10478" t="s">
        <v>19273</v>
      </c>
      <c r="P10478">
        <v>44001</v>
      </c>
      <c r="Q10478" t="str">
        <f>"39.524815"</f>
        <v>39.524815</v>
      </c>
      <c r="R10478" t="str">
        <f>"21.102381"</f>
        <v>21.102381</v>
      </c>
      <c r="S10478" t="s">
        <v>57</v>
      </c>
    </row>
    <row r="10479" spans="1:19" x14ac:dyDescent="0.3">
      <c r="A10479" t="s">
        <v>18804</v>
      </c>
      <c r="B10479" t="s">
        <v>19929</v>
      </c>
      <c r="C10479" t="s">
        <v>20011</v>
      </c>
      <c r="D10479" t="s">
        <v>18818</v>
      </c>
      <c r="E10479" t="s">
        <v>18819</v>
      </c>
      <c r="F10479" t="s">
        <v>18819</v>
      </c>
      <c r="G10479" t="s">
        <v>18819</v>
      </c>
      <c r="H10479" t="s">
        <v>859</v>
      </c>
      <c r="I10479" t="s">
        <v>860</v>
      </c>
      <c r="J10479" t="str">
        <f>"9200493"</f>
        <v>9200493</v>
      </c>
      <c r="K10479">
        <v>2651049130</v>
      </c>
      <c r="M10479" t="s">
        <v>20012</v>
      </c>
      <c r="N10479" t="s">
        <v>18822</v>
      </c>
      <c r="O10479" t="s">
        <v>20013</v>
      </c>
      <c r="P10479">
        <v>45570</v>
      </c>
      <c r="Q10479" t="str">
        <f>"39.670496"</f>
        <v>39.670496</v>
      </c>
      <c r="R10479" t="str">
        <f>"20.843383"</f>
        <v>20.843383</v>
      </c>
      <c r="S10479" t="s">
        <v>26</v>
      </c>
    </row>
    <row r="10480" spans="1:19" x14ac:dyDescent="0.3">
      <c r="A10480" t="s">
        <v>18804</v>
      </c>
      <c r="B10480" t="s">
        <v>19929</v>
      </c>
      <c r="C10480" t="s">
        <v>20015</v>
      </c>
      <c r="D10480" t="s">
        <v>18818</v>
      </c>
      <c r="E10480" t="s">
        <v>19964</v>
      </c>
      <c r="F10480" t="s">
        <v>3295</v>
      </c>
      <c r="G10480" t="s">
        <v>20014</v>
      </c>
      <c r="H10480" t="s">
        <v>859</v>
      </c>
      <c r="I10480" t="s">
        <v>860</v>
      </c>
      <c r="J10480" t="str">
        <f>"9200601"</f>
        <v>9200601</v>
      </c>
      <c r="K10480">
        <v>2654022531</v>
      </c>
      <c r="M10480" t="s">
        <v>20016</v>
      </c>
      <c r="N10480" t="s">
        <v>20017</v>
      </c>
      <c r="O10480" t="s">
        <v>20018</v>
      </c>
      <c r="P10480">
        <v>45500</v>
      </c>
      <c r="Q10480" t="str">
        <f>"39.514793"</f>
        <v>39.514793</v>
      </c>
      <c r="R10480" t="str">
        <f>"20.897335"</f>
        <v>20.897335</v>
      </c>
      <c r="S10480" t="s">
        <v>26</v>
      </c>
    </row>
    <row r="10481" spans="1:19" x14ac:dyDescent="0.3">
      <c r="A10481" t="s">
        <v>18804</v>
      </c>
      <c r="B10481" t="s">
        <v>19929</v>
      </c>
      <c r="C10481" t="s">
        <v>20019</v>
      </c>
      <c r="D10481" t="s">
        <v>18818</v>
      </c>
      <c r="E10481" t="s">
        <v>18819</v>
      </c>
      <c r="F10481" t="s">
        <v>18819</v>
      </c>
      <c r="G10481" t="s">
        <v>18819</v>
      </c>
      <c r="H10481" t="s">
        <v>859</v>
      </c>
      <c r="I10481" t="s">
        <v>860</v>
      </c>
      <c r="J10481" t="str">
        <f>"9200535"</f>
        <v>9200535</v>
      </c>
      <c r="K10481">
        <v>2651067630</v>
      </c>
      <c r="M10481" t="s">
        <v>20020</v>
      </c>
      <c r="N10481" t="s">
        <v>18818</v>
      </c>
      <c r="O10481" t="s">
        <v>20021</v>
      </c>
      <c r="P10481">
        <v>45500</v>
      </c>
      <c r="Q10481" t="str">
        <f>"39.655854"</f>
        <v>39.655854</v>
      </c>
      <c r="R10481" t="str">
        <f>"20.837968"</f>
        <v>20.837968</v>
      </c>
      <c r="S10481" t="s">
        <v>26</v>
      </c>
    </row>
    <row r="10482" spans="1:19" x14ac:dyDescent="0.3">
      <c r="A10482" t="s">
        <v>18804</v>
      </c>
      <c r="B10482" t="s">
        <v>19929</v>
      </c>
      <c r="C10482" t="s">
        <v>20025</v>
      </c>
      <c r="D10482" t="s">
        <v>18818</v>
      </c>
      <c r="E10482" t="s">
        <v>18819</v>
      </c>
      <c r="F10482" t="s">
        <v>18819</v>
      </c>
      <c r="G10482" t="s">
        <v>20024</v>
      </c>
      <c r="H10482" t="s">
        <v>859</v>
      </c>
      <c r="I10482" t="s">
        <v>860</v>
      </c>
      <c r="J10482" t="str">
        <f>"9200251"</f>
        <v>9200251</v>
      </c>
      <c r="K10482">
        <v>2651044032</v>
      </c>
      <c r="M10482" t="s">
        <v>20026</v>
      </c>
      <c r="N10482" t="s">
        <v>20024</v>
      </c>
      <c r="O10482" t="s">
        <v>20027</v>
      </c>
      <c r="P10482">
        <v>45500</v>
      </c>
      <c r="Q10482" t="str">
        <f>"39.656911"</f>
        <v>39.656911</v>
      </c>
      <c r="R10482" t="str">
        <f>"20.796156"</f>
        <v>20.796156</v>
      </c>
      <c r="S10482" t="s">
        <v>26</v>
      </c>
    </row>
    <row r="10483" spans="1:19" x14ac:dyDescent="0.3">
      <c r="A10483" t="s">
        <v>18804</v>
      </c>
      <c r="B10483" t="s">
        <v>19929</v>
      </c>
      <c r="C10483" t="s">
        <v>20028</v>
      </c>
      <c r="D10483" t="s">
        <v>18818</v>
      </c>
      <c r="E10483" t="s">
        <v>18819</v>
      </c>
      <c r="F10483" t="s">
        <v>19179</v>
      </c>
      <c r="G10483" t="s">
        <v>19179</v>
      </c>
      <c r="H10483" t="s">
        <v>859</v>
      </c>
      <c r="I10483" t="s">
        <v>860</v>
      </c>
      <c r="J10483" t="str">
        <f>"9200570"</f>
        <v>9200570</v>
      </c>
      <c r="K10483">
        <v>2651046420</v>
      </c>
      <c r="L10483">
        <v>2651046420</v>
      </c>
      <c r="M10483" t="s">
        <v>20029</v>
      </c>
      <c r="N10483" t="s">
        <v>19179</v>
      </c>
      <c r="O10483" t="s">
        <v>20030</v>
      </c>
      <c r="P10483">
        <v>45221</v>
      </c>
      <c r="Q10483" t="str">
        <f>"39.641676"</f>
        <v>39.641676</v>
      </c>
      <c r="R10483" t="str">
        <f>"20.868163"</f>
        <v>20.868163</v>
      </c>
      <c r="S10483" t="s">
        <v>26</v>
      </c>
    </row>
    <row r="10484" spans="1:19" x14ac:dyDescent="0.3">
      <c r="A10484" t="s">
        <v>18804</v>
      </c>
      <c r="B10484" t="s">
        <v>19929</v>
      </c>
      <c r="C10484" t="s">
        <v>20031</v>
      </c>
      <c r="D10484" t="s">
        <v>18818</v>
      </c>
      <c r="E10484" t="s">
        <v>18819</v>
      </c>
      <c r="F10484" t="s">
        <v>19275</v>
      </c>
      <c r="G10484" t="s">
        <v>19275</v>
      </c>
      <c r="H10484" t="s">
        <v>859</v>
      </c>
      <c r="I10484" t="s">
        <v>860</v>
      </c>
      <c r="J10484" t="str">
        <f>"9200516"</f>
        <v>9200516</v>
      </c>
      <c r="K10484">
        <v>2651092220</v>
      </c>
      <c r="L10484">
        <v>2651092220</v>
      </c>
      <c r="M10484" t="s">
        <v>20032</v>
      </c>
      <c r="N10484" t="s">
        <v>19275</v>
      </c>
      <c r="O10484" t="s">
        <v>19301</v>
      </c>
      <c r="P10484">
        <v>45500</v>
      </c>
      <c r="Q10484" t="str">
        <f>"39.568273"</f>
        <v>39.568273</v>
      </c>
      <c r="R10484" t="str">
        <f>"20.871635"</f>
        <v>20.871635</v>
      </c>
      <c r="S10484" t="s">
        <v>26</v>
      </c>
    </row>
    <row r="10485" spans="1:19" x14ac:dyDescent="0.3">
      <c r="A10485" t="s">
        <v>18804</v>
      </c>
      <c r="B10485" t="s">
        <v>19929</v>
      </c>
      <c r="C10485" t="s">
        <v>20033</v>
      </c>
      <c r="D10485" t="s">
        <v>18818</v>
      </c>
      <c r="E10485" t="s">
        <v>18819</v>
      </c>
      <c r="F10485" t="s">
        <v>19275</v>
      </c>
      <c r="G10485" t="s">
        <v>19276</v>
      </c>
      <c r="H10485" t="s">
        <v>859</v>
      </c>
      <c r="I10485" t="s">
        <v>860</v>
      </c>
      <c r="J10485" t="str">
        <f>"9200262"</f>
        <v>9200262</v>
      </c>
      <c r="K10485">
        <v>2651092583</v>
      </c>
      <c r="L10485">
        <v>2651092583</v>
      </c>
      <c r="M10485" t="s">
        <v>20034</v>
      </c>
      <c r="N10485" t="s">
        <v>20035</v>
      </c>
      <c r="O10485" t="s">
        <v>20036</v>
      </c>
      <c r="P10485">
        <v>45500</v>
      </c>
      <c r="Q10485" t="str">
        <f>"39.598893"</f>
        <v>39.598893</v>
      </c>
      <c r="R10485" t="str">
        <f>"20.846297"</f>
        <v>20.846297</v>
      </c>
      <c r="S10485" t="s">
        <v>26</v>
      </c>
    </row>
    <row r="10486" spans="1:19" x14ac:dyDescent="0.3">
      <c r="A10486" t="s">
        <v>18804</v>
      </c>
      <c r="B10486" t="s">
        <v>19929</v>
      </c>
      <c r="C10486" t="s">
        <v>20038</v>
      </c>
      <c r="D10486" t="s">
        <v>18818</v>
      </c>
      <c r="E10486" t="s">
        <v>18819</v>
      </c>
      <c r="F10486" t="s">
        <v>18819</v>
      </c>
      <c r="G10486" t="s">
        <v>20037</v>
      </c>
      <c r="H10486" t="s">
        <v>859</v>
      </c>
      <c r="I10486" t="s">
        <v>860</v>
      </c>
      <c r="J10486" t="str">
        <f>"9200481"</f>
        <v>9200481</v>
      </c>
      <c r="K10486">
        <v>2651047931</v>
      </c>
      <c r="L10486">
        <v>2651047931</v>
      </c>
      <c r="M10486" t="s">
        <v>20039</v>
      </c>
      <c r="N10486" t="s">
        <v>20037</v>
      </c>
      <c r="O10486" t="s">
        <v>20040</v>
      </c>
      <c r="P10486">
        <v>45500</v>
      </c>
      <c r="Q10486" t="str">
        <f>"39.651389"</f>
        <v>39.651389</v>
      </c>
      <c r="R10486" t="str">
        <f>"20.822233"</f>
        <v>20.822233</v>
      </c>
      <c r="S10486" t="s">
        <v>26</v>
      </c>
    </row>
    <row r="10487" spans="1:19" x14ac:dyDescent="0.3">
      <c r="A10487" t="s">
        <v>18804</v>
      </c>
      <c r="B10487" t="s">
        <v>19929</v>
      </c>
      <c r="C10487" t="s">
        <v>20043</v>
      </c>
      <c r="D10487" t="s">
        <v>18818</v>
      </c>
      <c r="E10487" t="s">
        <v>19111</v>
      </c>
      <c r="F10487" t="s">
        <v>20041</v>
      </c>
      <c r="G10487" t="s">
        <v>20042</v>
      </c>
      <c r="H10487" t="s">
        <v>859</v>
      </c>
      <c r="I10487" t="s">
        <v>860</v>
      </c>
      <c r="J10487" t="str">
        <f>"9200368"</f>
        <v>9200368</v>
      </c>
      <c r="K10487">
        <v>2658061160</v>
      </c>
      <c r="L10487">
        <v>2658061160</v>
      </c>
      <c r="M10487" t="s">
        <v>20044</v>
      </c>
      <c r="N10487" t="s">
        <v>20042</v>
      </c>
      <c r="O10487" t="s">
        <v>20045</v>
      </c>
      <c r="P10487">
        <v>44003</v>
      </c>
      <c r="Q10487" t="str">
        <f>"39.704648"</f>
        <v>39.704648</v>
      </c>
      <c r="R10487" t="str">
        <f>"20.674879"</f>
        <v>20.674879</v>
      </c>
      <c r="S10487" t="s">
        <v>26</v>
      </c>
    </row>
    <row r="10488" spans="1:19" x14ac:dyDescent="0.3">
      <c r="A10488" t="s">
        <v>18804</v>
      </c>
      <c r="B10488" t="s">
        <v>19929</v>
      </c>
      <c r="C10488" t="s">
        <v>20047</v>
      </c>
      <c r="D10488" t="s">
        <v>18818</v>
      </c>
      <c r="E10488" t="s">
        <v>18819</v>
      </c>
      <c r="F10488" t="s">
        <v>18819</v>
      </c>
      <c r="G10488" t="s">
        <v>20046</v>
      </c>
      <c r="H10488" t="s">
        <v>859</v>
      </c>
      <c r="I10488" t="s">
        <v>860</v>
      </c>
      <c r="J10488" t="str">
        <f>"9200598"</f>
        <v>9200598</v>
      </c>
      <c r="K10488">
        <v>2651043469</v>
      </c>
      <c r="L10488">
        <v>2651043469</v>
      </c>
      <c r="M10488" t="s">
        <v>20048</v>
      </c>
      <c r="N10488" t="s">
        <v>18822</v>
      </c>
      <c r="O10488" t="s">
        <v>20049</v>
      </c>
      <c r="P10488">
        <v>45500</v>
      </c>
      <c r="Q10488" t="str">
        <f>"39.626322"</f>
        <v>39.626322</v>
      </c>
      <c r="R10488" t="str">
        <f>"20.834323"</f>
        <v>20.834323</v>
      </c>
      <c r="S10488" t="s">
        <v>26</v>
      </c>
    </row>
    <row r="10489" spans="1:19" x14ac:dyDescent="0.3">
      <c r="A10489" t="s">
        <v>18804</v>
      </c>
      <c r="B10489" t="s">
        <v>19929</v>
      </c>
      <c r="C10489" t="s">
        <v>20050</v>
      </c>
      <c r="D10489" t="s">
        <v>18818</v>
      </c>
      <c r="E10489" t="s">
        <v>19073</v>
      </c>
      <c r="F10489" t="s">
        <v>19230</v>
      </c>
      <c r="G10489" t="s">
        <v>19231</v>
      </c>
      <c r="H10489" t="s">
        <v>859</v>
      </c>
      <c r="I10489" t="s">
        <v>860</v>
      </c>
      <c r="J10489" t="str">
        <f>"9200094"</f>
        <v>9200094</v>
      </c>
      <c r="K10489">
        <v>2656022524</v>
      </c>
      <c r="L10489">
        <v>2656022353</v>
      </c>
      <c r="M10489" t="s">
        <v>20051</v>
      </c>
      <c r="N10489" t="s">
        <v>20052</v>
      </c>
      <c r="O10489" t="s">
        <v>14985</v>
      </c>
      <c r="P10489">
        <v>44200</v>
      </c>
      <c r="Q10489" t="str">
        <f>"39.778804"</f>
        <v>39.778804</v>
      </c>
      <c r="R10489" t="str">
        <f>"21.074556"</f>
        <v>21.074556</v>
      </c>
      <c r="S10489" t="s">
        <v>26</v>
      </c>
    </row>
    <row r="10490" spans="1:19" x14ac:dyDescent="0.3">
      <c r="A10490" t="s">
        <v>18804</v>
      </c>
      <c r="B10490" t="s">
        <v>19929</v>
      </c>
      <c r="C10490" t="s">
        <v>20054</v>
      </c>
      <c r="D10490" t="s">
        <v>18818</v>
      </c>
      <c r="E10490" t="s">
        <v>19964</v>
      </c>
      <c r="F10490" t="s">
        <v>3295</v>
      </c>
      <c r="G10490" t="s">
        <v>20053</v>
      </c>
      <c r="H10490" t="s">
        <v>859</v>
      </c>
      <c r="I10490" t="s">
        <v>860</v>
      </c>
      <c r="J10490" t="str">
        <f>"9200149"</f>
        <v>9200149</v>
      </c>
      <c r="K10490">
        <v>2654071164</v>
      </c>
      <c r="L10490">
        <v>2654071164</v>
      </c>
      <c r="M10490" t="s">
        <v>20055</v>
      </c>
      <c r="N10490" t="s">
        <v>20056</v>
      </c>
      <c r="O10490" t="s">
        <v>20057</v>
      </c>
      <c r="P10490">
        <v>45500</v>
      </c>
      <c r="Q10490" t="str">
        <f>"39.412546"</f>
        <v>39.412546</v>
      </c>
      <c r="R10490" t="str">
        <f>"20.838882"</f>
        <v>20.838882</v>
      </c>
      <c r="S10490" t="s">
        <v>26</v>
      </c>
    </row>
    <row r="10491" spans="1:19" x14ac:dyDescent="0.3">
      <c r="A10491" t="s">
        <v>18804</v>
      </c>
      <c r="B10491" t="s">
        <v>19929</v>
      </c>
      <c r="C10491" t="s">
        <v>20059</v>
      </c>
      <c r="D10491" t="s">
        <v>18818</v>
      </c>
      <c r="E10491" t="s">
        <v>19111</v>
      </c>
      <c r="F10491" t="s">
        <v>19138</v>
      </c>
      <c r="G10491" t="s">
        <v>20058</v>
      </c>
      <c r="H10491" t="s">
        <v>859</v>
      </c>
      <c r="I10491" t="s">
        <v>860</v>
      </c>
      <c r="J10491" t="str">
        <f>"9200454"</f>
        <v>9200454</v>
      </c>
      <c r="K10491">
        <v>2651062314</v>
      </c>
      <c r="L10491">
        <v>2651062314</v>
      </c>
      <c r="M10491" t="s">
        <v>20060</v>
      </c>
      <c r="N10491" t="s">
        <v>20058</v>
      </c>
      <c r="O10491" t="s">
        <v>20061</v>
      </c>
      <c r="P10491">
        <v>45500</v>
      </c>
      <c r="Q10491" t="str">
        <f>"39.691785"</f>
        <v>39.691785</v>
      </c>
      <c r="R10491" t="str">
        <f>"20.784301"</f>
        <v>20.784301</v>
      </c>
      <c r="S10491" t="s">
        <v>26</v>
      </c>
    </row>
    <row r="10492" spans="1:19" x14ac:dyDescent="0.3">
      <c r="A10492" t="s">
        <v>18804</v>
      </c>
      <c r="B10492" t="s">
        <v>19929</v>
      </c>
      <c r="C10492" t="s">
        <v>20062</v>
      </c>
      <c r="D10492" t="s">
        <v>18818</v>
      </c>
      <c r="E10492" t="s">
        <v>18819</v>
      </c>
      <c r="F10492" t="s">
        <v>18819</v>
      </c>
      <c r="G10492" t="s">
        <v>18819</v>
      </c>
      <c r="H10492" t="s">
        <v>859</v>
      </c>
      <c r="I10492" t="s">
        <v>860</v>
      </c>
      <c r="J10492" t="str">
        <f>"9200433"</f>
        <v>9200433</v>
      </c>
      <c r="K10492">
        <v>2651077465</v>
      </c>
      <c r="L10492">
        <v>2651021467</v>
      </c>
      <c r="M10492" t="s">
        <v>20063</v>
      </c>
      <c r="N10492" t="s">
        <v>18818</v>
      </c>
      <c r="O10492" t="s">
        <v>20064</v>
      </c>
      <c r="P10492">
        <v>45221</v>
      </c>
      <c r="Q10492" t="str">
        <f>"39.652347"</f>
        <v>39.652347</v>
      </c>
      <c r="R10492" t="str">
        <f>"20.859535"</f>
        <v>20.859535</v>
      </c>
      <c r="S10492" t="s">
        <v>26</v>
      </c>
    </row>
    <row r="10493" spans="1:19" x14ac:dyDescent="0.3">
      <c r="A10493" t="s">
        <v>18804</v>
      </c>
      <c r="B10493" t="s">
        <v>19929</v>
      </c>
      <c r="C10493" t="s">
        <v>20088</v>
      </c>
      <c r="D10493" t="s">
        <v>18818</v>
      </c>
      <c r="E10493" t="s">
        <v>19073</v>
      </c>
      <c r="F10493" t="s">
        <v>19230</v>
      </c>
      <c r="G10493" t="s">
        <v>20087</v>
      </c>
      <c r="H10493" t="s">
        <v>859</v>
      </c>
      <c r="I10493" t="s">
        <v>860</v>
      </c>
      <c r="J10493" t="str">
        <f>"9200537"</f>
        <v>9200537</v>
      </c>
      <c r="K10493">
        <v>2656022277</v>
      </c>
      <c r="L10493">
        <v>2656022277</v>
      </c>
      <c r="M10493" t="s">
        <v>20089</v>
      </c>
      <c r="N10493" t="s">
        <v>20090</v>
      </c>
      <c r="P10493">
        <v>44200</v>
      </c>
      <c r="Q10493" t="str">
        <f>"39.752964"</f>
        <v>39.752964</v>
      </c>
      <c r="R10493" t="str">
        <f>"21.076631"</f>
        <v>21.076631</v>
      </c>
      <c r="S10493" t="s">
        <v>26</v>
      </c>
    </row>
    <row r="10494" spans="1:19" x14ac:dyDescent="0.3">
      <c r="A10494" t="s">
        <v>18804</v>
      </c>
      <c r="B10494" t="s">
        <v>19929</v>
      </c>
      <c r="C10494" t="s">
        <v>20101</v>
      </c>
      <c r="D10494" t="s">
        <v>18818</v>
      </c>
      <c r="E10494" t="s">
        <v>18819</v>
      </c>
      <c r="F10494" t="s">
        <v>19131</v>
      </c>
      <c r="G10494" t="s">
        <v>19303</v>
      </c>
      <c r="H10494" t="s">
        <v>859</v>
      </c>
      <c r="I10494" t="s">
        <v>860</v>
      </c>
      <c r="J10494" t="str">
        <f>"9200048"</f>
        <v>9200048</v>
      </c>
      <c r="K10494">
        <v>2651052169</v>
      </c>
      <c r="M10494" t="s">
        <v>20102</v>
      </c>
      <c r="N10494" t="s">
        <v>19303</v>
      </c>
      <c r="O10494" t="s">
        <v>20103</v>
      </c>
      <c r="P10494">
        <v>45500</v>
      </c>
      <c r="Q10494" t="str">
        <f>"39.659682"</f>
        <v>39.659682</v>
      </c>
      <c r="R10494" t="str">
        <f>"20.935711"</f>
        <v>20.935711</v>
      </c>
      <c r="S10494" t="s">
        <v>26</v>
      </c>
    </row>
    <row r="10495" spans="1:19" x14ac:dyDescent="0.3">
      <c r="A10495" t="s">
        <v>18804</v>
      </c>
      <c r="B10495" t="s">
        <v>19929</v>
      </c>
      <c r="C10495" t="s">
        <v>20105</v>
      </c>
      <c r="D10495" t="s">
        <v>18818</v>
      </c>
      <c r="E10495" t="s">
        <v>18819</v>
      </c>
      <c r="F10495" t="s">
        <v>6203</v>
      </c>
      <c r="G10495" t="s">
        <v>20104</v>
      </c>
      <c r="H10495" t="s">
        <v>859</v>
      </c>
      <c r="I10495" t="s">
        <v>860</v>
      </c>
      <c r="J10495" t="str">
        <f>"9200527"</f>
        <v>9200527</v>
      </c>
      <c r="K10495">
        <v>2651081218</v>
      </c>
      <c r="L10495">
        <v>2651081233</v>
      </c>
      <c r="M10495" t="s">
        <v>20106</v>
      </c>
      <c r="N10495" t="s">
        <v>20104</v>
      </c>
      <c r="O10495" t="s">
        <v>20107</v>
      </c>
      <c r="P10495">
        <v>45500</v>
      </c>
      <c r="Q10495" t="str">
        <f>"39.689450"</f>
        <v>39.689450</v>
      </c>
      <c r="R10495" t="str">
        <f>"20.868552"</f>
        <v>20.868552</v>
      </c>
      <c r="S10495" t="s">
        <v>26</v>
      </c>
    </row>
    <row r="10496" spans="1:19" x14ac:dyDescent="0.3">
      <c r="A10496" t="s">
        <v>18804</v>
      </c>
      <c r="B10496" t="s">
        <v>19929</v>
      </c>
      <c r="C10496" t="s">
        <v>20108</v>
      </c>
      <c r="D10496" t="s">
        <v>18818</v>
      </c>
      <c r="E10496" t="s">
        <v>18819</v>
      </c>
      <c r="F10496" t="s">
        <v>18819</v>
      </c>
      <c r="G10496" t="s">
        <v>18819</v>
      </c>
      <c r="H10496" t="s">
        <v>859</v>
      </c>
      <c r="I10496" t="s">
        <v>860</v>
      </c>
      <c r="J10496" t="str">
        <f>"9200103"</f>
        <v>9200103</v>
      </c>
      <c r="K10496">
        <v>2651078181</v>
      </c>
      <c r="L10496">
        <v>2651078181</v>
      </c>
      <c r="M10496" t="s">
        <v>20109</v>
      </c>
      <c r="N10496" t="s">
        <v>18818</v>
      </c>
      <c r="O10496" t="s">
        <v>20072</v>
      </c>
      <c r="P10496">
        <v>45444</v>
      </c>
      <c r="Q10496" t="str">
        <f>"39.668140"</f>
        <v>39.668140</v>
      </c>
      <c r="R10496" t="str">
        <f>"20.854320"</f>
        <v>20.854320</v>
      </c>
      <c r="S10496" t="s">
        <v>26</v>
      </c>
    </row>
    <row r="10497" spans="1:19" x14ac:dyDescent="0.3">
      <c r="A10497" t="s">
        <v>18804</v>
      </c>
      <c r="B10497" t="s">
        <v>19929</v>
      </c>
      <c r="C10497" t="s">
        <v>20111</v>
      </c>
      <c r="D10497" t="s">
        <v>18818</v>
      </c>
      <c r="E10497" t="s">
        <v>18819</v>
      </c>
      <c r="F10497" t="s">
        <v>19179</v>
      </c>
      <c r="G10497" t="s">
        <v>20110</v>
      </c>
      <c r="H10497" t="s">
        <v>859</v>
      </c>
      <c r="I10497" t="s">
        <v>860</v>
      </c>
      <c r="J10497" t="str">
        <f>"9200151"</f>
        <v>9200151</v>
      </c>
      <c r="K10497">
        <v>2651093479</v>
      </c>
      <c r="L10497">
        <v>2651093479</v>
      </c>
      <c r="M10497" t="s">
        <v>20112</v>
      </c>
      <c r="N10497" t="s">
        <v>20110</v>
      </c>
      <c r="O10497" t="s">
        <v>20113</v>
      </c>
      <c r="P10497">
        <v>45500</v>
      </c>
      <c r="Q10497" t="str">
        <f>"39.597860"</f>
        <v>39.597860</v>
      </c>
      <c r="R10497" t="str">
        <f>"20.878251"</f>
        <v>20.878251</v>
      </c>
      <c r="S10497" t="s">
        <v>26</v>
      </c>
    </row>
    <row r="10498" spans="1:19" x14ac:dyDescent="0.3">
      <c r="A10498" t="s">
        <v>18804</v>
      </c>
      <c r="B10498" t="s">
        <v>19929</v>
      </c>
      <c r="C10498" t="s">
        <v>20116</v>
      </c>
      <c r="D10498" t="s">
        <v>18818</v>
      </c>
      <c r="E10498" t="s">
        <v>18819</v>
      </c>
      <c r="F10498" t="s">
        <v>18819</v>
      </c>
      <c r="G10498" t="s">
        <v>18819</v>
      </c>
      <c r="H10498" t="s">
        <v>859</v>
      </c>
      <c r="I10498" t="s">
        <v>860</v>
      </c>
      <c r="J10498" t="str">
        <f>"9200424"</f>
        <v>9200424</v>
      </c>
      <c r="K10498">
        <v>2651032245</v>
      </c>
      <c r="L10498">
        <v>2651032245</v>
      </c>
      <c r="M10498" t="s">
        <v>20117</v>
      </c>
      <c r="N10498" t="s">
        <v>18818</v>
      </c>
      <c r="O10498" t="s">
        <v>20118</v>
      </c>
      <c r="P10498">
        <v>45444</v>
      </c>
      <c r="Q10498" t="str">
        <f>"39.668497"</f>
        <v>39.668497</v>
      </c>
      <c r="R10498" t="str">
        <f>"20.853012"</f>
        <v>20.853012</v>
      </c>
      <c r="S10498" t="s">
        <v>26</v>
      </c>
    </row>
    <row r="10499" spans="1:19" x14ac:dyDescent="0.3">
      <c r="A10499" t="s">
        <v>18804</v>
      </c>
      <c r="B10499" t="s">
        <v>19929</v>
      </c>
      <c r="C10499" t="s">
        <v>20120</v>
      </c>
      <c r="D10499" t="s">
        <v>18818</v>
      </c>
      <c r="E10499" t="s">
        <v>18819</v>
      </c>
      <c r="F10499" t="s">
        <v>19131</v>
      </c>
      <c r="G10499" t="s">
        <v>20119</v>
      </c>
      <c r="H10499" t="s">
        <v>859</v>
      </c>
      <c r="I10499" t="s">
        <v>860</v>
      </c>
      <c r="J10499" t="str">
        <f>"9200458"</f>
        <v>9200458</v>
      </c>
      <c r="K10499">
        <v>2651058410</v>
      </c>
      <c r="L10499">
        <v>2651058219</v>
      </c>
      <c r="M10499" t="s">
        <v>20121</v>
      </c>
      <c r="N10499" t="s">
        <v>20119</v>
      </c>
      <c r="O10499" t="s">
        <v>20122</v>
      </c>
      <c r="P10499">
        <v>45500</v>
      </c>
      <c r="Q10499" t="str">
        <f>"39.617087"</f>
        <v>39.617087</v>
      </c>
      <c r="R10499" t="str">
        <f>"20.969300"</f>
        <v>20.969300</v>
      </c>
      <c r="S10499" t="s">
        <v>26</v>
      </c>
    </row>
    <row r="10500" spans="1:19" x14ac:dyDescent="0.3">
      <c r="A10500" t="s">
        <v>18804</v>
      </c>
      <c r="B10500" t="s">
        <v>19929</v>
      </c>
      <c r="C10500" t="s">
        <v>20123</v>
      </c>
      <c r="D10500" t="s">
        <v>18818</v>
      </c>
      <c r="E10500" t="s">
        <v>18819</v>
      </c>
      <c r="F10500" t="s">
        <v>18819</v>
      </c>
      <c r="G10500" t="s">
        <v>18819</v>
      </c>
      <c r="H10500" t="s">
        <v>859</v>
      </c>
      <c r="I10500" t="s">
        <v>860</v>
      </c>
      <c r="J10500" t="str">
        <f>"9200558"</f>
        <v>9200558</v>
      </c>
      <c r="K10500">
        <v>2651078094</v>
      </c>
      <c r="L10500">
        <v>2651078094</v>
      </c>
      <c r="M10500" t="s">
        <v>20124</v>
      </c>
      <c r="N10500" t="s">
        <v>18818</v>
      </c>
      <c r="O10500" t="s">
        <v>20125</v>
      </c>
      <c r="P10500">
        <v>45445</v>
      </c>
      <c r="Q10500" t="str">
        <f>"39.685370"</f>
        <v>39.685370</v>
      </c>
      <c r="R10500" t="str">
        <f>"20.830048"</f>
        <v>20.830048</v>
      </c>
      <c r="S10500" t="s">
        <v>26</v>
      </c>
    </row>
    <row r="10501" spans="1:19" x14ac:dyDescent="0.3">
      <c r="A10501" t="s">
        <v>18804</v>
      </c>
      <c r="B10501" t="s">
        <v>19929</v>
      </c>
      <c r="C10501" t="s">
        <v>20126</v>
      </c>
      <c r="D10501" t="s">
        <v>18818</v>
      </c>
      <c r="E10501" t="s">
        <v>19964</v>
      </c>
      <c r="F10501" t="s">
        <v>3295</v>
      </c>
      <c r="G10501" t="s">
        <v>20075</v>
      </c>
      <c r="H10501" t="s">
        <v>859</v>
      </c>
      <c r="I10501" t="s">
        <v>860</v>
      </c>
      <c r="J10501" t="str">
        <f>"9200554"</f>
        <v>9200554</v>
      </c>
      <c r="K10501">
        <v>2651096187</v>
      </c>
      <c r="L10501">
        <v>2651096187</v>
      </c>
      <c r="M10501" t="s">
        <v>20127</v>
      </c>
      <c r="N10501" t="s">
        <v>20075</v>
      </c>
      <c r="O10501" t="s">
        <v>20078</v>
      </c>
      <c r="P10501">
        <v>45500</v>
      </c>
      <c r="Q10501" t="str">
        <f>"39.528927"</f>
        <v>39.528927</v>
      </c>
      <c r="R10501" t="str">
        <f>"20.902489"</f>
        <v>20.902489</v>
      </c>
      <c r="S10501" t="s">
        <v>26</v>
      </c>
    </row>
    <row r="10502" spans="1:19" x14ac:dyDescent="0.3">
      <c r="A10502" t="s">
        <v>18804</v>
      </c>
      <c r="B10502" t="s">
        <v>19929</v>
      </c>
      <c r="C10502" t="s">
        <v>20128</v>
      </c>
      <c r="D10502" t="s">
        <v>18818</v>
      </c>
      <c r="E10502" t="s">
        <v>18819</v>
      </c>
      <c r="F10502" t="s">
        <v>18819</v>
      </c>
      <c r="G10502" t="s">
        <v>18819</v>
      </c>
      <c r="H10502" t="s">
        <v>859</v>
      </c>
      <c r="I10502" t="s">
        <v>860</v>
      </c>
      <c r="J10502" t="str">
        <f>"9200427"</f>
        <v>9200427</v>
      </c>
      <c r="K10502">
        <v>2651032076</v>
      </c>
      <c r="L10502">
        <v>2651032076</v>
      </c>
      <c r="M10502" t="s">
        <v>20129</v>
      </c>
      <c r="N10502" t="s">
        <v>18818</v>
      </c>
      <c r="O10502" t="s">
        <v>20130</v>
      </c>
      <c r="P10502">
        <v>45221</v>
      </c>
      <c r="Q10502" t="str">
        <f>"39.670290"</f>
        <v>39.670290</v>
      </c>
      <c r="R10502" t="str">
        <f>"20.859411"</f>
        <v>20.859411</v>
      </c>
      <c r="S10502" t="s">
        <v>26</v>
      </c>
    </row>
    <row r="10503" spans="1:19" x14ac:dyDescent="0.3">
      <c r="A10503" t="s">
        <v>18804</v>
      </c>
      <c r="B10503" t="s">
        <v>19929</v>
      </c>
      <c r="C10503" t="s">
        <v>20133</v>
      </c>
      <c r="D10503" t="s">
        <v>18818</v>
      </c>
      <c r="E10503" t="s">
        <v>18819</v>
      </c>
      <c r="F10503" t="s">
        <v>18819</v>
      </c>
      <c r="G10503" t="s">
        <v>18819</v>
      </c>
      <c r="H10503" t="s">
        <v>859</v>
      </c>
      <c r="I10503" t="s">
        <v>860</v>
      </c>
      <c r="J10503" t="str">
        <f>"9200541"</f>
        <v>9200541</v>
      </c>
      <c r="K10503">
        <v>2651070735</v>
      </c>
      <c r="M10503" t="s">
        <v>20134</v>
      </c>
      <c r="N10503" t="s">
        <v>18818</v>
      </c>
      <c r="O10503" t="s">
        <v>20135</v>
      </c>
      <c r="P10503">
        <v>45333</v>
      </c>
      <c r="Q10503" t="str">
        <f>"39.670058"</f>
        <v>39.670058</v>
      </c>
      <c r="R10503" t="str">
        <f>"20.842748"</f>
        <v>20.842748</v>
      </c>
      <c r="S10503" t="s">
        <v>26</v>
      </c>
    </row>
    <row r="10504" spans="1:19" x14ac:dyDescent="0.3">
      <c r="A10504" t="s">
        <v>18804</v>
      </c>
      <c r="B10504" t="s">
        <v>19929</v>
      </c>
      <c r="C10504" t="s">
        <v>20136</v>
      </c>
      <c r="D10504" t="s">
        <v>18818</v>
      </c>
      <c r="E10504" t="s">
        <v>18819</v>
      </c>
      <c r="F10504" t="s">
        <v>19131</v>
      </c>
      <c r="G10504" t="s">
        <v>19281</v>
      </c>
      <c r="H10504" t="s">
        <v>859</v>
      </c>
      <c r="I10504" t="s">
        <v>860</v>
      </c>
      <c r="J10504" t="str">
        <f>"9200514"</f>
        <v>9200514</v>
      </c>
      <c r="K10504">
        <v>2651055227</v>
      </c>
      <c r="L10504">
        <v>2651055227</v>
      </c>
      <c r="M10504" t="s">
        <v>20137</v>
      </c>
      <c r="N10504" t="s">
        <v>20138</v>
      </c>
      <c r="O10504" t="s">
        <v>20139</v>
      </c>
      <c r="P10504">
        <v>45500</v>
      </c>
      <c r="Q10504" t="str">
        <f>"39.580625"</f>
        <v>39.580625</v>
      </c>
      <c r="R10504" t="str">
        <f>"20.918701"</f>
        <v>20.918701</v>
      </c>
      <c r="S10504" t="s">
        <v>26</v>
      </c>
    </row>
    <row r="10505" spans="1:19" x14ac:dyDescent="0.3">
      <c r="A10505" t="s">
        <v>18804</v>
      </c>
      <c r="B10505" t="s">
        <v>19929</v>
      </c>
      <c r="C10505" t="s">
        <v>20140</v>
      </c>
      <c r="D10505" t="s">
        <v>18818</v>
      </c>
      <c r="E10505" t="s">
        <v>19061</v>
      </c>
      <c r="F10505" t="s">
        <v>19062</v>
      </c>
      <c r="G10505" t="s">
        <v>19062</v>
      </c>
      <c r="H10505" t="s">
        <v>859</v>
      </c>
      <c r="I10505" t="s">
        <v>860</v>
      </c>
      <c r="J10505" t="str">
        <f>"9200291"</f>
        <v>9200291</v>
      </c>
      <c r="K10505">
        <v>2653042078</v>
      </c>
      <c r="L10505">
        <v>2653042078</v>
      </c>
      <c r="M10505" t="s">
        <v>20141</v>
      </c>
      <c r="N10505" t="s">
        <v>19062</v>
      </c>
      <c r="O10505" t="s">
        <v>20142</v>
      </c>
      <c r="P10505">
        <v>44004</v>
      </c>
      <c r="Q10505" t="str">
        <f>"39.885862"</f>
        <v>39.885862</v>
      </c>
      <c r="R10505" t="str">
        <f>"20.623429"</f>
        <v>20.623429</v>
      </c>
      <c r="S10505" t="s">
        <v>26</v>
      </c>
    </row>
    <row r="10506" spans="1:19" x14ac:dyDescent="0.3">
      <c r="A10506" t="s">
        <v>18804</v>
      </c>
      <c r="B10506" t="s">
        <v>19929</v>
      </c>
      <c r="C10506" t="s">
        <v>20143</v>
      </c>
      <c r="D10506" t="s">
        <v>18818</v>
      </c>
      <c r="E10506" t="s">
        <v>18819</v>
      </c>
      <c r="F10506" t="s">
        <v>18819</v>
      </c>
      <c r="G10506" t="s">
        <v>18819</v>
      </c>
      <c r="H10506" t="s">
        <v>859</v>
      </c>
      <c r="I10506" t="s">
        <v>860</v>
      </c>
      <c r="J10506" t="str">
        <f>"9200482"</f>
        <v>9200482</v>
      </c>
      <c r="K10506">
        <v>2651038311</v>
      </c>
      <c r="L10506">
        <v>2651020191</v>
      </c>
      <c r="M10506" t="s">
        <v>20144</v>
      </c>
      <c r="N10506" t="s">
        <v>18818</v>
      </c>
      <c r="O10506" t="s">
        <v>20145</v>
      </c>
      <c r="P10506">
        <v>45221</v>
      </c>
      <c r="Q10506" t="str">
        <f>"39.659169"</f>
        <v>39.659169</v>
      </c>
      <c r="R10506" t="str">
        <f>"20.857348"</f>
        <v>20.857348</v>
      </c>
      <c r="S10506" t="s">
        <v>26</v>
      </c>
    </row>
    <row r="10507" spans="1:19" x14ac:dyDescent="0.3">
      <c r="A10507" t="s">
        <v>18804</v>
      </c>
      <c r="B10507" t="s">
        <v>19929</v>
      </c>
      <c r="C10507" t="s">
        <v>20148</v>
      </c>
      <c r="D10507" t="s">
        <v>18818</v>
      </c>
      <c r="E10507" t="s">
        <v>19105</v>
      </c>
      <c r="F10507" t="s">
        <v>20146</v>
      </c>
      <c r="G10507" t="s">
        <v>20147</v>
      </c>
      <c r="H10507" t="s">
        <v>859</v>
      </c>
      <c r="I10507" t="s">
        <v>860</v>
      </c>
      <c r="J10507" t="str">
        <f>"9200524"</f>
        <v>9200524</v>
      </c>
      <c r="K10507">
        <v>2655081219</v>
      </c>
      <c r="L10507">
        <v>2655081219</v>
      </c>
      <c r="M10507" t="s">
        <v>20149</v>
      </c>
      <c r="N10507" t="s">
        <v>20147</v>
      </c>
      <c r="O10507" t="s">
        <v>20150</v>
      </c>
      <c r="P10507">
        <v>44100</v>
      </c>
      <c r="Q10507" t="str">
        <f>"40.240325"</f>
        <v>40.240325</v>
      </c>
      <c r="R10507" t="str">
        <f>"20.885581"</f>
        <v>20.885581</v>
      </c>
      <c r="S10507" t="s">
        <v>57</v>
      </c>
    </row>
    <row r="10508" spans="1:19" x14ac:dyDescent="0.3">
      <c r="A10508" t="s">
        <v>18804</v>
      </c>
      <c r="B10508" t="s">
        <v>19929</v>
      </c>
      <c r="C10508" t="s">
        <v>20151</v>
      </c>
      <c r="D10508" t="s">
        <v>18818</v>
      </c>
      <c r="E10508" t="s">
        <v>19105</v>
      </c>
      <c r="F10508" t="s">
        <v>19105</v>
      </c>
      <c r="G10508" t="s">
        <v>19106</v>
      </c>
      <c r="H10508" t="s">
        <v>859</v>
      </c>
      <c r="I10508" t="s">
        <v>860</v>
      </c>
      <c r="J10508" t="str">
        <f>"9200299"</f>
        <v>9200299</v>
      </c>
      <c r="K10508">
        <v>2655022236</v>
      </c>
      <c r="L10508">
        <v>2655022236</v>
      </c>
      <c r="M10508" t="s">
        <v>20152</v>
      </c>
      <c r="N10508" t="s">
        <v>19105</v>
      </c>
      <c r="O10508" t="s">
        <v>20153</v>
      </c>
      <c r="P10508">
        <v>44100</v>
      </c>
      <c r="Q10508" t="str">
        <f>"40.045047"</f>
        <v>40.045047</v>
      </c>
      <c r="R10508" t="str">
        <f>"20.752535"</f>
        <v>20.752535</v>
      </c>
      <c r="S10508" t="s">
        <v>26</v>
      </c>
    </row>
    <row r="10509" spans="1:19" x14ac:dyDescent="0.3">
      <c r="A10509" t="s">
        <v>18804</v>
      </c>
      <c r="B10509" t="s">
        <v>19929</v>
      </c>
      <c r="C10509" t="s">
        <v>20157</v>
      </c>
      <c r="D10509" t="s">
        <v>18818</v>
      </c>
      <c r="E10509" t="s">
        <v>18819</v>
      </c>
      <c r="F10509" t="s">
        <v>6203</v>
      </c>
      <c r="G10509" t="s">
        <v>20156</v>
      </c>
      <c r="H10509" t="s">
        <v>859</v>
      </c>
      <c r="I10509" t="s">
        <v>860</v>
      </c>
      <c r="J10509" t="str">
        <f>"9200460"</f>
        <v>9200460</v>
      </c>
      <c r="K10509">
        <v>2651062092</v>
      </c>
      <c r="L10509">
        <v>2651062092</v>
      </c>
      <c r="M10509" t="s">
        <v>20158</v>
      </c>
      <c r="N10509" t="s">
        <v>20156</v>
      </c>
      <c r="O10509" t="s">
        <v>20159</v>
      </c>
      <c r="P10509">
        <v>45500</v>
      </c>
      <c r="Q10509" t="str">
        <f>"39.748067"</f>
        <v>39.748067</v>
      </c>
      <c r="R10509" t="str">
        <f>"20.794876"</f>
        <v>20.794876</v>
      </c>
      <c r="S10509" t="s">
        <v>26</v>
      </c>
    </row>
    <row r="10510" spans="1:19" x14ac:dyDescent="0.3">
      <c r="A10510" t="s">
        <v>18804</v>
      </c>
      <c r="B10510" t="s">
        <v>19929</v>
      </c>
      <c r="C10510" t="s">
        <v>20160</v>
      </c>
      <c r="D10510" t="s">
        <v>18818</v>
      </c>
      <c r="E10510" t="s">
        <v>18819</v>
      </c>
      <c r="F10510" t="s">
        <v>6203</v>
      </c>
      <c r="G10510" t="s">
        <v>19974</v>
      </c>
      <c r="H10510" t="s">
        <v>859</v>
      </c>
      <c r="I10510" t="s">
        <v>860</v>
      </c>
      <c r="J10510" t="str">
        <f>"9200562"</f>
        <v>9200562</v>
      </c>
      <c r="K10510">
        <v>2651063663</v>
      </c>
      <c r="L10510">
        <v>2651063663</v>
      </c>
      <c r="M10510" t="s">
        <v>20161</v>
      </c>
      <c r="N10510" t="s">
        <v>19974</v>
      </c>
      <c r="O10510" t="s">
        <v>20162</v>
      </c>
      <c r="P10510">
        <v>45500</v>
      </c>
      <c r="Q10510" t="str">
        <f>"39.722470"</f>
        <v>39.722470</v>
      </c>
      <c r="R10510" t="str">
        <f>"20.829351"</f>
        <v>20.829351</v>
      </c>
      <c r="S10510" t="s">
        <v>26</v>
      </c>
    </row>
    <row r="10511" spans="1:19" x14ac:dyDescent="0.3">
      <c r="A10511" t="s">
        <v>18804</v>
      </c>
      <c r="B10511" t="s">
        <v>19929</v>
      </c>
      <c r="C10511" t="s">
        <v>20164</v>
      </c>
      <c r="D10511" t="s">
        <v>18818</v>
      </c>
      <c r="E10511" t="s">
        <v>19073</v>
      </c>
      <c r="F10511" t="s">
        <v>19073</v>
      </c>
      <c r="G10511" t="s">
        <v>20163</v>
      </c>
      <c r="H10511" t="s">
        <v>859</v>
      </c>
      <c r="I10511" t="s">
        <v>860</v>
      </c>
      <c r="J10511" t="str">
        <f>"9200089"</f>
        <v>9200089</v>
      </c>
      <c r="K10511">
        <v>2656041610</v>
      </c>
      <c r="M10511" t="s">
        <v>20165</v>
      </c>
      <c r="N10511" t="s">
        <v>20163</v>
      </c>
      <c r="O10511" t="s">
        <v>20166</v>
      </c>
      <c r="P10511">
        <v>44200</v>
      </c>
      <c r="Q10511" t="str">
        <f>"39.760807"</f>
        <v>39.760807</v>
      </c>
      <c r="R10511" t="str">
        <f>"21.187948"</f>
        <v>21.187948</v>
      </c>
      <c r="S10511" t="s">
        <v>26</v>
      </c>
    </row>
    <row r="10512" spans="1:19" x14ac:dyDescent="0.3">
      <c r="A10512" t="s">
        <v>18804</v>
      </c>
      <c r="B10512" t="s">
        <v>19929</v>
      </c>
      <c r="C10512" t="s">
        <v>20167</v>
      </c>
      <c r="D10512" t="s">
        <v>18818</v>
      </c>
      <c r="E10512" t="s">
        <v>19111</v>
      </c>
      <c r="F10512" t="s">
        <v>19138</v>
      </c>
      <c r="G10512" t="s">
        <v>19139</v>
      </c>
      <c r="H10512" t="s">
        <v>859</v>
      </c>
      <c r="I10512" t="s">
        <v>860</v>
      </c>
      <c r="J10512" t="str">
        <f>"9200017"</f>
        <v>9200017</v>
      </c>
      <c r="K10512">
        <v>2651063117</v>
      </c>
      <c r="L10512">
        <v>2651063117</v>
      </c>
      <c r="M10512" t="s">
        <v>20168</v>
      </c>
      <c r="N10512" t="s">
        <v>20169</v>
      </c>
      <c r="O10512" t="s">
        <v>20170</v>
      </c>
      <c r="P10512">
        <v>45445</v>
      </c>
      <c r="Q10512" t="str">
        <f>"39.708098"</f>
        <v>39.708098</v>
      </c>
      <c r="R10512" t="str">
        <f>"20.790334"</f>
        <v>20.790334</v>
      </c>
      <c r="S10512" t="s">
        <v>26</v>
      </c>
    </row>
    <row r="10513" spans="1:19" x14ac:dyDescent="0.3">
      <c r="A10513" t="s">
        <v>18804</v>
      </c>
      <c r="B10513" t="s">
        <v>19929</v>
      </c>
      <c r="C10513" t="s">
        <v>20175</v>
      </c>
      <c r="D10513" t="s">
        <v>18818</v>
      </c>
      <c r="E10513" t="s">
        <v>18819</v>
      </c>
      <c r="F10513" t="s">
        <v>20174</v>
      </c>
      <c r="G10513" t="s">
        <v>20174</v>
      </c>
      <c r="H10513" t="s">
        <v>859</v>
      </c>
      <c r="I10513" t="s">
        <v>860</v>
      </c>
      <c r="J10513" t="str">
        <f>"9200579"</f>
        <v>9200579</v>
      </c>
      <c r="K10513">
        <v>2651081215</v>
      </c>
      <c r="L10513">
        <v>2651081215</v>
      </c>
      <c r="M10513" t="s">
        <v>20176</v>
      </c>
      <c r="N10513" t="s">
        <v>20177</v>
      </c>
      <c r="O10513" t="s">
        <v>20178</v>
      </c>
      <c r="P10513">
        <v>45500</v>
      </c>
      <c r="Q10513" t="str">
        <f>"39.680195"</f>
        <v>39.680195</v>
      </c>
      <c r="R10513" t="str">
        <f>"20.873502"</f>
        <v>20.873502</v>
      </c>
      <c r="S10513" t="s">
        <v>26</v>
      </c>
    </row>
    <row r="10514" spans="1:19" x14ac:dyDescent="0.3">
      <c r="A10514" t="s">
        <v>18804</v>
      </c>
      <c r="B10514" t="s">
        <v>19929</v>
      </c>
      <c r="C10514" t="s">
        <v>20179</v>
      </c>
      <c r="D10514" t="s">
        <v>18818</v>
      </c>
      <c r="E10514" t="s">
        <v>19936</v>
      </c>
      <c r="F10514" t="s">
        <v>20091</v>
      </c>
      <c r="G10514" t="s">
        <v>20091</v>
      </c>
      <c r="H10514" t="s">
        <v>859</v>
      </c>
      <c r="I10514" t="s">
        <v>860</v>
      </c>
      <c r="J10514" t="str">
        <f>"9520854"</f>
        <v>9520854</v>
      </c>
      <c r="K10514">
        <v>2653025010</v>
      </c>
      <c r="M10514" t="s">
        <v>20180</v>
      </c>
      <c r="N10514" t="s">
        <v>20094</v>
      </c>
      <c r="O10514" t="s">
        <v>20094</v>
      </c>
      <c r="P10514">
        <v>44004</v>
      </c>
      <c r="Q10514" t="str">
        <f>"39.968084"</f>
        <v>39.968084</v>
      </c>
      <c r="R10514" t="str">
        <f>"20.718721"</f>
        <v>20.718721</v>
      </c>
      <c r="S10514" t="s">
        <v>57</v>
      </c>
    </row>
    <row r="10515" spans="1:19" x14ac:dyDescent="0.3">
      <c r="A10515" t="s">
        <v>18804</v>
      </c>
      <c r="B10515" t="s">
        <v>19929</v>
      </c>
      <c r="C10515" t="s">
        <v>20192</v>
      </c>
      <c r="D10515" t="s">
        <v>18818</v>
      </c>
      <c r="E10515" t="s">
        <v>18819</v>
      </c>
      <c r="F10515" t="s">
        <v>6203</v>
      </c>
      <c r="G10515" t="s">
        <v>20191</v>
      </c>
      <c r="H10515" t="s">
        <v>859</v>
      </c>
      <c r="I10515" t="s">
        <v>860</v>
      </c>
      <c r="J10515" t="str">
        <f>"9200067"</f>
        <v>9200067</v>
      </c>
      <c r="K10515">
        <v>2651062682</v>
      </c>
      <c r="L10515">
        <v>2651062682</v>
      </c>
      <c r="M10515" t="s">
        <v>20193</v>
      </c>
      <c r="N10515" t="s">
        <v>20191</v>
      </c>
      <c r="O10515" t="s">
        <v>20194</v>
      </c>
      <c r="P10515">
        <v>45500</v>
      </c>
      <c r="Q10515" t="str">
        <f>"39.762376"</f>
        <v>39.762376</v>
      </c>
      <c r="R10515" t="str">
        <f>"20.777262"</f>
        <v>20.777262</v>
      </c>
      <c r="S10515" t="s">
        <v>26</v>
      </c>
    </row>
    <row r="10516" spans="1:19" x14ac:dyDescent="0.3">
      <c r="A10516" t="s">
        <v>18804</v>
      </c>
      <c r="B10516" t="s">
        <v>19929</v>
      </c>
      <c r="C10516" t="s">
        <v>20198</v>
      </c>
      <c r="D10516" t="s">
        <v>18818</v>
      </c>
      <c r="E10516" t="s">
        <v>19936</v>
      </c>
      <c r="F10516" t="s">
        <v>20096</v>
      </c>
      <c r="G10516" t="s">
        <v>20097</v>
      </c>
      <c r="H10516" t="s">
        <v>859</v>
      </c>
      <c r="I10516" t="s">
        <v>860</v>
      </c>
      <c r="J10516" t="str">
        <f>"9200600"</f>
        <v>9200600</v>
      </c>
      <c r="K10516">
        <v>2653081273</v>
      </c>
      <c r="L10516">
        <v>2653081273</v>
      </c>
      <c r="M10516" t="s">
        <v>20199</v>
      </c>
      <c r="N10516" t="s">
        <v>20097</v>
      </c>
      <c r="O10516" t="s">
        <v>20100</v>
      </c>
      <c r="P10516">
        <v>44010</v>
      </c>
      <c r="Q10516" t="str">
        <f>"39.905029"</f>
        <v>39.905029</v>
      </c>
      <c r="R10516" t="str">
        <f>"20.820875"</f>
        <v>20.820875</v>
      </c>
      <c r="S10516" t="s">
        <v>57</v>
      </c>
    </row>
    <row r="10517" spans="1:19" x14ac:dyDescent="0.3">
      <c r="A10517" t="s">
        <v>18804</v>
      </c>
      <c r="B10517" t="s">
        <v>19929</v>
      </c>
      <c r="C10517" t="s">
        <v>20201</v>
      </c>
      <c r="D10517" t="s">
        <v>18818</v>
      </c>
      <c r="E10517" t="s">
        <v>18819</v>
      </c>
      <c r="F10517" t="s">
        <v>19131</v>
      </c>
      <c r="G10517" t="s">
        <v>20200</v>
      </c>
      <c r="H10517" t="s">
        <v>859</v>
      </c>
      <c r="I10517" t="s">
        <v>860</v>
      </c>
      <c r="J10517" t="str">
        <f>"9200120"</f>
        <v>9200120</v>
      </c>
      <c r="K10517">
        <v>2651058574</v>
      </c>
      <c r="L10517">
        <v>2651058233</v>
      </c>
      <c r="M10517" t="s">
        <v>20202</v>
      </c>
      <c r="N10517" t="s">
        <v>20200</v>
      </c>
      <c r="O10517" t="s">
        <v>20203</v>
      </c>
      <c r="P10517">
        <v>45500</v>
      </c>
      <c r="Q10517" t="str">
        <f>"39.627139"</f>
        <v>39.627139</v>
      </c>
      <c r="R10517" t="str">
        <f>"20.971428"</f>
        <v>20.971428</v>
      </c>
      <c r="S10517" t="s">
        <v>26</v>
      </c>
    </row>
    <row r="10518" spans="1:19" x14ac:dyDescent="0.3">
      <c r="A10518" t="s">
        <v>18804</v>
      </c>
      <c r="B10518" t="s">
        <v>19929</v>
      </c>
      <c r="C10518" t="s">
        <v>20204</v>
      </c>
      <c r="D10518" t="s">
        <v>18818</v>
      </c>
      <c r="E10518" t="s">
        <v>18819</v>
      </c>
      <c r="F10518" t="s">
        <v>18819</v>
      </c>
      <c r="G10518" t="s">
        <v>18819</v>
      </c>
      <c r="H10518" t="s">
        <v>859</v>
      </c>
      <c r="I10518" t="s">
        <v>860</v>
      </c>
      <c r="J10518" t="str">
        <f>"9200192"</f>
        <v>9200192</v>
      </c>
      <c r="K10518">
        <v>2651075384</v>
      </c>
      <c r="L10518">
        <v>2651072170</v>
      </c>
      <c r="M10518" t="s">
        <v>20205</v>
      </c>
      <c r="N10518" t="s">
        <v>18818</v>
      </c>
      <c r="O10518" t="s">
        <v>20206</v>
      </c>
      <c r="P10518">
        <v>45444</v>
      </c>
      <c r="Q10518" t="str">
        <f>"39.669900"</f>
        <v>39.669900</v>
      </c>
      <c r="R10518" t="str">
        <f>"20.848773"</f>
        <v>20.848773</v>
      </c>
      <c r="S10518" t="s">
        <v>26</v>
      </c>
    </row>
    <row r="10519" spans="1:19" x14ac:dyDescent="0.3">
      <c r="A10519" t="s">
        <v>18804</v>
      </c>
      <c r="B10519" t="s">
        <v>19929</v>
      </c>
      <c r="C10519" t="s">
        <v>20207</v>
      </c>
      <c r="D10519" t="s">
        <v>18818</v>
      </c>
      <c r="E10519" t="s">
        <v>18819</v>
      </c>
      <c r="F10519" t="s">
        <v>18819</v>
      </c>
      <c r="G10519" t="s">
        <v>18819</v>
      </c>
      <c r="H10519" t="s">
        <v>859</v>
      </c>
      <c r="I10519" t="s">
        <v>1102</v>
      </c>
      <c r="J10519" t="str">
        <f>"9200594"</f>
        <v>9200594</v>
      </c>
      <c r="K10519">
        <v>2651042459</v>
      </c>
      <c r="L10519">
        <v>2651066579</v>
      </c>
      <c r="M10519" t="s">
        <v>20208</v>
      </c>
      <c r="N10519" t="s">
        <v>18818</v>
      </c>
      <c r="O10519" t="s">
        <v>19963</v>
      </c>
      <c r="P10519">
        <v>45332</v>
      </c>
      <c r="Q10519" t="str">
        <f>"39.660124"</f>
        <v>39.660124</v>
      </c>
      <c r="R10519" t="str">
        <f>"20.845978"</f>
        <v>20.845978</v>
      </c>
      <c r="S10519" t="s">
        <v>26</v>
      </c>
    </row>
    <row r="10520" spans="1:19" x14ac:dyDescent="0.3">
      <c r="A10520" t="s">
        <v>18804</v>
      </c>
      <c r="B10520" t="s">
        <v>19929</v>
      </c>
      <c r="C10520" t="s">
        <v>20212</v>
      </c>
      <c r="D10520" t="s">
        <v>18818</v>
      </c>
      <c r="E10520" t="s">
        <v>18819</v>
      </c>
      <c r="F10520" t="s">
        <v>19179</v>
      </c>
      <c r="G10520" t="s">
        <v>20211</v>
      </c>
      <c r="H10520" t="s">
        <v>859</v>
      </c>
      <c r="I10520" t="s">
        <v>1102</v>
      </c>
      <c r="J10520" t="str">
        <f>"9200573"</f>
        <v>9200573</v>
      </c>
      <c r="K10520">
        <v>2651034493</v>
      </c>
      <c r="L10520">
        <v>2651034493</v>
      </c>
      <c r="M10520" t="s">
        <v>20213</v>
      </c>
      <c r="N10520" t="s">
        <v>20214</v>
      </c>
      <c r="O10520" t="s">
        <v>20215</v>
      </c>
      <c r="P10520">
        <v>45500</v>
      </c>
      <c r="Q10520" t="str">
        <f>"39.591713"</f>
        <v>39.591713</v>
      </c>
      <c r="R10520" t="str">
        <f>"20.873409"</f>
        <v>20.873409</v>
      </c>
      <c r="S10520" t="s">
        <v>26</v>
      </c>
    </row>
    <row r="10521" spans="1:19" x14ac:dyDescent="0.3">
      <c r="A10521" t="s">
        <v>18804</v>
      </c>
      <c r="B10521" t="s">
        <v>19929</v>
      </c>
      <c r="C10521" t="s">
        <v>20219</v>
      </c>
      <c r="D10521" t="s">
        <v>18818</v>
      </c>
      <c r="E10521" t="s">
        <v>19105</v>
      </c>
      <c r="F10521" t="s">
        <v>20218</v>
      </c>
      <c r="G10521" t="s">
        <v>20218</v>
      </c>
      <c r="H10521" t="s">
        <v>859</v>
      </c>
      <c r="I10521" t="s">
        <v>860</v>
      </c>
      <c r="J10521" t="str">
        <f>"9200317"</f>
        <v>9200317</v>
      </c>
      <c r="K10521">
        <v>2655024801</v>
      </c>
      <c r="L10521">
        <v>2655024801</v>
      </c>
      <c r="M10521" t="s">
        <v>20220</v>
      </c>
      <c r="N10521" t="s">
        <v>20218</v>
      </c>
      <c r="O10521" t="s">
        <v>20221</v>
      </c>
      <c r="P10521">
        <v>44100</v>
      </c>
      <c r="Q10521" t="str">
        <f>"40.026246"</f>
        <v>40.026246</v>
      </c>
      <c r="R10521" t="str">
        <f>"21.016773"</f>
        <v>21.016773</v>
      </c>
      <c r="S10521" t="s">
        <v>57</v>
      </c>
    </row>
    <row r="10522" spans="1:19" x14ac:dyDescent="0.3">
      <c r="A10522" t="s">
        <v>18804</v>
      </c>
      <c r="B10522" t="s">
        <v>19929</v>
      </c>
      <c r="C10522" t="s">
        <v>20230</v>
      </c>
      <c r="D10522" t="s">
        <v>18818</v>
      </c>
      <c r="E10522" t="s">
        <v>18819</v>
      </c>
      <c r="F10522" t="s">
        <v>18819</v>
      </c>
      <c r="G10522" t="s">
        <v>18819</v>
      </c>
      <c r="H10522" t="s">
        <v>859</v>
      </c>
      <c r="I10522" t="s">
        <v>860</v>
      </c>
      <c r="J10522" t="str">
        <f>"9200599"</f>
        <v>9200599</v>
      </c>
      <c r="K10522">
        <v>2651005465</v>
      </c>
      <c r="M10522" t="s">
        <v>20231</v>
      </c>
      <c r="N10522" t="s">
        <v>18818</v>
      </c>
      <c r="O10522" t="s">
        <v>20232</v>
      </c>
      <c r="P10522">
        <v>45110</v>
      </c>
      <c r="Q10522" t="str">
        <f>"39.614172"</f>
        <v>39.614172</v>
      </c>
      <c r="R10522" t="str">
        <f>"20.838273"</f>
        <v>20.838273</v>
      </c>
      <c r="S10522" t="s">
        <v>26</v>
      </c>
    </row>
    <row r="10523" spans="1:19" x14ac:dyDescent="0.3">
      <c r="A10523" t="s">
        <v>18804</v>
      </c>
      <c r="B10523" t="s">
        <v>19929</v>
      </c>
      <c r="C10523" t="s">
        <v>20233</v>
      </c>
      <c r="D10523" t="s">
        <v>18818</v>
      </c>
      <c r="E10523" t="s">
        <v>19073</v>
      </c>
      <c r="F10523" t="s">
        <v>19955</v>
      </c>
      <c r="G10523" t="s">
        <v>19955</v>
      </c>
      <c r="H10523" t="s">
        <v>859</v>
      </c>
      <c r="I10523" t="s">
        <v>860</v>
      </c>
      <c r="J10523" t="str">
        <f>"9200093"</f>
        <v>9200093</v>
      </c>
      <c r="K10523">
        <v>2656061396</v>
      </c>
      <c r="L10523">
        <v>2656061396</v>
      </c>
      <c r="M10523" t="s">
        <v>20234</v>
      </c>
      <c r="N10523" t="s">
        <v>19955</v>
      </c>
      <c r="O10523" t="s">
        <v>20235</v>
      </c>
      <c r="P10523">
        <v>44200</v>
      </c>
      <c r="Q10523" t="str">
        <f>"39.852207"</f>
        <v>39.852207</v>
      </c>
      <c r="R10523" t="str">
        <f>"21.229494"</f>
        <v>21.229494</v>
      </c>
      <c r="S10523" t="s">
        <v>57</v>
      </c>
    </row>
    <row r="10524" spans="1:19" x14ac:dyDescent="0.3">
      <c r="A10524" t="s">
        <v>18804</v>
      </c>
      <c r="B10524" t="s">
        <v>19929</v>
      </c>
      <c r="C10524" t="s">
        <v>20236</v>
      </c>
      <c r="D10524" t="s">
        <v>18818</v>
      </c>
      <c r="E10524" t="s">
        <v>18819</v>
      </c>
      <c r="F10524" t="s">
        <v>19131</v>
      </c>
      <c r="G10524" t="s">
        <v>19132</v>
      </c>
      <c r="H10524" t="s">
        <v>859</v>
      </c>
      <c r="I10524" t="s">
        <v>860</v>
      </c>
      <c r="J10524" t="str">
        <f>"9200129"</f>
        <v>9200129</v>
      </c>
      <c r="K10524">
        <v>2651093006</v>
      </c>
      <c r="L10524">
        <v>2651093006</v>
      </c>
      <c r="M10524" t="s">
        <v>20237</v>
      </c>
      <c r="N10524" t="s">
        <v>19132</v>
      </c>
      <c r="O10524" t="s">
        <v>20238</v>
      </c>
      <c r="P10524">
        <v>45500</v>
      </c>
      <c r="Q10524" t="str">
        <f>"39.623227"</f>
        <v>39.623227</v>
      </c>
      <c r="R10524" t="str">
        <f>"20.886005"</f>
        <v>20.886005</v>
      </c>
      <c r="S10524" t="s">
        <v>26</v>
      </c>
    </row>
    <row r="10525" spans="1:19" x14ac:dyDescent="0.3">
      <c r="A10525" t="s">
        <v>18804</v>
      </c>
      <c r="B10525" t="s">
        <v>19929</v>
      </c>
      <c r="C10525" t="s">
        <v>20239</v>
      </c>
      <c r="D10525" t="s">
        <v>18818</v>
      </c>
      <c r="E10525" t="s">
        <v>18819</v>
      </c>
      <c r="F10525" t="s">
        <v>19131</v>
      </c>
      <c r="G10525" t="s">
        <v>19132</v>
      </c>
      <c r="H10525" t="s">
        <v>859</v>
      </c>
      <c r="I10525" t="s">
        <v>860</v>
      </c>
      <c r="J10525" t="str">
        <f>"9200490"</f>
        <v>9200490</v>
      </c>
      <c r="K10525">
        <v>2651093006</v>
      </c>
      <c r="L10525">
        <v>2651093006</v>
      </c>
      <c r="M10525" t="s">
        <v>20240</v>
      </c>
      <c r="N10525" t="s">
        <v>19132</v>
      </c>
      <c r="O10525" t="s">
        <v>20238</v>
      </c>
      <c r="P10525">
        <v>45500</v>
      </c>
      <c r="Q10525" t="str">
        <f>"39.623247"</f>
        <v>39.623247</v>
      </c>
      <c r="R10525" t="str">
        <f>"20.885994"</f>
        <v>20.885994</v>
      </c>
      <c r="S10525" t="s">
        <v>26</v>
      </c>
    </row>
    <row r="10526" spans="1:19" x14ac:dyDescent="0.3">
      <c r="A10526" t="s">
        <v>18804</v>
      </c>
      <c r="B10526" t="s">
        <v>19929</v>
      </c>
      <c r="C10526" t="s">
        <v>20241</v>
      </c>
      <c r="D10526" t="s">
        <v>18818</v>
      </c>
      <c r="E10526" t="s">
        <v>18819</v>
      </c>
      <c r="F10526" t="s">
        <v>19179</v>
      </c>
      <c r="G10526" t="s">
        <v>19179</v>
      </c>
      <c r="H10526" t="s">
        <v>859</v>
      </c>
      <c r="I10526" t="s">
        <v>860</v>
      </c>
      <c r="J10526" t="str">
        <f>"9200515"</f>
        <v>9200515</v>
      </c>
      <c r="K10526">
        <v>2651048006</v>
      </c>
      <c r="M10526" t="s">
        <v>20242</v>
      </c>
      <c r="N10526" t="s">
        <v>19179</v>
      </c>
      <c r="O10526" t="s">
        <v>20243</v>
      </c>
      <c r="P10526">
        <v>45221</v>
      </c>
      <c r="Q10526" t="str">
        <f>"39.632234"</f>
        <v>39.632234</v>
      </c>
      <c r="R10526" t="str">
        <f>"20.871418"</f>
        <v>20.871418</v>
      </c>
      <c r="S10526" t="s">
        <v>26</v>
      </c>
    </row>
    <row r="10527" spans="1:19" x14ac:dyDescent="0.3">
      <c r="A10527" t="s">
        <v>18804</v>
      </c>
      <c r="B10527" t="s">
        <v>19929</v>
      </c>
      <c r="C10527" t="s">
        <v>20244</v>
      </c>
      <c r="D10527" t="s">
        <v>18818</v>
      </c>
      <c r="E10527" t="s">
        <v>19061</v>
      </c>
      <c r="F10527" t="s">
        <v>19082</v>
      </c>
      <c r="G10527" t="s">
        <v>19083</v>
      </c>
      <c r="H10527" t="s">
        <v>859</v>
      </c>
      <c r="I10527" t="s">
        <v>860</v>
      </c>
      <c r="J10527" t="str">
        <f>"9200377"</f>
        <v>9200377</v>
      </c>
      <c r="K10527">
        <v>2653031842</v>
      </c>
      <c r="L10527">
        <v>2653031244</v>
      </c>
      <c r="M10527" t="s">
        <v>20245</v>
      </c>
      <c r="N10527" t="s">
        <v>18822</v>
      </c>
      <c r="O10527" t="s">
        <v>20246</v>
      </c>
      <c r="P10527">
        <v>44004</v>
      </c>
      <c r="Q10527" t="str">
        <f>"39.861830"</f>
        <v>39.861830</v>
      </c>
      <c r="R10527" t="str">
        <f>"20.572486"</f>
        <v>20.572486</v>
      </c>
      <c r="S10527" t="s">
        <v>26</v>
      </c>
    </row>
    <row r="10528" spans="1:19" x14ac:dyDescent="0.3">
      <c r="A10528" t="s">
        <v>18804</v>
      </c>
      <c r="B10528" t="s">
        <v>19929</v>
      </c>
      <c r="C10528" t="s">
        <v>20249</v>
      </c>
      <c r="D10528" t="s">
        <v>18818</v>
      </c>
      <c r="E10528" t="s">
        <v>18819</v>
      </c>
      <c r="F10528" t="s">
        <v>18819</v>
      </c>
      <c r="G10528" t="s">
        <v>18819</v>
      </c>
      <c r="H10528" t="s">
        <v>859</v>
      </c>
      <c r="I10528" t="s">
        <v>860</v>
      </c>
      <c r="J10528" t="str">
        <f>"9200569"</f>
        <v>9200569</v>
      </c>
      <c r="K10528">
        <v>2651073024</v>
      </c>
      <c r="L10528">
        <v>2651025088</v>
      </c>
      <c r="M10528" t="s">
        <v>20250</v>
      </c>
      <c r="N10528" t="s">
        <v>18818</v>
      </c>
      <c r="O10528" t="s">
        <v>20251</v>
      </c>
      <c r="P10528">
        <v>45333</v>
      </c>
      <c r="Q10528" t="str">
        <f>"39.675217"</f>
        <v>39.675217</v>
      </c>
      <c r="R10528" t="str">
        <f>"20.838496"</f>
        <v>20.838496</v>
      </c>
      <c r="S10528" t="s">
        <v>26</v>
      </c>
    </row>
    <row r="10529" spans="1:19" x14ac:dyDescent="0.3">
      <c r="A10529" t="s">
        <v>18804</v>
      </c>
      <c r="B10529" t="s">
        <v>19929</v>
      </c>
      <c r="C10529" t="s">
        <v>20254</v>
      </c>
      <c r="D10529" t="s">
        <v>18818</v>
      </c>
      <c r="E10529" t="s">
        <v>18819</v>
      </c>
      <c r="F10529" t="s">
        <v>18819</v>
      </c>
      <c r="G10529" t="s">
        <v>18819</v>
      </c>
      <c r="H10529" t="s">
        <v>859</v>
      </c>
      <c r="I10529" t="s">
        <v>860</v>
      </c>
      <c r="J10529" t="str">
        <f>"9200575"</f>
        <v>9200575</v>
      </c>
      <c r="K10529">
        <v>2651040481</v>
      </c>
      <c r="L10529">
        <v>2651040219</v>
      </c>
      <c r="M10529" t="s">
        <v>20255</v>
      </c>
      <c r="N10529" t="s">
        <v>18818</v>
      </c>
      <c r="O10529" t="s">
        <v>14310</v>
      </c>
      <c r="P10529">
        <v>45332</v>
      </c>
      <c r="Q10529" t="str">
        <f>"39.645189"</f>
        <v>39.645189</v>
      </c>
      <c r="R10529" t="str">
        <f>"20.837047"</f>
        <v>20.837047</v>
      </c>
      <c r="S10529" t="s">
        <v>26</v>
      </c>
    </row>
    <row r="10530" spans="1:19" x14ac:dyDescent="0.3">
      <c r="A10530" t="s">
        <v>18804</v>
      </c>
      <c r="B10530" t="s">
        <v>19929</v>
      </c>
      <c r="C10530" t="s">
        <v>20265</v>
      </c>
      <c r="D10530" t="s">
        <v>18818</v>
      </c>
      <c r="E10530" t="s">
        <v>18819</v>
      </c>
      <c r="F10530" t="s">
        <v>18819</v>
      </c>
      <c r="G10530" t="s">
        <v>20024</v>
      </c>
      <c r="H10530" t="s">
        <v>859</v>
      </c>
      <c r="I10530" t="s">
        <v>860</v>
      </c>
      <c r="J10530" t="str">
        <f>"9200459"</f>
        <v>9200459</v>
      </c>
      <c r="K10530">
        <v>2651078081</v>
      </c>
      <c r="L10530">
        <v>2651078081</v>
      </c>
      <c r="M10530" t="s">
        <v>20266</v>
      </c>
      <c r="N10530" t="s">
        <v>20024</v>
      </c>
      <c r="O10530" t="s">
        <v>20267</v>
      </c>
      <c r="P10530">
        <v>45500</v>
      </c>
      <c r="Q10530" t="str">
        <f>"39.674349"</f>
        <v>39.674349</v>
      </c>
      <c r="R10530" t="str">
        <f>"20.813410"</f>
        <v>20.813410</v>
      </c>
      <c r="S10530" t="s">
        <v>26</v>
      </c>
    </row>
    <row r="10531" spans="1:19" x14ac:dyDescent="0.3">
      <c r="A10531" t="s">
        <v>18804</v>
      </c>
      <c r="B10531" t="s">
        <v>19929</v>
      </c>
      <c r="C10531" t="s">
        <v>20295</v>
      </c>
      <c r="D10531" t="s">
        <v>18818</v>
      </c>
      <c r="E10531" t="s">
        <v>19105</v>
      </c>
      <c r="F10531" t="s">
        <v>19105</v>
      </c>
      <c r="G10531" t="s">
        <v>19106</v>
      </c>
      <c r="H10531" t="s">
        <v>859</v>
      </c>
      <c r="I10531" t="s">
        <v>860</v>
      </c>
      <c r="J10531" t="str">
        <f>"9200294"</f>
        <v>9200294</v>
      </c>
      <c r="K10531">
        <v>2655022103</v>
      </c>
      <c r="L10531">
        <v>2655022103</v>
      </c>
      <c r="M10531" t="s">
        <v>20296</v>
      </c>
      <c r="N10531" t="s">
        <v>19105</v>
      </c>
      <c r="O10531" t="s">
        <v>20297</v>
      </c>
      <c r="P10531">
        <v>44100</v>
      </c>
      <c r="Q10531" t="str">
        <f>"40.047285"</f>
        <v>40.047285</v>
      </c>
      <c r="R10531" t="str">
        <f>"20.755276"</f>
        <v>20.755276</v>
      </c>
      <c r="S10531" t="s">
        <v>26</v>
      </c>
    </row>
    <row r="10532" spans="1:19" x14ac:dyDescent="0.3">
      <c r="A10532" t="s">
        <v>18804</v>
      </c>
      <c r="B10532" t="s">
        <v>19929</v>
      </c>
      <c r="C10532" t="s">
        <v>20315</v>
      </c>
      <c r="D10532" t="s">
        <v>18818</v>
      </c>
      <c r="E10532" t="s">
        <v>19268</v>
      </c>
      <c r="F10532" t="s">
        <v>20309</v>
      </c>
      <c r="G10532" t="s">
        <v>20310</v>
      </c>
      <c r="H10532" t="s">
        <v>859</v>
      </c>
      <c r="I10532" t="s">
        <v>860</v>
      </c>
      <c r="J10532" t="str">
        <f>"9520928"</f>
        <v>9520928</v>
      </c>
      <c r="K10532">
        <v>2659071298</v>
      </c>
      <c r="L10532">
        <v>2659071298</v>
      </c>
      <c r="M10532" t="s">
        <v>20316</v>
      </c>
      <c r="N10532" t="s">
        <v>20317</v>
      </c>
      <c r="O10532" t="s">
        <v>20314</v>
      </c>
      <c r="P10532">
        <v>44013</v>
      </c>
      <c r="Q10532" t="str">
        <f>"39.417407"</f>
        <v>39.417407</v>
      </c>
      <c r="R10532" t="str">
        <f>"21.010046"</f>
        <v>21.010046</v>
      </c>
      <c r="S10532" t="s">
        <v>26</v>
      </c>
    </row>
    <row r="10533" spans="1:19" x14ac:dyDescent="0.3">
      <c r="A10533" t="s">
        <v>18804</v>
      </c>
      <c r="B10533" t="s">
        <v>19929</v>
      </c>
      <c r="C10533" t="s">
        <v>20335</v>
      </c>
      <c r="D10533" t="s">
        <v>18818</v>
      </c>
      <c r="E10533" t="s">
        <v>18819</v>
      </c>
      <c r="F10533" t="s">
        <v>18819</v>
      </c>
      <c r="G10533" t="s">
        <v>18819</v>
      </c>
      <c r="H10533" t="s">
        <v>859</v>
      </c>
      <c r="I10533" t="s">
        <v>860</v>
      </c>
      <c r="J10533" t="str">
        <f>"9200426"</f>
        <v>9200426</v>
      </c>
      <c r="K10533">
        <v>2651047902</v>
      </c>
      <c r="L10533">
        <v>2651047902</v>
      </c>
      <c r="M10533" t="s">
        <v>20336</v>
      </c>
      <c r="N10533" t="s">
        <v>18818</v>
      </c>
      <c r="O10533" t="s">
        <v>20337</v>
      </c>
      <c r="P10533">
        <v>45221</v>
      </c>
      <c r="Q10533" t="str">
        <f>"39.653148"</f>
        <v>39.653148</v>
      </c>
      <c r="R10533" t="str">
        <f>"20.854331"</f>
        <v>20.854331</v>
      </c>
      <c r="S10533" t="s">
        <v>26</v>
      </c>
    </row>
    <row r="10534" spans="1:19" x14ac:dyDescent="0.3">
      <c r="A10534" t="s">
        <v>18804</v>
      </c>
      <c r="B10534" t="s">
        <v>19929</v>
      </c>
      <c r="C10534" t="s">
        <v>20347</v>
      </c>
      <c r="D10534" t="s">
        <v>18818</v>
      </c>
      <c r="E10534" t="s">
        <v>19073</v>
      </c>
      <c r="F10534" t="s">
        <v>19073</v>
      </c>
      <c r="G10534" t="s">
        <v>19073</v>
      </c>
      <c r="H10534" t="s">
        <v>859</v>
      </c>
      <c r="I10534" t="s">
        <v>860</v>
      </c>
      <c r="J10534" t="str">
        <f>"9200086"</f>
        <v>9200086</v>
      </c>
      <c r="K10534">
        <v>2656042774</v>
      </c>
      <c r="L10534">
        <v>2656042774</v>
      </c>
      <c r="M10534" t="s">
        <v>20348</v>
      </c>
      <c r="N10534" t="s">
        <v>19073</v>
      </c>
      <c r="O10534" t="s">
        <v>20349</v>
      </c>
      <c r="P10534">
        <v>44200</v>
      </c>
      <c r="Q10534" t="str">
        <f>"39.770059"</f>
        <v>39.770059</v>
      </c>
      <c r="R10534" t="str">
        <f>"21.182199"</f>
        <v>21.182199</v>
      </c>
      <c r="S10534" t="s">
        <v>26</v>
      </c>
    </row>
    <row r="10535" spans="1:19" x14ac:dyDescent="0.3">
      <c r="A10535" t="s">
        <v>18804</v>
      </c>
      <c r="B10535" t="s">
        <v>19929</v>
      </c>
      <c r="C10535" t="s">
        <v>20354</v>
      </c>
      <c r="D10535" t="s">
        <v>18818</v>
      </c>
      <c r="E10535" t="s">
        <v>18819</v>
      </c>
      <c r="F10535" t="s">
        <v>19131</v>
      </c>
      <c r="G10535" t="s">
        <v>20284</v>
      </c>
      <c r="H10535" t="s">
        <v>859</v>
      </c>
      <c r="I10535" t="s">
        <v>860</v>
      </c>
      <c r="J10535" t="str">
        <f>"9200453"</f>
        <v>9200453</v>
      </c>
      <c r="K10535">
        <v>2651058400</v>
      </c>
      <c r="L10535">
        <v>2651058400</v>
      </c>
      <c r="M10535" t="s">
        <v>20355</v>
      </c>
      <c r="N10535" t="s">
        <v>20284</v>
      </c>
      <c r="O10535" t="s">
        <v>20356</v>
      </c>
      <c r="P10535">
        <v>45500</v>
      </c>
      <c r="Q10535" t="str">
        <f>"39.613705"</f>
        <v>39.613705</v>
      </c>
      <c r="R10535" t="str">
        <f>"20.960637"</f>
        <v>20.960637</v>
      </c>
      <c r="S10535" t="s">
        <v>26</v>
      </c>
    </row>
    <row r="10536" spans="1:19" x14ac:dyDescent="0.3">
      <c r="A10536" t="s">
        <v>18804</v>
      </c>
      <c r="B10536" t="s">
        <v>19929</v>
      </c>
      <c r="C10536" t="s">
        <v>20360</v>
      </c>
      <c r="D10536" t="s">
        <v>18818</v>
      </c>
      <c r="E10536" t="s">
        <v>19073</v>
      </c>
      <c r="F10536" t="s">
        <v>19073</v>
      </c>
      <c r="G10536" t="s">
        <v>20359</v>
      </c>
      <c r="H10536" t="s">
        <v>859</v>
      </c>
      <c r="I10536" t="s">
        <v>860</v>
      </c>
      <c r="J10536" t="str">
        <f>"9200283"</f>
        <v>9200283</v>
      </c>
      <c r="K10536">
        <v>2656022714</v>
      </c>
      <c r="L10536">
        <v>2656022714</v>
      </c>
      <c r="M10536" t="s">
        <v>20361</v>
      </c>
      <c r="N10536" t="s">
        <v>20359</v>
      </c>
      <c r="O10536" t="s">
        <v>20362</v>
      </c>
      <c r="P10536">
        <v>44200</v>
      </c>
      <c r="Q10536" t="str">
        <f>"39.767755"</f>
        <v>39.767755</v>
      </c>
      <c r="R10536" t="str">
        <f>"21.117981"</f>
        <v>21.117981</v>
      </c>
      <c r="S10536" t="s">
        <v>26</v>
      </c>
    </row>
    <row r="10537" spans="1:19" x14ac:dyDescent="0.3">
      <c r="A10537" t="s">
        <v>18804</v>
      </c>
      <c r="B10537" t="s">
        <v>19929</v>
      </c>
      <c r="C10537" t="s">
        <v>20369</v>
      </c>
      <c r="D10537" t="s">
        <v>18818</v>
      </c>
      <c r="E10537" t="s">
        <v>19936</v>
      </c>
      <c r="F10537" t="s">
        <v>19937</v>
      </c>
      <c r="G10537" t="s">
        <v>19938</v>
      </c>
      <c r="H10537" t="s">
        <v>859</v>
      </c>
      <c r="I10537" t="s">
        <v>860</v>
      </c>
      <c r="J10537" t="str">
        <f>"9520853"</f>
        <v>9520853</v>
      </c>
      <c r="K10537">
        <v>2656031119</v>
      </c>
      <c r="M10537" t="s">
        <v>20370</v>
      </c>
      <c r="N10537" t="s">
        <v>20371</v>
      </c>
      <c r="O10537" t="s">
        <v>19941</v>
      </c>
      <c r="P10537">
        <v>45500</v>
      </c>
      <c r="Q10537" t="str">
        <f>"39.733777"</f>
        <v>39.733777</v>
      </c>
      <c r="R10537" t="str">
        <f>"20.963806"</f>
        <v>20.963806</v>
      </c>
      <c r="S10537" t="s">
        <v>26</v>
      </c>
    </row>
    <row r="10538" spans="1:19" x14ac:dyDescent="0.3">
      <c r="A10538" t="s">
        <v>18804</v>
      </c>
      <c r="B10538" t="s">
        <v>19929</v>
      </c>
      <c r="C10538" t="s">
        <v>20385</v>
      </c>
      <c r="D10538" t="s">
        <v>18818</v>
      </c>
      <c r="E10538" t="s">
        <v>18819</v>
      </c>
      <c r="F10538" t="s">
        <v>19131</v>
      </c>
      <c r="G10538" t="s">
        <v>19281</v>
      </c>
      <c r="H10538" t="s">
        <v>859</v>
      </c>
      <c r="I10538" t="s">
        <v>860</v>
      </c>
      <c r="J10538" t="str">
        <f>"9200134"</f>
        <v>9200134</v>
      </c>
      <c r="K10538">
        <v>2651056070</v>
      </c>
      <c r="M10538" t="s">
        <v>20386</v>
      </c>
      <c r="N10538" t="s">
        <v>19281</v>
      </c>
      <c r="O10538" t="s">
        <v>20319</v>
      </c>
      <c r="P10538">
        <v>45500</v>
      </c>
      <c r="Q10538" t="str">
        <f>"39.588420"</f>
        <v>39.588420</v>
      </c>
      <c r="R10538" t="str">
        <f>"20.911013"</f>
        <v>20.911013</v>
      </c>
      <c r="S10538" t="s">
        <v>26</v>
      </c>
    </row>
    <row r="10539" spans="1:19" x14ac:dyDescent="0.3">
      <c r="A10539" t="s">
        <v>18804</v>
      </c>
      <c r="B10539" t="s">
        <v>19929</v>
      </c>
      <c r="C10539" t="s">
        <v>20403</v>
      </c>
      <c r="D10539" t="s">
        <v>18818</v>
      </c>
      <c r="E10539" t="s">
        <v>19964</v>
      </c>
      <c r="F10539" t="s">
        <v>3295</v>
      </c>
      <c r="G10539" t="s">
        <v>20065</v>
      </c>
      <c r="H10539" t="s">
        <v>859</v>
      </c>
      <c r="I10539" t="s">
        <v>860</v>
      </c>
      <c r="J10539" t="str">
        <f>"9200560"</f>
        <v>9200560</v>
      </c>
      <c r="K10539">
        <v>2651096255</v>
      </c>
      <c r="L10539">
        <v>2651096255</v>
      </c>
      <c r="M10539" t="s">
        <v>20404</v>
      </c>
      <c r="N10539" t="s">
        <v>20065</v>
      </c>
      <c r="O10539" t="s">
        <v>20067</v>
      </c>
      <c r="P10539">
        <v>45500</v>
      </c>
      <c r="Q10539" t="str">
        <f>"39.539259"</f>
        <v>39.539259</v>
      </c>
      <c r="R10539" t="str">
        <f>"20.855143"</f>
        <v>20.855143</v>
      </c>
      <c r="S10539" t="s">
        <v>26</v>
      </c>
    </row>
    <row r="10540" spans="1:19" x14ac:dyDescent="0.3">
      <c r="A10540" t="s">
        <v>18804</v>
      </c>
      <c r="B10540" t="s">
        <v>19929</v>
      </c>
      <c r="C10540" t="s">
        <v>20409</v>
      </c>
      <c r="D10540" t="s">
        <v>18818</v>
      </c>
      <c r="E10540" t="s">
        <v>18819</v>
      </c>
      <c r="F10540" t="s">
        <v>18819</v>
      </c>
      <c r="G10540" t="s">
        <v>18819</v>
      </c>
      <c r="H10540" t="s">
        <v>859</v>
      </c>
      <c r="I10540" t="s">
        <v>860</v>
      </c>
      <c r="J10540" t="str">
        <f>"9521220"</f>
        <v>9521220</v>
      </c>
      <c r="K10540">
        <v>2651034616</v>
      </c>
      <c r="L10540">
        <v>2651034616</v>
      </c>
      <c r="M10540" t="s">
        <v>20410</v>
      </c>
      <c r="N10540" t="s">
        <v>18818</v>
      </c>
      <c r="O10540" t="s">
        <v>18823</v>
      </c>
      <c r="P10540">
        <v>45500</v>
      </c>
      <c r="Q10540" t="str">
        <f>"39.671894"</f>
        <v>39.671894</v>
      </c>
      <c r="R10540" t="str">
        <f>"20.817238"</f>
        <v>20.817238</v>
      </c>
      <c r="S10540" t="s">
        <v>26</v>
      </c>
    </row>
    <row r="10541" spans="1:19" x14ac:dyDescent="0.3">
      <c r="A10541" t="s">
        <v>18804</v>
      </c>
      <c r="B10541" t="s">
        <v>19929</v>
      </c>
      <c r="C10541" t="s">
        <v>20411</v>
      </c>
      <c r="D10541" t="s">
        <v>18818</v>
      </c>
      <c r="E10541" t="s">
        <v>18819</v>
      </c>
      <c r="F10541" t="s">
        <v>19179</v>
      </c>
      <c r="G10541" t="s">
        <v>19179</v>
      </c>
      <c r="H10541" t="s">
        <v>859</v>
      </c>
      <c r="I10541" t="s">
        <v>860</v>
      </c>
      <c r="J10541" t="str">
        <f>"9521219"</f>
        <v>9521219</v>
      </c>
      <c r="K10541">
        <v>2651066730</v>
      </c>
      <c r="L10541">
        <v>2651066730</v>
      </c>
      <c r="M10541" t="s">
        <v>20412</v>
      </c>
      <c r="N10541" t="s">
        <v>19179</v>
      </c>
      <c r="O10541" t="s">
        <v>20413</v>
      </c>
      <c r="P10541">
        <v>45221</v>
      </c>
      <c r="Q10541" t="str">
        <f>"39.636555"</f>
        <v>39.636555</v>
      </c>
      <c r="R10541" t="str">
        <f>"20.858588"</f>
        <v>20.858588</v>
      </c>
      <c r="S10541" t="s">
        <v>26</v>
      </c>
    </row>
    <row r="10542" spans="1:19" x14ac:dyDescent="0.3">
      <c r="A10542" t="s">
        <v>18804</v>
      </c>
      <c r="B10542" t="s">
        <v>19929</v>
      </c>
      <c r="C10542" t="s">
        <v>20415</v>
      </c>
      <c r="D10542" t="s">
        <v>18818</v>
      </c>
      <c r="E10542" t="s">
        <v>19111</v>
      </c>
      <c r="F10542" t="s">
        <v>8986</v>
      </c>
      <c r="G10542" t="s">
        <v>4928</v>
      </c>
      <c r="H10542" t="s">
        <v>859</v>
      </c>
      <c r="I10542" t="s">
        <v>860</v>
      </c>
      <c r="J10542" t="str">
        <f>"9200463"</f>
        <v>9200463</v>
      </c>
      <c r="K10542">
        <v>2653022532</v>
      </c>
      <c r="L10542">
        <v>2653022532</v>
      </c>
      <c r="M10542" t="s">
        <v>20416</v>
      </c>
      <c r="N10542" t="s">
        <v>4835</v>
      </c>
      <c r="O10542" t="s">
        <v>4835</v>
      </c>
      <c r="P10542">
        <v>45500</v>
      </c>
      <c r="Q10542" t="str">
        <f>"39.788598"</f>
        <v>39.788598</v>
      </c>
      <c r="R10542" t="str">
        <f>"20.741086"</f>
        <v>20.741086</v>
      </c>
      <c r="S10542" t="s">
        <v>26</v>
      </c>
    </row>
    <row r="10543" spans="1:19" x14ac:dyDescent="0.3">
      <c r="A10543" t="s">
        <v>18804</v>
      </c>
      <c r="B10543" t="s">
        <v>19929</v>
      </c>
      <c r="C10543" t="s">
        <v>20417</v>
      </c>
      <c r="D10543" t="s">
        <v>18818</v>
      </c>
      <c r="E10543" t="s">
        <v>18819</v>
      </c>
      <c r="F10543" t="s">
        <v>19179</v>
      </c>
      <c r="G10543" t="s">
        <v>20211</v>
      </c>
      <c r="H10543" t="s">
        <v>859</v>
      </c>
      <c r="I10543" t="s">
        <v>860</v>
      </c>
      <c r="J10543" t="str">
        <f>"9200156"</f>
        <v>9200156</v>
      </c>
      <c r="K10543">
        <v>2651093595</v>
      </c>
      <c r="L10543">
        <v>2651093595</v>
      </c>
      <c r="M10543" t="s">
        <v>20418</v>
      </c>
      <c r="N10543" t="s">
        <v>20211</v>
      </c>
      <c r="O10543" t="s">
        <v>20215</v>
      </c>
      <c r="P10543">
        <v>45500</v>
      </c>
      <c r="Q10543" t="str">
        <f>"39.585241"</f>
        <v>39.585241</v>
      </c>
      <c r="R10543" t="str">
        <f>"20.877483"</f>
        <v>20.877483</v>
      </c>
      <c r="S10543" t="s">
        <v>26</v>
      </c>
    </row>
    <row r="10544" spans="1:19" x14ac:dyDescent="0.3">
      <c r="A10544" t="s">
        <v>18804</v>
      </c>
      <c r="B10544" t="s">
        <v>19929</v>
      </c>
      <c r="C10544" t="s">
        <v>20419</v>
      </c>
      <c r="D10544" t="s">
        <v>18818</v>
      </c>
      <c r="E10544" t="s">
        <v>19061</v>
      </c>
      <c r="F10544" t="s">
        <v>20341</v>
      </c>
      <c r="G10544" t="s">
        <v>15729</v>
      </c>
      <c r="H10544" t="s">
        <v>859</v>
      </c>
      <c r="I10544" t="s">
        <v>860</v>
      </c>
      <c r="J10544" t="str">
        <f>"9200396"</f>
        <v>9200396</v>
      </c>
      <c r="K10544">
        <v>2657041722</v>
      </c>
      <c r="M10544" t="s">
        <v>20420</v>
      </c>
      <c r="N10544" t="s">
        <v>15729</v>
      </c>
      <c r="O10544" t="s">
        <v>20344</v>
      </c>
      <c r="P10544">
        <v>44006</v>
      </c>
      <c r="Q10544" t="str">
        <f>"40.016037"</f>
        <v>40.016037</v>
      </c>
      <c r="R10544" t="str">
        <f>"20.558532"</f>
        <v>20.558532</v>
      </c>
      <c r="S10544" t="s">
        <v>26</v>
      </c>
    </row>
    <row r="10545" spans="1:19" x14ac:dyDescent="0.3">
      <c r="A10545" t="s">
        <v>18804</v>
      </c>
      <c r="B10545" t="s">
        <v>19929</v>
      </c>
      <c r="C10545" t="s">
        <v>20421</v>
      </c>
      <c r="D10545" t="s">
        <v>18818</v>
      </c>
      <c r="E10545" t="s">
        <v>18819</v>
      </c>
      <c r="F10545" t="s">
        <v>19179</v>
      </c>
      <c r="G10545" t="s">
        <v>19179</v>
      </c>
      <c r="H10545" t="s">
        <v>859</v>
      </c>
      <c r="I10545" t="s">
        <v>860</v>
      </c>
      <c r="J10545" t="str">
        <f>"9521533"</f>
        <v>9521533</v>
      </c>
      <c r="K10545">
        <v>2651003430</v>
      </c>
      <c r="L10545">
        <v>2651003430</v>
      </c>
      <c r="M10545" t="s">
        <v>20422</v>
      </c>
      <c r="N10545" t="s">
        <v>19179</v>
      </c>
      <c r="O10545" t="s">
        <v>20423</v>
      </c>
      <c r="P10545">
        <v>45221</v>
      </c>
      <c r="Q10545" t="str">
        <f>"39.631730"</f>
        <v>39.631730</v>
      </c>
      <c r="R10545" t="str">
        <f>"20.866435"</f>
        <v>20.866435</v>
      </c>
      <c r="S10545" t="s">
        <v>26</v>
      </c>
    </row>
    <row r="10546" spans="1:19" x14ac:dyDescent="0.3">
      <c r="A10546" t="s">
        <v>18804</v>
      </c>
      <c r="B10546" t="s">
        <v>19929</v>
      </c>
      <c r="C10546" t="s">
        <v>20424</v>
      </c>
      <c r="D10546" t="s">
        <v>18818</v>
      </c>
      <c r="E10546" t="s">
        <v>18819</v>
      </c>
      <c r="F10546" t="s">
        <v>18819</v>
      </c>
      <c r="G10546" t="s">
        <v>18819</v>
      </c>
      <c r="H10546" t="s">
        <v>859</v>
      </c>
      <c r="I10546" t="s">
        <v>860</v>
      </c>
      <c r="J10546" t="str">
        <f>"9521534"</f>
        <v>9521534</v>
      </c>
      <c r="K10546">
        <v>2651097445</v>
      </c>
      <c r="M10546" t="s">
        <v>20425</v>
      </c>
      <c r="N10546" t="s">
        <v>18818</v>
      </c>
      <c r="O10546" t="s">
        <v>20426</v>
      </c>
      <c r="P10546">
        <v>45500</v>
      </c>
      <c r="Q10546" t="str">
        <f>"39.620353"</f>
        <v>39.620353</v>
      </c>
      <c r="R10546" t="str">
        <f>"20.838256"</f>
        <v>20.838256</v>
      </c>
      <c r="S10546" t="s">
        <v>26</v>
      </c>
    </row>
    <row r="10547" spans="1:19" x14ac:dyDescent="0.3">
      <c r="A10547" t="s">
        <v>18804</v>
      </c>
      <c r="B10547" t="s">
        <v>19929</v>
      </c>
      <c r="C10547" t="s">
        <v>20427</v>
      </c>
      <c r="D10547" t="s">
        <v>18818</v>
      </c>
      <c r="E10547" t="s">
        <v>18819</v>
      </c>
      <c r="F10547" t="s">
        <v>6203</v>
      </c>
      <c r="G10547" t="s">
        <v>1291</v>
      </c>
      <c r="H10547" t="s">
        <v>859</v>
      </c>
      <c r="I10547" t="s">
        <v>860</v>
      </c>
      <c r="J10547" t="str">
        <f>"9200066"</f>
        <v>9200066</v>
      </c>
      <c r="K10547">
        <v>2651081771</v>
      </c>
      <c r="L10547">
        <v>2561081771</v>
      </c>
      <c r="M10547" t="s">
        <v>20428</v>
      </c>
      <c r="N10547" t="s">
        <v>6203</v>
      </c>
      <c r="O10547" t="s">
        <v>20429</v>
      </c>
      <c r="P10547">
        <v>45500</v>
      </c>
      <c r="Q10547" t="str">
        <f>"39.678011"</f>
        <v>39.678011</v>
      </c>
      <c r="R10547" t="str">
        <f>"20.816091"</f>
        <v>20.816091</v>
      </c>
      <c r="S10547" t="s">
        <v>26</v>
      </c>
    </row>
    <row r="10548" spans="1:19" x14ac:dyDescent="0.3">
      <c r="A10548" t="s">
        <v>18804</v>
      </c>
      <c r="B10548" t="s">
        <v>19929</v>
      </c>
      <c r="C10548" t="s">
        <v>20430</v>
      </c>
      <c r="D10548" t="s">
        <v>18818</v>
      </c>
      <c r="E10548" t="s">
        <v>19111</v>
      </c>
      <c r="F10548" t="s">
        <v>19138</v>
      </c>
      <c r="G10548" t="s">
        <v>19139</v>
      </c>
      <c r="H10548" t="s">
        <v>859</v>
      </c>
      <c r="I10548" t="s">
        <v>860</v>
      </c>
      <c r="J10548" t="str">
        <f>"9521645"</f>
        <v>9521645</v>
      </c>
      <c r="K10548">
        <v>6947127433</v>
      </c>
      <c r="M10548" t="s">
        <v>20431</v>
      </c>
      <c r="N10548" t="s">
        <v>20169</v>
      </c>
      <c r="O10548" t="s">
        <v>20432</v>
      </c>
      <c r="P10548">
        <v>45500</v>
      </c>
      <c r="Q10548" t="str">
        <f>"39.704470"</f>
        <v>39.704470</v>
      </c>
      <c r="R10548" t="str">
        <f>"20.801442"</f>
        <v>20.801442</v>
      </c>
      <c r="S10548" t="s">
        <v>26</v>
      </c>
    </row>
    <row r="10549" spans="1:19" x14ac:dyDescent="0.3">
      <c r="A10549" t="s">
        <v>18804</v>
      </c>
      <c r="B10549" t="s">
        <v>19929</v>
      </c>
      <c r="C10549" t="s">
        <v>20436</v>
      </c>
      <c r="D10549" t="s">
        <v>18818</v>
      </c>
      <c r="E10549" t="s">
        <v>19936</v>
      </c>
      <c r="F10549" t="s">
        <v>19945</v>
      </c>
      <c r="G10549" t="s">
        <v>19945</v>
      </c>
      <c r="H10549" t="s">
        <v>859</v>
      </c>
      <c r="I10549" t="s">
        <v>860</v>
      </c>
      <c r="J10549" t="str">
        <f>"9200526"</f>
        <v>9200526</v>
      </c>
      <c r="M10549" t="s">
        <v>20437</v>
      </c>
      <c r="N10549" t="s">
        <v>20438</v>
      </c>
      <c r="O10549" t="s">
        <v>19948</v>
      </c>
      <c r="P10549">
        <v>44014</v>
      </c>
      <c r="Q10549" t="str">
        <f>"39.937596"</f>
        <v>39.937596</v>
      </c>
      <c r="R10549" t="str">
        <f>"21.049652"</f>
        <v>21.049652</v>
      </c>
      <c r="S10549" t="s">
        <v>57</v>
      </c>
    </row>
    <row r="10550" spans="1:19" x14ac:dyDescent="0.3">
      <c r="A10550" t="s">
        <v>18804</v>
      </c>
      <c r="B10550" t="s">
        <v>20443</v>
      </c>
      <c r="C10550" t="s">
        <v>20444</v>
      </c>
      <c r="D10550" t="s">
        <v>18824</v>
      </c>
      <c r="E10550" t="s">
        <v>18825</v>
      </c>
      <c r="F10550" t="s">
        <v>18825</v>
      </c>
      <c r="G10550" t="s">
        <v>18825</v>
      </c>
      <c r="H10550" t="s">
        <v>859</v>
      </c>
      <c r="I10550" t="s">
        <v>860</v>
      </c>
      <c r="J10550" t="str">
        <f>"9400233"</f>
        <v>9400233</v>
      </c>
      <c r="K10550">
        <v>2682023394</v>
      </c>
      <c r="L10550">
        <v>2682023394</v>
      </c>
      <c r="M10550" t="s">
        <v>20445</v>
      </c>
      <c r="N10550" t="s">
        <v>18828</v>
      </c>
      <c r="O10550" t="s">
        <v>20446</v>
      </c>
      <c r="P10550">
        <v>48100</v>
      </c>
      <c r="Q10550" t="str">
        <f>"38.967123"</f>
        <v>38.967123</v>
      </c>
      <c r="R10550" t="str">
        <f>"20.746137"</f>
        <v>20.746137</v>
      </c>
      <c r="S10550" t="s">
        <v>26</v>
      </c>
    </row>
    <row r="10551" spans="1:19" x14ac:dyDescent="0.3">
      <c r="A10551" t="s">
        <v>18804</v>
      </c>
      <c r="B10551" t="s">
        <v>20443</v>
      </c>
      <c r="C10551" t="s">
        <v>20447</v>
      </c>
      <c r="D10551" t="s">
        <v>18824</v>
      </c>
      <c r="E10551" t="s">
        <v>18825</v>
      </c>
      <c r="F10551" t="s">
        <v>18825</v>
      </c>
      <c r="G10551" t="s">
        <v>18825</v>
      </c>
      <c r="H10551" t="s">
        <v>859</v>
      </c>
      <c r="I10551" t="s">
        <v>860</v>
      </c>
      <c r="J10551" t="str">
        <f>"9400008"</f>
        <v>9400008</v>
      </c>
      <c r="K10551">
        <v>2682027580</v>
      </c>
      <c r="L10551">
        <v>2682027580</v>
      </c>
      <c r="M10551" t="s">
        <v>20448</v>
      </c>
      <c r="N10551" t="s">
        <v>18828</v>
      </c>
      <c r="O10551" t="s">
        <v>20449</v>
      </c>
      <c r="P10551">
        <v>48100</v>
      </c>
      <c r="Q10551" t="str">
        <f>"38.956700"</f>
        <v>38.956700</v>
      </c>
      <c r="R10551" t="str">
        <f>"20.752047"</f>
        <v>20.752047</v>
      </c>
      <c r="S10551" t="s">
        <v>26</v>
      </c>
    </row>
    <row r="10552" spans="1:19" x14ac:dyDescent="0.3">
      <c r="A10552" t="s">
        <v>18804</v>
      </c>
      <c r="B10552" t="s">
        <v>20443</v>
      </c>
      <c r="C10552" t="s">
        <v>20450</v>
      </c>
      <c r="D10552" t="s">
        <v>18824</v>
      </c>
      <c r="E10552" t="s">
        <v>19357</v>
      </c>
      <c r="F10552" t="s">
        <v>19366</v>
      </c>
      <c r="G10552" t="s">
        <v>19366</v>
      </c>
      <c r="H10552" t="s">
        <v>859</v>
      </c>
      <c r="I10552" t="s">
        <v>860</v>
      </c>
      <c r="J10552" t="str">
        <f>"9400011"</f>
        <v>9400011</v>
      </c>
      <c r="K10552">
        <v>2683022236</v>
      </c>
      <c r="L10552">
        <v>2683022236</v>
      </c>
      <c r="M10552" t="s">
        <v>20451</v>
      </c>
      <c r="N10552" t="s">
        <v>19378</v>
      </c>
      <c r="O10552" t="s">
        <v>20452</v>
      </c>
      <c r="P10552">
        <v>48200</v>
      </c>
      <c r="Q10552" t="str">
        <f>"39.203211"</f>
        <v>39.203211</v>
      </c>
      <c r="R10552" t="str">
        <f>"20.881451"</f>
        <v>20.881451</v>
      </c>
      <c r="S10552" t="s">
        <v>26</v>
      </c>
    </row>
    <row r="10553" spans="1:19" x14ac:dyDescent="0.3">
      <c r="A10553" t="s">
        <v>18804</v>
      </c>
      <c r="B10553" t="s">
        <v>20443</v>
      </c>
      <c r="C10553" t="s">
        <v>20453</v>
      </c>
      <c r="D10553" t="s">
        <v>18824</v>
      </c>
      <c r="E10553" t="s">
        <v>18825</v>
      </c>
      <c r="F10553" t="s">
        <v>18825</v>
      </c>
      <c r="G10553" t="s">
        <v>18825</v>
      </c>
      <c r="H10553" t="s">
        <v>859</v>
      </c>
      <c r="I10553" t="s">
        <v>860</v>
      </c>
      <c r="J10553" t="str">
        <f>"9400195"</f>
        <v>9400195</v>
      </c>
      <c r="K10553">
        <v>2682023154</v>
      </c>
      <c r="M10553" t="s">
        <v>20454</v>
      </c>
      <c r="N10553" t="s">
        <v>18828</v>
      </c>
      <c r="O10553" t="s">
        <v>20455</v>
      </c>
      <c r="P10553">
        <v>48100</v>
      </c>
      <c r="Q10553" t="str">
        <f>"38.947248"</f>
        <v>38.947248</v>
      </c>
      <c r="R10553" t="str">
        <f>"20.736660"</f>
        <v>20.736660</v>
      </c>
      <c r="S10553" t="s">
        <v>26</v>
      </c>
    </row>
    <row r="10554" spans="1:19" x14ac:dyDescent="0.3">
      <c r="A10554" t="s">
        <v>18804</v>
      </c>
      <c r="B10554" t="s">
        <v>20443</v>
      </c>
      <c r="C10554" t="s">
        <v>20456</v>
      </c>
      <c r="D10554" t="s">
        <v>18824</v>
      </c>
      <c r="E10554" t="s">
        <v>18825</v>
      </c>
      <c r="F10554" t="s">
        <v>18825</v>
      </c>
      <c r="G10554" t="s">
        <v>18825</v>
      </c>
      <c r="H10554" t="s">
        <v>859</v>
      </c>
      <c r="I10554" t="s">
        <v>860</v>
      </c>
      <c r="J10554" t="str">
        <f>"9400213"</f>
        <v>9400213</v>
      </c>
      <c r="K10554">
        <v>2682024400</v>
      </c>
      <c r="L10554">
        <v>2682024400</v>
      </c>
      <c r="M10554" t="s">
        <v>20457</v>
      </c>
      <c r="N10554" t="s">
        <v>18828</v>
      </c>
      <c r="O10554" t="s">
        <v>20458</v>
      </c>
      <c r="P10554">
        <v>48100</v>
      </c>
      <c r="Q10554" t="str">
        <f>"38.964497"</f>
        <v>38.964497</v>
      </c>
      <c r="R10554" t="str">
        <f>"20.750210"</f>
        <v>20.750210</v>
      </c>
      <c r="S10554" t="s">
        <v>26</v>
      </c>
    </row>
    <row r="10555" spans="1:19" x14ac:dyDescent="0.3">
      <c r="A10555" t="s">
        <v>18804</v>
      </c>
      <c r="B10555" t="s">
        <v>20443</v>
      </c>
      <c r="C10555" t="s">
        <v>20465</v>
      </c>
      <c r="D10555" t="s">
        <v>18824</v>
      </c>
      <c r="E10555" t="s">
        <v>18825</v>
      </c>
      <c r="F10555" t="s">
        <v>18825</v>
      </c>
      <c r="G10555" t="s">
        <v>18825</v>
      </c>
      <c r="H10555" t="s">
        <v>859</v>
      </c>
      <c r="I10555" t="s">
        <v>860</v>
      </c>
      <c r="J10555" t="str">
        <f>"9400223"</f>
        <v>9400223</v>
      </c>
      <c r="K10555">
        <v>2682022870</v>
      </c>
      <c r="L10555">
        <v>2682022870</v>
      </c>
      <c r="M10555" t="s">
        <v>20466</v>
      </c>
      <c r="N10555" t="s">
        <v>18828</v>
      </c>
      <c r="O10555" t="s">
        <v>20467</v>
      </c>
      <c r="P10555">
        <v>48100</v>
      </c>
      <c r="Q10555" t="str">
        <f>"38.975057"</f>
        <v>38.975057</v>
      </c>
      <c r="R10555" t="str">
        <f>"20.765765"</f>
        <v>20.765765</v>
      </c>
      <c r="S10555" t="s">
        <v>26</v>
      </c>
    </row>
    <row r="10556" spans="1:19" x14ac:dyDescent="0.3">
      <c r="A10556" t="s">
        <v>18804</v>
      </c>
      <c r="B10556" t="s">
        <v>20443</v>
      </c>
      <c r="C10556" t="s">
        <v>20474</v>
      </c>
      <c r="D10556" t="s">
        <v>18824</v>
      </c>
      <c r="E10556" t="s">
        <v>18825</v>
      </c>
      <c r="F10556" t="s">
        <v>18825</v>
      </c>
      <c r="G10556" t="s">
        <v>18825</v>
      </c>
      <c r="H10556" t="s">
        <v>859</v>
      </c>
      <c r="I10556" t="s">
        <v>860</v>
      </c>
      <c r="J10556" t="str">
        <f>"9400103"</f>
        <v>9400103</v>
      </c>
      <c r="K10556">
        <v>2682028732</v>
      </c>
      <c r="L10556">
        <v>2682028732</v>
      </c>
      <c r="M10556" t="s">
        <v>20475</v>
      </c>
      <c r="N10556" t="s">
        <v>18828</v>
      </c>
      <c r="O10556" t="s">
        <v>20476</v>
      </c>
      <c r="P10556">
        <v>48100</v>
      </c>
      <c r="Q10556" t="str">
        <f>"38.955051"</f>
        <v>38.955051</v>
      </c>
      <c r="R10556" t="str">
        <f>"20.749988"</f>
        <v>20.749988</v>
      </c>
      <c r="S10556" t="s">
        <v>26</v>
      </c>
    </row>
    <row r="10557" spans="1:19" x14ac:dyDescent="0.3">
      <c r="A10557" t="s">
        <v>18804</v>
      </c>
      <c r="B10557" t="s">
        <v>20443</v>
      </c>
      <c r="C10557" t="s">
        <v>20482</v>
      </c>
      <c r="D10557" t="s">
        <v>18824</v>
      </c>
      <c r="E10557" t="s">
        <v>19357</v>
      </c>
      <c r="F10557" t="s">
        <v>17828</v>
      </c>
      <c r="G10557" t="s">
        <v>17828</v>
      </c>
      <c r="H10557" t="s">
        <v>859</v>
      </c>
      <c r="I10557" t="s">
        <v>860</v>
      </c>
      <c r="J10557" t="str">
        <f>"9400206"</f>
        <v>9400206</v>
      </c>
      <c r="K10557">
        <v>2683032425</v>
      </c>
      <c r="M10557" t="s">
        <v>20483</v>
      </c>
      <c r="N10557" t="s">
        <v>20484</v>
      </c>
      <c r="O10557" t="s">
        <v>20485</v>
      </c>
      <c r="P10557">
        <v>48300</v>
      </c>
      <c r="Q10557" t="str">
        <f>"39.251969"</f>
        <v>39.251969</v>
      </c>
      <c r="R10557" t="str">
        <f>"20.782303"</f>
        <v>20.782303</v>
      </c>
      <c r="S10557" t="s">
        <v>26</v>
      </c>
    </row>
    <row r="10558" spans="1:19" x14ac:dyDescent="0.3">
      <c r="A10558" t="s">
        <v>18804</v>
      </c>
      <c r="B10558" t="s">
        <v>20443</v>
      </c>
      <c r="C10558" t="s">
        <v>20486</v>
      </c>
      <c r="D10558" t="s">
        <v>18824</v>
      </c>
      <c r="E10558" t="s">
        <v>18825</v>
      </c>
      <c r="F10558" t="s">
        <v>19415</v>
      </c>
      <c r="G10558" t="s">
        <v>20468</v>
      </c>
      <c r="H10558" t="s">
        <v>859</v>
      </c>
      <c r="I10558" t="s">
        <v>860</v>
      </c>
      <c r="J10558" t="str">
        <f>"9400222"</f>
        <v>9400222</v>
      </c>
      <c r="K10558">
        <v>2682054185</v>
      </c>
      <c r="L10558">
        <v>2682054185</v>
      </c>
      <c r="M10558" t="s">
        <v>20487</v>
      </c>
      <c r="N10558" t="s">
        <v>20488</v>
      </c>
      <c r="O10558" t="s">
        <v>20489</v>
      </c>
      <c r="P10558">
        <v>48100</v>
      </c>
      <c r="Q10558" t="str">
        <f>"39.103767"</f>
        <v>39.103767</v>
      </c>
      <c r="R10558" t="str">
        <f>"20.640548"</f>
        <v>20.640548</v>
      </c>
      <c r="S10558" t="s">
        <v>26</v>
      </c>
    </row>
    <row r="10559" spans="1:19" x14ac:dyDescent="0.3">
      <c r="A10559" t="s">
        <v>18804</v>
      </c>
      <c r="B10559" t="s">
        <v>20443</v>
      </c>
      <c r="C10559" t="s">
        <v>20491</v>
      </c>
      <c r="D10559" t="s">
        <v>18824</v>
      </c>
      <c r="E10559" t="s">
        <v>18825</v>
      </c>
      <c r="F10559" t="s">
        <v>18825</v>
      </c>
      <c r="G10559" t="s">
        <v>18825</v>
      </c>
      <c r="H10559" t="s">
        <v>859</v>
      </c>
      <c r="I10559" t="s">
        <v>860</v>
      </c>
      <c r="J10559" t="str">
        <f>"9400207"</f>
        <v>9400207</v>
      </c>
      <c r="K10559">
        <v>2682024600</v>
      </c>
      <c r="M10559" t="s">
        <v>20492</v>
      </c>
      <c r="N10559" t="s">
        <v>18828</v>
      </c>
      <c r="O10559" t="s">
        <v>20493</v>
      </c>
      <c r="P10559">
        <v>48100</v>
      </c>
      <c r="Q10559" t="str">
        <f>"38.961899"</f>
        <v>38.961899</v>
      </c>
      <c r="R10559" t="str">
        <f>"20.751878"</f>
        <v>20.751878</v>
      </c>
      <c r="S10559" t="s">
        <v>26</v>
      </c>
    </row>
    <row r="10560" spans="1:19" x14ac:dyDescent="0.3">
      <c r="A10560" t="s">
        <v>18804</v>
      </c>
      <c r="B10560" t="s">
        <v>20443</v>
      </c>
      <c r="C10560" t="s">
        <v>20494</v>
      </c>
      <c r="D10560" t="s">
        <v>18824</v>
      </c>
      <c r="E10560" t="s">
        <v>18825</v>
      </c>
      <c r="F10560" t="s">
        <v>18825</v>
      </c>
      <c r="G10560" t="s">
        <v>13918</v>
      </c>
      <c r="H10560" t="s">
        <v>859</v>
      </c>
      <c r="I10560" t="s">
        <v>860</v>
      </c>
      <c r="J10560" t="str">
        <f>"9400209"</f>
        <v>9400209</v>
      </c>
      <c r="K10560">
        <v>2682041919</v>
      </c>
      <c r="L10560">
        <v>2682041919</v>
      </c>
      <c r="M10560" t="s">
        <v>20495</v>
      </c>
      <c r="N10560" t="s">
        <v>13918</v>
      </c>
      <c r="O10560" t="s">
        <v>20496</v>
      </c>
      <c r="P10560">
        <v>48100</v>
      </c>
      <c r="Q10560" t="str">
        <f>"38.999957"</f>
        <v>38.999957</v>
      </c>
      <c r="R10560" t="str">
        <f>"20.710254"</f>
        <v>20.710254</v>
      </c>
      <c r="S10560" t="s">
        <v>26</v>
      </c>
    </row>
    <row r="10561" spans="1:19" x14ac:dyDescent="0.3">
      <c r="A10561" t="s">
        <v>18804</v>
      </c>
      <c r="B10561" t="s">
        <v>20443</v>
      </c>
      <c r="C10561" t="s">
        <v>20497</v>
      </c>
      <c r="D10561" t="s">
        <v>18824</v>
      </c>
      <c r="E10561" t="s">
        <v>19331</v>
      </c>
      <c r="F10561" t="s">
        <v>19331</v>
      </c>
      <c r="G10561" t="s">
        <v>4424</v>
      </c>
      <c r="H10561" t="s">
        <v>859</v>
      </c>
      <c r="I10561" t="s">
        <v>860</v>
      </c>
      <c r="J10561" t="str">
        <f>"9400108"</f>
        <v>9400108</v>
      </c>
      <c r="K10561">
        <v>2684035202</v>
      </c>
      <c r="L10561">
        <v>2684035202</v>
      </c>
      <c r="M10561" t="s">
        <v>20498</v>
      </c>
      <c r="N10561" t="s">
        <v>20499</v>
      </c>
      <c r="O10561" t="s">
        <v>20499</v>
      </c>
      <c r="P10561">
        <v>48060</v>
      </c>
      <c r="Q10561" t="str">
        <f>"39.312864"</f>
        <v>39.312864</v>
      </c>
      <c r="R10561" t="str">
        <f>"20.359528"</f>
        <v>20.359528</v>
      </c>
      <c r="S10561" t="s">
        <v>26</v>
      </c>
    </row>
    <row r="10562" spans="1:19" x14ac:dyDescent="0.3">
      <c r="A10562" t="s">
        <v>18804</v>
      </c>
      <c r="B10562" t="s">
        <v>20443</v>
      </c>
      <c r="C10562" t="s">
        <v>20501</v>
      </c>
      <c r="D10562" t="s">
        <v>18824</v>
      </c>
      <c r="E10562" t="s">
        <v>19331</v>
      </c>
      <c r="F10562" t="s">
        <v>2777</v>
      </c>
      <c r="G10562" t="s">
        <v>20500</v>
      </c>
      <c r="H10562" t="s">
        <v>859</v>
      </c>
      <c r="I10562" t="s">
        <v>860</v>
      </c>
      <c r="J10562" t="str">
        <f>"9400121"</f>
        <v>9400121</v>
      </c>
      <c r="K10562">
        <v>2684041740</v>
      </c>
      <c r="L10562">
        <v>2684041740</v>
      </c>
      <c r="M10562" t="s">
        <v>20502</v>
      </c>
      <c r="N10562" t="s">
        <v>20503</v>
      </c>
      <c r="O10562" t="s">
        <v>20503</v>
      </c>
      <c r="P10562">
        <v>48062</v>
      </c>
      <c r="Q10562" t="str">
        <f>"39.221586"</f>
        <v>39.221586</v>
      </c>
      <c r="R10562" t="str">
        <f>"20.516880"</f>
        <v>20.516880</v>
      </c>
      <c r="S10562" t="s">
        <v>26</v>
      </c>
    </row>
    <row r="10563" spans="1:19" x14ac:dyDescent="0.3">
      <c r="A10563" t="s">
        <v>18804</v>
      </c>
      <c r="B10563" t="s">
        <v>20443</v>
      </c>
      <c r="C10563" t="s">
        <v>20504</v>
      </c>
      <c r="D10563" t="s">
        <v>18824</v>
      </c>
      <c r="E10563" t="s">
        <v>19357</v>
      </c>
      <c r="F10563" t="s">
        <v>19358</v>
      </c>
      <c r="G10563" t="s">
        <v>19358</v>
      </c>
      <c r="H10563" t="s">
        <v>859</v>
      </c>
      <c r="I10563" t="s">
        <v>860</v>
      </c>
      <c r="J10563" t="str">
        <f>"9400001"</f>
        <v>9400001</v>
      </c>
      <c r="K10563">
        <v>2683031315</v>
      </c>
      <c r="L10563">
        <v>2683031315</v>
      </c>
      <c r="M10563" t="s">
        <v>20505</v>
      </c>
      <c r="N10563" t="s">
        <v>19361</v>
      </c>
      <c r="O10563" t="s">
        <v>19361</v>
      </c>
      <c r="P10563">
        <v>48300</v>
      </c>
      <c r="Q10563" t="str">
        <f>"39.252267"</f>
        <v>39.252267</v>
      </c>
      <c r="R10563" t="str">
        <f>"20.782928"</f>
        <v>20.782928</v>
      </c>
      <c r="S10563" t="s">
        <v>26</v>
      </c>
    </row>
    <row r="10564" spans="1:19" x14ac:dyDescent="0.3">
      <c r="A10564" t="s">
        <v>18804</v>
      </c>
      <c r="B10564" t="s">
        <v>20443</v>
      </c>
      <c r="C10564" t="s">
        <v>20510</v>
      </c>
      <c r="D10564" t="s">
        <v>18824</v>
      </c>
      <c r="E10564" t="s">
        <v>18825</v>
      </c>
      <c r="F10564" t="s">
        <v>18825</v>
      </c>
      <c r="G10564" t="s">
        <v>18825</v>
      </c>
      <c r="H10564" t="s">
        <v>859</v>
      </c>
      <c r="I10564" t="s">
        <v>860</v>
      </c>
      <c r="J10564" t="str">
        <f>"9400194"</f>
        <v>9400194</v>
      </c>
      <c r="K10564">
        <v>2682027584</v>
      </c>
      <c r="L10564">
        <v>2682027584</v>
      </c>
      <c r="M10564" t="s">
        <v>20511</v>
      </c>
      <c r="N10564" t="s">
        <v>18828</v>
      </c>
      <c r="O10564" t="s">
        <v>20512</v>
      </c>
      <c r="P10564">
        <v>48100</v>
      </c>
      <c r="Q10564" t="str">
        <f>"38.960357"</f>
        <v>38.960357</v>
      </c>
      <c r="R10564" t="str">
        <f>"20.746289"</f>
        <v>20.746289</v>
      </c>
      <c r="S10564" t="s">
        <v>26</v>
      </c>
    </row>
    <row r="10565" spans="1:19" x14ac:dyDescent="0.3">
      <c r="A10565" t="s">
        <v>18804</v>
      </c>
      <c r="B10565" t="s">
        <v>20443</v>
      </c>
      <c r="C10565" t="s">
        <v>20513</v>
      </c>
      <c r="D10565" t="s">
        <v>18824</v>
      </c>
      <c r="E10565" t="s">
        <v>18825</v>
      </c>
      <c r="F10565" t="s">
        <v>19415</v>
      </c>
      <c r="G10565" t="s">
        <v>19421</v>
      </c>
      <c r="H10565" t="s">
        <v>859</v>
      </c>
      <c r="I10565" t="s">
        <v>860</v>
      </c>
      <c r="J10565" t="str">
        <f>"9400058"</f>
        <v>9400058</v>
      </c>
      <c r="K10565">
        <v>2682051426</v>
      </c>
      <c r="L10565">
        <v>2682051426</v>
      </c>
      <c r="M10565" t="s">
        <v>20514</v>
      </c>
      <c r="N10565" t="s">
        <v>20515</v>
      </c>
      <c r="O10565" t="s">
        <v>19424</v>
      </c>
      <c r="P10565">
        <v>48100</v>
      </c>
      <c r="Q10565" t="str">
        <f>"39.093314"</f>
        <v>39.093314</v>
      </c>
      <c r="R10565" t="str">
        <f>"20.702180"</f>
        <v>20.702180</v>
      </c>
      <c r="S10565" t="s">
        <v>26</v>
      </c>
    </row>
    <row r="10566" spans="1:19" x14ac:dyDescent="0.3">
      <c r="A10566" t="s">
        <v>18804</v>
      </c>
      <c r="B10566" t="s">
        <v>20443</v>
      </c>
      <c r="C10566" t="s">
        <v>20516</v>
      </c>
      <c r="D10566" t="s">
        <v>18824</v>
      </c>
      <c r="E10566" t="s">
        <v>19331</v>
      </c>
      <c r="F10566" t="s">
        <v>19331</v>
      </c>
      <c r="G10566" t="s">
        <v>19331</v>
      </c>
      <c r="H10566" t="s">
        <v>859</v>
      </c>
      <c r="I10566" t="s">
        <v>860</v>
      </c>
      <c r="J10566" t="str">
        <f>"9400095"</f>
        <v>9400095</v>
      </c>
      <c r="K10566">
        <v>2684031097</v>
      </c>
      <c r="M10566" t="s">
        <v>20517</v>
      </c>
      <c r="N10566" t="s">
        <v>19331</v>
      </c>
      <c r="O10566" t="s">
        <v>20518</v>
      </c>
      <c r="P10566">
        <v>48060</v>
      </c>
      <c r="Q10566" t="str">
        <f>"39.285334"</f>
        <v>39.285334</v>
      </c>
      <c r="R10566" t="str">
        <f>"20.400501"</f>
        <v>20.400501</v>
      </c>
      <c r="S10566" t="s">
        <v>26</v>
      </c>
    </row>
    <row r="10567" spans="1:19" x14ac:dyDescent="0.3">
      <c r="A10567" t="s">
        <v>18804</v>
      </c>
      <c r="B10567" t="s">
        <v>20443</v>
      </c>
      <c r="C10567" t="s">
        <v>20519</v>
      </c>
      <c r="D10567" t="s">
        <v>18824</v>
      </c>
      <c r="E10567" t="s">
        <v>19331</v>
      </c>
      <c r="F10567" t="s">
        <v>19331</v>
      </c>
      <c r="G10567" t="s">
        <v>19331</v>
      </c>
      <c r="H10567" t="s">
        <v>859</v>
      </c>
      <c r="I10567" t="s">
        <v>860</v>
      </c>
      <c r="J10567" t="str">
        <f>"9520612"</f>
        <v>9520612</v>
      </c>
      <c r="K10567">
        <v>2684031720</v>
      </c>
      <c r="M10567" t="s">
        <v>20520</v>
      </c>
      <c r="N10567" t="s">
        <v>19334</v>
      </c>
      <c r="O10567" t="s">
        <v>20521</v>
      </c>
      <c r="P10567">
        <v>48060</v>
      </c>
      <c r="Q10567" t="str">
        <f>"39.284296"</f>
        <v>39.284296</v>
      </c>
      <c r="R10567" t="str">
        <f>"20.412184"</f>
        <v>20.412184</v>
      </c>
      <c r="S10567" t="s">
        <v>26</v>
      </c>
    </row>
    <row r="10568" spans="1:19" x14ac:dyDescent="0.3">
      <c r="A10568" t="s">
        <v>18804</v>
      </c>
      <c r="B10568" t="s">
        <v>20443</v>
      </c>
      <c r="C10568" t="s">
        <v>20523</v>
      </c>
      <c r="D10568" t="s">
        <v>18824</v>
      </c>
      <c r="E10568" t="s">
        <v>19331</v>
      </c>
      <c r="F10568" t="s">
        <v>2777</v>
      </c>
      <c r="G10568" t="s">
        <v>20522</v>
      </c>
      <c r="H10568" t="s">
        <v>859</v>
      </c>
      <c r="I10568" t="s">
        <v>860</v>
      </c>
      <c r="J10568" t="str">
        <f>"9400127"</f>
        <v>9400127</v>
      </c>
      <c r="K10568">
        <v>2684022841</v>
      </c>
      <c r="M10568" t="s">
        <v>20524</v>
      </c>
      <c r="N10568" t="s">
        <v>20522</v>
      </c>
      <c r="O10568" t="s">
        <v>20525</v>
      </c>
      <c r="P10568">
        <v>48062</v>
      </c>
      <c r="Q10568" t="str">
        <f>"39.312710"</f>
        <v>39.312710</v>
      </c>
      <c r="R10568" t="str">
        <f>"20.609999"</f>
        <v>20.609999</v>
      </c>
      <c r="S10568" t="s">
        <v>26</v>
      </c>
    </row>
    <row r="10569" spans="1:19" x14ac:dyDescent="0.3">
      <c r="A10569" t="s">
        <v>18804</v>
      </c>
      <c r="B10569" t="s">
        <v>20443</v>
      </c>
      <c r="C10569" t="s">
        <v>20526</v>
      </c>
      <c r="D10569" t="s">
        <v>18824</v>
      </c>
      <c r="E10569" t="s">
        <v>18825</v>
      </c>
      <c r="F10569" t="s">
        <v>19415</v>
      </c>
      <c r="G10569" t="s">
        <v>20468</v>
      </c>
      <c r="H10569" t="s">
        <v>859</v>
      </c>
      <c r="I10569" t="s">
        <v>860</v>
      </c>
      <c r="J10569" t="str">
        <f>"9400140"</f>
        <v>9400140</v>
      </c>
      <c r="K10569">
        <v>2682051081</v>
      </c>
      <c r="M10569" t="s">
        <v>20527</v>
      </c>
      <c r="N10569" t="s">
        <v>20528</v>
      </c>
      <c r="O10569" t="s">
        <v>20471</v>
      </c>
      <c r="P10569">
        <v>48100</v>
      </c>
      <c r="Q10569" t="str">
        <f>"39.068035"</f>
        <v>39.068035</v>
      </c>
      <c r="R10569" t="str">
        <f>"20.697105"</f>
        <v>20.697105</v>
      </c>
      <c r="S10569" t="s">
        <v>26</v>
      </c>
    </row>
    <row r="10570" spans="1:19" x14ac:dyDescent="0.3">
      <c r="A10570" t="s">
        <v>18804</v>
      </c>
      <c r="B10570" t="s">
        <v>20443</v>
      </c>
      <c r="C10570" t="s">
        <v>20530</v>
      </c>
      <c r="D10570" t="s">
        <v>18824</v>
      </c>
      <c r="E10570" t="s">
        <v>18825</v>
      </c>
      <c r="F10570" t="s">
        <v>18825</v>
      </c>
      <c r="G10570" t="s">
        <v>20529</v>
      </c>
      <c r="H10570" t="s">
        <v>859</v>
      </c>
      <c r="I10570" t="s">
        <v>860</v>
      </c>
      <c r="J10570" t="str">
        <f>"9400086"</f>
        <v>9400086</v>
      </c>
      <c r="K10570">
        <v>2682041412</v>
      </c>
      <c r="M10570" t="s">
        <v>20531</v>
      </c>
      <c r="N10570" t="s">
        <v>20532</v>
      </c>
      <c r="O10570" t="s">
        <v>20532</v>
      </c>
      <c r="P10570">
        <v>48100</v>
      </c>
      <c r="Q10570" t="str">
        <f>"39.026321"</f>
        <v>39.026321</v>
      </c>
      <c r="R10570" t="str">
        <f>"20.733243"</f>
        <v>20.733243</v>
      </c>
      <c r="S10570" t="s">
        <v>26</v>
      </c>
    </row>
    <row r="10571" spans="1:19" x14ac:dyDescent="0.3">
      <c r="A10571" t="s">
        <v>18804</v>
      </c>
      <c r="B10571" t="s">
        <v>20443</v>
      </c>
      <c r="C10571" t="s">
        <v>20533</v>
      </c>
      <c r="D10571" t="s">
        <v>18824</v>
      </c>
      <c r="E10571" t="s">
        <v>18825</v>
      </c>
      <c r="F10571" t="s">
        <v>19415</v>
      </c>
      <c r="G10571" t="s">
        <v>19416</v>
      </c>
      <c r="H10571" t="s">
        <v>859</v>
      </c>
      <c r="I10571" t="s">
        <v>860</v>
      </c>
      <c r="J10571" t="str">
        <f>"9400057"</f>
        <v>9400057</v>
      </c>
      <c r="K10571">
        <v>2682051414</v>
      </c>
      <c r="L10571">
        <v>2682051414</v>
      </c>
      <c r="M10571" t="s">
        <v>20534</v>
      </c>
      <c r="N10571" t="s">
        <v>19419</v>
      </c>
      <c r="O10571" t="s">
        <v>20535</v>
      </c>
      <c r="P10571">
        <v>48100</v>
      </c>
      <c r="Q10571" t="str">
        <f>"39.088534"</f>
        <v>39.088534</v>
      </c>
      <c r="R10571" t="str">
        <f>"20.742389"</f>
        <v>20.742389</v>
      </c>
      <c r="S10571" t="s">
        <v>26</v>
      </c>
    </row>
    <row r="10572" spans="1:19" x14ac:dyDescent="0.3">
      <c r="A10572" t="s">
        <v>18804</v>
      </c>
      <c r="B10572" t="s">
        <v>20443</v>
      </c>
      <c r="C10572" t="s">
        <v>20536</v>
      </c>
      <c r="D10572" t="s">
        <v>18824</v>
      </c>
      <c r="E10572" t="s">
        <v>18825</v>
      </c>
      <c r="F10572" t="s">
        <v>18825</v>
      </c>
      <c r="G10572" t="s">
        <v>18825</v>
      </c>
      <c r="H10572" t="s">
        <v>859</v>
      </c>
      <c r="I10572" t="s">
        <v>860</v>
      </c>
      <c r="J10572" t="str">
        <f>"9400211"</f>
        <v>9400211</v>
      </c>
      <c r="K10572">
        <v>2682024498</v>
      </c>
      <c r="L10572">
        <v>2682024498</v>
      </c>
      <c r="M10572" t="s">
        <v>20537</v>
      </c>
      <c r="N10572" t="s">
        <v>18828</v>
      </c>
      <c r="O10572" t="s">
        <v>20538</v>
      </c>
      <c r="P10572">
        <v>48100</v>
      </c>
      <c r="Q10572" t="str">
        <f>"38.952739"</f>
        <v>38.952739</v>
      </c>
      <c r="R10572" t="str">
        <f>"20.751335"</f>
        <v>20.751335</v>
      </c>
      <c r="S10572" t="s">
        <v>26</v>
      </c>
    </row>
    <row r="10573" spans="1:19" x14ac:dyDescent="0.3">
      <c r="A10573" t="s">
        <v>18804</v>
      </c>
      <c r="B10573" t="s">
        <v>20443</v>
      </c>
      <c r="C10573" t="s">
        <v>20539</v>
      </c>
      <c r="D10573" t="s">
        <v>18824</v>
      </c>
      <c r="E10573" t="s">
        <v>18825</v>
      </c>
      <c r="F10573" t="s">
        <v>18825</v>
      </c>
      <c r="G10573" t="s">
        <v>18825</v>
      </c>
      <c r="H10573" t="s">
        <v>859</v>
      </c>
      <c r="I10573" t="s">
        <v>860</v>
      </c>
      <c r="J10573" t="str">
        <f>"9400098"</f>
        <v>9400098</v>
      </c>
      <c r="K10573">
        <v>2682024966</v>
      </c>
      <c r="L10573">
        <v>24966</v>
      </c>
      <c r="M10573" t="s">
        <v>20540</v>
      </c>
      <c r="N10573" t="s">
        <v>18828</v>
      </c>
      <c r="O10573" t="s">
        <v>20541</v>
      </c>
      <c r="P10573">
        <v>48100</v>
      </c>
      <c r="Q10573" t="str">
        <f>"38.972570"</f>
        <v>38.972570</v>
      </c>
      <c r="R10573" t="str">
        <f>"20.745493"</f>
        <v>20.745493</v>
      </c>
      <c r="S10573" t="s">
        <v>26</v>
      </c>
    </row>
    <row r="10574" spans="1:19" x14ac:dyDescent="0.3">
      <c r="A10574" t="s">
        <v>18804</v>
      </c>
      <c r="B10574" t="s">
        <v>20443</v>
      </c>
      <c r="C10574" t="s">
        <v>20542</v>
      </c>
      <c r="D10574" t="s">
        <v>18824</v>
      </c>
      <c r="E10574" t="s">
        <v>19357</v>
      </c>
      <c r="F10574" t="s">
        <v>19366</v>
      </c>
      <c r="G10574" t="s">
        <v>19366</v>
      </c>
      <c r="H10574" t="s">
        <v>859</v>
      </c>
      <c r="I10574" t="s">
        <v>860</v>
      </c>
      <c r="J10574" t="str">
        <f>"9400237"</f>
        <v>9400237</v>
      </c>
      <c r="K10574">
        <v>2683023340</v>
      </c>
      <c r="L10574">
        <v>2683023340</v>
      </c>
      <c r="M10574" t="s">
        <v>20543</v>
      </c>
      <c r="N10574" t="s">
        <v>19378</v>
      </c>
      <c r="O10574" t="s">
        <v>20544</v>
      </c>
      <c r="P10574">
        <v>48200</v>
      </c>
      <c r="Q10574" t="str">
        <f>"39.205696"</f>
        <v>39.205696</v>
      </c>
      <c r="R10574" t="str">
        <f>"20.881544"</f>
        <v>20.881544</v>
      </c>
      <c r="S10574" t="s">
        <v>26</v>
      </c>
    </row>
    <row r="10575" spans="1:19" x14ac:dyDescent="0.3">
      <c r="A10575" t="s">
        <v>18804</v>
      </c>
      <c r="B10575" t="s">
        <v>20443</v>
      </c>
      <c r="C10575" t="s">
        <v>20546</v>
      </c>
      <c r="D10575" t="s">
        <v>18824</v>
      </c>
      <c r="E10575" t="s">
        <v>19331</v>
      </c>
      <c r="F10575" t="s">
        <v>2777</v>
      </c>
      <c r="G10575" t="s">
        <v>20545</v>
      </c>
      <c r="H10575" t="s">
        <v>859</v>
      </c>
      <c r="I10575" t="s">
        <v>860</v>
      </c>
      <c r="J10575" t="str">
        <f>"9400163"</f>
        <v>9400163</v>
      </c>
      <c r="K10575">
        <v>2684041052</v>
      </c>
      <c r="M10575" t="s">
        <v>20547</v>
      </c>
      <c r="N10575" t="s">
        <v>20548</v>
      </c>
      <c r="O10575" t="s">
        <v>20549</v>
      </c>
      <c r="P10575">
        <v>48062</v>
      </c>
      <c r="Q10575" t="str">
        <f>"39.242820"</f>
        <v>39.242820</v>
      </c>
      <c r="R10575" t="str">
        <f>"20.526036"</f>
        <v>20.526036</v>
      </c>
      <c r="S10575" t="s">
        <v>26</v>
      </c>
    </row>
    <row r="10576" spans="1:19" x14ac:dyDescent="0.3">
      <c r="A10576" t="s">
        <v>18804</v>
      </c>
      <c r="B10576" t="s">
        <v>20443</v>
      </c>
      <c r="C10576" t="s">
        <v>20550</v>
      </c>
      <c r="D10576" t="s">
        <v>18824</v>
      </c>
      <c r="E10576" t="s">
        <v>18825</v>
      </c>
      <c r="F10576" t="s">
        <v>19415</v>
      </c>
      <c r="G10576" t="s">
        <v>17013</v>
      </c>
      <c r="H10576" t="s">
        <v>859</v>
      </c>
      <c r="I10576" t="s">
        <v>860</v>
      </c>
      <c r="J10576" t="str">
        <f>"9400189"</f>
        <v>9400189</v>
      </c>
      <c r="K10576">
        <v>2682056475</v>
      </c>
      <c r="M10576" t="s">
        <v>20551</v>
      </c>
      <c r="N10576" t="s">
        <v>17016</v>
      </c>
      <c r="O10576" t="s">
        <v>17016</v>
      </c>
      <c r="P10576">
        <v>48062</v>
      </c>
      <c r="Q10576" t="str">
        <f>"39.165735"</f>
        <v>39.165735</v>
      </c>
      <c r="R10576" t="str">
        <f>"20.595313"</f>
        <v>20.595313</v>
      </c>
      <c r="S10576" t="s">
        <v>26</v>
      </c>
    </row>
    <row r="10577" spans="1:19" x14ac:dyDescent="0.3">
      <c r="A10577" t="s">
        <v>18804</v>
      </c>
      <c r="B10577" t="s">
        <v>20443</v>
      </c>
      <c r="C10577" t="s">
        <v>20552</v>
      </c>
      <c r="D10577" t="s">
        <v>18824</v>
      </c>
      <c r="E10577" t="s">
        <v>18825</v>
      </c>
      <c r="F10577" t="s">
        <v>19343</v>
      </c>
      <c r="G10577" t="s">
        <v>4067</v>
      </c>
      <c r="H10577" t="s">
        <v>859</v>
      </c>
      <c r="I10577" t="s">
        <v>860</v>
      </c>
      <c r="J10577" t="str">
        <f>"9400205"</f>
        <v>9400205</v>
      </c>
      <c r="K10577">
        <v>2682033148</v>
      </c>
      <c r="L10577">
        <v>2682033148</v>
      </c>
      <c r="M10577" t="s">
        <v>20553</v>
      </c>
      <c r="N10577" t="s">
        <v>20554</v>
      </c>
      <c r="O10577" t="s">
        <v>20555</v>
      </c>
      <c r="P10577">
        <v>48061</v>
      </c>
      <c r="Q10577" t="str">
        <f>"39.151456"</f>
        <v>39.151456</v>
      </c>
      <c r="R10577" t="str">
        <f>"20.735819"</f>
        <v>20.735819</v>
      </c>
      <c r="S10577" t="s">
        <v>26</v>
      </c>
    </row>
    <row r="10578" spans="1:19" x14ac:dyDescent="0.3">
      <c r="A10578" t="s">
        <v>18804</v>
      </c>
      <c r="B10578" t="s">
        <v>20443</v>
      </c>
      <c r="C10578" t="s">
        <v>20556</v>
      </c>
      <c r="D10578" t="s">
        <v>18824</v>
      </c>
      <c r="E10578" t="s">
        <v>19357</v>
      </c>
      <c r="F10578" t="s">
        <v>19358</v>
      </c>
      <c r="G10578" t="s">
        <v>19358</v>
      </c>
      <c r="H10578" t="s">
        <v>859</v>
      </c>
      <c r="I10578" t="s">
        <v>860</v>
      </c>
      <c r="J10578" t="str">
        <f>"9400004"</f>
        <v>9400004</v>
      </c>
      <c r="K10578">
        <v>2683031095</v>
      </c>
      <c r="L10578">
        <v>2683031095</v>
      </c>
      <c r="M10578" t="s">
        <v>20557</v>
      </c>
      <c r="N10578" t="s">
        <v>19361</v>
      </c>
      <c r="O10578" t="s">
        <v>20558</v>
      </c>
      <c r="P10578">
        <v>48300</v>
      </c>
      <c r="Q10578" t="str">
        <f>"39.244717"</f>
        <v>39.244717</v>
      </c>
      <c r="R10578" t="str">
        <f>"20.787488"</f>
        <v>20.787488</v>
      </c>
      <c r="S10578" t="s">
        <v>26</v>
      </c>
    </row>
    <row r="10579" spans="1:19" x14ac:dyDescent="0.3">
      <c r="A10579" t="s">
        <v>18804</v>
      </c>
      <c r="B10579" t="s">
        <v>20443</v>
      </c>
      <c r="C10579" t="s">
        <v>20559</v>
      </c>
      <c r="D10579" t="s">
        <v>18824</v>
      </c>
      <c r="E10579" t="s">
        <v>18825</v>
      </c>
      <c r="F10579" t="s">
        <v>19343</v>
      </c>
      <c r="G10579" t="s">
        <v>19343</v>
      </c>
      <c r="H10579" t="s">
        <v>859</v>
      </c>
      <c r="I10579" t="s">
        <v>860</v>
      </c>
      <c r="J10579" t="str">
        <f>"9400047"</f>
        <v>9400047</v>
      </c>
      <c r="K10579">
        <v>2682033245</v>
      </c>
      <c r="M10579" t="s">
        <v>20560</v>
      </c>
      <c r="N10579" t="s">
        <v>20561</v>
      </c>
      <c r="O10579" t="s">
        <v>20561</v>
      </c>
      <c r="P10579">
        <v>48061</v>
      </c>
      <c r="Q10579" t="str">
        <f>"39.162819"</f>
        <v>39.162819</v>
      </c>
      <c r="R10579" t="str">
        <f>"20.752491"</f>
        <v>20.752491</v>
      </c>
      <c r="S10579" t="s">
        <v>26</v>
      </c>
    </row>
    <row r="10580" spans="1:19" x14ac:dyDescent="0.3">
      <c r="A10580" t="s">
        <v>18804</v>
      </c>
      <c r="B10580" t="s">
        <v>20443</v>
      </c>
      <c r="C10580" t="s">
        <v>20562</v>
      </c>
      <c r="D10580" t="s">
        <v>18824</v>
      </c>
      <c r="E10580" t="s">
        <v>19331</v>
      </c>
      <c r="F10580" t="s">
        <v>2777</v>
      </c>
      <c r="G10580" t="s">
        <v>19337</v>
      </c>
      <c r="H10580" t="s">
        <v>859</v>
      </c>
      <c r="I10580" t="s">
        <v>860</v>
      </c>
      <c r="J10580" t="str">
        <f>"9400208"</f>
        <v>9400208</v>
      </c>
      <c r="K10580">
        <v>2684024450</v>
      </c>
      <c r="L10580">
        <v>2684024378</v>
      </c>
      <c r="M10580" t="s">
        <v>20563</v>
      </c>
      <c r="N10580" t="s">
        <v>20564</v>
      </c>
      <c r="O10580" t="s">
        <v>20565</v>
      </c>
      <c r="P10580">
        <v>48062</v>
      </c>
      <c r="Q10580" t="str">
        <f>"39.232413"</f>
        <v>39.232413</v>
      </c>
      <c r="R10580" t="str">
        <f>"20.605082"</f>
        <v>20.605082</v>
      </c>
      <c r="S10580" t="s">
        <v>26</v>
      </c>
    </row>
    <row r="10581" spans="1:19" x14ac:dyDescent="0.3">
      <c r="A10581" t="s">
        <v>18804</v>
      </c>
      <c r="B10581" t="s">
        <v>20443</v>
      </c>
      <c r="C10581" t="s">
        <v>20566</v>
      </c>
      <c r="D10581" t="s">
        <v>18824</v>
      </c>
      <c r="E10581" t="s">
        <v>18825</v>
      </c>
      <c r="F10581" t="s">
        <v>19415</v>
      </c>
      <c r="G10581" t="s">
        <v>19421</v>
      </c>
      <c r="H10581" t="s">
        <v>859</v>
      </c>
      <c r="I10581" t="s">
        <v>860</v>
      </c>
      <c r="J10581" t="str">
        <f>"9400060"</f>
        <v>9400060</v>
      </c>
      <c r="K10581">
        <v>2682052222</v>
      </c>
      <c r="L10581">
        <v>2682052222</v>
      </c>
      <c r="M10581" t="s">
        <v>20567</v>
      </c>
      <c r="N10581" t="s">
        <v>20568</v>
      </c>
      <c r="O10581" t="s">
        <v>20569</v>
      </c>
      <c r="P10581">
        <v>48100</v>
      </c>
      <c r="Q10581" t="str">
        <f>"39.082825"</f>
        <v>39.082825</v>
      </c>
      <c r="R10581" t="str">
        <f>"20.723480"</f>
        <v>20.723480</v>
      </c>
      <c r="S10581" t="s">
        <v>26</v>
      </c>
    </row>
    <row r="10582" spans="1:19" x14ac:dyDescent="0.3">
      <c r="A10582" t="s">
        <v>18804</v>
      </c>
      <c r="B10582" t="s">
        <v>20443</v>
      </c>
      <c r="C10582" t="s">
        <v>20570</v>
      </c>
      <c r="D10582" t="s">
        <v>18824</v>
      </c>
      <c r="E10582" t="s">
        <v>19331</v>
      </c>
      <c r="F10582" t="s">
        <v>2777</v>
      </c>
      <c r="G10582" t="s">
        <v>19337</v>
      </c>
      <c r="H10582" t="s">
        <v>859</v>
      </c>
      <c r="I10582" t="s">
        <v>860</v>
      </c>
      <c r="J10582" t="str">
        <f>"9400142"</f>
        <v>9400142</v>
      </c>
      <c r="K10582">
        <v>2684024090</v>
      </c>
      <c r="M10582" t="s">
        <v>20571</v>
      </c>
      <c r="N10582" t="s">
        <v>20564</v>
      </c>
      <c r="O10582" t="s">
        <v>20572</v>
      </c>
      <c r="P10582">
        <v>48062</v>
      </c>
      <c r="Q10582" t="str">
        <f>"39.237413"</f>
        <v>39.237413</v>
      </c>
      <c r="R10582" t="str">
        <f>"20.601958"</f>
        <v>20.601958</v>
      </c>
      <c r="S10582" t="s">
        <v>26</v>
      </c>
    </row>
    <row r="10583" spans="1:19" x14ac:dyDescent="0.3">
      <c r="A10583" t="s">
        <v>18804</v>
      </c>
      <c r="B10583" t="s">
        <v>20443</v>
      </c>
      <c r="C10583" t="s">
        <v>20612</v>
      </c>
      <c r="D10583" t="s">
        <v>18824</v>
      </c>
      <c r="E10583" t="s">
        <v>19357</v>
      </c>
      <c r="F10583" t="s">
        <v>20477</v>
      </c>
      <c r="G10583" t="s">
        <v>20478</v>
      </c>
      <c r="H10583" t="s">
        <v>859</v>
      </c>
      <c r="I10583" t="s">
        <v>860</v>
      </c>
      <c r="J10583" t="str">
        <f>"9400027"</f>
        <v>9400027</v>
      </c>
      <c r="K10583">
        <v>2683081402</v>
      </c>
      <c r="L10583">
        <v>2683081402</v>
      </c>
      <c r="M10583" t="s">
        <v>20613</v>
      </c>
      <c r="N10583" t="s">
        <v>20481</v>
      </c>
      <c r="O10583" t="s">
        <v>20481</v>
      </c>
      <c r="P10583">
        <v>48200</v>
      </c>
      <c r="Q10583" t="str">
        <f>"39.332863"</f>
        <v>39.332863</v>
      </c>
      <c r="R10583" t="str">
        <f>"20.921740"</f>
        <v>20.921740</v>
      </c>
      <c r="S10583" t="s">
        <v>26</v>
      </c>
    </row>
    <row r="10584" spans="1:19" x14ac:dyDescent="0.3">
      <c r="A10584" t="s">
        <v>18804</v>
      </c>
      <c r="B10584" t="s">
        <v>20443</v>
      </c>
      <c r="C10584" t="s">
        <v>20624</v>
      </c>
      <c r="D10584" t="s">
        <v>18824</v>
      </c>
      <c r="E10584" t="s">
        <v>19357</v>
      </c>
      <c r="F10584" t="s">
        <v>19366</v>
      </c>
      <c r="G10584" t="s">
        <v>19366</v>
      </c>
      <c r="H10584" t="s">
        <v>859</v>
      </c>
      <c r="I10584" t="s">
        <v>860</v>
      </c>
      <c r="J10584" t="str">
        <f>"9400010"</f>
        <v>9400010</v>
      </c>
      <c r="K10584">
        <v>2683023086</v>
      </c>
      <c r="L10584">
        <v>2683023086</v>
      </c>
      <c r="M10584" t="s">
        <v>20625</v>
      </c>
      <c r="N10584" t="s">
        <v>19378</v>
      </c>
      <c r="O10584" t="s">
        <v>20626</v>
      </c>
      <c r="P10584">
        <v>48200</v>
      </c>
      <c r="Q10584" t="str">
        <f>"39.194958"</f>
        <v>39.194958</v>
      </c>
      <c r="R10584" t="str">
        <f>"20.884758"</f>
        <v>20.884758</v>
      </c>
      <c r="S10584" t="s">
        <v>26</v>
      </c>
    </row>
    <row r="10585" spans="1:19" x14ac:dyDescent="0.3">
      <c r="A10585" t="s">
        <v>18804</v>
      </c>
      <c r="B10585" t="s">
        <v>20443</v>
      </c>
      <c r="C10585" t="s">
        <v>20627</v>
      </c>
      <c r="D10585" t="s">
        <v>18824</v>
      </c>
      <c r="E10585" t="s">
        <v>19357</v>
      </c>
      <c r="F10585" t="s">
        <v>19366</v>
      </c>
      <c r="G10585" t="s">
        <v>19366</v>
      </c>
      <c r="H10585" t="s">
        <v>859</v>
      </c>
      <c r="I10585" t="s">
        <v>860</v>
      </c>
      <c r="J10585" t="str">
        <f>"9400013"</f>
        <v>9400013</v>
      </c>
      <c r="K10585">
        <v>2683023701</v>
      </c>
      <c r="L10585">
        <v>2683023701</v>
      </c>
      <c r="M10585" t="s">
        <v>20628</v>
      </c>
      <c r="N10585" t="s">
        <v>19378</v>
      </c>
      <c r="O10585" t="s">
        <v>20629</v>
      </c>
      <c r="P10585">
        <v>48200</v>
      </c>
      <c r="Q10585" t="str">
        <f>"39.214577"</f>
        <v>39.214577</v>
      </c>
      <c r="R10585" t="str">
        <f>"20.876748"</f>
        <v>20.876748</v>
      </c>
      <c r="S10585" t="s">
        <v>26</v>
      </c>
    </row>
    <row r="10586" spans="1:19" x14ac:dyDescent="0.3">
      <c r="A10586" t="s">
        <v>18804</v>
      </c>
      <c r="B10586" t="s">
        <v>20443</v>
      </c>
      <c r="C10586" t="s">
        <v>20630</v>
      </c>
      <c r="D10586" t="s">
        <v>18824</v>
      </c>
      <c r="E10586" t="s">
        <v>19357</v>
      </c>
      <c r="F10586" t="s">
        <v>19366</v>
      </c>
      <c r="G10586" t="s">
        <v>20575</v>
      </c>
      <c r="H10586" t="s">
        <v>859</v>
      </c>
      <c r="I10586" t="s">
        <v>860</v>
      </c>
      <c r="J10586" t="str">
        <f>"9400054"</f>
        <v>9400054</v>
      </c>
      <c r="K10586">
        <v>2683042013</v>
      </c>
      <c r="L10586">
        <v>2683042013</v>
      </c>
      <c r="M10586" t="s">
        <v>20631</v>
      </c>
      <c r="N10586" t="s">
        <v>20578</v>
      </c>
      <c r="O10586" t="s">
        <v>20578</v>
      </c>
      <c r="P10586">
        <v>48200</v>
      </c>
      <c r="Q10586" t="str">
        <f>"39.156744"</f>
        <v>39.156744</v>
      </c>
      <c r="R10586" t="str">
        <f>"20.859325"</f>
        <v>20.859325</v>
      </c>
      <c r="S10586" t="s">
        <v>26</v>
      </c>
    </row>
    <row r="10587" spans="1:19" x14ac:dyDescent="0.3">
      <c r="A10587" t="s">
        <v>18804</v>
      </c>
      <c r="B10587" t="s">
        <v>20443</v>
      </c>
      <c r="C10587" t="s">
        <v>20632</v>
      </c>
      <c r="D10587" t="s">
        <v>18824</v>
      </c>
      <c r="E10587" t="s">
        <v>18825</v>
      </c>
      <c r="F10587" t="s">
        <v>18825</v>
      </c>
      <c r="G10587" t="s">
        <v>18825</v>
      </c>
      <c r="H10587" t="s">
        <v>859</v>
      </c>
      <c r="I10587" t="s">
        <v>860</v>
      </c>
      <c r="J10587" t="str">
        <f>"9400212"</f>
        <v>9400212</v>
      </c>
      <c r="K10587">
        <v>2682029649</v>
      </c>
      <c r="L10587">
        <v>2682029649</v>
      </c>
      <c r="M10587" t="s">
        <v>20633</v>
      </c>
      <c r="N10587" t="s">
        <v>18828</v>
      </c>
      <c r="O10587" t="s">
        <v>20634</v>
      </c>
      <c r="P10587">
        <v>48100</v>
      </c>
      <c r="Q10587" t="str">
        <f>"38.952152"</f>
        <v>38.952152</v>
      </c>
      <c r="R10587" t="str">
        <f>"20.743831"</f>
        <v>20.743831</v>
      </c>
      <c r="S10587" t="s">
        <v>26</v>
      </c>
    </row>
    <row r="10588" spans="1:19" x14ac:dyDescent="0.3">
      <c r="A10588" t="s">
        <v>18804</v>
      </c>
      <c r="B10588" t="s">
        <v>20443</v>
      </c>
      <c r="C10588" t="s">
        <v>20635</v>
      </c>
      <c r="D10588" t="s">
        <v>18824</v>
      </c>
      <c r="E10588" t="s">
        <v>18825</v>
      </c>
      <c r="F10588" t="s">
        <v>18825</v>
      </c>
      <c r="G10588" t="s">
        <v>18825</v>
      </c>
      <c r="H10588" t="s">
        <v>859</v>
      </c>
      <c r="I10588" t="s">
        <v>860</v>
      </c>
      <c r="J10588" t="str">
        <f>"9400228"</f>
        <v>9400228</v>
      </c>
      <c r="K10588">
        <v>2682023148</v>
      </c>
      <c r="L10588">
        <v>2682023148</v>
      </c>
      <c r="M10588" t="s">
        <v>20636</v>
      </c>
      <c r="N10588" t="s">
        <v>18828</v>
      </c>
      <c r="O10588" t="s">
        <v>20637</v>
      </c>
      <c r="P10588">
        <v>48100</v>
      </c>
      <c r="Q10588" t="str">
        <f>"38.958047"</f>
        <v>38.958047</v>
      </c>
      <c r="R10588" t="str">
        <f>"20.747470"</f>
        <v>20.747470</v>
      </c>
      <c r="S10588" t="s">
        <v>26</v>
      </c>
    </row>
    <row r="10589" spans="1:19" x14ac:dyDescent="0.3">
      <c r="A10589" t="s">
        <v>18804</v>
      </c>
      <c r="B10589" t="s">
        <v>20443</v>
      </c>
      <c r="C10589" t="s">
        <v>20646</v>
      </c>
      <c r="D10589" t="s">
        <v>18824</v>
      </c>
      <c r="E10589" t="s">
        <v>19357</v>
      </c>
      <c r="F10589" t="s">
        <v>19366</v>
      </c>
      <c r="G10589" t="s">
        <v>1872</v>
      </c>
      <c r="H10589" t="s">
        <v>859</v>
      </c>
      <c r="I10589" t="s">
        <v>860</v>
      </c>
      <c r="J10589" t="str">
        <f>"9400017"</f>
        <v>9400017</v>
      </c>
      <c r="K10589">
        <v>2683091064</v>
      </c>
      <c r="M10589" t="s">
        <v>20647</v>
      </c>
      <c r="N10589" t="s">
        <v>12409</v>
      </c>
      <c r="O10589" t="s">
        <v>12409</v>
      </c>
      <c r="P10589">
        <v>48200</v>
      </c>
      <c r="Q10589" t="str">
        <f>"39.267284"</f>
        <v>39.267284</v>
      </c>
      <c r="R10589" t="str">
        <f>"20.854875"</f>
        <v>20.854875</v>
      </c>
      <c r="S10589" t="s">
        <v>26</v>
      </c>
    </row>
    <row r="10590" spans="1:19" x14ac:dyDescent="0.3">
      <c r="A10590" t="s">
        <v>18804</v>
      </c>
      <c r="B10590" t="s">
        <v>20443</v>
      </c>
      <c r="C10590" t="s">
        <v>20648</v>
      </c>
      <c r="D10590" t="s">
        <v>18824</v>
      </c>
      <c r="E10590" t="s">
        <v>19331</v>
      </c>
      <c r="F10590" t="s">
        <v>19331</v>
      </c>
      <c r="G10590" t="s">
        <v>4526</v>
      </c>
      <c r="H10590" t="s">
        <v>859</v>
      </c>
      <c r="I10590" t="s">
        <v>860</v>
      </c>
      <c r="J10590" t="str">
        <f>"9400113"</f>
        <v>9400113</v>
      </c>
      <c r="K10590">
        <v>2684032667</v>
      </c>
      <c r="M10590" t="s">
        <v>20649</v>
      </c>
      <c r="N10590" t="s">
        <v>4530</v>
      </c>
      <c r="O10590" t="s">
        <v>20645</v>
      </c>
      <c r="P10590">
        <v>48060</v>
      </c>
      <c r="Q10590" t="str">
        <f>"39.299238"</f>
        <v>39.299238</v>
      </c>
      <c r="R10590" t="str">
        <f>"20.372859"</f>
        <v>20.372859</v>
      </c>
      <c r="S10590" t="s">
        <v>26</v>
      </c>
    </row>
    <row r="10591" spans="1:19" x14ac:dyDescent="0.3">
      <c r="A10591" t="s">
        <v>18804</v>
      </c>
      <c r="B10591" t="s">
        <v>20443</v>
      </c>
      <c r="C10591" t="s">
        <v>20650</v>
      </c>
      <c r="D10591" t="s">
        <v>18824</v>
      </c>
      <c r="E10591" t="s">
        <v>19357</v>
      </c>
      <c r="F10591" t="s">
        <v>19366</v>
      </c>
      <c r="G10591" t="s">
        <v>12466</v>
      </c>
      <c r="H10591" t="s">
        <v>859</v>
      </c>
      <c r="I10591" t="s">
        <v>860</v>
      </c>
      <c r="J10591" t="str">
        <f>"9400201"</f>
        <v>9400201</v>
      </c>
      <c r="K10591">
        <v>2683041506</v>
      </c>
      <c r="L10591">
        <v>2683041506</v>
      </c>
      <c r="M10591" t="s">
        <v>20651</v>
      </c>
      <c r="N10591" t="s">
        <v>12469</v>
      </c>
      <c r="O10591" t="s">
        <v>20652</v>
      </c>
      <c r="P10591">
        <v>48200</v>
      </c>
      <c r="Q10591" t="str">
        <f>"39.150000"</f>
        <v>39.150000</v>
      </c>
      <c r="R10591" t="str">
        <f>"20.816667"</f>
        <v>20.816667</v>
      </c>
      <c r="S10591" t="s">
        <v>26</v>
      </c>
    </row>
    <row r="10592" spans="1:19" x14ac:dyDescent="0.3">
      <c r="A10592" t="s">
        <v>18804</v>
      </c>
      <c r="B10592" t="s">
        <v>20443</v>
      </c>
      <c r="C10592" t="s">
        <v>20654</v>
      </c>
      <c r="D10592" t="s">
        <v>18824</v>
      </c>
      <c r="E10592" t="s">
        <v>19357</v>
      </c>
      <c r="F10592" t="s">
        <v>19358</v>
      </c>
      <c r="G10592" t="s">
        <v>20653</v>
      </c>
      <c r="H10592" t="s">
        <v>859</v>
      </c>
      <c r="I10592" t="s">
        <v>860</v>
      </c>
      <c r="J10592" t="str">
        <f>"9400076"</f>
        <v>9400076</v>
      </c>
      <c r="K10592">
        <v>2683032132</v>
      </c>
      <c r="L10592">
        <v>2683032132</v>
      </c>
      <c r="M10592" t="s">
        <v>20655</v>
      </c>
      <c r="N10592" t="s">
        <v>20656</v>
      </c>
      <c r="O10592" t="s">
        <v>20656</v>
      </c>
      <c r="P10592">
        <v>48300</v>
      </c>
      <c r="Q10592" t="str">
        <f>"39.261790"</f>
        <v>39.261790</v>
      </c>
      <c r="R10592" t="str">
        <f>"20.808753"</f>
        <v>20.808753</v>
      </c>
      <c r="S10592" t="s">
        <v>26</v>
      </c>
    </row>
    <row r="10593" spans="1:19" x14ac:dyDescent="0.3">
      <c r="A10593" t="s">
        <v>18804</v>
      </c>
      <c r="B10593" t="s">
        <v>20443</v>
      </c>
      <c r="C10593" t="s">
        <v>20657</v>
      </c>
      <c r="D10593" t="s">
        <v>18824</v>
      </c>
      <c r="E10593" t="s">
        <v>18825</v>
      </c>
      <c r="F10593" t="s">
        <v>18825</v>
      </c>
      <c r="G10593" t="s">
        <v>18825</v>
      </c>
      <c r="H10593" t="s">
        <v>859</v>
      </c>
      <c r="I10593" t="s">
        <v>1102</v>
      </c>
      <c r="J10593" t="str">
        <f>"9520894"</f>
        <v>9520894</v>
      </c>
      <c r="K10593">
        <v>2682027580</v>
      </c>
      <c r="M10593" t="s">
        <v>20658</v>
      </c>
      <c r="N10593" t="s">
        <v>18828</v>
      </c>
      <c r="O10593" t="s">
        <v>20659</v>
      </c>
      <c r="P10593">
        <v>48100</v>
      </c>
      <c r="Q10593" t="str">
        <f>"38.953646"</f>
        <v>38.953646</v>
      </c>
      <c r="R10593" t="str">
        <f>"20.750973"</f>
        <v>20.750973</v>
      </c>
      <c r="S10593" t="s">
        <v>26</v>
      </c>
    </row>
    <row r="10594" spans="1:19" x14ac:dyDescent="0.3">
      <c r="A10594" t="s">
        <v>20660</v>
      </c>
      <c r="B10594" t="s">
        <v>21672</v>
      </c>
      <c r="C10594" t="s">
        <v>21674</v>
      </c>
      <c r="D10594" t="s">
        <v>20661</v>
      </c>
      <c r="E10594" t="s">
        <v>20687</v>
      </c>
      <c r="F10594" t="s">
        <v>20687</v>
      </c>
      <c r="G10594" t="s">
        <v>21673</v>
      </c>
      <c r="H10594" t="s">
        <v>859</v>
      </c>
      <c r="I10594" t="s">
        <v>860</v>
      </c>
      <c r="J10594" t="str">
        <f>"9220023"</f>
        <v>9220023</v>
      </c>
      <c r="K10594">
        <v>2443092505</v>
      </c>
      <c r="L10594">
        <v>2443092505</v>
      </c>
      <c r="M10594" t="s">
        <v>21675</v>
      </c>
      <c r="N10594" t="s">
        <v>21673</v>
      </c>
      <c r="O10594" t="s">
        <v>21676</v>
      </c>
      <c r="P10594">
        <v>43100</v>
      </c>
      <c r="Q10594" t="str">
        <f>"39.335490"</f>
        <v>39.335490</v>
      </c>
      <c r="R10594" t="str">
        <f>"22.012722"</f>
        <v>22.012722</v>
      </c>
      <c r="S10594" t="s">
        <v>26</v>
      </c>
    </row>
    <row r="10595" spans="1:19" x14ac:dyDescent="0.3">
      <c r="A10595" t="s">
        <v>20660</v>
      </c>
      <c r="B10595" t="s">
        <v>21672</v>
      </c>
      <c r="C10595" t="s">
        <v>21677</v>
      </c>
      <c r="D10595" t="s">
        <v>20661</v>
      </c>
      <c r="E10595" t="s">
        <v>20687</v>
      </c>
      <c r="F10595" t="s">
        <v>20687</v>
      </c>
      <c r="G10595" t="s">
        <v>20687</v>
      </c>
      <c r="H10595" t="s">
        <v>859</v>
      </c>
      <c r="I10595" t="s">
        <v>860</v>
      </c>
      <c r="J10595" t="str">
        <f>"9220208"</f>
        <v>9220208</v>
      </c>
      <c r="K10595">
        <v>2443024690</v>
      </c>
      <c r="L10595">
        <v>2443024690</v>
      </c>
      <c r="M10595" t="s">
        <v>21678</v>
      </c>
      <c r="N10595" t="s">
        <v>20687</v>
      </c>
      <c r="O10595" t="s">
        <v>21679</v>
      </c>
      <c r="P10595">
        <v>43300</v>
      </c>
      <c r="Q10595" t="str">
        <f>"39.332908"</f>
        <v>39.332908</v>
      </c>
      <c r="R10595" t="str">
        <f>"22.103397"</f>
        <v>22.103397</v>
      </c>
      <c r="S10595" t="s">
        <v>26</v>
      </c>
    </row>
    <row r="10596" spans="1:19" x14ac:dyDescent="0.3">
      <c r="A10596" t="s">
        <v>20660</v>
      </c>
      <c r="B10596" t="s">
        <v>21672</v>
      </c>
      <c r="C10596" t="s">
        <v>21680</v>
      </c>
      <c r="D10596" t="s">
        <v>20661</v>
      </c>
      <c r="E10596" t="s">
        <v>20687</v>
      </c>
      <c r="F10596" t="s">
        <v>20687</v>
      </c>
      <c r="G10596" t="s">
        <v>20687</v>
      </c>
      <c r="H10596" t="s">
        <v>859</v>
      </c>
      <c r="I10596" t="s">
        <v>860</v>
      </c>
      <c r="J10596" t="str">
        <f>"9220210"</f>
        <v>9220210</v>
      </c>
      <c r="K10596">
        <v>2443022641</v>
      </c>
      <c r="L10596">
        <v>2443022641</v>
      </c>
      <c r="M10596" t="s">
        <v>21681</v>
      </c>
      <c r="N10596" t="s">
        <v>20687</v>
      </c>
      <c r="O10596" t="s">
        <v>21682</v>
      </c>
      <c r="P10596">
        <v>43300</v>
      </c>
      <c r="Q10596" t="str">
        <f>"39.334679"</f>
        <v>39.334679</v>
      </c>
      <c r="R10596" t="str">
        <f>"22.089544"</f>
        <v>22.089544</v>
      </c>
      <c r="S10596" t="s">
        <v>26</v>
      </c>
    </row>
    <row r="10597" spans="1:19" x14ac:dyDescent="0.3">
      <c r="A10597" t="s">
        <v>20660</v>
      </c>
      <c r="B10597" t="s">
        <v>21672</v>
      </c>
      <c r="C10597" t="s">
        <v>21683</v>
      </c>
      <c r="D10597" t="s">
        <v>20661</v>
      </c>
      <c r="E10597" t="s">
        <v>20687</v>
      </c>
      <c r="F10597" t="s">
        <v>20787</v>
      </c>
      <c r="G10597" t="s">
        <v>12047</v>
      </c>
      <c r="H10597" t="s">
        <v>859</v>
      </c>
      <c r="I10597" t="s">
        <v>860</v>
      </c>
      <c r="J10597" t="str">
        <f>"9220321"</f>
        <v>9220321</v>
      </c>
      <c r="K10597">
        <v>2443096316</v>
      </c>
      <c r="L10597">
        <v>2443096318</v>
      </c>
      <c r="M10597" t="s">
        <v>21684</v>
      </c>
      <c r="N10597" t="s">
        <v>12047</v>
      </c>
      <c r="O10597" t="s">
        <v>7912</v>
      </c>
      <c r="P10597">
        <v>43300</v>
      </c>
      <c r="Q10597" t="str">
        <f>"39.370896"</f>
        <v>39.370896</v>
      </c>
      <c r="R10597" t="str">
        <f>"22.141881"</f>
        <v>22.141881</v>
      </c>
      <c r="S10597" t="s">
        <v>26</v>
      </c>
    </row>
    <row r="10598" spans="1:19" x14ac:dyDescent="0.3">
      <c r="A10598" t="s">
        <v>20660</v>
      </c>
      <c r="B10598" t="s">
        <v>21672</v>
      </c>
      <c r="C10598" t="s">
        <v>21685</v>
      </c>
      <c r="D10598" t="s">
        <v>20661</v>
      </c>
      <c r="E10598" t="s">
        <v>20687</v>
      </c>
      <c r="F10598" t="s">
        <v>20687</v>
      </c>
      <c r="G10598" t="s">
        <v>12619</v>
      </c>
      <c r="H10598" t="s">
        <v>859</v>
      </c>
      <c r="I10598" t="s">
        <v>860</v>
      </c>
      <c r="J10598" t="str">
        <f>"9220263"</f>
        <v>9220263</v>
      </c>
      <c r="K10598">
        <v>2443095236</v>
      </c>
      <c r="L10598">
        <v>2443095236</v>
      </c>
      <c r="M10598" t="s">
        <v>21686</v>
      </c>
      <c r="N10598" t="s">
        <v>20822</v>
      </c>
      <c r="O10598" t="s">
        <v>2121</v>
      </c>
      <c r="P10598">
        <v>43300</v>
      </c>
      <c r="Q10598" t="str">
        <f>"39.254372"</f>
        <v>39.254372</v>
      </c>
      <c r="R10598" t="str">
        <f>"22.056071"</f>
        <v>22.056071</v>
      </c>
      <c r="S10598" t="s">
        <v>26</v>
      </c>
    </row>
    <row r="10599" spans="1:19" x14ac:dyDescent="0.3">
      <c r="A10599" t="s">
        <v>20660</v>
      </c>
      <c r="B10599" t="s">
        <v>21672</v>
      </c>
      <c r="C10599" t="s">
        <v>21688</v>
      </c>
      <c r="D10599" t="s">
        <v>20661</v>
      </c>
      <c r="E10599" t="s">
        <v>20687</v>
      </c>
      <c r="F10599" t="s">
        <v>20687</v>
      </c>
      <c r="G10599" t="s">
        <v>21687</v>
      </c>
      <c r="H10599" t="s">
        <v>859</v>
      </c>
      <c r="I10599" t="s">
        <v>860</v>
      </c>
      <c r="J10599" t="str">
        <f>"9220236"</f>
        <v>9220236</v>
      </c>
      <c r="K10599">
        <v>2443097335</v>
      </c>
      <c r="M10599" t="s">
        <v>21689</v>
      </c>
      <c r="N10599" t="s">
        <v>21687</v>
      </c>
      <c r="O10599" t="s">
        <v>21690</v>
      </c>
      <c r="P10599">
        <v>43300</v>
      </c>
      <c r="Q10599" t="str">
        <f>"39.341444"</f>
        <v>39.341444</v>
      </c>
      <c r="R10599" t="str">
        <f>"22.091750"</f>
        <v>22.091750</v>
      </c>
      <c r="S10599" t="s">
        <v>26</v>
      </c>
    </row>
    <row r="10600" spans="1:19" x14ac:dyDescent="0.3">
      <c r="A10600" t="s">
        <v>20660</v>
      </c>
      <c r="B10600" t="s">
        <v>21672</v>
      </c>
      <c r="C10600" t="s">
        <v>21691</v>
      </c>
      <c r="D10600" t="s">
        <v>20661</v>
      </c>
      <c r="E10600" t="s">
        <v>20687</v>
      </c>
      <c r="F10600" t="s">
        <v>20693</v>
      </c>
      <c r="G10600" t="s">
        <v>20694</v>
      </c>
      <c r="H10600" t="s">
        <v>859</v>
      </c>
      <c r="I10600" t="s">
        <v>860</v>
      </c>
      <c r="J10600" t="str">
        <f>"9220029"</f>
        <v>9220029</v>
      </c>
      <c r="K10600">
        <v>2443051610</v>
      </c>
      <c r="L10600">
        <v>2443051610</v>
      </c>
      <c r="M10600" t="s">
        <v>21692</v>
      </c>
      <c r="N10600" t="s">
        <v>20694</v>
      </c>
      <c r="O10600" t="s">
        <v>20697</v>
      </c>
      <c r="P10600">
        <v>43300</v>
      </c>
      <c r="Q10600" t="str">
        <f>"39.206935"</f>
        <v>39.206935</v>
      </c>
      <c r="R10600" t="str">
        <f>"22.042153"</f>
        <v>22.042153</v>
      </c>
      <c r="S10600" t="s">
        <v>26</v>
      </c>
    </row>
    <row r="10601" spans="1:19" x14ac:dyDescent="0.3">
      <c r="A10601" t="s">
        <v>20660</v>
      </c>
      <c r="B10601" t="s">
        <v>21672</v>
      </c>
      <c r="C10601" t="s">
        <v>21693</v>
      </c>
      <c r="D10601" t="s">
        <v>20661</v>
      </c>
      <c r="E10601" t="s">
        <v>20687</v>
      </c>
      <c r="F10601" t="s">
        <v>20687</v>
      </c>
      <c r="G10601" t="s">
        <v>20687</v>
      </c>
      <c r="H10601" t="s">
        <v>859</v>
      </c>
      <c r="I10601" t="s">
        <v>860</v>
      </c>
      <c r="J10601" t="str">
        <f>"9220404"</f>
        <v>9220404</v>
      </c>
      <c r="K10601">
        <v>2443023213</v>
      </c>
      <c r="M10601" t="s">
        <v>21694</v>
      </c>
      <c r="N10601" t="s">
        <v>20822</v>
      </c>
      <c r="O10601" t="s">
        <v>21695</v>
      </c>
      <c r="P10601">
        <v>43300</v>
      </c>
      <c r="Q10601" t="str">
        <f>"39.317651"</f>
        <v>39.317651</v>
      </c>
      <c r="R10601" t="str">
        <f>"22.128886"</f>
        <v>22.128886</v>
      </c>
      <c r="S10601" t="s">
        <v>26</v>
      </c>
    </row>
    <row r="10602" spans="1:19" x14ac:dyDescent="0.3">
      <c r="A10602" t="s">
        <v>20660</v>
      </c>
      <c r="B10602" t="s">
        <v>21672</v>
      </c>
      <c r="C10602" t="s">
        <v>21697</v>
      </c>
      <c r="D10602" t="s">
        <v>20661</v>
      </c>
      <c r="E10602" t="s">
        <v>20687</v>
      </c>
      <c r="F10602" t="s">
        <v>20718</v>
      </c>
      <c r="G10602" t="s">
        <v>21696</v>
      </c>
      <c r="H10602" t="s">
        <v>859</v>
      </c>
      <c r="I10602" t="s">
        <v>860</v>
      </c>
      <c r="J10602" t="str">
        <f>"9220217"</f>
        <v>9220217</v>
      </c>
      <c r="K10602">
        <v>2443081364</v>
      </c>
      <c r="L10602">
        <v>2443081364</v>
      </c>
      <c r="M10602" t="s">
        <v>21698</v>
      </c>
      <c r="N10602" t="s">
        <v>21696</v>
      </c>
      <c r="O10602" t="s">
        <v>21699</v>
      </c>
      <c r="P10602">
        <v>43063</v>
      </c>
      <c r="Q10602" t="str">
        <f>"39.190479"</f>
        <v>39.190479</v>
      </c>
      <c r="R10602" t="str">
        <f>"22.092388"</f>
        <v>22.092388</v>
      </c>
      <c r="S10602" t="s">
        <v>26</v>
      </c>
    </row>
    <row r="10603" spans="1:19" x14ac:dyDescent="0.3">
      <c r="A10603" t="s">
        <v>20660</v>
      </c>
      <c r="B10603" t="s">
        <v>21672</v>
      </c>
      <c r="C10603" t="s">
        <v>21700</v>
      </c>
      <c r="D10603" t="s">
        <v>20661</v>
      </c>
      <c r="E10603" t="s">
        <v>20687</v>
      </c>
      <c r="F10603" t="s">
        <v>20687</v>
      </c>
      <c r="G10603" t="s">
        <v>20687</v>
      </c>
      <c r="H10603" t="s">
        <v>859</v>
      </c>
      <c r="I10603" t="s">
        <v>860</v>
      </c>
      <c r="J10603" t="str">
        <f>"9220370"</f>
        <v>9220370</v>
      </c>
      <c r="K10603">
        <v>2443024209</v>
      </c>
      <c r="M10603" t="s">
        <v>21701</v>
      </c>
      <c r="N10603" t="s">
        <v>20822</v>
      </c>
      <c r="O10603" t="s">
        <v>21702</v>
      </c>
      <c r="P10603">
        <v>43300</v>
      </c>
      <c r="Q10603" t="str">
        <f>"39.327967"</f>
        <v>39.327967</v>
      </c>
      <c r="R10603" t="str">
        <f>"22.100183"</f>
        <v>22.100183</v>
      </c>
      <c r="S10603" t="s">
        <v>26</v>
      </c>
    </row>
    <row r="10604" spans="1:19" x14ac:dyDescent="0.3">
      <c r="A10604" t="s">
        <v>20660</v>
      </c>
      <c r="B10604" t="s">
        <v>21672</v>
      </c>
      <c r="C10604" t="s">
        <v>21706</v>
      </c>
      <c r="D10604" t="s">
        <v>20661</v>
      </c>
      <c r="E10604" t="s">
        <v>20661</v>
      </c>
      <c r="F10604" t="s">
        <v>20661</v>
      </c>
      <c r="G10604" t="s">
        <v>20662</v>
      </c>
      <c r="H10604" t="s">
        <v>859</v>
      </c>
      <c r="I10604" t="s">
        <v>860</v>
      </c>
      <c r="J10604" t="str">
        <f>"9220274"</f>
        <v>9220274</v>
      </c>
      <c r="K10604">
        <v>2441021453</v>
      </c>
      <c r="M10604" t="s">
        <v>21707</v>
      </c>
      <c r="N10604" t="s">
        <v>20661</v>
      </c>
      <c r="O10604" t="s">
        <v>21708</v>
      </c>
      <c r="P10604">
        <v>43100</v>
      </c>
      <c r="Q10604" t="str">
        <f>"39.356001"</f>
        <v>39.356001</v>
      </c>
      <c r="R10604" t="str">
        <f>"21.911432"</f>
        <v>21.911432</v>
      </c>
      <c r="S10604" t="s">
        <v>26</v>
      </c>
    </row>
    <row r="10605" spans="1:19" x14ac:dyDescent="0.3">
      <c r="A10605" t="s">
        <v>20660</v>
      </c>
      <c r="B10605" t="s">
        <v>21672</v>
      </c>
      <c r="C10605" t="s">
        <v>21711</v>
      </c>
      <c r="D10605" t="s">
        <v>20661</v>
      </c>
      <c r="E10605" t="s">
        <v>20661</v>
      </c>
      <c r="F10605" t="s">
        <v>21709</v>
      </c>
      <c r="G10605" t="s">
        <v>21710</v>
      </c>
      <c r="H10605" t="s">
        <v>859</v>
      </c>
      <c r="I10605" t="s">
        <v>860</v>
      </c>
      <c r="J10605" t="str">
        <f>"9220287"</f>
        <v>9220287</v>
      </c>
      <c r="K10605">
        <v>2441081555</v>
      </c>
      <c r="M10605" t="s">
        <v>21712</v>
      </c>
      <c r="N10605" t="s">
        <v>21710</v>
      </c>
      <c r="O10605" t="s">
        <v>21713</v>
      </c>
      <c r="P10605">
        <v>43100</v>
      </c>
      <c r="Q10605" t="str">
        <f>"39.280884"</f>
        <v>39.280884</v>
      </c>
      <c r="R10605" t="str">
        <f>"21.903550"</f>
        <v>21.903550</v>
      </c>
      <c r="S10605" t="s">
        <v>26</v>
      </c>
    </row>
    <row r="10606" spans="1:19" x14ac:dyDescent="0.3">
      <c r="A10606" t="s">
        <v>20660</v>
      </c>
      <c r="B10606" t="s">
        <v>21672</v>
      </c>
      <c r="C10606" t="s">
        <v>21728</v>
      </c>
      <c r="D10606" t="s">
        <v>20661</v>
      </c>
      <c r="E10606" t="s">
        <v>20700</v>
      </c>
      <c r="F10606" t="s">
        <v>20724</v>
      </c>
      <c r="G10606" t="s">
        <v>17334</v>
      </c>
      <c r="H10606" t="s">
        <v>859</v>
      </c>
      <c r="I10606" t="s">
        <v>860</v>
      </c>
      <c r="J10606" t="str">
        <f>"9220068"</f>
        <v>9220068</v>
      </c>
      <c r="K10606">
        <v>2441052115</v>
      </c>
      <c r="M10606" t="s">
        <v>21729</v>
      </c>
      <c r="N10606" t="s">
        <v>21730</v>
      </c>
      <c r="O10606" t="s">
        <v>21731</v>
      </c>
      <c r="P10606">
        <v>43061</v>
      </c>
      <c r="Q10606" t="str">
        <f>"39.463342"</f>
        <v>39.463342</v>
      </c>
      <c r="R10606" t="str">
        <f>"21.897151"</f>
        <v>21.897151</v>
      </c>
      <c r="S10606" t="s">
        <v>26</v>
      </c>
    </row>
    <row r="10607" spans="1:19" x14ac:dyDescent="0.3">
      <c r="A10607" t="s">
        <v>20660</v>
      </c>
      <c r="B10607" t="s">
        <v>21672</v>
      </c>
      <c r="C10607" t="s">
        <v>21736</v>
      </c>
      <c r="D10607" t="s">
        <v>20661</v>
      </c>
      <c r="E10607" t="s">
        <v>20661</v>
      </c>
      <c r="F10607" t="s">
        <v>20661</v>
      </c>
      <c r="G10607" t="s">
        <v>20662</v>
      </c>
      <c r="H10607" t="s">
        <v>859</v>
      </c>
      <c r="I10607" t="s">
        <v>860</v>
      </c>
      <c r="J10607" t="str">
        <f>"9220379"</f>
        <v>9220379</v>
      </c>
      <c r="K10607">
        <v>2441075274</v>
      </c>
      <c r="M10607" t="s">
        <v>21737</v>
      </c>
      <c r="N10607" t="s">
        <v>20661</v>
      </c>
      <c r="O10607" t="s">
        <v>21738</v>
      </c>
      <c r="P10607">
        <v>43100</v>
      </c>
      <c r="Q10607" t="str">
        <f>"39.349904"</f>
        <v>39.349904</v>
      </c>
      <c r="R10607" t="str">
        <f>"21.912173"</f>
        <v>21.912173</v>
      </c>
      <c r="S10607" t="s">
        <v>26</v>
      </c>
    </row>
    <row r="10608" spans="1:19" x14ac:dyDescent="0.3">
      <c r="A10608" t="s">
        <v>20660</v>
      </c>
      <c r="B10608" t="s">
        <v>21672</v>
      </c>
      <c r="C10608" t="s">
        <v>21740</v>
      </c>
      <c r="D10608" t="s">
        <v>20661</v>
      </c>
      <c r="E10608" t="s">
        <v>20661</v>
      </c>
      <c r="F10608" t="s">
        <v>20753</v>
      </c>
      <c r="G10608" t="s">
        <v>21739</v>
      </c>
      <c r="H10608" t="s">
        <v>859</v>
      </c>
      <c r="I10608" t="s">
        <v>860</v>
      </c>
      <c r="J10608" t="str">
        <f>"9220319"</f>
        <v>9220319</v>
      </c>
      <c r="K10608">
        <v>2441036309</v>
      </c>
      <c r="L10608">
        <v>2441036309</v>
      </c>
      <c r="M10608" t="s">
        <v>21741</v>
      </c>
      <c r="N10608" t="s">
        <v>21739</v>
      </c>
      <c r="O10608" t="s">
        <v>21742</v>
      </c>
      <c r="P10608">
        <v>43100</v>
      </c>
      <c r="Q10608" t="str">
        <f>"39.323059"</f>
        <v>39.323059</v>
      </c>
      <c r="R10608" t="str">
        <f>"21.875754"</f>
        <v>21.875754</v>
      </c>
      <c r="S10608" t="s">
        <v>26</v>
      </c>
    </row>
    <row r="10609" spans="1:19" x14ac:dyDescent="0.3">
      <c r="A10609" t="s">
        <v>20660</v>
      </c>
      <c r="B10609" t="s">
        <v>21672</v>
      </c>
      <c r="C10609" t="s">
        <v>21743</v>
      </c>
      <c r="D10609" t="s">
        <v>20661</v>
      </c>
      <c r="E10609" t="s">
        <v>20661</v>
      </c>
      <c r="F10609" t="s">
        <v>20661</v>
      </c>
      <c r="G10609" t="s">
        <v>20662</v>
      </c>
      <c r="H10609" t="s">
        <v>859</v>
      </c>
      <c r="I10609" t="s">
        <v>860</v>
      </c>
      <c r="J10609" t="str">
        <f>"9220329"</f>
        <v>9220329</v>
      </c>
      <c r="K10609">
        <v>2441020746</v>
      </c>
      <c r="L10609">
        <v>2441041787</v>
      </c>
      <c r="M10609" t="s">
        <v>21744</v>
      </c>
      <c r="N10609" t="s">
        <v>20661</v>
      </c>
      <c r="O10609" t="s">
        <v>21745</v>
      </c>
      <c r="P10609">
        <v>43100</v>
      </c>
      <c r="Q10609" t="str">
        <f>"39.357531"</f>
        <v>39.357531</v>
      </c>
      <c r="R10609" t="str">
        <f>"21.926493"</f>
        <v>21.926493</v>
      </c>
      <c r="S10609" t="s">
        <v>26</v>
      </c>
    </row>
    <row r="10610" spans="1:19" x14ac:dyDescent="0.3">
      <c r="A10610" t="s">
        <v>20660</v>
      </c>
      <c r="B10610" t="s">
        <v>21672</v>
      </c>
      <c r="C10610" t="s">
        <v>21747</v>
      </c>
      <c r="D10610" t="s">
        <v>20661</v>
      </c>
      <c r="E10610" t="s">
        <v>20661</v>
      </c>
      <c r="F10610" t="s">
        <v>21746</v>
      </c>
      <c r="G10610" t="s">
        <v>21746</v>
      </c>
      <c r="H10610" t="s">
        <v>859</v>
      </c>
      <c r="I10610" t="s">
        <v>860</v>
      </c>
      <c r="J10610" t="str">
        <f>"9220021"</f>
        <v>9220021</v>
      </c>
      <c r="K10610">
        <v>2441088083</v>
      </c>
      <c r="L10610">
        <v>2441088083</v>
      </c>
      <c r="M10610" t="s">
        <v>21748</v>
      </c>
      <c r="N10610" t="s">
        <v>21746</v>
      </c>
      <c r="O10610" t="s">
        <v>21749</v>
      </c>
      <c r="P10610">
        <v>43100</v>
      </c>
      <c r="Q10610" t="str">
        <f>"39.278165"</f>
        <v>39.278165</v>
      </c>
      <c r="R10610" t="str">
        <f>"21.962427"</f>
        <v>21.962427</v>
      </c>
      <c r="S10610" t="s">
        <v>26</v>
      </c>
    </row>
    <row r="10611" spans="1:19" x14ac:dyDescent="0.3">
      <c r="A10611" t="s">
        <v>20660</v>
      </c>
      <c r="B10611" t="s">
        <v>21672</v>
      </c>
      <c r="C10611" t="s">
        <v>21755</v>
      </c>
      <c r="D10611" t="s">
        <v>20661</v>
      </c>
      <c r="E10611" t="s">
        <v>20661</v>
      </c>
      <c r="F10611" t="s">
        <v>20661</v>
      </c>
      <c r="G10611" t="s">
        <v>20662</v>
      </c>
      <c r="H10611" t="s">
        <v>859</v>
      </c>
      <c r="I10611" t="s">
        <v>860</v>
      </c>
      <c r="J10611" t="str">
        <f>"9220398"</f>
        <v>9220398</v>
      </c>
      <c r="K10611">
        <v>2441079740</v>
      </c>
      <c r="L10611">
        <v>2441079740</v>
      </c>
      <c r="M10611" t="s">
        <v>21756</v>
      </c>
      <c r="N10611" t="s">
        <v>20661</v>
      </c>
      <c r="O10611" t="s">
        <v>21757</v>
      </c>
      <c r="P10611">
        <v>43100</v>
      </c>
      <c r="Q10611" t="str">
        <f>"39.354247"</f>
        <v>39.354247</v>
      </c>
      <c r="R10611" t="str">
        <f>"21.929887"</f>
        <v>21.929887</v>
      </c>
      <c r="S10611" t="s">
        <v>26</v>
      </c>
    </row>
    <row r="10612" spans="1:19" x14ac:dyDescent="0.3">
      <c r="A10612" t="s">
        <v>20660</v>
      </c>
      <c r="B10612" t="s">
        <v>21672</v>
      </c>
      <c r="C10612" t="s">
        <v>21758</v>
      </c>
      <c r="D10612" t="s">
        <v>20661</v>
      </c>
      <c r="E10612" t="s">
        <v>20661</v>
      </c>
      <c r="F10612" t="s">
        <v>20661</v>
      </c>
      <c r="G10612" t="s">
        <v>20662</v>
      </c>
      <c r="H10612" t="s">
        <v>859</v>
      </c>
      <c r="I10612" t="s">
        <v>860</v>
      </c>
      <c r="J10612" t="str">
        <f>"9220380"</f>
        <v>9220380</v>
      </c>
      <c r="K10612">
        <v>2441020892</v>
      </c>
      <c r="L10612">
        <v>2441020892</v>
      </c>
      <c r="M10612" t="s">
        <v>21759</v>
      </c>
      <c r="N10612" t="s">
        <v>20661</v>
      </c>
      <c r="O10612" t="s">
        <v>21760</v>
      </c>
      <c r="P10612">
        <v>43100</v>
      </c>
      <c r="Q10612" t="str">
        <f>"39.354475"</f>
        <v>39.354475</v>
      </c>
      <c r="R10612" t="str">
        <f>"21.918257"</f>
        <v>21.918257</v>
      </c>
      <c r="S10612" t="s">
        <v>26</v>
      </c>
    </row>
    <row r="10613" spans="1:19" x14ac:dyDescent="0.3">
      <c r="A10613" t="s">
        <v>20660</v>
      </c>
      <c r="B10613" t="s">
        <v>21672</v>
      </c>
      <c r="C10613" t="s">
        <v>21761</v>
      </c>
      <c r="D10613" t="s">
        <v>20661</v>
      </c>
      <c r="E10613" t="s">
        <v>20661</v>
      </c>
      <c r="F10613" t="s">
        <v>20661</v>
      </c>
      <c r="G10613" t="s">
        <v>20662</v>
      </c>
      <c r="H10613" t="s">
        <v>859</v>
      </c>
      <c r="I10613" t="s">
        <v>1102</v>
      </c>
      <c r="J10613" t="str">
        <f>"9220378"</f>
        <v>9220378</v>
      </c>
      <c r="K10613">
        <v>2441041772</v>
      </c>
      <c r="M10613" t="s">
        <v>21762</v>
      </c>
      <c r="N10613" t="s">
        <v>20665</v>
      </c>
      <c r="O10613" t="s">
        <v>21763</v>
      </c>
      <c r="P10613">
        <v>43100</v>
      </c>
      <c r="Q10613" t="str">
        <f>"39.359537"</f>
        <v>39.359537</v>
      </c>
      <c r="R10613" t="str">
        <f>"21.912605"</f>
        <v>21.912605</v>
      </c>
      <c r="S10613" t="s">
        <v>26</v>
      </c>
    </row>
    <row r="10614" spans="1:19" x14ac:dyDescent="0.3">
      <c r="A10614" t="s">
        <v>20660</v>
      </c>
      <c r="B10614" t="s">
        <v>21672</v>
      </c>
      <c r="C10614" t="s">
        <v>21768</v>
      </c>
      <c r="D10614" t="s">
        <v>20661</v>
      </c>
      <c r="E10614" t="s">
        <v>20661</v>
      </c>
      <c r="F10614" t="s">
        <v>20661</v>
      </c>
      <c r="G10614" t="s">
        <v>20662</v>
      </c>
      <c r="H10614" t="s">
        <v>859</v>
      </c>
      <c r="I10614" t="s">
        <v>860</v>
      </c>
      <c r="J10614" t="str">
        <f>"9520697"</f>
        <v>9520697</v>
      </c>
      <c r="K10614">
        <v>2441075134</v>
      </c>
      <c r="M10614" t="s">
        <v>21769</v>
      </c>
      <c r="N10614" t="s">
        <v>20661</v>
      </c>
      <c r="O10614" t="s">
        <v>21770</v>
      </c>
      <c r="P10614">
        <v>43100</v>
      </c>
      <c r="Q10614" t="str">
        <f>"39.375155"</f>
        <v>39.375155</v>
      </c>
      <c r="R10614" t="str">
        <f>"21.930467"</f>
        <v>21.930467</v>
      </c>
      <c r="S10614" t="s">
        <v>26</v>
      </c>
    </row>
    <row r="10615" spans="1:19" x14ac:dyDescent="0.3">
      <c r="A10615" t="s">
        <v>20660</v>
      </c>
      <c r="B10615" t="s">
        <v>21672</v>
      </c>
      <c r="C10615" t="s">
        <v>21786</v>
      </c>
      <c r="D10615" t="s">
        <v>20661</v>
      </c>
      <c r="E10615" t="s">
        <v>20661</v>
      </c>
      <c r="F10615" t="s">
        <v>20661</v>
      </c>
      <c r="G10615" t="s">
        <v>21785</v>
      </c>
      <c r="H10615" t="s">
        <v>859</v>
      </c>
      <c r="I10615" t="s">
        <v>860</v>
      </c>
      <c r="J10615" t="str">
        <f>"9220071"</f>
        <v>9220071</v>
      </c>
      <c r="K10615">
        <v>2441029126</v>
      </c>
      <c r="M10615" t="s">
        <v>21787</v>
      </c>
      <c r="N10615" t="s">
        <v>21785</v>
      </c>
      <c r="O10615" t="s">
        <v>21788</v>
      </c>
      <c r="P10615">
        <v>43100</v>
      </c>
      <c r="Q10615" t="str">
        <f>"39.403214"</f>
        <v>39.403214</v>
      </c>
      <c r="R10615" t="str">
        <f>"21.897846"</f>
        <v>21.897846</v>
      </c>
      <c r="S10615" t="s">
        <v>26</v>
      </c>
    </row>
    <row r="10616" spans="1:19" x14ac:dyDescent="0.3">
      <c r="A10616" t="s">
        <v>20660</v>
      </c>
      <c r="B10616" t="s">
        <v>21672</v>
      </c>
      <c r="C10616" t="s">
        <v>21803</v>
      </c>
      <c r="D10616" t="s">
        <v>20661</v>
      </c>
      <c r="E10616" t="s">
        <v>21750</v>
      </c>
      <c r="F10616" t="s">
        <v>21801</v>
      </c>
      <c r="G10616" t="s">
        <v>21802</v>
      </c>
      <c r="H10616" t="s">
        <v>859</v>
      </c>
      <c r="I10616" t="s">
        <v>860</v>
      </c>
      <c r="J10616" t="str">
        <f>"9220039"</f>
        <v>9220039</v>
      </c>
      <c r="K10616">
        <v>2441095232</v>
      </c>
      <c r="L10616">
        <v>2441095232</v>
      </c>
      <c r="M10616" t="s">
        <v>21804</v>
      </c>
      <c r="N10616" t="s">
        <v>21802</v>
      </c>
      <c r="O10616" t="s">
        <v>21805</v>
      </c>
      <c r="P10616">
        <v>43150</v>
      </c>
      <c r="Q10616" t="str">
        <f>"39.310087"</f>
        <v>39.310087</v>
      </c>
      <c r="R10616" t="str">
        <f>"21.732050"</f>
        <v>21.732050</v>
      </c>
      <c r="S10616" t="s">
        <v>26</v>
      </c>
    </row>
    <row r="10617" spans="1:19" x14ac:dyDescent="0.3">
      <c r="A10617" t="s">
        <v>20660</v>
      </c>
      <c r="B10617" t="s">
        <v>21672</v>
      </c>
      <c r="C10617" t="s">
        <v>21806</v>
      </c>
      <c r="D10617" t="s">
        <v>20661</v>
      </c>
      <c r="E10617" t="s">
        <v>20661</v>
      </c>
      <c r="F10617" t="s">
        <v>20753</v>
      </c>
      <c r="G10617" t="s">
        <v>20753</v>
      </c>
      <c r="H10617" t="s">
        <v>859</v>
      </c>
      <c r="I10617" t="s">
        <v>860</v>
      </c>
      <c r="J10617" t="str">
        <f>"9220383"</f>
        <v>9220383</v>
      </c>
      <c r="K10617">
        <v>2441055845</v>
      </c>
      <c r="L10617">
        <v>2441055845</v>
      </c>
      <c r="M10617" t="s">
        <v>21807</v>
      </c>
      <c r="N10617" t="s">
        <v>20753</v>
      </c>
      <c r="O10617" t="s">
        <v>20757</v>
      </c>
      <c r="P10617">
        <v>43100</v>
      </c>
      <c r="Q10617" t="str">
        <f>"39.339002"</f>
        <v>39.339002</v>
      </c>
      <c r="R10617" t="str">
        <f>"21.840209"</f>
        <v>21.840209</v>
      </c>
      <c r="S10617" t="s">
        <v>26</v>
      </c>
    </row>
    <row r="10618" spans="1:19" x14ac:dyDescent="0.3">
      <c r="A10618" t="s">
        <v>20660</v>
      </c>
      <c r="B10618" t="s">
        <v>21672</v>
      </c>
      <c r="C10618" t="s">
        <v>21810</v>
      </c>
      <c r="D10618" t="s">
        <v>20661</v>
      </c>
      <c r="E10618" t="s">
        <v>20661</v>
      </c>
      <c r="F10618" t="s">
        <v>20661</v>
      </c>
      <c r="G10618" t="s">
        <v>20662</v>
      </c>
      <c r="H10618" t="s">
        <v>859</v>
      </c>
      <c r="I10618" t="s">
        <v>860</v>
      </c>
      <c r="J10618" t="str">
        <f>"9220288"</f>
        <v>9220288</v>
      </c>
      <c r="K10618">
        <v>2441041139</v>
      </c>
      <c r="L10618">
        <v>2441041139</v>
      </c>
      <c r="M10618" t="s">
        <v>21811</v>
      </c>
      <c r="N10618" t="s">
        <v>20661</v>
      </c>
      <c r="O10618" t="s">
        <v>21812</v>
      </c>
      <c r="P10618">
        <v>43100</v>
      </c>
      <c r="Q10618" t="str">
        <f>"39.359428"</f>
        <v>39.359428</v>
      </c>
      <c r="R10618" t="str">
        <f>"21.935208"</f>
        <v>21.935208</v>
      </c>
      <c r="S10618" t="s">
        <v>26</v>
      </c>
    </row>
    <row r="10619" spans="1:19" x14ac:dyDescent="0.3">
      <c r="A10619" t="s">
        <v>20660</v>
      </c>
      <c r="B10619" t="s">
        <v>21672</v>
      </c>
      <c r="C10619" t="s">
        <v>21813</v>
      </c>
      <c r="D10619" t="s">
        <v>20661</v>
      </c>
      <c r="E10619" t="s">
        <v>20700</v>
      </c>
      <c r="F10619" t="s">
        <v>20700</v>
      </c>
      <c r="G10619" t="s">
        <v>21732</v>
      </c>
      <c r="H10619" t="s">
        <v>859</v>
      </c>
      <c r="I10619" t="s">
        <v>860</v>
      </c>
      <c r="J10619" t="str">
        <f>"9220073"</f>
        <v>9220073</v>
      </c>
      <c r="K10619">
        <v>2444041241</v>
      </c>
      <c r="L10619">
        <v>2444041284</v>
      </c>
      <c r="M10619" t="s">
        <v>21814</v>
      </c>
      <c r="N10619" t="s">
        <v>21732</v>
      </c>
      <c r="O10619" t="s">
        <v>21735</v>
      </c>
      <c r="P10619">
        <v>43200</v>
      </c>
      <c r="Q10619" t="str">
        <f>"39.524176"</f>
        <v>39.524176</v>
      </c>
      <c r="R10619" t="str">
        <f>"22.096541"</f>
        <v>22.096541</v>
      </c>
      <c r="S10619" t="s">
        <v>26</v>
      </c>
    </row>
    <row r="10620" spans="1:19" x14ac:dyDescent="0.3">
      <c r="A10620" t="s">
        <v>20660</v>
      </c>
      <c r="B10620" t="s">
        <v>21672</v>
      </c>
      <c r="C10620" t="s">
        <v>21820</v>
      </c>
      <c r="D10620" t="s">
        <v>20661</v>
      </c>
      <c r="E10620" t="s">
        <v>20700</v>
      </c>
      <c r="F10620" t="s">
        <v>20724</v>
      </c>
      <c r="G10620" t="s">
        <v>18553</v>
      </c>
      <c r="H10620" t="s">
        <v>859</v>
      </c>
      <c r="I10620" t="s">
        <v>860</v>
      </c>
      <c r="J10620" t="str">
        <f>"9220103"</f>
        <v>9220103</v>
      </c>
      <c r="K10620">
        <v>2441051110</v>
      </c>
      <c r="L10620">
        <v>2441051110</v>
      </c>
      <c r="M10620" t="s">
        <v>21821</v>
      </c>
      <c r="N10620" t="s">
        <v>18553</v>
      </c>
      <c r="O10620" t="s">
        <v>18556</v>
      </c>
      <c r="P10620">
        <v>43070</v>
      </c>
      <c r="Q10620" t="str">
        <f>"39.489889"</f>
        <v>39.489889</v>
      </c>
      <c r="R10620" t="str">
        <f>"21.900016"</f>
        <v>21.900016</v>
      </c>
      <c r="S10620" t="s">
        <v>26</v>
      </c>
    </row>
    <row r="10621" spans="1:19" x14ac:dyDescent="0.3">
      <c r="A10621" t="s">
        <v>20660</v>
      </c>
      <c r="B10621" t="s">
        <v>21672</v>
      </c>
      <c r="C10621" t="s">
        <v>21822</v>
      </c>
      <c r="D10621" t="s">
        <v>20661</v>
      </c>
      <c r="E10621" t="s">
        <v>20687</v>
      </c>
      <c r="F10621" t="s">
        <v>20693</v>
      </c>
      <c r="G10621" t="s">
        <v>21724</v>
      </c>
      <c r="H10621" t="s">
        <v>859</v>
      </c>
      <c r="I10621" t="s">
        <v>860</v>
      </c>
      <c r="J10621" t="str">
        <f>"9220316"</f>
        <v>9220316</v>
      </c>
      <c r="K10621">
        <v>2443061278</v>
      </c>
      <c r="L10621">
        <v>2443061278</v>
      </c>
      <c r="M10621" t="s">
        <v>21823</v>
      </c>
      <c r="N10621" t="s">
        <v>21724</v>
      </c>
      <c r="O10621" t="s">
        <v>21727</v>
      </c>
      <c r="P10621">
        <v>43068</v>
      </c>
      <c r="Q10621" t="str">
        <f>"39.114507"</f>
        <v>39.114507</v>
      </c>
      <c r="R10621" t="str">
        <f>"22.045741"</f>
        <v>22.045741</v>
      </c>
      <c r="S10621" t="s">
        <v>26</v>
      </c>
    </row>
    <row r="10622" spans="1:19" x14ac:dyDescent="0.3">
      <c r="A10622" t="s">
        <v>20660</v>
      </c>
      <c r="B10622" t="s">
        <v>21672</v>
      </c>
      <c r="C10622" t="s">
        <v>21826</v>
      </c>
      <c r="D10622" t="s">
        <v>20661</v>
      </c>
      <c r="E10622" t="s">
        <v>20661</v>
      </c>
      <c r="F10622" t="s">
        <v>20661</v>
      </c>
      <c r="G10622" t="s">
        <v>20662</v>
      </c>
      <c r="H10622" t="s">
        <v>859</v>
      </c>
      <c r="I10622" t="s">
        <v>860</v>
      </c>
      <c r="J10622" t="str">
        <f>"9220271"</f>
        <v>9220271</v>
      </c>
      <c r="K10622">
        <v>2441029982</v>
      </c>
      <c r="M10622" t="s">
        <v>21827</v>
      </c>
      <c r="N10622" t="s">
        <v>20665</v>
      </c>
      <c r="O10622" t="s">
        <v>21828</v>
      </c>
      <c r="P10622">
        <v>43100</v>
      </c>
      <c r="Q10622" t="str">
        <f>"39.359191"</f>
        <v>39.359191</v>
      </c>
      <c r="R10622" t="str">
        <f>"21.921803"</f>
        <v>21.921803</v>
      </c>
      <c r="S10622" t="s">
        <v>26</v>
      </c>
    </row>
    <row r="10623" spans="1:19" x14ac:dyDescent="0.3">
      <c r="A10623" t="s">
        <v>20660</v>
      </c>
      <c r="B10623" t="s">
        <v>21672</v>
      </c>
      <c r="C10623" t="s">
        <v>21829</v>
      </c>
      <c r="D10623" t="s">
        <v>20661</v>
      </c>
      <c r="E10623" t="s">
        <v>20661</v>
      </c>
      <c r="F10623" t="s">
        <v>20661</v>
      </c>
      <c r="G10623" t="s">
        <v>20662</v>
      </c>
      <c r="H10623" t="s">
        <v>859</v>
      </c>
      <c r="I10623" t="s">
        <v>860</v>
      </c>
      <c r="J10623" t="str">
        <f>"9220065"</f>
        <v>9220065</v>
      </c>
      <c r="K10623">
        <v>2441040975</v>
      </c>
      <c r="L10623">
        <v>2441040975</v>
      </c>
      <c r="M10623" t="s">
        <v>21830</v>
      </c>
      <c r="N10623" t="s">
        <v>20665</v>
      </c>
      <c r="O10623" t="s">
        <v>21831</v>
      </c>
      <c r="P10623">
        <v>43100</v>
      </c>
      <c r="Q10623" t="str">
        <f>"39.370410"</f>
        <v>39.370410</v>
      </c>
      <c r="R10623" t="str">
        <f>"21.923235"</f>
        <v>21.923235</v>
      </c>
      <c r="S10623" t="s">
        <v>26</v>
      </c>
    </row>
    <row r="10624" spans="1:19" x14ac:dyDescent="0.3">
      <c r="A10624" t="s">
        <v>20660</v>
      </c>
      <c r="B10624" t="s">
        <v>21672</v>
      </c>
      <c r="C10624" t="s">
        <v>21834</v>
      </c>
      <c r="D10624" t="s">
        <v>20661</v>
      </c>
      <c r="E10624" t="s">
        <v>21832</v>
      </c>
      <c r="F10624" t="s">
        <v>21832</v>
      </c>
      <c r="G10624" t="s">
        <v>21833</v>
      </c>
      <c r="H10624" t="s">
        <v>859</v>
      </c>
      <c r="I10624" t="s">
        <v>860</v>
      </c>
      <c r="J10624" t="str">
        <f>"9220295"</f>
        <v>9220295</v>
      </c>
      <c r="K10624">
        <v>2445031742</v>
      </c>
      <c r="M10624" t="s">
        <v>21835</v>
      </c>
      <c r="N10624" t="s">
        <v>21833</v>
      </c>
      <c r="O10624" t="s">
        <v>21836</v>
      </c>
      <c r="P10624">
        <v>43065</v>
      </c>
      <c r="Q10624" t="str">
        <f>"39.348583"</f>
        <v>39.348583</v>
      </c>
      <c r="R10624" t="str">
        <f>"21.459512"</f>
        <v>21.459512</v>
      </c>
      <c r="S10624" t="s">
        <v>57</v>
      </c>
    </row>
    <row r="10625" spans="1:19" x14ac:dyDescent="0.3">
      <c r="A10625" t="s">
        <v>20660</v>
      </c>
      <c r="B10625" t="s">
        <v>21672</v>
      </c>
      <c r="C10625" t="s">
        <v>21839</v>
      </c>
      <c r="D10625" t="s">
        <v>20661</v>
      </c>
      <c r="E10625" t="s">
        <v>20661</v>
      </c>
      <c r="F10625" t="s">
        <v>20661</v>
      </c>
      <c r="G10625" t="s">
        <v>20662</v>
      </c>
      <c r="H10625" t="s">
        <v>859</v>
      </c>
      <c r="I10625" t="s">
        <v>860</v>
      </c>
      <c r="J10625" t="str">
        <f>"9220336"</f>
        <v>9220336</v>
      </c>
      <c r="K10625">
        <v>2441026719</v>
      </c>
      <c r="L10625">
        <v>2441026719</v>
      </c>
      <c r="M10625" t="s">
        <v>21840</v>
      </c>
      <c r="N10625" t="s">
        <v>20665</v>
      </c>
      <c r="O10625" t="s">
        <v>21841</v>
      </c>
      <c r="P10625">
        <v>43100</v>
      </c>
      <c r="Q10625" t="str">
        <f>"39.365974"</f>
        <v>39.365974</v>
      </c>
      <c r="R10625" t="str">
        <f>"21.926365"</f>
        <v>21.926365</v>
      </c>
      <c r="S10625" t="s">
        <v>26</v>
      </c>
    </row>
    <row r="10626" spans="1:19" x14ac:dyDescent="0.3">
      <c r="A10626" t="s">
        <v>20660</v>
      </c>
      <c r="B10626" t="s">
        <v>21672</v>
      </c>
      <c r="C10626" t="s">
        <v>21844</v>
      </c>
      <c r="D10626" t="s">
        <v>20661</v>
      </c>
      <c r="E10626" t="s">
        <v>20661</v>
      </c>
      <c r="F10626" t="s">
        <v>20661</v>
      </c>
      <c r="G10626" t="s">
        <v>21843</v>
      </c>
      <c r="H10626" t="s">
        <v>859</v>
      </c>
      <c r="I10626" t="s">
        <v>860</v>
      </c>
      <c r="J10626" t="str">
        <f>"9220082"</f>
        <v>9220082</v>
      </c>
      <c r="K10626">
        <v>2441028506</v>
      </c>
      <c r="L10626">
        <v>2441028503</v>
      </c>
      <c r="M10626" t="s">
        <v>21845</v>
      </c>
      <c r="N10626" t="s">
        <v>21843</v>
      </c>
      <c r="O10626" t="s">
        <v>21846</v>
      </c>
      <c r="P10626">
        <v>43100</v>
      </c>
      <c r="Q10626" t="str">
        <f>"39.392202"</f>
        <v>39.392202</v>
      </c>
      <c r="R10626" t="str">
        <f>"21.921591"</f>
        <v>21.921591</v>
      </c>
      <c r="S10626" t="s">
        <v>26</v>
      </c>
    </row>
    <row r="10627" spans="1:19" x14ac:dyDescent="0.3">
      <c r="A10627" t="s">
        <v>20660</v>
      </c>
      <c r="B10627" t="s">
        <v>21672</v>
      </c>
      <c r="C10627" t="s">
        <v>21855</v>
      </c>
      <c r="D10627" t="s">
        <v>20661</v>
      </c>
      <c r="E10627" t="s">
        <v>20661</v>
      </c>
      <c r="F10627" t="s">
        <v>20661</v>
      </c>
      <c r="G10627" t="s">
        <v>20662</v>
      </c>
      <c r="H10627" t="s">
        <v>859</v>
      </c>
      <c r="I10627" t="s">
        <v>860</v>
      </c>
      <c r="J10627" t="str">
        <f>"9220334"</f>
        <v>9220334</v>
      </c>
      <c r="K10627">
        <v>2441076277</v>
      </c>
      <c r="M10627" t="s">
        <v>21856</v>
      </c>
      <c r="N10627" t="s">
        <v>20665</v>
      </c>
      <c r="O10627" t="s">
        <v>21857</v>
      </c>
      <c r="P10627">
        <v>43100</v>
      </c>
      <c r="Q10627" t="str">
        <f>"39.363054"</f>
        <v>39.363054</v>
      </c>
      <c r="R10627" t="str">
        <f>"21.915651"</f>
        <v>21.915651</v>
      </c>
      <c r="S10627" t="s">
        <v>26</v>
      </c>
    </row>
    <row r="10628" spans="1:19" x14ac:dyDescent="0.3">
      <c r="A10628" t="s">
        <v>20660</v>
      </c>
      <c r="B10628" t="s">
        <v>21672</v>
      </c>
      <c r="C10628" t="s">
        <v>21858</v>
      </c>
      <c r="D10628" t="s">
        <v>20661</v>
      </c>
      <c r="E10628" t="s">
        <v>20661</v>
      </c>
      <c r="F10628" t="s">
        <v>20661</v>
      </c>
      <c r="G10628" t="s">
        <v>20662</v>
      </c>
      <c r="H10628" t="s">
        <v>859</v>
      </c>
      <c r="I10628" t="s">
        <v>860</v>
      </c>
      <c r="J10628" t="str">
        <f>"9220207"</f>
        <v>9220207</v>
      </c>
      <c r="K10628">
        <v>2441041878</v>
      </c>
      <c r="L10628">
        <v>2441041878</v>
      </c>
      <c r="M10628" t="s">
        <v>21859</v>
      </c>
      <c r="N10628" t="s">
        <v>20665</v>
      </c>
      <c r="O10628" t="s">
        <v>21860</v>
      </c>
      <c r="P10628">
        <v>43100</v>
      </c>
      <c r="Q10628" t="str">
        <f>"39.371717"</f>
        <v>39.371717</v>
      </c>
      <c r="R10628" t="str">
        <f>"21.929986"</f>
        <v>21.929986</v>
      </c>
      <c r="S10628" t="s">
        <v>26</v>
      </c>
    </row>
    <row r="10629" spans="1:19" x14ac:dyDescent="0.3">
      <c r="A10629" t="s">
        <v>20660</v>
      </c>
      <c r="B10629" t="s">
        <v>21672</v>
      </c>
      <c r="C10629" t="s">
        <v>21863</v>
      </c>
      <c r="D10629" t="s">
        <v>20661</v>
      </c>
      <c r="E10629" t="s">
        <v>21832</v>
      </c>
      <c r="F10629" t="s">
        <v>21861</v>
      </c>
      <c r="G10629" t="s">
        <v>21862</v>
      </c>
      <c r="H10629" t="s">
        <v>859</v>
      </c>
      <c r="I10629" t="s">
        <v>860</v>
      </c>
      <c r="J10629" t="str">
        <f>"9520756"</f>
        <v>9520756</v>
      </c>
      <c r="K10629">
        <v>2445031059</v>
      </c>
      <c r="M10629" t="s">
        <v>21864</v>
      </c>
      <c r="N10629" t="s">
        <v>21862</v>
      </c>
      <c r="O10629" t="s">
        <v>21865</v>
      </c>
      <c r="P10629">
        <v>43066</v>
      </c>
      <c r="Q10629" t="str">
        <f>"39.193264"</f>
        <v>39.193264</v>
      </c>
      <c r="R10629" t="str">
        <f>"21.415420"</f>
        <v>21.415420</v>
      </c>
      <c r="S10629" t="s">
        <v>57</v>
      </c>
    </row>
    <row r="10630" spans="1:19" x14ac:dyDescent="0.3">
      <c r="A10630" t="s">
        <v>20660</v>
      </c>
      <c r="B10630" t="s">
        <v>21672</v>
      </c>
      <c r="C10630" t="s">
        <v>21866</v>
      </c>
      <c r="D10630" t="s">
        <v>20661</v>
      </c>
      <c r="E10630" t="s">
        <v>20687</v>
      </c>
      <c r="F10630" t="s">
        <v>21847</v>
      </c>
      <c r="G10630" t="s">
        <v>21848</v>
      </c>
      <c r="H10630" t="s">
        <v>859</v>
      </c>
      <c r="I10630" t="s">
        <v>860</v>
      </c>
      <c r="J10630" t="str">
        <f>"9220258"</f>
        <v>9220258</v>
      </c>
      <c r="K10630">
        <v>2443071236</v>
      </c>
      <c r="L10630">
        <v>2443071236</v>
      </c>
      <c r="M10630" t="s">
        <v>21867</v>
      </c>
      <c r="N10630" t="s">
        <v>21848</v>
      </c>
      <c r="O10630" t="s">
        <v>21851</v>
      </c>
      <c r="P10630">
        <v>43068</v>
      </c>
      <c r="Q10630" t="str">
        <f>"39.062310"</f>
        <v>39.062310</v>
      </c>
      <c r="R10630" t="str">
        <f>"21.978870"</f>
        <v>21.978870</v>
      </c>
      <c r="S10630" t="s">
        <v>57</v>
      </c>
    </row>
    <row r="10631" spans="1:19" x14ac:dyDescent="0.3">
      <c r="A10631" t="s">
        <v>20660</v>
      </c>
      <c r="B10631" t="s">
        <v>21672</v>
      </c>
      <c r="C10631" t="s">
        <v>21868</v>
      </c>
      <c r="D10631" t="s">
        <v>20661</v>
      </c>
      <c r="E10631" t="s">
        <v>20661</v>
      </c>
      <c r="F10631" t="s">
        <v>20661</v>
      </c>
      <c r="G10631" t="s">
        <v>20662</v>
      </c>
      <c r="H10631" t="s">
        <v>859</v>
      </c>
      <c r="I10631" t="s">
        <v>860</v>
      </c>
      <c r="J10631" t="str">
        <f>"9220381"</f>
        <v>9220381</v>
      </c>
      <c r="K10631">
        <v>2441042035</v>
      </c>
      <c r="L10631">
        <v>2441042035</v>
      </c>
      <c r="M10631" t="s">
        <v>21869</v>
      </c>
      <c r="N10631" t="s">
        <v>20661</v>
      </c>
      <c r="O10631" t="s">
        <v>21870</v>
      </c>
      <c r="P10631">
        <v>43100</v>
      </c>
      <c r="Q10631" t="str">
        <f>"39.366115"</f>
        <v>39.366115</v>
      </c>
      <c r="R10631" t="str">
        <f>"21.932968"</f>
        <v>21.932968</v>
      </c>
      <c r="S10631" t="s">
        <v>26</v>
      </c>
    </row>
    <row r="10632" spans="1:19" x14ac:dyDescent="0.3">
      <c r="A10632" t="s">
        <v>20660</v>
      </c>
      <c r="B10632" t="s">
        <v>21672</v>
      </c>
      <c r="C10632" t="s">
        <v>21871</v>
      </c>
      <c r="D10632" t="s">
        <v>20661</v>
      </c>
      <c r="E10632" t="s">
        <v>20700</v>
      </c>
      <c r="F10632" t="s">
        <v>20700</v>
      </c>
      <c r="G10632" t="s">
        <v>20700</v>
      </c>
      <c r="H10632" t="s">
        <v>859</v>
      </c>
      <c r="I10632" t="s">
        <v>860</v>
      </c>
      <c r="J10632" t="str">
        <f>"9520855"</f>
        <v>9520855</v>
      </c>
      <c r="K10632">
        <v>2444023770</v>
      </c>
      <c r="L10632">
        <v>2444023770</v>
      </c>
      <c r="M10632" t="s">
        <v>21872</v>
      </c>
      <c r="N10632" t="s">
        <v>20700</v>
      </c>
      <c r="O10632" t="s">
        <v>11247</v>
      </c>
      <c r="P10632">
        <v>43200</v>
      </c>
      <c r="Q10632" t="str">
        <f>"39.466665"</f>
        <v>39.466665</v>
      </c>
      <c r="R10632" t="str">
        <f>"22.091712"</f>
        <v>22.091712</v>
      </c>
      <c r="S10632" t="s">
        <v>26</v>
      </c>
    </row>
    <row r="10633" spans="1:19" x14ac:dyDescent="0.3">
      <c r="A10633" t="s">
        <v>20660</v>
      </c>
      <c r="B10633" t="s">
        <v>21672</v>
      </c>
      <c r="C10633" t="s">
        <v>21873</v>
      </c>
      <c r="D10633" t="s">
        <v>20661</v>
      </c>
      <c r="E10633" t="s">
        <v>20661</v>
      </c>
      <c r="F10633" t="s">
        <v>20661</v>
      </c>
      <c r="G10633" t="s">
        <v>20662</v>
      </c>
      <c r="H10633" t="s">
        <v>859</v>
      </c>
      <c r="I10633" t="s">
        <v>860</v>
      </c>
      <c r="J10633" t="str">
        <f>"9220203"</f>
        <v>9220203</v>
      </c>
      <c r="K10633">
        <v>2441029854</v>
      </c>
      <c r="L10633">
        <v>2441029843</v>
      </c>
      <c r="M10633" t="s">
        <v>21874</v>
      </c>
      <c r="N10633" t="s">
        <v>20665</v>
      </c>
      <c r="O10633" t="s">
        <v>21791</v>
      </c>
      <c r="P10633">
        <v>43132</v>
      </c>
      <c r="Q10633" t="str">
        <f>"39.368064"</f>
        <v>39.368064</v>
      </c>
      <c r="R10633" t="str">
        <f>"21.906069"</f>
        <v>21.906069</v>
      </c>
      <c r="S10633" t="s">
        <v>26</v>
      </c>
    </row>
    <row r="10634" spans="1:19" x14ac:dyDescent="0.3">
      <c r="A10634" t="s">
        <v>20660</v>
      </c>
      <c r="B10634" t="s">
        <v>21672</v>
      </c>
      <c r="C10634" t="s">
        <v>21875</v>
      </c>
      <c r="D10634" t="s">
        <v>20661</v>
      </c>
      <c r="E10634" t="s">
        <v>20661</v>
      </c>
      <c r="F10634" t="s">
        <v>20661</v>
      </c>
      <c r="G10634" t="s">
        <v>20662</v>
      </c>
      <c r="H10634" t="s">
        <v>859</v>
      </c>
      <c r="I10634" t="s">
        <v>860</v>
      </c>
      <c r="J10634" t="str">
        <f>"9220368"</f>
        <v>9220368</v>
      </c>
      <c r="K10634">
        <v>2441023030</v>
      </c>
      <c r="M10634" t="s">
        <v>21876</v>
      </c>
      <c r="N10634" t="s">
        <v>20661</v>
      </c>
      <c r="O10634" t="s">
        <v>21877</v>
      </c>
      <c r="P10634">
        <v>43100</v>
      </c>
      <c r="Q10634" t="str">
        <f>"39.369879"</f>
        <v>39.369879</v>
      </c>
      <c r="R10634" t="str">
        <f>"21.913697"</f>
        <v>21.913697</v>
      </c>
      <c r="S10634" t="s">
        <v>26</v>
      </c>
    </row>
    <row r="10635" spans="1:19" x14ac:dyDescent="0.3">
      <c r="A10635" t="s">
        <v>20660</v>
      </c>
      <c r="B10635" t="s">
        <v>21672</v>
      </c>
      <c r="C10635" t="s">
        <v>21882</v>
      </c>
      <c r="D10635" t="s">
        <v>20661</v>
      </c>
      <c r="E10635" t="s">
        <v>20700</v>
      </c>
      <c r="F10635" t="s">
        <v>20724</v>
      </c>
      <c r="G10635" t="s">
        <v>21776</v>
      </c>
      <c r="H10635" t="s">
        <v>859</v>
      </c>
      <c r="I10635" t="s">
        <v>860</v>
      </c>
      <c r="J10635" t="str">
        <f>"9220273"</f>
        <v>9220273</v>
      </c>
      <c r="K10635">
        <v>2444071253</v>
      </c>
      <c r="L10635">
        <v>2444071314</v>
      </c>
      <c r="M10635" t="s">
        <v>21883</v>
      </c>
      <c r="N10635" t="s">
        <v>21780</v>
      </c>
      <c r="O10635" t="s">
        <v>21780</v>
      </c>
      <c r="P10635">
        <v>43070</v>
      </c>
      <c r="Q10635" t="str">
        <f>"39.529608"</f>
        <v>39.529608</v>
      </c>
      <c r="R10635" t="str">
        <f>"21.996592"</f>
        <v>21.996592</v>
      </c>
      <c r="S10635" t="s">
        <v>26</v>
      </c>
    </row>
    <row r="10636" spans="1:19" x14ac:dyDescent="0.3">
      <c r="A10636" t="s">
        <v>20660</v>
      </c>
      <c r="B10636" t="s">
        <v>21672</v>
      </c>
      <c r="C10636" t="s">
        <v>21884</v>
      </c>
      <c r="D10636" t="s">
        <v>20661</v>
      </c>
      <c r="E10636" t="s">
        <v>20661</v>
      </c>
      <c r="F10636" t="s">
        <v>21792</v>
      </c>
      <c r="G10636" t="s">
        <v>20846</v>
      </c>
      <c r="H10636" t="s">
        <v>859</v>
      </c>
      <c r="I10636" t="s">
        <v>860</v>
      </c>
      <c r="J10636" t="str">
        <f>"9220088"</f>
        <v>9220088</v>
      </c>
      <c r="K10636">
        <v>2441067644</v>
      </c>
      <c r="L10636">
        <v>2441067644</v>
      </c>
      <c r="M10636" t="s">
        <v>21885</v>
      </c>
      <c r="N10636" t="s">
        <v>21886</v>
      </c>
      <c r="O10636" t="s">
        <v>21887</v>
      </c>
      <c r="P10636">
        <v>43100</v>
      </c>
      <c r="Q10636" t="str">
        <f>"39.441799"</f>
        <v>39.441799</v>
      </c>
      <c r="R10636" t="str">
        <f>"21.968319"</f>
        <v>21.968319</v>
      </c>
      <c r="S10636" t="s">
        <v>26</v>
      </c>
    </row>
    <row r="10637" spans="1:19" x14ac:dyDescent="0.3">
      <c r="A10637" t="s">
        <v>20660</v>
      </c>
      <c r="B10637" t="s">
        <v>21672</v>
      </c>
      <c r="C10637" t="s">
        <v>21889</v>
      </c>
      <c r="D10637" t="s">
        <v>20661</v>
      </c>
      <c r="E10637" t="s">
        <v>17000</v>
      </c>
      <c r="F10637" t="s">
        <v>17000</v>
      </c>
      <c r="G10637" t="s">
        <v>21888</v>
      </c>
      <c r="H10637" t="s">
        <v>859</v>
      </c>
      <c r="I10637" t="s">
        <v>860</v>
      </c>
      <c r="J10637" t="str">
        <f>"9220170"</f>
        <v>9220170</v>
      </c>
      <c r="K10637">
        <v>2445097367</v>
      </c>
      <c r="L10637">
        <v>2445097367</v>
      </c>
      <c r="M10637" t="s">
        <v>21890</v>
      </c>
      <c r="N10637" t="s">
        <v>21888</v>
      </c>
      <c r="O10637" t="s">
        <v>21891</v>
      </c>
      <c r="P10637">
        <v>43060</v>
      </c>
      <c r="Q10637" t="str">
        <f>"39.426335"</f>
        <v>39.426335</v>
      </c>
      <c r="R10637" t="str">
        <f>"21.696878"</f>
        <v>21.696878</v>
      </c>
      <c r="S10637" t="s">
        <v>26</v>
      </c>
    </row>
    <row r="10638" spans="1:19" x14ac:dyDescent="0.3">
      <c r="A10638" t="s">
        <v>20660</v>
      </c>
      <c r="B10638" t="s">
        <v>21672</v>
      </c>
      <c r="C10638" t="s">
        <v>21892</v>
      </c>
      <c r="D10638" t="s">
        <v>20661</v>
      </c>
      <c r="E10638" t="s">
        <v>20700</v>
      </c>
      <c r="F10638" t="s">
        <v>20700</v>
      </c>
      <c r="G10638" t="s">
        <v>20700</v>
      </c>
      <c r="H10638" t="s">
        <v>859</v>
      </c>
      <c r="I10638" t="s">
        <v>860</v>
      </c>
      <c r="J10638" t="str">
        <f>"9220317"</f>
        <v>9220317</v>
      </c>
      <c r="K10638">
        <v>2444024145</v>
      </c>
      <c r="L10638">
        <v>2444024145</v>
      </c>
      <c r="M10638" t="s">
        <v>21893</v>
      </c>
      <c r="N10638" t="s">
        <v>21704</v>
      </c>
      <c r="O10638" t="s">
        <v>21894</v>
      </c>
      <c r="P10638">
        <v>43200</v>
      </c>
      <c r="Q10638" t="str">
        <f>"39.475836"</f>
        <v>39.475836</v>
      </c>
      <c r="R10638" t="str">
        <f>"22.086356"</f>
        <v>22.086356</v>
      </c>
      <c r="S10638" t="s">
        <v>26</v>
      </c>
    </row>
    <row r="10639" spans="1:19" x14ac:dyDescent="0.3">
      <c r="A10639" t="s">
        <v>20660</v>
      </c>
      <c r="B10639" t="s">
        <v>21672</v>
      </c>
      <c r="C10639" t="s">
        <v>21895</v>
      </c>
      <c r="D10639" t="s">
        <v>20661</v>
      </c>
      <c r="E10639" t="s">
        <v>20661</v>
      </c>
      <c r="F10639" t="s">
        <v>20661</v>
      </c>
      <c r="G10639" t="s">
        <v>20662</v>
      </c>
      <c r="H10639" t="s">
        <v>859</v>
      </c>
      <c r="I10639" t="s">
        <v>860</v>
      </c>
      <c r="J10639" t="str">
        <f>"9220330"</f>
        <v>9220330</v>
      </c>
      <c r="K10639">
        <v>2441028078</v>
      </c>
      <c r="L10639">
        <v>2441028078</v>
      </c>
      <c r="M10639" t="s">
        <v>21896</v>
      </c>
      <c r="N10639" t="s">
        <v>20665</v>
      </c>
      <c r="O10639" t="s">
        <v>21897</v>
      </c>
      <c r="P10639">
        <v>43100</v>
      </c>
      <c r="Q10639" t="str">
        <f>"39.358797"</f>
        <v>39.358797</v>
      </c>
      <c r="R10639" t="str">
        <f>"21.941517"</f>
        <v>21.941517</v>
      </c>
      <c r="S10639" t="s">
        <v>26</v>
      </c>
    </row>
    <row r="10640" spans="1:19" x14ac:dyDescent="0.3">
      <c r="A10640" t="s">
        <v>20660</v>
      </c>
      <c r="B10640" t="s">
        <v>21672</v>
      </c>
      <c r="C10640" t="s">
        <v>21902</v>
      </c>
      <c r="D10640" t="s">
        <v>20661</v>
      </c>
      <c r="E10640" t="s">
        <v>20661</v>
      </c>
      <c r="F10640" t="s">
        <v>20661</v>
      </c>
      <c r="G10640" t="s">
        <v>21901</v>
      </c>
      <c r="H10640" t="s">
        <v>859</v>
      </c>
      <c r="I10640" t="s">
        <v>860</v>
      </c>
      <c r="J10640" t="str">
        <f>"9220289"</f>
        <v>9220289</v>
      </c>
      <c r="K10640">
        <v>2441025953</v>
      </c>
      <c r="L10640">
        <v>2441025953</v>
      </c>
      <c r="M10640" t="s">
        <v>21903</v>
      </c>
      <c r="N10640" t="s">
        <v>21901</v>
      </c>
      <c r="O10640" t="s">
        <v>21904</v>
      </c>
      <c r="P10640">
        <v>43100</v>
      </c>
      <c r="Q10640" t="str">
        <f>"39.378608"</f>
        <v>39.378608</v>
      </c>
      <c r="R10640" t="str">
        <f>"21.865326"</f>
        <v>21.865326</v>
      </c>
      <c r="S10640" t="s">
        <v>26</v>
      </c>
    </row>
    <row r="10641" spans="1:19" x14ac:dyDescent="0.3">
      <c r="A10641" t="s">
        <v>20660</v>
      </c>
      <c r="B10641" t="s">
        <v>21672</v>
      </c>
      <c r="C10641" t="s">
        <v>21905</v>
      </c>
      <c r="D10641" t="s">
        <v>20661</v>
      </c>
      <c r="E10641" t="s">
        <v>20661</v>
      </c>
      <c r="F10641" t="s">
        <v>20661</v>
      </c>
      <c r="G10641" t="s">
        <v>20662</v>
      </c>
      <c r="H10641" t="s">
        <v>859</v>
      </c>
      <c r="I10641" t="s">
        <v>860</v>
      </c>
      <c r="J10641" t="str">
        <f>"9220352"</f>
        <v>9220352</v>
      </c>
      <c r="K10641">
        <v>2441072020</v>
      </c>
      <c r="L10641">
        <v>2441072020</v>
      </c>
      <c r="M10641" t="s">
        <v>21906</v>
      </c>
      <c r="N10641" t="s">
        <v>20661</v>
      </c>
      <c r="O10641" t="s">
        <v>21907</v>
      </c>
      <c r="P10641">
        <v>43100</v>
      </c>
      <c r="Q10641" t="str">
        <f>"39.373744"</f>
        <v>39.373744</v>
      </c>
      <c r="R10641" t="str">
        <f>"21.916304"</f>
        <v>21.916304</v>
      </c>
      <c r="S10641" t="s">
        <v>26</v>
      </c>
    </row>
    <row r="10642" spans="1:19" x14ac:dyDescent="0.3">
      <c r="A10642" t="s">
        <v>20660</v>
      </c>
      <c r="B10642" t="s">
        <v>21672</v>
      </c>
      <c r="C10642" t="s">
        <v>21911</v>
      </c>
      <c r="D10642" t="s">
        <v>20661</v>
      </c>
      <c r="E10642" t="s">
        <v>20661</v>
      </c>
      <c r="F10642" t="s">
        <v>20661</v>
      </c>
      <c r="G10642" t="s">
        <v>20662</v>
      </c>
      <c r="H10642" t="s">
        <v>859</v>
      </c>
      <c r="I10642" t="s">
        <v>860</v>
      </c>
      <c r="J10642" t="str">
        <f>"9220272"</f>
        <v>9220272</v>
      </c>
      <c r="K10642">
        <v>2441041660</v>
      </c>
      <c r="M10642" t="s">
        <v>21912</v>
      </c>
      <c r="N10642" t="s">
        <v>20665</v>
      </c>
      <c r="O10642" t="s">
        <v>21913</v>
      </c>
      <c r="P10642">
        <v>43100</v>
      </c>
      <c r="Q10642" t="str">
        <f>"39.363198"</f>
        <v>39.363198</v>
      </c>
      <c r="R10642" t="str">
        <f>"21.915024"</f>
        <v>21.915024</v>
      </c>
      <c r="S10642" t="s">
        <v>26</v>
      </c>
    </row>
    <row r="10643" spans="1:19" x14ac:dyDescent="0.3">
      <c r="A10643" t="s">
        <v>20660</v>
      </c>
      <c r="B10643" t="s">
        <v>21672</v>
      </c>
      <c r="C10643" t="s">
        <v>21915</v>
      </c>
      <c r="D10643" t="s">
        <v>20661</v>
      </c>
      <c r="E10643" t="s">
        <v>17000</v>
      </c>
      <c r="F10643" t="s">
        <v>17000</v>
      </c>
      <c r="G10643" t="s">
        <v>21914</v>
      </c>
      <c r="H10643" t="s">
        <v>859</v>
      </c>
      <c r="I10643" t="s">
        <v>860</v>
      </c>
      <c r="J10643" t="str">
        <f>"9220140"</f>
        <v>9220140</v>
      </c>
      <c r="K10643">
        <v>2445061231</v>
      </c>
      <c r="L10643">
        <v>2445061231</v>
      </c>
      <c r="M10643" t="s">
        <v>21916</v>
      </c>
      <c r="N10643" t="s">
        <v>21917</v>
      </c>
      <c r="O10643" t="s">
        <v>21917</v>
      </c>
      <c r="P10643">
        <v>43060</v>
      </c>
      <c r="Q10643" t="str">
        <f>"39.397599"</f>
        <v>39.397599</v>
      </c>
      <c r="R10643" t="str">
        <f>"21.599961"</f>
        <v>21.599961</v>
      </c>
      <c r="S10643" t="s">
        <v>26</v>
      </c>
    </row>
    <row r="10644" spans="1:19" x14ac:dyDescent="0.3">
      <c r="A10644" t="s">
        <v>20660</v>
      </c>
      <c r="B10644" t="s">
        <v>21672</v>
      </c>
      <c r="C10644" t="s">
        <v>21918</v>
      </c>
      <c r="D10644" t="s">
        <v>20661</v>
      </c>
      <c r="E10644" t="s">
        <v>20661</v>
      </c>
      <c r="F10644" t="s">
        <v>21792</v>
      </c>
      <c r="G10644" t="s">
        <v>21793</v>
      </c>
      <c r="H10644" t="s">
        <v>859</v>
      </c>
      <c r="I10644" t="s">
        <v>860</v>
      </c>
      <c r="J10644" t="str">
        <f>"9220214"</f>
        <v>9220214</v>
      </c>
      <c r="K10644">
        <v>2441062176</v>
      </c>
      <c r="M10644" t="s">
        <v>21919</v>
      </c>
      <c r="N10644" t="s">
        <v>21920</v>
      </c>
      <c r="O10644" t="s">
        <v>21921</v>
      </c>
      <c r="P10644">
        <v>43100</v>
      </c>
      <c r="Q10644" t="str">
        <f>"39.369631"</f>
        <v>39.369631</v>
      </c>
      <c r="R10644" t="str">
        <f>"22.005787"</f>
        <v>22.005787</v>
      </c>
      <c r="S10644" t="s">
        <v>26</v>
      </c>
    </row>
    <row r="10645" spans="1:19" x14ac:dyDescent="0.3">
      <c r="A10645" t="s">
        <v>20660</v>
      </c>
      <c r="B10645" t="s">
        <v>21672</v>
      </c>
      <c r="C10645" t="s">
        <v>21924</v>
      </c>
      <c r="D10645" t="s">
        <v>20661</v>
      </c>
      <c r="E10645" t="s">
        <v>20700</v>
      </c>
      <c r="F10645" t="s">
        <v>20700</v>
      </c>
      <c r="G10645" t="s">
        <v>20700</v>
      </c>
      <c r="H10645" t="s">
        <v>859</v>
      </c>
      <c r="I10645" t="s">
        <v>860</v>
      </c>
      <c r="J10645" t="str">
        <f>"9220101"</f>
        <v>9220101</v>
      </c>
      <c r="K10645">
        <v>2444024114</v>
      </c>
      <c r="L10645">
        <v>2444023299</v>
      </c>
      <c r="M10645" t="s">
        <v>21925</v>
      </c>
      <c r="N10645" t="s">
        <v>21704</v>
      </c>
      <c r="O10645" t="s">
        <v>21926</v>
      </c>
      <c r="P10645">
        <v>43200</v>
      </c>
      <c r="Q10645" t="str">
        <f>"39.465798"</f>
        <v>39.465798</v>
      </c>
      <c r="R10645" t="str">
        <f>"22.076900"</f>
        <v>22.076900</v>
      </c>
      <c r="S10645" t="s">
        <v>26</v>
      </c>
    </row>
    <row r="10646" spans="1:19" x14ac:dyDescent="0.3">
      <c r="A10646" t="s">
        <v>20660</v>
      </c>
      <c r="B10646" t="s">
        <v>21672</v>
      </c>
      <c r="C10646" t="s">
        <v>21927</v>
      </c>
      <c r="D10646" t="s">
        <v>20661</v>
      </c>
      <c r="E10646" t="s">
        <v>20700</v>
      </c>
      <c r="F10646" t="s">
        <v>20763</v>
      </c>
      <c r="G10646" t="s">
        <v>20763</v>
      </c>
      <c r="H10646" t="s">
        <v>859</v>
      </c>
      <c r="I10646" t="s">
        <v>860</v>
      </c>
      <c r="J10646" t="str">
        <f>"9220268"</f>
        <v>9220268</v>
      </c>
      <c r="K10646">
        <v>2444032282</v>
      </c>
      <c r="M10646" t="s">
        <v>21928</v>
      </c>
      <c r="N10646" t="s">
        <v>21900</v>
      </c>
      <c r="O10646" t="s">
        <v>21900</v>
      </c>
      <c r="P10646">
        <v>43062</v>
      </c>
      <c r="Q10646" t="str">
        <f>"39.427411"</f>
        <v>39.427411</v>
      </c>
      <c r="R10646" t="str">
        <f>"22.190504"</f>
        <v>22.190504</v>
      </c>
      <c r="S10646" t="s">
        <v>26</v>
      </c>
    </row>
    <row r="10647" spans="1:19" x14ac:dyDescent="0.3">
      <c r="A10647" t="s">
        <v>20660</v>
      </c>
      <c r="B10647" t="s">
        <v>21672</v>
      </c>
      <c r="C10647" t="s">
        <v>21929</v>
      </c>
      <c r="D10647" t="s">
        <v>20661</v>
      </c>
      <c r="E10647" t="s">
        <v>20700</v>
      </c>
      <c r="F10647" t="s">
        <v>20700</v>
      </c>
      <c r="G10647" t="s">
        <v>20700</v>
      </c>
      <c r="H10647" t="s">
        <v>859</v>
      </c>
      <c r="I10647" t="s">
        <v>860</v>
      </c>
      <c r="J10647" t="str">
        <f>"9220100"</f>
        <v>9220100</v>
      </c>
      <c r="K10647">
        <v>2444023188</v>
      </c>
      <c r="L10647">
        <v>2444023188</v>
      </c>
      <c r="M10647" t="s">
        <v>21930</v>
      </c>
      <c r="N10647" t="s">
        <v>21704</v>
      </c>
      <c r="O10647" t="s">
        <v>21931</v>
      </c>
      <c r="P10647">
        <v>43200</v>
      </c>
      <c r="Q10647" t="str">
        <f>"39.472926"</f>
        <v>39.472926</v>
      </c>
      <c r="R10647" t="str">
        <f>"22.073403"</f>
        <v>22.073403</v>
      </c>
      <c r="S10647" t="s">
        <v>26</v>
      </c>
    </row>
    <row r="10648" spans="1:19" x14ac:dyDescent="0.3">
      <c r="A10648" t="s">
        <v>20660</v>
      </c>
      <c r="B10648" t="s">
        <v>21672</v>
      </c>
      <c r="C10648" t="s">
        <v>21932</v>
      </c>
      <c r="D10648" t="s">
        <v>20661</v>
      </c>
      <c r="E10648" t="s">
        <v>20700</v>
      </c>
      <c r="F10648" t="s">
        <v>20700</v>
      </c>
      <c r="G10648" t="s">
        <v>21771</v>
      </c>
      <c r="H10648" t="s">
        <v>859</v>
      </c>
      <c r="I10648" t="s">
        <v>860</v>
      </c>
      <c r="J10648" t="str">
        <f>"9220084"</f>
        <v>9220084</v>
      </c>
      <c r="K10648">
        <v>2444041008</v>
      </c>
      <c r="L10648">
        <v>2444041390</v>
      </c>
      <c r="M10648" t="s">
        <v>21933</v>
      </c>
      <c r="N10648" t="s">
        <v>21771</v>
      </c>
      <c r="O10648" t="s">
        <v>21774</v>
      </c>
      <c r="P10648">
        <v>43200</v>
      </c>
      <c r="Q10648" t="str">
        <f>"39.494020"</f>
        <v>39.494020</v>
      </c>
      <c r="R10648" t="str">
        <f>"22.011255"</f>
        <v>22.011255</v>
      </c>
      <c r="S10648" t="s">
        <v>26</v>
      </c>
    </row>
    <row r="10649" spans="1:19" x14ac:dyDescent="0.3">
      <c r="A10649" t="s">
        <v>20660</v>
      </c>
      <c r="B10649" t="s">
        <v>21672</v>
      </c>
      <c r="C10649" t="s">
        <v>21935</v>
      </c>
      <c r="D10649" t="s">
        <v>20661</v>
      </c>
      <c r="E10649" t="s">
        <v>20700</v>
      </c>
      <c r="F10649" t="s">
        <v>20700</v>
      </c>
      <c r="G10649" t="s">
        <v>21934</v>
      </c>
      <c r="H10649" t="s">
        <v>859</v>
      </c>
      <c r="I10649" t="s">
        <v>860</v>
      </c>
      <c r="J10649" t="str">
        <f>"9220093"</f>
        <v>9220093</v>
      </c>
      <c r="K10649">
        <v>2444073121</v>
      </c>
      <c r="M10649" t="s">
        <v>21936</v>
      </c>
      <c r="N10649" t="s">
        <v>21937</v>
      </c>
      <c r="O10649" t="s">
        <v>21937</v>
      </c>
      <c r="P10649">
        <v>43200</v>
      </c>
      <c r="Q10649" t="str">
        <f>"39.430048"</f>
        <v>39.430048</v>
      </c>
      <c r="R10649" t="str">
        <f>"22.042400"</f>
        <v>22.042400</v>
      </c>
      <c r="S10649" t="s">
        <v>26</v>
      </c>
    </row>
    <row r="10650" spans="1:19" x14ac:dyDescent="0.3">
      <c r="A10650" t="s">
        <v>20660</v>
      </c>
      <c r="B10650" t="s">
        <v>21672</v>
      </c>
      <c r="C10650" t="s">
        <v>21949</v>
      </c>
      <c r="D10650" t="s">
        <v>20661</v>
      </c>
      <c r="E10650" t="s">
        <v>17000</v>
      </c>
      <c r="F10650" t="s">
        <v>20802</v>
      </c>
      <c r="G10650" t="s">
        <v>6089</v>
      </c>
      <c r="H10650" t="s">
        <v>859</v>
      </c>
      <c r="I10650" t="s">
        <v>860</v>
      </c>
      <c r="J10650" t="str">
        <f>"9220197"</f>
        <v>9220197</v>
      </c>
      <c r="K10650">
        <v>2441085553</v>
      </c>
      <c r="L10650">
        <v>2441085013</v>
      </c>
      <c r="M10650" t="s">
        <v>21950</v>
      </c>
      <c r="N10650" t="s">
        <v>6092</v>
      </c>
      <c r="O10650" t="s">
        <v>6092</v>
      </c>
      <c r="P10650">
        <v>43100</v>
      </c>
      <c r="Q10650" t="str">
        <f>"39.454856"</f>
        <v>39.454856</v>
      </c>
      <c r="R10650" t="str">
        <f>"21.805907"</f>
        <v>21.805907</v>
      </c>
      <c r="S10650" t="s">
        <v>26</v>
      </c>
    </row>
    <row r="10651" spans="1:19" x14ac:dyDescent="0.3">
      <c r="A10651" t="s">
        <v>20660</v>
      </c>
      <c r="B10651" t="s">
        <v>21672</v>
      </c>
      <c r="C10651" t="s">
        <v>21954</v>
      </c>
      <c r="D10651" t="s">
        <v>20661</v>
      </c>
      <c r="E10651" t="s">
        <v>17000</v>
      </c>
      <c r="F10651" t="s">
        <v>17000</v>
      </c>
      <c r="G10651" t="s">
        <v>17000</v>
      </c>
      <c r="H10651" t="s">
        <v>859</v>
      </c>
      <c r="I10651" t="s">
        <v>860</v>
      </c>
      <c r="J10651" t="str">
        <f>"9220113"</f>
        <v>9220113</v>
      </c>
      <c r="K10651">
        <v>2445041397</v>
      </c>
      <c r="L10651">
        <v>2445041397</v>
      </c>
      <c r="M10651" t="s">
        <v>21955</v>
      </c>
      <c r="N10651" t="s">
        <v>17000</v>
      </c>
      <c r="O10651" t="s">
        <v>17128</v>
      </c>
      <c r="P10651">
        <v>43060</v>
      </c>
      <c r="Q10651" t="str">
        <f>"39.434566"</f>
        <v>39.434566</v>
      </c>
      <c r="R10651" t="str">
        <f>"21.663572"</f>
        <v>21.663572</v>
      </c>
      <c r="S10651" t="s">
        <v>26</v>
      </c>
    </row>
    <row r="10652" spans="1:19" x14ac:dyDescent="0.3">
      <c r="A10652" t="s">
        <v>20660</v>
      </c>
      <c r="B10652" t="s">
        <v>21672</v>
      </c>
      <c r="C10652" t="s">
        <v>21974</v>
      </c>
      <c r="D10652" t="s">
        <v>20661</v>
      </c>
      <c r="E10652" t="s">
        <v>17000</v>
      </c>
      <c r="F10652" t="s">
        <v>17000</v>
      </c>
      <c r="G10652" t="s">
        <v>21973</v>
      </c>
      <c r="H10652" t="s">
        <v>859</v>
      </c>
      <c r="I10652" t="s">
        <v>860</v>
      </c>
      <c r="J10652" t="str">
        <f>"9220131"</f>
        <v>9220131</v>
      </c>
      <c r="K10652">
        <v>2445061412</v>
      </c>
      <c r="L10652">
        <v>2445061412</v>
      </c>
      <c r="M10652" t="s">
        <v>21975</v>
      </c>
      <c r="N10652" t="s">
        <v>21976</v>
      </c>
      <c r="O10652" t="s">
        <v>21976</v>
      </c>
      <c r="P10652">
        <v>43060</v>
      </c>
      <c r="Q10652" t="str">
        <f>"39.409457"</f>
        <v>39.409457</v>
      </c>
      <c r="R10652" t="str">
        <f>"21.586809"</f>
        <v>21.586809</v>
      </c>
      <c r="S10652" t="s">
        <v>26</v>
      </c>
    </row>
    <row r="10653" spans="1:19" x14ac:dyDescent="0.3">
      <c r="A10653" t="s">
        <v>20660</v>
      </c>
      <c r="B10653" t="s">
        <v>21672</v>
      </c>
      <c r="C10653" t="s">
        <v>21977</v>
      </c>
      <c r="D10653" t="s">
        <v>20661</v>
      </c>
      <c r="E10653" t="s">
        <v>17000</v>
      </c>
      <c r="F10653" t="s">
        <v>17000</v>
      </c>
      <c r="G10653" t="s">
        <v>17000</v>
      </c>
      <c r="H10653" t="s">
        <v>859</v>
      </c>
      <c r="I10653" t="s">
        <v>860</v>
      </c>
      <c r="J10653" t="str">
        <f>"9220309"</f>
        <v>9220309</v>
      </c>
      <c r="K10653">
        <v>2445042183</v>
      </c>
      <c r="L10653">
        <v>2445042183</v>
      </c>
      <c r="M10653" t="s">
        <v>21978</v>
      </c>
      <c r="N10653" t="s">
        <v>17000</v>
      </c>
      <c r="O10653" t="s">
        <v>17128</v>
      </c>
      <c r="P10653">
        <v>43060</v>
      </c>
      <c r="Q10653" t="str">
        <f>"39.422696"</f>
        <v>39.422696</v>
      </c>
      <c r="R10653" t="str">
        <f>"21.661239"</f>
        <v>21.661239</v>
      </c>
      <c r="S10653" t="s">
        <v>26</v>
      </c>
    </row>
    <row r="10654" spans="1:19" x14ac:dyDescent="0.3">
      <c r="A10654" t="s">
        <v>20660</v>
      </c>
      <c r="B10654" t="s">
        <v>21672</v>
      </c>
      <c r="C10654" t="s">
        <v>21981</v>
      </c>
      <c r="D10654" t="s">
        <v>20661</v>
      </c>
      <c r="E10654" t="s">
        <v>17000</v>
      </c>
      <c r="F10654" t="s">
        <v>20802</v>
      </c>
      <c r="G10654" t="s">
        <v>21815</v>
      </c>
      <c r="H10654" t="s">
        <v>859</v>
      </c>
      <c r="I10654" t="s">
        <v>860</v>
      </c>
      <c r="J10654" t="str">
        <f>"9220117"</f>
        <v>9220117</v>
      </c>
      <c r="K10654">
        <v>2441084915</v>
      </c>
      <c r="L10654">
        <v>2441084915</v>
      </c>
      <c r="M10654" t="s">
        <v>21982</v>
      </c>
      <c r="N10654" t="s">
        <v>21815</v>
      </c>
      <c r="O10654" t="s">
        <v>21819</v>
      </c>
      <c r="P10654">
        <v>43061</v>
      </c>
      <c r="Q10654" t="str">
        <f>"39.487378"</f>
        <v>39.487378</v>
      </c>
      <c r="R10654" t="str">
        <f>"21.839145"</f>
        <v>21.839145</v>
      </c>
      <c r="S10654" t="s">
        <v>26</v>
      </c>
    </row>
    <row r="10655" spans="1:19" x14ac:dyDescent="0.3">
      <c r="A10655" t="s">
        <v>20660</v>
      </c>
      <c r="B10655" t="s">
        <v>21672</v>
      </c>
      <c r="C10655" t="s">
        <v>21985</v>
      </c>
      <c r="D10655" t="s">
        <v>20661</v>
      </c>
      <c r="E10655" t="s">
        <v>20700</v>
      </c>
      <c r="F10655" t="s">
        <v>20763</v>
      </c>
      <c r="G10655" t="s">
        <v>18740</v>
      </c>
      <c r="H10655" t="s">
        <v>859</v>
      </c>
      <c r="I10655" t="s">
        <v>860</v>
      </c>
      <c r="J10655" t="str">
        <f>"9220235"</f>
        <v>9220235</v>
      </c>
      <c r="K10655">
        <v>2444031370</v>
      </c>
      <c r="M10655" t="s">
        <v>21986</v>
      </c>
      <c r="N10655" t="s">
        <v>18742</v>
      </c>
      <c r="O10655" t="s">
        <v>18742</v>
      </c>
      <c r="P10655">
        <v>43200</v>
      </c>
      <c r="Q10655" t="str">
        <f>"39.453435"</f>
        <v>39.453435</v>
      </c>
      <c r="R10655" t="str">
        <f>"22.163626"</f>
        <v>22.163626</v>
      </c>
      <c r="S10655" t="s">
        <v>26</v>
      </c>
    </row>
    <row r="10656" spans="1:19" x14ac:dyDescent="0.3">
      <c r="A10656" t="s">
        <v>20660</v>
      </c>
      <c r="B10656" t="s">
        <v>21672</v>
      </c>
      <c r="C10656" t="s">
        <v>22012</v>
      </c>
      <c r="D10656" t="s">
        <v>20661</v>
      </c>
      <c r="E10656" t="s">
        <v>17000</v>
      </c>
      <c r="F10656" t="s">
        <v>17000</v>
      </c>
      <c r="G10656" t="s">
        <v>22011</v>
      </c>
      <c r="H10656" t="s">
        <v>859</v>
      </c>
      <c r="I10656" t="s">
        <v>860</v>
      </c>
      <c r="J10656" t="str">
        <f>"9220328"</f>
        <v>9220328</v>
      </c>
      <c r="K10656">
        <v>2431049394</v>
      </c>
      <c r="L10656">
        <v>2431049394</v>
      </c>
      <c r="M10656" t="s">
        <v>22013</v>
      </c>
      <c r="N10656" t="s">
        <v>22014</v>
      </c>
      <c r="O10656" t="s">
        <v>22014</v>
      </c>
      <c r="P10656">
        <v>43060</v>
      </c>
      <c r="Q10656" t="str">
        <f>"39.461568"</f>
        <v>39.461568</v>
      </c>
      <c r="R10656" t="str">
        <f>"21.735567"</f>
        <v>21.735567</v>
      </c>
      <c r="S10656" t="s">
        <v>26</v>
      </c>
    </row>
    <row r="10657" spans="1:19" x14ac:dyDescent="0.3">
      <c r="A10657" t="s">
        <v>20660</v>
      </c>
      <c r="B10657" t="s">
        <v>21672</v>
      </c>
      <c r="C10657" t="s">
        <v>22016</v>
      </c>
      <c r="D10657" t="s">
        <v>20661</v>
      </c>
      <c r="E10657" t="s">
        <v>17000</v>
      </c>
      <c r="F10657" t="s">
        <v>22015</v>
      </c>
      <c r="G10657" t="s">
        <v>2777</v>
      </c>
      <c r="H10657" t="s">
        <v>859</v>
      </c>
      <c r="I10657" t="s">
        <v>860</v>
      </c>
      <c r="J10657" t="str">
        <f>"9220111"</f>
        <v>9220111</v>
      </c>
      <c r="K10657">
        <v>2441039876</v>
      </c>
      <c r="L10657">
        <v>2441039876</v>
      </c>
      <c r="M10657" t="s">
        <v>22017</v>
      </c>
      <c r="N10657" t="s">
        <v>2777</v>
      </c>
      <c r="O10657" t="s">
        <v>2780</v>
      </c>
      <c r="P10657">
        <v>43064</v>
      </c>
      <c r="Q10657" t="str">
        <f>"39.415947"</f>
        <v>39.415947</v>
      </c>
      <c r="R10657" t="str">
        <f>"21.800085"</f>
        <v>21.800085</v>
      </c>
      <c r="S10657" t="s">
        <v>26</v>
      </c>
    </row>
    <row r="10658" spans="1:19" x14ac:dyDescent="0.3">
      <c r="A10658" t="s">
        <v>20660</v>
      </c>
      <c r="B10658" t="s">
        <v>21672</v>
      </c>
      <c r="C10658" t="s">
        <v>22020</v>
      </c>
      <c r="D10658" t="s">
        <v>20661</v>
      </c>
      <c r="E10658" t="s">
        <v>17000</v>
      </c>
      <c r="F10658" t="s">
        <v>17000</v>
      </c>
      <c r="G10658" t="s">
        <v>17000</v>
      </c>
      <c r="H10658" t="s">
        <v>859</v>
      </c>
      <c r="I10658" t="s">
        <v>860</v>
      </c>
      <c r="J10658" t="str">
        <f>"9521139"</f>
        <v>9521139</v>
      </c>
      <c r="K10658">
        <v>2445041397</v>
      </c>
      <c r="L10658">
        <v>2445041397</v>
      </c>
      <c r="M10658" t="s">
        <v>22021</v>
      </c>
      <c r="N10658" t="s">
        <v>17000</v>
      </c>
      <c r="O10658" t="s">
        <v>17128</v>
      </c>
      <c r="P10658">
        <v>43060</v>
      </c>
      <c r="Q10658" t="str">
        <f>"39.434566"</f>
        <v>39.434566</v>
      </c>
      <c r="R10658" t="str">
        <f>"21.663572"</f>
        <v>21.663572</v>
      </c>
      <c r="S10658" t="s">
        <v>26</v>
      </c>
    </row>
    <row r="10659" spans="1:19" x14ac:dyDescent="0.3">
      <c r="A10659" t="s">
        <v>20660</v>
      </c>
      <c r="B10659" t="s">
        <v>21672</v>
      </c>
      <c r="C10659" t="s">
        <v>22025</v>
      </c>
      <c r="D10659" t="s">
        <v>20661</v>
      </c>
      <c r="E10659" t="s">
        <v>20661</v>
      </c>
      <c r="F10659" t="s">
        <v>20661</v>
      </c>
      <c r="G10659" t="s">
        <v>20662</v>
      </c>
      <c r="H10659" t="s">
        <v>859</v>
      </c>
      <c r="I10659" t="s">
        <v>860</v>
      </c>
      <c r="J10659" t="str">
        <f>"9521136"</f>
        <v>9521136</v>
      </c>
      <c r="K10659">
        <v>2441028369</v>
      </c>
      <c r="L10659">
        <v>2441028969</v>
      </c>
      <c r="M10659" t="s">
        <v>22026</v>
      </c>
      <c r="N10659" t="s">
        <v>20661</v>
      </c>
      <c r="O10659" t="s">
        <v>22027</v>
      </c>
      <c r="P10659">
        <v>43131</v>
      </c>
      <c r="Q10659" t="str">
        <f>"39.371890"</f>
        <v>39.371890</v>
      </c>
      <c r="R10659" t="str">
        <f>"21.930235"</f>
        <v>21.930235</v>
      </c>
      <c r="S10659" t="s">
        <v>26</v>
      </c>
    </row>
    <row r="10660" spans="1:19" x14ac:dyDescent="0.3">
      <c r="A10660" t="s">
        <v>20660</v>
      </c>
      <c r="B10660" t="s">
        <v>21672</v>
      </c>
      <c r="C10660" t="s">
        <v>22028</v>
      </c>
      <c r="D10660" t="s">
        <v>20661</v>
      </c>
      <c r="E10660" t="s">
        <v>20661</v>
      </c>
      <c r="F10660" t="s">
        <v>20661</v>
      </c>
      <c r="G10660" t="s">
        <v>20662</v>
      </c>
      <c r="H10660" t="s">
        <v>859</v>
      </c>
      <c r="I10660" t="s">
        <v>860</v>
      </c>
      <c r="J10660" t="str">
        <f>"9521134"</f>
        <v>9521134</v>
      </c>
      <c r="K10660">
        <v>2441026719</v>
      </c>
      <c r="L10660">
        <v>2441026719</v>
      </c>
      <c r="M10660" t="s">
        <v>22029</v>
      </c>
      <c r="N10660" t="s">
        <v>20661</v>
      </c>
      <c r="O10660" t="s">
        <v>22030</v>
      </c>
      <c r="P10660">
        <v>43100</v>
      </c>
      <c r="Q10660" t="str">
        <f>"39.365798"</f>
        <v>39.365798</v>
      </c>
      <c r="R10660" t="str">
        <f>"21.926518"</f>
        <v>21.926518</v>
      </c>
      <c r="S10660" t="s">
        <v>26</v>
      </c>
    </row>
    <row r="10661" spans="1:19" x14ac:dyDescent="0.3">
      <c r="A10661" t="s">
        <v>20660</v>
      </c>
      <c r="B10661" t="s">
        <v>21672</v>
      </c>
      <c r="C10661" t="s">
        <v>22031</v>
      </c>
      <c r="D10661" t="s">
        <v>20661</v>
      </c>
      <c r="E10661" t="s">
        <v>17000</v>
      </c>
      <c r="F10661" t="s">
        <v>17000</v>
      </c>
      <c r="G10661" t="s">
        <v>21969</v>
      </c>
      <c r="H10661" t="s">
        <v>859</v>
      </c>
      <c r="I10661" t="s">
        <v>860</v>
      </c>
      <c r="J10661" t="str">
        <f>"9220314"</f>
        <v>9220314</v>
      </c>
      <c r="K10661">
        <v>2445043257</v>
      </c>
      <c r="L10661">
        <v>2445043257</v>
      </c>
      <c r="M10661" t="s">
        <v>22032</v>
      </c>
      <c r="N10661" t="s">
        <v>21972</v>
      </c>
      <c r="O10661" t="s">
        <v>21972</v>
      </c>
      <c r="P10661">
        <v>43060</v>
      </c>
      <c r="Q10661" t="str">
        <f>"39.357478"</f>
        <v>39.357478</v>
      </c>
      <c r="R10661" t="str">
        <f>"21.663198"</f>
        <v>21.663198</v>
      </c>
      <c r="S10661" t="s">
        <v>26</v>
      </c>
    </row>
    <row r="10662" spans="1:19" x14ac:dyDescent="0.3">
      <c r="A10662" t="s">
        <v>20660</v>
      </c>
      <c r="B10662" t="s">
        <v>21672</v>
      </c>
      <c r="C10662" t="s">
        <v>22035</v>
      </c>
      <c r="D10662" t="s">
        <v>20661</v>
      </c>
      <c r="E10662" t="s">
        <v>20661</v>
      </c>
      <c r="F10662" t="s">
        <v>20661</v>
      </c>
      <c r="G10662" t="s">
        <v>20662</v>
      </c>
      <c r="H10662" t="s">
        <v>859</v>
      </c>
      <c r="I10662" t="s">
        <v>860</v>
      </c>
      <c r="J10662" t="str">
        <f>"9521370"</f>
        <v>9521370</v>
      </c>
      <c r="K10662">
        <v>2441080370</v>
      </c>
      <c r="L10662">
        <v>2441080370</v>
      </c>
      <c r="M10662" t="s">
        <v>22036</v>
      </c>
      <c r="N10662" t="s">
        <v>20665</v>
      </c>
      <c r="O10662" t="s">
        <v>22037</v>
      </c>
      <c r="P10662">
        <v>43100</v>
      </c>
      <c r="Q10662" t="str">
        <f>"39.347786"</f>
        <v>39.347786</v>
      </c>
      <c r="R10662" t="str">
        <f>"21.925500"</f>
        <v>21.925500</v>
      </c>
      <c r="S10662" t="s">
        <v>26</v>
      </c>
    </row>
    <row r="10663" spans="1:19" x14ac:dyDescent="0.3">
      <c r="A10663" t="s">
        <v>20660</v>
      </c>
      <c r="B10663" t="s">
        <v>21672</v>
      </c>
      <c r="C10663" t="s">
        <v>22042</v>
      </c>
      <c r="D10663" t="s">
        <v>20661</v>
      </c>
      <c r="E10663" t="s">
        <v>20687</v>
      </c>
      <c r="F10663" t="s">
        <v>20718</v>
      </c>
      <c r="G10663" t="s">
        <v>20719</v>
      </c>
      <c r="H10663" t="s">
        <v>859</v>
      </c>
      <c r="I10663" t="s">
        <v>860</v>
      </c>
      <c r="J10663" t="str">
        <f>"9220241"</f>
        <v>9220241</v>
      </c>
      <c r="K10663">
        <v>2443031234</v>
      </c>
      <c r="L10663">
        <v>2443031234</v>
      </c>
      <c r="M10663" t="s">
        <v>22043</v>
      </c>
      <c r="O10663" t="s">
        <v>22044</v>
      </c>
      <c r="P10663">
        <v>43063</v>
      </c>
      <c r="Q10663" t="str">
        <f>"39.184240"</f>
        <v>39.184240</v>
      </c>
      <c r="R10663" t="str">
        <f>"22.129665"</f>
        <v>22.129665</v>
      </c>
      <c r="S10663" t="s">
        <v>26</v>
      </c>
    </row>
    <row r="10664" spans="1:19" x14ac:dyDescent="0.3">
      <c r="A10664" t="s">
        <v>20660</v>
      </c>
      <c r="B10664" t="s">
        <v>21672</v>
      </c>
      <c r="C10664" t="s">
        <v>22047</v>
      </c>
      <c r="D10664" t="s">
        <v>20661</v>
      </c>
      <c r="E10664" t="s">
        <v>20687</v>
      </c>
      <c r="F10664" t="s">
        <v>20787</v>
      </c>
      <c r="G10664" t="s">
        <v>13937</v>
      </c>
      <c r="H10664" t="s">
        <v>859</v>
      </c>
      <c r="I10664" t="s">
        <v>860</v>
      </c>
      <c r="J10664" t="str">
        <f>"9220249"</f>
        <v>9220249</v>
      </c>
      <c r="K10664">
        <v>2443041285</v>
      </c>
      <c r="L10664">
        <v>2443041285</v>
      </c>
      <c r="M10664" t="s">
        <v>22048</v>
      </c>
      <c r="N10664" t="s">
        <v>14093</v>
      </c>
      <c r="O10664" t="s">
        <v>21723</v>
      </c>
      <c r="P10664">
        <v>43300</v>
      </c>
      <c r="Q10664" t="str">
        <f>"39.393247"</f>
        <v>39.393247</v>
      </c>
      <c r="R10664" t="str">
        <f>"22.073088"</f>
        <v>22.073088</v>
      </c>
      <c r="S10664" t="s">
        <v>26</v>
      </c>
    </row>
    <row r="10665" spans="1:19" x14ac:dyDescent="0.3">
      <c r="A10665" t="s">
        <v>20660</v>
      </c>
      <c r="B10665" t="s">
        <v>21672</v>
      </c>
      <c r="C10665" t="s">
        <v>22052</v>
      </c>
      <c r="D10665" t="s">
        <v>20661</v>
      </c>
      <c r="E10665" t="s">
        <v>21750</v>
      </c>
      <c r="F10665" t="s">
        <v>21751</v>
      </c>
      <c r="G10665" t="s">
        <v>4044</v>
      </c>
      <c r="H10665" t="s">
        <v>859</v>
      </c>
      <c r="I10665" t="s">
        <v>860</v>
      </c>
      <c r="J10665" t="str">
        <f>"9220346"</f>
        <v>9220346</v>
      </c>
      <c r="K10665">
        <v>2441092969</v>
      </c>
      <c r="L10665">
        <v>2441092969</v>
      </c>
      <c r="M10665" t="s">
        <v>22053</v>
      </c>
      <c r="N10665" t="s">
        <v>4044</v>
      </c>
      <c r="O10665" t="s">
        <v>8447</v>
      </c>
      <c r="P10665">
        <v>43067</v>
      </c>
      <c r="Q10665" t="str">
        <f>"39.331664"</f>
        <v>39.331664</v>
      </c>
      <c r="R10665" t="str">
        <f>"21.686717"</f>
        <v>21.686717</v>
      </c>
      <c r="S10665" t="s">
        <v>26</v>
      </c>
    </row>
    <row r="10666" spans="1:19" x14ac:dyDescent="0.3">
      <c r="A10666" t="s">
        <v>20660</v>
      </c>
      <c r="B10666" t="s">
        <v>21672</v>
      </c>
      <c r="C10666" t="s">
        <v>22057</v>
      </c>
      <c r="D10666" t="s">
        <v>20661</v>
      </c>
      <c r="E10666" t="s">
        <v>20661</v>
      </c>
      <c r="F10666" t="s">
        <v>21792</v>
      </c>
      <c r="G10666" t="s">
        <v>22056</v>
      </c>
      <c r="H10666" t="s">
        <v>859</v>
      </c>
      <c r="I10666" t="s">
        <v>860</v>
      </c>
      <c r="J10666" t="str">
        <f>"9220107"</f>
        <v>9220107</v>
      </c>
      <c r="K10666">
        <v>2441061106</v>
      </c>
      <c r="L10666">
        <v>2441061106</v>
      </c>
      <c r="M10666" t="s">
        <v>22058</v>
      </c>
      <c r="N10666" t="s">
        <v>20661</v>
      </c>
      <c r="O10666" t="s">
        <v>22059</v>
      </c>
      <c r="P10666">
        <v>43100</v>
      </c>
      <c r="Q10666" t="str">
        <f>"39.374014"</f>
        <v>39.374014</v>
      </c>
      <c r="R10666" t="str">
        <f>"21.976251"</f>
        <v>21.976251</v>
      </c>
      <c r="S10666" t="s">
        <v>26</v>
      </c>
    </row>
    <row r="10667" spans="1:19" x14ac:dyDescent="0.3">
      <c r="A10667" t="s">
        <v>20660</v>
      </c>
      <c r="B10667" t="s">
        <v>21672</v>
      </c>
      <c r="C10667" t="s">
        <v>22060</v>
      </c>
      <c r="D10667" t="s">
        <v>20661</v>
      </c>
      <c r="E10667" t="s">
        <v>20661</v>
      </c>
      <c r="F10667" t="s">
        <v>21792</v>
      </c>
      <c r="G10667" t="s">
        <v>21878</v>
      </c>
      <c r="H10667" t="s">
        <v>859</v>
      </c>
      <c r="I10667" t="s">
        <v>860</v>
      </c>
      <c r="J10667" t="str">
        <f>"9220294"</f>
        <v>9220294</v>
      </c>
      <c r="K10667">
        <v>2441061545</v>
      </c>
      <c r="L10667">
        <v>2441061545</v>
      </c>
      <c r="M10667" t="s">
        <v>22061</v>
      </c>
      <c r="N10667" t="s">
        <v>20661</v>
      </c>
      <c r="O10667" t="s">
        <v>21881</v>
      </c>
      <c r="P10667">
        <v>43100</v>
      </c>
      <c r="Q10667" t="str">
        <f>"39.362637"</f>
        <v>39.362637</v>
      </c>
      <c r="R10667" t="str">
        <f>"21.972384"</f>
        <v>21.972384</v>
      </c>
      <c r="S10667" t="s">
        <v>26</v>
      </c>
    </row>
    <row r="10668" spans="1:19" x14ac:dyDescent="0.3">
      <c r="A10668" t="s">
        <v>20660</v>
      </c>
      <c r="B10668" t="s">
        <v>22062</v>
      </c>
      <c r="C10668" t="s">
        <v>22063</v>
      </c>
      <c r="D10668" t="s">
        <v>20667</v>
      </c>
      <c r="E10668" t="s">
        <v>20668</v>
      </c>
      <c r="F10668" t="s">
        <v>20668</v>
      </c>
      <c r="G10668" t="s">
        <v>20669</v>
      </c>
      <c r="H10668" t="s">
        <v>859</v>
      </c>
      <c r="I10668" t="s">
        <v>860</v>
      </c>
      <c r="J10668" t="str">
        <f>"9310325"</f>
        <v>9310325</v>
      </c>
      <c r="K10668">
        <v>2410614772</v>
      </c>
      <c r="L10668">
        <v>2410614772</v>
      </c>
      <c r="M10668" t="s">
        <v>22064</v>
      </c>
      <c r="N10668" t="s">
        <v>20672</v>
      </c>
      <c r="O10668" t="s">
        <v>22065</v>
      </c>
      <c r="P10668">
        <v>41334</v>
      </c>
      <c r="Q10668" t="str">
        <f>"39.625074"</f>
        <v>39.625074</v>
      </c>
      <c r="R10668" t="str">
        <f>"22.398607"</f>
        <v>22.398607</v>
      </c>
      <c r="S10668" t="s">
        <v>26</v>
      </c>
    </row>
    <row r="10669" spans="1:19" x14ac:dyDescent="0.3">
      <c r="A10669" t="s">
        <v>20660</v>
      </c>
      <c r="B10669" t="s">
        <v>22062</v>
      </c>
      <c r="C10669" t="s">
        <v>22066</v>
      </c>
      <c r="D10669" t="s">
        <v>20667</v>
      </c>
      <c r="E10669" t="s">
        <v>20899</v>
      </c>
      <c r="F10669" t="s">
        <v>21077</v>
      </c>
      <c r="G10669" t="s">
        <v>21077</v>
      </c>
      <c r="H10669" t="s">
        <v>859</v>
      </c>
      <c r="I10669" t="s">
        <v>860</v>
      </c>
      <c r="J10669" t="str">
        <f>"9310117"</f>
        <v>9310117</v>
      </c>
      <c r="K10669">
        <v>2410721154</v>
      </c>
      <c r="M10669" t="s">
        <v>22067</v>
      </c>
      <c r="N10669" t="s">
        <v>21080</v>
      </c>
      <c r="O10669" t="s">
        <v>21080</v>
      </c>
      <c r="P10669">
        <v>41500</v>
      </c>
      <c r="Q10669" t="str">
        <f>"39.488357"</f>
        <v>39.488357</v>
      </c>
      <c r="R10669" t="str">
        <f>"22.696165"</f>
        <v>22.696165</v>
      </c>
      <c r="S10669" t="s">
        <v>26</v>
      </c>
    </row>
    <row r="10670" spans="1:19" x14ac:dyDescent="0.3">
      <c r="A10670" t="s">
        <v>20660</v>
      </c>
      <c r="B10670" t="s">
        <v>22062</v>
      </c>
      <c r="C10670" t="s">
        <v>22068</v>
      </c>
      <c r="D10670" t="s">
        <v>20667</v>
      </c>
      <c r="E10670" t="s">
        <v>20899</v>
      </c>
      <c r="F10670" t="s">
        <v>5431</v>
      </c>
      <c r="G10670" t="s">
        <v>5431</v>
      </c>
      <c r="H10670" t="s">
        <v>859</v>
      </c>
      <c r="I10670" t="s">
        <v>860</v>
      </c>
      <c r="J10670" t="str">
        <f>"9310180"</f>
        <v>9310180</v>
      </c>
      <c r="K10670">
        <v>2410921163</v>
      </c>
      <c r="L10670">
        <v>2410922020</v>
      </c>
      <c r="M10670" t="s">
        <v>22069</v>
      </c>
      <c r="N10670" t="s">
        <v>6352</v>
      </c>
      <c r="O10670" t="s">
        <v>6352</v>
      </c>
      <c r="P10670">
        <v>41500</v>
      </c>
      <c r="Q10670" t="str">
        <f>"39.562561"</f>
        <v>39.562561</v>
      </c>
      <c r="R10670" t="str">
        <f>"22.466452"</f>
        <v>22.466452</v>
      </c>
      <c r="S10670" t="s">
        <v>26</v>
      </c>
    </row>
    <row r="10671" spans="1:19" x14ac:dyDescent="0.3">
      <c r="A10671" t="s">
        <v>20660</v>
      </c>
      <c r="B10671" t="s">
        <v>22062</v>
      </c>
      <c r="C10671" t="s">
        <v>22073</v>
      </c>
      <c r="D10671" t="s">
        <v>20667</v>
      </c>
      <c r="E10671" t="s">
        <v>20668</v>
      </c>
      <c r="F10671" t="s">
        <v>20668</v>
      </c>
      <c r="G10671" t="s">
        <v>20942</v>
      </c>
      <c r="H10671" t="s">
        <v>859</v>
      </c>
      <c r="I10671" t="s">
        <v>860</v>
      </c>
      <c r="J10671" t="str">
        <f>"9310421"</f>
        <v>9310421</v>
      </c>
      <c r="K10671">
        <v>2410515913</v>
      </c>
      <c r="L10671">
        <v>2410230962</v>
      </c>
      <c r="M10671" t="s">
        <v>22074</v>
      </c>
      <c r="N10671" t="s">
        <v>20672</v>
      </c>
      <c r="O10671" t="s">
        <v>22075</v>
      </c>
      <c r="P10671">
        <v>41500</v>
      </c>
      <c r="Q10671" t="str">
        <f>"39.643019"</f>
        <v>39.643019</v>
      </c>
      <c r="R10671" t="str">
        <f>"22.439091"</f>
        <v>22.439091</v>
      </c>
      <c r="S10671" t="s">
        <v>26</v>
      </c>
    </row>
    <row r="10672" spans="1:19" x14ac:dyDescent="0.3">
      <c r="A10672" t="s">
        <v>20660</v>
      </c>
      <c r="B10672" t="s">
        <v>22062</v>
      </c>
      <c r="C10672" t="s">
        <v>22076</v>
      </c>
      <c r="D10672" t="s">
        <v>20667</v>
      </c>
      <c r="E10672" t="s">
        <v>20668</v>
      </c>
      <c r="F10672" t="s">
        <v>20668</v>
      </c>
      <c r="G10672" t="s">
        <v>20669</v>
      </c>
      <c r="H10672" t="s">
        <v>859</v>
      </c>
      <c r="I10672" t="s">
        <v>860</v>
      </c>
      <c r="J10672" t="str">
        <f>"9310099"</f>
        <v>9310099</v>
      </c>
      <c r="K10672">
        <v>2410613995</v>
      </c>
      <c r="L10672">
        <v>2410613995</v>
      </c>
      <c r="M10672" t="s">
        <v>22077</v>
      </c>
      <c r="N10672" t="s">
        <v>20672</v>
      </c>
      <c r="O10672" t="s">
        <v>22078</v>
      </c>
      <c r="P10672">
        <v>41334</v>
      </c>
      <c r="Q10672" t="str">
        <f>"39.630148"</f>
        <v>39.630148</v>
      </c>
      <c r="R10672" t="str">
        <f>"22.399302"</f>
        <v>22.399302</v>
      </c>
      <c r="S10672" t="s">
        <v>26</v>
      </c>
    </row>
    <row r="10673" spans="1:19" x14ac:dyDescent="0.3">
      <c r="A10673" t="s">
        <v>20660</v>
      </c>
      <c r="B10673" t="s">
        <v>22062</v>
      </c>
      <c r="C10673" t="s">
        <v>22079</v>
      </c>
      <c r="D10673" t="s">
        <v>20667</v>
      </c>
      <c r="E10673" t="s">
        <v>20668</v>
      </c>
      <c r="F10673" t="s">
        <v>20668</v>
      </c>
      <c r="G10673" t="s">
        <v>20881</v>
      </c>
      <c r="H10673" t="s">
        <v>859</v>
      </c>
      <c r="I10673" t="s">
        <v>860</v>
      </c>
      <c r="J10673" t="str">
        <f>"9310101"</f>
        <v>9310101</v>
      </c>
      <c r="K10673">
        <v>2410619190</v>
      </c>
      <c r="L10673">
        <v>2410619190</v>
      </c>
      <c r="M10673" t="s">
        <v>22080</v>
      </c>
      <c r="N10673" t="s">
        <v>20672</v>
      </c>
      <c r="O10673" t="s">
        <v>22081</v>
      </c>
      <c r="P10673">
        <v>41335</v>
      </c>
      <c r="Q10673" t="str">
        <f>"39.624651"</f>
        <v>39.624651</v>
      </c>
      <c r="R10673" t="str">
        <f>"22.418498"</f>
        <v>22.418498</v>
      </c>
      <c r="S10673" t="s">
        <v>26</v>
      </c>
    </row>
    <row r="10674" spans="1:19" x14ac:dyDescent="0.3">
      <c r="A10674" t="s">
        <v>20660</v>
      </c>
      <c r="B10674" t="s">
        <v>22062</v>
      </c>
      <c r="C10674" t="s">
        <v>22082</v>
      </c>
      <c r="D10674" t="s">
        <v>20667</v>
      </c>
      <c r="E10674" t="s">
        <v>20668</v>
      </c>
      <c r="F10674" t="s">
        <v>20668</v>
      </c>
      <c r="G10674" t="s">
        <v>20881</v>
      </c>
      <c r="H10674" t="s">
        <v>859</v>
      </c>
      <c r="I10674" t="s">
        <v>860</v>
      </c>
      <c r="J10674" t="str">
        <f>"9310155"</f>
        <v>9310155</v>
      </c>
      <c r="K10674">
        <v>2410239897</v>
      </c>
      <c r="L10674">
        <v>2410239897</v>
      </c>
      <c r="M10674" t="s">
        <v>22083</v>
      </c>
      <c r="N10674" t="s">
        <v>20672</v>
      </c>
      <c r="O10674" t="s">
        <v>22084</v>
      </c>
      <c r="P10674">
        <v>41335</v>
      </c>
      <c r="Q10674" t="str">
        <f>"39.623975"</f>
        <v>39.623975</v>
      </c>
      <c r="R10674" t="str">
        <f>"22.428787"</f>
        <v>22.428787</v>
      </c>
      <c r="S10674" t="s">
        <v>26</v>
      </c>
    </row>
    <row r="10675" spans="1:19" x14ac:dyDescent="0.3">
      <c r="A10675" t="s">
        <v>20660</v>
      </c>
      <c r="B10675" t="s">
        <v>22062</v>
      </c>
      <c r="C10675" t="s">
        <v>22085</v>
      </c>
      <c r="D10675" t="s">
        <v>20667</v>
      </c>
      <c r="E10675" t="s">
        <v>20668</v>
      </c>
      <c r="F10675" t="s">
        <v>20668</v>
      </c>
      <c r="G10675" t="s">
        <v>20881</v>
      </c>
      <c r="H10675" t="s">
        <v>859</v>
      </c>
      <c r="I10675" t="s">
        <v>860</v>
      </c>
      <c r="J10675" t="str">
        <f>"9310213"</f>
        <v>9310213</v>
      </c>
      <c r="K10675">
        <v>2410610394</v>
      </c>
      <c r="L10675">
        <v>2410610394</v>
      </c>
      <c r="M10675" t="s">
        <v>22086</v>
      </c>
      <c r="N10675" t="s">
        <v>20672</v>
      </c>
      <c r="O10675" t="s">
        <v>22087</v>
      </c>
      <c r="P10675">
        <v>41334</v>
      </c>
      <c r="Q10675" t="str">
        <f>"39.630866"</f>
        <v>39.630866</v>
      </c>
      <c r="R10675" t="str">
        <f>"22.412377"</f>
        <v>22.412377</v>
      </c>
      <c r="S10675" t="s">
        <v>26</v>
      </c>
    </row>
    <row r="10676" spans="1:19" x14ac:dyDescent="0.3">
      <c r="A10676" t="s">
        <v>20660</v>
      </c>
      <c r="B10676" t="s">
        <v>22062</v>
      </c>
      <c r="C10676" t="s">
        <v>22088</v>
      </c>
      <c r="D10676" t="s">
        <v>20667</v>
      </c>
      <c r="E10676" t="s">
        <v>20668</v>
      </c>
      <c r="F10676" t="s">
        <v>20668</v>
      </c>
      <c r="G10676" t="s">
        <v>20669</v>
      </c>
      <c r="H10676" t="s">
        <v>859</v>
      </c>
      <c r="I10676" t="s">
        <v>860</v>
      </c>
      <c r="J10676" t="str">
        <f>"9310110"</f>
        <v>9310110</v>
      </c>
      <c r="K10676">
        <v>2410254043</v>
      </c>
      <c r="L10676">
        <v>2410254043</v>
      </c>
      <c r="M10676" t="s">
        <v>22089</v>
      </c>
      <c r="N10676" t="s">
        <v>20672</v>
      </c>
      <c r="O10676" t="s">
        <v>22090</v>
      </c>
      <c r="P10676">
        <v>41222</v>
      </c>
      <c r="Q10676" t="str">
        <f>"39.635650"</f>
        <v>39.635650</v>
      </c>
      <c r="R10676" t="str">
        <f>"22.407370"</f>
        <v>22.407370</v>
      </c>
      <c r="S10676" t="s">
        <v>26</v>
      </c>
    </row>
    <row r="10677" spans="1:19" x14ac:dyDescent="0.3">
      <c r="A10677" t="s">
        <v>20660</v>
      </c>
      <c r="B10677" t="s">
        <v>22062</v>
      </c>
      <c r="C10677" t="s">
        <v>22091</v>
      </c>
      <c r="D10677" t="s">
        <v>20667</v>
      </c>
      <c r="E10677" t="s">
        <v>20668</v>
      </c>
      <c r="F10677" t="s">
        <v>20668</v>
      </c>
      <c r="G10677" t="s">
        <v>20881</v>
      </c>
      <c r="H10677" t="s">
        <v>859</v>
      </c>
      <c r="I10677" t="s">
        <v>860</v>
      </c>
      <c r="J10677" t="str">
        <f>"9310371"</f>
        <v>9310371</v>
      </c>
      <c r="K10677">
        <v>2410620726</v>
      </c>
      <c r="M10677" t="s">
        <v>22092</v>
      </c>
      <c r="N10677" t="s">
        <v>20672</v>
      </c>
      <c r="O10677" t="s">
        <v>22093</v>
      </c>
      <c r="P10677">
        <v>41335</v>
      </c>
      <c r="Q10677" t="str">
        <f>"39.627101"</f>
        <v>39.627101</v>
      </c>
      <c r="R10677" t="str">
        <f>"22.414911"</f>
        <v>22.414911</v>
      </c>
      <c r="S10677" t="s">
        <v>26</v>
      </c>
    </row>
    <row r="10678" spans="1:19" x14ac:dyDescent="0.3">
      <c r="A10678" t="s">
        <v>20660</v>
      </c>
      <c r="B10678" t="s">
        <v>22062</v>
      </c>
      <c r="C10678" t="s">
        <v>22094</v>
      </c>
      <c r="D10678" t="s">
        <v>20667</v>
      </c>
      <c r="E10678" t="s">
        <v>20668</v>
      </c>
      <c r="F10678" t="s">
        <v>20668</v>
      </c>
      <c r="G10678" t="s">
        <v>20841</v>
      </c>
      <c r="H10678" t="s">
        <v>859</v>
      </c>
      <c r="I10678" t="s">
        <v>860</v>
      </c>
      <c r="J10678" t="str">
        <f>"9310461"</f>
        <v>9310461</v>
      </c>
      <c r="K10678">
        <v>2410620972</v>
      </c>
      <c r="L10678">
        <v>2410620972</v>
      </c>
      <c r="M10678" t="s">
        <v>22095</v>
      </c>
      <c r="N10678" t="s">
        <v>20672</v>
      </c>
      <c r="O10678" t="s">
        <v>22096</v>
      </c>
      <c r="P10678">
        <v>41222</v>
      </c>
      <c r="Q10678" t="str">
        <f>"39.634071"</f>
        <v>39.634071</v>
      </c>
      <c r="R10678" t="str">
        <f>"22.411115"</f>
        <v>22.411115</v>
      </c>
      <c r="S10678" t="s">
        <v>26</v>
      </c>
    </row>
    <row r="10679" spans="1:19" x14ac:dyDescent="0.3">
      <c r="A10679" t="s">
        <v>20660</v>
      </c>
      <c r="B10679" t="s">
        <v>22062</v>
      </c>
      <c r="C10679" t="s">
        <v>22097</v>
      </c>
      <c r="D10679" t="s">
        <v>20667</v>
      </c>
      <c r="E10679" t="s">
        <v>20668</v>
      </c>
      <c r="F10679" t="s">
        <v>21083</v>
      </c>
      <c r="G10679" t="s">
        <v>21084</v>
      </c>
      <c r="H10679" t="s">
        <v>859</v>
      </c>
      <c r="I10679" t="s">
        <v>860</v>
      </c>
      <c r="J10679" t="str">
        <f>"9310170"</f>
        <v>9310170</v>
      </c>
      <c r="K10679">
        <v>2410811444</v>
      </c>
      <c r="L10679">
        <v>2410811444</v>
      </c>
      <c r="M10679" t="s">
        <v>22098</v>
      </c>
      <c r="N10679" t="s">
        <v>21087</v>
      </c>
      <c r="O10679" t="s">
        <v>21087</v>
      </c>
      <c r="P10679">
        <v>41500</v>
      </c>
      <c r="Q10679" t="str">
        <f>"39.574648"</f>
        <v>39.574648</v>
      </c>
      <c r="R10679" t="str">
        <f>"22.303182"</f>
        <v>22.303182</v>
      </c>
      <c r="S10679" t="s">
        <v>26</v>
      </c>
    </row>
    <row r="10680" spans="1:19" x14ac:dyDescent="0.3">
      <c r="A10680" t="s">
        <v>20660</v>
      </c>
      <c r="B10680" t="s">
        <v>22062</v>
      </c>
      <c r="C10680" t="s">
        <v>22101</v>
      </c>
      <c r="D10680" t="s">
        <v>20667</v>
      </c>
      <c r="E10680" t="s">
        <v>20668</v>
      </c>
      <c r="F10680" t="s">
        <v>20668</v>
      </c>
      <c r="G10680" t="s">
        <v>20841</v>
      </c>
      <c r="H10680" t="s">
        <v>859</v>
      </c>
      <c r="I10680" t="s">
        <v>860</v>
      </c>
      <c r="J10680" t="str">
        <f>"9310408"</f>
        <v>9310408</v>
      </c>
      <c r="K10680">
        <v>2410534889</v>
      </c>
      <c r="L10680">
        <v>2410534889</v>
      </c>
      <c r="M10680" t="s">
        <v>22102</v>
      </c>
      <c r="N10680" t="s">
        <v>20672</v>
      </c>
      <c r="O10680" t="s">
        <v>22103</v>
      </c>
      <c r="P10680">
        <v>41222</v>
      </c>
      <c r="Q10680" t="str">
        <f>"39.635729"</f>
        <v>39.635729</v>
      </c>
      <c r="R10680" t="str">
        <f>"22.413561"</f>
        <v>22.413561</v>
      </c>
      <c r="S10680" t="s">
        <v>26</v>
      </c>
    </row>
    <row r="10681" spans="1:19" x14ac:dyDescent="0.3">
      <c r="A10681" t="s">
        <v>20660</v>
      </c>
      <c r="B10681" t="s">
        <v>22062</v>
      </c>
      <c r="C10681" t="s">
        <v>22105</v>
      </c>
      <c r="D10681" t="s">
        <v>20667</v>
      </c>
      <c r="E10681" t="s">
        <v>20859</v>
      </c>
      <c r="F10681" t="s">
        <v>1782</v>
      </c>
      <c r="G10681" t="s">
        <v>22104</v>
      </c>
      <c r="H10681" t="s">
        <v>859</v>
      </c>
      <c r="I10681" t="s">
        <v>860</v>
      </c>
      <c r="J10681" t="str">
        <f>"9310147"</f>
        <v>9310147</v>
      </c>
      <c r="K10681">
        <v>2492091290</v>
      </c>
      <c r="M10681" t="s">
        <v>22106</v>
      </c>
      <c r="N10681" t="s">
        <v>22107</v>
      </c>
      <c r="O10681" t="s">
        <v>22107</v>
      </c>
      <c r="P10681">
        <v>40100</v>
      </c>
      <c r="Q10681" t="str">
        <f>"39.742986"</f>
        <v>39.742986</v>
      </c>
      <c r="R10681" t="str">
        <f>"22.087301"</f>
        <v>22.087301</v>
      </c>
      <c r="S10681" t="s">
        <v>26</v>
      </c>
    </row>
    <row r="10682" spans="1:19" x14ac:dyDescent="0.3">
      <c r="A10682" t="s">
        <v>20660</v>
      </c>
      <c r="B10682" t="s">
        <v>22062</v>
      </c>
      <c r="C10682" t="s">
        <v>22125</v>
      </c>
      <c r="D10682" t="s">
        <v>20667</v>
      </c>
      <c r="E10682" t="s">
        <v>20899</v>
      </c>
      <c r="F10682" t="s">
        <v>20900</v>
      </c>
      <c r="G10682" t="s">
        <v>20900</v>
      </c>
      <c r="H10682" t="s">
        <v>859</v>
      </c>
      <c r="I10682" t="s">
        <v>860</v>
      </c>
      <c r="J10682" t="str">
        <f>"9310140"</f>
        <v>9310140</v>
      </c>
      <c r="K10682">
        <v>2410971696</v>
      </c>
      <c r="M10682" t="s">
        <v>22126</v>
      </c>
      <c r="N10682" t="s">
        <v>20903</v>
      </c>
      <c r="O10682" t="s">
        <v>20903</v>
      </c>
      <c r="P10682">
        <v>40009</v>
      </c>
      <c r="Q10682" t="str">
        <f>"39.622206"</f>
        <v>39.622206</v>
      </c>
      <c r="R10682" t="str">
        <f>"22.533071"</f>
        <v>22.533071</v>
      </c>
      <c r="S10682" t="s">
        <v>26</v>
      </c>
    </row>
    <row r="10683" spans="1:19" x14ac:dyDescent="0.3">
      <c r="A10683" t="s">
        <v>20660</v>
      </c>
      <c r="B10683" t="s">
        <v>22062</v>
      </c>
      <c r="C10683" t="s">
        <v>22128</v>
      </c>
      <c r="D10683" t="s">
        <v>20667</v>
      </c>
      <c r="E10683" t="s">
        <v>4424</v>
      </c>
      <c r="F10683" t="s">
        <v>22127</v>
      </c>
      <c r="G10683" t="s">
        <v>22127</v>
      </c>
      <c r="H10683" t="s">
        <v>859</v>
      </c>
      <c r="I10683" t="s">
        <v>860</v>
      </c>
      <c r="J10683" t="str">
        <f>"9310089"</f>
        <v>9310089</v>
      </c>
      <c r="K10683">
        <v>2494031289</v>
      </c>
      <c r="L10683">
        <v>2494031289</v>
      </c>
      <c r="M10683" t="s">
        <v>22129</v>
      </c>
      <c r="N10683" t="s">
        <v>2291</v>
      </c>
      <c r="O10683" t="s">
        <v>2291</v>
      </c>
      <c r="P10683">
        <v>40003</v>
      </c>
      <c r="Q10683" t="str">
        <f>"39.749186"</f>
        <v>39.749186</v>
      </c>
      <c r="R10683" t="str">
        <f>"22.795712"</f>
        <v>22.795712</v>
      </c>
      <c r="S10683" t="s">
        <v>26</v>
      </c>
    </row>
    <row r="10684" spans="1:19" x14ac:dyDescent="0.3">
      <c r="A10684" t="s">
        <v>20660</v>
      </c>
      <c r="B10684" t="s">
        <v>22062</v>
      </c>
      <c r="C10684" t="s">
        <v>22130</v>
      </c>
      <c r="D10684" t="s">
        <v>20667</v>
      </c>
      <c r="E10684" t="s">
        <v>20668</v>
      </c>
      <c r="F10684" t="s">
        <v>20668</v>
      </c>
      <c r="G10684" t="s">
        <v>21173</v>
      </c>
      <c r="H10684" t="s">
        <v>859</v>
      </c>
      <c r="I10684" t="s">
        <v>860</v>
      </c>
      <c r="J10684" t="str">
        <f>"9310355"</f>
        <v>9310355</v>
      </c>
      <c r="K10684">
        <v>2410851377</v>
      </c>
      <c r="L10684">
        <v>2410851377</v>
      </c>
      <c r="M10684" t="s">
        <v>22131</v>
      </c>
      <c r="N10684" t="s">
        <v>21174</v>
      </c>
      <c r="O10684" t="s">
        <v>22132</v>
      </c>
      <c r="P10684">
        <v>41500</v>
      </c>
      <c r="Q10684" t="str">
        <f>"39.618678"</f>
        <v>39.618678</v>
      </c>
      <c r="R10684" t="str">
        <f>"22.351506"</f>
        <v>22.351506</v>
      </c>
      <c r="S10684" t="s">
        <v>26</v>
      </c>
    </row>
    <row r="10685" spans="1:19" x14ac:dyDescent="0.3">
      <c r="A10685" t="s">
        <v>20660</v>
      </c>
      <c r="B10685" t="s">
        <v>22062</v>
      </c>
      <c r="C10685" t="s">
        <v>22133</v>
      </c>
      <c r="D10685" t="s">
        <v>20667</v>
      </c>
      <c r="E10685" t="s">
        <v>20859</v>
      </c>
      <c r="F10685" t="s">
        <v>21033</v>
      </c>
      <c r="G10685" t="s">
        <v>21034</v>
      </c>
      <c r="H10685" t="s">
        <v>859</v>
      </c>
      <c r="I10685" t="s">
        <v>860</v>
      </c>
      <c r="J10685" t="str">
        <f>"9310005"</f>
        <v>9310005</v>
      </c>
      <c r="K10685">
        <v>2492081207</v>
      </c>
      <c r="L10685">
        <v>2492081207</v>
      </c>
      <c r="M10685" t="s">
        <v>22134</v>
      </c>
      <c r="N10685" t="s">
        <v>22135</v>
      </c>
      <c r="O10685" t="s">
        <v>22135</v>
      </c>
      <c r="P10685">
        <v>40005</v>
      </c>
      <c r="Q10685" t="str">
        <f>"39.782720"</f>
        <v>39.782720</v>
      </c>
      <c r="R10685" t="str">
        <f>"21.976563"</f>
        <v>21.976563</v>
      </c>
      <c r="S10685" t="s">
        <v>26</v>
      </c>
    </row>
    <row r="10686" spans="1:19" x14ac:dyDescent="0.3">
      <c r="A10686" t="s">
        <v>20660</v>
      </c>
      <c r="B10686" t="s">
        <v>22062</v>
      </c>
      <c r="C10686" t="s">
        <v>22144</v>
      </c>
      <c r="D10686" t="s">
        <v>20667</v>
      </c>
      <c r="E10686" t="s">
        <v>20668</v>
      </c>
      <c r="F10686" t="s">
        <v>20668</v>
      </c>
      <c r="G10686" t="s">
        <v>20841</v>
      </c>
      <c r="H10686" t="s">
        <v>859</v>
      </c>
      <c r="I10686" t="s">
        <v>860</v>
      </c>
      <c r="J10686" t="str">
        <f>"9310485"</f>
        <v>9310485</v>
      </c>
      <c r="K10686">
        <v>2410237747</v>
      </c>
      <c r="L10686">
        <v>2410237747</v>
      </c>
      <c r="M10686" t="s">
        <v>22145</v>
      </c>
      <c r="N10686" t="s">
        <v>20672</v>
      </c>
      <c r="O10686" t="s">
        <v>22146</v>
      </c>
      <c r="P10686">
        <v>41223</v>
      </c>
      <c r="Q10686" t="str">
        <f>"39.632129"</f>
        <v>39.632129</v>
      </c>
      <c r="R10686" t="str">
        <f>"22.421313"</f>
        <v>22.421313</v>
      </c>
      <c r="S10686" t="s">
        <v>26</v>
      </c>
    </row>
    <row r="10687" spans="1:19" x14ac:dyDescent="0.3">
      <c r="A10687" t="s">
        <v>20660</v>
      </c>
      <c r="B10687" t="s">
        <v>22062</v>
      </c>
      <c r="C10687" t="s">
        <v>22148</v>
      </c>
      <c r="D10687" t="s">
        <v>20667</v>
      </c>
      <c r="E10687" t="s">
        <v>20899</v>
      </c>
      <c r="F10687" t="s">
        <v>20900</v>
      </c>
      <c r="G10687" t="s">
        <v>22147</v>
      </c>
      <c r="H10687" t="s">
        <v>859</v>
      </c>
      <c r="I10687" t="s">
        <v>860</v>
      </c>
      <c r="J10687" t="str">
        <f>"9310324"</f>
        <v>9310324</v>
      </c>
      <c r="K10687">
        <v>2410961415</v>
      </c>
      <c r="L10687">
        <v>2410961415</v>
      </c>
      <c r="M10687" t="s">
        <v>22149</v>
      </c>
      <c r="N10687" t="s">
        <v>22150</v>
      </c>
      <c r="O10687" t="s">
        <v>22150</v>
      </c>
      <c r="P10687">
        <v>41500</v>
      </c>
      <c r="Q10687" t="str">
        <f>"39.567530"</f>
        <v>39.567530</v>
      </c>
      <c r="R10687" t="str">
        <f>"22.539659"</f>
        <v>22.539659</v>
      </c>
      <c r="S10687" t="s">
        <v>26</v>
      </c>
    </row>
    <row r="10688" spans="1:19" x14ac:dyDescent="0.3">
      <c r="A10688" t="s">
        <v>20660</v>
      </c>
      <c r="B10688" t="s">
        <v>22062</v>
      </c>
      <c r="C10688" t="s">
        <v>22152</v>
      </c>
      <c r="D10688" t="s">
        <v>20667</v>
      </c>
      <c r="E10688" t="s">
        <v>20859</v>
      </c>
      <c r="F10688" t="s">
        <v>12358</v>
      </c>
      <c r="G10688" t="s">
        <v>22151</v>
      </c>
      <c r="H10688" t="s">
        <v>859</v>
      </c>
      <c r="I10688" t="s">
        <v>860</v>
      </c>
      <c r="J10688" t="str">
        <f>"9310377"</f>
        <v>9310377</v>
      </c>
      <c r="K10688">
        <v>2493092280</v>
      </c>
      <c r="L10688">
        <v>2493092280</v>
      </c>
      <c r="M10688" t="s">
        <v>22153</v>
      </c>
      <c r="N10688" t="s">
        <v>22154</v>
      </c>
      <c r="O10688" t="s">
        <v>22154</v>
      </c>
      <c r="P10688">
        <v>40200</v>
      </c>
      <c r="Q10688" t="str">
        <f>"40.064380"</f>
        <v>40.064380</v>
      </c>
      <c r="R10688" t="str">
        <f>"22.166741"</f>
        <v>22.166741</v>
      </c>
      <c r="S10688" t="s">
        <v>26</v>
      </c>
    </row>
    <row r="10689" spans="1:19" x14ac:dyDescent="0.3">
      <c r="A10689" t="s">
        <v>20660</v>
      </c>
      <c r="B10689" t="s">
        <v>22062</v>
      </c>
      <c r="C10689" t="s">
        <v>22155</v>
      </c>
      <c r="D10689" t="s">
        <v>20667</v>
      </c>
      <c r="E10689" t="s">
        <v>20668</v>
      </c>
      <c r="F10689" t="s">
        <v>20668</v>
      </c>
      <c r="G10689" t="s">
        <v>20881</v>
      </c>
      <c r="H10689" t="s">
        <v>859</v>
      </c>
      <c r="I10689" t="s">
        <v>860</v>
      </c>
      <c r="J10689" t="str">
        <f>"9310343"</f>
        <v>9310343</v>
      </c>
      <c r="K10689">
        <v>2410615112</v>
      </c>
      <c r="L10689">
        <v>2410615112</v>
      </c>
      <c r="M10689" t="s">
        <v>22156</v>
      </c>
      <c r="N10689" t="s">
        <v>20672</v>
      </c>
      <c r="O10689" t="s">
        <v>22157</v>
      </c>
      <c r="P10689">
        <v>41335</v>
      </c>
      <c r="Q10689" t="str">
        <f>"39.615178"</f>
        <v>39.615178</v>
      </c>
      <c r="R10689" t="str">
        <f>"22.425971"</f>
        <v>22.425971</v>
      </c>
      <c r="S10689" t="s">
        <v>26</v>
      </c>
    </row>
    <row r="10690" spans="1:19" x14ac:dyDescent="0.3">
      <c r="A10690" t="s">
        <v>20660</v>
      </c>
      <c r="B10690" t="s">
        <v>22062</v>
      </c>
      <c r="C10690" t="s">
        <v>22164</v>
      </c>
      <c r="D10690" t="s">
        <v>20667</v>
      </c>
      <c r="E10690" t="s">
        <v>20859</v>
      </c>
      <c r="F10690" t="s">
        <v>1782</v>
      </c>
      <c r="G10690" t="s">
        <v>20998</v>
      </c>
      <c r="H10690" t="s">
        <v>859</v>
      </c>
      <c r="I10690" t="s">
        <v>860</v>
      </c>
      <c r="J10690" t="str">
        <f>"9310013"</f>
        <v>9310013</v>
      </c>
      <c r="K10690">
        <v>2493086210</v>
      </c>
      <c r="L10690">
        <v>2493086210</v>
      </c>
      <c r="M10690" t="s">
        <v>22165</v>
      </c>
      <c r="N10690" t="s">
        <v>21002</v>
      </c>
      <c r="O10690" t="s">
        <v>21002</v>
      </c>
      <c r="P10690">
        <v>40200</v>
      </c>
      <c r="Q10690" t="str">
        <f>"39.791129"</f>
        <v>39.791129</v>
      </c>
      <c r="R10690" t="str">
        <f>"22.118699"</f>
        <v>22.118699</v>
      </c>
      <c r="S10690" t="s">
        <v>26</v>
      </c>
    </row>
    <row r="10691" spans="1:19" x14ac:dyDescent="0.3">
      <c r="A10691" t="s">
        <v>20660</v>
      </c>
      <c r="B10691" t="s">
        <v>22062</v>
      </c>
      <c r="C10691" t="s">
        <v>22176</v>
      </c>
      <c r="D10691" t="s">
        <v>20667</v>
      </c>
      <c r="E10691" t="s">
        <v>20899</v>
      </c>
      <c r="F10691" t="s">
        <v>21077</v>
      </c>
      <c r="G10691" t="s">
        <v>22175</v>
      </c>
      <c r="H10691" t="s">
        <v>859</v>
      </c>
      <c r="I10691" t="s">
        <v>860</v>
      </c>
      <c r="J10691" t="str">
        <f>"9310125"</f>
        <v>9310125</v>
      </c>
      <c r="K10691">
        <v>2410711241</v>
      </c>
      <c r="M10691" t="s">
        <v>22177</v>
      </c>
      <c r="N10691" t="s">
        <v>22178</v>
      </c>
      <c r="O10691" t="s">
        <v>22178</v>
      </c>
      <c r="P10691">
        <v>41500</v>
      </c>
      <c r="Q10691" t="str">
        <f>"39.440217"</f>
        <v>39.440217</v>
      </c>
      <c r="R10691" t="str">
        <f>"22.676918"</f>
        <v>22.676918</v>
      </c>
      <c r="S10691" t="s">
        <v>26</v>
      </c>
    </row>
    <row r="10692" spans="1:19" x14ac:dyDescent="0.3">
      <c r="A10692" t="s">
        <v>20660</v>
      </c>
      <c r="B10692" t="s">
        <v>22062</v>
      </c>
      <c r="C10692" t="s">
        <v>22179</v>
      </c>
      <c r="D10692" t="s">
        <v>20667</v>
      </c>
      <c r="E10692" t="s">
        <v>20859</v>
      </c>
      <c r="F10692" t="s">
        <v>20859</v>
      </c>
      <c r="G10692" t="s">
        <v>15683</v>
      </c>
      <c r="H10692" t="s">
        <v>859</v>
      </c>
      <c r="I10692" t="s">
        <v>860</v>
      </c>
      <c r="J10692" t="str">
        <f>"9310015"</f>
        <v>9310015</v>
      </c>
      <c r="K10692">
        <v>2493096202</v>
      </c>
      <c r="L10692">
        <v>2493096202</v>
      </c>
      <c r="M10692" t="s">
        <v>22180</v>
      </c>
      <c r="N10692" t="s">
        <v>15686</v>
      </c>
      <c r="O10692" t="s">
        <v>22181</v>
      </c>
      <c r="P10692">
        <v>40200</v>
      </c>
      <c r="Q10692" t="str">
        <f>"39.914032"</f>
        <v>39.914032</v>
      </c>
      <c r="R10692" t="str">
        <f>"22.147184"</f>
        <v>22.147184</v>
      </c>
      <c r="S10692" t="s">
        <v>26</v>
      </c>
    </row>
    <row r="10693" spans="1:19" x14ac:dyDescent="0.3">
      <c r="A10693" t="s">
        <v>20660</v>
      </c>
      <c r="B10693" t="s">
        <v>22062</v>
      </c>
      <c r="C10693" t="s">
        <v>22184</v>
      </c>
      <c r="D10693" t="s">
        <v>20667</v>
      </c>
      <c r="E10693" t="s">
        <v>20668</v>
      </c>
      <c r="F10693" t="s">
        <v>20668</v>
      </c>
      <c r="G10693" t="s">
        <v>20881</v>
      </c>
      <c r="H10693" t="s">
        <v>859</v>
      </c>
      <c r="I10693" t="s">
        <v>860</v>
      </c>
      <c r="J10693" t="str">
        <f>"9310477"</f>
        <v>9310477</v>
      </c>
      <c r="K10693">
        <v>2410619190</v>
      </c>
      <c r="L10693">
        <v>2410619190</v>
      </c>
      <c r="M10693" t="s">
        <v>22185</v>
      </c>
      <c r="N10693" t="s">
        <v>20672</v>
      </c>
      <c r="O10693" t="s">
        <v>22081</v>
      </c>
      <c r="P10693">
        <v>41335</v>
      </c>
      <c r="Q10693" t="str">
        <f>"39.624781"</f>
        <v>39.624781</v>
      </c>
      <c r="R10693" t="str">
        <f>"22.417765"</f>
        <v>22.417765</v>
      </c>
      <c r="S10693" t="s">
        <v>26</v>
      </c>
    </row>
    <row r="10694" spans="1:19" x14ac:dyDescent="0.3">
      <c r="A10694" t="s">
        <v>20660</v>
      </c>
      <c r="B10694" t="s">
        <v>22062</v>
      </c>
      <c r="C10694" t="s">
        <v>22186</v>
      </c>
      <c r="D10694" t="s">
        <v>20667</v>
      </c>
      <c r="E10694" t="s">
        <v>20668</v>
      </c>
      <c r="F10694" t="s">
        <v>20668</v>
      </c>
      <c r="G10694" t="s">
        <v>20942</v>
      </c>
      <c r="H10694" t="s">
        <v>859</v>
      </c>
      <c r="I10694" t="s">
        <v>860</v>
      </c>
      <c r="J10694" t="str">
        <f>"9310444"</f>
        <v>9310444</v>
      </c>
      <c r="K10694">
        <v>2410239934</v>
      </c>
      <c r="M10694" t="s">
        <v>22187</v>
      </c>
      <c r="N10694" t="s">
        <v>20672</v>
      </c>
      <c r="O10694" t="s">
        <v>22188</v>
      </c>
      <c r="P10694">
        <v>41223</v>
      </c>
      <c r="Q10694" t="str">
        <f>"39.632129"</f>
        <v>39.632129</v>
      </c>
      <c r="R10694" t="str">
        <f>"22.421313"</f>
        <v>22.421313</v>
      </c>
      <c r="S10694" t="s">
        <v>26</v>
      </c>
    </row>
    <row r="10695" spans="1:19" x14ac:dyDescent="0.3">
      <c r="A10695" t="s">
        <v>20660</v>
      </c>
      <c r="B10695" t="s">
        <v>22062</v>
      </c>
      <c r="C10695" t="s">
        <v>22191</v>
      </c>
      <c r="D10695" t="s">
        <v>20667</v>
      </c>
      <c r="E10695" t="s">
        <v>20668</v>
      </c>
      <c r="F10695" t="s">
        <v>20668</v>
      </c>
      <c r="G10695" t="s">
        <v>20881</v>
      </c>
      <c r="H10695" t="s">
        <v>859</v>
      </c>
      <c r="I10695" t="s">
        <v>860</v>
      </c>
      <c r="J10695" t="str">
        <f>"9310372"</f>
        <v>9310372</v>
      </c>
      <c r="K10695">
        <v>2410660165</v>
      </c>
      <c r="L10695">
        <v>2410660165</v>
      </c>
      <c r="M10695" t="s">
        <v>22192</v>
      </c>
      <c r="N10695" t="s">
        <v>20672</v>
      </c>
      <c r="O10695" t="s">
        <v>22193</v>
      </c>
      <c r="P10695">
        <v>41335</v>
      </c>
      <c r="Q10695" t="str">
        <f>"39.609086"</f>
        <v>39.609086</v>
      </c>
      <c r="R10695" t="str">
        <f>"22.430622"</f>
        <v>22.430622</v>
      </c>
      <c r="S10695" t="s">
        <v>26</v>
      </c>
    </row>
    <row r="10696" spans="1:19" x14ac:dyDescent="0.3">
      <c r="A10696" t="s">
        <v>20660</v>
      </c>
      <c r="B10696" t="s">
        <v>22062</v>
      </c>
      <c r="C10696" t="s">
        <v>22198</v>
      </c>
      <c r="D10696" t="s">
        <v>20667</v>
      </c>
      <c r="E10696" t="s">
        <v>20668</v>
      </c>
      <c r="F10696" t="s">
        <v>20668</v>
      </c>
      <c r="G10696" t="s">
        <v>20881</v>
      </c>
      <c r="H10696" t="s">
        <v>859</v>
      </c>
      <c r="I10696" t="s">
        <v>860</v>
      </c>
      <c r="J10696" t="str">
        <f>"9310463"</f>
        <v>9310463</v>
      </c>
      <c r="K10696">
        <v>2410620726</v>
      </c>
      <c r="L10696">
        <v>2410620726</v>
      </c>
      <c r="M10696" t="s">
        <v>22199</v>
      </c>
      <c r="N10696" t="s">
        <v>20672</v>
      </c>
      <c r="O10696" t="s">
        <v>22200</v>
      </c>
      <c r="P10696">
        <v>41335</v>
      </c>
      <c r="Q10696" t="str">
        <f>"39.627240"</f>
        <v>39.627240</v>
      </c>
      <c r="R10696" t="str">
        <f>"22.415063"</f>
        <v>22.415063</v>
      </c>
      <c r="S10696" t="s">
        <v>26</v>
      </c>
    </row>
    <row r="10697" spans="1:19" x14ac:dyDescent="0.3">
      <c r="A10697" t="s">
        <v>20660</v>
      </c>
      <c r="B10697" t="s">
        <v>22062</v>
      </c>
      <c r="C10697" t="s">
        <v>22206</v>
      </c>
      <c r="D10697" t="s">
        <v>20667</v>
      </c>
      <c r="E10697" t="s">
        <v>20668</v>
      </c>
      <c r="F10697" t="s">
        <v>20668</v>
      </c>
      <c r="G10697" t="s">
        <v>20881</v>
      </c>
      <c r="H10697" t="s">
        <v>859</v>
      </c>
      <c r="I10697" t="s">
        <v>860</v>
      </c>
      <c r="J10697" t="str">
        <f>"9310480"</f>
        <v>9310480</v>
      </c>
      <c r="K10697">
        <v>2410615112</v>
      </c>
      <c r="L10697">
        <v>2410615112</v>
      </c>
      <c r="M10697" t="s">
        <v>22207</v>
      </c>
      <c r="N10697" t="s">
        <v>20672</v>
      </c>
      <c r="O10697" t="s">
        <v>22208</v>
      </c>
      <c r="P10697">
        <v>41335</v>
      </c>
      <c r="Q10697" t="str">
        <f>"39.615661"</f>
        <v>39.615661</v>
      </c>
      <c r="R10697" t="str">
        <f>"22.426080"</f>
        <v>22.426080</v>
      </c>
      <c r="S10697" t="s">
        <v>26</v>
      </c>
    </row>
    <row r="10698" spans="1:19" x14ac:dyDescent="0.3">
      <c r="A10698" t="s">
        <v>20660</v>
      </c>
      <c r="B10698" t="s">
        <v>22062</v>
      </c>
      <c r="C10698" t="s">
        <v>22213</v>
      </c>
      <c r="D10698" t="s">
        <v>20667</v>
      </c>
      <c r="E10698" t="s">
        <v>20668</v>
      </c>
      <c r="F10698" t="s">
        <v>20668</v>
      </c>
      <c r="G10698" t="s">
        <v>20669</v>
      </c>
      <c r="H10698" t="s">
        <v>859</v>
      </c>
      <c r="I10698" t="s">
        <v>860</v>
      </c>
      <c r="J10698" t="str">
        <f>"9310409"</f>
        <v>9310409</v>
      </c>
      <c r="K10698">
        <v>2410610559</v>
      </c>
      <c r="L10698">
        <v>2410610559</v>
      </c>
      <c r="M10698" t="s">
        <v>22214</v>
      </c>
      <c r="N10698" t="s">
        <v>20672</v>
      </c>
      <c r="O10698" t="s">
        <v>22215</v>
      </c>
      <c r="P10698">
        <v>41334</v>
      </c>
      <c r="Q10698" t="str">
        <f>"39.631087"</f>
        <v>39.631087</v>
      </c>
      <c r="R10698" t="str">
        <f>"22.387513"</f>
        <v>22.387513</v>
      </c>
      <c r="S10698" t="s">
        <v>26</v>
      </c>
    </row>
    <row r="10699" spans="1:19" x14ac:dyDescent="0.3">
      <c r="A10699" t="s">
        <v>20660</v>
      </c>
      <c r="B10699" t="s">
        <v>22062</v>
      </c>
      <c r="C10699" t="s">
        <v>22220</v>
      </c>
      <c r="D10699" t="s">
        <v>20667</v>
      </c>
      <c r="E10699" t="s">
        <v>20668</v>
      </c>
      <c r="F10699" t="s">
        <v>20668</v>
      </c>
      <c r="G10699" t="s">
        <v>20881</v>
      </c>
      <c r="H10699" t="s">
        <v>859</v>
      </c>
      <c r="I10699" t="s">
        <v>860</v>
      </c>
      <c r="J10699" t="str">
        <f>"9310462"</f>
        <v>9310462</v>
      </c>
      <c r="K10699">
        <v>2410280803</v>
      </c>
      <c r="M10699" t="s">
        <v>22221</v>
      </c>
      <c r="N10699" t="s">
        <v>20672</v>
      </c>
      <c r="O10699" t="s">
        <v>22222</v>
      </c>
      <c r="P10699">
        <v>41335</v>
      </c>
      <c r="Q10699" t="str">
        <f>"39.628887"</f>
        <v>39.628887</v>
      </c>
      <c r="R10699" t="str">
        <f>"22.439674"</f>
        <v>22.439674</v>
      </c>
      <c r="S10699" t="s">
        <v>26</v>
      </c>
    </row>
    <row r="10700" spans="1:19" x14ac:dyDescent="0.3">
      <c r="A10700" t="s">
        <v>20660</v>
      </c>
      <c r="B10700" t="s">
        <v>22062</v>
      </c>
      <c r="C10700" t="s">
        <v>22223</v>
      </c>
      <c r="D10700" t="s">
        <v>20667</v>
      </c>
      <c r="E10700" t="s">
        <v>20668</v>
      </c>
      <c r="F10700" t="s">
        <v>20668</v>
      </c>
      <c r="G10700" t="s">
        <v>20881</v>
      </c>
      <c r="H10700" t="s">
        <v>859</v>
      </c>
      <c r="I10700" t="s">
        <v>860</v>
      </c>
      <c r="J10700" t="str">
        <f>"9310512"</f>
        <v>9310512</v>
      </c>
      <c r="K10700">
        <v>2410626704</v>
      </c>
      <c r="L10700">
        <v>2410626704</v>
      </c>
      <c r="M10700" t="s">
        <v>22224</v>
      </c>
      <c r="N10700" t="s">
        <v>20672</v>
      </c>
      <c r="O10700" t="s">
        <v>22205</v>
      </c>
      <c r="P10700">
        <v>41335</v>
      </c>
      <c r="Q10700" t="str">
        <f>"39.618158"</f>
        <v>39.618158</v>
      </c>
      <c r="R10700" t="str">
        <f>"22.417730"</f>
        <v>22.417730</v>
      </c>
      <c r="S10700" t="s">
        <v>26</v>
      </c>
    </row>
    <row r="10701" spans="1:19" x14ac:dyDescent="0.3">
      <c r="A10701" t="s">
        <v>20660</v>
      </c>
      <c r="B10701" t="s">
        <v>22062</v>
      </c>
      <c r="C10701" t="s">
        <v>22225</v>
      </c>
      <c r="D10701" t="s">
        <v>20667</v>
      </c>
      <c r="E10701" t="s">
        <v>20668</v>
      </c>
      <c r="F10701" t="s">
        <v>20668</v>
      </c>
      <c r="G10701" t="s">
        <v>20669</v>
      </c>
      <c r="H10701" t="s">
        <v>859</v>
      </c>
      <c r="I10701" t="s">
        <v>860</v>
      </c>
      <c r="J10701" t="str">
        <f>"9310454"</f>
        <v>9310454</v>
      </c>
      <c r="K10701">
        <v>2410617788</v>
      </c>
      <c r="L10701">
        <v>2410617788</v>
      </c>
      <c r="M10701" t="s">
        <v>22226</v>
      </c>
      <c r="N10701" t="s">
        <v>20672</v>
      </c>
      <c r="O10701" t="s">
        <v>22227</v>
      </c>
      <c r="P10701">
        <v>41222</v>
      </c>
      <c r="Q10701" t="str">
        <f>"39.633439"</f>
        <v>39.633439</v>
      </c>
      <c r="R10701" t="str">
        <f>"22.399633"</f>
        <v>22.399633</v>
      </c>
      <c r="S10701" t="s">
        <v>26</v>
      </c>
    </row>
    <row r="10702" spans="1:19" x14ac:dyDescent="0.3">
      <c r="A10702" t="s">
        <v>20660</v>
      </c>
      <c r="B10702" t="s">
        <v>22062</v>
      </c>
      <c r="C10702" t="s">
        <v>22228</v>
      </c>
      <c r="D10702" t="s">
        <v>20667</v>
      </c>
      <c r="E10702" t="s">
        <v>20859</v>
      </c>
      <c r="F10702" t="s">
        <v>12358</v>
      </c>
      <c r="G10702" t="s">
        <v>12358</v>
      </c>
      <c r="H10702" t="s">
        <v>859</v>
      </c>
      <c r="I10702" t="s">
        <v>860</v>
      </c>
      <c r="J10702" t="str">
        <f>"9310041"</f>
        <v>9310041</v>
      </c>
      <c r="K10702">
        <v>2493041008</v>
      </c>
      <c r="M10702" t="s">
        <v>22229</v>
      </c>
      <c r="N10702" t="s">
        <v>22230</v>
      </c>
      <c r="O10702" t="s">
        <v>22230</v>
      </c>
      <c r="P10702">
        <v>40002</v>
      </c>
      <c r="Q10702" t="str">
        <f>"40.126976"</f>
        <v>40.126976</v>
      </c>
      <c r="R10702" t="str">
        <f>"22.157774"</f>
        <v>22.157774</v>
      </c>
      <c r="S10702" t="s">
        <v>26</v>
      </c>
    </row>
    <row r="10703" spans="1:19" x14ac:dyDescent="0.3">
      <c r="A10703" t="s">
        <v>20660</v>
      </c>
      <c r="B10703" t="s">
        <v>22062</v>
      </c>
      <c r="C10703" t="s">
        <v>22231</v>
      </c>
      <c r="D10703" t="s">
        <v>20667</v>
      </c>
      <c r="E10703" t="s">
        <v>20668</v>
      </c>
      <c r="F10703" t="s">
        <v>20668</v>
      </c>
      <c r="G10703" t="s">
        <v>20669</v>
      </c>
      <c r="H10703" t="s">
        <v>859</v>
      </c>
      <c r="I10703" t="s">
        <v>860</v>
      </c>
      <c r="J10703" t="str">
        <f>"9310517"</f>
        <v>9310517</v>
      </c>
      <c r="K10703">
        <v>2410684342</v>
      </c>
      <c r="L10703">
        <v>2410684342</v>
      </c>
      <c r="M10703" t="s">
        <v>22232</v>
      </c>
      <c r="N10703" t="s">
        <v>20672</v>
      </c>
      <c r="O10703" t="s">
        <v>22233</v>
      </c>
      <c r="P10703">
        <v>41500</v>
      </c>
      <c r="Q10703" t="str">
        <f>"39.626583"</f>
        <v>39.626583</v>
      </c>
      <c r="R10703" t="str">
        <f>"22.377028"</f>
        <v>22.377028</v>
      </c>
      <c r="S10703" t="s">
        <v>26</v>
      </c>
    </row>
    <row r="10704" spans="1:19" x14ac:dyDescent="0.3">
      <c r="A10704" t="s">
        <v>20660</v>
      </c>
      <c r="B10704" t="s">
        <v>22062</v>
      </c>
      <c r="C10704" t="s">
        <v>22234</v>
      </c>
      <c r="D10704" t="s">
        <v>20667</v>
      </c>
      <c r="E10704" t="s">
        <v>20859</v>
      </c>
      <c r="F10704" t="s">
        <v>20860</v>
      </c>
      <c r="G10704" t="s">
        <v>1460</v>
      </c>
      <c r="H10704" t="s">
        <v>859</v>
      </c>
      <c r="I10704" t="s">
        <v>860</v>
      </c>
      <c r="J10704" t="str">
        <f>"9310046"</f>
        <v>9310046</v>
      </c>
      <c r="K10704">
        <v>2493051423</v>
      </c>
      <c r="L10704">
        <v>2493052264</v>
      </c>
      <c r="M10704" t="s">
        <v>22235</v>
      </c>
      <c r="N10704" t="s">
        <v>15148</v>
      </c>
      <c r="O10704" t="s">
        <v>22236</v>
      </c>
      <c r="P10704">
        <v>40001</v>
      </c>
      <c r="Q10704" t="str">
        <f>"39.966891"</f>
        <v>39.966891</v>
      </c>
      <c r="R10704" t="str">
        <f>"21.929999"</f>
        <v>21.929999</v>
      </c>
      <c r="S10704" t="s">
        <v>26</v>
      </c>
    </row>
    <row r="10705" spans="1:19" x14ac:dyDescent="0.3">
      <c r="A10705" t="s">
        <v>20660</v>
      </c>
      <c r="B10705" t="s">
        <v>22062</v>
      </c>
      <c r="C10705" t="s">
        <v>22237</v>
      </c>
      <c r="D10705" t="s">
        <v>20667</v>
      </c>
      <c r="E10705" t="s">
        <v>20668</v>
      </c>
      <c r="F10705" t="s">
        <v>20668</v>
      </c>
      <c r="G10705" t="s">
        <v>20841</v>
      </c>
      <c r="H10705" t="s">
        <v>859</v>
      </c>
      <c r="I10705" t="s">
        <v>860</v>
      </c>
      <c r="J10705" t="str">
        <f>"9310439"</f>
        <v>9310439</v>
      </c>
      <c r="K10705">
        <v>2411103228</v>
      </c>
      <c r="L10705">
        <v>2410534889</v>
      </c>
      <c r="M10705" t="s">
        <v>22238</v>
      </c>
      <c r="N10705" t="s">
        <v>20672</v>
      </c>
      <c r="O10705" t="s">
        <v>22239</v>
      </c>
      <c r="P10705">
        <v>41222</v>
      </c>
      <c r="Q10705" t="str">
        <f>"39.635655"</f>
        <v>39.635655</v>
      </c>
      <c r="R10705" t="str">
        <f>"22.412768"</f>
        <v>22.412768</v>
      </c>
      <c r="S10705" t="s">
        <v>26</v>
      </c>
    </row>
    <row r="10706" spans="1:19" x14ac:dyDescent="0.3">
      <c r="A10706" t="s">
        <v>20660</v>
      </c>
      <c r="B10706" t="s">
        <v>22062</v>
      </c>
      <c r="C10706" t="s">
        <v>22243</v>
      </c>
      <c r="D10706" t="s">
        <v>20667</v>
      </c>
      <c r="E10706" t="s">
        <v>20899</v>
      </c>
      <c r="F10706" t="s">
        <v>5431</v>
      </c>
      <c r="G10706" t="s">
        <v>22242</v>
      </c>
      <c r="H10706" t="s">
        <v>859</v>
      </c>
      <c r="I10706" t="s">
        <v>860</v>
      </c>
      <c r="J10706" t="str">
        <f>"9310393"</f>
        <v>9310393</v>
      </c>
      <c r="K10706">
        <v>2410781397</v>
      </c>
      <c r="L10706">
        <v>2410781397</v>
      </c>
      <c r="M10706" t="s">
        <v>22244</v>
      </c>
      <c r="N10706" t="s">
        <v>22245</v>
      </c>
      <c r="O10706" t="s">
        <v>22245</v>
      </c>
      <c r="P10706">
        <v>41500</v>
      </c>
      <c r="Q10706" t="str">
        <f>"39.464199"</f>
        <v>39.464199</v>
      </c>
      <c r="R10706" t="str">
        <f>"22.447380"</f>
        <v>22.447380</v>
      </c>
      <c r="S10706" t="s">
        <v>26</v>
      </c>
    </row>
    <row r="10707" spans="1:19" x14ac:dyDescent="0.3">
      <c r="A10707" t="s">
        <v>20660</v>
      </c>
      <c r="B10707" t="s">
        <v>22062</v>
      </c>
      <c r="C10707" t="s">
        <v>22255</v>
      </c>
      <c r="D10707" t="s">
        <v>20667</v>
      </c>
      <c r="E10707" t="s">
        <v>20859</v>
      </c>
      <c r="F10707" t="s">
        <v>1782</v>
      </c>
      <c r="G10707" t="s">
        <v>22254</v>
      </c>
      <c r="H10707" t="s">
        <v>859</v>
      </c>
      <c r="I10707" t="s">
        <v>860</v>
      </c>
      <c r="J10707" t="str">
        <f>"9310406"</f>
        <v>9310406</v>
      </c>
      <c r="K10707">
        <v>2492091042</v>
      </c>
      <c r="L10707">
        <v>2492091042</v>
      </c>
      <c r="M10707" t="s">
        <v>22256</v>
      </c>
      <c r="N10707" t="s">
        <v>22257</v>
      </c>
      <c r="O10707" t="s">
        <v>22257</v>
      </c>
      <c r="P10707">
        <v>40100</v>
      </c>
      <c r="Q10707" t="str">
        <f>"39.748291"</f>
        <v>39.748291</v>
      </c>
      <c r="R10707" t="str">
        <f>"22.102970"</f>
        <v>22.102970</v>
      </c>
      <c r="S10707" t="s">
        <v>26</v>
      </c>
    </row>
    <row r="10708" spans="1:19" x14ac:dyDescent="0.3">
      <c r="A10708" t="s">
        <v>20660</v>
      </c>
      <c r="B10708" t="s">
        <v>22062</v>
      </c>
      <c r="C10708" t="s">
        <v>22258</v>
      </c>
      <c r="D10708" t="s">
        <v>20667</v>
      </c>
      <c r="E10708" t="s">
        <v>20668</v>
      </c>
      <c r="F10708" t="s">
        <v>20668</v>
      </c>
      <c r="G10708" t="s">
        <v>20669</v>
      </c>
      <c r="H10708" t="s">
        <v>859</v>
      </c>
      <c r="I10708" t="s">
        <v>860</v>
      </c>
      <c r="J10708" t="str">
        <f>"9310445"</f>
        <v>9310445</v>
      </c>
      <c r="K10708">
        <v>2410623182</v>
      </c>
      <c r="L10708">
        <v>2410623182</v>
      </c>
      <c r="M10708" t="s">
        <v>22259</v>
      </c>
      <c r="N10708" t="s">
        <v>20672</v>
      </c>
      <c r="O10708" t="s">
        <v>22260</v>
      </c>
      <c r="P10708">
        <v>41334</v>
      </c>
      <c r="Q10708" t="str">
        <f>"39.626995"</f>
        <v>39.626995</v>
      </c>
      <c r="R10708" t="str">
        <f>"22.396431"</f>
        <v>22.396431</v>
      </c>
      <c r="S10708" t="s">
        <v>26</v>
      </c>
    </row>
    <row r="10709" spans="1:19" x14ac:dyDescent="0.3">
      <c r="A10709" t="s">
        <v>20660</v>
      </c>
      <c r="B10709" t="s">
        <v>22062</v>
      </c>
      <c r="C10709" t="s">
        <v>22261</v>
      </c>
      <c r="D10709" t="s">
        <v>20667</v>
      </c>
      <c r="E10709" t="s">
        <v>20859</v>
      </c>
      <c r="F10709" t="s">
        <v>22168</v>
      </c>
      <c r="G10709" t="s">
        <v>19955</v>
      </c>
      <c r="H10709" t="s">
        <v>859</v>
      </c>
      <c r="I10709" t="s">
        <v>860</v>
      </c>
      <c r="J10709" t="str">
        <f>"9310375"</f>
        <v>9310375</v>
      </c>
      <c r="K10709">
        <v>2493094201</v>
      </c>
      <c r="M10709" t="s">
        <v>22262</v>
      </c>
      <c r="N10709" t="s">
        <v>20235</v>
      </c>
      <c r="O10709" t="s">
        <v>20235</v>
      </c>
      <c r="P10709">
        <v>40200</v>
      </c>
      <c r="Q10709" t="str">
        <f>"40.028121"</f>
        <v>40.028121</v>
      </c>
      <c r="R10709" t="str">
        <f>"22.077971"</f>
        <v>22.077971</v>
      </c>
      <c r="S10709" t="s">
        <v>26</v>
      </c>
    </row>
    <row r="10710" spans="1:19" x14ac:dyDescent="0.3">
      <c r="A10710" t="s">
        <v>20660</v>
      </c>
      <c r="B10710" t="s">
        <v>22062</v>
      </c>
      <c r="C10710" t="s">
        <v>22263</v>
      </c>
      <c r="D10710" t="s">
        <v>20667</v>
      </c>
      <c r="E10710" t="s">
        <v>20859</v>
      </c>
      <c r="F10710" t="s">
        <v>21128</v>
      </c>
      <c r="G10710" t="s">
        <v>18357</v>
      </c>
      <c r="H10710" t="s">
        <v>859</v>
      </c>
      <c r="I10710" t="s">
        <v>860</v>
      </c>
      <c r="J10710" t="str">
        <f>"9310054"</f>
        <v>9310054</v>
      </c>
      <c r="K10710">
        <v>2493061305</v>
      </c>
      <c r="L10710">
        <v>2493061305</v>
      </c>
      <c r="M10710" t="s">
        <v>22264</v>
      </c>
      <c r="N10710" t="s">
        <v>18361</v>
      </c>
      <c r="O10710" t="s">
        <v>18361</v>
      </c>
      <c r="P10710">
        <v>40200</v>
      </c>
      <c r="Q10710" t="str">
        <f>"39.987457"</f>
        <v>39.987457</v>
      </c>
      <c r="R10710" t="str">
        <f>"22.251605"</f>
        <v>22.251605</v>
      </c>
      <c r="S10710" t="s">
        <v>26</v>
      </c>
    </row>
    <row r="10711" spans="1:19" x14ac:dyDescent="0.3">
      <c r="A10711" t="s">
        <v>20660</v>
      </c>
      <c r="B10711" t="s">
        <v>22062</v>
      </c>
      <c r="C10711" t="s">
        <v>22265</v>
      </c>
      <c r="D10711" t="s">
        <v>20667</v>
      </c>
      <c r="E10711" t="s">
        <v>20859</v>
      </c>
      <c r="F10711" t="s">
        <v>22168</v>
      </c>
      <c r="G10711" t="s">
        <v>22168</v>
      </c>
      <c r="H10711" t="s">
        <v>859</v>
      </c>
      <c r="I10711" t="s">
        <v>860</v>
      </c>
      <c r="J10711" t="str">
        <f>"9310058"</f>
        <v>9310058</v>
      </c>
      <c r="K10711">
        <v>2493093263</v>
      </c>
      <c r="L10711">
        <v>2493093263</v>
      </c>
      <c r="M10711" t="s">
        <v>22266</v>
      </c>
      <c r="N10711" t="s">
        <v>22171</v>
      </c>
      <c r="O10711" t="s">
        <v>22171</v>
      </c>
      <c r="P10711">
        <v>40200</v>
      </c>
      <c r="Q10711" t="str">
        <f>"40.067600"</f>
        <v>40.067600</v>
      </c>
      <c r="R10711" t="str">
        <f>"22.051564"</f>
        <v>22.051564</v>
      </c>
      <c r="S10711" t="s">
        <v>26</v>
      </c>
    </row>
    <row r="10712" spans="1:19" x14ac:dyDescent="0.3">
      <c r="A10712" t="s">
        <v>20660</v>
      </c>
      <c r="B10712" t="s">
        <v>22062</v>
      </c>
      <c r="C10712" t="s">
        <v>22268</v>
      </c>
      <c r="D10712" t="s">
        <v>20667</v>
      </c>
      <c r="E10712" t="s">
        <v>20859</v>
      </c>
      <c r="F10712" t="s">
        <v>20859</v>
      </c>
      <c r="G10712" t="s">
        <v>22267</v>
      </c>
      <c r="H10712" t="s">
        <v>859</v>
      </c>
      <c r="I10712" t="s">
        <v>860</v>
      </c>
      <c r="J10712" t="str">
        <f>"9310061"</f>
        <v>9310061</v>
      </c>
      <c r="K10712">
        <v>2493087409</v>
      </c>
      <c r="L10712">
        <v>2493087409</v>
      </c>
      <c r="M10712" t="s">
        <v>22269</v>
      </c>
      <c r="O10712" t="s">
        <v>22270</v>
      </c>
      <c r="P10712">
        <v>40200</v>
      </c>
      <c r="Q10712" t="str">
        <f>"39.845203"</f>
        <v>39.845203</v>
      </c>
      <c r="R10712" t="str">
        <f>"22.178293"</f>
        <v>22.178293</v>
      </c>
      <c r="S10712" t="s">
        <v>26</v>
      </c>
    </row>
    <row r="10713" spans="1:19" x14ac:dyDescent="0.3">
      <c r="A10713" t="s">
        <v>20660</v>
      </c>
      <c r="B10713" t="s">
        <v>22062</v>
      </c>
      <c r="C10713" t="s">
        <v>22274</v>
      </c>
      <c r="D10713" t="s">
        <v>20667</v>
      </c>
      <c r="E10713" t="s">
        <v>20668</v>
      </c>
      <c r="F10713" t="s">
        <v>20668</v>
      </c>
      <c r="G10713" t="s">
        <v>20881</v>
      </c>
      <c r="H10713" t="s">
        <v>859</v>
      </c>
      <c r="I10713" t="s">
        <v>860</v>
      </c>
      <c r="J10713" t="str">
        <f>"9310516"</f>
        <v>9310516</v>
      </c>
      <c r="K10713">
        <v>2410661692</v>
      </c>
      <c r="M10713" t="s">
        <v>22275</v>
      </c>
      <c r="N10713" t="s">
        <v>20672</v>
      </c>
      <c r="O10713" t="s">
        <v>22276</v>
      </c>
      <c r="P10713">
        <v>41335</v>
      </c>
      <c r="Q10713" t="str">
        <f>"39.608731"</f>
        <v>39.608731</v>
      </c>
      <c r="R10713" t="str">
        <f>"22.429551"</f>
        <v>22.429551</v>
      </c>
      <c r="S10713" t="s">
        <v>26</v>
      </c>
    </row>
    <row r="10714" spans="1:19" x14ac:dyDescent="0.3">
      <c r="A10714" t="s">
        <v>20660</v>
      </c>
      <c r="B10714" t="s">
        <v>22062</v>
      </c>
      <c r="C10714" t="s">
        <v>22284</v>
      </c>
      <c r="D10714" t="s">
        <v>20667</v>
      </c>
      <c r="E10714" t="s">
        <v>20899</v>
      </c>
      <c r="F10714" t="s">
        <v>20899</v>
      </c>
      <c r="G10714" t="s">
        <v>22283</v>
      </c>
      <c r="H10714" t="s">
        <v>859</v>
      </c>
      <c r="I10714" t="s">
        <v>860</v>
      </c>
      <c r="J10714" t="str">
        <f>"9310384"</f>
        <v>9310384</v>
      </c>
      <c r="K10714">
        <v>2410731544</v>
      </c>
      <c r="M10714" t="s">
        <v>22285</v>
      </c>
      <c r="N10714" t="s">
        <v>20899</v>
      </c>
      <c r="O10714" t="s">
        <v>20899</v>
      </c>
      <c r="P10714">
        <v>41500</v>
      </c>
      <c r="Q10714" t="str">
        <f>"39.504761"</f>
        <v>39.504761</v>
      </c>
      <c r="R10714" t="str">
        <f>"22.639481"</f>
        <v>22.639481</v>
      </c>
      <c r="S10714" t="s">
        <v>26</v>
      </c>
    </row>
    <row r="10715" spans="1:19" x14ac:dyDescent="0.3">
      <c r="A10715" t="s">
        <v>20660</v>
      </c>
      <c r="B10715" t="s">
        <v>22062</v>
      </c>
      <c r="C10715" t="s">
        <v>22286</v>
      </c>
      <c r="D10715" t="s">
        <v>20667</v>
      </c>
      <c r="E10715" t="s">
        <v>20668</v>
      </c>
      <c r="F10715" t="s">
        <v>21083</v>
      </c>
      <c r="G10715" t="s">
        <v>6116</v>
      </c>
      <c r="H10715" t="s">
        <v>859</v>
      </c>
      <c r="I10715" t="s">
        <v>860</v>
      </c>
      <c r="J10715" t="str">
        <f>"9310183"</f>
        <v>9310183</v>
      </c>
      <c r="K10715">
        <v>2410821455</v>
      </c>
      <c r="L10715">
        <v>2410821455</v>
      </c>
      <c r="M10715" t="s">
        <v>22287</v>
      </c>
      <c r="N10715" t="s">
        <v>6155</v>
      </c>
      <c r="O10715" t="s">
        <v>6155</v>
      </c>
      <c r="P10715">
        <v>41500</v>
      </c>
      <c r="Q10715" t="str">
        <f>"39.615565"</f>
        <v>39.615565</v>
      </c>
      <c r="R10715" t="str">
        <f>"22.259594"</f>
        <v>22.259594</v>
      </c>
      <c r="S10715" t="s">
        <v>26</v>
      </c>
    </row>
    <row r="10716" spans="1:19" x14ac:dyDescent="0.3">
      <c r="A10716" t="s">
        <v>20660</v>
      </c>
      <c r="B10716" t="s">
        <v>22062</v>
      </c>
      <c r="C10716" t="s">
        <v>22288</v>
      </c>
      <c r="D10716" t="s">
        <v>20667</v>
      </c>
      <c r="E10716" t="s">
        <v>20668</v>
      </c>
      <c r="F10716" t="s">
        <v>20668</v>
      </c>
      <c r="G10716" t="s">
        <v>20841</v>
      </c>
      <c r="H10716" t="s">
        <v>859</v>
      </c>
      <c r="I10716" t="s">
        <v>860</v>
      </c>
      <c r="J10716" t="str">
        <f>"9310438"</f>
        <v>9310438</v>
      </c>
      <c r="K10716">
        <v>2410620972</v>
      </c>
      <c r="L10716">
        <v>2410620972</v>
      </c>
      <c r="M10716" t="s">
        <v>22289</v>
      </c>
      <c r="N10716" t="s">
        <v>20672</v>
      </c>
      <c r="O10716" t="s">
        <v>22096</v>
      </c>
      <c r="P10716">
        <v>41222</v>
      </c>
      <c r="Q10716" t="str">
        <f>"39.634038"</f>
        <v>39.634038</v>
      </c>
      <c r="R10716" t="str">
        <f>"22.411476"</f>
        <v>22.411476</v>
      </c>
      <c r="S10716" t="s">
        <v>26</v>
      </c>
    </row>
    <row r="10717" spans="1:19" x14ac:dyDescent="0.3">
      <c r="A10717" t="s">
        <v>20660</v>
      </c>
      <c r="B10717" t="s">
        <v>22062</v>
      </c>
      <c r="C10717" t="s">
        <v>22302</v>
      </c>
      <c r="D10717" t="s">
        <v>20667</v>
      </c>
      <c r="E10717" t="s">
        <v>20668</v>
      </c>
      <c r="F10717" t="s">
        <v>20668</v>
      </c>
      <c r="G10717" t="s">
        <v>20942</v>
      </c>
      <c r="H10717" t="s">
        <v>859</v>
      </c>
      <c r="I10717" t="s">
        <v>860</v>
      </c>
      <c r="J10717" t="str">
        <f>"9310156"</f>
        <v>9310156</v>
      </c>
      <c r="K10717">
        <v>2410231503</v>
      </c>
      <c r="L10717">
        <v>2410231503</v>
      </c>
      <c r="M10717" t="s">
        <v>22303</v>
      </c>
      <c r="N10717" t="s">
        <v>20672</v>
      </c>
      <c r="O10717" t="s">
        <v>21139</v>
      </c>
      <c r="P10717">
        <v>41221</v>
      </c>
      <c r="Q10717" t="str">
        <f>"39.638530"</f>
        <v>39.638530</v>
      </c>
      <c r="R10717" t="str">
        <f>"22.416785"</f>
        <v>22.416785</v>
      </c>
      <c r="S10717" t="s">
        <v>26</v>
      </c>
    </row>
    <row r="10718" spans="1:19" x14ac:dyDescent="0.3">
      <c r="A10718" t="s">
        <v>20660</v>
      </c>
      <c r="B10718" t="s">
        <v>22062</v>
      </c>
      <c r="C10718" t="s">
        <v>22305</v>
      </c>
      <c r="D10718" t="s">
        <v>20667</v>
      </c>
      <c r="E10718" t="s">
        <v>20859</v>
      </c>
      <c r="F10718" t="s">
        <v>20859</v>
      </c>
      <c r="G10718" t="s">
        <v>22304</v>
      </c>
      <c r="H10718" t="s">
        <v>859</v>
      </c>
      <c r="I10718" t="s">
        <v>860</v>
      </c>
      <c r="J10718" t="str">
        <f>"9310333"</f>
        <v>9310333</v>
      </c>
      <c r="K10718">
        <v>2493084011</v>
      </c>
      <c r="L10718">
        <v>2493084011</v>
      </c>
      <c r="M10718" t="s">
        <v>22306</v>
      </c>
      <c r="N10718" t="s">
        <v>22307</v>
      </c>
      <c r="O10718" t="s">
        <v>22307</v>
      </c>
      <c r="P10718">
        <v>40200</v>
      </c>
      <c r="Q10718" t="str">
        <f>"39.839720"</f>
        <v>39.839720</v>
      </c>
      <c r="R10718" t="str">
        <f>"22.106462"</f>
        <v>22.106462</v>
      </c>
      <c r="S10718" t="s">
        <v>26</v>
      </c>
    </row>
    <row r="10719" spans="1:19" x14ac:dyDescent="0.3">
      <c r="A10719" t="s">
        <v>20660</v>
      </c>
      <c r="B10719" t="s">
        <v>22062</v>
      </c>
      <c r="C10719" t="s">
        <v>22313</v>
      </c>
      <c r="D10719" t="s">
        <v>20667</v>
      </c>
      <c r="E10719" t="s">
        <v>20875</v>
      </c>
      <c r="F10719" t="s">
        <v>20875</v>
      </c>
      <c r="G10719" t="s">
        <v>20875</v>
      </c>
      <c r="H10719" t="s">
        <v>859</v>
      </c>
      <c r="I10719" t="s">
        <v>860</v>
      </c>
      <c r="J10719" t="str">
        <f>"9310310"</f>
        <v>9310310</v>
      </c>
      <c r="K10719">
        <v>2491022319</v>
      </c>
      <c r="L10719">
        <v>2491022319</v>
      </c>
      <c r="M10719" t="s">
        <v>22314</v>
      </c>
      <c r="N10719" t="s">
        <v>20878</v>
      </c>
      <c r="O10719" t="s">
        <v>22315</v>
      </c>
      <c r="P10719">
        <v>40300</v>
      </c>
      <c r="Q10719" t="str">
        <f>"39.297352"</f>
        <v>39.297352</v>
      </c>
      <c r="R10719" t="str">
        <f>"22.386865"</f>
        <v>22.386865</v>
      </c>
      <c r="S10719" t="s">
        <v>26</v>
      </c>
    </row>
    <row r="10720" spans="1:19" x14ac:dyDescent="0.3">
      <c r="A10720" t="s">
        <v>20660</v>
      </c>
      <c r="B10720" t="s">
        <v>22062</v>
      </c>
      <c r="C10720" t="s">
        <v>22316</v>
      </c>
      <c r="D10720" t="s">
        <v>20667</v>
      </c>
      <c r="E10720" t="s">
        <v>20875</v>
      </c>
      <c r="F10720" t="s">
        <v>20875</v>
      </c>
      <c r="G10720" t="s">
        <v>20875</v>
      </c>
      <c r="H10720" t="s">
        <v>859</v>
      </c>
      <c r="I10720" t="s">
        <v>860</v>
      </c>
      <c r="J10720" t="str">
        <f>"9310311"</f>
        <v>9310311</v>
      </c>
      <c r="K10720">
        <v>2491022107</v>
      </c>
      <c r="M10720" t="s">
        <v>22317</v>
      </c>
      <c r="N10720" t="s">
        <v>20878</v>
      </c>
      <c r="O10720" t="s">
        <v>22219</v>
      </c>
      <c r="P10720">
        <v>40300</v>
      </c>
      <c r="Q10720" t="str">
        <f>"39.292347"</f>
        <v>39.292347</v>
      </c>
      <c r="R10720" t="str">
        <f>"22.376762"</f>
        <v>22.376762</v>
      </c>
      <c r="S10720" t="s">
        <v>26</v>
      </c>
    </row>
    <row r="10721" spans="1:19" x14ac:dyDescent="0.3">
      <c r="A10721" t="s">
        <v>20660</v>
      </c>
      <c r="B10721" t="s">
        <v>22062</v>
      </c>
      <c r="C10721" t="s">
        <v>22321</v>
      </c>
      <c r="D10721" t="s">
        <v>20667</v>
      </c>
      <c r="E10721" t="s">
        <v>20875</v>
      </c>
      <c r="F10721" t="s">
        <v>20875</v>
      </c>
      <c r="G10721" t="s">
        <v>20875</v>
      </c>
      <c r="H10721" t="s">
        <v>859</v>
      </c>
      <c r="I10721" t="s">
        <v>860</v>
      </c>
      <c r="J10721" t="str">
        <f>"9310335"</f>
        <v>9310335</v>
      </c>
      <c r="K10721">
        <v>2491024784</v>
      </c>
      <c r="M10721" t="s">
        <v>22322</v>
      </c>
      <c r="N10721" t="s">
        <v>20878</v>
      </c>
      <c r="O10721" t="s">
        <v>22323</v>
      </c>
      <c r="P10721">
        <v>40300</v>
      </c>
      <c r="Q10721" t="str">
        <f>"39.299038"</f>
        <v>39.299038</v>
      </c>
      <c r="R10721" t="str">
        <f>"22.393583"</f>
        <v>22.393583</v>
      </c>
      <c r="S10721" t="s">
        <v>26</v>
      </c>
    </row>
    <row r="10722" spans="1:19" x14ac:dyDescent="0.3">
      <c r="A10722" t="s">
        <v>20660</v>
      </c>
      <c r="B10722" t="s">
        <v>22062</v>
      </c>
      <c r="C10722" t="s">
        <v>22325</v>
      </c>
      <c r="D10722" t="s">
        <v>20667</v>
      </c>
      <c r="E10722" t="s">
        <v>20859</v>
      </c>
      <c r="F10722" t="s">
        <v>20859</v>
      </c>
      <c r="G10722" t="s">
        <v>20961</v>
      </c>
      <c r="H10722" t="s">
        <v>859</v>
      </c>
      <c r="I10722" t="s">
        <v>860</v>
      </c>
      <c r="J10722" t="str">
        <f>"9310021"</f>
        <v>9310021</v>
      </c>
      <c r="K10722">
        <v>2493023324</v>
      </c>
      <c r="L10722">
        <v>2493023324</v>
      </c>
      <c r="M10722" t="s">
        <v>22326</v>
      </c>
      <c r="N10722" t="s">
        <v>20859</v>
      </c>
      <c r="O10722" t="s">
        <v>22327</v>
      </c>
      <c r="P10722">
        <v>40200</v>
      </c>
      <c r="Q10722" t="str">
        <f>"39.910341"</f>
        <v>39.910341</v>
      </c>
      <c r="R10722" t="str">
        <f>"22.220778"</f>
        <v>22.220778</v>
      </c>
      <c r="S10722" t="s">
        <v>26</v>
      </c>
    </row>
    <row r="10723" spans="1:19" x14ac:dyDescent="0.3">
      <c r="A10723" t="s">
        <v>20660</v>
      </c>
      <c r="B10723" t="s">
        <v>22062</v>
      </c>
      <c r="C10723" t="s">
        <v>22342</v>
      </c>
      <c r="D10723" t="s">
        <v>20667</v>
      </c>
      <c r="E10723" t="s">
        <v>20668</v>
      </c>
      <c r="F10723" t="s">
        <v>20668</v>
      </c>
      <c r="G10723" t="s">
        <v>20942</v>
      </c>
      <c r="H10723" t="s">
        <v>859</v>
      </c>
      <c r="I10723" t="s">
        <v>860</v>
      </c>
      <c r="J10723" t="str">
        <f>"9310327"</f>
        <v>9310327</v>
      </c>
      <c r="K10723">
        <v>2410235817</v>
      </c>
      <c r="L10723">
        <v>2410235817</v>
      </c>
      <c r="M10723" t="s">
        <v>22343</v>
      </c>
      <c r="N10723" t="s">
        <v>20672</v>
      </c>
      <c r="O10723" t="s">
        <v>22344</v>
      </c>
      <c r="P10723">
        <v>41221</v>
      </c>
      <c r="Q10723" t="str">
        <f>"39.638931"</f>
        <v>39.638931</v>
      </c>
      <c r="R10723" t="str">
        <f>"22.424117"</f>
        <v>22.424117</v>
      </c>
      <c r="S10723" t="s">
        <v>26</v>
      </c>
    </row>
    <row r="10724" spans="1:19" x14ac:dyDescent="0.3">
      <c r="A10724" t="s">
        <v>20660</v>
      </c>
      <c r="B10724" t="s">
        <v>22062</v>
      </c>
      <c r="C10724" t="s">
        <v>22351</v>
      </c>
      <c r="D10724" t="s">
        <v>20667</v>
      </c>
      <c r="E10724" t="s">
        <v>20909</v>
      </c>
      <c r="F10724" t="s">
        <v>20909</v>
      </c>
      <c r="G10724" t="s">
        <v>21021</v>
      </c>
      <c r="H10724" t="s">
        <v>859</v>
      </c>
      <c r="I10724" t="s">
        <v>860</v>
      </c>
      <c r="J10724" t="str">
        <f>"9310197"</f>
        <v>9310197</v>
      </c>
      <c r="K10724">
        <v>2492041160</v>
      </c>
      <c r="L10724">
        <v>2492041160</v>
      </c>
      <c r="M10724" t="s">
        <v>22352</v>
      </c>
      <c r="N10724" t="s">
        <v>22353</v>
      </c>
      <c r="O10724" t="s">
        <v>22353</v>
      </c>
      <c r="P10724">
        <v>40100</v>
      </c>
      <c r="Q10724" t="str">
        <f>"39.825575"</f>
        <v>39.825575</v>
      </c>
      <c r="R10724" t="str">
        <f>"22.306556"</f>
        <v>22.306556</v>
      </c>
      <c r="S10724" t="s">
        <v>26</v>
      </c>
    </row>
    <row r="10725" spans="1:19" x14ac:dyDescent="0.3">
      <c r="A10725" t="s">
        <v>20660</v>
      </c>
      <c r="B10725" t="s">
        <v>22062</v>
      </c>
      <c r="C10725" t="s">
        <v>22360</v>
      </c>
      <c r="D10725" t="s">
        <v>20667</v>
      </c>
      <c r="E10725" t="s">
        <v>20899</v>
      </c>
      <c r="F10725" t="s">
        <v>20900</v>
      </c>
      <c r="G10725" t="s">
        <v>22359</v>
      </c>
      <c r="H10725" t="s">
        <v>859</v>
      </c>
      <c r="I10725" t="s">
        <v>860</v>
      </c>
      <c r="J10725" t="str">
        <f>"9310453"</f>
        <v>9310453</v>
      </c>
      <c r="K10725">
        <v>2410975100</v>
      </c>
      <c r="L10725">
        <v>2410975100</v>
      </c>
      <c r="M10725" t="s">
        <v>22361</v>
      </c>
      <c r="N10725" t="s">
        <v>22362</v>
      </c>
      <c r="O10725" t="s">
        <v>22362</v>
      </c>
      <c r="P10725">
        <v>40003</v>
      </c>
      <c r="Q10725" t="str">
        <f>"39.675894"</f>
        <v>39.675894</v>
      </c>
      <c r="R10725" t="str">
        <f>"22.577624"</f>
        <v>22.577624</v>
      </c>
      <c r="S10725" t="s">
        <v>26</v>
      </c>
    </row>
    <row r="10726" spans="1:19" x14ac:dyDescent="0.3">
      <c r="A10726" t="s">
        <v>20660</v>
      </c>
      <c r="B10726" t="s">
        <v>22062</v>
      </c>
      <c r="C10726" t="s">
        <v>22364</v>
      </c>
      <c r="D10726" t="s">
        <v>20667</v>
      </c>
      <c r="E10726" t="s">
        <v>20831</v>
      </c>
      <c r="F10726" t="s">
        <v>20852</v>
      </c>
      <c r="G10726" t="s">
        <v>22363</v>
      </c>
      <c r="H10726" t="s">
        <v>859</v>
      </c>
      <c r="I10726" t="s">
        <v>860</v>
      </c>
      <c r="J10726" t="str">
        <f>"9310491"</f>
        <v>9310491</v>
      </c>
      <c r="K10726">
        <v>2495051222</v>
      </c>
      <c r="M10726" t="s">
        <v>22365</v>
      </c>
      <c r="N10726" t="s">
        <v>22366</v>
      </c>
      <c r="O10726" t="s">
        <v>22366</v>
      </c>
      <c r="P10726">
        <v>40006</v>
      </c>
      <c r="Q10726" t="str">
        <f>""</f>
        <v/>
      </c>
      <c r="R10726" t="str">
        <f>""</f>
        <v/>
      </c>
      <c r="S10726" t="s">
        <v>26</v>
      </c>
    </row>
    <row r="10727" spans="1:19" x14ac:dyDescent="0.3">
      <c r="A10727" t="s">
        <v>20660</v>
      </c>
      <c r="B10727" t="s">
        <v>22062</v>
      </c>
      <c r="C10727" t="s">
        <v>22367</v>
      </c>
      <c r="D10727" t="s">
        <v>20667</v>
      </c>
      <c r="E10727" t="s">
        <v>20831</v>
      </c>
      <c r="F10727" t="s">
        <v>20852</v>
      </c>
      <c r="G10727" t="s">
        <v>20853</v>
      </c>
      <c r="H10727" t="s">
        <v>859</v>
      </c>
      <c r="I10727" t="s">
        <v>860</v>
      </c>
      <c r="J10727" t="str">
        <f>"9310234"</f>
        <v>9310234</v>
      </c>
      <c r="K10727">
        <v>2495051044</v>
      </c>
      <c r="L10727">
        <v>2495051044</v>
      </c>
      <c r="M10727" t="s">
        <v>22368</v>
      </c>
      <c r="N10727" t="s">
        <v>21020</v>
      </c>
      <c r="O10727" t="s">
        <v>21020</v>
      </c>
      <c r="P10727">
        <v>40006</v>
      </c>
      <c r="Q10727" t="str">
        <f>"39.760676"</f>
        <v>39.760676</v>
      </c>
      <c r="R10727" t="str">
        <f>"22.580786"</f>
        <v>22.580786</v>
      </c>
      <c r="S10727" t="s">
        <v>26</v>
      </c>
    </row>
    <row r="10728" spans="1:19" x14ac:dyDescent="0.3">
      <c r="A10728" t="s">
        <v>20660</v>
      </c>
      <c r="B10728" t="s">
        <v>22062</v>
      </c>
      <c r="C10728" t="s">
        <v>22375</v>
      </c>
      <c r="D10728" t="s">
        <v>20667</v>
      </c>
      <c r="E10728" t="s">
        <v>20899</v>
      </c>
      <c r="F10728" t="s">
        <v>20900</v>
      </c>
      <c r="G10728" t="s">
        <v>2536</v>
      </c>
      <c r="H10728" t="s">
        <v>859</v>
      </c>
      <c r="I10728" t="s">
        <v>860</v>
      </c>
      <c r="J10728" t="str">
        <f>"9310403"</f>
        <v>9310403</v>
      </c>
      <c r="K10728">
        <v>2410971041</v>
      </c>
      <c r="L10728">
        <v>2410971041</v>
      </c>
      <c r="M10728" t="s">
        <v>22376</v>
      </c>
      <c r="N10728" t="s">
        <v>641</v>
      </c>
      <c r="O10728" t="s">
        <v>641</v>
      </c>
      <c r="P10728">
        <v>41500</v>
      </c>
      <c r="Q10728" t="str">
        <f>"39.613724"</f>
        <v>39.613724</v>
      </c>
      <c r="R10728" t="str">
        <f>"22.574633"</f>
        <v>22.574633</v>
      </c>
      <c r="S10728" t="s">
        <v>26</v>
      </c>
    </row>
    <row r="10729" spans="1:19" x14ac:dyDescent="0.3">
      <c r="A10729" t="s">
        <v>20660</v>
      </c>
      <c r="B10729" t="s">
        <v>22062</v>
      </c>
      <c r="C10729" t="s">
        <v>22383</v>
      </c>
      <c r="D10729" t="s">
        <v>20667</v>
      </c>
      <c r="E10729" t="s">
        <v>4424</v>
      </c>
      <c r="F10729" t="s">
        <v>4424</v>
      </c>
      <c r="G10729" t="s">
        <v>4424</v>
      </c>
      <c r="H10729" t="s">
        <v>859</v>
      </c>
      <c r="I10729" t="s">
        <v>860</v>
      </c>
      <c r="J10729" t="str">
        <f>"9310370"</f>
        <v>9310370</v>
      </c>
      <c r="K10729">
        <v>2494024183</v>
      </c>
      <c r="L10729">
        <v>2494024183</v>
      </c>
      <c r="M10729" t="s">
        <v>22384</v>
      </c>
      <c r="N10729" t="s">
        <v>20606</v>
      </c>
      <c r="O10729" t="s">
        <v>20606</v>
      </c>
      <c r="P10729">
        <v>40003</v>
      </c>
      <c r="Q10729" t="str">
        <f>"39.719235"</f>
        <v>39.719235</v>
      </c>
      <c r="R10729" t="str">
        <f>"22.752167"</f>
        <v>22.752167</v>
      </c>
      <c r="S10729" t="s">
        <v>26</v>
      </c>
    </row>
    <row r="10730" spans="1:19" x14ac:dyDescent="0.3">
      <c r="A10730" t="s">
        <v>20660</v>
      </c>
      <c r="B10730" t="s">
        <v>22062</v>
      </c>
      <c r="C10730" t="s">
        <v>22385</v>
      </c>
      <c r="D10730" t="s">
        <v>20667</v>
      </c>
      <c r="E10730" t="s">
        <v>4424</v>
      </c>
      <c r="F10730" t="s">
        <v>4424</v>
      </c>
      <c r="G10730" t="s">
        <v>4424</v>
      </c>
      <c r="H10730" t="s">
        <v>859</v>
      </c>
      <c r="I10730" t="s">
        <v>860</v>
      </c>
      <c r="J10730" t="str">
        <f>"9310075"</f>
        <v>9310075</v>
      </c>
      <c r="K10730">
        <v>2494024268</v>
      </c>
      <c r="L10730">
        <v>2494024268</v>
      </c>
      <c r="M10730" t="s">
        <v>22386</v>
      </c>
      <c r="N10730" t="s">
        <v>20606</v>
      </c>
      <c r="O10730" t="s">
        <v>22387</v>
      </c>
      <c r="P10730">
        <v>40003</v>
      </c>
      <c r="Q10730" t="str">
        <f>"39.719526"</f>
        <v>39.719526</v>
      </c>
      <c r="R10730" t="str">
        <f>"22.759660"</f>
        <v>22.759660</v>
      </c>
      <c r="S10730" t="s">
        <v>26</v>
      </c>
    </row>
    <row r="10731" spans="1:19" x14ac:dyDescent="0.3">
      <c r="A10731" t="s">
        <v>20660</v>
      </c>
      <c r="B10731" t="s">
        <v>22062</v>
      </c>
      <c r="C10731" t="s">
        <v>22391</v>
      </c>
      <c r="D10731" t="s">
        <v>20667</v>
      </c>
      <c r="E10731" t="s">
        <v>20875</v>
      </c>
      <c r="F10731" t="s">
        <v>20875</v>
      </c>
      <c r="G10731" t="s">
        <v>20875</v>
      </c>
      <c r="H10731" t="s">
        <v>859</v>
      </c>
      <c r="I10731" t="s">
        <v>860</v>
      </c>
      <c r="J10731" t="str">
        <f>"9310488"</f>
        <v>9310488</v>
      </c>
      <c r="K10731">
        <v>2491025659</v>
      </c>
      <c r="M10731" t="s">
        <v>22392</v>
      </c>
      <c r="N10731" t="s">
        <v>20878</v>
      </c>
      <c r="O10731" t="s">
        <v>22393</v>
      </c>
      <c r="P10731">
        <v>40300</v>
      </c>
      <c r="Q10731" t="str">
        <f>"39.296945"</f>
        <v>39.296945</v>
      </c>
      <c r="R10731" t="str">
        <f>"22.378322"</f>
        <v>22.378322</v>
      </c>
      <c r="S10731" t="s">
        <v>26</v>
      </c>
    </row>
    <row r="10732" spans="1:19" x14ac:dyDescent="0.3">
      <c r="A10732" t="s">
        <v>20660</v>
      </c>
      <c r="B10732" t="s">
        <v>22062</v>
      </c>
      <c r="C10732" t="s">
        <v>22396</v>
      </c>
      <c r="D10732" t="s">
        <v>20667</v>
      </c>
      <c r="E10732" t="s">
        <v>20875</v>
      </c>
      <c r="F10732" t="s">
        <v>20875</v>
      </c>
      <c r="G10732" t="s">
        <v>20875</v>
      </c>
      <c r="H10732" t="s">
        <v>859</v>
      </c>
      <c r="I10732" t="s">
        <v>860</v>
      </c>
      <c r="J10732" t="str">
        <f>"9310489"</f>
        <v>9310489</v>
      </c>
      <c r="K10732">
        <v>2491022524</v>
      </c>
      <c r="L10732">
        <v>2491022524</v>
      </c>
      <c r="M10732" t="s">
        <v>22397</v>
      </c>
      <c r="N10732" t="s">
        <v>20878</v>
      </c>
      <c r="O10732" t="s">
        <v>22323</v>
      </c>
      <c r="P10732">
        <v>40300</v>
      </c>
      <c r="Q10732" t="str">
        <f>"39.298610"</f>
        <v>39.298610</v>
      </c>
      <c r="R10732" t="str">
        <f>"22.393518"</f>
        <v>22.393518</v>
      </c>
      <c r="S10732" t="s">
        <v>26</v>
      </c>
    </row>
    <row r="10733" spans="1:19" x14ac:dyDescent="0.3">
      <c r="A10733" t="s">
        <v>20660</v>
      </c>
      <c r="B10733" t="s">
        <v>22062</v>
      </c>
      <c r="C10733" t="s">
        <v>22399</v>
      </c>
      <c r="D10733" t="s">
        <v>20667</v>
      </c>
      <c r="E10733" t="s">
        <v>20909</v>
      </c>
      <c r="F10733" t="s">
        <v>17055</v>
      </c>
      <c r="G10733" t="s">
        <v>22398</v>
      </c>
      <c r="H10733" t="s">
        <v>859</v>
      </c>
      <c r="I10733" t="s">
        <v>860</v>
      </c>
      <c r="J10733" t="str">
        <f>"9310253"</f>
        <v>9310253</v>
      </c>
      <c r="K10733">
        <v>2492051230</v>
      </c>
      <c r="M10733" t="s">
        <v>22400</v>
      </c>
      <c r="N10733" t="s">
        <v>22401</v>
      </c>
      <c r="O10733" t="s">
        <v>22401</v>
      </c>
      <c r="P10733">
        <v>40100</v>
      </c>
      <c r="Q10733" t="str">
        <f>"39.799246"</f>
        <v>39.799246</v>
      </c>
      <c r="R10733" t="str">
        <f>"22.370593"</f>
        <v>22.370593</v>
      </c>
      <c r="S10733" t="s">
        <v>26</v>
      </c>
    </row>
    <row r="10734" spans="1:19" x14ac:dyDescent="0.3">
      <c r="A10734" t="s">
        <v>20660</v>
      </c>
      <c r="B10734" t="s">
        <v>22062</v>
      </c>
      <c r="C10734" t="s">
        <v>22402</v>
      </c>
      <c r="D10734" t="s">
        <v>20667</v>
      </c>
      <c r="E10734" t="s">
        <v>20668</v>
      </c>
      <c r="F10734" t="s">
        <v>20668</v>
      </c>
      <c r="G10734" t="s">
        <v>20669</v>
      </c>
      <c r="H10734" t="s">
        <v>859</v>
      </c>
      <c r="I10734" t="s">
        <v>860</v>
      </c>
      <c r="J10734" t="str">
        <f>"9310404"</f>
        <v>9310404</v>
      </c>
      <c r="K10734">
        <v>2410626500</v>
      </c>
      <c r="L10734">
        <v>2410626500</v>
      </c>
      <c r="M10734" t="s">
        <v>22403</v>
      </c>
      <c r="N10734" t="s">
        <v>20672</v>
      </c>
      <c r="O10734" t="s">
        <v>22404</v>
      </c>
      <c r="P10734">
        <v>41335</v>
      </c>
      <c r="Q10734" t="str">
        <f>"39.620340"</f>
        <v>39.620340</v>
      </c>
      <c r="R10734" t="str">
        <f>"22.408436"</f>
        <v>22.408436</v>
      </c>
      <c r="S10734" t="s">
        <v>26</v>
      </c>
    </row>
    <row r="10735" spans="1:19" x14ac:dyDescent="0.3">
      <c r="A10735" t="s">
        <v>20660</v>
      </c>
      <c r="B10735" t="s">
        <v>22062</v>
      </c>
      <c r="C10735" t="s">
        <v>22405</v>
      </c>
      <c r="D10735" t="s">
        <v>20667</v>
      </c>
      <c r="E10735" t="s">
        <v>20668</v>
      </c>
      <c r="F10735" t="s">
        <v>20668</v>
      </c>
      <c r="G10735" t="s">
        <v>20942</v>
      </c>
      <c r="H10735" t="s">
        <v>859</v>
      </c>
      <c r="I10735" t="s">
        <v>860</v>
      </c>
      <c r="J10735" t="str">
        <f>"9310482"</f>
        <v>9310482</v>
      </c>
      <c r="K10735">
        <v>2410571654</v>
      </c>
      <c r="L10735">
        <v>2410571654</v>
      </c>
      <c r="M10735" t="s">
        <v>22406</v>
      </c>
      <c r="N10735" t="s">
        <v>20672</v>
      </c>
      <c r="O10735" t="s">
        <v>22407</v>
      </c>
      <c r="P10735">
        <v>41336</v>
      </c>
      <c r="Q10735" t="str">
        <f>"39.627820"</f>
        <v>39.627820</v>
      </c>
      <c r="R10735" t="str">
        <f>"22.452324"</f>
        <v>22.452324</v>
      </c>
      <c r="S10735" t="s">
        <v>26</v>
      </c>
    </row>
    <row r="10736" spans="1:19" x14ac:dyDescent="0.3">
      <c r="A10736" t="s">
        <v>20660</v>
      </c>
      <c r="B10736" t="s">
        <v>22062</v>
      </c>
      <c r="C10736" t="s">
        <v>22408</v>
      </c>
      <c r="D10736" t="s">
        <v>20667</v>
      </c>
      <c r="E10736" t="s">
        <v>20668</v>
      </c>
      <c r="F10736" t="s">
        <v>20668</v>
      </c>
      <c r="G10736" t="s">
        <v>20942</v>
      </c>
      <c r="H10736" t="s">
        <v>859</v>
      </c>
      <c r="I10736" t="s">
        <v>860</v>
      </c>
      <c r="J10736" t="str">
        <f>"9310380"</f>
        <v>9310380</v>
      </c>
      <c r="K10736">
        <v>2410571654</v>
      </c>
      <c r="L10736">
        <v>2410571654</v>
      </c>
      <c r="M10736" t="s">
        <v>22409</v>
      </c>
      <c r="N10736" t="s">
        <v>20667</v>
      </c>
      <c r="O10736" t="s">
        <v>22410</v>
      </c>
      <c r="P10736">
        <v>41336</v>
      </c>
      <c r="Q10736" t="str">
        <f>"39.627876"</f>
        <v>39.627876</v>
      </c>
      <c r="R10736" t="str">
        <f>"22.452467"</f>
        <v>22.452467</v>
      </c>
      <c r="S10736" t="s">
        <v>26</v>
      </c>
    </row>
    <row r="10737" spans="1:19" x14ac:dyDescent="0.3">
      <c r="A10737" t="s">
        <v>20660</v>
      </c>
      <c r="B10737" t="s">
        <v>22062</v>
      </c>
      <c r="C10737" t="s">
        <v>22413</v>
      </c>
      <c r="D10737" t="s">
        <v>20667</v>
      </c>
      <c r="E10737" t="s">
        <v>20899</v>
      </c>
      <c r="F10737" t="s">
        <v>20900</v>
      </c>
      <c r="G10737" t="s">
        <v>20900</v>
      </c>
      <c r="H10737" t="s">
        <v>859</v>
      </c>
      <c r="I10737" t="s">
        <v>860</v>
      </c>
      <c r="J10737" t="str">
        <f>"9310415"</f>
        <v>9310415</v>
      </c>
      <c r="K10737">
        <v>2410972638</v>
      </c>
      <c r="L10737">
        <v>2410972638</v>
      </c>
      <c r="M10737" t="s">
        <v>22414</v>
      </c>
      <c r="N10737" t="s">
        <v>20903</v>
      </c>
      <c r="O10737" t="s">
        <v>2692</v>
      </c>
      <c r="P10737">
        <v>40009</v>
      </c>
      <c r="Q10737" t="str">
        <f>"39.622304"</f>
        <v>39.622304</v>
      </c>
      <c r="R10737" t="str">
        <f>"22.519357"</f>
        <v>22.519357</v>
      </c>
      <c r="S10737" t="s">
        <v>26</v>
      </c>
    </row>
    <row r="10738" spans="1:19" x14ac:dyDescent="0.3">
      <c r="A10738" t="s">
        <v>20660</v>
      </c>
      <c r="B10738" t="s">
        <v>22062</v>
      </c>
      <c r="C10738" t="s">
        <v>22425</v>
      </c>
      <c r="D10738" t="s">
        <v>20667</v>
      </c>
      <c r="E10738" t="s">
        <v>20909</v>
      </c>
      <c r="F10738" t="s">
        <v>17055</v>
      </c>
      <c r="G10738" t="s">
        <v>17055</v>
      </c>
      <c r="H10738" t="s">
        <v>859</v>
      </c>
      <c r="I10738" t="s">
        <v>860</v>
      </c>
      <c r="J10738" t="str">
        <f>"9310469"</f>
        <v>9310469</v>
      </c>
      <c r="K10738">
        <v>2492031405</v>
      </c>
      <c r="L10738">
        <v>2492031405</v>
      </c>
      <c r="M10738" t="s">
        <v>22426</v>
      </c>
      <c r="N10738" t="s">
        <v>17058</v>
      </c>
      <c r="O10738" t="s">
        <v>22427</v>
      </c>
      <c r="P10738">
        <v>40400</v>
      </c>
      <c r="Q10738" t="str">
        <f>"39.746518"</f>
        <v>39.746518</v>
      </c>
      <c r="R10738" t="str">
        <f>"22.362505"</f>
        <v>22.362505</v>
      </c>
      <c r="S10738" t="s">
        <v>26</v>
      </c>
    </row>
    <row r="10739" spans="1:19" x14ac:dyDescent="0.3">
      <c r="A10739" t="s">
        <v>20660</v>
      </c>
      <c r="B10739" t="s">
        <v>22062</v>
      </c>
      <c r="C10739" t="s">
        <v>22431</v>
      </c>
      <c r="D10739" t="s">
        <v>20667</v>
      </c>
      <c r="E10739" t="s">
        <v>20831</v>
      </c>
      <c r="F10739" t="s">
        <v>6224</v>
      </c>
      <c r="G10739" t="s">
        <v>6224</v>
      </c>
      <c r="H10739" t="s">
        <v>859</v>
      </c>
      <c r="I10739" t="s">
        <v>860</v>
      </c>
      <c r="J10739" t="str">
        <f>"9310500"</f>
        <v>9310500</v>
      </c>
      <c r="K10739">
        <v>2495093359</v>
      </c>
      <c r="L10739">
        <v>2495093359</v>
      </c>
      <c r="M10739" t="s">
        <v>22432</v>
      </c>
      <c r="N10739" t="s">
        <v>22433</v>
      </c>
      <c r="O10739" t="s">
        <v>22433</v>
      </c>
      <c r="P10739">
        <v>40006</v>
      </c>
      <c r="Q10739" t="str">
        <f>"39.854488"</f>
        <v>39.854488</v>
      </c>
      <c r="R10739" t="str">
        <f>"22.559077"</f>
        <v>22.559077</v>
      </c>
      <c r="S10739" t="s">
        <v>26</v>
      </c>
    </row>
    <row r="10740" spans="1:19" x14ac:dyDescent="0.3">
      <c r="A10740" t="s">
        <v>20660</v>
      </c>
      <c r="B10740" t="s">
        <v>22062</v>
      </c>
      <c r="C10740" t="s">
        <v>22435</v>
      </c>
      <c r="D10740" t="s">
        <v>20667</v>
      </c>
      <c r="E10740" t="s">
        <v>20899</v>
      </c>
      <c r="F10740" t="s">
        <v>20900</v>
      </c>
      <c r="G10740" t="s">
        <v>22434</v>
      </c>
      <c r="H10740" t="s">
        <v>859</v>
      </c>
      <c r="I10740" t="s">
        <v>860</v>
      </c>
      <c r="J10740" t="str">
        <f>"9310418"</f>
        <v>9310418</v>
      </c>
      <c r="K10740">
        <v>2410971860</v>
      </c>
      <c r="M10740" t="s">
        <v>22436</v>
      </c>
      <c r="N10740" t="s">
        <v>22437</v>
      </c>
      <c r="O10740" t="s">
        <v>22437</v>
      </c>
      <c r="P10740">
        <v>41500</v>
      </c>
      <c r="Q10740" t="str">
        <f>"39.259558"</f>
        <v>39.259558</v>
      </c>
      <c r="R10740" t="str">
        <f>"22.029542"</f>
        <v>22.029542</v>
      </c>
      <c r="S10740" t="s">
        <v>26</v>
      </c>
    </row>
    <row r="10741" spans="1:19" x14ac:dyDescent="0.3">
      <c r="A10741" t="s">
        <v>20660</v>
      </c>
      <c r="B10741" t="s">
        <v>22062</v>
      </c>
      <c r="C10741" t="s">
        <v>22438</v>
      </c>
      <c r="D10741" t="s">
        <v>20667</v>
      </c>
      <c r="E10741" t="s">
        <v>20899</v>
      </c>
      <c r="F10741" t="s">
        <v>20900</v>
      </c>
      <c r="G10741" t="s">
        <v>22379</v>
      </c>
      <c r="H10741" t="s">
        <v>859</v>
      </c>
      <c r="I10741" t="s">
        <v>860</v>
      </c>
      <c r="J10741" t="str">
        <f>"9310417"</f>
        <v>9310417</v>
      </c>
      <c r="K10741">
        <v>2410575588</v>
      </c>
      <c r="M10741" t="s">
        <v>22439</v>
      </c>
      <c r="N10741" t="s">
        <v>22440</v>
      </c>
      <c r="O10741" t="s">
        <v>22440</v>
      </c>
      <c r="P10741">
        <v>41500</v>
      </c>
      <c r="Q10741" t="str">
        <f>"39.675445"</f>
        <v>39.675445</v>
      </c>
      <c r="R10741" t="str">
        <f>"22.477921"</f>
        <v>22.477921</v>
      </c>
      <c r="S10741" t="s">
        <v>26</v>
      </c>
    </row>
    <row r="10742" spans="1:19" x14ac:dyDescent="0.3">
      <c r="A10742" t="s">
        <v>20660</v>
      </c>
      <c r="B10742" t="s">
        <v>22062</v>
      </c>
      <c r="C10742" t="s">
        <v>22442</v>
      </c>
      <c r="D10742" t="s">
        <v>20667</v>
      </c>
      <c r="E10742" t="s">
        <v>4424</v>
      </c>
      <c r="F10742" t="s">
        <v>20041</v>
      </c>
      <c r="G10742" t="s">
        <v>22441</v>
      </c>
      <c r="H10742" t="s">
        <v>859</v>
      </c>
      <c r="I10742" t="s">
        <v>860</v>
      </c>
      <c r="J10742" t="str">
        <f>"9310405"</f>
        <v>9310405</v>
      </c>
      <c r="K10742">
        <v>2495094291</v>
      </c>
      <c r="L10742">
        <v>2495094291</v>
      </c>
      <c r="M10742" t="s">
        <v>22443</v>
      </c>
      <c r="N10742" t="s">
        <v>22444</v>
      </c>
      <c r="O10742" t="s">
        <v>22444</v>
      </c>
      <c r="P10742">
        <v>40007</v>
      </c>
      <c r="Q10742" t="str">
        <f>"39.895482"</f>
        <v>39.895482</v>
      </c>
      <c r="R10742" t="str">
        <f>"22.640873"</f>
        <v>22.640873</v>
      </c>
      <c r="S10742" t="s">
        <v>26</v>
      </c>
    </row>
    <row r="10743" spans="1:19" x14ac:dyDescent="0.3">
      <c r="A10743" t="s">
        <v>20660</v>
      </c>
      <c r="B10743" t="s">
        <v>22062</v>
      </c>
      <c r="C10743" t="s">
        <v>22448</v>
      </c>
      <c r="D10743" t="s">
        <v>20667</v>
      </c>
      <c r="E10743" t="s">
        <v>20899</v>
      </c>
      <c r="F10743" t="s">
        <v>20899</v>
      </c>
      <c r="G10743" t="s">
        <v>22140</v>
      </c>
      <c r="H10743" t="s">
        <v>859</v>
      </c>
      <c r="I10743" t="s">
        <v>860</v>
      </c>
      <c r="J10743" t="str">
        <f>"9310407"</f>
        <v>9310407</v>
      </c>
      <c r="K10743">
        <v>2494061508</v>
      </c>
      <c r="L10743">
        <v>2494061508</v>
      </c>
      <c r="M10743" t="s">
        <v>22449</v>
      </c>
      <c r="N10743" t="s">
        <v>22450</v>
      </c>
      <c r="O10743" t="s">
        <v>22450</v>
      </c>
      <c r="P10743">
        <v>40003</v>
      </c>
      <c r="Q10743" t="str">
        <f>"39.570606"</f>
        <v>39.570606</v>
      </c>
      <c r="R10743" t="str">
        <f>"22.749182"</f>
        <v>22.749182</v>
      </c>
      <c r="S10743" t="s">
        <v>26</v>
      </c>
    </row>
    <row r="10744" spans="1:19" x14ac:dyDescent="0.3">
      <c r="A10744" t="s">
        <v>20660</v>
      </c>
      <c r="B10744" t="s">
        <v>22062</v>
      </c>
      <c r="C10744" t="s">
        <v>22451</v>
      </c>
      <c r="D10744" t="s">
        <v>20667</v>
      </c>
      <c r="E10744" t="s">
        <v>4424</v>
      </c>
      <c r="F10744" t="s">
        <v>4424</v>
      </c>
      <c r="G10744" t="s">
        <v>21696</v>
      </c>
      <c r="H10744" t="s">
        <v>859</v>
      </c>
      <c r="I10744" t="s">
        <v>860</v>
      </c>
      <c r="J10744" t="str">
        <f>"9310414"</f>
        <v>9310414</v>
      </c>
      <c r="K10744">
        <v>2494041170</v>
      </c>
      <c r="M10744" t="s">
        <v>22452</v>
      </c>
      <c r="N10744" t="s">
        <v>21699</v>
      </c>
      <c r="O10744" t="s">
        <v>21699</v>
      </c>
      <c r="P10744">
        <v>40003</v>
      </c>
      <c r="Q10744" t="str">
        <f>"39.677943"</f>
        <v>39.677943</v>
      </c>
      <c r="R10744" t="str">
        <f>"22.700476"</f>
        <v>22.700476</v>
      </c>
      <c r="S10744" t="s">
        <v>26</v>
      </c>
    </row>
    <row r="10745" spans="1:19" x14ac:dyDescent="0.3">
      <c r="A10745" t="s">
        <v>20660</v>
      </c>
      <c r="B10745" t="s">
        <v>22062</v>
      </c>
      <c r="C10745" t="s">
        <v>22457</v>
      </c>
      <c r="D10745" t="s">
        <v>20667</v>
      </c>
      <c r="E10745" t="s">
        <v>4424</v>
      </c>
      <c r="F10745" t="s">
        <v>20041</v>
      </c>
      <c r="G10745" t="s">
        <v>22371</v>
      </c>
      <c r="H10745" t="s">
        <v>859</v>
      </c>
      <c r="I10745" t="s">
        <v>860</v>
      </c>
      <c r="J10745" t="str">
        <f>"9310490"</f>
        <v>9310490</v>
      </c>
      <c r="K10745">
        <v>2495091086</v>
      </c>
      <c r="L10745">
        <v>2495091225</v>
      </c>
      <c r="M10745" t="s">
        <v>22458</v>
      </c>
      <c r="N10745" t="s">
        <v>22459</v>
      </c>
      <c r="O10745" t="s">
        <v>22459</v>
      </c>
      <c r="P10745">
        <v>40007</v>
      </c>
      <c r="Q10745" t="str">
        <f>"39.869167"</f>
        <v>39.869167</v>
      </c>
      <c r="R10745" t="str">
        <f>"22.729722"</f>
        <v>22.729722</v>
      </c>
      <c r="S10745" t="s">
        <v>26</v>
      </c>
    </row>
    <row r="10746" spans="1:19" x14ac:dyDescent="0.3">
      <c r="A10746" t="s">
        <v>20660</v>
      </c>
      <c r="B10746" t="s">
        <v>22062</v>
      </c>
      <c r="C10746" t="s">
        <v>22460</v>
      </c>
      <c r="D10746" t="s">
        <v>20667</v>
      </c>
      <c r="E10746" t="s">
        <v>20668</v>
      </c>
      <c r="F10746" t="s">
        <v>20668</v>
      </c>
      <c r="G10746" t="s">
        <v>20942</v>
      </c>
      <c r="H10746" t="s">
        <v>859</v>
      </c>
      <c r="I10746" t="s">
        <v>860</v>
      </c>
      <c r="J10746" t="str">
        <f>"9310212"</f>
        <v>9310212</v>
      </c>
      <c r="K10746">
        <v>2410232209</v>
      </c>
      <c r="L10746">
        <v>2410232209</v>
      </c>
      <c r="M10746" t="s">
        <v>22461</v>
      </c>
      <c r="N10746" t="s">
        <v>20672</v>
      </c>
      <c r="O10746" t="s">
        <v>22122</v>
      </c>
      <c r="P10746">
        <v>41336</v>
      </c>
      <c r="Q10746" t="str">
        <f>"39.648840"</f>
        <v>39.648840</v>
      </c>
      <c r="R10746" t="str">
        <f>"22.433716"</f>
        <v>22.433716</v>
      </c>
      <c r="S10746" t="s">
        <v>26</v>
      </c>
    </row>
    <row r="10747" spans="1:19" x14ac:dyDescent="0.3">
      <c r="A10747" t="s">
        <v>20660</v>
      </c>
      <c r="B10747" t="s">
        <v>22062</v>
      </c>
      <c r="C10747" t="s">
        <v>22462</v>
      </c>
      <c r="D10747" t="s">
        <v>20667</v>
      </c>
      <c r="E10747" t="s">
        <v>20668</v>
      </c>
      <c r="F10747" t="s">
        <v>20668</v>
      </c>
      <c r="G10747" t="s">
        <v>20942</v>
      </c>
      <c r="H10747" t="s">
        <v>859</v>
      </c>
      <c r="I10747" t="s">
        <v>860</v>
      </c>
      <c r="J10747" t="str">
        <f>"9310157"</f>
        <v>9310157</v>
      </c>
      <c r="K10747">
        <v>2410235889</v>
      </c>
      <c r="L10747">
        <v>2410235889</v>
      </c>
      <c r="M10747" t="s">
        <v>22463</v>
      </c>
      <c r="N10747" t="s">
        <v>20672</v>
      </c>
      <c r="O10747" t="s">
        <v>22464</v>
      </c>
      <c r="P10747">
        <v>41336</v>
      </c>
      <c r="Q10747" t="str">
        <f>"39.635762"</f>
        <v>39.635762</v>
      </c>
      <c r="R10747" t="str">
        <f>"22.440924"</f>
        <v>22.440924</v>
      </c>
      <c r="S10747" t="s">
        <v>26</v>
      </c>
    </row>
    <row r="10748" spans="1:19" x14ac:dyDescent="0.3">
      <c r="A10748" t="s">
        <v>20660</v>
      </c>
      <c r="B10748" t="s">
        <v>22062</v>
      </c>
      <c r="C10748" t="s">
        <v>22465</v>
      </c>
      <c r="D10748" t="s">
        <v>20667</v>
      </c>
      <c r="E10748" t="s">
        <v>20668</v>
      </c>
      <c r="F10748" t="s">
        <v>20668</v>
      </c>
      <c r="G10748" t="s">
        <v>20942</v>
      </c>
      <c r="H10748" t="s">
        <v>859</v>
      </c>
      <c r="I10748" t="s">
        <v>860</v>
      </c>
      <c r="J10748" t="str">
        <f>"9310344"</f>
        <v>9310344</v>
      </c>
      <c r="K10748">
        <v>2410230833</v>
      </c>
      <c r="L10748">
        <v>2410230833</v>
      </c>
      <c r="M10748" t="s">
        <v>22466</v>
      </c>
      <c r="N10748" t="s">
        <v>20672</v>
      </c>
      <c r="O10748" t="s">
        <v>22146</v>
      </c>
      <c r="P10748">
        <v>41223</v>
      </c>
      <c r="Q10748" t="str">
        <f>"39.632129"</f>
        <v>39.632129</v>
      </c>
      <c r="R10748" t="str">
        <f>"22.421313"</f>
        <v>22.421313</v>
      </c>
      <c r="S10748" t="s">
        <v>26</v>
      </c>
    </row>
    <row r="10749" spans="1:19" x14ac:dyDescent="0.3">
      <c r="A10749" t="s">
        <v>20660</v>
      </c>
      <c r="B10749" t="s">
        <v>22062</v>
      </c>
      <c r="C10749" t="s">
        <v>22471</v>
      </c>
      <c r="D10749" t="s">
        <v>20667</v>
      </c>
      <c r="E10749" t="s">
        <v>20668</v>
      </c>
      <c r="F10749" t="s">
        <v>20668</v>
      </c>
      <c r="G10749" t="s">
        <v>20942</v>
      </c>
      <c r="H10749" t="s">
        <v>859</v>
      </c>
      <c r="I10749" t="s">
        <v>860</v>
      </c>
      <c r="J10749" t="str">
        <f>"9310346"</f>
        <v>9310346</v>
      </c>
      <c r="K10749">
        <v>2410233777</v>
      </c>
      <c r="L10749">
        <v>2410233777</v>
      </c>
      <c r="M10749" t="s">
        <v>22472</v>
      </c>
      <c r="N10749" t="s">
        <v>20672</v>
      </c>
      <c r="O10749" t="s">
        <v>22120</v>
      </c>
      <c r="P10749">
        <v>41221</v>
      </c>
      <c r="Q10749" t="str">
        <f>"39.643201"</f>
        <v>39.643201</v>
      </c>
      <c r="R10749" t="str">
        <f>"22.432337"</f>
        <v>22.432337</v>
      </c>
      <c r="S10749" t="s">
        <v>26</v>
      </c>
    </row>
    <row r="10750" spans="1:19" x14ac:dyDescent="0.3">
      <c r="A10750" t="s">
        <v>20660</v>
      </c>
      <c r="B10750" t="s">
        <v>22062</v>
      </c>
      <c r="C10750" t="s">
        <v>22473</v>
      </c>
      <c r="D10750" t="s">
        <v>20667</v>
      </c>
      <c r="E10750" t="s">
        <v>20668</v>
      </c>
      <c r="F10750" t="s">
        <v>20668</v>
      </c>
      <c r="G10750" t="s">
        <v>20942</v>
      </c>
      <c r="H10750" t="s">
        <v>859</v>
      </c>
      <c r="I10750" t="s">
        <v>860</v>
      </c>
      <c r="J10750" t="str">
        <f>"9310416"</f>
        <v>9310416</v>
      </c>
      <c r="K10750">
        <v>2410555303</v>
      </c>
      <c r="L10750">
        <v>2410555303</v>
      </c>
      <c r="M10750" t="s">
        <v>22474</v>
      </c>
      <c r="N10750" t="s">
        <v>20672</v>
      </c>
      <c r="O10750" t="s">
        <v>22475</v>
      </c>
      <c r="P10750">
        <v>41336</v>
      </c>
      <c r="Q10750" t="str">
        <f>"39.648544"</f>
        <v>39.648544</v>
      </c>
      <c r="R10750" t="str">
        <f>"22.431244"</f>
        <v>22.431244</v>
      </c>
      <c r="S10750" t="s">
        <v>26</v>
      </c>
    </row>
    <row r="10751" spans="1:19" x14ac:dyDescent="0.3">
      <c r="A10751" t="s">
        <v>20660</v>
      </c>
      <c r="B10751" t="s">
        <v>22062</v>
      </c>
      <c r="C10751" t="s">
        <v>22476</v>
      </c>
      <c r="D10751" t="s">
        <v>20667</v>
      </c>
      <c r="E10751" t="s">
        <v>20668</v>
      </c>
      <c r="F10751" t="s">
        <v>20668</v>
      </c>
      <c r="G10751" t="s">
        <v>20942</v>
      </c>
      <c r="H10751" t="s">
        <v>859</v>
      </c>
      <c r="I10751" t="s">
        <v>860</v>
      </c>
      <c r="J10751" t="str">
        <f>"9310478"</f>
        <v>9310478</v>
      </c>
      <c r="K10751">
        <v>2410235889</v>
      </c>
      <c r="M10751" t="s">
        <v>22477</v>
      </c>
      <c r="N10751" t="s">
        <v>20672</v>
      </c>
      <c r="O10751" t="s">
        <v>22478</v>
      </c>
      <c r="P10751">
        <v>41336</v>
      </c>
      <c r="Q10751" t="str">
        <f>"39.635721"</f>
        <v>39.635721</v>
      </c>
      <c r="R10751" t="str">
        <f>"22.441467"</f>
        <v>22.441467</v>
      </c>
      <c r="S10751" t="s">
        <v>26</v>
      </c>
    </row>
    <row r="10752" spans="1:19" x14ac:dyDescent="0.3">
      <c r="A10752" t="s">
        <v>20660</v>
      </c>
      <c r="B10752" t="s">
        <v>22062</v>
      </c>
      <c r="C10752" t="s">
        <v>22482</v>
      </c>
      <c r="D10752" t="s">
        <v>20667</v>
      </c>
      <c r="E10752" t="s">
        <v>20899</v>
      </c>
      <c r="F10752" t="s">
        <v>20900</v>
      </c>
      <c r="G10752" t="s">
        <v>22481</v>
      </c>
      <c r="H10752" t="s">
        <v>859</v>
      </c>
      <c r="I10752" t="s">
        <v>860</v>
      </c>
      <c r="J10752" t="str">
        <f>"9310459"</f>
        <v>9310459</v>
      </c>
      <c r="K10752">
        <v>2410951077</v>
      </c>
      <c r="M10752" t="s">
        <v>22483</v>
      </c>
      <c r="N10752" t="s">
        <v>22484</v>
      </c>
      <c r="O10752" t="s">
        <v>22484</v>
      </c>
      <c r="P10752">
        <v>41500</v>
      </c>
      <c r="Q10752" t="str">
        <f>"39.567696"</f>
        <v>39.567696</v>
      </c>
      <c r="R10752" t="str">
        <f>"22.606846"</f>
        <v>22.606846</v>
      </c>
      <c r="S10752" t="s">
        <v>26</v>
      </c>
    </row>
    <row r="10753" spans="1:19" x14ac:dyDescent="0.3">
      <c r="A10753" t="s">
        <v>20660</v>
      </c>
      <c r="B10753" t="s">
        <v>22062</v>
      </c>
      <c r="C10753" t="s">
        <v>22485</v>
      </c>
      <c r="D10753" t="s">
        <v>20667</v>
      </c>
      <c r="E10753" t="s">
        <v>20668</v>
      </c>
      <c r="F10753" t="s">
        <v>21083</v>
      </c>
      <c r="G10753" t="s">
        <v>455</v>
      </c>
      <c r="H10753" t="s">
        <v>859</v>
      </c>
      <c r="I10753" t="s">
        <v>860</v>
      </c>
      <c r="J10753" t="str">
        <f>"9310475"</f>
        <v>9310475</v>
      </c>
      <c r="K10753">
        <v>2410811177</v>
      </c>
      <c r="L10753">
        <v>2410811177</v>
      </c>
      <c r="M10753" t="s">
        <v>22486</v>
      </c>
      <c r="N10753" t="s">
        <v>1826</v>
      </c>
      <c r="O10753" t="s">
        <v>1826</v>
      </c>
      <c r="P10753">
        <v>41500</v>
      </c>
      <c r="Q10753" t="str">
        <f>"39.579266"</f>
        <v>39.579266</v>
      </c>
      <c r="R10753" t="str">
        <f>"22.335422"</f>
        <v>22.335422</v>
      </c>
      <c r="S10753" t="s">
        <v>26</v>
      </c>
    </row>
    <row r="10754" spans="1:19" x14ac:dyDescent="0.3">
      <c r="A10754" t="s">
        <v>20660</v>
      </c>
      <c r="B10754" t="s">
        <v>22062</v>
      </c>
      <c r="C10754" t="s">
        <v>22496</v>
      </c>
      <c r="D10754" t="s">
        <v>20667</v>
      </c>
      <c r="E10754" t="s">
        <v>20668</v>
      </c>
      <c r="F10754" t="s">
        <v>20955</v>
      </c>
      <c r="G10754" t="s">
        <v>20987</v>
      </c>
      <c r="H10754" t="s">
        <v>859</v>
      </c>
      <c r="I10754" t="s">
        <v>860</v>
      </c>
      <c r="J10754" t="str">
        <f>"9310256"</f>
        <v>9310256</v>
      </c>
      <c r="K10754">
        <v>2410941146</v>
      </c>
      <c r="L10754">
        <v>2410941146</v>
      </c>
      <c r="M10754" t="s">
        <v>22497</v>
      </c>
      <c r="N10754" t="s">
        <v>21171</v>
      </c>
      <c r="O10754" t="s">
        <v>22498</v>
      </c>
      <c r="P10754">
        <v>40011</v>
      </c>
      <c r="Q10754" t="str">
        <f>"39.719782"</f>
        <v>39.719782</v>
      </c>
      <c r="R10754" t="str">
        <f>"22.394430"</f>
        <v>22.394430</v>
      </c>
      <c r="S10754" t="s">
        <v>26</v>
      </c>
    </row>
    <row r="10755" spans="1:19" x14ac:dyDescent="0.3">
      <c r="A10755" t="s">
        <v>20660</v>
      </c>
      <c r="B10755" t="s">
        <v>22062</v>
      </c>
      <c r="C10755" t="s">
        <v>22499</v>
      </c>
      <c r="D10755" t="s">
        <v>20667</v>
      </c>
      <c r="E10755" t="s">
        <v>20668</v>
      </c>
      <c r="F10755" t="s">
        <v>20955</v>
      </c>
      <c r="G10755" t="s">
        <v>20987</v>
      </c>
      <c r="H10755" t="s">
        <v>859</v>
      </c>
      <c r="I10755" t="s">
        <v>860</v>
      </c>
      <c r="J10755" t="str">
        <f>"9310468"</f>
        <v>9310468</v>
      </c>
      <c r="K10755">
        <v>2410941146</v>
      </c>
      <c r="L10755">
        <v>2410941146</v>
      </c>
      <c r="M10755" t="s">
        <v>22500</v>
      </c>
      <c r="N10755" t="s">
        <v>21171</v>
      </c>
      <c r="O10755" t="s">
        <v>22498</v>
      </c>
      <c r="P10755">
        <v>40011</v>
      </c>
      <c r="Q10755" t="str">
        <f>"39.743020"</f>
        <v>39.743020</v>
      </c>
      <c r="R10755" t="str">
        <f>"22.369999"</f>
        <v>22.369999</v>
      </c>
      <c r="S10755" t="s">
        <v>26</v>
      </c>
    </row>
    <row r="10756" spans="1:19" x14ac:dyDescent="0.3">
      <c r="A10756" t="s">
        <v>20660</v>
      </c>
      <c r="B10756" t="s">
        <v>22062</v>
      </c>
      <c r="C10756" t="s">
        <v>22501</v>
      </c>
      <c r="D10756" t="s">
        <v>20667</v>
      </c>
      <c r="E10756" t="s">
        <v>20859</v>
      </c>
      <c r="F10756" t="s">
        <v>20859</v>
      </c>
      <c r="G10756" t="s">
        <v>20961</v>
      </c>
      <c r="H10756" t="s">
        <v>859</v>
      </c>
      <c r="I10756" t="s">
        <v>860</v>
      </c>
      <c r="J10756" t="str">
        <f>"9310017"</f>
        <v>9310017</v>
      </c>
      <c r="K10756">
        <v>2493025159</v>
      </c>
      <c r="M10756" t="s">
        <v>22502</v>
      </c>
      <c r="N10756" t="s">
        <v>20964</v>
      </c>
      <c r="O10756" t="s">
        <v>22503</v>
      </c>
      <c r="P10756">
        <v>40200</v>
      </c>
      <c r="Q10756" t="str">
        <f>"39.896929"</f>
        <v>39.896929</v>
      </c>
      <c r="R10756" t="str">
        <f>"22.184225"</f>
        <v>22.184225</v>
      </c>
      <c r="S10756" t="s">
        <v>26</v>
      </c>
    </row>
    <row r="10757" spans="1:19" x14ac:dyDescent="0.3">
      <c r="A10757" t="s">
        <v>20660</v>
      </c>
      <c r="B10757" t="s">
        <v>22062</v>
      </c>
      <c r="C10757" t="s">
        <v>22504</v>
      </c>
      <c r="D10757" t="s">
        <v>20667</v>
      </c>
      <c r="E10757" t="s">
        <v>20859</v>
      </c>
      <c r="F10757" t="s">
        <v>20859</v>
      </c>
      <c r="G10757" t="s">
        <v>20961</v>
      </c>
      <c r="H10757" t="s">
        <v>859</v>
      </c>
      <c r="I10757" t="s">
        <v>860</v>
      </c>
      <c r="J10757" t="str">
        <f>"9310019"</f>
        <v>9310019</v>
      </c>
      <c r="K10757">
        <v>2493025028</v>
      </c>
      <c r="M10757" t="s">
        <v>22505</v>
      </c>
      <c r="N10757" t="s">
        <v>20964</v>
      </c>
      <c r="O10757" t="s">
        <v>22506</v>
      </c>
      <c r="P10757">
        <v>40200</v>
      </c>
      <c r="Q10757" t="str">
        <f>"39.910341"</f>
        <v>39.910341</v>
      </c>
      <c r="R10757" t="str">
        <f>"22.220778"</f>
        <v>22.220778</v>
      </c>
      <c r="S10757" t="s">
        <v>26</v>
      </c>
    </row>
    <row r="10758" spans="1:19" x14ac:dyDescent="0.3">
      <c r="A10758" t="s">
        <v>20660</v>
      </c>
      <c r="B10758" t="s">
        <v>22062</v>
      </c>
      <c r="C10758" t="s">
        <v>22507</v>
      </c>
      <c r="D10758" t="s">
        <v>20667</v>
      </c>
      <c r="E10758" t="s">
        <v>20909</v>
      </c>
      <c r="F10758" t="s">
        <v>17055</v>
      </c>
      <c r="G10758" t="s">
        <v>17055</v>
      </c>
      <c r="H10758" t="s">
        <v>859</v>
      </c>
      <c r="I10758" t="s">
        <v>860</v>
      </c>
      <c r="J10758" t="str">
        <f>"9310441"</f>
        <v>9310441</v>
      </c>
      <c r="K10758">
        <v>2492033371</v>
      </c>
      <c r="M10758" t="s">
        <v>22508</v>
      </c>
      <c r="N10758" t="s">
        <v>17058</v>
      </c>
      <c r="O10758" t="s">
        <v>22509</v>
      </c>
      <c r="P10758">
        <v>40400</v>
      </c>
      <c r="Q10758" t="str">
        <f>"39.749300"</f>
        <v>39.749300</v>
      </c>
      <c r="R10758" t="str">
        <f>"22.355691"</f>
        <v>22.355691</v>
      </c>
      <c r="S10758" t="s">
        <v>26</v>
      </c>
    </row>
    <row r="10759" spans="1:19" x14ac:dyDescent="0.3">
      <c r="A10759" t="s">
        <v>20660</v>
      </c>
      <c r="B10759" t="s">
        <v>22062</v>
      </c>
      <c r="C10759" t="s">
        <v>22510</v>
      </c>
      <c r="D10759" t="s">
        <v>20667</v>
      </c>
      <c r="E10759" t="s">
        <v>20859</v>
      </c>
      <c r="F10759" t="s">
        <v>20859</v>
      </c>
      <c r="G10759" t="s">
        <v>20961</v>
      </c>
      <c r="H10759" t="s">
        <v>859</v>
      </c>
      <c r="I10759" t="s">
        <v>860</v>
      </c>
      <c r="J10759" t="str">
        <f>"9310464"</f>
        <v>9310464</v>
      </c>
      <c r="K10759">
        <v>2493025028</v>
      </c>
      <c r="M10759" t="s">
        <v>22511</v>
      </c>
      <c r="N10759" t="s">
        <v>20964</v>
      </c>
      <c r="O10759" t="s">
        <v>22512</v>
      </c>
      <c r="P10759">
        <v>40200</v>
      </c>
      <c r="Q10759" t="str">
        <f>"39.889510"</f>
        <v>39.889510</v>
      </c>
      <c r="R10759" t="str">
        <f>"22.192845"</f>
        <v>22.192845</v>
      </c>
      <c r="S10759" t="s">
        <v>26</v>
      </c>
    </row>
    <row r="10760" spans="1:19" x14ac:dyDescent="0.3">
      <c r="A10760" t="s">
        <v>20660</v>
      </c>
      <c r="B10760" t="s">
        <v>22062</v>
      </c>
      <c r="C10760" t="s">
        <v>22519</v>
      </c>
      <c r="D10760" t="s">
        <v>20667</v>
      </c>
      <c r="E10760" t="s">
        <v>20859</v>
      </c>
      <c r="F10760" t="s">
        <v>16102</v>
      </c>
      <c r="G10760" t="s">
        <v>16102</v>
      </c>
      <c r="H10760" t="s">
        <v>859</v>
      </c>
      <c r="I10760" t="s">
        <v>860</v>
      </c>
      <c r="J10760" t="str">
        <f>"9310028"</f>
        <v>9310028</v>
      </c>
      <c r="K10760">
        <v>2493091211</v>
      </c>
      <c r="L10760">
        <v>2493091211</v>
      </c>
      <c r="M10760" t="s">
        <v>22520</v>
      </c>
      <c r="N10760" t="s">
        <v>15933</v>
      </c>
      <c r="O10760" t="s">
        <v>15933</v>
      </c>
      <c r="P10760">
        <v>40200</v>
      </c>
      <c r="Q10760" t="str">
        <f>"39.983397"</f>
        <v>39.983397</v>
      </c>
      <c r="R10760" t="str">
        <f>"22.392174"</f>
        <v>22.392174</v>
      </c>
      <c r="S10760" t="s">
        <v>26</v>
      </c>
    </row>
    <row r="10761" spans="1:19" x14ac:dyDescent="0.3">
      <c r="A10761" t="s">
        <v>20660</v>
      </c>
      <c r="B10761" t="s">
        <v>22062</v>
      </c>
      <c r="C10761" t="s">
        <v>22522</v>
      </c>
      <c r="D10761" t="s">
        <v>20667</v>
      </c>
      <c r="E10761" t="s">
        <v>20909</v>
      </c>
      <c r="F10761" t="s">
        <v>17055</v>
      </c>
      <c r="G10761" t="s">
        <v>17055</v>
      </c>
      <c r="H10761" t="s">
        <v>859</v>
      </c>
      <c r="I10761" t="s">
        <v>860</v>
      </c>
      <c r="J10761" t="str">
        <f>"9310236"</f>
        <v>9310236</v>
      </c>
      <c r="K10761">
        <v>2492031405</v>
      </c>
      <c r="L10761">
        <v>2492031405</v>
      </c>
      <c r="M10761" t="s">
        <v>22523</v>
      </c>
      <c r="N10761" t="s">
        <v>17058</v>
      </c>
      <c r="O10761" t="s">
        <v>22427</v>
      </c>
      <c r="P10761">
        <v>40400</v>
      </c>
      <c r="Q10761" t="str">
        <f>"39.746455"</f>
        <v>39.746455</v>
      </c>
      <c r="R10761" t="str">
        <f>"22.362552"</f>
        <v>22.362552</v>
      </c>
      <c r="S10761" t="s">
        <v>26</v>
      </c>
    </row>
    <row r="10762" spans="1:19" x14ac:dyDescent="0.3">
      <c r="A10762" t="s">
        <v>20660</v>
      </c>
      <c r="B10762" t="s">
        <v>22062</v>
      </c>
      <c r="C10762" t="s">
        <v>22524</v>
      </c>
      <c r="D10762" t="s">
        <v>20667</v>
      </c>
      <c r="E10762" t="s">
        <v>20831</v>
      </c>
      <c r="F10762" t="s">
        <v>20832</v>
      </c>
      <c r="G10762" t="s">
        <v>22290</v>
      </c>
      <c r="H10762" t="s">
        <v>859</v>
      </c>
      <c r="I10762" t="s">
        <v>860</v>
      </c>
      <c r="J10762" t="str">
        <f>"9310422"</f>
        <v>9310422</v>
      </c>
      <c r="K10762">
        <v>2495095515</v>
      </c>
      <c r="M10762" t="s">
        <v>22525</v>
      </c>
      <c r="N10762" t="s">
        <v>22293</v>
      </c>
      <c r="O10762" t="s">
        <v>22293</v>
      </c>
      <c r="P10762">
        <v>40007</v>
      </c>
      <c r="Q10762" t="str">
        <f>"39.954330"</f>
        <v>39.954330</v>
      </c>
      <c r="R10762" t="str">
        <f>"22.610661"</f>
        <v>22.610661</v>
      </c>
      <c r="S10762" t="s">
        <v>26</v>
      </c>
    </row>
    <row r="10763" spans="1:19" x14ac:dyDescent="0.3">
      <c r="A10763" t="s">
        <v>20660</v>
      </c>
      <c r="B10763" t="s">
        <v>22062</v>
      </c>
      <c r="C10763" t="s">
        <v>22526</v>
      </c>
      <c r="D10763" t="s">
        <v>20667</v>
      </c>
      <c r="E10763" t="s">
        <v>20909</v>
      </c>
      <c r="F10763" t="s">
        <v>20909</v>
      </c>
      <c r="G10763" t="s">
        <v>22295</v>
      </c>
      <c r="H10763" t="s">
        <v>859</v>
      </c>
      <c r="I10763" t="s">
        <v>860</v>
      </c>
      <c r="J10763" t="str">
        <f>"9310148"</f>
        <v>9310148</v>
      </c>
      <c r="K10763">
        <v>2492066339</v>
      </c>
      <c r="M10763" t="s">
        <v>22527</v>
      </c>
      <c r="N10763" t="s">
        <v>22298</v>
      </c>
      <c r="O10763" t="s">
        <v>22298</v>
      </c>
      <c r="P10763">
        <v>40100</v>
      </c>
      <c r="Q10763" t="str">
        <f>"39.714035"</f>
        <v>39.714035</v>
      </c>
      <c r="R10763" t="str">
        <f>"22.188079"</f>
        <v>22.188079</v>
      </c>
      <c r="S10763" t="s">
        <v>26</v>
      </c>
    </row>
    <row r="10764" spans="1:19" x14ac:dyDescent="0.3">
      <c r="A10764" t="s">
        <v>20660</v>
      </c>
      <c r="B10764" t="s">
        <v>22062</v>
      </c>
      <c r="C10764" t="s">
        <v>22528</v>
      </c>
      <c r="D10764" t="s">
        <v>20667</v>
      </c>
      <c r="E10764" t="s">
        <v>20859</v>
      </c>
      <c r="F10764" t="s">
        <v>20860</v>
      </c>
      <c r="G10764" t="s">
        <v>20861</v>
      </c>
      <c r="H10764" t="s">
        <v>859</v>
      </c>
      <c r="I10764" t="s">
        <v>860</v>
      </c>
      <c r="J10764" t="str">
        <f>"9310036"</f>
        <v>9310036</v>
      </c>
      <c r="K10764">
        <v>2493051001</v>
      </c>
      <c r="M10764" t="s">
        <v>22529</v>
      </c>
      <c r="N10764" t="s">
        <v>20864</v>
      </c>
      <c r="O10764" t="s">
        <v>20864</v>
      </c>
      <c r="P10764">
        <v>40200</v>
      </c>
      <c r="Q10764" t="str">
        <f>"39.948838"</f>
        <v>39.948838</v>
      </c>
      <c r="R10764" t="str">
        <f>"21.969118"</f>
        <v>21.969118</v>
      </c>
      <c r="S10764" t="s">
        <v>26</v>
      </c>
    </row>
    <row r="10765" spans="1:19" x14ac:dyDescent="0.3">
      <c r="A10765" t="s">
        <v>20660</v>
      </c>
      <c r="B10765" t="s">
        <v>22062</v>
      </c>
      <c r="C10765" t="s">
        <v>22530</v>
      </c>
      <c r="D10765" t="s">
        <v>20667</v>
      </c>
      <c r="E10765" t="s">
        <v>20909</v>
      </c>
      <c r="F10765" t="s">
        <v>20909</v>
      </c>
      <c r="G10765" t="s">
        <v>22136</v>
      </c>
      <c r="H10765" t="s">
        <v>859</v>
      </c>
      <c r="I10765" t="s">
        <v>860</v>
      </c>
      <c r="J10765" t="str">
        <f>"9310389"</f>
        <v>9310389</v>
      </c>
      <c r="K10765">
        <v>2410831321</v>
      </c>
      <c r="L10765">
        <v>2410831321</v>
      </c>
      <c r="M10765" t="s">
        <v>22531</v>
      </c>
      <c r="N10765" t="s">
        <v>22532</v>
      </c>
      <c r="O10765" t="s">
        <v>22532</v>
      </c>
      <c r="P10765">
        <v>41500</v>
      </c>
      <c r="Q10765" t="str">
        <f>"39.677333"</f>
        <v>39.677333</v>
      </c>
      <c r="R10765" t="str">
        <f>"22.308735"</f>
        <v>22.308735</v>
      </c>
      <c r="S10765" t="s">
        <v>26</v>
      </c>
    </row>
    <row r="10766" spans="1:19" x14ac:dyDescent="0.3">
      <c r="A10766" t="s">
        <v>20660</v>
      </c>
      <c r="B10766" t="s">
        <v>22062</v>
      </c>
      <c r="C10766" t="s">
        <v>22533</v>
      </c>
      <c r="D10766" t="s">
        <v>20667</v>
      </c>
      <c r="E10766" t="s">
        <v>20831</v>
      </c>
      <c r="F10766" t="s">
        <v>20832</v>
      </c>
      <c r="G10766" t="s">
        <v>20833</v>
      </c>
      <c r="H10766" t="s">
        <v>859</v>
      </c>
      <c r="I10766" t="s">
        <v>860</v>
      </c>
      <c r="J10766" t="str">
        <f>"9310250"</f>
        <v>9310250</v>
      </c>
      <c r="K10766">
        <v>2495041990</v>
      </c>
      <c r="M10766" t="s">
        <v>22534</v>
      </c>
      <c r="N10766" t="s">
        <v>20836</v>
      </c>
      <c r="O10766" t="s">
        <v>20836</v>
      </c>
      <c r="P10766">
        <v>40007</v>
      </c>
      <c r="Q10766" t="str">
        <f>"39.919211"</f>
        <v>39.919211</v>
      </c>
      <c r="R10766" t="str">
        <f>"22.589784"</f>
        <v>22.589784</v>
      </c>
      <c r="S10766" t="s">
        <v>26</v>
      </c>
    </row>
    <row r="10767" spans="1:19" x14ac:dyDescent="0.3">
      <c r="A10767" t="s">
        <v>20660</v>
      </c>
      <c r="B10767" t="s">
        <v>22062</v>
      </c>
      <c r="C10767" t="s">
        <v>22535</v>
      </c>
      <c r="D10767" t="s">
        <v>20667</v>
      </c>
      <c r="E10767" t="s">
        <v>20668</v>
      </c>
      <c r="F10767" t="s">
        <v>20668</v>
      </c>
      <c r="G10767" t="s">
        <v>20669</v>
      </c>
      <c r="H10767" t="s">
        <v>859</v>
      </c>
      <c r="I10767" t="s">
        <v>860</v>
      </c>
      <c r="J10767" t="str">
        <f>"9310385"</f>
        <v>9310385</v>
      </c>
      <c r="K10767">
        <v>2410533578</v>
      </c>
      <c r="L10767">
        <v>2410538891</v>
      </c>
      <c r="M10767" t="s">
        <v>22536</v>
      </c>
      <c r="N10767" t="s">
        <v>20672</v>
      </c>
      <c r="O10767" t="s">
        <v>22337</v>
      </c>
      <c r="P10767">
        <v>41447</v>
      </c>
      <c r="Q10767" t="str">
        <f>"39.640232"</f>
        <v>39.640232</v>
      </c>
      <c r="R10767" t="str">
        <f>"22.404044"</f>
        <v>22.404044</v>
      </c>
      <c r="S10767" t="s">
        <v>26</v>
      </c>
    </row>
    <row r="10768" spans="1:19" x14ac:dyDescent="0.3">
      <c r="A10768" t="s">
        <v>20660</v>
      </c>
      <c r="B10768" t="s">
        <v>22062</v>
      </c>
      <c r="C10768" t="s">
        <v>22537</v>
      </c>
      <c r="D10768" t="s">
        <v>20667</v>
      </c>
      <c r="E10768" t="s">
        <v>20668</v>
      </c>
      <c r="F10768" t="s">
        <v>20668</v>
      </c>
      <c r="G10768" t="s">
        <v>20841</v>
      </c>
      <c r="H10768" t="s">
        <v>859</v>
      </c>
      <c r="I10768" t="s">
        <v>860</v>
      </c>
      <c r="J10768" t="str">
        <f>"9310419"</f>
        <v>9310419</v>
      </c>
      <c r="K10768">
        <v>2410234740</v>
      </c>
      <c r="M10768" t="s">
        <v>22538</v>
      </c>
      <c r="N10768" t="s">
        <v>20672</v>
      </c>
      <c r="O10768" t="s">
        <v>22539</v>
      </c>
      <c r="P10768">
        <v>41221</v>
      </c>
      <c r="Q10768" t="str">
        <f>"39.641769"</f>
        <v>39.641769</v>
      </c>
      <c r="R10768" t="str">
        <f>"22.423429"</f>
        <v>22.423429</v>
      </c>
      <c r="S10768" t="s">
        <v>26</v>
      </c>
    </row>
    <row r="10769" spans="1:19" x14ac:dyDescent="0.3">
      <c r="A10769" t="s">
        <v>20660</v>
      </c>
      <c r="B10769" t="s">
        <v>22062</v>
      </c>
      <c r="C10769" t="s">
        <v>22540</v>
      </c>
      <c r="D10769" t="s">
        <v>20667</v>
      </c>
      <c r="E10769" t="s">
        <v>20668</v>
      </c>
      <c r="F10769" t="s">
        <v>20668</v>
      </c>
      <c r="G10769" t="s">
        <v>20669</v>
      </c>
      <c r="H10769" t="s">
        <v>859</v>
      </c>
      <c r="I10769" t="s">
        <v>860</v>
      </c>
      <c r="J10769" t="str">
        <f>"9310386"</f>
        <v>9310386</v>
      </c>
      <c r="K10769">
        <v>2410535702</v>
      </c>
      <c r="L10769">
        <v>2410535702</v>
      </c>
      <c r="M10769" t="s">
        <v>22541</v>
      </c>
      <c r="N10769" t="s">
        <v>20672</v>
      </c>
      <c r="O10769" t="s">
        <v>22542</v>
      </c>
      <c r="P10769">
        <v>41447</v>
      </c>
      <c r="Q10769" t="str">
        <f>"39.646360"</f>
        <v>39.646360</v>
      </c>
      <c r="R10769" t="str">
        <f>"22.409095"</f>
        <v>22.409095</v>
      </c>
      <c r="S10769" t="s">
        <v>26</v>
      </c>
    </row>
    <row r="10770" spans="1:19" x14ac:dyDescent="0.3">
      <c r="A10770" t="s">
        <v>20660</v>
      </c>
      <c r="B10770" t="s">
        <v>22062</v>
      </c>
      <c r="C10770" t="s">
        <v>22543</v>
      </c>
      <c r="D10770" t="s">
        <v>20667</v>
      </c>
      <c r="E10770" t="s">
        <v>20831</v>
      </c>
      <c r="F10770" t="s">
        <v>20870</v>
      </c>
      <c r="G10770" t="s">
        <v>20870</v>
      </c>
      <c r="H10770" t="s">
        <v>859</v>
      </c>
      <c r="I10770" t="s">
        <v>860</v>
      </c>
      <c r="J10770" t="str">
        <f>"9310242"</f>
        <v>9310242</v>
      </c>
      <c r="K10770">
        <v>2495031483</v>
      </c>
      <c r="L10770">
        <v>2495031483</v>
      </c>
      <c r="M10770" t="s">
        <v>22544</v>
      </c>
      <c r="N10770" t="s">
        <v>20873</v>
      </c>
      <c r="O10770" t="s">
        <v>20873</v>
      </c>
      <c r="P10770">
        <v>40004</v>
      </c>
      <c r="Q10770" t="str">
        <f>"39.861580"</f>
        <v>39.861580</v>
      </c>
      <c r="R10770" t="str">
        <f>"22.473788"</f>
        <v>22.473788</v>
      </c>
      <c r="S10770" t="s">
        <v>26</v>
      </c>
    </row>
    <row r="10771" spans="1:19" x14ac:dyDescent="0.3">
      <c r="A10771" t="s">
        <v>20660</v>
      </c>
      <c r="B10771" t="s">
        <v>22062</v>
      </c>
      <c r="C10771" t="s">
        <v>22545</v>
      </c>
      <c r="D10771" t="s">
        <v>20667</v>
      </c>
      <c r="E10771" t="s">
        <v>20668</v>
      </c>
      <c r="F10771" t="s">
        <v>20668</v>
      </c>
      <c r="G10771" t="s">
        <v>20841</v>
      </c>
      <c r="H10771" t="s">
        <v>859</v>
      </c>
      <c r="I10771" t="s">
        <v>860</v>
      </c>
      <c r="J10771" t="str">
        <f>"9310104"</f>
        <v>9310104</v>
      </c>
      <c r="K10771">
        <v>2410234740</v>
      </c>
      <c r="M10771" t="s">
        <v>22546</v>
      </c>
      <c r="N10771" t="s">
        <v>20672</v>
      </c>
      <c r="O10771" t="s">
        <v>22539</v>
      </c>
      <c r="P10771">
        <v>41221</v>
      </c>
      <c r="Q10771" t="str">
        <f>"39.641769"</f>
        <v>39.641769</v>
      </c>
      <c r="R10771" t="str">
        <f>"22.423429"</f>
        <v>22.423429</v>
      </c>
      <c r="S10771" t="s">
        <v>26</v>
      </c>
    </row>
    <row r="10772" spans="1:19" x14ac:dyDescent="0.3">
      <c r="A10772" t="s">
        <v>20660</v>
      </c>
      <c r="B10772" t="s">
        <v>22062</v>
      </c>
      <c r="C10772" t="s">
        <v>22547</v>
      </c>
      <c r="D10772" t="s">
        <v>20667</v>
      </c>
      <c r="E10772" t="s">
        <v>20668</v>
      </c>
      <c r="F10772" t="s">
        <v>20668</v>
      </c>
      <c r="G10772" t="s">
        <v>20669</v>
      </c>
      <c r="H10772" t="s">
        <v>859</v>
      </c>
      <c r="I10772" t="s">
        <v>860</v>
      </c>
      <c r="J10772" t="str">
        <f>"9310373"</f>
        <v>9310373</v>
      </c>
      <c r="K10772">
        <v>2410253180</v>
      </c>
      <c r="M10772" t="s">
        <v>22548</v>
      </c>
      <c r="N10772" t="s">
        <v>20672</v>
      </c>
      <c r="O10772" t="s">
        <v>22549</v>
      </c>
      <c r="P10772">
        <v>41447</v>
      </c>
      <c r="Q10772" t="str">
        <f>"39.651102"</f>
        <v>39.651102</v>
      </c>
      <c r="R10772" t="str">
        <f>"22.414903"</f>
        <v>22.414903</v>
      </c>
      <c r="S10772" t="s">
        <v>26</v>
      </c>
    </row>
    <row r="10773" spans="1:19" x14ac:dyDescent="0.3">
      <c r="A10773" t="s">
        <v>20660</v>
      </c>
      <c r="B10773" t="s">
        <v>22062</v>
      </c>
      <c r="C10773" t="s">
        <v>22559</v>
      </c>
      <c r="D10773" t="s">
        <v>20667</v>
      </c>
      <c r="E10773" t="s">
        <v>20909</v>
      </c>
      <c r="F10773" t="s">
        <v>20909</v>
      </c>
      <c r="G10773" t="s">
        <v>22136</v>
      </c>
      <c r="H10773" t="s">
        <v>859</v>
      </c>
      <c r="I10773" t="s">
        <v>860</v>
      </c>
      <c r="J10773" t="str">
        <f>"9310501"</f>
        <v>9310501</v>
      </c>
      <c r="K10773">
        <v>2410831443</v>
      </c>
      <c r="L10773">
        <v>2410831519</v>
      </c>
      <c r="M10773" t="s">
        <v>22560</v>
      </c>
      <c r="N10773" t="s">
        <v>22561</v>
      </c>
      <c r="O10773" t="s">
        <v>22561</v>
      </c>
      <c r="P10773">
        <v>41500</v>
      </c>
      <c r="Q10773" t="str">
        <f>"39.688202"</f>
        <v>39.688202</v>
      </c>
      <c r="R10773" t="str">
        <f>"22.336468"</f>
        <v>22.336468</v>
      </c>
      <c r="S10773" t="s">
        <v>26</v>
      </c>
    </row>
    <row r="10774" spans="1:19" x14ac:dyDescent="0.3">
      <c r="A10774" t="s">
        <v>20660</v>
      </c>
      <c r="B10774" t="s">
        <v>22062</v>
      </c>
      <c r="C10774" t="s">
        <v>22563</v>
      </c>
      <c r="D10774" t="s">
        <v>20667</v>
      </c>
      <c r="E10774" t="s">
        <v>20859</v>
      </c>
      <c r="F10774" t="s">
        <v>1782</v>
      </c>
      <c r="G10774" t="s">
        <v>22562</v>
      </c>
      <c r="H10774" t="s">
        <v>859</v>
      </c>
      <c r="I10774" t="s">
        <v>860</v>
      </c>
      <c r="J10774" t="str">
        <f>"9310154"</f>
        <v>9310154</v>
      </c>
      <c r="K10774">
        <v>2493083023</v>
      </c>
      <c r="L10774">
        <v>2493083023</v>
      </c>
      <c r="M10774" t="s">
        <v>22564</v>
      </c>
      <c r="N10774" t="s">
        <v>22565</v>
      </c>
      <c r="O10774" t="s">
        <v>22565</v>
      </c>
      <c r="P10774">
        <v>40200</v>
      </c>
      <c r="Q10774" t="str">
        <f>"39.791265"</f>
        <v>39.791265</v>
      </c>
      <c r="R10774" t="str">
        <f>"22.067717"</f>
        <v>22.067717</v>
      </c>
      <c r="S10774" t="s">
        <v>26</v>
      </c>
    </row>
    <row r="10775" spans="1:19" x14ac:dyDescent="0.3">
      <c r="A10775" t="s">
        <v>20660</v>
      </c>
      <c r="B10775" t="s">
        <v>22062</v>
      </c>
      <c r="C10775" t="s">
        <v>22566</v>
      </c>
      <c r="D10775" t="s">
        <v>20667</v>
      </c>
      <c r="E10775" t="s">
        <v>20668</v>
      </c>
      <c r="F10775" t="s">
        <v>20668</v>
      </c>
      <c r="G10775" t="s">
        <v>20669</v>
      </c>
      <c r="H10775" t="s">
        <v>859</v>
      </c>
      <c r="I10775" t="s">
        <v>860</v>
      </c>
      <c r="J10775" t="str">
        <f>"9310219"</f>
        <v>9310219</v>
      </c>
      <c r="K10775">
        <v>2410535702</v>
      </c>
      <c r="L10775">
        <v>2410535702</v>
      </c>
      <c r="M10775" t="s">
        <v>22567</v>
      </c>
      <c r="N10775" t="s">
        <v>20672</v>
      </c>
      <c r="O10775" t="s">
        <v>22542</v>
      </c>
      <c r="P10775">
        <v>41447</v>
      </c>
      <c r="Q10775" t="str">
        <f>"39.646186"</f>
        <v>39.646186</v>
      </c>
      <c r="R10775" t="str">
        <f>"22.409090"</f>
        <v>22.409090</v>
      </c>
      <c r="S10775" t="s">
        <v>26</v>
      </c>
    </row>
    <row r="10776" spans="1:19" x14ac:dyDescent="0.3">
      <c r="A10776" t="s">
        <v>20660</v>
      </c>
      <c r="B10776" t="s">
        <v>22062</v>
      </c>
      <c r="C10776" t="s">
        <v>22571</v>
      </c>
      <c r="D10776" t="s">
        <v>20667</v>
      </c>
      <c r="E10776" t="s">
        <v>20668</v>
      </c>
      <c r="F10776" t="s">
        <v>20668</v>
      </c>
      <c r="G10776" t="s">
        <v>20841</v>
      </c>
      <c r="H10776" t="s">
        <v>859</v>
      </c>
      <c r="I10776" t="s">
        <v>860</v>
      </c>
      <c r="J10776" t="str">
        <f>"9310420"</f>
        <v>9310420</v>
      </c>
      <c r="K10776">
        <v>2410238290</v>
      </c>
      <c r="L10776">
        <v>2410238290</v>
      </c>
      <c r="M10776" t="s">
        <v>22572</v>
      </c>
      <c r="N10776" t="s">
        <v>20672</v>
      </c>
      <c r="O10776" t="s">
        <v>22573</v>
      </c>
      <c r="P10776">
        <v>41221</v>
      </c>
      <c r="Q10776" t="str">
        <f>"39.637408"</f>
        <v>39.637408</v>
      </c>
      <c r="R10776" t="str">
        <f>"22.424206"</f>
        <v>22.424206</v>
      </c>
      <c r="S10776" t="s">
        <v>26</v>
      </c>
    </row>
    <row r="10777" spans="1:19" x14ac:dyDescent="0.3">
      <c r="A10777" t="s">
        <v>20660</v>
      </c>
      <c r="B10777" t="s">
        <v>22062</v>
      </c>
      <c r="C10777" t="s">
        <v>22574</v>
      </c>
      <c r="D10777" t="s">
        <v>20667</v>
      </c>
      <c r="E10777" t="s">
        <v>20668</v>
      </c>
      <c r="F10777" t="s">
        <v>20668</v>
      </c>
      <c r="G10777" t="s">
        <v>20841</v>
      </c>
      <c r="H10777" t="s">
        <v>859</v>
      </c>
      <c r="I10777" t="s">
        <v>860</v>
      </c>
      <c r="J10777" t="str">
        <f>"9310349"</f>
        <v>9310349</v>
      </c>
      <c r="K10777">
        <v>2410530014</v>
      </c>
      <c r="L10777">
        <v>2410530014</v>
      </c>
      <c r="M10777" t="s">
        <v>22575</v>
      </c>
      <c r="N10777" t="s">
        <v>20672</v>
      </c>
      <c r="O10777" t="s">
        <v>22576</v>
      </c>
      <c r="P10777">
        <v>41447</v>
      </c>
      <c r="Q10777" t="str">
        <f>"39.645460"</f>
        <v>39.645460</v>
      </c>
      <c r="R10777" t="str">
        <f>"22.418942"</f>
        <v>22.418942</v>
      </c>
      <c r="S10777" t="s">
        <v>26</v>
      </c>
    </row>
    <row r="10778" spans="1:19" x14ac:dyDescent="0.3">
      <c r="A10778" t="s">
        <v>20660</v>
      </c>
      <c r="B10778" t="s">
        <v>22062</v>
      </c>
      <c r="C10778" t="s">
        <v>22577</v>
      </c>
      <c r="D10778" t="s">
        <v>20667</v>
      </c>
      <c r="E10778" t="s">
        <v>20831</v>
      </c>
      <c r="F10778" t="s">
        <v>20846</v>
      </c>
      <c r="G10778" t="s">
        <v>20846</v>
      </c>
      <c r="H10778" t="s">
        <v>859</v>
      </c>
      <c r="I10778" t="s">
        <v>860</v>
      </c>
      <c r="J10778" t="str">
        <f>"9310227"</f>
        <v>9310227</v>
      </c>
      <c r="K10778">
        <v>2495022118</v>
      </c>
      <c r="L10778">
        <v>2495022118</v>
      </c>
      <c r="M10778" t="s">
        <v>22578</v>
      </c>
      <c r="N10778" t="s">
        <v>20849</v>
      </c>
      <c r="O10778" t="s">
        <v>20849</v>
      </c>
      <c r="P10778">
        <v>40006</v>
      </c>
      <c r="Q10778" t="str">
        <f>"39.802136"</f>
        <v>39.802136</v>
      </c>
      <c r="R10778" t="str">
        <f>"22.495216"</f>
        <v>22.495216</v>
      </c>
      <c r="S10778" t="s">
        <v>26</v>
      </c>
    </row>
    <row r="10779" spans="1:19" x14ac:dyDescent="0.3">
      <c r="A10779" t="s">
        <v>20660</v>
      </c>
      <c r="B10779" t="s">
        <v>22062</v>
      </c>
      <c r="C10779" t="s">
        <v>22579</v>
      </c>
      <c r="D10779" t="s">
        <v>20667</v>
      </c>
      <c r="E10779" t="s">
        <v>20909</v>
      </c>
      <c r="F10779" t="s">
        <v>20909</v>
      </c>
      <c r="G10779" t="s">
        <v>20909</v>
      </c>
      <c r="H10779" t="s">
        <v>859</v>
      </c>
      <c r="I10779" t="s">
        <v>860</v>
      </c>
      <c r="J10779" t="str">
        <f>"9310434"</f>
        <v>9310434</v>
      </c>
      <c r="K10779">
        <v>2492022640</v>
      </c>
      <c r="L10779">
        <v>2492022640</v>
      </c>
      <c r="M10779" t="s">
        <v>22580</v>
      </c>
      <c r="N10779" t="s">
        <v>20977</v>
      </c>
      <c r="O10779" t="s">
        <v>22581</v>
      </c>
      <c r="P10779">
        <v>40100</v>
      </c>
      <c r="Q10779" t="str">
        <f>"39.732823"</f>
        <v>39.732823</v>
      </c>
      <c r="R10779" t="str">
        <f>"22.282099"</f>
        <v>22.282099</v>
      </c>
      <c r="S10779" t="s">
        <v>26</v>
      </c>
    </row>
    <row r="10780" spans="1:19" x14ac:dyDescent="0.3">
      <c r="A10780" t="s">
        <v>20660</v>
      </c>
      <c r="B10780" t="s">
        <v>22062</v>
      </c>
      <c r="C10780" t="s">
        <v>22584</v>
      </c>
      <c r="D10780" t="s">
        <v>20667</v>
      </c>
      <c r="E10780" t="s">
        <v>20668</v>
      </c>
      <c r="F10780" t="s">
        <v>20955</v>
      </c>
      <c r="G10780" t="s">
        <v>20955</v>
      </c>
      <c r="H10780" t="s">
        <v>859</v>
      </c>
      <c r="I10780" t="s">
        <v>860</v>
      </c>
      <c r="J10780" t="str">
        <f>"9310515"</f>
        <v>9310515</v>
      </c>
      <c r="K10780">
        <v>2410593061</v>
      </c>
      <c r="L10780">
        <v>2410593061</v>
      </c>
      <c r="M10780" t="s">
        <v>22585</v>
      </c>
      <c r="N10780" t="s">
        <v>20958</v>
      </c>
      <c r="O10780" t="s">
        <v>22586</v>
      </c>
      <c r="P10780">
        <v>41500</v>
      </c>
      <c r="Q10780" t="str">
        <f>"39.655357"</f>
        <v>39.655357</v>
      </c>
      <c r="R10780" t="str">
        <f>"22.402602"</f>
        <v>22.402602</v>
      </c>
      <c r="S10780" t="s">
        <v>26</v>
      </c>
    </row>
    <row r="10781" spans="1:19" x14ac:dyDescent="0.3">
      <c r="A10781" t="s">
        <v>20660</v>
      </c>
      <c r="B10781" t="s">
        <v>22062</v>
      </c>
      <c r="C10781" t="s">
        <v>22587</v>
      </c>
      <c r="D10781" t="s">
        <v>20667</v>
      </c>
      <c r="E10781" t="s">
        <v>20909</v>
      </c>
      <c r="F10781" t="s">
        <v>20909</v>
      </c>
      <c r="G10781" t="s">
        <v>20909</v>
      </c>
      <c r="H10781" t="s">
        <v>859</v>
      </c>
      <c r="I10781" t="s">
        <v>860</v>
      </c>
      <c r="J10781" t="str">
        <f>"9310195"</f>
        <v>9310195</v>
      </c>
      <c r="K10781">
        <v>2492024440</v>
      </c>
      <c r="L10781">
        <v>2492024440</v>
      </c>
      <c r="M10781" t="s">
        <v>22588</v>
      </c>
      <c r="N10781" t="s">
        <v>20977</v>
      </c>
      <c r="O10781" t="s">
        <v>5010</v>
      </c>
      <c r="P10781">
        <v>40100</v>
      </c>
      <c r="Q10781" t="str">
        <f>"39.739486"</f>
        <v>39.739486</v>
      </c>
      <c r="R10781" t="str">
        <f>"22.290904"</f>
        <v>22.290904</v>
      </c>
      <c r="S10781" t="s">
        <v>26</v>
      </c>
    </row>
    <row r="10782" spans="1:19" x14ac:dyDescent="0.3">
      <c r="A10782" t="s">
        <v>20660</v>
      </c>
      <c r="B10782" t="s">
        <v>22062</v>
      </c>
      <c r="C10782" t="s">
        <v>22589</v>
      </c>
      <c r="D10782" t="s">
        <v>20667</v>
      </c>
      <c r="E10782" t="s">
        <v>20909</v>
      </c>
      <c r="F10782" t="s">
        <v>20909</v>
      </c>
      <c r="G10782" t="s">
        <v>20909</v>
      </c>
      <c r="H10782" t="s">
        <v>859</v>
      </c>
      <c r="I10782" t="s">
        <v>860</v>
      </c>
      <c r="J10782" t="str">
        <f>"9310328"</f>
        <v>9310328</v>
      </c>
      <c r="K10782">
        <v>2492023170</v>
      </c>
      <c r="L10782">
        <v>2492023170</v>
      </c>
      <c r="M10782" t="s">
        <v>22590</v>
      </c>
      <c r="N10782" t="s">
        <v>20977</v>
      </c>
      <c r="O10782" t="s">
        <v>22591</v>
      </c>
      <c r="P10782">
        <v>40100</v>
      </c>
      <c r="Q10782" t="str">
        <f>"39.741565"</f>
        <v>39.741565</v>
      </c>
      <c r="R10782" t="str">
        <f>"22.277179"</f>
        <v>22.277179</v>
      </c>
      <c r="S10782" t="s">
        <v>26</v>
      </c>
    </row>
    <row r="10783" spans="1:19" x14ac:dyDescent="0.3">
      <c r="A10783" t="s">
        <v>20660</v>
      </c>
      <c r="B10783" t="s">
        <v>22062</v>
      </c>
      <c r="C10783" t="s">
        <v>22592</v>
      </c>
      <c r="D10783" t="s">
        <v>20667</v>
      </c>
      <c r="E10783" t="s">
        <v>20909</v>
      </c>
      <c r="F10783" t="s">
        <v>20909</v>
      </c>
      <c r="G10783" t="s">
        <v>20909</v>
      </c>
      <c r="H10783" t="s">
        <v>859</v>
      </c>
      <c r="I10783" t="s">
        <v>860</v>
      </c>
      <c r="J10783" t="str">
        <f>"9310196"</f>
        <v>9310196</v>
      </c>
      <c r="K10783">
        <v>2492023814</v>
      </c>
      <c r="L10783">
        <v>2492023814</v>
      </c>
      <c r="M10783" t="s">
        <v>22593</v>
      </c>
      <c r="N10783" t="s">
        <v>20977</v>
      </c>
      <c r="O10783" t="s">
        <v>22197</v>
      </c>
      <c r="P10783">
        <v>40100</v>
      </c>
      <c r="Q10783" t="str">
        <f>"39.740083"</f>
        <v>39.740083</v>
      </c>
      <c r="R10783" t="str">
        <f>"22.288382"</f>
        <v>22.288382</v>
      </c>
      <c r="S10783" t="s">
        <v>26</v>
      </c>
    </row>
    <row r="10784" spans="1:19" x14ac:dyDescent="0.3">
      <c r="A10784" t="s">
        <v>20660</v>
      </c>
      <c r="B10784" t="s">
        <v>22062</v>
      </c>
      <c r="C10784" t="s">
        <v>22594</v>
      </c>
      <c r="D10784" t="s">
        <v>20667</v>
      </c>
      <c r="E10784" t="s">
        <v>20909</v>
      </c>
      <c r="F10784" t="s">
        <v>20909</v>
      </c>
      <c r="G10784" t="s">
        <v>20909</v>
      </c>
      <c r="H10784" t="s">
        <v>859</v>
      </c>
      <c r="I10784" t="s">
        <v>860</v>
      </c>
      <c r="J10784" t="str">
        <f>"9310194"</f>
        <v>9310194</v>
      </c>
      <c r="K10784">
        <v>2492024220</v>
      </c>
      <c r="L10784">
        <v>2492024220</v>
      </c>
      <c r="M10784" t="s">
        <v>22595</v>
      </c>
      <c r="N10784" t="s">
        <v>20977</v>
      </c>
      <c r="O10784" t="s">
        <v>22203</v>
      </c>
      <c r="P10784">
        <v>40100</v>
      </c>
      <c r="Q10784" t="str">
        <f>"39.739066"</f>
        <v>39.739066</v>
      </c>
      <c r="R10784" t="str">
        <f>"22.284388"</f>
        <v>22.284388</v>
      </c>
      <c r="S10784" t="s">
        <v>26</v>
      </c>
    </row>
    <row r="10785" spans="1:19" x14ac:dyDescent="0.3">
      <c r="A10785" t="s">
        <v>20660</v>
      </c>
      <c r="B10785" t="s">
        <v>22062</v>
      </c>
      <c r="C10785" t="s">
        <v>22596</v>
      </c>
      <c r="D10785" t="s">
        <v>20667</v>
      </c>
      <c r="E10785" t="s">
        <v>20909</v>
      </c>
      <c r="F10785" t="s">
        <v>20909</v>
      </c>
      <c r="G10785" t="s">
        <v>20909</v>
      </c>
      <c r="H10785" t="s">
        <v>859</v>
      </c>
      <c r="I10785" t="s">
        <v>860</v>
      </c>
      <c r="J10785" t="str">
        <f>"9520604"</f>
        <v>9520604</v>
      </c>
      <c r="K10785">
        <v>2492022640</v>
      </c>
      <c r="L10785">
        <v>2492022640</v>
      </c>
      <c r="M10785" t="s">
        <v>22597</v>
      </c>
      <c r="N10785" t="s">
        <v>20977</v>
      </c>
      <c r="O10785" t="s">
        <v>22581</v>
      </c>
      <c r="P10785">
        <v>40100</v>
      </c>
      <c r="Q10785" t="str">
        <f>"39.732756"</f>
        <v>39.732756</v>
      </c>
      <c r="R10785" t="str">
        <f>"22.282118"</f>
        <v>22.282118</v>
      </c>
      <c r="S10785" t="s">
        <v>26</v>
      </c>
    </row>
    <row r="10786" spans="1:19" x14ac:dyDescent="0.3">
      <c r="A10786" t="s">
        <v>20660</v>
      </c>
      <c r="B10786" t="s">
        <v>22062</v>
      </c>
      <c r="C10786" t="s">
        <v>22598</v>
      </c>
      <c r="D10786" t="s">
        <v>20667</v>
      </c>
      <c r="E10786" t="s">
        <v>20668</v>
      </c>
      <c r="F10786" t="s">
        <v>20955</v>
      </c>
      <c r="G10786" t="s">
        <v>20955</v>
      </c>
      <c r="H10786" t="s">
        <v>859</v>
      </c>
      <c r="I10786" t="s">
        <v>860</v>
      </c>
      <c r="J10786" t="str">
        <f>"9310494"</f>
        <v>9310494</v>
      </c>
      <c r="K10786">
        <v>2410592328</v>
      </c>
      <c r="L10786">
        <v>2410592328</v>
      </c>
      <c r="M10786" t="s">
        <v>22599</v>
      </c>
      <c r="N10786" t="s">
        <v>20958</v>
      </c>
      <c r="O10786" t="s">
        <v>22600</v>
      </c>
      <c r="P10786">
        <v>41500</v>
      </c>
      <c r="Q10786" t="str">
        <f>"39.670668"</f>
        <v>39.670668</v>
      </c>
      <c r="R10786" t="str">
        <f>"22.391314"</f>
        <v>22.391314</v>
      </c>
      <c r="S10786" t="s">
        <v>26</v>
      </c>
    </row>
    <row r="10787" spans="1:19" x14ac:dyDescent="0.3">
      <c r="A10787" t="s">
        <v>20660</v>
      </c>
      <c r="B10787" t="s">
        <v>22062</v>
      </c>
      <c r="C10787" t="s">
        <v>22601</v>
      </c>
      <c r="D10787" t="s">
        <v>20667</v>
      </c>
      <c r="E10787" t="s">
        <v>20668</v>
      </c>
      <c r="F10787" t="s">
        <v>20955</v>
      </c>
      <c r="G10787" t="s">
        <v>20955</v>
      </c>
      <c r="H10787" t="s">
        <v>859</v>
      </c>
      <c r="I10787" t="s">
        <v>860</v>
      </c>
      <c r="J10787" t="str">
        <f>"9310200"</f>
        <v>9310200</v>
      </c>
      <c r="K10787">
        <v>2410592330</v>
      </c>
      <c r="L10787">
        <v>2410592330</v>
      </c>
      <c r="M10787" t="s">
        <v>22602</v>
      </c>
      <c r="N10787" t="s">
        <v>20958</v>
      </c>
      <c r="O10787" t="s">
        <v>22603</v>
      </c>
      <c r="P10787">
        <v>41500</v>
      </c>
      <c r="Q10787" t="str">
        <f>"39.664920"</f>
        <v>39.664920</v>
      </c>
      <c r="R10787" t="str">
        <f>"22.389131"</f>
        <v>22.389131</v>
      </c>
      <c r="S10787" t="s">
        <v>26</v>
      </c>
    </row>
    <row r="10788" spans="1:19" x14ac:dyDescent="0.3">
      <c r="A10788" t="s">
        <v>20660</v>
      </c>
      <c r="B10788" t="s">
        <v>22062</v>
      </c>
      <c r="C10788" t="s">
        <v>22604</v>
      </c>
      <c r="D10788" t="s">
        <v>20667</v>
      </c>
      <c r="E10788" t="s">
        <v>20909</v>
      </c>
      <c r="F10788" t="s">
        <v>17055</v>
      </c>
      <c r="G10788" t="s">
        <v>17055</v>
      </c>
      <c r="H10788" t="s">
        <v>859</v>
      </c>
      <c r="I10788" t="s">
        <v>860</v>
      </c>
      <c r="J10788" t="str">
        <f>"9310387"</f>
        <v>9310387</v>
      </c>
      <c r="K10788">
        <v>2492032813</v>
      </c>
      <c r="L10788">
        <v>2492032813</v>
      </c>
      <c r="M10788" t="s">
        <v>22605</v>
      </c>
      <c r="N10788" t="s">
        <v>17058</v>
      </c>
      <c r="O10788" t="s">
        <v>13393</v>
      </c>
      <c r="P10788">
        <v>40400</v>
      </c>
      <c r="Q10788" t="str">
        <f>"39.741623"</f>
        <v>39.741623</v>
      </c>
      <c r="R10788" t="str">
        <f>"22.378637"</f>
        <v>22.378637</v>
      </c>
      <c r="S10788" t="s">
        <v>26</v>
      </c>
    </row>
    <row r="10789" spans="1:19" x14ac:dyDescent="0.3">
      <c r="A10789" t="s">
        <v>20660</v>
      </c>
      <c r="B10789" t="s">
        <v>22062</v>
      </c>
      <c r="C10789" t="s">
        <v>22606</v>
      </c>
      <c r="D10789" t="s">
        <v>20667</v>
      </c>
      <c r="E10789" t="s">
        <v>20668</v>
      </c>
      <c r="F10789" t="s">
        <v>20668</v>
      </c>
      <c r="G10789" t="s">
        <v>20841</v>
      </c>
      <c r="H10789" t="s">
        <v>859</v>
      </c>
      <c r="I10789" t="s">
        <v>860</v>
      </c>
      <c r="J10789" t="str">
        <f>"9310220"</f>
        <v>9310220</v>
      </c>
      <c r="K10789">
        <v>2410250923</v>
      </c>
      <c r="L10789">
        <v>2410250923</v>
      </c>
      <c r="M10789" t="s">
        <v>22607</v>
      </c>
      <c r="N10789" t="s">
        <v>20672</v>
      </c>
      <c r="O10789" t="s">
        <v>22576</v>
      </c>
      <c r="P10789">
        <v>41447</v>
      </c>
      <c r="Q10789" t="str">
        <f>"39.645585"</f>
        <v>39.645585</v>
      </c>
      <c r="R10789" t="str">
        <f>"22.418931"</f>
        <v>22.418931</v>
      </c>
      <c r="S10789" t="s">
        <v>26</v>
      </c>
    </row>
    <row r="10790" spans="1:19" x14ac:dyDescent="0.3">
      <c r="A10790" t="s">
        <v>20660</v>
      </c>
      <c r="B10790" t="s">
        <v>22062</v>
      </c>
      <c r="C10790" t="s">
        <v>22608</v>
      </c>
      <c r="D10790" t="s">
        <v>20667</v>
      </c>
      <c r="E10790" t="s">
        <v>20909</v>
      </c>
      <c r="F10790" t="s">
        <v>20909</v>
      </c>
      <c r="G10790" t="s">
        <v>20909</v>
      </c>
      <c r="H10790" t="s">
        <v>859</v>
      </c>
      <c r="I10790" t="s">
        <v>860</v>
      </c>
      <c r="J10790" t="str">
        <f>"9310511"</f>
        <v>9310511</v>
      </c>
      <c r="K10790">
        <v>2492025685</v>
      </c>
      <c r="L10790">
        <v>2492025685</v>
      </c>
      <c r="M10790" t="s">
        <v>22609</v>
      </c>
      <c r="N10790" t="s">
        <v>20977</v>
      </c>
      <c r="O10790" t="s">
        <v>22610</v>
      </c>
      <c r="P10790">
        <v>40100</v>
      </c>
      <c r="Q10790" t="str">
        <f>"39.737316"</f>
        <v>39.737316</v>
      </c>
      <c r="R10790" t="str">
        <f>"22.296004"</f>
        <v>22.296004</v>
      </c>
      <c r="S10790" t="s">
        <v>26</v>
      </c>
    </row>
    <row r="10791" spans="1:19" x14ac:dyDescent="0.3">
      <c r="A10791" t="s">
        <v>20660</v>
      </c>
      <c r="B10791" t="s">
        <v>22062</v>
      </c>
      <c r="C10791" t="s">
        <v>22645</v>
      </c>
      <c r="D10791" t="s">
        <v>20667</v>
      </c>
      <c r="E10791" t="s">
        <v>20875</v>
      </c>
      <c r="F10791" t="s">
        <v>21039</v>
      </c>
      <c r="G10791" t="s">
        <v>21878</v>
      </c>
      <c r="H10791" t="s">
        <v>859</v>
      </c>
      <c r="I10791" t="s">
        <v>860</v>
      </c>
      <c r="J10791" t="str">
        <f>"9310347"</f>
        <v>9310347</v>
      </c>
      <c r="K10791">
        <v>2491031789</v>
      </c>
      <c r="M10791" t="s">
        <v>22646</v>
      </c>
      <c r="N10791" t="s">
        <v>22647</v>
      </c>
      <c r="O10791" t="s">
        <v>22570</v>
      </c>
      <c r="P10791">
        <v>40300</v>
      </c>
      <c r="Q10791" t="str">
        <f>"39.324217"</f>
        <v>39.324217</v>
      </c>
      <c r="R10791" t="str">
        <f>"22.463870"</f>
        <v>22.463870</v>
      </c>
      <c r="S10791" t="s">
        <v>26</v>
      </c>
    </row>
    <row r="10792" spans="1:19" x14ac:dyDescent="0.3">
      <c r="A10792" t="s">
        <v>20660</v>
      </c>
      <c r="B10792" t="s">
        <v>22062</v>
      </c>
      <c r="C10792" t="s">
        <v>22648</v>
      </c>
      <c r="D10792" t="s">
        <v>20667</v>
      </c>
      <c r="E10792" t="s">
        <v>20875</v>
      </c>
      <c r="F10792" t="s">
        <v>22513</v>
      </c>
      <c r="G10792" t="s">
        <v>22513</v>
      </c>
      <c r="H10792" t="s">
        <v>859</v>
      </c>
      <c r="I10792" t="s">
        <v>860</v>
      </c>
      <c r="J10792" t="str">
        <f>"9310294"</f>
        <v>9310294</v>
      </c>
      <c r="K10792">
        <v>2491093389</v>
      </c>
      <c r="M10792" t="s">
        <v>22649</v>
      </c>
      <c r="N10792" t="s">
        <v>22650</v>
      </c>
      <c r="O10792" t="s">
        <v>22650</v>
      </c>
      <c r="P10792">
        <v>40300</v>
      </c>
      <c r="Q10792" t="str">
        <f>"39.245063"</f>
        <v>39.245063</v>
      </c>
      <c r="R10792" t="str">
        <f>"22.486052"</f>
        <v>22.486052</v>
      </c>
      <c r="S10792" t="s">
        <v>26</v>
      </c>
    </row>
    <row r="10793" spans="1:19" x14ac:dyDescent="0.3">
      <c r="A10793" t="s">
        <v>20660</v>
      </c>
      <c r="B10793" t="s">
        <v>22062</v>
      </c>
      <c r="C10793" t="s">
        <v>22651</v>
      </c>
      <c r="D10793" t="s">
        <v>20667</v>
      </c>
      <c r="E10793" t="s">
        <v>20875</v>
      </c>
      <c r="F10793" t="s">
        <v>21039</v>
      </c>
      <c r="G10793" t="s">
        <v>21040</v>
      </c>
      <c r="H10793" t="s">
        <v>859</v>
      </c>
      <c r="I10793" t="s">
        <v>860</v>
      </c>
      <c r="J10793" t="str">
        <f>"9310455"</f>
        <v>9310455</v>
      </c>
      <c r="K10793">
        <v>2491071380</v>
      </c>
      <c r="L10793">
        <v>2491071380</v>
      </c>
      <c r="M10793" t="s">
        <v>22652</v>
      </c>
      <c r="N10793" t="s">
        <v>22653</v>
      </c>
      <c r="O10793" t="s">
        <v>22654</v>
      </c>
      <c r="P10793">
        <v>40300</v>
      </c>
      <c r="Q10793" t="str">
        <f>"39.324217"</f>
        <v>39.324217</v>
      </c>
      <c r="R10793" t="str">
        <f>"22.463870"</f>
        <v>22.463870</v>
      </c>
      <c r="S10793" t="s">
        <v>26</v>
      </c>
    </row>
    <row r="10794" spans="1:19" x14ac:dyDescent="0.3">
      <c r="A10794" t="s">
        <v>20660</v>
      </c>
      <c r="B10794" t="s">
        <v>22062</v>
      </c>
      <c r="C10794" t="s">
        <v>22655</v>
      </c>
      <c r="D10794" t="s">
        <v>20667</v>
      </c>
      <c r="E10794" t="s">
        <v>20875</v>
      </c>
      <c r="F10794" t="s">
        <v>21070</v>
      </c>
      <c r="G10794" t="s">
        <v>22629</v>
      </c>
      <c r="H10794" t="s">
        <v>859</v>
      </c>
      <c r="I10794" t="s">
        <v>860</v>
      </c>
      <c r="J10794" t="str">
        <f>"9310440"</f>
        <v>9310440</v>
      </c>
      <c r="K10794">
        <v>2491051244</v>
      </c>
      <c r="L10794">
        <v>2491051244</v>
      </c>
      <c r="M10794" t="s">
        <v>22656</v>
      </c>
      <c r="N10794" t="s">
        <v>22629</v>
      </c>
      <c r="O10794" t="s">
        <v>22632</v>
      </c>
      <c r="P10794">
        <v>40300</v>
      </c>
      <c r="Q10794" t="str">
        <f>"39.296437"</f>
        <v>39.296437</v>
      </c>
      <c r="R10794" t="str">
        <f>"22.615855"</f>
        <v>22.615855</v>
      </c>
      <c r="S10794" t="s">
        <v>26</v>
      </c>
    </row>
    <row r="10795" spans="1:19" x14ac:dyDescent="0.3">
      <c r="A10795" t="s">
        <v>20660</v>
      </c>
      <c r="B10795" t="s">
        <v>22062</v>
      </c>
      <c r="C10795" t="s">
        <v>22657</v>
      </c>
      <c r="D10795" t="s">
        <v>20667</v>
      </c>
      <c r="E10795" t="s">
        <v>20875</v>
      </c>
      <c r="F10795" t="s">
        <v>21070</v>
      </c>
      <c r="G10795" t="s">
        <v>21071</v>
      </c>
      <c r="H10795" t="s">
        <v>859</v>
      </c>
      <c r="I10795" t="s">
        <v>860</v>
      </c>
      <c r="J10795" t="str">
        <f>"9310379"</f>
        <v>9310379</v>
      </c>
      <c r="K10795">
        <v>2491041592</v>
      </c>
      <c r="M10795" t="s">
        <v>22658</v>
      </c>
      <c r="N10795" t="s">
        <v>21074</v>
      </c>
      <c r="O10795" t="s">
        <v>21074</v>
      </c>
      <c r="P10795">
        <v>40300</v>
      </c>
      <c r="Q10795" t="str">
        <f>"39.335558"</f>
        <v>39.335558</v>
      </c>
      <c r="R10795" t="str">
        <f>"22.414978"</f>
        <v>22.414978</v>
      </c>
      <c r="S10795" t="s">
        <v>26</v>
      </c>
    </row>
    <row r="10796" spans="1:19" x14ac:dyDescent="0.3">
      <c r="A10796" t="s">
        <v>20660</v>
      </c>
      <c r="B10796" t="s">
        <v>22062</v>
      </c>
      <c r="C10796" t="s">
        <v>22666</v>
      </c>
      <c r="D10796" t="s">
        <v>20667</v>
      </c>
      <c r="E10796" t="s">
        <v>20859</v>
      </c>
      <c r="F10796" t="s">
        <v>21046</v>
      </c>
      <c r="G10796" t="s">
        <v>21046</v>
      </c>
      <c r="H10796" t="s">
        <v>859</v>
      </c>
      <c r="I10796" t="s">
        <v>860</v>
      </c>
      <c r="J10796" t="str">
        <f>"9310390"</f>
        <v>9310390</v>
      </c>
      <c r="K10796">
        <v>2493081206</v>
      </c>
      <c r="L10796">
        <v>2493081206</v>
      </c>
      <c r="M10796" t="s">
        <v>22667</v>
      </c>
      <c r="N10796" t="s">
        <v>21049</v>
      </c>
      <c r="O10796" t="s">
        <v>21049</v>
      </c>
      <c r="P10796">
        <v>40200</v>
      </c>
      <c r="Q10796" t="str">
        <f>"39.882101"</f>
        <v>39.882101</v>
      </c>
      <c r="R10796" t="str">
        <f>"22.224324"</f>
        <v>22.224324</v>
      </c>
      <c r="S10796" t="s">
        <v>26</v>
      </c>
    </row>
    <row r="10797" spans="1:19" x14ac:dyDescent="0.3">
      <c r="A10797" t="s">
        <v>20660</v>
      </c>
      <c r="B10797" t="s">
        <v>22062</v>
      </c>
      <c r="C10797" t="s">
        <v>22669</v>
      </c>
      <c r="D10797" t="s">
        <v>20667</v>
      </c>
      <c r="E10797" t="s">
        <v>4424</v>
      </c>
      <c r="F10797" t="s">
        <v>22127</v>
      </c>
      <c r="G10797" t="s">
        <v>22668</v>
      </c>
      <c r="H10797" t="s">
        <v>859</v>
      </c>
      <c r="I10797" t="s">
        <v>860</v>
      </c>
      <c r="J10797" t="str">
        <f>"9520989"</f>
        <v>9520989</v>
      </c>
      <c r="K10797">
        <v>2494052359</v>
      </c>
      <c r="M10797" t="s">
        <v>22670</v>
      </c>
      <c r="N10797" t="s">
        <v>22671</v>
      </c>
      <c r="O10797" t="s">
        <v>22672</v>
      </c>
      <c r="P10797">
        <v>40003</v>
      </c>
      <c r="Q10797" t="str">
        <f>"39.723770"</f>
        <v>39.723770</v>
      </c>
      <c r="R10797" t="str">
        <f>"22.867733"</f>
        <v>22.867733</v>
      </c>
      <c r="S10797" t="s">
        <v>26</v>
      </c>
    </row>
    <row r="10798" spans="1:19" x14ac:dyDescent="0.3">
      <c r="A10798" t="s">
        <v>20660</v>
      </c>
      <c r="B10798" t="s">
        <v>22062</v>
      </c>
      <c r="C10798" t="s">
        <v>22673</v>
      </c>
      <c r="D10798" t="s">
        <v>20667</v>
      </c>
      <c r="E10798" t="s">
        <v>4424</v>
      </c>
      <c r="F10798" t="s">
        <v>22158</v>
      </c>
      <c r="G10798" t="s">
        <v>17821</v>
      </c>
      <c r="H10798" t="s">
        <v>859</v>
      </c>
      <c r="I10798" t="s">
        <v>860</v>
      </c>
      <c r="J10798" t="str">
        <f>"9520990"</f>
        <v>9520990</v>
      </c>
      <c r="K10798">
        <v>2494071370</v>
      </c>
      <c r="M10798" t="s">
        <v>22674</v>
      </c>
      <c r="O10798" t="s">
        <v>17822</v>
      </c>
      <c r="P10798">
        <v>40003</v>
      </c>
      <c r="Q10798" t="str">
        <f>"39.688209"</f>
        <v>39.688209</v>
      </c>
      <c r="R10798" t="str">
        <f>"22.631722"</f>
        <v>22.631722</v>
      </c>
      <c r="S10798" t="s">
        <v>26</v>
      </c>
    </row>
    <row r="10799" spans="1:19" x14ac:dyDescent="0.3">
      <c r="A10799" t="s">
        <v>20660</v>
      </c>
      <c r="B10799" t="s">
        <v>22062</v>
      </c>
      <c r="C10799" t="s">
        <v>22684</v>
      </c>
      <c r="D10799" t="s">
        <v>20667</v>
      </c>
      <c r="E10799" t="s">
        <v>20668</v>
      </c>
      <c r="F10799" t="s">
        <v>20955</v>
      </c>
      <c r="G10799" t="s">
        <v>20955</v>
      </c>
      <c r="H10799" t="s">
        <v>859</v>
      </c>
      <c r="I10799" t="s">
        <v>1102</v>
      </c>
      <c r="J10799" t="str">
        <f>"9521279"</f>
        <v>9521279</v>
      </c>
      <c r="M10799" t="s">
        <v>22685</v>
      </c>
      <c r="N10799" t="s">
        <v>20958</v>
      </c>
      <c r="O10799" t="s">
        <v>22686</v>
      </c>
      <c r="P10799">
        <v>41500</v>
      </c>
      <c r="Q10799" t="str">
        <f>"39.665421"</f>
        <v>39.665421</v>
      </c>
      <c r="R10799" t="str">
        <f>"22.393949"</f>
        <v>22.393949</v>
      </c>
      <c r="S10799" t="s">
        <v>26</v>
      </c>
    </row>
    <row r="10800" spans="1:19" x14ac:dyDescent="0.3">
      <c r="A10800" t="s">
        <v>20660</v>
      </c>
      <c r="B10800" t="s">
        <v>22062</v>
      </c>
      <c r="C10800" t="s">
        <v>22696</v>
      </c>
      <c r="D10800" t="s">
        <v>20667</v>
      </c>
      <c r="E10800" t="s">
        <v>20668</v>
      </c>
      <c r="F10800" t="s">
        <v>20668</v>
      </c>
      <c r="G10800" t="s">
        <v>20669</v>
      </c>
      <c r="H10800" t="s">
        <v>859</v>
      </c>
      <c r="I10800" t="s">
        <v>1102</v>
      </c>
      <c r="J10800" t="str">
        <f>"9310492"</f>
        <v>9310492</v>
      </c>
      <c r="K10800">
        <v>2410622277</v>
      </c>
      <c r="M10800" t="s">
        <v>22697</v>
      </c>
      <c r="N10800" t="s">
        <v>20672</v>
      </c>
      <c r="O10800" t="s">
        <v>22698</v>
      </c>
      <c r="P10800">
        <v>41334</v>
      </c>
      <c r="Q10800" t="str">
        <f>"39.621580"</f>
        <v>39.621580</v>
      </c>
      <c r="R10800" t="str">
        <f>"22.402655"</f>
        <v>22.402655</v>
      </c>
      <c r="S10800" t="s">
        <v>26</v>
      </c>
    </row>
    <row r="10801" spans="1:19" x14ac:dyDescent="0.3">
      <c r="A10801" t="s">
        <v>20660</v>
      </c>
      <c r="B10801" t="s">
        <v>22062</v>
      </c>
      <c r="C10801" t="s">
        <v>22699</v>
      </c>
      <c r="D10801" t="s">
        <v>20667</v>
      </c>
      <c r="E10801" t="s">
        <v>20668</v>
      </c>
      <c r="F10801" t="s">
        <v>20668</v>
      </c>
      <c r="G10801" t="s">
        <v>20669</v>
      </c>
      <c r="H10801" t="s">
        <v>859</v>
      </c>
      <c r="I10801" t="s">
        <v>1102</v>
      </c>
      <c r="J10801" t="str">
        <f>"9521388"</f>
        <v>9521388</v>
      </c>
      <c r="K10801">
        <v>2410533742</v>
      </c>
      <c r="L10801">
        <v>2410537944</v>
      </c>
      <c r="M10801" t="s">
        <v>22700</v>
      </c>
      <c r="N10801" t="s">
        <v>20672</v>
      </c>
      <c r="O10801" t="s">
        <v>22683</v>
      </c>
      <c r="P10801">
        <v>41335</v>
      </c>
      <c r="Q10801" t="str">
        <f>"39.613365"</f>
        <v>39.613365</v>
      </c>
      <c r="R10801" t="str">
        <f>"22.427195"</f>
        <v>22.427195</v>
      </c>
      <c r="S10801" t="s">
        <v>26</v>
      </c>
    </row>
    <row r="10802" spans="1:19" x14ac:dyDescent="0.3">
      <c r="A10802" t="s">
        <v>20660</v>
      </c>
      <c r="B10802" t="s">
        <v>22062</v>
      </c>
      <c r="C10802" t="s">
        <v>22701</v>
      </c>
      <c r="D10802" t="s">
        <v>20667</v>
      </c>
      <c r="E10802" t="s">
        <v>20668</v>
      </c>
      <c r="F10802" t="s">
        <v>20955</v>
      </c>
      <c r="G10802" t="s">
        <v>20987</v>
      </c>
      <c r="H10802" t="s">
        <v>859</v>
      </c>
      <c r="I10802" t="s">
        <v>860</v>
      </c>
      <c r="J10802" t="str">
        <f>"9521462"</f>
        <v>9521462</v>
      </c>
      <c r="K10802">
        <v>2410942242</v>
      </c>
      <c r="M10802" t="s">
        <v>22702</v>
      </c>
      <c r="N10802" t="s">
        <v>22703</v>
      </c>
      <c r="O10802" t="s">
        <v>22703</v>
      </c>
      <c r="P10802">
        <v>41500</v>
      </c>
      <c r="Q10802" t="str">
        <f>"39.691177"</f>
        <v>39.691177</v>
      </c>
      <c r="R10802" t="str">
        <f>"22.417245"</f>
        <v>22.417245</v>
      </c>
      <c r="S10802" t="s">
        <v>26</v>
      </c>
    </row>
    <row r="10803" spans="1:19" x14ac:dyDescent="0.3">
      <c r="A10803" t="s">
        <v>20660</v>
      </c>
      <c r="B10803" t="s">
        <v>22062</v>
      </c>
      <c r="C10803" t="s">
        <v>22704</v>
      </c>
      <c r="D10803" t="s">
        <v>20667</v>
      </c>
      <c r="E10803" t="s">
        <v>20899</v>
      </c>
      <c r="F10803" t="s">
        <v>22357</v>
      </c>
      <c r="G10803" t="s">
        <v>5085</v>
      </c>
      <c r="H10803" t="s">
        <v>859</v>
      </c>
      <c r="I10803" t="s">
        <v>860</v>
      </c>
      <c r="J10803" t="str">
        <f>"9310165"</f>
        <v>9310165</v>
      </c>
      <c r="K10803">
        <v>2410751261</v>
      </c>
      <c r="L10803">
        <v>2410751293</v>
      </c>
      <c r="M10803" t="s">
        <v>22705</v>
      </c>
      <c r="N10803" t="s">
        <v>5159</v>
      </c>
      <c r="O10803" t="s">
        <v>5159</v>
      </c>
      <c r="P10803">
        <v>41500</v>
      </c>
      <c r="Q10803" t="str">
        <f>"39.523040"</f>
        <v>39.523040</v>
      </c>
      <c r="R10803" t="str">
        <f>"22.366326"</f>
        <v>22.366326</v>
      </c>
      <c r="S10803" t="s">
        <v>26</v>
      </c>
    </row>
    <row r="10804" spans="1:19" x14ac:dyDescent="0.3">
      <c r="A10804" t="s">
        <v>20660</v>
      </c>
      <c r="B10804" t="s">
        <v>22062</v>
      </c>
      <c r="C10804" t="s">
        <v>22706</v>
      </c>
      <c r="D10804" t="s">
        <v>20667</v>
      </c>
      <c r="E10804" t="s">
        <v>20859</v>
      </c>
      <c r="F10804" t="s">
        <v>21128</v>
      </c>
      <c r="G10804" t="s">
        <v>21129</v>
      </c>
      <c r="H10804" t="s">
        <v>859</v>
      </c>
      <c r="I10804" t="s">
        <v>860</v>
      </c>
      <c r="J10804" t="str">
        <f>"9310024"</f>
        <v>9310024</v>
      </c>
      <c r="K10804">
        <v>2493062208</v>
      </c>
      <c r="L10804">
        <v>249306220</v>
      </c>
      <c r="M10804" t="s">
        <v>22707</v>
      </c>
      <c r="N10804" t="s">
        <v>22708</v>
      </c>
      <c r="O10804" t="s">
        <v>22709</v>
      </c>
      <c r="P10804">
        <v>40200</v>
      </c>
      <c r="Q10804" t="str">
        <f>"39.979830"</f>
        <v>39.979830</v>
      </c>
      <c r="R10804" t="str">
        <f>"22.193182"</f>
        <v>22.193182</v>
      </c>
      <c r="S10804" t="s">
        <v>26</v>
      </c>
    </row>
    <row r="10805" spans="1:19" x14ac:dyDescent="0.3">
      <c r="A10805" t="s">
        <v>20660</v>
      </c>
      <c r="B10805" t="s">
        <v>22062</v>
      </c>
      <c r="C10805" t="s">
        <v>22710</v>
      </c>
      <c r="D10805" t="s">
        <v>20667</v>
      </c>
      <c r="E10805" t="s">
        <v>20831</v>
      </c>
      <c r="F10805" t="s">
        <v>20852</v>
      </c>
      <c r="G10805" t="s">
        <v>17983</v>
      </c>
      <c r="H10805" t="s">
        <v>859</v>
      </c>
      <c r="I10805" t="s">
        <v>860</v>
      </c>
      <c r="J10805" t="str">
        <f>"9310120"</f>
        <v>9310120</v>
      </c>
      <c r="K10805">
        <v>2495071509</v>
      </c>
      <c r="L10805">
        <v>2495071023</v>
      </c>
      <c r="M10805" t="s">
        <v>22711</v>
      </c>
      <c r="N10805" t="s">
        <v>17985</v>
      </c>
      <c r="O10805" t="s">
        <v>17985</v>
      </c>
      <c r="P10805">
        <v>40006</v>
      </c>
      <c r="Q10805" t="str">
        <f>"39.717782"</f>
        <v>39.717782</v>
      </c>
      <c r="R10805" t="str">
        <f>"22.546198"</f>
        <v>22.546198</v>
      </c>
      <c r="S10805" t="s">
        <v>26</v>
      </c>
    </row>
    <row r="10806" spans="1:19" x14ac:dyDescent="0.3">
      <c r="A10806" t="s">
        <v>20660</v>
      </c>
      <c r="B10806" t="s">
        <v>22062</v>
      </c>
      <c r="C10806" t="s">
        <v>22712</v>
      </c>
      <c r="D10806" t="s">
        <v>20667</v>
      </c>
      <c r="E10806" t="s">
        <v>20859</v>
      </c>
      <c r="F10806" t="s">
        <v>20859</v>
      </c>
      <c r="G10806" t="s">
        <v>22690</v>
      </c>
      <c r="H10806" t="s">
        <v>859</v>
      </c>
      <c r="I10806" t="s">
        <v>1102</v>
      </c>
      <c r="J10806" t="str">
        <f>"9521157"</f>
        <v>9521157</v>
      </c>
      <c r="K10806">
        <v>2493087439</v>
      </c>
      <c r="L10806">
        <v>2493087439</v>
      </c>
      <c r="M10806" t="s">
        <v>22713</v>
      </c>
      <c r="N10806" t="s">
        <v>22693</v>
      </c>
      <c r="O10806" t="s">
        <v>22693</v>
      </c>
      <c r="P10806">
        <v>40200</v>
      </c>
      <c r="Q10806" t="str">
        <f>"39.846287"</f>
        <v>39.846287</v>
      </c>
      <c r="R10806" t="str">
        <f>"22.175311"</f>
        <v>22.175311</v>
      </c>
      <c r="S10806" t="s">
        <v>26</v>
      </c>
    </row>
    <row r="10807" spans="1:19" x14ac:dyDescent="0.3">
      <c r="A10807" t="s">
        <v>20660</v>
      </c>
      <c r="B10807" t="s">
        <v>22062</v>
      </c>
      <c r="C10807" t="s">
        <v>22714</v>
      </c>
      <c r="D10807" t="s">
        <v>20667</v>
      </c>
      <c r="E10807" t="s">
        <v>20859</v>
      </c>
      <c r="F10807" t="s">
        <v>20859</v>
      </c>
      <c r="G10807" t="s">
        <v>15729</v>
      </c>
      <c r="H10807" t="s">
        <v>859</v>
      </c>
      <c r="I10807" t="s">
        <v>860</v>
      </c>
      <c r="J10807" t="str">
        <f>"9310331"</f>
        <v>9310331</v>
      </c>
      <c r="K10807">
        <v>2493095264</v>
      </c>
      <c r="L10807">
        <v>2493095264</v>
      </c>
      <c r="M10807" t="s">
        <v>22715</v>
      </c>
      <c r="N10807" t="s">
        <v>22716</v>
      </c>
      <c r="O10807" t="s">
        <v>20344</v>
      </c>
      <c r="P10807">
        <v>40200</v>
      </c>
      <c r="Q10807" t="str">
        <f>"39.890694"</f>
        <v>39.890694</v>
      </c>
      <c r="R10807" t="str">
        <f>"22.072664"</f>
        <v>22.072664</v>
      </c>
      <c r="S10807" t="s">
        <v>26</v>
      </c>
    </row>
    <row r="10808" spans="1:19" x14ac:dyDescent="0.3">
      <c r="A10808" t="s">
        <v>20660</v>
      </c>
      <c r="B10808" t="s">
        <v>22062</v>
      </c>
      <c r="C10808" t="s">
        <v>22724</v>
      </c>
      <c r="D10808" t="s">
        <v>20667</v>
      </c>
      <c r="E10808" t="s">
        <v>20668</v>
      </c>
      <c r="F10808" t="s">
        <v>20668</v>
      </c>
      <c r="G10808" t="s">
        <v>20881</v>
      </c>
      <c r="H10808" t="s">
        <v>859</v>
      </c>
      <c r="I10808" t="s">
        <v>860</v>
      </c>
      <c r="J10808" t="str">
        <f>"9521709"</f>
        <v>9521709</v>
      </c>
      <c r="K10808">
        <v>2410611612</v>
      </c>
      <c r="L10808">
        <v>2410611612</v>
      </c>
      <c r="M10808" t="s">
        <v>22725</v>
      </c>
      <c r="N10808" t="s">
        <v>20672</v>
      </c>
      <c r="O10808" t="s">
        <v>22726</v>
      </c>
      <c r="P10808">
        <v>41335</v>
      </c>
      <c r="Q10808" t="str">
        <f>"39.609485"</f>
        <v>39.609485</v>
      </c>
      <c r="R10808" t="str">
        <f>"22.418732"</f>
        <v>22.418732</v>
      </c>
      <c r="S10808" t="s">
        <v>26</v>
      </c>
    </row>
    <row r="10809" spans="1:19" x14ac:dyDescent="0.3">
      <c r="A10809" t="s">
        <v>20660</v>
      </c>
      <c r="B10809" t="s">
        <v>22727</v>
      </c>
      <c r="C10809" t="s">
        <v>22742</v>
      </c>
      <c r="D10809" t="s">
        <v>20674</v>
      </c>
      <c r="E10809" t="s">
        <v>21193</v>
      </c>
      <c r="F10809" t="s">
        <v>21193</v>
      </c>
      <c r="G10809" t="s">
        <v>21193</v>
      </c>
      <c r="H10809" t="s">
        <v>859</v>
      </c>
      <c r="I10809" t="s">
        <v>860</v>
      </c>
      <c r="J10809" t="str">
        <f>"9350162"</f>
        <v>9350162</v>
      </c>
      <c r="K10809">
        <v>2422022175</v>
      </c>
      <c r="L10809">
        <v>2422022175</v>
      </c>
      <c r="M10809" t="s">
        <v>22743</v>
      </c>
      <c r="N10809" t="s">
        <v>21193</v>
      </c>
      <c r="O10809" t="s">
        <v>22744</v>
      </c>
      <c r="P10809">
        <v>37100</v>
      </c>
      <c r="Q10809" t="str">
        <f>"39.176510"</f>
        <v>39.176510</v>
      </c>
      <c r="R10809" t="str">
        <f>"22.756874"</f>
        <v>22.756874</v>
      </c>
      <c r="S10809" t="s">
        <v>26</v>
      </c>
    </row>
    <row r="10810" spans="1:19" x14ac:dyDescent="0.3">
      <c r="A10810" t="s">
        <v>20660</v>
      </c>
      <c r="B10810" t="s">
        <v>22727</v>
      </c>
      <c r="C10810" t="s">
        <v>22745</v>
      </c>
      <c r="D10810" t="s">
        <v>20674</v>
      </c>
      <c r="E10810" t="s">
        <v>21193</v>
      </c>
      <c r="F10810" t="s">
        <v>21193</v>
      </c>
      <c r="G10810" t="s">
        <v>21193</v>
      </c>
      <c r="H10810" t="s">
        <v>859</v>
      </c>
      <c r="I10810" t="s">
        <v>860</v>
      </c>
      <c r="J10810" t="str">
        <f>"9350112"</f>
        <v>9350112</v>
      </c>
      <c r="K10810">
        <v>2422023790</v>
      </c>
      <c r="L10810">
        <v>2422023790</v>
      </c>
      <c r="M10810" t="s">
        <v>22746</v>
      </c>
      <c r="N10810" t="s">
        <v>21193</v>
      </c>
      <c r="O10810" t="s">
        <v>22747</v>
      </c>
      <c r="P10810">
        <v>37100</v>
      </c>
      <c r="Q10810" t="str">
        <f>"39.183701"</f>
        <v>39.183701</v>
      </c>
      <c r="R10810" t="str">
        <f>"22.758854"</f>
        <v>22.758854</v>
      </c>
      <c r="S10810" t="s">
        <v>26</v>
      </c>
    </row>
    <row r="10811" spans="1:19" x14ac:dyDescent="0.3">
      <c r="A10811" t="s">
        <v>20660</v>
      </c>
      <c r="B10811" t="s">
        <v>22727</v>
      </c>
      <c r="C10811" t="s">
        <v>22749</v>
      </c>
      <c r="D10811" t="s">
        <v>20674</v>
      </c>
      <c r="E10811" t="s">
        <v>21193</v>
      </c>
      <c r="F10811" t="s">
        <v>21194</v>
      </c>
      <c r="G10811" t="s">
        <v>22748</v>
      </c>
      <c r="H10811" t="s">
        <v>859</v>
      </c>
      <c r="I10811" t="s">
        <v>860</v>
      </c>
      <c r="J10811" t="str">
        <f>"9350229"</f>
        <v>9350229</v>
      </c>
      <c r="K10811">
        <v>2422092400</v>
      </c>
      <c r="L10811">
        <v>2422092400</v>
      </c>
      <c r="M10811" t="s">
        <v>22750</v>
      </c>
      <c r="N10811" t="s">
        <v>22751</v>
      </c>
      <c r="O10811" t="s">
        <v>22752</v>
      </c>
      <c r="P10811">
        <v>37008</v>
      </c>
      <c r="Q10811" t="str">
        <f>"38.997428"</f>
        <v>38.997428</v>
      </c>
      <c r="R10811" t="str">
        <f>"22.922871"</f>
        <v>22.922871</v>
      </c>
      <c r="S10811" t="s">
        <v>26</v>
      </c>
    </row>
    <row r="10812" spans="1:19" x14ac:dyDescent="0.3">
      <c r="A10812" t="s">
        <v>20660</v>
      </c>
      <c r="B10812" t="s">
        <v>22727</v>
      </c>
      <c r="C10812" t="s">
        <v>22757</v>
      </c>
      <c r="D10812" t="s">
        <v>20674</v>
      </c>
      <c r="E10812" t="s">
        <v>21193</v>
      </c>
      <c r="F10812" t="s">
        <v>21193</v>
      </c>
      <c r="G10812" t="s">
        <v>21193</v>
      </c>
      <c r="H10812" t="s">
        <v>859</v>
      </c>
      <c r="I10812" t="s">
        <v>860</v>
      </c>
      <c r="J10812" t="str">
        <f>"9350250"</f>
        <v>9350250</v>
      </c>
      <c r="K10812">
        <v>2422021659</v>
      </c>
      <c r="L10812">
        <v>2422021659</v>
      </c>
      <c r="M10812" t="s">
        <v>22758</v>
      </c>
      <c r="N10812" t="s">
        <v>21193</v>
      </c>
      <c r="O10812" t="s">
        <v>22759</v>
      </c>
      <c r="P10812">
        <v>37100</v>
      </c>
      <c r="Q10812" t="str">
        <f>"39.183466"</f>
        <v>39.183466</v>
      </c>
      <c r="R10812" t="str">
        <f>"22.759593"</f>
        <v>22.759593</v>
      </c>
      <c r="S10812" t="s">
        <v>26</v>
      </c>
    </row>
    <row r="10813" spans="1:19" x14ac:dyDescent="0.3">
      <c r="A10813" t="s">
        <v>20660</v>
      </c>
      <c r="B10813" t="s">
        <v>22727</v>
      </c>
      <c r="C10813" t="s">
        <v>22760</v>
      </c>
      <c r="D10813" t="s">
        <v>20674</v>
      </c>
      <c r="E10813" t="s">
        <v>20675</v>
      </c>
      <c r="F10813" t="s">
        <v>20675</v>
      </c>
      <c r="G10813" t="s">
        <v>20675</v>
      </c>
      <c r="H10813" t="s">
        <v>859</v>
      </c>
      <c r="I10813" t="s">
        <v>860</v>
      </c>
      <c r="J10813" t="str">
        <f>"9350173"</f>
        <v>9350173</v>
      </c>
      <c r="K10813">
        <v>2421039531</v>
      </c>
      <c r="L10813">
        <v>2421039531</v>
      </c>
      <c r="M10813" t="s">
        <v>22761</v>
      </c>
      <c r="N10813" t="s">
        <v>20675</v>
      </c>
      <c r="O10813" t="s">
        <v>22762</v>
      </c>
      <c r="P10813">
        <v>38222</v>
      </c>
      <c r="Q10813" t="str">
        <f>"39.357139"</f>
        <v>39.357139</v>
      </c>
      <c r="R10813" t="str">
        <f>"22.958899"</f>
        <v>22.958899</v>
      </c>
      <c r="S10813" t="s">
        <v>26</v>
      </c>
    </row>
    <row r="10814" spans="1:19" x14ac:dyDescent="0.3">
      <c r="A10814" t="s">
        <v>20660</v>
      </c>
      <c r="B10814" t="s">
        <v>22727</v>
      </c>
      <c r="C10814" t="s">
        <v>22765</v>
      </c>
      <c r="D10814" t="s">
        <v>20674</v>
      </c>
      <c r="E10814" t="s">
        <v>20675</v>
      </c>
      <c r="F10814" t="s">
        <v>20675</v>
      </c>
      <c r="G10814" t="s">
        <v>20675</v>
      </c>
      <c r="H10814" t="s">
        <v>859</v>
      </c>
      <c r="I10814" t="s">
        <v>860</v>
      </c>
      <c r="J10814" t="str">
        <f>"9350156"</f>
        <v>9350156</v>
      </c>
      <c r="K10814">
        <v>2421058974</v>
      </c>
      <c r="L10814">
        <v>2421058974</v>
      </c>
      <c r="M10814" t="s">
        <v>22766</v>
      </c>
      <c r="N10814" t="s">
        <v>20675</v>
      </c>
      <c r="O10814" t="s">
        <v>22767</v>
      </c>
      <c r="P10814">
        <v>38222</v>
      </c>
      <c r="Q10814" t="str">
        <f>"39.364917"</f>
        <v>39.364917</v>
      </c>
      <c r="R10814" t="str">
        <f>"22.963218"</f>
        <v>22.963218</v>
      </c>
      <c r="S10814" t="s">
        <v>26</v>
      </c>
    </row>
    <row r="10815" spans="1:19" x14ac:dyDescent="0.3">
      <c r="A10815" t="s">
        <v>20660</v>
      </c>
      <c r="B10815" t="s">
        <v>22727</v>
      </c>
      <c r="C10815" t="s">
        <v>22771</v>
      </c>
      <c r="D10815" t="s">
        <v>20674</v>
      </c>
      <c r="E10815" t="s">
        <v>20675</v>
      </c>
      <c r="F10815" t="s">
        <v>20675</v>
      </c>
      <c r="G10815" t="s">
        <v>20675</v>
      </c>
      <c r="H10815" t="s">
        <v>859</v>
      </c>
      <c r="I10815" t="s">
        <v>860</v>
      </c>
      <c r="J10815" t="str">
        <f>"9350172"</f>
        <v>9350172</v>
      </c>
      <c r="K10815">
        <v>2421058701</v>
      </c>
      <c r="L10815">
        <v>2421058701</v>
      </c>
      <c r="M10815" t="s">
        <v>22772</v>
      </c>
      <c r="N10815" t="s">
        <v>20675</v>
      </c>
      <c r="O10815" t="s">
        <v>22773</v>
      </c>
      <c r="P10815">
        <v>38222</v>
      </c>
      <c r="Q10815" t="str">
        <f>"39.358952"</f>
        <v>39.358952</v>
      </c>
      <c r="R10815" t="str">
        <f>"22.966010"</f>
        <v>22.966010</v>
      </c>
      <c r="S10815" t="s">
        <v>26</v>
      </c>
    </row>
    <row r="10816" spans="1:19" x14ac:dyDescent="0.3">
      <c r="A10816" t="s">
        <v>20660</v>
      </c>
      <c r="B10816" t="s">
        <v>22727</v>
      </c>
      <c r="C10816" t="s">
        <v>22774</v>
      </c>
      <c r="D10816" t="s">
        <v>20674</v>
      </c>
      <c r="E10816" t="s">
        <v>20675</v>
      </c>
      <c r="F10816" t="s">
        <v>20675</v>
      </c>
      <c r="G10816" t="s">
        <v>20675</v>
      </c>
      <c r="H10816" t="s">
        <v>859</v>
      </c>
      <c r="I10816" t="s">
        <v>860</v>
      </c>
      <c r="J10816" t="str">
        <f>"9350247"</f>
        <v>9350247</v>
      </c>
      <c r="K10816">
        <v>2421072200</v>
      </c>
      <c r="L10816">
        <v>2421072200</v>
      </c>
      <c r="M10816" t="s">
        <v>22775</v>
      </c>
      <c r="N10816" t="s">
        <v>20675</v>
      </c>
      <c r="O10816" t="s">
        <v>22776</v>
      </c>
      <c r="P10816">
        <v>38221</v>
      </c>
      <c r="Q10816" t="str">
        <f>"39.366365"</f>
        <v>39.366365</v>
      </c>
      <c r="R10816" t="str">
        <f>"22.956760"</f>
        <v>22.956760</v>
      </c>
      <c r="S10816" t="s">
        <v>26</v>
      </c>
    </row>
    <row r="10817" spans="1:19" x14ac:dyDescent="0.3">
      <c r="A10817" t="s">
        <v>20660</v>
      </c>
      <c r="B10817" t="s">
        <v>22727</v>
      </c>
      <c r="C10817" t="s">
        <v>22777</v>
      </c>
      <c r="D10817" t="s">
        <v>20674</v>
      </c>
      <c r="E10817" t="s">
        <v>20675</v>
      </c>
      <c r="F10817" t="s">
        <v>20675</v>
      </c>
      <c r="G10817" t="s">
        <v>20675</v>
      </c>
      <c r="H10817" t="s">
        <v>859</v>
      </c>
      <c r="I10817" t="s">
        <v>860</v>
      </c>
      <c r="J10817" t="str">
        <f>"9350269"</f>
        <v>9350269</v>
      </c>
      <c r="K10817">
        <v>2421071212</v>
      </c>
      <c r="L10817">
        <v>2421071212</v>
      </c>
      <c r="M10817" t="s">
        <v>22778</v>
      </c>
      <c r="N10817" t="s">
        <v>20675</v>
      </c>
      <c r="O10817" t="s">
        <v>22779</v>
      </c>
      <c r="P10817">
        <v>38222</v>
      </c>
      <c r="Q10817" t="str">
        <f>"39.366308"</f>
        <v>39.366308</v>
      </c>
      <c r="R10817" t="str">
        <f>"22.963827"</f>
        <v>22.963827</v>
      </c>
      <c r="S10817" t="s">
        <v>26</v>
      </c>
    </row>
    <row r="10818" spans="1:19" x14ac:dyDescent="0.3">
      <c r="A10818" t="s">
        <v>20660</v>
      </c>
      <c r="B10818" t="s">
        <v>22727</v>
      </c>
      <c r="C10818" t="s">
        <v>22810</v>
      </c>
      <c r="D10818" t="s">
        <v>20674</v>
      </c>
      <c r="E10818" t="s">
        <v>20675</v>
      </c>
      <c r="F10818" t="s">
        <v>20675</v>
      </c>
      <c r="G10818" t="s">
        <v>20675</v>
      </c>
      <c r="H10818" t="s">
        <v>859</v>
      </c>
      <c r="I10818" t="s">
        <v>860</v>
      </c>
      <c r="J10818" t="str">
        <f>"9350170"</f>
        <v>9350170</v>
      </c>
      <c r="K10818">
        <v>2421039521</v>
      </c>
      <c r="L10818">
        <v>2421039521</v>
      </c>
      <c r="M10818" t="s">
        <v>22811</v>
      </c>
      <c r="N10818" t="s">
        <v>20675</v>
      </c>
      <c r="O10818" t="s">
        <v>22812</v>
      </c>
      <c r="P10818">
        <v>38221</v>
      </c>
      <c r="Q10818" t="str">
        <f>"39.359302"</f>
        <v>39.359302</v>
      </c>
      <c r="R10818" t="str">
        <f>"22.954537"</f>
        <v>22.954537</v>
      </c>
      <c r="S10818" t="s">
        <v>26</v>
      </c>
    </row>
    <row r="10819" spans="1:19" x14ac:dyDescent="0.3">
      <c r="A10819" t="s">
        <v>20660</v>
      </c>
      <c r="B10819" t="s">
        <v>22727</v>
      </c>
      <c r="C10819" t="s">
        <v>22819</v>
      </c>
      <c r="D10819" t="s">
        <v>20674</v>
      </c>
      <c r="E10819" t="s">
        <v>20675</v>
      </c>
      <c r="F10819" t="s">
        <v>20675</v>
      </c>
      <c r="G10819" t="s">
        <v>20675</v>
      </c>
      <c r="H10819" t="s">
        <v>859</v>
      </c>
      <c r="I10819" t="s">
        <v>860</v>
      </c>
      <c r="J10819" t="str">
        <f>"9350206"</f>
        <v>9350206</v>
      </c>
      <c r="K10819">
        <v>2421038094</v>
      </c>
      <c r="M10819" t="s">
        <v>22820</v>
      </c>
      <c r="N10819" t="s">
        <v>20675</v>
      </c>
      <c r="O10819" t="s">
        <v>22821</v>
      </c>
      <c r="P10819">
        <v>38221</v>
      </c>
      <c r="Q10819" t="str">
        <f>"39.360625"</f>
        <v>39.360625</v>
      </c>
      <c r="R10819" t="str">
        <f>"22.951819"</f>
        <v>22.951819</v>
      </c>
      <c r="S10819" t="s">
        <v>26</v>
      </c>
    </row>
    <row r="10820" spans="1:19" x14ac:dyDescent="0.3">
      <c r="A10820" t="s">
        <v>20660</v>
      </c>
      <c r="B10820" t="s">
        <v>22727</v>
      </c>
      <c r="C10820" t="s">
        <v>22833</v>
      </c>
      <c r="D10820" t="s">
        <v>20674</v>
      </c>
      <c r="E10820" t="s">
        <v>20675</v>
      </c>
      <c r="F10820" t="s">
        <v>3246</v>
      </c>
      <c r="G10820" t="s">
        <v>3246</v>
      </c>
      <c r="H10820" t="s">
        <v>859</v>
      </c>
      <c r="I10820" t="s">
        <v>860</v>
      </c>
      <c r="J10820" t="str">
        <f>"9350139"</f>
        <v>9350139</v>
      </c>
      <c r="K10820">
        <v>2421085746</v>
      </c>
      <c r="L10820">
        <v>2421085746</v>
      </c>
      <c r="M10820" t="s">
        <v>22834</v>
      </c>
      <c r="N10820" t="s">
        <v>22835</v>
      </c>
      <c r="O10820" t="s">
        <v>22836</v>
      </c>
      <c r="P10820">
        <v>38445</v>
      </c>
      <c r="Q10820" t="str">
        <f>"39.371627"</f>
        <v>39.371627</v>
      </c>
      <c r="R10820" t="str">
        <f>"22.928502"</f>
        <v>22.928502</v>
      </c>
      <c r="S10820" t="s">
        <v>26</v>
      </c>
    </row>
    <row r="10821" spans="1:19" x14ac:dyDescent="0.3">
      <c r="A10821" t="s">
        <v>20660</v>
      </c>
      <c r="B10821" t="s">
        <v>22727</v>
      </c>
      <c r="C10821" t="s">
        <v>22844</v>
      </c>
      <c r="D10821" t="s">
        <v>20674</v>
      </c>
      <c r="E10821" t="s">
        <v>20675</v>
      </c>
      <c r="F10821" t="s">
        <v>3246</v>
      </c>
      <c r="G10821" t="s">
        <v>3246</v>
      </c>
      <c r="H10821" t="s">
        <v>859</v>
      </c>
      <c r="I10821" t="s">
        <v>860</v>
      </c>
      <c r="J10821" t="str">
        <f>"9350187"</f>
        <v>9350187</v>
      </c>
      <c r="K10821">
        <v>2421085749</v>
      </c>
      <c r="L10821">
        <v>2421085749</v>
      </c>
      <c r="M10821" t="s">
        <v>22845</v>
      </c>
      <c r="N10821" t="s">
        <v>3246</v>
      </c>
      <c r="O10821" t="s">
        <v>22846</v>
      </c>
      <c r="P10821">
        <v>38445</v>
      </c>
      <c r="Q10821" t="str">
        <f>"39.374211"</f>
        <v>39.374211</v>
      </c>
      <c r="R10821" t="str">
        <f>"22.918580"</f>
        <v>22.918580</v>
      </c>
      <c r="S10821" t="s">
        <v>26</v>
      </c>
    </row>
    <row r="10822" spans="1:19" x14ac:dyDescent="0.3">
      <c r="A10822" t="s">
        <v>20660</v>
      </c>
      <c r="B10822" t="s">
        <v>22727</v>
      </c>
      <c r="C10822" t="s">
        <v>22847</v>
      </c>
      <c r="D10822" t="s">
        <v>20674</v>
      </c>
      <c r="E10822" t="s">
        <v>20675</v>
      </c>
      <c r="F10822" t="s">
        <v>20675</v>
      </c>
      <c r="G10822" t="s">
        <v>20675</v>
      </c>
      <c r="H10822" t="s">
        <v>859</v>
      </c>
      <c r="I10822" t="s">
        <v>860</v>
      </c>
      <c r="J10822" t="str">
        <f>"9350074"</f>
        <v>9350074</v>
      </c>
      <c r="K10822">
        <v>2421072387</v>
      </c>
      <c r="L10822">
        <v>2421072387</v>
      </c>
      <c r="M10822" t="s">
        <v>22848</v>
      </c>
      <c r="N10822" t="s">
        <v>20675</v>
      </c>
      <c r="O10822" t="s">
        <v>22849</v>
      </c>
      <c r="P10822">
        <v>38221</v>
      </c>
      <c r="Q10822" t="str">
        <f>"39.375455"</f>
        <v>39.375455</v>
      </c>
      <c r="R10822" t="str">
        <f>"22.964534"</f>
        <v>22.964534</v>
      </c>
      <c r="S10822" t="s">
        <v>26</v>
      </c>
    </row>
    <row r="10823" spans="1:19" x14ac:dyDescent="0.3">
      <c r="A10823" t="s">
        <v>20660</v>
      </c>
      <c r="B10823" t="s">
        <v>22727</v>
      </c>
      <c r="C10823" t="s">
        <v>22850</v>
      </c>
      <c r="D10823" t="s">
        <v>20674</v>
      </c>
      <c r="E10823" t="s">
        <v>20675</v>
      </c>
      <c r="F10823" t="s">
        <v>20675</v>
      </c>
      <c r="G10823" t="s">
        <v>20675</v>
      </c>
      <c r="H10823" t="s">
        <v>859</v>
      </c>
      <c r="I10823" t="s">
        <v>860</v>
      </c>
      <c r="J10823" t="str">
        <f>"9350228"</f>
        <v>9350228</v>
      </c>
      <c r="K10823">
        <v>2421072394</v>
      </c>
      <c r="L10823">
        <v>2421072394</v>
      </c>
      <c r="M10823" t="s">
        <v>22851</v>
      </c>
      <c r="N10823" t="s">
        <v>20675</v>
      </c>
      <c r="O10823" t="s">
        <v>22852</v>
      </c>
      <c r="P10823">
        <v>38221</v>
      </c>
      <c r="Q10823" t="str">
        <f>"39.362945"</f>
        <v>39.362945</v>
      </c>
      <c r="R10823" t="str">
        <f>"22.959592"</f>
        <v>22.959592</v>
      </c>
      <c r="S10823" t="s">
        <v>26</v>
      </c>
    </row>
    <row r="10824" spans="1:19" x14ac:dyDescent="0.3">
      <c r="A10824" t="s">
        <v>20660</v>
      </c>
      <c r="B10824" t="s">
        <v>22727</v>
      </c>
      <c r="C10824" t="s">
        <v>22853</v>
      </c>
      <c r="D10824" t="s">
        <v>20674</v>
      </c>
      <c r="E10824" t="s">
        <v>20675</v>
      </c>
      <c r="F10824" t="s">
        <v>20675</v>
      </c>
      <c r="G10824" t="s">
        <v>20675</v>
      </c>
      <c r="H10824" t="s">
        <v>859</v>
      </c>
      <c r="I10824" t="s">
        <v>860</v>
      </c>
      <c r="J10824" t="str">
        <f>"9350169"</f>
        <v>9350169</v>
      </c>
      <c r="K10824">
        <v>2421032925</v>
      </c>
      <c r="L10824">
        <v>2421032925</v>
      </c>
      <c r="M10824" t="s">
        <v>22854</v>
      </c>
      <c r="N10824" t="s">
        <v>20675</v>
      </c>
      <c r="O10824" t="s">
        <v>22855</v>
      </c>
      <c r="P10824">
        <v>38221</v>
      </c>
      <c r="Q10824" t="str">
        <f>"39.360934"</f>
        <v>39.360934</v>
      </c>
      <c r="R10824" t="str">
        <f>"22.951320"</f>
        <v>22.951320</v>
      </c>
      <c r="S10824" t="s">
        <v>26</v>
      </c>
    </row>
    <row r="10825" spans="1:19" x14ac:dyDescent="0.3">
      <c r="A10825" t="s">
        <v>20660</v>
      </c>
      <c r="B10825" t="s">
        <v>22727</v>
      </c>
      <c r="C10825" t="s">
        <v>22856</v>
      </c>
      <c r="D10825" t="s">
        <v>20674</v>
      </c>
      <c r="E10825" t="s">
        <v>20675</v>
      </c>
      <c r="F10825" t="s">
        <v>3246</v>
      </c>
      <c r="G10825" t="s">
        <v>3246</v>
      </c>
      <c r="H10825" t="s">
        <v>859</v>
      </c>
      <c r="I10825" t="s">
        <v>860</v>
      </c>
      <c r="J10825" t="str">
        <f>"9350262"</f>
        <v>9350262</v>
      </c>
      <c r="K10825">
        <v>2421085752</v>
      </c>
      <c r="L10825">
        <v>2421085752</v>
      </c>
      <c r="M10825" t="s">
        <v>22857</v>
      </c>
      <c r="N10825" t="s">
        <v>22835</v>
      </c>
      <c r="O10825" t="s">
        <v>22858</v>
      </c>
      <c r="P10825">
        <v>38445</v>
      </c>
      <c r="Q10825" t="str">
        <f>"39.377203"</f>
        <v>39.377203</v>
      </c>
      <c r="R10825" t="str">
        <f>"22.922328"</f>
        <v>22.922328</v>
      </c>
      <c r="S10825" t="s">
        <v>26</v>
      </c>
    </row>
    <row r="10826" spans="1:19" x14ac:dyDescent="0.3">
      <c r="A10826" t="s">
        <v>20660</v>
      </c>
      <c r="B10826" t="s">
        <v>22727</v>
      </c>
      <c r="C10826" t="s">
        <v>22862</v>
      </c>
      <c r="D10826" t="s">
        <v>20674</v>
      </c>
      <c r="E10826" t="s">
        <v>20675</v>
      </c>
      <c r="F10826" t="s">
        <v>20675</v>
      </c>
      <c r="G10826" t="s">
        <v>20675</v>
      </c>
      <c r="H10826" t="s">
        <v>859</v>
      </c>
      <c r="I10826" t="s">
        <v>860</v>
      </c>
      <c r="J10826" t="str">
        <f>"9350061"</f>
        <v>9350061</v>
      </c>
      <c r="K10826">
        <v>2421072384</v>
      </c>
      <c r="L10826">
        <v>2421072384</v>
      </c>
      <c r="M10826" t="s">
        <v>22863</v>
      </c>
      <c r="N10826" t="s">
        <v>20675</v>
      </c>
      <c r="O10826" t="s">
        <v>22864</v>
      </c>
      <c r="P10826">
        <v>38221</v>
      </c>
      <c r="Q10826" t="str">
        <f>"39.366579"</f>
        <v>39.366579</v>
      </c>
      <c r="R10826" t="str">
        <f>"22.957289"</f>
        <v>22.957289</v>
      </c>
      <c r="S10826" t="s">
        <v>26</v>
      </c>
    </row>
    <row r="10827" spans="1:19" x14ac:dyDescent="0.3">
      <c r="A10827" t="s">
        <v>20660</v>
      </c>
      <c r="B10827" t="s">
        <v>22727</v>
      </c>
      <c r="C10827" t="s">
        <v>22868</v>
      </c>
      <c r="D10827" t="s">
        <v>20674</v>
      </c>
      <c r="E10827" t="s">
        <v>20675</v>
      </c>
      <c r="F10827" t="s">
        <v>20675</v>
      </c>
      <c r="G10827" t="s">
        <v>20675</v>
      </c>
      <c r="H10827" t="s">
        <v>859</v>
      </c>
      <c r="I10827" t="s">
        <v>860</v>
      </c>
      <c r="J10827" t="str">
        <f>"9350274"</f>
        <v>9350274</v>
      </c>
      <c r="K10827">
        <v>2421078322</v>
      </c>
      <c r="L10827">
        <v>2421072374</v>
      </c>
      <c r="M10827" t="s">
        <v>22869</v>
      </c>
      <c r="N10827" t="s">
        <v>20675</v>
      </c>
      <c r="O10827" t="s">
        <v>22870</v>
      </c>
      <c r="P10827">
        <v>38221</v>
      </c>
      <c r="Q10827" t="str">
        <f>"39.371899"</f>
        <v>39.371899</v>
      </c>
      <c r="R10827" t="str">
        <f>"22.963498"</f>
        <v>22.963498</v>
      </c>
      <c r="S10827" t="s">
        <v>26</v>
      </c>
    </row>
    <row r="10828" spans="1:19" x14ac:dyDescent="0.3">
      <c r="A10828" t="s">
        <v>20660</v>
      </c>
      <c r="B10828" t="s">
        <v>22727</v>
      </c>
      <c r="C10828" t="s">
        <v>22875</v>
      </c>
      <c r="D10828" t="s">
        <v>20674</v>
      </c>
      <c r="E10828" t="s">
        <v>20675</v>
      </c>
      <c r="F10828" t="s">
        <v>22791</v>
      </c>
      <c r="G10828" t="s">
        <v>22792</v>
      </c>
      <c r="H10828" t="s">
        <v>859</v>
      </c>
      <c r="I10828" t="s">
        <v>860</v>
      </c>
      <c r="J10828" t="str">
        <f>"9350153"</f>
        <v>9350153</v>
      </c>
      <c r="K10828">
        <v>2421095444</v>
      </c>
      <c r="L10828">
        <v>2421095444</v>
      </c>
      <c r="M10828" t="s">
        <v>22876</v>
      </c>
      <c r="N10828" t="s">
        <v>22877</v>
      </c>
      <c r="O10828" t="s">
        <v>22796</v>
      </c>
      <c r="P10828">
        <v>38500</v>
      </c>
      <c r="Q10828" t="str">
        <f>"39.355576"</f>
        <v>39.355576</v>
      </c>
      <c r="R10828" t="str">
        <f>"22.833614"</f>
        <v>22.833614</v>
      </c>
      <c r="S10828" t="s">
        <v>26</v>
      </c>
    </row>
    <row r="10829" spans="1:19" x14ac:dyDescent="0.3">
      <c r="A10829" t="s">
        <v>20660</v>
      </c>
      <c r="B10829" t="s">
        <v>22727</v>
      </c>
      <c r="C10829" t="s">
        <v>22878</v>
      </c>
      <c r="D10829" t="s">
        <v>20674</v>
      </c>
      <c r="E10829" t="s">
        <v>20675</v>
      </c>
      <c r="F10829" t="s">
        <v>21223</v>
      </c>
      <c r="G10829" t="s">
        <v>21223</v>
      </c>
      <c r="H10829" t="s">
        <v>859</v>
      </c>
      <c r="I10829" t="s">
        <v>860</v>
      </c>
      <c r="J10829" t="str">
        <f>"9350294"</f>
        <v>9350294</v>
      </c>
      <c r="K10829">
        <v>2428076778</v>
      </c>
      <c r="L10829">
        <v>2428076778</v>
      </c>
      <c r="M10829" t="s">
        <v>22879</v>
      </c>
      <c r="N10829" t="s">
        <v>22808</v>
      </c>
      <c r="O10829" t="s">
        <v>22880</v>
      </c>
      <c r="P10829">
        <v>37400</v>
      </c>
      <c r="Q10829" t="str">
        <f>"39.276910"</f>
        <v>39.276910</v>
      </c>
      <c r="R10829" t="str">
        <f>"22.811092"</f>
        <v>22.811092</v>
      </c>
      <c r="S10829" t="s">
        <v>26</v>
      </c>
    </row>
    <row r="10830" spans="1:19" x14ac:dyDescent="0.3">
      <c r="A10830" t="s">
        <v>20660</v>
      </c>
      <c r="B10830" t="s">
        <v>22727</v>
      </c>
      <c r="C10830" t="s">
        <v>22888</v>
      </c>
      <c r="D10830" t="s">
        <v>20674</v>
      </c>
      <c r="E10830" t="s">
        <v>20675</v>
      </c>
      <c r="F10830" t="s">
        <v>21223</v>
      </c>
      <c r="G10830" t="s">
        <v>21223</v>
      </c>
      <c r="H10830" t="s">
        <v>859</v>
      </c>
      <c r="I10830" t="s">
        <v>860</v>
      </c>
      <c r="J10830" t="str">
        <f>"9350293"</f>
        <v>9350293</v>
      </c>
      <c r="K10830">
        <v>2428077176</v>
      </c>
      <c r="L10830">
        <v>2428077176</v>
      </c>
      <c r="M10830" t="s">
        <v>22889</v>
      </c>
      <c r="N10830" t="s">
        <v>22808</v>
      </c>
      <c r="O10830" t="s">
        <v>22890</v>
      </c>
      <c r="P10830">
        <v>37400</v>
      </c>
      <c r="Q10830" t="str">
        <f>"39.279146"</f>
        <v>39.279146</v>
      </c>
      <c r="R10830" t="str">
        <f>"22.818314"</f>
        <v>22.818314</v>
      </c>
      <c r="S10830" t="s">
        <v>26</v>
      </c>
    </row>
    <row r="10831" spans="1:19" x14ac:dyDescent="0.3">
      <c r="A10831" t="s">
        <v>20660</v>
      </c>
      <c r="B10831" t="s">
        <v>22727</v>
      </c>
      <c r="C10831" t="s">
        <v>22894</v>
      </c>
      <c r="D10831" t="s">
        <v>20674</v>
      </c>
      <c r="E10831" t="s">
        <v>21193</v>
      </c>
      <c r="F10831" t="s">
        <v>21194</v>
      </c>
      <c r="G10831" t="s">
        <v>21194</v>
      </c>
      <c r="H10831" t="s">
        <v>859</v>
      </c>
      <c r="I10831" t="s">
        <v>860</v>
      </c>
      <c r="J10831" t="str">
        <f>"9350178"</f>
        <v>9350178</v>
      </c>
      <c r="K10831">
        <v>2422041290</v>
      </c>
      <c r="M10831" t="s">
        <v>22895</v>
      </c>
      <c r="N10831" t="s">
        <v>21194</v>
      </c>
      <c r="O10831" t="s">
        <v>21197</v>
      </c>
      <c r="P10831">
        <v>37007</v>
      </c>
      <c r="Q10831" t="str">
        <f>"39.051902"</f>
        <v>39.051902</v>
      </c>
      <c r="R10831" t="str">
        <f>"22.955433"</f>
        <v>22.955433</v>
      </c>
      <c r="S10831" t="s">
        <v>26</v>
      </c>
    </row>
    <row r="10832" spans="1:19" x14ac:dyDescent="0.3">
      <c r="A10832" t="s">
        <v>20660</v>
      </c>
      <c r="B10832" t="s">
        <v>22727</v>
      </c>
      <c r="C10832" t="s">
        <v>22896</v>
      </c>
      <c r="D10832" t="s">
        <v>20674</v>
      </c>
      <c r="E10832" t="s">
        <v>21193</v>
      </c>
      <c r="F10832" t="s">
        <v>21193</v>
      </c>
      <c r="G10832" t="s">
        <v>13386</v>
      </c>
      <c r="H10832" t="s">
        <v>859</v>
      </c>
      <c r="I10832" t="s">
        <v>860</v>
      </c>
      <c r="J10832" t="str">
        <f>"9350192"</f>
        <v>9350192</v>
      </c>
      <c r="K10832">
        <v>2422022209</v>
      </c>
      <c r="L10832">
        <v>242202220</v>
      </c>
      <c r="M10832" t="s">
        <v>22897</v>
      </c>
      <c r="N10832" t="s">
        <v>13389</v>
      </c>
      <c r="O10832" t="s">
        <v>22898</v>
      </c>
      <c r="P10832">
        <v>37100</v>
      </c>
      <c r="Q10832" t="str">
        <f>"39.161760"</f>
        <v>39.161760</v>
      </c>
      <c r="R10832" t="str">
        <f>"22.796555"</f>
        <v>22.796555</v>
      </c>
      <c r="S10832" t="s">
        <v>26</v>
      </c>
    </row>
    <row r="10833" spans="1:19" x14ac:dyDescent="0.3">
      <c r="A10833" t="s">
        <v>20660</v>
      </c>
      <c r="B10833" t="s">
        <v>22727</v>
      </c>
      <c r="C10833" t="s">
        <v>22900</v>
      </c>
      <c r="D10833" t="s">
        <v>20674</v>
      </c>
      <c r="E10833" t="s">
        <v>21193</v>
      </c>
      <c r="F10833" t="s">
        <v>21193</v>
      </c>
      <c r="G10833" t="s">
        <v>22899</v>
      </c>
      <c r="H10833" t="s">
        <v>859</v>
      </c>
      <c r="I10833" t="s">
        <v>860</v>
      </c>
      <c r="J10833" t="str">
        <f>"9350210"</f>
        <v>9350210</v>
      </c>
      <c r="K10833">
        <v>2428045908</v>
      </c>
      <c r="L10833">
        <v>2428079919</v>
      </c>
      <c r="M10833" t="s">
        <v>22901</v>
      </c>
      <c r="N10833" t="s">
        <v>22902</v>
      </c>
      <c r="O10833" t="s">
        <v>22903</v>
      </c>
      <c r="P10833">
        <v>37100</v>
      </c>
      <c r="Q10833" t="str">
        <f>"39.233578"</f>
        <v>39.233578</v>
      </c>
      <c r="R10833" t="str">
        <f>"22.797525"</f>
        <v>22.797525</v>
      </c>
      <c r="S10833" t="s">
        <v>26</v>
      </c>
    </row>
    <row r="10834" spans="1:19" x14ac:dyDescent="0.3">
      <c r="A10834" t="s">
        <v>20660</v>
      </c>
      <c r="B10834" t="s">
        <v>22727</v>
      </c>
      <c r="C10834" t="s">
        <v>22909</v>
      </c>
      <c r="D10834" t="s">
        <v>20674</v>
      </c>
      <c r="E10834" t="s">
        <v>21193</v>
      </c>
      <c r="F10834" t="s">
        <v>21205</v>
      </c>
      <c r="G10834" t="s">
        <v>22904</v>
      </c>
      <c r="H10834" t="s">
        <v>859</v>
      </c>
      <c r="I10834" t="s">
        <v>860</v>
      </c>
      <c r="J10834" t="str">
        <f>"9350230"</f>
        <v>9350230</v>
      </c>
      <c r="K10834">
        <v>2422091300</v>
      </c>
      <c r="L10834">
        <v>2422091300</v>
      </c>
      <c r="M10834" t="s">
        <v>22910</v>
      </c>
      <c r="N10834" t="s">
        <v>22907</v>
      </c>
      <c r="O10834" t="s">
        <v>22908</v>
      </c>
      <c r="P10834">
        <v>37008</v>
      </c>
      <c r="Q10834" t="str">
        <f>"39.165721"</f>
        <v>39.165721</v>
      </c>
      <c r="R10834" t="str">
        <f>"22.892174"</f>
        <v>22.892174</v>
      </c>
      <c r="S10834" t="s">
        <v>26</v>
      </c>
    </row>
    <row r="10835" spans="1:19" x14ac:dyDescent="0.3">
      <c r="A10835" t="s">
        <v>20660</v>
      </c>
      <c r="B10835" t="s">
        <v>22727</v>
      </c>
      <c r="C10835" t="s">
        <v>22913</v>
      </c>
      <c r="D10835" t="s">
        <v>20674</v>
      </c>
      <c r="E10835" t="s">
        <v>21193</v>
      </c>
      <c r="F10835" t="s">
        <v>21194</v>
      </c>
      <c r="G10835" t="s">
        <v>22871</v>
      </c>
      <c r="H10835" t="s">
        <v>859</v>
      </c>
      <c r="I10835" t="s">
        <v>860</v>
      </c>
      <c r="J10835" t="str">
        <f>"9350220"</f>
        <v>9350220</v>
      </c>
      <c r="K10835">
        <v>2422092411</v>
      </c>
      <c r="L10835">
        <v>2422092411</v>
      </c>
      <c r="M10835" t="s">
        <v>22914</v>
      </c>
      <c r="N10835" t="s">
        <v>22871</v>
      </c>
      <c r="O10835" t="s">
        <v>22874</v>
      </c>
      <c r="P10835">
        <v>37008</v>
      </c>
      <c r="Q10835" t="str">
        <f>"39.005529"</f>
        <v>39.005529</v>
      </c>
      <c r="R10835" t="str">
        <f>"22.964705"</f>
        <v>22.964705</v>
      </c>
      <c r="S10835" t="s">
        <v>26</v>
      </c>
    </row>
    <row r="10836" spans="1:19" x14ac:dyDescent="0.3">
      <c r="A10836" t="s">
        <v>20660</v>
      </c>
      <c r="B10836" t="s">
        <v>22727</v>
      </c>
      <c r="C10836" t="s">
        <v>22917</v>
      </c>
      <c r="D10836" t="s">
        <v>20674</v>
      </c>
      <c r="E10836" t="s">
        <v>20675</v>
      </c>
      <c r="F10836" t="s">
        <v>3246</v>
      </c>
      <c r="G10836" t="s">
        <v>3246</v>
      </c>
      <c r="H10836" t="s">
        <v>859</v>
      </c>
      <c r="I10836" t="s">
        <v>860</v>
      </c>
      <c r="J10836" t="str">
        <f>"9350275"</f>
        <v>9350275</v>
      </c>
      <c r="K10836">
        <v>2421060752</v>
      </c>
      <c r="L10836">
        <v>2421060752</v>
      </c>
      <c r="M10836" t="s">
        <v>22918</v>
      </c>
      <c r="N10836" t="s">
        <v>3246</v>
      </c>
      <c r="O10836" t="s">
        <v>22887</v>
      </c>
      <c r="P10836">
        <v>38446</v>
      </c>
      <c r="Q10836" t="str">
        <f>"39.374573"</f>
        <v>39.374573</v>
      </c>
      <c r="R10836" t="str">
        <f>"22.933027"</f>
        <v>22.933027</v>
      </c>
      <c r="S10836" t="s">
        <v>26</v>
      </c>
    </row>
    <row r="10837" spans="1:19" x14ac:dyDescent="0.3">
      <c r="A10837" t="s">
        <v>20660</v>
      </c>
      <c r="B10837" t="s">
        <v>22727</v>
      </c>
      <c r="C10837" t="s">
        <v>22919</v>
      </c>
      <c r="D10837" t="s">
        <v>20674</v>
      </c>
      <c r="E10837" t="s">
        <v>21250</v>
      </c>
      <c r="F10837" t="s">
        <v>203</v>
      </c>
      <c r="G10837" t="s">
        <v>21251</v>
      </c>
      <c r="H10837" t="s">
        <v>859</v>
      </c>
      <c r="I10837" t="s">
        <v>860</v>
      </c>
      <c r="J10837" t="str">
        <f>"9350242"</f>
        <v>9350242</v>
      </c>
      <c r="K10837">
        <v>2425022404</v>
      </c>
      <c r="L10837">
        <v>2425022404</v>
      </c>
      <c r="M10837" t="s">
        <v>22920</v>
      </c>
      <c r="N10837" t="s">
        <v>22921</v>
      </c>
      <c r="O10837" t="s">
        <v>3017</v>
      </c>
      <c r="P10837">
        <v>37500</v>
      </c>
      <c r="Q10837" t="str">
        <f>"39.401009"</f>
        <v>39.401009</v>
      </c>
      <c r="R10837" t="str">
        <f>"22.729733"</f>
        <v>22.729733</v>
      </c>
      <c r="S10837" t="s">
        <v>26</v>
      </c>
    </row>
    <row r="10838" spans="1:19" x14ac:dyDescent="0.3">
      <c r="A10838" t="s">
        <v>20660</v>
      </c>
      <c r="B10838" t="s">
        <v>22727</v>
      </c>
      <c r="C10838" t="s">
        <v>22923</v>
      </c>
      <c r="D10838" t="s">
        <v>21210</v>
      </c>
      <c r="E10838" t="s">
        <v>13139</v>
      </c>
      <c r="F10838" t="s">
        <v>13139</v>
      </c>
      <c r="G10838" t="s">
        <v>22922</v>
      </c>
      <c r="H10838" t="s">
        <v>859</v>
      </c>
      <c r="I10838" t="s">
        <v>860</v>
      </c>
      <c r="J10838" t="str">
        <f>"9350265"</f>
        <v>9350265</v>
      </c>
      <c r="K10838">
        <v>2424033595</v>
      </c>
      <c r="L10838">
        <v>2424033595</v>
      </c>
      <c r="M10838" t="s">
        <v>22924</v>
      </c>
      <c r="N10838" t="s">
        <v>22925</v>
      </c>
      <c r="O10838" t="s">
        <v>22926</v>
      </c>
      <c r="P10838">
        <v>37004</v>
      </c>
      <c r="Q10838" t="str">
        <f>"39.175030"</f>
        <v>39.175030</v>
      </c>
      <c r="R10838" t="str">
        <f>"23.656166"</f>
        <v>23.656166</v>
      </c>
      <c r="S10838" t="s">
        <v>57</v>
      </c>
    </row>
    <row r="10839" spans="1:19" x14ac:dyDescent="0.3">
      <c r="A10839" t="s">
        <v>20660</v>
      </c>
      <c r="B10839" t="s">
        <v>22727</v>
      </c>
      <c r="C10839" t="s">
        <v>22927</v>
      </c>
      <c r="D10839" t="s">
        <v>20674</v>
      </c>
      <c r="E10839" t="s">
        <v>21193</v>
      </c>
      <c r="F10839" t="s">
        <v>21193</v>
      </c>
      <c r="G10839" t="s">
        <v>21422</v>
      </c>
      <c r="H10839" t="s">
        <v>859</v>
      </c>
      <c r="I10839" t="s">
        <v>860</v>
      </c>
      <c r="J10839" t="str">
        <f>"9350129"</f>
        <v>9350129</v>
      </c>
      <c r="K10839">
        <v>2422022293</v>
      </c>
      <c r="L10839">
        <v>2422022293</v>
      </c>
      <c r="M10839" t="s">
        <v>22928</v>
      </c>
      <c r="N10839" t="s">
        <v>22929</v>
      </c>
      <c r="O10839" t="s">
        <v>22930</v>
      </c>
      <c r="P10839">
        <v>37100</v>
      </c>
      <c r="Q10839" t="str">
        <f>"39.185141"</f>
        <v>39.185141</v>
      </c>
      <c r="R10839" t="str">
        <f>"22.738177"</f>
        <v>22.738177</v>
      </c>
      <c r="S10839" t="s">
        <v>26</v>
      </c>
    </row>
    <row r="10840" spans="1:19" x14ac:dyDescent="0.3">
      <c r="A10840" t="s">
        <v>20660</v>
      </c>
      <c r="B10840" t="s">
        <v>22727</v>
      </c>
      <c r="C10840" t="s">
        <v>22936</v>
      </c>
      <c r="D10840" t="s">
        <v>20674</v>
      </c>
      <c r="E10840" t="s">
        <v>20675</v>
      </c>
      <c r="F10840" t="s">
        <v>20675</v>
      </c>
      <c r="G10840" t="s">
        <v>20675</v>
      </c>
      <c r="H10840" t="s">
        <v>859</v>
      </c>
      <c r="I10840" t="s">
        <v>860</v>
      </c>
      <c r="J10840" t="str">
        <f>"9350282"</f>
        <v>9350282</v>
      </c>
      <c r="K10840">
        <v>2421059076</v>
      </c>
      <c r="L10840">
        <v>2421059076</v>
      </c>
      <c r="M10840" t="s">
        <v>22937</v>
      </c>
      <c r="N10840" t="s">
        <v>20678</v>
      </c>
      <c r="O10840" t="s">
        <v>22938</v>
      </c>
      <c r="P10840">
        <v>38333</v>
      </c>
      <c r="Q10840" t="str">
        <f>"39.370353"</f>
        <v>39.370353</v>
      </c>
      <c r="R10840" t="str">
        <f>"22.943130"</f>
        <v>22.943130</v>
      </c>
      <c r="S10840" t="s">
        <v>26</v>
      </c>
    </row>
    <row r="10841" spans="1:19" x14ac:dyDescent="0.3">
      <c r="A10841" t="s">
        <v>20660</v>
      </c>
      <c r="B10841" t="s">
        <v>22727</v>
      </c>
      <c r="C10841" t="s">
        <v>22939</v>
      </c>
      <c r="D10841" t="s">
        <v>20674</v>
      </c>
      <c r="E10841" t="s">
        <v>20675</v>
      </c>
      <c r="F10841" t="s">
        <v>20675</v>
      </c>
      <c r="G10841" t="s">
        <v>20675</v>
      </c>
      <c r="H10841" t="s">
        <v>859</v>
      </c>
      <c r="I10841" t="s">
        <v>860</v>
      </c>
      <c r="J10841" t="str">
        <f>"9350064"</f>
        <v>9350064</v>
      </c>
      <c r="K10841">
        <v>2421059076</v>
      </c>
      <c r="L10841">
        <v>2421059076</v>
      </c>
      <c r="M10841" t="s">
        <v>22940</v>
      </c>
      <c r="N10841" t="s">
        <v>20675</v>
      </c>
      <c r="O10841" t="s">
        <v>22941</v>
      </c>
      <c r="P10841">
        <v>38333</v>
      </c>
      <c r="Q10841" t="str">
        <f>"39.370335"</f>
        <v>39.370335</v>
      </c>
      <c r="R10841" t="str">
        <f>"22.943105"</f>
        <v>22.943105</v>
      </c>
      <c r="S10841" t="s">
        <v>26</v>
      </c>
    </row>
    <row r="10842" spans="1:19" x14ac:dyDescent="0.3">
      <c r="A10842" t="s">
        <v>20660</v>
      </c>
      <c r="B10842" t="s">
        <v>22727</v>
      </c>
      <c r="C10842" t="s">
        <v>22942</v>
      </c>
      <c r="D10842" t="s">
        <v>20674</v>
      </c>
      <c r="E10842" t="s">
        <v>20675</v>
      </c>
      <c r="F10842" t="s">
        <v>20675</v>
      </c>
      <c r="G10842" t="s">
        <v>20675</v>
      </c>
      <c r="H10842" t="s">
        <v>859</v>
      </c>
      <c r="I10842" t="s">
        <v>860</v>
      </c>
      <c r="J10842" t="str">
        <f>"9350251"</f>
        <v>9350251</v>
      </c>
      <c r="K10842">
        <v>2421023853</v>
      </c>
      <c r="L10842">
        <v>2421023853</v>
      </c>
      <c r="M10842" t="s">
        <v>22943</v>
      </c>
      <c r="N10842" t="s">
        <v>20675</v>
      </c>
      <c r="O10842" t="s">
        <v>22830</v>
      </c>
      <c r="P10842">
        <v>38333</v>
      </c>
      <c r="Q10842" t="str">
        <f>"39.368434"</f>
        <v>39.368434</v>
      </c>
      <c r="R10842" t="str">
        <f>"22.936302"</f>
        <v>22.936302</v>
      </c>
      <c r="S10842" t="s">
        <v>26</v>
      </c>
    </row>
    <row r="10843" spans="1:19" x14ac:dyDescent="0.3">
      <c r="A10843" t="s">
        <v>20660</v>
      </c>
      <c r="B10843" t="s">
        <v>22727</v>
      </c>
      <c r="C10843" t="s">
        <v>22944</v>
      </c>
      <c r="D10843" t="s">
        <v>20674</v>
      </c>
      <c r="E10843" t="s">
        <v>20675</v>
      </c>
      <c r="F10843" t="s">
        <v>20675</v>
      </c>
      <c r="G10843" t="s">
        <v>20675</v>
      </c>
      <c r="H10843" t="s">
        <v>859</v>
      </c>
      <c r="I10843" t="s">
        <v>860</v>
      </c>
      <c r="J10843" t="str">
        <f>"9350057"</f>
        <v>9350057</v>
      </c>
      <c r="K10843">
        <v>2421083839</v>
      </c>
      <c r="L10843">
        <v>2421083839</v>
      </c>
      <c r="M10843" t="s">
        <v>22945</v>
      </c>
      <c r="N10843" t="s">
        <v>20675</v>
      </c>
      <c r="O10843" t="s">
        <v>22946</v>
      </c>
      <c r="P10843">
        <v>38334</v>
      </c>
      <c r="Q10843" t="str">
        <f>"39.365181"</f>
        <v>39.365181</v>
      </c>
      <c r="R10843" t="str">
        <f>"22.927003"</f>
        <v>22.927003</v>
      </c>
      <c r="S10843" t="s">
        <v>26</v>
      </c>
    </row>
    <row r="10844" spans="1:19" x14ac:dyDescent="0.3">
      <c r="A10844" t="s">
        <v>20660</v>
      </c>
      <c r="B10844" t="s">
        <v>22727</v>
      </c>
      <c r="C10844" t="s">
        <v>22947</v>
      </c>
      <c r="D10844" t="s">
        <v>20674</v>
      </c>
      <c r="E10844" t="s">
        <v>20675</v>
      </c>
      <c r="F10844" t="s">
        <v>3246</v>
      </c>
      <c r="G10844" t="s">
        <v>3246</v>
      </c>
      <c r="H10844" t="s">
        <v>859</v>
      </c>
      <c r="I10844" t="s">
        <v>860</v>
      </c>
      <c r="J10844" t="str">
        <f>"9350300"</f>
        <v>9350300</v>
      </c>
      <c r="K10844">
        <v>2421085079</v>
      </c>
      <c r="L10844">
        <v>2421085079</v>
      </c>
      <c r="M10844" t="s">
        <v>22948</v>
      </c>
      <c r="N10844" t="s">
        <v>3246</v>
      </c>
      <c r="O10844" t="s">
        <v>22949</v>
      </c>
      <c r="P10844">
        <v>38446</v>
      </c>
      <c r="Q10844" t="str">
        <f>"39.372687"</f>
        <v>39.372687</v>
      </c>
      <c r="R10844" t="str">
        <f>"22.935489"</f>
        <v>22.935489</v>
      </c>
      <c r="S10844" t="s">
        <v>26</v>
      </c>
    </row>
    <row r="10845" spans="1:19" x14ac:dyDescent="0.3">
      <c r="A10845" t="s">
        <v>20660</v>
      </c>
      <c r="B10845" t="s">
        <v>22727</v>
      </c>
      <c r="C10845" t="s">
        <v>22950</v>
      </c>
      <c r="D10845" t="s">
        <v>20674</v>
      </c>
      <c r="E10845" t="s">
        <v>20675</v>
      </c>
      <c r="F10845" t="s">
        <v>20675</v>
      </c>
      <c r="G10845" t="s">
        <v>20675</v>
      </c>
      <c r="H10845" t="s">
        <v>859</v>
      </c>
      <c r="I10845" t="s">
        <v>860</v>
      </c>
      <c r="J10845" t="str">
        <f>"9350069"</f>
        <v>9350069</v>
      </c>
      <c r="K10845">
        <v>2421039552</v>
      </c>
      <c r="L10845">
        <v>2421039552</v>
      </c>
      <c r="M10845" t="s">
        <v>22951</v>
      </c>
      <c r="N10845" t="s">
        <v>20675</v>
      </c>
      <c r="O10845" t="s">
        <v>10498</v>
      </c>
      <c r="P10845">
        <v>38333</v>
      </c>
      <c r="Q10845" t="str">
        <f>"39.367723"</f>
        <v>39.367723</v>
      </c>
      <c r="R10845" t="str">
        <f>"22.941609"</f>
        <v>22.941609</v>
      </c>
      <c r="S10845" t="s">
        <v>26</v>
      </c>
    </row>
    <row r="10846" spans="1:19" x14ac:dyDescent="0.3">
      <c r="A10846" t="s">
        <v>20660</v>
      </c>
      <c r="B10846" t="s">
        <v>22727</v>
      </c>
      <c r="C10846" t="s">
        <v>22952</v>
      </c>
      <c r="D10846" t="s">
        <v>20674</v>
      </c>
      <c r="E10846" t="s">
        <v>20675</v>
      </c>
      <c r="F10846" t="s">
        <v>20675</v>
      </c>
      <c r="G10846" t="s">
        <v>20675</v>
      </c>
      <c r="H10846" t="s">
        <v>859</v>
      </c>
      <c r="I10846" t="s">
        <v>860</v>
      </c>
      <c r="J10846" t="str">
        <f>"9350197"</f>
        <v>9350197</v>
      </c>
      <c r="K10846">
        <v>2421028044</v>
      </c>
      <c r="M10846" t="s">
        <v>22953</v>
      </c>
      <c r="N10846" t="s">
        <v>20675</v>
      </c>
      <c r="O10846" t="s">
        <v>22954</v>
      </c>
      <c r="P10846">
        <v>38333</v>
      </c>
      <c r="Q10846" t="str">
        <f>"39.366438"</f>
        <v>39.366438</v>
      </c>
      <c r="R10846" t="str">
        <f>"22.942839"</f>
        <v>22.942839</v>
      </c>
      <c r="S10846" t="s">
        <v>26</v>
      </c>
    </row>
    <row r="10847" spans="1:19" x14ac:dyDescent="0.3">
      <c r="A10847" t="s">
        <v>20660</v>
      </c>
      <c r="B10847" t="s">
        <v>22727</v>
      </c>
      <c r="C10847" t="s">
        <v>22958</v>
      </c>
      <c r="D10847" t="s">
        <v>20674</v>
      </c>
      <c r="E10847" t="s">
        <v>20675</v>
      </c>
      <c r="F10847" t="s">
        <v>3246</v>
      </c>
      <c r="G10847" t="s">
        <v>3246</v>
      </c>
      <c r="H10847" t="s">
        <v>859</v>
      </c>
      <c r="I10847" t="s">
        <v>860</v>
      </c>
      <c r="J10847" t="str">
        <f>"9350177"</f>
        <v>9350177</v>
      </c>
      <c r="K10847">
        <v>2421085752</v>
      </c>
      <c r="L10847">
        <v>2421085752</v>
      </c>
      <c r="M10847" t="s">
        <v>22959</v>
      </c>
      <c r="N10847" t="s">
        <v>22835</v>
      </c>
      <c r="O10847" t="s">
        <v>22858</v>
      </c>
      <c r="P10847">
        <v>38445</v>
      </c>
      <c r="Q10847" t="str">
        <f>"39.377058"</f>
        <v>39.377058</v>
      </c>
      <c r="R10847" t="str">
        <f>"22.922413"</f>
        <v>22.922413</v>
      </c>
      <c r="S10847" t="s">
        <v>26</v>
      </c>
    </row>
    <row r="10848" spans="1:19" x14ac:dyDescent="0.3">
      <c r="A10848" t="s">
        <v>20660</v>
      </c>
      <c r="B10848" t="s">
        <v>22727</v>
      </c>
      <c r="C10848" t="s">
        <v>22960</v>
      </c>
      <c r="D10848" t="s">
        <v>20674</v>
      </c>
      <c r="E10848" t="s">
        <v>20675</v>
      </c>
      <c r="F10848" t="s">
        <v>3246</v>
      </c>
      <c r="G10848" t="s">
        <v>3246</v>
      </c>
      <c r="H10848" t="s">
        <v>859</v>
      </c>
      <c r="I10848" t="s">
        <v>860</v>
      </c>
      <c r="J10848" t="str">
        <f>"9350283"</f>
        <v>9350283</v>
      </c>
      <c r="K10848">
        <v>2421085747</v>
      </c>
      <c r="L10848">
        <v>2421085747</v>
      </c>
      <c r="M10848" t="s">
        <v>22961</v>
      </c>
      <c r="N10848" t="s">
        <v>22835</v>
      </c>
      <c r="O10848" t="s">
        <v>22962</v>
      </c>
      <c r="P10848">
        <v>38445</v>
      </c>
      <c r="Q10848" t="str">
        <f>"39.377225"</f>
        <v>39.377225</v>
      </c>
      <c r="R10848" t="str">
        <f>"22.926802"</f>
        <v>22.926802</v>
      </c>
      <c r="S10848" t="s">
        <v>26</v>
      </c>
    </row>
    <row r="10849" spans="1:19" x14ac:dyDescent="0.3">
      <c r="A10849" t="s">
        <v>20660</v>
      </c>
      <c r="B10849" t="s">
        <v>22727</v>
      </c>
      <c r="C10849" t="s">
        <v>22963</v>
      </c>
      <c r="D10849" t="s">
        <v>20674</v>
      </c>
      <c r="E10849" t="s">
        <v>21229</v>
      </c>
      <c r="F10849" t="s">
        <v>21237</v>
      </c>
      <c r="G10849" t="s">
        <v>22785</v>
      </c>
      <c r="H10849" t="s">
        <v>859</v>
      </c>
      <c r="I10849" t="s">
        <v>860</v>
      </c>
      <c r="J10849" t="str">
        <f>"9350196"</f>
        <v>9350196</v>
      </c>
      <c r="K10849">
        <v>2426031394</v>
      </c>
      <c r="L10849">
        <v>2426031394</v>
      </c>
      <c r="M10849" t="s">
        <v>22964</v>
      </c>
      <c r="N10849" t="s">
        <v>22965</v>
      </c>
      <c r="O10849" t="s">
        <v>22788</v>
      </c>
      <c r="P10849">
        <v>37001</v>
      </c>
      <c r="Q10849" t="str">
        <f>"39.424656"</f>
        <v>39.424656</v>
      </c>
      <c r="R10849" t="str">
        <f>"23.123780"</f>
        <v>23.123780</v>
      </c>
      <c r="S10849" t="s">
        <v>26</v>
      </c>
    </row>
    <row r="10850" spans="1:19" x14ac:dyDescent="0.3">
      <c r="A10850" t="s">
        <v>20660</v>
      </c>
      <c r="B10850" t="s">
        <v>22727</v>
      </c>
      <c r="C10850" t="s">
        <v>22966</v>
      </c>
      <c r="D10850" t="s">
        <v>20674</v>
      </c>
      <c r="E10850" t="s">
        <v>20675</v>
      </c>
      <c r="F10850" t="s">
        <v>3246</v>
      </c>
      <c r="G10850" t="s">
        <v>3246</v>
      </c>
      <c r="H10850" t="s">
        <v>859</v>
      </c>
      <c r="I10850" t="s">
        <v>860</v>
      </c>
      <c r="J10850" t="str">
        <f>"9350243"</f>
        <v>9350243</v>
      </c>
      <c r="K10850">
        <v>2421063372</v>
      </c>
      <c r="L10850">
        <v>2421063372</v>
      </c>
      <c r="M10850" t="s">
        <v>22967</v>
      </c>
      <c r="N10850" t="s">
        <v>21305</v>
      </c>
      <c r="O10850" t="s">
        <v>22731</v>
      </c>
      <c r="P10850">
        <v>38500</v>
      </c>
      <c r="Q10850" t="str">
        <f>"39.389477"</f>
        <v>39.389477</v>
      </c>
      <c r="R10850" t="str">
        <f>"22.909681"</f>
        <v>22.909681</v>
      </c>
      <c r="S10850" t="s">
        <v>26</v>
      </c>
    </row>
    <row r="10851" spans="1:19" x14ac:dyDescent="0.3">
      <c r="A10851" t="s">
        <v>20660</v>
      </c>
      <c r="B10851" t="s">
        <v>22727</v>
      </c>
      <c r="C10851" t="s">
        <v>22971</v>
      </c>
      <c r="D10851" t="s">
        <v>20674</v>
      </c>
      <c r="E10851" t="s">
        <v>20675</v>
      </c>
      <c r="F10851" t="s">
        <v>3246</v>
      </c>
      <c r="G10851" t="s">
        <v>3246</v>
      </c>
      <c r="H10851" t="s">
        <v>859</v>
      </c>
      <c r="I10851" t="s">
        <v>860</v>
      </c>
      <c r="J10851" t="str">
        <f>"9350276"</f>
        <v>9350276</v>
      </c>
      <c r="K10851">
        <v>2421062866</v>
      </c>
      <c r="M10851" t="s">
        <v>22972</v>
      </c>
      <c r="N10851" t="s">
        <v>22973</v>
      </c>
      <c r="O10851" t="s">
        <v>22974</v>
      </c>
      <c r="P10851">
        <v>38445</v>
      </c>
      <c r="Q10851" t="str">
        <f>"39.371251"</f>
        <v>39.371251</v>
      </c>
      <c r="R10851" t="str">
        <f>"22.928191"</f>
        <v>22.928191</v>
      </c>
      <c r="S10851" t="s">
        <v>26</v>
      </c>
    </row>
    <row r="10852" spans="1:19" x14ac:dyDescent="0.3">
      <c r="A10852" t="s">
        <v>20660</v>
      </c>
      <c r="B10852" t="s">
        <v>22727</v>
      </c>
      <c r="C10852" t="s">
        <v>22975</v>
      </c>
      <c r="D10852" t="s">
        <v>20674</v>
      </c>
      <c r="E10852" t="s">
        <v>20675</v>
      </c>
      <c r="F10852" t="s">
        <v>20675</v>
      </c>
      <c r="G10852" t="s">
        <v>20675</v>
      </c>
      <c r="H10852" t="s">
        <v>859</v>
      </c>
      <c r="I10852" t="s">
        <v>860</v>
      </c>
      <c r="J10852" t="str">
        <f>"9350254"</f>
        <v>9350254</v>
      </c>
      <c r="K10852">
        <v>2421070679</v>
      </c>
      <c r="L10852">
        <v>2421070679</v>
      </c>
      <c r="M10852" t="s">
        <v>22976</v>
      </c>
      <c r="N10852" t="s">
        <v>20675</v>
      </c>
      <c r="O10852" t="s">
        <v>22977</v>
      </c>
      <c r="P10852">
        <v>38333</v>
      </c>
      <c r="Q10852" t="str">
        <f>"39.366643"</f>
        <v>39.366643</v>
      </c>
      <c r="R10852" t="str">
        <f>"22.945612"</f>
        <v>22.945612</v>
      </c>
      <c r="S10852" t="s">
        <v>26</v>
      </c>
    </row>
    <row r="10853" spans="1:19" x14ac:dyDescent="0.3">
      <c r="A10853" t="s">
        <v>20660</v>
      </c>
      <c r="B10853" t="s">
        <v>22727</v>
      </c>
      <c r="C10853" t="s">
        <v>22979</v>
      </c>
      <c r="D10853" t="s">
        <v>20674</v>
      </c>
      <c r="E10853" t="s">
        <v>21229</v>
      </c>
      <c r="F10853" t="s">
        <v>21230</v>
      </c>
      <c r="G10853" t="s">
        <v>22978</v>
      </c>
      <c r="H10853" t="s">
        <v>859</v>
      </c>
      <c r="I10853" t="s">
        <v>860</v>
      </c>
      <c r="J10853" t="str">
        <f>"9350297"</f>
        <v>9350297</v>
      </c>
      <c r="K10853">
        <v>2426031946</v>
      </c>
      <c r="L10853">
        <v>2426031946</v>
      </c>
      <c r="M10853" t="s">
        <v>22980</v>
      </c>
      <c r="N10853" t="s">
        <v>22981</v>
      </c>
      <c r="O10853" t="s">
        <v>22982</v>
      </c>
      <c r="P10853">
        <v>37012</v>
      </c>
      <c r="Q10853" t="str">
        <f>"39.409702"</f>
        <v>39.409702</v>
      </c>
      <c r="R10853" t="str">
        <f>"23.133113"</f>
        <v>23.133113</v>
      </c>
      <c r="S10853" t="s">
        <v>26</v>
      </c>
    </row>
    <row r="10854" spans="1:19" x14ac:dyDescent="0.3">
      <c r="A10854" t="s">
        <v>20660</v>
      </c>
      <c r="B10854" t="s">
        <v>22727</v>
      </c>
      <c r="C10854" t="s">
        <v>22994</v>
      </c>
      <c r="D10854" t="s">
        <v>20674</v>
      </c>
      <c r="E10854" t="s">
        <v>21199</v>
      </c>
      <c r="F10854" t="s">
        <v>22993</v>
      </c>
      <c r="G10854" t="s">
        <v>13744</v>
      </c>
      <c r="H10854" t="s">
        <v>859</v>
      </c>
      <c r="I10854" t="s">
        <v>860</v>
      </c>
      <c r="J10854" t="str">
        <f>"9350266"</f>
        <v>9350266</v>
      </c>
      <c r="K10854">
        <v>2423055066</v>
      </c>
      <c r="L10854">
        <v>2423055066</v>
      </c>
      <c r="M10854" t="s">
        <v>22995</v>
      </c>
      <c r="N10854" t="s">
        <v>22996</v>
      </c>
      <c r="O10854" t="s">
        <v>13748</v>
      </c>
      <c r="P10854">
        <v>37010</v>
      </c>
      <c r="Q10854" t="str">
        <f>"39.284678"</f>
        <v>39.284678</v>
      </c>
      <c r="R10854" t="str">
        <f>"23.208058"</f>
        <v>23.208058</v>
      </c>
      <c r="S10854" t="s">
        <v>26</v>
      </c>
    </row>
    <row r="10855" spans="1:19" x14ac:dyDescent="0.3">
      <c r="A10855" t="s">
        <v>20660</v>
      </c>
      <c r="B10855" t="s">
        <v>22727</v>
      </c>
      <c r="C10855" t="s">
        <v>22997</v>
      </c>
      <c r="D10855" t="s">
        <v>20674</v>
      </c>
      <c r="E10855" t="s">
        <v>21250</v>
      </c>
      <c r="F10855" t="s">
        <v>203</v>
      </c>
      <c r="G10855" t="s">
        <v>21251</v>
      </c>
      <c r="H10855" t="s">
        <v>859</v>
      </c>
      <c r="I10855" t="s">
        <v>860</v>
      </c>
      <c r="J10855" t="str">
        <f>"9350083"</f>
        <v>9350083</v>
      </c>
      <c r="K10855">
        <v>2425024030</v>
      </c>
      <c r="L10855">
        <v>2425024030</v>
      </c>
      <c r="M10855" t="s">
        <v>22998</v>
      </c>
      <c r="N10855" t="s">
        <v>22999</v>
      </c>
      <c r="O10855" t="s">
        <v>21254</v>
      </c>
      <c r="P10855">
        <v>37500</v>
      </c>
      <c r="Q10855" t="str">
        <f>"39.380370"</f>
        <v>39.380370</v>
      </c>
      <c r="R10855" t="str">
        <f>"22.745124"</f>
        <v>22.745124</v>
      </c>
      <c r="S10855" t="s">
        <v>26</v>
      </c>
    </row>
    <row r="10856" spans="1:19" x14ac:dyDescent="0.3">
      <c r="A10856" t="s">
        <v>20660</v>
      </c>
      <c r="B10856" t="s">
        <v>22727</v>
      </c>
      <c r="C10856" t="s">
        <v>23001</v>
      </c>
      <c r="D10856" t="s">
        <v>20674</v>
      </c>
      <c r="E10856" t="s">
        <v>21199</v>
      </c>
      <c r="F10856" t="s">
        <v>22993</v>
      </c>
      <c r="G10856" t="s">
        <v>23000</v>
      </c>
      <c r="H10856" t="s">
        <v>859</v>
      </c>
      <c r="I10856" t="s">
        <v>860</v>
      </c>
      <c r="J10856" t="str">
        <f>"9350215"</f>
        <v>9350215</v>
      </c>
      <c r="K10856">
        <v>2423054809</v>
      </c>
      <c r="M10856" t="s">
        <v>23002</v>
      </c>
      <c r="N10856" t="s">
        <v>23003</v>
      </c>
      <c r="O10856" t="s">
        <v>23004</v>
      </c>
      <c r="P10856">
        <v>37006</v>
      </c>
      <c r="Q10856" t="str">
        <f>"39.285230"</f>
        <v>39.285230</v>
      </c>
      <c r="R10856" t="str">
        <f>"23.260278"</f>
        <v>23.260278</v>
      </c>
      <c r="S10856" t="s">
        <v>26</v>
      </c>
    </row>
    <row r="10857" spans="1:19" x14ac:dyDescent="0.3">
      <c r="A10857" t="s">
        <v>20660</v>
      </c>
      <c r="B10857" t="s">
        <v>22727</v>
      </c>
      <c r="C10857" t="s">
        <v>23005</v>
      </c>
      <c r="D10857" t="s">
        <v>20674</v>
      </c>
      <c r="E10857" t="s">
        <v>21229</v>
      </c>
      <c r="F10857" t="s">
        <v>21230</v>
      </c>
      <c r="G10857" t="s">
        <v>21230</v>
      </c>
      <c r="H10857" t="s">
        <v>859</v>
      </c>
      <c r="I10857" t="s">
        <v>860</v>
      </c>
      <c r="J10857" t="str">
        <f>"9350301"</f>
        <v>9350301</v>
      </c>
      <c r="K10857">
        <v>2426049401</v>
      </c>
      <c r="L10857">
        <v>2426049023</v>
      </c>
      <c r="M10857" t="s">
        <v>23006</v>
      </c>
      <c r="N10857" t="s">
        <v>23007</v>
      </c>
      <c r="O10857" t="s">
        <v>23008</v>
      </c>
      <c r="P10857">
        <v>37012</v>
      </c>
      <c r="Q10857" t="str">
        <f>"39.401255"</f>
        <v>39.401255</v>
      </c>
      <c r="R10857" t="str">
        <f>"23.161650"</f>
        <v>23.161650</v>
      </c>
      <c r="S10857" t="s">
        <v>26</v>
      </c>
    </row>
    <row r="10858" spans="1:19" x14ac:dyDescent="0.3">
      <c r="A10858" t="s">
        <v>20660</v>
      </c>
      <c r="B10858" t="s">
        <v>22727</v>
      </c>
      <c r="C10858" t="s">
        <v>23012</v>
      </c>
      <c r="D10858" t="s">
        <v>20674</v>
      </c>
      <c r="E10858" t="s">
        <v>21199</v>
      </c>
      <c r="F10858" t="s">
        <v>22931</v>
      </c>
      <c r="G10858" t="s">
        <v>23011</v>
      </c>
      <c r="H10858" t="s">
        <v>859</v>
      </c>
      <c r="I10858" t="s">
        <v>860</v>
      </c>
      <c r="J10858" t="str">
        <f>"9350205"</f>
        <v>9350205</v>
      </c>
      <c r="K10858">
        <v>2423065745</v>
      </c>
      <c r="M10858" t="s">
        <v>23013</v>
      </c>
      <c r="N10858" t="s">
        <v>23014</v>
      </c>
      <c r="O10858" t="s">
        <v>23015</v>
      </c>
      <c r="P10858">
        <v>37006</v>
      </c>
      <c r="Q10858" t="str">
        <f>"39.173440"</f>
        <v>39.173440</v>
      </c>
      <c r="R10858" t="str">
        <f>"23.222701"</f>
        <v>23.222701</v>
      </c>
      <c r="S10858" t="s">
        <v>26</v>
      </c>
    </row>
    <row r="10859" spans="1:19" x14ac:dyDescent="0.3">
      <c r="A10859" t="s">
        <v>20660</v>
      </c>
      <c r="B10859" t="s">
        <v>22727</v>
      </c>
      <c r="C10859" t="s">
        <v>23019</v>
      </c>
      <c r="D10859" t="s">
        <v>20674</v>
      </c>
      <c r="E10859" t="s">
        <v>21193</v>
      </c>
      <c r="F10859" t="s">
        <v>21205</v>
      </c>
      <c r="G10859" t="s">
        <v>21205</v>
      </c>
      <c r="H10859" t="s">
        <v>859</v>
      </c>
      <c r="I10859" t="s">
        <v>860</v>
      </c>
      <c r="J10859" t="str">
        <f>"9350179"</f>
        <v>9350179</v>
      </c>
      <c r="K10859">
        <v>2422031595</v>
      </c>
      <c r="L10859">
        <v>2242031595</v>
      </c>
      <c r="M10859" t="s">
        <v>23020</v>
      </c>
      <c r="N10859" t="s">
        <v>23021</v>
      </c>
      <c r="O10859" t="s">
        <v>23021</v>
      </c>
      <c r="P10859">
        <v>37008</v>
      </c>
      <c r="Q10859" t="str">
        <f>"39.103123"</f>
        <v>39.103123</v>
      </c>
      <c r="R10859" t="str">
        <f>"22.893646"</f>
        <v>22.893646</v>
      </c>
      <c r="S10859" t="s">
        <v>26</v>
      </c>
    </row>
    <row r="10860" spans="1:19" x14ac:dyDescent="0.3">
      <c r="A10860" t="s">
        <v>20660</v>
      </c>
      <c r="B10860" t="s">
        <v>22727</v>
      </c>
      <c r="C10860" t="s">
        <v>23022</v>
      </c>
      <c r="D10860" t="s">
        <v>20674</v>
      </c>
      <c r="E10860" t="s">
        <v>20675</v>
      </c>
      <c r="F10860" t="s">
        <v>20675</v>
      </c>
      <c r="G10860" t="s">
        <v>20675</v>
      </c>
      <c r="H10860" t="s">
        <v>859</v>
      </c>
      <c r="I10860" t="s">
        <v>860</v>
      </c>
      <c r="J10860" t="str">
        <f>"9350066"</f>
        <v>9350066</v>
      </c>
      <c r="K10860">
        <v>2421027631</v>
      </c>
      <c r="L10860">
        <v>2421027631</v>
      </c>
      <c r="M10860" t="s">
        <v>23023</v>
      </c>
      <c r="N10860" t="s">
        <v>20675</v>
      </c>
      <c r="O10860" t="s">
        <v>22815</v>
      </c>
      <c r="P10860">
        <v>38334</v>
      </c>
      <c r="Q10860" t="str">
        <f>"39.360745"</f>
        <v>39.360745</v>
      </c>
      <c r="R10860" t="str">
        <f>"22.936595"</f>
        <v>22.936595</v>
      </c>
      <c r="S10860" t="s">
        <v>26</v>
      </c>
    </row>
    <row r="10861" spans="1:19" x14ac:dyDescent="0.3">
      <c r="A10861" t="s">
        <v>20660</v>
      </c>
      <c r="B10861" t="s">
        <v>22727</v>
      </c>
      <c r="C10861" t="s">
        <v>23026</v>
      </c>
      <c r="D10861" t="s">
        <v>20674</v>
      </c>
      <c r="E10861" t="s">
        <v>20675</v>
      </c>
      <c r="F10861" t="s">
        <v>3246</v>
      </c>
      <c r="G10861" t="s">
        <v>3246</v>
      </c>
      <c r="H10861" t="s">
        <v>859</v>
      </c>
      <c r="I10861" t="s">
        <v>860</v>
      </c>
      <c r="J10861" t="str">
        <f>"9350209"</f>
        <v>9350209</v>
      </c>
      <c r="K10861">
        <v>2421085751</v>
      </c>
      <c r="L10861">
        <v>2421085751</v>
      </c>
      <c r="M10861" t="s">
        <v>23027</v>
      </c>
      <c r="N10861" t="s">
        <v>3246</v>
      </c>
      <c r="O10861" t="s">
        <v>23028</v>
      </c>
      <c r="P10861">
        <v>38445</v>
      </c>
      <c r="Q10861" t="str">
        <f>"39.381644"</f>
        <v>39.381644</v>
      </c>
      <c r="R10861" t="str">
        <f>"22.923642"</f>
        <v>22.923642</v>
      </c>
      <c r="S10861" t="s">
        <v>26</v>
      </c>
    </row>
    <row r="10862" spans="1:19" x14ac:dyDescent="0.3">
      <c r="A10862" t="s">
        <v>20660</v>
      </c>
      <c r="B10862" t="s">
        <v>22727</v>
      </c>
      <c r="C10862" t="s">
        <v>23033</v>
      </c>
      <c r="D10862" t="s">
        <v>20674</v>
      </c>
      <c r="E10862" t="s">
        <v>20675</v>
      </c>
      <c r="F10862" t="s">
        <v>22987</v>
      </c>
      <c r="G10862" t="s">
        <v>22988</v>
      </c>
      <c r="H10862" t="s">
        <v>859</v>
      </c>
      <c r="I10862" t="s">
        <v>860</v>
      </c>
      <c r="J10862" t="str">
        <f>"9350198"</f>
        <v>9350198</v>
      </c>
      <c r="K10862">
        <v>2421071503</v>
      </c>
      <c r="L10862">
        <v>2421071503</v>
      </c>
      <c r="M10862" t="s">
        <v>23034</v>
      </c>
      <c r="O10862" t="s">
        <v>22991</v>
      </c>
      <c r="P10862">
        <v>38500</v>
      </c>
      <c r="Q10862" t="str">
        <f>"39.372021"</f>
        <v>39.372021</v>
      </c>
      <c r="R10862" t="str">
        <f>"22.983870"</f>
        <v>22.983870</v>
      </c>
      <c r="S10862" t="s">
        <v>26</v>
      </c>
    </row>
    <row r="10863" spans="1:19" x14ac:dyDescent="0.3">
      <c r="A10863" t="s">
        <v>20660</v>
      </c>
      <c r="B10863" t="s">
        <v>22727</v>
      </c>
      <c r="C10863" t="s">
        <v>23035</v>
      </c>
      <c r="D10863" t="s">
        <v>20674</v>
      </c>
      <c r="E10863" t="s">
        <v>20675</v>
      </c>
      <c r="F10863" t="s">
        <v>20675</v>
      </c>
      <c r="G10863" t="s">
        <v>20675</v>
      </c>
      <c r="H10863" t="s">
        <v>859</v>
      </c>
      <c r="I10863" t="s">
        <v>860</v>
      </c>
      <c r="J10863" t="str">
        <f>"9350232"</f>
        <v>9350232</v>
      </c>
      <c r="K10863">
        <v>2421087797</v>
      </c>
      <c r="L10863">
        <v>2421087797</v>
      </c>
      <c r="M10863" t="s">
        <v>23036</v>
      </c>
      <c r="N10863" t="s">
        <v>20675</v>
      </c>
      <c r="O10863" t="s">
        <v>23037</v>
      </c>
      <c r="P10863">
        <v>38500</v>
      </c>
      <c r="Q10863" t="str">
        <f>"39.346196"</f>
        <v>39.346196</v>
      </c>
      <c r="R10863" t="str">
        <f>"22.924020"</f>
        <v>22.924020</v>
      </c>
      <c r="S10863" t="s">
        <v>26</v>
      </c>
    </row>
    <row r="10864" spans="1:19" x14ac:dyDescent="0.3">
      <c r="A10864" t="s">
        <v>20660</v>
      </c>
      <c r="B10864" t="s">
        <v>22727</v>
      </c>
      <c r="C10864" t="s">
        <v>23042</v>
      </c>
      <c r="D10864" t="s">
        <v>20674</v>
      </c>
      <c r="E10864" t="s">
        <v>20675</v>
      </c>
      <c r="F10864" t="s">
        <v>21217</v>
      </c>
      <c r="G10864" t="s">
        <v>21217</v>
      </c>
      <c r="H10864" t="s">
        <v>859</v>
      </c>
      <c r="I10864" t="s">
        <v>860</v>
      </c>
      <c r="J10864" t="str">
        <f>"9350016"</f>
        <v>9350016</v>
      </c>
      <c r="K10864">
        <v>2428094073</v>
      </c>
      <c r="M10864" t="s">
        <v>23043</v>
      </c>
      <c r="N10864" t="s">
        <v>21217</v>
      </c>
      <c r="O10864" t="s">
        <v>23044</v>
      </c>
      <c r="P10864">
        <v>37300</v>
      </c>
      <c r="Q10864" t="str">
        <f>"39.337655"</f>
        <v>39.337655</v>
      </c>
      <c r="R10864" t="str">
        <f>"23.018774"</f>
        <v>23.018774</v>
      </c>
      <c r="S10864" t="s">
        <v>26</v>
      </c>
    </row>
    <row r="10865" spans="1:19" x14ac:dyDescent="0.3">
      <c r="A10865" t="s">
        <v>20660</v>
      </c>
      <c r="B10865" t="s">
        <v>22727</v>
      </c>
      <c r="C10865" t="s">
        <v>23046</v>
      </c>
      <c r="D10865" t="s">
        <v>20674</v>
      </c>
      <c r="E10865" t="s">
        <v>20675</v>
      </c>
      <c r="F10865" t="s">
        <v>21217</v>
      </c>
      <c r="G10865" t="s">
        <v>23045</v>
      </c>
      <c r="H10865" t="s">
        <v>859</v>
      </c>
      <c r="I10865" t="s">
        <v>860</v>
      </c>
      <c r="J10865" t="str">
        <f>"9350199"</f>
        <v>9350199</v>
      </c>
      <c r="K10865">
        <v>2428096654</v>
      </c>
      <c r="L10865">
        <v>2426096014</v>
      </c>
      <c r="M10865" t="s">
        <v>23047</v>
      </c>
      <c r="N10865" t="s">
        <v>23048</v>
      </c>
      <c r="O10865" t="s">
        <v>23049</v>
      </c>
      <c r="P10865">
        <v>38500</v>
      </c>
      <c r="Q10865" t="str">
        <f>"39.376119"</f>
        <v>39.376119</v>
      </c>
      <c r="R10865" t="str">
        <f>"23.048170"</f>
        <v>23.048170</v>
      </c>
      <c r="S10865" t="s">
        <v>26</v>
      </c>
    </row>
    <row r="10866" spans="1:19" x14ac:dyDescent="0.3">
      <c r="A10866" t="s">
        <v>20660</v>
      </c>
      <c r="B10866" t="s">
        <v>22727</v>
      </c>
      <c r="C10866" t="s">
        <v>23051</v>
      </c>
      <c r="D10866" t="s">
        <v>20674</v>
      </c>
      <c r="E10866" t="s">
        <v>20675</v>
      </c>
      <c r="F10866" t="s">
        <v>4249</v>
      </c>
      <c r="G10866" t="s">
        <v>23050</v>
      </c>
      <c r="H10866" t="s">
        <v>859</v>
      </c>
      <c r="I10866" t="s">
        <v>860</v>
      </c>
      <c r="J10866" t="str">
        <f>"9350174"</f>
        <v>9350174</v>
      </c>
      <c r="K10866">
        <v>2428093559</v>
      </c>
      <c r="L10866">
        <v>2428093559</v>
      </c>
      <c r="M10866" t="s">
        <v>23052</v>
      </c>
      <c r="N10866" t="s">
        <v>23053</v>
      </c>
      <c r="O10866" t="s">
        <v>23054</v>
      </c>
      <c r="P10866">
        <v>37300</v>
      </c>
      <c r="Q10866" t="str">
        <f>"39.329120"</f>
        <v>39.329120</v>
      </c>
      <c r="R10866" t="str">
        <f>"23.054440"</f>
        <v>23.054440</v>
      </c>
      <c r="S10866" t="s">
        <v>26</v>
      </c>
    </row>
    <row r="10867" spans="1:19" x14ac:dyDescent="0.3">
      <c r="A10867" t="s">
        <v>20660</v>
      </c>
      <c r="B10867" t="s">
        <v>22727</v>
      </c>
      <c r="C10867" t="s">
        <v>23055</v>
      </c>
      <c r="D10867" t="s">
        <v>20674</v>
      </c>
      <c r="E10867" t="s">
        <v>20675</v>
      </c>
      <c r="F10867" t="s">
        <v>3246</v>
      </c>
      <c r="G10867" t="s">
        <v>3246</v>
      </c>
      <c r="H10867" t="s">
        <v>859</v>
      </c>
      <c r="I10867" t="s">
        <v>860</v>
      </c>
      <c r="J10867" t="str">
        <f>"9350161"</f>
        <v>9350161</v>
      </c>
      <c r="K10867">
        <v>2421085722</v>
      </c>
      <c r="L10867">
        <v>2421085722</v>
      </c>
      <c r="M10867" t="s">
        <v>23056</v>
      </c>
      <c r="N10867" t="s">
        <v>22734</v>
      </c>
      <c r="O10867" t="s">
        <v>23057</v>
      </c>
      <c r="P10867">
        <v>38446</v>
      </c>
      <c r="Q10867" t="str">
        <f>"39.383360"</f>
        <v>39.383360</v>
      </c>
      <c r="R10867" t="str">
        <f>"22.936627"</f>
        <v>22.936627</v>
      </c>
      <c r="S10867" t="s">
        <v>26</v>
      </c>
    </row>
    <row r="10868" spans="1:19" x14ac:dyDescent="0.3">
      <c r="A10868" t="s">
        <v>20660</v>
      </c>
      <c r="B10868" t="s">
        <v>22727</v>
      </c>
      <c r="C10868" t="s">
        <v>23058</v>
      </c>
      <c r="D10868" t="s">
        <v>20674</v>
      </c>
      <c r="E10868" t="s">
        <v>21199</v>
      </c>
      <c r="F10868" t="s">
        <v>21366</v>
      </c>
      <c r="G10868" t="s">
        <v>21366</v>
      </c>
      <c r="H10868" t="s">
        <v>859</v>
      </c>
      <c r="I10868" t="s">
        <v>860</v>
      </c>
      <c r="J10868" t="str">
        <f>"9350207"</f>
        <v>9350207</v>
      </c>
      <c r="K10868">
        <v>2423086444</v>
      </c>
      <c r="L10868">
        <v>2423086444</v>
      </c>
      <c r="M10868" t="s">
        <v>23059</v>
      </c>
      <c r="N10868" t="s">
        <v>21366</v>
      </c>
      <c r="O10868" t="s">
        <v>21369</v>
      </c>
      <c r="P10868">
        <v>37010</v>
      </c>
      <c r="Q10868" t="str">
        <f>"39.328137"</f>
        <v>39.328137</v>
      </c>
      <c r="R10868" t="str">
        <f>"23.147457"</f>
        <v>23.147457</v>
      </c>
      <c r="S10868" t="s">
        <v>26</v>
      </c>
    </row>
    <row r="10869" spans="1:19" x14ac:dyDescent="0.3">
      <c r="A10869" t="s">
        <v>20660</v>
      </c>
      <c r="B10869" t="s">
        <v>22727</v>
      </c>
      <c r="C10869" t="s">
        <v>23064</v>
      </c>
      <c r="D10869" t="s">
        <v>20674</v>
      </c>
      <c r="E10869" t="s">
        <v>21199</v>
      </c>
      <c r="F10869" t="s">
        <v>21366</v>
      </c>
      <c r="G10869" t="s">
        <v>23063</v>
      </c>
      <c r="H10869" t="s">
        <v>859</v>
      </c>
      <c r="I10869" t="s">
        <v>860</v>
      </c>
      <c r="J10869" t="str">
        <f>"9350240"</f>
        <v>9350240</v>
      </c>
      <c r="K10869">
        <v>2423022443</v>
      </c>
      <c r="L10869">
        <v>2423022443</v>
      </c>
      <c r="M10869" t="s">
        <v>23065</v>
      </c>
      <c r="N10869" t="s">
        <v>23066</v>
      </c>
      <c r="O10869" t="s">
        <v>23067</v>
      </c>
      <c r="P10869">
        <v>38500</v>
      </c>
      <c r="Q10869" t="str">
        <f>"39.319738"</f>
        <v>39.319738</v>
      </c>
      <c r="R10869" t="str">
        <f>"23.094286"</f>
        <v>23.094286</v>
      </c>
      <c r="S10869" t="s">
        <v>26</v>
      </c>
    </row>
    <row r="10870" spans="1:19" x14ac:dyDescent="0.3">
      <c r="A10870" t="s">
        <v>20660</v>
      </c>
      <c r="B10870" t="s">
        <v>22727</v>
      </c>
      <c r="C10870" t="s">
        <v>23078</v>
      </c>
      <c r="D10870" t="s">
        <v>20674</v>
      </c>
      <c r="E10870" t="s">
        <v>21199</v>
      </c>
      <c r="F10870" t="s">
        <v>21200</v>
      </c>
      <c r="G10870" t="s">
        <v>21200</v>
      </c>
      <c r="H10870" t="s">
        <v>859</v>
      </c>
      <c r="I10870" t="s">
        <v>860</v>
      </c>
      <c r="J10870" t="str">
        <f>"9350159"</f>
        <v>9350159</v>
      </c>
      <c r="K10870">
        <v>2423091128</v>
      </c>
      <c r="L10870">
        <v>2423091128</v>
      </c>
      <c r="M10870" t="s">
        <v>23079</v>
      </c>
      <c r="N10870" t="s">
        <v>21200</v>
      </c>
      <c r="O10870" t="s">
        <v>21203</v>
      </c>
      <c r="P10870">
        <v>37009</v>
      </c>
      <c r="Q10870" t="str">
        <f>"39.100762"</f>
        <v>39.100762</v>
      </c>
      <c r="R10870" t="str">
        <f>"23.072741"</f>
        <v>23.072741</v>
      </c>
      <c r="S10870" t="s">
        <v>26</v>
      </c>
    </row>
    <row r="10871" spans="1:19" x14ac:dyDescent="0.3">
      <c r="A10871" t="s">
        <v>20660</v>
      </c>
      <c r="B10871" t="s">
        <v>22727</v>
      </c>
      <c r="C10871" t="s">
        <v>23082</v>
      </c>
      <c r="D10871" t="s">
        <v>20674</v>
      </c>
      <c r="E10871" t="s">
        <v>20675</v>
      </c>
      <c r="F10871" t="s">
        <v>20675</v>
      </c>
      <c r="G10871" t="s">
        <v>20675</v>
      </c>
      <c r="H10871" t="s">
        <v>859</v>
      </c>
      <c r="I10871" t="s">
        <v>860</v>
      </c>
      <c r="J10871" t="str">
        <f>"9350222"</f>
        <v>9350222</v>
      </c>
      <c r="K10871">
        <v>2421083839</v>
      </c>
      <c r="L10871">
        <v>2421083839</v>
      </c>
      <c r="M10871" t="s">
        <v>23083</v>
      </c>
      <c r="N10871" t="s">
        <v>20675</v>
      </c>
      <c r="O10871" t="s">
        <v>23084</v>
      </c>
      <c r="P10871">
        <v>38334</v>
      </c>
      <c r="Q10871" t="str">
        <f>"39.365239"</f>
        <v>39.365239</v>
      </c>
      <c r="R10871" t="str">
        <f>"22.926950"</f>
        <v>22.926950</v>
      </c>
      <c r="S10871" t="s">
        <v>26</v>
      </c>
    </row>
    <row r="10872" spans="1:19" x14ac:dyDescent="0.3">
      <c r="A10872" t="s">
        <v>20660</v>
      </c>
      <c r="B10872" t="s">
        <v>22727</v>
      </c>
      <c r="C10872" t="s">
        <v>23085</v>
      </c>
      <c r="D10872" t="s">
        <v>20674</v>
      </c>
      <c r="E10872" t="s">
        <v>20675</v>
      </c>
      <c r="F10872" t="s">
        <v>3246</v>
      </c>
      <c r="G10872" t="s">
        <v>3246</v>
      </c>
      <c r="H10872" t="s">
        <v>859</v>
      </c>
      <c r="I10872" t="s">
        <v>860</v>
      </c>
      <c r="J10872" t="str">
        <f>"9350146"</f>
        <v>9350146</v>
      </c>
      <c r="K10872">
        <v>2421085744</v>
      </c>
      <c r="L10872">
        <v>2421085744</v>
      </c>
      <c r="M10872" t="s">
        <v>23086</v>
      </c>
      <c r="N10872" t="s">
        <v>3246</v>
      </c>
      <c r="O10872" t="s">
        <v>23087</v>
      </c>
      <c r="P10872">
        <v>38446</v>
      </c>
      <c r="Q10872" t="str">
        <f>"39.375150"</f>
        <v>39.375150</v>
      </c>
      <c r="R10872" t="str">
        <f>"22.939030"</f>
        <v>22.939030</v>
      </c>
      <c r="S10872" t="s">
        <v>26</v>
      </c>
    </row>
    <row r="10873" spans="1:19" x14ac:dyDescent="0.3">
      <c r="A10873" t="s">
        <v>20660</v>
      </c>
      <c r="B10873" t="s">
        <v>22727</v>
      </c>
      <c r="C10873" t="s">
        <v>23091</v>
      </c>
      <c r="D10873" t="s">
        <v>20674</v>
      </c>
      <c r="E10873" t="s">
        <v>20675</v>
      </c>
      <c r="F10873" t="s">
        <v>21223</v>
      </c>
      <c r="G10873" t="s">
        <v>23090</v>
      </c>
      <c r="H10873" t="s">
        <v>859</v>
      </c>
      <c r="I10873" t="s">
        <v>860</v>
      </c>
      <c r="J10873" t="str">
        <f>"9350217"</f>
        <v>9350217</v>
      </c>
      <c r="K10873">
        <v>2422051230</v>
      </c>
      <c r="L10873">
        <v>2422051230</v>
      </c>
      <c r="M10873" t="s">
        <v>23092</v>
      </c>
      <c r="N10873" t="s">
        <v>23093</v>
      </c>
      <c r="O10873" t="s">
        <v>23094</v>
      </c>
      <c r="P10873">
        <v>37100</v>
      </c>
      <c r="Q10873" t="str">
        <f>"39.245872"</f>
        <v>39.245872</v>
      </c>
      <c r="R10873" t="str">
        <f>"22.744967"</f>
        <v>22.744967</v>
      </c>
      <c r="S10873" t="s">
        <v>26</v>
      </c>
    </row>
    <row r="10874" spans="1:19" x14ac:dyDescent="0.3">
      <c r="A10874" t="s">
        <v>20660</v>
      </c>
      <c r="B10874" t="s">
        <v>22727</v>
      </c>
      <c r="C10874" t="s">
        <v>23108</v>
      </c>
      <c r="D10874" t="s">
        <v>20674</v>
      </c>
      <c r="E10874" t="s">
        <v>21229</v>
      </c>
      <c r="F10874" t="s">
        <v>21237</v>
      </c>
      <c r="G10874" t="s">
        <v>23038</v>
      </c>
      <c r="H10874" t="s">
        <v>859</v>
      </c>
      <c r="I10874" t="s">
        <v>860</v>
      </c>
      <c r="J10874" t="str">
        <f>"9350190"</f>
        <v>9350190</v>
      </c>
      <c r="K10874">
        <v>2426026004</v>
      </c>
      <c r="L10874">
        <v>2426026004</v>
      </c>
      <c r="M10874" t="s">
        <v>23109</v>
      </c>
      <c r="N10874" t="s">
        <v>23110</v>
      </c>
      <c r="O10874" t="s">
        <v>23041</v>
      </c>
      <c r="P10874">
        <v>37001</v>
      </c>
      <c r="Q10874" t="str">
        <f>"39.478080"</f>
        <v>39.478080</v>
      </c>
      <c r="R10874" t="str">
        <f>"23.094851"</f>
        <v>23.094851</v>
      </c>
      <c r="S10874" t="s">
        <v>26</v>
      </c>
    </row>
    <row r="10875" spans="1:19" x14ac:dyDescent="0.3">
      <c r="A10875" t="s">
        <v>20660</v>
      </c>
      <c r="B10875" t="s">
        <v>22727</v>
      </c>
      <c r="C10875" t="s">
        <v>23116</v>
      </c>
      <c r="D10875" t="s">
        <v>20674</v>
      </c>
      <c r="E10875" t="s">
        <v>20675</v>
      </c>
      <c r="F10875" t="s">
        <v>20675</v>
      </c>
      <c r="G10875" t="s">
        <v>20675</v>
      </c>
      <c r="H10875" t="s">
        <v>859</v>
      </c>
      <c r="I10875" t="s">
        <v>860</v>
      </c>
      <c r="J10875" t="str">
        <f>"9350010"</f>
        <v>9350010</v>
      </c>
      <c r="K10875">
        <v>2421055738</v>
      </c>
      <c r="M10875" t="s">
        <v>23117</v>
      </c>
      <c r="N10875" t="s">
        <v>20675</v>
      </c>
      <c r="O10875" t="s">
        <v>23118</v>
      </c>
      <c r="P10875">
        <v>38222</v>
      </c>
      <c r="Q10875" t="str">
        <f>"39.353096"</f>
        <v>39.353096</v>
      </c>
      <c r="R10875" t="str">
        <f>"22.964952"</f>
        <v>22.964952</v>
      </c>
      <c r="S10875" t="s">
        <v>26</v>
      </c>
    </row>
    <row r="10876" spans="1:19" x14ac:dyDescent="0.3">
      <c r="A10876" t="s">
        <v>20660</v>
      </c>
      <c r="B10876" t="s">
        <v>22727</v>
      </c>
      <c r="C10876" t="s">
        <v>23119</v>
      </c>
      <c r="D10876" t="s">
        <v>20674</v>
      </c>
      <c r="E10876" t="s">
        <v>20675</v>
      </c>
      <c r="F10876" t="s">
        <v>20675</v>
      </c>
      <c r="G10876" t="s">
        <v>20675</v>
      </c>
      <c r="H10876" t="s">
        <v>859</v>
      </c>
      <c r="I10876" t="s">
        <v>860</v>
      </c>
      <c r="J10876" t="str">
        <f>"9350171"</f>
        <v>9350171</v>
      </c>
      <c r="K10876">
        <v>2421045466</v>
      </c>
      <c r="L10876">
        <v>2421045466</v>
      </c>
      <c r="M10876" t="s">
        <v>23120</v>
      </c>
      <c r="N10876" t="s">
        <v>20675</v>
      </c>
      <c r="O10876" t="s">
        <v>23121</v>
      </c>
      <c r="P10876">
        <v>38222</v>
      </c>
      <c r="Q10876" t="str">
        <f>"39.353445"</f>
        <v>39.353445</v>
      </c>
      <c r="R10876" t="str">
        <f>"22.964817"</f>
        <v>22.964817</v>
      </c>
      <c r="S10876" t="s">
        <v>26</v>
      </c>
    </row>
    <row r="10877" spans="1:19" x14ac:dyDescent="0.3">
      <c r="A10877" t="s">
        <v>20660</v>
      </c>
      <c r="B10877" t="s">
        <v>22727</v>
      </c>
      <c r="C10877" t="s">
        <v>23132</v>
      </c>
      <c r="D10877" t="s">
        <v>20674</v>
      </c>
      <c r="E10877" t="s">
        <v>20675</v>
      </c>
      <c r="F10877" t="s">
        <v>21217</v>
      </c>
      <c r="G10877" t="s">
        <v>21217</v>
      </c>
      <c r="H10877" t="s">
        <v>859</v>
      </c>
      <c r="I10877" t="s">
        <v>860</v>
      </c>
      <c r="J10877" t="str">
        <f>"9350200"</f>
        <v>9350200</v>
      </c>
      <c r="K10877">
        <v>2428093716</v>
      </c>
      <c r="L10877">
        <v>2428093716</v>
      </c>
      <c r="M10877" t="s">
        <v>23133</v>
      </c>
      <c r="N10877" t="s">
        <v>21217</v>
      </c>
      <c r="O10877" t="s">
        <v>23134</v>
      </c>
      <c r="P10877">
        <v>37300</v>
      </c>
      <c r="Q10877" t="str">
        <f>"39.344264"</f>
        <v>39.344264</v>
      </c>
      <c r="R10877" t="str">
        <f>"23.006222"</f>
        <v>23.006222</v>
      </c>
      <c r="S10877" t="s">
        <v>26</v>
      </c>
    </row>
    <row r="10878" spans="1:19" x14ac:dyDescent="0.3">
      <c r="A10878" t="s">
        <v>20660</v>
      </c>
      <c r="B10878" t="s">
        <v>22727</v>
      </c>
      <c r="C10878" t="s">
        <v>23135</v>
      </c>
      <c r="D10878" t="s">
        <v>21210</v>
      </c>
      <c r="E10878" t="s">
        <v>21441</v>
      </c>
      <c r="F10878" t="s">
        <v>21441</v>
      </c>
      <c r="G10878" t="s">
        <v>21441</v>
      </c>
      <c r="H10878" t="s">
        <v>859</v>
      </c>
      <c r="I10878" t="s">
        <v>860</v>
      </c>
      <c r="J10878" t="str">
        <f>"9350158"</f>
        <v>9350158</v>
      </c>
      <c r="K10878">
        <v>2424065717</v>
      </c>
      <c r="L10878">
        <v>2424065717</v>
      </c>
      <c r="M10878" t="s">
        <v>23136</v>
      </c>
      <c r="N10878" t="s">
        <v>21441</v>
      </c>
      <c r="O10878" t="s">
        <v>23137</v>
      </c>
      <c r="P10878">
        <v>37005</v>
      </c>
      <c r="Q10878" t="str">
        <f>"39.149671"</f>
        <v>39.149671</v>
      </c>
      <c r="R10878" t="str">
        <f>"23.843854"</f>
        <v>23.843854</v>
      </c>
      <c r="S10878" t="s">
        <v>57</v>
      </c>
    </row>
    <row r="10879" spans="1:19" x14ac:dyDescent="0.3">
      <c r="A10879" t="s">
        <v>20660</v>
      </c>
      <c r="B10879" t="s">
        <v>22727</v>
      </c>
      <c r="C10879" t="s">
        <v>23140</v>
      </c>
      <c r="D10879" t="s">
        <v>20674</v>
      </c>
      <c r="E10879" t="s">
        <v>21199</v>
      </c>
      <c r="F10879" t="s">
        <v>21332</v>
      </c>
      <c r="G10879" t="s">
        <v>21332</v>
      </c>
      <c r="H10879" t="s">
        <v>859</v>
      </c>
      <c r="I10879" t="s">
        <v>860</v>
      </c>
      <c r="J10879" t="str">
        <f>"9350021"</f>
        <v>9350021</v>
      </c>
      <c r="K10879">
        <v>2423055835</v>
      </c>
      <c r="L10879">
        <v>2423055835</v>
      </c>
      <c r="M10879" t="s">
        <v>23141</v>
      </c>
      <c r="N10879" t="s">
        <v>21332</v>
      </c>
      <c r="O10879" t="s">
        <v>21336</v>
      </c>
      <c r="P10879">
        <v>37006</v>
      </c>
      <c r="Q10879" t="str">
        <f>"39.226064"</f>
        <v>39.226064</v>
      </c>
      <c r="R10879" t="str">
        <f>"23.221411"</f>
        <v>23.221411</v>
      </c>
      <c r="S10879" t="s">
        <v>26</v>
      </c>
    </row>
    <row r="10880" spans="1:19" x14ac:dyDescent="0.3">
      <c r="A10880" t="s">
        <v>20660</v>
      </c>
      <c r="B10880" t="s">
        <v>22727</v>
      </c>
      <c r="C10880" t="s">
        <v>23142</v>
      </c>
      <c r="D10880" t="s">
        <v>20674</v>
      </c>
      <c r="E10880" t="s">
        <v>20675</v>
      </c>
      <c r="F10880" t="s">
        <v>4249</v>
      </c>
      <c r="G10880" t="s">
        <v>21409</v>
      </c>
      <c r="H10880" t="s">
        <v>859</v>
      </c>
      <c r="I10880" t="s">
        <v>860</v>
      </c>
      <c r="J10880" t="str">
        <f>"9350157"</f>
        <v>9350157</v>
      </c>
      <c r="K10880">
        <v>2428093605</v>
      </c>
      <c r="L10880">
        <v>2428093605</v>
      </c>
      <c r="M10880" t="s">
        <v>23143</v>
      </c>
      <c r="N10880" t="s">
        <v>23144</v>
      </c>
      <c r="O10880" t="s">
        <v>21412</v>
      </c>
      <c r="P10880">
        <v>38500</v>
      </c>
      <c r="Q10880" t="str">
        <f>"39.331672"</f>
        <v>39.331672</v>
      </c>
      <c r="R10880" t="str">
        <f>"23.034522"</f>
        <v>23.034522</v>
      </c>
      <c r="S10880" t="s">
        <v>26</v>
      </c>
    </row>
    <row r="10881" spans="1:19" x14ac:dyDescent="0.3">
      <c r="A10881" t="s">
        <v>20660</v>
      </c>
      <c r="B10881" t="s">
        <v>22727</v>
      </c>
      <c r="C10881" t="s">
        <v>23145</v>
      </c>
      <c r="D10881" t="s">
        <v>20674</v>
      </c>
      <c r="E10881" t="s">
        <v>20675</v>
      </c>
      <c r="F10881" t="s">
        <v>20675</v>
      </c>
      <c r="G10881" t="s">
        <v>20675</v>
      </c>
      <c r="H10881" t="s">
        <v>859</v>
      </c>
      <c r="I10881" t="s">
        <v>860</v>
      </c>
      <c r="J10881" t="str">
        <f>"9350055"</f>
        <v>9350055</v>
      </c>
      <c r="K10881">
        <v>2421022564</v>
      </c>
      <c r="L10881">
        <v>2421022564</v>
      </c>
      <c r="M10881" t="s">
        <v>23146</v>
      </c>
      <c r="N10881" t="s">
        <v>20678</v>
      </c>
      <c r="O10881" t="s">
        <v>23147</v>
      </c>
      <c r="P10881">
        <v>38333</v>
      </c>
      <c r="Q10881" t="str">
        <f>"39.364865"</f>
        <v>39.364865</v>
      </c>
      <c r="R10881" t="str">
        <f>"22.947160"</f>
        <v>22.947160</v>
      </c>
      <c r="S10881" t="s">
        <v>26</v>
      </c>
    </row>
    <row r="10882" spans="1:19" x14ac:dyDescent="0.3">
      <c r="A10882" t="s">
        <v>20660</v>
      </c>
      <c r="B10882" t="s">
        <v>22727</v>
      </c>
      <c r="C10882" t="s">
        <v>23148</v>
      </c>
      <c r="D10882" t="s">
        <v>20674</v>
      </c>
      <c r="E10882" t="s">
        <v>20675</v>
      </c>
      <c r="F10882" t="s">
        <v>20675</v>
      </c>
      <c r="G10882" t="s">
        <v>20675</v>
      </c>
      <c r="H10882" t="s">
        <v>859</v>
      </c>
      <c r="I10882" t="s">
        <v>860</v>
      </c>
      <c r="J10882" t="str">
        <f>"9350067"</f>
        <v>9350067</v>
      </c>
      <c r="K10882">
        <v>2421072386</v>
      </c>
      <c r="L10882">
        <v>2421072386</v>
      </c>
      <c r="M10882" t="s">
        <v>23149</v>
      </c>
      <c r="N10882" t="s">
        <v>20675</v>
      </c>
      <c r="O10882" t="s">
        <v>23150</v>
      </c>
      <c r="P10882">
        <v>38333</v>
      </c>
      <c r="Q10882" t="str">
        <f>"39.372086"</f>
        <v>39.372086</v>
      </c>
      <c r="R10882" t="str">
        <f>"22.947840"</f>
        <v>22.947840</v>
      </c>
      <c r="S10882" t="s">
        <v>26</v>
      </c>
    </row>
    <row r="10883" spans="1:19" x14ac:dyDescent="0.3">
      <c r="A10883" t="s">
        <v>20660</v>
      </c>
      <c r="B10883" t="s">
        <v>22727</v>
      </c>
      <c r="C10883" t="s">
        <v>23151</v>
      </c>
      <c r="D10883" t="s">
        <v>20674</v>
      </c>
      <c r="E10883" t="s">
        <v>20675</v>
      </c>
      <c r="F10883" t="s">
        <v>20675</v>
      </c>
      <c r="G10883" t="s">
        <v>20675</v>
      </c>
      <c r="H10883" t="s">
        <v>859</v>
      </c>
      <c r="I10883" t="s">
        <v>860</v>
      </c>
      <c r="J10883" t="str">
        <f>"9350070"</f>
        <v>9350070</v>
      </c>
      <c r="K10883">
        <v>2421072388</v>
      </c>
      <c r="L10883">
        <v>2421072388</v>
      </c>
      <c r="M10883" t="s">
        <v>23152</v>
      </c>
      <c r="N10883" t="s">
        <v>20675</v>
      </c>
      <c r="O10883" t="s">
        <v>23153</v>
      </c>
      <c r="P10883">
        <v>38500</v>
      </c>
      <c r="Q10883" t="str">
        <f>"39.379407"</f>
        <v>39.379407</v>
      </c>
      <c r="R10883" t="str">
        <f>"22.960168"</f>
        <v>22.960168</v>
      </c>
      <c r="S10883" t="s">
        <v>26</v>
      </c>
    </row>
    <row r="10884" spans="1:19" x14ac:dyDescent="0.3">
      <c r="A10884" t="s">
        <v>20660</v>
      </c>
      <c r="B10884" t="s">
        <v>22727</v>
      </c>
      <c r="C10884" t="s">
        <v>23154</v>
      </c>
      <c r="D10884" t="s">
        <v>20674</v>
      </c>
      <c r="E10884" t="s">
        <v>20675</v>
      </c>
      <c r="F10884" t="s">
        <v>20675</v>
      </c>
      <c r="G10884" t="s">
        <v>20675</v>
      </c>
      <c r="H10884" t="s">
        <v>859</v>
      </c>
      <c r="I10884" t="s">
        <v>860</v>
      </c>
      <c r="J10884" t="str">
        <f>"9350185"</f>
        <v>9350185</v>
      </c>
      <c r="K10884">
        <v>2421085748</v>
      </c>
      <c r="L10884">
        <v>2421085748</v>
      </c>
      <c r="M10884" t="s">
        <v>23155</v>
      </c>
      <c r="N10884" t="s">
        <v>20675</v>
      </c>
      <c r="O10884" t="s">
        <v>23156</v>
      </c>
      <c r="P10884">
        <v>38334</v>
      </c>
      <c r="Q10884" t="str">
        <f>"39.359243"</f>
        <v>39.359243</v>
      </c>
      <c r="R10884" t="str">
        <f>"22.924777"</f>
        <v>22.924777</v>
      </c>
      <c r="S10884" t="s">
        <v>26</v>
      </c>
    </row>
    <row r="10885" spans="1:19" x14ac:dyDescent="0.3">
      <c r="A10885" t="s">
        <v>20660</v>
      </c>
      <c r="B10885" t="s">
        <v>22727</v>
      </c>
      <c r="C10885" t="s">
        <v>23157</v>
      </c>
      <c r="D10885" t="s">
        <v>20674</v>
      </c>
      <c r="E10885" t="s">
        <v>20675</v>
      </c>
      <c r="F10885" t="s">
        <v>20675</v>
      </c>
      <c r="G10885" t="s">
        <v>20675</v>
      </c>
      <c r="H10885" t="s">
        <v>859</v>
      </c>
      <c r="I10885" t="s">
        <v>860</v>
      </c>
      <c r="J10885" t="str">
        <f>"9350284"</f>
        <v>9350284</v>
      </c>
      <c r="K10885">
        <v>2421040914</v>
      </c>
      <c r="M10885" t="s">
        <v>23158</v>
      </c>
      <c r="N10885" t="s">
        <v>20675</v>
      </c>
      <c r="O10885" t="s">
        <v>23159</v>
      </c>
      <c r="P10885">
        <v>38333</v>
      </c>
      <c r="Q10885" t="str">
        <f>"39.376128"</f>
        <v>39.376128</v>
      </c>
      <c r="R10885" t="str">
        <f>"22.957196"</f>
        <v>22.957196</v>
      </c>
      <c r="S10885" t="s">
        <v>26</v>
      </c>
    </row>
    <row r="10886" spans="1:19" x14ac:dyDescent="0.3">
      <c r="A10886" t="s">
        <v>20660</v>
      </c>
      <c r="B10886" t="s">
        <v>22727</v>
      </c>
      <c r="C10886" t="s">
        <v>23163</v>
      </c>
      <c r="D10886" t="s">
        <v>20674</v>
      </c>
      <c r="E10886" t="s">
        <v>20675</v>
      </c>
      <c r="F10886" t="s">
        <v>20675</v>
      </c>
      <c r="G10886" t="s">
        <v>20675</v>
      </c>
      <c r="H10886" t="s">
        <v>859</v>
      </c>
      <c r="I10886" t="s">
        <v>860</v>
      </c>
      <c r="J10886" t="str">
        <f>"9350221"</f>
        <v>9350221</v>
      </c>
      <c r="K10886">
        <v>2421088484</v>
      </c>
      <c r="L10886">
        <v>2421088484</v>
      </c>
      <c r="M10886" t="s">
        <v>23164</v>
      </c>
      <c r="N10886" t="s">
        <v>20675</v>
      </c>
      <c r="O10886" t="s">
        <v>23165</v>
      </c>
      <c r="P10886">
        <v>38500</v>
      </c>
      <c r="Q10886" t="str">
        <f>"39.331557"</f>
        <v>39.331557</v>
      </c>
      <c r="R10886" t="str">
        <f>"22.930605"</f>
        <v>22.930605</v>
      </c>
      <c r="S10886" t="s">
        <v>26</v>
      </c>
    </row>
    <row r="10887" spans="1:19" x14ac:dyDescent="0.3">
      <c r="A10887" t="s">
        <v>20660</v>
      </c>
      <c r="B10887" t="s">
        <v>22727</v>
      </c>
      <c r="C10887" t="s">
        <v>23169</v>
      </c>
      <c r="D10887" t="s">
        <v>20674</v>
      </c>
      <c r="E10887" t="s">
        <v>20675</v>
      </c>
      <c r="F10887" t="s">
        <v>20675</v>
      </c>
      <c r="G10887" t="s">
        <v>20675</v>
      </c>
      <c r="H10887" t="s">
        <v>859</v>
      </c>
      <c r="I10887" t="s">
        <v>860</v>
      </c>
      <c r="J10887" t="str">
        <f>"9350299"</f>
        <v>9350299</v>
      </c>
      <c r="K10887">
        <v>2421021006</v>
      </c>
      <c r="L10887">
        <v>2421021006</v>
      </c>
      <c r="M10887" t="s">
        <v>23170</v>
      </c>
      <c r="N10887" t="s">
        <v>20675</v>
      </c>
      <c r="O10887" t="s">
        <v>22830</v>
      </c>
      <c r="P10887">
        <v>38333</v>
      </c>
      <c r="Q10887" t="str">
        <f>"39.368442"</f>
        <v>39.368442</v>
      </c>
      <c r="R10887" t="str">
        <f>"22.936345"</f>
        <v>22.936345</v>
      </c>
      <c r="S10887" t="s">
        <v>26</v>
      </c>
    </row>
    <row r="10888" spans="1:19" x14ac:dyDescent="0.3">
      <c r="A10888" t="s">
        <v>20660</v>
      </c>
      <c r="B10888" t="s">
        <v>22727</v>
      </c>
      <c r="C10888" t="s">
        <v>23172</v>
      </c>
      <c r="D10888" t="s">
        <v>20674</v>
      </c>
      <c r="E10888" t="s">
        <v>21199</v>
      </c>
      <c r="F10888" t="s">
        <v>21366</v>
      </c>
      <c r="G10888" t="s">
        <v>23171</v>
      </c>
      <c r="H10888" t="s">
        <v>859</v>
      </c>
      <c r="I10888" t="s">
        <v>860</v>
      </c>
      <c r="J10888" t="str">
        <f>"9350249"</f>
        <v>9350249</v>
      </c>
      <c r="K10888">
        <v>2423022096</v>
      </c>
      <c r="L10888">
        <v>2423022096</v>
      </c>
      <c r="M10888" t="s">
        <v>23173</v>
      </c>
      <c r="N10888" t="s">
        <v>23174</v>
      </c>
      <c r="O10888" t="s">
        <v>23175</v>
      </c>
      <c r="P10888">
        <v>37010</v>
      </c>
      <c r="Q10888" t="str">
        <f>"39.306573"</f>
        <v>39.306573</v>
      </c>
      <c r="R10888" t="str">
        <f>"23.124999"</f>
        <v>23.124999</v>
      </c>
      <c r="S10888" t="s">
        <v>26</v>
      </c>
    </row>
    <row r="10889" spans="1:19" x14ac:dyDescent="0.3">
      <c r="A10889" t="s">
        <v>20660</v>
      </c>
      <c r="B10889" t="s">
        <v>22727</v>
      </c>
      <c r="C10889" t="s">
        <v>23178</v>
      </c>
      <c r="D10889" t="s">
        <v>20674</v>
      </c>
      <c r="E10889" t="s">
        <v>21193</v>
      </c>
      <c r="F10889" t="s">
        <v>21205</v>
      </c>
      <c r="G10889" t="s">
        <v>23074</v>
      </c>
      <c r="H10889" t="s">
        <v>859</v>
      </c>
      <c r="I10889" t="s">
        <v>860</v>
      </c>
      <c r="J10889" t="str">
        <f>"9350231"</f>
        <v>9350231</v>
      </c>
      <c r="K10889">
        <v>2422094254</v>
      </c>
      <c r="L10889">
        <v>2422094254</v>
      </c>
      <c r="M10889" t="s">
        <v>23179</v>
      </c>
      <c r="N10889" t="s">
        <v>23180</v>
      </c>
      <c r="O10889" t="s">
        <v>23077</v>
      </c>
      <c r="P10889">
        <v>37100</v>
      </c>
      <c r="Q10889" t="str">
        <f>"39.066686"</f>
        <v>39.066686</v>
      </c>
      <c r="R10889" t="str">
        <f>"22.809869"</f>
        <v>22.809869</v>
      </c>
      <c r="S10889" t="s">
        <v>26</v>
      </c>
    </row>
    <row r="10890" spans="1:19" x14ac:dyDescent="0.3">
      <c r="A10890" t="s">
        <v>20660</v>
      </c>
      <c r="B10890" t="s">
        <v>22727</v>
      </c>
      <c r="C10890" t="s">
        <v>23189</v>
      </c>
      <c r="D10890" t="s">
        <v>20674</v>
      </c>
      <c r="E10890" t="s">
        <v>20675</v>
      </c>
      <c r="F10890" t="s">
        <v>3246</v>
      </c>
      <c r="G10890" t="s">
        <v>3246</v>
      </c>
      <c r="H10890" t="s">
        <v>859</v>
      </c>
      <c r="I10890" t="s">
        <v>860</v>
      </c>
      <c r="J10890" t="str">
        <f>"9350288"</f>
        <v>9350288</v>
      </c>
      <c r="K10890">
        <v>2421084370</v>
      </c>
      <c r="L10890">
        <v>2421081538</v>
      </c>
      <c r="M10890" t="s">
        <v>23190</v>
      </c>
      <c r="N10890" t="s">
        <v>3246</v>
      </c>
      <c r="O10890" t="s">
        <v>23191</v>
      </c>
      <c r="P10890">
        <v>38445</v>
      </c>
      <c r="Q10890" t="str">
        <f>"39.371336"</f>
        <v>39.371336</v>
      </c>
      <c r="R10890" t="str">
        <f>"22.923985"</f>
        <v>22.923985</v>
      </c>
      <c r="S10890" t="s">
        <v>26</v>
      </c>
    </row>
    <row r="10891" spans="1:19" x14ac:dyDescent="0.3">
      <c r="A10891" t="s">
        <v>20660</v>
      </c>
      <c r="B10891" t="s">
        <v>22727</v>
      </c>
      <c r="C10891" t="s">
        <v>23194</v>
      </c>
      <c r="D10891" t="s">
        <v>20674</v>
      </c>
      <c r="E10891" t="s">
        <v>21199</v>
      </c>
      <c r="F10891" t="s">
        <v>22931</v>
      </c>
      <c r="G10891" t="s">
        <v>22932</v>
      </c>
      <c r="H10891" t="s">
        <v>859</v>
      </c>
      <c r="I10891" t="s">
        <v>860</v>
      </c>
      <c r="J10891" t="str">
        <f>"9350225"</f>
        <v>9350225</v>
      </c>
      <c r="K10891">
        <v>2423071270</v>
      </c>
      <c r="L10891">
        <v>2423071270</v>
      </c>
      <c r="M10891" t="s">
        <v>23195</v>
      </c>
      <c r="N10891" t="s">
        <v>23196</v>
      </c>
      <c r="O10891" t="s">
        <v>22935</v>
      </c>
      <c r="P10891">
        <v>37006</v>
      </c>
      <c r="Q10891" t="str">
        <f>"39.190216"</f>
        <v>39.190216</v>
      </c>
      <c r="R10891" t="str">
        <f>"23.288975"</f>
        <v>23.288975</v>
      </c>
      <c r="S10891" t="s">
        <v>26</v>
      </c>
    </row>
    <row r="10892" spans="1:19" x14ac:dyDescent="0.3">
      <c r="A10892" t="s">
        <v>20660</v>
      </c>
      <c r="B10892" t="s">
        <v>22727</v>
      </c>
      <c r="C10892" t="s">
        <v>23197</v>
      </c>
      <c r="D10892" t="s">
        <v>20674</v>
      </c>
      <c r="E10892" t="s">
        <v>21199</v>
      </c>
      <c r="F10892" t="s">
        <v>22931</v>
      </c>
      <c r="G10892" t="s">
        <v>23181</v>
      </c>
      <c r="H10892" t="s">
        <v>859</v>
      </c>
      <c r="I10892" t="s">
        <v>860</v>
      </c>
      <c r="J10892" t="str">
        <f>"9350246"</f>
        <v>9350246</v>
      </c>
      <c r="K10892">
        <v>2423065294</v>
      </c>
      <c r="L10892">
        <v>2423065294</v>
      </c>
      <c r="M10892" t="s">
        <v>23198</v>
      </c>
      <c r="N10892" t="s">
        <v>23199</v>
      </c>
      <c r="O10892" t="s">
        <v>23184</v>
      </c>
      <c r="P10892">
        <v>37006</v>
      </c>
      <c r="Q10892" t="str">
        <f>"39.173259"</f>
        <v>39.173259</v>
      </c>
      <c r="R10892" t="str">
        <f>"23.247325"</f>
        <v>23.247325</v>
      </c>
      <c r="S10892" t="s">
        <v>26</v>
      </c>
    </row>
    <row r="10893" spans="1:19" x14ac:dyDescent="0.3">
      <c r="A10893" t="s">
        <v>20660</v>
      </c>
      <c r="B10893" t="s">
        <v>22727</v>
      </c>
      <c r="C10893" t="s">
        <v>23200</v>
      </c>
      <c r="D10893" t="s">
        <v>21210</v>
      </c>
      <c r="E10893" t="s">
        <v>13139</v>
      </c>
      <c r="F10893" t="s">
        <v>13139</v>
      </c>
      <c r="G10893" t="s">
        <v>13139</v>
      </c>
      <c r="H10893" t="s">
        <v>859</v>
      </c>
      <c r="I10893" t="s">
        <v>860</v>
      </c>
      <c r="J10893" t="str">
        <f>"9350043"</f>
        <v>9350043</v>
      </c>
      <c r="K10893">
        <v>2424022778</v>
      </c>
      <c r="L10893">
        <v>2424022778</v>
      </c>
      <c r="M10893" t="s">
        <v>23201</v>
      </c>
      <c r="N10893" t="s">
        <v>13139</v>
      </c>
      <c r="O10893" t="s">
        <v>21292</v>
      </c>
      <c r="P10893">
        <v>37003</v>
      </c>
      <c r="Q10893" t="str">
        <f>"39.121258"</f>
        <v>39.121258</v>
      </c>
      <c r="R10893" t="str">
        <f>"23.727404"</f>
        <v>23.727404</v>
      </c>
      <c r="S10893" t="s">
        <v>57</v>
      </c>
    </row>
    <row r="10894" spans="1:19" x14ac:dyDescent="0.3">
      <c r="A10894" t="s">
        <v>20660</v>
      </c>
      <c r="B10894" t="s">
        <v>22727</v>
      </c>
      <c r="C10894" t="s">
        <v>23209</v>
      </c>
      <c r="D10894" t="s">
        <v>21210</v>
      </c>
      <c r="E10894" t="s">
        <v>13139</v>
      </c>
      <c r="F10894" t="s">
        <v>13139</v>
      </c>
      <c r="G10894" t="s">
        <v>21480</v>
      </c>
      <c r="H10894" t="s">
        <v>859</v>
      </c>
      <c r="I10894" t="s">
        <v>860</v>
      </c>
      <c r="J10894" t="str">
        <f>"9350046"</f>
        <v>9350046</v>
      </c>
      <c r="K10894">
        <v>2424034117</v>
      </c>
      <c r="L10894">
        <v>2424034117</v>
      </c>
      <c r="M10894" t="s">
        <v>23210</v>
      </c>
      <c r="N10894" t="s">
        <v>23211</v>
      </c>
      <c r="O10894" t="s">
        <v>23212</v>
      </c>
      <c r="P10894">
        <v>37004</v>
      </c>
      <c r="Q10894" t="str">
        <f>"39.174496"</f>
        <v>39.174496</v>
      </c>
      <c r="R10894" t="str">
        <f>"23.617430"</f>
        <v>23.617430</v>
      </c>
      <c r="S10894" t="s">
        <v>57</v>
      </c>
    </row>
    <row r="10895" spans="1:19" x14ac:dyDescent="0.3">
      <c r="A10895" t="s">
        <v>20660</v>
      </c>
      <c r="B10895" t="s">
        <v>22727</v>
      </c>
      <c r="C10895" t="s">
        <v>23215</v>
      </c>
      <c r="D10895" t="s">
        <v>21210</v>
      </c>
      <c r="E10895" t="s">
        <v>13139</v>
      </c>
      <c r="F10895" t="s">
        <v>13139</v>
      </c>
      <c r="G10895" t="s">
        <v>13139</v>
      </c>
      <c r="H10895" t="s">
        <v>859</v>
      </c>
      <c r="I10895" t="s">
        <v>860</v>
      </c>
      <c r="J10895" t="str">
        <f>"9350279"</f>
        <v>9350279</v>
      </c>
      <c r="K10895">
        <v>2424024474</v>
      </c>
      <c r="L10895">
        <v>2424024474</v>
      </c>
      <c r="M10895" t="s">
        <v>23216</v>
      </c>
      <c r="N10895" t="s">
        <v>13139</v>
      </c>
      <c r="O10895" t="s">
        <v>21292</v>
      </c>
      <c r="P10895">
        <v>37003</v>
      </c>
      <c r="Q10895" t="str">
        <f>"39.120975"</f>
        <v>39.120975</v>
      </c>
      <c r="R10895" t="str">
        <f>"23.727212"</f>
        <v>23.727212</v>
      </c>
      <c r="S10895" t="s">
        <v>57</v>
      </c>
    </row>
    <row r="10896" spans="1:19" x14ac:dyDescent="0.3">
      <c r="A10896" t="s">
        <v>20660</v>
      </c>
      <c r="B10896" t="s">
        <v>22727</v>
      </c>
      <c r="C10896" t="s">
        <v>23217</v>
      </c>
      <c r="D10896" t="s">
        <v>20674</v>
      </c>
      <c r="E10896" t="s">
        <v>20675</v>
      </c>
      <c r="F10896" t="s">
        <v>3246</v>
      </c>
      <c r="G10896" t="s">
        <v>3246</v>
      </c>
      <c r="H10896" t="s">
        <v>859</v>
      </c>
      <c r="I10896" t="s">
        <v>860</v>
      </c>
      <c r="J10896" t="str">
        <f>"9350188"</f>
        <v>9350188</v>
      </c>
      <c r="K10896">
        <v>2421085744</v>
      </c>
      <c r="L10896">
        <v>2421085744</v>
      </c>
      <c r="M10896" t="s">
        <v>23218</v>
      </c>
      <c r="N10896" t="s">
        <v>21288</v>
      </c>
      <c r="O10896" t="s">
        <v>23219</v>
      </c>
      <c r="P10896">
        <v>38446</v>
      </c>
      <c r="Q10896" t="str">
        <f>"39.375084"</f>
        <v>39.375084</v>
      </c>
      <c r="R10896" t="str">
        <f>"22.939333"</f>
        <v>22.939333</v>
      </c>
      <c r="S10896" t="s">
        <v>26</v>
      </c>
    </row>
    <row r="10897" spans="1:19" x14ac:dyDescent="0.3">
      <c r="A10897" t="s">
        <v>20660</v>
      </c>
      <c r="B10897" t="s">
        <v>22727</v>
      </c>
      <c r="C10897" t="s">
        <v>23220</v>
      </c>
      <c r="D10897" t="s">
        <v>20674</v>
      </c>
      <c r="E10897" t="s">
        <v>20675</v>
      </c>
      <c r="F10897" t="s">
        <v>4249</v>
      </c>
      <c r="G10897" t="s">
        <v>14076</v>
      </c>
      <c r="H10897" t="s">
        <v>859</v>
      </c>
      <c r="I10897" t="s">
        <v>860</v>
      </c>
      <c r="J10897" t="str">
        <f>"9350253"</f>
        <v>9350253</v>
      </c>
      <c r="K10897">
        <v>2428093376</v>
      </c>
      <c r="M10897" t="s">
        <v>23221</v>
      </c>
      <c r="N10897" t="s">
        <v>23222</v>
      </c>
      <c r="O10897" t="s">
        <v>15358</v>
      </c>
      <c r="P10897">
        <v>38500</v>
      </c>
      <c r="Q10897" t="str">
        <f>"39.341422"</f>
        <v>39.341422</v>
      </c>
      <c r="R10897" t="str">
        <f>"23.067609"</f>
        <v>23.067609</v>
      </c>
      <c r="S10897" t="s">
        <v>26</v>
      </c>
    </row>
    <row r="10898" spans="1:19" x14ac:dyDescent="0.3">
      <c r="A10898" t="s">
        <v>20660</v>
      </c>
      <c r="B10898" t="s">
        <v>22727</v>
      </c>
      <c r="C10898" t="s">
        <v>23223</v>
      </c>
      <c r="D10898" t="s">
        <v>20674</v>
      </c>
      <c r="E10898" t="s">
        <v>20675</v>
      </c>
      <c r="F10898" t="s">
        <v>3246</v>
      </c>
      <c r="G10898" t="s">
        <v>3246</v>
      </c>
      <c r="H10898" t="s">
        <v>859</v>
      </c>
      <c r="I10898" t="s">
        <v>860</v>
      </c>
      <c r="J10898" t="str">
        <f>"9350216"</f>
        <v>9350216</v>
      </c>
      <c r="K10898">
        <v>2421091445</v>
      </c>
      <c r="L10898">
        <v>2421091445</v>
      </c>
      <c r="M10898" t="s">
        <v>23224</v>
      </c>
      <c r="N10898" t="s">
        <v>21288</v>
      </c>
      <c r="O10898" t="s">
        <v>23219</v>
      </c>
      <c r="P10898">
        <v>38446</v>
      </c>
      <c r="Q10898" t="str">
        <f>"39.375739"</f>
        <v>39.375739</v>
      </c>
      <c r="R10898" t="str">
        <f>"22.939837"</f>
        <v>22.939837</v>
      </c>
      <c r="S10898" t="s">
        <v>26</v>
      </c>
    </row>
    <row r="10899" spans="1:19" x14ac:dyDescent="0.3">
      <c r="A10899" t="s">
        <v>20660</v>
      </c>
      <c r="B10899" t="s">
        <v>22727</v>
      </c>
      <c r="C10899" t="s">
        <v>23225</v>
      </c>
      <c r="D10899" t="s">
        <v>20674</v>
      </c>
      <c r="E10899" t="s">
        <v>21193</v>
      </c>
      <c r="F10899" t="s">
        <v>21193</v>
      </c>
      <c r="G10899" t="s">
        <v>21193</v>
      </c>
      <c r="H10899" t="s">
        <v>859</v>
      </c>
      <c r="I10899" t="s">
        <v>860</v>
      </c>
      <c r="J10899" t="str">
        <f>"9350191"</f>
        <v>9350191</v>
      </c>
      <c r="K10899">
        <v>2422023871</v>
      </c>
      <c r="L10899">
        <v>2422023871</v>
      </c>
      <c r="M10899" t="s">
        <v>23226</v>
      </c>
      <c r="N10899" t="s">
        <v>21193</v>
      </c>
      <c r="O10899" t="s">
        <v>23227</v>
      </c>
      <c r="P10899">
        <v>37100</v>
      </c>
      <c r="Q10899" t="str">
        <f>"39.182636"</f>
        <v>39.182636</v>
      </c>
      <c r="R10899" t="str">
        <f>"22.769468"</f>
        <v>22.769468</v>
      </c>
      <c r="S10899" t="s">
        <v>26</v>
      </c>
    </row>
    <row r="10900" spans="1:19" x14ac:dyDescent="0.3">
      <c r="A10900" t="s">
        <v>20660</v>
      </c>
      <c r="B10900" t="s">
        <v>22727</v>
      </c>
      <c r="C10900" t="s">
        <v>23233</v>
      </c>
      <c r="D10900" t="s">
        <v>20674</v>
      </c>
      <c r="E10900" t="s">
        <v>20675</v>
      </c>
      <c r="F10900" t="s">
        <v>20675</v>
      </c>
      <c r="G10900" t="s">
        <v>20675</v>
      </c>
      <c r="H10900" t="s">
        <v>859</v>
      </c>
      <c r="I10900" t="s">
        <v>860</v>
      </c>
      <c r="J10900" t="str">
        <f>"9350298"</f>
        <v>9350298</v>
      </c>
      <c r="K10900">
        <v>2421084247</v>
      </c>
      <c r="L10900">
        <v>2421084247</v>
      </c>
      <c r="M10900" t="s">
        <v>23234</v>
      </c>
      <c r="N10900" t="s">
        <v>20675</v>
      </c>
      <c r="O10900" t="s">
        <v>23235</v>
      </c>
      <c r="P10900">
        <v>38500</v>
      </c>
      <c r="Q10900" t="str">
        <f>"39.383426"</f>
        <v>39.383426</v>
      </c>
      <c r="R10900" t="str">
        <f>"22.952894"</f>
        <v>22.952894</v>
      </c>
      <c r="S10900" t="s">
        <v>26</v>
      </c>
    </row>
    <row r="10901" spans="1:19" x14ac:dyDescent="0.3">
      <c r="A10901" t="s">
        <v>20660</v>
      </c>
      <c r="B10901" t="s">
        <v>22727</v>
      </c>
      <c r="C10901" t="s">
        <v>23298</v>
      </c>
      <c r="D10901" t="s">
        <v>21210</v>
      </c>
      <c r="E10901" t="s">
        <v>21211</v>
      </c>
      <c r="F10901" t="s">
        <v>21211</v>
      </c>
      <c r="G10901" t="s">
        <v>21211</v>
      </c>
      <c r="H10901" t="s">
        <v>859</v>
      </c>
      <c r="I10901" t="s">
        <v>860</v>
      </c>
      <c r="J10901" t="str">
        <f>"9350050"</f>
        <v>9350050</v>
      </c>
      <c r="K10901">
        <v>2427021171</v>
      </c>
      <c r="L10901">
        <v>2427021171</v>
      </c>
      <c r="M10901" t="s">
        <v>23299</v>
      </c>
      <c r="N10901" t="s">
        <v>21211</v>
      </c>
      <c r="O10901" t="s">
        <v>23271</v>
      </c>
      <c r="P10901">
        <v>37002</v>
      </c>
      <c r="Q10901" t="str">
        <f>"39.164684"</f>
        <v>39.164684</v>
      </c>
      <c r="R10901" t="str">
        <f>"23.489766"</f>
        <v>23.489766</v>
      </c>
      <c r="S10901" t="s">
        <v>57</v>
      </c>
    </row>
    <row r="10902" spans="1:19" x14ac:dyDescent="0.3">
      <c r="A10902" t="s">
        <v>20660</v>
      </c>
      <c r="B10902" t="s">
        <v>22727</v>
      </c>
      <c r="C10902" t="s">
        <v>23300</v>
      </c>
      <c r="D10902" t="s">
        <v>20674</v>
      </c>
      <c r="E10902" t="s">
        <v>20675</v>
      </c>
      <c r="F10902" t="s">
        <v>22791</v>
      </c>
      <c r="G10902" t="s">
        <v>22802</v>
      </c>
      <c r="H10902" t="s">
        <v>859</v>
      </c>
      <c r="I10902" t="s">
        <v>860</v>
      </c>
      <c r="J10902" t="str">
        <f>"9350180"</f>
        <v>9350180</v>
      </c>
      <c r="K10902">
        <v>2421085753</v>
      </c>
      <c r="L10902">
        <v>2421085753</v>
      </c>
      <c r="M10902" t="s">
        <v>23301</v>
      </c>
      <c r="N10902" t="s">
        <v>23302</v>
      </c>
      <c r="O10902" t="s">
        <v>23303</v>
      </c>
      <c r="P10902">
        <v>38500</v>
      </c>
      <c r="Q10902" t="str">
        <f>"39.356116"</f>
        <v>39.356116</v>
      </c>
      <c r="R10902" t="str">
        <f>"22.891458"</f>
        <v>22.891458</v>
      </c>
      <c r="S10902" t="s">
        <v>26</v>
      </c>
    </row>
    <row r="10903" spans="1:19" x14ac:dyDescent="0.3">
      <c r="A10903" t="s">
        <v>20660</v>
      </c>
      <c r="B10903" t="s">
        <v>22727</v>
      </c>
      <c r="C10903" t="s">
        <v>23304</v>
      </c>
      <c r="D10903" t="s">
        <v>20674</v>
      </c>
      <c r="E10903" t="s">
        <v>21229</v>
      </c>
      <c r="F10903" t="s">
        <v>21237</v>
      </c>
      <c r="G10903" t="s">
        <v>21237</v>
      </c>
      <c r="H10903" t="s">
        <v>859</v>
      </c>
      <c r="I10903" t="s">
        <v>860</v>
      </c>
      <c r="J10903" t="str">
        <f>"9350160"</f>
        <v>9350160</v>
      </c>
      <c r="K10903">
        <v>2426023438</v>
      </c>
      <c r="L10903">
        <v>2426023438</v>
      </c>
      <c r="M10903" t="s">
        <v>23305</v>
      </c>
      <c r="N10903" t="s">
        <v>21237</v>
      </c>
      <c r="O10903" t="s">
        <v>23306</v>
      </c>
      <c r="P10903">
        <v>37001</v>
      </c>
      <c r="Q10903" t="str">
        <f>"39.448094"</f>
        <v>39.448094</v>
      </c>
      <c r="R10903" t="str">
        <f>"23.100543"</f>
        <v>23.100543</v>
      </c>
      <c r="S10903" t="s">
        <v>26</v>
      </c>
    </row>
    <row r="10904" spans="1:19" x14ac:dyDescent="0.3">
      <c r="A10904" t="s">
        <v>20660</v>
      </c>
      <c r="B10904" t="s">
        <v>22727</v>
      </c>
      <c r="C10904" t="s">
        <v>23307</v>
      </c>
      <c r="D10904" t="s">
        <v>20674</v>
      </c>
      <c r="E10904" t="s">
        <v>21250</v>
      </c>
      <c r="F10904" t="s">
        <v>21344</v>
      </c>
      <c r="G10904" t="s">
        <v>21345</v>
      </c>
      <c r="H10904" t="s">
        <v>859</v>
      </c>
      <c r="I10904" t="s">
        <v>860</v>
      </c>
      <c r="J10904" t="str">
        <f>"9350176"</f>
        <v>9350176</v>
      </c>
      <c r="K10904">
        <v>2425041566</v>
      </c>
      <c r="L10904">
        <v>2425041566</v>
      </c>
      <c r="M10904" t="s">
        <v>23308</v>
      </c>
      <c r="N10904" t="s">
        <v>23273</v>
      </c>
      <c r="O10904" t="s">
        <v>23274</v>
      </c>
      <c r="P10904">
        <v>37500</v>
      </c>
      <c r="Q10904" t="str">
        <f>"39.464384"</f>
        <v>39.464384</v>
      </c>
      <c r="R10904" t="str">
        <f>"22.742864"</f>
        <v>22.742864</v>
      </c>
      <c r="S10904" t="s">
        <v>26</v>
      </c>
    </row>
    <row r="10905" spans="1:19" x14ac:dyDescent="0.3">
      <c r="A10905" t="s">
        <v>20660</v>
      </c>
      <c r="B10905" t="s">
        <v>22727</v>
      </c>
      <c r="C10905" t="s">
        <v>23309</v>
      </c>
      <c r="D10905" t="s">
        <v>20674</v>
      </c>
      <c r="E10905" t="s">
        <v>20675</v>
      </c>
      <c r="F10905" t="s">
        <v>22987</v>
      </c>
      <c r="G10905" t="s">
        <v>22987</v>
      </c>
      <c r="H10905" t="s">
        <v>859</v>
      </c>
      <c r="I10905" t="s">
        <v>860</v>
      </c>
      <c r="J10905" t="str">
        <f>"9350106"</f>
        <v>9350106</v>
      </c>
      <c r="K10905">
        <v>2428099963</v>
      </c>
      <c r="L10905">
        <v>2428099963</v>
      </c>
      <c r="M10905" t="s">
        <v>23310</v>
      </c>
      <c r="N10905" t="s">
        <v>22987</v>
      </c>
      <c r="O10905" t="s">
        <v>23281</v>
      </c>
      <c r="P10905">
        <v>37011</v>
      </c>
      <c r="Q10905" t="str">
        <f>"39.388181"</f>
        <v>39.388181</v>
      </c>
      <c r="R10905" t="str">
        <f>"22.997561"</f>
        <v>22.997561</v>
      </c>
      <c r="S10905" t="s">
        <v>26</v>
      </c>
    </row>
    <row r="10906" spans="1:19" x14ac:dyDescent="0.3">
      <c r="A10906" t="s">
        <v>20660</v>
      </c>
      <c r="B10906" t="s">
        <v>22727</v>
      </c>
      <c r="C10906" t="s">
        <v>23311</v>
      </c>
      <c r="D10906" t="s">
        <v>20674</v>
      </c>
      <c r="E10906" t="s">
        <v>20675</v>
      </c>
      <c r="F10906" t="s">
        <v>21461</v>
      </c>
      <c r="G10906" t="s">
        <v>21462</v>
      </c>
      <c r="H10906" t="s">
        <v>859</v>
      </c>
      <c r="I10906" t="s">
        <v>860</v>
      </c>
      <c r="J10906" t="str">
        <f>"9350208"</f>
        <v>9350208</v>
      </c>
      <c r="K10906">
        <v>2421072395</v>
      </c>
      <c r="L10906">
        <v>2421072395</v>
      </c>
      <c r="M10906" t="s">
        <v>23312</v>
      </c>
      <c r="N10906" t="s">
        <v>21461</v>
      </c>
      <c r="O10906" t="s">
        <v>23313</v>
      </c>
      <c r="P10906">
        <v>38500</v>
      </c>
      <c r="Q10906" t="str">
        <f>"39.384258"</f>
        <v>39.384258</v>
      </c>
      <c r="R10906" t="str">
        <f>"22.970344"</f>
        <v>22.970344</v>
      </c>
      <c r="S10906" t="s">
        <v>26</v>
      </c>
    </row>
    <row r="10907" spans="1:19" x14ac:dyDescent="0.3">
      <c r="A10907" t="s">
        <v>20660</v>
      </c>
      <c r="B10907" t="s">
        <v>22727</v>
      </c>
      <c r="C10907" t="s">
        <v>23314</v>
      </c>
      <c r="D10907" t="s">
        <v>20674</v>
      </c>
      <c r="E10907" t="s">
        <v>20675</v>
      </c>
      <c r="F10907" t="s">
        <v>21461</v>
      </c>
      <c r="G10907" t="s">
        <v>23265</v>
      </c>
      <c r="H10907" t="s">
        <v>859</v>
      </c>
      <c r="I10907" t="s">
        <v>860</v>
      </c>
      <c r="J10907" t="str">
        <f>"9350224"</f>
        <v>9350224</v>
      </c>
      <c r="K10907">
        <v>2421072396</v>
      </c>
      <c r="L10907">
        <v>2421072396</v>
      </c>
      <c r="M10907" t="s">
        <v>23315</v>
      </c>
      <c r="N10907" t="s">
        <v>21461</v>
      </c>
      <c r="O10907" t="s">
        <v>23316</v>
      </c>
      <c r="P10907">
        <v>38500</v>
      </c>
      <c r="Q10907" t="str">
        <f>"39.381304"</f>
        <v>39.381304</v>
      </c>
      <c r="R10907" t="str">
        <f>"22.974687"</f>
        <v>22.974687</v>
      </c>
      <c r="S10907" t="s">
        <v>26</v>
      </c>
    </row>
    <row r="10908" spans="1:19" x14ac:dyDescent="0.3">
      <c r="A10908" t="s">
        <v>20660</v>
      </c>
      <c r="B10908" t="s">
        <v>22727</v>
      </c>
      <c r="C10908" t="s">
        <v>23317</v>
      </c>
      <c r="D10908" t="s">
        <v>20674</v>
      </c>
      <c r="E10908" t="s">
        <v>21229</v>
      </c>
      <c r="F10908" t="s">
        <v>21237</v>
      </c>
      <c r="G10908" t="s">
        <v>21237</v>
      </c>
      <c r="H10908" t="s">
        <v>859</v>
      </c>
      <c r="I10908" t="s">
        <v>860</v>
      </c>
      <c r="J10908" t="str">
        <f>"9350175"</f>
        <v>9350175</v>
      </c>
      <c r="K10908">
        <v>2426022567</v>
      </c>
      <c r="L10908">
        <v>2426022567</v>
      </c>
      <c r="M10908" t="s">
        <v>23318</v>
      </c>
      <c r="N10908" t="s">
        <v>21237</v>
      </c>
      <c r="O10908" t="s">
        <v>23319</v>
      </c>
      <c r="P10908">
        <v>37001</v>
      </c>
      <c r="Q10908" t="str">
        <f>"39.435639"</f>
        <v>39.435639</v>
      </c>
      <c r="R10908" t="str">
        <f>"23.097798"</f>
        <v>23.097798</v>
      </c>
      <c r="S10908" t="s">
        <v>26</v>
      </c>
    </row>
    <row r="10909" spans="1:19" x14ac:dyDescent="0.3">
      <c r="A10909" t="s">
        <v>20660</v>
      </c>
      <c r="B10909" t="s">
        <v>22727</v>
      </c>
      <c r="C10909" t="s">
        <v>23320</v>
      </c>
      <c r="D10909" t="s">
        <v>20674</v>
      </c>
      <c r="E10909" t="s">
        <v>20675</v>
      </c>
      <c r="F10909" t="s">
        <v>22791</v>
      </c>
      <c r="G10909" t="s">
        <v>22802</v>
      </c>
      <c r="H10909" t="s">
        <v>859</v>
      </c>
      <c r="I10909" t="s">
        <v>860</v>
      </c>
      <c r="J10909" t="str">
        <f>"9350277"</f>
        <v>9350277</v>
      </c>
      <c r="K10909">
        <v>2421084822</v>
      </c>
      <c r="L10909">
        <v>2421084822</v>
      </c>
      <c r="M10909" t="s">
        <v>23321</v>
      </c>
      <c r="N10909" t="s">
        <v>23302</v>
      </c>
      <c r="O10909" t="s">
        <v>22805</v>
      </c>
      <c r="P10909">
        <v>38500</v>
      </c>
      <c r="Q10909" t="str">
        <f>"39.358056"</f>
        <v>39.358056</v>
      </c>
      <c r="R10909" t="str">
        <f>"22.893967"</f>
        <v>22.893967</v>
      </c>
      <c r="S10909" t="s">
        <v>26</v>
      </c>
    </row>
    <row r="10910" spans="1:19" x14ac:dyDescent="0.3">
      <c r="A10910" t="s">
        <v>20660</v>
      </c>
      <c r="B10910" t="s">
        <v>22727</v>
      </c>
      <c r="C10910" t="s">
        <v>23322</v>
      </c>
      <c r="D10910" t="s">
        <v>20674</v>
      </c>
      <c r="E10910" t="s">
        <v>21250</v>
      </c>
      <c r="F10910" t="s">
        <v>203</v>
      </c>
      <c r="G10910" t="s">
        <v>21251</v>
      </c>
      <c r="H10910" t="s">
        <v>859</v>
      </c>
      <c r="I10910" t="s">
        <v>860</v>
      </c>
      <c r="J10910" t="str">
        <f>"9350189"</f>
        <v>9350189</v>
      </c>
      <c r="K10910">
        <v>2425023836</v>
      </c>
      <c r="L10910">
        <v>2425024238</v>
      </c>
      <c r="M10910" t="s">
        <v>23323</v>
      </c>
      <c r="N10910" t="s">
        <v>22999</v>
      </c>
      <c r="O10910" t="s">
        <v>21254</v>
      </c>
      <c r="P10910">
        <v>37500</v>
      </c>
      <c r="Q10910" t="str">
        <f>"39.382062"</f>
        <v>39.382062</v>
      </c>
      <c r="R10910" t="str">
        <f>"22.740511"</f>
        <v>22.740511</v>
      </c>
      <c r="S10910" t="s">
        <v>26</v>
      </c>
    </row>
    <row r="10911" spans="1:19" x14ac:dyDescent="0.3">
      <c r="A10911" t="s">
        <v>20660</v>
      </c>
      <c r="B10911" t="s">
        <v>22727</v>
      </c>
      <c r="C10911" t="s">
        <v>23324</v>
      </c>
      <c r="D10911" t="s">
        <v>20674</v>
      </c>
      <c r="E10911" t="s">
        <v>21250</v>
      </c>
      <c r="F10911" t="s">
        <v>21344</v>
      </c>
      <c r="G10911" t="s">
        <v>23029</v>
      </c>
      <c r="H10911" t="s">
        <v>859</v>
      </c>
      <c r="I10911" t="s">
        <v>860</v>
      </c>
      <c r="J10911" t="str">
        <f>"9350163"</f>
        <v>9350163</v>
      </c>
      <c r="K10911">
        <v>2425031522</v>
      </c>
      <c r="L10911">
        <v>2425031522</v>
      </c>
      <c r="M10911" t="s">
        <v>23325</v>
      </c>
      <c r="N10911" t="s">
        <v>23326</v>
      </c>
      <c r="O10911" t="s">
        <v>23327</v>
      </c>
      <c r="P10911">
        <v>37500</v>
      </c>
      <c r="Q10911" t="str">
        <f>"39.428649"</f>
        <v>39.428649</v>
      </c>
      <c r="R10911" t="str">
        <f>"22.746401"</f>
        <v>22.746401</v>
      </c>
      <c r="S10911" t="s">
        <v>26</v>
      </c>
    </row>
    <row r="10912" spans="1:19" x14ac:dyDescent="0.3">
      <c r="A10912" t="s">
        <v>20660</v>
      </c>
      <c r="B10912" t="s">
        <v>22727</v>
      </c>
      <c r="C10912" t="s">
        <v>23328</v>
      </c>
      <c r="D10912" t="s">
        <v>20674</v>
      </c>
      <c r="E10912" t="s">
        <v>21250</v>
      </c>
      <c r="F10912" t="s">
        <v>203</v>
      </c>
      <c r="G10912" t="s">
        <v>23289</v>
      </c>
      <c r="H10912" t="s">
        <v>859</v>
      </c>
      <c r="I10912" t="s">
        <v>860</v>
      </c>
      <c r="J10912" t="str">
        <f>"9350184"</f>
        <v>9350184</v>
      </c>
      <c r="K10912">
        <v>2425024100</v>
      </c>
      <c r="L10912">
        <v>242524100</v>
      </c>
      <c r="M10912" t="s">
        <v>23329</v>
      </c>
      <c r="N10912" t="s">
        <v>23330</v>
      </c>
      <c r="O10912" t="s">
        <v>23331</v>
      </c>
      <c r="P10912">
        <v>37500</v>
      </c>
      <c r="Q10912" t="str">
        <f>"39.367231"</f>
        <v>39.367231</v>
      </c>
      <c r="R10912" t="str">
        <f>"22.775617"</f>
        <v>22.775617</v>
      </c>
      <c r="S10912" t="s">
        <v>26</v>
      </c>
    </row>
    <row r="10913" spans="1:19" x14ac:dyDescent="0.3">
      <c r="A10913" t="s">
        <v>20660</v>
      </c>
      <c r="B10913" t="s">
        <v>22727</v>
      </c>
      <c r="C10913" t="s">
        <v>23332</v>
      </c>
      <c r="D10913" t="s">
        <v>20674</v>
      </c>
      <c r="E10913" t="s">
        <v>21250</v>
      </c>
      <c r="F10913" t="s">
        <v>21344</v>
      </c>
      <c r="G10913" t="s">
        <v>21380</v>
      </c>
      <c r="H10913" t="s">
        <v>859</v>
      </c>
      <c r="I10913" t="s">
        <v>860</v>
      </c>
      <c r="J10913" t="str">
        <f>"9350088"</f>
        <v>9350088</v>
      </c>
      <c r="K10913">
        <v>2428073113</v>
      </c>
      <c r="L10913">
        <v>2428073113</v>
      </c>
      <c r="M10913" t="s">
        <v>23333</v>
      </c>
      <c r="N10913" t="s">
        <v>23334</v>
      </c>
      <c r="O10913" t="s">
        <v>21383</v>
      </c>
      <c r="P10913">
        <v>38500</v>
      </c>
      <c r="Q10913" t="str">
        <f>"39.497932"</f>
        <v>39.497932</v>
      </c>
      <c r="R10913" t="str">
        <f>"22.886635"</f>
        <v>22.886635</v>
      </c>
      <c r="S10913" t="s">
        <v>26</v>
      </c>
    </row>
    <row r="10914" spans="1:19" x14ac:dyDescent="0.3">
      <c r="A10914" t="s">
        <v>20660</v>
      </c>
      <c r="B10914" t="s">
        <v>22727</v>
      </c>
      <c r="C10914" t="s">
        <v>23335</v>
      </c>
      <c r="D10914" t="s">
        <v>20674</v>
      </c>
      <c r="E10914" t="s">
        <v>21250</v>
      </c>
      <c r="F10914" t="s">
        <v>203</v>
      </c>
      <c r="G10914" t="s">
        <v>23294</v>
      </c>
      <c r="H10914" t="s">
        <v>859</v>
      </c>
      <c r="I10914" t="s">
        <v>860</v>
      </c>
      <c r="J10914" t="str">
        <f>"9350245"</f>
        <v>9350245</v>
      </c>
      <c r="K10914">
        <v>2425026013</v>
      </c>
      <c r="L10914">
        <v>2425022738</v>
      </c>
      <c r="M10914" t="s">
        <v>23336</v>
      </c>
      <c r="N10914" t="s">
        <v>23337</v>
      </c>
      <c r="O10914" t="s">
        <v>23297</v>
      </c>
      <c r="P10914">
        <v>37500</v>
      </c>
      <c r="Q10914" t="str">
        <f>"39.333252"</f>
        <v>39.333252</v>
      </c>
      <c r="R10914" t="str">
        <f>"22.760280"</f>
        <v>22.760280</v>
      </c>
      <c r="S10914" t="s">
        <v>26</v>
      </c>
    </row>
    <row r="10915" spans="1:19" x14ac:dyDescent="0.3">
      <c r="A10915" t="s">
        <v>20660</v>
      </c>
      <c r="B10915" t="s">
        <v>22727</v>
      </c>
      <c r="C10915" t="s">
        <v>23338</v>
      </c>
      <c r="D10915" t="s">
        <v>20674</v>
      </c>
      <c r="E10915" t="s">
        <v>21250</v>
      </c>
      <c r="F10915" t="s">
        <v>203</v>
      </c>
      <c r="G10915" t="s">
        <v>20191</v>
      </c>
      <c r="H10915" t="s">
        <v>859</v>
      </c>
      <c r="I10915" t="s">
        <v>860</v>
      </c>
      <c r="J10915" t="str">
        <f>"9350296"</f>
        <v>9350296</v>
      </c>
      <c r="K10915">
        <v>2425051203</v>
      </c>
      <c r="L10915">
        <v>2425051203</v>
      </c>
      <c r="M10915" t="s">
        <v>23339</v>
      </c>
      <c r="N10915" t="s">
        <v>23340</v>
      </c>
      <c r="O10915" t="s">
        <v>23341</v>
      </c>
      <c r="P10915">
        <v>37500</v>
      </c>
      <c r="Q10915" t="str">
        <f>"39.311173"</f>
        <v>39.311173</v>
      </c>
      <c r="R10915" t="str">
        <f>"22.688573"</f>
        <v>22.688573</v>
      </c>
      <c r="S10915" t="s">
        <v>26</v>
      </c>
    </row>
    <row r="10916" spans="1:19" x14ac:dyDescent="0.3">
      <c r="A10916" t="s">
        <v>20660</v>
      </c>
      <c r="B10916" t="s">
        <v>22727</v>
      </c>
      <c r="C10916" t="s">
        <v>23351</v>
      </c>
      <c r="D10916" t="s">
        <v>20674</v>
      </c>
      <c r="E10916" t="s">
        <v>20675</v>
      </c>
      <c r="F10916" t="s">
        <v>20675</v>
      </c>
      <c r="G10916" t="s">
        <v>20675</v>
      </c>
      <c r="H10916" t="s">
        <v>859</v>
      </c>
      <c r="I10916" t="s">
        <v>860</v>
      </c>
      <c r="J10916" t="str">
        <f>"9350233"</f>
        <v>9350233</v>
      </c>
      <c r="K10916">
        <v>2421050306</v>
      </c>
      <c r="M10916" t="s">
        <v>23352</v>
      </c>
      <c r="N10916" t="s">
        <v>20675</v>
      </c>
      <c r="O10916" t="s">
        <v>23353</v>
      </c>
      <c r="P10916">
        <v>38221</v>
      </c>
      <c r="Q10916" t="str">
        <f>"39.380102"</f>
        <v>39.380102</v>
      </c>
      <c r="R10916" t="str">
        <f>"22.965619"</f>
        <v>22.965619</v>
      </c>
      <c r="S10916" t="s">
        <v>26</v>
      </c>
    </row>
    <row r="10917" spans="1:19" x14ac:dyDescent="0.3">
      <c r="A10917" t="s">
        <v>20660</v>
      </c>
      <c r="B10917" t="s">
        <v>22727</v>
      </c>
      <c r="C10917" t="s">
        <v>23357</v>
      </c>
      <c r="D10917" t="s">
        <v>20674</v>
      </c>
      <c r="E10917" t="s">
        <v>21193</v>
      </c>
      <c r="F10917" t="s">
        <v>21193</v>
      </c>
      <c r="G10917" t="s">
        <v>22899</v>
      </c>
      <c r="H10917" t="s">
        <v>859</v>
      </c>
      <c r="I10917" t="s">
        <v>860</v>
      </c>
      <c r="J10917" t="str">
        <f>"9350218"</f>
        <v>9350218</v>
      </c>
      <c r="K10917">
        <v>2422021463</v>
      </c>
      <c r="L10917">
        <v>2422021463</v>
      </c>
      <c r="M10917" t="s">
        <v>23358</v>
      </c>
      <c r="N10917" t="s">
        <v>22899</v>
      </c>
      <c r="O10917" t="s">
        <v>23359</v>
      </c>
      <c r="P10917">
        <v>37100</v>
      </c>
      <c r="Q10917" t="str">
        <f>"39.205045"</f>
        <v>39.205045</v>
      </c>
      <c r="R10917" t="str">
        <f>"22.751454"</f>
        <v>22.751454</v>
      </c>
      <c r="S10917" t="s">
        <v>26</v>
      </c>
    </row>
    <row r="10918" spans="1:19" x14ac:dyDescent="0.3">
      <c r="A10918" t="s">
        <v>20660</v>
      </c>
      <c r="B10918" t="s">
        <v>22727</v>
      </c>
      <c r="C10918" t="s">
        <v>23363</v>
      </c>
      <c r="D10918" t="s">
        <v>20674</v>
      </c>
      <c r="E10918" t="s">
        <v>20675</v>
      </c>
      <c r="F10918" t="s">
        <v>21223</v>
      </c>
      <c r="G10918" t="s">
        <v>23362</v>
      </c>
      <c r="H10918" t="s">
        <v>859</v>
      </c>
      <c r="I10918" t="s">
        <v>860</v>
      </c>
      <c r="J10918" t="str">
        <f>"9350219"</f>
        <v>9350219</v>
      </c>
      <c r="K10918">
        <v>2422051246</v>
      </c>
      <c r="L10918">
        <v>2422051246</v>
      </c>
      <c r="M10918" t="s">
        <v>23364</v>
      </c>
      <c r="N10918" t="s">
        <v>23365</v>
      </c>
      <c r="O10918" t="s">
        <v>23365</v>
      </c>
      <c r="P10918">
        <v>37100</v>
      </c>
      <c r="Q10918" t="str">
        <f>"39.263343"</f>
        <v>39.263343</v>
      </c>
      <c r="R10918" t="str">
        <f>"22.750697"</f>
        <v>22.750697</v>
      </c>
      <c r="S10918" t="s">
        <v>26</v>
      </c>
    </row>
    <row r="10919" spans="1:19" x14ac:dyDescent="0.3">
      <c r="A10919" t="s">
        <v>20660</v>
      </c>
      <c r="B10919" t="s">
        <v>22727</v>
      </c>
      <c r="C10919" t="s">
        <v>23369</v>
      </c>
      <c r="D10919" t="s">
        <v>20674</v>
      </c>
      <c r="E10919" t="s">
        <v>20675</v>
      </c>
      <c r="F10919" t="s">
        <v>21461</v>
      </c>
      <c r="G10919" t="s">
        <v>23368</v>
      </c>
      <c r="H10919" t="s">
        <v>859</v>
      </c>
      <c r="I10919" t="s">
        <v>860</v>
      </c>
      <c r="J10919" t="str">
        <f>"9350263"</f>
        <v>9350263</v>
      </c>
      <c r="K10919">
        <v>2421072397</v>
      </c>
      <c r="L10919">
        <v>2421072397</v>
      </c>
      <c r="M10919" t="s">
        <v>23370</v>
      </c>
      <c r="N10919" t="s">
        <v>21461</v>
      </c>
      <c r="O10919" t="s">
        <v>23371</v>
      </c>
      <c r="P10919">
        <v>38500</v>
      </c>
      <c r="Q10919" t="str">
        <f>"39.381864"</f>
        <v>39.381864</v>
      </c>
      <c r="R10919" t="str">
        <f>"22.980093"</f>
        <v>22.980093</v>
      </c>
      <c r="S10919" t="s">
        <v>26</v>
      </c>
    </row>
    <row r="10920" spans="1:19" x14ac:dyDescent="0.3">
      <c r="A10920" t="s">
        <v>20660</v>
      </c>
      <c r="B10920" t="s">
        <v>22727</v>
      </c>
      <c r="C10920" t="s">
        <v>23373</v>
      </c>
      <c r="D10920" t="s">
        <v>20674</v>
      </c>
      <c r="E10920" t="s">
        <v>20675</v>
      </c>
      <c r="F10920" t="s">
        <v>4249</v>
      </c>
      <c r="G10920" t="s">
        <v>23372</v>
      </c>
      <c r="H10920" t="s">
        <v>859</v>
      </c>
      <c r="I10920" t="s">
        <v>860</v>
      </c>
      <c r="J10920" t="str">
        <f>"9521225"</f>
        <v>9521225</v>
      </c>
      <c r="K10920">
        <v>2428096225</v>
      </c>
      <c r="L10920">
        <v>2428096225</v>
      </c>
      <c r="M10920" t="s">
        <v>23374</v>
      </c>
      <c r="N10920" t="s">
        <v>23375</v>
      </c>
      <c r="O10920" t="s">
        <v>23376</v>
      </c>
      <c r="P10920">
        <v>38500</v>
      </c>
      <c r="Q10920" t="str">
        <f>"39.360637"</f>
        <v>39.360637</v>
      </c>
      <c r="R10920" t="str">
        <f>"23.061097"</f>
        <v>23.061097</v>
      </c>
      <c r="S10920" t="s">
        <v>26</v>
      </c>
    </row>
    <row r="10921" spans="1:19" x14ac:dyDescent="0.3">
      <c r="A10921" t="s">
        <v>20660</v>
      </c>
      <c r="B10921" t="s">
        <v>22727</v>
      </c>
      <c r="C10921" t="s">
        <v>23377</v>
      </c>
      <c r="D10921" t="s">
        <v>21210</v>
      </c>
      <c r="E10921" t="s">
        <v>21211</v>
      </c>
      <c r="F10921" t="s">
        <v>21211</v>
      </c>
      <c r="G10921" t="s">
        <v>21211</v>
      </c>
      <c r="H10921" t="s">
        <v>859</v>
      </c>
      <c r="I10921" t="s">
        <v>860</v>
      </c>
      <c r="J10921" t="str">
        <f>"9521379"</f>
        <v>9521379</v>
      </c>
      <c r="K10921">
        <v>2427029313</v>
      </c>
      <c r="L10921">
        <v>2427029313</v>
      </c>
      <c r="M10921" t="s">
        <v>23378</v>
      </c>
      <c r="N10921" t="s">
        <v>21211</v>
      </c>
      <c r="O10921" t="s">
        <v>23271</v>
      </c>
      <c r="P10921">
        <v>37002</v>
      </c>
      <c r="Q10921" t="str">
        <f>"39.166864"</f>
        <v>39.166864</v>
      </c>
      <c r="R10921" t="str">
        <f>"23.486738"</f>
        <v>23.486738</v>
      </c>
      <c r="S10921" t="s">
        <v>57</v>
      </c>
    </row>
    <row r="10922" spans="1:19" x14ac:dyDescent="0.3">
      <c r="A10922" t="s">
        <v>20660</v>
      </c>
      <c r="B10922" t="s">
        <v>22727</v>
      </c>
      <c r="C10922" t="s">
        <v>23385</v>
      </c>
      <c r="D10922" t="s">
        <v>20674</v>
      </c>
      <c r="E10922" t="s">
        <v>20675</v>
      </c>
      <c r="F10922" t="s">
        <v>3246</v>
      </c>
      <c r="G10922" t="s">
        <v>3246</v>
      </c>
      <c r="H10922" t="s">
        <v>859</v>
      </c>
      <c r="I10922" t="s">
        <v>860</v>
      </c>
      <c r="J10922" t="str">
        <f>"9350147"</f>
        <v>9350147</v>
      </c>
      <c r="K10922">
        <v>2421085745</v>
      </c>
      <c r="L10922">
        <v>2421085745</v>
      </c>
      <c r="M10922" t="s">
        <v>23386</v>
      </c>
      <c r="N10922" t="s">
        <v>3246</v>
      </c>
      <c r="O10922" t="s">
        <v>23387</v>
      </c>
      <c r="P10922">
        <v>38446</v>
      </c>
      <c r="Q10922" t="str">
        <f>"39.374059"</f>
        <v>39.374059</v>
      </c>
      <c r="R10922" t="str">
        <f>"22.933222"</f>
        <v>22.933222</v>
      </c>
      <c r="S10922" t="s">
        <v>26</v>
      </c>
    </row>
    <row r="10923" spans="1:19" x14ac:dyDescent="0.3">
      <c r="A10923" t="s">
        <v>20660</v>
      </c>
      <c r="B10923" t="s">
        <v>22727</v>
      </c>
      <c r="C10923" t="s">
        <v>23388</v>
      </c>
      <c r="D10923" t="s">
        <v>20674</v>
      </c>
      <c r="E10923" t="s">
        <v>21250</v>
      </c>
      <c r="F10923" t="s">
        <v>23260</v>
      </c>
      <c r="G10923" t="s">
        <v>23260</v>
      </c>
      <c r="H10923" t="s">
        <v>859</v>
      </c>
      <c r="I10923" t="s">
        <v>860</v>
      </c>
      <c r="J10923" t="str">
        <f>"9350244"</f>
        <v>9350244</v>
      </c>
      <c r="K10923">
        <v>2428073722</v>
      </c>
      <c r="L10923">
        <v>2428073722</v>
      </c>
      <c r="M10923" t="s">
        <v>23389</v>
      </c>
      <c r="N10923" t="s">
        <v>23260</v>
      </c>
      <c r="O10923" t="s">
        <v>23263</v>
      </c>
      <c r="P10923">
        <v>38500</v>
      </c>
      <c r="Q10923" t="str">
        <f>"39.573153"</f>
        <v>39.573153</v>
      </c>
      <c r="R10923" t="str">
        <f>"22.910989"</f>
        <v>22.910989</v>
      </c>
      <c r="S10923" t="s">
        <v>26</v>
      </c>
    </row>
    <row r="10924" spans="1:19" x14ac:dyDescent="0.3">
      <c r="A10924" t="s">
        <v>20660</v>
      </c>
      <c r="B10924" t="s">
        <v>22727</v>
      </c>
      <c r="C10924" t="s">
        <v>23390</v>
      </c>
      <c r="D10924" t="s">
        <v>20674</v>
      </c>
      <c r="E10924" t="s">
        <v>21193</v>
      </c>
      <c r="F10924" t="s">
        <v>21696</v>
      </c>
      <c r="G10924" t="s">
        <v>21696</v>
      </c>
      <c r="H10924" t="s">
        <v>859</v>
      </c>
      <c r="I10924" t="s">
        <v>860</v>
      </c>
      <c r="J10924" t="str">
        <f>"9350164"</f>
        <v>9350164</v>
      </c>
      <c r="K10924">
        <v>2232091172</v>
      </c>
      <c r="M10924" t="s">
        <v>23391</v>
      </c>
      <c r="N10924" t="s">
        <v>21699</v>
      </c>
      <c r="O10924" t="s">
        <v>21699</v>
      </c>
      <c r="P10924">
        <v>35010</v>
      </c>
      <c r="Q10924" t="str">
        <f>"39.072257"</f>
        <v>39.072257</v>
      </c>
      <c r="R10924" t="str">
        <f>"22.551966"</f>
        <v>22.551966</v>
      </c>
      <c r="S10924" t="s">
        <v>26</v>
      </c>
    </row>
    <row r="10925" spans="1:19" x14ac:dyDescent="0.3">
      <c r="A10925" t="s">
        <v>20660</v>
      </c>
      <c r="B10925" t="s">
        <v>22727</v>
      </c>
      <c r="C10925" t="s">
        <v>23392</v>
      </c>
      <c r="D10925" t="s">
        <v>20674</v>
      </c>
      <c r="E10925" t="s">
        <v>21193</v>
      </c>
      <c r="F10925" t="s">
        <v>21193</v>
      </c>
      <c r="G10925" t="s">
        <v>21422</v>
      </c>
      <c r="H10925" t="s">
        <v>859</v>
      </c>
      <c r="I10925" t="s">
        <v>860</v>
      </c>
      <c r="J10925" t="str">
        <f>"9521378"</f>
        <v>9521378</v>
      </c>
      <c r="K10925">
        <v>2422022293</v>
      </c>
      <c r="L10925">
        <v>2422022293</v>
      </c>
      <c r="M10925" t="s">
        <v>23393</v>
      </c>
      <c r="N10925" t="s">
        <v>22892</v>
      </c>
      <c r="O10925" t="s">
        <v>23394</v>
      </c>
      <c r="P10925">
        <v>37100</v>
      </c>
      <c r="Q10925" t="str">
        <f>"39.185264"</f>
        <v>39.185264</v>
      </c>
      <c r="R10925" t="str">
        <f>"22.738130"</f>
        <v>22.738130</v>
      </c>
      <c r="S10925" t="s">
        <v>26</v>
      </c>
    </row>
    <row r="10926" spans="1:19" x14ac:dyDescent="0.3">
      <c r="A10926" t="s">
        <v>20660</v>
      </c>
      <c r="B10926" t="s">
        <v>22727</v>
      </c>
      <c r="C10926" t="s">
        <v>23395</v>
      </c>
      <c r="D10926" t="s">
        <v>20674</v>
      </c>
      <c r="E10926" t="s">
        <v>20675</v>
      </c>
      <c r="F10926" t="s">
        <v>3246</v>
      </c>
      <c r="G10926" t="s">
        <v>3246</v>
      </c>
      <c r="H10926" t="s">
        <v>859</v>
      </c>
      <c r="I10926" t="s">
        <v>1102</v>
      </c>
      <c r="J10926" t="str">
        <f>"9521389"</f>
        <v>9521389</v>
      </c>
      <c r="K10926">
        <v>2421077046</v>
      </c>
      <c r="L10926">
        <v>2421077046</v>
      </c>
      <c r="M10926" t="s">
        <v>23396</v>
      </c>
      <c r="N10926" t="s">
        <v>20675</v>
      </c>
      <c r="O10926" t="s">
        <v>23397</v>
      </c>
      <c r="P10926">
        <v>38445</v>
      </c>
      <c r="Q10926" t="str">
        <f>"39.382460"</f>
        <v>39.382460</v>
      </c>
      <c r="R10926" t="str">
        <f>"22.920791"</f>
        <v>22.920791</v>
      </c>
      <c r="S10926" t="s">
        <v>26</v>
      </c>
    </row>
    <row r="10927" spans="1:19" x14ac:dyDescent="0.3">
      <c r="A10927" t="s">
        <v>20660</v>
      </c>
      <c r="B10927" t="s">
        <v>22727</v>
      </c>
      <c r="C10927" t="s">
        <v>23398</v>
      </c>
      <c r="D10927" t="s">
        <v>20674</v>
      </c>
      <c r="E10927" t="s">
        <v>21193</v>
      </c>
      <c r="F10927" t="s">
        <v>21193</v>
      </c>
      <c r="G10927" t="s">
        <v>21193</v>
      </c>
      <c r="H10927" t="s">
        <v>859</v>
      </c>
      <c r="I10927" t="s">
        <v>860</v>
      </c>
      <c r="J10927" t="str">
        <f>"9521377"</f>
        <v>9521377</v>
      </c>
      <c r="K10927">
        <v>2422025845</v>
      </c>
      <c r="L10927">
        <v>2422025845</v>
      </c>
      <c r="M10927" t="s">
        <v>23399</v>
      </c>
      <c r="N10927" t="s">
        <v>21493</v>
      </c>
      <c r="O10927" t="s">
        <v>23400</v>
      </c>
      <c r="P10927">
        <v>37100</v>
      </c>
      <c r="Q10927" t="str">
        <f>"39.180727"</f>
        <v>39.180727</v>
      </c>
      <c r="R10927" t="str">
        <f>"22.754510"</f>
        <v>22.754510</v>
      </c>
      <c r="S10927" t="s">
        <v>26</v>
      </c>
    </row>
    <row r="10928" spans="1:19" x14ac:dyDescent="0.3">
      <c r="A10928" t="s">
        <v>20660</v>
      </c>
      <c r="B10928" t="s">
        <v>22727</v>
      </c>
      <c r="C10928" t="s">
        <v>23401</v>
      </c>
      <c r="D10928" t="s">
        <v>20674</v>
      </c>
      <c r="E10928" t="s">
        <v>20675</v>
      </c>
      <c r="F10928" t="s">
        <v>20675</v>
      </c>
      <c r="G10928" t="s">
        <v>20675</v>
      </c>
      <c r="H10928" t="s">
        <v>859</v>
      </c>
      <c r="I10928" t="s">
        <v>1102</v>
      </c>
      <c r="J10928" t="str">
        <f>"9521562"</f>
        <v>9521562</v>
      </c>
      <c r="K10928">
        <v>2421047256</v>
      </c>
      <c r="L10928">
        <v>2421047276</v>
      </c>
      <c r="M10928" t="s">
        <v>23402</v>
      </c>
      <c r="N10928" t="s">
        <v>20675</v>
      </c>
      <c r="O10928" t="s">
        <v>23403</v>
      </c>
      <c r="P10928">
        <v>38333</v>
      </c>
      <c r="Q10928" t="str">
        <f>"39.372795"</f>
        <v>39.372795</v>
      </c>
      <c r="R10928" t="str">
        <f>"22.953246"</f>
        <v>22.953246</v>
      </c>
      <c r="S10928" t="s">
        <v>26</v>
      </c>
    </row>
    <row r="10929" spans="1:19" x14ac:dyDescent="0.3">
      <c r="A10929" t="s">
        <v>20660</v>
      </c>
      <c r="B10929" t="s">
        <v>22727</v>
      </c>
      <c r="C10929" t="s">
        <v>23404</v>
      </c>
      <c r="D10929" t="s">
        <v>20674</v>
      </c>
      <c r="E10929" t="s">
        <v>20675</v>
      </c>
      <c r="F10929" t="s">
        <v>20675</v>
      </c>
      <c r="G10929" t="s">
        <v>20675</v>
      </c>
      <c r="H10929" t="s">
        <v>859</v>
      </c>
      <c r="I10929" t="s">
        <v>860</v>
      </c>
      <c r="J10929" t="str">
        <f>"9521381"</f>
        <v>9521381</v>
      </c>
      <c r="K10929">
        <v>2421087091</v>
      </c>
      <c r="L10929">
        <v>2421087091</v>
      </c>
      <c r="M10929" t="s">
        <v>23405</v>
      </c>
      <c r="N10929" t="s">
        <v>20675</v>
      </c>
      <c r="O10929" t="s">
        <v>23406</v>
      </c>
      <c r="P10929">
        <v>38500</v>
      </c>
      <c r="Q10929" t="str">
        <f>"39.304331"</f>
        <v>39.304331</v>
      </c>
      <c r="R10929" t="str">
        <f>"22.934041"</f>
        <v>22.934041</v>
      </c>
      <c r="S10929" t="s">
        <v>26</v>
      </c>
    </row>
    <row r="10930" spans="1:19" x14ac:dyDescent="0.3">
      <c r="A10930" t="s">
        <v>20660</v>
      </c>
      <c r="B10930" t="s">
        <v>22727</v>
      </c>
      <c r="C10930" t="s">
        <v>23409</v>
      </c>
      <c r="D10930" t="s">
        <v>20674</v>
      </c>
      <c r="E10930" t="s">
        <v>20675</v>
      </c>
      <c r="F10930" t="s">
        <v>3246</v>
      </c>
      <c r="G10930" t="s">
        <v>3246</v>
      </c>
      <c r="H10930" t="s">
        <v>859</v>
      </c>
      <c r="I10930" t="s">
        <v>1102</v>
      </c>
      <c r="J10930" t="str">
        <f>"9521614"</f>
        <v>9521614</v>
      </c>
      <c r="K10930">
        <v>2421082413</v>
      </c>
      <c r="L10930">
        <v>2421091565</v>
      </c>
      <c r="M10930" t="s">
        <v>23410</v>
      </c>
      <c r="N10930" t="s">
        <v>20678</v>
      </c>
      <c r="O10930" t="s">
        <v>23382</v>
      </c>
      <c r="P10930">
        <v>38446</v>
      </c>
      <c r="Q10930" t="str">
        <f>"39.382149"</f>
        <v>39.382149</v>
      </c>
      <c r="R10930" t="str">
        <f>"22.923094"</f>
        <v>22.923094</v>
      </c>
      <c r="S10930" t="s">
        <v>26</v>
      </c>
    </row>
    <row r="10931" spans="1:19" x14ac:dyDescent="0.3">
      <c r="A10931" t="s">
        <v>20660</v>
      </c>
      <c r="B10931" t="s">
        <v>22727</v>
      </c>
      <c r="C10931" t="s">
        <v>23411</v>
      </c>
      <c r="D10931" t="s">
        <v>20674</v>
      </c>
      <c r="E10931" t="s">
        <v>20675</v>
      </c>
      <c r="F10931" t="s">
        <v>21217</v>
      </c>
      <c r="G10931" t="s">
        <v>21217</v>
      </c>
      <c r="H10931" t="s">
        <v>859</v>
      </c>
      <c r="I10931" t="s">
        <v>1102</v>
      </c>
      <c r="J10931" t="str">
        <f>"9521618"</f>
        <v>9521618</v>
      </c>
      <c r="K10931">
        <v>2428097055</v>
      </c>
      <c r="L10931">
        <v>2428097055</v>
      </c>
      <c r="M10931" t="s">
        <v>23412</v>
      </c>
      <c r="N10931" t="s">
        <v>21217</v>
      </c>
      <c r="O10931" t="s">
        <v>23162</v>
      </c>
      <c r="P10931">
        <v>0</v>
      </c>
      <c r="Q10931" t="str">
        <f>"39.339876"</f>
        <v>39.339876</v>
      </c>
      <c r="R10931" t="str">
        <f>"23.011156"</f>
        <v>23.011156</v>
      </c>
      <c r="S10931" t="s">
        <v>26</v>
      </c>
    </row>
    <row r="10932" spans="1:19" x14ac:dyDescent="0.3">
      <c r="A10932" t="s">
        <v>20660</v>
      </c>
      <c r="B10932" t="s">
        <v>23413</v>
      </c>
      <c r="C10932" t="s">
        <v>23416</v>
      </c>
      <c r="D10932" t="s">
        <v>20680</v>
      </c>
      <c r="E10932" t="s">
        <v>20681</v>
      </c>
      <c r="F10932" t="s">
        <v>23414</v>
      </c>
      <c r="G10932" t="s">
        <v>23415</v>
      </c>
      <c r="H10932" t="s">
        <v>859</v>
      </c>
      <c r="I10932" t="s">
        <v>860</v>
      </c>
      <c r="J10932" t="str">
        <f>"9450028"</f>
        <v>9450028</v>
      </c>
      <c r="K10932">
        <v>2431086388</v>
      </c>
      <c r="L10932">
        <v>2431086388</v>
      </c>
      <c r="M10932" t="s">
        <v>23417</v>
      </c>
      <c r="N10932" t="s">
        <v>23415</v>
      </c>
      <c r="O10932" t="s">
        <v>23418</v>
      </c>
      <c r="P10932">
        <v>42100</v>
      </c>
      <c r="Q10932" t="str">
        <f>"39.592625"</f>
        <v>39.592625</v>
      </c>
      <c r="R10932" t="str">
        <f>"21.644553"</f>
        <v>21.644553</v>
      </c>
      <c r="S10932" t="s">
        <v>26</v>
      </c>
    </row>
    <row r="10933" spans="1:19" x14ac:dyDescent="0.3">
      <c r="A10933" t="s">
        <v>20660</v>
      </c>
      <c r="B10933" t="s">
        <v>23413</v>
      </c>
      <c r="C10933" t="s">
        <v>23419</v>
      </c>
      <c r="D10933" t="s">
        <v>20680</v>
      </c>
      <c r="E10933" t="s">
        <v>20681</v>
      </c>
      <c r="F10933" t="s">
        <v>20681</v>
      </c>
      <c r="G10933" t="s">
        <v>20681</v>
      </c>
      <c r="H10933" t="s">
        <v>859</v>
      </c>
      <c r="I10933" t="s">
        <v>860</v>
      </c>
      <c r="J10933" t="str">
        <f>"9450279"</f>
        <v>9450279</v>
      </c>
      <c r="K10933">
        <v>2431030507</v>
      </c>
      <c r="M10933" t="s">
        <v>23420</v>
      </c>
      <c r="N10933" t="s">
        <v>20680</v>
      </c>
      <c r="O10933" t="s">
        <v>23421</v>
      </c>
      <c r="P10933">
        <v>42100</v>
      </c>
      <c r="Q10933" t="str">
        <f>"39.549536"</f>
        <v>39.549536</v>
      </c>
      <c r="R10933" t="str">
        <f>"21.767900"</f>
        <v>21.767900</v>
      </c>
      <c r="S10933" t="s">
        <v>26</v>
      </c>
    </row>
    <row r="10934" spans="1:19" x14ac:dyDescent="0.3">
      <c r="A10934" t="s">
        <v>20660</v>
      </c>
      <c r="B10934" t="s">
        <v>23413</v>
      </c>
      <c r="C10934" t="s">
        <v>23422</v>
      </c>
      <c r="D10934" t="s">
        <v>20680</v>
      </c>
      <c r="E10934" t="s">
        <v>20681</v>
      </c>
      <c r="F10934" t="s">
        <v>20681</v>
      </c>
      <c r="G10934" t="s">
        <v>20681</v>
      </c>
      <c r="H10934" t="s">
        <v>859</v>
      </c>
      <c r="I10934" t="s">
        <v>860</v>
      </c>
      <c r="J10934" t="str">
        <f>"9450016"</f>
        <v>9450016</v>
      </c>
      <c r="K10934">
        <v>2431037559</v>
      </c>
      <c r="M10934" t="s">
        <v>23423</v>
      </c>
      <c r="N10934" t="s">
        <v>20680</v>
      </c>
      <c r="O10934" t="s">
        <v>23424</v>
      </c>
      <c r="P10934">
        <v>42100</v>
      </c>
      <c r="Q10934" t="str">
        <f>"39.556875"</f>
        <v>39.556875</v>
      </c>
      <c r="R10934" t="str">
        <f>"21.764744"</f>
        <v>21.764744</v>
      </c>
      <c r="S10934" t="s">
        <v>26</v>
      </c>
    </row>
    <row r="10935" spans="1:19" x14ac:dyDescent="0.3">
      <c r="A10935" t="s">
        <v>20660</v>
      </c>
      <c r="B10935" t="s">
        <v>23413</v>
      </c>
      <c r="C10935" t="s">
        <v>23425</v>
      </c>
      <c r="D10935" t="s">
        <v>20680</v>
      </c>
      <c r="E10935" t="s">
        <v>20681</v>
      </c>
      <c r="F10935" t="s">
        <v>20681</v>
      </c>
      <c r="G10935" t="s">
        <v>20681</v>
      </c>
      <c r="H10935" t="s">
        <v>859</v>
      </c>
      <c r="I10935" t="s">
        <v>860</v>
      </c>
      <c r="J10935" t="str">
        <f>"9450333"</f>
        <v>9450333</v>
      </c>
      <c r="K10935">
        <v>2431088148</v>
      </c>
      <c r="M10935" t="s">
        <v>23426</v>
      </c>
      <c r="N10935" t="s">
        <v>20680</v>
      </c>
      <c r="O10935" t="s">
        <v>23427</v>
      </c>
      <c r="P10935">
        <v>42100</v>
      </c>
      <c r="Q10935" t="str">
        <f>"39.578732"</f>
        <v>39.578732</v>
      </c>
      <c r="R10935" t="str">
        <f>"21.729068"</f>
        <v>21.729068</v>
      </c>
      <c r="S10935" t="s">
        <v>26</v>
      </c>
    </row>
    <row r="10936" spans="1:19" x14ac:dyDescent="0.3">
      <c r="A10936" t="s">
        <v>20660</v>
      </c>
      <c r="B10936" t="s">
        <v>23413</v>
      </c>
      <c r="C10936" t="s">
        <v>23428</v>
      </c>
      <c r="D10936" t="s">
        <v>20680</v>
      </c>
      <c r="E10936" t="s">
        <v>20681</v>
      </c>
      <c r="F10936" t="s">
        <v>20681</v>
      </c>
      <c r="G10936" t="s">
        <v>20681</v>
      </c>
      <c r="H10936" t="s">
        <v>859</v>
      </c>
      <c r="I10936" t="s">
        <v>860</v>
      </c>
      <c r="J10936" t="str">
        <f>"9450394"</f>
        <v>9450394</v>
      </c>
      <c r="K10936">
        <v>2431035497</v>
      </c>
      <c r="M10936" t="s">
        <v>23429</v>
      </c>
      <c r="N10936" t="s">
        <v>23430</v>
      </c>
      <c r="O10936" t="s">
        <v>23431</v>
      </c>
      <c r="P10936">
        <v>42100</v>
      </c>
      <c r="Q10936" t="str">
        <f>"39.530268"</f>
        <v>39.530268</v>
      </c>
      <c r="R10936" t="str">
        <f>"21.765046"</f>
        <v>21.765046</v>
      </c>
      <c r="S10936" t="s">
        <v>26</v>
      </c>
    </row>
    <row r="10937" spans="1:19" x14ac:dyDescent="0.3">
      <c r="A10937" t="s">
        <v>20660</v>
      </c>
      <c r="B10937" t="s">
        <v>23413</v>
      </c>
      <c r="C10937" t="s">
        <v>23432</v>
      </c>
      <c r="D10937" t="s">
        <v>20680</v>
      </c>
      <c r="E10937" t="s">
        <v>20681</v>
      </c>
      <c r="F10937" t="s">
        <v>20681</v>
      </c>
      <c r="G10937" t="s">
        <v>20681</v>
      </c>
      <c r="H10937" t="s">
        <v>859</v>
      </c>
      <c r="I10937" t="s">
        <v>860</v>
      </c>
      <c r="J10937" t="str">
        <f>"9450218"</f>
        <v>9450218</v>
      </c>
      <c r="K10937">
        <v>2431074252</v>
      </c>
      <c r="L10937">
        <v>2431074252</v>
      </c>
      <c r="M10937" t="s">
        <v>23433</v>
      </c>
      <c r="N10937" t="s">
        <v>20680</v>
      </c>
      <c r="O10937" t="s">
        <v>23434</v>
      </c>
      <c r="P10937">
        <v>42100</v>
      </c>
      <c r="Q10937" t="str">
        <f>"39.541765"</f>
        <v>39.541765</v>
      </c>
      <c r="R10937" t="str">
        <f>"21.753549"</f>
        <v>21.753549</v>
      </c>
      <c r="S10937" t="s">
        <v>26</v>
      </c>
    </row>
    <row r="10938" spans="1:19" x14ac:dyDescent="0.3">
      <c r="A10938" t="s">
        <v>20660</v>
      </c>
      <c r="B10938" t="s">
        <v>23413</v>
      </c>
      <c r="C10938" t="s">
        <v>23435</v>
      </c>
      <c r="D10938" t="s">
        <v>20680</v>
      </c>
      <c r="E10938" t="s">
        <v>20681</v>
      </c>
      <c r="F10938" t="s">
        <v>21540</v>
      </c>
      <c r="G10938" t="s">
        <v>13031</v>
      </c>
      <c r="H10938" t="s">
        <v>859</v>
      </c>
      <c r="I10938" t="s">
        <v>860</v>
      </c>
      <c r="J10938" t="str">
        <f>"9450233"</f>
        <v>9450233</v>
      </c>
      <c r="K10938">
        <v>2431055021</v>
      </c>
      <c r="L10938">
        <v>2431055021</v>
      </c>
      <c r="M10938" t="s">
        <v>23436</v>
      </c>
      <c r="N10938" t="s">
        <v>13031</v>
      </c>
      <c r="O10938" t="s">
        <v>13147</v>
      </c>
      <c r="P10938">
        <v>42100</v>
      </c>
      <c r="Q10938" t="str">
        <f>"39.559924"</f>
        <v>39.559924</v>
      </c>
      <c r="R10938" t="str">
        <f>"21.840296"</f>
        <v>21.840296</v>
      </c>
      <c r="S10938" t="s">
        <v>26</v>
      </c>
    </row>
    <row r="10939" spans="1:19" x14ac:dyDescent="0.3">
      <c r="A10939" t="s">
        <v>20660</v>
      </c>
      <c r="B10939" t="s">
        <v>23413</v>
      </c>
      <c r="C10939" t="s">
        <v>23437</v>
      </c>
      <c r="D10939" t="s">
        <v>20680</v>
      </c>
      <c r="E10939" t="s">
        <v>20681</v>
      </c>
      <c r="F10939" t="s">
        <v>20681</v>
      </c>
      <c r="G10939" t="s">
        <v>20681</v>
      </c>
      <c r="H10939" t="s">
        <v>859</v>
      </c>
      <c r="I10939" t="s">
        <v>860</v>
      </c>
      <c r="J10939" t="str">
        <f>"9450354"</f>
        <v>9450354</v>
      </c>
      <c r="K10939">
        <v>2431030579</v>
      </c>
      <c r="L10939">
        <v>2431030579</v>
      </c>
      <c r="M10939" t="s">
        <v>23438</v>
      </c>
      <c r="N10939" t="s">
        <v>20680</v>
      </c>
      <c r="O10939" t="s">
        <v>23439</v>
      </c>
      <c r="P10939">
        <v>42100</v>
      </c>
      <c r="Q10939" t="str">
        <f>"39.541589"</f>
        <v>39.541589</v>
      </c>
      <c r="R10939" t="str">
        <f>"21.769471"</f>
        <v>21.769471</v>
      </c>
      <c r="S10939" t="s">
        <v>26</v>
      </c>
    </row>
    <row r="10940" spans="1:19" x14ac:dyDescent="0.3">
      <c r="A10940" t="s">
        <v>20660</v>
      </c>
      <c r="B10940" t="s">
        <v>23413</v>
      </c>
      <c r="C10940" t="s">
        <v>23442</v>
      </c>
      <c r="D10940" t="s">
        <v>20680</v>
      </c>
      <c r="E10940" t="s">
        <v>20681</v>
      </c>
      <c r="F10940" t="s">
        <v>23440</v>
      </c>
      <c r="G10940" t="s">
        <v>23441</v>
      </c>
      <c r="H10940" t="s">
        <v>859</v>
      </c>
      <c r="I10940" t="s">
        <v>860</v>
      </c>
      <c r="J10940" t="str">
        <f>"9450310"</f>
        <v>9450310</v>
      </c>
      <c r="K10940">
        <v>2431088088</v>
      </c>
      <c r="L10940">
        <v>2431088088</v>
      </c>
      <c r="M10940" t="s">
        <v>23443</v>
      </c>
      <c r="N10940" t="s">
        <v>23441</v>
      </c>
      <c r="O10940" t="s">
        <v>23444</v>
      </c>
      <c r="P10940">
        <v>42100</v>
      </c>
      <c r="Q10940" t="str">
        <f>"39.609583"</f>
        <v>39.609583</v>
      </c>
      <c r="R10940" t="str">
        <f>"21.748275"</f>
        <v>21.748275</v>
      </c>
      <c r="S10940" t="s">
        <v>26</v>
      </c>
    </row>
    <row r="10941" spans="1:19" x14ac:dyDescent="0.3">
      <c r="A10941" t="s">
        <v>20660</v>
      </c>
      <c r="B10941" t="s">
        <v>23413</v>
      </c>
      <c r="C10941" t="s">
        <v>23445</v>
      </c>
      <c r="D10941" t="s">
        <v>20680</v>
      </c>
      <c r="E10941" t="s">
        <v>20681</v>
      </c>
      <c r="F10941" t="s">
        <v>20681</v>
      </c>
      <c r="G10941" t="s">
        <v>20681</v>
      </c>
      <c r="H10941" t="s">
        <v>859</v>
      </c>
      <c r="I10941" t="s">
        <v>860</v>
      </c>
      <c r="J10941" t="str">
        <f>"9450332"</f>
        <v>9450332</v>
      </c>
      <c r="K10941">
        <v>2431034513</v>
      </c>
      <c r="M10941" t="s">
        <v>23446</v>
      </c>
      <c r="N10941" t="s">
        <v>20680</v>
      </c>
      <c r="O10941" t="s">
        <v>23447</v>
      </c>
      <c r="P10941">
        <v>42100</v>
      </c>
      <c r="Q10941" t="str">
        <f>"39.569030"</f>
        <v>39.569030</v>
      </c>
      <c r="R10941" t="str">
        <f>"21.750395"</f>
        <v>21.750395</v>
      </c>
      <c r="S10941" t="s">
        <v>26</v>
      </c>
    </row>
    <row r="10942" spans="1:19" x14ac:dyDescent="0.3">
      <c r="A10942" t="s">
        <v>20660</v>
      </c>
      <c r="B10942" t="s">
        <v>23413</v>
      </c>
      <c r="C10942" t="s">
        <v>23448</v>
      </c>
      <c r="D10942" t="s">
        <v>20680</v>
      </c>
      <c r="E10942" t="s">
        <v>20681</v>
      </c>
      <c r="F10942" t="s">
        <v>20681</v>
      </c>
      <c r="G10942" t="s">
        <v>20681</v>
      </c>
      <c r="H10942" t="s">
        <v>859</v>
      </c>
      <c r="I10942" t="s">
        <v>860</v>
      </c>
      <c r="J10942" t="str">
        <f>"9450004"</f>
        <v>9450004</v>
      </c>
      <c r="K10942">
        <v>2431033113</v>
      </c>
      <c r="L10942">
        <v>2431033113</v>
      </c>
      <c r="M10942" t="s">
        <v>23449</v>
      </c>
      <c r="N10942" t="s">
        <v>20833</v>
      </c>
      <c r="O10942" t="s">
        <v>20836</v>
      </c>
      <c r="P10942">
        <v>42100</v>
      </c>
      <c r="Q10942" t="str">
        <f>"39.548683"</f>
        <v>39.548683</v>
      </c>
      <c r="R10942" t="str">
        <f>"21.752470"</f>
        <v>21.752470</v>
      </c>
      <c r="S10942" t="s">
        <v>26</v>
      </c>
    </row>
    <row r="10943" spans="1:19" x14ac:dyDescent="0.3">
      <c r="A10943" t="s">
        <v>20660</v>
      </c>
      <c r="B10943" t="s">
        <v>23413</v>
      </c>
      <c r="C10943" t="s">
        <v>23452</v>
      </c>
      <c r="D10943" t="s">
        <v>20680</v>
      </c>
      <c r="E10943" t="s">
        <v>21502</v>
      </c>
      <c r="F10943" t="s">
        <v>23450</v>
      </c>
      <c r="G10943" t="s">
        <v>23451</v>
      </c>
      <c r="H10943" t="s">
        <v>859</v>
      </c>
      <c r="I10943" t="s">
        <v>860</v>
      </c>
      <c r="J10943" t="str">
        <f>"9450261"</f>
        <v>9450261</v>
      </c>
      <c r="K10943">
        <v>2441051444</v>
      </c>
      <c r="M10943" t="s">
        <v>23453</v>
      </c>
      <c r="N10943" t="s">
        <v>23451</v>
      </c>
      <c r="O10943" t="s">
        <v>23454</v>
      </c>
      <c r="P10943">
        <v>43200</v>
      </c>
      <c r="Q10943" t="str">
        <f>"39.507861"</f>
        <v>39.507861</v>
      </c>
      <c r="R10943" t="str">
        <f>"21.906516"</f>
        <v>21.906516</v>
      </c>
      <c r="S10943" t="s">
        <v>26</v>
      </c>
    </row>
    <row r="10944" spans="1:19" x14ac:dyDescent="0.3">
      <c r="A10944" t="s">
        <v>20660</v>
      </c>
      <c r="B10944" t="s">
        <v>23413</v>
      </c>
      <c r="C10944" t="s">
        <v>23456</v>
      </c>
      <c r="D10944" t="s">
        <v>20680</v>
      </c>
      <c r="E10944" t="s">
        <v>21502</v>
      </c>
      <c r="F10944" t="s">
        <v>23450</v>
      </c>
      <c r="G10944" t="s">
        <v>23455</v>
      </c>
      <c r="H10944" t="s">
        <v>859</v>
      </c>
      <c r="I10944" t="s">
        <v>860</v>
      </c>
      <c r="J10944" t="str">
        <f>"9450318"</f>
        <v>9450318</v>
      </c>
      <c r="K10944">
        <v>2431083288</v>
      </c>
      <c r="L10944">
        <v>2431083288</v>
      </c>
      <c r="M10944" t="s">
        <v>23457</v>
      </c>
      <c r="N10944" t="s">
        <v>23455</v>
      </c>
      <c r="O10944" t="s">
        <v>23458</v>
      </c>
      <c r="P10944">
        <v>42031</v>
      </c>
      <c r="Q10944" t="str">
        <f>"39.531321"</f>
        <v>39.531321</v>
      </c>
      <c r="R10944" t="str">
        <f>"21.937546"</f>
        <v>21.937546</v>
      </c>
      <c r="S10944" t="s">
        <v>26</v>
      </c>
    </row>
    <row r="10945" spans="1:19" x14ac:dyDescent="0.3">
      <c r="A10945" t="s">
        <v>20660</v>
      </c>
      <c r="B10945" t="s">
        <v>23413</v>
      </c>
      <c r="C10945" t="s">
        <v>23459</v>
      </c>
      <c r="D10945" t="s">
        <v>20680</v>
      </c>
      <c r="E10945" t="s">
        <v>20681</v>
      </c>
      <c r="F10945" t="s">
        <v>20681</v>
      </c>
      <c r="G10945" t="s">
        <v>20681</v>
      </c>
      <c r="H10945" t="s">
        <v>859</v>
      </c>
      <c r="I10945" t="s">
        <v>860</v>
      </c>
      <c r="J10945" t="str">
        <f>"9450329"</f>
        <v>9450329</v>
      </c>
      <c r="K10945">
        <v>2431072952</v>
      </c>
      <c r="M10945" t="s">
        <v>23460</v>
      </c>
      <c r="N10945" t="s">
        <v>6224</v>
      </c>
      <c r="O10945" t="s">
        <v>22433</v>
      </c>
      <c r="P10945">
        <v>42100</v>
      </c>
      <c r="Q10945" t="str">
        <f>"39.537837"</f>
        <v>39.537837</v>
      </c>
      <c r="R10945" t="str">
        <f>"21.756599"</f>
        <v>21.756599</v>
      </c>
      <c r="S10945" t="s">
        <v>26</v>
      </c>
    </row>
    <row r="10946" spans="1:19" x14ac:dyDescent="0.3">
      <c r="A10946" t="s">
        <v>20660</v>
      </c>
      <c r="B10946" t="s">
        <v>23413</v>
      </c>
      <c r="C10946" t="s">
        <v>23461</v>
      </c>
      <c r="D10946" t="s">
        <v>20680</v>
      </c>
      <c r="E10946" t="s">
        <v>20681</v>
      </c>
      <c r="F10946" t="s">
        <v>23414</v>
      </c>
      <c r="G10946" t="s">
        <v>15729</v>
      </c>
      <c r="H10946" t="s">
        <v>859</v>
      </c>
      <c r="I10946" t="s">
        <v>860</v>
      </c>
      <c r="J10946" t="str">
        <f>"9450282"</f>
        <v>9450282</v>
      </c>
      <c r="K10946">
        <v>2431088310</v>
      </c>
      <c r="L10946">
        <v>2431088310</v>
      </c>
      <c r="M10946" t="s">
        <v>23462</v>
      </c>
      <c r="N10946" t="s">
        <v>15729</v>
      </c>
      <c r="O10946" t="s">
        <v>20344</v>
      </c>
      <c r="P10946">
        <v>42100</v>
      </c>
      <c r="Q10946" t="str">
        <f>"39.581959"</f>
        <v>39.581959</v>
      </c>
      <c r="R10946" t="str">
        <f>"21.696979"</f>
        <v>21.696979</v>
      </c>
      <c r="S10946" t="s">
        <v>26</v>
      </c>
    </row>
    <row r="10947" spans="1:19" x14ac:dyDescent="0.3">
      <c r="A10947" t="s">
        <v>20660</v>
      </c>
      <c r="B10947" t="s">
        <v>23413</v>
      </c>
      <c r="C10947" t="s">
        <v>23463</v>
      </c>
      <c r="D10947" t="s">
        <v>20680</v>
      </c>
      <c r="E10947" t="s">
        <v>20681</v>
      </c>
      <c r="F10947" t="s">
        <v>20681</v>
      </c>
      <c r="G10947" t="s">
        <v>20681</v>
      </c>
      <c r="H10947" t="s">
        <v>859</v>
      </c>
      <c r="I10947" t="s">
        <v>860</v>
      </c>
      <c r="J10947" t="str">
        <f>"9450353"</f>
        <v>9450353</v>
      </c>
      <c r="K10947">
        <v>2431033107</v>
      </c>
      <c r="L10947">
        <v>2431033107</v>
      </c>
      <c r="M10947" t="s">
        <v>23464</v>
      </c>
      <c r="N10947" t="s">
        <v>20680</v>
      </c>
      <c r="O10947" t="s">
        <v>23465</v>
      </c>
      <c r="P10947">
        <v>42100</v>
      </c>
      <c r="Q10947" t="str">
        <f>"39.547339"</f>
        <v>39.547339</v>
      </c>
      <c r="R10947" t="str">
        <f>"21.778194"</f>
        <v>21.778194</v>
      </c>
      <c r="S10947" t="s">
        <v>26</v>
      </c>
    </row>
    <row r="10948" spans="1:19" x14ac:dyDescent="0.3">
      <c r="A10948" t="s">
        <v>20660</v>
      </c>
      <c r="B10948" t="s">
        <v>23413</v>
      </c>
      <c r="C10948" t="s">
        <v>23466</v>
      </c>
      <c r="D10948" t="s">
        <v>20680</v>
      </c>
      <c r="E10948" t="s">
        <v>20681</v>
      </c>
      <c r="F10948" t="s">
        <v>20681</v>
      </c>
      <c r="G10948" t="s">
        <v>20681</v>
      </c>
      <c r="H10948" t="s">
        <v>859</v>
      </c>
      <c r="I10948" t="s">
        <v>860</v>
      </c>
      <c r="J10948" t="str">
        <f>"9450215"</f>
        <v>9450215</v>
      </c>
      <c r="K10948">
        <v>2431037802</v>
      </c>
      <c r="L10948">
        <v>2431037802</v>
      </c>
      <c r="M10948" t="s">
        <v>23467</v>
      </c>
      <c r="N10948" t="s">
        <v>20680</v>
      </c>
      <c r="O10948" t="s">
        <v>23468</v>
      </c>
      <c r="P10948">
        <v>42131</v>
      </c>
      <c r="Q10948" t="str">
        <f>"39.544943"</f>
        <v>39.544943</v>
      </c>
      <c r="R10948" t="str">
        <f>"21.771961"</f>
        <v>21.771961</v>
      </c>
      <c r="S10948" t="s">
        <v>26</v>
      </c>
    </row>
    <row r="10949" spans="1:19" x14ac:dyDescent="0.3">
      <c r="A10949" t="s">
        <v>20660</v>
      </c>
      <c r="B10949" t="s">
        <v>23413</v>
      </c>
      <c r="C10949" t="s">
        <v>23472</v>
      </c>
      <c r="D10949" t="s">
        <v>20680</v>
      </c>
      <c r="E10949" t="s">
        <v>20681</v>
      </c>
      <c r="F10949" t="s">
        <v>20681</v>
      </c>
      <c r="G10949" t="s">
        <v>20681</v>
      </c>
      <c r="H10949" t="s">
        <v>859</v>
      </c>
      <c r="I10949" t="s">
        <v>860</v>
      </c>
      <c r="J10949" t="str">
        <f>"9450398"</f>
        <v>9450398</v>
      </c>
      <c r="K10949">
        <v>2431076361</v>
      </c>
      <c r="M10949" t="s">
        <v>23473</v>
      </c>
      <c r="N10949" t="s">
        <v>20680</v>
      </c>
      <c r="O10949" t="s">
        <v>23474</v>
      </c>
      <c r="P10949">
        <v>42131</v>
      </c>
      <c r="Q10949" t="str">
        <f>"39.551111"</f>
        <v>39.551111</v>
      </c>
      <c r="R10949" t="str">
        <f>"21.761750"</f>
        <v>21.761750</v>
      </c>
      <c r="S10949" t="s">
        <v>26</v>
      </c>
    </row>
    <row r="10950" spans="1:19" x14ac:dyDescent="0.3">
      <c r="A10950" t="s">
        <v>20660</v>
      </c>
      <c r="B10950" t="s">
        <v>23413</v>
      </c>
      <c r="C10950" t="s">
        <v>23475</v>
      </c>
      <c r="D10950" t="s">
        <v>20680</v>
      </c>
      <c r="E10950" t="s">
        <v>20681</v>
      </c>
      <c r="F10950" t="s">
        <v>20681</v>
      </c>
      <c r="G10950" t="s">
        <v>20681</v>
      </c>
      <c r="H10950" t="s">
        <v>859</v>
      </c>
      <c r="I10950" t="s">
        <v>860</v>
      </c>
      <c r="J10950" t="str">
        <f>"9450331"</f>
        <v>9450331</v>
      </c>
      <c r="K10950">
        <v>2431074871</v>
      </c>
      <c r="M10950" t="s">
        <v>23476</v>
      </c>
      <c r="N10950" t="s">
        <v>20680</v>
      </c>
      <c r="O10950" t="s">
        <v>1211</v>
      </c>
      <c r="P10950">
        <v>42100</v>
      </c>
      <c r="Q10950" t="str">
        <f>"39.562625"</f>
        <v>39.562625</v>
      </c>
      <c r="R10950" t="str">
        <f>"21.744989"</f>
        <v>21.744989</v>
      </c>
      <c r="S10950" t="s">
        <v>26</v>
      </c>
    </row>
    <row r="10951" spans="1:19" x14ac:dyDescent="0.3">
      <c r="A10951" t="s">
        <v>20660</v>
      </c>
      <c r="B10951" t="s">
        <v>23413</v>
      </c>
      <c r="C10951" t="s">
        <v>23477</v>
      </c>
      <c r="D10951" t="s">
        <v>20680</v>
      </c>
      <c r="E10951" t="s">
        <v>20681</v>
      </c>
      <c r="F10951" t="s">
        <v>20681</v>
      </c>
      <c r="G10951" t="s">
        <v>20681</v>
      </c>
      <c r="H10951" t="s">
        <v>859</v>
      </c>
      <c r="I10951" t="s">
        <v>860</v>
      </c>
      <c r="J10951" t="str">
        <f>"9450302"</f>
        <v>9450302</v>
      </c>
      <c r="K10951">
        <v>2431026637</v>
      </c>
      <c r="L10951">
        <v>2431026637</v>
      </c>
      <c r="M10951" t="s">
        <v>23478</v>
      </c>
      <c r="N10951" t="s">
        <v>20680</v>
      </c>
      <c r="O10951" t="s">
        <v>23479</v>
      </c>
      <c r="P10951">
        <v>42131</v>
      </c>
      <c r="Q10951" t="str">
        <f>"39.549166"</f>
        <v>39.549166</v>
      </c>
      <c r="R10951" t="str">
        <f>"21.759993"</f>
        <v>21.759993</v>
      </c>
      <c r="S10951" t="s">
        <v>26</v>
      </c>
    </row>
    <row r="10952" spans="1:19" x14ac:dyDescent="0.3">
      <c r="A10952" t="s">
        <v>20660</v>
      </c>
      <c r="B10952" t="s">
        <v>23413</v>
      </c>
      <c r="C10952" t="s">
        <v>23481</v>
      </c>
      <c r="D10952" t="s">
        <v>20680</v>
      </c>
      <c r="E10952" t="s">
        <v>20681</v>
      </c>
      <c r="F10952" t="s">
        <v>21628</v>
      </c>
      <c r="G10952" t="s">
        <v>23480</v>
      </c>
      <c r="H10952" t="s">
        <v>859</v>
      </c>
      <c r="I10952" t="s">
        <v>860</v>
      </c>
      <c r="J10952" t="str">
        <f>"9450338"</f>
        <v>9450338</v>
      </c>
      <c r="K10952">
        <v>2431055617</v>
      </c>
      <c r="M10952" t="s">
        <v>23482</v>
      </c>
      <c r="N10952" t="s">
        <v>23483</v>
      </c>
      <c r="O10952" t="s">
        <v>23483</v>
      </c>
      <c r="P10952">
        <v>42100</v>
      </c>
      <c r="Q10952" t="str">
        <f>"39.512400"</f>
        <v>39.512400</v>
      </c>
      <c r="R10952" t="str">
        <f>"21.863187"</f>
        <v>21.863187</v>
      </c>
      <c r="S10952" t="s">
        <v>26</v>
      </c>
    </row>
    <row r="10953" spans="1:19" x14ac:dyDescent="0.3">
      <c r="A10953" t="s">
        <v>20660</v>
      </c>
      <c r="B10953" t="s">
        <v>23413</v>
      </c>
      <c r="C10953" t="s">
        <v>23485</v>
      </c>
      <c r="D10953" t="s">
        <v>20680</v>
      </c>
      <c r="E10953" t="s">
        <v>20681</v>
      </c>
      <c r="F10953" t="s">
        <v>21540</v>
      </c>
      <c r="G10953" t="s">
        <v>23484</v>
      </c>
      <c r="H10953" t="s">
        <v>859</v>
      </c>
      <c r="I10953" t="s">
        <v>860</v>
      </c>
      <c r="J10953" t="str">
        <f>"9450289"</f>
        <v>9450289</v>
      </c>
      <c r="K10953">
        <v>2431056547</v>
      </c>
      <c r="M10953" t="s">
        <v>23486</v>
      </c>
      <c r="N10953" t="s">
        <v>23484</v>
      </c>
      <c r="O10953" t="s">
        <v>23487</v>
      </c>
      <c r="P10953">
        <v>42100</v>
      </c>
      <c r="Q10953" t="str">
        <f>"39.535565"</f>
        <v>39.535565</v>
      </c>
      <c r="R10953" t="str">
        <f>"21.865355"</f>
        <v>21.865355</v>
      </c>
      <c r="S10953" t="s">
        <v>26</v>
      </c>
    </row>
    <row r="10954" spans="1:19" x14ac:dyDescent="0.3">
      <c r="A10954" t="s">
        <v>20660</v>
      </c>
      <c r="B10954" t="s">
        <v>23413</v>
      </c>
      <c r="C10954" t="s">
        <v>23489</v>
      </c>
      <c r="D10954" t="s">
        <v>20680</v>
      </c>
      <c r="E10954" t="s">
        <v>20681</v>
      </c>
      <c r="F10954" t="s">
        <v>23414</v>
      </c>
      <c r="G10954" t="s">
        <v>23488</v>
      </c>
      <c r="H10954" t="s">
        <v>859</v>
      </c>
      <c r="I10954" t="s">
        <v>860</v>
      </c>
      <c r="J10954" t="str">
        <f>"9450309"</f>
        <v>9450309</v>
      </c>
      <c r="K10954">
        <v>2431085187</v>
      </c>
      <c r="L10954">
        <v>2431085187</v>
      </c>
      <c r="M10954" t="s">
        <v>23490</v>
      </c>
      <c r="N10954" t="s">
        <v>23491</v>
      </c>
      <c r="O10954" t="s">
        <v>23492</v>
      </c>
      <c r="P10954">
        <v>42100</v>
      </c>
      <c r="Q10954" t="str">
        <f>"39.588443"</f>
        <v>39.588443</v>
      </c>
      <c r="R10954" t="str">
        <f>"21.729538"</f>
        <v>21.729538</v>
      </c>
      <c r="S10954" t="s">
        <v>26</v>
      </c>
    </row>
    <row r="10955" spans="1:19" x14ac:dyDescent="0.3">
      <c r="A10955" t="s">
        <v>20660</v>
      </c>
      <c r="B10955" t="s">
        <v>23413</v>
      </c>
      <c r="C10955" t="s">
        <v>23493</v>
      </c>
      <c r="D10955" t="s">
        <v>20680</v>
      </c>
      <c r="E10955" t="s">
        <v>20681</v>
      </c>
      <c r="F10955" t="s">
        <v>20681</v>
      </c>
      <c r="G10955" t="s">
        <v>20681</v>
      </c>
      <c r="H10955" t="s">
        <v>859</v>
      </c>
      <c r="I10955" t="s">
        <v>860</v>
      </c>
      <c r="J10955" t="str">
        <f>"9450351"</f>
        <v>9450351</v>
      </c>
      <c r="K10955">
        <v>2431036730</v>
      </c>
      <c r="L10955">
        <v>2431036730</v>
      </c>
      <c r="M10955" t="s">
        <v>23494</v>
      </c>
      <c r="N10955" t="s">
        <v>20680</v>
      </c>
      <c r="O10955" t="s">
        <v>23495</v>
      </c>
      <c r="P10955">
        <v>42100</v>
      </c>
      <c r="Q10955" t="str">
        <f>"39.562545"</f>
        <v>39.562545</v>
      </c>
      <c r="R10955" t="str">
        <f>"21.766985"</f>
        <v>21.766985</v>
      </c>
      <c r="S10955" t="s">
        <v>26</v>
      </c>
    </row>
    <row r="10956" spans="1:19" x14ac:dyDescent="0.3">
      <c r="A10956" t="s">
        <v>20660</v>
      </c>
      <c r="B10956" t="s">
        <v>23413</v>
      </c>
      <c r="C10956" t="s">
        <v>23503</v>
      </c>
      <c r="D10956" t="s">
        <v>20680</v>
      </c>
      <c r="E10956" t="s">
        <v>21502</v>
      </c>
      <c r="F10956" t="s">
        <v>21503</v>
      </c>
      <c r="G10956" t="s">
        <v>21503</v>
      </c>
      <c r="H10956" t="s">
        <v>859</v>
      </c>
      <c r="I10956" t="s">
        <v>860</v>
      </c>
      <c r="J10956" t="str">
        <f>"9450115"</f>
        <v>9450115</v>
      </c>
      <c r="K10956">
        <v>2433032683</v>
      </c>
      <c r="M10956" t="s">
        <v>23504</v>
      </c>
      <c r="N10956" t="s">
        <v>21506</v>
      </c>
      <c r="O10956" t="s">
        <v>23505</v>
      </c>
      <c r="P10956">
        <v>42300</v>
      </c>
      <c r="Q10956" t="str">
        <f>"39.605310"</f>
        <v>39.605310</v>
      </c>
      <c r="R10956" t="str">
        <f>"21.979846"</f>
        <v>21.979846</v>
      </c>
      <c r="S10956" t="s">
        <v>26</v>
      </c>
    </row>
    <row r="10957" spans="1:19" x14ac:dyDescent="0.3">
      <c r="A10957" t="s">
        <v>20660</v>
      </c>
      <c r="B10957" t="s">
        <v>23413</v>
      </c>
      <c r="C10957" t="s">
        <v>23546</v>
      </c>
      <c r="D10957" t="s">
        <v>20680</v>
      </c>
      <c r="E10957" t="s">
        <v>21508</v>
      </c>
      <c r="F10957" t="s">
        <v>23512</v>
      </c>
      <c r="G10957" t="s">
        <v>23512</v>
      </c>
      <c r="H10957" t="s">
        <v>859</v>
      </c>
      <c r="I10957" t="s">
        <v>860</v>
      </c>
      <c r="J10957" t="str">
        <f>"9450150"</f>
        <v>9450150</v>
      </c>
      <c r="K10957">
        <v>2432091141</v>
      </c>
      <c r="L10957">
        <v>2432091141</v>
      </c>
      <c r="M10957" t="s">
        <v>23547</v>
      </c>
      <c r="N10957" t="s">
        <v>23515</v>
      </c>
      <c r="O10957" t="s">
        <v>23515</v>
      </c>
      <c r="P10957">
        <v>42200</v>
      </c>
      <c r="Q10957" t="str">
        <f>"39.639454"</f>
        <v>39.639454</v>
      </c>
      <c r="R10957" t="str">
        <f>"21.701416"</f>
        <v>21.701416</v>
      </c>
      <c r="S10957" t="s">
        <v>26</v>
      </c>
    </row>
    <row r="10958" spans="1:19" x14ac:dyDescent="0.3">
      <c r="A10958" t="s">
        <v>20660</v>
      </c>
      <c r="B10958" t="s">
        <v>23413</v>
      </c>
      <c r="C10958" t="s">
        <v>23565</v>
      </c>
      <c r="D10958" t="s">
        <v>20680</v>
      </c>
      <c r="E10958" t="s">
        <v>21508</v>
      </c>
      <c r="F10958" t="s">
        <v>21645</v>
      </c>
      <c r="G10958" t="s">
        <v>21646</v>
      </c>
      <c r="H10958" t="s">
        <v>859</v>
      </c>
      <c r="I10958" t="s">
        <v>860</v>
      </c>
      <c r="J10958" t="str">
        <f>"9450400"</f>
        <v>9450400</v>
      </c>
      <c r="K10958">
        <v>2432031229</v>
      </c>
      <c r="M10958" t="s">
        <v>23566</v>
      </c>
      <c r="N10958" t="s">
        <v>21649</v>
      </c>
      <c r="O10958" t="s">
        <v>21649</v>
      </c>
      <c r="P10958">
        <v>42200</v>
      </c>
      <c r="Q10958" t="str">
        <f>"39.694711"</f>
        <v>39.694711</v>
      </c>
      <c r="R10958" t="str">
        <f>"21.516005"</f>
        <v>21.516005</v>
      </c>
      <c r="S10958" t="s">
        <v>26</v>
      </c>
    </row>
    <row r="10959" spans="1:19" x14ac:dyDescent="0.3">
      <c r="A10959" t="s">
        <v>20660</v>
      </c>
      <c r="B10959" t="s">
        <v>23413</v>
      </c>
      <c r="C10959" t="s">
        <v>23567</v>
      </c>
      <c r="D10959" t="s">
        <v>20680</v>
      </c>
      <c r="E10959" t="s">
        <v>21531</v>
      </c>
      <c r="F10959" t="s">
        <v>23529</v>
      </c>
      <c r="G10959" t="s">
        <v>13157</v>
      </c>
      <c r="H10959" t="s">
        <v>859</v>
      </c>
      <c r="I10959" t="s">
        <v>860</v>
      </c>
      <c r="J10959" t="str">
        <f>"9450275"</f>
        <v>9450275</v>
      </c>
      <c r="K10959">
        <v>2431061423</v>
      </c>
      <c r="M10959" t="s">
        <v>23568</v>
      </c>
      <c r="N10959" t="s">
        <v>23532</v>
      </c>
      <c r="O10959" t="s">
        <v>23532</v>
      </c>
      <c r="P10959">
        <v>42100</v>
      </c>
      <c r="Q10959" t="str">
        <f>"39.512850"</f>
        <v>39.512850</v>
      </c>
      <c r="R10959" t="str">
        <f>"21.696496"</f>
        <v>21.696496</v>
      </c>
      <c r="S10959" t="s">
        <v>26</v>
      </c>
    </row>
    <row r="10960" spans="1:19" x14ac:dyDescent="0.3">
      <c r="A10960" t="s">
        <v>20660</v>
      </c>
      <c r="B10960" t="s">
        <v>23413</v>
      </c>
      <c r="C10960" t="s">
        <v>23572</v>
      </c>
      <c r="D10960" t="s">
        <v>20680</v>
      </c>
      <c r="E10960" t="s">
        <v>21531</v>
      </c>
      <c r="F10960" t="s">
        <v>23571</v>
      </c>
      <c r="G10960" t="s">
        <v>2851</v>
      </c>
      <c r="H10960" t="s">
        <v>859</v>
      </c>
      <c r="I10960" t="s">
        <v>860</v>
      </c>
      <c r="J10960" t="str">
        <f>"9450375"</f>
        <v>9450375</v>
      </c>
      <c r="K10960">
        <v>2434022365</v>
      </c>
      <c r="M10960" t="s">
        <v>23573</v>
      </c>
      <c r="N10960" t="s">
        <v>2851</v>
      </c>
      <c r="O10960" t="s">
        <v>23574</v>
      </c>
      <c r="P10960">
        <v>42032</v>
      </c>
      <c r="Q10960" t="str">
        <f>"39.492129"</f>
        <v>39.492129</v>
      </c>
      <c r="R10960" t="str">
        <f>"21.611000"</f>
        <v>21.611000</v>
      </c>
      <c r="S10960" t="s">
        <v>26</v>
      </c>
    </row>
    <row r="10961" spans="1:19" x14ac:dyDescent="0.3">
      <c r="A10961" t="s">
        <v>20660</v>
      </c>
      <c r="B10961" t="s">
        <v>23413</v>
      </c>
      <c r="C10961" t="s">
        <v>23578</v>
      </c>
      <c r="D10961" t="s">
        <v>20680</v>
      </c>
      <c r="E10961" t="s">
        <v>21531</v>
      </c>
      <c r="F10961" t="s">
        <v>23529</v>
      </c>
      <c r="G10961" t="s">
        <v>23577</v>
      </c>
      <c r="H10961" t="s">
        <v>859</v>
      </c>
      <c r="I10961" t="s">
        <v>860</v>
      </c>
      <c r="J10961" t="str">
        <f>"9450288"</f>
        <v>9450288</v>
      </c>
      <c r="K10961">
        <v>2431061644</v>
      </c>
      <c r="L10961">
        <v>2431061644</v>
      </c>
      <c r="M10961" t="s">
        <v>23579</v>
      </c>
      <c r="N10961" t="s">
        <v>23577</v>
      </c>
      <c r="O10961" t="s">
        <v>23580</v>
      </c>
      <c r="P10961">
        <v>42100</v>
      </c>
      <c r="Q10961" t="str">
        <f>"39.485751"</f>
        <v>39.485751</v>
      </c>
      <c r="R10961" t="str">
        <f>"21.720570"</f>
        <v>21.720570</v>
      </c>
      <c r="S10961" t="s">
        <v>26</v>
      </c>
    </row>
    <row r="10962" spans="1:19" x14ac:dyDescent="0.3">
      <c r="A10962" t="s">
        <v>20660</v>
      </c>
      <c r="B10962" t="s">
        <v>23413</v>
      </c>
      <c r="C10962" t="s">
        <v>23581</v>
      </c>
      <c r="D10962" t="s">
        <v>20680</v>
      </c>
      <c r="E10962" t="s">
        <v>20681</v>
      </c>
      <c r="F10962" t="s">
        <v>20681</v>
      </c>
      <c r="G10962" t="s">
        <v>20681</v>
      </c>
      <c r="H10962" t="s">
        <v>859</v>
      </c>
      <c r="I10962" t="s">
        <v>860</v>
      </c>
      <c r="J10962" t="str">
        <f>"9450321"</f>
        <v>9450321</v>
      </c>
      <c r="K10962">
        <v>2431074370</v>
      </c>
      <c r="M10962" t="s">
        <v>23582</v>
      </c>
      <c r="N10962" t="s">
        <v>23583</v>
      </c>
      <c r="O10962" t="s">
        <v>23584</v>
      </c>
      <c r="P10962">
        <v>42100</v>
      </c>
      <c r="Q10962" t="str">
        <f>"39.536552"</f>
        <v>39.536552</v>
      </c>
      <c r="R10962" t="str">
        <f>"21.801780"</f>
        <v>21.801780</v>
      </c>
      <c r="S10962" t="s">
        <v>26</v>
      </c>
    </row>
    <row r="10963" spans="1:19" x14ac:dyDescent="0.3">
      <c r="A10963" t="s">
        <v>20660</v>
      </c>
      <c r="B10963" t="s">
        <v>23413</v>
      </c>
      <c r="C10963" t="s">
        <v>23588</v>
      </c>
      <c r="D10963" t="s">
        <v>20680</v>
      </c>
      <c r="E10963" t="s">
        <v>20681</v>
      </c>
      <c r="F10963" t="s">
        <v>21641</v>
      </c>
      <c r="G10963" t="s">
        <v>23587</v>
      </c>
      <c r="H10963" t="s">
        <v>859</v>
      </c>
      <c r="I10963" t="s">
        <v>860</v>
      </c>
      <c r="J10963" t="str">
        <f>"9450337"</f>
        <v>9450337</v>
      </c>
      <c r="K10963">
        <v>2431053266</v>
      </c>
      <c r="M10963" t="s">
        <v>23589</v>
      </c>
      <c r="N10963" t="s">
        <v>23587</v>
      </c>
      <c r="O10963" t="s">
        <v>23590</v>
      </c>
      <c r="P10963">
        <v>42100</v>
      </c>
      <c r="Q10963" t="str">
        <f>"39.579104"</f>
        <v>39.579104</v>
      </c>
      <c r="R10963" t="str">
        <f>"21.586332"</f>
        <v>21.586332</v>
      </c>
      <c r="S10963" t="s">
        <v>26</v>
      </c>
    </row>
    <row r="10964" spans="1:19" x14ac:dyDescent="0.3">
      <c r="A10964" t="s">
        <v>20660</v>
      </c>
      <c r="B10964" t="s">
        <v>23413</v>
      </c>
      <c r="C10964" t="s">
        <v>23597</v>
      </c>
      <c r="D10964" t="s">
        <v>20680</v>
      </c>
      <c r="E10964" t="s">
        <v>21531</v>
      </c>
      <c r="F10964" t="s">
        <v>23529</v>
      </c>
      <c r="G10964" t="s">
        <v>23529</v>
      </c>
      <c r="H10964" t="s">
        <v>859</v>
      </c>
      <c r="I10964" t="s">
        <v>860</v>
      </c>
      <c r="J10964" t="str">
        <f>"9450280"</f>
        <v>9450280</v>
      </c>
      <c r="K10964">
        <v>2434051578</v>
      </c>
      <c r="M10964" t="s">
        <v>23598</v>
      </c>
      <c r="N10964" t="s">
        <v>23529</v>
      </c>
      <c r="O10964" t="s">
        <v>23599</v>
      </c>
      <c r="P10964">
        <v>42100</v>
      </c>
      <c r="Q10964" t="str">
        <f>"39.464266"</f>
        <v>39.464266</v>
      </c>
      <c r="R10964" t="str">
        <f>"21.687620"</f>
        <v>21.687620</v>
      </c>
      <c r="S10964" t="s">
        <v>26</v>
      </c>
    </row>
    <row r="10965" spans="1:19" x14ac:dyDescent="0.3">
      <c r="A10965" t="s">
        <v>20660</v>
      </c>
      <c r="B10965" t="s">
        <v>23413</v>
      </c>
      <c r="C10965" t="s">
        <v>23609</v>
      </c>
      <c r="D10965" t="s">
        <v>20680</v>
      </c>
      <c r="E10965" t="s">
        <v>21508</v>
      </c>
      <c r="F10965" t="s">
        <v>21508</v>
      </c>
      <c r="G10965" t="s">
        <v>23608</v>
      </c>
      <c r="H10965" t="s">
        <v>859</v>
      </c>
      <c r="I10965" t="s">
        <v>860</v>
      </c>
      <c r="J10965" t="str">
        <f>"9450067"</f>
        <v>9450067</v>
      </c>
      <c r="K10965">
        <v>2432051011</v>
      </c>
      <c r="L10965">
        <v>2432051011</v>
      </c>
      <c r="M10965" t="s">
        <v>23610</v>
      </c>
      <c r="N10965" t="s">
        <v>23608</v>
      </c>
      <c r="O10965" t="s">
        <v>1286</v>
      </c>
      <c r="P10965">
        <v>42200</v>
      </c>
      <c r="Q10965" t="str">
        <f>"39.708240"</f>
        <v>39.708240</v>
      </c>
      <c r="R10965" t="str">
        <f>"21.693902"</f>
        <v>21.693902</v>
      </c>
      <c r="S10965" t="s">
        <v>26</v>
      </c>
    </row>
    <row r="10966" spans="1:19" x14ac:dyDescent="0.3">
      <c r="A10966" t="s">
        <v>20660</v>
      </c>
      <c r="B10966" t="s">
        <v>23413</v>
      </c>
      <c r="C10966" t="s">
        <v>23612</v>
      </c>
      <c r="D10966" t="s">
        <v>20680</v>
      </c>
      <c r="E10966" t="s">
        <v>20681</v>
      </c>
      <c r="F10966" t="s">
        <v>21573</v>
      </c>
      <c r="G10966" t="s">
        <v>23611</v>
      </c>
      <c r="H10966" t="s">
        <v>859</v>
      </c>
      <c r="I10966" t="s">
        <v>860</v>
      </c>
      <c r="J10966" t="str">
        <f>"9450303"</f>
        <v>9450303</v>
      </c>
      <c r="K10966">
        <v>2431084090</v>
      </c>
      <c r="L10966">
        <v>2431084090</v>
      </c>
      <c r="M10966" t="s">
        <v>23613</v>
      </c>
      <c r="N10966" t="s">
        <v>23611</v>
      </c>
      <c r="O10966" t="s">
        <v>23614</v>
      </c>
      <c r="P10966">
        <v>42100</v>
      </c>
      <c r="Q10966" t="str">
        <f>"39.552922"</f>
        <v>39.552922</v>
      </c>
      <c r="R10966" t="str">
        <f>"21.685278"</f>
        <v>21.685278</v>
      </c>
      <c r="S10966" t="s">
        <v>26</v>
      </c>
    </row>
    <row r="10967" spans="1:19" x14ac:dyDescent="0.3">
      <c r="A10967" t="s">
        <v>20660</v>
      </c>
      <c r="B10967" t="s">
        <v>23413</v>
      </c>
      <c r="C10967" t="s">
        <v>23615</v>
      </c>
      <c r="D10967" t="s">
        <v>20680</v>
      </c>
      <c r="E10967" t="s">
        <v>21508</v>
      </c>
      <c r="F10967" t="s">
        <v>17277</v>
      </c>
      <c r="G10967" t="s">
        <v>17996</v>
      </c>
      <c r="H10967" t="s">
        <v>859</v>
      </c>
      <c r="I10967" t="s">
        <v>860</v>
      </c>
      <c r="J10967" t="str">
        <f>"9450143"</f>
        <v>9450143</v>
      </c>
      <c r="K10967">
        <v>2432094244</v>
      </c>
      <c r="L10967">
        <v>2432094244</v>
      </c>
      <c r="M10967" t="s">
        <v>23616</v>
      </c>
      <c r="N10967" t="s">
        <v>23617</v>
      </c>
      <c r="O10967" t="s">
        <v>17999</v>
      </c>
      <c r="P10967">
        <v>42200</v>
      </c>
      <c r="Q10967" t="str">
        <f>"39.853064"</f>
        <v>39.853064</v>
      </c>
      <c r="R10967" t="str">
        <f>"21.662960"</f>
        <v>21.662960</v>
      </c>
      <c r="S10967" t="s">
        <v>26</v>
      </c>
    </row>
    <row r="10968" spans="1:19" x14ac:dyDescent="0.3">
      <c r="A10968" t="s">
        <v>20660</v>
      </c>
      <c r="B10968" t="s">
        <v>23413</v>
      </c>
      <c r="C10968" t="s">
        <v>23619</v>
      </c>
      <c r="D10968" t="s">
        <v>20680</v>
      </c>
      <c r="E10968" t="s">
        <v>21508</v>
      </c>
      <c r="F10968" t="s">
        <v>23618</v>
      </c>
      <c r="G10968" t="s">
        <v>1800</v>
      </c>
      <c r="H10968" t="s">
        <v>859</v>
      </c>
      <c r="I10968" t="s">
        <v>860</v>
      </c>
      <c r="J10968" t="str">
        <f>"9520868"</f>
        <v>9520868</v>
      </c>
      <c r="K10968">
        <v>2432070202</v>
      </c>
      <c r="L10968">
        <v>2432070202</v>
      </c>
      <c r="M10968" t="s">
        <v>23620</v>
      </c>
      <c r="N10968" t="s">
        <v>1803</v>
      </c>
      <c r="O10968" t="s">
        <v>1803</v>
      </c>
      <c r="P10968">
        <v>42200</v>
      </c>
      <c r="Q10968" t="str">
        <f>"39.782992"</f>
        <v>39.782992</v>
      </c>
      <c r="R10968" t="str">
        <f>"21.325097"</f>
        <v>21.325097</v>
      </c>
      <c r="S10968" t="s">
        <v>26</v>
      </c>
    </row>
    <row r="10969" spans="1:19" x14ac:dyDescent="0.3">
      <c r="A10969" t="s">
        <v>20660</v>
      </c>
      <c r="B10969" t="s">
        <v>23413</v>
      </c>
      <c r="C10969" t="s">
        <v>23622</v>
      </c>
      <c r="D10969" t="s">
        <v>20680</v>
      </c>
      <c r="E10969" t="s">
        <v>21508</v>
      </c>
      <c r="F10969" t="s">
        <v>21645</v>
      </c>
      <c r="G10969" t="s">
        <v>23621</v>
      </c>
      <c r="H10969" t="s">
        <v>859</v>
      </c>
      <c r="I10969" t="s">
        <v>860</v>
      </c>
      <c r="J10969" t="str">
        <f>"9450203"</f>
        <v>9450203</v>
      </c>
      <c r="K10969">
        <v>2432041585</v>
      </c>
      <c r="M10969" t="s">
        <v>23623</v>
      </c>
      <c r="N10969" t="s">
        <v>23624</v>
      </c>
      <c r="O10969" t="s">
        <v>13509</v>
      </c>
      <c r="P10969">
        <v>42200</v>
      </c>
      <c r="Q10969" t="str">
        <f>"39.605565"</f>
        <v>39.605565</v>
      </c>
      <c r="R10969" t="str">
        <f>"21.500344"</f>
        <v>21.500344</v>
      </c>
      <c r="S10969" t="s">
        <v>26</v>
      </c>
    </row>
    <row r="10970" spans="1:19" x14ac:dyDescent="0.3">
      <c r="A10970" t="s">
        <v>20660</v>
      </c>
      <c r="B10970" t="s">
        <v>23413</v>
      </c>
      <c r="C10970" t="s">
        <v>23642</v>
      </c>
      <c r="D10970" t="s">
        <v>20680</v>
      </c>
      <c r="E10970" t="s">
        <v>20681</v>
      </c>
      <c r="F10970" t="s">
        <v>21628</v>
      </c>
      <c r="G10970" t="s">
        <v>21628</v>
      </c>
      <c r="H10970" t="s">
        <v>859</v>
      </c>
      <c r="I10970" t="s">
        <v>860</v>
      </c>
      <c r="J10970" t="str">
        <f>"9450235"</f>
        <v>9450235</v>
      </c>
      <c r="K10970">
        <v>2431043828</v>
      </c>
      <c r="L10970">
        <v>2431043828</v>
      </c>
      <c r="M10970" t="s">
        <v>23643</v>
      </c>
      <c r="N10970" t="s">
        <v>23644</v>
      </c>
      <c r="O10970" t="s">
        <v>23645</v>
      </c>
      <c r="P10970">
        <v>42030</v>
      </c>
      <c r="Q10970" t="str">
        <f>"39.497480"</f>
        <v>39.497480</v>
      </c>
      <c r="R10970" t="str">
        <f>"21.788059"</f>
        <v>21.788059</v>
      </c>
      <c r="S10970" t="s">
        <v>26</v>
      </c>
    </row>
    <row r="10971" spans="1:19" x14ac:dyDescent="0.3">
      <c r="A10971" t="s">
        <v>20660</v>
      </c>
      <c r="B10971" t="s">
        <v>23413</v>
      </c>
      <c r="C10971" t="s">
        <v>23646</v>
      </c>
      <c r="D10971" t="s">
        <v>20680</v>
      </c>
      <c r="E10971" t="s">
        <v>20681</v>
      </c>
      <c r="F10971" t="s">
        <v>23414</v>
      </c>
      <c r="G10971" t="s">
        <v>19658</v>
      </c>
      <c r="H10971" t="s">
        <v>859</v>
      </c>
      <c r="I10971" t="s">
        <v>860</v>
      </c>
      <c r="J10971" t="str">
        <f>"9450283"</f>
        <v>9450283</v>
      </c>
      <c r="K10971">
        <v>2431086357</v>
      </c>
      <c r="L10971">
        <v>2431086357</v>
      </c>
      <c r="M10971" t="s">
        <v>23647</v>
      </c>
      <c r="N10971" t="s">
        <v>19658</v>
      </c>
      <c r="O10971" t="s">
        <v>23648</v>
      </c>
      <c r="P10971">
        <v>42100</v>
      </c>
      <c r="Q10971" t="str">
        <f>"39.614493"</f>
        <v>39.614493</v>
      </c>
      <c r="R10971" t="str">
        <f>"21.643273"</f>
        <v>21.643273</v>
      </c>
      <c r="S10971" t="s">
        <v>26</v>
      </c>
    </row>
    <row r="10972" spans="1:19" x14ac:dyDescent="0.3">
      <c r="A10972" t="s">
        <v>20660</v>
      </c>
      <c r="B10972" t="s">
        <v>23413</v>
      </c>
      <c r="C10972" t="s">
        <v>23656</v>
      </c>
      <c r="D10972" t="s">
        <v>20680</v>
      </c>
      <c r="E10972" t="s">
        <v>21508</v>
      </c>
      <c r="F10972" t="s">
        <v>21508</v>
      </c>
      <c r="G10972" t="s">
        <v>21580</v>
      </c>
      <c r="H10972" t="s">
        <v>859</v>
      </c>
      <c r="I10972" t="s">
        <v>860</v>
      </c>
      <c r="J10972" t="str">
        <f>"9450129"</f>
        <v>9450129</v>
      </c>
      <c r="K10972">
        <v>2432023221</v>
      </c>
      <c r="M10972" t="s">
        <v>23657</v>
      </c>
      <c r="N10972" t="s">
        <v>21580</v>
      </c>
      <c r="O10972" t="s">
        <v>23658</v>
      </c>
      <c r="P10972">
        <v>42200</v>
      </c>
      <c r="Q10972" t="str">
        <f>"39.709278"</f>
        <v>39.709278</v>
      </c>
      <c r="R10972" t="str">
        <f>"21.627725"</f>
        <v>21.627725</v>
      </c>
      <c r="S10972" t="s">
        <v>26</v>
      </c>
    </row>
    <row r="10973" spans="1:19" x14ac:dyDescent="0.3">
      <c r="A10973" t="s">
        <v>20660</v>
      </c>
      <c r="B10973" t="s">
        <v>23413</v>
      </c>
      <c r="C10973" t="s">
        <v>23662</v>
      </c>
      <c r="D10973" t="s">
        <v>20680</v>
      </c>
      <c r="E10973" t="s">
        <v>21531</v>
      </c>
      <c r="F10973" t="s">
        <v>23529</v>
      </c>
      <c r="G10973" t="s">
        <v>23661</v>
      </c>
      <c r="H10973" t="s">
        <v>859</v>
      </c>
      <c r="I10973" t="s">
        <v>860</v>
      </c>
      <c r="J10973" t="str">
        <f>"9450308"</f>
        <v>9450308</v>
      </c>
      <c r="K10973">
        <v>2431061106</v>
      </c>
      <c r="L10973">
        <v>2431061248</v>
      </c>
      <c r="M10973" t="s">
        <v>23663</v>
      </c>
      <c r="N10973" t="s">
        <v>20684</v>
      </c>
      <c r="O10973" t="s">
        <v>23664</v>
      </c>
      <c r="P10973">
        <v>42100</v>
      </c>
      <c r="Q10973" t="str">
        <f>"39.553502"</f>
        <v>39.553502</v>
      </c>
      <c r="R10973" t="str">
        <f>"21.768076"</f>
        <v>21.768076</v>
      </c>
      <c r="S10973" t="s">
        <v>26</v>
      </c>
    </row>
    <row r="10974" spans="1:19" x14ac:dyDescent="0.3">
      <c r="A10974" t="s">
        <v>20660</v>
      </c>
      <c r="B10974" t="s">
        <v>23413</v>
      </c>
      <c r="C10974" t="s">
        <v>23667</v>
      </c>
      <c r="D10974" t="s">
        <v>20680</v>
      </c>
      <c r="E10974" t="s">
        <v>21508</v>
      </c>
      <c r="F10974" t="s">
        <v>21508</v>
      </c>
      <c r="G10974" t="s">
        <v>21580</v>
      </c>
      <c r="H10974" t="s">
        <v>859</v>
      </c>
      <c r="I10974" t="s">
        <v>860</v>
      </c>
      <c r="J10974" t="str">
        <f>"9450342"</f>
        <v>9450342</v>
      </c>
      <c r="K10974">
        <v>2432023325</v>
      </c>
      <c r="M10974" t="s">
        <v>23668</v>
      </c>
      <c r="N10974" t="s">
        <v>21583</v>
      </c>
      <c r="O10974" t="s">
        <v>23669</v>
      </c>
      <c r="P10974">
        <v>42200</v>
      </c>
      <c r="Q10974" t="str">
        <f>"39.705605"</f>
        <v>39.705605</v>
      </c>
      <c r="R10974" t="str">
        <f>"21.618101"</f>
        <v>21.618101</v>
      </c>
      <c r="S10974" t="s">
        <v>26</v>
      </c>
    </row>
    <row r="10975" spans="1:19" x14ac:dyDescent="0.3">
      <c r="A10975" t="s">
        <v>20660</v>
      </c>
      <c r="B10975" t="s">
        <v>23413</v>
      </c>
      <c r="C10975" t="s">
        <v>23670</v>
      </c>
      <c r="D10975" t="s">
        <v>20680</v>
      </c>
      <c r="E10975" t="s">
        <v>20681</v>
      </c>
      <c r="F10975" t="s">
        <v>21641</v>
      </c>
      <c r="G10975" t="s">
        <v>22056</v>
      </c>
      <c r="H10975" t="s">
        <v>859</v>
      </c>
      <c r="I10975" t="s">
        <v>860</v>
      </c>
      <c r="J10975" t="str">
        <f>"9450301"</f>
        <v>9450301</v>
      </c>
      <c r="K10975">
        <v>2431053222</v>
      </c>
      <c r="M10975" t="s">
        <v>23671</v>
      </c>
      <c r="N10975" t="s">
        <v>22056</v>
      </c>
      <c r="O10975" t="s">
        <v>22059</v>
      </c>
      <c r="P10975">
        <v>42100</v>
      </c>
      <c r="Q10975" t="str">
        <f>"39.565319"</f>
        <v>39.565319</v>
      </c>
      <c r="R10975" t="str">
        <f>"21.589514"</f>
        <v>21.589514</v>
      </c>
      <c r="S10975" t="s">
        <v>26</v>
      </c>
    </row>
    <row r="10976" spans="1:19" x14ac:dyDescent="0.3">
      <c r="A10976" t="s">
        <v>20660</v>
      </c>
      <c r="B10976" t="s">
        <v>23413</v>
      </c>
      <c r="C10976" t="s">
        <v>23672</v>
      </c>
      <c r="D10976" t="s">
        <v>20680</v>
      </c>
      <c r="E10976" t="s">
        <v>21508</v>
      </c>
      <c r="F10976" t="s">
        <v>21508</v>
      </c>
      <c r="G10976" t="s">
        <v>21580</v>
      </c>
      <c r="H10976" t="s">
        <v>859</v>
      </c>
      <c r="I10976" t="s">
        <v>860</v>
      </c>
      <c r="J10976" t="str">
        <f>"9450315"</f>
        <v>9450315</v>
      </c>
      <c r="K10976">
        <v>2432022495</v>
      </c>
      <c r="L10976">
        <v>2432022495</v>
      </c>
      <c r="M10976" t="s">
        <v>23673</v>
      </c>
      <c r="N10976" t="s">
        <v>21580</v>
      </c>
      <c r="O10976" t="s">
        <v>23674</v>
      </c>
      <c r="P10976">
        <v>42200</v>
      </c>
      <c r="Q10976" t="str">
        <f>"39.702603"</f>
        <v>39.702603</v>
      </c>
      <c r="R10976" t="str">
        <f>"21.629581"</f>
        <v>21.629581</v>
      </c>
      <c r="S10976" t="s">
        <v>26</v>
      </c>
    </row>
    <row r="10977" spans="1:19" x14ac:dyDescent="0.3">
      <c r="A10977" t="s">
        <v>20660</v>
      </c>
      <c r="B10977" t="s">
        <v>23413</v>
      </c>
      <c r="C10977" t="s">
        <v>23680</v>
      </c>
      <c r="D10977" t="s">
        <v>20680</v>
      </c>
      <c r="E10977" t="s">
        <v>21531</v>
      </c>
      <c r="F10977" t="s">
        <v>23678</v>
      </c>
      <c r="G10977" t="s">
        <v>23679</v>
      </c>
      <c r="H10977" t="s">
        <v>859</v>
      </c>
      <c r="I10977" t="s">
        <v>860</v>
      </c>
      <c r="J10977" t="str">
        <f>"9450328"</f>
        <v>9450328</v>
      </c>
      <c r="K10977">
        <v>2434071243</v>
      </c>
      <c r="M10977" t="s">
        <v>23681</v>
      </c>
      <c r="N10977" t="s">
        <v>23679</v>
      </c>
      <c r="O10977" t="s">
        <v>23682</v>
      </c>
      <c r="P10977">
        <v>42032</v>
      </c>
      <c r="Q10977" t="str">
        <f>"39.501895"</f>
        <v>39.501895</v>
      </c>
      <c r="R10977" t="str">
        <f>"21.539404"</f>
        <v>21.539404</v>
      </c>
      <c r="S10977" t="s">
        <v>26</v>
      </c>
    </row>
    <row r="10978" spans="1:19" x14ac:dyDescent="0.3">
      <c r="A10978" t="s">
        <v>20660</v>
      </c>
      <c r="B10978" t="s">
        <v>23413</v>
      </c>
      <c r="C10978" t="s">
        <v>23683</v>
      </c>
      <c r="D10978" t="s">
        <v>20680</v>
      </c>
      <c r="E10978" t="s">
        <v>21508</v>
      </c>
      <c r="F10978" t="s">
        <v>23512</v>
      </c>
      <c r="G10978" t="s">
        <v>23479</v>
      </c>
      <c r="H10978" t="s">
        <v>859</v>
      </c>
      <c r="I10978" t="s">
        <v>860</v>
      </c>
      <c r="J10978" t="str">
        <f>"9450160"</f>
        <v>9450160</v>
      </c>
      <c r="K10978">
        <v>2432072370</v>
      </c>
      <c r="M10978" t="s">
        <v>23684</v>
      </c>
      <c r="N10978" t="s">
        <v>23479</v>
      </c>
      <c r="O10978" t="s">
        <v>23479</v>
      </c>
      <c r="P10978">
        <v>42200</v>
      </c>
      <c r="Q10978" t="str">
        <f>"39.675609"</f>
        <v>39.675609</v>
      </c>
      <c r="R10978" t="str">
        <f>"21.681231"</f>
        <v>21.681231</v>
      </c>
      <c r="S10978" t="s">
        <v>26</v>
      </c>
    </row>
    <row r="10979" spans="1:19" x14ac:dyDescent="0.3">
      <c r="A10979" t="s">
        <v>20660</v>
      </c>
      <c r="B10979" t="s">
        <v>23413</v>
      </c>
      <c r="C10979" t="s">
        <v>23685</v>
      </c>
      <c r="D10979" t="s">
        <v>20680</v>
      </c>
      <c r="E10979" t="s">
        <v>21508</v>
      </c>
      <c r="F10979" t="s">
        <v>21508</v>
      </c>
      <c r="G10979" t="s">
        <v>21580</v>
      </c>
      <c r="H10979" t="s">
        <v>859</v>
      </c>
      <c r="I10979" t="s">
        <v>860</v>
      </c>
      <c r="J10979" t="str">
        <f>"9450371"</f>
        <v>9450371</v>
      </c>
      <c r="K10979">
        <v>2432078591</v>
      </c>
      <c r="L10979">
        <v>2432078591</v>
      </c>
      <c r="M10979" t="s">
        <v>23686</v>
      </c>
      <c r="N10979" t="s">
        <v>21583</v>
      </c>
      <c r="O10979" t="s">
        <v>23687</v>
      </c>
      <c r="P10979">
        <v>42200</v>
      </c>
      <c r="Q10979" t="str">
        <f>"39.701902"</f>
        <v>39.701902</v>
      </c>
      <c r="R10979" t="str">
        <f>"21.621953"</f>
        <v>21.621953</v>
      </c>
      <c r="S10979" t="s">
        <v>26</v>
      </c>
    </row>
    <row r="10980" spans="1:19" x14ac:dyDescent="0.3">
      <c r="A10980" t="s">
        <v>20660</v>
      </c>
      <c r="B10980" t="s">
        <v>23413</v>
      </c>
      <c r="C10980" t="s">
        <v>23689</v>
      </c>
      <c r="D10980" t="s">
        <v>20680</v>
      </c>
      <c r="E10980" t="s">
        <v>21508</v>
      </c>
      <c r="F10980" t="s">
        <v>21508</v>
      </c>
      <c r="G10980" t="s">
        <v>23688</v>
      </c>
      <c r="H10980" t="s">
        <v>859</v>
      </c>
      <c r="I10980" t="s">
        <v>860</v>
      </c>
      <c r="J10980" t="str">
        <f>"9450158"</f>
        <v>9450158</v>
      </c>
      <c r="K10980">
        <v>2432025280</v>
      </c>
      <c r="L10980">
        <v>2432025280</v>
      </c>
      <c r="M10980" t="s">
        <v>23690</v>
      </c>
      <c r="N10980" t="s">
        <v>23691</v>
      </c>
      <c r="O10980" t="s">
        <v>23691</v>
      </c>
      <c r="P10980">
        <v>42200</v>
      </c>
      <c r="Q10980" t="str">
        <f>"39.699335"</f>
        <v>39.699335</v>
      </c>
      <c r="R10980" t="str">
        <f>"21.633519"</f>
        <v>21.633519</v>
      </c>
      <c r="S10980" t="s">
        <v>26</v>
      </c>
    </row>
    <row r="10981" spans="1:19" x14ac:dyDescent="0.3">
      <c r="A10981" t="s">
        <v>20660</v>
      </c>
      <c r="B10981" t="s">
        <v>23413</v>
      </c>
      <c r="C10981" t="s">
        <v>23692</v>
      </c>
      <c r="D10981" t="s">
        <v>20680</v>
      </c>
      <c r="E10981" t="s">
        <v>21508</v>
      </c>
      <c r="F10981" t="s">
        <v>21508</v>
      </c>
      <c r="G10981" t="s">
        <v>21580</v>
      </c>
      <c r="H10981" t="s">
        <v>859</v>
      </c>
      <c r="I10981" t="s">
        <v>860</v>
      </c>
      <c r="J10981" t="str">
        <f>"9450127"</f>
        <v>9450127</v>
      </c>
      <c r="K10981">
        <v>2432023237</v>
      </c>
      <c r="M10981" t="s">
        <v>23693</v>
      </c>
      <c r="N10981" t="s">
        <v>21580</v>
      </c>
      <c r="O10981" t="s">
        <v>23694</v>
      </c>
      <c r="P10981">
        <v>42200</v>
      </c>
      <c r="Q10981" t="str">
        <f>"39.705459"</f>
        <v>39.705459</v>
      </c>
      <c r="R10981" t="str">
        <f>"21.624109"</f>
        <v>21.624109</v>
      </c>
      <c r="S10981" t="s">
        <v>26</v>
      </c>
    </row>
    <row r="10982" spans="1:19" x14ac:dyDescent="0.3">
      <c r="A10982" t="s">
        <v>20660</v>
      </c>
      <c r="B10982" t="s">
        <v>23413</v>
      </c>
      <c r="C10982" t="s">
        <v>23696</v>
      </c>
      <c r="D10982" t="s">
        <v>20680</v>
      </c>
      <c r="E10982" t="s">
        <v>21531</v>
      </c>
      <c r="F10982" t="s">
        <v>23571</v>
      </c>
      <c r="G10982" t="s">
        <v>23695</v>
      </c>
      <c r="H10982" t="s">
        <v>859</v>
      </c>
      <c r="I10982" t="s">
        <v>860</v>
      </c>
      <c r="J10982" t="str">
        <f>"9450334"</f>
        <v>9450334</v>
      </c>
      <c r="K10982">
        <v>2431051843</v>
      </c>
      <c r="L10982">
        <v>2431051843</v>
      </c>
      <c r="M10982" t="s">
        <v>23697</v>
      </c>
      <c r="N10982" t="s">
        <v>23695</v>
      </c>
      <c r="O10982" t="s">
        <v>23698</v>
      </c>
      <c r="P10982">
        <v>42100</v>
      </c>
      <c r="Q10982" t="str">
        <f>"39.528194"</f>
        <v>39.528194</v>
      </c>
      <c r="R10982" t="str">
        <f>"21.634963"</f>
        <v>21.634963</v>
      </c>
      <c r="S10982" t="s">
        <v>26</v>
      </c>
    </row>
    <row r="10983" spans="1:19" x14ac:dyDescent="0.3">
      <c r="A10983" t="s">
        <v>20660</v>
      </c>
      <c r="B10983" t="s">
        <v>23413</v>
      </c>
      <c r="C10983" t="s">
        <v>23703</v>
      </c>
      <c r="D10983" t="s">
        <v>20680</v>
      </c>
      <c r="E10983" t="s">
        <v>21531</v>
      </c>
      <c r="F10983" t="s">
        <v>21531</v>
      </c>
      <c r="G10983" t="s">
        <v>23555</v>
      </c>
      <c r="H10983" t="s">
        <v>859</v>
      </c>
      <c r="I10983" t="s">
        <v>860</v>
      </c>
      <c r="J10983" t="str">
        <f>"9450364"</f>
        <v>9450364</v>
      </c>
      <c r="K10983">
        <v>2434071384</v>
      </c>
      <c r="M10983" t="s">
        <v>23704</v>
      </c>
      <c r="N10983" t="s">
        <v>23555</v>
      </c>
      <c r="O10983" t="s">
        <v>23558</v>
      </c>
      <c r="P10983">
        <v>42032</v>
      </c>
      <c r="Q10983" t="str">
        <f>"39.461722"</f>
        <v>39.461722</v>
      </c>
      <c r="R10983" t="str">
        <f>"21.562309"</f>
        <v>21.562309</v>
      </c>
      <c r="S10983" t="s">
        <v>26</v>
      </c>
    </row>
    <row r="10984" spans="1:19" x14ac:dyDescent="0.3">
      <c r="A10984" t="s">
        <v>20660</v>
      </c>
      <c r="B10984" t="s">
        <v>23413</v>
      </c>
      <c r="C10984" t="s">
        <v>23706</v>
      </c>
      <c r="D10984" t="s">
        <v>20680</v>
      </c>
      <c r="E10984" t="s">
        <v>21531</v>
      </c>
      <c r="F10984" t="s">
        <v>23571</v>
      </c>
      <c r="G10984" t="s">
        <v>23705</v>
      </c>
      <c r="H10984" t="s">
        <v>859</v>
      </c>
      <c r="I10984" t="s">
        <v>860</v>
      </c>
      <c r="J10984" t="str">
        <f>"9450001"</f>
        <v>9450001</v>
      </c>
      <c r="K10984">
        <v>2431051381</v>
      </c>
      <c r="M10984" t="s">
        <v>23707</v>
      </c>
      <c r="N10984" t="s">
        <v>23705</v>
      </c>
      <c r="O10984" t="s">
        <v>23708</v>
      </c>
      <c r="P10984">
        <v>42100</v>
      </c>
      <c r="Q10984" t="str">
        <f>"39.519039"</f>
        <v>39.519039</v>
      </c>
      <c r="R10984" t="str">
        <f>"21.661871"</f>
        <v>21.661871</v>
      </c>
      <c r="S10984" t="s">
        <v>26</v>
      </c>
    </row>
    <row r="10985" spans="1:19" x14ac:dyDescent="0.3">
      <c r="A10985" t="s">
        <v>20660</v>
      </c>
      <c r="B10985" t="s">
        <v>23413</v>
      </c>
      <c r="C10985" t="s">
        <v>23713</v>
      </c>
      <c r="D10985" t="s">
        <v>20680</v>
      </c>
      <c r="E10985" t="s">
        <v>21531</v>
      </c>
      <c r="F10985" t="s">
        <v>23711</v>
      </c>
      <c r="G10985" t="s">
        <v>23712</v>
      </c>
      <c r="H10985" t="s">
        <v>859</v>
      </c>
      <c r="I10985" t="s">
        <v>860</v>
      </c>
      <c r="J10985" t="str">
        <f>"9450265"</f>
        <v>9450265</v>
      </c>
      <c r="K10985">
        <v>2434093213</v>
      </c>
      <c r="L10985">
        <v>2434093213</v>
      </c>
      <c r="M10985" t="s">
        <v>23714</v>
      </c>
      <c r="N10985" t="s">
        <v>23712</v>
      </c>
      <c r="O10985" t="s">
        <v>23715</v>
      </c>
      <c r="P10985">
        <v>42032</v>
      </c>
      <c r="Q10985" t="str">
        <f>"39.452564"</f>
        <v>39.452564</v>
      </c>
      <c r="R10985" t="str">
        <f>"21.490188"</f>
        <v>21.490188</v>
      </c>
      <c r="S10985" t="s">
        <v>26</v>
      </c>
    </row>
    <row r="10986" spans="1:19" x14ac:dyDescent="0.3">
      <c r="A10986" t="s">
        <v>20660</v>
      </c>
      <c r="B10986" t="s">
        <v>23413</v>
      </c>
      <c r="C10986" t="s">
        <v>23719</v>
      </c>
      <c r="D10986" t="s">
        <v>20680</v>
      </c>
      <c r="E10986" t="s">
        <v>21531</v>
      </c>
      <c r="F10986" t="s">
        <v>23571</v>
      </c>
      <c r="G10986" t="s">
        <v>23718</v>
      </c>
      <c r="H10986" t="s">
        <v>859</v>
      </c>
      <c r="I10986" t="s">
        <v>860</v>
      </c>
      <c r="J10986" t="str">
        <f>"9450050"</f>
        <v>9450050</v>
      </c>
      <c r="K10986">
        <v>2431051622</v>
      </c>
      <c r="L10986">
        <v>2431051622</v>
      </c>
      <c r="M10986" t="s">
        <v>23720</v>
      </c>
      <c r="N10986" t="s">
        <v>23718</v>
      </c>
      <c r="O10986" t="s">
        <v>23721</v>
      </c>
      <c r="P10986">
        <v>42032</v>
      </c>
      <c r="Q10986" t="str">
        <f>"39.512786"</f>
        <v>39.512786</v>
      </c>
      <c r="R10986" t="str">
        <f>"21.652549"</f>
        <v>21.652549</v>
      </c>
      <c r="S10986" t="s">
        <v>26</v>
      </c>
    </row>
    <row r="10987" spans="1:19" x14ac:dyDescent="0.3">
      <c r="A10987" t="s">
        <v>20660</v>
      </c>
      <c r="B10987" t="s">
        <v>23413</v>
      </c>
      <c r="C10987" t="s">
        <v>23724</v>
      </c>
      <c r="D10987" t="s">
        <v>20680</v>
      </c>
      <c r="E10987" t="s">
        <v>21531</v>
      </c>
      <c r="F10987" t="s">
        <v>21531</v>
      </c>
      <c r="G10987" t="s">
        <v>21531</v>
      </c>
      <c r="H10987" t="s">
        <v>859</v>
      </c>
      <c r="I10987" t="s">
        <v>860</v>
      </c>
      <c r="J10987" t="str">
        <f>"9450210"</f>
        <v>9450210</v>
      </c>
      <c r="K10987">
        <v>2434022681</v>
      </c>
      <c r="L10987">
        <v>2434022681</v>
      </c>
      <c r="M10987" t="s">
        <v>23725</v>
      </c>
      <c r="N10987" t="s">
        <v>21534</v>
      </c>
      <c r="O10987" t="s">
        <v>21534</v>
      </c>
      <c r="P10987">
        <v>42032</v>
      </c>
      <c r="Q10987" t="str">
        <f>"39.461254"</f>
        <v>39.461254</v>
      </c>
      <c r="R10987" t="str">
        <f>"21.619997"</f>
        <v>21.619997</v>
      </c>
      <c r="S10987" t="s">
        <v>26</v>
      </c>
    </row>
    <row r="10988" spans="1:19" x14ac:dyDescent="0.3">
      <c r="A10988" t="s">
        <v>20660</v>
      </c>
      <c r="B10988" t="s">
        <v>23413</v>
      </c>
      <c r="C10988" t="s">
        <v>23726</v>
      </c>
      <c r="D10988" t="s">
        <v>20680</v>
      </c>
      <c r="E10988" t="s">
        <v>20681</v>
      </c>
      <c r="F10988" t="s">
        <v>21641</v>
      </c>
      <c r="G10988" t="s">
        <v>549</v>
      </c>
      <c r="H10988" t="s">
        <v>859</v>
      </c>
      <c r="I10988" t="s">
        <v>860</v>
      </c>
      <c r="J10988" t="str">
        <f>"9450307"</f>
        <v>9450307</v>
      </c>
      <c r="K10988">
        <v>2431093036</v>
      </c>
      <c r="M10988" t="s">
        <v>23727</v>
      </c>
      <c r="N10988" t="s">
        <v>549</v>
      </c>
      <c r="O10988" t="s">
        <v>552</v>
      </c>
      <c r="P10988">
        <v>42100</v>
      </c>
      <c r="Q10988" t="str">
        <f>"39.569254"</f>
        <v>39.569254</v>
      </c>
      <c r="R10988" t="str">
        <f>"21.612675"</f>
        <v>21.612675</v>
      </c>
      <c r="S10988" t="s">
        <v>26</v>
      </c>
    </row>
    <row r="10989" spans="1:19" x14ac:dyDescent="0.3">
      <c r="A10989" t="s">
        <v>20660</v>
      </c>
      <c r="B10989" t="s">
        <v>23413</v>
      </c>
      <c r="C10989" t="s">
        <v>23729</v>
      </c>
      <c r="D10989" t="s">
        <v>20680</v>
      </c>
      <c r="E10989" t="s">
        <v>20681</v>
      </c>
      <c r="F10989" t="s">
        <v>21641</v>
      </c>
      <c r="G10989" t="s">
        <v>23728</v>
      </c>
      <c r="H10989" t="s">
        <v>859</v>
      </c>
      <c r="I10989" t="s">
        <v>860</v>
      </c>
      <c r="J10989" t="str">
        <f>"9450300"</f>
        <v>9450300</v>
      </c>
      <c r="K10989">
        <v>2431053593</v>
      </c>
      <c r="M10989" t="s">
        <v>23730</v>
      </c>
      <c r="N10989" t="s">
        <v>23728</v>
      </c>
      <c r="O10989" t="s">
        <v>23731</v>
      </c>
      <c r="P10989">
        <v>42100</v>
      </c>
      <c r="Q10989" t="str">
        <f>"39.547109"</f>
        <v>39.547109</v>
      </c>
      <c r="R10989" t="str">
        <f>"21.587211"</f>
        <v>21.587211</v>
      </c>
      <c r="S10989" t="s">
        <v>26</v>
      </c>
    </row>
    <row r="10990" spans="1:19" x14ac:dyDescent="0.3">
      <c r="A10990" t="s">
        <v>20660</v>
      </c>
      <c r="B10990" t="s">
        <v>23413</v>
      </c>
      <c r="C10990" t="s">
        <v>23733</v>
      </c>
      <c r="D10990" t="s">
        <v>20680</v>
      </c>
      <c r="E10990" t="s">
        <v>21531</v>
      </c>
      <c r="F10990" t="s">
        <v>23529</v>
      </c>
      <c r="G10990" t="s">
        <v>23732</v>
      </c>
      <c r="H10990" t="s">
        <v>859</v>
      </c>
      <c r="I10990" t="s">
        <v>860</v>
      </c>
      <c r="J10990" t="str">
        <f>"9450254"</f>
        <v>9450254</v>
      </c>
      <c r="K10990">
        <v>2434051833</v>
      </c>
      <c r="L10990">
        <v>2434051833</v>
      </c>
      <c r="M10990" t="s">
        <v>23734</v>
      </c>
      <c r="N10990" t="s">
        <v>23735</v>
      </c>
      <c r="O10990" t="s">
        <v>23736</v>
      </c>
      <c r="P10990">
        <v>42032</v>
      </c>
      <c r="Q10990" t="str">
        <f>"39.461794"</f>
        <v>39.461794</v>
      </c>
      <c r="R10990" t="str">
        <f>"21.653682"</f>
        <v>21.653682</v>
      </c>
      <c r="S10990" t="s">
        <v>26</v>
      </c>
    </row>
    <row r="10991" spans="1:19" x14ac:dyDescent="0.3">
      <c r="A10991" t="s">
        <v>20660</v>
      </c>
      <c r="B10991" t="s">
        <v>23413</v>
      </c>
      <c r="C10991" t="s">
        <v>23738</v>
      </c>
      <c r="D10991" t="s">
        <v>20680</v>
      </c>
      <c r="E10991" t="s">
        <v>20681</v>
      </c>
      <c r="F10991" t="s">
        <v>21573</v>
      </c>
      <c r="G10991" t="s">
        <v>23737</v>
      </c>
      <c r="H10991" t="s">
        <v>859</v>
      </c>
      <c r="I10991" t="s">
        <v>860</v>
      </c>
      <c r="J10991" t="str">
        <f>"9450326"</f>
        <v>9450326</v>
      </c>
      <c r="K10991">
        <v>2431094191</v>
      </c>
      <c r="M10991" t="s">
        <v>23739</v>
      </c>
      <c r="N10991" t="s">
        <v>23740</v>
      </c>
      <c r="O10991" t="s">
        <v>23740</v>
      </c>
      <c r="P10991">
        <v>42100</v>
      </c>
      <c r="Q10991" t="str">
        <f>"39.554288"</f>
        <v>39.554288</v>
      </c>
      <c r="R10991" t="str">
        <f>"21.637570"</f>
        <v>21.637570</v>
      </c>
      <c r="S10991" t="s">
        <v>26</v>
      </c>
    </row>
    <row r="10992" spans="1:19" x14ac:dyDescent="0.3">
      <c r="A10992" t="s">
        <v>20660</v>
      </c>
      <c r="B10992" t="s">
        <v>23413</v>
      </c>
      <c r="C10992" t="s">
        <v>23746</v>
      </c>
      <c r="D10992" t="s">
        <v>20680</v>
      </c>
      <c r="E10992" t="s">
        <v>20681</v>
      </c>
      <c r="F10992" t="s">
        <v>23744</v>
      </c>
      <c r="G10992" t="s">
        <v>23745</v>
      </c>
      <c r="H10992" t="s">
        <v>859</v>
      </c>
      <c r="I10992" t="s">
        <v>860</v>
      </c>
      <c r="J10992" t="str">
        <f>"9450346"</f>
        <v>9450346</v>
      </c>
      <c r="K10992">
        <v>2431087210</v>
      </c>
      <c r="M10992" t="s">
        <v>23747</v>
      </c>
      <c r="N10992" t="s">
        <v>23748</v>
      </c>
      <c r="O10992" t="s">
        <v>23749</v>
      </c>
      <c r="P10992">
        <v>42100</v>
      </c>
      <c r="Q10992" t="str">
        <f>"39.587598"</f>
        <v>39.587598</v>
      </c>
      <c r="R10992" t="str">
        <f>"21.795256"</f>
        <v>21.795256</v>
      </c>
      <c r="S10992" t="s">
        <v>26</v>
      </c>
    </row>
    <row r="10993" spans="1:19" x14ac:dyDescent="0.3">
      <c r="A10993" t="s">
        <v>20660</v>
      </c>
      <c r="B10993" t="s">
        <v>23413</v>
      </c>
      <c r="C10993" t="s">
        <v>23750</v>
      </c>
      <c r="D10993" t="s">
        <v>20680</v>
      </c>
      <c r="E10993" t="s">
        <v>20681</v>
      </c>
      <c r="F10993" t="s">
        <v>20681</v>
      </c>
      <c r="G10993" t="s">
        <v>20681</v>
      </c>
      <c r="H10993" t="s">
        <v>859</v>
      </c>
      <c r="I10993" t="s">
        <v>860</v>
      </c>
      <c r="J10993" t="str">
        <f>"9450017"</f>
        <v>9450017</v>
      </c>
      <c r="K10993">
        <v>2431075825</v>
      </c>
      <c r="L10993">
        <v>2431075825</v>
      </c>
      <c r="M10993" t="s">
        <v>23751</v>
      </c>
      <c r="N10993" t="s">
        <v>20680</v>
      </c>
      <c r="O10993" t="s">
        <v>23752</v>
      </c>
      <c r="P10993">
        <v>42100</v>
      </c>
      <c r="Q10993" t="str">
        <f>"39.553651"</f>
        <v>39.553651</v>
      </c>
      <c r="R10993" t="str">
        <f>"21.781021"</f>
        <v>21.781021</v>
      </c>
      <c r="S10993" t="s">
        <v>26</v>
      </c>
    </row>
    <row r="10994" spans="1:19" x14ac:dyDescent="0.3">
      <c r="A10994" t="s">
        <v>20660</v>
      </c>
      <c r="B10994" t="s">
        <v>23413</v>
      </c>
      <c r="C10994" t="s">
        <v>23755</v>
      </c>
      <c r="D10994" t="s">
        <v>20680</v>
      </c>
      <c r="E10994" t="s">
        <v>20681</v>
      </c>
      <c r="F10994" t="s">
        <v>20681</v>
      </c>
      <c r="G10994" t="s">
        <v>20681</v>
      </c>
      <c r="H10994" t="s">
        <v>859</v>
      </c>
      <c r="I10994" t="s">
        <v>860</v>
      </c>
      <c r="J10994" t="str">
        <f>"9450306"</f>
        <v>9450306</v>
      </c>
      <c r="K10994">
        <v>2431073491</v>
      </c>
      <c r="L10994">
        <v>2431073491</v>
      </c>
      <c r="M10994" t="s">
        <v>23756</v>
      </c>
      <c r="N10994" t="s">
        <v>20680</v>
      </c>
      <c r="O10994" t="s">
        <v>23757</v>
      </c>
      <c r="P10994">
        <v>42100</v>
      </c>
      <c r="Q10994" t="str">
        <f>"39.569459"</f>
        <v>39.569459</v>
      </c>
      <c r="R10994" t="str">
        <f>"21.759428"</f>
        <v>21.759428</v>
      </c>
      <c r="S10994" t="s">
        <v>26</v>
      </c>
    </row>
    <row r="10995" spans="1:19" x14ac:dyDescent="0.3">
      <c r="A10995" t="s">
        <v>20660</v>
      </c>
      <c r="B10995" t="s">
        <v>23413</v>
      </c>
      <c r="C10995" t="s">
        <v>23758</v>
      </c>
      <c r="D10995" t="s">
        <v>20680</v>
      </c>
      <c r="E10995" t="s">
        <v>20681</v>
      </c>
      <c r="F10995" t="s">
        <v>20681</v>
      </c>
      <c r="G10995" t="s">
        <v>20681</v>
      </c>
      <c r="H10995" t="s">
        <v>859</v>
      </c>
      <c r="I10995" t="s">
        <v>860</v>
      </c>
      <c r="J10995" t="str">
        <f>"9450362"</f>
        <v>9450362</v>
      </c>
      <c r="K10995">
        <v>2431031591</v>
      </c>
      <c r="M10995" t="s">
        <v>23759</v>
      </c>
      <c r="N10995" t="s">
        <v>20680</v>
      </c>
      <c r="O10995" t="s">
        <v>23760</v>
      </c>
      <c r="P10995">
        <v>42100</v>
      </c>
      <c r="Q10995" t="str">
        <f>"39.562328"</f>
        <v>39.562328</v>
      </c>
      <c r="R10995" t="str">
        <f>"21.777109"</f>
        <v>21.777109</v>
      </c>
      <c r="S10995" t="s">
        <v>26</v>
      </c>
    </row>
    <row r="10996" spans="1:19" x14ac:dyDescent="0.3">
      <c r="A10996" t="s">
        <v>20660</v>
      </c>
      <c r="B10996" t="s">
        <v>23413</v>
      </c>
      <c r="C10996" t="s">
        <v>23762</v>
      </c>
      <c r="D10996" t="s">
        <v>20680</v>
      </c>
      <c r="E10996" t="s">
        <v>20681</v>
      </c>
      <c r="F10996" t="s">
        <v>23744</v>
      </c>
      <c r="G10996" t="s">
        <v>23761</v>
      </c>
      <c r="H10996" t="s">
        <v>859</v>
      </c>
      <c r="I10996" t="s">
        <v>860</v>
      </c>
      <c r="J10996" t="str">
        <f>"9450096"</f>
        <v>9450096</v>
      </c>
      <c r="K10996">
        <v>2431087547</v>
      </c>
      <c r="L10996">
        <v>2431087547</v>
      </c>
      <c r="M10996" t="s">
        <v>23763</v>
      </c>
      <c r="N10996" t="s">
        <v>23764</v>
      </c>
      <c r="O10996" t="s">
        <v>23764</v>
      </c>
      <c r="P10996">
        <v>42100</v>
      </c>
      <c r="Q10996" t="str">
        <f>"39.631037"</f>
        <v>39.631037</v>
      </c>
      <c r="R10996" t="str">
        <f>"21.787734"</f>
        <v>21.787734</v>
      </c>
      <c r="S10996" t="s">
        <v>26</v>
      </c>
    </row>
    <row r="10997" spans="1:19" x14ac:dyDescent="0.3">
      <c r="A10997" t="s">
        <v>20660</v>
      </c>
      <c r="B10997" t="s">
        <v>23413</v>
      </c>
      <c r="C10997" t="s">
        <v>23766</v>
      </c>
      <c r="D10997" t="s">
        <v>20680</v>
      </c>
      <c r="E10997" t="s">
        <v>21502</v>
      </c>
      <c r="F10997" t="s">
        <v>21503</v>
      </c>
      <c r="G10997" t="s">
        <v>23765</v>
      </c>
      <c r="H10997" t="s">
        <v>859</v>
      </c>
      <c r="I10997" t="s">
        <v>860</v>
      </c>
      <c r="J10997" t="str">
        <f>"9450312"</f>
        <v>9450312</v>
      </c>
      <c r="K10997">
        <v>2433061014</v>
      </c>
      <c r="L10997">
        <v>2433061014</v>
      </c>
      <c r="M10997" t="s">
        <v>23767</v>
      </c>
      <c r="N10997" t="s">
        <v>23765</v>
      </c>
      <c r="O10997" t="s">
        <v>23768</v>
      </c>
      <c r="P10997">
        <v>42300</v>
      </c>
      <c r="Q10997" t="str">
        <f>"39.567198"</f>
        <v>39.567198</v>
      </c>
      <c r="R10997" t="str">
        <f>"21.994388"</f>
        <v>21.994388</v>
      </c>
      <c r="S10997" t="s">
        <v>26</v>
      </c>
    </row>
    <row r="10998" spans="1:19" x14ac:dyDescent="0.3">
      <c r="A10998" t="s">
        <v>20660</v>
      </c>
      <c r="B10998" t="s">
        <v>23413</v>
      </c>
      <c r="C10998" t="s">
        <v>23775</v>
      </c>
      <c r="D10998" t="s">
        <v>20680</v>
      </c>
      <c r="E10998" t="s">
        <v>21502</v>
      </c>
      <c r="F10998" t="s">
        <v>21502</v>
      </c>
      <c r="G10998" t="s">
        <v>23774</v>
      </c>
      <c r="H10998" t="s">
        <v>859</v>
      </c>
      <c r="I10998" t="s">
        <v>860</v>
      </c>
      <c r="J10998" t="str">
        <f>"9450100"</f>
        <v>9450100</v>
      </c>
      <c r="K10998">
        <v>2433051300</v>
      </c>
      <c r="L10998">
        <v>2433051300</v>
      </c>
      <c r="M10998" t="s">
        <v>23776</v>
      </c>
      <c r="N10998" t="s">
        <v>23774</v>
      </c>
      <c r="O10998" t="s">
        <v>23777</v>
      </c>
      <c r="P10998">
        <v>42031</v>
      </c>
      <c r="Q10998" t="str">
        <f>"39.629768"</f>
        <v>39.629768</v>
      </c>
      <c r="R10998" t="str">
        <f>"22.056416"</f>
        <v>22.056416</v>
      </c>
      <c r="S10998" t="s">
        <v>26</v>
      </c>
    </row>
    <row r="10999" spans="1:19" x14ac:dyDescent="0.3">
      <c r="A10999" t="s">
        <v>20660</v>
      </c>
      <c r="B10999" t="s">
        <v>23413</v>
      </c>
      <c r="C10999" t="s">
        <v>23778</v>
      </c>
      <c r="D10999" t="s">
        <v>20680</v>
      </c>
      <c r="E10999" t="s">
        <v>21502</v>
      </c>
      <c r="F10999" t="s">
        <v>21502</v>
      </c>
      <c r="G10999" t="s">
        <v>18860</v>
      </c>
      <c r="H10999" t="s">
        <v>859</v>
      </c>
      <c r="I10999" t="s">
        <v>860</v>
      </c>
      <c r="J10999" t="str">
        <f>"9450370"</f>
        <v>9450370</v>
      </c>
      <c r="K10999">
        <v>2433023365</v>
      </c>
      <c r="L10999">
        <v>2433023365</v>
      </c>
      <c r="M10999" t="s">
        <v>23779</v>
      </c>
      <c r="N10999" t="s">
        <v>18860</v>
      </c>
      <c r="O10999" t="s">
        <v>19602</v>
      </c>
      <c r="P10999">
        <v>42300</v>
      </c>
      <c r="Q10999" t="str">
        <f>"39.701322"</f>
        <v>39.701322</v>
      </c>
      <c r="R10999" t="str">
        <f>"22.018141"</f>
        <v>22.018141</v>
      </c>
      <c r="S10999" t="s">
        <v>26</v>
      </c>
    </row>
    <row r="11000" spans="1:19" x14ac:dyDescent="0.3">
      <c r="A11000" t="s">
        <v>20660</v>
      </c>
      <c r="B11000" t="s">
        <v>23413</v>
      </c>
      <c r="C11000" t="s">
        <v>23780</v>
      </c>
      <c r="D11000" t="s">
        <v>20680</v>
      </c>
      <c r="E11000" t="s">
        <v>21502</v>
      </c>
      <c r="F11000" t="s">
        <v>21502</v>
      </c>
      <c r="G11000" t="s">
        <v>23560</v>
      </c>
      <c r="H11000" t="s">
        <v>859</v>
      </c>
      <c r="I11000" t="s">
        <v>860</v>
      </c>
      <c r="J11000" t="str">
        <f>"9450105"</f>
        <v>9450105</v>
      </c>
      <c r="K11000">
        <v>2433041676</v>
      </c>
      <c r="M11000" t="s">
        <v>23781</v>
      </c>
      <c r="N11000" t="s">
        <v>23560</v>
      </c>
      <c r="O11000" t="s">
        <v>23563</v>
      </c>
      <c r="P11000">
        <v>42031</v>
      </c>
      <c r="Q11000" t="str">
        <f>"39.609554"</f>
        <v>39.609554</v>
      </c>
      <c r="R11000" t="str">
        <f>"22.124020"</f>
        <v>22.124020</v>
      </c>
      <c r="S11000" t="s">
        <v>26</v>
      </c>
    </row>
    <row r="11001" spans="1:19" x14ac:dyDescent="0.3">
      <c r="A11001" t="s">
        <v>20660</v>
      </c>
      <c r="B11001" t="s">
        <v>23413</v>
      </c>
      <c r="C11001" t="s">
        <v>23783</v>
      </c>
      <c r="D11001" t="s">
        <v>20680</v>
      </c>
      <c r="E11001" t="s">
        <v>20681</v>
      </c>
      <c r="F11001" t="s">
        <v>23744</v>
      </c>
      <c r="G11001" t="s">
        <v>23782</v>
      </c>
      <c r="H11001" t="s">
        <v>859</v>
      </c>
      <c r="I11001" t="s">
        <v>860</v>
      </c>
      <c r="J11001" t="str">
        <f>"9450313"</f>
        <v>9450313</v>
      </c>
      <c r="K11001">
        <v>2431087167</v>
      </c>
      <c r="L11001">
        <v>2431087167</v>
      </c>
      <c r="M11001" t="s">
        <v>23784</v>
      </c>
      <c r="N11001" t="s">
        <v>23782</v>
      </c>
      <c r="O11001" t="s">
        <v>23785</v>
      </c>
      <c r="P11001">
        <v>42100</v>
      </c>
      <c r="Q11001" t="str">
        <f>"39.585495"</f>
        <v>39.585495</v>
      </c>
      <c r="R11001" t="str">
        <f>"21.816750"</f>
        <v>21.816750</v>
      </c>
      <c r="S11001" t="s">
        <v>26</v>
      </c>
    </row>
    <row r="11002" spans="1:19" x14ac:dyDescent="0.3">
      <c r="A11002" t="s">
        <v>20660</v>
      </c>
      <c r="B11002" t="s">
        <v>23413</v>
      </c>
      <c r="C11002" t="s">
        <v>23787</v>
      </c>
      <c r="D11002" t="s">
        <v>20680</v>
      </c>
      <c r="E11002" t="s">
        <v>21502</v>
      </c>
      <c r="F11002" t="s">
        <v>21503</v>
      </c>
      <c r="G11002" t="s">
        <v>23786</v>
      </c>
      <c r="H11002" t="s">
        <v>859</v>
      </c>
      <c r="I11002" t="s">
        <v>860</v>
      </c>
      <c r="J11002" t="str">
        <f>"9450304"</f>
        <v>9450304</v>
      </c>
      <c r="K11002">
        <v>2433061433</v>
      </c>
      <c r="L11002">
        <v>2433061433</v>
      </c>
      <c r="M11002" t="s">
        <v>23788</v>
      </c>
      <c r="N11002" t="s">
        <v>23786</v>
      </c>
      <c r="O11002" t="s">
        <v>23789</v>
      </c>
      <c r="P11002">
        <v>42300</v>
      </c>
      <c r="Q11002" t="str">
        <f>"39.564584"</f>
        <v>39.564584</v>
      </c>
      <c r="R11002" t="str">
        <f>"22.008182"</f>
        <v>22.008182</v>
      </c>
      <c r="S11002" t="s">
        <v>26</v>
      </c>
    </row>
    <row r="11003" spans="1:19" x14ac:dyDescent="0.3">
      <c r="A11003" t="s">
        <v>20660</v>
      </c>
      <c r="B11003" t="s">
        <v>23413</v>
      </c>
      <c r="C11003" t="s">
        <v>23793</v>
      </c>
      <c r="D11003" t="s">
        <v>20680</v>
      </c>
      <c r="E11003" t="s">
        <v>20681</v>
      </c>
      <c r="F11003" t="s">
        <v>23744</v>
      </c>
      <c r="G11003" t="s">
        <v>23792</v>
      </c>
      <c r="H11003" t="s">
        <v>859</v>
      </c>
      <c r="I11003" t="s">
        <v>860</v>
      </c>
      <c r="J11003" t="str">
        <f>"9450287"</f>
        <v>9450287</v>
      </c>
      <c r="K11003">
        <v>2431087332</v>
      </c>
      <c r="L11003">
        <v>2431087332</v>
      </c>
      <c r="M11003" t="s">
        <v>23794</v>
      </c>
      <c r="N11003" t="s">
        <v>23792</v>
      </c>
      <c r="O11003" t="s">
        <v>23795</v>
      </c>
      <c r="P11003">
        <v>42100</v>
      </c>
      <c r="Q11003" t="str">
        <f>"39.604377"</f>
        <v>39.604377</v>
      </c>
      <c r="R11003" t="str">
        <f>"21.811364"</f>
        <v>21.811364</v>
      </c>
      <c r="S11003" t="s">
        <v>26</v>
      </c>
    </row>
    <row r="11004" spans="1:19" x14ac:dyDescent="0.3">
      <c r="A11004" t="s">
        <v>20660</v>
      </c>
      <c r="B11004" t="s">
        <v>23413</v>
      </c>
      <c r="C11004" t="s">
        <v>23806</v>
      </c>
      <c r="D11004" t="s">
        <v>20680</v>
      </c>
      <c r="E11004" t="s">
        <v>21508</v>
      </c>
      <c r="F11004" t="s">
        <v>17277</v>
      </c>
      <c r="G11004" t="s">
        <v>23551</v>
      </c>
      <c r="H11004" t="s">
        <v>859</v>
      </c>
      <c r="I11004" t="s">
        <v>860</v>
      </c>
      <c r="J11004" t="str">
        <f>"9450131"</f>
        <v>9450131</v>
      </c>
      <c r="K11004">
        <v>2432083277</v>
      </c>
      <c r="M11004" t="s">
        <v>23807</v>
      </c>
      <c r="N11004" t="s">
        <v>23551</v>
      </c>
      <c r="O11004" t="s">
        <v>23554</v>
      </c>
      <c r="P11004">
        <v>42200</v>
      </c>
      <c r="Q11004" t="str">
        <f>"39.864174"</f>
        <v>39.864174</v>
      </c>
      <c r="R11004" t="str">
        <f>"21.561546"</f>
        <v>21.561546</v>
      </c>
      <c r="S11004" t="s">
        <v>26</v>
      </c>
    </row>
    <row r="11005" spans="1:19" x14ac:dyDescent="0.3">
      <c r="A11005" t="s">
        <v>20660</v>
      </c>
      <c r="B11005" t="s">
        <v>23413</v>
      </c>
      <c r="C11005" t="s">
        <v>23808</v>
      </c>
      <c r="D11005" t="s">
        <v>20680</v>
      </c>
      <c r="E11005" t="s">
        <v>21508</v>
      </c>
      <c r="F11005" t="s">
        <v>17277</v>
      </c>
      <c r="G11005" t="s">
        <v>21509</v>
      </c>
      <c r="H11005" t="s">
        <v>859</v>
      </c>
      <c r="I11005" t="s">
        <v>860</v>
      </c>
      <c r="J11005" t="str">
        <f>"9450186"</f>
        <v>9450186</v>
      </c>
      <c r="K11005">
        <v>2432082218</v>
      </c>
      <c r="M11005" t="s">
        <v>23809</v>
      </c>
      <c r="N11005" t="s">
        <v>21509</v>
      </c>
      <c r="O11005" t="s">
        <v>21509</v>
      </c>
      <c r="P11005">
        <v>42200</v>
      </c>
      <c r="Q11005" t="str">
        <f>"39.827147"</f>
        <v>39.827147</v>
      </c>
      <c r="R11005" t="str">
        <f>"21.491596"</f>
        <v>21.491596</v>
      </c>
      <c r="S11005" t="s">
        <v>26</v>
      </c>
    </row>
    <row r="11006" spans="1:19" x14ac:dyDescent="0.3">
      <c r="A11006" t="s">
        <v>20660</v>
      </c>
      <c r="B11006" t="s">
        <v>23413</v>
      </c>
      <c r="C11006" t="s">
        <v>23828</v>
      </c>
      <c r="D11006" t="s">
        <v>20680</v>
      </c>
      <c r="E11006" t="s">
        <v>21502</v>
      </c>
      <c r="F11006" t="s">
        <v>21503</v>
      </c>
      <c r="G11006" t="s">
        <v>14398</v>
      </c>
      <c r="H11006" t="s">
        <v>859</v>
      </c>
      <c r="I11006" t="s">
        <v>860</v>
      </c>
      <c r="J11006" t="str">
        <f>"9450122"</f>
        <v>9450122</v>
      </c>
      <c r="K11006">
        <v>2433031170</v>
      </c>
      <c r="M11006" t="s">
        <v>23829</v>
      </c>
      <c r="N11006" t="s">
        <v>14398</v>
      </c>
      <c r="O11006" t="s">
        <v>22024</v>
      </c>
      <c r="P11006">
        <v>42300</v>
      </c>
      <c r="Q11006" t="str">
        <f>"39.582776"</f>
        <v>39.582776</v>
      </c>
      <c r="R11006" t="str">
        <f>"21.965203"</f>
        <v>21.965203</v>
      </c>
      <c r="S11006" t="s">
        <v>26</v>
      </c>
    </row>
    <row r="11007" spans="1:19" x14ac:dyDescent="0.3">
      <c r="A11007" t="s">
        <v>20660</v>
      </c>
      <c r="B11007" t="s">
        <v>23413</v>
      </c>
      <c r="C11007" t="s">
        <v>23830</v>
      </c>
      <c r="D11007" t="s">
        <v>20680</v>
      </c>
      <c r="E11007" t="s">
        <v>20681</v>
      </c>
      <c r="F11007" t="s">
        <v>23440</v>
      </c>
      <c r="G11007" t="s">
        <v>2745</v>
      </c>
      <c r="H11007" t="s">
        <v>859</v>
      </c>
      <c r="I11007" t="s">
        <v>860</v>
      </c>
      <c r="J11007" t="str">
        <f>"9450056"</f>
        <v>9450056</v>
      </c>
      <c r="K11007">
        <v>2431096013</v>
      </c>
      <c r="M11007" t="s">
        <v>23831</v>
      </c>
      <c r="N11007" t="s">
        <v>2745</v>
      </c>
      <c r="O11007" t="s">
        <v>2746</v>
      </c>
      <c r="P11007">
        <v>42100</v>
      </c>
      <c r="Q11007" t="str">
        <f>"39.664942"</f>
        <v>39.664942</v>
      </c>
      <c r="R11007" t="str">
        <f>"21.736869"</f>
        <v>21.736869</v>
      </c>
      <c r="S11007" t="s">
        <v>26</v>
      </c>
    </row>
    <row r="11008" spans="1:19" x14ac:dyDescent="0.3">
      <c r="A11008" t="s">
        <v>20660</v>
      </c>
      <c r="B11008" t="s">
        <v>23413</v>
      </c>
      <c r="C11008" t="s">
        <v>23832</v>
      </c>
      <c r="D11008" t="s">
        <v>20680</v>
      </c>
      <c r="E11008" t="s">
        <v>21502</v>
      </c>
      <c r="F11008" t="s">
        <v>23450</v>
      </c>
      <c r="G11008" t="s">
        <v>12932</v>
      </c>
      <c r="H11008" t="s">
        <v>859</v>
      </c>
      <c r="I11008" t="s">
        <v>860</v>
      </c>
      <c r="J11008" t="str">
        <f>"9450065"</f>
        <v>9450065</v>
      </c>
      <c r="K11008">
        <v>2431083894</v>
      </c>
      <c r="M11008" t="s">
        <v>23833</v>
      </c>
      <c r="N11008" t="s">
        <v>12932</v>
      </c>
      <c r="O11008" t="s">
        <v>13376</v>
      </c>
      <c r="P11008">
        <v>42100</v>
      </c>
      <c r="Q11008" t="str">
        <f>"39.572074"</f>
        <v>39.572074</v>
      </c>
      <c r="R11008" t="str">
        <f>"21.897599"</f>
        <v>21.897599</v>
      </c>
      <c r="S11008" t="s">
        <v>26</v>
      </c>
    </row>
    <row r="11009" spans="1:19" x14ac:dyDescent="0.3">
      <c r="A11009" t="s">
        <v>20660</v>
      </c>
      <c r="B11009" t="s">
        <v>23413</v>
      </c>
      <c r="C11009" t="s">
        <v>23834</v>
      </c>
      <c r="D11009" t="s">
        <v>20680</v>
      </c>
      <c r="E11009" t="s">
        <v>21502</v>
      </c>
      <c r="F11009" t="s">
        <v>21502</v>
      </c>
      <c r="G11009" t="s">
        <v>21514</v>
      </c>
      <c r="H11009" t="s">
        <v>859</v>
      </c>
      <c r="I11009" t="s">
        <v>860</v>
      </c>
      <c r="J11009" t="str">
        <f>"9450092"</f>
        <v>9450092</v>
      </c>
      <c r="K11009">
        <v>2433023245</v>
      </c>
      <c r="L11009">
        <v>2433023245</v>
      </c>
      <c r="M11009" t="s">
        <v>23835</v>
      </c>
      <c r="N11009" t="s">
        <v>21502</v>
      </c>
      <c r="O11009" t="s">
        <v>23836</v>
      </c>
      <c r="P11009">
        <v>42031</v>
      </c>
      <c r="Q11009" t="str">
        <f>"39.591249"</f>
        <v>39.591249</v>
      </c>
      <c r="R11009" t="str">
        <f>"22.069065"</f>
        <v>22.069065</v>
      </c>
      <c r="S11009" t="s">
        <v>26</v>
      </c>
    </row>
    <row r="11010" spans="1:19" x14ac:dyDescent="0.3">
      <c r="A11010" t="s">
        <v>20660</v>
      </c>
      <c r="B11010" t="s">
        <v>23413</v>
      </c>
      <c r="C11010" t="s">
        <v>23842</v>
      </c>
      <c r="D11010" t="s">
        <v>20680</v>
      </c>
      <c r="E11010" t="s">
        <v>20681</v>
      </c>
      <c r="F11010" t="s">
        <v>20681</v>
      </c>
      <c r="G11010" t="s">
        <v>20681</v>
      </c>
      <c r="H11010" t="s">
        <v>859</v>
      </c>
      <c r="I11010" t="s">
        <v>860</v>
      </c>
      <c r="J11010" t="str">
        <f>"9450276"</f>
        <v>9450276</v>
      </c>
      <c r="K11010">
        <v>2431028652</v>
      </c>
      <c r="M11010" t="s">
        <v>23843</v>
      </c>
      <c r="N11010" t="s">
        <v>13393</v>
      </c>
      <c r="O11010" t="s">
        <v>23844</v>
      </c>
      <c r="P11010">
        <v>42131</v>
      </c>
      <c r="Q11010" t="str">
        <f>"39.551304"</f>
        <v>39.551304</v>
      </c>
      <c r="R11010" t="str">
        <f>"21.767442"</f>
        <v>21.767442</v>
      </c>
      <c r="S11010" t="s">
        <v>26</v>
      </c>
    </row>
    <row r="11011" spans="1:19" x14ac:dyDescent="0.3">
      <c r="A11011" t="s">
        <v>20660</v>
      </c>
      <c r="B11011" t="s">
        <v>23413</v>
      </c>
      <c r="C11011" t="s">
        <v>23845</v>
      </c>
      <c r="D11011" t="s">
        <v>20680</v>
      </c>
      <c r="E11011" t="s">
        <v>20681</v>
      </c>
      <c r="F11011" t="s">
        <v>20681</v>
      </c>
      <c r="G11011" t="s">
        <v>20681</v>
      </c>
      <c r="H11011" t="s">
        <v>859</v>
      </c>
      <c r="I11011" t="s">
        <v>860</v>
      </c>
      <c r="J11011" t="str">
        <f>"9450277"</f>
        <v>9450277</v>
      </c>
      <c r="K11011">
        <v>2431022951</v>
      </c>
      <c r="L11011">
        <v>2431022951</v>
      </c>
      <c r="M11011" t="s">
        <v>23846</v>
      </c>
      <c r="N11011" t="s">
        <v>1969</v>
      </c>
      <c r="O11011" t="s">
        <v>23847</v>
      </c>
      <c r="P11011">
        <v>42100</v>
      </c>
      <c r="Q11011" t="str">
        <f>"39.556017"</f>
        <v>39.556017</v>
      </c>
      <c r="R11011" t="str">
        <f>"21.758795"</f>
        <v>21.758795</v>
      </c>
      <c r="S11011" t="s">
        <v>26</v>
      </c>
    </row>
    <row r="11012" spans="1:19" x14ac:dyDescent="0.3">
      <c r="A11012" t="s">
        <v>20660</v>
      </c>
      <c r="B11012" t="s">
        <v>23413</v>
      </c>
      <c r="C11012" t="s">
        <v>23850</v>
      </c>
      <c r="D11012" t="s">
        <v>20680</v>
      </c>
      <c r="E11012" t="s">
        <v>20681</v>
      </c>
      <c r="F11012" t="s">
        <v>20681</v>
      </c>
      <c r="G11012" t="s">
        <v>20681</v>
      </c>
      <c r="H11012" t="s">
        <v>859</v>
      </c>
      <c r="I11012" t="s">
        <v>860</v>
      </c>
      <c r="J11012" t="str">
        <f>"9450330"</f>
        <v>9450330</v>
      </c>
      <c r="K11012">
        <v>2431023503</v>
      </c>
      <c r="L11012">
        <v>2431023503</v>
      </c>
      <c r="M11012" t="s">
        <v>23851</v>
      </c>
      <c r="N11012" t="s">
        <v>20680</v>
      </c>
      <c r="O11012" t="s">
        <v>23852</v>
      </c>
      <c r="P11012">
        <v>42100</v>
      </c>
      <c r="Q11012" t="str">
        <f>"39.565130"</f>
        <v>39.565130</v>
      </c>
      <c r="R11012" t="str">
        <f>"21.753026"</f>
        <v>21.753026</v>
      </c>
      <c r="S11012" t="s">
        <v>26</v>
      </c>
    </row>
    <row r="11013" spans="1:19" x14ac:dyDescent="0.3">
      <c r="A11013" t="s">
        <v>20660</v>
      </c>
      <c r="B11013" t="s">
        <v>23413</v>
      </c>
      <c r="C11013" t="s">
        <v>23853</v>
      </c>
      <c r="D11013" t="s">
        <v>20680</v>
      </c>
      <c r="E11013" t="s">
        <v>20681</v>
      </c>
      <c r="F11013" t="s">
        <v>20681</v>
      </c>
      <c r="G11013" t="s">
        <v>20681</v>
      </c>
      <c r="H11013" t="s">
        <v>859</v>
      </c>
      <c r="I11013" t="s">
        <v>860</v>
      </c>
      <c r="J11013" t="str">
        <f>"9450084"</f>
        <v>9450084</v>
      </c>
      <c r="K11013">
        <v>2431039088</v>
      </c>
      <c r="L11013">
        <v>2431039088</v>
      </c>
      <c r="M11013" t="s">
        <v>23854</v>
      </c>
      <c r="N11013" t="s">
        <v>20684</v>
      </c>
      <c r="O11013" t="s">
        <v>23855</v>
      </c>
      <c r="P11013">
        <v>42100</v>
      </c>
      <c r="Q11013" t="str">
        <f>"39.565454"</f>
        <v>39.565454</v>
      </c>
      <c r="R11013" t="str">
        <f>"21.774722"</f>
        <v>21.774722</v>
      </c>
      <c r="S11013" t="s">
        <v>26</v>
      </c>
    </row>
    <row r="11014" spans="1:19" x14ac:dyDescent="0.3">
      <c r="A11014" t="s">
        <v>20660</v>
      </c>
      <c r="B11014" t="s">
        <v>23413</v>
      </c>
      <c r="C11014" t="s">
        <v>23856</v>
      </c>
      <c r="D11014" t="s">
        <v>20680</v>
      </c>
      <c r="E11014" t="s">
        <v>20681</v>
      </c>
      <c r="F11014" t="s">
        <v>20681</v>
      </c>
      <c r="G11014" t="s">
        <v>20681</v>
      </c>
      <c r="H11014" t="s">
        <v>859</v>
      </c>
      <c r="I11014" t="s">
        <v>860</v>
      </c>
      <c r="J11014" t="str">
        <f>"9450005"</f>
        <v>9450005</v>
      </c>
      <c r="K11014">
        <v>2431033362</v>
      </c>
      <c r="M11014" t="s">
        <v>23857</v>
      </c>
      <c r="N11014" t="s">
        <v>23858</v>
      </c>
      <c r="O11014" t="s">
        <v>23859</v>
      </c>
      <c r="P11014">
        <v>42100</v>
      </c>
      <c r="Q11014" t="str">
        <f>"39.553502"</f>
        <v>39.553502</v>
      </c>
      <c r="R11014" t="str">
        <f>"21.768076"</f>
        <v>21.768076</v>
      </c>
      <c r="S11014" t="s">
        <v>26</v>
      </c>
    </row>
    <row r="11015" spans="1:19" x14ac:dyDescent="0.3">
      <c r="A11015" t="s">
        <v>20660</v>
      </c>
      <c r="B11015" t="s">
        <v>23413</v>
      </c>
      <c r="C11015" t="s">
        <v>23860</v>
      </c>
      <c r="D11015" t="s">
        <v>20680</v>
      </c>
      <c r="E11015" t="s">
        <v>20681</v>
      </c>
      <c r="F11015" t="s">
        <v>20681</v>
      </c>
      <c r="G11015" t="s">
        <v>20681</v>
      </c>
      <c r="H11015" t="s">
        <v>859</v>
      </c>
      <c r="I11015" t="s">
        <v>860</v>
      </c>
      <c r="J11015" t="str">
        <f>"9450014"</f>
        <v>9450014</v>
      </c>
      <c r="K11015">
        <v>2431038475</v>
      </c>
      <c r="M11015" t="s">
        <v>23861</v>
      </c>
      <c r="N11015" t="s">
        <v>20680</v>
      </c>
      <c r="O11015" t="s">
        <v>23862</v>
      </c>
      <c r="P11015">
        <v>42100</v>
      </c>
      <c r="Q11015" t="str">
        <f>"39.557671"</f>
        <v>39.557671</v>
      </c>
      <c r="R11015" t="str">
        <f>"21.755051"</f>
        <v>21.755051</v>
      </c>
      <c r="S11015" t="s">
        <v>26</v>
      </c>
    </row>
    <row r="11016" spans="1:19" x14ac:dyDescent="0.3">
      <c r="A11016" t="s">
        <v>20660</v>
      </c>
      <c r="B11016" t="s">
        <v>23413</v>
      </c>
      <c r="C11016" t="s">
        <v>23863</v>
      </c>
      <c r="D11016" t="s">
        <v>20680</v>
      </c>
      <c r="E11016" t="s">
        <v>20681</v>
      </c>
      <c r="F11016" t="s">
        <v>20681</v>
      </c>
      <c r="G11016" t="s">
        <v>20681</v>
      </c>
      <c r="H11016" t="s">
        <v>859</v>
      </c>
      <c r="I11016" t="s">
        <v>860</v>
      </c>
      <c r="J11016" t="str">
        <f>"9450012"</f>
        <v>9450012</v>
      </c>
      <c r="K11016">
        <v>2431076405</v>
      </c>
      <c r="L11016">
        <v>2431076405</v>
      </c>
      <c r="M11016" t="s">
        <v>23864</v>
      </c>
      <c r="N11016" t="s">
        <v>20680</v>
      </c>
      <c r="O11016" t="s">
        <v>16264</v>
      </c>
      <c r="P11016">
        <v>42131</v>
      </c>
      <c r="Q11016" t="str">
        <f>"39.552985"</f>
        <v>39.552985</v>
      </c>
      <c r="R11016" t="str">
        <f>"21.758903"</f>
        <v>21.758903</v>
      </c>
      <c r="S11016" t="s">
        <v>26</v>
      </c>
    </row>
    <row r="11017" spans="1:19" x14ac:dyDescent="0.3">
      <c r="A11017" t="s">
        <v>20660</v>
      </c>
      <c r="B11017" t="s">
        <v>23413</v>
      </c>
      <c r="C11017" t="s">
        <v>23865</v>
      </c>
      <c r="D11017" t="s">
        <v>20680</v>
      </c>
      <c r="E11017" t="s">
        <v>20681</v>
      </c>
      <c r="F11017" t="s">
        <v>20681</v>
      </c>
      <c r="G11017" t="s">
        <v>20681</v>
      </c>
      <c r="H11017" t="s">
        <v>859</v>
      </c>
      <c r="I11017" t="s">
        <v>860</v>
      </c>
      <c r="J11017" t="str">
        <f>"9450278"</f>
        <v>9450278</v>
      </c>
      <c r="K11017">
        <v>2431032129</v>
      </c>
      <c r="L11017">
        <v>2431032129</v>
      </c>
      <c r="M11017" t="s">
        <v>23866</v>
      </c>
      <c r="N11017" t="s">
        <v>20680</v>
      </c>
      <c r="O11017" t="s">
        <v>23867</v>
      </c>
      <c r="P11017">
        <v>42132</v>
      </c>
      <c r="Q11017" t="str">
        <f>"39.562426"</f>
        <v>39.562426</v>
      </c>
      <c r="R11017" t="str">
        <f>"21.776871"</f>
        <v>21.776871</v>
      </c>
      <c r="S11017" t="s">
        <v>26</v>
      </c>
    </row>
    <row r="11018" spans="1:19" x14ac:dyDescent="0.3">
      <c r="A11018" t="s">
        <v>20660</v>
      </c>
      <c r="B11018" t="s">
        <v>23413</v>
      </c>
      <c r="C11018" t="s">
        <v>23868</v>
      </c>
      <c r="D11018" t="s">
        <v>20680</v>
      </c>
      <c r="E11018" t="s">
        <v>20681</v>
      </c>
      <c r="F11018" t="s">
        <v>21573</v>
      </c>
      <c r="G11018" t="s">
        <v>21574</v>
      </c>
      <c r="H11018" t="s">
        <v>859</v>
      </c>
      <c r="I11018" t="s">
        <v>860</v>
      </c>
      <c r="J11018" t="str">
        <f>"9450284"</f>
        <v>9450284</v>
      </c>
      <c r="K11018">
        <v>2431094580</v>
      </c>
      <c r="L11018">
        <v>2431094580</v>
      </c>
      <c r="M11018" t="s">
        <v>23869</v>
      </c>
      <c r="N11018" t="s">
        <v>21577</v>
      </c>
      <c r="O11018" t="s">
        <v>21577</v>
      </c>
      <c r="P11018">
        <v>42100</v>
      </c>
      <c r="Q11018" t="str">
        <f>"39.549112"</f>
        <v>39.549112</v>
      </c>
      <c r="R11018" t="str">
        <f>"21.660084"</f>
        <v>21.660084</v>
      </c>
      <c r="S11018" t="s">
        <v>26</v>
      </c>
    </row>
    <row r="11019" spans="1:19" x14ac:dyDescent="0.3">
      <c r="A11019" t="s">
        <v>20660</v>
      </c>
      <c r="B11019" t="s">
        <v>23413</v>
      </c>
      <c r="C11019" t="s">
        <v>23870</v>
      </c>
      <c r="D11019" t="s">
        <v>20680</v>
      </c>
      <c r="E11019" t="s">
        <v>20681</v>
      </c>
      <c r="F11019" t="s">
        <v>20681</v>
      </c>
      <c r="G11019" t="s">
        <v>20681</v>
      </c>
      <c r="H11019" t="s">
        <v>859</v>
      </c>
      <c r="I11019" t="s">
        <v>860</v>
      </c>
      <c r="J11019" t="str">
        <f>"9450316"</f>
        <v>9450316</v>
      </c>
      <c r="K11019">
        <v>2431030472</v>
      </c>
      <c r="M11019" t="s">
        <v>23871</v>
      </c>
      <c r="N11019" t="s">
        <v>20680</v>
      </c>
      <c r="O11019" t="s">
        <v>23872</v>
      </c>
      <c r="P11019">
        <v>42100</v>
      </c>
      <c r="Q11019" t="str">
        <f>"39.558896"</f>
        <v>39.558896</v>
      </c>
      <c r="R11019" t="str">
        <f>"21.779748"</f>
        <v>21.779748</v>
      </c>
      <c r="S11019" t="s">
        <v>26</v>
      </c>
    </row>
    <row r="11020" spans="1:19" x14ac:dyDescent="0.3">
      <c r="A11020" t="s">
        <v>20660</v>
      </c>
      <c r="B11020" t="s">
        <v>23413</v>
      </c>
      <c r="C11020" t="s">
        <v>23880</v>
      </c>
      <c r="D11020" t="s">
        <v>20680</v>
      </c>
      <c r="E11020" t="s">
        <v>20681</v>
      </c>
      <c r="F11020" t="s">
        <v>20681</v>
      </c>
      <c r="G11020" t="s">
        <v>20681</v>
      </c>
      <c r="H11020" t="s">
        <v>859</v>
      </c>
      <c r="I11020" t="s">
        <v>860</v>
      </c>
      <c r="J11020" t="str">
        <f>"9450335"</f>
        <v>9450335</v>
      </c>
      <c r="K11020">
        <v>2431076849</v>
      </c>
      <c r="L11020">
        <v>2431076849</v>
      </c>
      <c r="M11020" t="s">
        <v>23881</v>
      </c>
      <c r="N11020" t="s">
        <v>20680</v>
      </c>
      <c r="O11020" t="s">
        <v>23501</v>
      </c>
      <c r="P11020">
        <v>42100</v>
      </c>
      <c r="Q11020" t="str">
        <f>"39.565140"</f>
        <v>39.565140</v>
      </c>
      <c r="R11020" t="str">
        <f>"21.780350"</f>
        <v>21.780350</v>
      </c>
      <c r="S11020" t="s">
        <v>26</v>
      </c>
    </row>
    <row r="11021" spans="1:19" x14ac:dyDescent="0.3">
      <c r="A11021" t="s">
        <v>20660</v>
      </c>
      <c r="B11021" t="s">
        <v>23413</v>
      </c>
      <c r="C11021" t="s">
        <v>23883</v>
      </c>
      <c r="D11021" t="s">
        <v>20680</v>
      </c>
      <c r="E11021" t="s">
        <v>20681</v>
      </c>
      <c r="F11021" t="s">
        <v>20681</v>
      </c>
      <c r="G11021" t="s">
        <v>20681</v>
      </c>
      <c r="H11021" t="s">
        <v>859</v>
      </c>
      <c r="I11021" t="s">
        <v>860</v>
      </c>
      <c r="J11021" t="str">
        <f>"9450356"</f>
        <v>9450356</v>
      </c>
      <c r="K11021">
        <v>2431026497</v>
      </c>
      <c r="L11021">
        <v>2431026497</v>
      </c>
      <c r="M11021" t="s">
        <v>23884</v>
      </c>
      <c r="N11021" t="s">
        <v>20680</v>
      </c>
      <c r="O11021" t="s">
        <v>23885</v>
      </c>
      <c r="P11021">
        <v>42100</v>
      </c>
      <c r="Q11021" t="str">
        <f>"39.553461"</f>
        <v>39.553461</v>
      </c>
      <c r="R11021" t="str">
        <f>"21.756843"</f>
        <v>21.756843</v>
      </c>
      <c r="S11021" t="s">
        <v>26</v>
      </c>
    </row>
    <row r="11022" spans="1:19" x14ac:dyDescent="0.3">
      <c r="A11022" t="s">
        <v>20660</v>
      </c>
      <c r="B11022" t="s">
        <v>23413</v>
      </c>
      <c r="C11022" t="s">
        <v>23886</v>
      </c>
      <c r="D11022" t="s">
        <v>20680</v>
      </c>
      <c r="E11022" t="s">
        <v>20681</v>
      </c>
      <c r="F11022" t="s">
        <v>20681</v>
      </c>
      <c r="G11022" t="s">
        <v>20681</v>
      </c>
      <c r="H11022" t="s">
        <v>859</v>
      </c>
      <c r="I11022" t="s">
        <v>860</v>
      </c>
      <c r="J11022" t="str">
        <f>"9450386"</f>
        <v>9450386</v>
      </c>
      <c r="K11022">
        <v>2431075267</v>
      </c>
      <c r="L11022">
        <v>2431075267</v>
      </c>
      <c r="M11022" t="s">
        <v>23887</v>
      </c>
      <c r="N11022" t="s">
        <v>20680</v>
      </c>
      <c r="O11022" t="s">
        <v>23888</v>
      </c>
      <c r="P11022">
        <v>42100</v>
      </c>
      <c r="Q11022" t="str">
        <f>"39.578142"</f>
        <v>39.578142</v>
      </c>
      <c r="R11022" t="str">
        <f>"21.777881"</f>
        <v>21.777881</v>
      </c>
      <c r="S11022" t="s">
        <v>26</v>
      </c>
    </row>
    <row r="11023" spans="1:19" x14ac:dyDescent="0.3">
      <c r="A11023" t="s">
        <v>20660</v>
      </c>
      <c r="B11023" t="s">
        <v>23413</v>
      </c>
      <c r="C11023" t="s">
        <v>23889</v>
      </c>
      <c r="D11023" t="s">
        <v>20680</v>
      </c>
      <c r="E11023" t="s">
        <v>20681</v>
      </c>
      <c r="F11023" t="s">
        <v>20681</v>
      </c>
      <c r="G11023" t="s">
        <v>20681</v>
      </c>
      <c r="H11023" t="s">
        <v>859</v>
      </c>
      <c r="I11023" t="s">
        <v>860</v>
      </c>
      <c r="J11023" t="str">
        <f>"9450387"</f>
        <v>9450387</v>
      </c>
      <c r="K11023">
        <v>2431021774</v>
      </c>
      <c r="M11023" t="s">
        <v>23890</v>
      </c>
      <c r="N11023" t="s">
        <v>20680</v>
      </c>
      <c r="O11023" t="s">
        <v>23655</v>
      </c>
      <c r="P11023">
        <v>42100</v>
      </c>
      <c r="Q11023" t="str">
        <f>"39.586501"</f>
        <v>39.586501</v>
      </c>
      <c r="R11023" t="str">
        <f>"21.753755"</f>
        <v>21.753755</v>
      </c>
      <c r="S11023" t="s">
        <v>26</v>
      </c>
    </row>
    <row r="11024" spans="1:19" x14ac:dyDescent="0.3">
      <c r="A11024" t="s">
        <v>20660</v>
      </c>
      <c r="B11024" t="s">
        <v>23413</v>
      </c>
      <c r="C11024" t="s">
        <v>23891</v>
      </c>
      <c r="D11024" t="s">
        <v>20680</v>
      </c>
      <c r="E11024" t="s">
        <v>20681</v>
      </c>
      <c r="F11024" t="s">
        <v>20681</v>
      </c>
      <c r="G11024" t="s">
        <v>20681</v>
      </c>
      <c r="H11024" t="s">
        <v>859</v>
      </c>
      <c r="I11024" t="s">
        <v>860</v>
      </c>
      <c r="J11024" t="str">
        <f>"9450395"</f>
        <v>9450395</v>
      </c>
      <c r="K11024">
        <v>2431075415</v>
      </c>
      <c r="L11024">
        <v>2431075415</v>
      </c>
      <c r="M11024" t="s">
        <v>23892</v>
      </c>
      <c r="N11024" t="s">
        <v>20680</v>
      </c>
      <c r="O11024" t="s">
        <v>16264</v>
      </c>
      <c r="P11024">
        <v>42100</v>
      </c>
      <c r="Q11024" t="str">
        <f>"39.552987"</f>
        <v>39.552987</v>
      </c>
      <c r="R11024" t="str">
        <f>"21.758887"</f>
        <v>21.758887</v>
      </c>
      <c r="S11024" t="s">
        <v>26</v>
      </c>
    </row>
    <row r="11025" spans="1:19" x14ac:dyDescent="0.3">
      <c r="A11025" t="s">
        <v>20660</v>
      </c>
      <c r="B11025" t="s">
        <v>23413</v>
      </c>
      <c r="C11025" t="s">
        <v>23893</v>
      </c>
      <c r="D11025" t="s">
        <v>20680</v>
      </c>
      <c r="E11025" t="s">
        <v>20681</v>
      </c>
      <c r="F11025" t="s">
        <v>20681</v>
      </c>
      <c r="G11025" t="s">
        <v>20681</v>
      </c>
      <c r="H11025" t="s">
        <v>859</v>
      </c>
      <c r="I11025" t="s">
        <v>860</v>
      </c>
      <c r="J11025" t="str">
        <f>"9450397"</f>
        <v>9450397</v>
      </c>
      <c r="K11025">
        <v>2431035609</v>
      </c>
      <c r="M11025" t="s">
        <v>23894</v>
      </c>
      <c r="N11025" t="s">
        <v>20680</v>
      </c>
      <c r="O11025" t="s">
        <v>23895</v>
      </c>
      <c r="P11025">
        <v>42132</v>
      </c>
      <c r="Q11025" t="str">
        <f>"39.549895"</f>
        <v>39.549895</v>
      </c>
      <c r="R11025" t="str">
        <f>"21.778960"</f>
        <v>21.778960</v>
      </c>
      <c r="S11025" t="s">
        <v>26</v>
      </c>
    </row>
    <row r="11026" spans="1:19" x14ac:dyDescent="0.3">
      <c r="A11026" t="s">
        <v>20660</v>
      </c>
      <c r="B11026" t="s">
        <v>23413</v>
      </c>
      <c r="C11026" t="s">
        <v>23903</v>
      </c>
      <c r="D11026" t="s">
        <v>20680</v>
      </c>
      <c r="E11026" t="s">
        <v>21508</v>
      </c>
      <c r="F11026" t="s">
        <v>21508</v>
      </c>
      <c r="G11026" t="s">
        <v>17848</v>
      </c>
      <c r="H11026" t="s">
        <v>859</v>
      </c>
      <c r="I11026" t="s">
        <v>860</v>
      </c>
      <c r="J11026" t="str">
        <f>"9450196"</f>
        <v>9450196</v>
      </c>
      <c r="K11026">
        <v>2432072269</v>
      </c>
      <c r="M11026" t="s">
        <v>23904</v>
      </c>
      <c r="N11026" t="s">
        <v>23905</v>
      </c>
      <c r="O11026" t="s">
        <v>23906</v>
      </c>
      <c r="P11026">
        <v>42200</v>
      </c>
      <c r="Q11026" t="str">
        <f>"39.695108"</f>
        <v>39.695108</v>
      </c>
      <c r="R11026" t="str">
        <f>"21.585123"</f>
        <v>21.585123</v>
      </c>
      <c r="S11026" t="s">
        <v>26</v>
      </c>
    </row>
    <row r="11027" spans="1:19" x14ac:dyDescent="0.3">
      <c r="A11027" t="s">
        <v>20660</v>
      </c>
      <c r="B11027" t="s">
        <v>23413</v>
      </c>
      <c r="C11027" t="s">
        <v>23942</v>
      </c>
      <c r="D11027" t="s">
        <v>20680</v>
      </c>
      <c r="E11027" t="s">
        <v>21502</v>
      </c>
      <c r="F11027" t="s">
        <v>21502</v>
      </c>
      <c r="G11027" t="s">
        <v>21514</v>
      </c>
      <c r="H11027" t="s">
        <v>859</v>
      </c>
      <c r="I11027" t="s">
        <v>860</v>
      </c>
      <c r="J11027" t="str">
        <f>"9450358"</f>
        <v>9450358</v>
      </c>
      <c r="K11027">
        <v>2433022926</v>
      </c>
      <c r="M11027" t="s">
        <v>23943</v>
      </c>
      <c r="N11027" t="s">
        <v>21502</v>
      </c>
      <c r="O11027" t="s">
        <v>23944</v>
      </c>
      <c r="P11027">
        <v>42031</v>
      </c>
      <c r="Q11027" t="str">
        <f>""</f>
        <v/>
      </c>
      <c r="R11027" t="str">
        <f>""</f>
        <v/>
      </c>
      <c r="S11027" t="s">
        <v>26</v>
      </c>
    </row>
    <row r="11028" spans="1:19" x14ac:dyDescent="0.3">
      <c r="A11028" t="s">
        <v>20660</v>
      </c>
      <c r="B11028" t="s">
        <v>23413</v>
      </c>
      <c r="C11028" t="s">
        <v>23945</v>
      </c>
      <c r="D11028" t="s">
        <v>20680</v>
      </c>
      <c r="E11028" t="s">
        <v>20681</v>
      </c>
      <c r="F11028" t="s">
        <v>21641</v>
      </c>
      <c r="G11028" t="s">
        <v>23820</v>
      </c>
      <c r="H11028" t="s">
        <v>859</v>
      </c>
      <c r="I11028" t="s">
        <v>860</v>
      </c>
      <c r="J11028" t="str">
        <f>"9450359"</f>
        <v>9450359</v>
      </c>
      <c r="K11028">
        <v>2431053151</v>
      </c>
      <c r="L11028">
        <v>2431053668</v>
      </c>
      <c r="M11028" t="s">
        <v>23946</v>
      </c>
      <c r="N11028" t="s">
        <v>23823</v>
      </c>
      <c r="O11028" t="s">
        <v>23823</v>
      </c>
      <c r="P11028">
        <v>42100</v>
      </c>
      <c r="Q11028" t="str">
        <f>"39.534162"</f>
        <v>39.534162</v>
      </c>
      <c r="R11028" t="str">
        <f>"21.582602"</f>
        <v>21.582602</v>
      </c>
      <c r="S11028" t="s">
        <v>26</v>
      </c>
    </row>
    <row r="11029" spans="1:19" x14ac:dyDescent="0.3">
      <c r="A11029" t="s">
        <v>20660</v>
      </c>
      <c r="B11029" t="s">
        <v>23413</v>
      </c>
      <c r="C11029" t="s">
        <v>23950</v>
      </c>
      <c r="D11029" t="s">
        <v>20680</v>
      </c>
      <c r="E11029" t="s">
        <v>21502</v>
      </c>
      <c r="F11029" t="s">
        <v>23450</v>
      </c>
      <c r="G11029" t="s">
        <v>23949</v>
      </c>
      <c r="H11029" t="s">
        <v>859</v>
      </c>
      <c r="I11029" t="s">
        <v>860</v>
      </c>
      <c r="J11029" t="str">
        <f>"9450121"</f>
        <v>9450121</v>
      </c>
      <c r="K11029">
        <v>2431083420</v>
      </c>
      <c r="L11029">
        <v>2431083420</v>
      </c>
      <c r="M11029" t="s">
        <v>23951</v>
      </c>
      <c r="N11029" t="s">
        <v>23949</v>
      </c>
      <c r="O11029" t="s">
        <v>23952</v>
      </c>
      <c r="P11029">
        <v>42100</v>
      </c>
      <c r="Q11029" t="str">
        <f>"39.560691"</f>
        <v>39.560691</v>
      </c>
      <c r="R11029" t="str">
        <f>"21.927752"</f>
        <v>21.927752</v>
      </c>
      <c r="S11029" t="s">
        <v>26</v>
      </c>
    </row>
    <row r="11030" spans="1:19" x14ac:dyDescent="0.3">
      <c r="A11030" t="s">
        <v>20660</v>
      </c>
      <c r="B11030" t="s">
        <v>23413</v>
      </c>
      <c r="C11030" t="s">
        <v>23955</v>
      </c>
      <c r="D11030" t="s">
        <v>20680</v>
      </c>
      <c r="E11030" t="s">
        <v>20681</v>
      </c>
      <c r="F11030" t="s">
        <v>20681</v>
      </c>
      <c r="G11030" t="s">
        <v>20681</v>
      </c>
      <c r="H11030" t="s">
        <v>859</v>
      </c>
      <c r="I11030" t="s">
        <v>860</v>
      </c>
      <c r="J11030" t="str">
        <f>"9521227"</f>
        <v>9521227</v>
      </c>
      <c r="K11030">
        <v>2431026145</v>
      </c>
      <c r="L11030">
        <v>2431076511</v>
      </c>
      <c r="M11030" t="s">
        <v>23956</v>
      </c>
      <c r="N11030" t="s">
        <v>20684</v>
      </c>
      <c r="O11030" t="s">
        <v>23957</v>
      </c>
      <c r="P11030">
        <v>42100</v>
      </c>
      <c r="Q11030" t="str">
        <f>"39.570591"</f>
        <v>39.570591</v>
      </c>
      <c r="R11030" t="str">
        <f>"21.745108"</f>
        <v>21.745108</v>
      </c>
      <c r="S11030" t="s">
        <v>26</v>
      </c>
    </row>
    <row r="11031" spans="1:19" x14ac:dyDescent="0.3">
      <c r="A11031" t="s">
        <v>20660</v>
      </c>
      <c r="B11031" t="s">
        <v>23413</v>
      </c>
      <c r="C11031" t="s">
        <v>23970</v>
      </c>
      <c r="D11031" t="s">
        <v>20680</v>
      </c>
      <c r="E11031" t="s">
        <v>21508</v>
      </c>
      <c r="F11031" t="s">
        <v>17277</v>
      </c>
      <c r="G11031" t="s">
        <v>23536</v>
      </c>
      <c r="H11031" t="s">
        <v>859</v>
      </c>
      <c r="I11031" t="s">
        <v>860</v>
      </c>
      <c r="J11031" t="str">
        <f>"9450374"</f>
        <v>9450374</v>
      </c>
      <c r="K11031">
        <v>2432095277</v>
      </c>
      <c r="N11031" t="s">
        <v>23536</v>
      </c>
      <c r="O11031" t="s">
        <v>23539</v>
      </c>
      <c r="P11031">
        <v>42200</v>
      </c>
      <c r="Q11031" t="str">
        <f>""</f>
        <v/>
      </c>
      <c r="R11031" t="str">
        <f>""</f>
        <v/>
      </c>
      <c r="S11031" t="s">
        <v>26</v>
      </c>
    </row>
    <row r="11032" spans="1:19" x14ac:dyDescent="0.3">
      <c r="A11032" t="s">
        <v>20660</v>
      </c>
      <c r="B11032" t="s">
        <v>23413</v>
      </c>
      <c r="C11032" t="s">
        <v>23971</v>
      </c>
      <c r="D11032" t="s">
        <v>20680</v>
      </c>
      <c r="E11032" t="s">
        <v>20681</v>
      </c>
      <c r="F11032" t="s">
        <v>23440</v>
      </c>
      <c r="G11032" t="s">
        <v>13386</v>
      </c>
      <c r="H11032" t="s">
        <v>859</v>
      </c>
      <c r="I11032" t="s">
        <v>860</v>
      </c>
      <c r="J11032" t="str">
        <f>"9450124"</f>
        <v>9450124</v>
      </c>
      <c r="K11032">
        <v>2431096710</v>
      </c>
      <c r="L11032">
        <v>2431096710</v>
      </c>
      <c r="M11032" t="s">
        <v>23972</v>
      </c>
      <c r="N11032" t="s">
        <v>20680</v>
      </c>
      <c r="O11032" t="s">
        <v>13389</v>
      </c>
      <c r="P11032">
        <v>42100</v>
      </c>
      <c r="Q11032" t="str">
        <f>"39.660939"</f>
        <v>39.660939</v>
      </c>
      <c r="R11032" t="str">
        <f>"21.769511"</f>
        <v>21.769511</v>
      </c>
      <c r="S11032" t="s">
        <v>26</v>
      </c>
    </row>
    <row r="11033" spans="1:19" x14ac:dyDescent="0.3">
      <c r="A11033" t="s">
        <v>20660</v>
      </c>
      <c r="B11033" t="s">
        <v>23413</v>
      </c>
      <c r="C11033" t="s">
        <v>23973</v>
      </c>
      <c r="D11033" t="s">
        <v>20680</v>
      </c>
      <c r="E11033" t="s">
        <v>21502</v>
      </c>
      <c r="F11033" t="s">
        <v>21503</v>
      </c>
      <c r="G11033" t="s">
        <v>15880</v>
      </c>
      <c r="H11033" t="s">
        <v>859</v>
      </c>
      <c r="I11033" t="s">
        <v>860</v>
      </c>
      <c r="J11033" t="str">
        <f>"9450285"</f>
        <v>9450285</v>
      </c>
      <c r="K11033">
        <v>2433032886</v>
      </c>
      <c r="L11033">
        <v>2433032886</v>
      </c>
      <c r="M11033" t="s">
        <v>23974</v>
      </c>
      <c r="N11033" t="s">
        <v>15880</v>
      </c>
      <c r="O11033" t="s">
        <v>23975</v>
      </c>
      <c r="P11033">
        <v>42300</v>
      </c>
      <c r="Q11033" t="str">
        <f>"39.615483"</f>
        <v>39.615483</v>
      </c>
      <c r="R11033" t="str">
        <f>"22.012319"</f>
        <v>22.012319</v>
      </c>
      <c r="S11033" t="s">
        <v>26</v>
      </c>
    </row>
    <row r="11034" spans="1:19" x14ac:dyDescent="0.3">
      <c r="A11034" t="s">
        <v>20660</v>
      </c>
      <c r="B11034" t="s">
        <v>23413</v>
      </c>
      <c r="C11034" t="s">
        <v>23976</v>
      </c>
      <c r="D11034" t="s">
        <v>20680</v>
      </c>
      <c r="E11034" t="s">
        <v>21508</v>
      </c>
      <c r="F11034" t="s">
        <v>21508</v>
      </c>
      <c r="G11034" t="s">
        <v>15002</v>
      </c>
      <c r="H11034" t="s">
        <v>859</v>
      </c>
      <c r="I11034" t="s">
        <v>860</v>
      </c>
      <c r="J11034" t="str">
        <f>"9450171"</f>
        <v>9450171</v>
      </c>
      <c r="K11034">
        <v>2432023082</v>
      </c>
      <c r="L11034">
        <v>2432023082</v>
      </c>
      <c r="M11034" t="s">
        <v>23977</v>
      </c>
      <c r="N11034" t="s">
        <v>21583</v>
      </c>
      <c r="O11034" t="s">
        <v>15005</v>
      </c>
      <c r="P11034">
        <v>42200</v>
      </c>
      <c r="Q11034" t="str">
        <f>"39.718626"</f>
        <v>39.718626</v>
      </c>
      <c r="R11034" t="str">
        <f>"21.620533"</f>
        <v>21.620533</v>
      </c>
      <c r="S11034" t="s">
        <v>26</v>
      </c>
    </row>
    <row r="11035" spans="1:19" x14ac:dyDescent="0.3">
      <c r="A11035" t="s">
        <v>20660</v>
      </c>
      <c r="B11035" t="s">
        <v>23413</v>
      </c>
      <c r="C11035" t="s">
        <v>23978</v>
      </c>
      <c r="D11035" t="s">
        <v>20680</v>
      </c>
      <c r="E11035" t="s">
        <v>20681</v>
      </c>
      <c r="F11035" t="s">
        <v>20681</v>
      </c>
      <c r="G11035" t="s">
        <v>20681</v>
      </c>
      <c r="H11035" t="s">
        <v>859</v>
      </c>
      <c r="I11035" t="s">
        <v>860</v>
      </c>
      <c r="J11035" t="str">
        <f>"9450361"</f>
        <v>9450361</v>
      </c>
      <c r="K11035">
        <v>2431072971</v>
      </c>
      <c r="L11035">
        <v>2431072971</v>
      </c>
      <c r="M11035" t="s">
        <v>23979</v>
      </c>
      <c r="N11035" t="s">
        <v>20680</v>
      </c>
      <c r="O11035" t="s">
        <v>19923</v>
      </c>
      <c r="P11035">
        <v>42100</v>
      </c>
      <c r="Q11035" t="str">
        <f>"39.573865"</f>
        <v>39.573865</v>
      </c>
      <c r="R11035" t="str">
        <f>"21.763066"</f>
        <v>21.763066</v>
      </c>
      <c r="S11035" t="s">
        <v>26</v>
      </c>
    </row>
    <row r="11036" spans="1:19" x14ac:dyDescent="0.3">
      <c r="A11036" t="s">
        <v>20660</v>
      </c>
      <c r="B11036" t="s">
        <v>23413</v>
      </c>
      <c r="C11036" t="s">
        <v>23980</v>
      </c>
      <c r="D11036" t="s">
        <v>20680</v>
      </c>
      <c r="E11036" t="s">
        <v>20681</v>
      </c>
      <c r="F11036" t="s">
        <v>20681</v>
      </c>
      <c r="G11036" t="s">
        <v>20681</v>
      </c>
      <c r="H11036" t="s">
        <v>859</v>
      </c>
      <c r="I11036" t="s">
        <v>1102</v>
      </c>
      <c r="J11036" t="str">
        <f>"9450401"</f>
        <v>9450401</v>
      </c>
      <c r="K11036">
        <v>2431072950</v>
      </c>
      <c r="L11036">
        <v>2431072950</v>
      </c>
      <c r="M11036" t="s">
        <v>23981</v>
      </c>
      <c r="N11036" t="s">
        <v>20680</v>
      </c>
      <c r="O11036" t="s">
        <v>13681</v>
      </c>
      <c r="P11036">
        <v>42100</v>
      </c>
      <c r="Q11036" t="str">
        <f>"39.495163"</f>
        <v>39.495163</v>
      </c>
      <c r="R11036" t="str">
        <f>"21.793993"</f>
        <v>21.793993</v>
      </c>
      <c r="S11036" t="s">
        <v>26</v>
      </c>
    </row>
    <row r="11037" spans="1:19" x14ac:dyDescent="0.3">
      <c r="A11037" t="s">
        <v>23985</v>
      </c>
      <c r="B11037" t="s">
        <v>24396</v>
      </c>
      <c r="C11037" t="s">
        <v>24397</v>
      </c>
      <c r="D11037" t="s">
        <v>8088</v>
      </c>
      <c r="E11037" t="s">
        <v>8088</v>
      </c>
      <c r="F11037" t="s">
        <v>24033</v>
      </c>
      <c r="G11037" t="s">
        <v>5563</v>
      </c>
      <c r="H11037" t="s">
        <v>859</v>
      </c>
      <c r="I11037" t="s">
        <v>860</v>
      </c>
      <c r="J11037" t="str">
        <f>"9140083"</f>
        <v>9140083</v>
      </c>
      <c r="K11037">
        <v>2695048590</v>
      </c>
      <c r="M11037" t="s">
        <v>24398</v>
      </c>
      <c r="N11037" t="s">
        <v>24399</v>
      </c>
      <c r="O11037" t="s">
        <v>24400</v>
      </c>
      <c r="P11037">
        <v>29092</v>
      </c>
      <c r="Q11037" t="str">
        <f>"37.747363"</f>
        <v>37.747363</v>
      </c>
      <c r="R11037" t="str">
        <f>"20.773918"</f>
        <v>20.773918</v>
      </c>
      <c r="S11037" t="s">
        <v>26</v>
      </c>
    </row>
    <row r="11038" spans="1:19" x14ac:dyDescent="0.3">
      <c r="A11038" t="s">
        <v>23985</v>
      </c>
      <c r="B11038" t="s">
        <v>24396</v>
      </c>
      <c r="C11038" t="s">
        <v>24413</v>
      </c>
      <c r="D11038" t="s">
        <v>8088</v>
      </c>
      <c r="E11038" t="s">
        <v>8088</v>
      </c>
      <c r="F11038" t="s">
        <v>24021</v>
      </c>
      <c r="G11038" t="s">
        <v>24022</v>
      </c>
      <c r="H11038" t="s">
        <v>859</v>
      </c>
      <c r="I11038" t="s">
        <v>860</v>
      </c>
      <c r="J11038" t="str">
        <f>"9140037"</f>
        <v>9140037</v>
      </c>
      <c r="K11038">
        <v>2695083473</v>
      </c>
      <c r="L11038">
        <v>2695085069</v>
      </c>
      <c r="M11038" t="s">
        <v>24414</v>
      </c>
      <c r="N11038" t="s">
        <v>24022</v>
      </c>
      <c r="O11038" t="s">
        <v>24025</v>
      </c>
      <c r="P11038">
        <v>29090</v>
      </c>
      <c r="Q11038" t="str">
        <f>"37.810934"</f>
        <v>37.810934</v>
      </c>
      <c r="R11038" t="str">
        <f>"20.770797"</f>
        <v>20.770797</v>
      </c>
      <c r="S11038" t="s">
        <v>26</v>
      </c>
    </row>
    <row r="11039" spans="1:19" x14ac:dyDescent="0.3">
      <c r="A11039" t="s">
        <v>23985</v>
      </c>
      <c r="B11039" t="s">
        <v>24396</v>
      </c>
      <c r="C11039" t="s">
        <v>24416</v>
      </c>
      <c r="D11039" t="s">
        <v>8088</v>
      </c>
      <c r="E11039" t="s">
        <v>8088</v>
      </c>
      <c r="F11039" t="s">
        <v>24033</v>
      </c>
      <c r="G11039" t="s">
        <v>24415</v>
      </c>
      <c r="H11039" t="s">
        <v>859</v>
      </c>
      <c r="I11039" t="s">
        <v>860</v>
      </c>
      <c r="J11039" t="str">
        <f>"9140106"</f>
        <v>9140106</v>
      </c>
      <c r="K11039">
        <v>2695092301</v>
      </c>
      <c r="M11039" t="s">
        <v>24417</v>
      </c>
      <c r="N11039" t="s">
        <v>24415</v>
      </c>
      <c r="O11039" t="s">
        <v>24418</v>
      </c>
      <c r="P11039">
        <v>29092</v>
      </c>
      <c r="Q11039" t="str">
        <f>"37.767725"</f>
        <v>37.767725</v>
      </c>
      <c r="R11039" t="str">
        <f>"20.810839"</f>
        <v>20.810839</v>
      </c>
      <c r="S11039" t="s">
        <v>26</v>
      </c>
    </row>
    <row r="11040" spans="1:19" x14ac:dyDescent="0.3">
      <c r="A11040" t="s">
        <v>23985</v>
      </c>
      <c r="B11040" t="s">
        <v>24396</v>
      </c>
      <c r="C11040" t="s">
        <v>24420</v>
      </c>
      <c r="D11040" t="s">
        <v>8088</v>
      </c>
      <c r="E11040" t="s">
        <v>8088</v>
      </c>
      <c r="F11040" t="s">
        <v>23986</v>
      </c>
      <c r="G11040" t="s">
        <v>24419</v>
      </c>
      <c r="H11040" t="s">
        <v>859</v>
      </c>
      <c r="I11040" t="s">
        <v>860</v>
      </c>
      <c r="J11040" t="str">
        <f>"9140088"</f>
        <v>9140088</v>
      </c>
      <c r="K11040">
        <v>2695023513</v>
      </c>
      <c r="M11040" t="s">
        <v>24421</v>
      </c>
      <c r="N11040" t="s">
        <v>24419</v>
      </c>
      <c r="O11040" t="s">
        <v>24422</v>
      </c>
      <c r="P11040">
        <v>29100</v>
      </c>
      <c r="Q11040" t="str">
        <f>"37.789072"</f>
        <v>37.789072</v>
      </c>
      <c r="R11040" t="str">
        <f>"20.874760"</f>
        <v>20.874760</v>
      </c>
      <c r="S11040" t="s">
        <v>26</v>
      </c>
    </row>
    <row r="11041" spans="1:19" x14ac:dyDescent="0.3">
      <c r="A11041" t="s">
        <v>23985</v>
      </c>
      <c r="B11041" t="s">
        <v>24396</v>
      </c>
      <c r="C11041" t="s">
        <v>24427</v>
      </c>
      <c r="D11041" t="s">
        <v>8088</v>
      </c>
      <c r="E11041" t="s">
        <v>8088</v>
      </c>
      <c r="F11041" t="s">
        <v>24049</v>
      </c>
      <c r="G11041" t="s">
        <v>24426</v>
      </c>
      <c r="H11041" t="s">
        <v>859</v>
      </c>
      <c r="I11041" t="s">
        <v>860</v>
      </c>
      <c r="J11041" t="str">
        <f>"9140074"</f>
        <v>9140074</v>
      </c>
      <c r="K11041">
        <v>2695049131</v>
      </c>
      <c r="M11041" t="s">
        <v>24428</v>
      </c>
      <c r="N11041" t="s">
        <v>24429</v>
      </c>
      <c r="O11041" t="s">
        <v>24429</v>
      </c>
      <c r="P11041">
        <v>29092</v>
      </c>
      <c r="Q11041" t="str">
        <f>"37.684158"</f>
        <v>37.684158</v>
      </c>
      <c r="R11041" t="str">
        <f>"20.825204"</f>
        <v>20.825204</v>
      </c>
      <c r="S11041" t="s">
        <v>26</v>
      </c>
    </row>
    <row r="11042" spans="1:19" x14ac:dyDescent="0.3">
      <c r="A11042" t="s">
        <v>23985</v>
      </c>
      <c r="B11042" t="s">
        <v>24396</v>
      </c>
      <c r="C11042" t="s">
        <v>24434</v>
      </c>
      <c r="D11042" t="s">
        <v>8088</v>
      </c>
      <c r="E11042" t="s">
        <v>8088</v>
      </c>
      <c r="F11042" t="s">
        <v>23986</v>
      </c>
      <c r="G11042" t="s">
        <v>24433</v>
      </c>
      <c r="H11042" t="s">
        <v>859</v>
      </c>
      <c r="I11042" t="s">
        <v>860</v>
      </c>
      <c r="J11042" t="str">
        <f>"9140103"</f>
        <v>9140103</v>
      </c>
      <c r="K11042">
        <v>2695043705</v>
      </c>
      <c r="M11042" t="s">
        <v>24435</v>
      </c>
      <c r="N11042" t="s">
        <v>24433</v>
      </c>
      <c r="O11042" t="s">
        <v>24436</v>
      </c>
      <c r="P11042">
        <v>29100</v>
      </c>
      <c r="Q11042" t="str">
        <f>"37.767501"</f>
        <v>37.767501</v>
      </c>
      <c r="R11042" t="str">
        <f>"20.916791"</f>
        <v>20.916791</v>
      </c>
      <c r="S11042" t="s">
        <v>26</v>
      </c>
    </row>
    <row r="11043" spans="1:19" x14ac:dyDescent="0.3">
      <c r="A11043" t="s">
        <v>23985</v>
      </c>
      <c r="B11043" t="s">
        <v>24396</v>
      </c>
      <c r="C11043" t="s">
        <v>24437</v>
      </c>
      <c r="D11043" t="s">
        <v>8088</v>
      </c>
      <c r="E11043" t="s">
        <v>8088</v>
      </c>
      <c r="F11043" t="s">
        <v>24049</v>
      </c>
      <c r="G11043" t="s">
        <v>24050</v>
      </c>
      <c r="H11043" t="s">
        <v>859</v>
      </c>
      <c r="I11043" t="s">
        <v>860</v>
      </c>
      <c r="J11043" t="str">
        <f>"9140078"</f>
        <v>9140078</v>
      </c>
      <c r="K11043">
        <v>2695051722</v>
      </c>
      <c r="L11043">
        <v>2695051722</v>
      </c>
      <c r="M11043" t="s">
        <v>24438</v>
      </c>
      <c r="N11043" t="s">
        <v>24050</v>
      </c>
      <c r="O11043" t="s">
        <v>24439</v>
      </c>
      <c r="P11043">
        <v>29092</v>
      </c>
      <c r="Q11043" t="str">
        <f>"37.718495"</f>
        <v>37.718495</v>
      </c>
      <c r="R11043" t="str">
        <f>"20.830432"</f>
        <v>20.830432</v>
      </c>
      <c r="S11043" t="s">
        <v>26</v>
      </c>
    </row>
    <row r="11044" spans="1:19" x14ac:dyDescent="0.3">
      <c r="A11044" t="s">
        <v>23985</v>
      </c>
      <c r="B11044" t="s">
        <v>24396</v>
      </c>
      <c r="C11044" t="s">
        <v>24442</v>
      </c>
      <c r="D11044" t="s">
        <v>8088</v>
      </c>
      <c r="E11044" t="s">
        <v>8088</v>
      </c>
      <c r="F11044" t="s">
        <v>23986</v>
      </c>
      <c r="G11044" t="s">
        <v>16068</v>
      </c>
      <c r="H11044" t="s">
        <v>859</v>
      </c>
      <c r="I11044" t="s">
        <v>860</v>
      </c>
      <c r="J11044" t="str">
        <f>"9140099"</f>
        <v>9140099</v>
      </c>
      <c r="K11044">
        <v>2695035019</v>
      </c>
      <c r="M11044" t="s">
        <v>24443</v>
      </c>
      <c r="N11044" t="s">
        <v>16068</v>
      </c>
      <c r="O11044" t="s">
        <v>24444</v>
      </c>
      <c r="P11044">
        <v>29100</v>
      </c>
      <c r="Q11044" t="str">
        <f>"37.723368"</f>
        <v>37.723368</v>
      </c>
      <c r="R11044" t="str">
        <f>"20.980552"</f>
        <v>20.980552</v>
      </c>
      <c r="S11044" t="s">
        <v>26</v>
      </c>
    </row>
    <row r="11045" spans="1:19" x14ac:dyDescent="0.3">
      <c r="A11045" t="s">
        <v>23985</v>
      </c>
      <c r="B11045" t="s">
        <v>24396</v>
      </c>
      <c r="C11045" t="s">
        <v>24446</v>
      </c>
      <c r="D11045" t="s">
        <v>8088</v>
      </c>
      <c r="E11045" t="s">
        <v>8088</v>
      </c>
      <c r="F11045" t="s">
        <v>24033</v>
      </c>
      <c r="G11045" t="s">
        <v>24445</v>
      </c>
      <c r="H11045" t="s">
        <v>859</v>
      </c>
      <c r="I11045" t="s">
        <v>860</v>
      </c>
      <c r="J11045" t="str">
        <f>"9140112"</f>
        <v>9140112</v>
      </c>
      <c r="K11045">
        <v>2695093210</v>
      </c>
      <c r="M11045" t="s">
        <v>24447</v>
      </c>
      <c r="N11045" t="s">
        <v>24445</v>
      </c>
      <c r="O11045" t="s">
        <v>24448</v>
      </c>
      <c r="P11045">
        <v>29092</v>
      </c>
      <c r="Q11045" t="str">
        <f>"37.748755"</f>
        <v>37.748755</v>
      </c>
      <c r="R11045" t="str">
        <f>"20.818710"</f>
        <v>20.818710</v>
      </c>
      <c r="S11045" t="s">
        <v>26</v>
      </c>
    </row>
    <row r="11046" spans="1:19" x14ac:dyDescent="0.3">
      <c r="A11046" t="s">
        <v>23985</v>
      </c>
      <c r="B11046" t="s">
        <v>24396</v>
      </c>
      <c r="C11046" t="s">
        <v>24454</v>
      </c>
      <c r="D11046" t="s">
        <v>8088</v>
      </c>
      <c r="E11046" t="s">
        <v>8088</v>
      </c>
      <c r="F11046" t="s">
        <v>24021</v>
      </c>
      <c r="G11046" t="s">
        <v>24453</v>
      </c>
      <c r="H11046" t="s">
        <v>859</v>
      </c>
      <c r="I11046" t="s">
        <v>860</v>
      </c>
      <c r="J11046" t="str">
        <f>"9140084"</f>
        <v>9140084</v>
      </c>
      <c r="K11046">
        <v>2695061481</v>
      </c>
      <c r="M11046" t="s">
        <v>24455</v>
      </c>
      <c r="N11046" t="s">
        <v>24453</v>
      </c>
      <c r="O11046" t="s">
        <v>24456</v>
      </c>
      <c r="P11046">
        <v>29090</v>
      </c>
      <c r="Q11046" t="str">
        <f>"37.811562"</f>
        <v>37.811562</v>
      </c>
      <c r="R11046" t="str">
        <f>"20.810620"</f>
        <v>20.810620</v>
      </c>
      <c r="S11046" t="s">
        <v>26</v>
      </c>
    </row>
    <row r="11047" spans="1:19" x14ac:dyDescent="0.3">
      <c r="A11047" t="s">
        <v>23985</v>
      </c>
      <c r="B11047" t="s">
        <v>24396</v>
      </c>
      <c r="C11047" t="s">
        <v>24457</v>
      </c>
      <c r="D11047" t="s">
        <v>8088</v>
      </c>
      <c r="E11047" t="s">
        <v>8088</v>
      </c>
      <c r="F11047" t="s">
        <v>23986</v>
      </c>
      <c r="G11047" t="s">
        <v>23986</v>
      </c>
      <c r="H11047" t="s">
        <v>859</v>
      </c>
      <c r="I11047" t="s">
        <v>860</v>
      </c>
      <c r="J11047" t="str">
        <f>"9140001"</f>
        <v>9140001</v>
      </c>
      <c r="K11047">
        <v>2695028818</v>
      </c>
      <c r="M11047" t="s">
        <v>24458</v>
      </c>
      <c r="N11047" t="s">
        <v>8088</v>
      </c>
      <c r="O11047" t="s">
        <v>24459</v>
      </c>
      <c r="P11047">
        <v>29100</v>
      </c>
      <c r="Q11047" t="str">
        <f>"37.798481"</f>
        <v>37.798481</v>
      </c>
      <c r="R11047" t="str">
        <f>"20.901628"</f>
        <v>20.901628</v>
      </c>
      <c r="S11047" t="s">
        <v>26</v>
      </c>
    </row>
    <row r="11048" spans="1:19" x14ac:dyDescent="0.3">
      <c r="A11048" t="s">
        <v>23985</v>
      </c>
      <c r="B11048" t="s">
        <v>24396</v>
      </c>
      <c r="C11048" t="s">
        <v>24481</v>
      </c>
      <c r="D11048" t="s">
        <v>8088</v>
      </c>
      <c r="E11048" t="s">
        <v>8088</v>
      </c>
      <c r="F11048" t="s">
        <v>23986</v>
      </c>
      <c r="G11048" t="s">
        <v>23986</v>
      </c>
      <c r="H11048" t="s">
        <v>859</v>
      </c>
      <c r="I11048" t="s">
        <v>860</v>
      </c>
      <c r="J11048" t="str">
        <f>"9140095"</f>
        <v>9140095</v>
      </c>
      <c r="K11048">
        <v>2695044178</v>
      </c>
      <c r="M11048" t="s">
        <v>24482</v>
      </c>
      <c r="N11048" t="s">
        <v>8088</v>
      </c>
      <c r="O11048" t="s">
        <v>24483</v>
      </c>
      <c r="P11048">
        <v>29100</v>
      </c>
      <c r="Q11048" t="str">
        <f>"37.778885"</f>
        <v>37.778885</v>
      </c>
      <c r="R11048" t="str">
        <f>"20.889393"</f>
        <v>20.889393</v>
      </c>
      <c r="S11048" t="s">
        <v>26</v>
      </c>
    </row>
    <row r="11049" spans="1:19" x14ac:dyDescent="0.3">
      <c r="A11049" t="s">
        <v>23985</v>
      </c>
      <c r="B11049" t="s">
        <v>24396</v>
      </c>
      <c r="C11049" t="s">
        <v>24484</v>
      </c>
      <c r="D11049" t="s">
        <v>8088</v>
      </c>
      <c r="E11049" t="s">
        <v>8088</v>
      </c>
      <c r="F11049" t="s">
        <v>24033</v>
      </c>
      <c r="G11049" t="s">
        <v>24460</v>
      </c>
      <c r="H11049" t="s">
        <v>859</v>
      </c>
      <c r="I11049" t="s">
        <v>860</v>
      </c>
      <c r="J11049" t="str">
        <f>"9140097"</f>
        <v>9140097</v>
      </c>
      <c r="K11049">
        <v>2695048634</v>
      </c>
      <c r="M11049" t="s">
        <v>24485</v>
      </c>
      <c r="N11049" t="s">
        <v>24463</v>
      </c>
      <c r="O11049" t="s">
        <v>24463</v>
      </c>
      <c r="P11049">
        <v>29092</v>
      </c>
      <c r="Q11049" t="str">
        <f>"37.768262"</f>
        <v>37.768262</v>
      </c>
      <c r="R11049" t="str">
        <f>"20.719123"</f>
        <v>20.719123</v>
      </c>
      <c r="S11049" t="s">
        <v>26</v>
      </c>
    </row>
    <row r="11050" spans="1:19" x14ac:dyDescent="0.3">
      <c r="A11050" t="s">
        <v>23985</v>
      </c>
      <c r="B11050" t="s">
        <v>24396</v>
      </c>
      <c r="C11050" t="s">
        <v>24486</v>
      </c>
      <c r="D11050" t="s">
        <v>8088</v>
      </c>
      <c r="E11050" t="s">
        <v>8088</v>
      </c>
      <c r="F11050" t="s">
        <v>23986</v>
      </c>
      <c r="G11050" t="s">
        <v>23986</v>
      </c>
      <c r="H11050" t="s">
        <v>859</v>
      </c>
      <c r="I11050" t="s">
        <v>860</v>
      </c>
      <c r="J11050" t="str">
        <f>"9140065"</f>
        <v>9140065</v>
      </c>
      <c r="K11050">
        <v>2695028808</v>
      </c>
      <c r="L11050">
        <v>2695028808</v>
      </c>
      <c r="M11050" t="s">
        <v>24487</v>
      </c>
      <c r="N11050" t="s">
        <v>8088</v>
      </c>
      <c r="O11050" t="s">
        <v>24480</v>
      </c>
      <c r="P11050">
        <v>29100</v>
      </c>
      <c r="Q11050" t="str">
        <f>"37.780298"</f>
        <v>37.780298</v>
      </c>
      <c r="R11050" t="str">
        <f>"20.896960"</f>
        <v>20.896960</v>
      </c>
      <c r="S11050" t="s">
        <v>26</v>
      </c>
    </row>
    <row r="11051" spans="1:19" x14ac:dyDescent="0.3">
      <c r="A11051" t="s">
        <v>23985</v>
      </c>
      <c r="B11051" t="s">
        <v>24396</v>
      </c>
      <c r="C11051" t="s">
        <v>24488</v>
      </c>
      <c r="D11051" t="s">
        <v>8088</v>
      </c>
      <c r="E11051" t="s">
        <v>8088</v>
      </c>
      <c r="F11051" t="s">
        <v>24049</v>
      </c>
      <c r="G11051" t="s">
        <v>17000</v>
      </c>
      <c r="H11051" t="s">
        <v>859</v>
      </c>
      <c r="I11051" t="s">
        <v>860</v>
      </c>
      <c r="J11051" t="str">
        <f>"9140093"</f>
        <v>9140093</v>
      </c>
      <c r="K11051">
        <v>2695051190</v>
      </c>
      <c r="M11051" t="s">
        <v>24489</v>
      </c>
      <c r="N11051" t="s">
        <v>17128</v>
      </c>
      <c r="O11051" t="s">
        <v>15506</v>
      </c>
      <c r="P11051">
        <v>29092</v>
      </c>
      <c r="Q11051" t="str">
        <f>"37.743544"</f>
        <v>37.743544</v>
      </c>
      <c r="R11051" t="str">
        <f>"20.866453"</f>
        <v>20.866453</v>
      </c>
      <c r="S11051" t="s">
        <v>26</v>
      </c>
    </row>
    <row r="11052" spans="1:19" x14ac:dyDescent="0.3">
      <c r="A11052" t="s">
        <v>23985</v>
      </c>
      <c r="B11052" t="s">
        <v>24396</v>
      </c>
      <c r="C11052" t="s">
        <v>24490</v>
      </c>
      <c r="D11052" t="s">
        <v>8088</v>
      </c>
      <c r="E11052" t="s">
        <v>8088</v>
      </c>
      <c r="F11052" t="s">
        <v>24013</v>
      </c>
      <c r="G11052" t="s">
        <v>12715</v>
      </c>
      <c r="H11052" t="s">
        <v>859</v>
      </c>
      <c r="I11052" t="s">
        <v>860</v>
      </c>
      <c r="J11052" t="str">
        <f>"9140079"</f>
        <v>9140079</v>
      </c>
      <c r="K11052">
        <v>2695061264</v>
      </c>
      <c r="M11052" t="s">
        <v>24491</v>
      </c>
      <c r="N11052" t="s">
        <v>24492</v>
      </c>
      <c r="O11052" t="s">
        <v>24493</v>
      </c>
      <c r="P11052">
        <v>29100</v>
      </c>
      <c r="Q11052" t="str">
        <f>"37.789212"</f>
        <v>37.789212</v>
      </c>
      <c r="R11052" t="str">
        <f>"20.856789"</f>
        <v>20.856789</v>
      </c>
      <c r="S11052" t="s">
        <v>26</v>
      </c>
    </row>
    <row r="11053" spans="1:19" x14ac:dyDescent="0.3">
      <c r="A11053" t="s">
        <v>23985</v>
      </c>
      <c r="B11053" t="s">
        <v>24396</v>
      </c>
      <c r="C11053" t="s">
        <v>24495</v>
      </c>
      <c r="D11053" t="s">
        <v>8088</v>
      </c>
      <c r="E11053" t="s">
        <v>8088</v>
      </c>
      <c r="F11053" t="s">
        <v>24021</v>
      </c>
      <c r="G11053" t="s">
        <v>24494</v>
      </c>
      <c r="H11053" t="s">
        <v>859</v>
      </c>
      <c r="I11053" t="s">
        <v>860</v>
      </c>
      <c r="J11053" t="str">
        <f>"9140072"</f>
        <v>9140072</v>
      </c>
      <c r="K11053">
        <v>2695063925</v>
      </c>
      <c r="M11053" t="s">
        <v>24496</v>
      </c>
      <c r="N11053" t="s">
        <v>24494</v>
      </c>
      <c r="O11053" t="s">
        <v>24497</v>
      </c>
      <c r="P11053">
        <v>29090</v>
      </c>
      <c r="Q11053" t="str">
        <f>"37.828208"</f>
        <v>37.828208</v>
      </c>
      <c r="R11053" t="str">
        <f>"20.748006"</f>
        <v>20.748006</v>
      </c>
      <c r="S11053" t="s">
        <v>26</v>
      </c>
    </row>
    <row r="11054" spans="1:19" x14ac:dyDescent="0.3">
      <c r="A11054" t="s">
        <v>23985</v>
      </c>
      <c r="B11054" t="s">
        <v>24396</v>
      </c>
      <c r="C11054" t="s">
        <v>24498</v>
      </c>
      <c r="D11054" t="s">
        <v>8088</v>
      </c>
      <c r="E11054" t="s">
        <v>8088</v>
      </c>
      <c r="F11054" t="s">
        <v>23986</v>
      </c>
      <c r="G11054" t="s">
        <v>17906</v>
      </c>
      <c r="H11054" t="s">
        <v>859</v>
      </c>
      <c r="I11054" t="s">
        <v>860</v>
      </c>
      <c r="J11054" t="str">
        <f>"9140069"</f>
        <v>9140069</v>
      </c>
      <c r="K11054">
        <v>2695041842</v>
      </c>
      <c r="L11054">
        <v>2695041842</v>
      </c>
      <c r="M11054" t="s">
        <v>24499</v>
      </c>
      <c r="N11054" t="s">
        <v>17906</v>
      </c>
      <c r="O11054" t="s">
        <v>24500</v>
      </c>
      <c r="P11054">
        <v>29100</v>
      </c>
      <c r="Q11054" t="str">
        <f>"37.758383"</f>
        <v>37.758383</v>
      </c>
      <c r="R11054" t="str">
        <f>"20.870985"</f>
        <v>20.870985</v>
      </c>
      <c r="S11054" t="s">
        <v>26</v>
      </c>
    </row>
    <row r="11055" spans="1:19" x14ac:dyDescent="0.3">
      <c r="A11055" t="s">
        <v>23985</v>
      </c>
      <c r="B11055" t="s">
        <v>24396</v>
      </c>
      <c r="C11055" t="s">
        <v>24502</v>
      </c>
      <c r="D11055" t="s">
        <v>8088</v>
      </c>
      <c r="E11055" t="s">
        <v>8088</v>
      </c>
      <c r="F11055" t="s">
        <v>24021</v>
      </c>
      <c r="G11055" t="s">
        <v>24501</v>
      </c>
      <c r="H11055" t="s">
        <v>859</v>
      </c>
      <c r="I11055" t="s">
        <v>860</v>
      </c>
      <c r="J11055" t="str">
        <f>"9140111"</f>
        <v>9140111</v>
      </c>
      <c r="K11055">
        <v>2695061458</v>
      </c>
      <c r="M11055" t="s">
        <v>24503</v>
      </c>
      <c r="N11055" t="s">
        <v>24501</v>
      </c>
      <c r="O11055" t="s">
        <v>24504</v>
      </c>
      <c r="P11055">
        <v>29090</v>
      </c>
      <c r="Q11055" t="str">
        <f>""</f>
        <v/>
      </c>
      <c r="R11055" t="str">
        <f>""</f>
        <v/>
      </c>
      <c r="S11055" t="s">
        <v>26</v>
      </c>
    </row>
    <row r="11056" spans="1:19" x14ac:dyDescent="0.3">
      <c r="A11056" t="s">
        <v>23985</v>
      </c>
      <c r="B11056" t="s">
        <v>24396</v>
      </c>
      <c r="C11056" t="s">
        <v>24505</v>
      </c>
      <c r="D11056" t="s">
        <v>8088</v>
      </c>
      <c r="E11056" t="s">
        <v>8088</v>
      </c>
      <c r="F11056" t="s">
        <v>24049</v>
      </c>
      <c r="G11056" t="s">
        <v>22140</v>
      </c>
      <c r="H11056" t="s">
        <v>859</v>
      </c>
      <c r="I11056" t="s">
        <v>860</v>
      </c>
      <c r="J11056" t="str">
        <f>"9140110"</f>
        <v>9140110</v>
      </c>
      <c r="K11056">
        <v>2695023859</v>
      </c>
      <c r="M11056" t="s">
        <v>24506</v>
      </c>
      <c r="N11056" t="s">
        <v>22140</v>
      </c>
      <c r="O11056" t="s">
        <v>22450</v>
      </c>
      <c r="P11056">
        <v>29100</v>
      </c>
      <c r="Q11056" t="str">
        <f>"37.744284"</f>
        <v>37.744284</v>
      </c>
      <c r="R11056" t="str">
        <f>"20.898033"</f>
        <v>20.898033</v>
      </c>
      <c r="S11056" t="s">
        <v>26</v>
      </c>
    </row>
    <row r="11057" spans="1:19" x14ac:dyDescent="0.3">
      <c r="A11057" t="s">
        <v>23985</v>
      </c>
      <c r="B11057" t="s">
        <v>24396</v>
      </c>
      <c r="C11057" t="s">
        <v>24508</v>
      </c>
      <c r="D11057" t="s">
        <v>8088</v>
      </c>
      <c r="E11057" t="s">
        <v>8088</v>
      </c>
      <c r="F11057" t="s">
        <v>24013</v>
      </c>
      <c r="G11057" t="s">
        <v>24507</v>
      </c>
      <c r="H11057" t="s">
        <v>859</v>
      </c>
      <c r="I11057" t="s">
        <v>860</v>
      </c>
      <c r="J11057" t="str">
        <f>"9140104"</f>
        <v>9140104</v>
      </c>
      <c r="K11057">
        <v>2695028166</v>
      </c>
      <c r="M11057" t="s">
        <v>24509</v>
      </c>
      <c r="N11057" t="s">
        <v>24507</v>
      </c>
      <c r="O11057" t="s">
        <v>24510</v>
      </c>
      <c r="P11057">
        <v>29100</v>
      </c>
      <c r="Q11057" t="str">
        <f>"37.811816"</f>
        <v>37.811816</v>
      </c>
      <c r="R11057" t="str">
        <f>"20.874544"</f>
        <v>20.874544</v>
      </c>
      <c r="S11057" t="s">
        <v>26</v>
      </c>
    </row>
    <row r="11058" spans="1:19" x14ac:dyDescent="0.3">
      <c r="A11058" t="s">
        <v>23985</v>
      </c>
      <c r="B11058" t="s">
        <v>24396</v>
      </c>
      <c r="C11058" t="s">
        <v>24511</v>
      </c>
      <c r="D11058" t="s">
        <v>8088</v>
      </c>
      <c r="E11058" t="s">
        <v>8088</v>
      </c>
      <c r="F11058" t="s">
        <v>23986</v>
      </c>
      <c r="G11058" t="s">
        <v>23986</v>
      </c>
      <c r="H11058" t="s">
        <v>859</v>
      </c>
      <c r="I11058" t="s">
        <v>860</v>
      </c>
      <c r="J11058" t="str">
        <f>"9140067"</f>
        <v>9140067</v>
      </c>
      <c r="K11058">
        <v>6973392988</v>
      </c>
      <c r="M11058" t="s">
        <v>24512</v>
      </c>
      <c r="N11058" t="s">
        <v>24513</v>
      </c>
      <c r="O11058" t="s">
        <v>24514</v>
      </c>
      <c r="P11058">
        <v>29100</v>
      </c>
      <c r="Q11058" t="str">
        <f>"37.777548"</f>
        <v>37.777548</v>
      </c>
      <c r="R11058" t="str">
        <f>"20.891790"</f>
        <v>20.891790</v>
      </c>
      <c r="S11058" t="s">
        <v>26</v>
      </c>
    </row>
    <row r="11059" spans="1:19" x14ac:dyDescent="0.3">
      <c r="A11059" t="s">
        <v>23985</v>
      </c>
      <c r="B11059" t="s">
        <v>24396</v>
      </c>
      <c r="C11059" t="s">
        <v>24515</v>
      </c>
      <c r="D11059" t="s">
        <v>8088</v>
      </c>
      <c r="E11059" t="s">
        <v>8088</v>
      </c>
      <c r="F11059" t="s">
        <v>24033</v>
      </c>
      <c r="G11059" t="s">
        <v>24034</v>
      </c>
      <c r="H11059" t="s">
        <v>859</v>
      </c>
      <c r="I11059" t="s">
        <v>860</v>
      </c>
      <c r="J11059" t="str">
        <f>"9140070"</f>
        <v>9140070</v>
      </c>
      <c r="K11059">
        <v>2695092287</v>
      </c>
      <c r="L11059">
        <v>2695092287</v>
      </c>
      <c r="M11059" t="s">
        <v>24516</v>
      </c>
      <c r="N11059" t="s">
        <v>24034</v>
      </c>
      <c r="O11059" t="s">
        <v>24517</v>
      </c>
      <c r="P11059">
        <v>29092</v>
      </c>
      <c r="Q11059" t="str">
        <f>"37.765315"</f>
        <v>37.765315</v>
      </c>
      <c r="R11059" t="str">
        <f>"20.832559"</f>
        <v>20.832559</v>
      </c>
      <c r="S11059" t="s">
        <v>26</v>
      </c>
    </row>
    <row r="11060" spans="1:19" x14ac:dyDescent="0.3">
      <c r="A11060" t="s">
        <v>23985</v>
      </c>
      <c r="B11060" t="s">
        <v>24396</v>
      </c>
      <c r="C11060" t="s">
        <v>24518</v>
      </c>
      <c r="D11060" t="s">
        <v>8088</v>
      </c>
      <c r="E11060" t="s">
        <v>8088</v>
      </c>
      <c r="F11060" t="s">
        <v>24049</v>
      </c>
      <c r="G11060" t="s">
        <v>24430</v>
      </c>
      <c r="H11060" t="s">
        <v>859</v>
      </c>
      <c r="I11060" t="s">
        <v>860</v>
      </c>
      <c r="J11060" t="str">
        <f>"9140073"</f>
        <v>9140073</v>
      </c>
      <c r="K11060">
        <v>2695051525</v>
      </c>
      <c r="L11060">
        <v>2695051525</v>
      </c>
      <c r="M11060" t="s">
        <v>24519</v>
      </c>
      <c r="N11060" t="s">
        <v>24520</v>
      </c>
      <c r="O11060" t="s">
        <v>24432</v>
      </c>
      <c r="P11060">
        <v>29092</v>
      </c>
      <c r="Q11060" t="str">
        <f>"37.730141"</f>
        <v>37.730141</v>
      </c>
      <c r="R11060" t="str">
        <f>"20.828700"</f>
        <v>20.828700</v>
      </c>
      <c r="S11060" t="s">
        <v>26</v>
      </c>
    </row>
    <row r="11061" spans="1:19" x14ac:dyDescent="0.3">
      <c r="A11061" t="s">
        <v>23985</v>
      </c>
      <c r="B11061" t="s">
        <v>24396</v>
      </c>
      <c r="C11061" t="s">
        <v>24521</v>
      </c>
      <c r="D11061" t="s">
        <v>8088</v>
      </c>
      <c r="E11061" t="s">
        <v>8088</v>
      </c>
      <c r="F11061" t="s">
        <v>24013</v>
      </c>
      <c r="G11061" t="s">
        <v>24401</v>
      </c>
      <c r="H11061" t="s">
        <v>859</v>
      </c>
      <c r="I11061" t="s">
        <v>860</v>
      </c>
      <c r="J11061" t="str">
        <f>"9140107"</f>
        <v>9140107</v>
      </c>
      <c r="K11061">
        <v>2695062477</v>
      </c>
      <c r="M11061" t="s">
        <v>24522</v>
      </c>
      <c r="N11061" t="s">
        <v>24404</v>
      </c>
      <c r="O11061" t="s">
        <v>24404</v>
      </c>
      <c r="P11061">
        <v>29100</v>
      </c>
      <c r="Q11061" t="str">
        <f>"37.812101"</f>
        <v>37.812101</v>
      </c>
      <c r="R11061" t="str">
        <f>"20.832748"</f>
        <v>20.832748</v>
      </c>
      <c r="S11061" t="s">
        <v>26</v>
      </c>
    </row>
    <row r="11062" spans="1:19" x14ac:dyDescent="0.3">
      <c r="A11062" t="s">
        <v>23985</v>
      </c>
      <c r="B11062" t="s">
        <v>24396</v>
      </c>
      <c r="C11062" t="s">
        <v>24524</v>
      </c>
      <c r="D11062" t="s">
        <v>8088</v>
      </c>
      <c r="E11062" t="s">
        <v>8088</v>
      </c>
      <c r="F11062" t="s">
        <v>24033</v>
      </c>
      <c r="G11062" t="s">
        <v>24523</v>
      </c>
      <c r="H11062" t="s">
        <v>859</v>
      </c>
      <c r="I11062" t="s">
        <v>860</v>
      </c>
      <c r="J11062" t="str">
        <f>"9140080"</f>
        <v>9140080</v>
      </c>
      <c r="K11062">
        <v>2695092483</v>
      </c>
      <c r="M11062" t="s">
        <v>24525</v>
      </c>
      <c r="N11062" t="s">
        <v>24523</v>
      </c>
      <c r="O11062" t="s">
        <v>24526</v>
      </c>
      <c r="P11062">
        <v>29092</v>
      </c>
      <c r="Q11062" t="str">
        <f>"37.783392"</f>
        <v>37.783392</v>
      </c>
      <c r="R11062" t="str">
        <f>"20.793252"</f>
        <v>20.793252</v>
      </c>
      <c r="S11062" t="s">
        <v>26</v>
      </c>
    </row>
    <row r="11063" spans="1:19" x14ac:dyDescent="0.3">
      <c r="A11063" t="s">
        <v>23985</v>
      </c>
      <c r="B11063" t="s">
        <v>24396</v>
      </c>
      <c r="C11063" t="s">
        <v>24540</v>
      </c>
      <c r="D11063" t="s">
        <v>8088</v>
      </c>
      <c r="E11063" t="s">
        <v>8088</v>
      </c>
      <c r="F11063" t="s">
        <v>24013</v>
      </c>
      <c r="G11063" t="s">
        <v>24539</v>
      </c>
      <c r="H11063" t="s">
        <v>859</v>
      </c>
      <c r="I11063" t="s">
        <v>860</v>
      </c>
      <c r="J11063" t="str">
        <f>"9140075"</f>
        <v>9140075</v>
      </c>
      <c r="K11063">
        <v>2695061495</v>
      </c>
      <c r="M11063" t="s">
        <v>24541</v>
      </c>
      <c r="N11063" t="s">
        <v>24539</v>
      </c>
      <c r="O11063" t="s">
        <v>24542</v>
      </c>
      <c r="P11063">
        <v>29100</v>
      </c>
      <c r="Q11063" t="str">
        <f>"37.801061"</f>
        <v>37.801061</v>
      </c>
      <c r="R11063" t="str">
        <f>"20.833289"</f>
        <v>20.833289</v>
      </c>
      <c r="S11063" t="s">
        <v>26</v>
      </c>
    </row>
    <row r="11064" spans="1:19" x14ac:dyDescent="0.3">
      <c r="A11064" t="s">
        <v>23985</v>
      </c>
      <c r="B11064" t="s">
        <v>24396</v>
      </c>
      <c r="C11064" t="s">
        <v>24543</v>
      </c>
      <c r="D11064" t="s">
        <v>8088</v>
      </c>
      <c r="E11064" t="s">
        <v>8088</v>
      </c>
      <c r="F11064" t="s">
        <v>23986</v>
      </c>
      <c r="G11064" t="s">
        <v>23986</v>
      </c>
      <c r="H11064" t="s">
        <v>859</v>
      </c>
      <c r="I11064" t="s">
        <v>860</v>
      </c>
      <c r="J11064" t="str">
        <f>"9520802"</f>
        <v>9520802</v>
      </c>
      <c r="K11064">
        <v>2695042497</v>
      </c>
      <c r="M11064" t="s">
        <v>24544</v>
      </c>
      <c r="N11064" t="s">
        <v>8088</v>
      </c>
      <c r="O11064" t="s">
        <v>24545</v>
      </c>
      <c r="P11064">
        <v>29100</v>
      </c>
      <c r="Q11064" t="str">
        <f>"37.795825"</f>
        <v>37.795825</v>
      </c>
      <c r="R11064" t="str">
        <f>"20.892742"</f>
        <v>20.892742</v>
      </c>
      <c r="S11064" t="s">
        <v>26</v>
      </c>
    </row>
    <row r="11065" spans="1:19" x14ac:dyDescent="0.3">
      <c r="A11065" t="s">
        <v>23985</v>
      </c>
      <c r="B11065" t="s">
        <v>24396</v>
      </c>
      <c r="C11065" t="s">
        <v>24546</v>
      </c>
      <c r="D11065" t="s">
        <v>8088</v>
      </c>
      <c r="E11065" t="s">
        <v>8088</v>
      </c>
      <c r="F11065" t="s">
        <v>24013</v>
      </c>
      <c r="G11065" t="s">
        <v>24043</v>
      </c>
      <c r="H11065" t="s">
        <v>859</v>
      </c>
      <c r="I11065" t="s">
        <v>860</v>
      </c>
      <c r="J11065" t="str">
        <f>"9520580"</f>
        <v>9520580</v>
      </c>
      <c r="K11065">
        <v>2695063633</v>
      </c>
      <c r="M11065" t="s">
        <v>24547</v>
      </c>
      <c r="N11065" t="s">
        <v>23989</v>
      </c>
      <c r="O11065" t="s">
        <v>24046</v>
      </c>
      <c r="P11065">
        <v>29100</v>
      </c>
      <c r="Q11065" t="str">
        <f>"37.794228"</f>
        <v>37.794228</v>
      </c>
      <c r="R11065" t="str">
        <f>"20.852627"</f>
        <v>20.852627</v>
      </c>
      <c r="S11065" t="s">
        <v>26</v>
      </c>
    </row>
    <row r="11066" spans="1:19" x14ac:dyDescent="0.3">
      <c r="A11066" t="s">
        <v>23985</v>
      </c>
      <c r="B11066" t="s">
        <v>24396</v>
      </c>
      <c r="C11066" t="s">
        <v>24548</v>
      </c>
      <c r="D11066" t="s">
        <v>8088</v>
      </c>
      <c r="E11066" t="s">
        <v>8088</v>
      </c>
      <c r="F11066" t="s">
        <v>23986</v>
      </c>
      <c r="G11066" t="s">
        <v>23986</v>
      </c>
      <c r="H11066" t="s">
        <v>859</v>
      </c>
      <c r="I11066" t="s">
        <v>860</v>
      </c>
      <c r="J11066" t="str">
        <f>"9140002"</f>
        <v>9140002</v>
      </c>
      <c r="K11066">
        <v>2695028722</v>
      </c>
      <c r="M11066" t="s">
        <v>24549</v>
      </c>
      <c r="N11066" t="s">
        <v>8088</v>
      </c>
      <c r="O11066" t="s">
        <v>24545</v>
      </c>
      <c r="P11066">
        <v>29100</v>
      </c>
      <c r="Q11066" t="str">
        <f>"37.795780"</f>
        <v>37.795780</v>
      </c>
      <c r="R11066" t="str">
        <f>"20.892757"</f>
        <v>20.892757</v>
      </c>
      <c r="S11066" t="s">
        <v>26</v>
      </c>
    </row>
    <row r="11067" spans="1:19" x14ac:dyDescent="0.3">
      <c r="A11067" t="s">
        <v>23985</v>
      </c>
      <c r="B11067" t="s">
        <v>24396</v>
      </c>
      <c r="C11067" t="s">
        <v>24550</v>
      </c>
      <c r="D11067" t="s">
        <v>8088</v>
      </c>
      <c r="E11067" t="s">
        <v>8088</v>
      </c>
      <c r="F11067" t="s">
        <v>23986</v>
      </c>
      <c r="G11067" t="s">
        <v>23986</v>
      </c>
      <c r="H11067" t="s">
        <v>859</v>
      </c>
      <c r="I11067" t="s">
        <v>860</v>
      </c>
      <c r="J11067" t="str">
        <f>"9140081"</f>
        <v>9140081</v>
      </c>
      <c r="K11067">
        <v>2695026959</v>
      </c>
      <c r="M11067" t="s">
        <v>24551</v>
      </c>
      <c r="N11067" t="s">
        <v>8088</v>
      </c>
      <c r="O11067" t="s">
        <v>24552</v>
      </c>
      <c r="P11067">
        <v>29100</v>
      </c>
      <c r="Q11067" t="str">
        <f>"37.774649"</f>
        <v>37.774649</v>
      </c>
      <c r="R11067" t="str">
        <f>"20.900548"</f>
        <v>20.900548</v>
      </c>
      <c r="S11067" t="s">
        <v>26</v>
      </c>
    </row>
    <row r="11068" spans="1:19" x14ac:dyDescent="0.3">
      <c r="A11068" t="s">
        <v>23985</v>
      </c>
      <c r="B11068" t="s">
        <v>24396</v>
      </c>
      <c r="C11068" t="s">
        <v>24554</v>
      </c>
      <c r="D11068" t="s">
        <v>8088</v>
      </c>
      <c r="E11068" t="s">
        <v>8088</v>
      </c>
      <c r="F11068" t="s">
        <v>24059</v>
      </c>
      <c r="G11068" t="s">
        <v>24553</v>
      </c>
      <c r="H11068" t="s">
        <v>859</v>
      </c>
      <c r="I11068" t="s">
        <v>860</v>
      </c>
      <c r="J11068" t="str">
        <f>"9140068"</f>
        <v>9140068</v>
      </c>
      <c r="K11068">
        <v>2695031600</v>
      </c>
      <c r="M11068" t="s">
        <v>24555</v>
      </c>
      <c r="N11068" t="s">
        <v>24553</v>
      </c>
      <c r="O11068" t="s">
        <v>24556</v>
      </c>
      <c r="P11068">
        <v>29091</v>
      </c>
      <c r="Q11068" t="str">
        <f>"37.875083"</f>
        <v>37.875083</v>
      </c>
      <c r="R11068" t="str">
        <f>"20.665681"</f>
        <v>20.665681</v>
      </c>
      <c r="S11068" t="s">
        <v>57</v>
      </c>
    </row>
    <row r="11069" spans="1:19" x14ac:dyDescent="0.3">
      <c r="A11069" t="s">
        <v>23985</v>
      </c>
      <c r="B11069" t="s">
        <v>24396</v>
      </c>
      <c r="C11069" t="s">
        <v>24557</v>
      </c>
      <c r="D11069" t="s">
        <v>8088</v>
      </c>
      <c r="E11069" t="s">
        <v>8088</v>
      </c>
      <c r="F11069" t="s">
        <v>23986</v>
      </c>
      <c r="G11069" t="s">
        <v>24464</v>
      </c>
      <c r="H11069" t="s">
        <v>859</v>
      </c>
      <c r="I11069" t="s">
        <v>1102</v>
      </c>
      <c r="J11069" t="str">
        <f>"9521161"</f>
        <v>9521161</v>
      </c>
      <c r="K11069">
        <v>2695026299</v>
      </c>
      <c r="L11069">
        <v>2695024186</v>
      </c>
      <c r="M11069" t="s">
        <v>24558</v>
      </c>
      <c r="N11069" t="s">
        <v>8088</v>
      </c>
      <c r="O11069" t="s">
        <v>24067</v>
      </c>
      <c r="P11069">
        <v>29100</v>
      </c>
      <c r="Q11069" t="str">
        <f>"37.791933"</f>
        <v>37.791933</v>
      </c>
      <c r="R11069" t="str">
        <f>"20.892262"</f>
        <v>20.892262</v>
      </c>
      <c r="S11069" t="s">
        <v>26</v>
      </c>
    </row>
    <row r="11070" spans="1:19" x14ac:dyDescent="0.3">
      <c r="A11070" t="s">
        <v>23985</v>
      </c>
      <c r="B11070" t="s">
        <v>24396</v>
      </c>
      <c r="C11070" t="s">
        <v>24560</v>
      </c>
      <c r="D11070" t="s">
        <v>8088</v>
      </c>
      <c r="E11070" t="s">
        <v>8088</v>
      </c>
      <c r="F11070" t="s">
        <v>24021</v>
      </c>
      <c r="G11070" t="s">
        <v>24559</v>
      </c>
      <c r="H11070" t="s">
        <v>859</v>
      </c>
      <c r="I11070" t="s">
        <v>860</v>
      </c>
      <c r="J11070" t="str">
        <f>"9521439"</f>
        <v>9521439</v>
      </c>
      <c r="K11070">
        <v>2695083084</v>
      </c>
      <c r="M11070" t="s">
        <v>24561</v>
      </c>
      <c r="N11070" t="s">
        <v>24562</v>
      </c>
      <c r="O11070" t="s">
        <v>24562</v>
      </c>
      <c r="P11070">
        <v>29090</v>
      </c>
      <c r="Q11070" t="str">
        <f>"37.841749"</f>
        <v>37.841749</v>
      </c>
      <c r="R11070" t="str">
        <f>"20.788831"</f>
        <v>20.788831</v>
      </c>
      <c r="S11070" t="s">
        <v>26</v>
      </c>
    </row>
    <row r="11071" spans="1:19" x14ac:dyDescent="0.3">
      <c r="A11071" t="s">
        <v>23985</v>
      </c>
      <c r="B11071" t="s">
        <v>24396</v>
      </c>
      <c r="C11071" t="s">
        <v>24564</v>
      </c>
      <c r="D11071" t="s">
        <v>8088</v>
      </c>
      <c r="E11071" t="s">
        <v>8088</v>
      </c>
      <c r="F11071" t="s">
        <v>24049</v>
      </c>
      <c r="G11071" t="s">
        <v>24563</v>
      </c>
      <c r="H11071" t="s">
        <v>859</v>
      </c>
      <c r="I11071" t="s">
        <v>860</v>
      </c>
      <c r="J11071" t="str">
        <f>"9140092"</f>
        <v>9140092</v>
      </c>
      <c r="K11071">
        <v>2695043839</v>
      </c>
      <c r="L11071">
        <v>2695043839</v>
      </c>
      <c r="M11071" t="s">
        <v>24565</v>
      </c>
      <c r="N11071" t="s">
        <v>24563</v>
      </c>
      <c r="O11071" t="s">
        <v>24566</v>
      </c>
      <c r="P11071">
        <v>29092</v>
      </c>
      <c r="Q11071" t="str">
        <f>"37.709323"</f>
        <v>37.709323</v>
      </c>
      <c r="R11071" t="str">
        <f>"20.777245"</f>
        <v>20.777245</v>
      </c>
      <c r="S11071" t="s">
        <v>26</v>
      </c>
    </row>
    <row r="11072" spans="1:19" x14ac:dyDescent="0.3">
      <c r="A11072" t="s">
        <v>23985</v>
      </c>
      <c r="B11072" t="s">
        <v>24396</v>
      </c>
      <c r="C11072" t="s">
        <v>24568</v>
      </c>
      <c r="D11072" t="s">
        <v>8088</v>
      </c>
      <c r="E11072" t="s">
        <v>8088</v>
      </c>
      <c r="F11072" t="s">
        <v>24021</v>
      </c>
      <c r="G11072" t="s">
        <v>24567</v>
      </c>
      <c r="H11072" t="s">
        <v>859</v>
      </c>
      <c r="I11072" t="s">
        <v>860</v>
      </c>
      <c r="J11072" t="str">
        <f>"9521438"</f>
        <v>9521438</v>
      </c>
      <c r="K11072">
        <v>2695085072</v>
      </c>
      <c r="M11072" t="s">
        <v>24569</v>
      </c>
      <c r="N11072" t="s">
        <v>24570</v>
      </c>
      <c r="O11072" t="s">
        <v>24571</v>
      </c>
      <c r="P11072">
        <v>29090</v>
      </c>
      <c r="Q11072" t="str">
        <f>"37.820584"</f>
        <v>37.820584</v>
      </c>
      <c r="R11072" t="str">
        <f>"20.774910"</f>
        <v>20.774910</v>
      </c>
      <c r="S11072" t="s">
        <v>26</v>
      </c>
    </row>
    <row r="11073" spans="1:19" x14ac:dyDescent="0.3">
      <c r="A11073" t="s">
        <v>23985</v>
      </c>
      <c r="B11073" t="s">
        <v>24396</v>
      </c>
      <c r="C11073" t="s">
        <v>24575</v>
      </c>
      <c r="D11073" t="s">
        <v>8088</v>
      </c>
      <c r="E11073" t="s">
        <v>8088</v>
      </c>
      <c r="F11073" t="s">
        <v>24013</v>
      </c>
      <c r="G11073" t="s">
        <v>12047</v>
      </c>
      <c r="H11073" t="s">
        <v>859</v>
      </c>
      <c r="I11073" t="s">
        <v>860</v>
      </c>
      <c r="J11073" t="str">
        <f>"9140109"</f>
        <v>9140109</v>
      </c>
      <c r="K11073">
        <v>2695063588</v>
      </c>
      <c r="M11073" t="s">
        <v>24576</v>
      </c>
      <c r="N11073" t="s">
        <v>23989</v>
      </c>
      <c r="O11073" t="s">
        <v>7912</v>
      </c>
      <c r="P11073">
        <v>29100</v>
      </c>
      <c r="Q11073" t="str">
        <f>"37.818282"</f>
        <v>37.818282</v>
      </c>
      <c r="R11073" t="str">
        <f>"20.823601"</f>
        <v>20.823601</v>
      </c>
      <c r="S11073" t="s">
        <v>26</v>
      </c>
    </row>
    <row r="11074" spans="1:19" x14ac:dyDescent="0.3">
      <c r="A11074" t="s">
        <v>23985</v>
      </c>
      <c r="B11074" t="s">
        <v>24396</v>
      </c>
      <c r="C11074" t="s">
        <v>24577</v>
      </c>
      <c r="D11074" t="s">
        <v>8088</v>
      </c>
      <c r="E11074" t="s">
        <v>8088</v>
      </c>
      <c r="F11074" t="s">
        <v>24021</v>
      </c>
      <c r="G11074" t="s">
        <v>3295</v>
      </c>
      <c r="H11074" t="s">
        <v>859</v>
      </c>
      <c r="I11074" t="s">
        <v>860</v>
      </c>
      <c r="J11074" t="str">
        <f>"9140096"</f>
        <v>9140096</v>
      </c>
      <c r="K11074">
        <v>2695062555</v>
      </c>
      <c r="L11074">
        <v>2695062555</v>
      </c>
      <c r="M11074" t="s">
        <v>24578</v>
      </c>
      <c r="N11074" t="s">
        <v>3295</v>
      </c>
      <c r="O11074" t="s">
        <v>3472</v>
      </c>
      <c r="P11074">
        <v>29090</v>
      </c>
      <c r="Q11074" t="str">
        <f>"37.798700"</f>
        <v>37.798700</v>
      </c>
      <c r="R11074" t="str">
        <f>"20.799241"</f>
        <v>20.799241</v>
      </c>
      <c r="S11074" t="s">
        <v>26</v>
      </c>
    </row>
    <row r="11075" spans="1:19" x14ac:dyDescent="0.3">
      <c r="A11075" t="s">
        <v>23985</v>
      </c>
      <c r="B11075" t="s">
        <v>24580</v>
      </c>
      <c r="C11075" t="s">
        <v>24581</v>
      </c>
      <c r="D11075" t="s">
        <v>20006</v>
      </c>
      <c r="E11075" t="s">
        <v>24186</v>
      </c>
      <c r="F11075" t="s">
        <v>24186</v>
      </c>
      <c r="G11075" t="s">
        <v>24187</v>
      </c>
      <c r="H11075" t="s">
        <v>859</v>
      </c>
      <c r="I11075" t="s">
        <v>860</v>
      </c>
      <c r="J11075" t="str">
        <f>"9240221"</f>
        <v>9240221</v>
      </c>
      <c r="K11075">
        <v>2662032613</v>
      </c>
      <c r="L11075">
        <v>2662032613</v>
      </c>
      <c r="M11075" t="s">
        <v>24582</v>
      </c>
      <c r="N11075" t="s">
        <v>24583</v>
      </c>
      <c r="O11075" t="s">
        <v>24583</v>
      </c>
      <c r="P11075">
        <v>49082</v>
      </c>
      <c r="Q11075" t="str">
        <f>"39.196437"</f>
        <v>39.196437</v>
      </c>
      <c r="R11075" t="str">
        <f>"20.183538"</f>
        <v>20.183538</v>
      </c>
      <c r="S11075" t="s">
        <v>57</v>
      </c>
    </row>
    <row r="11076" spans="1:19" x14ac:dyDescent="0.3">
      <c r="A11076" t="s">
        <v>23985</v>
      </c>
      <c r="B11076" t="s">
        <v>24580</v>
      </c>
      <c r="C11076" t="s">
        <v>24584</v>
      </c>
      <c r="D11076" t="s">
        <v>20006</v>
      </c>
      <c r="E11076" t="s">
        <v>23991</v>
      </c>
      <c r="F11076" t="s">
        <v>23992</v>
      </c>
      <c r="G11076" t="s">
        <v>23992</v>
      </c>
      <c r="H11076" t="s">
        <v>859</v>
      </c>
      <c r="I11076" t="s">
        <v>860</v>
      </c>
      <c r="J11076" t="str">
        <f>"9240206"</f>
        <v>9240206</v>
      </c>
      <c r="K11076">
        <v>2661036120</v>
      </c>
      <c r="L11076">
        <v>2661036120</v>
      </c>
      <c r="M11076" t="s">
        <v>24585</v>
      </c>
      <c r="N11076" t="s">
        <v>23995</v>
      </c>
      <c r="O11076" t="s">
        <v>24586</v>
      </c>
      <c r="P11076">
        <v>49100</v>
      </c>
      <c r="Q11076" t="str">
        <f>"39.618606"</f>
        <v>39.618606</v>
      </c>
      <c r="R11076" t="str">
        <f>"19.918125"</f>
        <v>19.918125</v>
      </c>
      <c r="S11076" t="s">
        <v>26</v>
      </c>
    </row>
    <row r="11077" spans="1:19" x14ac:dyDescent="0.3">
      <c r="A11077" t="s">
        <v>23985</v>
      </c>
      <c r="B11077" t="s">
        <v>24580</v>
      </c>
      <c r="C11077" t="s">
        <v>24587</v>
      </c>
      <c r="D11077" t="s">
        <v>20006</v>
      </c>
      <c r="E11077" t="s">
        <v>23991</v>
      </c>
      <c r="F11077" t="s">
        <v>23992</v>
      </c>
      <c r="G11077" t="s">
        <v>23992</v>
      </c>
      <c r="H11077" t="s">
        <v>859</v>
      </c>
      <c r="I11077" t="s">
        <v>1102</v>
      </c>
      <c r="J11077" t="str">
        <f>"9240260"</f>
        <v>9240260</v>
      </c>
      <c r="K11077">
        <v>2661047636</v>
      </c>
      <c r="L11077">
        <v>2661047636</v>
      </c>
      <c r="M11077" t="s">
        <v>24588</v>
      </c>
      <c r="N11077" t="s">
        <v>23995</v>
      </c>
      <c r="O11077" t="s">
        <v>24589</v>
      </c>
      <c r="P11077">
        <v>49100</v>
      </c>
      <c r="Q11077" t="str">
        <f>"39.617436"</f>
        <v>39.617436</v>
      </c>
      <c r="R11077" t="str">
        <f>"19.919527"</f>
        <v>19.919527</v>
      </c>
      <c r="S11077" t="s">
        <v>26</v>
      </c>
    </row>
    <row r="11078" spans="1:19" x14ac:dyDescent="0.3">
      <c r="A11078" t="s">
        <v>23985</v>
      </c>
      <c r="B11078" t="s">
        <v>24580</v>
      </c>
      <c r="C11078" t="s">
        <v>24591</v>
      </c>
      <c r="D11078" t="s">
        <v>20006</v>
      </c>
      <c r="E11078" t="s">
        <v>24075</v>
      </c>
      <c r="F11078" t="s">
        <v>24213</v>
      </c>
      <c r="G11078" t="s">
        <v>24590</v>
      </c>
      <c r="H11078" t="s">
        <v>859</v>
      </c>
      <c r="I11078" t="s">
        <v>860</v>
      </c>
      <c r="J11078" t="str">
        <f>"9240185"</f>
        <v>9240185</v>
      </c>
      <c r="K11078">
        <v>2662024447</v>
      </c>
      <c r="L11078">
        <v>2662024447</v>
      </c>
      <c r="M11078" t="s">
        <v>24592</v>
      </c>
      <c r="N11078" t="s">
        <v>24593</v>
      </c>
      <c r="O11078" t="s">
        <v>24594</v>
      </c>
      <c r="P11078">
        <v>49080</v>
      </c>
      <c r="Q11078" t="str">
        <f>"39.424242"</f>
        <v>39.424242</v>
      </c>
      <c r="R11078" t="str">
        <f>"20.007969"</f>
        <v>20.007969</v>
      </c>
      <c r="S11078" t="s">
        <v>26</v>
      </c>
    </row>
    <row r="11079" spans="1:19" x14ac:dyDescent="0.3">
      <c r="A11079" t="s">
        <v>23985</v>
      </c>
      <c r="B11079" t="s">
        <v>24580</v>
      </c>
      <c r="C11079" t="s">
        <v>24599</v>
      </c>
      <c r="D11079" t="s">
        <v>20006</v>
      </c>
      <c r="E11079" t="s">
        <v>23991</v>
      </c>
      <c r="F11079" t="s">
        <v>24158</v>
      </c>
      <c r="G11079" t="s">
        <v>14943</v>
      </c>
      <c r="H11079" t="s">
        <v>859</v>
      </c>
      <c r="I11079" t="s">
        <v>860</v>
      </c>
      <c r="J11079" t="str">
        <f>"9240246"</f>
        <v>9240246</v>
      </c>
      <c r="K11079">
        <v>2661052907</v>
      </c>
      <c r="L11079">
        <v>2661052907</v>
      </c>
      <c r="M11079" t="s">
        <v>24600</v>
      </c>
      <c r="N11079" t="s">
        <v>19973</v>
      </c>
      <c r="O11079" t="s">
        <v>19973</v>
      </c>
      <c r="P11079">
        <v>49100</v>
      </c>
      <c r="Q11079" t="str">
        <f>"39.616664"</f>
        <v>39.616664</v>
      </c>
      <c r="R11079" t="str">
        <f>"19.843605"</f>
        <v>19.843605</v>
      </c>
      <c r="S11079" t="s">
        <v>26</v>
      </c>
    </row>
    <row r="11080" spans="1:19" x14ac:dyDescent="0.3">
      <c r="A11080" t="s">
        <v>23985</v>
      </c>
      <c r="B11080" t="s">
        <v>24580</v>
      </c>
      <c r="C11080" t="s">
        <v>24605</v>
      </c>
      <c r="D11080" t="s">
        <v>20006</v>
      </c>
      <c r="E11080" t="s">
        <v>23991</v>
      </c>
      <c r="F11080" t="s">
        <v>24090</v>
      </c>
      <c r="G11080" t="s">
        <v>24601</v>
      </c>
      <c r="H11080" t="s">
        <v>859</v>
      </c>
      <c r="I11080" t="s">
        <v>860</v>
      </c>
      <c r="J11080" t="str">
        <f>"9240254"</f>
        <v>9240254</v>
      </c>
      <c r="K11080">
        <v>2663042170</v>
      </c>
      <c r="L11080">
        <v>2663042144</v>
      </c>
      <c r="M11080" t="s">
        <v>24606</v>
      </c>
      <c r="N11080" t="s">
        <v>24607</v>
      </c>
      <c r="O11080" t="s">
        <v>24608</v>
      </c>
      <c r="P11080">
        <v>49083</v>
      </c>
      <c r="Q11080" t="str">
        <f>"39.687807"</f>
        <v>39.687807</v>
      </c>
      <c r="R11080" t="str">
        <f>"19.741803"</f>
        <v>19.741803</v>
      </c>
      <c r="S11080" t="s">
        <v>26</v>
      </c>
    </row>
    <row r="11081" spans="1:19" x14ac:dyDescent="0.3">
      <c r="A11081" t="s">
        <v>23985</v>
      </c>
      <c r="B11081" t="s">
        <v>24580</v>
      </c>
      <c r="C11081" t="s">
        <v>24609</v>
      </c>
      <c r="D11081" t="s">
        <v>20006</v>
      </c>
      <c r="E11081" t="s">
        <v>23991</v>
      </c>
      <c r="F11081" t="s">
        <v>23992</v>
      </c>
      <c r="G11081" t="s">
        <v>23992</v>
      </c>
      <c r="H11081" t="s">
        <v>859</v>
      </c>
      <c r="I11081" t="s">
        <v>860</v>
      </c>
      <c r="J11081" t="str">
        <f>"9240250"</f>
        <v>9240250</v>
      </c>
      <c r="K11081">
        <v>2661025307</v>
      </c>
      <c r="L11081">
        <v>2661025768</v>
      </c>
      <c r="M11081" t="s">
        <v>24610</v>
      </c>
      <c r="N11081" t="s">
        <v>20006</v>
      </c>
      <c r="O11081" t="s">
        <v>24611</v>
      </c>
      <c r="P11081">
        <v>49100</v>
      </c>
      <c r="Q11081" t="str">
        <f>"39.615528"</f>
        <v>39.615528</v>
      </c>
      <c r="R11081" t="str">
        <f>"19.906575"</f>
        <v>19.906575</v>
      </c>
      <c r="S11081" t="s">
        <v>26</v>
      </c>
    </row>
    <row r="11082" spans="1:19" x14ac:dyDescent="0.3">
      <c r="A11082" t="s">
        <v>23985</v>
      </c>
      <c r="B11082" t="s">
        <v>24580</v>
      </c>
      <c r="C11082" t="s">
        <v>24625</v>
      </c>
      <c r="D11082" t="s">
        <v>20006</v>
      </c>
      <c r="E11082" t="s">
        <v>23991</v>
      </c>
      <c r="F11082" t="s">
        <v>24158</v>
      </c>
      <c r="G11082" t="s">
        <v>24624</v>
      </c>
      <c r="H11082" t="s">
        <v>859</v>
      </c>
      <c r="I11082" t="s">
        <v>860</v>
      </c>
      <c r="J11082" t="str">
        <f>"9240231"</f>
        <v>9240231</v>
      </c>
      <c r="K11082">
        <v>2661094622</v>
      </c>
      <c r="L11082">
        <v>2661094622</v>
      </c>
      <c r="M11082" t="s">
        <v>24626</v>
      </c>
      <c r="N11082" t="s">
        <v>24627</v>
      </c>
      <c r="O11082" t="s">
        <v>24627</v>
      </c>
      <c r="P11082">
        <v>49100</v>
      </c>
      <c r="Q11082" t="str">
        <f>"39.609228"</f>
        <v>39.609228</v>
      </c>
      <c r="R11082" t="str">
        <f>"19.815200"</f>
        <v>19.815200</v>
      </c>
      <c r="S11082" t="s">
        <v>26</v>
      </c>
    </row>
    <row r="11083" spans="1:19" x14ac:dyDescent="0.3">
      <c r="A11083" t="s">
        <v>23985</v>
      </c>
      <c r="B11083" t="s">
        <v>24580</v>
      </c>
      <c r="C11083" t="s">
        <v>24637</v>
      </c>
      <c r="D11083" t="s">
        <v>20006</v>
      </c>
      <c r="E11083" t="s">
        <v>23991</v>
      </c>
      <c r="F11083" t="s">
        <v>24083</v>
      </c>
      <c r="G11083" t="s">
        <v>24084</v>
      </c>
      <c r="H11083" t="s">
        <v>859</v>
      </c>
      <c r="I11083" t="s">
        <v>860</v>
      </c>
      <c r="J11083" t="str">
        <f>"9240261"</f>
        <v>9240261</v>
      </c>
      <c r="K11083">
        <v>2661055166</v>
      </c>
      <c r="L11083">
        <v>2661055166</v>
      </c>
      <c r="M11083" t="s">
        <v>24638</v>
      </c>
      <c r="N11083" t="s">
        <v>24639</v>
      </c>
      <c r="O11083" t="s">
        <v>24640</v>
      </c>
      <c r="P11083">
        <v>49084</v>
      </c>
      <c r="Q11083" t="str">
        <f>"39.558105"</f>
        <v>39.558105</v>
      </c>
      <c r="R11083" t="str">
        <f>"19.865557"</f>
        <v>19.865557</v>
      </c>
      <c r="S11083" t="s">
        <v>26</v>
      </c>
    </row>
    <row r="11084" spans="1:19" x14ac:dyDescent="0.3">
      <c r="A11084" t="s">
        <v>23985</v>
      </c>
      <c r="B11084" t="s">
        <v>24580</v>
      </c>
      <c r="C11084" t="s">
        <v>24641</v>
      </c>
      <c r="D11084" t="s">
        <v>20006</v>
      </c>
      <c r="E11084" t="s">
        <v>23991</v>
      </c>
      <c r="F11084" t="s">
        <v>23992</v>
      </c>
      <c r="G11084" t="s">
        <v>23992</v>
      </c>
      <c r="H11084" t="s">
        <v>859</v>
      </c>
      <c r="I11084" t="s">
        <v>860</v>
      </c>
      <c r="J11084" t="str">
        <f>"9240199"</f>
        <v>9240199</v>
      </c>
      <c r="K11084">
        <v>2661030741</v>
      </c>
      <c r="L11084">
        <v>2661033781</v>
      </c>
      <c r="M11084" t="s">
        <v>24642</v>
      </c>
      <c r="N11084" t="s">
        <v>23995</v>
      </c>
      <c r="O11084" t="s">
        <v>24643</v>
      </c>
      <c r="P11084">
        <v>49100</v>
      </c>
      <c r="Q11084" t="str">
        <f>"39.597568"</f>
        <v>39.597568</v>
      </c>
      <c r="R11084" t="str">
        <f>"19.920360"</f>
        <v>19.920360</v>
      </c>
      <c r="S11084" t="s">
        <v>26</v>
      </c>
    </row>
    <row r="11085" spans="1:19" x14ac:dyDescent="0.3">
      <c r="A11085" t="s">
        <v>23985</v>
      </c>
      <c r="B11085" t="s">
        <v>24580</v>
      </c>
      <c r="C11085" t="s">
        <v>24645</v>
      </c>
      <c r="D11085" t="s">
        <v>20006</v>
      </c>
      <c r="E11085" t="s">
        <v>23991</v>
      </c>
      <c r="F11085" t="s">
        <v>23992</v>
      </c>
      <c r="G11085" t="s">
        <v>24644</v>
      </c>
      <c r="H11085" t="s">
        <v>859</v>
      </c>
      <c r="I11085" t="s">
        <v>860</v>
      </c>
      <c r="J11085" t="str">
        <f>"9240197"</f>
        <v>9240197</v>
      </c>
      <c r="K11085">
        <v>2661049551</v>
      </c>
      <c r="L11085">
        <v>2661049551</v>
      </c>
      <c r="M11085" t="s">
        <v>24646</v>
      </c>
      <c r="N11085" t="s">
        <v>23995</v>
      </c>
      <c r="O11085" t="s">
        <v>24647</v>
      </c>
      <c r="P11085">
        <v>49100</v>
      </c>
      <c r="Q11085" t="str">
        <f>"39.612926"</f>
        <v>39.612926</v>
      </c>
      <c r="R11085" t="str">
        <f>"19.886800"</f>
        <v>19.886800</v>
      </c>
      <c r="S11085" t="s">
        <v>26</v>
      </c>
    </row>
    <row r="11086" spans="1:19" x14ac:dyDescent="0.3">
      <c r="A11086" t="s">
        <v>23985</v>
      </c>
      <c r="B11086" t="s">
        <v>24580</v>
      </c>
      <c r="C11086" t="s">
        <v>24651</v>
      </c>
      <c r="D11086" t="s">
        <v>20006</v>
      </c>
      <c r="E11086" t="s">
        <v>24148</v>
      </c>
      <c r="F11086" t="s">
        <v>24149</v>
      </c>
      <c r="G11086" t="s">
        <v>24150</v>
      </c>
      <c r="H11086" t="s">
        <v>859</v>
      </c>
      <c r="I11086" t="s">
        <v>860</v>
      </c>
      <c r="J11086" t="str">
        <f>"9240119"</f>
        <v>9240119</v>
      </c>
      <c r="K11086">
        <v>2663031191</v>
      </c>
      <c r="L11086">
        <v>2663031191</v>
      </c>
      <c r="M11086" t="s">
        <v>24652</v>
      </c>
      <c r="N11086" t="s">
        <v>24653</v>
      </c>
      <c r="O11086" t="s">
        <v>24653</v>
      </c>
      <c r="P11086">
        <v>49081</v>
      </c>
      <c r="Q11086" t="str">
        <f>"39.778448"</f>
        <v>39.778448</v>
      </c>
      <c r="R11086" t="str">
        <f>"19.746143"</f>
        <v>19.746143</v>
      </c>
      <c r="S11086" t="s">
        <v>26</v>
      </c>
    </row>
    <row r="11087" spans="1:19" x14ac:dyDescent="0.3">
      <c r="A11087" t="s">
        <v>23985</v>
      </c>
      <c r="B11087" t="s">
        <v>24580</v>
      </c>
      <c r="C11087" t="s">
        <v>24667</v>
      </c>
      <c r="D11087" t="s">
        <v>20006</v>
      </c>
      <c r="E11087" t="s">
        <v>23991</v>
      </c>
      <c r="F11087" t="s">
        <v>23992</v>
      </c>
      <c r="G11087" t="s">
        <v>23992</v>
      </c>
      <c r="H11087" t="s">
        <v>859</v>
      </c>
      <c r="I11087" t="s">
        <v>860</v>
      </c>
      <c r="J11087" t="str">
        <f>"9240077"</f>
        <v>9240077</v>
      </c>
      <c r="K11087">
        <v>2661028570</v>
      </c>
      <c r="L11087">
        <v>2661028570</v>
      </c>
      <c r="M11087" t="s">
        <v>24668</v>
      </c>
      <c r="N11087" t="s">
        <v>23995</v>
      </c>
      <c r="O11087" t="s">
        <v>24669</v>
      </c>
      <c r="P11087">
        <v>49100</v>
      </c>
      <c r="Q11087" t="str">
        <f>"39.625427"</f>
        <v>39.625427</v>
      </c>
      <c r="R11087" t="str">
        <f>"19.920398"</f>
        <v>19.920398</v>
      </c>
      <c r="S11087" t="s">
        <v>26</v>
      </c>
    </row>
    <row r="11088" spans="1:19" x14ac:dyDescent="0.3">
      <c r="A11088" t="s">
        <v>23985</v>
      </c>
      <c r="B11088" t="s">
        <v>24580</v>
      </c>
      <c r="C11088" t="s">
        <v>24677</v>
      </c>
      <c r="D11088" t="s">
        <v>20006</v>
      </c>
      <c r="E11088" t="s">
        <v>23991</v>
      </c>
      <c r="F11088" t="s">
        <v>23992</v>
      </c>
      <c r="G11088" t="s">
        <v>23992</v>
      </c>
      <c r="H11088" t="s">
        <v>859</v>
      </c>
      <c r="I11088" t="s">
        <v>860</v>
      </c>
      <c r="J11088" t="str">
        <f>"9240087"</f>
        <v>9240087</v>
      </c>
      <c r="K11088">
        <v>2661046588</v>
      </c>
      <c r="L11088">
        <v>2661046588</v>
      </c>
      <c r="M11088" t="s">
        <v>24678</v>
      </c>
      <c r="N11088" t="s">
        <v>12350</v>
      </c>
      <c r="O11088" t="s">
        <v>24679</v>
      </c>
      <c r="P11088">
        <v>49100</v>
      </c>
      <c r="Q11088" t="str">
        <f>"39.628739"</f>
        <v>39.628739</v>
      </c>
      <c r="R11088" t="str">
        <f>"19.878836"</f>
        <v>19.878836</v>
      </c>
      <c r="S11088" t="s">
        <v>26</v>
      </c>
    </row>
    <row r="11089" spans="1:19" x14ac:dyDescent="0.3">
      <c r="A11089" t="s">
        <v>23985</v>
      </c>
      <c r="B11089" t="s">
        <v>24580</v>
      </c>
      <c r="C11089" t="s">
        <v>24684</v>
      </c>
      <c r="D11089" t="s">
        <v>20006</v>
      </c>
      <c r="E11089" t="s">
        <v>23991</v>
      </c>
      <c r="F11089" t="s">
        <v>23992</v>
      </c>
      <c r="G11089" t="s">
        <v>23992</v>
      </c>
      <c r="H11089" t="s">
        <v>859</v>
      </c>
      <c r="I11089" t="s">
        <v>860</v>
      </c>
      <c r="J11089" t="str">
        <f>"9240080"</f>
        <v>9240080</v>
      </c>
      <c r="K11089">
        <v>2661032590</v>
      </c>
      <c r="L11089">
        <v>2661032590</v>
      </c>
      <c r="M11089" t="s">
        <v>24685</v>
      </c>
      <c r="N11089" t="s">
        <v>23995</v>
      </c>
      <c r="O11089" t="s">
        <v>24686</v>
      </c>
      <c r="P11089">
        <v>49100</v>
      </c>
      <c r="Q11089" t="str">
        <f>"39.625482"</f>
        <v>39.625482</v>
      </c>
      <c r="R11089" t="str">
        <f>"19.905741"</f>
        <v>19.905741</v>
      </c>
      <c r="S11089" t="s">
        <v>26</v>
      </c>
    </row>
    <row r="11090" spans="1:19" x14ac:dyDescent="0.3">
      <c r="A11090" t="s">
        <v>23985</v>
      </c>
      <c r="B11090" t="s">
        <v>24580</v>
      </c>
      <c r="C11090" t="s">
        <v>24687</v>
      </c>
      <c r="D11090" t="s">
        <v>20006</v>
      </c>
      <c r="E11090" t="s">
        <v>23991</v>
      </c>
      <c r="F11090" t="s">
        <v>23992</v>
      </c>
      <c r="G11090" t="s">
        <v>23992</v>
      </c>
      <c r="H11090" t="s">
        <v>859</v>
      </c>
      <c r="I11090" t="s">
        <v>860</v>
      </c>
      <c r="J11090" t="str">
        <f>"9240166"</f>
        <v>9240166</v>
      </c>
      <c r="K11090">
        <v>2661090494</v>
      </c>
      <c r="M11090" t="s">
        <v>24688</v>
      </c>
      <c r="N11090" t="s">
        <v>24689</v>
      </c>
      <c r="O11090" t="s">
        <v>24690</v>
      </c>
      <c r="P11090">
        <v>49100</v>
      </c>
      <c r="Q11090" t="str">
        <f>"39.645406"</f>
        <v>39.645406</v>
      </c>
      <c r="R11090" t="str">
        <f>"19.848009"</f>
        <v>19.848009</v>
      </c>
      <c r="S11090" t="s">
        <v>26</v>
      </c>
    </row>
    <row r="11091" spans="1:19" x14ac:dyDescent="0.3">
      <c r="A11091" t="s">
        <v>23985</v>
      </c>
      <c r="B11091" t="s">
        <v>24580</v>
      </c>
      <c r="C11091" t="s">
        <v>24692</v>
      </c>
      <c r="D11091" t="s">
        <v>20006</v>
      </c>
      <c r="E11091" t="s">
        <v>23991</v>
      </c>
      <c r="F11091" t="s">
        <v>24090</v>
      </c>
      <c r="G11091" t="s">
        <v>24691</v>
      </c>
      <c r="H11091" t="s">
        <v>859</v>
      </c>
      <c r="I11091" t="s">
        <v>860</v>
      </c>
      <c r="J11091" t="str">
        <f>"9240190"</f>
        <v>9240190</v>
      </c>
      <c r="K11091">
        <v>2663049333</v>
      </c>
      <c r="L11091">
        <v>2663049333</v>
      </c>
      <c r="M11091" t="s">
        <v>24693</v>
      </c>
      <c r="N11091" t="s">
        <v>24694</v>
      </c>
      <c r="O11091" t="s">
        <v>24695</v>
      </c>
      <c r="P11091">
        <v>49083</v>
      </c>
      <c r="Q11091" t="str">
        <f>"39.681338"</f>
        <v>39.681338</v>
      </c>
      <c r="R11091" t="str">
        <f>"19.707480"</f>
        <v>19.707480</v>
      </c>
      <c r="S11091" t="s">
        <v>26</v>
      </c>
    </row>
    <row r="11092" spans="1:19" x14ac:dyDescent="0.3">
      <c r="A11092" t="s">
        <v>23985</v>
      </c>
      <c r="B11092" t="s">
        <v>24580</v>
      </c>
      <c r="C11092" t="s">
        <v>24696</v>
      </c>
      <c r="D11092" t="s">
        <v>20006</v>
      </c>
      <c r="E11092" t="s">
        <v>24075</v>
      </c>
      <c r="F11092" t="s">
        <v>24076</v>
      </c>
      <c r="G11092" t="s">
        <v>13744</v>
      </c>
      <c r="H11092" t="s">
        <v>859</v>
      </c>
      <c r="I11092" t="s">
        <v>860</v>
      </c>
      <c r="J11092" t="str">
        <f>"9240262"</f>
        <v>9240262</v>
      </c>
      <c r="K11092">
        <v>2662029036</v>
      </c>
      <c r="L11092">
        <v>2662029036</v>
      </c>
      <c r="M11092" t="s">
        <v>24697</v>
      </c>
      <c r="N11092" t="s">
        <v>24077</v>
      </c>
      <c r="O11092" t="s">
        <v>13744</v>
      </c>
      <c r="P11092">
        <v>49080</v>
      </c>
      <c r="Q11092" t="str">
        <f>"39.403299"</f>
        <v>39.403299</v>
      </c>
      <c r="R11092" t="str">
        <f>"20.067398"</f>
        <v>20.067398</v>
      </c>
      <c r="S11092" t="s">
        <v>26</v>
      </c>
    </row>
    <row r="11093" spans="1:19" x14ac:dyDescent="0.3">
      <c r="A11093" t="s">
        <v>23985</v>
      </c>
      <c r="B11093" t="s">
        <v>24580</v>
      </c>
      <c r="C11093" t="s">
        <v>24699</v>
      </c>
      <c r="D11093" t="s">
        <v>20006</v>
      </c>
      <c r="E11093" t="s">
        <v>23991</v>
      </c>
      <c r="F11093" t="s">
        <v>24083</v>
      </c>
      <c r="G11093" t="s">
        <v>24698</v>
      </c>
      <c r="H11093" t="s">
        <v>859</v>
      </c>
      <c r="I11093" t="s">
        <v>860</v>
      </c>
      <c r="J11093" t="str">
        <f>"9240200"</f>
        <v>9240200</v>
      </c>
      <c r="K11093">
        <v>2661071132</v>
      </c>
      <c r="L11093">
        <v>2661072003</v>
      </c>
      <c r="M11093" t="s">
        <v>24700</v>
      </c>
      <c r="N11093" t="s">
        <v>24701</v>
      </c>
      <c r="O11093" t="s">
        <v>24702</v>
      </c>
      <c r="P11093">
        <v>49084</v>
      </c>
      <c r="Q11093" t="str">
        <f>"39.548689"</f>
        <v>39.548689</v>
      </c>
      <c r="R11093" t="str">
        <f>"19.912062"</f>
        <v>19.912062</v>
      </c>
      <c r="S11093" t="s">
        <v>26</v>
      </c>
    </row>
    <row r="11094" spans="1:19" x14ac:dyDescent="0.3">
      <c r="A11094" t="s">
        <v>23985</v>
      </c>
      <c r="B11094" t="s">
        <v>24580</v>
      </c>
      <c r="C11094" t="s">
        <v>24707</v>
      </c>
      <c r="D11094" t="s">
        <v>20006</v>
      </c>
      <c r="E11094" t="s">
        <v>24075</v>
      </c>
      <c r="F11094" t="s">
        <v>24076</v>
      </c>
      <c r="G11094" t="s">
        <v>24077</v>
      </c>
      <c r="H11094" t="s">
        <v>859</v>
      </c>
      <c r="I11094" t="s">
        <v>860</v>
      </c>
      <c r="J11094" t="str">
        <f>"9240202"</f>
        <v>9240202</v>
      </c>
      <c r="K11094">
        <v>2662023539</v>
      </c>
      <c r="L11094">
        <v>2662023539</v>
      </c>
      <c r="M11094" t="s">
        <v>24708</v>
      </c>
      <c r="N11094" t="s">
        <v>24709</v>
      </c>
      <c r="O11094" t="s">
        <v>24710</v>
      </c>
      <c r="P11094">
        <v>49080</v>
      </c>
      <c r="Q11094" t="str">
        <f>"39.420640"</f>
        <v>39.420640</v>
      </c>
      <c r="R11094" t="str">
        <f>"20.081850"</f>
        <v>20.081850</v>
      </c>
      <c r="S11094" t="s">
        <v>26</v>
      </c>
    </row>
    <row r="11095" spans="1:19" x14ac:dyDescent="0.3">
      <c r="A11095" t="s">
        <v>23985</v>
      </c>
      <c r="B11095" t="s">
        <v>24580</v>
      </c>
      <c r="C11095" t="s">
        <v>24712</v>
      </c>
      <c r="D11095" t="s">
        <v>20006</v>
      </c>
      <c r="E11095" t="s">
        <v>24075</v>
      </c>
      <c r="F11095" t="s">
        <v>24213</v>
      </c>
      <c r="G11095" t="s">
        <v>24711</v>
      </c>
      <c r="H11095" t="s">
        <v>859</v>
      </c>
      <c r="I11095" t="s">
        <v>860</v>
      </c>
      <c r="J11095" t="str">
        <f>"9240201"</f>
        <v>9240201</v>
      </c>
      <c r="K11095">
        <v>2662051604</v>
      </c>
      <c r="L11095">
        <v>2662051604</v>
      </c>
      <c r="M11095" t="s">
        <v>24713</v>
      </c>
      <c r="N11095" t="s">
        <v>24714</v>
      </c>
      <c r="O11095" t="s">
        <v>24715</v>
      </c>
      <c r="P11095">
        <v>49080</v>
      </c>
      <c r="Q11095" t="str">
        <f>"39.451740"</f>
        <v>39.451740</v>
      </c>
      <c r="R11095" t="str">
        <f>"19.997612"</f>
        <v>19.997612</v>
      </c>
      <c r="S11095" t="s">
        <v>26</v>
      </c>
    </row>
    <row r="11096" spans="1:19" x14ac:dyDescent="0.3">
      <c r="A11096" t="s">
        <v>23985</v>
      </c>
      <c r="B11096" t="s">
        <v>24580</v>
      </c>
      <c r="C11096" t="s">
        <v>24716</v>
      </c>
      <c r="D11096" t="s">
        <v>20006</v>
      </c>
      <c r="E11096" t="s">
        <v>23991</v>
      </c>
      <c r="F11096" t="s">
        <v>24083</v>
      </c>
      <c r="G11096" t="s">
        <v>24628</v>
      </c>
      <c r="H11096" t="s">
        <v>859</v>
      </c>
      <c r="I11096" t="s">
        <v>860</v>
      </c>
      <c r="J11096" t="str">
        <f>"9240264"</f>
        <v>9240264</v>
      </c>
      <c r="K11096">
        <v>2661042000</v>
      </c>
      <c r="L11096">
        <v>2661042000</v>
      </c>
      <c r="M11096" t="s">
        <v>24717</v>
      </c>
      <c r="N11096" t="s">
        <v>24632</v>
      </c>
      <c r="O11096" t="s">
        <v>24632</v>
      </c>
      <c r="P11096">
        <v>49084</v>
      </c>
      <c r="Q11096" t="str">
        <f>"39.593037"</f>
        <v>39.593037</v>
      </c>
      <c r="R11096" t="str">
        <f>"19.890753"</f>
        <v>19.890753</v>
      </c>
      <c r="S11096" t="s">
        <v>26</v>
      </c>
    </row>
    <row r="11097" spans="1:19" x14ac:dyDescent="0.3">
      <c r="A11097" t="s">
        <v>23985</v>
      </c>
      <c r="B11097" t="s">
        <v>24580</v>
      </c>
      <c r="C11097" t="s">
        <v>24723</v>
      </c>
      <c r="D11097" t="s">
        <v>20006</v>
      </c>
      <c r="E11097" t="s">
        <v>24148</v>
      </c>
      <c r="F11097" t="s">
        <v>24149</v>
      </c>
      <c r="G11097" t="s">
        <v>24203</v>
      </c>
      <c r="H11097" t="s">
        <v>859</v>
      </c>
      <c r="I11097" t="s">
        <v>860</v>
      </c>
      <c r="J11097" t="str">
        <f>"9240259"</f>
        <v>9240259</v>
      </c>
      <c r="K11097">
        <v>2663095887</v>
      </c>
      <c r="L11097">
        <v>2663095887</v>
      </c>
      <c r="M11097" t="s">
        <v>24724</v>
      </c>
      <c r="N11097" t="s">
        <v>24206</v>
      </c>
      <c r="O11097" t="s">
        <v>24206</v>
      </c>
      <c r="P11097">
        <v>49081</v>
      </c>
      <c r="Q11097" t="str">
        <f>"39.785114"</f>
        <v>39.785114</v>
      </c>
      <c r="R11097" t="str">
        <f>"19.674494"</f>
        <v>19.674494</v>
      </c>
      <c r="S11097" t="s">
        <v>26</v>
      </c>
    </row>
    <row r="11098" spans="1:19" x14ac:dyDescent="0.3">
      <c r="A11098" t="s">
        <v>23985</v>
      </c>
      <c r="B11098" t="s">
        <v>24580</v>
      </c>
      <c r="C11098" t="s">
        <v>24727</v>
      </c>
      <c r="D11098" t="s">
        <v>20006</v>
      </c>
      <c r="E11098" t="s">
        <v>23991</v>
      </c>
      <c r="F11098" t="s">
        <v>24083</v>
      </c>
      <c r="G11098" t="s">
        <v>24726</v>
      </c>
      <c r="H11098" t="s">
        <v>859</v>
      </c>
      <c r="I11098" t="s">
        <v>860</v>
      </c>
      <c r="J11098" t="str">
        <f>"9240187"</f>
        <v>9240187</v>
      </c>
      <c r="K11098">
        <v>2661053053</v>
      </c>
      <c r="L11098">
        <v>2661053053</v>
      </c>
      <c r="M11098" t="s">
        <v>24728</v>
      </c>
      <c r="N11098" t="s">
        <v>24729</v>
      </c>
      <c r="O11098" t="s">
        <v>24729</v>
      </c>
      <c r="P11098">
        <v>49084</v>
      </c>
      <c r="Q11098" t="str">
        <f>"39.539377"</f>
        <v>39.539377</v>
      </c>
      <c r="R11098" t="str">
        <f>"19.864544"</f>
        <v>19.864544</v>
      </c>
      <c r="S11098" t="s">
        <v>26</v>
      </c>
    </row>
    <row r="11099" spans="1:19" x14ac:dyDescent="0.3">
      <c r="A11099" t="s">
        <v>23985</v>
      </c>
      <c r="B11099" t="s">
        <v>24580</v>
      </c>
      <c r="C11099" t="s">
        <v>24734</v>
      </c>
      <c r="D11099" t="s">
        <v>20006</v>
      </c>
      <c r="E11099" t="s">
        <v>23991</v>
      </c>
      <c r="F11099" t="s">
        <v>24083</v>
      </c>
      <c r="G11099" t="s">
        <v>24733</v>
      </c>
      <c r="H11099" t="s">
        <v>859</v>
      </c>
      <c r="I11099" t="s">
        <v>860</v>
      </c>
      <c r="J11099" t="str">
        <f>"9240223"</f>
        <v>9240223</v>
      </c>
      <c r="K11099">
        <v>2661057175</v>
      </c>
      <c r="M11099" t="s">
        <v>24735</v>
      </c>
      <c r="N11099" t="s">
        <v>24736</v>
      </c>
      <c r="O11099" t="s">
        <v>24736</v>
      </c>
      <c r="P11099">
        <v>49084</v>
      </c>
      <c r="Q11099" t="str">
        <f>"39.561898"</f>
        <v>39.561898</v>
      </c>
      <c r="R11099" t="str">
        <f>"19.899911"</f>
        <v>19.899911</v>
      </c>
      <c r="S11099" t="s">
        <v>26</v>
      </c>
    </row>
    <row r="11100" spans="1:19" x14ac:dyDescent="0.3">
      <c r="A11100" t="s">
        <v>23985</v>
      </c>
      <c r="B11100" t="s">
        <v>24580</v>
      </c>
      <c r="C11100" t="s">
        <v>24737</v>
      </c>
      <c r="D11100" t="s">
        <v>20006</v>
      </c>
      <c r="E11100" t="s">
        <v>23991</v>
      </c>
      <c r="F11100" t="s">
        <v>24090</v>
      </c>
      <c r="G11100" t="s">
        <v>24091</v>
      </c>
      <c r="H11100" t="s">
        <v>859</v>
      </c>
      <c r="I11100" t="s">
        <v>860</v>
      </c>
      <c r="J11100" t="str">
        <f>"9240129"</f>
        <v>9240129</v>
      </c>
      <c r="K11100">
        <v>2663041660</v>
      </c>
      <c r="M11100" t="s">
        <v>24738</v>
      </c>
      <c r="N11100" t="s">
        <v>24095</v>
      </c>
      <c r="O11100" t="s">
        <v>24096</v>
      </c>
      <c r="P11100">
        <v>49083</v>
      </c>
      <c r="Q11100" t="str">
        <f>"39.669103"</f>
        <v>39.669103</v>
      </c>
      <c r="R11100" t="str">
        <f>"19.740093"</f>
        <v>19.740093</v>
      </c>
      <c r="S11100" t="s">
        <v>26</v>
      </c>
    </row>
    <row r="11101" spans="1:19" x14ac:dyDescent="0.3">
      <c r="A11101" t="s">
        <v>23985</v>
      </c>
      <c r="B11101" t="s">
        <v>24580</v>
      </c>
      <c r="C11101" t="s">
        <v>24740</v>
      </c>
      <c r="D11101" t="s">
        <v>20006</v>
      </c>
      <c r="E11101" t="s">
        <v>24075</v>
      </c>
      <c r="F11101" t="s">
        <v>24718</v>
      </c>
      <c r="G11101" t="s">
        <v>24739</v>
      </c>
      <c r="H11101" t="s">
        <v>859</v>
      </c>
      <c r="I11101" t="s">
        <v>860</v>
      </c>
      <c r="J11101" t="str">
        <f>"9240252"</f>
        <v>9240252</v>
      </c>
      <c r="K11101">
        <v>2661075895</v>
      </c>
      <c r="L11101">
        <v>2661075895</v>
      </c>
      <c r="M11101" t="s">
        <v>24741</v>
      </c>
      <c r="N11101" t="s">
        <v>24742</v>
      </c>
      <c r="O11101" t="s">
        <v>24743</v>
      </c>
      <c r="P11101">
        <v>49084</v>
      </c>
      <c r="Q11101" t="str">
        <f>"39.494552"</f>
        <v>39.494552</v>
      </c>
      <c r="R11101" t="str">
        <f>"19.918575"</f>
        <v>19.918575</v>
      </c>
      <c r="S11101" t="s">
        <v>26</v>
      </c>
    </row>
    <row r="11102" spans="1:19" x14ac:dyDescent="0.3">
      <c r="A11102" t="s">
        <v>23985</v>
      </c>
      <c r="B11102" t="s">
        <v>24580</v>
      </c>
      <c r="C11102" t="s">
        <v>24751</v>
      </c>
      <c r="D11102" t="s">
        <v>20006</v>
      </c>
      <c r="E11102" t="s">
        <v>23991</v>
      </c>
      <c r="F11102" t="s">
        <v>24083</v>
      </c>
      <c r="G11102" t="s">
        <v>24746</v>
      </c>
      <c r="H11102" t="s">
        <v>859</v>
      </c>
      <c r="I11102" t="s">
        <v>860</v>
      </c>
      <c r="J11102" t="str">
        <f>"9240204"</f>
        <v>9240204</v>
      </c>
      <c r="K11102">
        <v>2661057373</v>
      </c>
      <c r="L11102">
        <v>2661057373</v>
      </c>
      <c r="M11102" t="s">
        <v>24752</v>
      </c>
      <c r="N11102" t="s">
        <v>24746</v>
      </c>
      <c r="O11102" t="s">
        <v>24750</v>
      </c>
      <c r="P11102">
        <v>49084</v>
      </c>
      <c r="Q11102" t="str">
        <f>"39.568388"</f>
        <v>39.568388</v>
      </c>
      <c r="R11102" t="str">
        <f>"19.887837"</f>
        <v>19.887837</v>
      </c>
      <c r="S11102" t="s">
        <v>26</v>
      </c>
    </row>
    <row r="11103" spans="1:19" x14ac:dyDescent="0.3">
      <c r="A11103" t="s">
        <v>23985</v>
      </c>
      <c r="B11103" t="s">
        <v>24580</v>
      </c>
      <c r="C11103" t="s">
        <v>24753</v>
      </c>
      <c r="D11103" t="s">
        <v>20006</v>
      </c>
      <c r="E11103" t="s">
        <v>23991</v>
      </c>
      <c r="F11103" t="s">
        <v>24158</v>
      </c>
      <c r="G11103" t="s">
        <v>24654</v>
      </c>
      <c r="H11103" t="s">
        <v>859</v>
      </c>
      <c r="I11103" t="s">
        <v>860</v>
      </c>
      <c r="J11103" t="str">
        <f>"9240164"</f>
        <v>9240164</v>
      </c>
      <c r="K11103">
        <v>2661054547</v>
      </c>
      <c r="L11103">
        <v>2661054295</v>
      </c>
      <c r="M11103" t="s">
        <v>24754</v>
      </c>
      <c r="N11103" t="s">
        <v>24755</v>
      </c>
      <c r="O11103" t="s">
        <v>24755</v>
      </c>
      <c r="P11103">
        <v>49084</v>
      </c>
      <c r="Q11103" t="str">
        <f>"39.566808"</f>
        <v>39.566808</v>
      </c>
      <c r="R11103" t="str">
        <f>"19.850154"</f>
        <v>19.850154</v>
      </c>
      <c r="S11103" t="s">
        <v>26</v>
      </c>
    </row>
    <row r="11104" spans="1:19" x14ac:dyDescent="0.3">
      <c r="A11104" t="s">
        <v>23985</v>
      </c>
      <c r="B11104" t="s">
        <v>24580</v>
      </c>
      <c r="C11104" t="s">
        <v>24757</v>
      </c>
      <c r="D11104" t="s">
        <v>20006</v>
      </c>
      <c r="E11104" t="s">
        <v>23991</v>
      </c>
      <c r="F11104" t="s">
        <v>24112</v>
      </c>
      <c r="G11104" t="s">
        <v>24756</v>
      </c>
      <c r="H11104" t="s">
        <v>859</v>
      </c>
      <c r="I11104" t="s">
        <v>860</v>
      </c>
      <c r="J11104" t="str">
        <f>"9240238"</f>
        <v>9240238</v>
      </c>
      <c r="K11104">
        <v>2661093713</v>
      </c>
      <c r="L11104">
        <v>2661093713</v>
      </c>
      <c r="M11104" t="s">
        <v>24758</v>
      </c>
      <c r="N11104" t="s">
        <v>13708</v>
      </c>
      <c r="O11104" t="s">
        <v>13708</v>
      </c>
      <c r="P11104">
        <v>49083</v>
      </c>
      <c r="Q11104" t="str">
        <f>"39.705869"</f>
        <v>39.705869</v>
      </c>
      <c r="R11104" t="str">
        <f>"19.834285"</f>
        <v>19.834285</v>
      </c>
      <c r="S11104" t="s">
        <v>26</v>
      </c>
    </row>
    <row r="11105" spans="1:19" x14ac:dyDescent="0.3">
      <c r="A11105" t="s">
        <v>23985</v>
      </c>
      <c r="B11105" t="s">
        <v>24580</v>
      </c>
      <c r="C11105" t="s">
        <v>24759</v>
      </c>
      <c r="D11105" t="s">
        <v>20006</v>
      </c>
      <c r="E11105" t="s">
        <v>24075</v>
      </c>
      <c r="F11105" t="s">
        <v>24718</v>
      </c>
      <c r="G11105" t="s">
        <v>24719</v>
      </c>
      <c r="H11105" t="s">
        <v>859</v>
      </c>
      <c r="I11105" t="s">
        <v>860</v>
      </c>
      <c r="J11105" t="str">
        <f>"9240245"</f>
        <v>9240245</v>
      </c>
      <c r="K11105">
        <v>2661075842</v>
      </c>
      <c r="L11105">
        <v>2661075842</v>
      </c>
      <c r="M11105" t="s">
        <v>24760</v>
      </c>
      <c r="N11105" t="s">
        <v>24722</v>
      </c>
      <c r="O11105" t="s">
        <v>24722</v>
      </c>
      <c r="P11105">
        <v>49084</v>
      </c>
      <c r="Q11105" t="str">
        <f>"39.497311"</f>
        <v>39.497311</v>
      </c>
      <c r="R11105" t="str">
        <f>"19.874560"</f>
        <v>19.874560</v>
      </c>
      <c r="S11105" t="s">
        <v>26</v>
      </c>
    </row>
    <row r="11106" spans="1:19" x14ac:dyDescent="0.3">
      <c r="A11106" t="s">
        <v>23985</v>
      </c>
      <c r="B11106" t="s">
        <v>24580</v>
      </c>
      <c r="C11106" t="s">
        <v>24762</v>
      </c>
      <c r="D11106" t="s">
        <v>20006</v>
      </c>
      <c r="E11106" t="s">
        <v>23991</v>
      </c>
      <c r="F11106" t="s">
        <v>24158</v>
      </c>
      <c r="G11106" t="s">
        <v>24761</v>
      </c>
      <c r="H11106" t="s">
        <v>859</v>
      </c>
      <c r="I11106" t="s">
        <v>860</v>
      </c>
      <c r="J11106" t="str">
        <f>"9240255"</f>
        <v>9240255</v>
      </c>
      <c r="K11106">
        <v>2661094111</v>
      </c>
      <c r="L11106">
        <v>2661094111</v>
      </c>
      <c r="M11106" t="s">
        <v>24763</v>
      </c>
      <c r="N11106" t="s">
        <v>24764</v>
      </c>
      <c r="O11106" t="s">
        <v>24765</v>
      </c>
      <c r="P11106">
        <v>49100</v>
      </c>
      <c r="Q11106" t="str">
        <f>"39.608367"</f>
        <v>39.608367</v>
      </c>
      <c r="R11106" t="str">
        <f>"19.790889"</f>
        <v>19.790889</v>
      </c>
      <c r="S11106" t="s">
        <v>26</v>
      </c>
    </row>
    <row r="11107" spans="1:19" x14ac:dyDescent="0.3">
      <c r="A11107" t="s">
        <v>23985</v>
      </c>
      <c r="B11107" t="s">
        <v>24580</v>
      </c>
      <c r="C11107" t="s">
        <v>24770</v>
      </c>
      <c r="D11107" t="s">
        <v>20006</v>
      </c>
      <c r="E11107" t="s">
        <v>24148</v>
      </c>
      <c r="F11107" t="s">
        <v>24149</v>
      </c>
      <c r="G11107" t="s">
        <v>24769</v>
      </c>
      <c r="H11107" t="s">
        <v>859</v>
      </c>
      <c r="I11107" t="s">
        <v>860</v>
      </c>
      <c r="J11107" t="str">
        <f>"9240240"</f>
        <v>9240240</v>
      </c>
      <c r="K11107">
        <v>2663031127</v>
      </c>
      <c r="M11107" t="s">
        <v>24771</v>
      </c>
      <c r="N11107" t="s">
        <v>24772</v>
      </c>
      <c r="O11107" t="s">
        <v>24772</v>
      </c>
      <c r="P11107">
        <v>49081</v>
      </c>
      <c r="Q11107" t="str">
        <f>"39.752155"</f>
        <v>39.752155</v>
      </c>
      <c r="R11107" t="str">
        <f>"19.707671"</f>
        <v>19.707671</v>
      </c>
      <c r="S11107" t="s">
        <v>26</v>
      </c>
    </row>
    <row r="11108" spans="1:19" x14ac:dyDescent="0.3">
      <c r="A11108" t="s">
        <v>23985</v>
      </c>
      <c r="B11108" t="s">
        <v>24580</v>
      </c>
      <c r="C11108" t="s">
        <v>24773</v>
      </c>
      <c r="D11108" t="s">
        <v>20006</v>
      </c>
      <c r="E11108" t="s">
        <v>24148</v>
      </c>
      <c r="F11108" t="s">
        <v>24196</v>
      </c>
      <c r="G11108" t="s">
        <v>18684</v>
      </c>
      <c r="H11108" t="s">
        <v>859</v>
      </c>
      <c r="I11108" t="s">
        <v>860</v>
      </c>
      <c r="J11108" t="str">
        <f>"9240247"</f>
        <v>9240247</v>
      </c>
      <c r="K11108">
        <v>2663063290</v>
      </c>
      <c r="L11108">
        <v>2663063290</v>
      </c>
      <c r="M11108" t="s">
        <v>24774</v>
      </c>
      <c r="N11108" t="s">
        <v>24201</v>
      </c>
      <c r="O11108" t="s">
        <v>24201</v>
      </c>
      <c r="P11108">
        <v>49083</v>
      </c>
      <c r="Q11108" t="str">
        <f>"39.791341"</f>
        <v>39.791341</v>
      </c>
      <c r="R11108" t="str">
        <f>"19.820749"</f>
        <v>19.820749</v>
      </c>
      <c r="S11108" t="s">
        <v>26</v>
      </c>
    </row>
    <row r="11109" spans="1:19" x14ac:dyDescent="0.3">
      <c r="A11109" t="s">
        <v>23985</v>
      </c>
      <c r="B11109" t="s">
        <v>24580</v>
      </c>
      <c r="C11109" t="s">
        <v>24775</v>
      </c>
      <c r="D11109" t="s">
        <v>20006</v>
      </c>
      <c r="E11109" t="s">
        <v>23991</v>
      </c>
      <c r="F11109" t="s">
        <v>23992</v>
      </c>
      <c r="G11109" t="s">
        <v>23992</v>
      </c>
      <c r="H11109" t="s">
        <v>859</v>
      </c>
      <c r="I11109" t="s">
        <v>860</v>
      </c>
      <c r="J11109" t="str">
        <f>"9240162"</f>
        <v>9240162</v>
      </c>
      <c r="K11109">
        <v>2661049479</v>
      </c>
      <c r="L11109">
        <v>2661049479</v>
      </c>
      <c r="M11109" t="s">
        <v>24776</v>
      </c>
      <c r="N11109" t="s">
        <v>23995</v>
      </c>
      <c r="O11109" t="s">
        <v>24777</v>
      </c>
      <c r="P11109">
        <v>49100</v>
      </c>
      <c r="Q11109" t="str">
        <f>"39.624984"</f>
        <v>39.624984</v>
      </c>
      <c r="R11109" t="str">
        <f>"19.922346"</f>
        <v>19.922346</v>
      </c>
      <c r="S11109" t="s">
        <v>26</v>
      </c>
    </row>
    <row r="11110" spans="1:19" x14ac:dyDescent="0.3">
      <c r="A11110" t="s">
        <v>23985</v>
      </c>
      <c r="B11110" t="s">
        <v>24580</v>
      </c>
      <c r="C11110" t="s">
        <v>24778</v>
      </c>
      <c r="D11110" t="s">
        <v>20006</v>
      </c>
      <c r="E11110" t="s">
        <v>24148</v>
      </c>
      <c r="F11110" t="s">
        <v>24176</v>
      </c>
      <c r="G11110" t="s">
        <v>24177</v>
      </c>
      <c r="H11110" t="s">
        <v>859</v>
      </c>
      <c r="I11110" t="s">
        <v>860</v>
      </c>
      <c r="J11110" t="str">
        <f>"9240193"</f>
        <v>9240193</v>
      </c>
      <c r="K11110">
        <v>2663081825</v>
      </c>
      <c r="L11110">
        <v>2663081825</v>
      </c>
      <c r="M11110" t="s">
        <v>24779</v>
      </c>
      <c r="N11110" t="s">
        <v>24181</v>
      </c>
      <c r="O11110" t="s">
        <v>24780</v>
      </c>
      <c r="P11110">
        <v>49081</v>
      </c>
      <c r="Q11110" t="str">
        <f>"39.789261"</f>
        <v>39.789261</v>
      </c>
      <c r="R11110" t="str">
        <f>"19.922666"</f>
        <v>19.922666</v>
      </c>
      <c r="S11110" t="s">
        <v>26</v>
      </c>
    </row>
    <row r="11111" spans="1:19" x14ac:dyDescent="0.3">
      <c r="A11111" t="s">
        <v>23985</v>
      </c>
      <c r="B11111" t="s">
        <v>24580</v>
      </c>
      <c r="C11111" t="s">
        <v>24786</v>
      </c>
      <c r="D11111" t="s">
        <v>20006</v>
      </c>
      <c r="E11111" t="s">
        <v>23991</v>
      </c>
      <c r="F11111" t="s">
        <v>23992</v>
      </c>
      <c r="G11111" t="s">
        <v>23992</v>
      </c>
      <c r="H11111" t="s">
        <v>859</v>
      </c>
      <c r="I11111" t="s">
        <v>860</v>
      </c>
      <c r="J11111" t="str">
        <f>"9240251"</f>
        <v>9240251</v>
      </c>
      <c r="K11111">
        <v>2661048340</v>
      </c>
      <c r="L11111">
        <v>2661048340</v>
      </c>
      <c r="M11111" t="s">
        <v>24787</v>
      </c>
      <c r="N11111" t="s">
        <v>23995</v>
      </c>
      <c r="O11111" t="s">
        <v>3795</v>
      </c>
      <c r="P11111">
        <v>49100</v>
      </c>
      <c r="Q11111" t="str">
        <f>"39.608396"</f>
        <v>39.608396</v>
      </c>
      <c r="R11111" t="str">
        <f>"19.921231"</f>
        <v>19.921231</v>
      </c>
      <c r="S11111" t="s">
        <v>26</v>
      </c>
    </row>
    <row r="11112" spans="1:19" x14ac:dyDescent="0.3">
      <c r="A11112" t="s">
        <v>23985</v>
      </c>
      <c r="B11112" t="s">
        <v>24580</v>
      </c>
      <c r="C11112" t="s">
        <v>24789</v>
      </c>
      <c r="D11112" t="s">
        <v>20006</v>
      </c>
      <c r="E11112" t="s">
        <v>24148</v>
      </c>
      <c r="F11112" t="s">
        <v>24149</v>
      </c>
      <c r="G11112" t="s">
        <v>24788</v>
      </c>
      <c r="H11112" t="s">
        <v>859</v>
      </c>
      <c r="I11112" t="s">
        <v>860</v>
      </c>
      <c r="J11112" t="str">
        <f>"9240101"</f>
        <v>9240101</v>
      </c>
      <c r="K11112">
        <v>2663099020</v>
      </c>
      <c r="M11112" t="s">
        <v>24790</v>
      </c>
      <c r="N11112" t="s">
        <v>24791</v>
      </c>
      <c r="O11112" t="s">
        <v>24791</v>
      </c>
      <c r="P11112">
        <v>49081</v>
      </c>
      <c r="Q11112" t="str">
        <f>"39.776809"</f>
        <v>39.776809</v>
      </c>
      <c r="R11112" t="str">
        <f>"19.662062"</f>
        <v>19.662062</v>
      </c>
      <c r="S11112" t="s">
        <v>26</v>
      </c>
    </row>
    <row r="11113" spans="1:19" x14ac:dyDescent="0.3">
      <c r="A11113" t="s">
        <v>23985</v>
      </c>
      <c r="B11113" t="s">
        <v>24580</v>
      </c>
      <c r="C11113" t="s">
        <v>24793</v>
      </c>
      <c r="D11113" t="s">
        <v>20006</v>
      </c>
      <c r="E11113" t="s">
        <v>24148</v>
      </c>
      <c r="F11113" t="s">
        <v>24149</v>
      </c>
      <c r="G11113" t="s">
        <v>24792</v>
      </c>
      <c r="H11113" t="s">
        <v>859</v>
      </c>
      <c r="I11113" t="s">
        <v>860</v>
      </c>
      <c r="J11113" t="str">
        <f>"9240237"</f>
        <v>9240237</v>
      </c>
      <c r="K11113">
        <v>2663051740</v>
      </c>
      <c r="L11113">
        <v>2663051470</v>
      </c>
      <c r="M11113" t="s">
        <v>24794</v>
      </c>
      <c r="N11113" t="s">
        <v>24795</v>
      </c>
      <c r="O11113" t="s">
        <v>24795</v>
      </c>
      <c r="P11113">
        <v>49081</v>
      </c>
      <c r="Q11113" t="str">
        <f>"39.756030"</f>
        <v>39.756030</v>
      </c>
      <c r="R11113" t="str">
        <f>"19.674755"</f>
        <v>19.674755</v>
      </c>
      <c r="S11113" t="s">
        <v>26</v>
      </c>
    </row>
    <row r="11114" spans="1:19" x14ac:dyDescent="0.3">
      <c r="A11114" t="s">
        <v>23985</v>
      </c>
      <c r="B11114" t="s">
        <v>24580</v>
      </c>
      <c r="C11114" t="s">
        <v>24796</v>
      </c>
      <c r="D11114" t="s">
        <v>20006</v>
      </c>
      <c r="E11114" t="s">
        <v>23991</v>
      </c>
      <c r="F11114" t="s">
        <v>23992</v>
      </c>
      <c r="G11114" t="s">
        <v>23992</v>
      </c>
      <c r="H11114" t="s">
        <v>859</v>
      </c>
      <c r="I11114" t="s">
        <v>860</v>
      </c>
      <c r="J11114" t="str">
        <f>"9240183"</f>
        <v>9240183</v>
      </c>
      <c r="K11114">
        <v>2661023049</v>
      </c>
      <c r="M11114" t="s">
        <v>24797</v>
      </c>
      <c r="N11114" t="s">
        <v>23995</v>
      </c>
      <c r="O11114" t="s">
        <v>24650</v>
      </c>
      <c r="P11114">
        <v>49100</v>
      </c>
      <c r="Q11114" t="str">
        <f>"39.623149"</f>
        <v>39.623149</v>
      </c>
      <c r="R11114" t="str">
        <f>"19.919538"</f>
        <v>19.919538</v>
      </c>
      <c r="S11114" t="s">
        <v>26</v>
      </c>
    </row>
    <row r="11115" spans="1:19" x14ac:dyDescent="0.3">
      <c r="A11115" t="s">
        <v>23985</v>
      </c>
      <c r="B11115" t="s">
        <v>24580</v>
      </c>
      <c r="C11115" t="s">
        <v>24799</v>
      </c>
      <c r="D11115" t="s">
        <v>20006</v>
      </c>
      <c r="E11115" t="s">
        <v>24148</v>
      </c>
      <c r="F11115" t="s">
        <v>1872</v>
      </c>
      <c r="G11115" t="s">
        <v>24798</v>
      </c>
      <c r="H11115" t="s">
        <v>859</v>
      </c>
      <c r="I11115" t="s">
        <v>860</v>
      </c>
      <c r="J11115" t="str">
        <f>"9240222"</f>
        <v>9240222</v>
      </c>
      <c r="K11115">
        <v>2663051260</v>
      </c>
      <c r="L11115">
        <v>2663051260</v>
      </c>
      <c r="M11115" t="s">
        <v>24800</v>
      </c>
      <c r="N11115" t="s">
        <v>24801</v>
      </c>
      <c r="O11115" t="s">
        <v>24801</v>
      </c>
      <c r="P11115">
        <v>49081</v>
      </c>
      <c r="Q11115" t="str">
        <f>"39.746711"</f>
        <v>39.746711</v>
      </c>
      <c r="R11115" t="str">
        <f>"19.681860"</f>
        <v>19.681860</v>
      </c>
      <c r="S11115" t="s">
        <v>26</v>
      </c>
    </row>
    <row r="11116" spans="1:19" x14ac:dyDescent="0.3">
      <c r="A11116" t="s">
        <v>23985</v>
      </c>
      <c r="B11116" t="s">
        <v>24580</v>
      </c>
      <c r="C11116" t="s">
        <v>24802</v>
      </c>
      <c r="D11116" t="s">
        <v>20006</v>
      </c>
      <c r="E11116" t="s">
        <v>24148</v>
      </c>
      <c r="F11116" t="s">
        <v>1872</v>
      </c>
      <c r="G11116" t="s">
        <v>24208</v>
      </c>
      <c r="H11116" t="s">
        <v>859</v>
      </c>
      <c r="I11116" t="s">
        <v>860</v>
      </c>
      <c r="J11116" t="str">
        <f>"9240192"</f>
        <v>9240192</v>
      </c>
      <c r="K11116">
        <v>2663071030</v>
      </c>
      <c r="L11116">
        <v>2663071030</v>
      </c>
      <c r="M11116" t="s">
        <v>24803</v>
      </c>
      <c r="N11116" t="s">
        <v>24211</v>
      </c>
      <c r="O11116" t="s">
        <v>24211</v>
      </c>
      <c r="P11116">
        <v>49083</v>
      </c>
      <c r="Q11116" t="str">
        <f>"39.720042"</f>
        <v>39.720042</v>
      </c>
      <c r="R11116" t="str">
        <f>"19.724566"</f>
        <v>19.724566</v>
      </c>
      <c r="S11116" t="s">
        <v>26</v>
      </c>
    </row>
    <row r="11117" spans="1:19" x14ac:dyDescent="0.3">
      <c r="A11117" t="s">
        <v>23985</v>
      </c>
      <c r="B11117" t="s">
        <v>24580</v>
      </c>
      <c r="C11117" t="s">
        <v>24804</v>
      </c>
      <c r="D11117" t="s">
        <v>20006</v>
      </c>
      <c r="E11117" t="s">
        <v>23991</v>
      </c>
      <c r="F11117" t="s">
        <v>23992</v>
      </c>
      <c r="G11117" t="s">
        <v>23992</v>
      </c>
      <c r="H11117" t="s">
        <v>859</v>
      </c>
      <c r="I11117" t="s">
        <v>860</v>
      </c>
      <c r="J11117" t="str">
        <f>"9240165"</f>
        <v>9240165</v>
      </c>
      <c r="K11117">
        <v>2661046111</v>
      </c>
      <c r="M11117" t="s">
        <v>24805</v>
      </c>
      <c r="N11117" t="s">
        <v>20006</v>
      </c>
      <c r="O11117" t="s">
        <v>5322</v>
      </c>
      <c r="P11117">
        <v>49100</v>
      </c>
      <c r="Q11117" t="str">
        <f>"39.614136"</f>
        <v>39.614136</v>
      </c>
      <c r="R11117" t="str">
        <f>"19.917093"</f>
        <v>19.917093</v>
      </c>
      <c r="S11117" t="s">
        <v>26</v>
      </c>
    </row>
    <row r="11118" spans="1:19" x14ac:dyDescent="0.3">
      <c r="A11118" t="s">
        <v>23985</v>
      </c>
      <c r="B11118" t="s">
        <v>24580</v>
      </c>
      <c r="C11118" t="s">
        <v>24806</v>
      </c>
      <c r="D11118" t="s">
        <v>20006</v>
      </c>
      <c r="E11118" t="s">
        <v>24075</v>
      </c>
      <c r="F11118" t="s">
        <v>24213</v>
      </c>
      <c r="G11118" t="s">
        <v>24214</v>
      </c>
      <c r="H11118" t="s">
        <v>859</v>
      </c>
      <c r="I11118" t="s">
        <v>860</v>
      </c>
      <c r="J11118" t="str">
        <f>"9240180"</f>
        <v>9240180</v>
      </c>
      <c r="K11118">
        <v>2662051485</v>
      </c>
      <c r="L11118">
        <v>2662051427</v>
      </c>
      <c r="M11118" t="s">
        <v>24807</v>
      </c>
      <c r="N11118" t="s">
        <v>24808</v>
      </c>
      <c r="O11118" t="s">
        <v>24218</v>
      </c>
      <c r="P11118">
        <v>49080</v>
      </c>
      <c r="Q11118" t="str">
        <f>"39.438760"</f>
        <v>39.438760</v>
      </c>
      <c r="R11118" t="str">
        <f>"19.966805"</f>
        <v>19.966805</v>
      </c>
      <c r="S11118" t="s">
        <v>26</v>
      </c>
    </row>
    <row r="11119" spans="1:19" x14ac:dyDescent="0.3">
      <c r="A11119" t="s">
        <v>23985</v>
      </c>
      <c r="B11119" t="s">
        <v>24580</v>
      </c>
      <c r="C11119" t="s">
        <v>24809</v>
      </c>
      <c r="D11119" t="s">
        <v>20006</v>
      </c>
      <c r="E11119" t="s">
        <v>23991</v>
      </c>
      <c r="F11119" t="s">
        <v>23992</v>
      </c>
      <c r="G11119" t="s">
        <v>23992</v>
      </c>
      <c r="H11119" t="s">
        <v>859</v>
      </c>
      <c r="I11119" t="s">
        <v>860</v>
      </c>
      <c r="J11119" t="str">
        <f>"9240005"</f>
        <v>9240005</v>
      </c>
      <c r="K11119">
        <v>2661033984</v>
      </c>
      <c r="L11119">
        <v>2661033674</v>
      </c>
      <c r="M11119" t="s">
        <v>24810</v>
      </c>
      <c r="N11119" t="s">
        <v>23995</v>
      </c>
      <c r="O11119" t="s">
        <v>24811</v>
      </c>
      <c r="P11119">
        <v>49100</v>
      </c>
      <c r="Q11119" t="str">
        <f>"39.610044"</f>
        <v>39.610044</v>
      </c>
      <c r="R11119" t="str">
        <f>"19.922535"</f>
        <v>19.922535</v>
      </c>
      <c r="S11119" t="s">
        <v>26</v>
      </c>
    </row>
    <row r="11120" spans="1:19" x14ac:dyDescent="0.3">
      <c r="A11120" t="s">
        <v>23985</v>
      </c>
      <c r="B11120" t="s">
        <v>24580</v>
      </c>
      <c r="C11120" t="s">
        <v>24816</v>
      </c>
      <c r="D11120" t="s">
        <v>20006</v>
      </c>
      <c r="E11120" t="s">
        <v>23991</v>
      </c>
      <c r="F11120" t="s">
        <v>24112</v>
      </c>
      <c r="G11120" t="s">
        <v>24815</v>
      </c>
      <c r="H11120" t="s">
        <v>859</v>
      </c>
      <c r="I11120" t="s">
        <v>860</v>
      </c>
      <c r="J11120" t="str">
        <f>"9240234"</f>
        <v>9240234</v>
      </c>
      <c r="K11120">
        <v>2663092347</v>
      </c>
      <c r="L11120">
        <v>2663092347</v>
      </c>
      <c r="M11120" t="s">
        <v>24817</v>
      </c>
      <c r="O11120" t="s">
        <v>24818</v>
      </c>
      <c r="P11120">
        <v>49083</v>
      </c>
      <c r="Q11120" t="str">
        <f>"39.720670"</f>
        <v>39.720670</v>
      </c>
      <c r="R11120" t="str">
        <f>"19.841784"</f>
        <v>19.841784</v>
      </c>
      <c r="S11120" t="s">
        <v>26</v>
      </c>
    </row>
    <row r="11121" spans="1:19" x14ac:dyDescent="0.3">
      <c r="A11121" t="s">
        <v>23985</v>
      </c>
      <c r="B11121" t="s">
        <v>24580</v>
      </c>
      <c r="C11121" t="s">
        <v>24838</v>
      </c>
      <c r="D11121" t="s">
        <v>20006</v>
      </c>
      <c r="E11121" t="s">
        <v>24075</v>
      </c>
      <c r="F11121" t="s">
        <v>24076</v>
      </c>
      <c r="G11121" t="s">
        <v>24680</v>
      </c>
      <c r="H11121" t="s">
        <v>859</v>
      </c>
      <c r="I11121" t="s">
        <v>860</v>
      </c>
      <c r="J11121" t="str">
        <f>"9240161"</f>
        <v>9240161</v>
      </c>
      <c r="K11121">
        <v>2662022016</v>
      </c>
      <c r="L11121">
        <v>2662022016</v>
      </c>
      <c r="M11121" t="s">
        <v>24839</v>
      </c>
      <c r="N11121" t="s">
        <v>24135</v>
      </c>
      <c r="O11121" t="s">
        <v>24682</v>
      </c>
      <c r="P11121">
        <v>49080</v>
      </c>
      <c r="Q11121" t="str">
        <f>"39.421780"</f>
        <v>39.421780</v>
      </c>
      <c r="R11121" t="str">
        <f>"20.061431"</f>
        <v>20.061431</v>
      </c>
      <c r="S11121" t="s">
        <v>26</v>
      </c>
    </row>
    <row r="11122" spans="1:19" x14ac:dyDescent="0.3">
      <c r="A11122" t="s">
        <v>23985</v>
      </c>
      <c r="B11122" t="s">
        <v>24580</v>
      </c>
      <c r="C11122" t="s">
        <v>24879</v>
      </c>
      <c r="D11122" t="s">
        <v>20006</v>
      </c>
      <c r="E11122" t="s">
        <v>23991</v>
      </c>
      <c r="F11122" t="s">
        <v>23992</v>
      </c>
      <c r="G11122" t="s">
        <v>23992</v>
      </c>
      <c r="H11122" t="s">
        <v>859</v>
      </c>
      <c r="I11122" t="s">
        <v>860</v>
      </c>
      <c r="J11122" t="str">
        <f>"9240248"</f>
        <v>9240248</v>
      </c>
      <c r="K11122">
        <v>2661090999</v>
      </c>
      <c r="L11122">
        <v>2661091276</v>
      </c>
      <c r="M11122" t="s">
        <v>24880</v>
      </c>
      <c r="N11122" t="s">
        <v>24869</v>
      </c>
      <c r="O11122" t="s">
        <v>24869</v>
      </c>
      <c r="P11122">
        <v>49100</v>
      </c>
      <c r="Q11122" t="str">
        <f>"39.654459"</f>
        <v>39.654459</v>
      </c>
      <c r="R11122" t="str">
        <f>"19.842006"</f>
        <v>19.842006</v>
      </c>
      <c r="S11122" t="s">
        <v>26</v>
      </c>
    </row>
    <row r="11123" spans="1:19" x14ac:dyDescent="0.3">
      <c r="A11123" t="s">
        <v>23985</v>
      </c>
      <c r="B11123" t="s">
        <v>24580</v>
      </c>
      <c r="C11123" t="s">
        <v>24881</v>
      </c>
      <c r="D11123" t="s">
        <v>20006</v>
      </c>
      <c r="E11123" t="s">
        <v>24148</v>
      </c>
      <c r="F11123" t="s">
        <v>24196</v>
      </c>
      <c r="G11123" t="s">
        <v>24863</v>
      </c>
      <c r="H11123" t="s">
        <v>859</v>
      </c>
      <c r="I11123" t="s">
        <v>860</v>
      </c>
      <c r="J11123" t="str">
        <f>"9240168"</f>
        <v>9240168</v>
      </c>
      <c r="K11123">
        <v>2663094883</v>
      </c>
      <c r="L11123">
        <v>2663094883</v>
      </c>
      <c r="M11123" t="s">
        <v>24882</v>
      </c>
      <c r="N11123" t="s">
        <v>24883</v>
      </c>
      <c r="O11123" t="s">
        <v>24883</v>
      </c>
      <c r="P11123">
        <v>49081</v>
      </c>
      <c r="Q11123" t="str">
        <f>"39.756093"</f>
        <v>39.756093</v>
      </c>
      <c r="R11123" t="str">
        <f>"19.783064"</f>
        <v>19.783064</v>
      </c>
      <c r="S11123" t="s">
        <v>26</v>
      </c>
    </row>
    <row r="11124" spans="1:19" x14ac:dyDescent="0.3">
      <c r="A11124" t="s">
        <v>23985</v>
      </c>
      <c r="B11124" t="s">
        <v>24580</v>
      </c>
      <c r="C11124" t="s">
        <v>24884</v>
      </c>
      <c r="D11124" t="s">
        <v>20006</v>
      </c>
      <c r="E11124" t="s">
        <v>23991</v>
      </c>
      <c r="F11124" t="s">
        <v>24112</v>
      </c>
      <c r="G11124" t="s">
        <v>24233</v>
      </c>
      <c r="H11124" t="s">
        <v>859</v>
      </c>
      <c r="I11124" t="s">
        <v>860</v>
      </c>
      <c r="J11124" t="str">
        <f>"9240191"</f>
        <v>9240191</v>
      </c>
      <c r="K11124">
        <v>2663022533</v>
      </c>
      <c r="M11124" t="s">
        <v>24885</v>
      </c>
      <c r="N11124" t="s">
        <v>24886</v>
      </c>
      <c r="O11124" t="s">
        <v>24886</v>
      </c>
      <c r="P11124">
        <v>49083</v>
      </c>
      <c r="Q11124" t="str">
        <f>"39.705634"</f>
        <v>39.705634</v>
      </c>
      <c r="R11124" t="str">
        <f>"19.791142"</f>
        <v>19.791142</v>
      </c>
      <c r="S11124" t="s">
        <v>26</v>
      </c>
    </row>
    <row r="11125" spans="1:19" x14ac:dyDescent="0.3">
      <c r="A11125" t="s">
        <v>23985</v>
      </c>
      <c r="B11125" t="s">
        <v>24580</v>
      </c>
      <c r="C11125" t="s">
        <v>24887</v>
      </c>
      <c r="D11125" t="s">
        <v>20006</v>
      </c>
      <c r="E11125" t="s">
        <v>23991</v>
      </c>
      <c r="F11125" t="s">
        <v>23992</v>
      </c>
      <c r="G11125" t="s">
        <v>23992</v>
      </c>
      <c r="H11125" t="s">
        <v>859</v>
      </c>
      <c r="I11125" t="s">
        <v>860</v>
      </c>
      <c r="J11125" t="str">
        <f>"9240207"</f>
        <v>9240207</v>
      </c>
      <c r="K11125">
        <v>2661035125</v>
      </c>
      <c r="L11125">
        <v>2661035125</v>
      </c>
      <c r="M11125" t="s">
        <v>24888</v>
      </c>
      <c r="N11125" t="s">
        <v>23995</v>
      </c>
      <c r="O11125" t="s">
        <v>24889</v>
      </c>
      <c r="P11125">
        <v>49100</v>
      </c>
      <c r="Q11125" t="str">
        <f>"39.620034"</f>
        <v>39.620034</v>
      </c>
      <c r="R11125" t="str">
        <f>"19.915211"</f>
        <v>19.915211</v>
      </c>
      <c r="S11125" t="s">
        <v>26</v>
      </c>
    </row>
    <row r="11126" spans="1:19" x14ac:dyDescent="0.3">
      <c r="A11126" t="s">
        <v>23985</v>
      </c>
      <c r="B11126" t="s">
        <v>24580</v>
      </c>
      <c r="C11126" t="s">
        <v>24890</v>
      </c>
      <c r="D11126" t="s">
        <v>20006</v>
      </c>
      <c r="E11126" t="s">
        <v>23991</v>
      </c>
      <c r="F11126" t="s">
        <v>23992</v>
      </c>
      <c r="G11126" t="s">
        <v>23992</v>
      </c>
      <c r="H11126" t="s">
        <v>859</v>
      </c>
      <c r="I11126" t="s">
        <v>860</v>
      </c>
      <c r="J11126" t="str">
        <f>"9240003"</f>
        <v>9240003</v>
      </c>
      <c r="K11126">
        <v>2661036967</v>
      </c>
      <c r="L11126">
        <v>2661036967</v>
      </c>
      <c r="M11126" t="s">
        <v>24891</v>
      </c>
      <c r="N11126" t="s">
        <v>23995</v>
      </c>
      <c r="O11126" t="s">
        <v>24892</v>
      </c>
      <c r="P11126">
        <v>49100</v>
      </c>
      <c r="Q11126" t="str">
        <f>"39.620143"</f>
        <v>39.620143</v>
      </c>
      <c r="R11126" t="str">
        <f>"19.906190"</f>
        <v>19.906190</v>
      </c>
      <c r="S11126" t="s">
        <v>26</v>
      </c>
    </row>
    <row r="11127" spans="1:19" x14ac:dyDescent="0.3">
      <c r="A11127" t="s">
        <v>23985</v>
      </c>
      <c r="B11127" t="s">
        <v>24580</v>
      </c>
      <c r="C11127" t="s">
        <v>24893</v>
      </c>
      <c r="D11127" t="s">
        <v>20006</v>
      </c>
      <c r="E11127" t="s">
        <v>23991</v>
      </c>
      <c r="F11127" t="s">
        <v>23992</v>
      </c>
      <c r="G11127" t="s">
        <v>23992</v>
      </c>
      <c r="H11127" t="s">
        <v>859</v>
      </c>
      <c r="I11127" t="s">
        <v>860</v>
      </c>
      <c r="J11127" t="str">
        <f>"9240226"</f>
        <v>9240226</v>
      </c>
      <c r="K11127">
        <v>2661046211</v>
      </c>
      <c r="L11127">
        <v>2661046211</v>
      </c>
      <c r="M11127" t="s">
        <v>24894</v>
      </c>
      <c r="N11127" t="s">
        <v>23995</v>
      </c>
      <c r="O11127" t="s">
        <v>24895</v>
      </c>
      <c r="P11127">
        <v>49100</v>
      </c>
      <c r="Q11127" t="str">
        <f>"39.620001"</f>
        <v>39.620001</v>
      </c>
      <c r="R11127" t="str">
        <f>"19.911675"</f>
        <v>19.911675</v>
      </c>
      <c r="S11127" t="s">
        <v>26</v>
      </c>
    </row>
    <row r="11128" spans="1:19" x14ac:dyDescent="0.3">
      <c r="A11128" t="s">
        <v>23985</v>
      </c>
      <c r="B11128" t="s">
        <v>24580</v>
      </c>
      <c r="C11128" t="s">
        <v>24896</v>
      </c>
      <c r="D11128" t="s">
        <v>20006</v>
      </c>
      <c r="E11128" t="s">
        <v>23991</v>
      </c>
      <c r="F11128" t="s">
        <v>24158</v>
      </c>
      <c r="G11128" t="s">
        <v>24703</v>
      </c>
      <c r="H11128" t="s">
        <v>859</v>
      </c>
      <c r="I11128" t="s">
        <v>860</v>
      </c>
      <c r="J11128" t="str">
        <f>"9240189"</f>
        <v>9240189</v>
      </c>
      <c r="K11128">
        <v>2661052692</v>
      </c>
      <c r="L11128">
        <v>2661052250</v>
      </c>
      <c r="M11128" t="s">
        <v>24897</v>
      </c>
      <c r="N11128" t="s">
        <v>24706</v>
      </c>
      <c r="O11128" t="s">
        <v>24706</v>
      </c>
      <c r="P11128">
        <v>49100</v>
      </c>
      <c r="Q11128" t="str">
        <f>"39.622226"</f>
        <v>39.622226</v>
      </c>
      <c r="R11128" t="str">
        <f>"19.858403"</f>
        <v>19.858403</v>
      </c>
      <c r="S11128" t="s">
        <v>26</v>
      </c>
    </row>
    <row r="11129" spans="1:19" x14ac:dyDescent="0.3">
      <c r="A11129" t="s">
        <v>23985</v>
      </c>
      <c r="B11129" t="s">
        <v>24580</v>
      </c>
      <c r="C11129" t="s">
        <v>24900</v>
      </c>
      <c r="D11129" t="s">
        <v>20006</v>
      </c>
      <c r="E11129" t="s">
        <v>23991</v>
      </c>
      <c r="F11129" t="s">
        <v>24112</v>
      </c>
      <c r="G11129" t="s">
        <v>24113</v>
      </c>
      <c r="H11129" t="s">
        <v>859</v>
      </c>
      <c r="I11129" t="s">
        <v>860</v>
      </c>
      <c r="J11129" t="str">
        <f>"9240167"</f>
        <v>9240167</v>
      </c>
      <c r="K11129">
        <v>2661097082</v>
      </c>
      <c r="M11129" t="s">
        <v>24901</v>
      </c>
      <c r="N11129" t="s">
        <v>24848</v>
      </c>
      <c r="O11129" t="s">
        <v>24848</v>
      </c>
      <c r="P11129">
        <v>49083</v>
      </c>
      <c r="Q11129" t="str">
        <f>"39.689238"</f>
        <v>39.689238</v>
      </c>
      <c r="R11129" t="str">
        <f>"19.828286"</f>
        <v>19.828286</v>
      </c>
      <c r="S11129" t="s">
        <v>26</v>
      </c>
    </row>
    <row r="11130" spans="1:19" x14ac:dyDescent="0.3">
      <c r="A11130" t="s">
        <v>23985</v>
      </c>
      <c r="B11130" t="s">
        <v>24580</v>
      </c>
      <c r="C11130" t="s">
        <v>24903</v>
      </c>
      <c r="D11130" t="s">
        <v>20006</v>
      </c>
      <c r="E11130" t="s">
        <v>24075</v>
      </c>
      <c r="F11130" t="s">
        <v>24076</v>
      </c>
      <c r="G11130" t="s">
        <v>24902</v>
      </c>
      <c r="H11130" t="s">
        <v>859</v>
      </c>
      <c r="I11130" t="s">
        <v>860</v>
      </c>
      <c r="J11130" t="str">
        <f>"9240232"</f>
        <v>9240232</v>
      </c>
      <c r="K11130">
        <v>2662029044</v>
      </c>
      <c r="L11130">
        <v>2662029044</v>
      </c>
      <c r="M11130" t="s">
        <v>24904</v>
      </c>
      <c r="N11130" t="s">
        <v>24905</v>
      </c>
      <c r="O11130" t="s">
        <v>24906</v>
      </c>
      <c r="P11130">
        <v>49080</v>
      </c>
      <c r="Q11130" t="str">
        <f>"39.410433"</f>
        <v>39.410433</v>
      </c>
      <c r="R11130" t="str">
        <f>"20.021188"</f>
        <v>20.021188</v>
      </c>
      <c r="S11130" t="s">
        <v>26</v>
      </c>
    </row>
    <row r="11131" spans="1:19" x14ac:dyDescent="0.3">
      <c r="A11131" t="s">
        <v>23985</v>
      </c>
      <c r="B11131" t="s">
        <v>24580</v>
      </c>
      <c r="C11131" t="s">
        <v>24910</v>
      </c>
      <c r="D11131" t="s">
        <v>20006</v>
      </c>
      <c r="E11131" t="s">
        <v>23991</v>
      </c>
      <c r="F11131" t="s">
        <v>24158</v>
      </c>
      <c r="G11131" t="s">
        <v>24615</v>
      </c>
      <c r="H11131" t="s">
        <v>859</v>
      </c>
      <c r="I11131" t="s">
        <v>860</v>
      </c>
      <c r="J11131" t="str">
        <f>"9240198"</f>
        <v>9240198</v>
      </c>
      <c r="M11131" t="s">
        <v>24911</v>
      </c>
      <c r="N11131" t="s">
        <v>24912</v>
      </c>
      <c r="O11131" t="s">
        <v>24913</v>
      </c>
      <c r="P11131">
        <v>49100</v>
      </c>
      <c r="Q11131" t="str">
        <f>"39.648989"</f>
        <v>39.648989</v>
      </c>
      <c r="R11131" t="str">
        <f>"19.762834"</f>
        <v>19.762834</v>
      </c>
      <c r="S11131" t="s">
        <v>26</v>
      </c>
    </row>
    <row r="11132" spans="1:19" x14ac:dyDescent="0.3">
      <c r="A11132" t="s">
        <v>23985</v>
      </c>
      <c r="B11132" t="s">
        <v>24580</v>
      </c>
      <c r="C11132" t="s">
        <v>24915</v>
      </c>
      <c r="D11132" t="s">
        <v>20006</v>
      </c>
      <c r="E11132" t="s">
        <v>24148</v>
      </c>
      <c r="F11132" t="s">
        <v>24176</v>
      </c>
      <c r="G11132" t="s">
        <v>24914</v>
      </c>
      <c r="H11132" t="s">
        <v>859</v>
      </c>
      <c r="I11132" t="s">
        <v>860</v>
      </c>
      <c r="J11132" t="str">
        <f>"9240242"</f>
        <v>9240242</v>
      </c>
      <c r="K11132">
        <v>2663081922</v>
      </c>
      <c r="L11132">
        <v>2663081922</v>
      </c>
      <c r="M11132" t="s">
        <v>24916</v>
      </c>
      <c r="N11132" t="s">
        <v>24917</v>
      </c>
      <c r="O11132" t="s">
        <v>24917</v>
      </c>
      <c r="P11132">
        <v>49081</v>
      </c>
      <c r="Q11132" t="str">
        <f>"39.759865"</f>
        <v>39.759865</v>
      </c>
      <c r="R11132" t="str">
        <f>"19.933583"</f>
        <v>19.933583</v>
      </c>
      <c r="S11132" t="s">
        <v>26</v>
      </c>
    </row>
    <row r="11133" spans="1:19" x14ac:dyDescent="0.3">
      <c r="A11133" t="s">
        <v>23985</v>
      </c>
      <c r="B11133" t="s">
        <v>24580</v>
      </c>
      <c r="C11133" t="s">
        <v>24919</v>
      </c>
      <c r="D11133" t="s">
        <v>20006</v>
      </c>
      <c r="E11133" t="s">
        <v>24148</v>
      </c>
      <c r="F11133" t="s">
        <v>24176</v>
      </c>
      <c r="G11133" t="s">
        <v>24918</v>
      </c>
      <c r="H11133" t="s">
        <v>859</v>
      </c>
      <c r="I11133" t="s">
        <v>860</v>
      </c>
      <c r="J11133" t="str">
        <f>"9240265"</f>
        <v>9240265</v>
      </c>
      <c r="K11133">
        <v>2663091254</v>
      </c>
      <c r="L11133">
        <v>2663091254</v>
      </c>
      <c r="M11133" t="s">
        <v>24920</v>
      </c>
      <c r="N11133" t="s">
        <v>24918</v>
      </c>
      <c r="O11133" t="s">
        <v>24921</v>
      </c>
      <c r="P11133">
        <v>49083</v>
      </c>
      <c r="Q11133" t="str">
        <f>"39.726105"</f>
        <v>39.726105</v>
      </c>
      <c r="R11133" t="str">
        <f>"19.900740"</f>
        <v>19.900740</v>
      </c>
      <c r="S11133" t="s">
        <v>26</v>
      </c>
    </row>
    <row r="11134" spans="1:19" x14ac:dyDescent="0.3">
      <c r="A11134" t="s">
        <v>23985</v>
      </c>
      <c r="B11134" t="s">
        <v>24580</v>
      </c>
      <c r="C11134" t="s">
        <v>24922</v>
      </c>
      <c r="D11134" t="s">
        <v>20006</v>
      </c>
      <c r="E11134" t="s">
        <v>23991</v>
      </c>
      <c r="F11134" t="s">
        <v>23992</v>
      </c>
      <c r="G11134" t="s">
        <v>20468</v>
      </c>
      <c r="H11134" t="s">
        <v>859</v>
      </c>
      <c r="I11134" t="s">
        <v>860</v>
      </c>
      <c r="J11134" t="str">
        <f>"9240163"</f>
        <v>9240163</v>
      </c>
      <c r="K11134">
        <v>2661048958</v>
      </c>
      <c r="L11134">
        <v>2661048958</v>
      </c>
      <c r="M11134" t="s">
        <v>24923</v>
      </c>
      <c r="N11134" t="s">
        <v>21380</v>
      </c>
      <c r="O11134" t="s">
        <v>21383</v>
      </c>
      <c r="P11134">
        <v>49100</v>
      </c>
      <c r="Q11134" t="str">
        <f>"39.608471"</f>
        <v>39.608471</v>
      </c>
      <c r="R11134" t="str">
        <f>"19.894058"</f>
        <v>19.894058</v>
      </c>
      <c r="S11134" t="s">
        <v>26</v>
      </c>
    </row>
    <row r="11135" spans="1:19" x14ac:dyDescent="0.3">
      <c r="A11135" t="s">
        <v>23985</v>
      </c>
      <c r="B11135" t="s">
        <v>24580</v>
      </c>
      <c r="C11135" t="s">
        <v>24925</v>
      </c>
      <c r="D11135" t="s">
        <v>20006</v>
      </c>
      <c r="E11135" t="s">
        <v>24075</v>
      </c>
      <c r="F11135" t="s">
        <v>24718</v>
      </c>
      <c r="G11135" t="s">
        <v>24924</v>
      </c>
      <c r="H11135" t="s">
        <v>859</v>
      </c>
      <c r="I11135" t="s">
        <v>860</v>
      </c>
      <c r="J11135" t="str">
        <f>"9240220"</f>
        <v>9240220</v>
      </c>
      <c r="K11135">
        <v>2661075053</v>
      </c>
      <c r="L11135">
        <v>2661075053</v>
      </c>
      <c r="M11135" t="s">
        <v>24926</v>
      </c>
      <c r="N11135" t="s">
        <v>24927</v>
      </c>
      <c r="O11135" t="s">
        <v>24928</v>
      </c>
      <c r="P11135">
        <v>49084</v>
      </c>
      <c r="Q11135" t="str">
        <f>"39.510553"</f>
        <v>39.510553</v>
      </c>
      <c r="R11135" t="str">
        <f>"19.908844"</f>
        <v>19.908844</v>
      </c>
      <c r="S11135" t="s">
        <v>26</v>
      </c>
    </row>
    <row r="11136" spans="1:19" x14ac:dyDescent="0.3">
      <c r="A11136" t="s">
        <v>23985</v>
      </c>
      <c r="B11136" t="s">
        <v>24580</v>
      </c>
      <c r="C11136" t="s">
        <v>24931</v>
      </c>
      <c r="D11136" t="s">
        <v>20006</v>
      </c>
      <c r="E11136" t="s">
        <v>24148</v>
      </c>
      <c r="F11136" t="s">
        <v>24196</v>
      </c>
      <c r="G11136" t="s">
        <v>24863</v>
      </c>
      <c r="H11136" t="s">
        <v>859</v>
      </c>
      <c r="I11136" t="s">
        <v>860</v>
      </c>
      <c r="J11136" t="str">
        <f>"9241001"</f>
        <v>9241001</v>
      </c>
      <c r="K11136">
        <v>2663094765</v>
      </c>
      <c r="M11136" t="s">
        <v>24932</v>
      </c>
      <c r="N11136" t="s">
        <v>24933</v>
      </c>
      <c r="O11136" t="s">
        <v>24934</v>
      </c>
      <c r="P11136">
        <v>49081</v>
      </c>
      <c r="Q11136" t="str">
        <f>"39.768042"</f>
        <v>39.768042</v>
      </c>
      <c r="R11136" t="str">
        <f>"19.773390"</f>
        <v>19.773390</v>
      </c>
      <c r="S11136" t="s">
        <v>26</v>
      </c>
    </row>
    <row r="11137" spans="1:19" x14ac:dyDescent="0.3">
      <c r="A11137" t="s">
        <v>23985</v>
      </c>
      <c r="B11137" t="s">
        <v>24580</v>
      </c>
      <c r="C11137" t="s">
        <v>24936</v>
      </c>
      <c r="D11137" t="s">
        <v>20006</v>
      </c>
      <c r="E11137" t="s">
        <v>23991</v>
      </c>
      <c r="F11137" t="s">
        <v>24158</v>
      </c>
      <c r="G11137" t="s">
        <v>24935</v>
      </c>
      <c r="H11137" t="s">
        <v>859</v>
      </c>
      <c r="I11137" t="s">
        <v>860</v>
      </c>
      <c r="J11137" t="str">
        <f>"9241003"</f>
        <v>9241003</v>
      </c>
      <c r="K11137">
        <v>2661051537</v>
      </c>
      <c r="M11137" t="s">
        <v>24937</v>
      </c>
      <c r="N11137" t="s">
        <v>23995</v>
      </c>
      <c r="O11137" t="s">
        <v>24912</v>
      </c>
      <c r="P11137">
        <v>49100</v>
      </c>
      <c r="Q11137" t="str">
        <f>"39.648989"</f>
        <v>39.648989</v>
      </c>
      <c r="R11137" t="str">
        <f>"19.762834"</f>
        <v>19.762834</v>
      </c>
      <c r="S11137" t="s">
        <v>26</v>
      </c>
    </row>
    <row r="11138" spans="1:19" x14ac:dyDescent="0.3">
      <c r="A11138" t="s">
        <v>23985</v>
      </c>
      <c r="B11138" t="s">
        <v>24580</v>
      </c>
      <c r="C11138" t="s">
        <v>24938</v>
      </c>
      <c r="D11138" t="s">
        <v>20006</v>
      </c>
      <c r="E11138" t="s">
        <v>24148</v>
      </c>
      <c r="F11138" t="s">
        <v>24149</v>
      </c>
      <c r="G11138" t="s">
        <v>24769</v>
      </c>
      <c r="H11138" t="s">
        <v>859</v>
      </c>
      <c r="I11138" t="s">
        <v>1102</v>
      </c>
      <c r="J11138" t="str">
        <f>"9241005"</f>
        <v>9241005</v>
      </c>
      <c r="Q11138" t="str">
        <f>""</f>
        <v/>
      </c>
      <c r="R11138" t="str">
        <f>""</f>
        <v/>
      </c>
      <c r="S11138" t="s">
        <v>26</v>
      </c>
    </row>
    <row r="11139" spans="1:19" x14ac:dyDescent="0.3">
      <c r="A11139" t="s">
        <v>23985</v>
      </c>
      <c r="B11139" t="s">
        <v>24941</v>
      </c>
      <c r="C11139" t="s">
        <v>24944</v>
      </c>
      <c r="D11139" t="s">
        <v>1150</v>
      </c>
      <c r="E11139" t="s">
        <v>24278</v>
      </c>
      <c r="F11139" t="s">
        <v>24942</v>
      </c>
      <c r="G11139" t="s">
        <v>24943</v>
      </c>
      <c r="H11139" t="s">
        <v>859</v>
      </c>
      <c r="I11139" t="s">
        <v>860</v>
      </c>
      <c r="J11139" t="str">
        <f>"9250113"</f>
        <v>9250113</v>
      </c>
      <c r="K11139">
        <v>2674061588</v>
      </c>
      <c r="L11139">
        <v>2674061588</v>
      </c>
      <c r="M11139" t="s">
        <v>24945</v>
      </c>
      <c r="N11139" t="s">
        <v>24946</v>
      </c>
      <c r="O11139" t="s">
        <v>24946</v>
      </c>
      <c r="P11139">
        <v>28081</v>
      </c>
      <c r="Q11139" t="str">
        <f>"38.311038"</f>
        <v>38.311038</v>
      </c>
      <c r="R11139" t="str">
        <f>"20.557651"</f>
        <v>20.557651</v>
      </c>
      <c r="S11139" t="s">
        <v>26</v>
      </c>
    </row>
    <row r="11140" spans="1:19" x14ac:dyDescent="0.3">
      <c r="A11140" t="s">
        <v>23985</v>
      </c>
      <c r="B11140" t="s">
        <v>24941</v>
      </c>
      <c r="C11140" t="s">
        <v>24948</v>
      </c>
      <c r="D11140" t="s">
        <v>1150</v>
      </c>
      <c r="E11140" t="s">
        <v>23997</v>
      </c>
      <c r="F11140" t="s">
        <v>24245</v>
      </c>
      <c r="G11140" t="s">
        <v>24947</v>
      </c>
      <c r="H11140" t="s">
        <v>859</v>
      </c>
      <c r="I11140" t="s">
        <v>860</v>
      </c>
      <c r="J11140" t="str">
        <f>"9250119"</f>
        <v>9250119</v>
      </c>
      <c r="K11140">
        <v>2671041660</v>
      </c>
      <c r="L11140">
        <v>2671041660</v>
      </c>
      <c r="M11140" t="s">
        <v>24949</v>
      </c>
      <c r="N11140" t="s">
        <v>24950</v>
      </c>
      <c r="O11140" t="s">
        <v>24951</v>
      </c>
      <c r="P11140">
        <v>28100</v>
      </c>
      <c r="Q11140" t="str">
        <f>"38.121440"</f>
        <v>38.121440</v>
      </c>
      <c r="R11140" t="str">
        <f>"20.535904"</f>
        <v>20.535904</v>
      </c>
      <c r="S11140" t="s">
        <v>26</v>
      </c>
    </row>
    <row r="11141" spans="1:19" x14ac:dyDescent="0.3">
      <c r="A11141" t="s">
        <v>23985</v>
      </c>
      <c r="B11141" t="s">
        <v>24941</v>
      </c>
      <c r="C11141" t="s">
        <v>24953</v>
      </c>
      <c r="D11141" t="s">
        <v>1150</v>
      </c>
      <c r="E11141" t="s">
        <v>23997</v>
      </c>
      <c r="F11141" t="s">
        <v>23997</v>
      </c>
      <c r="G11141" t="s">
        <v>24952</v>
      </c>
      <c r="H11141" t="s">
        <v>859</v>
      </c>
      <c r="I11141" t="s">
        <v>860</v>
      </c>
      <c r="J11141" t="str">
        <f>"9250127"</f>
        <v>9250127</v>
      </c>
      <c r="K11141">
        <v>2671085045</v>
      </c>
      <c r="L11141">
        <v>2671085045</v>
      </c>
      <c r="M11141" t="s">
        <v>24954</v>
      </c>
      <c r="N11141" t="s">
        <v>24955</v>
      </c>
      <c r="O11141" t="s">
        <v>24955</v>
      </c>
      <c r="P11141">
        <v>28100</v>
      </c>
      <c r="Q11141" t="str">
        <f>"38.280019"</f>
        <v>38.280019</v>
      </c>
      <c r="R11141" t="str">
        <f>"20.469530"</f>
        <v>20.469530</v>
      </c>
      <c r="S11141" t="s">
        <v>26</v>
      </c>
    </row>
    <row r="11142" spans="1:19" x14ac:dyDescent="0.3">
      <c r="A11142" t="s">
        <v>23985</v>
      </c>
      <c r="B11142" t="s">
        <v>24941</v>
      </c>
      <c r="C11142" t="s">
        <v>24956</v>
      </c>
      <c r="D11142" t="s">
        <v>1150</v>
      </c>
      <c r="E11142" t="s">
        <v>23997</v>
      </c>
      <c r="F11142" t="s">
        <v>23997</v>
      </c>
      <c r="G11142" t="s">
        <v>23997</v>
      </c>
      <c r="H11142" t="s">
        <v>859</v>
      </c>
      <c r="I11142" t="s">
        <v>860</v>
      </c>
      <c r="J11142" t="str">
        <f>"9250091"</f>
        <v>9250091</v>
      </c>
      <c r="K11142">
        <v>2671028522</v>
      </c>
      <c r="L11142">
        <v>2671028522</v>
      </c>
      <c r="M11142" t="s">
        <v>24957</v>
      </c>
      <c r="N11142" t="s">
        <v>24000</v>
      </c>
      <c r="O11142" t="s">
        <v>24958</v>
      </c>
      <c r="P11142">
        <v>28100</v>
      </c>
      <c r="Q11142" t="str">
        <f>"38.171462"</f>
        <v>38.171462</v>
      </c>
      <c r="R11142" t="str">
        <f>"20.485318"</f>
        <v>20.485318</v>
      </c>
      <c r="S11142" t="s">
        <v>26</v>
      </c>
    </row>
    <row r="11143" spans="1:19" x14ac:dyDescent="0.3">
      <c r="A11143" t="s">
        <v>23985</v>
      </c>
      <c r="B11143" t="s">
        <v>24941</v>
      </c>
      <c r="C11143" t="s">
        <v>24959</v>
      </c>
      <c r="D11143" t="s">
        <v>1150</v>
      </c>
      <c r="E11143" t="s">
        <v>23997</v>
      </c>
      <c r="F11143" t="s">
        <v>23997</v>
      </c>
      <c r="G11143" t="s">
        <v>23997</v>
      </c>
      <c r="H11143" t="s">
        <v>859</v>
      </c>
      <c r="I11143" t="s">
        <v>860</v>
      </c>
      <c r="J11143" t="str">
        <f>"9250125"</f>
        <v>9250125</v>
      </c>
      <c r="K11143">
        <v>2671024914</v>
      </c>
      <c r="L11143">
        <v>2671024914</v>
      </c>
      <c r="M11143" t="s">
        <v>24960</v>
      </c>
      <c r="N11143" t="s">
        <v>24000</v>
      </c>
      <c r="O11143" t="s">
        <v>24961</v>
      </c>
      <c r="P11143">
        <v>28100</v>
      </c>
      <c r="Q11143" t="str">
        <f>"38.168459"</f>
        <v>38.168459</v>
      </c>
      <c r="R11143" t="str">
        <f>"20.491681"</f>
        <v>20.491681</v>
      </c>
      <c r="S11143" t="s">
        <v>26</v>
      </c>
    </row>
    <row r="11144" spans="1:19" x14ac:dyDescent="0.3">
      <c r="A11144" t="s">
        <v>23985</v>
      </c>
      <c r="B11144" t="s">
        <v>24941</v>
      </c>
      <c r="C11144" t="s">
        <v>24965</v>
      </c>
      <c r="D11144" t="s">
        <v>1150</v>
      </c>
      <c r="E11144" t="s">
        <v>24256</v>
      </c>
      <c r="F11144" t="s">
        <v>24257</v>
      </c>
      <c r="G11144" t="s">
        <v>24256</v>
      </c>
      <c r="H11144" t="s">
        <v>859</v>
      </c>
      <c r="I11144" t="s">
        <v>860</v>
      </c>
      <c r="J11144" t="str">
        <f>"9250103"</f>
        <v>9250103</v>
      </c>
      <c r="K11144">
        <v>2671092614</v>
      </c>
      <c r="L11144">
        <v>2671092614</v>
      </c>
      <c r="M11144" t="s">
        <v>24966</v>
      </c>
      <c r="N11144" t="s">
        <v>24967</v>
      </c>
      <c r="O11144" t="s">
        <v>24968</v>
      </c>
      <c r="P11144">
        <v>28200</v>
      </c>
      <c r="Q11144" t="str">
        <f>"38.207897"</f>
        <v>38.207897</v>
      </c>
      <c r="R11144" t="str">
        <f>"20.433495"</f>
        <v>20.433495</v>
      </c>
      <c r="S11144" t="s">
        <v>26</v>
      </c>
    </row>
    <row r="11145" spans="1:19" x14ac:dyDescent="0.3">
      <c r="A11145" t="s">
        <v>23985</v>
      </c>
      <c r="B11145" t="s">
        <v>24941</v>
      </c>
      <c r="C11145" t="s">
        <v>24978</v>
      </c>
      <c r="D11145" t="s">
        <v>1150</v>
      </c>
      <c r="E11145" t="s">
        <v>23997</v>
      </c>
      <c r="F11145" t="s">
        <v>24263</v>
      </c>
      <c r="G11145" t="s">
        <v>6576</v>
      </c>
      <c r="H11145" t="s">
        <v>859</v>
      </c>
      <c r="I11145" t="s">
        <v>860</v>
      </c>
      <c r="J11145" t="str">
        <f>"9250106"</f>
        <v>9250106</v>
      </c>
      <c r="K11145">
        <v>2674072007</v>
      </c>
      <c r="L11145">
        <v>2674072007</v>
      </c>
      <c r="M11145" t="s">
        <v>24979</v>
      </c>
      <c r="N11145" t="s">
        <v>6579</v>
      </c>
      <c r="O11145" t="s">
        <v>6579</v>
      </c>
      <c r="P11145">
        <v>28086</v>
      </c>
      <c r="Q11145" t="str">
        <f>"38.146082"</f>
        <v>38.146082</v>
      </c>
      <c r="R11145" t="str">
        <f>"20.778518"</f>
        <v>20.778518</v>
      </c>
      <c r="S11145" t="s">
        <v>26</v>
      </c>
    </row>
    <row r="11146" spans="1:19" x14ac:dyDescent="0.3">
      <c r="A11146" t="s">
        <v>23985</v>
      </c>
      <c r="B11146" t="s">
        <v>24941</v>
      </c>
      <c r="C11146" t="s">
        <v>24983</v>
      </c>
      <c r="D11146" t="s">
        <v>1150</v>
      </c>
      <c r="E11146" t="s">
        <v>23997</v>
      </c>
      <c r="F11146" t="s">
        <v>23997</v>
      </c>
      <c r="G11146" t="s">
        <v>23997</v>
      </c>
      <c r="H11146" t="s">
        <v>859</v>
      </c>
      <c r="I11146" t="s">
        <v>860</v>
      </c>
      <c r="J11146" t="str">
        <f>"9250010"</f>
        <v>9250010</v>
      </c>
      <c r="K11146">
        <v>2671027112</v>
      </c>
      <c r="M11146" t="s">
        <v>24984</v>
      </c>
      <c r="N11146" t="s">
        <v>24000</v>
      </c>
      <c r="O11146" t="s">
        <v>12202</v>
      </c>
      <c r="P11146">
        <v>28100</v>
      </c>
      <c r="Q11146" t="str">
        <f>"38.177762"</f>
        <v>38.177762</v>
      </c>
      <c r="R11146" t="str">
        <f>"20.485171"</f>
        <v>20.485171</v>
      </c>
      <c r="S11146" t="s">
        <v>26</v>
      </c>
    </row>
    <row r="11147" spans="1:19" x14ac:dyDescent="0.3">
      <c r="A11147" t="s">
        <v>23985</v>
      </c>
      <c r="B11147" t="s">
        <v>24941</v>
      </c>
      <c r="C11147" t="s">
        <v>25003</v>
      </c>
      <c r="D11147" t="s">
        <v>1150</v>
      </c>
      <c r="E11147" t="s">
        <v>23997</v>
      </c>
      <c r="F11147" t="s">
        <v>24245</v>
      </c>
      <c r="G11147" t="s">
        <v>25002</v>
      </c>
      <c r="H11147" t="s">
        <v>859</v>
      </c>
      <c r="I11147" t="s">
        <v>860</v>
      </c>
      <c r="J11147" t="str">
        <f>"9250117"</f>
        <v>9250117</v>
      </c>
      <c r="K11147">
        <v>2671069606</v>
      </c>
      <c r="L11147">
        <v>2671069606</v>
      </c>
      <c r="M11147" t="s">
        <v>25004</v>
      </c>
      <c r="N11147" t="s">
        <v>25005</v>
      </c>
      <c r="O11147" t="s">
        <v>25005</v>
      </c>
      <c r="P11147">
        <v>28100</v>
      </c>
      <c r="Q11147" t="str">
        <f>"38.111102"</f>
        <v>38.111102</v>
      </c>
      <c r="R11147" t="str">
        <f>"20.562284"</f>
        <v>20.562284</v>
      </c>
      <c r="S11147" t="s">
        <v>26</v>
      </c>
    </row>
    <row r="11148" spans="1:19" x14ac:dyDescent="0.3">
      <c r="A11148" t="s">
        <v>23985</v>
      </c>
      <c r="B11148" t="s">
        <v>24941</v>
      </c>
      <c r="C11148" t="s">
        <v>25006</v>
      </c>
      <c r="D11148" t="s">
        <v>1150</v>
      </c>
      <c r="E11148" t="s">
        <v>23997</v>
      </c>
      <c r="F11148" t="s">
        <v>24245</v>
      </c>
      <c r="G11148" t="s">
        <v>12926</v>
      </c>
      <c r="H11148" t="s">
        <v>859</v>
      </c>
      <c r="I11148" t="s">
        <v>860</v>
      </c>
      <c r="J11148" t="str">
        <f>"9250124"</f>
        <v>9250124</v>
      </c>
      <c r="K11148">
        <v>2671068245</v>
      </c>
      <c r="M11148" t="s">
        <v>25007</v>
      </c>
      <c r="N11148" t="s">
        <v>24249</v>
      </c>
      <c r="O11148" t="s">
        <v>24249</v>
      </c>
      <c r="P11148">
        <v>28100</v>
      </c>
      <c r="Q11148" t="str">
        <f>"38.119676"</f>
        <v>38.119676</v>
      </c>
      <c r="R11148" t="str">
        <f>"20.561590"</f>
        <v>20.561590</v>
      </c>
      <c r="S11148" t="s">
        <v>26</v>
      </c>
    </row>
    <row r="11149" spans="1:19" x14ac:dyDescent="0.3">
      <c r="A11149" t="s">
        <v>23985</v>
      </c>
      <c r="B11149" t="s">
        <v>24941</v>
      </c>
      <c r="C11149" t="s">
        <v>25013</v>
      </c>
      <c r="D11149" t="s">
        <v>24239</v>
      </c>
      <c r="E11149" t="s">
        <v>24239</v>
      </c>
      <c r="F11149" t="s">
        <v>24239</v>
      </c>
      <c r="G11149" t="s">
        <v>24239</v>
      </c>
      <c r="H11149" t="s">
        <v>859</v>
      </c>
      <c r="I11149" t="s">
        <v>860</v>
      </c>
      <c r="J11149" t="str">
        <f>"9250094"</f>
        <v>9250094</v>
      </c>
      <c r="K11149">
        <v>2674032348</v>
      </c>
      <c r="L11149">
        <v>2674032348</v>
      </c>
      <c r="M11149" t="s">
        <v>25014</v>
      </c>
      <c r="N11149" t="s">
        <v>24242</v>
      </c>
      <c r="O11149" t="s">
        <v>13405</v>
      </c>
      <c r="P11149">
        <v>28300</v>
      </c>
      <c r="Q11149" t="str">
        <f>"38.361662"</f>
        <v>38.361662</v>
      </c>
      <c r="R11149" t="str">
        <f>"20.721163"</f>
        <v>20.721163</v>
      </c>
      <c r="S11149" t="s">
        <v>57</v>
      </c>
    </row>
    <row r="11150" spans="1:19" x14ac:dyDescent="0.3">
      <c r="A11150" t="s">
        <v>23985</v>
      </c>
      <c r="B11150" t="s">
        <v>24941</v>
      </c>
      <c r="C11150" t="s">
        <v>25029</v>
      </c>
      <c r="D11150" t="s">
        <v>1150</v>
      </c>
      <c r="E11150" t="s">
        <v>23997</v>
      </c>
      <c r="F11150" t="s">
        <v>23997</v>
      </c>
      <c r="G11150" t="s">
        <v>24973</v>
      </c>
      <c r="H11150" t="s">
        <v>859</v>
      </c>
      <c r="I11150" t="s">
        <v>860</v>
      </c>
      <c r="J11150" t="str">
        <f>"9250108"</f>
        <v>9250108</v>
      </c>
      <c r="K11150">
        <v>2671029366</v>
      </c>
      <c r="L11150">
        <v>2671084003</v>
      </c>
      <c r="M11150" t="s">
        <v>25030</v>
      </c>
      <c r="N11150" t="s">
        <v>24975</v>
      </c>
      <c r="O11150" t="s">
        <v>24975</v>
      </c>
      <c r="P11150">
        <v>28100</v>
      </c>
      <c r="Q11150" t="str">
        <f>"38.223672"</f>
        <v>38.223672</v>
      </c>
      <c r="R11150" t="str">
        <f>"20.515018"</f>
        <v>20.515018</v>
      </c>
      <c r="S11150" t="s">
        <v>26</v>
      </c>
    </row>
    <row r="11151" spans="1:19" x14ac:dyDescent="0.3">
      <c r="A11151" t="s">
        <v>23985</v>
      </c>
      <c r="B11151" t="s">
        <v>24941</v>
      </c>
      <c r="C11151" t="s">
        <v>25031</v>
      </c>
      <c r="D11151" t="s">
        <v>1150</v>
      </c>
      <c r="E11151" t="s">
        <v>24256</v>
      </c>
      <c r="F11151" t="s">
        <v>24257</v>
      </c>
      <c r="G11151" t="s">
        <v>24316</v>
      </c>
      <c r="H11151" t="s">
        <v>859</v>
      </c>
      <c r="I11151" t="s">
        <v>860</v>
      </c>
      <c r="J11151" t="str">
        <f>"9520595"</f>
        <v>9520595</v>
      </c>
      <c r="K11151">
        <v>2671097073</v>
      </c>
      <c r="M11151" t="s">
        <v>25032</v>
      </c>
      <c r="N11151" t="s">
        <v>25033</v>
      </c>
      <c r="O11151" t="s">
        <v>24320</v>
      </c>
      <c r="P11151">
        <v>28200</v>
      </c>
      <c r="Q11151" t="str">
        <f>"38.250856"</f>
        <v>38.250856</v>
      </c>
      <c r="R11151" t="str">
        <f>"20.385247"</f>
        <v>20.385247</v>
      </c>
      <c r="S11151" t="s">
        <v>26</v>
      </c>
    </row>
    <row r="11152" spans="1:19" x14ac:dyDescent="0.3">
      <c r="A11152" t="s">
        <v>23985</v>
      </c>
      <c r="B11152" t="s">
        <v>24941</v>
      </c>
      <c r="C11152" t="s">
        <v>25034</v>
      </c>
      <c r="D11152" t="s">
        <v>1150</v>
      </c>
      <c r="E11152" t="s">
        <v>23997</v>
      </c>
      <c r="F11152" t="s">
        <v>24263</v>
      </c>
      <c r="G11152" t="s">
        <v>24992</v>
      </c>
      <c r="H11152" t="s">
        <v>859</v>
      </c>
      <c r="I11152" t="s">
        <v>860</v>
      </c>
      <c r="J11152" t="str">
        <f>"9250115"</f>
        <v>9250115</v>
      </c>
      <c r="K11152">
        <v>2671083010</v>
      </c>
      <c r="L11152">
        <v>2671083010</v>
      </c>
      <c r="M11152" t="s">
        <v>25035</v>
      </c>
      <c r="N11152" t="s">
        <v>25036</v>
      </c>
      <c r="O11152" t="s">
        <v>6596</v>
      </c>
      <c r="P11152">
        <v>28086</v>
      </c>
      <c r="Q11152" t="str">
        <f>"38.074819"</f>
        <v>38.074819</v>
      </c>
      <c r="R11152" t="str">
        <f>"20.797552"</f>
        <v>20.797552</v>
      </c>
      <c r="S11152" t="s">
        <v>26</v>
      </c>
    </row>
    <row r="11153" spans="1:19" x14ac:dyDescent="0.3">
      <c r="A11153" t="s">
        <v>23985</v>
      </c>
      <c r="B11153" t="s">
        <v>24941</v>
      </c>
      <c r="C11153" t="s">
        <v>25038</v>
      </c>
      <c r="D11153" t="s">
        <v>1150</v>
      </c>
      <c r="E11153" t="s">
        <v>23997</v>
      </c>
      <c r="F11153" t="s">
        <v>24245</v>
      </c>
      <c r="G11153" t="s">
        <v>25037</v>
      </c>
      <c r="H11153" t="s">
        <v>859</v>
      </c>
      <c r="I11153" t="s">
        <v>860</v>
      </c>
      <c r="J11153" t="str">
        <f>"9250123"</f>
        <v>9250123</v>
      </c>
      <c r="K11153">
        <v>2671041191</v>
      </c>
      <c r="M11153" t="s">
        <v>25039</v>
      </c>
      <c r="N11153" t="s">
        <v>25040</v>
      </c>
      <c r="O11153" t="s">
        <v>25040</v>
      </c>
      <c r="P11153">
        <v>28100</v>
      </c>
      <c r="Q11153" t="str">
        <f>"38.124958"</f>
        <v>38.124958</v>
      </c>
      <c r="R11153" t="str">
        <f>"20.517776"</f>
        <v>20.517776</v>
      </c>
      <c r="S11153" t="s">
        <v>26</v>
      </c>
    </row>
    <row r="11154" spans="1:19" x14ac:dyDescent="0.3">
      <c r="A11154" t="s">
        <v>23985</v>
      </c>
      <c r="B11154" t="s">
        <v>24941</v>
      </c>
      <c r="C11154" t="s">
        <v>25041</v>
      </c>
      <c r="D11154" t="s">
        <v>1150</v>
      </c>
      <c r="E11154" t="s">
        <v>24278</v>
      </c>
      <c r="F11154" t="s">
        <v>24326</v>
      </c>
      <c r="G11154" t="s">
        <v>24996</v>
      </c>
      <c r="H11154" t="s">
        <v>859</v>
      </c>
      <c r="I11154" t="s">
        <v>860</v>
      </c>
      <c r="J11154" t="str">
        <f>"9250118"</f>
        <v>9250118</v>
      </c>
      <c r="K11154">
        <v>2674041149</v>
      </c>
      <c r="L11154">
        <v>2674041167</v>
      </c>
      <c r="M11154" t="s">
        <v>25042</v>
      </c>
      <c r="N11154" t="s">
        <v>24326</v>
      </c>
      <c r="O11154" t="s">
        <v>25043</v>
      </c>
      <c r="P11154">
        <v>28084</v>
      </c>
      <c r="Q11154" t="str">
        <f>"38.440731"</f>
        <v>38.440731</v>
      </c>
      <c r="R11154" t="str">
        <f>"20.554640"</f>
        <v>20.554640</v>
      </c>
      <c r="S11154" t="s">
        <v>26</v>
      </c>
    </row>
    <row r="11155" spans="1:19" x14ac:dyDescent="0.3">
      <c r="A11155" t="s">
        <v>23985</v>
      </c>
      <c r="B11155" t="s">
        <v>24941</v>
      </c>
      <c r="C11155" t="s">
        <v>25045</v>
      </c>
      <c r="D11155" t="s">
        <v>1150</v>
      </c>
      <c r="E11155" t="s">
        <v>23997</v>
      </c>
      <c r="F11155" t="s">
        <v>23997</v>
      </c>
      <c r="G11155" t="s">
        <v>25044</v>
      </c>
      <c r="H11155" t="s">
        <v>859</v>
      </c>
      <c r="I11155" t="s">
        <v>860</v>
      </c>
      <c r="J11155" t="str">
        <f>"9250120"</f>
        <v>9250120</v>
      </c>
      <c r="K11155">
        <v>2671022688</v>
      </c>
      <c r="L11155">
        <v>2671022688</v>
      </c>
      <c r="M11155" t="s">
        <v>25046</v>
      </c>
      <c r="N11155" t="s">
        <v>24254</v>
      </c>
      <c r="O11155" t="s">
        <v>25047</v>
      </c>
      <c r="P11155">
        <v>28100</v>
      </c>
      <c r="Q11155" t="str">
        <f>"38.187056"</f>
        <v>38.187056</v>
      </c>
      <c r="R11155" t="str">
        <f>"20.525868"</f>
        <v>20.525868</v>
      </c>
      <c r="S11155" t="s">
        <v>26</v>
      </c>
    </row>
    <row r="11156" spans="1:19" x14ac:dyDescent="0.3">
      <c r="A11156" t="s">
        <v>23985</v>
      </c>
      <c r="B11156" t="s">
        <v>24941</v>
      </c>
      <c r="C11156" t="s">
        <v>25048</v>
      </c>
      <c r="D11156" t="s">
        <v>1150</v>
      </c>
      <c r="E11156" t="s">
        <v>23997</v>
      </c>
      <c r="F11156" t="s">
        <v>24263</v>
      </c>
      <c r="G11156" t="s">
        <v>460</v>
      </c>
      <c r="H11156" t="s">
        <v>859</v>
      </c>
      <c r="I11156" t="s">
        <v>860</v>
      </c>
      <c r="J11156" t="str">
        <f>"9520698"</f>
        <v>9520698</v>
      </c>
      <c r="K11156">
        <v>2674072488</v>
      </c>
      <c r="L11156">
        <v>2674072488</v>
      </c>
      <c r="M11156" t="s">
        <v>25049</v>
      </c>
      <c r="N11156" t="s">
        <v>25050</v>
      </c>
      <c r="O11156" t="s">
        <v>25050</v>
      </c>
      <c r="P11156">
        <v>28086</v>
      </c>
      <c r="Q11156" t="str">
        <f>"38.123095"</f>
        <v>38.123095</v>
      </c>
      <c r="R11156" t="str">
        <f>"20.750964"</f>
        <v>20.750964</v>
      </c>
      <c r="S11156" t="s">
        <v>26</v>
      </c>
    </row>
    <row r="11157" spans="1:19" x14ac:dyDescent="0.3">
      <c r="A11157" t="s">
        <v>23985</v>
      </c>
      <c r="B11157" t="s">
        <v>24941</v>
      </c>
      <c r="C11157" t="s">
        <v>25051</v>
      </c>
      <c r="D11157" t="s">
        <v>1150</v>
      </c>
      <c r="E11157" t="s">
        <v>23997</v>
      </c>
      <c r="F11157" t="s">
        <v>24245</v>
      </c>
      <c r="G11157" t="s">
        <v>25025</v>
      </c>
      <c r="H11157" t="s">
        <v>859</v>
      </c>
      <c r="I11157" t="s">
        <v>860</v>
      </c>
      <c r="J11157" t="str">
        <f>"9250104"</f>
        <v>9250104</v>
      </c>
      <c r="K11157">
        <v>2671031190</v>
      </c>
      <c r="L11157">
        <v>2671031679</v>
      </c>
      <c r="M11157" t="s">
        <v>25052</v>
      </c>
      <c r="N11157" t="s">
        <v>25028</v>
      </c>
      <c r="O11157" t="s">
        <v>25028</v>
      </c>
      <c r="P11157">
        <v>28100</v>
      </c>
      <c r="Q11157" t="str">
        <f>"38.120814"</f>
        <v>38.120814</v>
      </c>
      <c r="R11157" t="str">
        <f>"20.625231"</f>
        <v>20.625231</v>
      </c>
      <c r="S11157" t="s">
        <v>26</v>
      </c>
    </row>
    <row r="11158" spans="1:19" x14ac:dyDescent="0.3">
      <c r="A11158" t="s">
        <v>23985</v>
      </c>
      <c r="B11158" t="s">
        <v>24941</v>
      </c>
      <c r="C11158" t="s">
        <v>25053</v>
      </c>
      <c r="D11158" t="s">
        <v>1150</v>
      </c>
      <c r="E11158" t="s">
        <v>23997</v>
      </c>
      <c r="F11158" t="s">
        <v>25020</v>
      </c>
      <c r="G11158" t="s">
        <v>25020</v>
      </c>
      <c r="H11158" t="s">
        <v>859</v>
      </c>
      <c r="I11158" t="s">
        <v>860</v>
      </c>
      <c r="J11158" t="str">
        <f>"9250099"</f>
        <v>9250099</v>
      </c>
      <c r="K11158">
        <v>2671086042</v>
      </c>
      <c r="L11158">
        <v>2671086042</v>
      </c>
      <c r="M11158" t="s">
        <v>25054</v>
      </c>
      <c r="N11158" t="s">
        <v>25023</v>
      </c>
      <c r="O11158" t="s">
        <v>25055</v>
      </c>
      <c r="P11158">
        <v>28100</v>
      </c>
      <c r="Q11158" t="str">
        <f>"38.174582"</f>
        <v>38.174582</v>
      </c>
      <c r="R11158" t="str">
        <f>"20.581843"</f>
        <v>20.581843</v>
      </c>
      <c r="S11158" t="s">
        <v>26</v>
      </c>
    </row>
    <row r="11159" spans="1:19" x14ac:dyDescent="0.3">
      <c r="A11159" t="s">
        <v>23985</v>
      </c>
      <c r="B11159" t="s">
        <v>24941</v>
      </c>
      <c r="C11159" t="s">
        <v>25056</v>
      </c>
      <c r="D11159" t="s">
        <v>1150</v>
      </c>
      <c r="E11159" t="s">
        <v>23997</v>
      </c>
      <c r="F11159" t="s">
        <v>23997</v>
      </c>
      <c r="G11159" t="s">
        <v>23997</v>
      </c>
      <c r="H11159" t="s">
        <v>859</v>
      </c>
      <c r="I11159" t="s">
        <v>860</v>
      </c>
      <c r="J11159" t="str">
        <f>"9250092"</f>
        <v>9250092</v>
      </c>
      <c r="K11159">
        <v>2671026722</v>
      </c>
      <c r="L11159">
        <v>2671026722</v>
      </c>
      <c r="M11159" t="s">
        <v>25057</v>
      </c>
      <c r="N11159" t="s">
        <v>24000</v>
      </c>
      <c r="O11159" t="s">
        <v>25058</v>
      </c>
      <c r="P11159">
        <v>28100</v>
      </c>
      <c r="Q11159" t="str">
        <f>"38.168130"</f>
        <v>38.168130</v>
      </c>
      <c r="R11159" t="str">
        <f>"20.497026"</f>
        <v>20.497026</v>
      </c>
      <c r="S11159" t="s">
        <v>26</v>
      </c>
    </row>
    <row r="11160" spans="1:19" x14ac:dyDescent="0.3">
      <c r="A11160" t="s">
        <v>23985</v>
      </c>
      <c r="B11160" t="s">
        <v>24941</v>
      </c>
      <c r="C11160" t="s">
        <v>25060</v>
      </c>
      <c r="D11160" t="s">
        <v>24239</v>
      </c>
      <c r="E11160" t="s">
        <v>24239</v>
      </c>
      <c r="F11160" t="s">
        <v>24239</v>
      </c>
      <c r="G11160" t="s">
        <v>25059</v>
      </c>
      <c r="H11160" t="s">
        <v>859</v>
      </c>
      <c r="I11160" t="s">
        <v>860</v>
      </c>
      <c r="J11160" t="str">
        <f>"9250114"</f>
        <v>9250114</v>
      </c>
      <c r="K11160">
        <v>2674031780</v>
      </c>
      <c r="L11160">
        <v>2674031780</v>
      </c>
      <c r="M11160" t="s">
        <v>25061</v>
      </c>
      <c r="N11160" t="s">
        <v>25062</v>
      </c>
      <c r="O11160" t="s">
        <v>25062</v>
      </c>
      <c r="P11160">
        <v>28301</v>
      </c>
      <c r="Q11160" t="str">
        <f>"38.467144"</f>
        <v>38.467144</v>
      </c>
      <c r="R11160" t="str">
        <f>"20.637119"</f>
        <v>20.637119</v>
      </c>
      <c r="S11160" t="s">
        <v>57</v>
      </c>
    </row>
    <row r="11161" spans="1:19" x14ac:dyDescent="0.3">
      <c r="A11161" t="s">
        <v>23985</v>
      </c>
      <c r="B11161" t="s">
        <v>24941</v>
      </c>
      <c r="C11161" t="s">
        <v>25063</v>
      </c>
      <c r="D11161" t="s">
        <v>1150</v>
      </c>
      <c r="E11161" t="s">
        <v>24278</v>
      </c>
      <c r="F11161" t="s">
        <v>24278</v>
      </c>
      <c r="G11161" t="s">
        <v>24278</v>
      </c>
      <c r="H11161" t="s">
        <v>859</v>
      </c>
      <c r="I11161" t="s">
        <v>860</v>
      </c>
      <c r="J11161" t="str">
        <f>"9250100"</f>
        <v>9250100</v>
      </c>
      <c r="K11161">
        <v>2674022814</v>
      </c>
      <c r="L11161">
        <v>2674022814</v>
      </c>
      <c r="M11161" t="s">
        <v>25064</v>
      </c>
      <c r="N11161" t="s">
        <v>24990</v>
      </c>
      <c r="O11161" t="s">
        <v>24990</v>
      </c>
      <c r="P11161">
        <v>28080</v>
      </c>
      <c r="Q11161" t="str">
        <f>"38.247811"</f>
        <v>38.247811</v>
      </c>
      <c r="R11161" t="str">
        <f>"20.642201"</f>
        <v>20.642201</v>
      </c>
      <c r="S11161" t="s">
        <v>26</v>
      </c>
    </row>
    <row r="11162" spans="1:19" x14ac:dyDescent="0.3">
      <c r="A11162" t="s">
        <v>23985</v>
      </c>
      <c r="B11162" t="s">
        <v>24941</v>
      </c>
      <c r="C11162" t="s">
        <v>25065</v>
      </c>
      <c r="D11162" t="s">
        <v>1150</v>
      </c>
      <c r="E11162" t="s">
        <v>24256</v>
      </c>
      <c r="F11162" t="s">
        <v>24257</v>
      </c>
      <c r="G11162" t="s">
        <v>24256</v>
      </c>
      <c r="H11162" t="s">
        <v>859</v>
      </c>
      <c r="I11162" t="s">
        <v>860</v>
      </c>
      <c r="J11162" t="str">
        <f>"9250093"</f>
        <v>9250093</v>
      </c>
      <c r="K11162">
        <v>2671091870</v>
      </c>
      <c r="L11162">
        <v>2671091870</v>
      </c>
      <c r="M11162" t="s">
        <v>25066</v>
      </c>
      <c r="N11162" t="s">
        <v>24967</v>
      </c>
      <c r="O11162" t="s">
        <v>25067</v>
      </c>
      <c r="P11162">
        <v>28200</v>
      </c>
      <c r="Q11162" t="str">
        <f>"38.189015"</f>
        <v>38.189015</v>
      </c>
      <c r="R11162" t="str">
        <f>"20.439435"</f>
        <v>20.439435</v>
      </c>
      <c r="S11162" t="s">
        <v>26</v>
      </c>
    </row>
    <row r="11163" spans="1:19" x14ac:dyDescent="0.3">
      <c r="A11163" t="s">
        <v>23985</v>
      </c>
      <c r="B11163" t="s">
        <v>24941</v>
      </c>
      <c r="C11163" t="s">
        <v>25068</v>
      </c>
      <c r="D11163" t="s">
        <v>1150</v>
      </c>
      <c r="E11163" t="s">
        <v>23997</v>
      </c>
      <c r="F11163" t="s">
        <v>24263</v>
      </c>
      <c r="G11163" t="s">
        <v>24980</v>
      </c>
      <c r="H11163" t="s">
        <v>859</v>
      </c>
      <c r="I11163" t="s">
        <v>860</v>
      </c>
      <c r="J11163" t="str">
        <f>"9250122"</f>
        <v>9250122</v>
      </c>
      <c r="K11163">
        <v>2671081424</v>
      </c>
      <c r="L11163">
        <v>2671081424</v>
      </c>
      <c r="M11163" t="s">
        <v>25069</v>
      </c>
      <c r="N11163" t="s">
        <v>24982</v>
      </c>
      <c r="O11163" t="s">
        <v>24982</v>
      </c>
      <c r="P11163">
        <v>28082</v>
      </c>
      <c r="Q11163" t="str">
        <f>"38.081814"</f>
        <v>38.081814</v>
      </c>
      <c r="R11163" t="str">
        <f>"20.734682"</f>
        <v>20.734682</v>
      </c>
      <c r="S11163" t="s">
        <v>26</v>
      </c>
    </row>
    <row r="11164" spans="1:19" x14ac:dyDescent="0.3">
      <c r="A11164" t="s">
        <v>23985</v>
      </c>
      <c r="B11164" t="s">
        <v>24941</v>
      </c>
      <c r="C11164" t="s">
        <v>25080</v>
      </c>
      <c r="D11164" t="s">
        <v>1150</v>
      </c>
      <c r="E11164" t="s">
        <v>23997</v>
      </c>
      <c r="F11164" t="s">
        <v>24245</v>
      </c>
      <c r="G11164" t="s">
        <v>25009</v>
      </c>
      <c r="H11164" t="s">
        <v>859</v>
      </c>
      <c r="I11164" t="s">
        <v>1102</v>
      </c>
      <c r="J11164" t="str">
        <f>"9520896"</f>
        <v>9520896</v>
      </c>
      <c r="K11164">
        <v>2671069848</v>
      </c>
      <c r="L11164">
        <v>2671069848</v>
      </c>
      <c r="M11164" t="s">
        <v>25081</v>
      </c>
      <c r="N11164" t="s">
        <v>25009</v>
      </c>
      <c r="O11164" t="s">
        <v>25082</v>
      </c>
      <c r="P11164">
        <v>28100</v>
      </c>
      <c r="Q11164" t="str">
        <f>"38.149949"</f>
        <v>38.149949</v>
      </c>
      <c r="R11164" t="str">
        <f>"20.559070"</f>
        <v>20.559070</v>
      </c>
      <c r="S11164" t="s">
        <v>26</v>
      </c>
    </row>
    <row r="11165" spans="1:19" x14ac:dyDescent="0.3">
      <c r="A11165" t="s">
        <v>23985</v>
      </c>
      <c r="B11165" t="s">
        <v>24941</v>
      </c>
      <c r="C11165" t="s">
        <v>25083</v>
      </c>
      <c r="D11165" t="s">
        <v>1150</v>
      </c>
      <c r="E11165" t="s">
        <v>23997</v>
      </c>
      <c r="F11165" t="s">
        <v>23997</v>
      </c>
      <c r="G11165" t="s">
        <v>23997</v>
      </c>
      <c r="H11165" t="s">
        <v>859</v>
      </c>
      <c r="I11165" t="s">
        <v>860</v>
      </c>
      <c r="J11165" t="str">
        <f>"9521603"</f>
        <v>9521603</v>
      </c>
      <c r="K11165">
        <v>2671027424</v>
      </c>
      <c r="M11165" t="s">
        <v>25084</v>
      </c>
      <c r="N11165" t="s">
        <v>24000</v>
      </c>
      <c r="O11165" t="s">
        <v>25085</v>
      </c>
      <c r="P11165">
        <v>28100</v>
      </c>
      <c r="Q11165" t="str">
        <f>"38.177020"</f>
        <v>38.177020</v>
      </c>
      <c r="R11165" t="str">
        <f>"20.487010"</f>
        <v>20.487010</v>
      </c>
      <c r="S11165" t="s">
        <v>26</v>
      </c>
    </row>
    <row r="11166" spans="1:19" x14ac:dyDescent="0.3">
      <c r="A11166" t="s">
        <v>23985</v>
      </c>
      <c r="B11166" t="s">
        <v>25086</v>
      </c>
      <c r="C11166" t="s">
        <v>25094</v>
      </c>
      <c r="D11166" t="s">
        <v>24002</v>
      </c>
      <c r="E11166" t="s">
        <v>24002</v>
      </c>
      <c r="F11166" t="s">
        <v>24003</v>
      </c>
      <c r="G11166" t="s">
        <v>24003</v>
      </c>
      <c r="H11166" t="s">
        <v>859</v>
      </c>
      <c r="I11166" t="s">
        <v>860</v>
      </c>
      <c r="J11166" t="str">
        <f>"9340063"</f>
        <v>9340063</v>
      </c>
      <c r="K11166">
        <v>2645022244</v>
      </c>
      <c r="L11166">
        <v>2645022244</v>
      </c>
      <c r="M11166" t="s">
        <v>25095</v>
      </c>
      <c r="N11166" t="s">
        <v>24002</v>
      </c>
      <c r="O11166" t="s">
        <v>24391</v>
      </c>
      <c r="P11166">
        <v>31100</v>
      </c>
      <c r="Q11166" t="str">
        <f>"38.832305"</f>
        <v>38.832305</v>
      </c>
      <c r="R11166" t="str">
        <f>"20.703444"</f>
        <v>20.703444</v>
      </c>
      <c r="S11166" t="s">
        <v>26</v>
      </c>
    </row>
    <row r="11167" spans="1:19" x14ac:dyDescent="0.3">
      <c r="A11167" t="s">
        <v>23985</v>
      </c>
      <c r="B11167" t="s">
        <v>25086</v>
      </c>
      <c r="C11167" t="s">
        <v>25097</v>
      </c>
      <c r="D11167" t="s">
        <v>24002</v>
      </c>
      <c r="E11167" t="s">
        <v>24002</v>
      </c>
      <c r="F11167" t="s">
        <v>24344</v>
      </c>
      <c r="G11167" t="s">
        <v>24345</v>
      </c>
      <c r="H11167" t="s">
        <v>859</v>
      </c>
      <c r="I11167" t="s">
        <v>860</v>
      </c>
      <c r="J11167" t="str">
        <f>"9340066"</f>
        <v>9340066</v>
      </c>
      <c r="K11167">
        <v>2645092498</v>
      </c>
      <c r="L11167">
        <v>2645092498</v>
      </c>
      <c r="M11167" t="s">
        <v>25098</v>
      </c>
      <c r="N11167" t="s">
        <v>25099</v>
      </c>
      <c r="O11167" t="s">
        <v>25100</v>
      </c>
      <c r="P11167">
        <v>31084</v>
      </c>
      <c r="Q11167" t="str">
        <f>"38.709631"</f>
        <v>38.709631</v>
      </c>
      <c r="R11167" t="str">
        <f>"20.707050"</f>
        <v>20.707050</v>
      </c>
      <c r="S11167" t="s">
        <v>26</v>
      </c>
    </row>
    <row r="11168" spans="1:19" x14ac:dyDescent="0.3">
      <c r="A11168" t="s">
        <v>23985</v>
      </c>
      <c r="B11168" t="s">
        <v>25086</v>
      </c>
      <c r="C11168" t="s">
        <v>25106</v>
      </c>
      <c r="D11168" t="s">
        <v>24002</v>
      </c>
      <c r="E11168" t="s">
        <v>24002</v>
      </c>
      <c r="F11168" t="s">
        <v>4470</v>
      </c>
      <c r="G11168" t="s">
        <v>4470</v>
      </c>
      <c r="H11168" t="s">
        <v>859</v>
      </c>
      <c r="I11168" t="s">
        <v>860</v>
      </c>
      <c r="J11168" t="str">
        <f>"9340078"</f>
        <v>9340078</v>
      </c>
      <c r="K11168">
        <v>2646091372</v>
      </c>
      <c r="L11168">
        <v>2646091372</v>
      </c>
      <c r="M11168" t="s">
        <v>25107</v>
      </c>
      <c r="N11168" t="s">
        <v>4470</v>
      </c>
      <c r="O11168" t="s">
        <v>8431</v>
      </c>
      <c r="P11168">
        <v>31081</v>
      </c>
      <c r="Q11168" t="str">
        <f>"38.621160"</f>
        <v>38.621160</v>
      </c>
      <c r="R11168" t="str">
        <f>"20.928168"</f>
        <v>20.928168</v>
      </c>
      <c r="S11168" t="s">
        <v>57</v>
      </c>
    </row>
    <row r="11169" spans="1:19" x14ac:dyDescent="0.3">
      <c r="A11169" t="s">
        <v>23985</v>
      </c>
      <c r="B11169" t="s">
        <v>25086</v>
      </c>
      <c r="C11169" t="s">
        <v>25109</v>
      </c>
      <c r="D11169" t="s">
        <v>24002</v>
      </c>
      <c r="E11169" t="s">
        <v>24002</v>
      </c>
      <c r="F11169" t="s">
        <v>24344</v>
      </c>
      <c r="G11169" t="s">
        <v>25108</v>
      </c>
      <c r="H11169" t="s">
        <v>859</v>
      </c>
      <c r="I11169" t="s">
        <v>860</v>
      </c>
      <c r="J11169" t="str">
        <f>"9340067"</f>
        <v>9340067</v>
      </c>
      <c r="K11169">
        <v>2645095001</v>
      </c>
      <c r="L11169">
        <v>2654095001</v>
      </c>
      <c r="M11169" t="s">
        <v>25110</v>
      </c>
      <c r="N11169" t="s">
        <v>25108</v>
      </c>
      <c r="O11169" t="s">
        <v>25111</v>
      </c>
      <c r="P11169">
        <v>31084</v>
      </c>
      <c r="Q11169" t="str">
        <f>"38.680641"</f>
        <v>38.680641</v>
      </c>
      <c r="R11169" t="str">
        <f>"20.697258"</f>
        <v>20.697258</v>
      </c>
      <c r="S11169" t="s">
        <v>26</v>
      </c>
    </row>
    <row r="11170" spans="1:19" x14ac:dyDescent="0.3">
      <c r="A11170" t="s">
        <v>23985</v>
      </c>
      <c r="B11170" t="s">
        <v>25086</v>
      </c>
      <c r="C11170" t="s">
        <v>25113</v>
      </c>
      <c r="D11170" t="s">
        <v>24002</v>
      </c>
      <c r="E11170" t="s">
        <v>24002</v>
      </c>
      <c r="F11170" t="s">
        <v>24369</v>
      </c>
      <c r="G11170" t="s">
        <v>25112</v>
      </c>
      <c r="H11170" t="s">
        <v>859</v>
      </c>
      <c r="I11170" t="s">
        <v>860</v>
      </c>
      <c r="J11170" t="str">
        <f>"9340065"</f>
        <v>9340065</v>
      </c>
      <c r="K11170">
        <v>2645039329</v>
      </c>
      <c r="L11170">
        <v>39329</v>
      </c>
      <c r="M11170" t="s">
        <v>25114</v>
      </c>
      <c r="N11170" t="s">
        <v>25112</v>
      </c>
      <c r="O11170" t="s">
        <v>25115</v>
      </c>
      <c r="P11170">
        <v>31082</v>
      </c>
      <c r="Q11170" t="str">
        <f>"38.711365"</f>
        <v>38.711365</v>
      </c>
      <c r="R11170" t="str">
        <f>"20.636505"</f>
        <v>20.636505</v>
      </c>
      <c r="S11170" t="s">
        <v>26</v>
      </c>
    </row>
    <row r="11171" spans="1:19" x14ac:dyDescent="0.3">
      <c r="A11171" t="s">
        <v>23985</v>
      </c>
      <c r="B11171" t="s">
        <v>25086</v>
      </c>
      <c r="C11171" t="s">
        <v>25116</v>
      </c>
      <c r="D11171" t="s">
        <v>24002</v>
      </c>
      <c r="E11171" t="s">
        <v>24002</v>
      </c>
      <c r="F11171" t="s">
        <v>24369</v>
      </c>
      <c r="G11171" t="s">
        <v>25101</v>
      </c>
      <c r="H11171" t="s">
        <v>859</v>
      </c>
      <c r="I11171" t="s">
        <v>860</v>
      </c>
      <c r="J11171" t="str">
        <f>"9520715"</f>
        <v>9520715</v>
      </c>
      <c r="K11171">
        <v>2645031152</v>
      </c>
      <c r="L11171">
        <v>2645031152</v>
      </c>
      <c r="M11171" t="s">
        <v>25117</v>
      </c>
      <c r="N11171" t="s">
        <v>25101</v>
      </c>
      <c r="O11171" t="s">
        <v>25105</v>
      </c>
      <c r="P11171">
        <v>31082</v>
      </c>
      <c r="Q11171" t="str">
        <f>"38.629839"</f>
        <v>38.629839</v>
      </c>
      <c r="R11171" t="str">
        <f>"20.650063"</f>
        <v>20.650063</v>
      </c>
      <c r="S11171" t="s">
        <v>26</v>
      </c>
    </row>
    <row r="11172" spans="1:19" x14ac:dyDescent="0.3">
      <c r="A11172" t="s">
        <v>23985</v>
      </c>
      <c r="B11172" t="s">
        <v>25086</v>
      </c>
      <c r="C11172" t="s">
        <v>25118</v>
      </c>
      <c r="D11172" t="s">
        <v>24002</v>
      </c>
      <c r="E11172" t="s">
        <v>24002</v>
      </c>
      <c r="F11172" t="s">
        <v>24003</v>
      </c>
      <c r="G11172" t="s">
        <v>24003</v>
      </c>
      <c r="H11172" t="s">
        <v>859</v>
      </c>
      <c r="I11172" t="s">
        <v>860</v>
      </c>
      <c r="J11172" t="str">
        <f>"9340068"</f>
        <v>9340068</v>
      </c>
      <c r="K11172">
        <v>2645024820</v>
      </c>
      <c r="L11172">
        <v>2645024820</v>
      </c>
      <c r="M11172" t="s">
        <v>25119</v>
      </c>
      <c r="N11172" t="s">
        <v>24002</v>
      </c>
      <c r="O11172" t="s">
        <v>25120</v>
      </c>
      <c r="P11172">
        <v>31100</v>
      </c>
      <c r="Q11172" t="str">
        <f>"38.834687"</f>
        <v>38.834687</v>
      </c>
      <c r="R11172" t="str">
        <f>"20.704575"</f>
        <v>20.704575</v>
      </c>
      <c r="S11172" t="s">
        <v>26</v>
      </c>
    </row>
    <row r="11173" spans="1:19" x14ac:dyDescent="0.3">
      <c r="A11173" t="s">
        <v>23985</v>
      </c>
      <c r="B11173" t="s">
        <v>25086</v>
      </c>
      <c r="C11173" t="s">
        <v>25122</v>
      </c>
      <c r="D11173" t="s">
        <v>24002</v>
      </c>
      <c r="E11173" t="s">
        <v>24002</v>
      </c>
      <c r="F11173" t="s">
        <v>24003</v>
      </c>
      <c r="G11173" t="s">
        <v>25121</v>
      </c>
      <c r="H11173" t="s">
        <v>859</v>
      </c>
      <c r="I11173" t="s">
        <v>860</v>
      </c>
      <c r="J11173" t="str">
        <f>"9340073"</f>
        <v>9340073</v>
      </c>
      <c r="K11173">
        <v>2645071089</v>
      </c>
      <c r="L11173">
        <v>2645071089</v>
      </c>
      <c r="M11173" t="s">
        <v>25123</v>
      </c>
      <c r="N11173" t="s">
        <v>14031</v>
      </c>
      <c r="O11173" t="s">
        <v>25124</v>
      </c>
      <c r="P11173">
        <v>31100</v>
      </c>
      <c r="Q11173" t="str">
        <f>"38.789182"</f>
        <v>38.789182</v>
      </c>
      <c r="R11173" t="str">
        <f>"20.717147"</f>
        <v>20.717147</v>
      </c>
      <c r="S11173" t="s">
        <v>26</v>
      </c>
    </row>
    <row r="11174" spans="1:19" x14ac:dyDescent="0.3">
      <c r="A11174" t="s">
        <v>23985</v>
      </c>
      <c r="B11174" t="s">
        <v>25086</v>
      </c>
      <c r="C11174" t="s">
        <v>25125</v>
      </c>
      <c r="D11174" t="s">
        <v>24002</v>
      </c>
      <c r="E11174" t="s">
        <v>24002</v>
      </c>
      <c r="F11174" t="s">
        <v>24003</v>
      </c>
      <c r="G11174" t="s">
        <v>24003</v>
      </c>
      <c r="H11174" t="s">
        <v>859</v>
      </c>
      <c r="I11174" t="s">
        <v>860</v>
      </c>
      <c r="J11174" t="str">
        <f>"9340071"</f>
        <v>9340071</v>
      </c>
      <c r="K11174">
        <v>2645024319</v>
      </c>
      <c r="L11174">
        <v>2645020189</v>
      </c>
      <c r="M11174" t="s">
        <v>25126</v>
      </c>
      <c r="N11174" t="s">
        <v>24002</v>
      </c>
      <c r="O11174" t="s">
        <v>25127</v>
      </c>
      <c r="P11174">
        <v>31100</v>
      </c>
      <c r="Q11174" t="str">
        <f>"38.829015"</f>
        <v>38.829015</v>
      </c>
      <c r="R11174" t="str">
        <f>"20.700946"</f>
        <v>20.700946</v>
      </c>
      <c r="S11174" t="s">
        <v>26</v>
      </c>
    </row>
    <row r="11175" spans="1:19" x14ac:dyDescent="0.3">
      <c r="A11175" t="s">
        <v>23985</v>
      </c>
      <c r="B11175" t="s">
        <v>25086</v>
      </c>
      <c r="C11175" t="s">
        <v>25128</v>
      </c>
      <c r="D11175" t="s">
        <v>24002</v>
      </c>
      <c r="E11175" t="s">
        <v>24362</v>
      </c>
      <c r="F11175" t="s">
        <v>24362</v>
      </c>
      <c r="G11175" t="s">
        <v>25087</v>
      </c>
      <c r="H11175" t="s">
        <v>859</v>
      </c>
      <c r="I11175" t="s">
        <v>860</v>
      </c>
      <c r="J11175" t="str">
        <f>"9340056"</f>
        <v>9340056</v>
      </c>
      <c r="K11175">
        <v>2645051485</v>
      </c>
      <c r="L11175">
        <v>2645051485</v>
      </c>
      <c r="M11175" t="s">
        <v>25129</v>
      </c>
      <c r="N11175" t="s">
        <v>24362</v>
      </c>
      <c r="O11175" t="s">
        <v>25130</v>
      </c>
      <c r="P11175">
        <v>31083</v>
      </c>
      <c r="Q11175" t="str">
        <f>"38.655716"</f>
        <v>38.655716</v>
      </c>
      <c r="R11175" t="str">
        <f>"20.790733"</f>
        <v>20.790733</v>
      </c>
      <c r="S11175" t="s">
        <v>57</v>
      </c>
    </row>
    <row r="11176" spans="1:19" x14ac:dyDescent="0.3">
      <c r="A11176" t="s">
        <v>23985</v>
      </c>
      <c r="B11176" t="s">
        <v>25086</v>
      </c>
      <c r="C11176" t="s">
        <v>25131</v>
      </c>
      <c r="D11176" t="s">
        <v>24002</v>
      </c>
      <c r="E11176" t="s">
        <v>24002</v>
      </c>
      <c r="F11176" t="s">
        <v>24003</v>
      </c>
      <c r="G11176" t="s">
        <v>24003</v>
      </c>
      <c r="H11176" t="s">
        <v>859</v>
      </c>
      <c r="I11176" t="s">
        <v>860</v>
      </c>
      <c r="J11176" t="str">
        <f>"9340002"</f>
        <v>9340002</v>
      </c>
      <c r="K11176">
        <v>2645022216</v>
      </c>
      <c r="L11176">
        <v>2645022216</v>
      </c>
      <c r="M11176" t="s">
        <v>25132</v>
      </c>
      <c r="N11176" t="s">
        <v>24002</v>
      </c>
      <c r="O11176" t="s">
        <v>25133</v>
      </c>
      <c r="P11176">
        <v>31100</v>
      </c>
      <c r="Q11176" t="str">
        <f>"38.832330"</f>
        <v>38.832330</v>
      </c>
      <c r="R11176" t="str">
        <f>"20.703390"</f>
        <v>20.703390</v>
      </c>
      <c r="S11176" t="s">
        <v>26</v>
      </c>
    </row>
    <row r="11177" spans="1:19" x14ac:dyDescent="0.3">
      <c r="A11177" t="s">
        <v>23985</v>
      </c>
      <c r="B11177" t="s">
        <v>25086</v>
      </c>
      <c r="C11177" t="s">
        <v>25135</v>
      </c>
      <c r="D11177" t="s">
        <v>24002</v>
      </c>
      <c r="E11177" t="s">
        <v>24002</v>
      </c>
      <c r="F11177" t="s">
        <v>24003</v>
      </c>
      <c r="G11177" t="s">
        <v>25134</v>
      </c>
      <c r="H11177" t="s">
        <v>859</v>
      </c>
      <c r="I11177" t="s">
        <v>860</v>
      </c>
      <c r="J11177" t="str">
        <f>"9340075"</f>
        <v>9340075</v>
      </c>
      <c r="K11177">
        <v>2645071366</v>
      </c>
      <c r="L11177">
        <v>2645071366</v>
      </c>
      <c r="M11177" t="s">
        <v>25136</v>
      </c>
      <c r="N11177" t="s">
        <v>25137</v>
      </c>
      <c r="O11177" t="s">
        <v>25138</v>
      </c>
      <c r="P11177">
        <v>31100</v>
      </c>
      <c r="Q11177" t="str">
        <f>"38.757296"</f>
        <v>38.757296</v>
      </c>
      <c r="R11177" t="str">
        <f>"20.718575"</f>
        <v>20.718575</v>
      </c>
      <c r="S11177" t="s">
        <v>26</v>
      </c>
    </row>
    <row r="11178" spans="1:19" x14ac:dyDescent="0.3">
      <c r="A11178" t="s">
        <v>23985</v>
      </c>
      <c r="B11178" t="s">
        <v>25086</v>
      </c>
      <c r="C11178" t="s">
        <v>25139</v>
      </c>
      <c r="D11178" t="s">
        <v>24002</v>
      </c>
      <c r="E11178" t="s">
        <v>24002</v>
      </c>
      <c r="F11178" t="s">
        <v>24344</v>
      </c>
      <c r="G11178" t="s">
        <v>24345</v>
      </c>
      <c r="H11178" t="s">
        <v>859</v>
      </c>
      <c r="I11178" t="s">
        <v>860</v>
      </c>
      <c r="J11178" t="str">
        <f>"9340077"</f>
        <v>9340077</v>
      </c>
      <c r="K11178">
        <v>2645093244</v>
      </c>
      <c r="L11178">
        <v>2645093244</v>
      </c>
      <c r="M11178" t="s">
        <v>25140</v>
      </c>
      <c r="O11178" t="s">
        <v>25141</v>
      </c>
      <c r="P11178">
        <v>31084</v>
      </c>
      <c r="Q11178" t="str">
        <f>"38.719298"</f>
        <v>38.719298</v>
      </c>
      <c r="R11178" t="str">
        <f>"20.720756"</f>
        <v>20.720756</v>
      </c>
      <c r="S11178" t="s">
        <v>26</v>
      </c>
    </row>
    <row r="11179" spans="1:19" x14ac:dyDescent="0.3">
      <c r="A11179" t="s">
        <v>23985</v>
      </c>
      <c r="B11179" t="s">
        <v>25086</v>
      </c>
      <c r="C11179" t="s">
        <v>25142</v>
      </c>
      <c r="D11179" t="s">
        <v>24002</v>
      </c>
      <c r="E11179" t="s">
        <v>24002</v>
      </c>
      <c r="F11179" t="s">
        <v>24003</v>
      </c>
      <c r="G11179" t="s">
        <v>24003</v>
      </c>
      <c r="H11179" t="s">
        <v>859</v>
      </c>
      <c r="I11179" t="s">
        <v>1102</v>
      </c>
      <c r="J11179" t="str">
        <f>"9521070"</f>
        <v>9521070</v>
      </c>
      <c r="K11179">
        <v>2645023650</v>
      </c>
      <c r="L11179">
        <v>2645023650</v>
      </c>
      <c r="M11179" t="s">
        <v>25143</v>
      </c>
      <c r="N11179" t="s">
        <v>24002</v>
      </c>
      <c r="O11179" t="s">
        <v>25144</v>
      </c>
      <c r="P11179">
        <v>31100</v>
      </c>
      <c r="Q11179" t="str">
        <f>"38.737534"</f>
        <v>38.737534</v>
      </c>
      <c r="R11179" t="str">
        <f>"20.718206"</f>
        <v>20.718206</v>
      </c>
      <c r="S11179" t="s">
        <v>26</v>
      </c>
    </row>
    <row r="11180" spans="1:19" x14ac:dyDescent="0.3">
      <c r="A11180" t="s">
        <v>23985</v>
      </c>
      <c r="B11180" t="s">
        <v>25086</v>
      </c>
      <c r="C11180" t="s">
        <v>25163</v>
      </c>
      <c r="D11180" t="s">
        <v>24002</v>
      </c>
      <c r="E11180" t="s">
        <v>24002</v>
      </c>
      <c r="F11180" t="s">
        <v>24003</v>
      </c>
      <c r="G11180" t="s">
        <v>24003</v>
      </c>
      <c r="H11180" t="s">
        <v>859</v>
      </c>
      <c r="I11180" t="s">
        <v>860</v>
      </c>
      <c r="J11180" t="str">
        <f>"9340069"</f>
        <v>9340069</v>
      </c>
      <c r="K11180">
        <v>2645025067</v>
      </c>
      <c r="L11180">
        <v>2645025067</v>
      </c>
      <c r="M11180" t="s">
        <v>25164</v>
      </c>
      <c r="N11180" t="s">
        <v>24002</v>
      </c>
      <c r="O11180" t="s">
        <v>24356</v>
      </c>
      <c r="P11180">
        <v>31100</v>
      </c>
      <c r="Q11180" t="str">
        <f>"38.829534"</f>
        <v>38.829534</v>
      </c>
      <c r="R11180" t="str">
        <f>"20.708436"</f>
        <v>20.708436</v>
      </c>
      <c r="S11180" t="s">
        <v>26</v>
      </c>
    </row>
    <row r="11181" spans="1:19" x14ac:dyDescent="0.3">
      <c r="A11181" t="s">
        <v>23985</v>
      </c>
      <c r="B11181" t="s">
        <v>25086</v>
      </c>
      <c r="C11181" t="s">
        <v>25165</v>
      </c>
      <c r="D11181" t="s">
        <v>24002</v>
      </c>
      <c r="E11181" t="s">
        <v>24002</v>
      </c>
      <c r="F11181" t="s">
        <v>24003</v>
      </c>
      <c r="G11181" t="s">
        <v>24003</v>
      </c>
      <c r="H11181" t="s">
        <v>859</v>
      </c>
      <c r="I11181" t="s">
        <v>860</v>
      </c>
      <c r="J11181" t="str">
        <f>"9340064"</f>
        <v>9340064</v>
      </c>
      <c r="K11181">
        <v>2645024782</v>
      </c>
      <c r="L11181">
        <v>2645024782</v>
      </c>
      <c r="M11181" t="s">
        <v>25166</v>
      </c>
      <c r="N11181" t="s">
        <v>24002</v>
      </c>
      <c r="O11181" t="s">
        <v>25167</v>
      </c>
      <c r="P11181">
        <v>31100</v>
      </c>
      <c r="Q11181" t="str">
        <f>"38.815069"</f>
        <v>38.815069</v>
      </c>
      <c r="R11181" t="str">
        <f>"20.690145"</f>
        <v>20.690145</v>
      </c>
      <c r="S11181" t="s">
        <v>26</v>
      </c>
    </row>
    <row r="11182" spans="1:19" x14ac:dyDescent="0.3">
      <c r="A11182" t="s">
        <v>23985</v>
      </c>
      <c r="B11182" t="s">
        <v>25086</v>
      </c>
      <c r="C11182" t="s">
        <v>25168</v>
      </c>
      <c r="D11182" t="s">
        <v>24002</v>
      </c>
      <c r="E11182" t="s">
        <v>24002</v>
      </c>
      <c r="F11182" t="s">
        <v>24003</v>
      </c>
      <c r="G11182" t="s">
        <v>24003</v>
      </c>
      <c r="H11182" t="s">
        <v>859</v>
      </c>
      <c r="I11182" t="s">
        <v>860</v>
      </c>
      <c r="J11182" t="str">
        <f>"9340080"</f>
        <v>9340080</v>
      </c>
      <c r="K11182">
        <v>2645021208</v>
      </c>
      <c r="L11182">
        <v>2645029024</v>
      </c>
      <c r="M11182" t="s">
        <v>25169</v>
      </c>
      <c r="N11182" t="s">
        <v>24002</v>
      </c>
      <c r="O11182" t="s">
        <v>24360</v>
      </c>
      <c r="P11182">
        <v>31100</v>
      </c>
      <c r="Q11182" t="str">
        <f>"38.833860"</f>
        <v>38.833860</v>
      </c>
      <c r="R11182" t="str">
        <f>"20.701276"</f>
        <v>20.701276</v>
      </c>
      <c r="S11182" t="s">
        <v>26</v>
      </c>
    </row>
    <row r="11183" spans="1:19" x14ac:dyDescent="0.3">
      <c r="A11183" t="s">
        <v>23985</v>
      </c>
      <c r="B11183" t="s">
        <v>25086</v>
      </c>
      <c r="C11183" t="s">
        <v>25171</v>
      </c>
      <c r="D11183" t="s">
        <v>24002</v>
      </c>
      <c r="E11183" t="s">
        <v>24002</v>
      </c>
      <c r="F11183" t="s">
        <v>24003</v>
      </c>
      <c r="G11183" t="s">
        <v>25170</v>
      </c>
      <c r="H11183" t="s">
        <v>859</v>
      </c>
      <c r="I11183" t="s">
        <v>860</v>
      </c>
      <c r="J11183" t="str">
        <f>"9340072"</f>
        <v>9340072</v>
      </c>
      <c r="K11183">
        <v>2645061291</v>
      </c>
      <c r="M11183" t="s">
        <v>25172</v>
      </c>
      <c r="N11183" t="s">
        <v>25158</v>
      </c>
      <c r="O11183" t="s">
        <v>25173</v>
      </c>
      <c r="P11183">
        <v>31080</v>
      </c>
      <c r="Q11183" t="str">
        <f>"38.778325"</f>
        <v>38.778325</v>
      </c>
      <c r="R11183" t="str">
        <f>"20.663096"</f>
        <v>20.663096</v>
      </c>
      <c r="S11183" t="s">
        <v>26</v>
      </c>
    </row>
    <row r="11184" spans="1:19" x14ac:dyDescent="0.3">
      <c r="A11184" t="s">
        <v>23985</v>
      </c>
      <c r="B11184" t="s">
        <v>25086</v>
      </c>
      <c r="C11184" t="s">
        <v>25174</v>
      </c>
      <c r="D11184" t="s">
        <v>24002</v>
      </c>
      <c r="E11184" t="s">
        <v>24002</v>
      </c>
      <c r="F11184" t="s">
        <v>24369</v>
      </c>
      <c r="G11184" t="s">
        <v>8518</v>
      </c>
      <c r="H11184" t="s">
        <v>859</v>
      </c>
      <c r="I11184" t="s">
        <v>860</v>
      </c>
      <c r="J11184" t="str">
        <f>"9340007"</f>
        <v>9340007</v>
      </c>
      <c r="K11184">
        <v>2645033645</v>
      </c>
      <c r="L11184">
        <v>2645033645</v>
      </c>
      <c r="M11184" t="s">
        <v>25175</v>
      </c>
      <c r="N11184" t="s">
        <v>8518</v>
      </c>
      <c r="O11184" t="s">
        <v>25176</v>
      </c>
      <c r="P11184">
        <v>31082</v>
      </c>
      <c r="Q11184" t="str">
        <f>"38.666377"</f>
        <v>38.666377</v>
      </c>
      <c r="R11184" t="str">
        <f>"20.601825"</f>
        <v>20.601825</v>
      </c>
      <c r="S11184" t="s">
        <v>26</v>
      </c>
    </row>
    <row r="11185" spans="1:19" x14ac:dyDescent="0.3">
      <c r="A11185" t="s">
        <v>23985</v>
      </c>
      <c r="B11185" t="s">
        <v>25086</v>
      </c>
      <c r="C11185" t="s">
        <v>25177</v>
      </c>
      <c r="D11185" t="s">
        <v>24002</v>
      </c>
      <c r="E11185" t="s">
        <v>24002</v>
      </c>
      <c r="F11185" t="s">
        <v>24369</v>
      </c>
      <c r="G11185" t="s">
        <v>23512</v>
      </c>
      <c r="H11185" t="s">
        <v>859</v>
      </c>
      <c r="I11185" t="s">
        <v>860</v>
      </c>
      <c r="J11185" t="str">
        <f>"9340076"</f>
        <v>9340076</v>
      </c>
      <c r="K11185">
        <v>2645031756</v>
      </c>
      <c r="L11185">
        <v>2645031756</v>
      </c>
      <c r="M11185" t="s">
        <v>25178</v>
      </c>
      <c r="N11185" t="s">
        <v>24002</v>
      </c>
      <c r="O11185" t="s">
        <v>23515</v>
      </c>
      <c r="P11185">
        <v>31082</v>
      </c>
      <c r="Q11185" t="str">
        <f>"38.632364"</f>
        <v>38.632364</v>
      </c>
      <c r="R11185" t="str">
        <f>"20.601491"</f>
        <v>20.601491</v>
      </c>
      <c r="S11185" t="s">
        <v>26</v>
      </c>
    </row>
    <row r="11186" spans="1:19" x14ac:dyDescent="0.3">
      <c r="A11186" t="s">
        <v>23985</v>
      </c>
      <c r="B11186" t="s">
        <v>25086</v>
      </c>
      <c r="C11186" t="s">
        <v>25179</v>
      </c>
      <c r="D11186" t="s">
        <v>24002</v>
      </c>
      <c r="E11186" t="s">
        <v>24002</v>
      </c>
      <c r="F11186" t="s">
        <v>16102</v>
      </c>
      <c r="G11186" t="s">
        <v>16102</v>
      </c>
      <c r="H11186" t="s">
        <v>859</v>
      </c>
      <c r="I11186" t="s">
        <v>860</v>
      </c>
      <c r="J11186" t="str">
        <f>"9340026"</f>
        <v>9340026</v>
      </c>
      <c r="K11186">
        <v>2645041382</v>
      </c>
      <c r="L11186">
        <v>2645041382</v>
      </c>
      <c r="M11186" t="s">
        <v>25180</v>
      </c>
      <c r="N11186" t="s">
        <v>16102</v>
      </c>
      <c r="O11186" t="s">
        <v>24376</v>
      </c>
      <c r="P11186">
        <v>31080</v>
      </c>
      <c r="Q11186" t="str">
        <f>"38.761260"</f>
        <v>38.761260</v>
      </c>
      <c r="R11186" t="str">
        <f>"20.648274"</f>
        <v>20.648274</v>
      </c>
      <c r="S11186" t="s">
        <v>26</v>
      </c>
    </row>
    <row r="11187" spans="1:19" x14ac:dyDescent="0.3">
      <c r="A11187" t="s">
        <v>23985</v>
      </c>
      <c r="B11187" t="s">
        <v>25086</v>
      </c>
      <c r="C11187" t="s">
        <v>25184</v>
      </c>
      <c r="D11187" t="s">
        <v>24002</v>
      </c>
      <c r="E11187" t="s">
        <v>24002</v>
      </c>
      <c r="F11187" t="s">
        <v>24003</v>
      </c>
      <c r="G11187" t="s">
        <v>25183</v>
      </c>
      <c r="H11187" t="s">
        <v>859</v>
      </c>
      <c r="I11187" t="s">
        <v>860</v>
      </c>
      <c r="J11187" t="str">
        <f>"9340079"</f>
        <v>9340079</v>
      </c>
      <c r="K11187">
        <v>2645097248</v>
      </c>
      <c r="L11187">
        <v>2645097248</v>
      </c>
      <c r="M11187" t="s">
        <v>25185</v>
      </c>
      <c r="N11187" t="s">
        <v>25183</v>
      </c>
      <c r="O11187" t="s">
        <v>25186</v>
      </c>
      <c r="P11187">
        <v>31100</v>
      </c>
      <c r="Q11187" t="str">
        <f>"38.823725"</f>
        <v>38.823725</v>
      </c>
      <c r="R11187" t="str">
        <f>"20.655126"</f>
        <v>20.655126</v>
      </c>
      <c r="S11187" t="s">
        <v>26</v>
      </c>
    </row>
    <row r="11188" spans="1:19" x14ac:dyDescent="0.3">
      <c r="A11188" t="s">
        <v>23985</v>
      </c>
      <c r="B11188" t="s">
        <v>25086</v>
      </c>
      <c r="C11188" t="s">
        <v>25187</v>
      </c>
      <c r="D11188" t="s">
        <v>24002</v>
      </c>
      <c r="E11188" t="s">
        <v>24002</v>
      </c>
      <c r="F11188" t="s">
        <v>24003</v>
      </c>
      <c r="G11188" t="s">
        <v>24003</v>
      </c>
      <c r="H11188" t="s">
        <v>859</v>
      </c>
      <c r="I11188" t="s">
        <v>860</v>
      </c>
      <c r="J11188" t="str">
        <f>"9340031"</f>
        <v>9340031</v>
      </c>
      <c r="K11188">
        <v>2645024884</v>
      </c>
      <c r="L11188">
        <v>2645024884</v>
      </c>
      <c r="M11188" t="s">
        <v>25188</v>
      </c>
      <c r="N11188" t="s">
        <v>24002</v>
      </c>
      <c r="O11188" t="s">
        <v>25189</v>
      </c>
      <c r="P11188">
        <v>31100</v>
      </c>
      <c r="Q11188" t="str">
        <f>"38.824808"</f>
        <v>38.824808</v>
      </c>
      <c r="R11188" t="str">
        <f>"20.705471"</f>
        <v>20.705471</v>
      </c>
      <c r="S11188" t="s">
        <v>26</v>
      </c>
    </row>
    <row r="11189" spans="1:19" x14ac:dyDescent="0.3">
      <c r="A11189" t="s">
        <v>25190</v>
      </c>
      <c r="B11189" t="s">
        <v>27598</v>
      </c>
      <c r="C11189" t="s">
        <v>27599</v>
      </c>
      <c r="D11189" t="s">
        <v>25197</v>
      </c>
      <c r="E11189" t="s">
        <v>25299</v>
      </c>
      <c r="F11189" t="s">
        <v>25299</v>
      </c>
      <c r="G11189" t="s">
        <v>25299</v>
      </c>
      <c r="H11189" t="s">
        <v>859</v>
      </c>
      <c r="I11189" t="s">
        <v>860</v>
      </c>
      <c r="J11189" t="str">
        <f>"9190872"</f>
        <v>9190872</v>
      </c>
      <c r="K11189">
        <v>2310455141</v>
      </c>
      <c r="L11189">
        <v>2310455141</v>
      </c>
      <c r="M11189" t="s">
        <v>27600</v>
      </c>
      <c r="N11189" t="s">
        <v>25331</v>
      </c>
      <c r="O11189" t="s">
        <v>27601</v>
      </c>
      <c r="P11189">
        <v>55132</v>
      </c>
      <c r="Q11189" t="str">
        <f>"40.573789"</f>
        <v>40.573789</v>
      </c>
      <c r="R11189" t="str">
        <f>"22.966837"</f>
        <v>22.966837</v>
      </c>
      <c r="S11189" t="s">
        <v>26</v>
      </c>
    </row>
    <row r="11190" spans="1:19" x14ac:dyDescent="0.3">
      <c r="A11190" t="s">
        <v>25190</v>
      </c>
      <c r="B11190" t="s">
        <v>27598</v>
      </c>
      <c r="C11190" t="s">
        <v>27602</v>
      </c>
      <c r="D11190" t="s">
        <v>25197</v>
      </c>
      <c r="E11190" t="s">
        <v>25299</v>
      </c>
      <c r="F11190" t="s">
        <v>25299</v>
      </c>
      <c r="G11190" t="s">
        <v>25299</v>
      </c>
      <c r="H11190" t="s">
        <v>859</v>
      </c>
      <c r="I11190" t="s">
        <v>860</v>
      </c>
      <c r="J11190" t="str">
        <f>"9190844"</f>
        <v>9190844</v>
      </c>
      <c r="K11190">
        <v>2310481337</v>
      </c>
      <c r="L11190">
        <v>2310481337</v>
      </c>
      <c r="M11190" t="s">
        <v>27603</v>
      </c>
      <c r="N11190" t="s">
        <v>25331</v>
      </c>
      <c r="O11190" t="s">
        <v>27604</v>
      </c>
      <c r="P11190">
        <v>55134</v>
      </c>
      <c r="Q11190" t="str">
        <f>"40.576827"</f>
        <v>40.576827</v>
      </c>
      <c r="R11190" t="str">
        <f>"22.966925"</f>
        <v>22.966925</v>
      </c>
      <c r="S11190" t="s">
        <v>26</v>
      </c>
    </row>
    <row r="11191" spans="1:19" x14ac:dyDescent="0.3">
      <c r="A11191" t="s">
        <v>25190</v>
      </c>
      <c r="B11191" t="s">
        <v>27598</v>
      </c>
      <c r="C11191" t="s">
        <v>27605</v>
      </c>
      <c r="D11191" t="s">
        <v>25197</v>
      </c>
      <c r="E11191" t="s">
        <v>25299</v>
      </c>
      <c r="F11191" t="s">
        <v>25299</v>
      </c>
      <c r="G11191" t="s">
        <v>25299</v>
      </c>
      <c r="H11191" t="s">
        <v>859</v>
      </c>
      <c r="I11191" t="s">
        <v>860</v>
      </c>
      <c r="J11191" t="str">
        <f>"9190871"</f>
        <v>9190871</v>
      </c>
      <c r="K11191">
        <v>2310439196</v>
      </c>
      <c r="L11191">
        <v>2310439196</v>
      </c>
      <c r="M11191" t="s">
        <v>27606</v>
      </c>
      <c r="N11191" t="s">
        <v>25331</v>
      </c>
      <c r="O11191" t="s">
        <v>27607</v>
      </c>
      <c r="P11191">
        <v>55133</v>
      </c>
      <c r="Q11191" t="str">
        <f>"40.582971"</f>
        <v>40.582971</v>
      </c>
      <c r="R11191" t="str">
        <f>"22.957736"</f>
        <v>22.957736</v>
      </c>
      <c r="S11191" t="s">
        <v>26</v>
      </c>
    </row>
    <row r="11192" spans="1:19" x14ac:dyDescent="0.3">
      <c r="A11192" t="s">
        <v>25190</v>
      </c>
      <c r="B11192" t="s">
        <v>27598</v>
      </c>
      <c r="C11192" t="s">
        <v>27626</v>
      </c>
      <c r="D11192" t="s">
        <v>25197</v>
      </c>
      <c r="E11192" t="s">
        <v>25197</v>
      </c>
      <c r="F11192" t="s">
        <v>25197</v>
      </c>
      <c r="G11192" t="s">
        <v>25255</v>
      </c>
      <c r="H11192" t="s">
        <v>859</v>
      </c>
      <c r="I11192" t="s">
        <v>860</v>
      </c>
      <c r="J11192" t="str">
        <f>"9190446"</f>
        <v>9190446</v>
      </c>
      <c r="K11192">
        <v>2310270307</v>
      </c>
      <c r="L11192">
        <v>2310270307</v>
      </c>
      <c r="M11192" t="s">
        <v>27627</v>
      </c>
      <c r="N11192" t="s">
        <v>25247</v>
      </c>
      <c r="O11192" t="s">
        <v>27628</v>
      </c>
      <c r="P11192">
        <v>54621</v>
      </c>
      <c r="Q11192" t="str">
        <f>"40.628979"</f>
        <v>40.628979</v>
      </c>
      <c r="R11192" t="str">
        <f>"22.950525"</f>
        <v>22.950525</v>
      </c>
      <c r="S11192" t="s">
        <v>26</v>
      </c>
    </row>
    <row r="11193" spans="1:19" x14ac:dyDescent="0.3">
      <c r="A11193" t="s">
        <v>25190</v>
      </c>
      <c r="B11193" t="s">
        <v>27598</v>
      </c>
      <c r="C11193" t="s">
        <v>27633</v>
      </c>
      <c r="D11193" t="s">
        <v>25197</v>
      </c>
      <c r="E11193" t="s">
        <v>25197</v>
      </c>
      <c r="F11193" t="s">
        <v>25197</v>
      </c>
      <c r="G11193" t="s">
        <v>25255</v>
      </c>
      <c r="H11193" t="s">
        <v>859</v>
      </c>
      <c r="I11193" t="s">
        <v>860</v>
      </c>
      <c r="J11193" t="str">
        <f>"9190448"</f>
        <v>9190448</v>
      </c>
      <c r="K11193">
        <v>2313075695</v>
      </c>
      <c r="L11193">
        <v>2313075695</v>
      </c>
      <c r="M11193" t="s">
        <v>27634</v>
      </c>
      <c r="N11193" t="s">
        <v>25247</v>
      </c>
      <c r="O11193" t="s">
        <v>25527</v>
      </c>
      <c r="P11193">
        <v>54622</v>
      </c>
      <c r="Q11193" t="str">
        <f>"40.632033"</f>
        <v>40.632033</v>
      </c>
      <c r="R11193" t="str">
        <f>"22.946293"</f>
        <v>22.946293</v>
      </c>
      <c r="S11193" t="s">
        <v>26</v>
      </c>
    </row>
    <row r="11194" spans="1:19" x14ac:dyDescent="0.3">
      <c r="A11194" t="s">
        <v>25190</v>
      </c>
      <c r="B11194" t="s">
        <v>27598</v>
      </c>
      <c r="C11194" t="s">
        <v>27635</v>
      </c>
      <c r="D11194" t="s">
        <v>25197</v>
      </c>
      <c r="E11194" t="s">
        <v>25197</v>
      </c>
      <c r="F11194" t="s">
        <v>25197</v>
      </c>
      <c r="G11194" t="s">
        <v>25255</v>
      </c>
      <c r="H11194" t="s">
        <v>859</v>
      </c>
      <c r="I11194" t="s">
        <v>860</v>
      </c>
      <c r="J11194" t="str">
        <f>"9190449"</f>
        <v>9190449</v>
      </c>
      <c r="K11194">
        <v>2310272760</v>
      </c>
      <c r="L11194">
        <v>2310272760</v>
      </c>
      <c r="M11194" t="s">
        <v>27636</v>
      </c>
      <c r="N11194" t="s">
        <v>25247</v>
      </c>
      <c r="O11194" t="s">
        <v>25527</v>
      </c>
      <c r="P11194">
        <v>54622</v>
      </c>
      <c r="Q11194" t="str">
        <f>"40.631675"</f>
        <v>40.631675</v>
      </c>
      <c r="R11194" t="str">
        <f>"22.945799"</f>
        <v>22.945799</v>
      </c>
      <c r="S11194" t="s">
        <v>26</v>
      </c>
    </row>
    <row r="11195" spans="1:19" x14ac:dyDescent="0.3">
      <c r="A11195" t="s">
        <v>25190</v>
      </c>
      <c r="B11195" t="s">
        <v>27598</v>
      </c>
      <c r="C11195" t="s">
        <v>27639</v>
      </c>
      <c r="D11195" t="s">
        <v>25197</v>
      </c>
      <c r="E11195" t="s">
        <v>25197</v>
      </c>
      <c r="F11195" t="s">
        <v>25197</v>
      </c>
      <c r="G11195" t="s">
        <v>25244</v>
      </c>
      <c r="H11195" t="s">
        <v>859</v>
      </c>
      <c r="I11195" t="s">
        <v>860</v>
      </c>
      <c r="J11195" t="str">
        <f>"9190083"</f>
        <v>9190083</v>
      </c>
      <c r="K11195">
        <v>2310237386</v>
      </c>
      <c r="L11195">
        <v>2310237386</v>
      </c>
      <c r="M11195" t="s">
        <v>27640</v>
      </c>
      <c r="N11195" t="s">
        <v>25247</v>
      </c>
      <c r="O11195" t="s">
        <v>27622</v>
      </c>
      <c r="P11195">
        <v>54633</v>
      </c>
      <c r="Q11195" t="str">
        <f>"40.639808"</f>
        <v>40.639808</v>
      </c>
      <c r="R11195" t="str">
        <f>"22.947033"</f>
        <v>22.947033</v>
      </c>
      <c r="S11195" t="s">
        <v>26</v>
      </c>
    </row>
    <row r="11196" spans="1:19" x14ac:dyDescent="0.3">
      <c r="A11196" t="s">
        <v>25190</v>
      </c>
      <c r="B11196" t="s">
        <v>27598</v>
      </c>
      <c r="C11196" t="s">
        <v>27645</v>
      </c>
      <c r="D11196" t="s">
        <v>25197</v>
      </c>
      <c r="E11196" t="s">
        <v>25197</v>
      </c>
      <c r="F11196" t="s">
        <v>25197</v>
      </c>
      <c r="G11196" t="s">
        <v>25255</v>
      </c>
      <c r="H11196" t="s">
        <v>859</v>
      </c>
      <c r="I11196" t="s">
        <v>860</v>
      </c>
      <c r="J11196" t="str">
        <f>"9190084"</f>
        <v>9190084</v>
      </c>
      <c r="K11196">
        <v>2310271123</v>
      </c>
      <c r="L11196">
        <v>2310271123</v>
      </c>
      <c r="M11196" t="s">
        <v>27646</v>
      </c>
      <c r="N11196" t="s">
        <v>25247</v>
      </c>
      <c r="O11196" t="s">
        <v>27647</v>
      </c>
      <c r="P11196">
        <v>54622</v>
      </c>
      <c r="Q11196" t="str">
        <f>"40.630398"</f>
        <v>40.630398</v>
      </c>
      <c r="R11196" t="str">
        <f>"22.943981"</f>
        <v>22.943981</v>
      </c>
      <c r="S11196" t="s">
        <v>26</v>
      </c>
    </row>
    <row r="11197" spans="1:19" x14ac:dyDescent="0.3">
      <c r="A11197" t="s">
        <v>25190</v>
      </c>
      <c r="B11197" t="s">
        <v>27598</v>
      </c>
      <c r="C11197" t="s">
        <v>27648</v>
      </c>
      <c r="D11197" t="s">
        <v>25197</v>
      </c>
      <c r="E11197" t="s">
        <v>25197</v>
      </c>
      <c r="F11197" t="s">
        <v>25197</v>
      </c>
      <c r="G11197" t="s">
        <v>25244</v>
      </c>
      <c r="H11197" t="s">
        <v>859</v>
      </c>
      <c r="I11197" t="s">
        <v>860</v>
      </c>
      <c r="J11197" t="str">
        <f>"9190451"</f>
        <v>9190451</v>
      </c>
      <c r="K11197">
        <v>2310271637</v>
      </c>
      <c r="L11197">
        <v>2310271637</v>
      </c>
      <c r="M11197" t="s">
        <v>27649</v>
      </c>
      <c r="N11197" t="s">
        <v>25247</v>
      </c>
      <c r="O11197" t="s">
        <v>27650</v>
      </c>
      <c r="P11197">
        <v>54633</v>
      </c>
      <c r="Q11197" t="str">
        <f>"40.641889"</f>
        <v>40.641889</v>
      </c>
      <c r="R11197" t="str">
        <f>"22.945963"</f>
        <v>22.945963</v>
      </c>
      <c r="S11197" t="s">
        <v>26</v>
      </c>
    </row>
    <row r="11198" spans="1:19" x14ac:dyDescent="0.3">
      <c r="A11198" t="s">
        <v>25190</v>
      </c>
      <c r="B11198" t="s">
        <v>27598</v>
      </c>
      <c r="C11198" t="s">
        <v>27671</v>
      </c>
      <c r="D11198" t="s">
        <v>25197</v>
      </c>
      <c r="E11198" t="s">
        <v>25264</v>
      </c>
      <c r="F11198" t="s">
        <v>25400</v>
      </c>
      <c r="G11198" t="s">
        <v>25400</v>
      </c>
      <c r="H11198" t="s">
        <v>859</v>
      </c>
      <c r="I11198" t="s">
        <v>860</v>
      </c>
      <c r="J11198" t="str">
        <f>"9190924"</f>
        <v>9190924</v>
      </c>
      <c r="K11198">
        <v>2310346070</v>
      </c>
      <c r="L11198">
        <v>2310346070</v>
      </c>
      <c r="M11198" t="s">
        <v>27672</v>
      </c>
      <c r="N11198" t="s">
        <v>25497</v>
      </c>
      <c r="O11198" t="s">
        <v>27673</v>
      </c>
      <c r="P11198">
        <v>55236</v>
      </c>
      <c r="Q11198" t="str">
        <f>"40.581051"</f>
        <v>40.581051</v>
      </c>
      <c r="R11198" t="str">
        <f>"23.015048"</f>
        <v>23.015048</v>
      </c>
      <c r="S11198" t="s">
        <v>26</v>
      </c>
    </row>
    <row r="11199" spans="1:19" x14ac:dyDescent="0.3">
      <c r="A11199" t="s">
        <v>25190</v>
      </c>
      <c r="B11199" t="s">
        <v>27598</v>
      </c>
      <c r="C11199" t="s">
        <v>27674</v>
      </c>
      <c r="D11199" t="s">
        <v>25197</v>
      </c>
      <c r="E11199" t="s">
        <v>25299</v>
      </c>
      <c r="F11199" t="s">
        <v>25299</v>
      </c>
      <c r="G11199" t="s">
        <v>25299</v>
      </c>
      <c r="H11199" t="s">
        <v>859</v>
      </c>
      <c r="I11199" t="s">
        <v>860</v>
      </c>
      <c r="J11199" t="str">
        <f>"9190880"</f>
        <v>9190880</v>
      </c>
      <c r="K11199">
        <v>2310426535</v>
      </c>
      <c r="L11199">
        <v>2310426529</v>
      </c>
      <c r="M11199" t="s">
        <v>27675</v>
      </c>
      <c r="N11199" t="s">
        <v>25331</v>
      </c>
      <c r="O11199" t="s">
        <v>25571</v>
      </c>
      <c r="P11199">
        <v>55133</v>
      </c>
      <c r="Q11199" t="str">
        <f>"40.590205"</f>
        <v>40.590205</v>
      </c>
      <c r="R11199" t="str">
        <f>"22.955791"</f>
        <v>22.955791</v>
      </c>
      <c r="S11199" t="s">
        <v>26</v>
      </c>
    </row>
    <row r="11200" spans="1:19" x14ac:dyDescent="0.3">
      <c r="A11200" t="s">
        <v>25190</v>
      </c>
      <c r="B11200" t="s">
        <v>27598</v>
      </c>
      <c r="C11200" t="s">
        <v>27698</v>
      </c>
      <c r="D11200" t="s">
        <v>25197</v>
      </c>
      <c r="E11200" t="s">
        <v>25197</v>
      </c>
      <c r="F11200" t="s">
        <v>25197</v>
      </c>
      <c r="G11200" t="s">
        <v>25255</v>
      </c>
      <c r="H11200" t="s">
        <v>859</v>
      </c>
      <c r="I11200" t="s">
        <v>860</v>
      </c>
      <c r="J11200" t="str">
        <f>"9190133"</f>
        <v>9190133</v>
      </c>
      <c r="K11200">
        <v>2310535553</v>
      </c>
      <c r="L11200">
        <v>2310524555</v>
      </c>
      <c r="M11200" t="s">
        <v>27699</v>
      </c>
      <c r="N11200" t="s">
        <v>25247</v>
      </c>
      <c r="O11200" t="s">
        <v>27700</v>
      </c>
      <c r="P11200">
        <v>54630</v>
      </c>
      <c r="Q11200" t="str">
        <f>"40.639721"</f>
        <v>40.639721</v>
      </c>
      <c r="R11200" t="str">
        <f>"22.940548"</f>
        <v>22.940548</v>
      </c>
      <c r="S11200" t="s">
        <v>26</v>
      </c>
    </row>
    <row r="11201" spans="1:19" x14ac:dyDescent="0.3">
      <c r="A11201" t="s">
        <v>25190</v>
      </c>
      <c r="B11201" t="s">
        <v>27598</v>
      </c>
      <c r="C11201" t="s">
        <v>27705</v>
      </c>
      <c r="D11201" t="s">
        <v>25197</v>
      </c>
      <c r="E11201" t="s">
        <v>25264</v>
      </c>
      <c r="F11201" t="s">
        <v>25400</v>
      </c>
      <c r="G11201" t="s">
        <v>25400</v>
      </c>
      <c r="H11201" t="s">
        <v>859</v>
      </c>
      <c r="I11201" t="s">
        <v>860</v>
      </c>
      <c r="J11201" t="str">
        <f>"9520657"</f>
        <v>9520657</v>
      </c>
      <c r="K11201">
        <v>2310344477</v>
      </c>
      <c r="L11201">
        <v>2310344477</v>
      </c>
      <c r="M11201" t="s">
        <v>27706</v>
      </c>
      <c r="N11201" t="s">
        <v>25497</v>
      </c>
      <c r="O11201" t="s">
        <v>27707</v>
      </c>
      <c r="P11201">
        <v>55236</v>
      </c>
      <c r="Q11201" t="str">
        <f>"40.585418"</f>
        <v>40.585418</v>
      </c>
      <c r="R11201" t="str">
        <f>"23.024338"</f>
        <v>23.024338</v>
      </c>
      <c r="S11201" t="s">
        <v>26</v>
      </c>
    </row>
    <row r="11202" spans="1:19" x14ac:dyDescent="0.3">
      <c r="A11202" t="s">
        <v>25190</v>
      </c>
      <c r="B11202" t="s">
        <v>27598</v>
      </c>
      <c r="C11202" t="s">
        <v>27715</v>
      </c>
      <c r="D11202" t="s">
        <v>25197</v>
      </c>
      <c r="E11202" t="s">
        <v>25299</v>
      </c>
      <c r="F11202" t="s">
        <v>25299</v>
      </c>
      <c r="G11202" t="s">
        <v>25299</v>
      </c>
      <c r="H11202" t="s">
        <v>859</v>
      </c>
      <c r="I11202" t="s">
        <v>860</v>
      </c>
      <c r="J11202" t="str">
        <f>"9190913"</f>
        <v>9190913</v>
      </c>
      <c r="K11202">
        <v>2310414884</v>
      </c>
      <c r="L11202">
        <v>2310414884</v>
      </c>
      <c r="M11202" t="s">
        <v>27716</v>
      </c>
      <c r="N11202" t="s">
        <v>25331</v>
      </c>
      <c r="O11202" t="s">
        <v>27717</v>
      </c>
      <c r="P11202">
        <v>55131</v>
      </c>
      <c r="Q11202" t="str">
        <f>"40.590166"</f>
        <v>40.590166</v>
      </c>
      <c r="R11202" t="str">
        <f>"22.947368"</f>
        <v>22.947368</v>
      </c>
      <c r="S11202" t="s">
        <v>26</v>
      </c>
    </row>
    <row r="11203" spans="1:19" x14ac:dyDescent="0.3">
      <c r="A11203" t="s">
        <v>25190</v>
      </c>
      <c r="B11203" t="s">
        <v>27598</v>
      </c>
      <c r="C11203" t="s">
        <v>27718</v>
      </c>
      <c r="D11203" t="s">
        <v>25197</v>
      </c>
      <c r="E11203" t="s">
        <v>25264</v>
      </c>
      <c r="F11203" t="s">
        <v>25265</v>
      </c>
      <c r="G11203" t="s">
        <v>25265</v>
      </c>
      <c r="H11203" t="s">
        <v>859</v>
      </c>
      <c r="I11203" t="s">
        <v>860</v>
      </c>
      <c r="J11203" t="str">
        <f>"9190450"</f>
        <v>9190450</v>
      </c>
      <c r="K11203">
        <v>2310319173</v>
      </c>
      <c r="M11203" t="s">
        <v>27719</v>
      </c>
      <c r="N11203" t="s">
        <v>25345</v>
      </c>
      <c r="O11203" t="s">
        <v>27720</v>
      </c>
      <c r="P11203">
        <v>54250</v>
      </c>
      <c r="Q11203" t="str">
        <f>"40.596868"</f>
        <v>40.596868</v>
      </c>
      <c r="R11203" t="str">
        <f>"22.976370"</f>
        <v>22.976370</v>
      </c>
      <c r="S11203" t="s">
        <v>26</v>
      </c>
    </row>
    <row r="11204" spans="1:19" x14ac:dyDescent="0.3">
      <c r="A11204" t="s">
        <v>25190</v>
      </c>
      <c r="B11204" t="s">
        <v>27598</v>
      </c>
      <c r="C11204" t="s">
        <v>27721</v>
      </c>
      <c r="D11204" t="s">
        <v>25197</v>
      </c>
      <c r="E11204" t="s">
        <v>25197</v>
      </c>
      <c r="F11204" t="s">
        <v>25197</v>
      </c>
      <c r="G11204" t="s">
        <v>25235</v>
      </c>
      <c r="H11204" t="s">
        <v>859</v>
      </c>
      <c r="I11204" t="s">
        <v>860</v>
      </c>
      <c r="J11204" t="str">
        <f>"9190135"</f>
        <v>9190135</v>
      </c>
      <c r="K11204">
        <v>2310527723</v>
      </c>
      <c r="L11204">
        <v>2310527723</v>
      </c>
      <c r="M11204" t="s">
        <v>27722</v>
      </c>
      <c r="N11204" t="s">
        <v>25247</v>
      </c>
      <c r="O11204" t="s">
        <v>27723</v>
      </c>
      <c r="P11204">
        <v>54629</v>
      </c>
      <c r="Q11204" t="str">
        <f>"40.644684"</f>
        <v>40.644684</v>
      </c>
      <c r="R11204" t="str">
        <f>"22.933469"</f>
        <v>22.933469</v>
      </c>
      <c r="S11204" t="s">
        <v>26</v>
      </c>
    </row>
    <row r="11205" spans="1:19" x14ac:dyDescent="0.3">
      <c r="A11205" t="s">
        <v>25190</v>
      </c>
      <c r="B11205" t="s">
        <v>27598</v>
      </c>
      <c r="C11205" t="s">
        <v>27724</v>
      </c>
      <c r="D11205" t="s">
        <v>25197</v>
      </c>
      <c r="E11205" t="s">
        <v>25197</v>
      </c>
      <c r="F11205" t="s">
        <v>25197</v>
      </c>
      <c r="G11205" t="s">
        <v>25235</v>
      </c>
      <c r="H11205" t="s">
        <v>859</v>
      </c>
      <c r="I11205" t="s">
        <v>860</v>
      </c>
      <c r="J11205" t="str">
        <f>"9190136"</f>
        <v>9190136</v>
      </c>
      <c r="K11205">
        <v>2310517008</v>
      </c>
      <c r="L11205">
        <v>2310517008</v>
      </c>
      <c r="M11205" t="s">
        <v>27725</v>
      </c>
      <c r="N11205" t="s">
        <v>25247</v>
      </c>
      <c r="O11205" t="s">
        <v>27726</v>
      </c>
      <c r="P11205">
        <v>54627</v>
      </c>
      <c r="Q11205" t="str">
        <f>"40.645118"</f>
        <v>40.645118</v>
      </c>
      <c r="R11205" t="str">
        <f>"22.927395"</f>
        <v>22.927395</v>
      </c>
      <c r="S11205" t="s">
        <v>26</v>
      </c>
    </row>
    <row r="11206" spans="1:19" x14ac:dyDescent="0.3">
      <c r="A11206" t="s">
        <v>25190</v>
      </c>
      <c r="B11206" t="s">
        <v>27598</v>
      </c>
      <c r="C11206" t="s">
        <v>27728</v>
      </c>
      <c r="D11206" t="s">
        <v>25197</v>
      </c>
      <c r="E11206" t="s">
        <v>25264</v>
      </c>
      <c r="F11206" t="s">
        <v>25265</v>
      </c>
      <c r="G11206" t="s">
        <v>25265</v>
      </c>
      <c r="H11206" t="s">
        <v>859</v>
      </c>
      <c r="I11206" t="s">
        <v>860</v>
      </c>
      <c r="J11206" t="str">
        <f>"9190061"</f>
        <v>9190061</v>
      </c>
      <c r="K11206">
        <v>2310326222</v>
      </c>
      <c r="M11206" t="s">
        <v>27729</v>
      </c>
      <c r="N11206" t="s">
        <v>25345</v>
      </c>
      <c r="O11206" t="s">
        <v>27730</v>
      </c>
      <c r="P11206">
        <v>55535</v>
      </c>
      <c r="Q11206" t="str">
        <f>"40.595884"</f>
        <v>40.595884</v>
      </c>
      <c r="R11206" t="str">
        <f>"22.982100"</f>
        <v>22.982100</v>
      </c>
      <c r="S11206" t="s">
        <v>26</v>
      </c>
    </row>
    <row r="11207" spans="1:19" x14ac:dyDescent="0.3">
      <c r="A11207" t="s">
        <v>25190</v>
      </c>
      <c r="B11207" t="s">
        <v>27598</v>
      </c>
      <c r="C11207" t="s">
        <v>27736</v>
      </c>
      <c r="D11207" t="s">
        <v>25197</v>
      </c>
      <c r="E11207" t="s">
        <v>25198</v>
      </c>
      <c r="F11207" t="s">
        <v>25198</v>
      </c>
      <c r="G11207" t="s">
        <v>27735</v>
      </c>
      <c r="H11207" t="s">
        <v>859</v>
      </c>
      <c r="I11207" t="s">
        <v>860</v>
      </c>
      <c r="J11207" t="str">
        <f>"9190702"</f>
        <v>9190702</v>
      </c>
      <c r="K11207">
        <v>2310466973</v>
      </c>
      <c r="L11207">
        <v>2310463209</v>
      </c>
      <c r="M11207" t="s">
        <v>27737</v>
      </c>
      <c r="N11207" t="s">
        <v>27738</v>
      </c>
      <c r="O11207" t="s">
        <v>27739</v>
      </c>
      <c r="P11207">
        <v>57001</v>
      </c>
      <c r="Q11207" t="str">
        <f>"40.525552"</f>
        <v>40.525552</v>
      </c>
      <c r="R11207" t="str">
        <f>"23.051447"</f>
        <v>23.051447</v>
      </c>
      <c r="S11207" t="s">
        <v>26</v>
      </c>
    </row>
    <row r="11208" spans="1:19" x14ac:dyDescent="0.3">
      <c r="A11208" t="s">
        <v>25190</v>
      </c>
      <c r="B11208" t="s">
        <v>27598</v>
      </c>
      <c r="C11208" t="s">
        <v>27744</v>
      </c>
      <c r="D11208" t="s">
        <v>25197</v>
      </c>
      <c r="E11208" t="s">
        <v>25197</v>
      </c>
      <c r="F11208" t="s">
        <v>25197</v>
      </c>
      <c r="G11208" t="s">
        <v>25235</v>
      </c>
      <c r="H11208" t="s">
        <v>859</v>
      </c>
      <c r="I11208" t="s">
        <v>860</v>
      </c>
      <c r="J11208" t="str">
        <f>"9190490"</f>
        <v>9190490</v>
      </c>
      <c r="K11208">
        <v>2310621221</v>
      </c>
      <c r="L11208">
        <v>2310621221</v>
      </c>
      <c r="M11208" t="s">
        <v>27745</v>
      </c>
      <c r="N11208" t="s">
        <v>25247</v>
      </c>
      <c r="O11208" t="s">
        <v>27670</v>
      </c>
      <c r="P11208">
        <v>54632</v>
      </c>
      <c r="Q11208" t="str">
        <f>"40.645365"</f>
        <v>40.645365</v>
      </c>
      <c r="R11208" t="str">
        <f>"22.939629"</f>
        <v>22.939629</v>
      </c>
      <c r="S11208" t="s">
        <v>26</v>
      </c>
    </row>
    <row r="11209" spans="1:19" x14ac:dyDescent="0.3">
      <c r="A11209" t="s">
        <v>25190</v>
      </c>
      <c r="B11209" t="s">
        <v>27598</v>
      </c>
      <c r="C11209" t="s">
        <v>27749</v>
      </c>
      <c r="D11209" t="s">
        <v>25197</v>
      </c>
      <c r="E11209" t="s">
        <v>25197</v>
      </c>
      <c r="F11209" t="s">
        <v>25197</v>
      </c>
      <c r="G11209" t="s">
        <v>25235</v>
      </c>
      <c r="H11209" t="s">
        <v>859</v>
      </c>
      <c r="I11209" t="s">
        <v>860</v>
      </c>
      <c r="J11209" t="str">
        <f>"9190168"</f>
        <v>9190168</v>
      </c>
      <c r="K11209">
        <v>2310621221</v>
      </c>
      <c r="L11209">
        <v>2310621221</v>
      </c>
      <c r="M11209" t="s">
        <v>27750</v>
      </c>
      <c r="N11209" t="s">
        <v>25247</v>
      </c>
      <c r="O11209" t="s">
        <v>27670</v>
      </c>
      <c r="P11209">
        <v>54632</v>
      </c>
      <c r="Q11209" t="str">
        <f>"40.646086"</f>
        <v>40.646086</v>
      </c>
      <c r="R11209" t="str">
        <f>"22.939870"</f>
        <v>22.939870</v>
      </c>
      <c r="S11209" t="s">
        <v>26</v>
      </c>
    </row>
    <row r="11210" spans="1:19" x14ac:dyDescent="0.3">
      <c r="A11210" t="s">
        <v>25190</v>
      </c>
      <c r="B11210" t="s">
        <v>27598</v>
      </c>
      <c r="C11210" t="s">
        <v>27751</v>
      </c>
      <c r="D11210" t="s">
        <v>25197</v>
      </c>
      <c r="E11210" t="s">
        <v>25299</v>
      </c>
      <c r="F11210" t="s">
        <v>25299</v>
      </c>
      <c r="G11210" t="s">
        <v>25299</v>
      </c>
      <c r="H11210" t="s">
        <v>859</v>
      </c>
      <c r="I11210" t="s">
        <v>860</v>
      </c>
      <c r="J11210" t="str">
        <f>"9190743"</f>
        <v>9190743</v>
      </c>
      <c r="K11210">
        <v>2310436414</v>
      </c>
      <c r="L11210">
        <v>2310436414</v>
      </c>
      <c r="M11210" t="s">
        <v>27752</v>
      </c>
      <c r="N11210" t="s">
        <v>25331</v>
      </c>
      <c r="O11210" t="s">
        <v>27753</v>
      </c>
      <c r="P11210">
        <v>55132</v>
      </c>
      <c r="Q11210" t="str">
        <f>"40.571814"</f>
        <v>40.571814</v>
      </c>
      <c r="R11210" t="str">
        <f>"22.963292"</f>
        <v>22.963292</v>
      </c>
      <c r="S11210" t="s">
        <v>26</v>
      </c>
    </row>
    <row r="11211" spans="1:19" x14ac:dyDescent="0.3">
      <c r="A11211" t="s">
        <v>25190</v>
      </c>
      <c r="B11211" t="s">
        <v>27598</v>
      </c>
      <c r="C11211" t="s">
        <v>27754</v>
      </c>
      <c r="D11211" t="s">
        <v>25197</v>
      </c>
      <c r="E11211" t="s">
        <v>25197</v>
      </c>
      <c r="F11211" t="s">
        <v>25197</v>
      </c>
      <c r="G11211" t="s">
        <v>25255</v>
      </c>
      <c r="H11211" t="s">
        <v>859</v>
      </c>
      <c r="I11211" t="s">
        <v>860</v>
      </c>
      <c r="J11211" t="str">
        <f>"9190162"</f>
        <v>9190162</v>
      </c>
      <c r="K11211">
        <v>2310265144</v>
      </c>
      <c r="M11211" t="s">
        <v>27755</v>
      </c>
      <c r="N11211" t="s">
        <v>25247</v>
      </c>
      <c r="O11211" t="s">
        <v>27756</v>
      </c>
      <c r="P11211">
        <v>54635</v>
      </c>
      <c r="Q11211" t="str">
        <f>"40.636319"</f>
        <v>40.636319</v>
      </c>
      <c r="R11211" t="str">
        <f>"22.948627"</f>
        <v>22.948627</v>
      </c>
      <c r="S11211" t="s">
        <v>26</v>
      </c>
    </row>
    <row r="11212" spans="1:19" x14ac:dyDescent="0.3">
      <c r="A11212" t="s">
        <v>25190</v>
      </c>
      <c r="B11212" t="s">
        <v>27598</v>
      </c>
      <c r="C11212" t="s">
        <v>27759</v>
      </c>
      <c r="D11212" t="s">
        <v>25197</v>
      </c>
      <c r="E11212" t="s">
        <v>25197</v>
      </c>
      <c r="F11212" t="s">
        <v>25197</v>
      </c>
      <c r="G11212" t="s">
        <v>25244</v>
      </c>
      <c r="H11212" t="s">
        <v>859</v>
      </c>
      <c r="I11212" t="s">
        <v>860</v>
      </c>
      <c r="J11212" t="str">
        <f>"9190461"</f>
        <v>9190461</v>
      </c>
      <c r="K11212">
        <v>2310209733</v>
      </c>
      <c r="L11212">
        <v>2310209733</v>
      </c>
      <c r="M11212" t="s">
        <v>27760</v>
      </c>
      <c r="N11212" t="s">
        <v>25247</v>
      </c>
      <c r="O11212" t="s">
        <v>27761</v>
      </c>
      <c r="P11212">
        <v>54634</v>
      </c>
      <c r="Q11212" t="str">
        <f>"40.636616"</f>
        <v>40.636616</v>
      </c>
      <c r="R11212" t="str">
        <f>"22.951812"</f>
        <v>22.951812</v>
      </c>
      <c r="S11212" t="s">
        <v>26</v>
      </c>
    </row>
    <row r="11213" spans="1:19" x14ac:dyDescent="0.3">
      <c r="A11213" t="s">
        <v>25190</v>
      </c>
      <c r="B11213" t="s">
        <v>27598</v>
      </c>
      <c r="C11213" t="s">
        <v>27767</v>
      </c>
      <c r="D11213" t="s">
        <v>25197</v>
      </c>
      <c r="E11213" t="s">
        <v>25198</v>
      </c>
      <c r="F11213" t="s">
        <v>25198</v>
      </c>
      <c r="G11213" t="s">
        <v>25198</v>
      </c>
      <c r="H11213" t="s">
        <v>859</v>
      </c>
      <c r="I11213" t="s">
        <v>860</v>
      </c>
      <c r="J11213" t="str">
        <f>"9520585"</f>
        <v>9520585</v>
      </c>
      <c r="K11213">
        <v>2310471142</v>
      </c>
      <c r="L11213">
        <v>2310471142</v>
      </c>
      <c r="M11213" t="s">
        <v>27768</v>
      </c>
      <c r="N11213" t="s">
        <v>25201</v>
      </c>
      <c r="O11213" t="s">
        <v>27769</v>
      </c>
      <c r="P11213">
        <v>57001</v>
      </c>
      <c r="Q11213" t="str">
        <f>"40.548520"</f>
        <v>40.548520</v>
      </c>
      <c r="R11213" t="str">
        <f>"23.019646"</f>
        <v>23.019646</v>
      </c>
      <c r="S11213" t="s">
        <v>26</v>
      </c>
    </row>
    <row r="11214" spans="1:19" x14ac:dyDescent="0.3">
      <c r="A11214" t="s">
        <v>25190</v>
      </c>
      <c r="B11214" t="s">
        <v>27598</v>
      </c>
      <c r="C11214" t="s">
        <v>27773</v>
      </c>
      <c r="D11214" t="s">
        <v>25197</v>
      </c>
      <c r="E11214" t="s">
        <v>25198</v>
      </c>
      <c r="F11214" t="s">
        <v>25323</v>
      </c>
      <c r="G11214" t="s">
        <v>25740</v>
      </c>
      <c r="H11214" t="s">
        <v>859</v>
      </c>
      <c r="I11214" t="s">
        <v>860</v>
      </c>
      <c r="J11214" t="str">
        <f>"9190755"</f>
        <v>9190755</v>
      </c>
      <c r="K11214">
        <v>2392064099</v>
      </c>
      <c r="L11214">
        <v>2392064131</v>
      </c>
      <c r="M11214" t="s">
        <v>27774</v>
      </c>
      <c r="N11214" t="s">
        <v>27775</v>
      </c>
      <c r="O11214" t="s">
        <v>27776</v>
      </c>
      <c r="P11214">
        <v>57500</v>
      </c>
      <c r="Q11214" t="str">
        <f>"40.423581"</f>
        <v>40.423581</v>
      </c>
      <c r="R11214" t="str">
        <f>"22.957163"</f>
        <v>22.957163</v>
      </c>
      <c r="S11214" t="s">
        <v>26</v>
      </c>
    </row>
    <row r="11215" spans="1:19" x14ac:dyDescent="0.3">
      <c r="A11215" t="s">
        <v>25190</v>
      </c>
      <c r="B11215" t="s">
        <v>27598</v>
      </c>
      <c r="C11215" t="s">
        <v>27777</v>
      </c>
      <c r="D11215" t="s">
        <v>25197</v>
      </c>
      <c r="E11215" t="s">
        <v>25197</v>
      </c>
      <c r="F11215" t="s">
        <v>25197</v>
      </c>
      <c r="G11215" t="s">
        <v>25255</v>
      </c>
      <c r="H11215" t="s">
        <v>859</v>
      </c>
      <c r="I11215" t="s">
        <v>860</v>
      </c>
      <c r="J11215" t="str">
        <f>"9190462"</f>
        <v>9190462</v>
      </c>
      <c r="K11215">
        <v>2310209595</v>
      </c>
      <c r="L11215">
        <v>2310209595</v>
      </c>
      <c r="M11215" t="s">
        <v>27778</v>
      </c>
      <c r="N11215" t="s">
        <v>25247</v>
      </c>
      <c r="O11215" t="s">
        <v>27779</v>
      </c>
      <c r="P11215">
        <v>54636</v>
      </c>
      <c r="Q11215" t="str">
        <f>"40.631830"</f>
        <v>40.631830</v>
      </c>
      <c r="R11215" t="str">
        <f>"22.967109"</f>
        <v>22.967109</v>
      </c>
      <c r="S11215" t="s">
        <v>26</v>
      </c>
    </row>
    <row r="11216" spans="1:19" x14ac:dyDescent="0.3">
      <c r="A11216" t="s">
        <v>25190</v>
      </c>
      <c r="B11216" t="s">
        <v>27598</v>
      </c>
      <c r="C11216" t="s">
        <v>27780</v>
      </c>
      <c r="D11216" t="s">
        <v>25197</v>
      </c>
      <c r="E11216" t="s">
        <v>25293</v>
      </c>
      <c r="F11216" t="s">
        <v>25294</v>
      </c>
      <c r="G11216" t="s">
        <v>25294</v>
      </c>
      <c r="H11216" t="s">
        <v>859</v>
      </c>
      <c r="I11216" t="s">
        <v>860</v>
      </c>
      <c r="J11216" t="str">
        <f>"9520587"</f>
        <v>9520587</v>
      </c>
      <c r="K11216">
        <v>2392043085</v>
      </c>
      <c r="L11216">
        <v>2392043085</v>
      </c>
      <c r="M11216" t="s">
        <v>27781</v>
      </c>
      <c r="N11216" t="s">
        <v>25297</v>
      </c>
      <c r="O11216" t="s">
        <v>27782</v>
      </c>
      <c r="P11216">
        <v>57500</v>
      </c>
      <c r="Q11216" t="str">
        <f>"40.424914"</f>
        <v>40.424914</v>
      </c>
      <c r="R11216" t="str">
        <f>"22.921414"</f>
        <v>22.921414</v>
      </c>
      <c r="S11216" t="s">
        <v>26</v>
      </c>
    </row>
    <row r="11217" spans="1:19" x14ac:dyDescent="0.3">
      <c r="A11217" t="s">
        <v>25190</v>
      </c>
      <c r="B11217" t="s">
        <v>27598</v>
      </c>
      <c r="C11217" t="s">
        <v>27788</v>
      </c>
      <c r="D11217" t="s">
        <v>25197</v>
      </c>
      <c r="E11217" t="s">
        <v>25198</v>
      </c>
      <c r="F11217" t="s">
        <v>25198</v>
      </c>
      <c r="G11217" t="s">
        <v>25198</v>
      </c>
      <c r="H11217" t="s">
        <v>859</v>
      </c>
      <c r="I11217" t="s">
        <v>860</v>
      </c>
      <c r="J11217" t="str">
        <f>"9190925"</f>
        <v>9190925</v>
      </c>
      <c r="K11217">
        <v>2310466066</v>
      </c>
      <c r="L11217">
        <v>2310466066</v>
      </c>
      <c r="M11217" t="s">
        <v>27789</v>
      </c>
      <c r="N11217" t="s">
        <v>25201</v>
      </c>
      <c r="O11217" t="s">
        <v>27790</v>
      </c>
      <c r="P11217">
        <v>57001</v>
      </c>
      <c r="Q11217" t="str">
        <f>"40.547760"</f>
        <v>40.547760</v>
      </c>
      <c r="R11217" t="str">
        <f>"23.025829"</f>
        <v>23.025829</v>
      </c>
      <c r="S11217" t="s">
        <v>26</v>
      </c>
    </row>
    <row r="11218" spans="1:19" x14ac:dyDescent="0.3">
      <c r="A11218" t="s">
        <v>25190</v>
      </c>
      <c r="B11218" t="s">
        <v>27598</v>
      </c>
      <c r="C11218" t="s">
        <v>27801</v>
      </c>
      <c r="D11218" t="s">
        <v>25197</v>
      </c>
      <c r="E11218" t="s">
        <v>25198</v>
      </c>
      <c r="F11218" t="s">
        <v>25198</v>
      </c>
      <c r="G11218" t="s">
        <v>25198</v>
      </c>
      <c r="H11218" t="s">
        <v>859</v>
      </c>
      <c r="I11218" t="s">
        <v>860</v>
      </c>
      <c r="J11218" t="str">
        <f>"9190353"</f>
        <v>9190353</v>
      </c>
      <c r="K11218">
        <v>2310461991</v>
      </c>
      <c r="L11218">
        <v>2310478128</v>
      </c>
      <c r="M11218" t="s">
        <v>27802</v>
      </c>
      <c r="N11218" t="s">
        <v>25201</v>
      </c>
      <c r="O11218" t="s">
        <v>27803</v>
      </c>
      <c r="P11218">
        <v>57001</v>
      </c>
      <c r="Q11218" t="str">
        <f>"40.546294"</f>
        <v>40.546294</v>
      </c>
      <c r="R11218" t="str">
        <f>"23.018521"</f>
        <v>23.018521</v>
      </c>
      <c r="S11218" t="s">
        <v>26</v>
      </c>
    </row>
    <row r="11219" spans="1:19" x14ac:dyDescent="0.3">
      <c r="A11219" t="s">
        <v>25190</v>
      </c>
      <c r="B11219" t="s">
        <v>27598</v>
      </c>
      <c r="C11219" t="s">
        <v>27805</v>
      </c>
      <c r="D11219" t="s">
        <v>25197</v>
      </c>
      <c r="E11219" t="s">
        <v>25197</v>
      </c>
      <c r="F11219" t="s">
        <v>25197</v>
      </c>
      <c r="G11219" t="s">
        <v>25283</v>
      </c>
      <c r="H11219" t="s">
        <v>859</v>
      </c>
      <c r="I11219" t="s">
        <v>860</v>
      </c>
      <c r="J11219" t="str">
        <f>"9190057"</f>
        <v>9190057</v>
      </c>
      <c r="K11219">
        <v>2310919487</v>
      </c>
      <c r="L11219">
        <v>2310934355</v>
      </c>
      <c r="M11219" t="s">
        <v>27806</v>
      </c>
      <c r="N11219" t="s">
        <v>25247</v>
      </c>
      <c r="O11219" t="s">
        <v>27807</v>
      </c>
      <c r="P11219">
        <v>54454</v>
      </c>
      <c r="Q11219" t="str">
        <f>"40.610463"</f>
        <v>40.610463</v>
      </c>
      <c r="R11219" t="str">
        <f>"22.973536"</f>
        <v>22.973536</v>
      </c>
      <c r="S11219" t="s">
        <v>26</v>
      </c>
    </row>
    <row r="11220" spans="1:19" x14ac:dyDescent="0.3">
      <c r="A11220" t="s">
        <v>25190</v>
      </c>
      <c r="B11220" t="s">
        <v>27598</v>
      </c>
      <c r="C11220" t="s">
        <v>27808</v>
      </c>
      <c r="D11220" t="s">
        <v>25197</v>
      </c>
      <c r="E11220" t="s">
        <v>25264</v>
      </c>
      <c r="F11220" t="s">
        <v>25270</v>
      </c>
      <c r="G11220" t="s">
        <v>19978</v>
      </c>
      <c r="H11220" t="s">
        <v>859</v>
      </c>
      <c r="I11220" t="s">
        <v>860</v>
      </c>
      <c r="J11220" t="str">
        <f>"9190341"</f>
        <v>9190341</v>
      </c>
      <c r="K11220">
        <v>2310359650</v>
      </c>
      <c r="L11220">
        <v>2310359650</v>
      </c>
      <c r="M11220" t="s">
        <v>27809</v>
      </c>
      <c r="N11220" t="s">
        <v>19981</v>
      </c>
      <c r="O11220" t="s">
        <v>27810</v>
      </c>
      <c r="P11220">
        <v>57010</v>
      </c>
      <c r="Q11220" t="str">
        <f>"40.641103"</f>
        <v>40.641103</v>
      </c>
      <c r="R11220" t="str">
        <f>"23.021868"</f>
        <v>23.021868</v>
      </c>
      <c r="S11220" t="s">
        <v>26</v>
      </c>
    </row>
    <row r="11221" spans="1:19" x14ac:dyDescent="0.3">
      <c r="A11221" t="s">
        <v>25190</v>
      </c>
      <c r="B11221" t="s">
        <v>27598</v>
      </c>
      <c r="C11221" t="s">
        <v>27812</v>
      </c>
      <c r="D11221" t="s">
        <v>25197</v>
      </c>
      <c r="E11221" t="s">
        <v>25198</v>
      </c>
      <c r="F11221" t="s">
        <v>25317</v>
      </c>
      <c r="G11221" t="s">
        <v>27811</v>
      </c>
      <c r="H11221" t="s">
        <v>859</v>
      </c>
      <c r="I11221" t="s">
        <v>860</v>
      </c>
      <c r="J11221" t="str">
        <f>"9190751"</f>
        <v>9190751</v>
      </c>
      <c r="K11221">
        <v>2396041308</v>
      </c>
      <c r="L11221">
        <v>2396041308</v>
      </c>
      <c r="M11221" t="s">
        <v>27813</v>
      </c>
      <c r="N11221" t="s">
        <v>27814</v>
      </c>
      <c r="O11221" t="s">
        <v>27815</v>
      </c>
      <c r="P11221">
        <v>57006</v>
      </c>
      <c r="Q11221" t="str">
        <f>"40.473584"</f>
        <v>40.473584</v>
      </c>
      <c r="R11221" t="str">
        <f>"23.089629"</f>
        <v>23.089629</v>
      </c>
      <c r="S11221" t="s">
        <v>26</v>
      </c>
    </row>
    <row r="11222" spans="1:19" x14ac:dyDescent="0.3">
      <c r="A11222" t="s">
        <v>25190</v>
      </c>
      <c r="B11222" t="s">
        <v>27598</v>
      </c>
      <c r="C11222" t="s">
        <v>27821</v>
      </c>
      <c r="D11222" t="s">
        <v>25197</v>
      </c>
      <c r="E11222" t="s">
        <v>25264</v>
      </c>
      <c r="F11222" t="s">
        <v>25265</v>
      </c>
      <c r="G11222" t="s">
        <v>25265</v>
      </c>
      <c r="H11222" t="s">
        <v>859</v>
      </c>
      <c r="I11222" t="s">
        <v>860</v>
      </c>
      <c r="J11222" t="str">
        <f>"9190747"</f>
        <v>9190747</v>
      </c>
      <c r="K11222">
        <v>2310918340</v>
      </c>
      <c r="L11222">
        <v>2310918340</v>
      </c>
      <c r="M11222" t="s">
        <v>27822</v>
      </c>
      <c r="N11222" t="s">
        <v>25345</v>
      </c>
      <c r="O11222" t="s">
        <v>27823</v>
      </c>
      <c r="P11222">
        <v>54352</v>
      </c>
      <c r="Q11222" t="str">
        <f>"40.609680"</f>
        <v>40.609680</v>
      </c>
      <c r="R11222" t="str">
        <f>"22.984495"</f>
        <v>22.984495</v>
      </c>
      <c r="S11222" t="s">
        <v>26</v>
      </c>
    </row>
    <row r="11223" spans="1:19" x14ac:dyDescent="0.3">
      <c r="A11223" t="s">
        <v>25190</v>
      </c>
      <c r="B11223" t="s">
        <v>27598</v>
      </c>
      <c r="C11223" t="s">
        <v>27824</v>
      </c>
      <c r="D11223" t="s">
        <v>25197</v>
      </c>
      <c r="E11223" t="s">
        <v>25198</v>
      </c>
      <c r="F11223" t="s">
        <v>25198</v>
      </c>
      <c r="G11223" t="s">
        <v>25198</v>
      </c>
      <c r="H11223" t="s">
        <v>859</v>
      </c>
      <c r="I11223" t="s">
        <v>860</v>
      </c>
      <c r="J11223" t="str">
        <f>"9190830"</f>
        <v>9190830</v>
      </c>
      <c r="K11223">
        <v>2310465704</v>
      </c>
      <c r="L11223">
        <v>2310465704</v>
      </c>
      <c r="M11223" t="s">
        <v>27825</v>
      </c>
      <c r="N11223" t="s">
        <v>25201</v>
      </c>
      <c r="O11223" t="s">
        <v>27826</v>
      </c>
      <c r="P11223">
        <v>57001</v>
      </c>
      <c r="Q11223" t="str">
        <f>"40.552705"</f>
        <v>40.552705</v>
      </c>
      <c r="R11223" t="str">
        <f>"23.022235"</f>
        <v>23.022235</v>
      </c>
      <c r="S11223" t="s">
        <v>26</v>
      </c>
    </row>
    <row r="11224" spans="1:19" x14ac:dyDescent="0.3">
      <c r="A11224" t="s">
        <v>25190</v>
      </c>
      <c r="B11224" t="s">
        <v>27598</v>
      </c>
      <c r="C11224" t="s">
        <v>27827</v>
      </c>
      <c r="D11224" t="s">
        <v>25197</v>
      </c>
      <c r="E11224" t="s">
        <v>25197</v>
      </c>
      <c r="F11224" t="s">
        <v>25352</v>
      </c>
      <c r="G11224" t="s">
        <v>25352</v>
      </c>
      <c r="H11224" t="s">
        <v>859</v>
      </c>
      <c r="I11224" t="s">
        <v>860</v>
      </c>
      <c r="J11224" t="str">
        <f>"9190192"</f>
        <v>9190192</v>
      </c>
      <c r="K11224">
        <v>2310926788</v>
      </c>
      <c r="L11224">
        <v>2310926788</v>
      </c>
      <c r="M11224" t="s">
        <v>27828</v>
      </c>
      <c r="N11224" t="s">
        <v>27829</v>
      </c>
      <c r="O11224" t="s">
        <v>27830</v>
      </c>
      <c r="P11224">
        <v>55337</v>
      </c>
      <c r="Q11224" t="str">
        <f>"40.623358"</f>
        <v>40.623358</v>
      </c>
      <c r="R11224" t="str">
        <f>"22.972673"</f>
        <v>22.972673</v>
      </c>
      <c r="S11224" t="s">
        <v>26</v>
      </c>
    </row>
    <row r="11225" spans="1:19" x14ac:dyDescent="0.3">
      <c r="A11225" t="s">
        <v>25190</v>
      </c>
      <c r="B11225" t="s">
        <v>27598</v>
      </c>
      <c r="C11225" t="s">
        <v>27831</v>
      </c>
      <c r="D11225" t="s">
        <v>25197</v>
      </c>
      <c r="E11225" t="s">
        <v>25197</v>
      </c>
      <c r="F11225" t="s">
        <v>25197</v>
      </c>
      <c r="G11225" t="s">
        <v>25283</v>
      </c>
      <c r="H11225" t="s">
        <v>859</v>
      </c>
      <c r="I11225" t="s">
        <v>860</v>
      </c>
      <c r="J11225" t="str">
        <f>"9190439"</f>
        <v>9190439</v>
      </c>
      <c r="K11225">
        <v>2310927756</v>
      </c>
      <c r="L11225">
        <v>2310927756</v>
      </c>
      <c r="M11225" t="s">
        <v>27832</v>
      </c>
      <c r="N11225" t="s">
        <v>25247</v>
      </c>
      <c r="O11225" t="s">
        <v>27833</v>
      </c>
      <c r="P11225">
        <v>54453</v>
      </c>
      <c r="Q11225" t="str">
        <f>"40.610643"</f>
        <v>40.610643</v>
      </c>
      <c r="R11225" t="str">
        <f>"22.966397"</f>
        <v>22.966397</v>
      </c>
      <c r="S11225" t="s">
        <v>26</v>
      </c>
    </row>
    <row r="11226" spans="1:19" x14ac:dyDescent="0.3">
      <c r="A11226" t="s">
        <v>25190</v>
      </c>
      <c r="B11226" t="s">
        <v>27598</v>
      </c>
      <c r="C11226" t="s">
        <v>27834</v>
      </c>
      <c r="D11226" t="s">
        <v>25197</v>
      </c>
      <c r="E11226" t="s">
        <v>25264</v>
      </c>
      <c r="F11226" t="s">
        <v>25400</v>
      </c>
      <c r="G11226" t="s">
        <v>25400</v>
      </c>
      <c r="H11226" t="s">
        <v>859</v>
      </c>
      <c r="I11226" t="s">
        <v>860</v>
      </c>
      <c r="J11226" t="str">
        <f>"9190481"</f>
        <v>9190481</v>
      </c>
      <c r="K11226">
        <v>2310346582</v>
      </c>
      <c r="L11226">
        <v>2310346582</v>
      </c>
      <c r="M11226" t="s">
        <v>27835</v>
      </c>
      <c r="N11226" t="s">
        <v>25497</v>
      </c>
      <c r="O11226" t="s">
        <v>27836</v>
      </c>
      <c r="P11226">
        <v>55236</v>
      </c>
      <c r="Q11226" t="str">
        <f>"40.586217"</f>
        <v>40.586217</v>
      </c>
      <c r="R11226" t="str">
        <f>"23.039306"</f>
        <v>23.039306</v>
      </c>
      <c r="S11226" t="s">
        <v>26</v>
      </c>
    </row>
    <row r="11227" spans="1:19" x14ac:dyDescent="0.3">
      <c r="A11227" t="s">
        <v>25190</v>
      </c>
      <c r="B11227" t="s">
        <v>27598</v>
      </c>
      <c r="C11227" t="s">
        <v>27837</v>
      </c>
      <c r="D11227" t="s">
        <v>25197</v>
      </c>
      <c r="E11227" t="s">
        <v>25197</v>
      </c>
      <c r="F11227" t="s">
        <v>25197</v>
      </c>
      <c r="G11227" t="s">
        <v>25283</v>
      </c>
      <c r="H11227" t="s">
        <v>859</v>
      </c>
      <c r="I11227" t="s">
        <v>860</v>
      </c>
      <c r="J11227" t="str">
        <f>"9190440"</f>
        <v>9190440</v>
      </c>
      <c r="K11227">
        <v>2310929904</v>
      </c>
      <c r="L11227">
        <v>2310929904</v>
      </c>
      <c r="M11227" t="s">
        <v>27838</v>
      </c>
      <c r="N11227" t="s">
        <v>25247</v>
      </c>
      <c r="O11227" t="s">
        <v>27839</v>
      </c>
      <c r="P11227">
        <v>54453</v>
      </c>
      <c r="Q11227" t="str">
        <f>"40.615341"</f>
        <v>40.615341</v>
      </c>
      <c r="R11227" t="str">
        <f>"22.968652"</f>
        <v>22.968652</v>
      </c>
      <c r="S11227" t="s">
        <v>26</v>
      </c>
    </row>
    <row r="11228" spans="1:19" x14ac:dyDescent="0.3">
      <c r="A11228" t="s">
        <v>25190</v>
      </c>
      <c r="B11228" t="s">
        <v>27598</v>
      </c>
      <c r="C11228" t="s">
        <v>27840</v>
      </c>
      <c r="D11228" t="s">
        <v>25197</v>
      </c>
      <c r="E11228" t="s">
        <v>25197</v>
      </c>
      <c r="F11228" t="s">
        <v>25197</v>
      </c>
      <c r="G11228" t="s">
        <v>25283</v>
      </c>
      <c r="H11228" t="s">
        <v>859</v>
      </c>
      <c r="I11228" t="s">
        <v>860</v>
      </c>
      <c r="J11228" t="str">
        <f>"9190441"</f>
        <v>9190441</v>
      </c>
      <c r="K11228">
        <v>2310810637</v>
      </c>
      <c r="L11228">
        <v>2310820700</v>
      </c>
      <c r="M11228" t="s">
        <v>27841</v>
      </c>
      <c r="N11228" t="s">
        <v>25247</v>
      </c>
      <c r="O11228" t="s">
        <v>27842</v>
      </c>
      <c r="P11228">
        <v>54639</v>
      </c>
      <c r="Q11228" t="str">
        <f>"40.620927"</f>
        <v>40.620927</v>
      </c>
      <c r="R11228" t="str">
        <f>"22.958758"</f>
        <v>22.958758</v>
      </c>
      <c r="S11228" t="s">
        <v>26</v>
      </c>
    </row>
    <row r="11229" spans="1:19" x14ac:dyDescent="0.3">
      <c r="A11229" t="s">
        <v>25190</v>
      </c>
      <c r="B11229" t="s">
        <v>27598</v>
      </c>
      <c r="C11229" t="s">
        <v>27843</v>
      </c>
      <c r="D11229" t="s">
        <v>25197</v>
      </c>
      <c r="E11229" t="s">
        <v>25197</v>
      </c>
      <c r="F11229" t="s">
        <v>25197</v>
      </c>
      <c r="G11229" t="s">
        <v>25283</v>
      </c>
      <c r="H11229" t="s">
        <v>859</v>
      </c>
      <c r="I11229" t="s">
        <v>860</v>
      </c>
      <c r="J11229" t="str">
        <f>"9190442"</f>
        <v>9190442</v>
      </c>
      <c r="K11229">
        <v>2310927336</v>
      </c>
      <c r="L11229">
        <v>2310927336</v>
      </c>
      <c r="M11229" t="s">
        <v>27844</v>
      </c>
      <c r="N11229" t="s">
        <v>25247</v>
      </c>
      <c r="O11229" t="s">
        <v>27845</v>
      </c>
      <c r="P11229">
        <v>54638</v>
      </c>
      <c r="Q11229" t="str">
        <f>"40.620520"</f>
        <v>40.620520</v>
      </c>
      <c r="R11229" t="str">
        <f>"22.966896"</f>
        <v>22.966896</v>
      </c>
      <c r="S11229" t="s">
        <v>26</v>
      </c>
    </row>
    <row r="11230" spans="1:19" x14ac:dyDescent="0.3">
      <c r="A11230" t="s">
        <v>25190</v>
      </c>
      <c r="B11230" t="s">
        <v>27598</v>
      </c>
      <c r="C11230" t="s">
        <v>27846</v>
      </c>
      <c r="D11230" t="s">
        <v>25197</v>
      </c>
      <c r="E11230" t="s">
        <v>25197</v>
      </c>
      <c r="F11230" t="s">
        <v>25197</v>
      </c>
      <c r="G11230" t="s">
        <v>25283</v>
      </c>
      <c r="H11230" t="s">
        <v>859</v>
      </c>
      <c r="I11230" t="s">
        <v>860</v>
      </c>
      <c r="J11230" t="str">
        <f>"9190443"</f>
        <v>9190443</v>
      </c>
      <c r="K11230">
        <v>2310911234</v>
      </c>
      <c r="L11230">
        <v>2310911234</v>
      </c>
      <c r="M11230" t="s">
        <v>27847</v>
      </c>
      <c r="N11230" t="s">
        <v>25247</v>
      </c>
      <c r="O11230" t="s">
        <v>27820</v>
      </c>
      <c r="P11230">
        <v>54352</v>
      </c>
      <c r="Q11230" t="str">
        <f>"40.615841"</f>
        <v>40.615841</v>
      </c>
      <c r="R11230" t="str">
        <f>"22.980408"</f>
        <v>22.980408</v>
      </c>
      <c r="S11230" t="s">
        <v>26</v>
      </c>
    </row>
    <row r="11231" spans="1:19" x14ac:dyDescent="0.3">
      <c r="A11231" t="s">
        <v>25190</v>
      </c>
      <c r="B11231" t="s">
        <v>27598</v>
      </c>
      <c r="C11231" t="s">
        <v>27848</v>
      </c>
      <c r="D11231" t="s">
        <v>25197</v>
      </c>
      <c r="E11231" t="s">
        <v>25197</v>
      </c>
      <c r="F11231" t="s">
        <v>25197</v>
      </c>
      <c r="G11231" t="s">
        <v>25283</v>
      </c>
      <c r="H11231" t="s">
        <v>859</v>
      </c>
      <c r="I11231" t="s">
        <v>860</v>
      </c>
      <c r="J11231" t="str">
        <f>"9190340"</f>
        <v>9190340</v>
      </c>
      <c r="K11231">
        <v>2310926464</v>
      </c>
      <c r="L11231">
        <v>2310926464</v>
      </c>
      <c r="M11231" t="s">
        <v>27849</v>
      </c>
      <c r="N11231" t="s">
        <v>25247</v>
      </c>
      <c r="O11231" t="s">
        <v>27850</v>
      </c>
      <c r="P11231">
        <v>54351</v>
      </c>
      <c r="Q11231" t="str">
        <f>"40.620147"</f>
        <v>40.620147</v>
      </c>
      <c r="R11231" t="str">
        <f>"22.977154"</f>
        <v>22.977154</v>
      </c>
      <c r="S11231" t="s">
        <v>26</v>
      </c>
    </row>
    <row r="11232" spans="1:19" x14ac:dyDescent="0.3">
      <c r="A11232" t="s">
        <v>25190</v>
      </c>
      <c r="B11232" t="s">
        <v>27598</v>
      </c>
      <c r="C11232" t="s">
        <v>27851</v>
      </c>
      <c r="D11232" t="s">
        <v>25197</v>
      </c>
      <c r="E11232" t="s">
        <v>25197</v>
      </c>
      <c r="F11232" t="s">
        <v>25197</v>
      </c>
      <c r="G11232" t="s">
        <v>25283</v>
      </c>
      <c r="H11232" t="s">
        <v>859</v>
      </c>
      <c r="I11232" t="s">
        <v>860</v>
      </c>
      <c r="J11232" t="str">
        <f>"9190161"</f>
        <v>9190161</v>
      </c>
      <c r="K11232">
        <v>2310951313</v>
      </c>
      <c r="M11232" t="s">
        <v>27852</v>
      </c>
      <c r="N11232" t="s">
        <v>25247</v>
      </c>
      <c r="O11232" t="s">
        <v>27853</v>
      </c>
      <c r="P11232">
        <v>54351</v>
      </c>
      <c r="Q11232" t="str">
        <f>"40.613930"</f>
        <v>40.613930</v>
      </c>
      <c r="R11232" t="str">
        <f>"22.978913"</f>
        <v>22.978913</v>
      </c>
      <c r="S11232" t="s">
        <v>26</v>
      </c>
    </row>
    <row r="11233" spans="1:19" x14ac:dyDescent="0.3">
      <c r="A11233" t="s">
        <v>25190</v>
      </c>
      <c r="B11233" t="s">
        <v>27598</v>
      </c>
      <c r="C11233" t="s">
        <v>27857</v>
      </c>
      <c r="D11233" t="s">
        <v>25197</v>
      </c>
      <c r="E11233" t="s">
        <v>25197</v>
      </c>
      <c r="F11233" t="s">
        <v>25197</v>
      </c>
      <c r="G11233" t="s">
        <v>25283</v>
      </c>
      <c r="H11233" t="s">
        <v>859</v>
      </c>
      <c r="I11233" t="s">
        <v>860</v>
      </c>
      <c r="J11233" t="str">
        <f>"9190463"</f>
        <v>9190463</v>
      </c>
      <c r="K11233">
        <v>2310919914</v>
      </c>
      <c r="L11233">
        <v>2310919914</v>
      </c>
      <c r="M11233" t="s">
        <v>27858</v>
      </c>
      <c r="N11233" t="s">
        <v>25247</v>
      </c>
      <c r="O11233" t="s">
        <v>27859</v>
      </c>
      <c r="P11233">
        <v>54351</v>
      </c>
      <c r="Q11233" t="str">
        <f>"40.618346"</f>
        <v>40.618346</v>
      </c>
      <c r="R11233" t="str">
        <f>"22.980198"</f>
        <v>22.980198</v>
      </c>
      <c r="S11233" t="s">
        <v>26</v>
      </c>
    </row>
    <row r="11234" spans="1:19" x14ac:dyDescent="0.3">
      <c r="A11234" t="s">
        <v>25190</v>
      </c>
      <c r="B11234" t="s">
        <v>27598</v>
      </c>
      <c r="C11234" t="s">
        <v>27860</v>
      </c>
      <c r="D11234" t="s">
        <v>25197</v>
      </c>
      <c r="E11234" t="s">
        <v>25197</v>
      </c>
      <c r="F11234" t="s">
        <v>25197</v>
      </c>
      <c r="G11234" t="s">
        <v>25283</v>
      </c>
      <c r="H11234" t="s">
        <v>859</v>
      </c>
      <c r="I11234" t="s">
        <v>860</v>
      </c>
      <c r="J11234" t="str">
        <f>"9190464"</f>
        <v>9190464</v>
      </c>
      <c r="K11234">
        <v>2310919487</v>
      </c>
      <c r="L11234">
        <v>2310934355</v>
      </c>
      <c r="M11234" t="s">
        <v>27861</v>
      </c>
      <c r="N11234" t="s">
        <v>25247</v>
      </c>
      <c r="O11234" t="s">
        <v>27807</v>
      </c>
      <c r="P11234">
        <v>54454</v>
      </c>
      <c r="Q11234" t="str">
        <f>"40.611490"</f>
        <v>40.611490</v>
      </c>
      <c r="R11234" t="str">
        <f>"22.978412"</f>
        <v>22.978412</v>
      </c>
      <c r="S11234" t="s">
        <v>26</v>
      </c>
    </row>
    <row r="11235" spans="1:19" x14ac:dyDescent="0.3">
      <c r="A11235" t="s">
        <v>25190</v>
      </c>
      <c r="B11235" t="s">
        <v>27598</v>
      </c>
      <c r="C11235" t="s">
        <v>27864</v>
      </c>
      <c r="D11235" t="s">
        <v>25197</v>
      </c>
      <c r="E11235" t="s">
        <v>25197</v>
      </c>
      <c r="F11235" t="s">
        <v>25197</v>
      </c>
      <c r="G11235" t="s">
        <v>25283</v>
      </c>
      <c r="H11235" t="s">
        <v>859</v>
      </c>
      <c r="I11235" t="s">
        <v>860</v>
      </c>
      <c r="J11235" t="str">
        <f>"9190673"</f>
        <v>9190673</v>
      </c>
      <c r="K11235">
        <v>2310920844</v>
      </c>
      <c r="L11235">
        <v>2310920844</v>
      </c>
      <c r="M11235" t="s">
        <v>27865</v>
      </c>
      <c r="N11235" t="s">
        <v>25247</v>
      </c>
      <c r="O11235" t="s">
        <v>27866</v>
      </c>
      <c r="P11235">
        <v>54454</v>
      </c>
      <c r="Q11235" t="str">
        <f>"40.608683"</f>
        <v>40.608683</v>
      </c>
      <c r="R11235" t="str">
        <f>"22.975261"</f>
        <v>22.975261</v>
      </c>
      <c r="S11235" t="s">
        <v>26</v>
      </c>
    </row>
    <row r="11236" spans="1:19" x14ac:dyDescent="0.3">
      <c r="A11236" t="s">
        <v>25190</v>
      </c>
      <c r="B11236" t="s">
        <v>27598</v>
      </c>
      <c r="C11236" t="s">
        <v>27867</v>
      </c>
      <c r="D11236" t="s">
        <v>25197</v>
      </c>
      <c r="E11236" t="s">
        <v>25197</v>
      </c>
      <c r="F11236" t="s">
        <v>25197</v>
      </c>
      <c r="G11236" t="s">
        <v>25283</v>
      </c>
      <c r="H11236" t="s">
        <v>859</v>
      </c>
      <c r="I11236" t="s">
        <v>860</v>
      </c>
      <c r="J11236" t="str">
        <f>"9190579"</f>
        <v>9190579</v>
      </c>
      <c r="K11236">
        <v>2310928864</v>
      </c>
      <c r="L11236">
        <v>2310946890</v>
      </c>
      <c r="M11236" t="s">
        <v>27868</v>
      </c>
      <c r="N11236" t="s">
        <v>25247</v>
      </c>
      <c r="O11236" t="s">
        <v>27869</v>
      </c>
      <c r="P11236">
        <v>54454</v>
      </c>
      <c r="Q11236" t="str">
        <f>"40.610606"</f>
        <v>40.610606</v>
      </c>
      <c r="R11236" t="str">
        <f>"22.972164"</f>
        <v>22.972164</v>
      </c>
      <c r="S11236" t="s">
        <v>26</v>
      </c>
    </row>
    <row r="11237" spans="1:19" x14ac:dyDescent="0.3">
      <c r="A11237" t="s">
        <v>25190</v>
      </c>
      <c r="B11237" t="s">
        <v>27598</v>
      </c>
      <c r="C11237" t="s">
        <v>27873</v>
      </c>
      <c r="D11237" t="s">
        <v>25197</v>
      </c>
      <c r="E11237" t="s">
        <v>25293</v>
      </c>
      <c r="F11237" t="s">
        <v>25433</v>
      </c>
      <c r="G11237" t="s">
        <v>27872</v>
      </c>
      <c r="H11237" t="s">
        <v>859</v>
      </c>
      <c r="I11237" t="s">
        <v>860</v>
      </c>
      <c r="J11237" t="str">
        <f>"9190754"</f>
        <v>9190754</v>
      </c>
      <c r="K11237">
        <v>2392036480</v>
      </c>
      <c r="L11237">
        <v>2392032280</v>
      </c>
      <c r="M11237" t="s">
        <v>27874</v>
      </c>
      <c r="N11237" t="s">
        <v>27875</v>
      </c>
      <c r="O11237" t="s">
        <v>16307</v>
      </c>
      <c r="P11237">
        <v>57019</v>
      </c>
      <c r="Q11237" t="str">
        <f>"40.475603"</f>
        <v>40.475603</v>
      </c>
      <c r="R11237" t="str">
        <f>"22.866616"</f>
        <v>22.866616</v>
      </c>
      <c r="S11237" t="s">
        <v>26</v>
      </c>
    </row>
    <row r="11238" spans="1:19" x14ac:dyDescent="0.3">
      <c r="A11238" t="s">
        <v>25190</v>
      </c>
      <c r="B11238" t="s">
        <v>27598</v>
      </c>
      <c r="C11238" t="s">
        <v>27882</v>
      </c>
      <c r="D11238" t="s">
        <v>25197</v>
      </c>
      <c r="E11238" t="s">
        <v>25197</v>
      </c>
      <c r="F11238" t="s">
        <v>25197</v>
      </c>
      <c r="G11238" t="s">
        <v>25244</v>
      </c>
      <c r="H11238" t="s">
        <v>859</v>
      </c>
      <c r="I11238" t="s">
        <v>860</v>
      </c>
      <c r="J11238" t="str">
        <f>"9190467"</f>
        <v>9190467</v>
      </c>
      <c r="K11238">
        <v>2310201800</v>
      </c>
      <c r="L11238">
        <v>2310201800</v>
      </c>
      <c r="M11238" t="s">
        <v>27883</v>
      </c>
      <c r="N11238" t="s">
        <v>25247</v>
      </c>
      <c r="O11238" t="s">
        <v>27884</v>
      </c>
      <c r="P11238">
        <v>54634</v>
      </c>
      <c r="Q11238" t="str">
        <f>"40.641942"</f>
        <v>40.641942</v>
      </c>
      <c r="R11238" t="str">
        <f>"22.959791"</f>
        <v>22.959791</v>
      </c>
      <c r="S11238" t="s">
        <v>26</v>
      </c>
    </row>
    <row r="11239" spans="1:19" x14ac:dyDescent="0.3">
      <c r="A11239" t="s">
        <v>25190</v>
      </c>
      <c r="B11239" t="s">
        <v>27598</v>
      </c>
      <c r="C11239" t="s">
        <v>27885</v>
      </c>
      <c r="D11239" t="s">
        <v>25197</v>
      </c>
      <c r="E11239" t="s">
        <v>25197</v>
      </c>
      <c r="F11239" t="s">
        <v>25197</v>
      </c>
      <c r="G11239" t="s">
        <v>25244</v>
      </c>
      <c r="H11239" t="s">
        <v>859</v>
      </c>
      <c r="I11239" t="s">
        <v>860</v>
      </c>
      <c r="J11239" t="str">
        <f>"9190469"</f>
        <v>9190469</v>
      </c>
      <c r="K11239">
        <v>2310206707</v>
      </c>
      <c r="M11239" t="s">
        <v>27886</v>
      </c>
      <c r="N11239" t="s">
        <v>25247</v>
      </c>
      <c r="O11239" t="s">
        <v>27887</v>
      </c>
      <c r="P11239">
        <v>54634</v>
      </c>
      <c r="Q11239" t="str">
        <f>"40.638660"</f>
        <v>40.638660</v>
      </c>
      <c r="R11239" t="str">
        <f>"22.952085"</f>
        <v>22.952085</v>
      </c>
      <c r="S11239" t="s">
        <v>26</v>
      </c>
    </row>
    <row r="11240" spans="1:19" x14ac:dyDescent="0.3">
      <c r="A11240" t="s">
        <v>25190</v>
      </c>
      <c r="B11240" t="s">
        <v>27598</v>
      </c>
      <c r="C11240" t="s">
        <v>27890</v>
      </c>
      <c r="D11240" t="s">
        <v>25197</v>
      </c>
      <c r="E11240" t="s">
        <v>25198</v>
      </c>
      <c r="F11240" t="s">
        <v>25198</v>
      </c>
      <c r="G11240" t="s">
        <v>25198</v>
      </c>
      <c r="H11240" t="s">
        <v>859</v>
      </c>
      <c r="I11240" t="s">
        <v>860</v>
      </c>
      <c r="J11240" t="str">
        <f>"9190782"</f>
        <v>9190782</v>
      </c>
      <c r="K11240">
        <v>2310477248</v>
      </c>
      <c r="L11240">
        <v>2310477249</v>
      </c>
      <c r="M11240" t="s">
        <v>27891</v>
      </c>
      <c r="N11240" t="s">
        <v>27892</v>
      </c>
      <c r="O11240" t="s">
        <v>27893</v>
      </c>
      <c r="P11240">
        <v>57001</v>
      </c>
      <c r="Q11240" t="str">
        <f>"40.545350"</f>
        <v>40.545350</v>
      </c>
      <c r="R11240" t="str">
        <f>"23.050222"</f>
        <v>23.050222</v>
      </c>
      <c r="S11240" t="s">
        <v>26</v>
      </c>
    </row>
    <row r="11241" spans="1:19" x14ac:dyDescent="0.3">
      <c r="A11241" t="s">
        <v>25190</v>
      </c>
      <c r="B11241" t="s">
        <v>27598</v>
      </c>
      <c r="C11241" t="s">
        <v>27894</v>
      </c>
      <c r="D11241" t="s">
        <v>25197</v>
      </c>
      <c r="E11241" t="s">
        <v>25197</v>
      </c>
      <c r="F11241" t="s">
        <v>25197</v>
      </c>
      <c r="G11241" t="s">
        <v>25255</v>
      </c>
      <c r="H11241" t="s">
        <v>859</v>
      </c>
      <c r="I11241" t="s">
        <v>860</v>
      </c>
      <c r="J11241" t="str">
        <f>"9190472"</f>
        <v>9190472</v>
      </c>
      <c r="K11241">
        <v>2310224514</v>
      </c>
      <c r="M11241" t="s">
        <v>27895</v>
      </c>
      <c r="N11241" t="s">
        <v>25247</v>
      </c>
      <c r="O11241" t="s">
        <v>27793</v>
      </c>
      <c r="P11241">
        <v>54635</v>
      </c>
      <c r="Q11241" t="str">
        <f>"40.636839"</f>
        <v>40.636839</v>
      </c>
      <c r="R11241" t="str">
        <f>"22.949348"</f>
        <v>22.949348</v>
      </c>
      <c r="S11241" t="s">
        <v>26</v>
      </c>
    </row>
    <row r="11242" spans="1:19" x14ac:dyDescent="0.3">
      <c r="A11242" t="s">
        <v>25190</v>
      </c>
      <c r="B11242" t="s">
        <v>27598</v>
      </c>
      <c r="C11242" t="s">
        <v>27896</v>
      </c>
      <c r="D11242" t="s">
        <v>25197</v>
      </c>
      <c r="E11242" t="s">
        <v>25197</v>
      </c>
      <c r="F11242" t="s">
        <v>25197</v>
      </c>
      <c r="G11242" t="s">
        <v>25235</v>
      </c>
      <c r="H11242" t="s">
        <v>859</v>
      </c>
      <c r="I11242" t="s">
        <v>860</v>
      </c>
      <c r="J11242" t="str">
        <f>"9190605"</f>
        <v>9190605</v>
      </c>
      <c r="K11242">
        <v>2310538809</v>
      </c>
      <c r="L11242">
        <v>2310538809</v>
      </c>
      <c r="M11242" t="s">
        <v>27897</v>
      </c>
      <c r="N11242" t="s">
        <v>25247</v>
      </c>
      <c r="O11242" t="s">
        <v>27898</v>
      </c>
      <c r="P11242">
        <v>54629</v>
      </c>
      <c r="Q11242" t="str">
        <f>"40.647149"</f>
        <v>40.647149</v>
      </c>
      <c r="R11242" t="str">
        <f>"22.934520"</f>
        <v>22.934520</v>
      </c>
      <c r="S11242" t="s">
        <v>26</v>
      </c>
    </row>
    <row r="11243" spans="1:19" x14ac:dyDescent="0.3">
      <c r="A11243" t="s">
        <v>25190</v>
      </c>
      <c r="B11243" t="s">
        <v>27598</v>
      </c>
      <c r="C11243" t="s">
        <v>27899</v>
      </c>
      <c r="D11243" t="s">
        <v>25197</v>
      </c>
      <c r="E11243" t="s">
        <v>25299</v>
      </c>
      <c r="F11243" t="s">
        <v>25299</v>
      </c>
      <c r="G11243" t="s">
        <v>25299</v>
      </c>
      <c r="H11243" t="s">
        <v>859</v>
      </c>
      <c r="I11243" t="s">
        <v>860</v>
      </c>
      <c r="J11243" t="str">
        <f>"9190030"</f>
        <v>9190030</v>
      </c>
      <c r="K11243">
        <v>2310430600</v>
      </c>
      <c r="L11243">
        <v>2310430600</v>
      </c>
      <c r="M11243" t="s">
        <v>27900</v>
      </c>
      <c r="N11243" t="s">
        <v>25331</v>
      </c>
      <c r="O11243" t="s">
        <v>27901</v>
      </c>
      <c r="P11243">
        <v>55133</v>
      </c>
      <c r="Q11243" t="str">
        <f>"40.581224"</f>
        <v>40.581224</v>
      </c>
      <c r="R11243" t="str">
        <f>"22.959762"</f>
        <v>22.959762</v>
      </c>
      <c r="S11243" t="s">
        <v>26</v>
      </c>
    </row>
    <row r="11244" spans="1:19" x14ac:dyDescent="0.3">
      <c r="A11244" t="s">
        <v>25190</v>
      </c>
      <c r="B11244" t="s">
        <v>27598</v>
      </c>
      <c r="C11244" t="s">
        <v>27902</v>
      </c>
      <c r="D11244" t="s">
        <v>25197</v>
      </c>
      <c r="E11244" t="s">
        <v>25197</v>
      </c>
      <c r="F11244" t="s">
        <v>25197</v>
      </c>
      <c r="G11244" t="s">
        <v>25235</v>
      </c>
      <c r="H11244" t="s">
        <v>859</v>
      </c>
      <c r="I11244" t="s">
        <v>860</v>
      </c>
      <c r="J11244" t="str">
        <f>"9190688"</f>
        <v>9190688</v>
      </c>
      <c r="K11244">
        <v>2310554304</v>
      </c>
      <c r="L11244">
        <v>2310554306</v>
      </c>
      <c r="M11244" t="s">
        <v>27903</v>
      </c>
      <c r="N11244" t="s">
        <v>25247</v>
      </c>
      <c r="O11244" t="s">
        <v>25672</v>
      </c>
      <c r="P11244">
        <v>54627</v>
      </c>
      <c r="Q11244" t="str">
        <f>"40.646207"</f>
        <v>40.646207</v>
      </c>
      <c r="R11244" t="str">
        <f>"22.918046"</f>
        <v>22.918046</v>
      </c>
      <c r="S11244" t="s">
        <v>26</v>
      </c>
    </row>
    <row r="11245" spans="1:19" x14ac:dyDescent="0.3">
      <c r="A11245" t="s">
        <v>25190</v>
      </c>
      <c r="B11245" t="s">
        <v>27598</v>
      </c>
      <c r="C11245" t="s">
        <v>27913</v>
      </c>
      <c r="D11245" t="s">
        <v>25197</v>
      </c>
      <c r="E11245" t="s">
        <v>25264</v>
      </c>
      <c r="F11245" t="s">
        <v>25270</v>
      </c>
      <c r="G11245" t="s">
        <v>19978</v>
      </c>
      <c r="H11245" t="s">
        <v>859</v>
      </c>
      <c r="I11245" t="s">
        <v>860</v>
      </c>
      <c r="J11245" t="str">
        <f>"9190901"</f>
        <v>9190901</v>
      </c>
      <c r="K11245">
        <v>2310358236</v>
      </c>
      <c r="L11245">
        <v>2310358236</v>
      </c>
      <c r="M11245" t="s">
        <v>27914</v>
      </c>
      <c r="N11245" t="s">
        <v>19981</v>
      </c>
      <c r="O11245" t="s">
        <v>27915</v>
      </c>
      <c r="P11245">
        <v>57010</v>
      </c>
      <c r="Q11245" t="str">
        <f>"40.641087"</f>
        <v>40.641087</v>
      </c>
      <c r="R11245" t="str">
        <f>"23.023574"</f>
        <v>23.023574</v>
      </c>
      <c r="S11245" t="s">
        <v>26</v>
      </c>
    </row>
    <row r="11246" spans="1:19" x14ac:dyDescent="0.3">
      <c r="A11246" t="s">
        <v>25190</v>
      </c>
      <c r="B11246" t="s">
        <v>27598</v>
      </c>
      <c r="C11246" t="s">
        <v>27916</v>
      </c>
      <c r="D11246" t="s">
        <v>25197</v>
      </c>
      <c r="E11246" t="s">
        <v>25299</v>
      </c>
      <c r="F11246" t="s">
        <v>25299</v>
      </c>
      <c r="G11246" t="s">
        <v>25299</v>
      </c>
      <c r="H11246" t="s">
        <v>859</v>
      </c>
      <c r="I11246" t="s">
        <v>860</v>
      </c>
      <c r="J11246" t="str">
        <f>"9190671"</f>
        <v>9190671</v>
      </c>
      <c r="K11246">
        <v>2310430330</v>
      </c>
      <c r="L11246">
        <v>2310430330</v>
      </c>
      <c r="M11246" t="s">
        <v>27917</v>
      </c>
      <c r="N11246" t="s">
        <v>25331</v>
      </c>
      <c r="O11246" t="s">
        <v>27918</v>
      </c>
      <c r="P11246">
        <v>55132</v>
      </c>
      <c r="Q11246" t="str">
        <f>"40.573771"</f>
        <v>40.573771</v>
      </c>
      <c r="R11246" t="str">
        <f>"22.952088"</f>
        <v>22.952088</v>
      </c>
      <c r="S11246" t="s">
        <v>26</v>
      </c>
    </row>
    <row r="11247" spans="1:19" x14ac:dyDescent="0.3">
      <c r="A11247" t="s">
        <v>25190</v>
      </c>
      <c r="B11247" t="s">
        <v>27598</v>
      </c>
      <c r="C11247" t="s">
        <v>27921</v>
      </c>
      <c r="D11247" t="s">
        <v>25197</v>
      </c>
      <c r="E11247" t="s">
        <v>25299</v>
      </c>
      <c r="F11247" t="s">
        <v>25299</v>
      </c>
      <c r="G11247" t="s">
        <v>25299</v>
      </c>
      <c r="H11247" t="s">
        <v>859</v>
      </c>
      <c r="I11247" t="s">
        <v>860</v>
      </c>
      <c r="J11247" t="str">
        <f>"9190027"</f>
        <v>9190027</v>
      </c>
      <c r="K11247">
        <v>2310433077</v>
      </c>
      <c r="L11247">
        <v>2310433077</v>
      </c>
      <c r="M11247" t="s">
        <v>27922</v>
      </c>
      <c r="N11247" t="s">
        <v>25331</v>
      </c>
      <c r="O11247" t="s">
        <v>27923</v>
      </c>
      <c r="P11247">
        <v>55134</v>
      </c>
      <c r="Q11247" t="str">
        <f>"40.585483"</f>
        <v>40.585483</v>
      </c>
      <c r="R11247" t="str">
        <f>"22.969246"</f>
        <v>22.969246</v>
      </c>
      <c r="S11247" t="s">
        <v>26</v>
      </c>
    </row>
    <row r="11248" spans="1:19" x14ac:dyDescent="0.3">
      <c r="A11248" t="s">
        <v>25190</v>
      </c>
      <c r="B11248" t="s">
        <v>27598</v>
      </c>
      <c r="C11248" t="s">
        <v>27924</v>
      </c>
      <c r="D11248" t="s">
        <v>25197</v>
      </c>
      <c r="E11248" t="s">
        <v>25299</v>
      </c>
      <c r="F11248" t="s">
        <v>25299</v>
      </c>
      <c r="G11248" t="s">
        <v>25299</v>
      </c>
      <c r="H11248" t="s">
        <v>859</v>
      </c>
      <c r="I11248" t="s">
        <v>860</v>
      </c>
      <c r="J11248" t="str">
        <f>"9190941"</f>
        <v>9190941</v>
      </c>
      <c r="K11248">
        <v>2310458929</v>
      </c>
      <c r="L11248">
        <v>2310458929</v>
      </c>
      <c r="M11248" t="s">
        <v>27925</v>
      </c>
      <c r="N11248" t="s">
        <v>25331</v>
      </c>
      <c r="O11248" t="s">
        <v>27926</v>
      </c>
      <c r="P11248">
        <v>55133</v>
      </c>
      <c r="Q11248" t="str">
        <f>"40.579741"</f>
        <v>40.579741</v>
      </c>
      <c r="R11248" t="str">
        <f>"22.952493"</f>
        <v>22.952493</v>
      </c>
      <c r="S11248" t="s">
        <v>26</v>
      </c>
    </row>
    <row r="11249" spans="1:19" x14ac:dyDescent="0.3">
      <c r="A11249" t="s">
        <v>25190</v>
      </c>
      <c r="B11249" t="s">
        <v>27598</v>
      </c>
      <c r="C11249" t="s">
        <v>27927</v>
      </c>
      <c r="D11249" t="s">
        <v>25197</v>
      </c>
      <c r="E11249" t="s">
        <v>25264</v>
      </c>
      <c r="F11249" t="s">
        <v>25270</v>
      </c>
      <c r="G11249" t="s">
        <v>2344</v>
      </c>
      <c r="H11249" t="s">
        <v>859</v>
      </c>
      <c r="I11249" t="s">
        <v>860</v>
      </c>
      <c r="J11249" t="str">
        <f>"9190860"</f>
        <v>9190860</v>
      </c>
      <c r="K11249">
        <v>2310358657</v>
      </c>
      <c r="L11249">
        <v>2310358657</v>
      </c>
      <c r="M11249" t="s">
        <v>27928</v>
      </c>
      <c r="N11249" t="s">
        <v>2347</v>
      </c>
      <c r="O11249" t="s">
        <v>27929</v>
      </c>
      <c r="P11249">
        <v>57010</v>
      </c>
      <c r="Q11249" t="str">
        <f>"40.628345"</f>
        <v>40.628345</v>
      </c>
      <c r="R11249" t="str">
        <f>"23.046080"</f>
        <v>23.046080</v>
      </c>
      <c r="S11249" t="s">
        <v>26</v>
      </c>
    </row>
    <row r="11250" spans="1:19" x14ac:dyDescent="0.3">
      <c r="A11250" t="s">
        <v>25190</v>
      </c>
      <c r="B11250" t="s">
        <v>27598</v>
      </c>
      <c r="C11250" t="s">
        <v>27930</v>
      </c>
      <c r="D11250" t="s">
        <v>25197</v>
      </c>
      <c r="E11250" t="s">
        <v>25299</v>
      </c>
      <c r="F11250" t="s">
        <v>25299</v>
      </c>
      <c r="G11250" t="s">
        <v>25299</v>
      </c>
      <c r="H11250" t="s">
        <v>859</v>
      </c>
      <c r="I11250" t="s">
        <v>860</v>
      </c>
      <c r="J11250" t="str">
        <f>"9190024"</f>
        <v>9190024</v>
      </c>
      <c r="K11250">
        <v>2310441323</v>
      </c>
      <c r="L11250">
        <v>2310441323</v>
      </c>
      <c r="M11250" t="s">
        <v>27931</v>
      </c>
      <c r="N11250" t="s">
        <v>25331</v>
      </c>
      <c r="O11250" t="s">
        <v>27932</v>
      </c>
      <c r="P11250">
        <v>55132</v>
      </c>
      <c r="Q11250" t="str">
        <f>"40.568808"</f>
        <v>40.568808</v>
      </c>
      <c r="R11250" t="str">
        <f>"22.960333"</f>
        <v>22.960333</v>
      </c>
      <c r="S11250" t="s">
        <v>26</v>
      </c>
    </row>
    <row r="11251" spans="1:19" x14ac:dyDescent="0.3">
      <c r="A11251" t="s">
        <v>25190</v>
      </c>
      <c r="B11251" t="s">
        <v>27598</v>
      </c>
      <c r="C11251" t="s">
        <v>27936</v>
      </c>
      <c r="D11251" t="s">
        <v>25197</v>
      </c>
      <c r="E11251" t="s">
        <v>25198</v>
      </c>
      <c r="F11251" t="s">
        <v>25198</v>
      </c>
      <c r="G11251" t="s">
        <v>25198</v>
      </c>
      <c r="H11251" t="s">
        <v>859</v>
      </c>
      <c r="I11251" t="s">
        <v>860</v>
      </c>
      <c r="J11251" t="str">
        <f>"9190935"</f>
        <v>9190935</v>
      </c>
      <c r="K11251">
        <v>2310465289</v>
      </c>
      <c r="M11251" t="s">
        <v>27937</v>
      </c>
      <c r="N11251" t="s">
        <v>25201</v>
      </c>
      <c r="O11251" t="s">
        <v>27938</v>
      </c>
      <c r="P11251">
        <v>57001</v>
      </c>
      <c r="Q11251" t="str">
        <f>"40.545705"</f>
        <v>40.545705</v>
      </c>
      <c r="R11251" t="str">
        <f>"23.023613"</f>
        <v>23.023613</v>
      </c>
      <c r="S11251" t="s">
        <v>26</v>
      </c>
    </row>
    <row r="11252" spans="1:19" x14ac:dyDescent="0.3">
      <c r="A11252" t="s">
        <v>25190</v>
      </c>
      <c r="B11252" t="s">
        <v>27598</v>
      </c>
      <c r="C11252" t="s">
        <v>27948</v>
      </c>
      <c r="D11252" t="s">
        <v>25197</v>
      </c>
      <c r="E11252" t="s">
        <v>25293</v>
      </c>
      <c r="F11252" t="s">
        <v>25433</v>
      </c>
      <c r="G11252" t="s">
        <v>25434</v>
      </c>
      <c r="H11252" t="s">
        <v>859</v>
      </c>
      <c r="I11252" t="s">
        <v>860</v>
      </c>
      <c r="J11252" t="str">
        <f>"9190612"</f>
        <v>9190612</v>
      </c>
      <c r="K11252">
        <v>2392035919</v>
      </c>
      <c r="L11252">
        <v>2392035919</v>
      </c>
      <c r="M11252" t="s">
        <v>27949</v>
      </c>
      <c r="N11252" t="s">
        <v>25738</v>
      </c>
      <c r="O11252" t="s">
        <v>27950</v>
      </c>
      <c r="P11252">
        <v>57004</v>
      </c>
      <c r="Q11252" t="str">
        <f>"40.467191"</f>
        <v>40.467191</v>
      </c>
      <c r="R11252" t="str">
        <f>"22.856103"</f>
        <v>22.856103</v>
      </c>
      <c r="S11252" t="s">
        <v>26</v>
      </c>
    </row>
    <row r="11253" spans="1:19" x14ac:dyDescent="0.3">
      <c r="A11253" t="s">
        <v>25190</v>
      </c>
      <c r="B11253" t="s">
        <v>27598</v>
      </c>
      <c r="C11253" t="s">
        <v>27956</v>
      </c>
      <c r="D11253" t="s">
        <v>25197</v>
      </c>
      <c r="E11253" t="s">
        <v>25264</v>
      </c>
      <c r="F11253" t="s">
        <v>25270</v>
      </c>
      <c r="G11253" t="s">
        <v>25549</v>
      </c>
      <c r="H11253" t="s">
        <v>859</v>
      </c>
      <c r="I11253" t="s">
        <v>860</v>
      </c>
      <c r="J11253" t="str">
        <f>"9190933"</f>
        <v>9190933</v>
      </c>
      <c r="K11253">
        <v>2310677389</v>
      </c>
      <c r="L11253">
        <v>2310677389</v>
      </c>
      <c r="M11253" t="s">
        <v>27957</v>
      </c>
      <c r="N11253" t="s">
        <v>25552</v>
      </c>
      <c r="O11253" t="s">
        <v>27958</v>
      </c>
      <c r="P11253">
        <v>57010</v>
      </c>
      <c r="Q11253" t="str">
        <f>"40.690770"</f>
        <v>40.690770</v>
      </c>
      <c r="R11253" t="str">
        <f>"23.006774"</f>
        <v>23.006774</v>
      </c>
      <c r="S11253" t="s">
        <v>26</v>
      </c>
    </row>
    <row r="11254" spans="1:19" x14ac:dyDescent="0.3">
      <c r="A11254" t="s">
        <v>25190</v>
      </c>
      <c r="B11254" t="s">
        <v>27598</v>
      </c>
      <c r="C11254" t="s">
        <v>27960</v>
      </c>
      <c r="D11254" t="s">
        <v>25197</v>
      </c>
      <c r="E11254" t="s">
        <v>25197</v>
      </c>
      <c r="F11254" t="s">
        <v>25197</v>
      </c>
      <c r="G11254" t="s">
        <v>25255</v>
      </c>
      <c r="H11254" t="s">
        <v>859</v>
      </c>
      <c r="I11254" t="s">
        <v>27959</v>
      </c>
      <c r="J11254" t="str">
        <f>"9190664"</f>
        <v>9190664</v>
      </c>
      <c r="K11254">
        <v>2310267433</v>
      </c>
      <c r="L11254">
        <v>2310267433</v>
      </c>
      <c r="M11254" t="s">
        <v>27961</v>
      </c>
      <c r="N11254" t="s">
        <v>25247</v>
      </c>
      <c r="O11254" t="s">
        <v>27962</v>
      </c>
      <c r="P11254">
        <v>54631</v>
      </c>
      <c r="Q11254" t="str">
        <f>"40.636227"</f>
        <v>40.636227</v>
      </c>
      <c r="R11254" t="str">
        <f>"22.948101"</f>
        <v>22.948101</v>
      </c>
      <c r="S11254" t="s">
        <v>26</v>
      </c>
    </row>
    <row r="11255" spans="1:19" x14ac:dyDescent="0.3">
      <c r="A11255" t="s">
        <v>25190</v>
      </c>
      <c r="B11255" t="s">
        <v>27598</v>
      </c>
      <c r="C11255" t="s">
        <v>27966</v>
      </c>
      <c r="D11255" t="s">
        <v>25197</v>
      </c>
      <c r="E11255" t="s">
        <v>25197</v>
      </c>
      <c r="F11255" t="s">
        <v>25197</v>
      </c>
      <c r="G11255" t="s">
        <v>25283</v>
      </c>
      <c r="H11255" t="s">
        <v>859</v>
      </c>
      <c r="I11255" t="s">
        <v>860</v>
      </c>
      <c r="J11255" t="str">
        <f>"9190582"</f>
        <v>9190582</v>
      </c>
      <c r="K11255">
        <v>2310901886</v>
      </c>
      <c r="L11255">
        <v>2310901886</v>
      </c>
      <c r="M11255" t="s">
        <v>27967</v>
      </c>
      <c r="N11255" t="s">
        <v>25247</v>
      </c>
      <c r="O11255" t="s">
        <v>27839</v>
      </c>
      <c r="P11255">
        <v>54453</v>
      </c>
      <c r="Q11255" t="str">
        <f>"40.615283"</f>
        <v>40.615283</v>
      </c>
      <c r="R11255" t="str">
        <f>"22.968652"</f>
        <v>22.968652</v>
      </c>
      <c r="S11255" t="s">
        <v>26</v>
      </c>
    </row>
    <row r="11256" spans="1:19" x14ac:dyDescent="0.3">
      <c r="A11256" t="s">
        <v>25190</v>
      </c>
      <c r="B11256" t="s">
        <v>27598</v>
      </c>
      <c r="C11256" t="s">
        <v>27968</v>
      </c>
      <c r="D11256" t="s">
        <v>25197</v>
      </c>
      <c r="E11256" t="s">
        <v>25197</v>
      </c>
      <c r="F11256" t="s">
        <v>25197</v>
      </c>
      <c r="G11256" t="s">
        <v>25283</v>
      </c>
      <c r="H11256" t="s">
        <v>859</v>
      </c>
      <c r="I11256" t="s">
        <v>860</v>
      </c>
      <c r="J11256" t="str">
        <f>"9190583"</f>
        <v>9190583</v>
      </c>
      <c r="K11256">
        <v>2310810637</v>
      </c>
      <c r="L11256">
        <v>2310820700</v>
      </c>
      <c r="M11256" t="s">
        <v>27969</v>
      </c>
      <c r="N11256" t="s">
        <v>25247</v>
      </c>
      <c r="O11256" t="s">
        <v>27842</v>
      </c>
      <c r="P11256">
        <v>54639</v>
      </c>
      <c r="Q11256" t="str">
        <f>"40.620927"</f>
        <v>40.620927</v>
      </c>
      <c r="R11256" t="str">
        <f>"22.958758"</f>
        <v>22.958758</v>
      </c>
      <c r="S11256" t="s">
        <v>26</v>
      </c>
    </row>
    <row r="11257" spans="1:19" x14ac:dyDescent="0.3">
      <c r="A11257" t="s">
        <v>25190</v>
      </c>
      <c r="B11257" t="s">
        <v>27598</v>
      </c>
      <c r="C11257" t="s">
        <v>27970</v>
      </c>
      <c r="D11257" t="s">
        <v>25197</v>
      </c>
      <c r="E11257" t="s">
        <v>25197</v>
      </c>
      <c r="F11257" t="s">
        <v>25197</v>
      </c>
      <c r="G11257" t="s">
        <v>25283</v>
      </c>
      <c r="H11257" t="s">
        <v>859</v>
      </c>
      <c r="I11257" t="s">
        <v>860</v>
      </c>
      <c r="J11257" t="str">
        <f>"9190676"</f>
        <v>9190676</v>
      </c>
      <c r="K11257">
        <v>2310914612</v>
      </c>
      <c r="L11257">
        <v>2310912519</v>
      </c>
      <c r="M11257" t="s">
        <v>27971</v>
      </c>
      <c r="N11257" t="s">
        <v>25247</v>
      </c>
      <c r="O11257" t="s">
        <v>27972</v>
      </c>
      <c r="P11257">
        <v>54351</v>
      </c>
      <c r="Q11257" t="str">
        <f>"40.616670"</f>
        <v>40.616670</v>
      </c>
      <c r="R11257" t="str">
        <f>"22.976866"</f>
        <v>22.976866</v>
      </c>
      <c r="S11257" t="s">
        <v>26</v>
      </c>
    </row>
    <row r="11258" spans="1:19" x14ac:dyDescent="0.3">
      <c r="A11258" t="s">
        <v>25190</v>
      </c>
      <c r="B11258" t="s">
        <v>27598</v>
      </c>
      <c r="C11258" t="s">
        <v>27973</v>
      </c>
      <c r="D11258" t="s">
        <v>25197</v>
      </c>
      <c r="E11258" t="s">
        <v>25293</v>
      </c>
      <c r="F11258" t="s">
        <v>25433</v>
      </c>
      <c r="G11258" t="s">
        <v>25434</v>
      </c>
      <c r="H11258" t="s">
        <v>859</v>
      </c>
      <c r="I11258" t="s">
        <v>860</v>
      </c>
      <c r="J11258" t="str">
        <f>"9190902"</f>
        <v>9190902</v>
      </c>
      <c r="K11258">
        <v>2392035760</v>
      </c>
      <c r="L11258">
        <v>2392035760</v>
      </c>
      <c r="M11258" t="s">
        <v>27974</v>
      </c>
      <c r="N11258" t="s">
        <v>25738</v>
      </c>
      <c r="O11258" t="s">
        <v>27975</v>
      </c>
      <c r="P11258">
        <v>57004</v>
      </c>
      <c r="Q11258" t="str">
        <f>"40.468561"</f>
        <v>40.468561</v>
      </c>
      <c r="R11258" t="str">
        <f>"22.859525"</f>
        <v>22.859525</v>
      </c>
      <c r="S11258" t="s">
        <v>26</v>
      </c>
    </row>
    <row r="11259" spans="1:19" x14ac:dyDescent="0.3">
      <c r="A11259" t="s">
        <v>25190</v>
      </c>
      <c r="B11259" t="s">
        <v>27598</v>
      </c>
      <c r="C11259" t="s">
        <v>27976</v>
      </c>
      <c r="D11259" t="s">
        <v>25197</v>
      </c>
      <c r="E11259" t="s">
        <v>25197</v>
      </c>
      <c r="F11259" t="s">
        <v>25197</v>
      </c>
      <c r="G11259" t="s">
        <v>25283</v>
      </c>
      <c r="H11259" t="s">
        <v>859</v>
      </c>
      <c r="I11259" t="s">
        <v>860</v>
      </c>
      <c r="J11259" t="str">
        <f>"9190735"</f>
        <v>9190735</v>
      </c>
      <c r="K11259">
        <v>2310949713</v>
      </c>
      <c r="L11259">
        <v>2310949713</v>
      </c>
      <c r="M11259" t="s">
        <v>27977</v>
      </c>
      <c r="N11259" t="s">
        <v>25247</v>
      </c>
      <c r="O11259" t="s">
        <v>27657</v>
      </c>
      <c r="P11259">
        <v>54454</v>
      </c>
      <c r="Q11259" t="str">
        <f>"40.604797"</f>
        <v>40.604797</v>
      </c>
      <c r="R11259" t="str">
        <f>"22.977079"</f>
        <v>22.977079</v>
      </c>
      <c r="S11259" t="s">
        <v>26</v>
      </c>
    </row>
    <row r="11260" spans="1:19" x14ac:dyDescent="0.3">
      <c r="A11260" t="s">
        <v>25190</v>
      </c>
      <c r="B11260" t="s">
        <v>27598</v>
      </c>
      <c r="C11260" t="s">
        <v>27978</v>
      </c>
      <c r="D11260" t="s">
        <v>25197</v>
      </c>
      <c r="E11260" t="s">
        <v>25197</v>
      </c>
      <c r="F11260" t="s">
        <v>25197</v>
      </c>
      <c r="G11260" t="s">
        <v>25283</v>
      </c>
      <c r="H11260" t="s">
        <v>859</v>
      </c>
      <c r="I11260" t="s">
        <v>860</v>
      </c>
      <c r="J11260" t="str">
        <f>"9190745"</f>
        <v>9190745</v>
      </c>
      <c r="K11260">
        <v>2310939344</v>
      </c>
      <c r="L11260">
        <v>2310939344</v>
      </c>
      <c r="M11260" t="s">
        <v>27979</v>
      </c>
      <c r="N11260" t="s">
        <v>25247</v>
      </c>
      <c r="O11260" t="s">
        <v>27980</v>
      </c>
      <c r="P11260">
        <v>54453</v>
      </c>
      <c r="Q11260" t="str">
        <f>"40.605645"</f>
        <v>40.605645</v>
      </c>
      <c r="R11260" t="str">
        <f>"22.972974"</f>
        <v>22.972974</v>
      </c>
      <c r="S11260" t="s">
        <v>26</v>
      </c>
    </row>
    <row r="11261" spans="1:19" x14ac:dyDescent="0.3">
      <c r="A11261" t="s">
        <v>25190</v>
      </c>
      <c r="B11261" t="s">
        <v>27598</v>
      </c>
      <c r="C11261" t="s">
        <v>27983</v>
      </c>
      <c r="D11261" t="s">
        <v>25197</v>
      </c>
      <c r="E11261" t="s">
        <v>25197</v>
      </c>
      <c r="F11261" t="s">
        <v>25197</v>
      </c>
      <c r="G11261" t="s">
        <v>25283</v>
      </c>
      <c r="H11261" t="s">
        <v>859</v>
      </c>
      <c r="I11261" t="s">
        <v>860</v>
      </c>
      <c r="J11261" t="str">
        <f>"9190808"</f>
        <v>9190808</v>
      </c>
      <c r="K11261">
        <v>2310901077</v>
      </c>
      <c r="L11261">
        <v>2310901077</v>
      </c>
      <c r="M11261" t="s">
        <v>27984</v>
      </c>
      <c r="N11261" t="s">
        <v>25247</v>
      </c>
      <c r="O11261" t="s">
        <v>27985</v>
      </c>
      <c r="P11261">
        <v>54352</v>
      </c>
      <c r="Q11261" t="str">
        <f>"40.609908"</f>
        <v>40.609908</v>
      </c>
      <c r="R11261" t="str">
        <f>"22.981906"</f>
        <v>22.981906</v>
      </c>
      <c r="S11261" t="s">
        <v>26</v>
      </c>
    </row>
    <row r="11262" spans="1:19" x14ac:dyDescent="0.3">
      <c r="A11262" t="s">
        <v>25190</v>
      </c>
      <c r="B11262" t="s">
        <v>27598</v>
      </c>
      <c r="C11262" t="s">
        <v>27986</v>
      </c>
      <c r="D11262" t="s">
        <v>25197</v>
      </c>
      <c r="E11262" t="s">
        <v>25197</v>
      </c>
      <c r="F11262" t="s">
        <v>25197</v>
      </c>
      <c r="G11262" t="s">
        <v>25283</v>
      </c>
      <c r="H11262" t="s">
        <v>859</v>
      </c>
      <c r="I11262" t="s">
        <v>860</v>
      </c>
      <c r="J11262" t="str">
        <f>"9190809"</f>
        <v>9190809</v>
      </c>
      <c r="K11262">
        <v>2310933555</v>
      </c>
      <c r="L11262">
        <v>2310933555</v>
      </c>
      <c r="M11262" t="s">
        <v>27987</v>
      </c>
      <c r="N11262" t="s">
        <v>25247</v>
      </c>
      <c r="O11262" t="s">
        <v>27787</v>
      </c>
      <c r="P11262">
        <v>54352</v>
      </c>
      <c r="Q11262" t="str">
        <f>"40.611407"</f>
        <v>40.611407</v>
      </c>
      <c r="R11262" t="str">
        <f>"22.987387"</f>
        <v>22.987387</v>
      </c>
      <c r="S11262" t="s">
        <v>26</v>
      </c>
    </row>
    <row r="11263" spans="1:19" x14ac:dyDescent="0.3">
      <c r="A11263" t="s">
        <v>25190</v>
      </c>
      <c r="B11263" t="s">
        <v>27598</v>
      </c>
      <c r="C11263" t="s">
        <v>27988</v>
      </c>
      <c r="D11263" t="s">
        <v>25197</v>
      </c>
      <c r="E11263" t="s">
        <v>25198</v>
      </c>
      <c r="F11263" t="s">
        <v>25198</v>
      </c>
      <c r="G11263" t="s">
        <v>25198</v>
      </c>
      <c r="H11263" t="s">
        <v>859</v>
      </c>
      <c r="I11263" t="s">
        <v>860</v>
      </c>
      <c r="J11263" t="str">
        <f>"9520658"</f>
        <v>9520658</v>
      </c>
      <c r="K11263">
        <v>2310466299</v>
      </c>
      <c r="L11263">
        <v>2310467155</v>
      </c>
      <c r="M11263" t="s">
        <v>27989</v>
      </c>
      <c r="N11263" t="s">
        <v>27653</v>
      </c>
      <c r="O11263" t="s">
        <v>27990</v>
      </c>
      <c r="P11263">
        <v>57001</v>
      </c>
      <c r="Q11263" t="str">
        <f>"40.534272"</f>
        <v>40.534272</v>
      </c>
      <c r="R11263" t="str">
        <f>"23.030624"</f>
        <v>23.030624</v>
      </c>
      <c r="S11263" t="s">
        <v>26</v>
      </c>
    </row>
    <row r="11264" spans="1:19" x14ac:dyDescent="0.3">
      <c r="A11264" t="s">
        <v>25190</v>
      </c>
      <c r="B11264" t="s">
        <v>27598</v>
      </c>
      <c r="C11264" t="s">
        <v>27991</v>
      </c>
      <c r="D11264" t="s">
        <v>25197</v>
      </c>
      <c r="E11264" t="s">
        <v>25299</v>
      </c>
      <c r="F11264" t="s">
        <v>25299</v>
      </c>
      <c r="G11264" t="s">
        <v>25299</v>
      </c>
      <c r="H11264" t="s">
        <v>859</v>
      </c>
      <c r="I11264" t="s">
        <v>860</v>
      </c>
      <c r="J11264" t="str">
        <f>"9190431"</f>
        <v>9190431</v>
      </c>
      <c r="K11264">
        <v>2310472587</v>
      </c>
      <c r="M11264" t="s">
        <v>27992</v>
      </c>
      <c r="N11264" t="s">
        <v>25331</v>
      </c>
      <c r="O11264" t="s">
        <v>27881</v>
      </c>
      <c r="P11264">
        <v>55134</v>
      </c>
      <c r="Q11264" t="str">
        <f>"40.571412"</f>
        <v>40.571412</v>
      </c>
      <c r="R11264" t="str">
        <f>"22.974218"</f>
        <v>22.974218</v>
      </c>
      <c r="S11264" t="s">
        <v>26</v>
      </c>
    </row>
    <row r="11265" spans="1:19" x14ac:dyDescent="0.3">
      <c r="A11265" t="s">
        <v>25190</v>
      </c>
      <c r="B11265" t="s">
        <v>27598</v>
      </c>
      <c r="C11265" t="s">
        <v>27996</v>
      </c>
      <c r="D11265" t="s">
        <v>25197</v>
      </c>
      <c r="E11265" t="s">
        <v>25198</v>
      </c>
      <c r="F11265" t="s">
        <v>25317</v>
      </c>
      <c r="G11265" t="s">
        <v>27995</v>
      </c>
      <c r="H11265" t="s">
        <v>859</v>
      </c>
      <c r="I11265" t="s">
        <v>860</v>
      </c>
      <c r="J11265" t="str">
        <f>"9190480"</f>
        <v>9190480</v>
      </c>
      <c r="K11265">
        <v>2396051206</v>
      </c>
      <c r="L11265">
        <v>2396051171</v>
      </c>
      <c r="M11265" t="s">
        <v>27997</v>
      </c>
      <c r="N11265" t="s">
        <v>27998</v>
      </c>
      <c r="O11265" t="s">
        <v>27999</v>
      </c>
      <c r="P11265">
        <v>57006</v>
      </c>
      <c r="Q11265" t="str">
        <f>"40.545365"</f>
        <v>40.545365</v>
      </c>
      <c r="R11265" t="str">
        <f>"23.164354"</f>
        <v>23.164354</v>
      </c>
      <c r="S11265" t="s">
        <v>26</v>
      </c>
    </row>
    <row r="11266" spans="1:19" x14ac:dyDescent="0.3">
      <c r="A11266" t="s">
        <v>25190</v>
      </c>
      <c r="B11266" t="s">
        <v>27598</v>
      </c>
      <c r="C11266" t="s">
        <v>28000</v>
      </c>
      <c r="D11266" t="s">
        <v>25197</v>
      </c>
      <c r="E11266" t="s">
        <v>25293</v>
      </c>
      <c r="F11266" t="s">
        <v>25433</v>
      </c>
      <c r="G11266" t="s">
        <v>25434</v>
      </c>
      <c r="H11266" t="s">
        <v>859</v>
      </c>
      <c r="I11266" t="s">
        <v>860</v>
      </c>
      <c r="J11266" t="str">
        <f>"9520586"</f>
        <v>9520586</v>
      </c>
      <c r="K11266">
        <v>2392035727</v>
      </c>
      <c r="L11266">
        <v>2392035727</v>
      </c>
      <c r="M11266" t="s">
        <v>28001</v>
      </c>
      <c r="N11266" t="s">
        <v>28002</v>
      </c>
      <c r="O11266" t="s">
        <v>28003</v>
      </c>
      <c r="P11266">
        <v>57004</v>
      </c>
      <c r="Q11266" t="str">
        <f>"40.459541"</f>
        <v>40.459541</v>
      </c>
      <c r="R11266" t="str">
        <f>"22.867013"</f>
        <v>22.867013</v>
      </c>
      <c r="S11266" t="s">
        <v>26</v>
      </c>
    </row>
    <row r="11267" spans="1:19" x14ac:dyDescent="0.3">
      <c r="A11267" t="s">
        <v>25190</v>
      </c>
      <c r="B11267" t="s">
        <v>27598</v>
      </c>
      <c r="C11267" t="s">
        <v>28007</v>
      </c>
      <c r="D11267" t="s">
        <v>25197</v>
      </c>
      <c r="E11267" t="s">
        <v>25293</v>
      </c>
      <c r="F11267" t="s">
        <v>25293</v>
      </c>
      <c r="G11267" t="s">
        <v>25453</v>
      </c>
      <c r="H11267" t="s">
        <v>859</v>
      </c>
      <c r="I11267" t="s">
        <v>860</v>
      </c>
      <c r="J11267" t="str">
        <f>"9190560"</f>
        <v>9190560</v>
      </c>
      <c r="K11267">
        <v>2392025496</v>
      </c>
      <c r="L11267">
        <v>2392025496</v>
      </c>
      <c r="M11267" t="s">
        <v>28008</v>
      </c>
      <c r="N11267" t="s">
        <v>28009</v>
      </c>
      <c r="O11267" t="s">
        <v>28010</v>
      </c>
      <c r="P11267">
        <v>57019</v>
      </c>
      <c r="Q11267" t="str">
        <f>"40.499670"</f>
        <v>40.499670</v>
      </c>
      <c r="R11267" t="str">
        <f>"22.912637"</f>
        <v>22.912637</v>
      </c>
      <c r="S11267" t="s">
        <v>26</v>
      </c>
    </row>
    <row r="11268" spans="1:19" x14ac:dyDescent="0.3">
      <c r="A11268" t="s">
        <v>25190</v>
      </c>
      <c r="B11268" t="s">
        <v>27598</v>
      </c>
      <c r="C11268" t="s">
        <v>28015</v>
      </c>
      <c r="D11268" t="s">
        <v>25197</v>
      </c>
      <c r="E11268" t="s">
        <v>25198</v>
      </c>
      <c r="F11268" t="s">
        <v>25317</v>
      </c>
      <c r="G11268" t="s">
        <v>28014</v>
      </c>
      <c r="H11268" t="s">
        <v>859</v>
      </c>
      <c r="I11268" t="s">
        <v>860</v>
      </c>
      <c r="J11268" t="str">
        <f>"9190337"</f>
        <v>9190337</v>
      </c>
      <c r="K11268">
        <v>2396041008</v>
      </c>
      <c r="L11268">
        <v>2396041008</v>
      </c>
      <c r="M11268" t="s">
        <v>28016</v>
      </c>
      <c r="N11268" t="s">
        <v>28017</v>
      </c>
      <c r="O11268" t="s">
        <v>28017</v>
      </c>
      <c r="P11268">
        <v>57006</v>
      </c>
      <c r="Q11268" t="str">
        <f>"40.435917"</f>
        <v>40.435917</v>
      </c>
      <c r="R11268" t="str">
        <f>"23.091395"</f>
        <v>23.091395</v>
      </c>
      <c r="S11268" t="s">
        <v>26</v>
      </c>
    </row>
    <row r="11269" spans="1:19" x14ac:dyDescent="0.3">
      <c r="A11269" t="s">
        <v>25190</v>
      </c>
      <c r="B11269" t="s">
        <v>27598</v>
      </c>
      <c r="C11269" t="s">
        <v>28020</v>
      </c>
      <c r="D11269" t="s">
        <v>25197</v>
      </c>
      <c r="E11269" t="s">
        <v>25293</v>
      </c>
      <c r="F11269" t="s">
        <v>25293</v>
      </c>
      <c r="G11269" t="s">
        <v>25453</v>
      </c>
      <c r="H11269" t="s">
        <v>859</v>
      </c>
      <c r="I11269" t="s">
        <v>860</v>
      </c>
      <c r="J11269" t="str">
        <f>"9190936"</f>
        <v>9190936</v>
      </c>
      <c r="K11269">
        <v>2392020377</v>
      </c>
      <c r="L11269">
        <v>2392020377</v>
      </c>
      <c r="M11269" t="s">
        <v>28021</v>
      </c>
      <c r="N11269" t="s">
        <v>28009</v>
      </c>
      <c r="O11269" t="s">
        <v>28022</v>
      </c>
      <c r="P11269">
        <v>57019</v>
      </c>
      <c r="Q11269" t="str">
        <f>"40.502677"</f>
        <v>40.502677</v>
      </c>
      <c r="R11269" t="str">
        <f>"22.916945"</f>
        <v>22.916945</v>
      </c>
      <c r="S11269" t="s">
        <v>26</v>
      </c>
    </row>
    <row r="11270" spans="1:19" x14ac:dyDescent="0.3">
      <c r="A11270" t="s">
        <v>25190</v>
      </c>
      <c r="B11270" t="s">
        <v>27598</v>
      </c>
      <c r="C11270" t="s">
        <v>28023</v>
      </c>
      <c r="D11270" t="s">
        <v>25197</v>
      </c>
      <c r="E11270" t="s">
        <v>25299</v>
      </c>
      <c r="F11270" t="s">
        <v>25299</v>
      </c>
      <c r="G11270" t="s">
        <v>25299</v>
      </c>
      <c r="H11270" t="s">
        <v>859</v>
      </c>
      <c r="I11270" t="s">
        <v>860</v>
      </c>
      <c r="J11270" t="str">
        <f>"9190843"</f>
        <v>9190843</v>
      </c>
      <c r="K11270">
        <v>2310441490</v>
      </c>
      <c r="L11270">
        <v>2310441490</v>
      </c>
      <c r="M11270" t="s">
        <v>28024</v>
      </c>
      <c r="N11270" t="s">
        <v>25331</v>
      </c>
      <c r="O11270" t="s">
        <v>28025</v>
      </c>
      <c r="P11270">
        <v>55134</v>
      </c>
      <c r="Q11270" t="str">
        <f>"40.583920"</f>
        <v>40.583920</v>
      </c>
      <c r="R11270" t="str">
        <f>"22.967014"</f>
        <v>22.967014</v>
      </c>
      <c r="S11270" t="s">
        <v>26</v>
      </c>
    </row>
    <row r="11271" spans="1:19" x14ac:dyDescent="0.3">
      <c r="A11271" t="s">
        <v>25190</v>
      </c>
      <c r="B11271" t="s">
        <v>27598</v>
      </c>
      <c r="C11271" t="s">
        <v>28028</v>
      </c>
      <c r="D11271" t="s">
        <v>25197</v>
      </c>
      <c r="E11271" t="s">
        <v>25293</v>
      </c>
      <c r="F11271" t="s">
        <v>25293</v>
      </c>
      <c r="G11271" t="s">
        <v>25664</v>
      </c>
      <c r="H11271" t="s">
        <v>859</v>
      </c>
      <c r="I11271" t="s">
        <v>860</v>
      </c>
      <c r="J11271" t="str">
        <f>"9190927"</f>
        <v>9190927</v>
      </c>
      <c r="K11271">
        <v>2392028864</v>
      </c>
      <c r="L11271">
        <v>2392028864</v>
      </c>
      <c r="M11271" t="s">
        <v>28029</v>
      </c>
      <c r="N11271" t="s">
        <v>25688</v>
      </c>
      <c r="O11271" t="s">
        <v>28030</v>
      </c>
      <c r="P11271">
        <v>57019</v>
      </c>
      <c r="Q11271" t="str">
        <f>"40.502270"</f>
        <v>40.502270</v>
      </c>
      <c r="R11271" t="str">
        <f>"22.927947"</f>
        <v>22.927947</v>
      </c>
      <c r="S11271" t="s">
        <v>26</v>
      </c>
    </row>
    <row r="11272" spans="1:19" x14ac:dyDescent="0.3">
      <c r="A11272" t="s">
        <v>25190</v>
      </c>
      <c r="B11272" t="s">
        <v>27598</v>
      </c>
      <c r="C11272" t="s">
        <v>28031</v>
      </c>
      <c r="D11272" t="s">
        <v>25197</v>
      </c>
      <c r="E11272" t="s">
        <v>25264</v>
      </c>
      <c r="F11272" t="s">
        <v>25265</v>
      </c>
      <c r="G11272" t="s">
        <v>25265</v>
      </c>
      <c r="H11272" t="s">
        <v>859</v>
      </c>
      <c r="I11272" t="s">
        <v>1102</v>
      </c>
      <c r="J11272" t="str">
        <f>"9190824"</f>
        <v>9190824</v>
      </c>
      <c r="K11272">
        <v>2310318644</v>
      </c>
      <c r="L11272">
        <v>2310331299</v>
      </c>
      <c r="M11272" t="s">
        <v>28032</v>
      </c>
      <c r="N11272" t="s">
        <v>25345</v>
      </c>
      <c r="O11272" t="s">
        <v>28033</v>
      </c>
      <c r="P11272">
        <v>55535</v>
      </c>
      <c r="Q11272" t="str">
        <f>"40.594378"</f>
        <v>40.594378</v>
      </c>
      <c r="R11272" t="str">
        <f>"23.005372"</f>
        <v>23.005372</v>
      </c>
      <c r="S11272" t="s">
        <v>26</v>
      </c>
    </row>
    <row r="11273" spans="1:19" x14ac:dyDescent="0.3">
      <c r="A11273" t="s">
        <v>25190</v>
      </c>
      <c r="B11273" t="s">
        <v>27598</v>
      </c>
      <c r="C11273" t="s">
        <v>28034</v>
      </c>
      <c r="D11273" t="s">
        <v>25197</v>
      </c>
      <c r="E11273" t="s">
        <v>25264</v>
      </c>
      <c r="F11273" t="s">
        <v>25270</v>
      </c>
      <c r="G11273" t="s">
        <v>25270</v>
      </c>
      <c r="H11273" t="s">
        <v>859</v>
      </c>
      <c r="I11273" t="s">
        <v>860</v>
      </c>
      <c r="J11273" t="str">
        <f>"9190367"</f>
        <v>9190367</v>
      </c>
      <c r="K11273">
        <v>2310349800</v>
      </c>
      <c r="L11273">
        <v>2310349800</v>
      </c>
      <c r="M11273" t="s">
        <v>28035</v>
      </c>
      <c r="N11273" t="s">
        <v>27954</v>
      </c>
      <c r="O11273" t="s">
        <v>28036</v>
      </c>
      <c r="P11273">
        <v>57010</v>
      </c>
      <c r="Q11273" t="str">
        <f>"40.611576"</f>
        <v>40.611576</v>
      </c>
      <c r="R11273" t="str">
        <f>"23.099635"</f>
        <v>23.099635</v>
      </c>
      <c r="S11273" t="s">
        <v>26</v>
      </c>
    </row>
    <row r="11274" spans="1:19" x14ac:dyDescent="0.3">
      <c r="A11274" t="s">
        <v>25190</v>
      </c>
      <c r="B11274" t="s">
        <v>27598</v>
      </c>
      <c r="C11274" t="s">
        <v>28037</v>
      </c>
      <c r="D11274" t="s">
        <v>25197</v>
      </c>
      <c r="E11274" t="s">
        <v>25293</v>
      </c>
      <c r="F11274" t="s">
        <v>25293</v>
      </c>
      <c r="G11274" t="s">
        <v>25664</v>
      </c>
      <c r="H11274" t="s">
        <v>859</v>
      </c>
      <c r="I11274" t="s">
        <v>860</v>
      </c>
      <c r="J11274" t="str">
        <f>"9190499"</f>
        <v>9190499</v>
      </c>
      <c r="K11274">
        <v>2392075675</v>
      </c>
      <c r="L11274">
        <v>2392075675</v>
      </c>
      <c r="M11274" t="s">
        <v>28038</v>
      </c>
      <c r="N11274" t="s">
        <v>25688</v>
      </c>
      <c r="O11274" t="s">
        <v>28039</v>
      </c>
      <c r="P11274">
        <v>57019</v>
      </c>
      <c r="Q11274" t="str">
        <f>"40.502346"</f>
        <v>40.502346</v>
      </c>
      <c r="R11274" t="str">
        <f>"22.936875"</f>
        <v>22.936875</v>
      </c>
      <c r="S11274" t="s">
        <v>26</v>
      </c>
    </row>
    <row r="11275" spans="1:19" x14ac:dyDescent="0.3">
      <c r="A11275" t="s">
        <v>25190</v>
      </c>
      <c r="B11275" t="s">
        <v>27598</v>
      </c>
      <c r="C11275" t="s">
        <v>28040</v>
      </c>
      <c r="D11275" t="s">
        <v>25197</v>
      </c>
      <c r="E11275" t="s">
        <v>25293</v>
      </c>
      <c r="F11275" t="s">
        <v>25294</v>
      </c>
      <c r="G11275" t="s">
        <v>25758</v>
      </c>
      <c r="H11275" t="s">
        <v>859</v>
      </c>
      <c r="I11275" t="s">
        <v>860</v>
      </c>
      <c r="J11275" t="str">
        <f>"9190691"</f>
        <v>9190691</v>
      </c>
      <c r="K11275">
        <v>2392091115</v>
      </c>
      <c r="L11275">
        <v>2392091115</v>
      </c>
      <c r="M11275" t="s">
        <v>28041</v>
      </c>
      <c r="N11275" t="s">
        <v>28042</v>
      </c>
      <c r="O11275" t="s">
        <v>28042</v>
      </c>
      <c r="P11275">
        <v>57500</v>
      </c>
      <c r="Q11275" t="str">
        <f>"40.413432"</f>
        <v>40.413432</v>
      </c>
      <c r="R11275" t="str">
        <f>"23.007835"</f>
        <v>23.007835</v>
      </c>
      <c r="S11275" t="s">
        <v>26</v>
      </c>
    </row>
    <row r="11276" spans="1:19" x14ac:dyDescent="0.3">
      <c r="A11276" t="s">
        <v>25190</v>
      </c>
      <c r="B11276" t="s">
        <v>27598</v>
      </c>
      <c r="C11276" t="s">
        <v>28046</v>
      </c>
      <c r="D11276" t="s">
        <v>25197</v>
      </c>
      <c r="E11276" t="s">
        <v>25264</v>
      </c>
      <c r="F11276" t="s">
        <v>25270</v>
      </c>
      <c r="G11276" t="s">
        <v>25549</v>
      </c>
      <c r="H11276" t="s">
        <v>859</v>
      </c>
      <c r="I11276" t="s">
        <v>860</v>
      </c>
      <c r="J11276" t="str">
        <f>"9190706"</f>
        <v>9190706</v>
      </c>
      <c r="K11276">
        <v>2310677620</v>
      </c>
      <c r="L11276">
        <v>2310677620</v>
      </c>
      <c r="M11276" t="s">
        <v>28047</v>
      </c>
      <c r="N11276" t="s">
        <v>25552</v>
      </c>
      <c r="O11276" t="s">
        <v>28048</v>
      </c>
      <c r="P11276">
        <v>57010</v>
      </c>
      <c r="Q11276" t="str">
        <f>"40.645553"</f>
        <v>40.645553</v>
      </c>
      <c r="R11276" t="str">
        <f>"23.011898"</f>
        <v>23.011898</v>
      </c>
      <c r="S11276" t="s">
        <v>26</v>
      </c>
    </row>
    <row r="11277" spans="1:19" x14ac:dyDescent="0.3">
      <c r="A11277" t="s">
        <v>25190</v>
      </c>
      <c r="B11277" t="s">
        <v>27598</v>
      </c>
      <c r="C11277" t="s">
        <v>28049</v>
      </c>
      <c r="D11277" t="s">
        <v>25197</v>
      </c>
      <c r="E11277" t="s">
        <v>25264</v>
      </c>
      <c r="F11277" t="s">
        <v>25270</v>
      </c>
      <c r="G11277" t="s">
        <v>25549</v>
      </c>
      <c r="H11277" t="s">
        <v>859</v>
      </c>
      <c r="I11277" t="s">
        <v>860</v>
      </c>
      <c r="J11277" t="str">
        <f>"9520924"</f>
        <v>9520924</v>
      </c>
      <c r="K11277">
        <v>2310678388</v>
      </c>
      <c r="L11277">
        <v>2310678388</v>
      </c>
      <c r="M11277" t="s">
        <v>28050</v>
      </c>
      <c r="N11277" t="s">
        <v>25552</v>
      </c>
      <c r="O11277" t="s">
        <v>28051</v>
      </c>
      <c r="P11277">
        <v>57010</v>
      </c>
      <c r="Q11277" t="str">
        <f>"40.645553"</f>
        <v>40.645553</v>
      </c>
      <c r="R11277" t="str">
        <f>"23.011898"</f>
        <v>23.011898</v>
      </c>
      <c r="S11277" t="s">
        <v>26</v>
      </c>
    </row>
    <row r="11278" spans="1:19" x14ac:dyDescent="0.3">
      <c r="A11278" t="s">
        <v>25190</v>
      </c>
      <c r="B11278" t="s">
        <v>27598</v>
      </c>
      <c r="C11278" t="s">
        <v>28052</v>
      </c>
      <c r="D11278" t="s">
        <v>25197</v>
      </c>
      <c r="E11278" t="s">
        <v>25198</v>
      </c>
      <c r="F11278" t="s">
        <v>25198</v>
      </c>
      <c r="G11278" t="s">
        <v>25198</v>
      </c>
      <c r="H11278" t="s">
        <v>859</v>
      </c>
      <c r="I11278" t="s">
        <v>860</v>
      </c>
      <c r="J11278" t="str">
        <f>"9520974"</f>
        <v>9520974</v>
      </c>
      <c r="K11278">
        <v>2310465703</v>
      </c>
      <c r="L11278">
        <v>2310465703</v>
      </c>
      <c r="M11278" t="s">
        <v>28053</v>
      </c>
      <c r="N11278" t="s">
        <v>27892</v>
      </c>
      <c r="O11278" t="s">
        <v>28054</v>
      </c>
      <c r="P11278">
        <v>57001</v>
      </c>
      <c r="Q11278" t="str">
        <f>"40.551189"</f>
        <v>40.551189</v>
      </c>
      <c r="R11278" t="str">
        <f>"23.049567"</f>
        <v>23.049567</v>
      </c>
      <c r="S11278" t="s">
        <v>26</v>
      </c>
    </row>
    <row r="11279" spans="1:19" x14ac:dyDescent="0.3">
      <c r="A11279" t="s">
        <v>25190</v>
      </c>
      <c r="B11279" t="s">
        <v>27598</v>
      </c>
      <c r="C11279" t="s">
        <v>28055</v>
      </c>
      <c r="D11279" t="s">
        <v>25197</v>
      </c>
      <c r="E11279" t="s">
        <v>25198</v>
      </c>
      <c r="F11279" t="s">
        <v>25198</v>
      </c>
      <c r="G11279" t="s">
        <v>27612</v>
      </c>
      <c r="H11279" t="s">
        <v>859</v>
      </c>
      <c r="I11279" t="s">
        <v>860</v>
      </c>
      <c r="J11279" t="str">
        <f>"9190705"</f>
        <v>9190705</v>
      </c>
      <c r="K11279">
        <v>2392072210</v>
      </c>
      <c r="L11279">
        <v>2392072210</v>
      </c>
      <c r="M11279" t="s">
        <v>28056</v>
      </c>
      <c r="N11279" t="s">
        <v>27615</v>
      </c>
      <c r="O11279" t="s">
        <v>28057</v>
      </c>
      <c r="P11279">
        <v>57001</v>
      </c>
      <c r="Q11279" t="str">
        <f>"40.489738"</f>
        <v>40.489738</v>
      </c>
      <c r="R11279" t="str">
        <f>"23.018976"</f>
        <v>23.018976</v>
      </c>
      <c r="S11279" t="s">
        <v>26</v>
      </c>
    </row>
    <row r="11280" spans="1:19" x14ac:dyDescent="0.3">
      <c r="A11280" t="s">
        <v>25190</v>
      </c>
      <c r="B11280" t="s">
        <v>27598</v>
      </c>
      <c r="C11280" t="s">
        <v>28058</v>
      </c>
      <c r="D11280" t="s">
        <v>25197</v>
      </c>
      <c r="E11280" t="s">
        <v>25197</v>
      </c>
      <c r="F11280" t="s">
        <v>25352</v>
      </c>
      <c r="G11280" t="s">
        <v>25352</v>
      </c>
      <c r="H11280" t="s">
        <v>859</v>
      </c>
      <c r="I11280" t="s">
        <v>860</v>
      </c>
      <c r="J11280" t="str">
        <f>"9190474"</f>
        <v>9190474</v>
      </c>
      <c r="K11280">
        <v>2310940303</v>
      </c>
      <c r="L11280">
        <v>2310940303</v>
      </c>
      <c r="M11280" t="s">
        <v>28059</v>
      </c>
      <c r="N11280" t="s">
        <v>27829</v>
      </c>
      <c r="O11280" t="s">
        <v>28060</v>
      </c>
      <c r="P11280">
        <v>55337</v>
      </c>
      <c r="Q11280" t="str">
        <f>"40.621692"</f>
        <v>40.621692</v>
      </c>
      <c r="R11280" t="str">
        <f>"22.975206"</f>
        <v>22.975206</v>
      </c>
      <c r="S11280" t="s">
        <v>26</v>
      </c>
    </row>
    <row r="11281" spans="1:19" x14ac:dyDescent="0.3">
      <c r="A11281" t="s">
        <v>25190</v>
      </c>
      <c r="B11281" t="s">
        <v>27598</v>
      </c>
      <c r="C11281" t="s">
        <v>28061</v>
      </c>
      <c r="D11281" t="s">
        <v>25197</v>
      </c>
      <c r="E11281" t="s">
        <v>25293</v>
      </c>
      <c r="F11281" t="s">
        <v>25293</v>
      </c>
      <c r="G11281" t="s">
        <v>25664</v>
      </c>
      <c r="H11281" t="s">
        <v>859</v>
      </c>
      <c r="I11281" t="s">
        <v>860</v>
      </c>
      <c r="J11281" t="str">
        <f>"9520975"</f>
        <v>9520975</v>
      </c>
      <c r="K11281">
        <v>2392022421</v>
      </c>
      <c r="L11281">
        <v>2392022421</v>
      </c>
      <c r="M11281" t="s">
        <v>28062</v>
      </c>
      <c r="N11281" t="s">
        <v>25688</v>
      </c>
      <c r="O11281" t="s">
        <v>28063</v>
      </c>
      <c r="P11281">
        <v>57019</v>
      </c>
      <c r="Q11281" t="str">
        <f>"40.507131"</f>
        <v>40.507131</v>
      </c>
      <c r="R11281" t="str">
        <f>"22.936547"</f>
        <v>22.936547</v>
      </c>
      <c r="S11281" t="s">
        <v>26</v>
      </c>
    </row>
    <row r="11282" spans="1:19" x14ac:dyDescent="0.3">
      <c r="A11282" t="s">
        <v>25190</v>
      </c>
      <c r="B11282" t="s">
        <v>27598</v>
      </c>
      <c r="C11282" t="s">
        <v>28069</v>
      </c>
      <c r="D11282" t="s">
        <v>25197</v>
      </c>
      <c r="E11282" t="s">
        <v>25293</v>
      </c>
      <c r="F11282" t="s">
        <v>25293</v>
      </c>
      <c r="G11282" t="s">
        <v>25664</v>
      </c>
      <c r="H11282" t="s">
        <v>859</v>
      </c>
      <c r="I11282" t="s">
        <v>860</v>
      </c>
      <c r="J11282" t="str">
        <f>"9190496"</f>
        <v>9190496</v>
      </c>
      <c r="K11282">
        <v>2392026904</v>
      </c>
      <c r="L11282">
        <v>2392026904</v>
      </c>
      <c r="M11282" t="s">
        <v>28070</v>
      </c>
      <c r="N11282" t="s">
        <v>25688</v>
      </c>
      <c r="O11282" t="s">
        <v>28071</v>
      </c>
      <c r="P11282">
        <v>57019</v>
      </c>
      <c r="Q11282" t="str">
        <f>"40.505853"</f>
        <v>40.505853</v>
      </c>
      <c r="R11282" t="str">
        <f>"22.922218"</f>
        <v>22.922218</v>
      </c>
      <c r="S11282" t="s">
        <v>26</v>
      </c>
    </row>
    <row r="11283" spans="1:19" x14ac:dyDescent="0.3">
      <c r="A11283" t="s">
        <v>25190</v>
      </c>
      <c r="B11283" t="s">
        <v>27598</v>
      </c>
      <c r="C11283" t="s">
        <v>28072</v>
      </c>
      <c r="D11283" t="s">
        <v>25197</v>
      </c>
      <c r="E11283" t="s">
        <v>25197</v>
      </c>
      <c r="F11283" t="s">
        <v>25352</v>
      </c>
      <c r="G11283" t="s">
        <v>25352</v>
      </c>
      <c r="H11283" t="s">
        <v>859</v>
      </c>
      <c r="I11283" t="s">
        <v>860</v>
      </c>
      <c r="J11283" t="str">
        <f>"9190585"</f>
        <v>9190585</v>
      </c>
      <c r="K11283">
        <v>2310931117</v>
      </c>
      <c r="L11283">
        <v>2310931117</v>
      </c>
      <c r="M11283" t="s">
        <v>28073</v>
      </c>
      <c r="N11283" t="s">
        <v>27829</v>
      </c>
      <c r="O11283" t="s">
        <v>28074</v>
      </c>
      <c r="P11283">
        <v>55337</v>
      </c>
      <c r="Q11283" t="str">
        <f>"40.621096"</f>
        <v>40.621096</v>
      </c>
      <c r="R11283" t="str">
        <f>"22.969935"</f>
        <v>22.969935</v>
      </c>
      <c r="S11283" t="s">
        <v>26</v>
      </c>
    </row>
    <row r="11284" spans="1:19" x14ac:dyDescent="0.3">
      <c r="A11284" t="s">
        <v>25190</v>
      </c>
      <c r="B11284" t="s">
        <v>27598</v>
      </c>
      <c r="C11284" t="s">
        <v>28075</v>
      </c>
      <c r="D11284" t="s">
        <v>25197</v>
      </c>
      <c r="E11284" t="s">
        <v>25264</v>
      </c>
      <c r="F11284" t="s">
        <v>25265</v>
      </c>
      <c r="G11284" t="s">
        <v>25265</v>
      </c>
      <c r="H11284" t="s">
        <v>859</v>
      </c>
      <c r="I11284" t="s">
        <v>1102</v>
      </c>
      <c r="J11284" t="str">
        <f>"9521028"</f>
        <v>9521028</v>
      </c>
      <c r="K11284">
        <v>2310918850</v>
      </c>
      <c r="L11284">
        <v>2310918850</v>
      </c>
      <c r="M11284" t="s">
        <v>28076</v>
      </c>
      <c r="N11284" t="s">
        <v>25345</v>
      </c>
      <c r="O11284" t="s">
        <v>25731</v>
      </c>
      <c r="P11284">
        <v>54352</v>
      </c>
      <c r="Q11284" t="str">
        <f>"40.610290"</f>
        <v>40.610290</v>
      </c>
      <c r="R11284" t="str">
        <f>"22.988979"</f>
        <v>22.988979</v>
      </c>
      <c r="S11284" t="s">
        <v>26</v>
      </c>
    </row>
    <row r="11285" spans="1:19" x14ac:dyDescent="0.3">
      <c r="A11285" t="s">
        <v>25190</v>
      </c>
      <c r="B11285" t="s">
        <v>27598</v>
      </c>
      <c r="C11285" t="s">
        <v>28077</v>
      </c>
      <c r="D11285" t="s">
        <v>25197</v>
      </c>
      <c r="E11285" t="s">
        <v>25197</v>
      </c>
      <c r="F11285" t="s">
        <v>25352</v>
      </c>
      <c r="G11285" t="s">
        <v>25352</v>
      </c>
      <c r="H11285" t="s">
        <v>859</v>
      </c>
      <c r="I11285" t="s">
        <v>860</v>
      </c>
      <c r="J11285" t="str">
        <f>"9190797"</f>
        <v>9190797</v>
      </c>
      <c r="K11285">
        <v>2310928095</v>
      </c>
      <c r="L11285">
        <v>2310936946</v>
      </c>
      <c r="M11285" t="s">
        <v>28078</v>
      </c>
      <c r="N11285" t="s">
        <v>27829</v>
      </c>
      <c r="O11285" t="s">
        <v>28079</v>
      </c>
      <c r="P11285">
        <v>55337</v>
      </c>
      <c r="Q11285" t="str">
        <f>"40.623915"</f>
        <v>40.623915</v>
      </c>
      <c r="R11285" t="str">
        <f>"22.975358"</f>
        <v>22.975358</v>
      </c>
      <c r="S11285" t="s">
        <v>26</v>
      </c>
    </row>
    <row r="11286" spans="1:19" x14ac:dyDescent="0.3">
      <c r="A11286" t="s">
        <v>25190</v>
      </c>
      <c r="B11286" t="s">
        <v>27598</v>
      </c>
      <c r="C11286" t="s">
        <v>28080</v>
      </c>
      <c r="D11286" t="s">
        <v>25197</v>
      </c>
      <c r="E11286" t="s">
        <v>25264</v>
      </c>
      <c r="F11286" t="s">
        <v>25265</v>
      </c>
      <c r="G11286" t="s">
        <v>25265</v>
      </c>
      <c r="H11286" t="s">
        <v>859</v>
      </c>
      <c r="I11286" t="s">
        <v>860</v>
      </c>
      <c r="J11286" t="str">
        <f>"9190917"</f>
        <v>9190917</v>
      </c>
      <c r="K11286">
        <v>2310328347</v>
      </c>
      <c r="L11286">
        <v>2310322545</v>
      </c>
      <c r="M11286" t="s">
        <v>28081</v>
      </c>
      <c r="N11286" t="s">
        <v>25345</v>
      </c>
      <c r="O11286" t="s">
        <v>28082</v>
      </c>
      <c r="P11286">
        <v>55535</v>
      </c>
      <c r="Q11286" t="str">
        <f>"40.591458"</f>
        <v>40.591458</v>
      </c>
      <c r="R11286" t="str">
        <f>"22.952935"</f>
        <v>22.952935</v>
      </c>
      <c r="S11286" t="s">
        <v>26</v>
      </c>
    </row>
    <row r="11287" spans="1:19" x14ac:dyDescent="0.3">
      <c r="A11287" t="s">
        <v>25190</v>
      </c>
      <c r="B11287" t="s">
        <v>27598</v>
      </c>
      <c r="C11287" t="s">
        <v>28084</v>
      </c>
      <c r="D11287" t="s">
        <v>25197</v>
      </c>
      <c r="E11287" t="s">
        <v>25198</v>
      </c>
      <c r="F11287" t="s">
        <v>25198</v>
      </c>
      <c r="G11287" t="s">
        <v>28083</v>
      </c>
      <c r="H11287" t="s">
        <v>859</v>
      </c>
      <c r="I11287" t="s">
        <v>860</v>
      </c>
      <c r="J11287" t="str">
        <f>"9190731"</f>
        <v>9190731</v>
      </c>
      <c r="K11287">
        <v>2392071213</v>
      </c>
      <c r="L11287">
        <v>2392071213</v>
      </c>
      <c r="M11287" t="s">
        <v>28085</v>
      </c>
      <c r="N11287" t="s">
        <v>28086</v>
      </c>
      <c r="O11287" t="s">
        <v>28087</v>
      </c>
      <c r="P11287">
        <v>57001</v>
      </c>
      <c r="Q11287" t="str">
        <f>"40.495890"</f>
        <v>40.495890</v>
      </c>
      <c r="R11287" t="str">
        <f>"22.987437"</f>
        <v>22.987437</v>
      </c>
      <c r="S11287" t="s">
        <v>26</v>
      </c>
    </row>
    <row r="11288" spans="1:19" x14ac:dyDescent="0.3">
      <c r="A11288" t="s">
        <v>25190</v>
      </c>
      <c r="B11288" t="s">
        <v>27598</v>
      </c>
      <c r="C11288" t="s">
        <v>28093</v>
      </c>
      <c r="D11288" t="s">
        <v>25197</v>
      </c>
      <c r="E11288" t="s">
        <v>25198</v>
      </c>
      <c r="F11288" t="s">
        <v>25323</v>
      </c>
      <c r="G11288" t="s">
        <v>25324</v>
      </c>
      <c r="H11288" t="s">
        <v>859</v>
      </c>
      <c r="I11288" t="s">
        <v>860</v>
      </c>
      <c r="J11288" t="str">
        <f>"9190374"</f>
        <v>9190374</v>
      </c>
      <c r="K11288">
        <v>2392063503</v>
      </c>
      <c r="L11288">
        <v>2392063503</v>
      </c>
      <c r="M11288" t="s">
        <v>28094</v>
      </c>
      <c r="N11288" t="s">
        <v>25327</v>
      </c>
      <c r="O11288" t="s">
        <v>25327</v>
      </c>
      <c r="P11288">
        <v>57500</v>
      </c>
      <c r="Q11288" t="str">
        <f>"40.463933"</f>
        <v>40.463933</v>
      </c>
      <c r="R11288" t="str">
        <f>"22.967398"</f>
        <v>22.967398</v>
      </c>
      <c r="S11288" t="s">
        <v>26</v>
      </c>
    </row>
    <row r="11289" spans="1:19" x14ac:dyDescent="0.3">
      <c r="A11289" t="s">
        <v>25190</v>
      </c>
      <c r="B11289" t="s">
        <v>27598</v>
      </c>
      <c r="C11289" t="s">
        <v>28095</v>
      </c>
      <c r="D11289" t="s">
        <v>25197</v>
      </c>
      <c r="E11289" t="s">
        <v>25264</v>
      </c>
      <c r="F11289" t="s">
        <v>25400</v>
      </c>
      <c r="G11289" t="s">
        <v>25400</v>
      </c>
      <c r="H11289" t="s">
        <v>859</v>
      </c>
      <c r="I11289" t="s">
        <v>1102</v>
      </c>
      <c r="J11289" t="str">
        <f>"9190785"</f>
        <v>9190785</v>
      </c>
      <c r="K11289">
        <v>2310343844</v>
      </c>
      <c r="L11289">
        <v>2310343059</v>
      </c>
      <c r="M11289" t="s">
        <v>28096</v>
      </c>
      <c r="N11289" t="s">
        <v>25497</v>
      </c>
      <c r="O11289" t="s">
        <v>25499</v>
      </c>
      <c r="P11289">
        <v>55236</v>
      </c>
      <c r="Q11289" t="str">
        <f>"40.597845"</f>
        <v>40.597845</v>
      </c>
      <c r="R11289" t="str">
        <f>"23.048128"</f>
        <v>23.048128</v>
      </c>
      <c r="S11289" t="s">
        <v>26</v>
      </c>
    </row>
    <row r="11290" spans="1:19" x14ac:dyDescent="0.3">
      <c r="A11290" t="s">
        <v>25190</v>
      </c>
      <c r="B11290" t="s">
        <v>27598</v>
      </c>
      <c r="C11290" t="s">
        <v>28097</v>
      </c>
      <c r="D11290" t="s">
        <v>25197</v>
      </c>
      <c r="E11290" t="s">
        <v>25198</v>
      </c>
      <c r="F11290" t="s">
        <v>25323</v>
      </c>
      <c r="G11290" t="s">
        <v>25324</v>
      </c>
      <c r="H11290" t="s">
        <v>859</v>
      </c>
      <c r="I11290" t="s">
        <v>860</v>
      </c>
      <c r="J11290" t="str">
        <f>"9520653"</f>
        <v>9520653</v>
      </c>
      <c r="K11290">
        <v>2392062044</v>
      </c>
      <c r="L11290">
        <v>2392062044</v>
      </c>
      <c r="M11290" t="s">
        <v>28098</v>
      </c>
      <c r="N11290" t="s">
        <v>25327</v>
      </c>
      <c r="O11290" t="s">
        <v>25327</v>
      </c>
      <c r="P11290">
        <v>57500</v>
      </c>
      <c r="Q11290" t="str">
        <f>"40.423581"</f>
        <v>40.423581</v>
      </c>
      <c r="R11290" t="str">
        <f>"22.957163"</f>
        <v>22.957163</v>
      </c>
      <c r="S11290" t="s">
        <v>26</v>
      </c>
    </row>
    <row r="11291" spans="1:19" x14ac:dyDescent="0.3">
      <c r="A11291" t="s">
        <v>25190</v>
      </c>
      <c r="B11291" t="s">
        <v>27598</v>
      </c>
      <c r="C11291" t="s">
        <v>28100</v>
      </c>
      <c r="D11291" t="s">
        <v>25197</v>
      </c>
      <c r="E11291" t="s">
        <v>25198</v>
      </c>
      <c r="F11291" t="s">
        <v>25323</v>
      </c>
      <c r="G11291" t="s">
        <v>28099</v>
      </c>
      <c r="H11291" t="s">
        <v>859</v>
      </c>
      <c r="I11291" t="s">
        <v>860</v>
      </c>
      <c r="J11291" t="str">
        <f>"9190704"</f>
        <v>9190704</v>
      </c>
      <c r="K11291">
        <v>2392063137</v>
      </c>
      <c r="L11291">
        <v>63137</v>
      </c>
      <c r="M11291" t="s">
        <v>28101</v>
      </c>
      <c r="N11291" t="s">
        <v>28102</v>
      </c>
      <c r="O11291" t="s">
        <v>28103</v>
      </c>
      <c r="P11291">
        <v>57500</v>
      </c>
      <c r="Q11291" t="str">
        <f>"40.474518"</f>
        <v>40.474518</v>
      </c>
      <c r="R11291" t="str">
        <f>"22.959863"</f>
        <v>22.959863</v>
      </c>
      <c r="S11291" t="s">
        <v>26</v>
      </c>
    </row>
    <row r="11292" spans="1:19" x14ac:dyDescent="0.3">
      <c r="A11292" t="s">
        <v>25190</v>
      </c>
      <c r="B11292" t="s">
        <v>27598</v>
      </c>
      <c r="C11292" t="s">
        <v>28104</v>
      </c>
      <c r="D11292" t="s">
        <v>25197</v>
      </c>
      <c r="E11292" t="s">
        <v>25198</v>
      </c>
      <c r="F11292" t="s">
        <v>25323</v>
      </c>
      <c r="G11292" t="s">
        <v>28099</v>
      </c>
      <c r="H11292" t="s">
        <v>859</v>
      </c>
      <c r="I11292" t="s">
        <v>860</v>
      </c>
      <c r="J11292" t="str">
        <f>"9190937"</f>
        <v>9190937</v>
      </c>
      <c r="K11292">
        <v>2392064477</v>
      </c>
      <c r="L11292">
        <v>2392064477</v>
      </c>
      <c r="M11292" t="s">
        <v>28105</v>
      </c>
      <c r="N11292" t="s">
        <v>28102</v>
      </c>
      <c r="O11292" t="s">
        <v>28106</v>
      </c>
      <c r="P11292">
        <v>57500</v>
      </c>
      <c r="Q11292" t="str">
        <f>"40.474950"</f>
        <v>40.474950</v>
      </c>
      <c r="R11292" t="str">
        <f>"22.959889"</f>
        <v>22.959889</v>
      </c>
      <c r="S11292" t="s">
        <v>26</v>
      </c>
    </row>
    <row r="11293" spans="1:19" x14ac:dyDescent="0.3">
      <c r="A11293" t="s">
        <v>25190</v>
      </c>
      <c r="B11293" t="s">
        <v>27598</v>
      </c>
      <c r="C11293" t="s">
        <v>28108</v>
      </c>
      <c r="D11293" t="s">
        <v>25197</v>
      </c>
      <c r="E11293" t="s">
        <v>25197</v>
      </c>
      <c r="F11293" t="s">
        <v>25197</v>
      </c>
      <c r="G11293" t="s">
        <v>28107</v>
      </c>
      <c r="H11293" t="s">
        <v>859</v>
      </c>
      <c r="I11293" t="s">
        <v>1102</v>
      </c>
      <c r="J11293" t="str">
        <f>"9190891"</f>
        <v>9190891</v>
      </c>
      <c r="K11293">
        <v>2310817185</v>
      </c>
      <c r="L11293">
        <v>2310817185</v>
      </c>
      <c r="M11293" t="s">
        <v>28109</v>
      </c>
      <c r="N11293" t="s">
        <v>25247</v>
      </c>
      <c r="O11293" t="s">
        <v>28110</v>
      </c>
      <c r="P11293">
        <v>54641</v>
      </c>
      <c r="Q11293" t="str">
        <f>"40.614601"</f>
        <v>40.614601</v>
      </c>
      <c r="R11293" t="str">
        <f>"22.952979"</f>
        <v>22.952979</v>
      </c>
      <c r="S11293" t="s">
        <v>26</v>
      </c>
    </row>
    <row r="11294" spans="1:19" x14ac:dyDescent="0.3">
      <c r="A11294" t="s">
        <v>25190</v>
      </c>
      <c r="B11294" t="s">
        <v>27598</v>
      </c>
      <c r="C11294" t="s">
        <v>28111</v>
      </c>
      <c r="D11294" t="s">
        <v>25197</v>
      </c>
      <c r="E11294" t="s">
        <v>25264</v>
      </c>
      <c r="F11294" t="s">
        <v>25265</v>
      </c>
      <c r="G11294" t="s">
        <v>25265</v>
      </c>
      <c r="H11294" t="s">
        <v>859</v>
      </c>
      <c r="I11294" t="s">
        <v>1102</v>
      </c>
      <c r="J11294" t="str">
        <f>"9190786"</f>
        <v>9190786</v>
      </c>
      <c r="K11294">
        <v>2310326122</v>
      </c>
      <c r="L11294">
        <v>2310326122</v>
      </c>
      <c r="M11294" t="s">
        <v>28112</v>
      </c>
      <c r="N11294" t="s">
        <v>25345</v>
      </c>
      <c r="O11294" t="s">
        <v>28113</v>
      </c>
      <c r="P11294">
        <v>55535</v>
      </c>
      <c r="Q11294" t="str">
        <f>"40.601159"</f>
        <v>40.601159</v>
      </c>
      <c r="R11294" t="str">
        <f>"23.005659"</f>
        <v>23.005659</v>
      </c>
      <c r="S11294" t="s">
        <v>26</v>
      </c>
    </row>
    <row r="11295" spans="1:19" x14ac:dyDescent="0.3">
      <c r="A11295" t="s">
        <v>25190</v>
      </c>
      <c r="B11295" t="s">
        <v>27598</v>
      </c>
      <c r="C11295" t="s">
        <v>28114</v>
      </c>
      <c r="D11295" t="s">
        <v>25197</v>
      </c>
      <c r="E11295" t="s">
        <v>25197</v>
      </c>
      <c r="F11295" t="s">
        <v>25197</v>
      </c>
      <c r="G11295" t="s">
        <v>25250</v>
      </c>
      <c r="H11295" t="s">
        <v>859</v>
      </c>
      <c r="I11295" t="s">
        <v>1102</v>
      </c>
      <c r="J11295" t="str">
        <f>"9190889"</f>
        <v>9190889</v>
      </c>
      <c r="K11295">
        <v>2310856655</v>
      </c>
      <c r="L11295">
        <v>2310856655</v>
      </c>
      <c r="M11295" t="s">
        <v>28115</v>
      </c>
      <c r="N11295" t="s">
        <v>25247</v>
      </c>
      <c r="O11295" t="s">
        <v>28013</v>
      </c>
      <c r="P11295">
        <v>54642</v>
      </c>
      <c r="Q11295" t="str">
        <f>"40.611584"</f>
        <v>40.611584</v>
      </c>
      <c r="R11295" t="str">
        <f>"22.961535"</f>
        <v>22.961535</v>
      </c>
      <c r="S11295" t="s">
        <v>26</v>
      </c>
    </row>
    <row r="11296" spans="1:19" x14ac:dyDescent="0.3">
      <c r="A11296" t="s">
        <v>25190</v>
      </c>
      <c r="B11296" t="s">
        <v>27598</v>
      </c>
      <c r="C11296" t="s">
        <v>28116</v>
      </c>
      <c r="D11296" t="s">
        <v>25197</v>
      </c>
      <c r="E11296" t="s">
        <v>25197</v>
      </c>
      <c r="F11296" t="s">
        <v>25197</v>
      </c>
      <c r="G11296" t="s">
        <v>25250</v>
      </c>
      <c r="H11296" t="s">
        <v>859</v>
      </c>
      <c r="I11296" t="s">
        <v>1102</v>
      </c>
      <c r="J11296" t="str">
        <f>"9190846"</f>
        <v>9190846</v>
      </c>
      <c r="K11296">
        <v>2310856433</v>
      </c>
      <c r="L11296">
        <v>2310857722</v>
      </c>
      <c r="M11296" t="s">
        <v>28117</v>
      </c>
      <c r="N11296" t="s">
        <v>25247</v>
      </c>
      <c r="O11296" t="s">
        <v>28118</v>
      </c>
      <c r="P11296">
        <v>54641</v>
      </c>
      <c r="Q11296" t="str">
        <f>"40.613768"</f>
        <v>40.613768</v>
      </c>
      <c r="R11296" t="str">
        <f>"22.953578"</f>
        <v>22.953578</v>
      </c>
      <c r="S11296" t="s">
        <v>26</v>
      </c>
    </row>
    <row r="11297" spans="1:19" x14ac:dyDescent="0.3">
      <c r="A11297" t="s">
        <v>25190</v>
      </c>
      <c r="B11297" t="s">
        <v>27598</v>
      </c>
      <c r="C11297" t="s">
        <v>28122</v>
      </c>
      <c r="D11297" t="s">
        <v>25197</v>
      </c>
      <c r="E11297" t="s">
        <v>25197</v>
      </c>
      <c r="F11297" t="s">
        <v>25197</v>
      </c>
      <c r="G11297" t="s">
        <v>25235</v>
      </c>
      <c r="H11297" t="s">
        <v>859</v>
      </c>
      <c r="I11297" t="s">
        <v>1102</v>
      </c>
      <c r="J11297" t="str">
        <f>"9521027"</f>
        <v>9521027</v>
      </c>
      <c r="K11297">
        <v>2310525376</v>
      </c>
      <c r="L11297">
        <v>2310534654</v>
      </c>
      <c r="M11297" t="s">
        <v>28123</v>
      </c>
      <c r="N11297" t="s">
        <v>25247</v>
      </c>
      <c r="O11297" t="s">
        <v>25672</v>
      </c>
      <c r="P11297">
        <v>54627</v>
      </c>
      <c r="Q11297" t="str">
        <f>"40.646460"</f>
        <v>40.646460</v>
      </c>
      <c r="R11297" t="str">
        <f>"22.918058"</f>
        <v>22.918058</v>
      </c>
      <c r="S11297" t="s">
        <v>26</v>
      </c>
    </row>
    <row r="11298" spans="1:19" x14ac:dyDescent="0.3">
      <c r="A11298" t="s">
        <v>25190</v>
      </c>
      <c r="B11298" t="s">
        <v>27598</v>
      </c>
      <c r="C11298" t="s">
        <v>28124</v>
      </c>
      <c r="D11298" t="s">
        <v>25197</v>
      </c>
      <c r="E11298" t="s">
        <v>25197</v>
      </c>
      <c r="F11298" t="s">
        <v>25197</v>
      </c>
      <c r="G11298" t="s">
        <v>25255</v>
      </c>
      <c r="H11298" t="s">
        <v>859</v>
      </c>
      <c r="I11298" t="s">
        <v>1102</v>
      </c>
      <c r="J11298" t="str">
        <f>"9521026"</f>
        <v>9521026</v>
      </c>
      <c r="M11298" t="s">
        <v>27609</v>
      </c>
      <c r="N11298" t="s">
        <v>25247</v>
      </c>
      <c r="O11298" t="s">
        <v>25247</v>
      </c>
      <c r="P11298">
        <v>0</v>
      </c>
      <c r="Q11298" t="str">
        <f>""</f>
        <v/>
      </c>
      <c r="R11298" t="str">
        <f>""</f>
        <v/>
      </c>
      <c r="S11298" t="s">
        <v>26</v>
      </c>
    </row>
    <row r="11299" spans="1:19" x14ac:dyDescent="0.3">
      <c r="A11299" t="s">
        <v>25190</v>
      </c>
      <c r="B11299" t="s">
        <v>27598</v>
      </c>
      <c r="C11299" t="s">
        <v>28127</v>
      </c>
      <c r="D11299" t="s">
        <v>25197</v>
      </c>
      <c r="E11299" t="s">
        <v>25299</v>
      </c>
      <c r="F11299" t="s">
        <v>25299</v>
      </c>
      <c r="G11299" t="s">
        <v>25299</v>
      </c>
      <c r="H11299" t="s">
        <v>859</v>
      </c>
      <c r="I11299" t="s">
        <v>860</v>
      </c>
      <c r="J11299" t="str">
        <f>"9190818"</f>
        <v>9190818</v>
      </c>
      <c r="K11299">
        <v>2310415777</v>
      </c>
      <c r="L11299">
        <v>2310415777</v>
      </c>
      <c r="M11299" t="s">
        <v>28128</v>
      </c>
      <c r="N11299" t="s">
        <v>25331</v>
      </c>
      <c r="O11299" t="s">
        <v>28129</v>
      </c>
      <c r="P11299">
        <v>55131</v>
      </c>
      <c r="Q11299" t="str">
        <f>"40.588580"</f>
        <v>40.588580</v>
      </c>
      <c r="R11299" t="str">
        <f>"22.952440"</f>
        <v>22.952440</v>
      </c>
      <c r="S11299" t="s">
        <v>26</v>
      </c>
    </row>
    <row r="11300" spans="1:19" x14ac:dyDescent="0.3">
      <c r="A11300" t="s">
        <v>25190</v>
      </c>
      <c r="B11300" t="s">
        <v>27598</v>
      </c>
      <c r="C11300" t="s">
        <v>28146</v>
      </c>
      <c r="D11300" t="s">
        <v>25197</v>
      </c>
      <c r="E11300" t="s">
        <v>25299</v>
      </c>
      <c r="F11300" t="s">
        <v>25299</v>
      </c>
      <c r="G11300" t="s">
        <v>25299</v>
      </c>
      <c r="H11300" t="s">
        <v>859</v>
      </c>
      <c r="I11300" t="s">
        <v>860</v>
      </c>
      <c r="J11300" t="str">
        <f>"9190568"</f>
        <v>9190568</v>
      </c>
      <c r="K11300">
        <v>2310432402</v>
      </c>
      <c r="L11300">
        <v>2310432402</v>
      </c>
      <c r="M11300" t="s">
        <v>28147</v>
      </c>
      <c r="N11300" t="s">
        <v>25331</v>
      </c>
      <c r="O11300" t="s">
        <v>28148</v>
      </c>
      <c r="P11300">
        <v>55134</v>
      </c>
      <c r="Q11300" t="str">
        <f>"40.585131"</f>
        <v>40.585131</v>
      </c>
      <c r="R11300" t="str">
        <f>"22.964622"</f>
        <v>22.964622</v>
      </c>
      <c r="S11300" t="s">
        <v>26</v>
      </c>
    </row>
    <row r="11301" spans="1:19" x14ac:dyDescent="0.3">
      <c r="A11301" t="s">
        <v>25190</v>
      </c>
      <c r="B11301" t="s">
        <v>27598</v>
      </c>
      <c r="C11301" t="s">
        <v>28151</v>
      </c>
      <c r="D11301" t="s">
        <v>25197</v>
      </c>
      <c r="E11301" t="s">
        <v>25197</v>
      </c>
      <c r="F11301" t="s">
        <v>25197</v>
      </c>
      <c r="G11301" t="s">
        <v>25250</v>
      </c>
      <c r="H11301" t="s">
        <v>859</v>
      </c>
      <c r="I11301" t="s">
        <v>860</v>
      </c>
      <c r="J11301" t="str">
        <f>"9190007"</f>
        <v>9190007</v>
      </c>
      <c r="K11301">
        <v>2310813265</v>
      </c>
      <c r="L11301">
        <v>2310813265</v>
      </c>
      <c r="M11301" t="s">
        <v>28152</v>
      </c>
      <c r="N11301" t="s">
        <v>25247</v>
      </c>
      <c r="O11301" t="s">
        <v>28153</v>
      </c>
      <c r="P11301">
        <v>54648</v>
      </c>
      <c r="Q11301" t="str">
        <f>"40.602435"</f>
        <v>40.602435</v>
      </c>
      <c r="R11301" t="str">
        <f>"22.960230"</f>
        <v>22.960230</v>
      </c>
      <c r="S11301" t="s">
        <v>26</v>
      </c>
    </row>
    <row r="11302" spans="1:19" x14ac:dyDescent="0.3">
      <c r="A11302" t="s">
        <v>25190</v>
      </c>
      <c r="B11302" t="s">
        <v>27598</v>
      </c>
      <c r="C11302" t="s">
        <v>28157</v>
      </c>
      <c r="D11302" t="s">
        <v>25197</v>
      </c>
      <c r="E11302" t="s">
        <v>25299</v>
      </c>
      <c r="F11302" t="s">
        <v>25299</v>
      </c>
      <c r="G11302" t="s">
        <v>25299</v>
      </c>
      <c r="H11302" t="s">
        <v>859</v>
      </c>
      <c r="I11302" t="s">
        <v>860</v>
      </c>
      <c r="J11302" t="str">
        <f>"9190018"</f>
        <v>9190018</v>
      </c>
      <c r="K11302">
        <v>2310426648</v>
      </c>
      <c r="L11302">
        <v>2310426648</v>
      </c>
      <c r="M11302" t="s">
        <v>28158</v>
      </c>
      <c r="N11302" t="s">
        <v>25331</v>
      </c>
      <c r="O11302" t="s">
        <v>28159</v>
      </c>
      <c r="P11302">
        <v>55131</v>
      </c>
      <c r="Q11302" t="str">
        <f>"40.584941"</f>
        <v>40.584941</v>
      </c>
      <c r="R11302" t="str">
        <f>"22.952733"</f>
        <v>22.952733</v>
      </c>
      <c r="S11302" t="s">
        <v>26</v>
      </c>
    </row>
    <row r="11303" spans="1:19" x14ac:dyDescent="0.3">
      <c r="A11303" t="s">
        <v>25190</v>
      </c>
      <c r="B11303" t="s">
        <v>27598</v>
      </c>
      <c r="C11303" t="s">
        <v>28160</v>
      </c>
      <c r="D11303" t="s">
        <v>25197</v>
      </c>
      <c r="E11303" t="s">
        <v>25197</v>
      </c>
      <c r="F11303" t="s">
        <v>25197</v>
      </c>
      <c r="G11303" t="s">
        <v>25250</v>
      </c>
      <c r="H11303" t="s">
        <v>859</v>
      </c>
      <c r="I11303" t="s">
        <v>860</v>
      </c>
      <c r="J11303" t="str">
        <f>"9190053"</f>
        <v>9190053</v>
      </c>
      <c r="K11303">
        <v>2310918706</v>
      </c>
      <c r="L11303">
        <v>2310936999</v>
      </c>
      <c r="M11303" t="s">
        <v>28161</v>
      </c>
      <c r="N11303" t="s">
        <v>25247</v>
      </c>
      <c r="O11303" t="s">
        <v>28162</v>
      </c>
      <c r="P11303">
        <v>54644</v>
      </c>
      <c r="Q11303" t="str">
        <f>"40.607888"</f>
        <v>40.607888</v>
      </c>
      <c r="R11303" t="str">
        <f>"22.964524"</f>
        <v>22.964524</v>
      </c>
      <c r="S11303" t="s">
        <v>26</v>
      </c>
    </row>
    <row r="11304" spans="1:19" x14ac:dyDescent="0.3">
      <c r="A11304" t="s">
        <v>25190</v>
      </c>
      <c r="B11304" t="s">
        <v>27598</v>
      </c>
      <c r="C11304" t="s">
        <v>28163</v>
      </c>
      <c r="D11304" t="s">
        <v>25197</v>
      </c>
      <c r="E11304" t="s">
        <v>25197</v>
      </c>
      <c r="F11304" t="s">
        <v>25197</v>
      </c>
      <c r="G11304" t="s">
        <v>25283</v>
      </c>
      <c r="H11304" t="s">
        <v>859</v>
      </c>
      <c r="I11304" t="s">
        <v>860</v>
      </c>
      <c r="J11304" t="str">
        <f>"9520973"</f>
        <v>9520973</v>
      </c>
      <c r="K11304">
        <v>2310909579</v>
      </c>
      <c r="L11304">
        <v>2310909569</v>
      </c>
      <c r="M11304" t="s">
        <v>28164</v>
      </c>
      <c r="N11304" t="s">
        <v>25247</v>
      </c>
      <c r="O11304" t="s">
        <v>28165</v>
      </c>
      <c r="P11304">
        <v>54453</v>
      </c>
      <c r="Q11304" t="str">
        <f>"40.605916"</f>
        <v>40.605916</v>
      </c>
      <c r="R11304" t="str">
        <f>"22.969526"</f>
        <v>22.969526</v>
      </c>
      <c r="S11304" t="s">
        <v>26</v>
      </c>
    </row>
    <row r="11305" spans="1:19" x14ac:dyDescent="0.3">
      <c r="A11305" t="s">
        <v>25190</v>
      </c>
      <c r="B11305" t="s">
        <v>27598</v>
      </c>
      <c r="C11305" t="s">
        <v>28167</v>
      </c>
      <c r="D11305" t="s">
        <v>25197</v>
      </c>
      <c r="E11305" t="s">
        <v>25197</v>
      </c>
      <c r="F11305" t="s">
        <v>25197</v>
      </c>
      <c r="G11305" t="s">
        <v>25250</v>
      </c>
      <c r="H11305" t="s">
        <v>859</v>
      </c>
      <c r="I11305" t="s">
        <v>860</v>
      </c>
      <c r="J11305" t="str">
        <f>"9190445"</f>
        <v>9190445</v>
      </c>
      <c r="K11305">
        <v>2310313666</v>
      </c>
      <c r="L11305">
        <v>2310313666</v>
      </c>
      <c r="M11305" t="s">
        <v>28168</v>
      </c>
      <c r="N11305" t="s">
        <v>25247</v>
      </c>
      <c r="O11305" t="s">
        <v>28169</v>
      </c>
      <c r="P11305">
        <v>54250</v>
      </c>
      <c r="Q11305" t="str">
        <f>"40.596120"</f>
        <v>40.596120</v>
      </c>
      <c r="R11305" t="str">
        <f>"22.974488"</f>
        <v>22.974488</v>
      </c>
      <c r="S11305" t="s">
        <v>26</v>
      </c>
    </row>
    <row r="11306" spans="1:19" x14ac:dyDescent="0.3">
      <c r="A11306" t="s">
        <v>25190</v>
      </c>
      <c r="B11306" t="s">
        <v>27598</v>
      </c>
      <c r="C11306" t="s">
        <v>28181</v>
      </c>
      <c r="D11306" t="s">
        <v>25197</v>
      </c>
      <c r="E11306" t="s">
        <v>25197</v>
      </c>
      <c r="F11306" t="s">
        <v>25197</v>
      </c>
      <c r="G11306" t="s">
        <v>25250</v>
      </c>
      <c r="H11306" t="s">
        <v>859</v>
      </c>
      <c r="I11306" t="s">
        <v>860</v>
      </c>
      <c r="J11306" t="str">
        <f>"9190580"</f>
        <v>9190580</v>
      </c>
      <c r="K11306">
        <v>2310411738</v>
      </c>
      <c r="L11306">
        <v>2310411738</v>
      </c>
      <c r="M11306" t="s">
        <v>28182</v>
      </c>
      <c r="N11306" t="s">
        <v>25247</v>
      </c>
      <c r="O11306" t="s">
        <v>28183</v>
      </c>
      <c r="P11306">
        <v>54646</v>
      </c>
      <c r="Q11306" t="str">
        <f>"40.595633"</f>
        <v>40.595633</v>
      </c>
      <c r="R11306" t="str">
        <f>"22.957683"</f>
        <v>22.957683</v>
      </c>
      <c r="S11306" t="s">
        <v>26</v>
      </c>
    </row>
    <row r="11307" spans="1:19" x14ac:dyDescent="0.3">
      <c r="A11307" t="s">
        <v>25190</v>
      </c>
      <c r="B11307" t="s">
        <v>27598</v>
      </c>
      <c r="C11307" t="s">
        <v>28190</v>
      </c>
      <c r="D11307" t="s">
        <v>25197</v>
      </c>
      <c r="E11307" t="s">
        <v>25197</v>
      </c>
      <c r="F11307" t="s">
        <v>25197</v>
      </c>
      <c r="G11307" t="s">
        <v>25250</v>
      </c>
      <c r="H11307" t="s">
        <v>859</v>
      </c>
      <c r="I11307" t="s">
        <v>860</v>
      </c>
      <c r="J11307" t="str">
        <f>"9190744"</f>
        <v>9190744</v>
      </c>
      <c r="K11307">
        <v>2310327881</v>
      </c>
      <c r="L11307">
        <v>2310327881</v>
      </c>
      <c r="M11307" t="s">
        <v>28191</v>
      </c>
      <c r="N11307" t="s">
        <v>25247</v>
      </c>
      <c r="O11307" t="s">
        <v>27800</v>
      </c>
      <c r="P11307">
        <v>54249</v>
      </c>
      <c r="Q11307" t="str">
        <f>"40.601484"</f>
        <v>40.601484</v>
      </c>
      <c r="R11307" t="str">
        <f>"22.968830"</f>
        <v>22.968830</v>
      </c>
      <c r="S11307" t="s">
        <v>26</v>
      </c>
    </row>
    <row r="11308" spans="1:19" x14ac:dyDescent="0.3">
      <c r="A11308" t="s">
        <v>25190</v>
      </c>
      <c r="B11308" t="s">
        <v>27598</v>
      </c>
      <c r="C11308" t="s">
        <v>28208</v>
      </c>
      <c r="D11308" t="s">
        <v>25197</v>
      </c>
      <c r="E11308" t="s">
        <v>25299</v>
      </c>
      <c r="F11308" t="s">
        <v>25299</v>
      </c>
      <c r="G11308" t="s">
        <v>25299</v>
      </c>
      <c r="H11308" t="s">
        <v>859</v>
      </c>
      <c r="I11308" t="s">
        <v>860</v>
      </c>
      <c r="J11308" t="str">
        <f>"9190670"</f>
        <v>9190670</v>
      </c>
      <c r="K11308">
        <v>2310447961</v>
      </c>
      <c r="L11308">
        <v>2310447961</v>
      </c>
      <c r="M11308" t="s">
        <v>28209</v>
      </c>
      <c r="N11308" t="s">
        <v>25331</v>
      </c>
      <c r="O11308" t="s">
        <v>27734</v>
      </c>
      <c r="P11308">
        <v>55132</v>
      </c>
      <c r="Q11308" t="str">
        <f>"40.576560"</f>
        <v>40.576560</v>
      </c>
      <c r="R11308" t="str">
        <f>"22.963432"</f>
        <v>22.963432</v>
      </c>
      <c r="S11308" t="s">
        <v>26</v>
      </c>
    </row>
    <row r="11309" spans="1:19" x14ac:dyDescent="0.3">
      <c r="A11309" t="s">
        <v>25190</v>
      </c>
      <c r="B11309" t="s">
        <v>27598</v>
      </c>
      <c r="C11309" t="s">
        <v>28212</v>
      </c>
      <c r="D11309" t="s">
        <v>25197</v>
      </c>
      <c r="E11309" t="s">
        <v>25197</v>
      </c>
      <c r="F11309" t="s">
        <v>25197</v>
      </c>
      <c r="G11309" t="s">
        <v>25250</v>
      </c>
      <c r="H11309" t="s">
        <v>859</v>
      </c>
      <c r="I11309" t="s">
        <v>860</v>
      </c>
      <c r="J11309" t="str">
        <f>"9190563"</f>
        <v>9190563</v>
      </c>
      <c r="K11309">
        <v>2310825743</v>
      </c>
      <c r="L11309">
        <v>2310825743</v>
      </c>
      <c r="M11309" t="s">
        <v>28213</v>
      </c>
      <c r="N11309" t="s">
        <v>25247</v>
      </c>
      <c r="O11309" t="s">
        <v>27663</v>
      </c>
      <c r="P11309">
        <v>54248</v>
      </c>
      <c r="Q11309" t="str">
        <f>"40.603675"</f>
        <v>40.603675</v>
      </c>
      <c r="R11309" t="str">
        <f>"22.958572"</f>
        <v>22.958572</v>
      </c>
      <c r="S11309" t="s">
        <v>26</v>
      </c>
    </row>
    <row r="11310" spans="1:19" x14ac:dyDescent="0.3">
      <c r="A11310" t="s">
        <v>25190</v>
      </c>
      <c r="B11310" t="s">
        <v>27598</v>
      </c>
      <c r="C11310" t="s">
        <v>28214</v>
      </c>
      <c r="D11310" t="s">
        <v>25197</v>
      </c>
      <c r="E11310" t="s">
        <v>25197</v>
      </c>
      <c r="F11310" t="s">
        <v>25197</v>
      </c>
      <c r="G11310" t="s">
        <v>25250</v>
      </c>
      <c r="H11310" t="s">
        <v>859</v>
      </c>
      <c r="I11310" t="s">
        <v>860</v>
      </c>
      <c r="J11310" t="str">
        <f>"9190569"</f>
        <v>9190569</v>
      </c>
      <c r="K11310">
        <v>2310836695</v>
      </c>
      <c r="L11310">
        <v>2310836695</v>
      </c>
      <c r="M11310" t="s">
        <v>28215</v>
      </c>
      <c r="N11310" t="s">
        <v>25247</v>
      </c>
      <c r="O11310" t="s">
        <v>28216</v>
      </c>
      <c r="P11310">
        <v>54642</v>
      </c>
      <c r="Q11310" t="str">
        <f>"40.609072"</f>
        <v>40.609072</v>
      </c>
      <c r="R11310" t="str">
        <f>"22.957306"</f>
        <v>22.957306</v>
      </c>
      <c r="S11310" t="s">
        <v>26</v>
      </c>
    </row>
    <row r="11311" spans="1:19" x14ac:dyDescent="0.3">
      <c r="A11311" t="s">
        <v>25190</v>
      </c>
      <c r="B11311" t="s">
        <v>27598</v>
      </c>
      <c r="C11311" t="s">
        <v>28217</v>
      </c>
      <c r="D11311" t="s">
        <v>25197</v>
      </c>
      <c r="E11311" t="s">
        <v>25197</v>
      </c>
      <c r="F11311" t="s">
        <v>25197</v>
      </c>
      <c r="G11311" t="s">
        <v>25250</v>
      </c>
      <c r="H11311" t="s">
        <v>859</v>
      </c>
      <c r="I11311" t="s">
        <v>860</v>
      </c>
      <c r="J11311" t="str">
        <f>"9190672"</f>
        <v>9190672</v>
      </c>
      <c r="K11311">
        <v>2310304344</v>
      </c>
      <c r="M11311" t="s">
        <v>28218</v>
      </c>
      <c r="N11311" t="s">
        <v>25247</v>
      </c>
      <c r="O11311" t="s">
        <v>28219</v>
      </c>
      <c r="P11311">
        <v>54249</v>
      </c>
      <c r="Q11311" t="str">
        <f>"40.601427"</f>
        <v>40.601427</v>
      </c>
      <c r="R11311" t="str">
        <f>"22.969238"</f>
        <v>22.969238</v>
      </c>
      <c r="S11311" t="s">
        <v>26</v>
      </c>
    </row>
    <row r="11312" spans="1:19" x14ac:dyDescent="0.3">
      <c r="A11312" t="s">
        <v>25190</v>
      </c>
      <c r="B11312" t="s">
        <v>27598</v>
      </c>
      <c r="C11312" t="s">
        <v>28220</v>
      </c>
      <c r="D11312" t="s">
        <v>25197</v>
      </c>
      <c r="E11312" t="s">
        <v>25197</v>
      </c>
      <c r="F11312" t="s">
        <v>25197</v>
      </c>
      <c r="G11312" t="s">
        <v>25250</v>
      </c>
      <c r="H11312" t="s">
        <v>859</v>
      </c>
      <c r="I11312" t="s">
        <v>860</v>
      </c>
      <c r="J11312" t="str">
        <f>"9190576"</f>
        <v>9190576</v>
      </c>
      <c r="K11312">
        <v>2310825743</v>
      </c>
      <c r="L11312">
        <v>2310825743</v>
      </c>
      <c r="M11312" t="s">
        <v>28221</v>
      </c>
      <c r="N11312" t="s">
        <v>25247</v>
      </c>
      <c r="O11312" t="s">
        <v>27663</v>
      </c>
      <c r="P11312">
        <v>54248</v>
      </c>
      <c r="Q11312" t="str">
        <f>"40.603667"</f>
        <v>40.603667</v>
      </c>
      <c r="R11312" t="str">
        <f>"22.958578"</f>
        <v>22.958578</v>
      </c>
      <c r="S11312" t="s">
        <v>26</v>
      </c>
    </row>
    <row r="11313" spans="1:19" x14ac:dyDescent="0.3">
      <c r="A11313" t="s">
        <v>25190</v>
      </c>
      <c r="B11313" t="s">
        <v>27598</v>
      </c>
      <c r="C11313" t="s">
        <v>28222</v>
      </c>
      <c r="D11313" t="s">
        <v>25197</v>
      </c>
      <c r="E11313" t="s">
        <v>25197</v>
      </c>
      <c r="F11313" t="s">
        <v>25197</v>
      </c>
      <c r="G11313" t="s">
        <v>25250</v>
      </c>
      <c r="H11313" t="s">
        <v>859</v>
      </c>
      <c r="I11313" t="s">
        <v>860</v>
      </c>
      <c r="J11313" t="str">
        <f>"9190766"</f>
        <v>9190766</v>
      </c>
      <c r="K11313">
        <v>2310846234</v>
      </c>
      <c r="L11313">
        <v>2310846234</v>
      </c>
      <c r="M11313" t="s">
        <v>28223</v>
      </c>
      <c r="N11313" t="s">
        <v>25247</v>
      </c>
      <c r="O11313" t="s">
        <v>28224</v>
      </c>
      <c r="P11313">
        <v>54643</v>
      </c>
      <c r="Q11313" t="str">
        <f>"40.607070"</f>
        <v>40.607070</v>
      </c>
      <c r="R11313" t="str">
        <f>"22.952672"</f>
        <v>22.952672</v>
      </c>
      <c r="S11313" t="s">
        <v>26</v>
      </c>
    </row>
    <row r="11314" spans="1:19" x14ac:dyDescent="0.3">
      <c r="A11314" t="s">
        <v>25190</v>
      </c>
      <c r="B11314" t="s">
        <v>27598</v>
      </c>
      <c r="C11314" t="s">
        <v>28229</v>
      </c>
      <c r="D11314" t="s">
        <v>25197</v>
      </c>
      <c r="E11314" t="s">
        <v>25197</v>
      </c>
      <c r="F11314" t="s">
        <v>25197</v>
      </c>
      <c r="G11314" t="s">
        <v>25250</v>
      </c>
      <c r="H11314" t="s">
        <v>859</v>
      </c>
      <c r="I11314" t="s">
        <v>860</v>
      </c>
      <c r="J11314" t="str">
        <f>"9190002"</f>
        <v>9190002</v>
      </c>
      <c r="K11314">
        <v>2310411262</v>
      </c>
      <c r="L11314">
        <v>2310411262</v>
      </c>
      <c r="M11314" t="s">
        <v>28230</v>
      </c>
      <c r="N11314" t="s">
        <v>25247</v>
      </c>
      <c r="O11314" t="s">
        <v>28231</v>
      </c>
      <c r="P11314">
        <v>54248</v>
      </c>
      <c r="Q11314" t="str">
        <f>"40.593788"</f>
        <v>40.593788</v>
      </c>
      <c r="R11314" t="str">
        <f>"22.959440"</f>
        <v>22.959440</v>
      </c>
      <c r="S11314" t="s">
        <v>26</v>
      </c>
    </row>
    <row r="11315" spans="1:19" x14ac:dyDescent="0.3">
      <c r="A11315" t="s">
        <v>25190</v>
      </c>
      <c r="B11315" t="s">
        <v>27598</v>
      </c>
      <c r="C11315" t="s">
        <v>28232</v>
      </c>
      <c r="D11315" t="s">
        <v>25197</v>
      </c>
      <c r="E11315" t="s">
        <v>25264</v>
      </c>
      <c r="F11315" t="s">
        <v>25400</v>
      </c>
      <c r="G11315" t="s">
        <v>25400</v>
      </c>
      <c r="H11315" t="s">
        <v>859</v>
      </c>
      <c r="I11315" t="s">
        <v>16041</v>
      </c>
      <c r="J11315" t="str">
        <f>"9190494"</f>
        <v>9190494</v>
      </c>
      <c r="K11315">
        <v>2310346217</v>
      </c>
      <c r="L11315">
        <v>2310346217</v>
      </c>
      <c r="M11315" t="s">
        <v>28233</v>
      </c>
      <c r="N11315" t="s">
        <v>25497</v>
      </c>
      <c r="O11315" t="s">
        <v>28234</v>
      </c>
      <c r="P11315">
        <v>55236</v>
      </c>
      <c r="Q11315" t="str">
        <f>"40.593836"</f>
        <v>40.593836</v>
      </c>
      <c r="R11315" t="str">
        <f>"23.015474"</f>
        <v>23.015474</v>
      </c>
      <c r="S11315" t="s">
        <v>26</v>
      </c>
    </row>
    <row r="11316" spans="1:19" x14ac:dyDescent="0.3">
      <c r="A11316" t="s">
        <v>25190</v>
      </c>
      <c r="B11316" t="s">
        <v>27598</v>
      </c>
      <c r="C11316" t="s">
        <v>28238</v>
      </c>
      <c r="D11316" t="s">
        <v>25197</v>
      </c>
      <c r="E11316" t="s">
        <v>25264</v>
      </c>
      <c r="F11316" t="s">
        <v>25400</v>
      </c>
      <c r="G11316" t="s">
        <v>25400</v>
      </c>
      <c r="H11316" t="s">
        <v>859</v>
      </c>
      <c r="I11316" t="s">
        <v>860</v>
      </c>
      <c r="J11316" t="str">
        <f>"9190497"</f>
        <v>9190497</v>
      </c>
      <c r="K11316">
        <v>2310331167</v>
      </c>
      <c r="L11316">
        <v>2310331167</v>
      </c>
      <c r="M11316" t="s">
        <v>28239</v>
      </c>
      <c r="N11316" t="s">
        <v>25497</v>
      </c>
      <c r="O11316" t="s">
        <v>28234</v>
      </c>
      <c r="P11316">
        <v>55236</v>
      </c>
      <c r="Q11316" t="str">
        <f>"40.593836"</f>
        <v>40.593836</v>
      </c>
      <c r="R11316" t="str">
        <f>"23.015474"</f>
        <v>23.015474</v>
      </c>
      <c r="S11316" t="s">
        <v>26</v>
      </c>
    </row>
    <row r="11317" spans="1:19" x14ac:dyDescent="0.3">
      <c r="A11317" t="s">
        <v>25190</v>
      </c>
      <c r="B11317" t="s">
        <v>27598</v>
      </c>
      <c r="C11317" t="s">
        <v>28240</v>
      </c>
      <c r="D11317" t="s">
        <v>25197</v>
      </c>
      <c r="E11317" t="s">
        <v>25197</v>
      </c>
      <c r="F11317" t="s">
        <v>25197</v>
      </c>
      <c r="G11317" t="s">
        <v>25250</v>
      </c>
      <c r="H11317" t="s">
        <v>859</v>
      </c>
      <c r="I11317" t="s">
        <v>860</v>
      </c>
      <c r="J11317" t="str">
        <f>"9190010"</f>
        <v>9190010</v>
      </c>
      <c r="K11317">
        <v>2310835605</v>
      </c>
      <c r="L11317">
        <v>2310835605</v>
      </c>
      <c r="M11317" t="s">
        <v>28241</v>
      </c>
      <c r="N11317" t="s">
        <v>25247</v>
      </c>
      <c r="O11317" t="s">
        <v>27766</v>
      </c>
      <c r="P11317">
        <v>54641</v>
      </c>
      <c r="Q11317" t="str">
        <f>"40.614031"</f>
        <v>40.614031</v>
      </c>
      <c r="R11317" t="str">
        <f>"22.957876"</f>
        <v>22.957876</v>
      </c>
      <c r="S11317" t="s">
        <v>26</v>
      </c>
    </row>
    <row r="11318" spans="1:19" x14ac:dyDescent="0.3">
      <c r="A11318" t="s">
        <v>25190</v>
      </c>
      <c r="B11318" t="s">
        <v>27598</v>
      </c>
      <c r="C11318" t="s">
        <v>28242</v>
      </c>
      <c r="D11318" t="s">
        <v>25197</v>
      </c>
      <c r="E11318" t="s">
        <v>25197</v>
      </c>
      <c r="F11318" t="s">
        <v>25197</v>
      </c>
      <c r="G11318" t="s">
        <v>25250</v>
      </c>
      <c r="H11318" t="s">
        <v>859</v>
      </c>
      <c r="I11318" t="s">
        <v>860</v>
      </c>
      <c r="J11318" t="str">
        <f>"9190427"</f>
        <v>9190427</v>
      </c>
      <c r="K11318">
        <v>2310839443</v>
      </c>
      <c r="L11318">
        <v>2310839443</v>
      </c>
      <c r="M11318" t="s">
        <v>28243</v>
      </c>
      <c r="N11318" t="s">
        <v>27742</v>
      </c>
      <c r="O11318" t="s">
        <v>28244</v>
      </c>
      <c r="P11318">
        <v>54642</v>
      </c>
      <c r="Q11318" t="str">
        <f>"40.611199"</f>
        <v>40.611199</v>
      </c>
      <c r="R11318" t="str">
        <f>"22.958736"</f>
        <v>22.958736</v>
      </c>
      <c r="S11318" t="s">
        <v>26</v>
      </c>
    </row>
    <row r="11319" spans="1:19" x14ac:dyDescent="0.3">
      <c r="A11319" t="s">
        <v>25190</v>
      </c>
      <c r="B11319" t="s">
        <v>27598</v>
      </c>
      <c r="C11319" t="s">
        <v>28245</v>
      </c>
      <c r="D11319" t="s">
        <v>25197</v>
      </c>
      <c r="E11319" t="s">
        <v>25197</v>
      </c>
      <c r="F11319" t="s">
        <v>25197</v>
      </c>
      <c r="G11319" t="s">
        <v>25250</v>
      </c>
      <c r="H11319" t="s">
        <v>859</v>
      </c>
      <c r="I11319" t="s">
        <v>860</v>
      </c>
      <c r="J11319" t="str">
        <f>"9190429"</f>
        <v>9190429</v>
      </c>
      <c r="K11319">
        <v>2310834134</v>
      </c>
      <c r="L11319">
        <v>2310828180</v>
      </c>
      <c r="M11319" t="s">
        <v>28246</v>
      </c>
      <c r="N11319" t="s">
        <v>25247</v>
      </c>
      <c r="O11319" t="s">
        <v>28247</v>
      </c>
      <c r="P11319">
        <v>54644</v>
      </c>
      <c r="Q11319" t="str">
        <f>"40.607432"</f>
        <v>40.607432</v>
      </c>
      <c r="R11319" t="str">
        <f>"22.958773"</f>
        <v>22.958773</v>
      </c>
      <c r="S11319" t="s">
        <v>26</v>
      </c>
    </row>
    <row r="11320" spans="1:19" x14ac:dyDescent="0.3">
      <c r="A11320" t="s">
        <v>25190</v>
      </c>
      <c r="B11320" t="s">
        <v>27598</v>
      </c>
      <c r="C11320" t="s">
        <v>28248</v>
      </c>
      <c r="D11320" t="s">
        <v>25197</v>
      </c>
      <c r="E11320" t="s">
        <v>25197</v>
      </c>
      <c r="F11320" t="s">
        <v>25197</v>
      </c>
      <c r="G11320" t="s">
        <v>25250</v>
      </c>
      <c r="H11320" t="s">
        <v>859</v>
      </c>
      <c r="I11320" t="s">
        <v>860</v>
      </c>
      <c r="J11320" t="str">
        <f>"9190434"</f>
        <v>9190434</v>
      </c>
      <c r="K11320">
        <v>2316017970</v>
      </c>
      <c r="M11320" t="s">
        <v>28249</v>
      </c>
      <c r="N11320" t="s">
        <v>25247</v>
      </c>
      <c r="O11320" t="s">
        <v>28250</v>
      </c>
      <c r="P11320">
        <v>54640</v>
      </c>
      <c r="Q11320" t="str">
        <f>"40.618763"</f>
        <v>40.618763</v>
      </c>
      <c r="R11320" t="str">
        <f>"22.957360"</f>
        <v>22.957360</v>
      </c>
      <c r="S11320" t="s">
        <v>26</v>
      </c>
    </row>
    <row r="11321" spans="1:19" x14ac:dyDescent="0.3">
      <c r="A11321" t="s">
        <v>25190</v>
      </c>
      <c r="B11321" t="s">
        <v>27598</v>
      </c>
      <c r="C11321" t="s">
        <v>28251</v>
      </c>
      <c r="D11321" t="s">
        <v>25197</v>
      </c>
      <c r="E11321" t="s">
        <v>25198</v>
      </c>
      <c r="F11321" t="s">
        <v>25317</v>
      </c>
      <c r="G11321" t="s">
        <v>25317</v>
      </c>
      <c r="H11321" t="s">
        <v>859</v>
      </c>
      <c r="I11321" t="s">
        <v>860</v>
      </c>
      <c r="J11321" t="str">
        <f>"9190611"</f>
        <v>9190611</v>
      </c>
      <c r="K11321">
        <v>2396022946</v>
      </c>
      <c r="L11321">
        <v>2396022946</v>
      </c>
      <c r="M11321" t="s">
        <v>28252</v>
      </c>
      <c r="N11321" t="s">
        <v>25465</v>
      </c>
      <c r="O11321" t="s">
        <v>25465</v>
      </c>
      <c r="P11321">
        <v>57006</v>
      </c>
      <c r="Q11321" t="str">
        <f>"40.480024"</f>
        <v>40.480024</v>
      </c>
      <c r="R11321" t="str">
        <f>"23.138470"</f>
        <v>23.138470</v>
      </c>
      <c r="S11321" t="s">
        <v>26</v>
      </c>
    </row>
    <row r="11322" spans="1:19" x14ac:dyDescent="0.3">
      <c r="A11322" t="s">
        <v>25190</v>
      </c>
      <c r="B11322" t="s">
        <v>27598</v>
      </c>
      <c r="C11322" t="s">
        <v>28260</v>
      </c>
      <c r="D11322" t="s">
        <v>25197</v>
      </c>
      <c r="E11322" t="s">
        <v>25197</v>
      </c>
      <c r="F11322" t="s">
        <v>25197</v>
      </c>
      <c r="G11322" t="s">
        <v>25250</v>
      </c>
      <c r="H11322" t="s">
        <v>859</v>
      </c>
      <c r="I11322" t="s">
        <v>860</v>
      </c>
      <c r="J11322" t="str">
        <f>"9190436"</f>
        <v>9190436</v>
      </c>
      <c r="K11322">
        <v>2310313222</v>
      </c>
      <c r="M11322" t="s">
        <v>28261</v>
      </c>
      <c r="N11322" t="s">
        <v>25247</v>
      </c>
      <c r="O11322" t="s">
        <v>28262</v>
      </c>
      <c r="P11322">
        <v>54249</v>
      </c>
      <c r="Q11322" t="str">
        <f>"40.605370"</f>
        <v>40.605370</v>
      </c>
      <c r="R11322" t="str">
        <f>"22.965812"</f>
        <v>22.965812</v>
      </c>
      <c r="S11322" t="s">
        <v>26</v>
      </c>
    </row>
    <row r="11323" spans="1:19" x14ac:dyDescent="0.3">
      <c r="A11323" t="s">
        <v>25190</v>
      </c>
      <c r="B11323" t="s">
        <v>27598</v>
      </c>
      <c r="C11323" t="s">
        <v>28263</v>
      </c>
      <c r="D11323" t="s">
        <v>25197</v>
      </c>
      <c r="E11323" t="s">
        <v>25197</v>
      </c>
      <c r="F11323" t="s">
        <v>25197</v>
      </c>
      <c r="G11323" t="s">
        <v>25250</v>
      </c>
      <c r="H11323" t="s">
        <v>859</v>
      </c>
      <c r="I11323" t="s">
        <v>860</v>
      </c>
      <c r="J11323" t="str">
        <f>"9190437"</f>
        <v>9190437</v>
      </c>
      <c r="K11323">
        <v>2310312700</v>
      </c>
      <c r="L11323">
        <v>2310312700</v>
      </c>
      <c r="M11323" t="s">
        <v>28264</v>
      </c>
      <c r="N11323" t="s">
        <v>25247</v>
      </c>
      <c r="O11323" t="s">
        <v>28265</v>
      </c>
      <c r="P11323">
        <v>54250</v>
      </c>
      <c r="Q11323" t="str">
        <f>"40.601762"</f>
        <v>40.601762</v>
      </c>
      <c r="R11323" t="str">
        <f>"22.970553"</f>
        <v>22.970553</v>
      </c>
      <c r="S11323" t="s">
        <v>26</v>
      </c>
    </row>
    <row r="11324" spans="1:19" x14ac:dyDescent="0.3">
      <c r="A11324" t="s">
        <v>25190</v>
      </c>
      <c r="B11324" t="s">
        <v>27598</v>
      </c>
      <c r="C11324" t="s">
        <v>28266</v>
      </c>
      <c r="D11324" t="s">
        <v>25197</v>
      </c>
      <c r="E11324" t="s">
        <v>25197</v>
      </c>
      <c r="F11324" t="s">
        <v>25197</v>
      </c>
      <c r="G11324" t="s">
        <v>25250</v>
      </c>
      <c r="H11324" t="s">
        <v>859</v>
      </c>
      <c r="I11324" t="s">
        <v>860</v>
      </c>
      <c r="J11324" t="str">
        <f>"9190158"</f>
        <v>9190158</v>
      </c>
      <c r="K11324">
        <v>2310475875</v>
      </c>
      <c r="L11324">
        <v>2310475875</v>
      </c>
      <c r="M11324" t="s">
        <v>28267</v>
      </c>
      <c r="N11324" t="s">
        <v>25247</v>
      </c>
      <c r="O11324" t="s">
        <v>28268</v>
      </c>
      <c r="P11324">
        <v>55536</v>
      </c>
      <c r="Q11324" t="str">
        <f>"40.631035"</f>
        <v>40.631035</v>
      </c>
      <c r="R11324" t="str">
        <f>"22.953409"</f>
        <v>22.953409</v>
      </c>
      <c r="S11324" t="s">
        <v>26</v>
      </c>
    </row>
    <row r="11325" spans="1:19" x14ac:dyDescent="0.3">
      <c r="A11325" t="s">
        <v>25190</v>
      </c>
      <c r="B11325" t="s">
        <v>27598</v>
      </c>
      <c r="C11325" t="s">
        <v>28269</v>
      </c>
      <c r="D11325" t="s">
        <v>25197</v>
      </c>
      <c r="E11325" t="s">
        <v>25197</v>
      </c>
      <c r="F11325" t="s">
        <v>25197</v>
      </c>
      <c r="G11325" t="s">
        <v>25250</v>
      </c>
      <c r="H11325" t="s">
        <v>859</v>
      </c>
      <c r="I11325" t="s">
        <v>860</v>
      </c>
      <c r="J11325" t="str">
        <f>"9190573"</f>
        <v>9190573</v>
      </c>
      <c r="K11325">
        <v>2316017970</v>
      </c>
      <c r="M11325" t="s">
        <v>28270</v>
      </c>
      <c r="N11325" t="s">
        <v>25247</v>
      </c>
      <c r="O11325" t="s">
        <v>28271</v>
      </c>
      <c r="P11325">
        <v>54640</v>
      </c>
      <c r="Q11325" t="str">
        <f>"40.618746"</f>
        <v>40.618746</v>
      </c>
      <c r="R11325" t="str">
        <f>"22.957341"</f>
        <v>22.957341</v>
      </c>
      <c r="S11325" t="s">
        <v>26</v>
      </c>
    </row>
    <row r="11326" spans="1:19" x14ac:dyDescent="0.3">
      <c r="A11326" t="s">
        <v>25190</v>
      </c>
      <c r="B11326" t="s">
        <v>27598</v>
      </c>
      <c r="C11326" t="s">
        <v>28272</v>
      </c>
      <c r="D11326" t="s">
        <v>25197</v>
      </c>
      <c r="E11326" t="s">
        <v>25197</v>
      </c>
      <c r="F11326" t="s">
        <v>25197</v>
      </c>
      <c r="G11326" t="s">
        <v>25250</v>
      </c>
      <c r="H11326" t="s">
        <v>859</v>
      </c>
      <c r="I11326" t="s">
        <v>860</v>
      </c>
      <c r="J11326" t="str">
        <f>"9190565"</f>
        <v>9190565</v>
      </c>
      <c r="K11326">
        <v>2310839773</v>
      </c>
      <c r="L11326">
        <v>2310868587</v>
      </c>
      <c r="M11326" t="s">
        <v>28273</v>
      </c>
      <c r="N11326" t="s">
        <v>25247</v>
      </c>
      <c r="O11326" t="s">
        <v>28274</v>
      </c>
      <c r="P11326">
        <v>54645</v>
      </c>
      <c r="Q11326" t="str">
        <f>"40.599026"</f>
        <v>40.599026</v>
      </c>
      <c r="R11326" t="str">
        <f>"22.950631"</f>
        <v>22.950631</v>
      </c>
      <c r="S11326" t="s">
        <v>26</v>
      </c>
    </row>
    <row r="11327" spans="1:19" x14ac:dyDescent="0.3">
      <c r="A11327" t="s">
        <v>25190</v>
      </c>
      <c r="B11327" t="s">
        <v>27598</v>
      </c>
      <c r="C11327" t="s">
        <v>28275</v>
      </c>
      <c r="D11327" t="s">
        <v>25197</v>
      </c>
      <c r="E11327" t="s">
        <v>25197</v>
      </c>
      <c r="F11327" t="s">
        <v>25197</v>
      </c>
      <c r="G11327" t="s">
        <v>25250</v>
      </c>
      <c r="H11327" t="s">
        <v>859</v>
      </c>
      <c r="I11327" t="s">
        <v>860</v>
      </c>
      <c r="J11327" t="str">
        <f>"9190742"</f>
        <v>9190742</v>
      </c>
      <c r="K11327">
        <v>2310313376</v>
      </c>
      <c r="L11327">
        <v>2310843638</v>
      </c>
      <c r="M11327" t="s">
        <v>28276</v>
      </c>
      <c r="N11327" t="s">
        <v>25247</v>
      </c>
      <c r="O11327" t="s">
        <v>28277</v>
      </c>
      <c r="P11327">
        <v>54248</v>
      </c>
      <c r="Q11327" t="str">
        <f>"40.597778"</f>
        <v>40.597778</v>
      </c>
      <c r="R11327" t="str">
        <f>"22.958711"</f>
        <v>22.958711</v>
      </c>
      <c r="S11327" t="s">
        <v>26</v>
      </c>
    </row>
    <row r="11328" spans="1:19" x14ac:dyDescent="0.3">
      <c r="A11328" t="s">
        <v>25190</v>
      </c>
      <c r="B11328" t="s">
        <v>27598</v>
      </c>
      <c r="C11328" t="s">
        <v>28278</v>
      </c>
      <c r="D11328" t="s">
        <v>25197</v>
      </c>
      <c r="E11328" t="s">
        <v>25293</v>
      </c>
      <c r="F11328" t="s">
        <v>25433</v>
      </c>
      <c r="G11328" t="s">
        <v>26479</v>
      </c>
      <c r="H11328" t="s">
        <v>859</v>
      </c>
      <c r="I11328" t="s">
        <v>860</v>
      </c>
      <c r="J11328" t="str">
        <f>"9190752"</f>
        <v>9190752</v>
      </c>
      <c r="K11328">
        <v>2392057004</v>
      </c>
      <c r="L11328">
        <v>2392057004</v>
      </c>
      <c r="M11328" t="s">
        <v>28279</v>
      </c>
      <c r="N11328" t="s">
        <v>26482</v>
      </c>
      <c r="O11328" t="s">
        <v>26482</v>
      </c>
      <c r="P11328">
        <v>57004</v>
      </c>
      <c r="Q11328" t="str">
        <f>"40.497752"</f>
        <v>40.497752</v>
      </c>
      <c r="R11328" t="str">
        <f>"22.835253"</f>
        <v>22.835253</v>
      </c>
      <c r="S11328" t="s">
        <v>26</v>
      </c>
    </row>
    <row r="11329" spans="1:19" x14ac:dyDescent="0.3">
      <c r="A11329" t="s">
        <v>25190</v>
      </c>
      <c r="B11329" t="s">
        <v>27598</v>
      </c>
      <c r="C11329" t="s">
        <v>28312</v>
      </c>
      <c r="D11329" t="s">
        <v>25197</v>
      </c>
      <c r="E11329" t="s">
        <v>25198</v>
      </c>
      <c r="F11329" t="s">
        <v>25323</v>
      </c>
      <c r="G11329" t="s">
        <v>28177</v>
      </c>
      <c r="H11329" t="s">
        <v>859</v>
      </c>
      <c r="I11329" t="s">
        <v>860</v>
      </c>
      <c r="J11329" t="str">
        <f>"9190700"</f>
        <v>9190700</v>
      </c>
      <c r="K11329">
        <v>2392091404</v>
      </c>
      <c r="L11329">
        <v>2392091404</v>
      </c>
      <c r="M11329" t="s">
        <v>28313</v>
      </c>
      <c r="N11329" t="s">
        <v>28180</v>
      </c>
      <c r="O11329" t="s">
        <v>28180</v>
      </c>
      <c r="P11329">
        <v>57500</v>
      </c>
      <c r="Q11329" t="str">
        <f>"40.427102"</f>
        <v>40.427102</v>
      </c>
      <c r="R11329" t="str">
        <f>"23.023869"</f>
        <v>23.023869</v>
      </c>
      <c r="S11329" t="s">
        <v>26</v>
      </c>
    </row>
    <row r="11330" spans="1:19" x14ac:dyDescent="0.3">
      <c r="A11330" t="s">
        <v>25190</v>
      </c>
      <c r="B11330" t="s">
        <v>27598</v>
      </c>
      <c r="C11330" t="s">
        <v>28314</v>
      </c>
      <c r="D11330" t="s">
        <v>25197</v>
      </c>
      <c r="E11330" t="s">
        <v>25198</v>
      </c>
      <c r="F11330" t="s">
        <v>25317</v>
      </c>
      <c r="G11330" t="s">
        <v>25317</v>
      </c>
      <c r="H11330" t="s">
        <v>859</v>
      </c>
      <c r="I11330" t="s">
        <v>860</v>
      </c>
      <c r="J11330" t="str">
        <f>"9190938"</f>
        <v>9190938</v>
      </c>
      <c r="K11330">
        <v>2396022715</v>
      </c>
      <c r="L11330">
        <v>2396022715</v>
      </c>
      <c r="M11330" t="s">
        <v>28315</v>
      </c>
      <c r="N11330" t="s">
        <v>28316</v>
      </c>
      <c r="O11330" t="s">
        <v>28317</v>
      </c>
      <c r="P11330">
        <v>57006</v>
      </c>
      <c r="Q11330" t="str">
        <f>"40.514790"</f>
        <v>40.514790</v>
      </c>
      <c r="R11330" t="str">
        <f>"23.109192"</f>
        <v>23.109192</v>
      </c>
      <c r="S11330" t="s">
        <v>26</v>
      </c>
    </row>
    <row r="11331" spans="1:19" x14ac:dyDescent="0.3">
      <c r="A11331" t="s">
        <v>25190</v>
      </c>
      <c r="B11331" t="s">
        <v>27598</v>
      </c>
      <c r="C11331" t="s">
        <v>28318</v>
      </c>
      <c r="D11331" t="s">
        <v>25197</v>
      </c>
      <c r="E11331" t="s">
        <v>25293</v>
      </c>
      <c r="F11331" t="s">
        <v>25293</v>
      </c>
      <c r="G11331" t="s">
        <v>17334</v>
      </c>
      <c r="H11331" t="s">
        <v>859</v>
      </c>
      <c r="I11331" t="s">
        <v>860</v>
      </c>
      <c r="J11331" t="str">
        <f>"9190694"</f>
        <v>9190694</v>
      </c>
      <c r="K11331">
        <v>2392052263</v>
      </c>
      <c r="L11331">
        <v>2392052263</v>
      </c>
      <c r="M11331" t="s">
        <v>28319</v>
      </c>
      <c r="N11331" t="s">
        <v>8902</v>
      </c>
      <c r="O11331" t="s">
        <v>28320</v>
      </c>
      <c r="P11331">
        <v>57019</v>
      </c>
      <c r="Q11331" t="str">
        <f>"40.495639"</f>
        <v>40.495639</v>
      </c>
      <c r="R11331" t="str">
        <f>"22.871320"</f>
        <v>22.871320</v>
      </c>
      <c r="S11331" t="s">
        <v>26</v>
      </c>
    </row>
    <row r="11332" spans="1:19" x14ac:dyDescent="0.3">
      <c r="A11332" t="s">
        <v>25190</v>
      </c>
      <c r="B11332" t="s">
        <v>27598</v>
      </c>
      <c r="C11332" t="s">
        <v>28321</v>
      </c>
      <c r="D11332" t="s">
        <v>25197</v>
      </c>
      <c r="E11332" t="s">
        <v>25198</v>
      </c>
      <c r="F11332" t="s">
        <v>25317</v>
      </c>
      <c r="G11332" t="s">
        <v>25317</v>
      </c>
      <c r="H11332" t="s">
        <v>859</v>
      </c>
      <c r="I11332" t="s">
        <v>860</v>
      </c>
      <c r="J11332" t="str">
        <f>"9190342"</f>
        <v>9190342</v>
      </c>
      <c r="K11332">
        <v>2396023491</v>
      </c>
      <c r="L11332">
        <v>2396023491</v>
      </c>
      <c r="M11332" t="s">
        <v>28322</v>
      </c>
      <c r="N11332" t="s">
        <v>25465</v>
      </c>
      <c r="O11332" t="s">
        <v>25465</v>
      </c>
      <c r="P11332">
        <v>57006</v>
      </c>
      <c r="Q11332" t="str">
        <f>"40.478787"</f>
        <v>40.478787</v>
      </c>
      <c r="R11332" t="str">
        <f>"23.140477"</f>
        <v>23.140477</v>
      </c>
      <c r="S11332" t="s">
        <v>26</v>
      </c>
    </row>
    <row r="11333" spans="1:19" x14ac:dyDescent="0.3">
      <c r="A11333" t="s">
        <v>25190</v>
      </c>
      <c r="B11333" t="s">
        <v>27598</v>
      </c>
      <c r="C11333" t="s">
        <v>28323</v>
      </c>
      <c r="D11333" t="s">
        <v>25197</v>
      </c>
      <c r="E11333" t="s">
        <v>25293</v>
      </c>
      <c r="F11333" t="s">
        <v>25293</v>
      </c>
      <c r="G11333" t="s">
        <v>25664</v>
      </c>
      <c r="H11333" t="s">
        <v>859</v>
      </c>
      <c r="I11333" t="s">
        <v>860</v>
      </c>
      <c r="J11333" t="str">
        <f>"9190613"</f>
        <v>9190613</v>
      </c>
      <c r="K11333">
        <v>2392025992</v>
      </c>
      <c r="L11333">
        <v>2392025992</v>
      </c>
      <c r="M11333" t="s">
        <v>28324</v>
      </c>
      <c r="N11333" t="s">
        <v>25688</v>
      </c>
      <c r="O11333" t="s">
        <v>27704</v>
      </c>
      <c r="P11333">
        <v>57019</v>
      </c>
      <c r="Q11333" t="str">
        <f>"40.503859"</f>
        <v>40.503859</v>
      </c>
      <c r="R11333" t="str">
        <f>"22.927040"</f>
        <v>22.927040</v>
      </c>
      <c r="S11333" t="s">
        <v>26</v>
      </c>
    </row>
    <row r="11334" spans="1:19" x14ac:dyDescent="0.3">
      <c r="A11334" t="s">
        <v>25190</v>
      </c>
      <c r="B11334" t="s">
        <v>27598</v>
      </c>
      <c r="C11334" t="s">
        <v>28325</v>
      </c>
      <c r="D11334" t="s">
        <v>25197</v>
      </c>
      <c r="E11334" t="s">
        <v>25293</v>
      </c>
      <c r="F11334" t="s">
        <v>25294</v>
      </c>
      <c r="G11334" t="s">
        <v>25294</v>
      </c>
      <c r="H11334" t="s">
        <v>859</v>
      </c>
      <c r="I11334" t="s">
        <v>860</v>
      </c>
      <c r="J11334" t="str">
        <f>"9190347"</f>
        <v>9190347</v>
      </c>
      <c r="K11334">
        <v>2392044474</v>
      </c>
      <c r="L11334">
        <v>2392044474</v>
      </c>
      <c r="M11334" t="s">
        <v>28326</v>
      </c>
      <c r="N11334" t="s">
        <v>25297</v>
      </c>
      <c r="O11334" t="s">
        <v>28287</v>
      </c>
      <c r="P11334">
        <v>57500</v>
      </c>
      <c r="Q11334" t="str">
        <f>"40.424468"</f>
        <v>40.424468</v>
      </c>
      <c r="R11334" t="str">
        <f>"22.930485"</f>
        <v>22.930485</v>
      </c>
      <c r="S11334" t="s">
        <v>26</v>
      </c>
    </row>
    <row r="11335" spans="1:19" x14ac:dyDescent="0.3">
      <c r="A11335" t="s">
        <v>25190</v>
      </c>
      <c r="B11335" t="s">
        <v>27598</v>
      </c>
      <c r="C11335" t="s">
        <v>28327</v>
      </c>
      <c r="D11335" t="s">
        <v>25197</v>
      </c>
      <c r="E11335" t="s">
        <v>25293</v>
      </c>
      <c r="F11335" t="s">
        <v>25433</v>
      </c>
      <c r="G11335" t="s">
        <v>25434</v>
      </c>
      <c r="H11335" t="s">
        <v>859</v>
      </c>
      <c r="I11335" t="s">
        <v>860</v>
      </c>
      <c r="J11335" t="str">
        <f>"9190361"</f>
        <v>9190361</v>
      </c>
      <c r="K11335">
        <v>2392033111</v>
      </c>
      <c r="L11335">
        <v>2392033111</v>
      </c>
      <c r="M11335" t="s">
        <v>28328</v>
      </c>
      <c r="N11335" t="s">
        <v>25738</v>
      </c>
      <c r="O11335" t="s">
        <v>28329</v>
      </c>
      <c r="P11335">
        <v>57004</v>
      </c>
      <c r="Q11335" t="str">
        <f>"40.465125"</f>
        <v>40.465125</v>
      </c>
      <c r="R11335" t="str">
        <f>"22.862314"</f>
        <v>22.862314</v>
      </c>
      <c r="S11335" t="s">
        <v>26</v>
      </c>
    </row>
    <row r="11336" spans="1:19" x14ac:dyDescent="0.3">
      <c r="A11336" t="s">
        <v>25190</v>
      </c>
      <c r="B11336" t="s">
        <v>27598</v>
      </c>
      <c r="C11336" t="s">
        <v>28330</v>
      </c>
      <c r="D11336" t="s">
        <v>25197</v>
      </c>
      <c r="E11336" t="s">
        <v>25293</v>
      </c>
      <c r="F11336" t="s">
        <v>25293</v>
      </c>
      <c r="G11336" t="s">
        <v>25664</v>
      </c>
      <c r="H11336" t="s">
        <v>859</v>
      </c>
      <c r="I11336" t="s">
        <v>860</v>
      </c>
      <c r="J11336" t="str">
        <f>"9190926"</f>
        <v>9190926</v>
      </c>
      <c r="K11336">
        <v>2392028557</v>
      </c>
      <c r="L11336">
        <v>2392028557</v>
      </c>
      <c r="M11336" t="s">
        <v>28331</v>
      </c>
      <c r="N11336" t="s">
        <v>25688</v>
      </c>
      <c r="O11336" t="s">
        <v>17308</v>
      </c>
      <c r="P11336">
        <v>57019</v>
      </c>
      <c r="Q11336" t="str">
        <f>"40.495252"</f>
        <v>40.495252</v>
      </c>
      <c r="R11336" t="str">
        <f>"22.928543"</f>
        <v>22.928543</v>
      </c>
      <c r="S11336" t="s">
        <v>26</v>
      </c>
    </row>
    <row r="11337" spans="1:19" x14ac:dyDescent="0.3">
      <c r="A11337" t="s">
        <v>25190</v>
      </c>
      <c r="B11337" t="s">
        <v>27598</v>
      </c>
      <c r="C11337" t="s">
        <v>28332</v>
      </c>
      <c r="D11337" t="s">
        <v>25197</v>
      </c>
      <c r="E11337" t="s">
        <v>25293</v>
      </c>
      <c r="F11337" t="s">
        <v>25294</v>
      </c>
      <c r="G11337" t="s">
        <v>25294</v>
      </c>
      <c r="H11337" t="s">
        <v>859</v>
      </c>
      <c r="I11337" t="s">
        <v>860</v>
      </c>
      <c r="J11337" t="str">
        <f>"9190349"</f>
        <v>9190349</v>
      </c>
      <c r="K11337">
        <v>2392041315</v>
      </c>
      <c r="L11337">
        <v>2392041315</v>
      </c>
      <c r="M11337" t="s">
        <v>28333</v>
      </c>
      <c r="N11337" t="s">
        <v>25297</v>
      </c>
      <c r="O11337" t="s">
        <v>28291</v>
      </c>
      <c r="P11337">
        <v>57500</v>
      </c>
      <c r="Q11337" t="str">
        <f>"40.429177"</f>
        <v>40.429177</v>
      </c>
      <c r="R11337" t="str">
        <f>"22.928847"</f>
        <v>22.928847</v>
      </c>
      <c r="S11337" t="s">
        <v>26</v>
      </c>
    </row>
    <row r="11338" spans="1:19" x14ac:dyDescent="0.3">
      <c r="A11338" t="s">
        <v>25190</v>
      </c>
      <c r="B11338" t="s">
        <v>27598</v>
      </c>
      <c r="C11338" t="s">
        <v>28334</v>
      </c>
      <c r="D11338" t="s">
        <v>25197</v>
      </c>
      <c r="E11338" t="s">
        <v>25299</v>
      </c>
      <c r="F11338" t="s">
        <v>25299</v>
      </c>
      <c r="G11338" t="s">
        <v>25299</v>
      </c>
      <c r="H11338" t="s">
        <v>859</v>
      </c>
      <c r="I11338" t="s">
        <v>860</v>
      </c>
      <c r="J11338" t="str">
        <f>"9520588"</f>
        <v>9520588</v>
      </c>
      <c r="K11338">
        <v>2310449360</v>
      </c>
      <c r="L11338">
        <v>2310449360</v>
      </c>
      <c r="M11338" t="s">
        <v>28335</v>
      </c>
      <c r="N11338" t="s">
        <v>25331</v>
      </c>
      <c r="O11338" t="s">
        <v>27691</v>
      </c>
      <c r="P11338">
        <v>55132</v>
      </c>
      <c r="Q11338" t="str">
        <f>"40.577920"</f>
        <v>40.577920</v>
      </c>
      <c r="R11338" t="str">
        <f>"22.950570"</f>
        <v>22.950570</v>
      </c>
      <c r="S11338" t="s">
        <v>26</v>
      </c>
    </row>
    <row r="11339" spans="1:19" x14ac:dyDescent="0.3">
      <c r="A11339" t="s">
        <v>25190</v>
      </c>
      <c r="B11339" t="s">
        <v>27598</v>
      </c>
      <c r="C11339" t="s">
        <v>28336</v>
      </c>
      <c r="D11339" t="s">
        <v>25197</v>
      </c>
      <c r="E11339" t="s">
        <v>25299</v>
      </c>
      <c r="F11339" t="s">
        <v>25299</v>
      </c>
      <c r="G11339" t="s">
        <v>25299</v>
      </c>
      <c r="H11339" t="s">
        <v>859</v>
      </c>
      <c r="I11339" t="s">
        <v>860</v>
      </c>
      <c r="J11339" t="str">
        <f>"9190028"</f>
        <v>9190028</v>
      </c>
      <c r="K11339">
        <v>2310414429</v>
      </c>
      <c r="L11339">
        <v>2310414429</v>
      </c>
      <c r="M11339" t="s">
        <v>28337</v>
      </c>
      <c r="N11339" t="s">
        <v>25331</v>
      </c>
      <c r="O11339" t="s">
        <v>28338</v>
      </c>
      <c r="P11339">
        <v>55131</v>
      </c>
      <c r="Q11339" t="str">
        <f>"40.589423"</f>
        <v>40.589423</v>
      </c>
      <c r="R11339" t="str">
        <f>"22.944834"</f>
        <v>22.944834</v>
      </c>
      <c r="S11339" t="s">
        <v>26</v>
      </c>
    </row>
    <row r="11340" spans="1:19" x14ac:dyDescent="0.3">
      <c r="A11340" t="s">
        <v>25190</v>
      </c>
      <c r="B11340" t="s">
        <v>27598</v>
      </c>
      <c r="C11340" t="s">
        <v>28339</v>
      </c>
      <c r="D11340" t="s">
        <v>25197</v>
      </c>
      <c r="E11340" t="s">
        <v>25299</v>
      </c>
      <c r="F11340" t="s">
        <v>25299</v>
      </c>
      <c r="G11340" t="s">
        <v>25299</v>
      </c>
      <c r="H11340" t="s">
        <v>859</v>
      </c>
      <c r="I11340" t="s">
        <v>860</v>
      </c>
      <c r="J11340" t="str">
        <f>"9190566"</f>
        <v>9190566</v>
      </c>
      <c r="K11340">
        <v>2310414800</v>
      </c>
      <c r="L11340">
        <v>2310414800</v>
      </c>
      <c r="M11340" t="s">
        <v>28340</v>
      </c>
      <c r="N11340" t="s">
        <v>25331</v>
      </c>
      <c r="O11340" t="s">
        <v>27710</v>
      </c>
      <c r="P11340">
        <v>55131</v>
      </c>
      <c r="Q11340" t="str">
        <f>"40.582161"</f>
        <v>40.582161</v>
      </c>
      <c r="R11340" t="str">
        <f>"22.943659"</f>
        <v>22.943659</v>
      </c>
      <c r="S11340" t="s">
        <v>26</v>
      </c>
    </row>
    <row r="11341" spans="1:19" x14ac:dyDescent="0.3">
      <c r="A11341" t="s">
        <v>25190</v>
      </c>
      <c r="B11341" t="s">
        <v>27598</v>
      </c>
      <c r="C11341" t="s">
        <v>28346</v>
      </c>
      <c r="D11341" t="s">
        <v>25197</v>
      </c>
      <c r="E11341" t="s">
        <v>25264</v>
      </c>
      <c r="F11341" t="s">
        <v>25270</v>
      </c>
      <c r="G11341" t="s">
        <v>2344</v>
      </c>
      <c r="H11341" t="s">
        <v>859</v>
      </c>
      <c r="I11341" t="s">
        <v>1102</v>
      </c>
      <c r="J11341" t="str">
        <f>"9521025"</f>
        <v>9521025</v>
      </c>
      <c r="K11341">
        <v>2313307576</v>
      </c>
      <c r="L11341">
        <v>2313307576</v>
      </c>
      <c r="M11341" t="s">
        <v>28347</v>
      </c>
      <c r="N11341" t="s">
        <v>2347</v>
      </c>
      <c r="O11341" t="s">
        <v>28348</v>
      </c>
      <c r="P11341">
        <v>57010</v>
      </c>
      <c r="Q11341" t="str">
        <f>"40.645553"</f>
        <v>40.645553</v>
      </c>
      <c r="R11341" t="str">
        <f>"23.011898"</f>
        <v>23.011898</v>
      </c>
      <c r="S11341" t="s">
        <v>26</v>
      </c>
    </row>
    <row r="11342" spans="1:19" x14ac:dyDescent="0.3">
      <c r="A11342" t="s">
        <v>25190</v>
      </c>
      <c r="B11342" t="s">
        <v>27598</v>
      </c>
      <c r="C11342" t="s">
        <v>28361</v>
      </c>
      <c r="D11342" t="s">
        <v>25197</v>
      </c>
      <c r="E11342" t="s">
        <v>25197</v>
      </c>
      <c r="F11342" t="s">
        <v>25197</v>
      </c>
      <c r="G11342" t="s">
        <v>25250</v>
      </c>
      <c r="H11342" t="s">
        <v>859</v>
      </c>
      <c r="I11342" t="s">
        <v>860</v>
      </c>
      <c r="J11342" t="str">
        <f>"9190052"</f>
        <v>9190052</v>
      </c>
      <c r="K11342">
        <v>2310848679</v>
      </c>
      <c r="L11342">
        <v>2310818848</v>
      </c>
      <c r="M11342" t="s">
        <v>28362</v>
      </c>
      <c r="N11342" t="s">
        <v>25247</v>
      </c>
      <c r="O11342" t="s">
        <v>28350</v>
      </c>
      <c r="P11342">
        <v>54639</v>
      </c>
      <c r="Q11342" t="str">
        <f>"40.614827"</f>
        <v>40.614827</v>
      </c>
      <c r="R11342" t="str">
        <f>"22.960566"</f>
        <v>22.960566</v>
      </c>
      <c r="S11342" t="s">
        <v>26</v>
      </c>
    </row>
    <row r="11343" spans="1:19" x14ac:dyDescent="0.3">
      <c r="A11343" t="s">
        <v>25190</v>
      </c>
      <c r="B11343" t="s">
        <v>27598</v>
      </c>
      <c r="C11343" t="s">
        <v>28363</v>
      </c>
      <c r="D11343" t="s">
        <v>25197</v>
      </c>
      <c r="E11343" t="s">
        <v>25264</v>
      </c>
      <c r="F11343" t="s">
        <v>25270</v>
      </c>
      <c r="G11343" t="s">
        <v>25270</v>
      </c>
      <c r="H11343" t="s">
        <v>859</v>
      </c>
      <c r="I11343" t="s">
        <v>860</v>
      </c>
      <c r="J11343" t="str">
        <f>"9521113"</f>
        <v>9521113</v>
      </c>
      <c r="K11343">
        <v>2310348161</v>
      </c>
      <c r="L11343">
        <v>2310348161</v>
      </c>
      <c r="M11343" t="s">
        <v>28364</v>
      </c>
      <c r="N11343" t="s">
        <v>27954</v>
      </c>
      <c r="O11343" t="s">
        <v>28365</v>
      </c>
      <c r="P11343">
        <v>57010</v>
      </c>
      <c r="Q11343" t="str">
        <f>"40.609459"</f>
        <v>40.609459</v>
      </c>
      <c r="R11343" t="str">
        <f>"23.102020"</f>
        <v>23.102020</v>
      </c>
      <c r="S11343" t="s">
        <v>26</v>
      </c>
    </row>
    <row r="11344" spans="1:19" x14ac:dyDescent="0.3">
      <c r="A11344" t="s">
        <v>25190</v>
      </c>
      <c r="B11344" t="s">
        <v>27598</v>
      </c>
      <c r="C11344" t="s">
        <v>28368</v>
      </c>
      <c r="D11344" t="s">
        <v>25197</v>
      </c>
      <c r="E11344" t="s">
        <v>25264</v>
      </c>
      <c r="F11344" t="s">
        <v>25265</v>
      </c>
      <c r="G11344" t="s">
        <v>25265</v>
      </c>
      <c r="H11344" t="s">
        <v>859</v>
      </c>
      <c r="I11344" t="s">
        <v>860</v>
      </c>
      <c r="J11344" t="str">
        <f>"9521130"</f>
        <v>9521130</v>
      </c>
      <c r="K11344">
        <v>2310302875</v>
      </c>
      <c r="L11344">
        <v>2310302575</v>
      </c>
      <c r="M11344" t="s">
        <v>28369</v>
      </c>
      <c r="N11344" t="s">
        <v>25345</v>
      </c>
      <c r="O11344" t="s">
        <v>28370</v>
      </c>
      <c r="P11344">
        <v>55535</v>
      </c>
      <c r="Q11344" t="str">
        <f>"40.603392"</f>
        <v>40.603392</v>
      </c>
      <c r="R11344" t="str">
        <f>"22.989620"</f>
        <v>22.989620</v>
      </c>
      <c r="S11344" t="s">
        <v>26</v>
      </c>
    </row>
    <row r="11345" spans="1:19" x14ac:dyDescent="0.3">
      <c r="A11345" t="s">
        <v>25190</v>
      </c>
      <c r="B11345" t="s">
        <v>27598</v>
      </c>
      <c r="C11345" t="s">
        <v>28371</v>
      </c>
      <c r="D11345" t="s">
        <v>25197</v>
      </c>
      <c r="E11345" t="s">
        <v>25197</v>
      </c>
      <c r="F11345" t="s">
        <v>25197</v>
      </c>
      <c r="G11345" t="s">
        <v>25255</v>
      </c>
      <c r="H11345" t="s">
        <v>859</v>
      </c>
      <c r="I11345" t="s">
        <v>860</v>
      </c>
      <c r="J11345" t="str">
        <f>"9190471"</f>
        <v>9190471</v>
      </c>
      <c r="K11345">
        <v>2310248399</v>
      </c>
      <c r="L11345">
        <v>2310248399</v>
      </c>
      <c r="M11345" t="s">
        <v>28372</v>
      </c>
      <c r="N11345" t="s">
        <v>25247</v>
      </c>
      <c r="O11345" t="s">
        <v>28373</v>
      </c>
      <c r="P11345">
        <v>54635</v>
      </c>
      <c r="Q11345" t="str">
        <f>"40.633598"</f>
        <v>40.633598</v>
      </c>
      <c r="R11345" t="str">
        <f>"22.951165"</f>
        <v>22.951165</v>
      </c>
      <c r="S11345" t="s">
        <v>26</v>
      </c>
    </row>
    <row r="11346" spans="1:19" x14ac:dyDescent="0.3">
      <c r="A11346" t="s">
        <v>25190</v>
      </c>
      <c r="B11346" t="s">
        <v>27598</v>
      </c>
      <c r="C11346" t="s">
        <v>28385</v>
      </c>
      <c r="D11346" t="s">
        <v>25197</v>
      </c>
      <c r="E11346" t="s">
        <v>25198</v>
      </c>
      <c r="F11346" t="s">
        <v>25317</v>
      </c>
      <c r="G11346" t="s">
        <v>25317</v>
      </c>
      <c r="H11346" t="s">
        <v>859</v>
      </c>
      <c r="I11346" t="s">
        <v>860</v>
      </c>
      <c r="J11346" t="str">
        <f>"9521229"</f>
        <v>9521229</v>
      </c>
      <c r="M11346" t="s">
        <v>27609</v>
      </c>
      <c r="N11346" t="s">
        <v>25465</v>
      </c>
      <c r="O11346" t="s">
        <v>25465</v>
      </c>
      <c r="P11346">
        <v>57006</v>
      </c>
      <c r="Q11346" t="str">
        <f>""</f>
        <v/>
      </c>
      <c r="R11346" t="str">
        <f>""</f>
        <v/>
      </c>
      <c r="S11346" t="s">
        <v>26</v>
      </c>
    </row>
    <row r="11347" spans="1:19" x14ac:dyDescent="0.3">
      <c r="A11347" t="s">
        <v>25190</v>
      </c>
      <c r="B11347" t="s">
        <v>27598</v>
      </c>
      <c r="C11347" t="s">
        <v>28386</v>
      </c>
      <c r="D11347" t="s">
        <v>25197</v>
      </c>
      <c r="E11347" t="s">
        <v>25293</v>
      </c>
      <c r="F11347" t="s">
        <v>25293</v>
      </c>
      <c r="G11347" t="s">
        <v>25664</v>
      </c>
      <c r="H11347" t="s">
        <v>859</v>
      </c>
      <c r="I11347" t="s">
        <v>860</v>
      </c>
      <c r="J11347" t="str">
        <f>"9190491"</f>
        <v>9190491</v>
      </c>
      <c r="K11347">
        <v>2392025385</v>
      </c>
      <c r="L11347">
        <v>2392025385</v>
      </c>
      <c r="M11347" t="s">
        <v>28387</v>
      </c>
      <c r="N11347" t="s">
        <v>25688</v>
      </c>
      <c r="O11347" t="s">
        <v>28388</v>
      </c>
      <c r="P11347">
        <v>57019</v>
      </c>
      <c r="Q11347" t="str">
        <f>"40.507990"</f>
        <v>40.507990</v>
      </c>
      <c r="R11347" t="str">
        <f>"22.928925"</f>
        <v>22.928925</v>
      </c>
      <c r="S11347" t="s">
        <v>26</v>
      </c>
    </row>
    <row r="11348" spans="1:19" x14ac:dyDescent="0.3">
      <c r="A11348" t="s">
        <v>25190</v>
      </c>
      <c r="B11348" t="s">
        <v>27598</v>
      </c>
      <c r="C11348" t="s">
        <v>28392</v>
      </c>
      <c r="D11348" t="s">
        <v>25197</v>
      </c>
      <c r="E11348" t="s">
        <v>25264</v>
      </c>
      <c r="F11348" t="s">
        <v>25265</v>
      </c>
      <c r="G11348" t="s">
        <v>25265</v>
      </c>
      <c r="H11348" t="s">
        <v>859</v>
      </c>
      <c r="I11348" t="s">
        <v>860</v>
      </c>
      <c r="J11348" t="str">
        <f>"9521322"</f>
        <v>9521322</v>
      </c>
      <c r="K11348">
        <v>2310915811</v>
      </c>
      <c r="L11348">
        <v>2310915811</v>
      </c>
      <c r="M11348" t="s">
        <v>28393</v>
      </c>
      <c r="N11348" t="s">
        <v>25345</v>
      </c>
      <c r="O11348" t="s">
        <v>28394</v>
      </c>
      <c r="P11348">
        <v>54352</v>
      </c>
      <c r="Q11348" t="str">
        <f>"40.610998"</f>
        <v>40.610998</v>
      </c>
      <c r="R11348" t="str">
        <f>"22.994693"</f>
        <v>22.994693</v>
      </c>
      <c r="S11348" t="s">
        <v>26</v>
      </c>
    </row>
    <row r="11349" spans="1:19" x14ac:dyDescent="0.3">
      <c r="A11349" t="s">
        <v>25190</v>
      </c>
      <c r="B11349" t="s">
        <v>27598</v>
      </c>
      <c r="C11349" t="s">
        <v>28397</v>
      </c>
      <c r="D11349" t="s">
        <v>25197</v>
      </c>
      <c r="E11349" t="s">
        <v>25198</v>
      </c>
      <c r="F11349" t="s">
        <v>25323</v>
      </c>
      <c r="G11349" t="s">
        <v>25324</v>
      </c>
      <c r="H11349" t="s">
        <v>859</v>
      </c>
      <c r="I11349" t="s">
        <v>860</v>
      </c>
      <c r="J11349" t="str">
        <f>"9521321"</f>
        <v>9521321</v>
      </c>
      <c r="K11349">
        <v>2392062445</v>
      </c>
      <c r="L11349">
        <v>2392062445</v>
      </c>
      <c r="M11349" t="s">
        <v>28398</v>
      </c>
      <c r="N11349" t="s">
        <v>25327</v>
      </c>
      <c r="O11349" t="s">
        <v>28383</v>
      </c>
      <c r="P11349">
        <v>57500</v>
      </c>
      <c r="Q11349" t="str">
        <f>"40.466887"</f>
        <v>40.466887</v>
      </c>
      <c r="R11349" t="str">
        <f>"22.965072"</f>
        <v>22.965072</v>
      </c>
      <c r="S11349" t="s">
        <v>26</v>
      </c>
    </row>
    <row r="11350" spans="1:19" x14ac:dyDescent="0.3">
      <c r="A11350" t="s">
        <v>25190</v>
      </c>
      <c r="B11350" t="s">
        <v>27598</v>
      </c>
      <c r="C11350" t="s">
        <v>28399</v>
      </c>
      <c r="D11350" t="s">
        <v>25197</v>
      </c>
      <c r="E11350" t="s">
        <v>25198</v>
      </c>
      <c r="F11350" t="s">
        <v>25198</v>
      </c>
      <c r="G11350" t="s">
        <v>27735</v>
      </c>
      <c r="H11350" t="s">
        <v>859</v>
      </c>
      <c r="I11350" t="s">
        <v>860</v>
      </c>
      <c r="J11350" t="str">
        <f>"9521446"</f>
        <v>9521446</v>
      </c>
      <c r="K11350">
        <v>2310365945</v>
      </c>
      <c r="L11350">
        <v>2310365945</v>
      </c>
      <c r="M11350" t="s">
        <v>28400</v>
      </c>
      <c r="N11350" t="s">
        <v>27738</v>
      </c>
      <c r="O11350" t="s">
        <v>28401</v>
      </c>
      <c r="P11350">
        <v>57001</v>
      </c>
      <c r="Q11350" t="str">
        <f>"40.525770"</f>
        <v>40.525770</v>
      </c>
      <c r="R11350" t="str">
        <f>"23.047802"</f>
        <v>23.047802</v>
      </c>
      <c r="S11350" t="s">
        <v>26</v>
      </c>
    </row>
    <row r="11351" spans="1:19" x14ac:dyDescent="0.3">
      <c r="A11351" t="s">
        <v>25190</v>
      </c>
      <c r="B11351" t="s">
        <v>27598</v>
      </c>
      <c r="C11351" t="s">
        <v>28402</v>
      </c>
      <c r="D11351" t="s">
        <v>25197</v>
      </c>
      <c r="E11351" t="s">
        <v>25198</v>
      </c>
      <c r="F11351" t="s">
        <v>25198</v>
      </c>
      <c r="G11351" t="s">
        <v>28083</v>
      </c>
      <c r="H11351" t="s">
        <v>859</v>
      </c>
      <c r="I11351" t="s">
        <v>860</v>
      </c>
      <c r="J11351" t="str">
        <f>"9521447"</f>
        <v>9521447</v>
      </c>
      <c r="K11351">
        <v>2392073435</v>
      </c>
      <c r="L11351">
        <v>2392073435</v>
      </c>
      <c r="M11351" t="s">
        <v>28403</v>
      </c>
      <c r="N11351" t="s">
        <v>28086</v>
      </c>
      <c r="O11351" t="s">
        <v>28404</v>
      </c>
      <c r="P11351">
        <v>57001</v>
      </c>
      <c r="Q11351" t="str">
        <f>"40.493252"</f>
        <v>40.493252</v>
      </c>
      <c r="R11351" t="str">
        <f>"22.989582"</f>
        <v>22.989582</v>
      </c>
      <c r="S11351" t="s">
        <v>26</v>
      </c>
    </row>
    <row r="11352" spans="1:19" x14ac:dyDescent="0.3">
      <c r="A11352" t="s">
        <v>25190</v>
      </c>
      <c r="B11352" t="s">
        <v>27598</v>
      </c>
      <c r="C11352" t="s">
        <v>28405</v>
      </c>
      <c r="D11352" t="s">
        <v>25197</v>
      </c>
      <c r="E11352" t="s">
        <v>25264</v>
      </c>
      <c r="F11352" t="s">
        <v>25265</v>
      </c>
      <c r="G11352" t="s">
        <v>25265</v>
      </c>
      <c r="H11352" t="s">
        <v>859</v>
      </c>
      <c r="I11352" t="s">
        <v>860</v>
      </c>
      <c r="J11352" t="str">
        <f>"9521448"</f>
        <v>9521448</v>
      </c>
      <c r="K11352">
        <v>2310901133</v>
      </c>
      <c r="L11352">
        <v>2310901133</v>
      </c>
      <c r="M11352" t="s">
        <v>28406</v>
      </c>
      <c r="N11352" t="s">
        <v>25345</v>
      </c>
      <c r="O11352" t="s">
        <v>28407</v>
      </c>
      <c r="P11352">
        <v>54352</v>
      </c>
      <c r="Q11352" t="str">
        <f>"40.610124"</f>
        <v>40.610124</v>
      </c>
      <c r="R11352" t="str">
        <f>"22.987573"</f>
        <v>22.987573</v>
      </c>
      <c r="S11352" t="s">
        <v>26</v>
      </c>
    </row>
    <row r="11353" spans="1:19" x14ac:dyDescent="0.3">
      <c r="A11353" t="s">
        <v>25190</v>
      </c>
      <c r="B11353" t="s">
        <v>27598</v>
      </c>
      <c r="C11353" t="s">
        <v>28421</v>
      </c>
      <c r="D11353" t="s">
        <v>25197</v>
      </c>
      <c r="E11353" t="s">
        <v>25264</v>
      </c>
      <c r="F11353" t="s">
        <v>25400</v>
      </c>
      <c r="G11353" t="s">
        <v>25400</v>
      </c>
      <c r="H11353" t="s">
        <v>859</v>
      </c>
      <c r="I11353" t="s">
        <v>16041</v>
      </c>
      <c r="J11353" t="str">
        <f>"9190498"</f>
        <v>9190498</v>
      </c>
      <c r="K11353">
        <v>2310346217</v>
      </c>
      <c r="L11353">
        <v>2310331167</v>
      </c>
      <c r="M11353" t="s">
        <v>28422</v>
      </c>
      <c r="N11353" t="s">
        <v>25497</v>
      </c>
      <c r="O11353" t="s">
        <v>28234</v>
      </c>
      <c r="P11353">
        <v>55236</v>
      </c>
      <c r="Q11353" t="str">
        <f>"40.595096"</f>
        <v>40.595096</v>
      </c>
      <c r="R11353" t="str">
        <f>"23.013036"</f>
        <v>23.013036</v>
      </c>
      <c r="S11353" t="s">
        <v>26</v>
      </c>
    </row>
    <row r="11354" spans="1:19" x14ac:dyDescent="0.3">
      <c r="A11354" t="s">
        <v>25190</v>
      </c>
      <c r="B11354" t="s">
        <v>27598</v>
      </c>
      <c r="C11354" t="s">
        <v>28423</v>
      </c>
      <c r="D11354" t="s">
        <v>25197</v>
      </c>
      <c r="E11354" t="s">
        <v>25197</v>
      </c>
      <c r="F11354" t="s">
        <v>25197</v>
      </c>
      <c r="G11354" t="s">
        <v>25250</v>
      </c>
      <c r="H11354" t="s">
        <v>859</v>
      </c>
      <c r="I11354" t="s">
        <v>860</v>
      </c>
      <c r="J11354" t="str">
        <f>"9190005"</f>
        <v>9190005</v>
      </c>
      <c r="K11354">
        <v>2310411116</v>
      </c>
      <c r="L11354">
        <v>2310411116</v>
      </c>
      <c r="M11354" t="s">
        <v>28424</v>
      </c>
      <c r="N11354" t="s">
        <v>25197</v>
      </c>
      <c r="O11354" t="s">
        <v>28425</v>
      </c>
      <c r="P11354">
        <v>54646</v>
      </c>
      <c r="Q11354" t="str">
        <f>"40.595832"</f>
        <v>40.595832</v>
      </c>
      <c r="R11354" t="str">
        <f>"22.954614"</f>
        <v>22.954614</v>
      </c>
      <c r="S11354" t="s">
        <v>26</v>
      </c>
    </row>
    <row r="11355" spans="1:19" x14ac:dyDescent="0.3">
      <c r="A11355" t="s">
        <v>25190</v>
      </c>
      <c r="B11355" t="s">
        <v>27598</v>
      </c>
      <c r="C11355" t="s">
        <v>28426</v>
      </c>
      <c r="D11355" t="s">
        <v>25197</v>
      </c>
      <c r="E11355" t="s">
        <v>25293</v>
      </c>
      <c r="F11355" t="s">
        <v>25293</v>
      </c>
      <c r="G11355" t="s">
        <v>25664</v>
      </c>
      <c r="H11355" t="s">
        <v>859</v>
      </c>
      <c r="I11355" t="s">
        <v>860</v>
      </c>
      <c r="J11355" t="str">
        <f>"9521444"</f>
        <v>9521444</v>
      </c>
      <c r="M11355" t="s">
        <v>27609</v>
      </c>
      <c r="N11355" t="s">
        <v>25688</v>
      </c>
      <c r="O11355" t="s">
        <v>28427</v>
      </c>
      <c r="P11355">
        <v>0</v>
      </c>
      <c r="Q11355" t="str">
        <f>""</f>
        <v/>
      </c>
      <c r="R11355" t="str">
        <f>""</f>
        <v/>
      </c>
      <c r="S11355" t="s">
        <v>26</v>
      </c>
    </row>
    <row r="11356" spans="1:19" x14ac:dyDescent="0.3">
      <c r="A11356" t="s">
        <v>25190</v>
      </c>
      <c r="B11356" t="s">
        <v>27598</v>
      </c>
      <c r="C11356" t="s">
        <v>28428</v>
      </c>
      <c r="D11356" t="s">
        <v>25197</v>
      </c>
      <c r="E11356" t="s">
        <v>25198</v>
      </c>
      <c r="F11356" t="s">
        <v>25317</v>
      </c>
      <c r="G11356" t="s">
        <v>152</v>
      </c>
      <c r="H11356" t="s">
        <v>859</v>
      </c>
      <c r="I11356" t="s">
        <v>860</v>
      </c>
      <c r="J11356" t="str">
        <f>"9190334"</f>
        <v>9190334</v>
      </c>
      <c r="K11356">
        <v>2396041593</v>
      </c>
      <c r="L11356">
        <v>2396041593</v>
      </c>
      <c r="M11356" t="s">
        <v>28429</v>
      </c>
      <c r="N11356" t="s">
        <v>4693</v>
      </c>
      <c r="O11356" t="s">
        <v>4693</v>
      </c>
      <c r="P11356">
        <v>57001</v>
      </c>
      <c r="Q11356" t="str">
        <f>"40.483652"</f>
        <v>40.483652</v>
      </c>
      <c r="R11356" t="str">
        <f>"23.051759"</f>
        <v>23.051759</v>
      </c>
      <c r="S11356" t="s">
        <v>26</v>
      </c>
    </row>
    <row r="11357" spans="1:19" x14ac:dyDescent="0.3">
      <c r="A11357" t="s">
        <v>25190</v>
      </c>
      <c r="B11357" t="s">
        <v>27598</v>
      </c>
      <c r="C11357" t="s">
        <v>28430</v>
      </c>
      <c r="D11357" t="s">
        <v>25197</v>
      </c>
      <c r="E11357" t="s">
        <v>25198</v>
      </c>
      <c r="F11357" t="s">
        <v>25323</v>
      </c>
      <c r="G11357" t="s">
        <v>28099</v>
      </c>
      <c r="H11357" t="s">
        <v>859</v>
      </c>
      <c r="I11357" t="s">
        <v>860</v>
      </c>
      <c r="J11357" t="str">
        <f>"9521320"</f>
        <v>9521320</v>
      </c>
      <c r="K11357">
        <v>2392065044</v>
      </c>
      <c r="L11357">
        <v>2392065044</v>
      </c>
      <c r="M11357" t="s">
        <v>28431</v>
      </c>
      <c r="N11357" t="s">
        <v>28102</v>
      </c>
      <c r="O11357" t="s">
        <v>28432</v>
      </c>
      <c r="P11357">
        <v>57500</v>
      </c>
      <c r="Q11357" t="str">
        <f>"40.471426"</f>
        <v>40.471426</v>
      </c>
      <c r="R11357" t="str">
        <f>"22.955261"</f>
        <v>22.955261</v>
      </c>
      <c r="S11357" t="s">
        <v>26</v>
      </c>
    </row>
    <row r="11358" spans="1:19" x14ac:dyDescent="0.3">
      <c r="A11358" t="s">
        <v>25190</v>
      </c>
      <c r="B11358" t="s">
        <v>27598</v>
      </c>
      <c r="C11358" t="s">
        <v>28435</v>
      </c>
      <c r="D11358" t="s">
        <v>25197</v>
      </c>
      <c r="E11358" t="s">
        <v>25299</v>
      </c>
      <c r="F11358" t="s">
        <v>25299</v>
      </c>
      <c r="G11358" t="s">
        <v>25299</v>
      </c>
      <c r="H11358" t="s">
        <v>859</v>
      </c>
      <c r="I11358" t="s">
        <v>1102</v>
      </c>
      <c r="J11358" t="str">
        <f>"9521481"</f>
        <v>9521481</v>
      </c>
      <c r="M11358" t="s">
        <v>27609</v>
      </c>
      <c r="N11358" t="s">
        <v>25331</v>
      </c>
      <c r="O11358" t="s">
        <v>28434</v>
      </c>
      <c r="P11358">
        <v>0</v>
      </c>
      <c r="Q11358" t="str">
        <f>""</f>
        <v/>
      </c>
      <c r="R11358" t="str">
        <f>""</f>
        <v/>
      </c>
      <c r="S11358" t="s">
        <v>26</v>
      </c>
    </row>
    <row r="11359" spans="1:19" x14ac:dyDescent="0.3">
      <c r="A11359" t="s">
        <v>25190</v>
      </c>
      <c r="B11359" t="s">
        <v>27598</v>
      </c>
      <c r="C11359" t="s">
        <v>28436</v>
      </c>
      <c r="D11359" t="s">
        <v>25197</v>
      </c>
      <c r="E11359" t="s">
        <v>25264</v>
      </c>
      <c r="F11359" t="s">
        <v>25400</v>
      </c>
      <c r="G11359" t="s">
        <v>25400</v>
      </c>
      <c r="H11359" t="s">
        <v>859</v>
      </c>
      <c r="I11359" t="s">
        <v>860</v>
      </c>
      <c r="J11359" t="str">
        <f>"9521526"</f>
        <v>9521526</v>
      </c>
      <c r="M11359" t="s">
        <v>27609</v>
      </c>
      <c r="N11359" t="s">
        <v>25497</v>
      </c>
      <c r="O11359" t="s">
        <v>28434</v>
      </c>
      <c r="P11359">
        <v>0</v>
      </c>
      <c r="Q11359" t="str">
        <f>""</f>
        <v/>
      </c>
      <c r="R11359" t="str">
        <f>""</f>
        <v/>
      </c>
      <c r="S11359" t="s">
        <v>26</v>
      </c>
    </row>
    <row r="11360" spans="1:19" x14ac:dyDescent="0.3">
      <c r="A11360" t="s">
        <v>25190</v>
      </c>
      <c r="B11360" t="s">
        <v>27598</v>
      </c>
      <c r="C11360" t="s">
        <v>28437</v>
      </c>
      <c r="D11360" t="s">
        <v>25197</v>
      </c>
      <c r="E11360" t="s">
        <v>25198</v>
      </c>
      <c r="F11360" t="s">
        <v>25198</v>
      </c>
      <c r="G11360" t="s">
        <v>25198</v>
      </c>
      <c r="H11360" t="s">
        <v>859</v>
      </c>
      <c r="I11360" t="s">
        <v>860</v>
      </c>
      <c r="J11360" t="str">
        <f>"9521525"</f>
        <v>9521525</v>
      </c>
      <c r="K11360">
        <v>2310365970</v>
      </c>
      <c r="L11360">
        <v>2310365970</v>
      </c>
      <c r="M11360" t="s">
        <v>28438</v>
      </c>
      <c r="N11360" t="s">
        <v>25201</v>
      </c>
      <c r="O11360" t="s">
        <v>28439</v>
      </c>
      <c r="P11360">
        <v>57001</v>
      </c>
      <c r="Q11360" t="str">
        <f>"40.543689"</f>
        <v>40.543689</v>
      </c>
      <c r="R11360" t="str">
        <f>"23.014232"</f>
        <v>23.014232</v>
      </c>
      <c r="S11360" t="s">
        <v>26</v>
      </c>
    </row>
    <row r="11361" spans="1:19" x14ac:dyDescent="0.3">
      <c r="A11361" t="s">
        <v>25190</v>
      </c>
      <c r="B11361" t="s">
        <v>27598</v>
      </c>
      <c r="C11361" t="s">
        <v>28440</v>
      </c>
      <c r="D11361" t="s">
        <v>25197</v>
      </c>
      <c r="E11361" t="s">
        <v>25197</v>
      </c>
      <c r="F11361" t="s">
        <v>25197</v>
      </c>
      <c r="G11361" t="s">
        <v>25255</v>
      </c>
      <c r="H11361" t="s">
        <v>859</v>
      </c>
      <c r="I11361" t="s">
        <v>1102</v>
      </c>
      <c r="J11361" t="str">
        <f>"9521560"</f>
        <v>9521560</v>
      </c>
      <c r="K11361">
        <v>2310204077</v>
      </c>
      <c r="L11361">
        <v>2310204077</v>
      </c>
      <c r="M11361" t="s">
        <v>28441</v>
      </c>
      <c r="N11361" t="s">
        <v>25247</v>
      </c>
      <c r="O11361" t="s">
        <v>28442</v>
      </c>
      <c r="P11361">
        <v>54636</v>
      </c>
      <c r="Q11361" t="str">
        <f>"40.628965"</f>
        <v>40.628965</v>
      </c>
      <c r="R11361" t="str">
        <f>"22.961319"</f>
        <v>22.961319</v>
      </c>
      <c r="S11361" t="s">
        <v>26</v>
      </c>
    </row>
    <row r="11362" spans="1:19" x14ac:dyDescent="0.3">
      <c r="A11362" t="s">
        <v>25190</v>
      </c>
      <c r="B11362" t="s">
        <v>27598</v>
      </c>
      <c r="C11362" t="s">
        <v>28443</v>
      </c>
      <c r="D11362" t="s">
        <v>25197</v>
      </c>
      <c r="E11362" t="s">
        <v>25198</v>
      </c>
      <c r="F11362" t="s">
        <v>25323</v>
      </c>
      <c r="G11362" t="s">
        <v>25740</v>
      </c>
      <c r="H11362" t="s">
        <v>859</v>
      </c>
      <c r="I11362" t="s">
        <v>860</v>
      </c>
      <c r="J11362" t="str">
        <f>"9521523"</f>
        <v>9521523</v>
      </c>
      <c r="K11362">
        <v>2392065675</v>
      </c>
      <c r="L11362">
        <v>2392303858</v>
      </c>
      <c r="M11362" t="s">
        <v>28444</v>
      </c>
      <c r="N11362" t="s">
        <v>27775</v>
      </c>
      <c r="O11362" t="s">
        <v>28445</v>
      </c>
      <c r="P11362">
        <v>57500</v>
      </c>
      <c r="Q11362" t="str">
        <f>"40.465586"</f>
        <v>40.465586</v>
      </c>
      <c r="R11362" t="str">
        <f>"22.992799"</f>
        <v>22.992799</v>
      </c>
      <c r="S11362" t="s">
        <v>26</v>
      </c>
    </row>
    <row r="11363" spans="1:19" x14ac:dyDescent="0.3">
      <c r="A11363" t="s">
        <v>25190</v>
      </c>
      <c r="B11363" t="s">
        <v>27598</v>
      </c>
      <c r="C11363" t="s">
        <v>28446</v>
      </c>
      <c r="D11363" t="s">
        <v>25197</v>
      </c>
      <c r="E11363" t="s">
        <v>25293</v>
      </c>
      <c r="F11363" t="s">
        <v>25293</v>
      </c>
      <c r="G11363" t="s">
        <v>25453</v>
      </c>
      <c r="H11363" t="s">
        <v>859</v>
      </c>
      <c r="I11363" t="s">
        <v>860</v>
      </c>
      <c r="J11363" t="str">
        <f>"9521524"</f>
        <v>9521524</v>
      </c>
      <c r="M11363" t="s">
        <v>27609</v>
      </c>
      <c r="N11363" t="s">
        <v>28009</v>
      </c>
      <c r="O11363" t="s">
        <v>28447</v>
      </c>
      <c r="P11363">
        <v>57019</v>
      </c>
      <c r="Q11363" t="str">
        <f>""</f>
        <v/>
      </c>
      <c r="R11363" t="str">
        <f>""</f>
        <v/>
      </c>
      <c r="S11363" t="s">
        <v>26</v>
      </c>
    </row>
    <row r="11364" spans="1:19" x14ac:dyDescent="0.3">
      <c r="A11364" t="s">
        <v>25190</v>
      </c>
      <c r="B11364" t="s">
        <v>27598</v>
      </c>
      <c r="C11364" t="s">
        <v>28451</v>
      </c>
      <c r="D11364" t="s">
        <v>25197</v>
      </c>
      <c r="E11364" t="s">
        <v>25293</v>
      </c>
      <c r="F11364" t="s">
        <v>25433</v>
      </c>
      <c r="G11364" t="s">
        <v>25434</v>
      </c>
      <c r="H11364" t="s">
        <v>859</v>
      </c>
      <c r="I11364" t="s">
        <v>860</v>
      </c>
      <c r="J11364" t="str">
        <f>"9521597"</f>
        <v>9521597</v>
      </c>
      <c r="M11364" t="s">
        <v>27609</v>
      </c>
      <c r="N11364" t="s">
        <v>25738</v>
      </c>
      <c r="O11364" t="s">
        <v>28434</v>
      </c>
      <c r="P11364">
        <v>0</v>
      </c>
      <c r="Q11364" t="str">
        <f>""</f>
        <v/>
      </c>
      <c r="R11364" t="str">
        <f>""</f>
        <v/>
      </c>
      <c r="S11364" t="s">
        <v>26</v>
      </c>
    </row>
    <row r="11365" spans="1:19" x14ac:dyDescent="0.3">
      <c r="A11365" t="s">
        <v>25190</v>
      </c>
      <c r="B11365" t="s">
        <v>27598</v>
      </c>
      <c r="C11365" t="s">
        <v>28460</v>
      </c>
      <c r="D11365" t="s">
        <v>25197</v>
      </c>
      <c r="E11365" t="s">
        <v>25198</v>
      </c>
      <c r="F11365" t="s">
        <v>25198</v>
      </c>
      <c r="G11365" t="s">
        <v>25198</v>
      </c>
      <c r="H11365" t="s">
        <v>859</v>
      </c>
      <c r="I11365" t="s">
        <v>860</v>
      </c>
      <c r="J11365" t="str">
        <f>"9521676"</f>
        <v>9521676</v>
      </c>
      <c r="K11365">
        <v>2396309016</v>
      </c>
      <c r="M11365" t="s">
        <v>28461</v>
      </c>
      <c r="N11365" t="s">
        <v>25201</v>
      </c>
      <c r="O11365" t="s">
        <v>28462</v>
      </c>
      <c r="P11365">
        <v>57001</v>
      </c>
      <c r="Q11365" t="str">
        <f>"40.547675"</f>
        <v>40.547675</v>
      </c>
      <c r="R11365" t="str">
        <f>"23.049690"</f>
        <v>23.049690</v>
      </c>
      <c r="S11365" t="s">
        <v>26</v>
      </c>
    </row>
    <row r="11366" spans="1:19" x14ac:dyDescent="0.3">
      <c r="A11366" t="s">
        <v>25190</v>
      </c>
      <c r="B11366" t="s">
        <v>28466</v>
      </c>
      <c r="C11366" t="s">
        <v>28467</v>
      </c>
      <c r="D11366" t="s">
        <v>25197</v>
      </c>
      <c r="E11366" t="s">
        <v>25826</v>
      </c>
      <c r="F11366" t="s">
        <v>25827</v>
      </c>
      <c r="G11366" t="s">
        <v>25827</v>
      </c>
      <c r="H11366" t="s">
        <v>859</v>
      </c>
      <c r="I11366" t="s">
        <v>860</v>
      </c>
      <c r="J11366" t="str">
        <f>"9190689"</f>
        <v>9190689</v>
      </c>
      <c r="K11366">
        <v>2310764490</v>
      </c>
      <c r="L11366">
        <v>2310764490</v>
      </c>
      <c r="M11366" t="s">
        <v>28468</v>
      </c>
      <c r="N11366" t="s">
        <v>25827</v>
      </c>
      <c r="O11366" t="s">
        <v>28469</v>
      </c>
      <c r="P11366">
        <v>54628</v>
      </c>
      <c r="Q11366" t="str">
        <f>"40.667110"</f>
        <v>40.667110</v>
      </c>
      <c r="R11366" t="str">
        <f>"22.885527"</f>
        <v>22.885527</v>
      </c>
      <c r="S11366" t="s">
        <v>26</v>
      </c>
    </row>
    <row r="11367" spans="1:19" x14ac:dyDescent="0.3">
      <c r="A11367" t="s">
        <v>25190</v>
      </c>
      <c r="B11367" t="s">
        <v>28466</v>
      </c>
      <c r="C11367" t="s">
        <v>28470</v>
      </c>
      <c r="D11367" t="s">
        <v>25197</v>
      </c>
      <c r="E11367" t="s">
        <v>25826</v>
      </c>
      <c r="F11367" t="s">
        <v>25827</v>
      </c>
      <c r="G11367" t="s">
        <v>25827</v>
      </c>
      <c r="H11367" t="s">
        <v>859</v>
      </c>
      <c r="I11367" t="s">
        <v>860</v>
      </c>
      <c r="J11367" t="str">
        <f>"9190847"</f>
        <v>9190847</v>
      </c>
      <c r="K11367">
        <v>2310706927</v>
      </c>
      <c r="L11367">
        <v>2310706927</v>
      </c>
      <c r="M11367" t="s">
        <v>28471</v>
      </c>
      <c r="N11367" t="s">
        <v>25827</v>
      </c>
      <c r="O11367" t="s">
        <v>28472</v>
      </c>
      <c r="P11367">
        <v>56334</v>
      </c>
      <c r="Q11367" t="str">
        <f>"40.668331"</f>
        <v>40.668331</v>
      </c>
      <c r="R11367" t="str">
        <f>"22.892729"</f>
        <v>22.892729</v>
      </c>
      <c r="S11367" t="s">
        <v>26</v>
      </c>
    </row>
    <row r="11368" spans="1:19" x14ac:dyDescent="0.3">
      <c r="A11368" t="s">
        <v>25190</v>
      </c>
      <c r="B11368" t="s">
        <v>28466</v>
      </c>
      <c r="C11368" t="s">
        <v>28473</v>
      </c>
      <c r="D11368" t="s">
        <v>25197</v>
      </c>
      <c r="E11368" t="s">
        <v>25826</v>
      </c>
      <c r="F11368" t="s">
        <v>25827</v>
      </c>
      <c r="G11368" t="s">
        <v>25827</v>
      </c>
      <c r="H11368" t="s">
        <v>859</v>
      </c>
      <c r="I11368" t="s">
        <v>860</v>
      </c>
      <c r="J11368" t="str">
        <f>"9190881"</f>
        <v>9190881</v>
      </c>
      <c r="K11368">
        <v>2310706927</v>
      </c>
      <c r="L11368">
        <v>2310706927</v>
      </c>
      <c r="M11368" t="s">
        <v>28474</v>
      </c>
      <c r="N11368" t="s">
        <v>25827</v>
      </c>
      <c r="O11368" t="s">
        <v>28472</v>
      </c>
      <c r="P11368">
        <v>56334</v>
      </c>
      <c r="Q11368" t="str">
        <f>"40.668306"</f>
        <v>40.668306</v>
      </c>
      <c r="R11368" t="str">
        <f>"22.892718"</f>
        <v>22.892718</v>
      </c>
      <c r="S11368" t="s">
        <v>26</v>
      </c>
    </row>
    <row r="11369" spans="1:19" x14ac:dyDescent="0.3">
      <c r="A11369" t="s">
        <v>25190</v>
      </c>
      <c r="B11369" t="s">
        <v>28466</v>
      </c>
      <c r="C11369" t="s">
        <v>28475</v>
      </c>
      <c r="D11369" t="s">
        <v>25197</v>
      </c>
      <c r="E11369" t="s">
        <v>25826</v>
      </c>
      <c r="F11369" t="s">
        <v>25827</v>
      </c>
      <c r="G11369" t="s">
        <v>25827</v>
      </c>
      <c r="H11369" t="s">
        <v>859</v>
      </c>
      <c r="I11369" t="s">
        <v>860</v>
      </c>
      <c r="J11369" t="str">
        <f>"9190514"</f>
        <v>9190514</v>
      </c>
      <c r="K11369">
        <v>2310762120</v>
      </c>
      <c r="L11369">
        <v>2310762120</v>
      </c>
      <c r="M11369" t="s">
        <v>28476</v>
      </c>
      <c r="N11369" t="s">
        <v>25827</v>
      </c>
      <c r="O11369" t="s">
        <v>9111</v>
      </c>
      <c r="P11369">
        <v>56334</v>
      </c>
      <c r="Q11369" t="str">
        <f>"40.672659"</f>
        <v>40.672659</v>
      </c>
      <c r="R11369" t="str">
        <f>"22.891095"</f>
        <v>22.891095</v>
      </c>
      <c r="S11369" t="s">
        <v>26</v>
      </c>
    </row>
    <row r="11370" spans="1:19" x14ac:dyDescent="0.3">
      <c r="A11370" t="s">
        <v>25190</v>
      </c>
      <c r="B11370" t="s">
        <v>28466</v>
      </c>
      <c r="C11370" t="s">
        <v>28477</v>
      </c>
      <c r="D11370" t="s">
        <v>25197</v>
      </c>
      <c r="E11370" t="s">
        <v>25826</v>
      </c>
      <c r="F11370" t="s">
        <v>25827</v>
      </c>
      <c r="G11370" t="s">
        <v>25827</v>
      </c>
      <c r="H11370" t="s">
        <v>859</v>
      </c>
      <c r="I11370" t="s">
        <v>860</v>
      </c>
      <c r="J11370" t="str">
        <f>"9520668"</f>
        <v>9520668</v>
      </c>
      <c r="K11370">
        <v>2310762120</v>
      </c>
      <c r="L11370">
        <v>2310762120</v>
      </c>
      <c r="M11370" t="s">
        <v>28478</v>
      </c>
      <c r="N11370" t="s">
        <v>25827</v>
      </c>
      <c r="O11370" t="s">
        <v>26016</v>
      </c>
      <c r="P11370">
        <v>56334</v>
      </c>
      <c r="Q11370" t="str">
        <f>"40.672724"</f>
        <v>40.672724</v>
      </c>
      <c r="R11370" t="str">
        <f>"22.891021"</f>
        <v>22.891021</v>
      </c>
      <c r="S11370" t="s">
        <v>26</v>
      </c>
    </row>
    <row r="11371" spans="1:19" x14ac:dyDescent="0.3">
      <c r="A11371" t="s">
        <v>25190</v>
      </c>
      <c r="B11371" t="s">
        <v>28466</v>
      </c>
      <c r="C11371" t="s">
        <v>28479</v>
      </c>
      <c r="D11371" t="s">
        <v>25197</v>
      </c>
      <c r="E11371" t="s">
        <v>25826</v>
      </c>
      <c r="F11371" t="s">
        <v>25833</v>
      </c>
      <c r="G11371" t="s">
        <v>25833</v>
      </c>
      <c r="H11371" t="s">
        <v>859</v>
      </c>
      <c r="I11371" t="s">
        <v>860</v>
      </c>
      <c r="J11371" t="str">
        <f>"9190127"</f>
        <v>9190127</v>
      </c>
      <c r="K11371">
        <v>2310761596</v>
      </c>
      <c r="L11371">
        <v>2310761596</v>
      </c>
      <c r="M11371" t="s">
        <v>28480</v>
      </c>
      <c r="N11371" t="s">
        <v>25833</v>
      </c>
      <c r="O11371" t="s">
        <v>28481</v>
      </c>
      <c r="P11371">
        <v>56224</v>
      </c>
      <c r="Q11371" t="str">
        <f>"40.669558"</f>
        <v>40.669558</v>
      </c>
      <c r="R11371" t="str">
        <f>"22.916693"</f>
        <v>22.916693</v>
      </c>
      <c r="S11371" t="s">
        <v>26</v>
      </c>
    </row>
    <row r="11372" spans="1:19" x14ac:dyDescent="0.3">
      <c r="A11372" t="s">
        <v>25190</v>
      </c>
      <c r="B11372" t="s">
        <v>28466</v>
      </c>
      <c r="C11372" t="s">
        <v>28482</v>
      </c>
      <c r="D11372" t="s">
        <v>25197</v>
      </c>
      <c r="E11372" t="s">
        <v>25826</v>
      </c>
      <c r="F11372" t="s">
        <v>25833</v>
      </c>
      <c r="G11372" t="s">
        <v>25833</v>
      </c>
      <c r="H11372" t="s">
        <v>859</v>
      </c>
      <c r="I11372" t="s">
        <v>860</v>
      </c>
      <c r="J11372" t="str">
        <f>"9190457"</f>
        <v>9190457</v>
      </c>
      <c r="K11372">
        <v>2316008877</v>
      </c>
      <c r="L11372">
        <v>2316008866</v>
      </c>
      <c r="M11372" t="s">
        <v>28483</v>
      </c>
      <c r="N11372" t="s">
        <v>25833</v>
      </c>
      <c r="O11372" t="s">
        <v>28484</v>
      </c>
      <c r="P11372">
        <v>56224</v>
      </c>
      <c r="Q11372" t="str">
        <f>"40.667050"</f>
        <v>40.667050</v>
      </c>
      <c r="R11372" t="str">
        <f>"22.903522"</f>
        <v>22.903522</v>
      </c>
      <c r="S11372" t="s">
        <v>26</v>
      </c>
    </row>
    <row r="11373" spans="1:19" x14ac:dyDescent="0.3">
      <c r="A11373" t="s">
        <v>25190</v>
      </c>
      <c r="B11373" t="s">
        <v>28466</v>
      </c>
      <c r="C11373" t="s">
        <v>28485</v>
      </c>
      <c r="D11373" t="s">
        <v>25197</v>
      </c>
      <c r="E11373" t="s">
        <v>25826</v>
      </c>
      <c r="F11373" t="s">
        <v>25833</v>
      </c>
      <c r="G11373" t="s">
        <v>25833</v>
      </c>
      <c r="H11373" t="s">
        <v>859</v>
      </c>
      <c r="I11373" t="s">
        <v>860</v>
      </c>
      <c r="J11373" t="str">
        <f>"9190458"</f>
        <v>9190458</v>
      </c>
      <c r="K11373">
        <v>2310574177</v>
      </c>
      <c r="L11373">
        <v>2310574177</v>
      </c>
      <c r="M11373" t="s">
        <v>28486</v>
      </c>
      <c r="N11373" t="s">
        <v>25833</v>
      </c>
      <c r="O11373" t="s">
        <v>28487</v>
      </c>
      <c r="P11373">
        <v>56224</v>
      </c>
      <c r="Q11373" t="str">
        <f>"40.662382"</f>
        <v>40.662382</v>
      </c>
      <c r="R11373" t="str">
        <f>"22.908313"</f>
        <v>22.908313</v>
      </c>
      <c r="S11373" t="s">
        <v>26</v>
      </c>
    </row>
    <row r="11374" spans="1:19" x14ac:dyDescent="0.3">
      <c r="A11374" t="s">
        <v>25190</v>
      </c>
      <c r="B11374" t="s">
        <v>28466</v>
      </c>
      <c r="C11374" t="s">
        <v>28488</v>
      </c>
      <c r="D11374" t="s">
        <v>25197</v>
      </c>
      <c r="E11374" t="s">
        <v>25826</v>
      </c>
      <c r="F11374" t="s">
        <v>25833</v>
      </c>
      <c r="G11374" t="s">
        <v>25833</v>
      </c>
      <c r="H11374" t="s">
        <v>859</v>
      </c>
      <c r="I11374" t="s">
        <v>860</v>
      </c>
      <c r="J11374" t="str">
        <f>"9190515"</f>
        <v>9190515</v>
      </c>
      <c r="K11374">
        <v>2310761596</v>
      </c>
      <c r="L11374">
        <v>2310761596</v>
      </c>
      <c r="M11374" t="s">
        <v>28489</v>
      </c>
      <c r="N11374" t="s">
        <v>25833</v>
      </c>
      <c r="O11374" t="s">
        <v>28490</v>
      </c>
      <c r="P11374">
        <v>56224</v>
      </c>
      <c r="Q11374" t="str">
        <f>"40.669550"</f>
        <v>40.669550</v>
      </c>
      <c r="R11374" t="str">
        <f>"22.916640"</f>
        <v>22.916640</v>
      </c>
      <c r="S11374" t="s">
        <v>26</v>
      </c>
    </row>
    <row r="11375" spans="1:19" x14ac:dyDescent="0.3">
      <c r="A11375" t="s">
        <v>25190</v>
      </c>
      <c r="B11375" t="s">
        <v>28466</v>
      </c>
      <c r="C11375" t="s">
        <v>28491</v>
      </c>
      <c r="D11375" t="s">
        <v>25197</v>
      </c>
      <c r="E11375" t="s">
        <v>25826</v>
      </c>
      <c r="F11375" t="s">
        <v>25833</v>
      </c>
      <c r="G11375" t="s">
        <v>25833</v>
      </c>
      <c r="H11375" t="s">
        <v>859</v>
      </c>
      <c r="I11375" t="s">
        <v>860</v>
      </c>
      <c r="J11375" t="str">
        <f>"9190606"</f>
        <v>9190606</v>
      </c>
      <c r="K11375">
        <v>2310774600</v>
      </c>
      <c r="L11375">
        <v>2310774600</v>
      </c>
      <c r="M11375" t="s">
        <v>28492</v>
      </c>
      <c r="N11375" t="s">
        <v>25833</v>
      </c>
      <c r="O11375" t="s">
        <v>28487</v>
      </c>
      <c r="P11375">
        <v>56224</v>
      </c>
      <c r="Q11375" t="str">
        <f>"40.660976"</f>
        <v>40.660976</v>
      </c>
      <c r="R11375" t="str">
        <f>"22.906014"</f>
        <v>22.906014</v>
      </c>
      <c r="S11375" t="s">
        <v>26</v>
      </c>
    </row>
    <row r="11376" spans="1:19" x14ac:dyDescent="0.3">
      <c r="A11376" t="s">
        <v>25190</v>
      </c>
      <c r="B11376" t="s">
        <v>28466</v>
      </c>
      <c r="C11376" t="s">
        <v>28493</v>
      </c>
      <c r="D11376" t="s">
        <v>25197</v>
      </c>
      <c r="E11376" t="s">
        <v>25826</v>
      </c>
      <c r="F11376" t="s">
        <v>25833</v>
      </c>
      <c r="G11376" t="s">
        <v>25833</v>
      </c>
      <c r="H11376" t="s">
        <v>859</v>
      </c>
      <c r="I11376" t="s">
        <v>860</v>
      </c>
      <c r="J11376" t="str">
        <f>"9190107"</f>
        <v>9190107</v>
      </c>
      <c r="K11376">
        <v>2310640102</v>
      </c>
      <c r="L11376">
        <v>2310640102</v>
      </c>
      <c r="M11376" t="s">
        <v>28494</v>
      </c>
      <c r="N11376" t="s">
        <v>25833</v>
      </c>
      <c r="O11376" t="s">
        <v>28495</v>
      </c>
      <c r="P11376">
        <v>56224</v>
      </c>
      <c r="Q11376" t="str">
        <f>"40.663511"</f>
        <v>40.663511</v>
      </c>
      <c r="R11376" t="str">
        <f>"22.918958"</f>
        <v>22.918958</v>
      </c>
      <c r="S11376" t="s">
        <v>26</v>
      </c>
    </row>
    <row r="11377" spans="1:19" x14ac:dyDescent="0.3">
      <c r="A11377" t="s">
        <v>25190</v>
      </c>
      <c r="B11377" t="s">
        <v>28466</v>
      </c>
      <c r="C11377" t="s">
        <v>28496</v>
      </c>
      <c r="D11377" t="s">
        <v>25197</v>
      </c>
      <c r="E11377" t="s">
        <v>25826</v>
      </c>
      <c r="F11377" t="s">
        <v>25833</v>
      </c>
      <c r="G11377" t="s">
        <v>25833</v>
      </c>
      <c r="H11377" t="s">
        <v>859</v>
      </c>
      <c r="I11377" t="s">
        <v>860</v>
      </c>
      <c r="J11377" t="str">
        <f>"9190512"</f>
        <v>9190512</v>
      </c>
      <c r="K11377">
        <v>2310640665</v>
      </c>
      <c r="L11377">
        <v>2310640665</v>
      </c>
      <c r="M11377" t="s">
        <v>28497</v>
      </c>
      <c r="N11377" t="s">
        <v>25833</v>
      </c>
      <c r="O11377" t="s">
        <v>28498</v>
      </c>
      <c r="P11377">
        <v>56226</v>
      </c>
      <c r="Q11377" t="str">
        <f>"40.669692"</f>
        <v>40.669692</v>
      </c>
      <c r="R11377" t="str">
        <f>"22.924714"</f>
        <v>22.924714</v>
      </c>
      <c r="S11377" t="s">
        <v>26</v>
      </c>
    </row>
    <row r="11378" spans="1:19" x14ac:dyDescent="0.3">
      <c r="A11378" t="s">
        <v>25190</v>
      </c>
      <c r="B11378" t="s">
        <v>28466</v>
      </c>
      <c r="C11378" t="s">
        <v>28499</v>
      </c>
      <c r="D11378" t="s">
        <v>25197</v>
      </c>
      <c r="E11378" t="s">
        <v>25826</v>
      </c>
      <c r="F11378" t="s">
        <v>25827</v>
      </c>
      <c r="G11378" t="s">
        <v>25827</v>
      </c>
      <c r="H11378" t="s">
        <v>859</v>
      </c>
      <c r="I11378" t="s">
        <v>860</v>
      </c>
      <c r="J11378" t="str">
        <f>"9190123"</f>
        <v>9190123</v>
      </c>
      <c r="K11378">
        <v>2310764007</v>
      </c>
      <c r="L11378">
        <v>2310764007</v>
      </c>
      <c r="M11378" t="s">
        <v>28500</v>
      </c>
      <c r="N11378" t="s">
        <v>25827</v>
      </c>
      <c r="O11378" t="s">
        <v>28501</v>
      </c>
      <c r="P11378">
        <v>56334</v>
      </c>
      <c r="Q11378" t="str">
        <f>"40.668054"</f>
        <v>40.668054</v>
      </c>
      <c r="R11378" t="str">
        <f>"22.896109"</f>
        <v>22.896109</v>
      </c>
      <c r="S11378" t="s">
        <v>26</v>
      </c>
    </row>
    <row r="11379" spans="1:19" x14ac:dyDescent="0.3">
      <c r="A11379" t="s">
        <v>25190</v>
      </c>
      <c r="B11379" t="s">
        <v>28466</v>
      </c>
      <c r="C11379" t="s">
        <v>28502</v>
      </c>
      <c r="D11379" t="s">
        <v>25197</v>
      </c>
      <c r="E11379" t="s">
        <v>25826</v>
      </c>
      <c r="F11379" t="s">
        <v>25827</v>
      </c>
      <c r="G11379" t="s">
        <v>25827</v>
      </c>
      <c r="H11379" t="s">
        <v>859</v>
      </c>
      <c r="I11379" t="s">
        <v>860</v>
      </c>
      <c r="J11379" t="str">
        <f>"9190456"</f>
        <v>9190456</v>
      </c>
      <c r="K11379">
        <v>2310764390</v>
      </c>
      <c r="L11379">
        <v>2310764390</v>
      </c>
      <c r="M11379" t="s">
        <v>28503</v>
      </c>
      <c r="N11379" t="s">
        <v>25827</v>
      </c>
      <c r="O11379" t="s">
        <v>28504</v>
      </c>
      <c r="P11379">
        <v>56334</v>
      </c>
      <c r="Q11379" t="str">
        <f>"40.673189"</f>
        <v>40.673189</v>
      </c>
      <c r="R11379" t="str">
        <f>"22.893362"</f>
        <v>22.893362</v>
      </c>
      <c r="S11379" t="s">
        <v>26</v>
      </c>
    </row>
    <row r="11380" spans="1:19" x14ac:dyDescent="0.3">
      <c r="A11380" t="s">
        <v>25190</v>
      </c>
      <c r="B11380" t="s">
        <v>28466</v>
      </c>
      <c r="C11380" t="s">
        <v>28505</v>
      </c>
      <c r="D11380" t="s">
        <v>25197</v>
      </c>
      <c r="E11380" t="s">
        <v>25826</v>
      </c>
      <c r="F11380" t="s">
        <v>25827</v>
      </c>
      <c r="G11380" t="s">
        <v>25827</v>
      </c>
      <c r="H11380" t="s">
        <v>859</v>
      </c>
      <c r="I11380" t="s">
        <v>860</v>
      </c>
      <c r="J11380" t="str">
        <f>"9190607"</f>
        <v>9190607</v>
      </c>
      <c r="K11380">
        <v>2310707176</v>
      </c>
      <c r="L11380">
        <v>2310707176</v>
      </c>
      <c r="M11380" t="s">
        <v>28506</v>
      </c>
      <c r="N11380" t="s">
        <v>25827</v>
      </c>
      <c r="O11380" t="s">
        <v>28507</v>
      </c>
      <c r="P11380">
        <v>56334</v>
      </c>
      <c r="Q11380" t="str">
        <f>"40.666256"</f>
        <v>40.666256</v>
      </c>
      <c r="R11380" t="str">
        <f>"22.898029"</f>
        <v>22.898029</v>
      </c>
      <c r="S11380" t="s">
        <v>26</v>
      </c>
    </row>
    <row r="11381" spans="1:19" x14ac:dyDescent="0.3">
      <c r="A11381" t="s">
        <v>25190</v>
      </c>
      <c r="B11381" t="s">
        <v>28466</v>
      </c>
      <c r="C11381" t="s">
        <v>28508</v>
      </c>
      <c r="D11381" t="s">
        <v>25197</v>
      </c>
      <c r="E11381" t="s">
        <v>25826</v>
      </c>
      <c r="F11381" t="s">
        <v>25827</v>
      </c>
      <c r="G11381" t="s">
        <v>25827</v>
      </c>
      <c r="H11381" t="s">
        <v>859</v>
      </c>
      <c r="I11381" t="s">
        <v>860</v>
      </c>
      <c r="J11381" t="str">
        <f>"9520667"</f>
        <v>9520667</v>
      </c>
      <c r="K11381">
        <v>2310707497</v>
      </c>
      <c r="L11381">
        <v>2310707497</v>
      </c>
      <c r="M11381" t="s">
        <v>28509</v>
      </c>
      <c r="N11381" t="s">
        <v>28510</v>
      </c>
      <c r="O11381" t="s">
        <v>28511</v>
      </c>
      <c r="P11381">
        <v>56334</v>
      </c>
      <c r="Q11381" t="str">
        <f>"40.667834"</f>
        <v>40.667834</v>
      </c>
      <c r="R11381" t="str">
        <f>"22.895905"</f>
        <v>22.895905</v>
      </c>
      <c r="S11381" t="s">
        <v>26</v>
      </c>
    </row>
    <row r="11382" spans="1:19" x14ac:dyDescent="0.3">
      <c r="A11382" t="s">
        <v>25190</v>
      </c>
      <c r="B11382" t="s">
        <v>28466</v>
      </c>
      <c r="C11382" t="s">
        <v>28512</v>
      </c>
      <c r="D11382" t="s">
        <v>25197</v>
      </c>
      <c r="E11382" t="s">
        <v>25826</v>
      </c>
      <c r="F11382" t="s">
        <v>25827</v>
      </c>
      <c r="G11382" t="s">
        <v>25827</v>
      </c>
      <c r="H11382" t="s">
        <v>859</v>
      </c>
      <c r="I11382" t="s">
        <v>860</v>
      </c>
      <c r="J11382" t="str">
        <f>"9520669"</f>
        <v>9520669</v>
      </c>
      <c r="K11382">
        <v>2310764390</v>
      </c>
      <c r="L11382">
        <v>2310764390</v>
      </c>
      <c r="M11382" t="s">
        <v>28513</v>
      </c>
      <c r="N11382" t="s">
        <v>25827</v>
      </c>
      <c r="O11382" t="s">
        <v>28514</v>
      </c>
      <c r="P11382">
        <v>56334</v>
      </c>
      <c r="Q11382" t="str">
        <f>"40.673179"</f>
        <v>40.673179</v>
      </c>
      <c r="R11382" t="str">
        <f>"22.893530"</f>
        <v>22.893530</v>
      </c>
      <c r="S11382" t="s">
        <v>26</v>
      </c>
    </row>
    <row r="11383" spans="1:19" x14ac:dyDescent="0.3">
      <c r="A11383" t="s">
        <v>25190</v>
      </c>
      <c r="B11383" t="s">
        <v>28466</v>
      </c>
      <c r="C11383" t="s">
        <v>28515</v>
      </c>
      <c r="D11383" t="s">
        <v>25197</v>
      </c>
      <c r="E11383" t="s">
        <v>25826</v>
      </c>
      <c r="F11383" t="s">
        <v>25827</v>
      </c>
      <c r="G11383" t="s">
        <v>25827</v>
      </c>
      <c r="H11383" t="s">
        <v>859</v>
      </c>
      <c r="I11383" t="s">
        <v>860</v>
      </c>
      <c r="J11383" t="str">
        <f>"9190826"</f>
        <v>9190826</v>
      </c>
      <c r="K11383">
        <v>2310757849</v>
      </c>
      <c r="M11383" t="s">
        <v>28516</v>
      </c>
      <c r="N11383" t="s">
        <v>25827</v>
      </c>
      <c r="O11383" t="s">
        <v>26178</v>
      </c>
      <c r="P11383">
        <v>56334</v>
      </c>
      <c r="Q11383" t="str">
        <f>"40.672198"</f>
        <v>40.672198</v>
      </c>
      <c r="R11383" t="str">
        <f>"22.890346"</f>
        <v>22.890346</v>
      </c>
      <c r="S11383" t="s">
        <v>26</v>
      </c>
    </row>
    <row r="11384" spans="1:19" x14ac:dyDescent="0.3">
      <c r="A11384" t="s">
        <v>25190</v>
      </c>
      <c r="B11384" t="s">
        <v>28466</v>
      </c>
      <c r="C11384" t="s">
        <v>28517</v>
      </c>
      <c r="D11384" t="s">
        <v>25197</v>
      </c>
      <c r="E11384" t="s">
        <v>25826</v>
      </c>
      <c r="F11384" t="s">
        <v>25833</v>
      </c>
      <c r="G11384" t="s">
        <v>25833</v>
      </c>
      <c r="H11384" t="s">
        <v>859</v>
      </c>
      <c r="I11384" t="s">
        <v>860</v>
      </c>
      <c r="J11384" t="str">
        <f>"9190111"</f>
        <v>9190111</v>
      </c>
      <c r="K11384">
        <v>2310650430</v>
      </c>
      <c r="L11384">
        <v>2310650430</v>
      </c>
      <c r="M11384" t="s">
        <v>28518</v>
      </c>
      <c r="N11384" t="s">
        <v>25833</v>
      </c>
      <c r="O11384" t="s">
        <v>28519</v>
      </c>
      <c r="P11384">
        <v>56431</v>
      </c>
      <c r="Q11384" t="str">
        <f>"40.670977"</f>
        <v>40.670977</v>
      </c>
      <c r="R11384" t="str">
        <f>"22.927694"</f>
        <v>22.927694</v>
      </c>
      <c r="S11384" t="s">
        <v>26</v>
      </c>
    </row>
    <row r="11385" spans="1:19" x14ac:dyDescent="0.3">
      <c r="A11385" t="s">
        <v>25190</v>
      </c>
      <c r="B11385" t="s">
        <v>28466</v>
      </c>
      <c r="C11385" t="s">
        <v>28520</v>
      </c>
      <c r="D11385" t="s">
        <v>25197</v>
      </c>
      <c r="E11385" t="s">
        <v>25826</v>
      </c>
      <c r="F11385" t="s">
        <v>25833</v>
      </c>
      <c r="G11385" t="s">
        <v>25833</v>
      </c>
      <c r="H11385" t="s">
        <v>859</v>
      </c>
      <c r="I11385" t="s">
        <v>860</v>
      </c>
      <c r="J11385" t="str">
        <f>"9190853"</f>
        <v>9190853</v>
      </c>
      <c r="K11385">
        <v>2310759381</v>
      </c>
      <c r="L11385">
        <v>2310759381</v>
      </c>
      <c r="M11385" t="s">
        <v>28521</v>
      </c>
      <c r="N11385" t="s">
        <v>25833</v>
      </c>
      <c r="O11385" t="s">
        <v>28522</v>
      </c>
      <c r="P11385">
        <v>56224</v>
      </c>
      <c r="Q11385" t="str">
        <f>"40.667597"</f>
        <v>40.667597</v>
      </c>
      <c r="R11385" t="str">
        <f>"22.908561"</f>
        <v>22.908561</v>
      </c>
      <c r="S11385" t="s">
        <v>26</v>
      </c>
    </row>
    <row r="11386" spans="1:19" x14ac:dyDescent="0.3">
      <c r="A11386" t="s">
        <v>25190</v>
      </c>
      <c r="B11386" t="s">
        <v>28466</v>
      </c>
      <c r="C11386" t="s">
        <v>28523</v>
      </c>
      <c r="D11386" t="s">
        <v>25197</v>
      </c>
      <c r="E11386" t="s">
        <v>25826</v>
      </c>
      <c r="F11386" t="s">
        <v>25833</v>
      </c>
      <c r="G11386" t="s">
        <v>25833</v>
      </c>
      <c r="H11386" t="s">
        <v>859</v>
      </c>
      <c r="I11386" t="s">
        <v>860</v>
      </c>
      <c r="J11386" t="str">
        <f>"9190854"</f>
        <v>9190854</v>
      </c>
      <c r="K11386">
        <v>2310640102</v>
      </c>
      <c r="L11386">
        <v>2310640102</v>
      </c>
      <c r="M11386" t="s">
        <v>28524</v>
      </c>
      <c r="N11386" t="s">
        <v>25833</v>
      </c>
      <c r="O11386" t="s">
        <v>28495</v>
      </c>
      <c r="P11386">
        <v>56224</v>
      </c>
      <c r="Q11386" t="str">
        <f>"40.663499"</f>
        <v>40.663499</v>
      </c>
      <c r="R11386" t="str">
        <f>"22.918792"</f>
        <v>22.918792</v>
      </c>
      <c r="S11386" t="s">
        <v>26</v>
      </c>
    </row>
    <row r="11387" spans="1:19" x14ac:dyDescent="0.3">
      <c r="A11387" t="s">
        <v>25190</v>
      </c>
      <c r="B11387" t="s">
        <v>28466</v>
      </c>
      <c r="C11387" t="s">
        <v>28525</v>
      </c>
      <c r="D11387" t="s">
        <v>25197</v>
      </c>
      <c r="E11387" t="s">
        <v>25826</v>
      </c>
      <c r="F11387" t="s">
        <v>25833</v>
      </c>
      <c r="G11387" t="s">
        <v>25833</v>
      </c>
      <c r="H11387" t="s">
        <v>859</v>
      </c>
      <c r="I11387" t="s">
        <v>860</v>
      </c>
      <c r="J11387" t="str">
        <f>"9190943"</f>
        <v>9190943</v>
      </c>
      <c r="K11387">
        <v>2310772925</v>
      </c>
      <c r="L11387">
        <v>2310772925</v>
      </c>
      <c r="M11387" t="s">
        <v>28526</v>
      </c>
      <c r="N11387" t="s">
        <v>25833</v>
      </c>
      <c r="O11387" t="s">
        <v>28527</v>
      </c>
      <c r="P11387">
        <v>56224</v>
      </c>
      <c r="Q11387" t="str">
        <f>"40.674522"</f>
        <v>40.674522</v>
      </c>
      <c r="R11387" t="str">
        <f>"22.914612"</f>
        <v>22.914612</v>
      </c>
      <c r="S11387" t="s">
        <v>26</v>
      </c>
    </row>
    <row r="11388" spans="1:19" x14ac:dyDescent="0.3">
      <c r="A11388" t="s">
        <v>25190</v>
      </c>
      <c r="B11388" t="s">
        <v>28466</v>
      </c>
      <c r="C11388" t="s">
        <v>28528</v>
      </c>
      <c r="D11388" t="s">
        <v>25197</v>
      </c>
      <c r="E11388" t="s">
        <v>25826</v>
      </c>
      <c r="F11388" t="s">
        <v>25833</v>
      </c>
      <c r="G11388" t="s">
        <v>25833</v>
      </c>
      <c r="H11388" t="s">
        <v>859</v>
      </c>
      <c r="I11388" t="s">
        <v>860</v>
      </c>
      <c r="J11388" t="str">
        <f>"9190944"</f>
        <v>9190944</v>
      </c>
      <c r="K11388">
        <v>2310602480</v>
      </c>
      <c r="L11388">
        <v>2310602480</v>
      </c>
      <c r="M11388" t="s">
        <v>28529</v>
      </c>
      <c r="N11388" t="s">
        <v>25833</v>
      </c>
      <c r="O11388" t="s">
        <v>28530</v>
      </c>
      <c r="P11388">
        <v>56224</v>
      </c>
      <c r="Q11388" t="str">
        <f>"40.672537"</f>
        <v>40.672537</v>
      </c>
      <c r="R11388" t="str">
        <f>"22.918882"</f>
        <v>22.918882</v>
      </c>
      <c r="S11388" t="s">
        <v>26</v>
      </c>
    </row>
    <row r="11389" spans="1:19" x14ac:dyDescent="0.3">
      <c r="A11389" t="s">
        <v>25190</v>
      </c>
      <c r="B11389" t="s">
        <v>28466</v>
      </c>
      <c r="C11389" t="s">
        <v>28531</v>
      </c>
      <c r="D11389" t="s">
        <v>25197</v>
      </c>
      <c r="E11389" t="s">
        <v>25826</v>
      </c>
      <c r="F11389" t="s">
        <v>25833</v>
      </c>
      <c r="G11389" t="s">
        <v>25833</v>
      </c>
      <c r="H11389" t="s">
        <v>859</v>
      </c>
      <c r="I11389" t="s">
        <v>860</v>
      </c>
      <c r="J11389" t="str">
        <f>"9520661"</f>
        <v>9520661</v>
      </c>
      <c r="K11389">
        <v>2310641927</v>
      </c>
      <c r="L11389">
        <v>2310641927</v>
      </c>
      <c r="M11389" t="s">
        <v>28532</v>
      </c>
      <c r="N11389" t="s">
        <v>25833</v>
      </c>
      <c r="O11389" t="s">
        <v>28533</v>
      </c>
      <c r="P11389">
        <v>56431</v>
      </c>
      <c r="Q11389" t="str">
        <f>"40.664783"</f>
        <v>40.664783</v>
      </c>
      <c r="R11389" t="str">
        <f>"22.925934"</f>
        <v>22.925934</v>
      </c>
      <c r="S11389" t="s">
        <v>26</v>
      </c>
    </row>
    <row r="11390" spans="1:19" x14ac:dyDescent="0.3">
      <c r="A11390" t="s">
        <v>25190</v>
      </c>
      <c r="B11390" t="s">
        <v>28466</v>
      </c>
      <c r="C11390" t="s">
        <v>28534</v>
      </c>
      <c r="D11390" t="s">
        <v>25197</v>
      </c>
      <c r="E11390" t="s">
        <v>25826</v>
      </c>
      <c r="F11390" t="s">
        <v>25833</v>
      </c>
      <c r="G11390" t="s">
        <v>25833</v>
      </c>
      <c r="H11390" t="s">
        <v>859</v>
      </c>
      <c r="I11390" t="s">
        <v>860</v>
      </c>
      <c r="J11390" t="str">
        <f>"9520662"</f>
        <v>9520662</v>
      </c>
      <c r="K11390">
        <v>2310703644</v>
      </c>
      <c r="L11390">
        <v>2310703644</v>
      </c>
      <c r="M11390" t="s">
        <v>28535</v>
      </c>
      <c r="N11390" t="s">
        <v>25833</v>
      </c>
      <c r="O11390" t="s">
        <v>28536</v>
      </c>
      <c r="P11390">
        <v>56224</v>
      </c>
      <c r="Q11390" t="str">
        <f>"40.667036"</f>
        <v>40.667036</v>
      </c>
      <c r="R11390" t="str">
        <f>"22.910492"</f>
        <v>22.910492</v>
      </c>
      <c r="S11390" t="s">
        <v>26</v>
      </c>
    </row>
    <row r="11391" spans="1:19" x14ac:dyDescent="0.3">
      <c r="A11391" t="s">
        <v>25190</v>
      </c>
      <c r="B11391" t="s">
        <v>28466</v>
      </c>
      <c r="C11391" t="s">
        <v>28537</v>
      </c>
      <c r="D11391" t="s">
        <v>25197</v>
      </c>
      <c r="E11391" t="s">
        <v>25826</v>
      </c>
      <c r="F11391" t="s">
        <v>25833</v>
      </c>
      <c r="G11391" t="s">
        <v>25833</v>
      </c>
      <c r="H11391" t="s">
        <v>859</v>
      </c>
      <c r="I11391" t="s">
        <v>860</v>
      </c>
      <c r="J11391" t="str">
        <f>"9520663"</f>
        <v>9520663</v>
      </c>
      <c r="K11391">
        <v>2310768120</v>
      </c>
      <c r="L11391">
        <v>2310768120</v>
      </c>
      <c r="M11391" t="s">
        <v>28538</v>
      </c>
      <c r="N11391" t="s">
        <v>25833</v>
      </c>
      <c r="O11391" t="s">
        <v>28539</v>
      </c>
      <c r="P11391">
        <v>56224</v>
      </c>
      <c r="Q11391" t="str">
        <f>"40.674001"</f>
        <v>40.674001</v>
      </c>
      <c r="R11391" t="str">
        <f>"22.914397"</f>
        <v>22.914397</v>
      </c>
      <c r="S11391" t="s">
        <v>26</v>
      </c>
    </row>
    <row r="11392" spans="1:19" x14ac:dyDescent="0.3">
      <c r="A11392" t="s">
        <v>25190</v>
      </c>
      <c r="B11392" t="s">
        <v>28466</v>
      </c>
      <c r="C11392" t="s">
        <v>28540</v>
      </c>
      <c r="D11392" t="s">
        <v>25197</v>
      </c>
      <c r="E11392" t="s">
        <v>25826</v>
      </c>
      <c r="F11392" t="s">
        <v>25833</v>
      </c>
      <c r="G11392" t="s">
        <v>25833</v>
      </c>
      <c r="H11392" t="s">
        <v>859</v>
      </c>
      <c r="I11392" t="s">
        <v>860</v>
      </c>
      <c r="J11392" t="str">
        <f>"9520665"</f>
        <v>9520665</v>
      </c>
      <c r="K11392">
        <v>2310574176</v>
      </c>
      <c r="L11392">
        <v>2310574176</v>
      </c>
      <c r="M11392" t="s">
        <v>28541</v>
      </c>
      <c r="N11392" t="s">
        <v>25833</v>
      </c>
      <c r="O11392" t="s">
        <v>28487</v>
      </c>
      <c r="P11392">
        <v>56224</v>
      </c>
      <c r="Q11392" t="str">
        <f>"40.662233"</f>
        <v>40.662233</v>
      </c>
      <c r="R11392" t="str">
        <f>"22.907811"</f>
        <v>22.907811</v>
      </c>
      <c r="S11392" t="s">
        <v>26</v>
      </c>
    </row>
    <row r="11393" spans="1:19" x14ac:dyDescent="0.3">
      <c r="A11393" t="s">
        <v>25190</v>
      </c>
      <c r="B11393" t="s">
        <v>28466</v>
      </c>
      <c r="C11393" t="s">
        <v>28542</v>
      </c>
      <c r="D11393" t="s">
        <v>25197</v>
      </c>
      <c r="E11393" t="s">
        <v>25826</v>
      </c>
      <c r="F11393" t="s">
        <v>25833</v>
      </c>
      <c r="G11393" t="s">
        <v>25833</v>
      </c>
      <c r="H11393" t="s">
        <v>859</v>
      </c>
      <c r="I11393" t="s">
        <v>860</v>
      </c>
      <c r="J11393" t="str">
        <f>"9520750"</f>
        <v>9520750</v>
      </c>
      <c r="K11393">
        <v>2310704071</v>
      </c>
      <c r="L11393">
        <v>2310704071</v>
      </c>
      <c r="M11393" t="s">
        <v>28543</v>
      </c>
      <c r="N11393" t="s">
        <v>26010</v>
      </c>
      <c r="O11393" t="s">
        <v>28544</v>
      </c>
      <c r="P11393">
        <v>56224</v>
      </c>
      <c r="Q11393" t="str">
        <f>"40.672790"</f>
        <v>40.672790</v>
      </c>
      <c r="R11393" t="str">
        <f>"22.903143"</f>
        <v>22.903143</v>
      </c>
      <c r="S11393" t="s">
        <v>26</v>
      </c>
    </row>
    <row r="11394" spans="1:19" x14ac:dyDescent="0.3">
      <c r="A11394" t="s">
        <v>25190</v>
      </c>
      <c r="B11394" t="s">
        <v>28466</v>
      </c>
      <c r="C11394" t="s">
        <v>28545</v>
      </c>
      <c r="D11394" t="s">
        <v>25197</v>
      </c>
      <c r="E11394" t="s">
        <v>25826</v>
      </c>
      <c r="F11394" t="s">
        <v>25833</v>
      </c>
      <c r="G11394" t="s">
        <v>25833</v>
      </c>
      <c r="H11394" t="s">
        <v>859</v>
      </c>
      <c r="I11394" t="s">
        <v>860</v>
      </c>
      <c r="J11394" t="str">
        <f>"9520751"</f>
        <v>9520751</v>
      </c>
      <c r="K11394">
        <v>2310776810</v>
      </c>
      <c r="L11394">
        <v>2310776810</v>
      </c>
      <c r="M11394" t="s">
        <v>28546</v>
      </c>
      <c r="N11394" t="s">
        <v>25833</v>
      </c>
      <c r="O11394" t="s">
        <v>28547</v>
      </c>
      <c r="P11394">
        <v>56224</v>
      </c>
      <c r="Q11394" t="str">
        <f>"40.673933"</f>
        <v>40.673933</v>
      </c>
      <c r="R11394" t="str">
        <f>"22.906129"</f>
        <v>22.906129</v>
      </c>
      <c r="S11394" t="s">
        <v>26</v>
      </c>
    </row>
    <row r="11395" spans="1:19" x14ac:dyDescent="0.3">
      <c r="A11395" t="s">
        <v>25190</v>
      </c>
      <c r="B11395" t="s">
        <v>28466</v>
      </c>
      <c r="C11395" t="s">
        <v>28548</v>
      </c>
      <c r="D11395" t="s">
        <v>25197</v>
      </c>
      <c r="E11395" t="s">
        <v>25203</v>
      </c>
      <c r="F11395" t="s">
        <v>595</v>
      </c>
      <c r="G11395" t="s">
        <v>595</v>
      </c>
      <c r="H11395" t="s">
        <v>859</v>
      </c>
      <c r="I11395" t="s">
        <v>860</v>
      </c>
      <c r="J11395" t="str">
        <f>"9190104"</f>
        <v>9190104</v>
      </c>
      <c r="K11395">
        <v>2310665499</v>
      </c>
      <c r="L11395">
        <v>2310665499</v>
      </c>
      <c r="M11395" t="s">
        <v>28549</v>
      </c>
      <c r="N11395" t="s">
        <v>594</v>
      </c>
      <c r="O11395" t="s">
        <v>28550</v>
      </c>
      <c r="P11395">
        <v>56430</v>
      </c>
      <c r="Q11395" t="str">
        <f>"40.666907"</f>
        <v>40.666907</v>
      </c>
      <c r="R11395" t="str">
        <f>"22.933939"</f>
        <v>22.933939</v>
      </c>
      <c r="S11395" t="s">
        <v>26</v>
      </c>
    </row>
    <row r="11396" spans="1:19" x14ac:dyDescent="0.3">
      <c r="A11396" t="s">
        <v>25190</v>
      </c>
      <c r="B11396" t="s">
        <v>28466</v>
      </c>
      <c r="C11396" t="s">
        <v>28551</v>
      </c>
      <c r="D11396" t="s">
        <v>25197</v>
      </c>
      <c r="E11396" t="s">
        <v>25203</v>
      </c>
      <c r="F11396" t="s">
        <v>595</v>
      </c>
      <c r="G11396" t="s">
        <v>595</v>
      </c>
      <c r="H11396" t="s">
        <v>859</v>
      </c>
      <c r="I11396" t="s">
        <v>860</v>
      </c>
      <c r="J11396" t="str">
        <f>"9190105"</f>
        <v>9190105</v>
      </c>
      <c r="K11396">
        <v>2310609545</v>
      </c>
      <c r="L11396">
        <v>2310656110</v>
      </c>
      <c r="M11396" t="s">
        <v>28552</v>
      </c>
      <c r="N11396" t="s">
        <v>594</v>
      </c>
      <c r="O11396" t="s">
        <v>28553</v>
      </c>
      <c r="P11396">
        <v>56430</v>
      </c>
      <c r="Q11396" t="str">
        <f>"40.659770"</f>
        <v>40.659770</v>
      </c>
      <c r="R11396" t="str">
        <f>"22.930538"</f>
        <v>22.930538</v>
      </c>
      <c r="S11396" t="s">
        <v>26</v>
      </c>
    </row>
    <row r="11397" spans="1:19" x14ac:dyDescent="0.3">
      <c r="A11397" t="s">
        <v>25190</v>
      </c>
      <c r="B11397" t="s">
        <v>28466</v>
      </c>
      <c r="C11397" t="s">
        <v>28554</v>
      </c>
      <c r="D11397" t="s">
        <v>25197</v>
      </c>
      <c r="E11397" t="s">
        <v>25203</v>
      </c>
      <c r="F11397" t="s">
        <v>595</v>
      </c>
      <c r="G11397" t="s">
        <v>595</v>
      </c>
      <c r="H11397" t="s">
        <v>859</v>
      </c>
      <c r="I11397" t="s">
        <v>860</v>
      </c>
      <c r="J11397" t="str">
        <f>"9190106"</f>
        <v>9190106</v>
      </c>
      <c r="K11397">
        <v>2310604024</v>
      </c>
      <c r="L11397">
        <v>2310604024</v>
      </c>
      <c r="M11397" t="s">
        <v>28555</v>
      </c>
      <c r="N11397" t="s">
        <v>594</v>
      </c>
      <c r="O11397" t="s">
        <v>28556</v>
      </c>
      <c r="P11397">
        <v>56431</v>
      </c>
      <c r="Q11397" t="str">
        <f>"40.669040"</f>
        <v>40.669040</v>
      </c>
      <c r="R11397" t="str">
        <f>"22.929380"</f>
        <v>22.929380</v>
      </c>
      <c r="S11397" t="s">
        <v>26</v>
      </c>
    </row>
    <row r="11398" spans="1:19" x14ac:dyDescent="0.3">
      <c r="A11398" t="s">
        <v>25190</v>
      </c>
      <c r="B11398" t="s">
        <v>28466</v>
      </c>
      <c r="C11398" t="s">
        <v>28557</v>
      </c>
      <c r="D11398" t="s">
        <v>25197</v>
      </c>
      <c r="E11398" t="s">
        <v>25815</v>
      </c>
      <c r="F11398" t="s">
        <v>60</v>
      </c>
      <c r="G11398" t="s">
        <v>25914</v>
      </c>
      <c r="H11398" t="s">
        <v>859</v>
      </c>
      <c r="I11398" t="s">
        <v>860</v>
      </c>
      <c r="J11398" t="str">
        <f>"9190313"</f>
        <v>9190313</v>
      </c>
      <c r="K11398">
        <v>2310713555</v>
      </c>
      <c r="L11398">
        <v>231071355</v>
      </c>
      <c r="M11398" t="s">
        <v>28558</v>
      </c>
      <c r="N11398" t="s">
        <v>28559</v>
      </c>
      <c r="O11398" t="s">
        <v>28560</v>
      </c>
      <c r="P11398">
        <v>57011</v>
      </c>
      <c r="Q11398" t="str">
        <f>"40.751784"</f>
        <v>40.751784</v>
      </c>
      <c r="R11398" t="str">
        <f>"22.770808"</f>
        <v>22.770808</v>
      </c>
      <c r="S11398" t="s">
        <v>26</v>
      </c>
    </row>
    <row r="11399" spans="1:19" x14ac:dyDescent="0.3">
      <c r="A11399" t="s">
        <v>25190</v>
      </c>
      <c r="B11399" t="s">
        <v>28466</v>
      </c>
      <c r="C11399" t="s">
        <v>28561</v>
      </c>
      <c r="D11399" t="s">
        <v>25197</v>
      </c>
      <c r="E11399" t="s">
        <v>25203</v>
      </c>
      <c r="F11399" t="s">
        <v>595</v>
      </c>
      <c r="G11399" t="s">
        <v>595</v>
      </c>
      <c r="H11399" t="s">
        <v>859</v>
      </c>
      <c r="I11399" t="s">
        <v>860</v>
      </c>
      <c r="J11399" t="str">
        <f>"9190865"</f>
        <v>9190865</v>
      </c>
      <c r="K11399">
        <v>2316010899</v>
      </c>
      <c r="L11399">
        <v>2310604024</v>
      </c>
      <c r="M11399" t="s">
        <v>28562</v>
      </c>
      <c r="N11399" t="s">
        <v>594</v>
      </c>
      <c r="O11399" t="s">
        <v>28556</v>
      </c>
      <c r="P11399">
        <v>56431</v>
      </c>
      <c r="Q11399" t="str">
        <f>"40.668940"</f>
        <v>40.668940</v>
      </c>
      <c r="R11399" t="str">
        <f>"22.929060"</f>
        <v>22.929060</v>
      </c>
      <c r="S11399" t="s">
        <v>26</v>
      </c>
    </row>
    <row r="11400" spans="1:19" x14ac:dyDescent="0.3">
      <c r="A11400" t="s">
        <v>25190</v>
      </c>
      <c r="B11400" t="s">
        <v>28466</v>
      </c>
      <c r="C11400" t="s">
        <v>28563</v>
      </c>
      <c r="D11400" t="s">
        <v>25197</v>
      </c>
      <c r="E11400" t="s">
        <v>25203</v>
      </c>
      <c r="F11400" t="s">
        <v>595</v>
      </c>
      <c r="G11400" t="s">
        <v>595</v>
      </c>
      <c r="H11400" t="s">
        <v>859</v>
      </c>
      <c r="I11400" t="s">
        <v>860</v>
      </c>
      <c r="J11400" t="str">
        <f>"9190108"</f>
        <v>9190108</v>
      </c>
      <c r="K11400">
        <v>2310653574</v>
      </c>
      <c r="L11400">
        <v>2310653574</v>
      </c>
      <c r="M11400" t="s">
        <v>28564</v>
      </c>
      <c r="N11400" t="s">
        <v>594</v>
      </c>
      <c r="O11400" t="s">
        <v>28565</v>
      </c>
      <c r="P11400">
        <v>56431</v>
      </c>
      <c r="Q11400" t="str">
        <f>"40.669073"</f>
        <v>40.669073</v>
      </c>
      <c r="R11400" t="str">
        <f>"22.930757"</f>
        <v>22.930757</v>
      </c>
      <c r="S11400" t="s">
        <v>26</v>
      </c>
    </row>
    <row r="11401" spans="1:19" x14ac:dyDescent="0.3">
      <c r="A11401" t="s">
        <v>25190</v>
      </c>
      <c r="B11401" t="s">
        <v>28466</v>
      </c>
      <c r="C11401" t="s">
        <v>28566</v>
      </c>
      <c r="D11401" t="s">
        <v>25197</v>
      </c>
      <c r="E11401" t="s">
        <v>25203</v>
      </c>
      <c r="F11401" t="s">
        <v>595</v>
      </c>
      <c r="G11401" t="s">
        <v>595</v>
      </c>
      <c r="H11401" t="s">
        <v>859</v>
      </c>
      <c r="I11401" t="s">
        <v>860</v>
      </c>
      <c r="J11401" t="str">
        <f>"9190109"</f>
        <v>9190109</v>
      </c>
      <c r="K11401">
        <v>2310651061</v>
      </c>
      <c r="L11401">
        <v>2310651061</v>
      </c>
      <c r="M11401" t="s">
        <v>28567</v>
      </c>
      <c r="N11401" t="s">
        <v>594</v>
      </c>
      <c r="O11401" t="s">
        <v>28568</v>
      </c>
      <c r="P11401">
        <v>56431</v>
      </c>
      <c r="Q11401" t="str">
        <f>"40.671194"</f>
        <v>40.671194</v>
      </c>
      <c r="R11401" t="str">
        <f>"22.931591"</f>
        <v>22.931591</v>
      </c>
      <c r="S11401" t="s">
        <v>26</v>
      </c>
    </row>
    <row r="11402" spans="1:19" x14ac:dyDescent="0.3">
      <c r="A11402" t="s">
        <v>25190</v>
      </c>
      <c r="B11402" t="s">
        <v>28466</v>
      </c>
      <c r="C11402" t="s">
        <v>28569</v>
      </c>
      <c r="D11402" t="s">
        <v>25197</v>
      </c>
      <c r="E11402" t="s">
        <v>25203</v>
      </c>
      <c r="F11402" t="s">
        <v>595</v>
      </c>
      <c r="G11402" t="s">
        <v>595</v>
      </c>
      <c r="H11402" t="s">
        <v>859</v>
      </c>
      <c r="I11402" t="s">
        <v>860</v>
      </c>
      <c r="J11402" t="str">
        <f>"9190517"</f>
        <v>9190517</v>
      </c>
      <c r="K11402">
        <v>2310609096</v>
      </c>
      <c r="L11402">
        <v>2310609096</v>
      </c>
      <c r="M11402" t="s">
        <v>28570</v>
      </c>
      <c r="N11402" t="s">
        <v>594</v>
      </c>
      <c r="O11402" t="s">
        <v>28571</v>
      </c>
      <c r="P11402">
        <v>56430</v>
      </c>
      <c r="Q11402" t="str">
        <f>"40.671820"</f>
        <v>40.671820</v>
      </c>
      <c r="R11402" t="str">
        <f>"22.937605"</f>
        <v>22.937605</v>
      </c>
      <c r="S11402" t="s">
        <v>26</v>
      </c>
    </row>
    <row r="11403" spans="1:19" x14ac:dyDescent="0.3">
      <c r="A11403" t="s">
        <v>25190</v>
      </c>
      <c r="B11403" t="s">
        <v>28466</v>
      </c>
      <c r="C11403" t="s">
        <v>28572</v>
      </c>
      <c r="D11403" t="s">
        <v>25197</v>
      </c>
      <c r="E11403" t="s">
        <v>25203</v>
      </c>
      <c r="F11403" t="s">
        <v>595</v>
      </c>
      <c r="G11403" t="s">
        <v>595</v>
      </c>
      <c r="H11403" t="s">
        <v>859</v>
      </c>
      <c r="I11403" t="s">
        <v>860</v>
      </c>
      <c r="J11403" t="str">
        <f>"9190599"</f>
        <v>9190599</v>
      </c>
      <c r="K11403">
        <v>2310654922</v>
      </c>
      <c r="L11403">
        <v>2310654922</v>
      </c>
      <c r="M11403" t="s">
        <v>28573</v>
      </c>
      <c r="N11403" t="s">
        <v>594</v>
      </c>
      <c r="O11403" t="s">
        <v>28574</v>
      </c>
      <c r="P11403">
        <v>56430</v>
      </c>
      <c r="Q11403" t="str">
        <f>"40.665033"</f>
        <v>40.665033</v>
      </c>
      <c r="R11403" t="str">
        <f>"22.933820"</f>
        <v>22.933820</v>
      </c>
      <c r="S11403" t="s">
        <v>26</v>
      </c>
    </row>
    <row r="11404" spans="1:19" x14ac:dyDescent="0.3">
      <c r="A11404" t="s">
        <v>25190</v>
      </c>
      <c r="B11404" t="s">
        <v>28466</v>
      </c>
      <c r="C11404" t="s">
        <v>28575</v>
      </c>
      <c r="D11404" t="s">
        <v>25197</v>
      </c>
      <c r="E11404" t="s">
        <v>25203</v>
      </c>
      <c r="F11404" t="s">
        <v>595</v>
      </c>
      <c r="G11404" t="s">
        <v>595</v>
      </c>
      <c r="H11404" t="s">
        <v>859</v>
      </c>
      <c r="I11404" t="s">
        <v>860</v>
      </c>
      <c r="J11404" t="str">
        <f>"9190600"</f>
        <v>9190600</v>
      </c>
      <c r="K11404">
        <v>2310659772</v>
      </c>
      <c r="L11404">
        <v>2310659772</v>
      </c>
      <c r="M11404" t="s">
        <v>28576</v>
      </c>
      <c r="N11404" t="s">
        <v>594</v>
      </c>
      <c r="O11404" t="s">
        <v>28577</v>
      </c>
      <c r="P11404">
        <v>56430</v>
      </c>
      <c r="Q11404" t="str">
        <f>"40.661045"</f>
        <v>40.661045</v>
      </c>
      <c r="R11404" t="str">
        <f>"22.934192"</f>
        <v>22.934192</v>
      </c>
      <c r="S11404" t="s">
        <v>26</v>
      </c>
    </row>
    <row r="11405" spans="1:19" x14ac:dyDescent="0.3">
      <c r="A11405" t="s">
        <v>25190</v>
      </c>
      <c r="B11405" t="s">
        <v>28466</v>
      </c>
      <c r="C11405" t="s">
        <v>28578</v>
      </c>
      <c r="D11405" t="s">
        <v>25197</v>
      </c>
      <c r="E11405" t="s">
        <v>25203</v>
      </c>
      <c r="F11405" t="s">
        <v>595</v>
      </c>
      <c r="G11405" t="s">
        <v>595</v>
      </c>
      <c r="H11405" t="s">
        <v>859</v>
      </c>
      <c r="I11405" t="s">
        <v>860</v>
      </c>
      <c r="J11405" t="str">
        <f>"9190684"</f>
        <v>9190684</v>
      </c>
      <c r="K11405">
        <v>2310658677</v>
      </c>
      <c r="L11405">
        <v>2310658677</v>
      </c>
      <c r="M11405" t="s">
        <v>28579</v>
      </c>
      <c r="N11405" t="s">
        <v>594</v>
      </c>
      <c r="O11405" t="s">
        <v>28580</v>
      </c>
      <c r="P11405">
        <v>56431</v>
      </c>
      <c r="Q11405" t="str">
        <f>"40.675913"</f>
        <v>40.675913</v>
      </c>
      <c r="R11405" t="str">
        <f>"22.930472"</f>
        <v>22.930472</v>
      </c>
      <c r="S11405" t="s">
        <v>26</v>
      </c>
    </row>
    <row r="11406" spans="1:19" x14ac:dyDescent="0.3">
      <c r="A11406" t="s">
        <v>25190</v>
      </c>
      <c r="B11406" t="s">
        <v>28466</v>
      </c>
      <c r="C11406" t="s">
        <v>28581</v>
      </c>
      <c r="D11406" t="s">
        <v>25197</v>
      </c>
      <c r="E11406" t="s">
        <v>25203</v>
      </c>
      <c r="F11406" t="s">
        <v>595</v>
      </c>
      <c r="G11406" t="s">
        <v>595</v>
      </c>
      <c r="H11406" t="s">
        <v>859</v>
      </c>
      <c r="I11406" t="s">
        <v>860</v>
      </c>
      <c r="J11406" t="str">
        <f>"9190685"</f>
        <v>9190685</v>
      </c>
      <c r="K11406">
        <v>2310602137</v>
      </c>
      <c r="L11406">
        <v>2310602137</v>
      </c>
      <c r="M11406" t="s">
        <v>28582</v>
      </c>
      <c r="N11406" t="s">
        <v>594</v>
      </c>
      <c r="O11406" t="s">
        <v>28583</v>
      </c>
      <c r="P11406">
        <v>56431</v>
      </c>
      <c r="Q11406" t="str">
        <f>"40.674560"</f>
        <v>40.674560</v>
      </c>
      <c r="R11406" t="str">
        <f>"22.924538"</f>
        <v>22.924538</v>
      </c>
      <c r="S11406" t="s">
        <v>26</v>
      </c>
    </row>
    <row r="11407" spans="1:19" x14ac:dyDescent="0.3">
      <c r="A11407" t="s">
        <v>25190</v>
      </c>
      <c r="B11407" t="s">
        <v>28466</v>
      </c>
      <c r="C11407" t="s">
        <v>28584</v>
      </c>
      <c r="D11407" t="s">
        <v>25197</v>
      </c>
      <c r="E11407" t="s">
        <v>25203</v>
      </c>
      <c r="F11407" t="s">
        <v>595</v>
      </c>
      <c r="G11407" t="s">
        <v>595</v>
      </c>
      <c r="H11407" t="s">
        <v>859</v>
      </c>
      <c r="I11407" t="s">
        <v>860</v>
      </c>
      <c r="J11407" t="str">
        <f>"9190686"</f>
        <v>9190686</v>
      </c>
      <c r="K11407">
        <v>2310654922</v>
      </c>
      <c r="M11407" t="s">
        <v>28585</v>
      </c>
      <c r="N11407" t="s">
        <v>594</v>
      </c>
      <c r="O11407" t="s">
        <v>28574</v>
      </c>
      <c r="P11407">
        <v>56430</v>
      </c>
      <c r="Q11407" t="str">
        <f>"40.665033"</f>
        <v>40.665033</v>
      </c>
      <c r="R11407" t="str">
        <f>"22.933820"</f>
        <v>22.933820</v>
      </c>
      <c r="S11407" t="s">
        <v>26</v>
      </c>
    </row>
    <row r="11408" spans="1:19" x14ac:dyDescent="0.3">
      <c r="A11408" t="s">
        <v>25190</v>
      </c>
      <c r="B11408" t="s">
        <v>28466</v>
      </c>
      <c r="C11408" t="s">
        <v>28586</v>
      </c>
      <c r="D11408" t="s">
        <v>25197</v>
      </c>
      <c r="E11408" t="s">
        <v>25203</v>
      </c>
      <c r="F11408" t="s">
        <v>595</v>
      </c>
      <c r="G11408" t="s">
        <v>595</v>
      </c>
      <c r="H11408" t="s">
        <v>859</v>
      </c>
      <c r="I11408" t="s">
        <v>860</v>
      </c>
      <c r="J11408" t="str">
        <f>"9190601"</f>
        <v>9190601</v>
      </c>
      <c r="K11408">
        <v>2310587230</v>
      </c>
      <c r="L11408">
        <v>2310587230</v>
      </c>
      <c r="M11408" t="s">
        <v>28587</v>
      </c>
      <c r="N11408" t="s">
        <v>594</v>
      </c>
      <c r="O11408" t="s">
        <v>28588</v>
      </c>
      <c r="P11408">
        <v>56430</v>
      </c>
      <c r="Q11408" t="str">
        <f>"40.666468"</f>
        <v>40.666468</v>
      </c>
      <c r="R11408" t="str">
        <f>"22.934730"</f>
        <v>22.934730</v>
      </c>
      <c r="S11408" t="s">
        <v>26</v>
      </c>
    </row>
    <row r="11409" spans="1:19" x14ac:dyDescent="0.3">
      <c r="A11409" t="s">
        <v>25190</v>
      </c>
      <c r="B11409" t="s">
        <v>28466</v>
      </c>
      <c r="C11409" t="s">
        <v>28589</v>
      </c>
      <c r="D11409" t="s">
        <v>25197</v>
      </c>
      <c r="E11409" t="s">
        <v>25826</v>
      </c>
      <c r="F11409" t="s">
        <v>25827</v>
      </c>
      <c r="G11409" t="s">
        <v>25827</v>
      </c>
      <c r="H11409" t="s">
        <v>859</v>
      </c>
      <c r="I11409" t="s">
        <v>860</v>
      </c>
      <c r="J11409" t="str">
        <f>"9520923"</f>
        <v>9520923</v>
      </c>
      <c r="K11409">
        <v>2310762120</v>
      </c>
      <c r="L11409">
        <v>2310762120</v>
      </c>
      <c r="M11409" t="s">
        <v>28590</v>
      </c>
      <c r="N11409" t="s">
        <v>25827</v>
      </c>
      <c r="O11409" t="s">
        <v>26145</v>
      </c>
      <c r="P11409">
        <v>56334</v>
      </c>
      <c r="Q11409" t="str">
        <f>"40.672830"</f>
        <v>40.672830</v>
      </c>
      <c r="R11409" t="str">
        <f>"22.890805"</f>
        <v>22.890805</v>
      </c>
      <c r="S11409" t="s">
        <v>26</v>
      </c>
    </row>
    <row r="11410" spans="1:19" x14ac:dyDescent="0.3">
      <c r="A11410" t="s">
        <v>25190</v>
      </c>
      <c r="B11410" t="s">
        <v>28466</v>
      </c>
      <c r="C11410" t="s">
        <v>28591</v>
      </c>
      <c r="D11410" t="s">
        <v>25197</v>
      </c>
      <c r="E11410" t="s">
        <v>25203</v>
      </c>
      <c r="F11410" t="s">
        <v>595</v>
      </c>
      <c r="G11410" t="s">
        <v>595</v>
      </c>
      <c r="H11410" t="s">
        <v>859</v>
      </c>
      <c r="I11410" t="s">
        <v>860</v>
      </c>
      <c r="J11410" t="str">
        <f>"9190602"</f>
        <v>9190602</v>
      </c>
      <c r="K11410">
        <v>2310683841</v>
      </c>
      <c r="L11410">
        <v>2310683841</v>
      </c>
      <c r="M11410" t="s">
        <v>28592</v>
      </c>
      <c r="N11410" t="s">
        <v>594</v>
      </c>
      <c r="O11410" t="s">
        <v>28593</v>
      </c>
      <c r="P11410">
        <v>56430</v>
      </c>
      <c r="Q11410" t="str">
        <f>"40.682466"</f>
        <v>40.682466</v>
      </c>
      <c r="R11410" t="str">
        <f>"22.933971"</f>
        <v>22.933971</v>
      </c>
      <c r="S11410" t="s">
        <v>26</v>
      </c>
    </row>
    <row r="11411" spans="1:19" x14ac:dyDescent="0.3">
      <c r="A11411" t="s">
        <v>25190</v>
      </c>
      <c r="B11411" t="s">
        <v>28466</v>
      </c>
      <c r="C11411" t="s">
        <v>28594</v>
      </c>
      <c r="D11411" t="s">
        <v>25197</v>
      </c>
      <c r="E11411" t="s">
        <v>25203</v>
      </c>
      <c r="F11411" t="s">
        <v>595</v>
      </c>
      <c r="G11411" t="s">
        <v>595</v>
      </c>
      <c r="H11411" t="s">
        <v>859</v>
      </c>
      <c r="I11411" t="s">
        <v>860</v>
      </c>
      <c r="J11411" t="str">
        <f>"9190739"</f>
        <v>9190739</v>
      </c>
      <c r="K11411">
        <v>2310656275</v>
      </c>
      <c r="L11411">
        <v>2310656275</v>
      </c>
      <c r="M11411" t="s">
        <v>28595</v>
      </c>
      <c r="N11411" t="s">
        <v>594</v>
      </c>
      <c r="O11411" t="s">
        <v>28596</v>
      </c>
      <c r="P11411">
        <v>56429</v>
      </c>
      <c r="Q11411" t="str">
        <f>"40.664331"</f>
        <v>40.664331</v>
      </c>
      <c r="R11411" t="str">
        <f>"22.939105"</f>
        <v>22.939105</v>
      </c>
      <c r="S11411" t="s">
        <v>26</v>
      </c>
    </row>
    <row r="11412" spans="1:19" x14ac:dyDescent="0.3">
      <c r="A11412" t="s">
        <v>25190</v>
      </c>
      <c r="B11412" t="s">
        <v>28466</v>
      </c>
      <c r="C11412" t="s">
        <v>28597</v>
      </c>
      <c r="D11412" t="s">
        <v>25197</v>
      </c>
      <c r="E11412" t="s">
        <v>25203</v>
      </c>
      <c r="F11412" t="s">
        <v>595</v>
      </c>
      <c r="G11412" t="s">
        <v>595</v>
      </c>
      <c r="H11412" t="s">
        <v>859</v>
      </c>
      <c r="I11412" t="s">
        <v>860</v>
      </c>
      <c r="J11412" t="str">
        <f>"9520850"</f>
        <v>9520850</v>
      </c>
      <c r="K11412">
        <v>2310650313</v>
      </c>
      <c r="L11412">
        <v>2310650313</v>
      </c>
      <c r="M11412" t="s">
        <v>28598</v>
      </c>
      <c r="N11412" t="s">
        <v>594</v>
      </c>
      <c r="O11412" t="s">
        <v>28599</v>
      </c>
      <c r="P11412">
        <v>56431</v>
      </c>
      <c r="Q11412" t="str">
        <f>"40.672389"</f>
        <v>40.672389</v>
      </c>
      <c r="R11412" t="str">
        <f>"22.925903"</f>
        <v>22.925903</v>
      </c>
      <c r="S11412" t="s">
        <v>26</v>
      </c>
    </row>
    <row r="11413" spans="1:19" x14ac:dyDescent="0.3">
      <c r="A11413" t="s">
        <v>25190</v>
      </c>
      <c r="B11413" t="s">
        <v>28466</v>
      </c>
      <c r="C11413" t="s">
        <v>28600</v>
      </c>
      <c r="D11413" t="s">
        <v>25197</v>
      </c>
      <c r="E11413" t="s">
        <v>25203</v>
      </c>
      <c r="F11413" t="s">
        <v>595</v>
      </c>
      <c r="G11413" t="s">
        <v>595</v>
      </c>
      <c r="H11413" t="s">
        <v>859</v>
      </c>
      <c r="I11413" t="s">
        <v>860</v>
      </c>
      <c r="J11413" t="str">
        <f>"9520851"</f>
        <v>9520851</v>
      </c>
      <c r="K11413">
        <v>2310690450</v>
      </c>
      <c r="M11413" t="s">
        <v>28601</v>
      </c>
      <c r="N11413" t="s">
        <v>594</v>
      </c>
      <c r="O11413" t="s">
        <v>28602</v>
      </c>
      <c r="P11413">
        <v>56430</v>
      </c>
      <c r="Q11413" t="str">
        <f>"40.679983"</f>
        <v>40.679983</v>
      </c>
      <c r="R11413" t="str">
        <f>"22.936638"</f>
        <v>22.936638</v>
      </c>
      <c r="S11413" t="s">
        <v>26</v>
      </c>
    </row>
    <row r="11414" spans="1:19" x14ac:dyDescent="0.3">
      <c r="A11414" t="s">
        <v>25190</v>
      </c>
      <c r="B11414" t="s">
        <v>28466</v>
      </c>
      <c r="C11414" t="s">
        <v>28603</v>
      </c>
      <c r="D11414" t="s">
        <v>25197</v>
      </c>
      <c r="E11414" t="s">
        <v>25826</v>
      </c>
      <c r="F11414" t="s">
        <v>25833</v>
      </c>
      <c r="G11414" t="s">
        <v>25833</v>
      </c>
      <c r="H11414" t="s">
        <v>859</v>
      </c>
      <c r="I11414" t="s">
        <v>860</v>
      </c>
      <c r="J11414" t="str">
        <f>"9520925"</f>
        <v>9520925</v>
      </c>
      <c r="K11414">
        <v>2310757551</v>
      </c>
      <c r="L11414">
        <v>2310757551</v>
      </c>
      <c r="M11414" t="s">
        <v>28604</v>
      </c>
      <c r="N11414" t="s">
        <v>25833</v>
      </c>
      <c r="O11414" t="s">
        <v>28605</v>
      </c>
      <c r="P11414">
        <v>56224</v>
      </c>
      <c r="Q11414" t="str">
        <f>"40.673952"</f>
        <v>40.673952</v>
      </c>
      <c r="R11414" t="str">
        <f>"22.916234"</f>
        <v>22.916234</v>
      </c>
      <c r="S11414" t="s">
        <v>26</v>
      </c>
    </row>
    <row r="11415" spans="1:19" x14ac:dyDescent="0.3">
      <c r="A11415" t="s">
        <v>25190</v>
      </c>
      <c r="B11415" t="s">
        <v>28466</v>
      </c>
      <c r="C11415" t="s">
        <v>28606</v>
      </c>
      <c r="D11415" t="s">
        <v>25197</v>
      </c>
      <c r="E11415" t="s">
        <v>25826</v>
      </c>
      <c r="F11415" t="s">
        <v>25833</v>
      </c>
      <c r="G11415" t="s">
        <v>25833</v>
      </c>
      <c r="H11415" t="s">
        <v>859</v>
      </c>
      <c r="I11415" t="s">
        <v>860</v>
      </c>
      <c r="J11415" t="str">
        <f>"9520926"</f>
        <v>9520926</v>
      </c>
      <c r="K11415">
        <v>2310709655</v>
      </c>
      <c r="L11415">
        <v>2310709655</v>
      </c>
      <c r="M11415" t="s">
        <v>28607</v>
      </c>
      <c r="N11415" t="s">
        <v>25833</v>
      </c>
      <c r="O11415" t="s">
        <v>28608</v>
      </c>
      <c r="P11415">
        <v>56224</v>
      </c>
      <c r="Q11415" t="str">
        <f>"40.669957"</f>
        <v>40.669957</v>
      </c>
      <c r="R11415" t="str">
        <f>"22.911104"</f>
        <v>22.911104</v>
      </c>
      <c r="S11415" t="s">
        <v>26</v>
      </c>
    </row>
    <row r="11416" spans="1:19" x14ac:dyDescent="0.3">
      <c r="A11416" t="s">
        <v>25190</v>
      </c>
      <c r="B11416" t="s">
        <v>28466</v>
      </c>
      <c r="C11416" t="s">
        <v>28609</v>
      </c>
      <c r="D11416" t="s">
        <v>25197</v>
      </c>
      <c r="E11416" t="s">
        <v>25203</v>
      </c>
      <c r="F11416" t="s">
        <v>595</v>
      </c>
      <c r="G11416" t="s">
        <v>595</v>
      </c>
      <c r="H11416" t="s">
        <v>859</v>
      </c>
      <c r="I11416" t="s">
        <v>860</v>
      </c>
      <c r="J11416" t="str">
        <f>"9520852"</f>
        <v>9520852</v>
      </c>
      <c r="K11416">
        <v>2310665498</v>
      </c>
      <c r="L11416">
        <v>2310665498</v>
      </c>
      <c r="M11416" t="s">
        <v>28610</v>
      </c>
      <c r="N11416" t="s">
        <v>594</v>
      </c>
      <c r="O11416" t="s">
        <v>28611</v>
      </c>
      <c r="P11416">
        <v>56430</v>
      </c>
      <c r="Q11416" t="str">
        <f>"40.667169"</f>
        <v>40.667169</v>
      </c>
      <c r="R11416" t="str">
        <f>"22.933811"</f>
        <v>22.933811</v>
      </c>
      <c r="S11416" t="s">
        <v>26</v>
      </c>
    </row>
    <row r="11417" spans="1:19" x14ac:dyDescent="0.3">
      <c r="A11417" t="s">
        <v>25190</v>
      </c>
      <c r="B11417" t="s">
        <v>28466</v>
      </c>
      <c r="C11417" t="s">
        <v>28612</v>
      </c>
      <c r="D11417" t="s">
        <v>25197</v>
      </c>
      <c r="E11417" t="s">
        <v>25826</v>
      </c>
      <c r="F11417" t="s">
        <v>25833</v>
      </c>
      <c r="G11417" t="s">
        <v>25833</v>
      </c>
      <c r="H11417" t="s">
        <v>859</v>
      </c>
      <c r="I11417" t="s">
        <v>860</v>
      </c>
      <c r="J11417" t="str">
        <f>"9520979"</f>
        <v>9520979</v>
      </c>
      <c r="K11417">
        <v>2310609639</v>
      </c>
      <c r="L11417">
        <v>2310609639</v>
      </c>
      <c r="M11417" t="s">
        <v>28613</v>
      </c>
      <c r="N11417" t="s">
        <v>25833</v>
      </c>
      <c r="O11417" t="s">
        <v>28614</v>
      </c>
      <c r="P11417">
        <v>56224</v>
      </c>
      <c r="Q11417" t="str">
        <f>"40.674949"</f>
        <v>40.674949</v>
      </c>
      <c r="R11417" t="str">
        <f>"22.917936"</f>
        <v>22.917936</v>
      </c>
      <c r="S11417" t="s">
        <v>26</v>
      </c>
    </row>
    <row r="11418" spans="1:19" x14ac:dyDescent="0.3">
      <c r="A11418" t="s">
        <v>25190</v>
      </c>
      <c r="B11418" t="s">
        <v>28466</v>
      </c>
      <c r="C11418" t="s">
        <v>28615</v>
      </c>
      <c r="D11418" t="s">
        <v>25197</v>
      </c>
      <c r="E11418" t="s">
        <v>25203</v>
      </c>
      <c r="F11418" t="s">
        <v>595</v>
      </c>
      <c r="G11418" t="s">
        <v>595</v>
      </c>
      <c r="H11418" t="s">
        <v>859</v>
      </c>
      <c r="I11418" t="s">
        <v>860</v>
      </c>
      <c r="J11418" t="str">
        <f>"9520927"</f>
        <v>9520927</v>
      </c>
      <c r="K11418">
        <v>2316010415</v>
      </c>
      <c r="M11418" t="s">
        <v>28616</v>
      </c>
      <c r="N11418" t="s">
        <v>594</v>
      </c>
      <c r="O11418" t="s">
        <v>28580</v>
      </c>
      <c r="P11418">
        <v>56431</v>
      </c>
      <c r="Q11418" t="str">
        <f>"40.676320"</f>
        <v>40.676320</v>
      </c>
      <c r="R11418" t="str">
        <f>"22.930531"</f>
        <v>22.930531</v>
      </c>
      <c r="S11418" t="s">
        <v>26</v>
      </c>
    </row>
    <row r="11419" spans="1:19" x14ac:dyDescent="0.3">
      <c r="A11419" t="s">
        <v>25190</v>
      </c>
      <c r="B11419" t="s">
        <v>28466</v>
      </c>
      <c r="C11419" t="s">
        <v>28617</v>
      </c>
      <c r="D11419" t="s">
        <v>25197</v>
      </c>
      <c r="E11419" t="s">
        <v>25203</v>
      </c>
      <c r="F11419" t="s">
        <v>595</v>
      </c>
      <c r="G11419" t="s">
        <v>595</v>
      </c>
      <c r="H11419" t="s">
        <v>859</v>
      </c>
      <c r="I11419" t="s">
        <v>860</v>
      </c>
      <c r="J11419" t="str">
        <f>"9190103"</f>
        <v>9190103</v>
      </c>
      <c r="K11419">
        <v>2310656275</v>
      </c>
      <c r="L11419">
        <v>2310656275</v>
      </c>
      <c r="M11419" t="s">
        <v>28618</v>
      </c>
      <c r="N11419" t="s">
        <v>594</v>
      </c>
      <c r="O11419" t="s">
        <v>28596</v>
      </c>
      <c r="P11419">
        <v>56429</v>
      </c>
      <c r="Q11419" t="str">
        <f>"40.664420"</f>
        <v>40.664420</v>
      </c>
      <c r="R11419" t="str">
        <f>"22.938731"</f>
        <v>22.938731</v>
      </c>
      <c r="S11419" t="s">
        <v>26</v>
      </c>
    </row>
    <row r="11420" spans="1:19" x14ac:dyDescent="0.3">
      <c r="A11420" t="s">
        <v>25190</v>
      </c>
      <c r="B11420" t="s">
        <v>28466</v>
      </c>
      <c r="C11420" t="s">
        <v>28621</v>
      </c>
      <c r="D11420" t="s">
        <v>25197</v>
      </c>
      <c r="E11420" t="s">
        <v>25873</v>
      </c>
      <c r="F11420" t="s">
        <v>17906</v>
      </c>
      <c r="G11420" t="s">
        <v>17906</v>
      </c>
      <c r="H11420" t="s">
        <v>859</v>
      </c>
      <c r="I11420" t="s">
        <v>860</v>
      </c>
      <c r="J11420" t="str">
        <f>"9190455"</f>
        <v>9190455</v>
      </c>
      <c r="K11420">
        <v>2310736757</v>
      </c>
      <c r="L11420">
        <v>736757</v>
      </c>
      <c r="M11420" t="s">
        <v>28622</v>
      </c>
      <c r="N11420" t="s">
        <v>17906</v>
      </c>
      <c r="O11420" t="s">
        <v>28623</v>
      </c>
      <c r="P11420">
        <v>56123</v>
      </c>
      <c r="Q11420" t="str">
        <f>"40.653549"</f>
        <v>40.653549</v>
      </c>
      <c r="R11420" t="str">
        <f>"22.925061"</f>
        <v>22.925061</v>
      </c>
      <c r="S11420" t="s">
        <v>26</v>
      </c>
    </row>
    <row r="11421" spans="1:19" x14ac:dyDescent="0.3">
      <c r="A11421" t="s">
        <v>25190</v>
      </c>
      <c r="B11421" t="s">
        <v>28466</v>
      </c>
      <c r="C11421" t="s">
        <v>28624</v>
      </c>
      <c r="D11421" t="s">
        <v>25197</v>
      </c>
      <c r="E11421" t="s">
        <v>25873</v>
      </c>
      <c r="F11421" t="s">
        <v>17906</v>
      </c>
      <c r="G11421" t="s">
        <v>17906</v>
      </c>
      <c r="H11421" t="s">
        <v>859</v>
      </c>
      <c r="I11421" t="s">
        <v>860</v>
      </c>
      <c r="J11421" t="str">
        <f>"9190513"</f>
        <v>9190513</v>
      </c>
      <c r="K11421">
        <v>2310727288</v>
      </c>
      <c r="L11421">
        <v>2310727288</v>
      </c>
      <c r="M11421" t="s">
        <v>28625</v>
      </c>
      <c r="N11421" t="s">
        <v>17906</v>
      </c>
      <c r="O11421" t="s">
        <v>28626</v>
      </c>
      <c r="P11421">
        <v>56121</v>
      </c>
      <c r="Q11421" t="str">
        <f>"40.656977"</f>
        <v>40.656977</v>
      </c>
      <c r="R11421" t="str">
        <f>"22.920097"</f>
        <v>22.920097</v>
      </c>
      <c r="S11421" t="s">
        <v>26</v>
      </c>
    </row>
    <row r="11422" spans="1:19" x14ac:dyDescent="0.3">
      <c r="A11422" t="s">
        <v>25190</v>
      </c>
      <c r="B11422" t="s">
        <v>28466</v>
      </c>
      <c r="C11422" t="s">
        <v>28627</v>
      </c>
      <c r="D11422" t="s">
        <v>25197</v>
      </c>
      <c r="E11422" t="s">
        <v>25873</v>
      </c>
      <c r="F11422" t="s">
        <v>17906</v>
      </c>
      <c r="G11422" t="s">
        <v>17906</v>
      </c>
      <c r="H11422" t="s">
        <v>859</v>
      </c>
      <c r="I11422" t="s">
        <v>860</v>
      </c>
      <c r="J11422" t="str">
        <f>"9190518"</f>
        <v>9190518</v>
      </c>
      <c r="K11422">
        <v>2310734501</v>
      </c>
      <c r="M11422" t="s">
        <v>28628</v>
      </c>
      <c r="N11422" t="s">
        <v>17906</v>
      </c>
      <c r="O11422" t="s">
        <v>28629</v>
      </c>
      <c r="P11422">
        <v>56121</v>
      </c>
      <c r="Q11422" t="str">
        <f>"40.654227"</f>
        <v>40.654227</v>
      </c>
      <c r="R11422" t="str">
        <f>"22.921493"</f>
        <v>22.921493</v>
      </c>
      <c r="S11422" t="s">
        <v>26</v>
      </c>
    </row>
    <row r="11423" spans="1:19" x14ac:dyDescent="0.3">
      <c r="A11423" t="s">
        <v>25190</v>
      </c>
      <c r="B11423" t="s">
        <v>28466</v>
      </c>
      <c r="C11423" t="s">
        <v>28630</v>
      </c>
      <c r="D11423" t="s">
        <v>25197</v>
      </c>
      <c r="E11423" t="s">
        <v>25873</v>
      </c>
      <c r="F11423" t="s">
        <v>17906</v>
      </c>
      <c r="G11423" t="s">
        <v>17906</v>
      </c>
      <c r="H11423" t="s">
        <v>859</v>
      </c>
      <c r="I11423" t="s">
        <v>860</v>
      </c>
      <c r="J11423" t="str">
        <f>"9190681"</f>
        <v>9190681</v>
      </c>
      <c r="K11423">
        <v>2310726070</v>
      </c>
      <c r="L11423">
        <v>2310726070</v>
      </c>
      <c r="M11423" t="s">
        <v>28631</v>
      </c>
      <c r="N11423" t="s">
        <v>17906</v>
      </c>
      <c r="O11423" t="s">
        <v>28632</v>
      </c>
      <c r="P11423">
        <v>56121</v>
      </c>
      <c r="Q11423" t="str">
        <f>"40.655333"</f>
        <v>40.655333</v>
      </c>
      <c r="R11423" t="str">
        <f>"22.921503"</f>
        <v>22.921503</v>
      </c>
      <c r="S11423" t="s">
        <v>26</v>
      </c>
    </row>
    <row r="11424" spans="1:19" x14ac:dyDescent="0.3">
      <c r="A11424" t="s">
        <v>25190</v>
      </c>
      <c r="B11424" t="s">
        <v>28466</v>
      </c>
      <c r="C11424" t="s">
        <v>28633</v>
      </c>
      <c r="D11424" t="s">
        <v>25197</v>
      </c>
      <c r="E11424" t="s">
        <v>25873</v>
      </c>
      <c r="F11424" t="s">
        <v>17906</v>
      </c>
      <c r="G11424" t="s">
        <v>17906</v>
      </c>
      <c r="H11424" t="s">
        <v>859</v>
      </c>
      <c r="I11424" t="s">
        <v>860</v>
      </c>
      <c r="J11424" t="str">
        <f>"9190603"</f>
        <v>9190603</v>
      </c>
      <c r="K11424">
        <v>2310734145</v>
      </c>
      <c r="L11424">
        <v>2310734145</v>
      </c>
      <c r="M11424" t="s">
        <v>28634</v>
      </c>
      <c r="N11424" t="s">
        <v>17906</v>
      </c>
      <c r="O11424" t="s">
        <v>28635</v>
      </c>
      <c r="P11424">
        <v>56123</v>
      </c>
      <c r="Q11424" t="str">
        <f>"40.649661"</f>
        <v>40.649661</v>
      </c>
      <c r="R11424" t="str">
        <f>"22.924729"</f>
        <v>22.924729</v>
      </c>
      <c r="S11424" t="s">
        <v>26</v>
      </c>
    </row>
    <row r="11425" spans="1:19" x14ac:dyDescent="0.3">
      <c r="A11425" t="s">
        <v>25190</v>
      </c>
      <c r="B11425" t="s">
        <v>28466</v>
      </c>
      <c r="C11425" t="s">
        <v>28636</v>
      </c>
      <c r="D11425" t="s">
        <v>25197</v>
      </c>
      <c r="E11425" t="s">
        <v>25873</v>
      </c>
      <c r="F11425" t="s">
        <v>17906</v>
      </c>
      <c r="G11425" t="s">
        <v>17906</v>
      </c>
      <c r="H11425" t="s">
        <v>859</v>
      </c>
      <c r="I11425" t="s">
        <v>860</v>
      </c>
      <c r="J11425" t="str">
        <f>"9190604"</f>
        <v>9190604</v>
      </c>
      <c r="K11425">
        <v>2310736017</v>
      </c>
      <c r="L11425">
        <v>2310736017</v>
      </c>
      <c r="M11425" t="s">
        <v>28637</v>
      </c>
      <c r="N11425" t="s">
        <v>17906</v>
      </c>
      <c r="O11425" t="s">
        <v>28638</v>
      </c>
      <c r="P11425">
        <v>56121</v>
      </c>
      <c r="Q11425" t="str">
        <f>"40.656695"</f>
        <v>40.656695</v>
      </c>
      <c r="R11425" t="str">
        <f>"22.923450"</f>
        <v>22.923450</v>
      </c>
      <c r="S11425" t="s">
        <v>26</v>
      </c>
    </row>
    <row r="11426" spans="1:19" x14ac:dyDescent="0.3">
      <c r="A11426" t="s">
        <v>25190</v>
      </c>
      <c r="B11426" t="s">
        <v>28466</v>
      </c>
      <c r="C11426" t="s">
        <v>28639</v>
      </c>
      <c r="D11426" t="s">
        <v>25197</v>
      </c>
      <c r="E11426" t="s">
        <v>25873</v>
      </c>
      <c r="F11426" t="s">
        <v>17906</v>
      </c>
      <c r="G11426" t="s">
        <v>17906</v>
      </c>
      <c r="H11426" t="s">
        <v>859</v>
      </c>
      <c r="I11426" t="s">
        <v>860</v>
      </c>
      <c r="J11426" t="str">
        <f>"9190682"</f>
        <v>9190682</v>
      </c>
      <c r="K11426">
        <v>2310733933</v>
      </c>
      <c r="L11426">
        <v>2310733933</v>
      </c>
      <c r="M11426" t="s">
        <v>28640</v>
      </c>
      <c r="N11426" t="s">
        <v>17906</v>
      </c>
      <c r="O11426" t="s">
        <v>28641</v>
      </c>
      <c r="P11426">
        <v>56123</v>
      </c>
      <c r="Q11426" t="str">
        <f>"40.655775"</f>
        <v>40.655775</v>
      </c>
      <c r="R11426" t="str">
        <f>"22.919820"</f>
        <v>22.919820</v>
      </c>
      <c r="S11426" t="s">
        <v>26</v>
      </c>
    </row>
    <row r="11427" spans="1:19" x14ac:dyDescent="0.3">
      <c r="A11427" t="s">
        <v>25190</v>
      </c>
      <c r="B11427" t="s">
        <v>28466</v>
      </c>
      <c r="C11427" t="s">
        <v>28642</v>
      </c>
      <c r="D11427" t="s">
        <v>25197</v>
      </c>
      <c r="E11427" t="s">
        <v>25873</v>
      </c>
      <c r="F11427" t="s">
        <v>17906</v>
      </c>
      <c r="G11427" t="s">
        <v>17906</v>
      </c>
      <c r="H11427" t="s">
        <v>859</v>
      </c>
      <c r="I11427" t="s">
        <v>860</v>
      </c>
      <c r="J11427" t="str">
        <f>"9190737"</f>
        <v>9190737</v>
      </c>
      <c r="K11427">
        <v>2310735909</v>
      </c>
      <c r="L11427">
        <v>2310744804</v>
      </c>
      <c r="M11427" t="s">
        <v>28643</v>
      </c>
      <c r="N11427" t="s">
        <v>17906</v>
      </c>
      <c r="O11427" t="s">
        <v>11731</v>
      </c>
      <c r="P11427">
        <v>56123</v>
      </c>
      <c r="Q11427" t="str">
        <f>"40.654916"</f>
        <v>40.654916</v>
      </c>
      <c r="R11427" t="str">
        <f>"22.929856"</f>
        <v>22.929856</v>
      </c>
      <c r="S11427" t="s">
        <v>26</v>
      </c>
    </row>
    <row r="11428" spans="1:19" x14ac:dyDescent="0.3">
      <c r="A11428" t="s">
        <v>25190</v>
      </c>
      <c r="B11428" t="s">
        <v>28466</v>
      </c>
      <c r="C11428" t="s">
        <v>28644</v>
      </c>
      <c r="D11428" t="s">
        <v>25197</v>
      </c>
      <c r="E11428" t="s">
        <v>25873</v>
      </c>
      <c r="F11428" t="s">
        <v>17906</v>
      </c>
      <c r="G11428" t="s">
        <v>17906</v>
      </c>
      <c r="H11428" t="s">
        <v>859</v>
      </c>
      <c r="I11428" t="s">
        <v>860</v>
      </c>
      <c r="J11428" t="str">
        <f>"9190770"</f>
        <v>9190770</v>
      </c>
      <c r="K11428">
        <v>2310744804</v>
      </c>
      <c r="L11428">
        <v>2310744804</v>
      </c>
      <c r="M11428" t="s">
        <v>28645</v>
      </c>
      <c r="N11428" t="s">
        <v>17906</v>
      </c>
      <c r="O11428" t="s">
        <v>11731</v>
      </c>
      <c r="P11428">
        <v>56123</v>
      </c>
      <c r="Q11428" t="str">
        <f>"40.654835"</f>
        <v>40.654835</v>
      </c>
      <c r="R11428" t="str">
        <f>"22.929877"</f>
        <v>22.929877</v>
      </c>
      <c r="S11428" t="s">
        <v>26</v>
      </c>
    </row>
    <row r="11429" spans="1:19" x14ac:dyDescent="0.3">
      <c r="A11429" t="s">
        <v>25190</v>
      </c>
      <c r="B11429" t="s">
        <v>28466</v>
      </c>
      <c r="C11429" t="s">
        <v>28646</v>
      </c>
      <c r="D11429" t="s">
        <v>25197</v>
      </c>
      <c r="E11429" t="s">
        <v>25873</v>
      </c>
      <c r="F11429" t="s">
        <v>17906</v>
      </c>
      <c r="G11429" t="s">
        <v>17906</v>
      </c>
      <c r="H11429" t="s">
        <v>859</v>
      </c>
      <c r="I11429" t="s">
        <v>860</v>
      </c>
      <c r="J11429" t="str">
        <f>"9190855"</f>
        <v>9190855</v>
      </c>
      <c r="K11429">
        <v>2310577105</v>
      </c>
      <c r="L11429">
        <v>2310577105</v>
      </c>
      <c r="M11429" t="s">
        <v>28647</v>
      </c>
      <c r="N11429" t="s">
        <v>17906</v>
      </c>
      <c r="O11429" t="s">
        <v>28648</v>
      </c>
      <c r="P11429">
        <v>56121</v>
      </c>
      <c r="Q11429" t="str">
        <f>"40.652922"</f>
        <v>40.652922</v>
      </c>
      <c r="R11429" t="str">
        <f>"22.919327"</f>
        <v>22.919327</v>
      </c>
      <c r="S11429" t="s">
        <v>26</v>
      </c>
    </row>
    <row r="11430" spans="1:19" x14ac:dyDescent="0.3">
      <c r="A11430" t="s">
        <v>25190</v>
      </c>
      <c r="B11430" t="s">
        <v>28466</v>
      </c>
      <c r="C11430" t="s">
        <v>28649</v>
      </c>
      <c r="D11430" t="s">
        <v>25197</v>
      </c>
      <c r="E11430" t="s">
        <v>25873</v>
      </c>
      <c r="F11430" t="s">
        <v>17906</v>
      </c>
      <c r="G11430" t="s">
        <v>17906</v>
      </c>
      <c r="H11430" t="s">
        <v>859</v>
      </c>
      <c r="I11430" t="s">
        <v>860</v>
      </c>
      <c r="J11430" t="str">
        <f>"9190738"</f>
        <v>9190738</v>
      </c>
      <c r="K11430">
        <v>2310745977</v>
      </c>
      <c r="L11430">
        <v>2310745977</v>
      </c>
      <c r="M11430" t="s">
        <v>28650</v>
      </c>
      <c r="N11430" t="s">
        <v>17906</v>
      </c>
      <c r="O11430" t="s">
        <v>28651</v>
      </c>
      <c r="P11430">
        <v>56123</v>
      </c>
      <c r="Q11430" t="str">
        <f>"40.653046"</f>
        <v>40.653046</v>
      </c>
      <c r="R11430" t="str">
        <f>"22.928987"</f>
        <v>22.928987</v>
      </c>
      <c r="S11430" t="s">
        <v>26</v>
      </c>
    </row>
    <row r="11431" spans="1:19" x14ac:dyDescent="0.3">
      <c r="A11431" t="s">
        <v>25190</v>
      </c>
      <c r="B11431" t="s">
        <v>28466</v>
      </c>
      <c r="C11431" t="s">
        <v>28663</v>
      </c>
      <c r="D11431" t="s">
        <v>25197</v>
      </c>
      <c r="E11431" t="s">
        <v>25889</v>
      </c>
      <c r="F11431" t="s">
        <v>25924</v>
      </c>
      <c r="G11431" t="s">
        <v>25924</v>
      </c>
      <c r="H11431" t="s">
        <v>859</v>
      </c>
      <c r="I11431" t="s">
        <v>860</v>
      </c>
      <c r="J11431" t="str">
        <f>"9190190"</f>
        <v>9190190</v>
      </c>
      <c r="K11431">
        <v>2310615460</v>
      </c>
      <c r="L11431">
        <v>2310615460</v>
      </c>
      <c r="M11431" t="s">
        <v>28664</v>
      </c>
      <c r="N11431" t="s">
        <v>25924</v>
      </c>
      <c r="O11431" t="s">
        <v>28665</v>
      </c>
      <c r="P11431">
        <v>56626</v>
      </c>
      <c r="Q11431" t="str">
        <f>"40.650329"</f>
        <v>40.650329</v>
      </c>
      <c r="R11431" t="str">
        <f>"22.957784"</f>
        <v>22.957784</v>
      </c>
      <c r="S11431" t="s">
        <v>26</v>
      </c>
    </row>
    <row r="11432" spans="1:19" x14ac:dyDescent="0.3">
      <c r="A11432" t="s">
        <v>25190</v>
      </c>
      <c r="B11432" t="s">
        <v>28466</v>
      </c>
      <c r="C11432" t="s">
        <v>28666</v>
      </c>
      <c r="D11432" t="s">
        <v>25197</v>
      </c>
      <c r="E11432" t="s">
        <v>25203</v>
      </c>
      <c r="F11432" t="s">
        <v>25784</v>
      </c>
      <c r="G11432" t="s">
        <v>25784</v>
      </c>
      <c r="H11432" t="s">
        <v>859</v>
      </c>
      <c r="I11432" t="s">
        <v>860</v>
      </c>
      <c r="J11432" t="str">
        <f>"9190098"</f>
        <v>9190098</v>
      </c>
      <c r="K11432">
        <v>2310610236</v>
      </c>
      <c r="L11432">
        <v>2310631248</v>
      </c>
      <c r="M11432" t="s">
        <v>28667</v>
      </c>
      <c r="N11432" t="s">
        <v>25784</v>
      </c>
      <c r="O11432" t="s">
        <v>28668</v>
      </c>
      <c r="P11432">
        <v>56532</v>
      </c>
      <c r="Q11432" t="str">
        <f>"40.658066"</f>
        <v>40.658066</v>
      </c>
      <c r="R11432" t="str">
        <f>"22.961779"</f>
        <v>22.961779</v>
      </c>
      <c r="S11432" t="s">
        <v>26</v>
      </c>
    </row>
    <row r="11433" spans="1:19" x14ac:dyDescent="0.3">
      <c r="A11433" t="s">
        <v>25190</v>
      </c>
      <c r="B11433" t="s">
        <v>28466</v>
      </c>
      <c r="C11433" t="s">
        <v>28669</v>
      </c>
      <c r="D11433" t="s">
        <v>25197</v>
      </c>
      <c r="E11433" t="s">
        <v>25203</v>
      </c>
      <c r="F11433" t="s">
        <v>25784</v>
      </c>
      <c r="G11433" t="s">
        <v>25784</v>
      </c>
      <c r="H11433" t="s">
        <v>859</v>
      </c>
      <c r="I11433" t="s">
        <v>860</v>
      </c>
      <c r="J11433" t="str">
        <f>"9190100"</f>
        <v>9190100</v>
      </c>
      <c r="K11433">
        <v>2310641300</v>
      </c>
      <c r="L11433">
        <v>2310641300</v>
      </c>
      <c r="M11433" t="s">
        <v>28670</v>
      </c>
      <c r="N11433" t="s">
        <v>25784</v>
      </c>
      <c r="O11433" t="s">
        <v>28671</v>
      </c>
      <c r="P11433">
        <v>56429</v>
      </c>
      <c r="Q11433" t="str">
        <f>"40.676548"</f>
        <v>40.676548</v>
      </c>
      <c r="R11433" t="str">
        <f>"22.943484"</f>
        <v>22.943484</v>
      </c>
      <c r="S11433" t="s">
        <v>26</v>
      </c>
    </row>
    <row r="11434" spans="1:19" x14ac:dyDescent="0.3">
      <c r="A11434" t="s">
        <v>25190</v>
      </c>
      <c r="B11434" t="s">
        <v>28466</v>
      </c>
      <c r="C11434" t="s">
        <v>28672</v>
      </c>
      <c r="D11434" t="s">
        <v>25197</v>
      </c>
      <c r="E11434" t="s">
        <v>13689</v>
      </c>
      <c r="F11434" t="s">
        <v>25845</v>
      </c>
      <c r="G11434" t="s">
        <v>4044</v>
      </c>
      <c r="H11434" t="s">
        <v>859</v>
      </c>
      <c r="I11434" t="s">
        <v>860</v>
      </c>
      <c r="J11434" t="str">
        <f>"9190238"</f>
        <v>9190238</v>
      </c>
      <c r="K11434">
        <v>2395051660</v>
      </c>
      <c r="L11434">
        <v>2395051833</v>
      </c>
      <c r="M11434" t="s">
        <v>28673</v>
      </c>
      <c r="N11434" t="s">
        <v>4044</v>
      </c>
      <c r="O11434" t="s">
        <v>8447</v>
      </c>
      <c r="P11434">
        <v>57002</v>
      </c>
      <c r="Q11434" t="str">
        <f>"40.814215"</f>
        <v>40.814215</v>
      </c>
      <c r="R11434" t="str">
        <f>"23.281692"</f>
        <v>23.281692</v>
      </c>
      <c r="S11434" t="s">
        <v>26</v>
      </c>
    </row>
    <row r="11435" spans="1:19" x14ac:dyDescent="0.3">
      <c r="A11435" t="s">
        <v>25190</v>
      </c>
      <c r="B11435" t="s">
        <v>28466</v>
      </c>
      <c r="C11435" t="s">
        <v>28674</v>
      </c>
      <c r="D11435" t="s">
        <v>25197</v>
      </c>
      <c r="E11435" t="s">
        <v>25203</v>
      </c>
      <c r="F11435" t="s">
        <v>25784</v>
      </c>
      <c r="G11435" t="s">
        <v>25784</v>
      </c>
      <c r="H11435" t="s">
        <v>859</v>
      </c>
      <c r="I11435" t="s">
        <v>860</v>
      </c>
      <c r="J11435" t="str">
        <f>"9190596"</f>
        <v>9190596</v>
      </c>
      <c r="K11435">
        <v>2310622670</v>
      </c>
      <c r="L11435">
        <v>2316011242</v>
      </c>
      <c r="M11435" t="s">
        <v>28675</v>
      </c>
      <c r="N11435" t="s">
        <v>25784</v>
      </c>
      <c r="O11435" t="s">
        <v>28676</v>
      </c>
      <c r="P11435">
        <v>56532</v>
      </c>
      <c r="Q11435" t="str">
        <f>"40.663636"</f>
        <v>40.663636</v>
      </c>
      <c r="R11435" t="str">
        <f>"22.959334"</f>
        <v>22.959334</v>
      </c>
      <c r="S11435" t="s">
        <v>26</v>
      </c>
    </row>
    <row r="11436" spans="1:19" x14ac:dyDescent="0.3">
      <c r="A11436" t="s">
        <v>25190</v>
      </c>
      <c r="B11436" t="s">
        <v>28466</v>
      </c>
      <c r="C11436" t="s">
        <v>28677</v>
      </c>
      <c r="D11436" t="s">
        <v>25197</v>
      </c>
      <c r="E11436" t="s">
        <v>25765</v>
      </c>
      <c r="F11436" t="s">
        <v>25766</v>
      </c>
      <c r="G11436" t="s">
        <v>25767</v>
      </c>
      <c r="H11436" t="s">
        <v>859</v>
      </c>
      <c r="I11436" t="s">
        <v>860</v>
      </c>
      <c r="J11436" t="str">
        <f>"9190399"</f>
        <v>9190399</v>
      </c>
      <c r="K11436">
        <v>2397041213</v>
      </c>
      <c r="L11436">
        <v>2397041243</v>
      </c>
      <c r="M11436" t="s">
        <v>28678</v>
      </c>
      <c r="N11436" t="s">
        <v>25767</v>
      </c>
      <c r="O11436" t="s">
        <v>25770</v>
      </c>
      <c r="P11436">
        <v>57014</v>
      </c>
      <c r="Q11436" t="str">
        <f>"40.622595"</f>
        <v>40.622595</v>
      </c>
      <c r="R11436" t="str">
        <f>"23.560587"</f>
        <v>23.560587</v>
      </c>
      <c r="S11436" t="s">
        <v>26</v>
      </c>
    </row>
    <row r="11437" spans="1:19" x14ac:dyDescent="0.3">
      <c r="A11437" t="s">
        <v>25190</v>
      </c>
      <c r="B11437" t="s">
        <v>28466</v>
      </c>
      <c r="C11437" t="s">
        <v>28688</v>
      </c>
      <c r="D11437" t="s">
        <v>25197</v>
      </c>
      <c r="E11437" t="s">
        <v>25203</v>
      </c>
      <c r="F11437" t="s">
        <v>25784</v>
      </c>
      <c r="G11437" t="s">
        <v>25784</v>
      </c>
      <c r="H11437" t="s">
        <v>859</v>
      </c>
      <c r="I11437" t="s">
        <v>860</v>
      </c>
      <c r="J11437" t="str">
        <f>"9190099"</f>
        <v>9190099</v>
      </c>
      <c r="K11437">
        <v>2310626249</v>
      </c>
      <c r="L11437">
        <v>2310626249</v>
      </c>
      <c r="M11437" t="s">
        <v>28689</v>
      </c>
      <c r="N11437" t="s">
        <v>25784</v>
      </c>
      <c r="O11437" t="s">
        <v>28690</v>
      </c>
      <c r="P11437">
        <v>56533</v>
      </c>
      <c r="Q11437" t="str">
        <f>"40.657179"</f>
        <v>40.657179</v>
      </c>
      <c r="R11437" t="str">
        <f>"22.947049"</f>
        <v>22.947049</v>
      </c>
      <c r="S11437" t="s">
        <v>26</v>
      </c>
    </row>
    <row r="11438" spans="1:19" x14ac:dyDescent="0.3">
      <c r="A11438" t="s">
        <v>25190</v>
      </c>
      <c r="B11438" t="s">
        <v>28466</v>
      </c>
      <c r="C11438" t="s">
        <v>28732</v>
      </c>
      <c r="D11438" t="s">
        <v>25197</v>
      </c>
      <c r="E11438" t="s">
        <v>13689</v>
      </c>
      <c r="F11438" t="s">
        <v>13689</v>
      </c>
      <c r="G11438" t="s">
        <v>28731</v>
      </c>
      <c r="H11438" t="s">
        <v>859</v>
      </c>
      <c r="I11438" t="s">
        <v>860</v>
      </c>
      <c r="J11438" t="str">
        <f>"9190520"</f>
        <v>9190520</v>
      </c>
      <c r="K11438">
        <v>2394022071</v>
      </c>
      <c r="L11438">
        <v>2394022747</v>
      </c>
      <c r="M11438" t="s">
        <v>28733</v>
      </c>
      <c r="N11438" t="s">
        <v>28731</v>
      </c>
      <c r="O11438" t="s">
        <v>28734</v>
      </c>
      <c r="P11438">
        <v>57200</v>
      </c>
      <c r="Q11438" t="str">
        <f>"40.749167"</f>
        <v>40.749167</v>
      </c>
      <c r="R11438" t="str">
        <f>"23.036947"</f>
        <v>23.036947</v>
      </c>
      <c r="S11438" t="s">
        <v>26</v>
      </c>
    </row>
    <row r="11439" spans="1:19" x14ac:dyDescent="0.3">
      <c r="A11439" t="s">
        <v>25190</v>
      </c>
      <c r="B11439" t="s">
        <v>28466</v>
      </c>
      <c r="C11439" t="s">
        <v>28735</v>
      </c>
      <c r="D11439" t="s">
        <v>25197</v>
      </c>
      <c r="E11439" t="s">
        <v>25203</v>
      </c>
      <c r="F11439" t="s">
        <v>25784</v>
      </c>
      <c r="G11439" t="s">
        <v>25784</v>
      </c>
      <c r="H11439" t="s">
        <v>859</v>
      </c>
      <c r="I11439" t="s">
        <v>860</v>
      </c>
      <c r="J11439" t="str">
        <f>"9190914"</f>
        <v>9190914</v>
      </c>
      <c r="K11439">
        <v>2310601671</v>
      </c>
      <c r="L11439">
        <v>2310601671</v>
      </c>
      <c r="M11439" t="s">
        <v>28736</v>
      </c>
      <c r="N11439" t="s">
        <v>25784</v>
      </c>
      <c r="O11439" t="s">
        <v>28737</v>
      </c>
      <c r="P11439">
        <v>56429</v>
      </c>
      <c r="Q11439" t="str">
        <f>"40.676855"</f>
        <v>40.676855</v>
      </c>
      <c r="R11439" t="str">
        <f>"22.943575"</f>
        <v>22.943575</v>
      </c>
      <c r="S11439" t="s">
        <v>26</v>
      </c>
    </row>
    <row r="11440" spans="1:19" x14ac:dyDescent="0.3">
      <c r="A11440" t="s">
        <v>25190</v>
      </c>
      <c r="B11440" t="s">
        <v>28466</v>
      </c>
      <c r="C11440" t="s">
        <v>28746</v>
      </c>
      <c r="D11440" t="s">
        <v>25197</v>
      </c>
      <c r="E11440" t="s">
        <v>25203</v>
      </c>
      <c r="F11440" t="s">
        <v>25784</v>
      </c>
      <c r="G11440" t="s">
        <v>25784</v>
      </c>
      <c r="H11440" t="s">
        <v>859</v>
      </c>
      <c r="I11440" t="s">
        <v>860</v>
      </c>
      <c r="J11440" t="str">
        <f>"9190101"</f>
        <v>9190101</v>
      </c>
      <c r="K11440">
        <v>2310600357</v>
      </c>
      <c r="M11440" t="s">
        <v>28747</v>
      </c>
      <c r="N11440" t="s">
        <v>25784</v>
      </c>
      <c r="O11440" t="s">
        <v>28742</v>
      </c>
      <c r="P11440">
        <v>56429</v>
      </c>
      <c r="Q11440" t="str">
        <f>"40.670028"</f>
        <v>40.670028</v>
      </c>
      <c r="R11440" t="str">
        <f>"22.943656"</f>
        <v>22.943656</v>
      </c>
      <c r="S11440" t="s">
        <v>26</v>
      </c>
    </row>
    <row r="11441" spans="1:19" x14ac:dyDescent="0.3">
      <c r="A11441" t="s">
        <v>25190</v>
      </c>
      <c r="B11441" t="s">
        <v>28466</v>
      </c>
      <c r="C11441" t="s">
        <v>28749</v>
      </c>
      <c r="D11441" t="s">
        <v>25197</v>
      </c>
      <c r="E11441" t="s">
        <v>25203</v>
      </c>
      <c r="F11441" t="s">
        <v>25784</v>
      </c>
      <c r="G11441" t="s">
        <v>25784</v>
      </c>
      <c r="H11441" t="s">
        <v>859</v>
      </c>
      <c r="I11441" t="s">
        <v>860</v>
      </c>
      <c r="J11441" t="str">
        <f>"9190598"</f>
        <v>9190598</v>
      </c>
      <c r="K11441">
        <v>2310603032</v>
      </c>
      <c r="L11441">
        <v>2310603032</v>
      </c>
      <c r="M11441" t="s">
        <v>28750</v>
      </c>
      <c r="N11441" t="s">
        <v>25784</v>
      </c>
      <c r="O11441" t="s">
        <v>28751</v>
      </c>
      <c r="P11441">
        <v>56533</v>
      </c>
      <c r="Q11441" t="str">
        <f>"40.669057"</f>
        <v>40.669057</v>
      </c>
      <c r="R11441" t="str">
        <f>"22.960344"</f>
        <v>22.960344</v>
      </c>
      <c r="S11441" t="s">
        <v>26</v>
      </c>
    </row>
    <row r="11442" spans="1:19" x14ac:dyDescent="0.3">
      <c r="A11442" t="s">
        <v>25190</v>
      </c>
      <c r="B11442" t="s">
        <v>28466</v>
      </c>
      <c r="C11442" t="s">
        <v>28755</v>
      </c>
      <c r="D11442" t="s">
        <v>25197</v>
      </c>
      <c r="E11442" t="s">
        <v>25790</v>
      </c>
      <c r="F11442" t="s">
        <v>25791</v>
      </c>
      <c r="G11442" t="s">
        <v>28754</v>
      </c>
      <c r="H11442" t="s">
        <v>859</v>
      </c>
      <c r="I11442" t="s">
        <v>860</v>
      </c>
      <c r="J11442" t="str">
        <f>"9190274"</f>
        <v>9190274</v>
      </c>
      <c r="K11442">
        <v>2391031510</v>
      </c>
      <c r="L11442">
        <v>2391032203</v>
      </c>
      <c r="M11442" t="s">
        <v>28756</v>
      </c>
      <c r="N11442" t="s">
        <v>28754</v>
      </c>
      <c r="O11442" t="s">
        <v>28757</v>
      </c>
      <c r="P11442">
        <v>57007</v>
      </c>
      <c r="Q11442" t="str">
        <f>"40.659831"</f>
        <v>40.659831</v>
      </c>
      <c r="R11442" t="str">
        <f>"22.642578"</f>
        <v>22.642578</v>
      </c>
      <c r="S11442" t="s">
        <v>26</v>
      </c>
    </row>
    <row r="11443" spans="1:19" x14ac:dyDescent="0.3">
      <c r="A11443" t="s">
        <v>25190</v>
      </c>
      <c r="B11443" t="s">
        <v>28466</v>
      </c>
      <c r="C11443" t="s">
        <v>28758</v>
      </c>
      <c r="D11443" t="s">
        <v>25197</v>
      </c>
      <c r="E11443" t="s">
        <v>25889</v>
      </c>
      <c r="F11443" t="s">
        <v>25924</v>
      </c>
      <c r="G11443" t="s">
        <v>25924</v>
      </c>
      <c r="H11443" t="s">
        <v>859</v>
      </c>
      <c r="I11443" t="s">
        <v>860</v>
      </c>
      <c r="J11443" t="str">
        <f>"9190191"</f>
        <v>9190191</v>
      </c>
      <c r="K11443">
        <v>2310632170</v>
      </c>
      <c r="L11443">
        <v>2310632170</v>
      </c>
      <c r="M11443" t="s">
        <v>28759</v>
      </c>
      <c r="N11443" t="s">
        <v>25924</v>
      </c>
      <c r="O11443" t="s">
        <v>28683</v>
      </c>
      <c r="P11443">
        <v>56625</v>
      </c>
      <c r="Q11443" t="str">
        <f>"40.649643"</f>
        <v>40.649643</v>
      </c>
      <c r="R11443" t="str">
        <f>"22.949787"</f>
        <v>22.949787</v>
      </c>
      <c r="S11443" t="s">
        <v>26</v>
      </c>
    </row>
    <row r="11444" spans="1:19" x14ac:dyDescent="0.3">
      <c r="A11444" t="s">
        <v>25190</v>
      </c>
      <c r="B11444" t="s">
        <v>28466</v>
      </c>
      <c r="C11444" t="s">
        <v>28760</v>
      </c>
      <c r="D11444" t="s">
        <v>25197</v>
      </c>
      <c r="E11444" t="s">
        <v>25889</v>
      </c>
      <c r="F11444" t="s">
        <v>25924</v>
      </c>
      <c r="G11444" t="s">
        <v>25924</v>
      </c>
      <c r="H11444" t="s">
        <v>859</v>
      </c>
      <c r="I11444" t="s">
        <v>860</v>
      </c>
      <c r="J11444" t="str">
        <f>"9190590"</f>
        <v>9190590</v>
      </c>
      <c r="K11444">
        <v>2310632170</v>
      </c>
      <c r="L11444">
        <v>2310632170</v>
      </c>
      <c r="M11444" t="s">
        <v>28761</v>
      </c>
      <c r="N11444" t="s">
        <v>25924</v>
      </c>
      <c r="O11444" t="s">
        <v>28683</v>
      </c>
      <c r="P11444">
        <v>56625</v>
      </c>
      <c r="Q11444" t="str">
        <f>"40.649966"</f>
        <v>40.649966</v>
      </c>
      <c r="R11444" t="str">
        <f>"22.949388"</f>
        <v>22.949388</v>
      </c>
      <c r="S11444" t="s">
        <v>26</v>
      </c>
    </row>
    <row r="11445" spans="1:19" x14ac:dyDescent="0.3">
      <c r="A11445" t="s">
        <v>25190</v>
      </c>
      <c r="B11445" t="s">
        <v>28466</v>
      </c>
      <c r="C11445" t="s">
        <v>28762</v>
      </c>
      <c r="D11445" t="s">
        <v>25197</v>
      </c>
      <c r="E11445" t="s">
        <v>25203</v>
      </c>
      <c r="F11445" t="s">
        <v>595</v>
      </c>
      <c r="G11445" t="s">
        <v>595</v>
      </c>
      <c r="H11445" t="s">
        <v>859</v>
      </c>
      <c r="I11445" t="s">
        <v>860</v>
      </c>
      <c r="J11445" t="str">
        <f>"9190110"</f>
        <v>9190110</v>
      </c>
      <c r="K11445">
        <v>2310659047</v>
      </c>
      <c r="L11445">
        <v>2310659047</v>
      </c>
      <c r="M11445" t="s">
        <v>28763</v>
      </c>
      <c r="N11445" t="s">
        <v>594</v>
      </c>
      <c r="O11445" t="s">
        <v>28764</v>
      </c>
      <c r="P11445">
        <v>56430</v>
      </c>
      <c r="Q11445" t="str">
        <f>"40.675106"</f>
        <v>40.675106</v>
      </c>
      <c r="R11445" t="str">
        <f>"22.935378"</f>
        <v>22.935378</v>
      </c>
      <c r="S11445" t="s">
        <v>26</v>
      </c>
    </row>
    <row r="11446" spans="1:19" x14ac:dyDescent="0.3">
      <c r="A11446" t="s">
        <v>25190</v>
      </c>
      <c r="B11446" t="s">
        <v>28466</v>
      </c>
      <c r="C11446" t="s">
        <v>28771</v>
      </c>
      <c r="D11446" t="s">
        <v>25197</v>
      </c>
      <c r="E11446" t="s">
        <v>25790</v>
      </c>
      <c r="F11446" t="s">
        <v>25896</v>
      </c>
      <c r="G11446" t="s">
        <v>25896</v>
      </c>
      <c r="H11446" t="s">
        <v>859</v>
      </c>
      <c r="I11446" t="s">
        <v>860</v>
      </c>
      <c r="J11446" t="str">
        <f>"9190608"</f>
        <v>9190608</v>
      </c>
      <c r="K11446">
        <v>2310794313</v>
      </c>
      <c r="L11446">
        <v>2310794313</v>
      </c>
      <c r="M11446" t="s">
        <v>28772</v>
      </c>
      <c r="N11446" t="s">
        <v>25896</v>
      </c>
      <c r="O11446" t="s">
        <v>25900</v>
      </c>
      <c r="P11446">
        <v>57300</v>
      </c>
      <c r="Q11446" t="str">
        <f>"40.628946"</f>
        <v>40.628946</v>
      </c>
      <c r="R11446" t="str">
        <f>"22.742713"</f>
        <v>22.742713</v>
      </c>
      <c r="S11446" t="s">
        <v>26</v>
      </c>
    </row>
    <row r="11447" spans="1:19" x14ac:dyDescent="0.3">
      <c r="A11447" t="s">
        <v>25190</v>
      </c>
      <c r="B11447" t="s">
        <v>28466</v>
      </c>
      <c r="C11447" t="s">
        <v>28773</v>
      </c>
      <c r="D11447" t="s">
        <v>25197</v>
      </c>
      <c r="E11447" t="s">
        <v>25873</v>
      </c>
      <c r="F11447" t="s">
        <v>17906</v>
      </c>
      <c r="G11447" t="s">
        <v>17906</v>
      </c>
      <c r="H11447" t="s">
        <v>859</v>
      </c>
      <c r="I11447" t="s">
        <v>860</v>
      </c>
      <c r="J11447" t="str">
        <f>"9190116"</f>
        <v>9190116</v>
      </c>
      <c r="K11447">
        <v>2310734501</v>
      </c>
      <c r="L11447">
        <v>2310734501</v>
      </c>
      <c r="M11447" t="s">
        <v>28774</v>
      </c>
      <c r="N11447" t="s">
        <v>17906</v>
      </c>
      <c r="O11447" t="s">
        <v>28629</v>
      </c>
      <c r="P11447">
        <v>56121</v>
      </c>
      <c r="Q11447" t="str">
        <f>"40.654218"</f>
        <v>40.654218</v>
      </c>
      <c r="R11447" t="str">
        <f>"22.921278"</f>
        <v>22.921278</v>
      </c>
      <c r="S11447" t="s">
        <v>26</v>
      </c>
    </row>
    <row r="11448" spans="1:19" x14ac:dyDescent="0.3">
      <c r="A11448" t="s">
        <v>25190</v>
      </c>
      <c r="B11448" t="s">
        <v>28466</v>
      </c>
      <c r="C11448" t="s">
        <v>28775</v>
      </c>
      <c r="D11448" t="s">
        <v>25197</v>
      </c>
      <c r="E11448" t="s">
        <v>25815</v>
      </c>
      <c r="F11448" t="s">
        <v>25815</v>
      </c>
      <c r="G11448" t="s">
        <v>25821</v>
      </c>
      <c r="H11448" t="s">
        <v>859</v>
      </c>
      <c r="I11448" t="s">
        <v>860</v>
      </c>
      <c r="J11448" t="str">
        <f>"9190270"</f>
        <v>9190270</v>
      </c>
      <c r="K11448">
        <v>2391032062</v>
      </c>
      <c r="M11448" t="s">
        <v>28776</v>
      </c>
      <c r="N11448" t="s">
        <v>25821</v>
      </c>
      <c r="O11448" t="s">
        <v>28777</v>
      </c>
      <c r="P11448">
        <v>57007</v>
      </c>
      <c r="Q11448" t="str">
        <f>"40.674430"</f>
        <v>40.674430</v>
      </c>
      <c r="R11448" t="str">
        <f>"22.607506"</f>
        <v>22.607506</v>
      </c>
      <c r="S11448" t="s">
        <v>26</v>
      </c>
    </row>
    <row r="11449" spans="1:19" x14ac:dyDescent="0.3">
      <c r="A11449" t="s">
        <v>25190</v>
      </c>
      <c r="B11449" t="s">
        <v>28466</v>
      </c>
      <c r="C11449" t="s">
        <v>28778</v>
      </c>
      <c r="D11449" t="s">
        <v>25197</v>
      </c>
      <c r="E11449" t="s">
        <v>25889</v>
      </c>
      <c r="F11449" t="s">
        <v>25924</v>
      </c>
      <c r="G11449" t="s">
        <v>25924</v>
      </c>
      <c r="H11449" t="s">
        <v>859</v>
      </c>
      <c r="I11449" t="s">
        <v>860</v>
      </c>
      <c r="J11449" t="str">
        <f>"9190811"</f>
        <v>9190811</v>
      </c>
      <c r="K11449">
        <v>2310637693</v>
      </c>
      <c r="L11449">
        <v>2310637693</v>
      </c>
      <c r="M11449" t="s">
        <v>28779</v>
      </c>
      <c r="N11449" t="s">
        <v>25924</v>
      </c>
      <c r="O11449" t="s">
        <v>28780</v>
      </c>
      <c r="P11449">
        <v>56626</v>
      </c>
      <c r="Q11449" t="str">
        <f>"40.652249"</f>
        <v>40.652249</v>
      </c>
      <c r="R11449" t="str">
        <f>"22.959508"</f>
        <v>22.959508</v>
      </c>
      <c r="S11449" t="s">
        <v>26</v>
      </c>
    </row>
    <row r="11450" spans="1:19" x14ac:dyDescent="0.3">
      <c r="A11450" t="s">
        <v>25190</v>
      </c>
      <c r="B11450" t="s">
        <v>28466</v>
      </c>
      <c r="C11450" t="s">
        <v>28781</v>
      </c>
      <c r="D11450" t="s">
        <v>25197</v>
      </c>
      <c r="E11450" t="s">
        <v>25873</v>
      </c>
      <c r="F11450" t="s">
        <v>17906</v>
      </c>
      <c r="G11450" t="s">
        <v>17906</v>
      </c>
      <c r="H11450" t="s">
        <v>859</v>
      </c>
      <c r="I11450" t="s">
        <v>860</v>
      </c>
      <c r="J11450" t="str">
        <f>"9190117"</f>
        <v>9190117</v>
      </c>
      <c r="K11450">
        <v>2310734101</v>
      </c>
      <c r="M11450" t="s">
        <v>28782</v>
      </c>
      <c r="N11450" t="s">
        <v>17906</v>
      </c>
      <c r="O11450" t="s">
        <v>28783</v>
      </c>
      <c r="P11450">
        <v>56123</v>
      </c>
      <c r="Q11450" t="str">
        <f>"40.649978"</f>
        <v>40.649978</v>
      </c>
      <c r="R11450" t="str">
        <f>"22.926800"</f>
        <v>22.926800</v>
      </c>
      <c r="S11450" t="s">
        <v>26</v>
      </c>
    </row>
    <row r="11451" spans="1:19" x14ac:dyDescent="0.3">
      <c r="A11451" t="s">
        <v>25190</v>
      </c>
      <c r="B11451" t="s">
        <v>28466</v>
      </c>
      <c r="C11451" t="s">
        <v>28784</v>
      </c>
      <c r="D11451" t="s">
        <v>25197</v>
      </c>
      <c r="E11451" t="s">
        <v>25873</v>
      </c>
      <c r="F11451" t="s">
        <v>17906</v>
      </c>
      <c r="G11451" t="s">
        <v>17906</v>
      </c>
      <c r="H11451" t="s">
        <v>859</v>
      </c>
      <c r="I11451" t="s">
        <v>860</v>
      </c>
      <c r="J11451" t="str">
        <f>"9190157"</f>
        <v>9190157</v>
      </c>
      <c r="K11451">
        <v>2310734105</v>
      </c>
      <c r="L11451">
        <v>2310734105</v>
      </c>
      <c r="M11451" t="s">
        <v>28785</v>
      </c>
      <c r="N11451" t="s">
        <v>17906</v>
      </c>
      <c r="O11451" t="s">
        <v>28623</v>
      </c>
      <c r="P11451">
        <v>56123</v>
      </c>
      <c r="Q11451" t="str">
        <f>"40.653549"</f>
        <v>40.653549</v>
      </c>
      <c r="R11451" t="str">
        <f>"22.925061"</f>
        <v>22.925061</v>
      </c>
      <c r="S11451" t="s">
        <v>26</v>
      </c>
    </row>
    <row r="11452" spans="1:19" x14ac:dyDescent="0.3">
      <c r="A11452" t="s">
        <v>25190</v>
      </c>
      <c r="B11452" t="s">
        <v>28466</v>
      </c>
      <c r="C11452" t="s">
        <v>28786</v>
      </c>
      <c r="D11452" t="s">
        <v>25197</v>
      </c>
      <c r="E11452" t="s">
        <v>25889</v>
      </c>
      <c r="F11452" t="s">
        <v>25924</v>
      </c>
      <c r="G11452" t="s">
        <v>25924</v>
      </c>
      <c r="H11452" t="s">
        <v>859</v>
      </c>
      <c r="I11452" t="s">
        <v>860</v>
      </c>
      <c r="J11452" t="str">
        <f>"9190588"</f>
        <v>9190588</v>
      </c>
      <c r="K11452">
        <v>2310248891</v>
      </c>
      <c r="L11452">
        <v>2310248891</v>
      </c>
      <c r="M11452" t="s">
        <v>28787</v>
      </c>
      <c r="N11452" t="s">
        <v>25924</v>
      </c>
      <c r="O11452" t="s">
        <v>28788</v>
      </c>
      <c r="P11452">
        <v>56626</v>
      </c>
      <c r="Q11452" t="str">
        <f>"40.649745"</f>
        <v>40.649745</v>
      </c>
      <c r="R11452" t="str">
        <f>"22.961117"</f>
        <v>22.961117</v>
      </c>
      <c r="S11452" t="s">
        <v>26</v>
      </c>
    </row>
    <row r="11453" spans="1:19" x14ac:dyDescent="0.3">
      <c r="A11453" t="s">
        <v>25190</v>
      </c>
      <c r="B11453" t="s">
        <v>28466</v>
      </c>
      <c r="C11453" t="s">
        <v>28789</v>
      </c>
      <c r="D11453" t="s">
        <v>25197</v>
      </c>
      <c r="E11453" t="s">
        <v>25889</v>
      </c>
      <c r="F11453" t="s">
        <v>25924</v>
      </c>
      <c r="G11453" t="s">
        <v>25924</v>
      </c>
      <c r="H11453" t="s">
        <v>859</v>
      </c>
      <c r="I11453" t="s">
        <v>860</v>
      </c>
      <c r="J11453" t="str">
        <f>"9520590"</f>
        <v>9520590</v>
      </c>
      <c r="K11453">
        <v>2310631404</v>
      </c>
      <c r="L11453">
        <v>2310631404</v>
      </c>
      <c r="M11453" t="s">
        <v>28790</v>
      </c>
      <c r="N11453" t="s">
        <v>25924</v>
      </c>
      <c r="O11453" t="s">
        <v>28791</v>
      </c>
      <c r="P11453">
        <v>56625</v>
      </c>
      <c r="Q11453" t="str">
        <f>"40.649942"</f>
        <v>40.649942</v>
      </c>
      <c r="R11453" t="str">
        <f>"22.947401"</f>
        <v>22.947401</v>
      </c>
      <c r="S11453" t="s">
        <v>26</v>
      </c>
    </row>
    <row r="11454" spans="1:19" x14ac:dyDescent="0.3">
      <c r="A11454" t="s">
        <v>25190</v>
      </c>
      <c r="B11454" t="s">
        <v>28466</v>
      </c>
      <c r="C11454" t="s">
        <v>28792</v>
      </c>
      <c r="D11454" t="s">
        <v>25197</v>
      </c>
      <c r="E11454" t="s">
        <v>25889</v>
      </c>
      <c r="F11454" t="s">
        <v>25890</v>
      </c>
      <c r="G11454" t="s">
        <v>25890</v>
      </c>
      <c r="H11454" t="s">
        <v>859</v>
      </c>
      <c r="I11454" t="s">
        <v>860</v>
      </c>
      <c r="J11454" t="str">
        <f>"9190810"</f>
        <v>9190810</v>
      </c>
      <c r="K11454">
        <v>2310637113</v>
      </c>
      <c r="L11454">
        <v>2310637113</v>
      </c>
      <c r="M11454" t="s">
        <v>28793</v>
      </c>
      <c r="N11454" t="s">
        <v>11666</v>
      </c>
      <c r="O11454" t="s">
        <v>28794</v>
      </c>
      <c r="P11454">
        <v>56728</v>
      </c>
      <c r="Q11454" t="str">
        <f>"40.653853"</f>
        <v>40.653853</v>
      </c>
      <c r="R11454" t="str">
        <f>"22.945294"</f>
        <v>22.945294</v>
      </c>
      <c r="S11454" t="s">
        <v>26</v>
      </c>
    </row>
    <row r="11455" spans="1:19" x14ac:dyDescent="0.3">
      <c r="A11455" t="s">
        <v>25190</v>
      </c>
      <c r="B11455" t="s">
        <v>28466</v>
      </c>
      <c r="C11455" t="s">
        <v>28795</v>
      </c>
      <c r="D11455" t="s">
        <v>25197</v>
      </c>
      <c r="E11455" t="s">
        <v>25889</v>
      </c>
      <c r="F11455" t="s">
        <v>25890</v>
      </c>
      <c r="G11455" t="s">
        <v>25890</v>
      </c>
      <c r="H11455" t="s">
        <v>859</v>
      </c>
      <c r="I11455" t="s">
        <v>860</v>
      </c>
      <c r="J11455" t="str">
        <f>"9190594"</f>
        <v>9190594</v>
      </c>
      <c r="K11455">
        <v>2310635242</v>
      </c>
      <c r="L11455">
        <v>2310635242</v>
      </c>
      <c r="M11455" t="s">
        <v>28796</v>
      </c>
      <c r="N11455" t="s">
        <v>11666</v>
      </c>
      <c r="O11455" t="s">
        <v>28797</v>
      </c>
      <c r="P11455">
        <v>56728</v>
      </c>
      <c r="Q11455" t="str">
        <f>"40.653152"</f>
        <v>40.653152</v>
      </c>
      <c r="R11455" t="str">
        <f>"22.945393"</f>
        <v>22.945393</v>
      </c>
      <c r="S11455" t="s">
        <v>26</v>
      </c>
    </row>
    <row r="11456" spans="1:19" x14ac:dyDescent="0.3">
      <c r="A11456" t="s">
        <v>25190</v>
      </c>
      <c r="B11456" t="s">
        <v>28466</v>
      </c>
      <c r="C11456" t="s">
        <v>28798</v>
      </c>
      <c r="D11456" t="s">
        <v>25197</v>
      </c>
      <c r="E11456" t="s">
        <v>25203</v>
      </c>
      <c r="F11456" t="s">
        <v>25784</v>
      </c>
      <c r="G11456" t="s">
        <v>25784</v>
      </c>
      <c r="H11456" t="s">
        <v>859</v>
      </c>
      <c r="I11456" t="s">
        <v>860</v>
      </c>
      <c r="J11456" t="str">
        <f>"9190898"</f>
        <v>9190898</v>
      </c>
      <c r="K11456">
        <v>2310651618</v>
      </c>
      <c r="L11456">
        <v>2310651618</v>
      </c>
      <c r="M11456" t="s">
        <v>28799</v>
      </c>
      <c r="N11456" t="s">
        <v>25784</v>
      </c>
      <c r="O11456" t="s">
        <v>28800</v>
      </c>
      <c r="P11456">
        <v>56533</v>
      </c>
      <c r="Q11456" t="str">
        <f>"40.662679"</f>
        <v>40.662679</v>
      </c>
      <c r="R11456" t="str">
        <f>"22.954791"</f>
        <v>22.954791</v>
      </c>
      <c r="S11456" t="s">
        <v>26</v>
      </c>
    </row>
    <row r="11457" spans="1:19" x14ac:dyDescent="0.3">
      <c r="A11457" t="s">
        <v>25190</v>
      </c>
      <c r="B11457" t="s">
        <v>28466</v>
      </c>
      <c r="C11457" t="s">
        <v>28801</v>
      </c>
      <c r="D11457" t="s">
        <v>25197</v>
      </c>
      <c r="E11457" t="s">
        <v>25889</v>
      </c>
      <c r="F11457" t="s">
        <v>25924</v>
      </c>
      <c r="G11457" t="s">
        <v>25924</v>
      </c>
      <c r="H11457" t="s">
        <v>859</v>
      </c>
      <c r="I11457" t="s">
        <v>860</v>
      </c>
      <c r="J11457" t="str">
        <f>"9190677"</f>
        <v>9190677</v>
      </c>
      <c r="K11457">
        <v>2310580008</v>
      </c>
      <c r="L11457">
        <v>2310580008</v>
      </c>
      <c r="M11457" t="s">
        <v>28802</v>
      </c>
      <c r="N11457" t="s">
        <v>25924</v>
      </c>
      <c r="O11457" t="s">
        <v>28803</v>
      </c>
      <c r="P11457">
        <v>56625</v>
      </c>
      <c r="Q11457" t="str">
        <f>"40.644751"</f>
        <v>40.644751</v>
      </c>
      <c r="R11457" t="str">
        <f>"22.952599"</f>
        <v>22.952599</v>
      </c>
      <c r="S11457" t="s">
        <v>26</v>
      </c>
    </row>
    <row r="11458" spans="1:19" x14ac:dyDescent="0.3">
      <c r="A11458" t="s">
        <v>25190</v>
      </c>
      <c r="B11458" t="s">
        <v>28466</v>
      </c>
      <c r="C11458" t="s">
        <v>28806</v>
      </c>
      <c r="D11458" t="s">
        <v>25197</v>
      </c>
      <c r="E11458" t="s">
        <v>25203</v>
      </c>
      <c r="F11458" t="s">
        <v>25784</v>
      </c>
      <c r="G11458" t="s">
        <v>25784</v>
      </c>
      <c r="H11458" t="s">
        <v>859</v>
      </c>
      <c r="I11458" t="s">
        <v>860</v>
      </c>
      <c r="J11458" t="str">
        <f>"9190516"</f>
        <v>9190516</v>
      </c>
      <c r="K11458">
        <v>2310608952</v>
      </c>
      <c r="L11458">
        <v>2310608952</v>
      </c>
      <c r="M11458" t="s">
        <v>28807</v>
      </c>
      <c r="N11458" t="s">
        <v>25784</v>
      </c>
      <c r="O11458" t="s">
        <v>28808</v>
      </c>
      <c r="P11458">
        <v>56429</v>
      </c>
      <c r="Q11458" t="str">
        <f>"40.662685"</f>
        <v>40.662685</v>
      </c>
      <c r="R11458" t="str">
        <f>"22.942352"</f>
        <v>22.942352</v>
      </c>
      <c r="S11458" t="s">
        <v>26</v>
      </c>
    </row>
    <row r="11459" spans="1:19" x14ac:dyDescent="0.3">
      <c r="A11459" t="s">
        <v>25190</v>
      </c>
      <c r="B11459" t="s">
        <v>28466</v>
      </c>
      <c r="C11459" t="s">
        <v>28812</v>
      </c>
      <c r="D11459" t="s">
        <v>25197</v>
      </c>
      <c r="E11459" t="s">
        <v>25203</v>
      </c>
      <c r="F11459" t="s">
        <v>25784</v>
      </c>
      <c r="G11459" t="s">
        <v>25784</v>
      </c>
      <c r="H11459" t="s">
        <v>859</v>
      </c>
      <c r="I11459" t="s">
        <v>860</v>
      </c>
      <c r="J11459" t="str">
        <f>"9190595"</f>
        <v>9190595</v>
      </c>
      <c r="K11459">
        <v>2310650251</v>
      </c>
      <c r="L11459">
        <v>2316011244</v>
      </c>
      <c r="M11459" t="s">
        <v>28813</v>
      </c>
      <c r="N11459" t="s">
        <v>25784</v>
      </c>
      <c r="O11459" t="s">
        <v>28814</v>
      </c>
      <c r="P11459">
        <v>56533</v>
      </c>
      <c r="Q11459" t="str">
        <f>"40.669049"</f>
        <v>40.669049</v>
      </c>
      <c r="R11459" t="str">
        <f>"22.954621"</f>
        <v>22.954621</v>
      </c>
      <c r="S11459" t="s">
        <v>26</v>
      </c>
    </row>
    <row r="11460" spans="1:19" x14ac:dyDescent="0.3">
      <c r="A11460" t="s">
        <v>25190</v>
      </c>
      <c r="B11460" t="s">
        <v>28466</v>
      </c>
      <c r="C11460" t="s">
        <v>28815</v>
      </c>
      <c r="D11460" t="s">
        <v>25197</v>
      </c>
      <c r="E11460" t="s">
        <v>25889</v>
      </c>
      <c r="F11460" t="s">
        <v>25890</v>
      </c>
      <c r="G11460" t="s">
        <v>25890</v>
      </c>
      <c r="H11460" t="s">
        <v>859</v>
      </c>
      <c r="I11460" t="s">
        <v>860</v>
      </c>
      <c r="J11460" t="str">
        <f>"9190593"</f>
        <v>9190593</v>
      </c>
      <c r="K11460">
        <v>2310632108</v>
      </c>
      <c r="L11460">
        <v>2310632108</v>
      </c>
      <c r="M11460" t="s">
        <v>28816</v>
      </c>
      <c r="N11460" t="s">
        <v>11666</v>
      </c>
      <c r="O11460" t="s">
        <v>28817</v>
      </c>
      <c r="P11460">
        <v>56728</v>
      </c>
      <c r="Q11460" t="str">
        <f>"40.654440"</f>
        <v>40.654440</v>
      </c>
      <c r="R11460" t="str">
        <f>"22.947348"</f>
        <v>22.947348</v>
      </c>
      <c r="S11460" t="s">
        <v>26</v>
      </c>
    </row>
    <row r="11461" spans="1:19" x14ac:dyDescent="0.3">
      <c r="A11461" t="s">
        <v>25190</v>
      </c>
      <c r="B11461" t="s">
        <v>28466</v>
      </c>
      <c r="C11461" t="s">
        <v>28818</v>
      </c>
      <c r="D11461" t="s">
        <v>25197</v>
      </c>
      <c r="E11461" t="s">
        <v>25889</v>
      </c>
      <c r="F11461" t="s">
        <v>25890</v>
      </c>
      <c r="G11461" t="s">
        <v>25890</v>
      </c>
      <c r="H11461" t="s">
        <v>859</v>
      </c>
      <c r="I11461" t="s">
        <v>860</v>
      </c>
      <c r="J11461" t="str">
        <f>"9190592"</f>
        <v>9190592</v>
      </c>
      <c r="K11461">
        <v>2310619793</v>
      </c>
      <c r="L11461">
        <v>2310619793</v>
      </c>
      <c r="M11461" t="s">
        <v>28819</v>
      </c>
      <c r="N11461" t="s">
        <v>11666</v>
      </c>
      <c r="O11461" t="s">
        <v>26088</v>
      </c>
      <c r="P11461">
        <v>56728</v>
      </c>
      <c r="Q11461" t="str">
        <f>"40.654855"</f>
        <v>40.654855</v>
      </c>
      <c r="R11461" t="str">
        <f>"22.946951"</f>
        <v>22.946951</v>
      </c>
      <c r="S11461" t="s">
        <v>26</v>
      </c>
    </row>
    <row r="11462" spans="1:19" x14ac:dyDescent="0.3">
      <c r="A11462" t="s">
        <v>25190</v>
      </c>
      <c r="B11462" t="s">
        <v>28466</v>
      </c>
      <c r="C11462" t="s">
        <v>28820</v>
      </c>
      <c r="D11462" t="s">
        <v>25197</v>
      </c>
      <c r="E11462" t="s">
        <v>25889</v>
      </c>
      <c r="F11462" t="s">
        <v>25890</v>
      </c>
      <c r="G11462" t="s">
        <v>25890</v>
      </c>
      <c r="H11462" t="s">
        <v>859</v>
      </c>
      <c r="I11462" t="s">
        <v>860</v>
      </c>
      <c r="J11462" t="str">
        <f>"9190679"</f>
        <v>9190679</v>
      </c>
      <c r="K11462">
        <v>2310619793</v>
      </c>
      <c r="L11462">
        <v>2310619793</v>
      </c>
      <c r="M11462" t="s">
        <v>28821</v>
      </c>
      <c r="N11462" t="s">
        <v>11666</v>
      </c>
      <c r="O11462" t="s">
        <v>28822</v>
      </c>
      <c r="P11462">
        <v>56728</v>
      </c>
      <c r="Q11462" t="str">
        <f>"40.654863"</f>
        <v>40.654863</v>
      </c>
      <c r="R11462" t="str">
        <f>"22.946984"</f>
        <v>22.946984</v>
      </c>
      <c r="S11462" t="s">
        <v>26</v>
      </c>
    </row>
    <row r="11463" spans="1:19" x14ac:dyDescent="0.3">
      <c r="A11463" t="s">
        <v>25190</v>
      </c>
      <c r="B11463" t="s">
        <v>28466</v>
      </c>
      <c r="C11463" t="s">
        <v>28823</v>
      </c>
      <c r="D11463" t="s">
        <v>25197</v>
      </c>
      <c r="E11463" t="s">
        <v>13689</v>
      </c>
      <c r="F11463" t="s">
        <v>26232</v>
      </c>
      <c r="G11463" t="s">
        <v>26233</v>
      </c>
      <c r="H11463" t="s">
        <v>859</v>
      </c>
      <c r="I11463" t="s">
        <v>860</v>
      </c>
      <c r="J11463" t="str">
        <f>"9190247"</f>
        <v>9190247</v>
      </c>
      <c r="K11463">
        <v>2394093589</v>
      </c>
      <c r="L11463">
        <v>2394093589</v>
      </c>
      <c r="M11463" t="s">
        <v>28824</v>
      </c>
      <c r="N11463" t="s">
        <v>28825</v>
      </c>
      <c r="O11463" t="s">
        <v>28826</v>
      </c>
      <c r="P11463">
        <v>57017</v>
      </c>
      <c r="Q11463" t="str">
        <f>"40.927696"</f>
        <v>40.927696</v>
      </c>
      <c r="R11463" t="str">
        <f>"23.177553"</f>
        <v>23.177553</v>
      </c>
      <c r="S11463" t="s">
        <v>26</v>
      </c>
    </row>
    <row r="11464" spans="1:19" x14ac:dyDescent="0.3">
      <c r="A11464" t="s">
        <v>25190</v>
      </c>
      <c r="B11464" t="s">
        <v>28466</v>
      </c>
      <c r="C11464" t="s">
        <v>28830</v>
      </c>
      <c r="D11464" t="s">
        <v>25197</v>
      </c>
      <c r="E11464" t="s">
        <v>13689</v>
      </c>
      <c r="F11464" t="s">
        <v>13689</v>
      </c>
      <c r="G11464" t="s">
        <v>28720</v>
      </c>
      <c r="H11464" t="s">
        <v>859</v>
      </c>
      <c r="I11464" t="s">
        <v>860</v>
      </c>
      <c r="J11464" t="str">
        <f>"9190390"</f>
        <v>9190390</v>
      </c>
      <c r="K11464">
        <v>2394052545</v>
      </c>
      <c r="L11464">
        <v>2394052545</v>
      </c>
      <c r="M11464" t="s">
        <v>28831</v>
      </c>
      <c r="N11464" t="s">
        <v>28832</v>
      </c>
      <c r="O11464" t="s">
        <v>28723</v>
      </c>
      <c r="P11464">
        <v>57200</v>
      </c>
      <c r="Q11464" t="str">
        <f>"40.717115"</f>
        <v>40.717115</v>
      </c>
      <c r="R11464" t="str">
        <f>"23.043928"</f>
        <v>23.043928</v>
      </c>
      <c r="S11464" t="s">
        <v>26</v>
      </c>
    </row>
    <row r="11465" spans="1:19" x14ac:dyDescent="0.3">
      <c r="A11465" t="s">
        <v>25190</v>
      </c>
      <c r="B11465" t="s">
        <v>28466</v>
      </c>
      <c r="C11465" t="s">
        <v>28833</v>
      </c>
      <c r="D11465" t="s">
        <v>25197</v>
      </c>
      <c r="E11465" t="s">
        <v>13689</v>
      </c>
      <c r="F11465" t="s">
        <v>25801</v>
      </c>
      <c r="G11465" t="s">
        <v>25802</v>
      </c>
      <c r="H11465" t="s">
        <v>859</v>
      </c>
      <c r="I11465" t="s">
        <v>860</v>
      </c>
      <c r="J11465" t="str">
        <f>"9190387"</f>
        <v>9190387</v>
      </c>
      <c r="K11465">
        <v>2393032133</v>
      </c>
      <c r="M11465" t="s">
        <v>28834</v>
      </c>
      <c r="N11465" t="s">
        <v>25802</v>
      </c>
      <c r="O11465" t="s">
        <v>25806</v>
      </c>
      <c r="P11465">
        <v>57012</v>
      </c>
      <c r="Q11465" t="str">
        <f>"40.574671"</f>
        <v>40.574671</v>
      </c>
      <c r="R11465" t="str">
        <f>"23.292294"</f>
        <v>23.292294</v>
      </c>
      <c r="S11465" t="s">
        <v>26</v>
      </c>
    </row>
    <row r="11466" spans="1:19" x14ac:dyDescent="0.3">
      <c r="A11466" t="s">
        <v>25190</v>
      </c>
      <c r="B11466" t="s">
        <v>28466</v>
      </c>
      <c r="C11466" t="s">
        <v>28835</v>
      </c>
      <c r="D11466" t="s">
        <v>25197</v>
      </c>
      <c r="E11466" t="s">
        <v>25966</v>
      </c>
      <c r="F11466" t="s">
        <v>26056</v>
      </c>
      <c r="G11466" t="s">
        <v>15683</v>
      </c>
      <c r="H11466" t="s">
        <v>859</v>
      </c>
      <c r="I11466" t="s">
        <v>860</v>
      </c>
      <c r="J11466" t="str">
        <f>"9190485"</f>
        <v>9190485</v>
      </c>
      <c r="K11466">
        <v>2394032695</v>
      </c>
      <c r="L11466">
        <v>2394032695</v>
      </c>
      <c r="M11466" t="s">
        <v>28836</v>
      </c>
      <c r="N11466" t="s">
        <v>15683</v>
      </c>
      <c r="O11466" t="s">
        <v>15686</v>
      </c>
      <c r="P11466">
        <v>57200</v>
      </c>
      <c r="Q11466" t="str">
        <f>"40.779133"</f>
        <v>40.779133</v>
      </c>
      <c r="R11466" t="str">
        <f>"22.963754"</f>
        <v>22.963754</v>
      </c>
      <c r="S11466" t="s">
        <v>26</v>
      </c>
    </row>
    <row r="11467" spans="1:19" x14ac:dyDescent="0.3">
      <c r="A11467" t="s">
        <v>25190</v>
      </c>
      <c r="B11467" t="s">
        <v>28466</v>
      </c>
      <c r="C11467" t="s">
        <v>28837</v>
      </c>
      <c r="D11467" t="s">
        <v>25197</v>
      </c>
      <c r="E11467" t="s">
        <v>13689</v>
      </c>
      <c r="F11467" t="s">
        <v>25845</v>
      </c>
      <c r="G11467" t="s">
        <v>28708</v>
      </c>
      <c r="H11467" t="s">
        <v>859</v>
      </c>
      <c r="I11467" t="s">
        <v>860</v>
      </c>
      <c r="J11467" t="str">
        <f>"9190217"</f>
        <v>9190217</v>
      </c>
      <c r="K11467">
        <v>2395061250</v>
      </c>
      <c r="L11467">
        <v>2395061377</v>
      </c>
      <c r="M11467" t="s">
        <v>28838</v>
      </c>
      <c r="N11467" t="s">
        <v>28839</v>
      </c>
      <c r="O11467" t="s">
        <v>14065</v>
      </c>
      <c r="P11467">
        <v>57002</v>
      </c>
      <c r="Q11467" t="str">
        <f>"40.748115"</f>
        <v>40.748115</v>
      </c>
      <c r="R11467" t="str">
        <f>"23.387085"</f>
        <v>23.387085</v>
      </c>
      <c r="S11467" t="s">
        <v>26</v>
      </c>
    </row>
    <row r="11468" spans="1:19" x14ac:dyDescent="0.3">
      <c r="A11468" t="s">
        <v>25190</v>
      </c>
      <c r="B11468" t="s">
        <v>28466</v>
      </c>
      <c r="C11468" t="s">
        <v>28840</v>
      </c>
      <c r="D11468" t="s">
        <v>25197</v>
      </c>
      <c r="E11468" t="s">
        <v>13689</v>
      </c>
      <c r="F11468" t="s">
        <v>25808</v>
      </c>
      <c r="G11468" t="s">
        <v>28712</v>
      </c>
      <c r="H11468" t="s">
        <v>859</v>
      </c>
      <c r="I11468" t="s">
        <v>860</v>
      </c>
      <c r="J11468" t="str">
        <f>"9190386"</f>
        <v>9190386</v>
      </c>
      <c r="K11468">
        <v>2393023088</v>
      </c>
      <c r="L11468">
        <v>2393023088</v>
      </c>
      <c r="M11468" t="s">
        <v>28841</v>
      </c>
      <c r="N11468" t="s">
        <v>28712</v>
      </c>
      <c r="O11468" t="s">
        <v>28715</v>
      </c>
      <c r="P11468">
        <v>57012</v>
      </c>
      <c r="Q11468" t="str">
        <f>"40.629440"</f>
        <v>40.629440</v>
      </c>
      <c r="R11468" t="str">
        <f>"23.214304"</f>
        <v>23.214304</v>
      </c>
      <c r="S11468" t="s">
        <v>26</v>
      </c>
    </row>
    <row r="11469" spans="1:19" x14ac:dyDescent="0.3">
      <c r="A11469" t="s">
        <v>25190</v>
      </c>
      <c r="B11469" t="s">
        <v>28466</v>
      </c>
      <c r="C11469" t="s">
        <v>28852</v>
      </c>
      <c r="D11469" t="s">
        <v>25197</v>
      </c>
      <c r="E11469" t="s">
        <v>25889</v>
      </c>
      <c r="F11469" t="s">
        <v>28843</v>
      </c>
      <c r="G11469" t="s">
        <v>28843</v>
      </c>
      <c r="H11469" t="s">
        <v>859</v>
      </c>
      <c r="I11469" t="s">
        <v>860</v>
      </c>
      <c r="J11469" t="str">
        <f>"9190475"</f>
        <v>9190475</v>
      </c>
      <c r="K11469">
        <v>2310968426</v>
      </c>
      <c r="L11469">
        <v>2310968426</v>
      </c>
      <c r="M11469" t="s">
        <v>28853</v>
      </c>
      <c r="N11469" t="s">
        <v>28854</v>
      </c>
      <c r="O11469" t="s">
        <v>28855</v>
      </c>
      <c r="P11469">
        <v>55438</v>
      </c>
      <c r="Q11469" t="str">
        <f>"40.642943"</f>
        <v>40.642943</v>
      </c>
      <c r="R11469" t="str">
        <f>"22.966298"</f>
        <v>22.966298</v>
      </c>
      <c r="S11469" t="s">
        <v>26</v>
      </c>
    </row>
    <row r="11470" spans="1:19" x14ac:dyDescent="0.3">
      <c r="A11470" t="s">
        <v>25190</v>
      </c>
      <c r="B11470" t="s">
        <v>28466</v>
      </c>
      <c r="C11470" t="s">
        <v>28859</v>
      </c>
      <c r="D11470" t="s">
        <v>25197</v>
      </c>
      <c r="E11470" t="s">
        <v>13689</v>
      </c>
      <c r="F11470" t="s">
        <v>13689</v>
      </c>
      <c r="G11470" t="s">
        <v>13689</v>
      </c>
      <c r="H11470" t="s">
        <v>859</v>
      </c>
      <c r="I11470" t="s">
        <v>860</v>
      </c>
      <c r="J11470" t="str">
        <f>"9190205"</f>
        <v>9190205</v>
      </c>
      <c r="K11470">
        <v>2394023245</v>
      </c>
      <c r="L11470">
        <v>2394023245</v>
      </c>
      <c r="M11470" t="s">
        <v>28860</v>
      </c>
      <c r="N11470" t="s">
        <v>13689</v>
      </c>
      <c r="O11470" t="s">
        <v>28861</v>
      </c>
      <c r="P11470">
        <v>57200</v>
      </c>
      <c r="Q11470" t="str">
        <f>"40.747351"</f>
        <v>40.747351</v>
      </c>
      <c r="R11470" t="str">
        <f>"23.069446"</f>
        <v>23.069446</v>
      </c>
      <c r="S11470" t="s">
        <v>26</v>
      </c>
    </row>
    <row r="11471" spans="1:19" x14ac:dyDescent="0.3">
      <c r="A11471" t="s">
        <v>25190</v>
      </c>
      <c r="B11471" t="s">
        <v>28466</v>
      </c>
      <c r="C11471" t="s">
        <v>28862</v>
      </c>
      <c r="D11471" t="s">
        <v>25197</v>
      </c>
      <c r="E11471" t="s">
        <v>25889</v>
      </c>
      <c r="F11471" t="s">
        <v>28843</v>
      </c>
      <c r="G11471" t="s">
        <v>28843</v>
      </c>
      <c r="H11471" t="s">
        <v>859</v>
      </c>
      <c r="I11471" t="s">
        <v>860</v>
      </c>
      <c r="J11471" t="str">
        <f>"9190460"</f>
        <v>9190460</v>
      </c>
      <c r="K11471">
        <v>2310203120</v>
      </c>
      <c r="L11471">
        <v>2310203120</v>
      </c>
      <c r="M11471" t="s">
        <v>28863</v>
      </c>
      <c r="N11471" t="s">
        <v>28864</v>
      </c>
      <c r="O11471" t="s">
        <v>28865</v>
      </c>
      <c r="P11471">
        <v>54636</v>
      </c>
      <c r="Q11471" t="str">
        <f>"40.636679"</f>
        <v>40.636679</v>
      </c>
      <c r="R11471" t="str">
        <f>"22.959682"</f>
        <v>22.959682</v>
      </c>
      <c r="S11471" t="s">
        <v>26</v>
      </c>
    </row>
    <row r="11472" spans="1:19" x14ac:dyDescent="0.3">
      <c r="A11472" t="s">
        <v>25190</v>
      </c>
      <c r="B11472" t="s">
        <v>28466</v>
      </c>
      <c r="C11472" t="s">
        <v>28866</v>
      </c>
      <c r="D11472" t="s">
        <v>25197</v>
      </c>
      <c r="E11472" t="s">
        <v>25889</v>
      </c>
      <c r="F11472" t="s">
        <v>28843</v>
      </c>
      <c r="G11472" t="s">
        <v>28843</v>
      </c>
      <c r="H11472" t="s">
        <v>859</v>
      </c>
      <c r="I11472" t="s">
        <v>860</v>
      </c>
      <c r="J11472" t="str">
        <f>"9520589"</f>
        <v>9520589</v>
      </c>
      <c r="K11472">
        <v>2310968426</v>
      </c>
      <c r="L11472">
        <v>2310968426</v>
      </c>
      <c r="M11472" t="s">
        <v>28867</v>
      </c>
      <c r="N11472" t="s">
        <v>28854</v>
      </c>
      <c r="O11472" t="s">
        <v>28868</v>
      </c>
      <c r="P11472">
        <v>55438</v>
      </c>
      <c r="Q11472" t="str">
        <f>"40.642931"</f>
        <v>40.642931</v>
      </c>
      <c r="R11472" t="str">
        <f>"22.966269"</f>
        <v>22.966269</v>
      </c>
      <c r="S11472" t="s">
        <v>26</v>
      </c>
    </row>
    <row r="11473" spans="1:19" x14ac:dyDescent="0.3">
      <c r="A11473" t="s">
        <v>25190</v>
      </c>
      <c r="B11473" t="s">
        <v>28466</v>
      </c>
      <c r="C11473" t="s">
        <v>28869</v>
      </c>
      <c r="D11473" t="s">
        <v>25197</v>
      </c>
      <c r="E11473" t="s">
        <v>25889</v>
      </c>
      <c r="F11473" t="s">
        <v>25924</v>
      </c>
      <c r="G11473" t="s">
        <v>25924</v>
      </c>
      <c r="H11473" t="s">
        <v>859</v>
      </c>
      <c r="I11473" t="s">
        <v>860</v>
      </c>
      <c r="J11473" t="str">
        <f>"9190947"</f>
        <v>9190947</v>
      </c>
      <c r="K11473">
        <v>2310611997</v>
      </c>
      <c r="L11473">
        <v>2310611997</v>
      </c>
      <c r="M11473" t="s">
        <v>28870</v>
      </c>
      <c r="N11473" t="s">
        <v>25952</v>
      </c>
      <c r="O11473" t="s">
        <v>28871</v>
      </c>
      <c r="P11473">
        <v>56626</v>
      </c>
      <c r="Q11473" t="str">
        <f>"40.653096"</f>
        <v>40.653096</v>
      </c>
      <c r="R11473" t="str">
        <f>"22.957287"</f>
        <v>22.957287</v>
      </c>
      <c r="S11473" t="s">
        <v>26</v>
      </c>
    </row>
    <row r="11474" spans="1:19" x14ac:dyDescent="0.3">
      <c r="A11474" t="s">
        <v>25190</v>
      </c>
      <c r="B11474" t="s">
        <v>28466</v>
      </c>
      <c r="C11474" t="s">
        <v>28872</v>
      </c>
      <c r="D11474" t="s">
        <v>25197</v>
      </c>
      <c r="E11474" t="s">
        <v>25873</v>
      </c>
      <c r="F11474" t="s">
        <v>17906</v>
      </c>
      <c r="G11474" t="s">
        <v>17906</v>
      </c>
      <c r="H11474" t="s">
        <v>859</v>
      </c>
      <c r="I11474" t="s">
        <v>860</v>
      </c>
      <c r="J11474" t="str">
        <f>"9520977"</f>
        <v>9520977</v>
      </c>
      <c r="K11474">
        <v>2310721843</v>
      </c>
      <c r="L11474">
        <v>2310721843</v>
      </c>
      <c r="M11474" t="s">
        <v>28873</v>
      </c>
      <c r="N11474" t="s">
        <v>17906</v>
      </c>
      <c r="O11474" t="s">
        <v>28874</v>
      </c>
      <c r="P11474">
        <v>56123</v>
      </c>
      <c r="Q11474" t="str">
        <f>"40.650814"</f>
        <v>40.650814</v>
      </c>
      <c r="R11474" t="str">
        <f>"22.932273"</f>
        <v>22.932273</v>
      </c>
      <c r="S11474" t="s">
        <v>26</v>
      </c>
    </row>
    <row r="11475" spans="1:19" x14ac:dyDescent="0.3">
      <c r="A11475" t="s">
        <v>25190</v>
      </c>
      <c r="B11475" t="s">
        <v>28466</v>
      </c>
      <c r="C11475" t="s">
        <v>28878</v>
      </c>
      <c r="D11475" t="s">
        <v>25197</v>
      </c>
      <c r="E11475" t="s">
        <v>25889</v>
      </c>
      <c r="F11475" t="s">
        <v>25924</v>
      </c>
      <c r="G11475" t="s">
        <v>25924</v>
      </c>
      <c r="H11475" t="s">
        <v>859</v>
      </c>
      <c r="I11475" t="s">
        <v>860</v>
      </c>
      <c r="J11475" t="str">
        <f>"9520659"</f>
        <v>9520659</v>
      </c>
      <c r="K11475">
        <v>2310632164</v>
      </c>
      <c r="L11475">
        <v>2310632164</v>
      </c>
      <c r="M11475" t="s">
        <v>28879</v>
      </c>
      <c r="N11475" t="s">
        <v>25924</v>
      </c>
      <c r="O11475" t="s">
        <v>28880</v>
      </c>
      <c r="P11475">
        <v>56625</v>
      </c>
      <c r="Q11475" t="str">
        <f>"40.647145"</f>
        <v>40.647145</v>
      </c>
      <c r="R11475" t="str">
        <f>"22.943709"</f>
        <v>22.943709</v>
      </c>
      <c r="S11475" t="s">
        <v>26</v>
      </c>
    </row>
    <row r="11476" spans="1:19" x14ac:dyDescent="0.3">
      <c r="A11476" t="s">
        <v>25190</v>
      </c>
      <c r="B11476" t="s">
        <v>28466</v>
      </c>
      <c r="C11476" t="s">
        <v>28882</v>
      </c>
      <c r="D11476" t="s">
        <v>25197</v>
      </c>
      <c r="E11476" t="s">
        <v>13689</v>
      </c>
      <c r="F11476" t="s">
        <v>13689</v>
      </c>
      <c r="G11476" t="s">
        <v>28881</v>
      </c>
      <c r="H11476" t="s">
        <v>859</v>
      </c>
      <c r="I11476" t="s">
        <v>860</v>
      </c>
      <c r="J11476" t="str">
        <f>"9190488"</f>
        <v>9190488</v>
      </c>
      <c r="K11476">
        <v>2394055280</v>
      </c>
      <c r="L11476">
        <v>2394055280</v>
      </c>
      <c r="M11476" t="s">
        <v>28883</v>
      </c>
      <c r="N11476" t="s">
        <v>28884</v>
      </c>
      <c r="O11476" t="s">
        <v>28885</v>
      </c>
      <c r="P11476">
        <v>57200</v>
      </c>
      <c r="Q11476" t="str">
        <f>"40.721658"</f>
        <v>40.721658</v>
      </c>
      <c r="R11476" t="str">
        <f>"23.177567"</f>
        <v>23.177567</v>
      </c>
      <c r="S11476" t="s">
        <v>26</v>
      </c>
    </row>
    <row r="11477" spans="1:19" x14ac:dyDescent="0.3">
      <c r="A11477" t="s">
        <v>25190</v>
      </c>
      <c r="B11477" t="s">
        <v>28466</v>
      </c>
      <c r="C11477" t="s">
        <v>28892</v>
      </c>
      <c r="D11477" t="s">
        <v>25197</v>
      </c>
      <c r="E11477" t="s">
        <v>25203</v>
      </c>
      <c r="F11477" t="s">
        <v>25784</v>
      </c>
      <c r="G11477" t="s">
        <v>25784</v>
      </c>
      <c r="H11477" t="s">
        <v>859</v>
      </c>
      <c r="I11477" t="s">
        <v>860</v>
      </c>
      <c r="J11477" t="str">
        <f>"9190102"</f>
        <v>9190102</v>
      </c>
      <c r="K11477">
        <v>2310631286</v>
      </c>
      <c r="L11477">
        <v>2310631286</v>
      </c>
      <c r="M11477" t="s">
        <v>28893</v>
      </c>
      <c r="N11477" t="s">
        <v>25784</v>
      </c>
      <c r="O11477" t="s">
        <v>28894</v>
      </c>
      <c r="P11477">
        <v>56532</v>
      </c>
      <c r="Q11477" t="str">
        <f>"40.663668"</f>
        <v>40.663668</v>
      </c>
      <c r="R11477" t="str">
        <f>"22.958927"</f>
        <v>22.958927</v>
      </c>
      <c r="S11477" t="s">
        <v>26</v>
      </c>
    </row>
    <row r="11478" spans="1:19" x14ac:dyDescent="0.3">
      <c r="A11478" t="s">
        <v>25190</v>
      </c>
      <c r="B11478" t="s">
        <v>28466</v>
      </c>
      <c r="C11478" t="s">
        <v>28895</v>
      </c>
      <c r="D11478" t="s">
        <v>25197</v>
      </c>
      <c r="E11478" t="s">
        <v>25889</v>
      </c>
      <c r="F11478" t="s">
        <v>25890</v>
      </c>
      <c r="G11478" t="s">
        <v>25890</v>
      </c>
      <c r="H11478" t="s">
        <v>859</v>
      </c>
      <c r="I11478" t="s">
        <v>860</v>
      </c>
      <c r="J11478" t="str">
        <f>"9190591"</f>
        <v>9190591</v>
      </c>
      <c r="K11478">
        <v>2310537697</v>
      </c>
      <c r="L11478">
        <v>2310537697</v>
      </c>
      <c r="M11478" t="s">
        <v>28896</v>
      </c>
      <c r="N11478" t="s">
        <v>11666</v>
      </c>
      <c r="O11478" t="s">
        <v>28897</v>
      </c>
      <c r="P11478">
        <v>56727</v>
      </c>
      <c r="Q11478" t="str">
        <f>"40.654988"</f>
        <v>40.654988</v>
      </c>
      <c r="R11478" t="str">
        <f>"22.934729"</f>
        <v>22.934729</v>
      </c>
      <c r="S11478" t="s">
        <v>26</v>
      </c>
    </row>
    <row r="11479" spans="1:19" x14ac:dyDescent="0.3">
      <c r="A11479" t="s">
        <v>25190</v>
      </c>
      <c r="B11479" t="s">
        <v>28466</v>
      </c>
      <c r="C11479" t="s">
        <v>28901</v>
      </c>
      <c r="D11479" t="s">
        <v>25197</v>
      </c>
      <c r="E11479" t="s">
        <v>25889</v>
      </c>
      <c r="F11479" t="s">
        <v>25924</v>
      </c>
      <c r="G11479" t="s">
        <v>25924</v>
      </c>
      <c r="H11479" t="s">
        <v>859</v>
      </c>
      <c r="I11479" t="s">
        <v>860</v>
      </c>
      <c r="J11479" t="str">
        <f>"9520749"</f>
        <v>9520749</v>
      </c>
      <c r="K11479">
        <v>2310610694</v>
      </c>
      <c r="L11479">
        <v>2310610694</v>
      </c>
      <c r="M11479" t="s">
        <v>28902</v>
      </c>
      <c r="N11479" t="s">
        <v>25924</v>
      </c>
      <c r="O11479" t="s">
        <v>28903</v>
      </c>
      <c r="P11479">
        <v>56625</v>
      </c>
      <c r="Q11479" t="str">
        <f>"40.649493"</f>
        <v>40.649493</v>
      </c>
      <c r="R11479" t="str">
        <f>"22.922036"</f>
        <v>22.922036</v>
      </c>
      <c r="S11479" t="s">
        <v>26</v>
      </c>
    </row>
    <row r="11480" spans="1:19" x14ac:dyDescent="0.3">
      <c r="A11480" t="s">
        <v>25190</v>
      </c>
      <c r="B11480" t="s">
        <v>28466</v>
      </c>
      <c r="C11480" t="s">
        <v>28909</v>
      </c>
      <c r="D11480" t="s">
        <v>25197</v>
      </c>
      <c r="E11480" t="s">
        <v>25889</v>
      </c>
      <c r="F11480" t="s">
        <v>25924</v>
      </c>
      <c r="G11480" t="s">
        <v>25924</v>
      </c>
      <c r="H11480" t="s">
        <v>859</v>
      </c>
      <c r="I11480" t="s">
        <v>860</v>
      </c>
      <c r="J11480" t="str">
        <f>"9190189"</f>
        <v>9190189</v>
      </c>
      <c r="K11480">
        <v>2310625381</v>
      </c>
      <c r="M11480" t="s">
        <v>28910</v>
      </c>
      <c r="N11480" t="s">
        <v>25924</v>
      </c>
      <c r="O11480" t="s">
        <v>28911</v>
      </c>
      <c r="P11480">
        <v>56625</v>
      </c>
      <c r="Q11480" t="str">
        <f>"40.647167"</f>
        <v>40.647167</v>
      </c>
      <c r="R11480" t="str">
        <f>"22.942895"</f>
        <v>22.942895</v>
      </c>
      <c r="S11480" t="s">
        <v>26</v>
      </c>
    </row>
    <row r="11481" spans="1:19" x14ac:dyDescent="0.3">
      <c r="A11481" t="s">
        <v>25190</v>
      </c>
      <c r="B11481" t="s">
        <v>28466</v>
      </c>
      <c r="C11481" t="s">
        <v>28914</v>
      </c>
      <c r="D11481" t="s">
        <v>25197</v>
      </c>
      <c r="E11481" t="s">
        <v>25889</v>
      </c>
      <c r="F11481" t="s">
        <v>25890</v>
      </c>
      <c r="G11481" t="s">
        <v>25890</v>
      </c>
      <c r="H11481" t="s">
        <v>859</v>
      </c>
      <c r="I11481" t="s">
        <v>860</v>
      </c>
      <c r="J11481" t="str">
        <f>"9190511"</f>
        <v>9190511</v>
      </c>
      <c r="K11481">
        <v>2310554251</v>
      </c>
      <c r="L11481">
        <v>2310554251</v>
      </c>
      <c r="M11481" t="s">
        <v>28915</v>
      </c>
      <c r="N11481" t="s">
        <v>11666</v>
      </c>
      <c r="O11481" t="s">
        <v>28916</v>
      </c>
      <c r="P11481">
        <v>56728</v>
      </c>
      <c r="Q11481" t="str">
        <f>"40.651963"</f>
        <v>40.651963</v>
      </c>
      <c r="R11481" t="str">
        <f>"22.935997"</f>
        <v>22.935997</v>
      </c>
      <c r="S11481" t="s">
        <v>26</v>
      </c>
    </row>
    <row r="11482" spans="1:19" x14ac:dyDescent="0.3">
      <c r="A11482" t="s">
        <v>25190</v>
      </c>
      <c r="B11482" t="s">
        <v>28466</v>
      </c>
      <c r="C11482" t="s">
        <v>28920</v>
      </c>
      <c r="D11482" t="s">
        <v>25197</v>
      </c>
      <c r="E11482" t="s">
        <v>25889</v>
      </c>
      <c r="F11482" t="s">
        <v>25924</v>
      </c>
      <c r="G11482" t="s">
        <v>25924</v>
      </c>
      <c r="H11482" t="s">
        <v>859</v>
      </c>
      <c r="I11482" t="s">
        <v>860</v>
      </c>
      <c r="J11482" t="str">
        <f>"9190678"</f>
        <v>9190678</v>
      </c>
      <c r="K11482">
        <v>2310218156</v>
      </c>
      <c r="L11482">
        <v>2310218156</v>
      </c>
      <c r="M11482" t="s">
        <v>28921</v>
      </c>
      <c r="N11482" t="s">
        <v>25924</v>
      </c>
      <c r="O11482" t="s">
        <v>28922</v>
      </c>
      <c r="P11482">
        <v>56625</v>
      </c>
      <c r="Q11482" t="str">
        <f>"40.647615"</f>
        <v>40.647615</v>
      </c>
      <c r="R11482" t="str">
        <f>"22.955685"</f>
        <v>22.955685</v>
      </c>
      <c r="S11482" t="s">
        <v>26</v>
      </c>
    </row>
    <row r="11483" spans="1:19" x14ac:dyDescent="0.3">
      <c r="A11483" t="s">
        <v>25190</v>
      </c>
      <c r="B11483" t="s">
        <v>28466</v>
      </c>
      <c r="C11483" t="s">
        <v>28923</v>
      </c>
      <c r="D11483" t="s">
        <v>25197</v>
      </c>
      <c r="E11483" t="s">
        <v>13689</v>
      </c>
      <c r="F11483" t="s">
        <v>13689</v>
      </c>
      <c r="G11483" t="s">
        <v>4618</v>
      </c>
      <c r="H11483" t="s">
        <v>859</v>
      </c>
      <c r="I11483" t="s">
        <v>860</v>
      </c>
      <c r="J11483" t="str">
        <f>"9190521"</f>
        <v>9190521</v>
      </c>
      <c r="K11483">
        <v>2394024843</v>
      </c>
      <c r="L11483">
        <v>2394024843</v>
      </c>
      <c r="M11483" t="s">
        <v>28924</v>
      </c>
      <c r="N11483" t="s">
        <v>4618</v>
      </c>
      <c r="O11483" t="s">
        <v>28925</v>
      </c>
      <c r="P11483">
        <v>57200</v>
      </c>
      <c r="Q11483" t="str">
        <f>"40.759225"</f>
        <v>40.759225</v>
      </c>
      <c r="R11483" t="str">
        <f>"23.036151"</f>
        <v>23.036151</v>
      </c>
      <c r="S11483" t="s">
        <v>26</v>
      </c>
    </row>
    <row r="11484" spans="1:19" x14ac:dyDescent="0.3">
      <c r="A11484" t="s">
        <v>25190</v>
      </c>
      <c r="B11484" t="s">
        <v>28466</v>
      </c>
      <c r="C11484" t="s">
        <v>28926</v>
      </c>
      <c r="D11484" t="s">
        <v>25197</v>
      </c>
      <c r="E11484" t="s">
        <v>13689</v>
      </c>
      <c r="F11484" t="s">
        <v>26156</v>
      </c>
      <c r="G11484" t="s">
        <v>26156</v>
      </c>
      <c r="H11484" t="s">
        <v>859</v>
      </c>
      <c r="I11484" t="s">
        <v>860</v>
      </c>
      <c r="J11484" t="str">
        <f>"9190484"</f>
        <v>9190484</v>
      </c>
      <c r="K11484">
        <v>2394061724</v>
      </c>
      <c r="L11484">
        <v>2394061724</v>
      </c>
      <c r="M11484" t="s">
        <v>28927</v>
      </c>
      <c r="N11484" t="s">
        <v>26156</v>
      </c>
      <c r="O11484" t="s">
        <v>26159</v>
      </c>
      <c r="P11484">
        <v>57200</v>
      </c>
      <c r="Q11484" t="str">
        <f>"40.821515"</f>
        <v>40.821515</v>
      </c>
      <c r="R11484" t="str">
        <f>"23.031755"</f>
        <v>23.031755</v>
      </c>
      <c r="S11484" t="s">
        <v>26</v>
      </c>
    </row>
    <row r="11485" spans="1:19" x14ac:dyDescent="0.3">
      <c r="A11485" t="s">
        <v>25190</v>
      </c>
      <c r="B11485" t="s">
        <v>28466</v>
      </c>
      <c r="C11485" t="s">
        <v>28928</v>
      </c>
      <c r="D11485" t="s">
        <v>25197</v>
      </c>
      <c r="E11485" t="s">
        <v>13689</v>
      </c>
      <c r="F11485" t="s">
        <v>25845</v>
      </c>
      <c r="G11485" t="s">
        <v>25845</v>
      </c>
      <c r="H11485" t="s">
        <v>859</v>
      </c>
      <c r="I11485" t="s">
        <v>860</v>
      </c>
      <c r="J11485" t="str">
        <f>"9190208"</f>
        <v>9190208</v>
      </c>
      <c r="K11485">
        <v>2395022081</v>
      </c>
      <c r="L11485">
        <v>2395022081</v>
      </c>
      <c r="M11485" t="s">
        <v>28929</v>
      </c>
      <c r="N11485" t="s">
        <v>25845</v>
      </c>
      <c r="O11485" t="s">
        <v>28907</v>
      </c>
      <c r="P11485">
        <v>57002</v>
      </c>
      <c r="Q11485" t="str">
        <f>"40.819624"</f>
        <v>40.819624</v>
      </c>
      <c r="R11485" t="str">
        <f>"23.358730"</f>
        <v>23.358730</v>
      </c>
      <c r="S11485" t="s">
        <v>26</v>
      </c>
    </row>
    <row r="11486" spans="1:19" x14ac:dyDescent="0.3">
      <c r="A11486" t="s">
        <v>25190</v>
      </c>
      <c r="B11486" t="s">
        <v>28466</v>
      </c>
      <c r="C11486" t="s">
        <v>28930</v>
      </c>
      <c r="D11486" t="s">
        <v>25197</v>
      </c>
      <c r="E11486" t="s">
        <v>25765</v>
      </c>
      <c r="F11486" t="s">
        <v>19230</v>
      </c>
      <c r="G11486" t="s">
        <v>26161</v>
      </c>
      <c r="H11486" t="s">
        <v>859</v>
      </c>
      <c r="I11486" t="s">
        <v>860</v>
      </c>
      <c r="J11486" t="str">
        <f>"9190252"</f>
        <v>9190252</v>
      </c>
      <c r="K11486">
        <v>2393051201</v>
      </c>
      <c r="L11486">
        <v>2393051612</v>
      </c>
      <c r="M11486" t="s">
        <v>28931</v>
      </c>
      <c r="N11486" t="s">
        <v>13689</v>
      </c>
      <c r="O11486" t="s">
        <v>26164</v>
      </c>
      <c r="P11486">
        <v>57200</v>
      </c>
      <c r="Q11486" t="str">
        <f>"40.687950"</f>
        <v>40.687950</v>
      </c>
      <c r="R11486" t="str">
        <f>"23.276819"</f>
        <v>23.276819</v>
      </c>
      <c r="S11486" t="s">
        <v>26</v>
      </c>
    </row>
    <row r="11487" spans="1:19" x14ac:dyDescent="0.3">
      <c r="A11487" t="s">
        <v>25190</v>
      </c>
      <c r="B11487" t="s">
        <v>28466</v>
      </c>
      <c r="C11487" t="s">
        <v>28932</v>
      </c>
      <c r="D11487" t="s">
        <v>25197</v>
      </c>
      <c r="E11487" t="s">
        <v>13689</v>
      </c>
      <c r="F11487" t="s">
        <v>25845</v>
      </c>
      <c r="G11487" t="s">
        <v>25845</v>
      </c>
      <c r="H11487" t="s">
        <v>859</v>
      </c>
      <c r="I11487" t="s">
        <v>860</v>
      </c>
      <c r="J11487" t="str">
        <f>"9190210"</f>
        <v>9190210</v>
      </c>
      <c r="K11487">
        <v>2395022688</v>
      </c>
      <c r="L11487">
        <v>2395022688</v>
      </c>
      <c r="M11487" t="s">
        <v>28933</v>
      </c>
      <c r="N11487" t="s">
        <v>25845</v>
      </c>
      <c r="O11487" t="s">
        <v>28934</v>
      </c>
      <c r="P11487">
        <v>57002</v>
      </c>
      <c r="Q11487" t="str">
        <f>"40.815800"</f>
        <v>40.815800</v>
      </c>
      <c r="R11487" t="str">
        <f>"23.354010"</f>
        <v>23.354010</v>
      </c>
      <c r="S11487" t="s">
        <v>26</v>
      </c>
    </row>
    <row r="11488" spans="1:19" x14ac:dyDescent="0.3">
      <c r="A11488" t="s">
        <v>25190</v>
      </c>
      <c r="B11488" t="s">
        <v>28466</v>
      </c>
      <c r="C11488" t="s">
        <v>28936</v>
      </c>
      <c r="D11488" t="s">
        <v>25197</v>
      </c>
      <c r="E11488" t="s">
        <v>25765</v>
      </c>
      <c r="F11488" t="s">
        <v>1872</v>
      </c>
      <c r="G11488" t="s">
        <v>28935</v>
      </c>
      <c r="H11488" t="s">
        <v>859</v>
      </c>
      <c r="I11488" t="s">
        <v>860</v>
      </c>
      <c r="J11488" t="str">
        <f>"9190784"</f>
        <v>9190784</v>
      </c>
      <c r="K11488">
        <v>2397021775</v>
      </c>
      <c r="L11488">
        <v>2397021775</v>
      </c>
      <c r="M11488" t="s">
        <v>28937</v>
      </c>
      <c r="N11488" t="s">
        <v>28938</v>
      </c>
      <c r="O11488" t="s">
        <v>28939</v>
      </c>
      <c r="P11488">
        <v>57021</v>
      </c>
      <c r="Q11488" t="str">
        <f>"40.704623"</f>
        <v>40.704623</v>
      </c>
      <c r="R11488" t="str">
        <f>"23.652122"</f>
        <v>23.652122</v>
      </c>
      <c r="S11488" t="s">
        <v>26</v>
      </c>
    </row>
    <row r="11489" spans="1:19" x14ac:dyDescent="0.3">
      <c r="A11489" t="s">
        <v>25190</v>
      </c>
      <c r="B11489" t="s">
        <v>28466</v>
      </c>
      <c r="C11489" t="s">
        <v>28940</v>
      </c>
      <c r="D11489" t="s">
        <v>25197</v>
      </c>
      <c r="E11489" t="s">
        <v>25765</v>
      </c>
      <c r="F11489" t="s">
        <v>25777</v>
      </c>
      <c r="G11489" t="s">
        <v>25778</v>
      </c>
      <c r="H11489" t="s">
        <v>859</v>
      </c>
      <c r="I11489" t="s">
        <v>860</v>
      </c>
      <c r="J11489" t="str">
        <f>"9190397"</f>
        <v>9190397</v>
      </c>
      <c r="K11489">
        <v>2393041100</v>
      </c>
      <c r="L11489">
        <v>2393041100</v>
      </c>
      <c r="M11489" t="s">
        <v>28941</v>
      </c>
      <c r="N11489" t="s">
        <v>25778</v>
      </c>
      <c r="O11489" t="s">
        <v>28696</v>
      </c>
      <c r="P11489">
        <v>57015</v>
      </c>
      <c r="Q11489" t="str">
        <f>"40.624248"</f>
        <v>40.624248</v>
      </c>
      <c r="R11489" t="str">
        <f>"23.440669"</f>
        <v>23.440669</v>
      </c>
      <c r="S11489" t="s">
        <v>26</v>
      </c>
    </row>
    <row r="11490" spans="1:19" x14ac:dyDescent="0.3">
      <c r="A11490" t="s">
        <v>25190</v>
      </c>
      <c r="B11490" t="s">
        <v>28466</v>
      </c>
      <c r="C11490" t="s">
        <v>28944</v>
      </c>
      <c r="D11490" t="s">
        <v>25197</v>
      </c>
      <c r="E11490" t="s">
        <v>13689</v>
      </c>
      <c r="F11490" t="s">
        <v>28942</v>
      </c>
      <c r="G11490" t="s">
        <v>28943</v>
      </c>
      <c r="H11490" t="s">
        <v>859</v>
      </c>
      <c r="I11490" t="s">
        <v>860</v>
      </c>
      <c r="J11490" t="str">
        <f>"9190405"</f>
        <v>9190405</v>
      </c>
      <c r="K11490">
        <v>2394091537</v>
      </c>
      <c r="L11490">
        <v>2394091204</v>
      </c>
      <c r="M11490" t="s">
        <v>28945</v>
      </c>
      <c r="N11490" t="s">
        <v>25698</v>
      </c>
      <c r="O11490" t="s">
        <v>28946</v>
      </c>
      <c r="P11490">
        <v>57200</v>
      </c>
      <c r="Q11490" t="str">
        <f>"40.837846"</f>
        <v>40.837846</v>
      </c>
      <c r="R11490" t="str">
        <f>"23.203977"</f>
        <v>23.203977</v>
      </c>
      <c r="S11490" t="s">
        <v>26</v>
      </c>
    </row>
    <row r="11491" spans="1:19" x14ac:dyDescent="0.3">
      <c r="A11491" t="s">
        <v>25190</v>
      </c>
      <c r="B11491" t="s">
        <v>28466</v>
      </c>
      <c r="C11491" t="s">
        <v>28948</v>
      </c>
      <c r="D11491" t="s">
        <v>25197</v>
      </c>
      <c r="E11491" t="s">
        <v>25765</v>
      </c>
      <c r="F11491" t="s">
        <v>25777</v>
      </c>
      <c r="G11491" t="s">
        <v>28947</v>
      </c>
      <c r="H11491" t="s">
        <v>859</v>
      </c>
      <c r="I11491" t="s">
        <v>860</v>
      </c>
      <c r="J11491" t="str">
        <f>"9190615"</f>
        <v>9190615</v>
      </c>
      <c r="K11491">
        <v>2393022440</v>
      </c>
      <c r="L11491">
        <v>2393022440</v>
      </c>
      <c r="M11491" t="s">
        <v>28949</v>
      </c>
      <c r="N11491" t="s">
        <v>28947</v>
      </c>
      <c r="O11491" t="s">
        <v>28950</v>
      </c>
      <c r="P11491">
        <v>57020</v>
      </c>
      <c r="Q11491" t="str">
        <f>"40.649163"</f>
        <v>40.649163</v>
      </c>
      <c r="R11491" t="str">
        <f>"23.306589"</f>
        <v>23.306589</v>
      </c>
      <c r="S11491" t="s">
        <v>26</v>
      </c>
    </row>
    <row r="11492" spans="1:19" x14ac:dyDescent="0.3">
      <c r="A11492" t="s">
        <v>25190</v>
      </c>
      <c r="B11492" t="s">
        <v>28466</v>
      </c>
      <c r="C11492" t="s">
        <v>28955</v>
      </c>
      <c r="D11492" t="s">
        <v>25197</v>
      </c>
      <c r="E11492" t="s">
        <v>25966</v>
      </c>
      <c r="F11492" t="s">
        <v>26056</v>
      </c>
      <c r="G11492" t="s">
        <v>28954</v>
      </c>
      <c r="H11492" t="s">
        <v>859</v>
      </c>
      <c r="I11492" t="s">
        <v>860</v>
      </c>
      <c r="J11492" t="str">
        <f>"9190200"</f>
        <v>9190200</v>
      </c>
      <c r="K11492">
        <v>2394072064</v>
      </c>
      <c r="M11492" t="s">
        <v>28956</v>
      </c>
      <c r="N11492" t="s">
        <v>28954</v>
      </c>
      <c r="O11492" t="s">
        <v>28957</v>
      </c>
      <c r="P11492">
        <v>57200</v>
      </c>
      <c r="Q11492" t="str">
        <f>"40.744352"</f>
        <v>40.744352</v>
      </c>
      <c r="R11492" t="str">
        <f>"22.975400"</f>
        <v>22.975400</v>
      </c>
      <c r="S11492" t="s">
        <v>26</v>
      </c>
    </row>
    <row r="11493" spans="1:19" x14ac:dyDescent="0.3">
      <c r="A11493" t="s">
        <v>25190</v>
      </c>
      <c r="B11493" t="s">
        <v>28466</v>
      </c>
      <c r="C11493" t="s">
        <v>28958</v>
      </c>
      <c r="D11493" t="s">
        <v>25197</v>
      </c>
      <c r="E11493" t="s">
        <v>13689</v>
      </c>
      <c r="F11493" t="s">
        <v>13689</v>
      </c>
      <c r="G11493" t="s">
        <v>13689</v>
      </c>
      <c r="H11493" t="s">
        <v>859</v>
      </c>
      <c r="I11493" t="s">
        <v>860</v>
      </c>
      <c r="J11493" t="str">
        <f>"9190617"</f>
        <v>9190617</v>
      </c>
      <c r="K11493">
        <v>2394022524</v>
      </c>
      <c r="L11493">
        <v>2394025389</v>
      </c>
      <c r="M11493" t="s">
        <v>28959</v>
      </c>
      <c r="N11493" t="s">
        <v>13689</v>
      </c>
      <c r="O11493" t="s">
        <v>28960</v>
      </c>
      <c r="P11493">
        <v>57200</v>
      </c>
      <c r="Q11493" t="str">
        <f>"40.755664"</f>
        <v>40.755664</v>
      </c>
      <c r="R11493" t="str">
        <f>"23.067376"</f>
        <v>23.067376</v>
      </c>
      <c r="S11493" t="s">
        <v>26</v>
      </c>
    </row>
    <row r="11494" spans="1:19" x14ac:dyDescent="0.3">
      <c r="A11494" t="s">
        <v>25190</v>
      </c>
      <c r="B11494" t="s">
        <v>28466</v>
      </c>
      <c r="C11494" t="s">
        <v>28961</v>
      </c>
      <c r="D11494" t="s">
        <v>25197</v>
      </c>
      <c r="E11494" t="s">
        <v>13689</v>
      </c>
      <c r="F11494" t="s">
        <v>13689</v>
      </c>
      <c r="G11494" t="s">
        <v>26136</v>
      </c>
      <c r="H11494" t="s">
        <v>859</v>
      </c>
      <c r="I11494" t="s">
        <v>860</v>
      </c>
      <c r="J11494" t="str">
        <f>"9190233"</f>
        <v>9190233</v>
      </c>
      <c r="K11494">
        <v>2394041009</v>
      </c>
      <c r="L11494">
        <v>2394041009</v>
      </c>
      <c r="M11494" t="s">
        <v>28962</v>
      </c>
      <c r="N11494" t="s">
        <v>26136</v>
      </c>
      <c r="O11494" t="s">
        <v>26141</v>
      </c>
      <c r="P11494">
        <v>57200</v>
      </c>
      <c r="Q11494" t="str">
        <f>"40.757795"</f>
        <v>40.757795</v>
      </c>
      <c r="R11494" t="str">
        <f>"23.135681"</f>
        <v>23.135681</v>
      </c>
      <c r="S11494" t="s">
        <v>26</v>
      </c>
    </row>
    <row r="11495" spans="1:19" x14ac:dyDescent="0.3">
      <c r="A11495" t="s">
        <v>25190</v>
      </c>
      <c r="B11495" t="s">
        <v>28466</v>
      </c>
      <c r="C11495" t="s">
        <v>28963</v>
      </c>
      <c r="D11495" t="s">
        <v>25197</v>
      </c>
      <c r="E11495" t="s">
        <v>25889</v>
      </c>
      <c r="F11495" t="s">
        <v>25924</v>
      </c>
      <c r="G11495" t="s">
        <v>25924</v>
      </c>
      <c r="H11495" t="s">
        <v>859</v>
      </c>
      <c r="I11495" t="s">
        <v>860</v>
      </c>
      <c r="J11495" t="str">
        <f>"9190096"</f>
        <v>9190096</v>
      </c>
      <c r="K11495">
        <v>2310629100</v>
      </c>
      <c r="L11495">
        <v>2310629100</v>
      </c>
      <c r="M11495" t="s">
        <v>28964</v>
      </c>
      <c r="N11495" t="s">
        <v>25924</v>
      </c>
      <c r="O11495" t="s">
        <v>28965</v>
      </c>
      <c r="P11495">
        <v>56626</v>
      </c>
      <c r="Q11495" t="str">
        <f>"40.651830"</f>
        <v>40.651830</v>
      </c>
      <c r="R11495" t="str">
        <f>"22.954631"</f>
        <v>22.954631</v>
      </c>
      <c r="S11495" t="s">
        <v>26</v>
      </c>
    </row>
    <row r="11496" spans="1:19" x14ac:dyDescent="0.3">
      <c r="A11496" t="s">
        <v>25190</v>
      </c>
      <c r="B11496" t="s">
        <v>28466</v>
      </c>
      <c r="C11496" t="s">
        <v>28967</v>
      </c>
      <c r="D11496" t="s">
        <v>25197</v>
      </c>
      <c r="E11496" t="s">
        <v>25815</v>
      </c>
      <c r="F11496" t="s">
        <v>25815</v>
      </c>
      <c r="G11496" t="s">
        <v>28966</v>
      </c>
      <c r="H11496" t="s">
        <v>859</v>
      </c>
      <c r="I11496" t="s">
        <v>860</v>
      </c>
      <c r="J11496" t="str">
        <f>"9190282"</f>
        <v>9190282</v>
      </c>
      <c r="K11496">
        <v>2391061028</v>
      </c>
      <c r="L11496">
        <v>2391061624</v>
      </c>
      <c r="M11496" t="s">
        <v>28968</v>
      </c>
      <c r="N11496" t="s">
        <v>28966</v>
      </c>
      <c r="O11496" t="s">
        <v>28969</v>
      </c>
      <c r="P11496">
        <v>57007</v>
      </c>
      <c r="Q11496" t="str">
        <f>"40.702753"</f>
        <v>40.702753</v>
      </c>
      <c r="R11496" t="str">
        <f>"22.542567"</f>
        <v>22.542567</v>
      </c>
      <c r="S11496" t="s">
        <v>26</v>
      </c>
    </row>
    <row r="11497" spans="1:19" x14ac:dyDescent="0.3">
      <c r="A11497" t="s">
        <v>25190</v>
      </c>
      <c r="B11497" t="s">
        <v>28466</v>
      </c>
      <c r="C11497" t="s">
        <v>28970</v>
      </c>
      <c r="D11497" t="s">
        <v>25197</v>
      </c>
      <c r="E11497" t="s">
        <v>25765</v>
      </c>
      <c r="F11497" t="s">
        <v>21848</v>
      </c>
      <c r="G11497" t="s">
        <v>25765</v>
      </c>
      <c r="H11497" t="s">
        <v>859</v>
      </c>
      <c r="I11497" t="s">
        <v>860</v>
      </c>
      <c r="J11497" t="str">
        <f>"9190522"</f>
        <v>9190522</v>
      </c>
      <c r="K11497">
        <v>2397051290</v>
      </c>
      <c r="L11497">
        <v>2397051290</v>
      </c>
      <c r="M11497" t="s">
        <v>28971</v>
      </c>
      <c r="N11497" t="s">
        <v>28718</v>
      </c>
      <c r="O11497" t="s">
        <v>28719</v>
      </c>
      <c r="P11497">
        <v>57014</v>
      </c>
      <c r="Q11497" t="str">
        <f>"40.679059"</f>
        <v>40.679059</v>
      </c>
      <c r="R11497" t="str">
        <f>"23.563085"</f>
        <v>23.563085</v>
      </c>
      <c r="S11497" t="s">
        <v>26</v>
      </c>
    </row>
    <row r="11498" spans="1:19" x14ac:dyDescent="0.3">
      <c r="A11498" t="s">
        <v>25190</v>
      </c>
      <c r="B11498" t="s">
        <v>28466</v>
      </c>
      <c r="C11498" t="s">
        <v>28972</v>
      </c>
      <c r="D11498" t="s">
        <v>25197</v>
      </c>
      <c r="E11498" t="s">
        <v>25765</v>
      </c>
      <c r="F11498" t="s">
        <v>1872</v>
      </c>
      <c r="G11498" t="s">
        <v>25840</v>
      </c>
      <c r="H11498" t="s">
        <v>859</v>
      </c>
      <c r="I11498" t="s">
        <v>860</v>
      </c>
      <c r="J11498" t="str">
        <f>"9190537"</f>
        <v>9190537</v>
      </c>
      <c r="K11498">
        <v>2397022500</v>
      </c>
      <c r="L11498">
        <v>2397022554</v>
      </c>
      <c r="M11498" t="s">
        <v>28973</v>
      </c>
      <c r="N11498" t="s">
        <v>25840</v>
      </c>
      <c r="O11498" t="s">
        <v>25840</v>
      </c>
      <c r="P11498">
        <v>57021</v>
      </c>
      <c r="Q11498" t="str">
        <f>"40.725868"</f>
        <v>40.725868</v>
      </c>
      <c r="R11498" t="str">
        <f>"23.711668"</f>
        <v>23.711668</v>
      </c>
      <c r="S11498" t="s">
        <v>26</v>
      </c>
    </row>
    <row r="11499" spans="1:19" x14ac:dyDescent="0.3">
      <c r="A11499" t="s">
        <v>25190</v>
      </c>
      <c r="B11499" t="s">
        <v>28466</v>
      </c>
      <c r="C11499" t="s">
        <v>28974</v>
      </c>
      <c r="D11499" t="s">
        <v>25197</v>
      </c>
      <c r="E11499" t="s">
        <v>13689</v>
      </c>
      <c r="F11499" t="s">
        <v>13689</v>
      </c>
      <c r="G11499" t="s">
        <v>13689</v>
      </c>
      <c r="H11499" t="s">
        <v>859</v>
      </c>
      <c r="I11499" t="s">
        <v>860</v>
      </c>
      <c r="J11499" t="str">
        <f>"9190857"</f>
        <v>9190857</v>
      </c>
      <c r="K11499">
        <v>2394025195</v>
      </c>
      <c r="L11499">
        <v>2394025195</v>
      </c>
      <c r="M11499" t="s">
        <v>28975</v>
      </c>
      <c r="N11499" t="s">
        <v>13689</v>
      </c>
      <c r="O11499" t="s">
        <v>28976</v>
      </c>
      <c r="P11499">
        <v>57200</v>
      </c>
      <c r="Q11499" t="str">
        <f>"40.752175"</f>
        <v>40.752175</v>
      </c>
      <c r="R11499" t="str">
        <f>"23.066354"</f>
        <v>23.066354</v>
      </c>
      <c r="S11499" t="s">
        <v>26</v>
      </c>
    </row>
    <row r="11500" spans="1:19" x14ac:dyDescent="0.3">
      <c r="A11500" t="s">
        <v>25190</v>
      </c>
      <c r="B11500" t="s">
        <v>28466</v>
      </c>
      <c r="C11500" t="s">
        <v>28977</v>
      </c>
      <c r="D11500" t="s">
        <v>25197</v>
      </c>
      <c r="E11500" t="s">
        <v>25765</v>
      </c>
      <c r="F11500" t="s">
        <v>21848</v>
      </c>
      <c r="G11500" t="s">
        <v>21878</v>
      </c>
      <c r="H11500" t="s">
        <v>859</v>
      </c>
      <c r="I11500" t="s">
        <v>860</v>
      </c>
      <c r="J11500" t="str">
        <f>"9190409"</f>
        <v>9190409</v>
      </c>
      <c r="K11500">
        <v>2397061222</v>
      </c>
      <c r="L11500">
        <v>2397061922</v>
      </c>
      <c r="M11500" t="s">
        <v>28978</v>
      </c>
      <c r="N11500" t="s">
        <v>28979</v>
      </c>
      <c r="O11500" t="s">
        <v>28979</v>
      </c>
      <c r="P11500">
        <v>57014</v>
      </c>
      <c r="Q11500" t="str">
        <f>"40.662612"</f>
        <v>40.662612</v>
      </c>
      <c r="R11500" t="str">
        <f>"23.700376"</f>
        <v>23.700376</v>
      </c>
      <c r="S11500" t="s">
        <v>26</v>
      </c>
    </row>
    <row r="11501" spans="1:19" x14ac:dyDescent="0.3">
      <c r="A11501" t="s">
        <v>25190</v>
      </c>
      <c r="B11501" t="s">
        <v>28466</v>
      </c>
      <c r="C11501" t="s">
        <v>28981</v>
      </c>
      <c r="D11501" t="s">
        <v>25197</v>
      </c>
      <c r="E11501" t="s">
        <v>25815</v>
      </c>
      <c r="F11501" t="s">
        <v>60</v>
      </c>
      <c r="G11501" t="s">
        <v>28980</v>
      </c>
      <c r="H11501" t="s">
        <v>859</v>
      </c>
      <c r="I11501" t="s">
        <v>860</v>
      </c>
      <c r="J11501" t="str">
        <f>"9190780"</f>
        <v>9190780</v>
      </c>
      <c r="K11501">
        <v>2310722490</v>
      </c>
      <c r="L11501">
        <v>2310722305</v>
      </c>
      <c r="M11501" t="s">
        <v>28982</v>
      </c>
      <c r="N11501" t="s">
        <v>28980</v>
      </c>
      <c r="O11501" t="s">
        <v>28983</v>
      </c>
      <c r="P11501">
        <v>57011</v>
      </c>
      <c r="Q11501" t="str">
        <f>"40.717854"</f>
        <v>40.717854</v>
      </c>
      <c r="R11501" t="str">
        <f>"22.777889"</f>
        <v>22.777889</v>
      </c>
      <c r="S11501" t="s">
        <v>26</v>
      </c>
    </row>
    <row r="11502" spans="1:19" x14ac:dyDescent="0.3">
      <c r="A11502" t="s">
        <v>25190</v>
      </c>
      <c r="B11502" t="s">
        <v>28466</v>
      </c>
      <c r="C11502" t="s">
        <v>28984</v>
      </c>
      <c r="D11502" t="s">
        <v>25197</v>
      </c>
      <c r="E11502" t="s">
        <v>25815</v>
      </c>
      <c r="F11502" t="s">
        <v>60</v>
      </c>
      <c r="G11502" t="s">
        <v>26250</v>
      </c>
      <c r="H11502" t="s">
        <v>859</v>
      </c>
      <c r="I11502" t="s">
        <v>860</v>
      </c>
      <c r="J11502" t="str">
        <f>"9190476"</f>
        <v>9190476</v>
      </c>
      <c r="K11502">
        <v>2310715534</v>
      </c>
      <c r="L11502">
        <v>2310715534</v>
      </c>
      <c r="M11502" t="s">
        <v>28985</v>
      </c>
      <c r="N11502" t="s">
        <v>26250</v>
      </c>
      <c r="O11502" t="s">
        <v>28986</v>
      </c>
      <c r="P11502">
        <v>57011</v>
      </c>
      <c r="Q11502" t="str">
        <f>"40.730467"</f>
        <v>40.730467</v>
      </c>
      <c r="R11502" t="str">
        <f>"22.693609"</f>
        <v>22.693609</v>
      </c>
      <c r="S11502" t="s">
        <v>26</v>
      </c>
    </row>
    <row r="11503" spans="1:19" x14ac:dyDescent="0.3">
      <c r="A11503" t="s">
        <v>25190</v>
      </c>
      <c r="B11503" t="s">
        <v>28466</v>
      </c>
      <c r="C11503" t="s">
        <v>28987</v>
      </c>
      <c r="D11503" t="s">
        <v>25197</v>
      </c>
      <c r="E11503" t="s">
        <v>25765</v>
      </c>
      <c r="F11503" t="s">
        <v>26327</v>
      </c>
      <c r="G11503" t="s">
        <v>26327</v>
      </c>
      <c r="H11503" t="s">
        <v>859</v>
      </c>
      <c r="I11503" t="s">
        <v>860</v>
      </c>
      <c r="J11503" t="str">
        <f>"9190214"</f>
        <v>9190214</v>
      </c>
      <c r="K11503">
        <v>2395041211</v>
      </c>
      <c r="L11503">
        <v>2395041211</v>
      </c>
      <c r="M11503" t="s">
        <v>28988</v>
      </c>
      <c r="N11503" t="s">
        <v>26327</v>
      </c>
      <c r="O11503" t="s">
        <v>26331</v>
      </c>
      <c r="P11503">
        <v>57021</v>
      </c>
      <c r="Q11503" t="str">
        <f>"40.741837"</f>
        <v>40.741837</v>
      </c>
      <c r="R11503" t="str">
        <f>"23.590384"</f>
        <v>23.590384</v>
      </c>
      <c r="S11503" t="s">
        <v>26</v>
      </c>
    </row>
    <row r="11504" spans="1:19" x14ac:dyDescent="0.3">
      <c r="A11504" t="s">
        <v>25190</v>
      </c>
      <c r="B11504" t="s">
        <v>28466</v>
      </c>
      <c r="C11504" t="s">
        <v>28992</v>
      </c>
      <c r="D11504" t="s">
        <v>25197</v>
      </c>
      <c r="E11504" t="s">
        <v>13689</v>
      </c>
      <c r="F11504" t="s">
        <v>25808</v>
      </c>
      <c r="G11504" t="s">
        <v>25809</v>
      </c>
      <c r="H11504" t="s">
        <v>859</v>
      </c>
      <c r="I11504" t="s">
        <v>860</v>
      </c>
      <c r="J11504" t="str">
        <f>"9190614"</f>
        <v>9190614</v>
      </c>
      <c r="K11504">
        <v>2393022800</v>
      </c>
      <c r="L11504">
        <v>2393022800</v>
      </c>
      <c r="M11504" t="s">
        <v>28993</v>
      </c>
      <c r="N11504" t="s">
        <v>25809</v>
      </c>
      <c r="O11504" t="s">
        <v>26052</v>
      </c>
      <c r="P11504">
        <v>57020</v>
      </c>
      <c r="Q11504" t="str">
        <f>"40.634697"</f>
        <v>40.634697</v>
      </c>
      <c r="R11504" t="str">
        <f>"23.244396"</f>
        <v>23.244396</v>
      </c>
      <c r="S11504" t="s">
        <v>26</v>
      </c>
    </row>
    <row r="11505" spans="1:19" x14ac:dyDescent="0.3">
      <c r="A11505" t="s">
        <v>25190</v>
      </c>
      <c r="B11505" t="s">
        <v>28466</v>
      </c>
      <c r="C11505" t="s">
        <v>28994</v>
      </c>
      <c r="D11505" t="s">
        <v>25197</v>
      </c>
      <c r="E11505" t="s">
        <v>25815</v>
      </c>
      <c r="F11505" t="s">
        <v>60</v>
      </c>
      <c r="G11505" t="s">
        <v>26250</v>
      </c>
      <c r="H11505" t="s">
        <v>859</v>
      </c>
      <c r="I11505" t="s">
        <v>860</v>
      </c>
      <c r="J11505" t="str">
        <f>"9190861"</f>
        <v>9190861</v>
      </c>
      <c r="K11505">
        <v>2310715493</v>
      </c>
      <c r="L11505">
        <v>2310715493</v>
      </c>
      <c r="M11505" t="s">
        <v>28995</v>
      </c>
      <c r="N11505" t="s">
        <v>28996</v>
      </c>
      <c r="O11505" t="s">
        <v>28997</v>
      </c>
      <c r="P11505">
        <v>57011</v>
      </c>
      <c r="Q11505" t="str">
        <f>"40.721034"</f>
        <v>40.721034</v>
      </c>
      <c r="R11505" t="str">
        <f>"22.688185"</f>
        <v>22.688185</v>
      </c>
      <c r="S11505" t="s">
        <v>26</v>
      </c>
    </row>
    <row r="11506" spans="1:19" x14ac:dyDescent="0.3">
      <c r="A11506" t="s">
        <v>25190</v>
      </c>
      <c r="B11506" t="s">
        <v>28466</v>
      </c>
      <c r="C11506" t="s">
        <v>28998</v>
      </c>
      <c r="D11506" t="s">
        <v>25197</v>
      </c>
      <c r="E11506" t="s">
        <v>25966</v>
      </c>
      <c r="F11506" t="s">
        <v>5563</v>
      </c>
      <c r="G11506" t="s">
        <v>15257</v>
      </c>
      <c r="H11506" t="s">
        <v>859</v>
      </c>
      <c r="I11506" t="s">
        <v>860</v>
      </c>
      <c r="J11506" t="str">
        <f>"9190323"</f>
        <v>9190323</v>
      </c>
      <c r="K11506">
        <v>2310787842</v>
      </c>
      <c r="L11506">
        <v>2310787859</v>
      </c>
      <c r="M11506" t="s">
        <v>28999</v>
      </c>
      <c r="N11506" t="s">
        <v>15257</v>
      </c>
      <c r="O11506" t="s">
        <v>15374</v>
      </c>
      <c r="P11506">
        <v>54500</v>
      </c>
      <c r="Q11506" t="str">
        <f>"40.740910"</f>
        <v>40.740910</v>
      </c>
      <c r="R11506" t="str">
        <f>"22.852370"</f>
        <v>22.852370</v>
      </c>
      <c r="S11506" t="s">
        <v>26</v>
      </c>
    </row>
    <row r="11507" spans="1:19" x14ac:dyDescent="0.3">
      <c r="A11507" t="s">
        <v>25190</v>
      </c>
      <c r="B11507" t="s">
        <v>28466</v>
      </c>
      <c r="C11507" t="s">
        <v>29003</v>
      </c>
      <c r="D11507" t="s">
        <v>25197</v>
      </c>
      <c r="E11507" t="s">
        <v>25815</v>
      </c>
      <c r="F11507" t="s">
        <v>25864</v>
      </c>
      <c r="G11507" t="s">
        <v>25864</v>
      </c>
      <c r="H11507" t="s">
        <v>859</v>
      </c>
      <c r="I11507" t="s">
        <v>860</v>
      </c>
      <c r="J11507" t="str">
        <f>"9190322"</f>
        <v>9190322</v>
      </c>
      <c r="K11507">
        <v>2391052885</v>
      </c>
      <c r="L11507">
        <v>2391052885</v>
      </c>
      <c r="M11507" t="s">
        <v>29004</v>
      </c>
      <c r="N11507" t="s">
        <v>25864</v>
      </c>
      <c r="O11507" t="s">
        <v>29005</v>
      </c>
      <c r="P11507">
        <v>57100</v>
      </c>
      <c r="Q11507" t="str">
        <f>"40.802881"</f>
        <v>40.802881</v>
      </c>
      <c r="R11507" t="str">
        <f>"22.616555"</f>
        <v>22.616555</v>
      </c>
      <c r="S11507" t="s">
        <v>26</v>
      </c>
    </row>
    <row r="11508" spans="1:19" x14ac:dyDescent="0.3">
      <c r="A11508" t="s">
        <v>25190</v>
      </c>
      <c r="B11508" t="s">
        <v>28466</v>
      </c>
      <c r="C11508" t="s">
        <v>29010</v>
      </c>
      <c r="D11508" t="s">
        <v>25197</v>
      </c>
      <c r="E11508" t="s">
        <v>25815</v>
      </c>
      <c r="F11508" t="s">
        <v>25864</v>
      </c>
      <c r="G11508" t="s">
        <v>25864</v>
      </c>
      <c r="H11508" t="s">
        <v>859</v>
      </c>
      <c r="I11508" t="s">
        <v>860</v>
      </c>
      <c r="J11508" t="str">
        <f>"9190321"</f>
        <v>9190321</v>
      </c>
      <c r="K11508">
        <v>2391053299</v>
      </c>
      <c r="L11508">
        <v>2391053299</v>
      </c>
      <c r="M11508" t="s">
        <v>29011</v>
      </c>
      <c r="N11508" t="s">
        <v>25864</v>
      </c>
      <c r="O11508" t="s">
        <v>29012</v>
      </c>
      <c r="P11508">
        <v>57100</v>
      </c>
      <c r="Q11508" t="str">
        <f>"40.783636"</f>
        <v>40.783636</v>
      </c>
      <c r="R11508" t="str">
        <f>"22.583419"</f>
        <v>22.583419</v>
      </c>
      <c r="S11508" t="s">
        <v>26</v>
      </c>
    </row>
    <row r="11509" spans="1:19" x14ac:dyDescent="0.3">
      <c r="A11509" t="s">
        <v>25190</v>
      </c>
      <c r="B11509" t="s">
        <v>28466</v>
      </c>
      <c r="C11509" t="s">
        <v>29014</v>
      </c>
      <c r="D11509" t="s">
        <v>25197</v>
      </c>
      <c r="E11509" t="s">
        <v>25790</v>
      </c>
      <c r="F11509" t="s">
        <v>25896</v>
      </c>
      <c r="G11509" t="s">
        <v>25896</v>
      </c>
      <c r="H11509" t="s">
        <v>859</v>
      </c>
      <c r="I11509" t="s">
        <v>860</v>
      </c>
      <c r="J11509" t="str">
        <f>"9190477"</f>
        <v>9190477</v>
      </c>
      <c r="K11509">
        <v>2310794202</v>
      </c>
      <c r="L11509">
        <v>2311243735</v>
      </c>
      <c r="M11509" t="s">
        <v>29015</v>
      </c>
      <c r="N11509" t="s">
        <v>25896</v>
      </c>
      <c r="O11509" t="s">
        <v>29016</v>
      </c>
      <c r="P11509">
        <v>57300</v>
      </c>
      <c r="Q11509" t="str">
        <f>"40.622295"</f>
        <v>40.622295</v>
      </c>
      <c r="R11509" t="str">
        <f>"22.732383"</f>
        <v>22.732383</v>
      </c>
      <c r="S11509" t="s">
        <v>26</v>
      </c>
    </row>
    <row r="11510" spans="1:19" x14ac:dyDescent="0.3">
      <c r="A11510" t="s">
        <v>25190</v>
      </c>
      <c r="B11510" t="s">
        <v>28466</v>
      </c>
      <c r="C11510" t="s">
        <v>29017</v>
      </c>
      <c r="D11510" t="s">
        <v>25197</v>
      </c>
      <c r="E11510" t="s">
        <v>13689</v>
      </c>
      <c r="F11510" t="s">
        <v>13689</v>
      </c>
      <c r="G11510" t="s">
        <v>26382</v>
      </c>
      <c r="H11510" t="s">
        <v>859</v>
      </c>
      <c r="I11510" t="s">
        <v>860</v>
      </c>
      <c r="J11510" t="str">
        <f>"9190358"</f>
        <v>9190358</v>
      </c>
      <c r="K11510">
        <v>2394072300</v>
      </c>
      <c r="L11510">
        <v>2394072300</v>
      </c>
      <c r="M11510" t="s">
        <v>29018</v>
      </c>
      <c r="N11510" t="s">
        <v>26382</v>
      </c>
      <c r="O11510" t="s">
        <v>29019</v>
      </c>
      <c r="P11510">
        <v>57200</v>
      </c>
      <c r="Q11510" t="str">
        <f>"40.723490"</f>
        <v>40.723490</v>
      </c>
      <c r="R11510" t="str">
        <f>"23.006863"</f>
        <v>23.006863</v>
      </c>
      <c r="S11510" t="s">
        <v>26</v>
      </c>
    </row>
    <row r="11511" spans="1:19" x14ac:dyDescent="0.3">
      <c r="A11511" t="s">
        <v>25190</v>
      </c>
      <c r="B11511" t="s">
        <v>28466</v>
      </c>
      <c r="C11511" t="s">
        <v>29024</v>
      </c>
      <c r="D11511" t="s">
        <v>25197</v>
      </c>
      <c r="E11511" t="s">
        <v>13689</v>
      </c>
      <c r="F11511" t="s">
        <v>13689</v>
      </c>
      <c r="G11511" t="s">
        <v>13689</v>
      </c>
      <c r="H11511" t="s">
        <v>859</v>
      </c>
      <c r="I11511" t="s">
        <v>860</v>
      </c>
      <c r="J11511" t="str">
        <f>"9190204"</f>
        <v>9190204</v>
      </c>
      <c r="K11511">
        <v>2394023908</v>
      </c>
      <c r="L11511">
        <v>2394023908</v>
      </c>
      <c r="M11511" t="s">
        <v>29025</v>
      </c>
      <c r="N11511" t="s">
        <v>13689</v>
      </c>
      <c r="O11511" t="s">
        <v>29026</v>
      </c>
      <c r="P11511">
        <v>57200</v>
      </c>
      <c r="Q11511" t="str">
        <f>"40.749783"</f>
        <v>40.749783</v>
      </c>
      <c r="R11511" t="str">
        <f>"23.063565"</f>
        <v>23.063565</v>
      </c>
      <c r="S11511" t="s">
        <v>26</v>
      </c>
    </row>
    <row r="11512" spans="1:19" x14ac:dyDescent="0.3">
      <c r="A11512" t="s">
        <v>25190</v>
      </c>
      <c r="B11512" t="s">
        <v>28466</v>
      </c>
      <c r="C11512" t="s">
        <v>29028</v>
      </c>
      <c r="D11512" t="s">
        <v>25197</v>
      </c>
      <c r="E11512" t="s">
        <v>25790</v>
      </c>
      <c r="F11512" t="s">
        <v>25791</v>
      </c>
      <c r="G11512" t="s">
        <v>29027</v>
      </c>
      <c r="H11512" t="s">
        <v>859</v>
      </c>
      <c r="I11512" t="s">
        <v>860</v>
      </c>
      <c r="J11512" t="str">
        <f>"9190284"</f>
        <v>9190284</v>
      </c>
      <c r="K11512">
        <v>2391042099</v>
      </c>
      <c r="L11512">
        <v>2391042099</v>
      </c>
      <c r="M11512" t="s">
        <v>29029</v>
      </c>
      <c r="N11512" t="s">
        <v>29027</v>
      </c>
      <c r="O11512" t="s">
        <v>29030</v>
      </c>
      <c r="P11512">
        <v>57300</v>
      </c>
      <c r="Q11512" t="str">
        <f>"40.612118"</f>
        <v>40.612118</v>
      </c>
      <c r="R11512" t="str">
        <f>"22.676319"</f>
        <v>22.676319</v>
      </c>
      <c r="S11512" t="s">
        <v>26</v>
      </c>
    </row>
    <row r="11513" spans="1:19" x14ac:dyDescent="0.3">
      <c r="A11513" t="s">
        <v>25190</v>
      </c>
      <c r="B11513" t="s">
        <v>28466</v>
      </c>
      <c r="C11513" t="s">
        <v>29032</v>
      </c>
      <c r="D11513" t="s">
        <v>25197</v>
      </c>
      <c r="E11513" t="s">
        <v>25873</v>
      </c>
      <c r="F11513" t="s">
        <v>25992</v>
      </c>
      <c r="G11513" t="s">
        <v>25992</v>
      </c>
      <c r="H11513" t="s">
        <v>859</v>
      </c>
      <c r="I11513" t="s">
        <v>860</v>
      </c>
      <c r="J11513" t="str">
        <f>"9190151"</f>
        <v>9190151</v>
      </c>
      <c r="K11513">
        <v>2310742265</v>
      </c>
      <c r="L11513">
        <v>2310742265</v>
      </c>
      <c r="M11513" t="s">
        <v>29033</v>
      </c>
      <c r="N11513" t="s">
        <v>25992</v>
      </c>
      <c r="O11513" t="s">
        <v>29034</v>
      </c>
      <c r="P11513">
        <v>56122</v>
      </c>
      <c r="Q11513" t="str">
        <f>"40.656159"</f>
        <v>40.656159</v>
      </c>
      <c r="R11513" t="str">
        <f>"22.915326"</f>
        <v>22.915326</v>
      </c>
      <c r="S11513" t="s">
        <v>26</v>
      </c>
    </row>
    <row r="11514" spans="1:19" x14ac:dyDescent="0.3">
      <c r="A11514" t="s">
        <v>25190</v>
      </c>
      <c r="B11514" t="s">
        <v>28466</v>
      </c>
      <c r="C11514" t="s">
        <v>29036</v>
      </c>
      <c r="D11514" t="s">
        <v>25197</v>
      </c>
      <c r="E11514" t="s">
        <v>13689</v>
      </c>
      <c r="F11514" t="s">
        <v>26156</v>
      </c>
      <c r="G11514" t="s">
        <v>29035</v>
      </c>
      <c r="H11514" t="s">
        <v>859</v>
      </c>
      <c r="I11514" t="s">
        <v>860</v>
      </c>
      <c r="J11514" t="str">
        <f>"9190524"</f>
        <v>9190524</v>
      </c>
      <c r="K11514">
        <v>2394054590</v>
      </c>
      <c r="L11514">
        <v>2394054590</v>
      </c>
      <c r="M11514" t="s">
        <v>29037</v>
      </c>
      <c r="N11514" t="s">
        <v>29038</v>
      </c>
      <c r="O11514" t="s">
        <v>29039</v>
      </c>
      <c r="P11514">
        <v>57200</v>
      </c>
      <c r="Q11514" t="str">
        <f>"40.841723"</f>
        <v>40.841723</v>
      </c>
      <c r="R11514" t="str">
        <f>"22.979354"</f>
        <v>22.979354</v>
      </c>
      <c r="S11514" t="s">
        <v>26</v>
      </c>
    </row>
    <row r="11515" spans="1:19" x14ac:dyDescent="0.3">
      <c r="A11515" t="s">
        <v>25190</v>
      </c>
      <c r="B11515" t="s">
        <v>28466</v>
      </c>
      <c r="C11515" t="s">
        <v>29043</v>
      </c>
      <c r="D11515" t="s">
        <v>25197</v>
      </c>
      <c r="E11515" t="s">
        <v>25815</v>
      </c>
      <c r="F11515" t="s">
        <v>25815</v>
      </c>
      <c r="G11515" t="s">
        <v>28966</v>
      </c>
      <c r="H11515" t="s">
        <v>859</v>
      </c>
      <c r="I11515" t="s">
        <v>860</v>
      </c>
      <c r="J11515" t="str">
        <f>"9190279"</f>
        <v>9190279</v>
      </c>
      <c r="K11515">
        <v>2391061311</v>
      </c>
      <c r="M11515" t="s">
        <v>29044</v>
      </c>
      <c r="N11515" t="s">
        <v>29045</v>
      </c>
      <c r="O11515" t="s">
        <v>29046</v>
      </c>
      <c r="P11515">
        <v>57007</v>
      </c>
      <c r="Q11515" t="str">
        <f>"40.678348"</f>
        <v>40.678348</v>
      </c>
      <c r="R11515" t="str">
        <f>"22.542592"</f>
        <v>22.542592</v>
      </c>
      <c r="S11515" t="s">
        <v>26</v>
      </c>
    </row>
    <row r="11516" spans="1:19" x14ac:dyDescent="0.3">
      <c r="A11516" t="s">
        <v>25190</v>
      </c>
      <c r="B11516" t="s">
        <v>28466</v>
      </c>
      <c r="C11516" t="s">
        <v>29054</v>
      </c>
      <c r="D11516" t="s">
        <v>25197</v>
      </c>
      <c r="E11516" t="s">
        <v>25873</v>
      </c>
      <c r="F11516" t="s">
        <v>25992</v>
      </c>
      <c r="G11516" t="s">
        <v>25992</v>
      </c>
      <c r="H11516" t="s">
        <v>859</v>
      </c>
      <c r="I11516" t="s">
        <v>860</v>
      </c>
      <c r="J11516" t="str">
        <f>"9190122"</f>
        <v>9190122</v>
      </c>
      <c r="K11516">
        <v>2310765269</v>
      </c>
      <c r="L11516">
        <v>2310765269</v>
      </c>
      <c r="M11516" t="s">
        <v>29055</v>
      </c>
      <c r="N11516" t="s">
        <v>25992</v>
      </c>
      <c r="O11516" t="s">
        <v>29056</v>
      </c>
      <c r="P11516">
        <v>54628</v>
      </c>
      <c r="Q11516" t="str">
        <f>"40.657362"</f>
        <v>40.657362</v>
      </c>
      <c r="R11516" t="str">
        <f>"22.895137"</f>
        <v>22.895137</v>
      </c>
      <c r="S11516" t="s">
        <v>26</v>
      </c>
    </row>
    <row r="11517" spans="1:19" x14ac:dyDescent="0.3">
      <c r="A11517" t="s">
        <v>25190</v>
      </c>
      <c r="B11517" t="s">
        <v>28466</v>
      </c>
      <c r="C11517" t="s">
        <v>29061</v>
      </c>
      <c r="D11517" t="s">
        <v>25197</v>
      </c>
      <c r="E11517" t="s">
        <v>25873</v>
      </c>
      <c r="F11517" t="s">
        <v>25992</v>
      </c>
      <c r="G11517" t="s">
        <v>25992</v>
      </c>
      <c r="H11517" t="s">
        <v>859</v>
      </c>
      <c r="I11517" t="s">
        <v>860</v>
      </c>
      <c r="J11517" t="str">
        <f>"9190683"</f>
        <v>9190683</v>
      </c>
      <c r="K11517">
        <v>2310738401</v>
      </c>
      <c r="L11517">
        <v>2310738401</v>
      </c>
      <c r="M11517" t="s">
        <v>29062</v>
      </c>
      <c r="N11517" t="s">
        <v>25992</v>
      </c>
      <c r="O11517" t="s">
        <v>29063</v>
      </c>
      <c r="P11517">
        <v>56122</v>
      </c>
      <c r="Q11517" t="str">
        <f>"40.657558"</f>
        <v>40.657558</v>
      </c>
      <c r="R11517" t="str">
        <f>"22.909347"</f>
        <v>22.909347</v>
      </c>
      <c r="S11517" t="s">
        <v>26</v>
      </c>
    </row>
    <row r="11518" spans="1:19" x14ac:dyDescent="0.3">
      <c r="A11518" t="s">
        <v>25190</v>
      </c>
      <c r="B11518" t="s">
        <v>28466</v>
      </c>
      <c r="C11518" t="s">
        <v>29068</v>
      </c>
      <c r="D11518" t="s">
        <v>25197</v>
      </c>
      <c r="E11518" t="s">
        <v>13689</v>
      </c>
      <c r="F11518" t="s">
        <v>28942</v>
      </c>
      <c r="G11518" t="s">
        <v>29067</v>
      </c>
      <c r="H11518" t="s">
        <v>859</v>
      </c>
      <c r="I11518" t="s">
        <v>860</v>
      </c>
      <c r="J11518" t="str">
        <f>"9190940"</f>
        <v>9190940</v>
      </c>
      <c r="K11518">
        <v>2394056286</v>
      </c>
      <c r="L11518">
        <v>2394056286</v>
      </c>
      <c r="M11518" t="s">
        <v>29069</v>
      </c>
      <c r="N11518" t="s">
        <v>29070</v>
      </c>
      <c r="O11518" t="s">
        <v>29070</v>
      </c>
      <c r="P11518">
        <v>57200</v>
      </c>
      <c r="Q11518" t="str">
        <f>"40.807394"</f>
        <v>40.807394</v>
      </c>
      <c r="R11518" t="str">
        <f>"23.152917"</f>
        <v>23.152917</v>
      </c>
      <c r="S11518" t="s">
        <v>26</v>
      </c>
    </row>
    <row r="11519" spans="1:19" x14ac:dyDescent="0.3">
      <c r="A11519" t="s">
        <v>25190</v>
      </c>
      <c r="B11519" t="s">
        <v>28466</v>
      </c>
      <c r="C11519" t="s">
        <v>29071</v>
      </c>
      <c r="D11519" t="s">
        <v>25197</v>
      </c>
      <c r="E11519" t="s">
        <v>25889</v>
      </c>
      <c r="F11519" t="s">
        <v>25924</v>
      </c>
      <c r="G11519" t="s">
        <v>25924</v>
      </c>
      <c r="H11519" t="s">
        <v>859</v>
      </c>
      <c r="I11519" t="s">
        <v>860</v>
      </c>
      <c r="J11519" t="str">
        <f>"9190589"</f>
        <v>9190589</v>
      </c>
      <c r="K11519">
        <v>2310625028</v>
      </c>
      <c r="L11519">
        <v>2310625028</v>
      </c>
      <c r="M11519" t="s">
        <v>29072</v>
      </c>
      <c r="N11519" t="s">
        <v>25924</v>
      </c>
      <c r="O11519" t="s">
        <v>29073</v>
      </c>
      <c r="P11519">
        <v>56625</v>
      </c>
      <c r="Q11519" t="str">
        <f>"40.646933"</f>
        <v>40.646933</v>
      </c>
      <c r="R11519" t="str">
        <f>"22.943054"</f>
        <v>22.943054</v>
      </c>
      <c r="S11519" t="s">
        <v>26</v>
      </c>
    </row>
    <row r="11520" spans="1:19" x14ac:dyDescent="0.3">
      <c r="A11520" t="s">
        <v>25190</v>
      </c>
      <c r="B11520" t="s">
        <v>28466</v>
      </c>
      <c r="C11520" t="s">
        <v>29077</v>
      </c>
      <c r="D11520" t="s">
        <v>25197</v>
      </c>
      <c r="E11520" t="s">
        <v>25873</v>
      </c>
      <c r="F11520" t="s">
        <v>25992</v>
      </c>
      <c r="G11520" t="s">
        <v>25992</v>
      </c>
      <c r="H11520" t="s">
        <v>859</v>
      </c>
      <c r="I11520" t="s">
        <v>860</v>
      </c>
      <c r="J11520" t="str">
        <f>"9190736"</f>
        <v>9190736</v>
      </c>
      <c r="K11520">
        <v>2310742265</v>
      </c>
      <c r="L11520">
        <v>2310742265</v>
      </c>
      <c r="M11520" t="s">
        <v>29078</v>
      </c>
      <c r="N11520" t="s">
        <v>25992</v>
      </c>
      <c r="O11520" t="s">
        <v>29034</v>
      </c>
      <c r="P11520">
        <v>56122</v>
      </c>
      <c r="Q11520" t="str">
        <f>"40.655211"</f>
        <v>40.655211</v>
      </c>
      <c r="R11520" t="str">
        <f>"22.914442"</f>
        <v>22.914442</v>
      </c>
      <c r="S11520" t="s">
        <v>26</v>
      </c>
    </row>
    <row r="11521" spans="1:19" x14ac:dyDescent="0.3">
      <c r="A11521" t="s">
        <v>25190</v>
      </c>
      <c r="B11521" t="s">
        <v>28466</v>
      </c>
      <c r="C11521" t="s">
        <v>29082</v>
      </c>
      <c r="D11521" t="s">
        <v>25197</v>
      </c>
      <c r="E11521" t="s">
        <v>13689</v>
      </c>
      <c r="F11521" t="s">
        <v>25808</v>
      </c>
      <c r="G11521" t="s">
        <v>14541</v>
      </c>
      <c r="H11521" t="s">
        <v>859</v>
      </c>
      <c r="I11521" t="s">
        <v>860</v>
      </c>
      <c r="J11521" t="str">
        <f>"9190380"</f>
        <v>9190380</v>
      </c>
      <c r="K11521">
        <v>2394051348</v>
      </c>
      <c r="L11521">
        <v>2394051348</v>
      </c>
      <c r="M11521" t="s">
        <v>29083</v>
      </c>
      <c r="N11521" t="s">
        <v>14541</v>
      </c>
      <c r="O11521" t="s">
        <v>29084</v>
      </c>
      <c r="P11521">
        <v>57200</v>
      </c>
      <c r="Q11521" t="str">
        <f>"40.664936"</f>
        <v>40.664936</v>
      </c>
      <c r="R11521" t="str">
        <f>"23.114445"</f>
        <v>23.114445</v>
      </c>
      <c r="S11521" t="s">
        <v>26</v>
      </c>
    </row>
    <row r="11522" spans="1:19" x14ac:dyDescent="0.3">
      <c r="A11522" t="s">
        <v>25190</v>
      </c>
      <c r="B11522" t="s">
        <v>28466</v>
      </c>
      <c r="C11522" t="s">
        <v>29085</v>
      </c>
      <c r="D11522" t="s">
        <v>25197</v>
      </c>
      <c r="E11522" t="s">
        <v>25966</v>
      </c>
      <c r="F11522" t="s">
        <v>25966</v>
      </c>
      <c r="G11522" t="s">
        <v>25966</v>
      </c>
      <c r="H11522" t="s">
        <v>859</v>
      </c>
      <c r="I11522" t="s">
        <v>860</v>
      </c>
      <c r="J11522" t="str">
        <f>"9190559"</f>
        <v>9190559</v>
      </c>
      <c r="K11522">
        <v>2310696828</v>
      </c>
      <c r="L11522">
        <v>2310696828</v>
      </c>
      <c r="M11522" t="s">
        <v>29086</v>
      </c>
      <c r="N11522" t="s">
        <v>13554</v>
      </c>
      <c r="O11522" t="s">
        <v>29087</v>
      </c>
      <c r="P11522">
        <v>57013</v>
      </c>
      <c r="Q11522" t="str">
        <f>"40.713777"</f>
        <v>40.713777</v>
      </c>
      <c r="R11522" t="str">
        <f>"22.928359"</f>
        <v>22.928359</v>
      </c>
      <c r="S11522" t="s">
        <v>26</v>
      </c>
    </row>
    <row r="11523" spans="1:19" x14ac:dyDescent="0.3">
      <c r="A11523" t="s">
        <v>25190</v>
      </c>
      <c r="B11523" t="s">
        <v>28466</v>
      </c>
      <c r="C11523" t="s">
        <v>29097</v>
      </c>
      <c r="D11523" t="s">
        <v>25197</v>
      </c>
      <c r="E11523" t="s">
        <v>25203</v>
      </c>
      <c r="F11523" t="s">
        <v>25784</v>
      </c>
      <c r="G11523" t="s">
        <v>25784</v>
      </c>
      <c r="H11523" t="s">
        <v>859</v>
      </c>
      <c r="I11523" t="s">
        <v>860</v>
      </c>
      <c r="J11523" t="str">
        <f>"9190097"</f>
        <v>9190097</v>
      </c>
      <c r="K11523">
        <v>2310609520</v>
      </c>
      <c r="L11523">
        <v>2310609520</v>
      </c>
      <c r="M11523" t="s">
        <v>29098</v>
      </c>
      <c r="N11523" t="s">
        <v>25784</v>
      </c>
      <c r="O11523" t="s">
        <v>29099</v>
      </c>
      <c r="P11523">
        <v>56533</v>
      </c>
      <c r="Q11523" t="str">
        <f>"40.662832"</f>
        <v>40.662832</v>
      </c>
      <c r="R11523" t="str">
        <f>"22.948398"</f>
        <v>22.948398</v>
      </c>
      <c r="S11523" t="s">
        <v>26</v>
      </c>
    </row>
    <row r="11524" spans="1:19" x14ac:dyDescent="0.3">
      <c r="A11524" t="s">
        <v>25190</v>
      </c>
      <c r="B11524" t="s">
        <v>28466</v>
      </c>
      <c r="C11524" t="s">
        <v>29103</v>
      </c>
      <c r="D11524" t="s">
        <v>25197</v>
      </c>
      <c r="E11524" t="s">
        <v>25966</v>
      </c>
      <c r="F11524" t="s">
        <v>26056</v>
      </c>
      <c r="G11524" t="s">
        <v>22434</v>
      </c>
      <c r="H11524" t="s">
        <v>859</v>
      </c>
      <c r="I11524" t="s">
        <v>860</v>
      </c>
      <c r="J11524" t="str">
        <f>"9190801"</f>
        <v>9190801</v>
      </c>
      <c r="K11524">
        <v>2394031363</v>
      </c>
      <c r="L11524">
        <v>2394031363</v>
      </c>
      <c r="M11524" t="s">
        <v>29104</v>
      </c>
      <c r="N11524" t="s">
        <v>22434</v>
      </c>
      <c r="O11524" t="s">
        <v>29105</v>
      </c>
      <c r="P11524">
        <v>57018</v>
      </c>
      <c r="Q11524" t="str">
        <f>"40.772069"</f>
        <v>40.772069</v>
      </c>
      <c r="R11524" t="str">
        <f>"22.944366"</f>
        <v>22.944366</v>
      </c>
      <c r="S11524" t="s">
        <v>26</v>
      </c>
    </row>
    <row r="11525" spans="1:19" x14ac:dyDescent="0.3">
      <c r="A11525" t="s">
        <v>25190</v>
      </c>
      <c r="B11525" t="s">
        <v>28466</v>
      </c>
      <c r="C11525" t="s">
        <v>29109</v>
      </c>
      <c r="D11525" t="s">
        <v>25197</v>
      </c>
      <c r="E11525" t="s">
        <v>25765</v>
      </c>
      <c r="F11525" t="s">
        <v>21848</v>
      </c>
      <c r="G11525" t="s">
        <v>21878</v>
      </c>
      <c r="H11525" t="s">
        <v>859</v>
      </c>
      <c r="I11525" t="s">
        <v>860</v>
      </c>
      <c r="J11525" t="str">
        <f>"9190692"</f>
        <v>9190692</v>
      </c>
      <c r="K11525">
        <v>2397065418</v>
      </c>
      <c r="L11525">
        <v>2397065481</v>
      </c>
      <c r="M11525" t="s">
        <v>29110</v>
      </c>
      <c r="N11525" t="s">
        <v>28979</v>
      </c>
      <c r="O11525" t="s">
        <v>28979</v>
      </c>
      <c r="P11525">
        <v>57014</v>
      </c>
      <c r="Q11525" t="str">
        <f>"40.664822"</f>
        <v>40.664822</v>
      </c>
      <c r="R11525" t="str">
        <f>"23.680229"</f>
        <v>23.680229</v>
      </c>
      <c r="S11525" t="s">
        <v>26</v>
      </c>
    </row>
    <row r="11526" spans="1:19" x14ac:dyDescent="0.3">
      <c r="A11526" t="s">
        <v>25190</v>
      </c>
      <c r="B11526" t="s">
        <v>28466</v>
      </c>
      <c r="C11526" t="s">
        <v>29152</v>
      </c>
      <c r="D11526" t="s">
        <v>25197</v>
      </c>
      <c r="E11526" t="s">
        <v>25889</v>
      </c>
      <c r="F11526" t="s">
        <v>26080</v>
      </c>
      <c r="G11526" t="s">
        <v>26080</v>
      </c>
      <c r="H11526" t="s">
        <v>859</v>
      </c>
      <c r="I11526" t="s">
        <v>860</v>
      </c>
      <c r="J11526" t="str">
        <f>"9190707"</f>
        <v>9190707</v>
      </c>
      <c r="K11526">
        <v>2310673591</v>
      </c>
      <c r="L11526">
        <v>2310673591</v>
      </c>
      <c r="M11526" t="s">
        <v>29153</v>
      </c>
      <c r="N11526" t="s">
        <v>26080</v>
      </c>
      <c r="O11526" t="s">
        <v>29154</v>
      </c>
      <c r="P11526">
        <v>57010</v>
      </c>
      <c r="Q11526" t="str">
        <f>"40.659850"</f>
        <v>40.659850</v>
      </c>
      <c r="R11526" t="str">
        <f>"22.985505"</f>
        <v>22.985505</v>
      </c>
      <c r="S11526" t="s">
        <v>26</v>
      </c>
    </row>
    <row r="11527" spans="1:19" x14ac:dyDescent="0.3">
      <c r="A11527" t="s">
        <v>25190</v>
      </c>
      <c r="B11527" t="s">
        <v>28466</v>
      </c>
      <c r="C11527" t="s">
        <v>29156</v>
      </c>
      <c r="D11527" t="s">
        <v>25197</v>
      </c>
      <c r="E11527" t="s">
        <v>13689</v>
      </c>
      <c r="F11527" t="s">
        <v>25808</v>
      </c>
      <c r="G11527" t="s">
        <v>29155</v>
      </c>
      <c r="H11527" t="s">
        <v>859</v>
      </c>
      <c r="I11527" t="s">
        <v>860</v>
      </c>
      <c r="J11527" t="str">
        <f>"9190616"</f>
        <v>9190616</v>
      </c>
      <c r="K11527">
        <v>2393061136</v>
      </c>
      <c r="L11527">
        <v>2393061136</v>
      </c>
      <c r="M11527" t="s">
        <v>29157</v>
      </c>
      <c r="N11527" t="s">
        <v>29155</v>
      </c>
      <c r="O11527" t="s">
        <v>29158</v>
      </c>
      <c r="P11527">
        <v>57012</v>
      </c>
      <c r="Q11527" t="str">
        <f>"40.632289"</f>
        <v>40.632289</v>
      </c>
      <c r="R11527" t="str">
        <f>"23.190725"</f>
        <v>23.190725</v>
      </c>
      <c r="S11527" t="s">
        <v>26</v>
      </c>
    </row>
    <row r="11528" spans="1:19" x14ac:dyDescent="0.3">
      <c r="A11528" t="s">
        <v>25190</v>
      </c>
      <c r="B11528" t="s">
        <v>28466</v>
      </c>
      <c r="C11528" t="s">
        <v>29159</v>
      </c>
      <c r="D11528" t="s">
        <v>25197</v>
      </c>
      <c r="E11528" t="s">
        <v>25889</v>
      </c>
      <c r="F11528" t="s">
        <v>26080</v>
      </c>
      <c r="G11528" t="s">
        <v>26080</v>
      </c>
      <c r="H11528" t="s">
        <v>859</v>
      </c>
      <c r="I11528" t="s">
        <v>860</v>
      </c>
      <c r="J11528" t="str">
        <f>"9520660"</f>
        <v>9520660</v>
      </c>
      <c r="K11528">
        <v>2310674918</v>
      </c>
      <c r="L11528">
        <v>2310674918</v>
      </c>
      <c r="M11528" t="s">
        <v>29160</v>
      </c>
      <c r="N11528" t="s">
        <v>26080</v>
      </c>
      <c r="O11528" t="s">
        <v>29161</v>
      </c>
      <c r="P11528">
        <v>57010</v>
      </c>
      <c r="Q11528" t="str">
        <f>"40.661832"</f>
        <v>40.661832</v>
      </c>
      <c r="R11528" t="str">
        <f>"22.986958"</f>
        <v>22.986958</v>
      </c>
      <c r="S11528" t="s">
        <v>26</v>
      </c>
    </row>
    <row r="11529" spans="1:19" x14ac:dyDescent="0.3">
      <c r="A11529" t="s">
        <v>25190</v>
      </c>
      <c r="B11529" t="s">
        <v>28466</v>
      </c>
      <c r="C11529" t="s">
        <v>29162</v>
      </c>
      <c r="D11529" t="s">
        <v>25197</v>
      </c>
      <c r="E11529" t="s">
        <v>13689</v>
      </c>
      <c r="F11529" t="s">
        <v>13689</v>
      </c>
      <c r="G11529" t="s">
        <v>29127</v>
      </c>
      <c r="H11529" t="s">
        <v>859</v>
      </c>
      <c r="I11529" t="s">
        <v>860</v>
      </c>
      <c r="J11529" t="str">
        <f>"9190619"</f>
        <v>9190619</v>
      </c>
      <c r="K11529">
        <v>2394024500</v>
      </c>
      <c r="L11529">
        <v>2394024500</v>
      </c>
      <c r="M11529" t="s">
        <v>29163</v>
      </c>
      <c r="N11529" t="s">
        <v>29127</v>
      </c>
      <c r="O11529" t="s">
        <v>29131</v>
      </c>
      <c r="P11529">
        <v>57200</v>
      </c>
      <c r="Q11529" t="str">
        <f>"40.767081"</f>
        <v>40.767081</v>
      </c>
      <c r="R11529" t="str">
        <f>"23.082568"</f>
        <v>23.082568</v>
      </c>
      <c r="S11529" t="s">
        <v>26</v>
      </c>
    </row>
    <row r="11530" spans="1:19" x14ac:dyDescent="0.3">
      <c r="A11530" t="s">
        <v>25190</v>
      </c>
      <c r="B11530" t="s">
        <v>28466</v>
      </c>
      <c r="C11530" t="s">
        <v>29167</v>
      </c>
      <c r="D11530" t="s">
        <v>25197</v>
      </c>
      <c r="E11530" t="s">
        <v>25889</v>
      </c>
      <c r="F11530" t="s">
        <v>26080</v>
      </c>
      <c r="G11530" t="s">
        <v>26080</v>
      </c>
      <c r="H11530" t="s">
        <v>859</v>
      </c>
      <c r="I11530" t="s">
        <v>860</v>
      </c>
      <c r="J11530" t="str">
        <f>"9520849"</f>
        <v>9520849</v>
      </c>
      <c r="K11530">
        <v>2310675561</v>
      </c>
      <c r="L11530">
        <v>2310675561</v>
      </c>
      <c r="M11530" t="s">
        <v>29168</v>
      </c>
      <c r="N11530" t="s">
        <v>26080</v>
      </c>
      <c r="O11530" t="s">
        <v>29169</v>
      </c>
      <c r="P11530">
        <v>57010</v>
      </c>
      <c r="Q11530" t="str">
        <f>"40.655034"</f>
        <v>40.655034</v>
      </c>
      <c r="R11530" t="str">
        <f>"22.987220"</f>
        <v>22.987220</v>
      </c>
      <c r="S11530" t="s">
        <v>26</v>
      </c>
    </row>
    <row r="11531" spans="1:19" x14ac:dyDescent="0.3">
      <c r="A11531" t="s">
        <v>25190</v>
      </c>
      <c r="B11531" t="s">
        <v>28466</v>
      </c>
      <c r="C11531" t="s">
        <v>29171</v>
      </c>
      <c r="D11531" t="s">
        <v>25197</v>
      </c>
      <c r="E11531" t="s">
        <v>25889</v>
      </c>
      <c r="F11531" t="s">
        <v>26080</v>
      </c>
      <c r="G11531" t="s">
        <v>26080</v>
      </c>
      <c r="H11531" t="s">
        <v>859</v>
      </c>
      <c r="I11531" t="s">
        <v>860</v>
      </c>
      <c r="J11531" t="str">
        <f>"9520976"</f>
        <v>9520976</v>
      </c>
      <c r="K11531">
        <v>2310676250</v>
      </c>
      <c r="L11531">
        <v>2310676250</v>
      </c>
      <c r="M11531" t="s">
        <v>29172</v>
      </c>
      <c r="N11531" t="s">
        <v>26080</v>
      </c>
      <c r="O11531" t="s">
        <v>29173</v>
      </c>
      <c r="P11531">
        <v>57010</v>
      </c>
      <c r="Q11531" t="str">
        <f>"40.656765"</f>
        <v>40.656765</v>
      </c>
      <c r="R11531" t="str">
        <f>"22.999698"</f>
        <v>22.999698</v>
      </c>
      <c r="S11531" t="s">
        <v>26</v>
      </c>
    </row>
    <row r="11532" spans="1:19" x14ac:dyDescent="0.3">
      <c r="A11532" t="s">
        <v>25190</v>
      </c>
      <c r="B11532" t="s">
        <v>28466</v>
      </c>
      <c r="C11532" t="s">
        <v>29181</v>
      </c>
      <c r="D11532" t="s">
        <v>25197</v>
      </c>
      <c r="E11532" t="s">
        <v>25203</v>
      </c>
      <c r="F11532" t="s">
        <v>25878</v>
      </c>
      <c r="G11532" t="s">
        <v>25878</v>
      </c>
      <c r="H11532" t="s">
        <v>859</v>
      </c>
      <c r="I11532" t="s">
        <v>860</v>
      </c>
      <c r="J11532" t="str">
        <f>"9190416"</f>
        <v>9190416</v>
      </c>
      <c r="K11532">
        <v>2310680671</v>
      </c>
      <c r="L11532">
        <v>2310680671</v>
      </c>
      <c r="M11532" t="s">
        <v>29182</v>
      </c>
      <c r="N11532" t="s">
        <v>25878</v>
      </c>
      <c r="O11532" t="s">
        <v>29183</v>
      </c>
      <c r="P11532">
        <v>56429</v>
      </c>
      <c r="Q11532" t="str">
        <f>"40.688406"</f>
        <v>40.688406</v>
      </c>
      <c r="R11532" t="str">
        <f>"22.952193"</f>
        <v>22.952193</v>
      </c>
      <c r="S11532" t="s">
        <v>26</v>
      </c>
    </row>
    <row r="11533" spans="1:19" x14ac:dyDescent="0.3">
      <c r="A11533" t="s">
        <v>25190</v>
      </c>
      <c r="B11533" t="s">
        <v>28466</v>
      </c>
      <c r="C11533" t="s">
        <v>29184</v>
      </c>
      <c r="D11533" t="s">
        <v>25197</v>
      </c>
      <c r="E11533" t="s">
        <v>25203</v>
      </c>
      <c r="F11533" t="s">
        <v>25878</v>
      </c>
      <c r="G11533" t="s">
        <v>25878</v>
      </c>
      <c r="H11533" t="s">
        <v>859</v>
      </c>
      <c r="I11533" t="s">
        <v>860</v>
      </c>
      <c r="J11533" t="str">
        <f>"9190783"</f>
        <v>9190783</v>
      </c>
      <c r="K11533">
        <v>2310683433</v>
      </c>
      <c r="L11533">
        <v>2310680671</v>
      </c>
      <c r="M11533" t="s">
        <v>29185</v>
      </c>
      <c r="N11533" t="s">
        <v>25878</v>
      </c>
      <c r="O11533" t="s">
        <v>29183</v>
      </c>
      <c r="P11533">
        <v>56429</v>
      </c>
      <c r="Q11533" t="str">
        <f>"40.688406"</f>
        <v>40.688406</v>
      </c>
      <c r="R11533" t="str">
        <f>"22.952193"</f>
        <v>22.952193</v>
      </c>
      <c r="S11533" t="s">
        <v>26</v>
      </c>
    </row>
    <row r="11534" spans="1:19" x14ac:dyDescent="0.3">
      <c r="A11534" t="s">
        <v>25190</v>
      </c>
      <c r="B11534" t="s">
        <v>28466</v>
      </c>
      <c r="C11534" t="s">
        <v>29186</v>
      </c>
      <c r="D11534" t="s">
        <v>25197</v>
      </c>
      <c r="E11534" t="s">
        <v>25203</v>
      </c>
      <c r="F11534" t="s">
        <v>25878</v>
      </c>
      <c r="G11534" t="s">
        <v>25878</v>
      </c>
      <c r="H11534" t="s">
        <v>859</v>
      </c>
      <c r="I11534" t="s">
        <v>860</v>
      </c>
      <c r="J11534" t="str">
        <f>"9190932"</f>
        <v>9190932</v>
      </c>
      <c r="K11534">
        <v>2310808238</v>
      </c>
      <c r="L11534">
        <v>2310808238</v>
      </c>
      <c r="M11534" t="s">
        <v>29187</v>
      </c>
      <c r="N11534" t="s">
        <v>25878</v>
      </c>
      <c r="O11534" t="s">
        <v>29188</v>
      </c>
      <c r="P11534">
        <v>56429</v>
      </c>
      <c r="Q11534" t="str">
        <f>"40.683311"</f>
        <v>40.683311</v>
      </c>
      <c r="R11534" t="str">
        <f>"22.954232"</f>
        <v>22.954232</v>
      </c>
      <c r="S11534" t="s">
        <v>26</v>
      </c>
    </row>
    <row r="11535" spans="1:19" x14ac:dyDescent="0.3">
      <c r="A11535" t="s">
        <v>25190</v>
      </c>
      <c r="B11535" t="s">
        <v>28466</v>
      </c>
      <c r="C11535" t="s">
        <v>29191</v>
      </c>
      <c r="D11535" t="s">
        <v>25197</v>
      </c>
      <c r="E11535" t="s">
        <v>25203</v>
      </c>
      <c r="F11535" t="s">
        <v>25878</v>
      </c>
      <c r="G11535" t="s">
        <v>25878</v>
      </c>
      <c r="H11535" t="s">
        <v>859</v>
      </c>
      <c r="I11535" t="s">
        <v>860</v>
      </c>
      <c r="J11535" t="str">
        <f>"9520922"</f>
        <v>9520922</v>
      </c>
      <c r="K11535">
        <v>2310680555</v>
      </c>
      <c r="L11535">
        <v>2310680555</v>
      </c>
      <c r="M11535" t="s">
        <v>29192</v>
      </c>
      <c r="N11535" t="s">
        <v>25878</v>
      </c>
      <c r="O11535" t="s">
        <v>29193</v>
      </c>
      <c r="P11535">
        <v>56429</v>
      </c>
      <c r="Q11535" t="str">
        <f>"40.681610"</f>
        <v>40.681610</v>
      </c>
      <c r="R11535" t="str">
        <f>"22.944655"</f>
        <v>22.944655</v>
      </c>
      <c r="S11535" t="s">
        <v>26</v>
      </c>
    </row>
    <row r="11536" spans="1:19" x14ac:dyDescent="0.3">
      <c r="A11536" t="s">
        <v>25190</v>
      </c>
      <c r="B11536" t="s">
        <v>28466</v>
      </c>
      <c r="C11536" t="s">
        <v>29241</v>
      </c>
      <c r="D11536" t="s">
        <v>25197</v>
      </c>
      <c r="E11536" t="s">
        <v>25966</v>
      </c>
      <c r="F11536" t="s">
        <v>25966</v>
      </c>
      <c r="G11536" t="s">
        <v>25966</v>
      </c>
      <c r="H11536" t="s">
        <v>859</v>
      </c>
      <c r="I11536" t="s">
        <v>860</v>
      </c>
      <c r="J11536" t="str">
        <f>"9190519"</f>
        <v>9190519</v>
      </c>
      <c r="K11536">
        <v>2310697639</v>
      </c>
      <c r="L11536">
        <v>2310697639</v>
      </c>
      <c r="M11536" t="s">
        <v>29242</v>
      </c>
      <c r="N11536" t="s">
        <v>25966</v>
      </c>
      <c r="O11536" t="s">
        <v>29243</v>
      </c>
      <c r="P11536">
        <v>57013</v>
      </c>
      <c r="Q11536" t="str">
        <f>"40.713777"</f>
        <v>40.713777</v>
      </c>
      <c r="R11536" t="str">
        <f>"22.928359"</f>
        <v>22.928359</v>
      </c>
      <c r="S11536" t="s">
        <v>26</v>
      </c>
    </row>
    <row r="11537" spans="1:19" x14ac:dyDescent="0.3">
      <c r="A11537" t="s">
        <v>25190</v>
      </c>
      <c r="B11537" t="s">
        <v>28466</v>
      </c>
      <c r="C11537" t="s">
        <v>29244</v>
      </c>
      <c r="D11537" t="s">
        <v>25197</v>
      </c>
      <c r="E11537" t="s">
        <v>25966</v>
      </c>
      <c r="F11537" t="s">
        <v>25966</v>
      </c>
      <c r="G11537" t="s">
        <v>25966</v>
      </c>
      <c r="H11537" t="s">
        <v>859</v>
      </c>
      <c r="I11537" t="s">
        <v>860</v>
      </c>
      <c r="J11537" t="str">
        <f>"9190912"</f>
        <v>9190912</v>
      </c>
      <c r="K11537">
        <v>2310695839</v>
      </c>
      <c r="L11537">
        <v>2310695839</v>
      </c>
      <c r="M11537" t="s">
        <v>29245</v>
      </c>
      <c r="N11537" t="s">
        <v>25966</v>
      </c>
      <c r="O11537" t="s">
        <v>29246</v>
      </c>
      <c r="P11537">
        <v>57013</v>
      </c>
      <c r="Q11537" t="str">
        <f>"40.712362"</f>
        <v>40.712362</v>
      </c>
      <c r="R11537" t="str">
        <f>"22.927972"</f>
        <v>22.927972</v>
      </c>
      <c r="S11537" t="s">
        <v>26</v>
      </c>
    </row>
    <row r="11538" spans="1:19" x14ac:dyDescent="0.3">
      <c r="A11538" t="s">
        <v>25190</v>
      </c>
      <c r="B11538" t="s">
        <v>28466</v>
      </c>
      <c r="C11538" t="s">
        <v>29249</v>
      </c>
      <c r="D11538" t="s">
        <v>25197</v>
      </c>
      <c r="E11538" t="s">
        <v>25966</v>
      </c>
      <c r="F11538" t="s">
        <v>25966</v>
      </c>
      <c r="G11538" t="s">
        <v>25966</v>
      </c>
      <c r="H11538" t="s">
        <v>859</v>
      </c>
      <c r="I11538" t="s">
        <v>860</v>
      </c>
      <c r="J11538" t="str">
        <f>"9190949"</f>
        <v>9190949</v>
      </c>
      <c r="K11538">
        <v>2310699788</v>
      </c>
      <c r="L11538">
        <v>2310699788</v>
      </c>
      <c r="M11538" t="s">
        <v>29250</v>
      </c>
      <c r="N11538" t="s">
        <v>25966</v>
      </c>
      <c r="O11538" t="s">
        <v>29251</v>
      </c>
      <c r="P11538">
        <v>57013</v>
      </c>
      <c r="Q11538" t="str">
        <f>"40.724065"</f>
        <v>40.724065</v>
      </c>
      <c r="R11538" t="str">
        <f>"22.927263"</f>
        <v>22.927263</v>
      </c>
      <c r="S11538" t="s">
        <v>26</v>
      </c>
    </row>
    <row r="11539" spans="1:19" x14ac:dyDescent="0.3">
      <c r="A11539" t="s">
        <v>25190</v>
      </c>
      <c r="B11539" t="s">
        <v>28466</v>
      </c>
      <c r="C11539" t="s">
        <v>29254</v>
      </c>
      <c r="D11539" t="s">
        <v>25197</v>
      </c>
      <c r="E11539" t="s">
        <v>25889</v>
      </c>
      <c r="F11539" t="s">
        <v>26080</v>
      </c>
      <c r="G11539" t="s">
        <v>26080</v>
      </c>
      <c r="H11539" t="s">
        <v>859</v>
      </c>
      <c r="I11539" t="s">
        <v>1102</v>
      </c>
      <c r="J11539" t="str">
        <f>"9190945"</f>
        <v>9190945</v>
      </c>
      <c r="K11539">
        <v>2310674115</v>
      </c>
      <c r="L11539">
        <v>2310673666</v>
      </c>
      <c r="M11539" t="s">
        <v>29255</v>
      </c>
      <c r="N11539" t="s">
        <v>26262</v>
      </c>
      <c r="O11539" t="s">
        <v>29256</v>
      </c>
      <c r="P11539">
        <v>57010</v>
      </c>
      <c r="Q11539" t="str">
        <f>"40.663736"</f>
        <v>40.663736</v>
      </c>
      <c r="R11539" t="str">
        <f>"22.982913"</f>
        <v>22.982913</v>
      </c>
      <c r="S11539" t="s">
        <v>26</v>
      </c>
    </row>
    <row r="11540" spans="1:19" x14ac:dyDescent="0.3">
      <c r="A11540" t="s">
        <v>25190</v>
      </c>
      <c r="B11540" t="s">
        <v>28466</v>
      </c>
      <c r="C11540" t="s">
        <v>29261</v>
      </c>
      <c r="D11540" t="s">
        <v>25197</v>
      </c>
      <c r="E11540" t="s">
        <v>25765</v>
      </c>
      <c r="F11540" t="s">
        <v>21848</v>
      </c>
      <c r="G11540" t="s">
        <v>29260</v>
      </c>
      <c r="H11540" t="s">
        <v>859</v>
      </c>
      <c r="I11540" t="s">
        <v>860</v>
      </c>
      <c r="J11540" t="str">
        <f>"9190750"</f>
        <v>9190750</v>
      </c>
      <c r="K11540">
        <v>2397021027</v>
      </c>
      <c r="L11540">
        <v>2397021027</v>
      </c>
      <c r="M11540" t="s">
        <v>29262</v>
      </c>
      <c r="N11540" t="s">
        <v>21878</v>
      </c>
      <c r="O11540" t="s">
        <v>21881</v>
      </c>
      <c r="P11540">
        <v>57014</v>
      </c>
      <c r="Q11540" t="str">
        <f>"40.663669"</f>
        <v>40.663669</v>
      </c>
      <c r="R11540" t="str">
        <f>"23.705297"</f>
        <v>23.705297</v>
      </c>
      <c r="S11540" t="s">
        <v>26</v>
      </c>
    </row>
    <row r="11541" spans="1:19" x14ac:dyDescent="0.3">
      <c r="A11541" t="s">
        <v>25190</v>
      </c>
      <c r="B11541" t="s">
        <v>28466</v>
      </c>
      <c r="C11541" t="s">
        <v>29266</v>
      </c>
      <c r="D11541" t="s">
        <v>25197</v>
      </c>
      <c r="E11541" t="s">
        <v>25889</v>
      </c>
      <c r="F11541" t="s">
        <v>25890</v>
      </c>
      <c r="G11541" t="s">
        <v>25890</v>
      </c>
      <c r="H11541" t="s">
        <v>859</v>
      </c>
      <c r="I11541" t="s">
        <v>860</v>
      </c>
      <c r="J11541" t="str">
        <f>"9190095"</f>
        <v>9190095</v>
      </c>
      <c r="K11541">
        <v>2310518867</v>
      </c>
      <c r="L11541">
        <v>2310518867</v>
      </c>
      <c r="M11541" t="s">
        <v>29267</v>
      </c>
      <c r="N11541" t="s">
        <v>11666</v>
      </c>
      <c r="O11541" t="s">
        <v>29268</v>
      </c>
      <c r="P11541">
        <v>56727</v>
      </c>
      <c r="Q11541" t="str">
        <f>"40.656738"</f>
        <v>40.656738</v>
      </c>
      <c r="R11541" t="str">
        <f>"22.937944"</f>
        <v>22.937944</v>
      </c>
      <c r="S11541" t="s">
        <v>26</v>
      </c>
    </row>
    <row r="11542" spans="1:19" x14ac:dyDescent="0.3">
      <c r="A11542" t="s">
        <v>25190</v>
      </c>
      <c r="B11542" t="s">
        <v>28466</v>
      </c>
      <c r="C11542" t="s">
        <v>29285</v>
      </c>
      <c r="D11542" t="s">
        <v>25197</v>
      </c>
      <c r="E11542" t="s">
        <v>25826</v>
      </c>
      <c r="F11542" t="s">
        <v>25833</v>
      </c>
      <c r="G11542" t="s">
        <v>25833</v>
      </c>
      <c r="H11542" t="s">
        <v>859</v>
      </c>
      <c r="I11542" t="s">
        <v>860</v>
      </c>
      <c r="J11542" t="str">
        <f>"9190459"</f>
        <v>9190459</v>
      </c>
      <c r="K11542">
        <v>2310708200</v>
      </c>
      <c r="L11542">
        <v>2310708200</v>
      </c>
      <c r="M11542" t="s">
        <v>29286</v>
      </c>
      <c r="N11542" t="s">
        <v>25833</v>
      </c>
      <c r="O11542" t="s">
        <v>29287</v>
      </c>
      <c r="P11542">
        <v>56224</v>
      </c>
      <c r="Q11542" t="str">
        <f>"40.673919"</f>
        <v>40.673919</v>
      </c>
      <c r="R11542" t="str">
        <f>"22.905012"</f>
        <v>22.905012</v>
      </c>
      <c r="S11542" t="s">
        <v>26</v>
      </c>
    </row>
    <row r="11543" spans="1:19" x14ac:dyDescent="0.3">
      <c r="A11543" t="s">
        <v>25190</v>
      </c>
      <c r="B11543" t="s">
        <v>28466</v>
      </c>
      <c r="C11543" t="s">
        <v>29295</v>
      </c>
      <c r="D11543" t="s">
        <v>25197</v>
      </c>
      <c r="E11543" t="s">
        <v>25790</v>
      </c>
      <c r="F11543" t="s">
        <v>25896</v>
      </c>
      <c r="G11543" t="s">
        <v>25896</v>
      </c>
      <c r="H11543" t="s">
        <v>859</v>
      </c>
      <c r="I11543" t="s">
        <v>860</v>
      </c>
      <c r="J11543" t="str">
        <f>"9190287"</f>
        <v>9190287</v>
      </c>
      <c r="K11543">
        <v>2310794925</v>
      </c>
      <c r="L11543">
        <v>2310794925</v>
      </c>
      <c r="M11543" t="s">
        <v>29296</v>
      </c>
      <c r="N11543" t="s">
        <v>25896</v>
      </c>
      <c r="O11543" t="s">
        <v>29297</v>
      </c>
      <c r="P11543">
        <v>57300</v>
      </c>
      <c r="Q11543" t="str">
        <f>"40.631701"</f>
        <v>40.631701</v>
      </c>
      <c r="R11543" t="str">
        <f>"22.729928"</f>
        <v>22.729928</v>
      </c>
      <c r="S11543" t="s">
        <v>26</v>
      </c>
    </row>
    <row r="11544" spans="1:19" x14ac:dyDescent="0.3">
      <c r="A11544" t="s">
        <v>25190</v>
      </c>
      <c r="B11544" t="s">
        <v>28466</v>
      </c>
      <c r="C11544" t="s">
        <v>29298</v>
      </c>
      <c r="D11544" t="s">
        <v>25197</v>
      </c>
      <c r="E11544" t="s">
        <v>25790</v>
      </c>
      <c r="F11544" t="s">
        <v>25851</v>
      </c>
      <c r="G11544" t="s">
        <v>25852</v>
      </c>
      <c r="H11544" t="s">
        <v>859</v>
      </c>
      <c r="I11544" t="s">
        <v>860</v>
      </c>
      <c r="J11544" t="str">
        <f>"9190478"</f>
        <v>9190478</v>
      </c>
      <c r="K11544">
        <v>2310796504</v>
      </c>
      <c r="L11544">
        <v>2310796504</v>
      </c>
      <c r="M11544" t="s">
        <v>29299</v>
      </c>
      <c r="N11544" t="s">
        <v>25852</v>
      </c>
      <c r="O11544" t="s">
        <v>29300</v>
      </c>
      <c r="P11544">
        <v>57400</v>
      </c>
      <c r="Q11544" t="str">
        <f>"40.669283"</f>
        <v>40.669283</v>
      </c>
      <c r="R11544" t="str">
        <f>"22.809782"</f>
        <v>22.809782</v>
      </c>
      <c r="S11544" t="s">
        <v>26</v>
      </c>
    </row>
    <row r="11545" spans="1:19" x14ac:dyDescent="0.3">
      <c r="A11545" t="s">
        <v>25190</v>
      </c>
      <c r="B11545" t="s">
        <v>28466</v>
      </c>
      <c r="C11545" t="s">
        <v>29301</v>
      </c>
      <c r="D11545" t="s">
        <v>25197</v>
      </c>
      <c r="E11545" t="s">
        <v>25790</v>
      </c>
      <c r="F11545" t="s">
        <v>25851</v>
      </c>
      <c r="G11545" t="s">
        <v>17983</v>
      </c>
      <c r="H11545" t="s">
        <v>859</v>
      </c>
      <c r="I11545" t="s">
        <v>860</v>
      </c>
      <c r="J11545" t="str">
        <f>"9190275"</f>
        <v>9190275</v>
      </c>
      <c r="K11545">
        <v>2310753668</v>
      </c>
      <c r="L11545">
        <v>2310753668</v>
      </c>
      <c r="M11545" t="s">
        <v>29302</v>
      </c>
      <c r="N11545" t="s">
        <v>17983</v>
      </c>
      <c r="O11545" t="s">
        <v>29303</v>
      </c>
      <c r="P11545">
        <v>57009</v>
      </c>
      <c r="Q11545" t="str">
        <f>"40.638075"</f>
        <v>40.638075</v>
      </c>
      <c r="R11545" t="str">
        <f>"22.859178"</f>
        <v>22.859178</v>
      </c>
      <c r="S11545" t="s">
        <v>26</v>
      </c>
    </row>
    <row r="11546" spans="1:19" x14ac:dyDescent="0.3">
      <c r="A11546" t="s">
        <v>25190</v>
      </c>
      <c r="B11546" t="s">
        <v>28466</v>
      </c>
      <c r="C11546" t="s">
        <v>29304</v>
      </c>
      <c r="D11546" t="s">
        <v>25197</v>
      </c>
      <c r="E11546" t="s">
        <v>25790</v>
      </c>
      <c r="F11546" t="s">
        <v>25851</v>
      </c>
      <c r="G11546" t="s">
        <v>17983</v>
      </c>
      <c r="H11546" t="s">
        <v>859</v>
      </c>
      <c r="I11546" t="s">
        <v>860</v>
      </c>
      <c r="J11546" t="str">
        <f>"9190610"</f>
        <v>9190610</v>
      </c>
      <c r="K11546">
        <v>2310753403</v>
      </c>
      <c r="L11546">
        <v>2310753403</v>
      </c>
      <c r="M11546" t="s">
        <v>29305</v>
      </c>
      <c r="N11546" t="s">
        <v>17983</v>
      </c>
      <c r="O11546" t="s">
        <v>17985</v>
      </c>
      <c r="P11546">
        <v>57009</v>
      </c>
      <c r="Q11546" t="str">
        <f>"40.641968"</f>
        <v>40.641968</v>
      </c>
      <c r="R11546" t="str">
        <f>"22.850120"</f>
        <v>22.850120</v>
      </c>
      <c r="S11546" t="s">
        <v>26</v>
      </c>
    </row>
    <row r="11547" spans="1:19" x14ac:dyDescent="0.3">
      <c r="A11547" t="s">
        <v>25190</v>
      </c>
      <c r="B11547" t="s">
        <v>28466</v>
      </c>
      <c r="C11547" t="s">
        <v>29306</v>
      </c>
      <c r="D11547" t="s">
        <v>25197</v>
      </c>
      <c r="E11547" t="s">
        <v>25790</v>
      </c>
      <c r="F11547" t="s">
        <v>25851</v>
      </c>
      <c r="G11547" t="s">
        <v>26241</v>
      </c>
      <c r="H11547" t="s">
        <v>859</v>
      </c>
      <c r="I11547" t="s">
        <v>860</v>
      </c>
      <c r="J11547" t="str">
        <f>"9520666"</f>
        <v>9520666</v>
      </c>
      <c r="K11547">
        <v>2310751400</v>
      </c>
      <c r="M11547" t="s">
        <v>29307</v>
      </c>
      <c r="N11547" t="s">
        <v>6993</v>
      </c>
      <c r="O11547" t="s">
        <v>29308</v>
      </c>
      <c r="P11547">
        <v>54628</v>
      </c>
      <c r="Q11547" t="str">
        <f>"40.665800"</f>
        <v>40.665800</v>
      </c>
      <c r="R11547" t="str">
        <f>"22.862964"</f>
        <v>22.862964</v>
      </c>
      <c r="S11547" t="s">
        <v>26</v>
      </c>
    </row>
    <row r="11548" spans="1:19" x14ac:dyDescent="0.3">
      <c r="A11548" t="s">
        <v>25190</v>
      </c>
      <c r="B11548" t="s">
        <v>28466</v>
      </c>
      <c r="C11548" t="s">
        <v>29309</v>
      </c>
      <c r="D11548" t="s">
        <v>25197</v>
      </c>
      <c r="E11548" t="s">
        <v>25815</v>
      </c>
      <c r="F11548" t="s">
        <v>60</v>
      </c>
      <c r="G11548" t="s">
        <v>60</v>
      </c>
      <c r="H11548" t="s">
        <v>859</v>
      </c>
      <c r="I11548" t="s">
        <v>860</v>
      </c>
      <c r="J11548" t="str">
        <f>"9190295"</f>
        <v>9190295</v>
      </c>
      <c r="K11548">
        <v>2310701923</v>
      </c>
      <c r="L11548">
        <v>2310701923</v>
      </c>
      <c r="M11548" t="s">
        <v>29310</v>
      </c>
      <c r="N11548" t="s">
        <v>60</v>
      </c>
      <c r="O11548" t="s">
        <v>29311</v>
      </c>
      <c r="P11548">
        <v>57003</v>
      </c>
      <c r="Q11548" t="str">
        <f>"40.716413"</f>
        <v>40.716413</v>
      </c>
      <c r="R11548" t="str">
        <f>"22.737064"</f>
        <v>22.737064</v>
      </c>
      <c r="S11548" t="s">
        <v>26</v>
      </c>
    </row>
    <row r="11549" spans="1:19" x14ac:dyDescent="0.3">
      <c r="A11549" t="s">
        <v>25190</v>
      </c>
      <c r="B11549" t="s">
        <v>28466</v>
      </c>
      <c r="C11549" t="s">
        <v>29312</v>
      </c>
      <c r="D11549" t="s">
        <v>25197</v>
      </c>
      <c r="E11549" t="s">
        <v>25815</v>
      </c>
      <c r="F11549" t="s">
        <v>60</v>
      </c>
      <c r="G11549" t="s">
        <v>60</v>
      </c>
      <c r="H11549" t="s">
        <v>859</v>
      </c>
      <c r="I11549" t="s">
        <v>860</v>
      </c>
      <c r="J11549" t="str">
        <f>"9190690"</f>
        <v>9190690</v>
      </c>
      <c r="K11549">
        <v>2310701993</v>
      </c>
      <c r="L11549">
        <v>2310701993</v>
      </c>
      <c r="M11549" t="s">
        <v>29313</v>
      </c>
      <c r="N11549" t="s">
        <v>60</v>
      </c>
      <c r="O11549" t="s">
        <v>29314</v>
      </c>
      <c r="P11549">
        <v>57003</v>
      </c>
      <c r="Q11549" t="str">
        <f>"40.716673"</f>
        <v>40.716673</v>
      </c>
      <c r="R11549" t="str">
        <f>"22.726807"</f>
        <v>22.726807</v>
      </c>
      <c r="S11549" t="s">
        <v>26</v>
      </c>
    </row>
    <row r="11550" spans="1:19" x14ac:dyDescent="0.3">
      <c r="A11550" t="s">
        <v>25190</v>
      </c>
      <c r="B11550" t="s">
        <v>28466</v>
      </c>
      <c r="C11550" t="s">
        <v>29315</v>
      </c>
      <c r="D11550" t="s">
        <v>25197</v>
      </c>
      <c r="E11550" t="s">
        <v>25815</v>
      </c>
      <c r="F11550" t="s">
        <v>60</v>
      </c>
      <c r="G11550" t="s">
        <v>60</v>
      </c>
      <c r="H11550" t="s">
        <v>859</v>
      </c>
      <c r="I11550" t="s">
        <v>860</v>
      </c>
      <c r="J11550" t="str">
        <f>"9190934"</f>
        <v>9190934</v>
      </c>
      <c r="K11550">
        <v>2310701993</v>
      </c>
      <c r="L11550">
        <v>2310701993</v>
      </c>
      <c r="M11550" t="s">
        <v>29316</v>
      </c>
      <c r="N11550" t="s">
        <v>60</v>
      </c>
      <c r="O11550" t="s">
        <v>29317</v>
      </c>
      <c r="P11550">
        <v>57003</v>
      </c>
      <c r="Q11550" t="str">
        <f>"40.716186"</f>
        <v>40.716186</v>
      </c>
      <c r="R11550" t="str">
        <f>"22.727554"</f>
        <v>22.727554</v>
      </c>
      <c r="S11550" t="s">
        <v>26</v>
      </c>
    </row>
    <row r="11551" spans="1:19" x14ac:dyDescent="0.3">
      <c r="A11551" t="s">
        <v>25190</v>
      </c>
      <c r="B11551" t="s">
        <v>28466</v>
      </c>
      <c r="C11551" t="s">
        <v>29318</v>
      </c>
      <c r="D11551" t="s">
        <v>25197</v>
      </c>
      <c r="E11551" t="s">
        <v>25815</v>
      </c>
      <c r="F11551" t="s">
        <v>25864</v>
      </c>
      <c r="G11551" t="s">
        <v>26044</v>
      </c>
      <c r="H11551" t="s">
        <v>859</v>
      </c>
      <c r="I11551" t="s">
        <v>860</v>
      </c>
      <c r="J11551" t="str">
        <f>"9190325"</f>
        <v>9190325</v>
      </c>
      <c r="K11551">
        <v>2310711442</v>
      </c>
      <c r="M11551" t="s">
        <v>29319</v>
      </c>
      <c r="N11551" t="s">
        <v>1695</v>
      </c>
      <c r="O11551" t="s">
        <v>1698</v>
      </c>
      <c r="P11551">
        <v>57011</v>
      </c>
      <c r="Q11551" t="str">
        <f>"40.837643"</f>
        <v>40.837643</v>
      </c>
      <c r="R11551" t="str">
        <f>"22.652471"</f>
        <v>22.652471</v>
      </c>
      <c r="S11551" t="s">
        <v>26</v>
      </c>
    </row>
    <row r="11552" spans="1:19" x14ac:dyDescent="0.3">
      <c r="A11552" t="s">
        <v>25190</v>
      </c>
      <c r="B11552" t="s">
        <v>28466</v>
      </c>
      <c r="C11552" t="s">
        <v>29320</v>
      </c>
      <c r="D11552" t="s">
        <v>25197</v>
      </c>
      <c r="E11552" t="s">
        <v>25790</v>
      </c>
      <c r="F11552" t="s">
        <v>25896</v>
      </c>
      <c r="G11552" t="s">
        <v>17625</v>
      </c>
      <c r="H11552" t="s">
        <v>859</v>
      </c>
      <c r="I11552" t="s">
        <v>860</v>
      </c>
      <c r="J11552" t="str">
        <f>"9190272"</f>
        <v>9190272</v>
      </c>
      <c r="K11552">
        <v>2310718221</v>
      </c>
      <c r="L11552">
        <v>2310718221</v>
      </c>
      <c r="M11552" t="s">
        <v>29321</v>
      </c>
      <c r="N11552" t="s">
        <v>17625</v>
      </c>
      <c r="O11552" t="s">
        <v>18130</v>
      </c>
      <c r="P11552">
        <v>57300</v>
      </c>
      <c r="Q11552" t="str">
        <f>"40.661996"</f>
        <v>40.661996</v>
      </c>
      <c r="R11552" t="str">
        <f>"22.711602"</f>
        <v>22.711602</v>
      </c>
      <c r="S11552" t="s">
        <v>26</v>
      </c>
    </row>
    <row r="11553" spans="1:19" x14ac:dyDescent="0.3">
      <c r="A11553" t="s">
        <v>25190</v>
      </c>
      <c r="B11553" t="s">
        <v>28466</v>
      </c>
      <c r="C11553" t="s">
        <v>29322</v>
      </c>
      <c r="D11553" t="s">
        <v>25197</v>
      </c>
      <c r="E11553" t="s">
        <v>25815</v>
      </c>
      <c r="F11553" t="s">
        <v>60</v>
      </c>
      <c r="G11553" t="s">
        <v>26100</v>
      </c>
      <c r="H11553" t="s">
        <v>859</v>
      </c>
      <c r="I11553" t="s">
        <v>860</v>
      </c>
      <c r="J11553" t="str">
        <f>"9190299"</f>
        <v>9190299</v>
      </c>
      <c r="K11553">
        <v>2310719798</v>
      </c>
      <c r="L11553">
        <v>2310719798</v>
      </c>
      <c r="M11553" t="s">
        <v>29323</v>
      </c>
      <c r="N11553" t="s">
        <v>29324</v>
      </c>
      <c r="O11553" t="s">
        <v>29325</v>
      </c>
      <c r="P11553">
        <v>57011</v>
      </c>
      <c r="Q11553" t="str">
        <f>"40.770154"</f>
        <v>40.770154</v>
      </c>
      <c r="R11553" t="str">
        <f>"22.708535"</f>
        <v>22.708535</v>
      </c>
      <c r="S11553" t="s">
        <v>26</v>
      </c>
    </row>
    <row r="11554" spans="1:19" x14ac:dyDescent="0.3">
      <c r="A11554" t="s">
        <v>25190</v>
      </c>
      <c r="B11554" t="s">
        <v>28466</v>
      </c>
      <c r="C11554" t="s">
        <v>29326</v>
      </c>
      <c r="D11554" t="s">
        <v>25197</v>
      </c>
      <c r="E11554" t="s">
        <v>25815</v>
      </c>
      <c r="F11554" t="s">
        <v>60</v>
      </c>
      <c r="G11554" t="s">
        <v>26250</v>
      </c>
      <c r="H11554" t="s">
        <v>859</v>
      </c>
      <c r="I11554" t="s">
        <v>860</v>
      </c>
      <c r="J11554" t="str">
        <f>"9190812"</f>
        <v>9190812</v>
      </c>
      <c r="K11554">
        <v>2310716111</v>
      </c>
      <c r="L11554">
        <v>2310716111</v>
      </c>
      <c r="M11554" t="s">
        <v>29327</v>
      </c>
      <c r="N11554" t="s">
        <v>26250</v>
      </c>
      <c r="O11554" t="s">
        <v>26253</v>
      </c>
      <c r="P11554">
        <v>57011</v>
      </c>
      <c r="Q11554" t="str">
        <f>"40.731377"</f>
        <v>40.731377</v>
      </c>
      <c r="R11554" t="str">
        <f>"22.694059"</f>
        <v>22.694059</v>
      </c>
      <c r="S11554" t="s">
        <v>26</v>
      </c>
    </row>
    <row r="11555" spans="1:19" x14ac:dyDescent="0.3">
      <c r="A11555" t="s">
        <v>25190</v>
      </c>
      <c r="B11555" t="s">
        <v>28466</v>
      </c>
      <c r="C11555" t="s">
        <v>29328</v>
      </c>
      <c r="D11555" t="s">
        <v>25197</v>
      </c>
      <c r="E11555" t="s">
        <v>25790</v>
      </c>
      <c r="F11555" t="s">
        <v>25851</v>
      </c>
      <c r="G11555" t="s">
        <v>26241</v>
      </c>
      <c r="H11555" t="s">
        <v>859</v>
      </c>
      <c r="I11555" t="s">
        <v>860</v>
      </c>
      <c r="J11555" t="str">
        <f>"9190303"</f>
        <v>9190303</v>
      </c>
      <c r="K11555">
        <v>2310783917</v>
      </c>
      <c r="L11555">
        <v>2310784845</v>
      </c>
      <c r="M11555" t="s">
        <v>29329</v>
      </c>
      <c r="N11555" t="s">
        <v>26241</v>
      </c>
      <c r="O11555" t="s">
        <v>29330</v>
      </c>
      <c r="P11555">
        <v>57008</v>
      </c>
      <c r="Q11555" t="str">
        <f>"40.687205"</f>
        <v>40.687205</v>
      </c>
      <c r="R11555" t="str">
        <f>"22.856622"</f>
        <v>22.856622</v>
      </c>
      <c r="S11555" t="s">
        <v>26</v>
      </c>
    </row>
    <row r="11556" spans="1:19" x14ac:dyDescent="0.3">
      <c r="A11556" t="s">
        <v>25190</v>
      </c>
      <c r="B11556" t="s">
        <v>28466</v>
      </c>
      <c r="C11556" t="s">
        <v>29331</v>
      </c>
      <c r="D11556" t="s">
        <v>25197</v>
      </c>
      <c r="E11556" t="s">
        <v>25790</v>
      </c>
      <c r="F11556" t="s">
        <v>25851</v>
      </c>
      <c r="G11556" t="s">
        <v>26241</v>
      </c>
      <c r="H11556" t="s">
        <v>859</v>
      </c>
      <c r="I11556" t="s">
        <v>860</v>
      </c>
      <c r="J11556" t="str">
        <f>"9190781"</f>
        <v>9190781</v>
      </c>
      <c r="K11556">
        <v>2310783917</v>
      </c>
      <c r="L11556">
        <v>2310784845</v>
      </c>
      <c r="M11556" t="s">
        <v>29329</v>
      </c>
      <c r="N11556" t="s">
        <v>26241</v>
      </c>
      <c r="O11556" t="s">
        <v>29330</v>
      </c>
      <c r="P11556">
        <v>57008</v>
      </c>
      <c r="Q11556" t="str">
        <f>"40.687404"</f>
        <v>40.687404</v>
      </c>
      <c r="R11556" t="str">
        <f>"22.856368"</f>
        <v>22.856368</v>
      </c>
      <c r="S11556" t="s">
        <v>26</v>
      </c>
    </row>
    <row r="11557" spans="1:19" x14ac:dyDescent="0.3">
      <c r="A11557" t="s">
        <v>25190</v>
      </c>
      <c r="B11557" t="s">
        <v>28466</v>
      </c>
      <c r="C11557" t="s">
        <v>29332</v>
      </c>
      <c r="D11557" t="s">
        <v>25197</v>
      </c>
      <c r="E11557" t="s">
        <v>25790</v>
      </c>
      <c r="F11557" t="s">
        <v>25851</v>
      </c>
      <c r="G11557" t="s">
        <v>26241</v>
      </c>
      <c r="H11557" t="s">
        <v>859</v>
      </c>
      <c r="I11557" t="s">
        <v>860</v>
      </c>
      <c r="J11557" t="str">
        <f>"9190827"</f>
        <v>9190827</v>
      </c>
      <c r="K11557">
        <v>2310784454</v>
      </c>
      <c r="L11557">
        <v>2310784454</v>
      </c>
      <c r="M11557" t="s">
        <v>29333</v>
      </c>
      <c r="N11557" t="s">
        <v>26241</v>
      </c>
      <c r="O11557" t="s">
        <v>29334</v>
      </c>
      <c r="P11557">
        <v>57008</v>
      </c>
      <c r="Q11557" t="str">
        <f>"40.686342"</f>
        <v>40.686342</v>
      </c>
      <c r="R11557" t="str">
        <f>"22.864207"</f>
        <v>22.864207</v>
      </c>
      <c r="S11557" t="s">
        <v>26</v>
      </c>
    </row>
    <row r="11558" spans="1:19" x14ac:dyDescent="0.3">
      <c r="A11558" t="s">
        <v>25190</v>
      </c>
      <c r="B11558" t="s">
        <v>28466</v>
      </c>
      <c r="C11558" t="s">
        <v>29335</v>
      </c>
      <c r="D11558" t="s">
        <v>25197</v>
      </c>
      <c r="E11558" t="s">
        <v>25790</v>
      </c>
      <c r="F11558" t="s">
        <v>25851</v>
      </c>
      <c r="G11558" t="s">
        <v>26312</v>
      </c>
      <c r="H11558" t="s">
        <v>859</v>
      </c>
      <c r="I11558" t="s">
        <v>860</v>
      </c>
      <c r="J11558" t="str">
        <f>"9190311"</f>
        <v>9190311</v>
      </c>
      <c r="K11558">
        <v>2310784324</v>
      </c>
      <c r="L11558">
        <v>2310784324</v>
      </c>
      <c r="M11558" t="s">
        <v>29336</v>
      </c>
      <c r="N11558" t="s">
        <v>26312</v>
      </c>
      <c r="O11558" t="s">
        <v>29337</v>
      </c>
      <c r="P11558">
        <v>57008</v>
      </c>
      <c r="Q11558" t="str">
        <f>"40.688874"</f>
        <v>40.688874</v>
      </c>
      <c r="R11558" t="str">
        <f>"22.839511"</f>
        <v>22.839511</v>
      </c>
      <c r="S11558" t="s">
        <v>26</v>
      </c>
    </row>
    <row r="11559" spans="1:19" x14ac:dyDescent="0.3">
      <c r="A11559" t="s">
        <v>25190</v>
      </c>
      <c r="B11559" t="s">
        <v>28466</v>
      </c>
      <c r="C11559" t="s">
        <v>29338</v>
      </c>
      <c r="D11559" t="s">
        <v>25197</v>
      </c>
      <c r="E11559" t="s">
        <v>25790</v>
      </c>
      <c r="F11559" t="s">
        <v>25851</v>
      </c>
      <c r="G11559" t="s">
        <v>26312</v>
      </c>
      <c r="H11559" t="s">
        <v>859</v>
      </c>
      <c r="I11559" t="s">
        <v>860</v>
      </c>
      <c r="J11559" t="str">
        <f>"9190698"</f>
        <v>9190698</v>
      </c>
      <c r="K11559">
        <v>2310780355</v>
      </c>
      <c r="L11559">
        <v>2310780355</v>
      </c>
      <c r="M11559" t="s">
        <v>29339</v>
      </c>
      <c r="N11559" t="s">
        <v>26312</v>
      </c>
      <c r="O11559" t="s">
        <v>29340</v>
      </c>
      <c r="P11559">
        <v>57008</v>
      </c>
      <c r="Q11559" t="str">
        <f>"40.685553"</f>
        <v>40.685553</v>
      </c>
      <c r="R11559" t="str">
        <f>"22.849110"</f>
        <v>22.849110</v>
      </c>
      <c r="S11559" t="s">
        <v>26</v>
      </c>
    </row>
    <row r="11560" spans="1:19" x14ac:dyDescent="0.3">
      <c r="A11560" t="s">
        <v>25190</v>
      </c>
      <c r="B11560" t="s">
        <v>28466</v>
      </c>
      <c r="C11560" t="s">
        <v>29341</v>
      </c>
      <c r="D11560" t="s">
        <v>25197</v>
      </c>
      <c r="E11560" t="s">
        <v>25815</v>
      </c>
      <c r="F11560" t="s">
        <v>25864</v>
      </c>
      <c r="G11560" t="s">
        <v>26044</v>
      </c>
      <c r="H11560" t="s">
        <v>859</v>
      </c>
      <c r="I11560" t="s">
        <v>860</v>
      </c>
      <c r="J11560" t="str">
        <f>"9190113"</f>
        <v>9190113</v>
      </c>
      <c r="K11560">
        <v>2310711732</v>
      </c>
      <c r="L11560">
        <v>2310711732</v>
      </c>
      <c r="M11560" t="s">
        <v>29342</v>
      </c>
      <c r="N11560" t="s">
        <v>29343</v>
      </c>
      <c r="O11560" t="s">
        <v>29344</v>
      </c>
      <c r="P11560">
        <v>57011</v>
      </c>
      <c r="Q11560" t="str">
        <f>"40.817356"</f>
        <v>40.817356</v>
      </c>
      <c r="R11560" t="str">
        <f>"22.658646"</f>
        <v>22.658646</v>
      </c>
      <c r="S11560" t="s">
        <v>26</v>
      </c>
    </row>
    <row r="11561" spans="1:19" x14ac:dyDescent="0.3">
      <c r="A11561" t="s">
        <v>25190</v>
      </c>
      <c r="B11561" t="s">
        <v>28466</v>
      </c>
      <c r="C11561" t="s">
        <v>29345</v>
      </c>
      <c r="D11561" t="s">
        <v>25197</v>
      </c>
      <c r="E11561" t="s">
        <v>25815</v>
      </c>
      <c r="F11561" t="s">
        <v>25864</v>
      </c>
      <c r="G11561" t="s">
        <v>25864</v>
      </c>
      <c r="H11561" t="s">
        <v>859</v>
      </c>
      <c r="I11561" t="s">
        <v>860</v>
      </c>
      <c r="J11561" t="str">
        <f>"9190112"</f>
        <v>9190112</v>
      </c>
      <c r="K11561">
        <v>2391053593</v>
      </c>
      <c r="L11561">
        <v>2391052106</v>
      </c>
      <c r="M11561" t="s">
        <v>29346</v>
      </c>
      <c r="N11561" t="s">
        <v>25864</v>
      </c>
      <c r="O11561" t="s">
        <v>29228</v>
      </c>
      <c r="P11561">
        <v>57100</v>
      </c>
      <c r="Q11561" t="str">
        <f>"40.778424"</f>
        <v>40.778424</v>
      </c>
      <c r="R11561" t="str">
        <f>"22.576444"</f>
        <v>22.576444</v>
      </c>
      <c r="S11561" t="s">
        <v>26</v>
      </c>
    </row>
    <row r="11562" spans="1:19" x14ac:dyDescent="0.3">
      <c r="A11562" t="s">
        <v>25190</v>
      </c>
      <c r="B11562" t="s">
        <v>28466</v>
      </c>
      <c r="C11562" t="s">
        <v>29347</v>
      </c>
      <c r="D11562" t="s">
        <v>25197</v>
      </c>
      <c r="E11562" t="s">
        <v>25815</v>
      </c>
      <c r="F11562" t="s">
        <v>25864</v>
      </c>
      <c r="G11562" t="s">
        <v>25864</v>
      </c>
      <c r="H11562" t="s">
        <v>859</v>
      </c>
      <c r="I11562" t="s">
        <v>860</v>
      </c>
      <c r="J11562" t="str">
        <f>"9190813"</f>
        <v>9190813</v>
      </c>
      <c r="K11562">
        <v>2391054154</v>
      </c>
      <c r="L11562">
        <v>2391054154</v>
      </c>
      <c r="M11562" t="s">
        <v>29348</v>
      </c>
      <c r="N11562" t="s">
        <v>25864</v>
      </c>
      <c r="O11562" t="s">
        <v>29349</v>
      </c>
      <c r="P11562">
        <v>57100</v>
      </c>
      <c r="Q11562" t="str">
        <f>"40.776514"</f>
        <v>40.776514</v>
      </c>
      <c r="R11562" t="str">
        <f>"22.582266"</f>
        <v>22.582266</v>
      </c>
      <c r="S11562" t="s">
        <v>26</v>
      </c>
    </row>
    <row r="11563" spans="1:19" x14ac:dyDescent="0.3">
      <c r="A11563" t="s">
        <v>25190</v>
      </c>
      <c r="B11563" t="s">
        <v>28466</v>
      </c>
      <c r="C11563" t="s">
        <v>29350</v>
      </c>
      <c r="D11563" t="s">
        <v>25197</v>
      </c>
      <c r="E11563" t="s">
        <v>25790</v>
      </c>
      <c r="F11563" t="s">
        <v>25791</v>
      </c>
      <c r="G11563" t="s">
        <v>25792</v>
      </c>
      <c r="H11563" t="s">
        <v>859</v>
      </c>
      <c r="I11563" t="s">
        <v>860</v>
      </c>
      <c r="J11563" t="str">
        <f>"9190278"</f>
        <v>9190278</v>
      </c>
      <c r="K11563">
        <v>2391041812</v>
      </c>
      <c r="M11563" t="s">
        <v>29351</v>
      </c>
      <c r="N11563" t="s">
        <v>25792</v>
      </c>
      <c r="O11563" t="s">
        <v>26268</v>
      </c>
      <c r="P11563">
        <v>57300</v>
      </c>
      <c r="Q11563" t="str">
        <f>"40.616002"</f>
        <v>40.616002</v>
      </c>
      <c r="R11563" t="str">
        <f>"22.693772"</f>
        <v>22.693772</v>
      </c>
      <c r="S11563" t="s">
        <v>26</v>
      </c>
    </row>
    <row r="11564" spans="1:19" x14ac:dyDescent="0.3">
      <c r="A11564" t="s">
        <v>25190</v>
      </c>
      <c r="B11564" t="s">
        <v>28466</v>
      </c>
      <c r="C11564" t="s">
        <v>29352</v>
      </c>
      <c r="D11564" t="s">
        <v>25197</v>
      </c>
      <c r="E11564" t="s">
        <v>25790</v>
      </c>
      <c r="F11564" t="s">
        <v>25791</v>
      </c>
      <c r="G11564" t="s">
        <v>25792</v>
      </c>
      <c r="H11564" t="s">
        <v>859</v>
      </c>
      <c r="I11564" t="s">
        <v>860</v>
      </c>
      <c r="J11564" t="str">
        <f>"9190609"</f>
        <v>9190609</v>
      </c>
      <c r="K11564">
        <v>2391042694</v>
      </c>
      <c r="M11564" t="s">
        <v>29353</v>
      </c>
      <c r="N11564" t="s">
        <v>25792</v>
      </c>
      <c r="O11564" t="s">
        <v>26268</v>
      </c>
      <c r="P11564">
        <v>57600</v>
      </c>
      <c r="Q11564" t="str">
        <f>"40.615923"</f>
        <v>40.615923</v>
      </c>
      <c r="R11564" t="str">
        <f>"22.693825"</f>
        <v>22.693825</v>
      </c>
      <c r="S11564" t="s">
        <v>26</v>
      </c>
    </row>
    <row r="11565" spans="1:19" x14ac:dyDescent="0.3">
      <c r="A11565" t="s">
        <v>25190</v>
      </c>
      <c r="B11565" t="s">
        <v>28466</v>
      </c>
      <c r="C11565" t="s">
        <v>29354</v>
      </c>
      <c r="D11565" t="s">
        <v>25197</v>
      </c>
      <c r="E11565" t="s">
        <v>25790</v>
      </c>
      <c r="F11565" t="s">
        <v>25791</v>
      </c>
      <c r="G11565" t="s">
        <v>29027</v>
      </c>
      <c r="H11565" t="s">
        <v>859</v>
      </c>
      <c r="I11565" t="s">
        <v>860</v>
      </c>
      <c r="J11565" t="str">
        <f>"9190748"</f>
        <v>9190748</v>
      </c>
      <c r="K11565">
        <v>2391041497</v>
      </c>
      <c r="L11565">
        <v>2391041497</v>
      </c>
      <c r="M11565" t="s">
        <v>29355</v>
      </c>
      <c r="N11565" t="s">
        <v>29027</v>
      </c>
      <c r="O11565" t="s">
        <v>29235</v>
      </c>
      <c r="P11565">
        <v>57300</v>
      </c>
      <c r="Q11565" t="str">
        <f>"40.622537"</f>
        <v>40.622537</v>
      </c>
      <c r="R11565" t="str">
        <f>"22.731471"</f>
        <v>22.731471</v>
      </c>
      <c r="S11565" t="s">
        <v>26</v>
      </c>
    </row>
    <row r="11566" spans="1:19" x14ac:dyDescent="0.3">
      <c r="A11566" t="s">
        <v>25190</v>
      </c>
      <c r="B11566" t="s">
        <v>28466</v>
      </c>
      <c r="C11566" t="s">
        <v>29356</v>
      </c>
      <c r="D11566" t="s">
        <v>25197</v>
      </c>
      <c r="E11566" t="s">
        <v>25966</v>
      </c>
      <c r="F11566" t="s">
        <v>5563</v>
      </c>
      <c r="G11566" t="s">
        <v>3405</v>
      </c>
      <c r="H11566" t="s">
        <v>859</v>
      </c>
      <c r="I11566" t="s">
        <v>860</v>
      </c>
      <c r="J11566" t="str">
        <f>"9190329"</f>
        <v>9190329</v>
      </c>
      <c r="K11566">
        <v>2310786281</v>
      </c>
      <c r="L11566">
        <v>2310786281</v>
      </c>
      <c r="M11566" t="s">
        <v>29357</v>
      </c>
      <c r="N11566" t="s">
        <v>3405</v>
      </c>
      <c r="O11566" t="s">
        <v>3743</v>
      </c>
      <c r="P11566">
        <v>54500</v>
      </c>
      <c r="Q11566" t="str">
        <f>"40.799771"</f>
        <v>40.799771</v>
      </c>
      <c r="R11566" t="str">
        <f>"22.843136"</f>
        <v>22.843136</v>
      </c>
      <c r="S11566" t="s">
        <v>26</v>
      </c>
    </row>
    <row r="11567" spans="1:19" x14ac:dyDescent="0.3">
      <c r="A11567" t="s">
        <v>25190</v>
      </c>
      <c r="B11567" t="s">
        <v>28466</v>
      </c>
      <c r="C11567" t="s">
        <v>29358</v>
      </c>
      <c r="D11567" t="s">
        <v>25197</v>
      </c>
      <c r="E11567" t="s">
        <v>25966</v>
      </c>
      <c r="F11567" t="s">
        <v>5563</v>
      </c>
      <c r="G11567" t="s">
        <v>26192</v>
      </c>
      <c r="H11567" t="s">
        <v>859</v>
      </c>
      <c r="I11567" t="s">
        <v>860</v>
      </c>
      <c r="J11567" t="str">
        <f>"9190060"</f>
        <v>9190060</v>
      </c>
      <c r="K11567">
        <v>2310787584</v>
      </c>
      <c r="M11567" t="s">
        <v>29359</v>
      </c>
      <c r="N11567" t="s">
        <v>26192</v>
      </c>
      <c r="O11567" t="s">
        <v>26197</v>
      </c>
      <c r="P11567">
        <v>54500</v>
      </c>
      <c r="Q11567" t="str">
        <f>"40.740918"</f>
        <v>40.740918</v>
      </c>
      <c r="R11567" t="str">
        <f>"22.875855"</f>
        <v>22.875855</v>
      </c>
      <c r="S11567" t="s">
        <v>26</v>
      </c>
    </row>
    <row r="11568" spans="1:19" x14ac:dyDescent="0.3">
      <c r="A11568" t="s">
        <v>25190</v>
      </c>
      <c r="B11568" t="s">
        <v>28466</v>
      </c>
      <c r="C11568" t="s">
        <v>29360</v>
      </c>
      <c r="D11568" t="s">
        <v>25197</v>
      </c>
      <c r="E11568" t="s">
        <v>25815</v>
      </c>
      <c r="F11568" t="s">
        <v>25864</v>
      </c>
      <c r="G11568" t="s">
        <v>26044</v>
      </c>
      <c r="H11568" t="s">
        <v>859</v>
      </c>
      <c r="I11568" t="s">
        <v>860</v>
      </c>
      <c r="J11568" t="str">
        <f>"9190114"</f>
        <v>9190114</v>
      </c>
      <c r="K11568">
        <v>2310711104</v>
      </c>
      <c r="L11568">
        <v>2310711104</v>
      </c>
      <c r="M11568" t="s">
        <v>29361</v>
      </c>
      <c r="N11568" t="s">
        <v>26044</v>
      </c>
      <c r="O11568" t="s">
        <v>26048</v>
      </c>
      <c r="P11568">
        <v>57011</v>
      </c>
      <c r="Q11568" t="str">
        <f>"40.797234"</f>
        <v>40.797234</v>
      </c>
      <c r="R11568" t="str">
        <f>"22.669441"</f>
        <v>22.669441</v>
      </c>
      <c r="S11568" t="s">
        <v>26</v>
      </c>
    </row>
    <row r="11569" spans="1:19" x14ac:dyDescent="0.3">
      <c r="A11569" t="s">
        <v>25190</v>
      </c>
      <c r="B11569" t="s">
        <v>28466</v>
      </c>
      <c r="C11569" t="s">
        <v>29362</v>
      </c>
      <c r="D11569" t="s">
        <v>25197</v>
      </c>
      <c r="E11569" t="s">
        <v>25790</v>
      </c>
      <c r="F11569" t="s">
        <v>25851</v>
      </c>
      <c r="G11569" t="s">
        <v>25852</v>
      </c>
      <c r="H11569" t="s">
        <v>859</v>
      </c>
      <c r="I11569" t="s">
        <v>860</v>
      </c>
      <c r="J11569" t="str">
        <f>"9190291"</f>
        <v>9190291</v>
      </c>
      <c r="K11569">
        <v>2310796503</v>
      </c>
      <c r="L11569">
        <v>2310796503</v>
      </c>
      <c r="M11569" t="s">
        <v>29363</v>
      </c>
      <c r="N11569" t="s">
        <v>25852</v>
      </c>
      <c r="O11569" t="s">
        <v>29364</v>
      </c>
      <c r="P11569">
        <v>57400</v>
      </c>
      <c r="Q11569" t="str">
        <f>"40.662496"</f>
        <v>40.662496</v>
      </c>
      <c r="R11569" t="str">
        <f>"22.800356"</f>
        <v>22.800356</v>
      </c>
      <c r="S11569" t="s">
        <v>26</v>
      </c>
    </row>
    <row r="11570" spans="1:19" x14ac:dyDescent="0.3">
      <c r="A11570" t="s">
        <v>25190</v>
      </c>
      <c r="B11570" t="s">
        <v>28466</v>
      </c>
      <c r="C11570" t="s">
        <v>29365</v>
      </c>
      <c r="D11570" t="s">
        <v>25197</v>
      </c>
      <c r="E11570" t="s">
        <v>25790</v>
      </c>
      <c r="F11570" t="s">
        <v>25851</v>
      </c>
      <c r="G11570" t="s">
        <v>25852</v>
      </c>
      <c r="H11570" t="s">
        <v>859</v>
      </c>
      <c r="I11570" t="s">
        <v>860</v>
      </c>
      <c r="J11570" t="str">
        <f>"9190749"</f>
        <v>9190749</v>
      </c>
      <c r="K11570">
        <v>2310796112</v>
      </c>
      <c r="L11570">
        <v>2310796112</v>
      </c>
      <c r="M11570" t="s">
        <v>29366</v>
      </c>
      <c r="N11570" t="s">
        <v>25852</v>
      </c>
      <c r="O11570" t="s">
        <v>29367</v>
      </c>
      <c r="P11570">
        <v>57400</v>
      </c>
      <c r="Q11570" t="str">
        <f>"40.666185"</f>
        <v>40.666185</v>
      </c>
      <c r="R11570" t="str">
        <f>"22.800521"</f>
        <v>22.800521</v>
      </c>
      <c r="S11570" t="s">
        <v>26</v>
      </c>
    </row>
    <row r="11571" spans="1:19" x14ac:dyDescent="0.3">
      <c r="A11571" t="s">
        <v>25190</v>
      </c>
      <c r="B11571" t="s">
        <v>28466</v>
      </c>
      <c r="C11571" t="s">
        <v>29368</v>
      </c>
      <c r="D11571" t="s">
        <v>25197</v>
      </c>
      <c r="E11571" t="s">
        <v>25815</v>
      </c>
      <c r="F11571" t="s">
        <v>25815</v>
      </c>
      <c r="G11571" t="s">
        <v>25815</v>
      </c>
      <c r="H11571" t="s">
        <v>859</v>
      </c>
      <c r="I11571" t="s">
        <v>860</v>
      </c>
      <c r="J11571" t="str">
        <f>"9190479"</f>
        <v>9190479</v>
      </c>
      <c r="K11571">
        <v>2391022748</v>
      </c>
      <c r="L11571">
        <v>2391022748</v>
      </c>
      <c r="M11571" t="s">
        <v>29369</v>
      </c>
      <c r="N11571" t="s">
        <v>29370</v>
      </c>
      <c r="O11571" t="s">
        <v>29371</v>
      </c>
      <c r="P11571">
        <v>57007</v>
      </c>
      <c r="Q11571" t="str">
        <f>"40.730598"</f>
        <v>40.730598</v>
      </c>
      <c r="R11571" t="str">
        <f>"22.596295"</f>
        <v>22.596295</v>
      </c>
      <c r="S11571" t="s">
        <v>26</v>
      </c>
    </row>
    <row r="11572" spans="1:19" x14ac:dyDescent="0.3">
      <c r="A11572" t="s">
        <v>25190</v>
      </c>
      <c r="B11572" t="s">
        <v>28466</v>
      </c>
      <c r="C11572" t="s">
        <v>29372</v>
      </c>
      <c r="D11572" t="s">
        <v>25197</v>
      </c>
      <c r="E11572" t="s">
        <v>25815</v>
      </c>
      <c r="F11572" t="s">
        <v>25815</v>
      </c>
      <c r="G11572" t="s">
        <v>25815</v>
      </c>
      <c r="H11572" t="s">
        <v>859</v>
      </c>
      <c r="I11572" t="s">
        <v>860</v>
      </c>
      <c r="J11572" t="str">
        <f>"9190829"</f>
        <v>9190829</v>
      </c>
      <c r="K11572">
        <v>2391023057</v>
      </c>
      <c r="L11572">
        <v>2391023057</v>
      </c>
      <c r="M11572" t="s">
        <v>29373</v>
      </c>
      <c r="N11572" t="s">
        <v>29370</v>
      </c>
      <c r="O11572" t="s">
        <v>25819</v>
      </c>
      <c r="P11572">
        <v>57007</v>
      </c>
      <c r="Q11572" t="str">
        <f>"40.730590"</f>
        <v>40.730590</v>
      </c>
      <c r="R11572" t="str">
        <f>"22.602191"</f>
        <v>22.602191</v>
      </c>
      <c r="S11572" t="s">
        <v>26</v>
      </c>
    </row>
    <row r="11573" spans="1:19" x14ac:dyDescent="0.3">
      <c r="A11573" t="s">
        <v>25190</v>
      </c>
      <c r="B11573" t="s">
        <v>28466</v>
      </c>
      <c r="C11573" t="s">
        <v>29449</v>
      </c>
      <c r="D11573" t="s">
        <v>25197</v>
      </c>
      <c r="E11573" t="s">
        <v>13689</v>
      </c>
      <c r="F11573" t="s">
        <v>13689</v>
      </c>
      <c r="G11573" t="s">
        <v>26382</v>
      </c>
      <c r="H11573" t="s">
        <v>859</v>
      </c>
      <c r="I11573" t="s">
        <v>860</v>
      </c>
      <c r="J11573" t="str">
        <f>"9521102"</f>
        <v>9521102</v>
      </c>
      <c r="K11573">
        <v>2394071781</v>
      </c>
      <c r="L11573">
        <v>2394071781</v>
      </c>
      <c r="M11573" t="s">
        <v>29450</v>
      </c>
      <c r="N11573" t="s">
        <v>26382</v>
      </c>
      <c r="O11573" t="s">
        <v>29019</v>
      </c>
      <c r="P11573">
        <v>57200</v>
      </c>
      <c r="Q11573" t="str">
        <f>"40.723975"</f>
        <v>40.723975</v>
      </c>
      <c r="R11573" t="str">
        <f>"23.007479"</f>
        <v>23.007479</v>
      </c>
      <c r="S11573" t="s">
        <v>26</v>
      </c>
    </row>
    <row r="11574" spans="1:19" x14ac:dyDescent="0.3">
      <c r="A11574" t="s">
        <v>25190</v>
      </c>
      <c r="B11574" t="s">
        <v>28466</v>
      </c>
      <c r="C11574" t="s">
        <v>29454</v>
      </c>
      <c r="D11574" t="s">
        <v>25197</v>
      </c>
      <c r="E11574" t="s">
        <v>25826</v>
      </c>
      <c r="F11574" t="s">
        <v>25833</v>
      </c>
      <c r="G11574" t="s">
        <v>25833</v>
      </c>
      <c r="H11574" t="s">
        <v>859</v>
      </c>
      <c r="I11574" t="s">
        <v>860</v>
      </c>
      <c r="J11574" t="str">
        <f>"9521098"</f>
        <v>9521098</v>
      </c>
      <c r="K11574">
        <v>2310774056</v>
      </c>
      <c r="L11574">
        <v>2310703644</v>
      </c>
      <c r="M11574" t="s">
        <v>29455</v>
      </c>
      <c r="N11574" t="s">
        <v>25833</v>
      </c>
      <c r="O11574" t="s">
        <v>29456</v>
      </c>
      <c r="P11574">
        <v>56224</v>
      </c>
      <c r="Q11574" t="str">
        <f>"40.673905"</f>
        <v>40.673905</v>
      </c>
      <c r="R11574" t="str">
        <f>"22.905019"</f>
        <v>22.905019</v>
      </c>
      <c r="S11574" t="s">
        <v>26</v>
      </c>
    </row>
    <row r="11575" spans="1:19" x14ac:dyDescent="0.3">
      <c r="A11575" t="s">
        <v>25190</v>
      </c>
      <c r="B11575" t="s">
        <v>28466</v>
      </c>
      <c r="C11575" t="s">
        <v>29460</v>
      </c>
      <c r="D11575" t="s">
        <v>25197</v>
      </c>
      <c r="E11575" t="s">
        <v>25966</v>
      </c>
      <c r="F11575" t="s">
        <v>25966</v>
      </c>
      <c r="G11575" t="s">
        <v>25966</v>
      </c>
      <c r="H11575" t="s">
        <v>859</v>
      </c>
      <c r="I11575" t="s">
        <v>860</v>
      </c>
      <c r="J11575" t="str">
        <f>"9521107"</f>
        <v>9521107</v>
      </c>
      <c r="K11575">
        <v>2310690673</v>
      </c>
      <c r="L11575">
        <v>2310020903</v>
      </c>
      <c r="M11575" t="s">
        <v>29461</v>
      </c>
      <c r="N11575" t="s">
        <v>13558</v>
      </c>
      <c r="O11575" t="s">
        <v>29462</v>
      </c>
      <c r="P11575">
        <v>57013</v>
      </c>
      <c r="Q11575" t="str">
        <f>"40.722357"</f>
        <v>40.722357</v>
      </c>
      <c r="R11575" t="str">
        <f>"22.906695"</f>
        <v>22.906695</v>
      </c>
      <c r="S11575" t="s">
        <v>26</v>
      </c>
    </row>
    <row r="11576" spans="1:19" x14ac:dyDescent="0.3">
      <c r="A11576" t="s">
        <v>25190</v>
      </c>
      <c r="B11576" t="s">
        <v>28466</v>
      </c>
      <c r="C11576" t="s">
        <v>29463</v>
      </c>
      <c r="D11576" t="s">
        <v>25197</v>
      </c>
      <c r="E11576" t="s">
        <v>25203</v>
      </c>
      <c r="F11576" t="s">
        <v>25878</v>
      </c>
      <c r="G11576" t="s">
        <v>25878</v>
      </c>
      <c r="H11576" t="s">
        <v>859</v>
      </c>
      <c r="I11576" t="s">
        <v>860</v>
      </c>
      <c r="J11576" t="str">
        <f>"9521105"</f>
        <v>9521105</v>
      </c>
      <c r="K11576">
        <v>2310686787</v>
      </c>
      <c r="L11576">
        <v>2310686787</v>
      </c>
      <c r="M11576" t="s">
        <v>29464</v>
      </c>
      <c r="N11576" t="s">
        <v>25878</v>
      </c>
      <c r="O11576" t="s">
        <v>29465</v>
      </c>
      <c r="P11576">
        <v>56429</v>
      </c>
      <c r="Q11576" t="str">
        <f>"40.685099"</f>
        <v>40.685099</v>
      </c>
      <c r="R11576" t="str">
        <f>"22.949342"</f>
        <v>22.949342</v>
      </c>
      <c r="S11576" t="s">
        <v>26</v>
      </c>
    </row>
    <row r="11577" spans="1:19" x14ac:dyDescent="0.3">
      <c r="A11577" t="s">
        <v>25190</v>
      </c>
      <c r="B11577" t="s">
        <v>28466</v>
      </c>
      <c r="C11577" t="s">
        <v>29466</v>
      </c>
      <c r="D11577" t="s">
        <v>25197</v>
      </c>
      <c r="E11577" t="s">
        <v>25889</v>
      </c>
      <c r="F11577" t="s">
        <v>26080</v>
      </c>
      <c r="G11577" t="s">
        <v>26080</v>
      </c>
      <c r="H11577" t="s">
        <v>859</v>
      </c>
      <c r="I11577" t="s">
        <v>860</v>
      </c>
      <c r="J11577" t="str">
        <f>"9521112"</f>
        <v>9521112</v>
      </c>
      <c r="K11577">
        <v>2310676498</v>
      </c>
      <c r="L11577">
        <v>2310676498</v>
      </c>
      <c r="M11577" t="s">
        <v>29467</v>
      </c>
      <c r="N11577" t="s">
        <v>26080</v>
      </c>
      <c r="O11577" t="s">
        <v>29161</v>
      </c>
      <c r="P11577">
        <v>57010</v>
      </c>
      <c r="Q11577" t="str">
        <f>"40.661832"</f>
        <v>40.661832</v>
      </c>
      <c r="R11577" t="str">
        <f>"22.986958"</f>
        <v>22.986958</v>
      </c>
      <c r="S11577" t="s">
        <v>26</v>
      </c>
    </row>
    <row r="11578" spans="1:19" x14ac:dyDescent="0.3">
      <c r="A11578" t="s">
        <v>25190</v>
      </c>
      <c r="B11578" t="s">
        <v>28466</v>
      </c>
      <c r="C11578" t="s">
        <v>29468</v>
      </c>
      <c r="D11578" t="s">
        <v>25197</v>
      </c>
      <c r="E11578" t="s">
        <v>25790</v>
      </c>
      <c r="F11578" t="s">
        <v>25851</v>
      </c>
      <c r="G11578" t="s">
        <v>26241</v>
      </c>
      <c r="H11578" t="s">
        <v>859</v>
      </c>
      <c r="I11578" t="s">
        <v>860</v>
      </c>
      <c r="J11578" t="str">
        <f>"9521101"</f>
        <v>9521101</v>
      </c>
      <c r="K11578">
        <v>2310780127</v>
      </c>
      <c r="L11578">
        <v>2310780127</v>
      </c>
      <c r="M11578" t="s">
        <v>29469</v>
      </c>
      <c r="N11578" t="s">
        <v>26241</v>
      </c>
      <c r="O11578" t="s">
        <v>28707</v>
      </c>
      <c r="P11578">
        <v>57008</v>
      </c>
      <c r="Q11578" t="str">
        <f>"40.687281"</f>
        <v>40.687281</v>
      </c>
      <c r="R11578" t="str">
        <f>"22.861721"</f>
        <v>22.861721</v>
      </c>
      <c r="S11578" t="s">
        <v>26</v>
      </c>
    </row>
    <row r="11579" spans="1:19" x14ac:dyDescent="0.3">
      <c r="A11579" t="s">
        <v>25190</v>
      </c>
      <c r="B11579" t="s">
        <v>28466</v>
      </c>
      <c r="C11579" t="s">
        <v>29476</v>
      </c>
      <c r="D11579" t="s">
        <v>25197</v>
      </c>
      <c r="E11579" t="s">
        <v>25826</v>
      </c>
      <c r="F11579" t="s">
        <v>25833</v>
      </c>
      <c r="G11579" t="s">
        <v>25833</v>
      </c>
      <c r="H11579" t="s">
        <v>859</v>
      </c>
      <c r="I11579" t="s">
        <v>860</v>
      </c>
      <c r="J11579" t="str">
        <f>"9521210"</f>
        <v>9521210</v>
      </c>
      <c r="K11579">
        <v>2310769837</v>
      </c>
      <c r="M11579" t="s">
        <v>29477</v>
      </c>
      <c r="N11579" t="s">
        <v>25833</v>
      </c>
      <c r="O11579" t="s">
        <v>29411</v>
      </c>
      <c r="P11579">
        <v>56224</v>
      </c>
      <c r="Q11579" t="str">
        <f>"40.673240"</f>
        <v>40.673240</v>
      </c>
      <c r="R11579" t="str">
        <f>"22.905714"</f>
        <v>22.905714</v>
      </c>
      <c r="S11579" t="s">
        <v>26</v>
      </c>
    </row>
    <row r="11580" spans="1:19" x14ac:dyDescent="0.3">
      <c r="A11580" t="s">
        <v>25190</v>
      </c>
      <c r="B11580" t="s">
        <v>28466</v>
      </c>
      <c r="C11580" t="s">
        <v>29478</v>
      </c>
      <c r="D11580" t="s">
        <v>25197</v>
      </c>
      <c r="E11580" t="s">
        <v>25826</v>
      </c>
      <c r="F11580" t="s">
        <v>25833</v>
      </c>
      <c r="G11580" t="s">
        <v>25833</v>
      </c>
      <c r="H11580" t="s">
        <v>859</v>
      </c>
      <c r="I11580" t="s">
        <v>860</v>
      </c>
      <c r="J11580" t="str">
        <f>"9521211"</f>
        <v>9521211</v>
      </c>
      <c r="K11580">
        <v>2316008538</v>
      </c>
      <c r="L11580">
        <v>2316008538</v>
      </c>
      <c r="M11580" t="s">
        <v>29479</v>
      </c>
      <c r="N11580" t="s">
        <v>25833</v>
      </c>
      <c r="O11580" t="s">
        <v>29409</v>
      </c>
      <c r="P11580">
        <v>56224</v>
      </c>
      <c r="Q11580" t="str">
        <f>"40.668414"</f>
        <v>40.668414</v>
      </c>
      <c r="R11580" t="str">
        <f>"22.925651"</f>
        <v>22.925651</v>
      </c>
      <c r="S11580" t="s">
        <v>26</v>
      </c>
    </row>
    <row r="11581" spans="1:19" x14ac:dyDescent="0.3">
      <c r="A11581" t="s">
        <v>25190</v>
      </c>
      <c r="B11581" t="s">
        <v>28466</v>
      </c>
      <c r="C11581" t="s">
        <v>29480</v>
      </c>
      <c r="D11581" t="s">
        <v>25197</v>
      </c>
      <c r="E11581" t="s">
        <v>25826</v>
      </c>
      <c r="F11581" t="s">
        <v>25833</v>
      </c>
      <c r="G11581" t="s">
        <v>25833</v>
      </c>
      <c r="H11581" t="s">
        <v>859</v>
      </c>
      <c r="I11581" t="s">
        <v>860</v>
      </c>
      <c r="J11581" t="str">
        <f>"9521212"</f>
        <v>9521212</v>
      </c>
      <c r="K11581">
        <v>2310759381</v>
      </c>
      <c r="L11581">
        <v>2310759381</v>
      </c>
      <c r="M11581" t="s">
        <v>29481</v>
      </c>
      <c r="N11581" t="s">
        <v>26010</v>
      </c>
      <c r="O11581" t="s">
        <v>28522</v>
      </c>
      <c r="P11581">
        <v>56224</v>
      </c>
      <c r="Q11581" t="str">
        <f>"40.667638"</f>
        <v>40.667638</v>
      </c>
      <c r="R11581" t="str">
        <f>"22.908185"</f>
        <v>22.908185</v>
      </c>
      <c r="S11581" t="s">
        <v>26</v>
      </c>
    </row>
    <row r="11582" spans="1:19" x14ac:dyDescent="0.3">
      <c r="A11582" t="s">
        <v>25190</v>
      </c>
      <c r="B11582" t="s">
        <v>28466</v>
      </c>
      <c r="C11582" t="s">
        <v>29482</v>
      </c>
      <c r="D11582" t="s">
        <v>25197</v>
      </c>
      <c r="E11582" t="s">
        <v>25826</v>
      </c>
      <c r="F11582" t="s">
        <v>25833</v>
      </c>
      <c r="G11582" t="s">
        <v>25833</v>
      </c>
      <c r="H11582" t="s">
        <v>859</v>
      </c>
      <c r="I11582" t="s">
        <v>860</v>
      </c>
      <c r="J11582" t="str">
        <f>"9521213"</f>
        <v>9521213</v>
      </c>
      <c r="K11582">
        <v>2310776810</v>
      </c>
      <c r="L11582">
        <v>2310776810</v>
      </c>
      <c r="M11582" t="s">
        <v>29483</v>
      </c>
      <c r="N11582" t="s">
        <v>25833</v>
      </c>
      <c r="O11582" t="s">
        <v>29484</v>
      </c>
      <c r="P11582">
        <v>56224</v>
      </c>
      <c r="Q11582" t="str">
        <f>"40.673835"</f>
        <v>40.673835</v>
      </c>
      <c r="R11582" t="str">
        <f>"22.905893"</f>
        <v>22.905893</v>
      </c>
      <c r="S11582" t="s">
        <v>26</v>
      </c>
    </row>
    <row r="11583" spans="1:19" x14ac:dyDescent="0.3">
      <c r="A11583" t="s">
        <v>25190</v>
      </c>
      <c r="B11583" t="s">
        <v>28466</v>
      </c>
      <c r="C11583" t="s">
        <v>29485</v>
      </c>
      <c r="D11583" t="s">
        <v>25197</v>
      </c>
      <c r="E11583" t="s">
        <v>25826</v>
      </c>
      <c r="F11583" t="s">
        <v>25833</v>
      </c>
      <c r="G11583" t="s">
        <v>25833</v>
      </c>
      <c r="H11583" t="s">
        <v>859</v>
      </c>
      <c r="I11583" t="s">
        <v>860</v>
      </c>
      <c r="J11583" t="str">
        <f>"9521214"</f>
        <v>9521214</v>
      </c>
      <c r="K11583">
        <v>2310704051</v>
      </c>
      <c r="L11583">
        <v>2310704051</v>
      </c>
      <c r="M11583" t="s">
        <v>29486</v>
      </c>
      <c r="N11583" t="s">
        <v>26010</v>
      </c>
      <c r="O11583" t="s">
        <v>29487</v>
      </c>
      <c r="P11583">
        <v>56224</v>
      </c>
      <c r="Q11583" t="str">
        <f>"40.662077"</f>
        <v>40.662077</v>
      </c>
      <c r="R11583" t="str">
        <f>"22.901396"</f>
        <v>22.901396</v>
      </c>
      <c r="S11583" t="s">
        <v>26</v>
      </c>
    </row>
    <row r="11584" spans="1:19" x14ac:dyDescent="0.3">
      <c r="A11584" t="s">
        <v>25190</v>
      </c>
      <c r="B11584" t="s">
        <v>28466</v>
      </c>
      <c r="C11584" t="s">
        <v>29488</v>
      </c>
      <c r="D11584" t="s">
        <v>25197</v>
      </c>
      <c r="E11584" t="s">
        <v>25826</v>
      </c>
      <c r="F11584" t="s">
        <v>25833</v>
      </c>
      <c r="G11584" t="s">
        <v>25833</v>
      </c>
      <c r="H11584" t="s">
        <v>859</v>
      </c>
      <c r="I11584" t="s">
        <v>860</v>
      </c>
      <c r="J11584" t="str">
        <f>"9521215"</f>
        <v>9521215</v>
      </c>
      <c r="K11584">
        <v>2310763310</v>
      </c>
      <c r="L11584">
        <v>2310763310</v>
      </c>
      <c r="M11584" t="s">
        <v>29489</v>
      </c>
      <c r="N11584" t="s">
        <v>25833</v>
      </c>
      <c r="O11584" t="s">
        <v>25981</v>
      </c>
      <c r="P11584">
        <v>56224</v>
      </c>
      <c r="Q11584" t="str">
        <f>"40.677106"</f>
        <v>40.677106</v>
      </c>
      <c r="R11584" t="str">
        <f>"22.910578"</f>
        <v>22.910578</v>
      </c>
      <c r="S11584" t="s">
        <v>26</v>
      </c>
    </row>
    <row r="11585" spans="1:19" x14ac:dyDescent="0.3">
      <c r="A11585" t="s">
        <v>25190</v>
      </c>
      <c r="B11585" t="s">
        <v>28466</v>
      </c>
      <c r="C11585" t="s">
        <v>29490</v>
      </c>
      <c r="D11585" t="s">
        <v>25197</v>
      </c>
      <c r="E11585" t="s">
        <v>25826</v>
      </c>
      <c r="F11585" t="s">
        <v>25833</v>
      </c>
      <c r="G11585" t="s">
        <v>25833</v>
      </c>
      <c r="H11585" t="s">
        <v>859</v>
      </c>
      <c r="I11585" t="s">
        <v>860</v>
      </c>
      <c r="J11585" t="str">
        <f>"9521216"</f>
        <v>9521216</v>
      </c>
      <c r="K11585">
        <v>2310763310</v>
      </c>
      <c r="L11585">
        <v>2310763310</v>
      </c>
      <c r="M11585" t="s">
        <v>29491</v>
      </c>
      <c r="N11585" t="s">
        <v>25833</v>
      </c>
      <c r="O11585" t="s">
        <v>25981</v>
      </c>
      <c r="P11585">
        <v>56224</v>
      </c>
      <c r="Q11585" t="str">
        <f>"40.677004"</f>
        <v>40.677004</v>
      </c>
      <c r="R11585" t="str">
        <f>"22.910603"</f>
        <v>22.910603</v>
      </c>
      <c r="S11585" t="s">
        <v>26</v>
      </c>
    </row>
    <row r="11586" spans="1:19" x14ac:dyDescent="0.3">
      <c r="A11586" t="s">
        <v>25190</v>
      </c>
      <c r="B11586" t="s">
        <v>28466</v>
      </c>
      <c r="C11586" t="s">
        <v>29492</v>
      </c>
      <c r="D11586" t="s">
        <v>25197</v>
      </c>
      <c r="E11586" t="s">
        <v>25815</v>
      </c>
      <c r="F11586" t="s">
        <v>25864</v>
      </c>
      <c r="G11586" t="s">
        <v>25864</v>
      </c>
      <c r="H11586" t="s">
        <v>859</v>
      </c>
      <c r="I11586" t="s">
        <v>860</v>
      </c>
      <c r="J11586" t="str">
        <f>"9190948"</f>
        <v>9190948</v>
      </c>
      <c r="K11586">
        <v>2391053593</v>
      </c>
      <c r="L11586">
        <v>2391053593</v>
      </c>
      <c r="M11586" t="s">
        <v>29493</v>
      </c>
      <c r="N11586" t="s">
        <v>25864</v>
      </c>
      <c r="O11586" t="s">
        <v>29494</v>
      </c>
      <c r="P11586">
        <v>57100</v>
      </c>
      <c r="Q11586" t="str">
        <f>"40.778725"</f>
        <v>40.778725</v>
      </c>
      <c r="R11586" t="str">
        <f>"22.576374"</f>
        <v>22.576374</v>
      </c>
      <c r="S11586" t="s">
        <v>26</v>
      </c>
    </row>
    <row r="11587" spans="1:19" x14ac:dyDescent="0.3">
      <c r="A11587" t="s">
        <v>25190</v>
      </c>
      <c r="B11587" t="s">
        <v>28466</v>
      </c>
      <c r="C11587" t="s">
        <v>29495</v>
      </c>
      <c r="D11587" t="s">
        <v>25197</v>
      </c>
      <c r="E11587" t="s">
        <v>25790</v>
      </c>
      <c r="F11587" t="s">
        <v>25851</v>
      </c>
      <c r="G11587" t="s">
        <v>26241</v>
      </c>
      <c r="H11587" t="s">
        <v>859</v>
      </c>
      <c r="I11587" t="s">
        <v>860</v>
      </c>
      <c r="J11587" t="str">
        <f>"9521217"</f>
        <v>9521217</v>
      </c>
      <c r="K11587">
        <v>2310788634</v>
      </c>
      <c r="L11587">
        <v>2310788634</v>
      </c>
      <c r="M11587" t="s">
        <v>29496</v>
      </c>
      <c r="N11587" t="s">
        <v>26312</v>
      </c>
      <c r="O11587" t="s">
        <v>29497</v>
      </c>
      <c r="P11587">
        <v>57008</v>
      </c>
      <c r="Q11587" t="str">
        <f>"40.684097"</f>
        <v>40.684097</v>
      </c>
      <c r="R11587" t="str">
        <f>"22.846301"</f>
        <v>22.846301</v>
      </c>
      <c r="S11587" t="s">
        <v>26</v>
      </c>
    </row>
    <row r="11588" spans="1:19" x14ac:dyDescent="0.3">
      <c r="A11588" t="s">
        <v>25190</v>
      </c>
      <c r="B11588" t="s">
        <v>28466</v>
      </c>
      <c r="C11588" t="s">
        <v>29498</v>
      </c>
      <c r="D11588" t="s">
        <v>25197</v>
      </c>
      <c r="E11588" t="s">
        <v>25790</v>
      </c>
      <c r="F11588" t="s">
        <v>25851</v>
      </c>
      <c r="G11588" t="s">
        <v>25852</v>
      </c>
      <c r="H11588" t="s">
        <v>859</v>
      </c>
      <c r="I11588" t="s">
        <v>860</v>
      </c>
      <c r="J11588" t="str">
        <f>"9521218"</f>
        <v>9521218</v>
      </c>
      <c r="K11588">
        <v>2310723080</v>
      </c>
      <c r="L11588">
        <v>2310723080</v>
      </c>
      <c r="M11588" t="s">
        <v>29499</v>
      </c>
      <c r="N11588" t="s">
        <v>25852</v>
      </c>
      <c r="O11588" t="s">
        <v>29500</v>
      </c>
      <c r="P11588">
        <v>57400</v>
      </c>
      <c r="Q11588" t="str">
        <f>"40.662145"</f>
        <v>40.662145</v>
      </c>
      <c r="R11588" t="str">
        <f>"22.800711"</f>
        <v>22.800711</v>
      </c>
      <c r="S11588" t="s">
        <v>26</v>
      </c>
    </row>
    <row r="11589" spans="1:19" x14ac:dyDescent="0.3">
      <c r="A11589" t="s">
        <v>25190</v>
      </c>
      <c r="B11589" t="s">
        <v>28466</v>
      </c>
      <c r="C11589" t="s">
        <v>29502</v>
      </c>
      <c r="D11589" t="s">
        <v>25197</v>
      </c>
      <c r="E11589" t="s">
        <v>25966</v>
      </c>
      <c r="F11589" t="s">
        <v>5563</v>
      </c>
      <c r="G11589" t="s">
        <v>29501</v>
      </c>
      <c r="H11589" t="s">
        <v>859</v>
      </c>
      <c r="I11589" t="s">
        <v>860</v>
      </c>
      <c r="J11589" t="str">
        <f>"9190814"</f>
        <v>9190814</v>
      </c>
      <c r="K11589">
        <v>2310786031</v>
      </c>
      <c r="L11589">
        <v>2310786031</v>
      </c>
      <c r="M11589" t="s">
        <v>29503</v>
      </c>
      <c r="N11589" t="s">
        <v>29504</v>
      </c>
      <c r="O11589" t="s">
        <v>29505</v>
      </c>
      <c r="P11589">
        <v>54500</v>
      </c>
      <c r="Q11589" t="str">
        <f>"40.803148"</f>
        <v>40.803148</v>
      </c>
      <c r="R11589" t="str">
        <f>"22.909048"</f>
        <v>22.909048</v>
      </c>
      <c r="S11589" t="s">
        <v>26</v>
      </c>
    </row>
    <row r="11590" spans="1:19" x14ac:dyDescent="0.3">
      <c r="A11590" t="s">
        <v>25190</v>
      </c>
      <c r="B11590" t="s">
        <v>28466</v>
      </c>
      <c r="C11590" t="s">
        <v>29506</v>
      </c>
      <c r="D11590" t="s">
        <v>25197</v>
      </c>
      <c r="E11590" t="s">
        <v>25815</v>
      </c>
      <c r="F11590" t="s">
        <v>60</v>
      </c>
      <c r="G11590" t="s">
        <v>25914</v>
      </c>
      <c r="H11590" t="s">
        <v>859</v>
      </c>
      <c r="I11590" t="s">
        <v>860</v>
      </c>
      <c r="J11590" t="str">
        <f>"9190928"</f>
        <v>9190928</v>
      </c>
      <c r="K11590">
        <v>2310714086</v>
      </c>
      <c r="L11590">
        <v>2310714086</v>
      </c>
      <c r="M11590" t="s">
        <v>29507</v>
      </c>
      <c r="N11590" t="s">
        <v>25914</v>
      </c>
      <c r="O11590" t="s">
        <v>28559</v>
      </c>
      <c r="P11590">
        <v>57011</v>
      </c>
      <c r="Q11590" t="str">
        <f>"40.752517"</f>
        <v>40.752517</v>
      </c>
      <c r="R11590" t="str">
        <f>"22.770323"</f>
        <v>22.770323</v>
      </c>
      <c r="S11590" t="s">
        <v>26</v>
      </c>
    </row>
    <row r="11591" spans="1:19" x14ac:dyDescent="0.3">
      <c r="A11591" t="s">
        <v>25190</v>
      </c>
      <c r="B11591" t="s">
        <v>28466</v>
      </c>
      <c r="C11591" t="s">
        <v>29508</v>
      </c>
      <c r="D11591" t="s">
        <v>25197</v>
      </c>
      <c r="E11591" t="s">
        <v>25966</v>
      </c>
      <c r="F11591" t="s">
        <v>25966</v>
      </c>
      <c r="G11591" t="s">
        <v>25966</v>
      </c>
      <c r="H11591" t="s">
        <v>859</v>
      </c>
      <c r="I11591" t="s">
        <v>860</v>
      </c>
      <c r="J11591" t="str">
        <f>"9521111"</f>
        <v>9521111</v>
      </c>
      <c r="K11591">
        <v>2310809070</v>
      </c>
      <c r="L11591">
        <v>2310809070</v>
      </c>
      <c r="M11591" t="s">
        <v>29509</v>
      </c>
      <c r="N11591" t="s">
        <v>25966</v>
      </c>
      <c r="O11591" t="s">
        <v>29510</v>
      </c>
      <c r="P11591">
        <v>57013</v>
      </c>
      <c r="Q11591" t="str">
        <f>"40.727436"</f>
        <v>40.727436</v>
      </c>
      <c r="R11591" t="str">
        <f>"22.917370"</f>
        <v>22.917370</v>
      </c>
      <c r="S11591" t="s">
        <v>26</v>
      </c>
    </row>
    <row r="11592" spans="1:19" x14ac:dyDescent="0.3">
      <c r="A11592" t="s">
        <v>25190</v>
      </c>
      <c r="B11592" t="s">
        <v>28466</v>
      </c>
      <c r="C11592" t="s">
        <v>29511</v>
      </c>
      <c r="D11592" t="s">
        <v>25197</v>
      </c>
      <c r="E11592" t="s">
        <v>25203</v>
      </c>
      <c r="F11592" t="s">
        <v>25878</v>
      </c>
      <c r="G11592" t="s">
        <v>25878</v>
      </c>
      <c r="H11592" t="s">
        <v>859</v>
      </c>
      <c r="I11592" t="s">
        <v>1102</v>
      </c>
      <c r="J11592" t="str">
        <f>"9521024"</f>
        <v>9521024</v>
      </c>
      <c r="K11592">
        <v>2316021461</v>
      </c>
      <c r="L11592">
        <v>2310683863</v>
      </c>
      <c r="M11592" t="s">
        <v>29464</v>
      </c>
      <c r="N11592" t="s">
        <v>25881</v>
      </c>
      <c r="O11592" t="s">
        <v>29448</v>
      </c>
      <c r="P11592">
        <v>56429</v>
      </c>
      <c r="Q11592" t="str">
        <f>"40.667638"</f>
        <v>40.667638</v>
      </c>
      <c r="R11592" t="str">
        <f>"22.943759"</f>
        <v>22.943759</v>
      </c>
      <c r="S11592" t="s">
        <v>26</v>
      </c>
    </row>
    <row r="11593" spans="1:19" x14ac:dyDescent="0.3">
      <c r="A11593" t="s">
        <v>25190</v>
      </c>
      <c r="B11593" t="s">
        <v>28466</v>
      </c>
      <c r="C11593" t="s">
        <v>29512</v>
      </c>
      <c r="D11593" t="s">
        <v>25197</v>
      </c>
      <c r="E11593" t="s">
        <v>25203</v>
      </c>
      <c r="F11593" t="s">
        <v>25784</v>
      </c>
      <c r="G11593" t="s">
        <v>25784</v>
      </c>
      <c r="H11593" t="s">
        <v>859</v>
      </c>
      <c r="I11593" t="s">
        <v>860</v>
      </c>
      <c r="J11593" t="str">
        <f>"9521243"</f>
        <v>9521243</v>
      </c>
      <c r="K11593">
        <v>2310643430</v>
      </c>
      <c r="L11593">
        <v>2310643430</v>
      </c>
      <c r="M11593" t="s">
        <v>29513</v>
      </c>
      <c r="N11593" t="s">
        <v>25784</v>
      </c>
      <c r="O11593" t="s">
        <v>29396</v>
      </c>
      <c r="P11593">
        <v>56532</v>
      </c>
      <c r="Q11593" t="str">
        <f>"40.666337"</f>
        <v>40.666337</v>
      </c>
      <c r="R11593" t="str">
        <f>"22.951342"</f>
        <v>22.951342</v>
      </c>
      <c r="S11593" t="s">
        <v>26</v>
      </c>
    </row>
    <row r="11594" spans="1:19" x14ac:dyDescent="0.3">
      <c r="A11594" t="s">
        <v>25190</v>
      </c>
      <c r="B11594" t="s">
        <v>28466</v>
      </c>
      <c r="C11594" t="s">
        <v>29514</v>
      </c>
      <c r="D11594" t="s">
        <v>25197</v>
      </c>
      <c r="E11594" t="s">
        <v>25203</v>
      </c>
      <c r="F11594" t="s">
        <v>25784</v>
      </c>
      <c r="G11594" t="s">
        <v>25784</v>
      </c>
      <c r="H11594" t="s">
        <v>859</v>
      </c>
      <c r="I11594" t="s">
        <v>860</v>
      </c>
      <c r="J11594" t="str">
        <f>"9521244"</f>
        <v>9521244</v>
      </c>
      <c r="K11594">
        <v>2310630114</v>
      </c>
      <c r="L11594">
        <v>2310621853</v>
      </c>
      <c r="M11594" t="s">
        <v>29515</v>
      </c>
      <c r="N11594" t="s">
        <v>25784</v>
      </c>
      <c r="O11594" t="s">
        <v>29516</v>
      </c>
      <c r="P11594">
        <v>56532</v>
      </c>
      <c r="Q11594" t="str">
        <f>"40.662229"</f>
        <v>40.662229</v>
      </c>
      <c r="R11594" t="str">
        <f>"22.964962"</f>
        <v>22.964962</v>
      </c>
      <c r="S11594" t="s">
        <v>26</v>
      </c>
    </row>
    <row r="11595" spans="1:19" x14ac:dyDescent="0.3">
      <c r="A11595" t="s">
        <v>25190</v>
      </c>
      <c r="B11595" t="s">
        <v>28466</v>
      </c>
      <c r="C11595" t="s">
        <v>29519</v>
      </c>
      <c r="D11595" t="s">
        <v>25197</v>
      </c>
      <c r="E11595" t="s">
        <v>25826</v>
      </c>
      <c r="F11595" t="s">
        <v>25827</v>
      </c>
      <c r="G11595" t="s">
        <v>25827</v>
      </c>
      <c r="H11595" t="s">
        <v>859</v>
      </c>
      <c r="I11595" t="s">
        <v>860</v>
      </c>
      <c r="J11595" t="str">
        <f>"9521323"</f>
        <v>9521323</v>
      </c>
      <c r="K11595">
        <v>2310707176</v>
      </c>
      <c r="L11595">
        <v>2310707176</v>
      </c>
      <c r="M11595" t="s">
        <v>29520</v>
      </c>
      <c r="N11595" t="s">
        <v>25827</v>
      </c>
      <c r="O11595" t="s">
        <v>29521</v>
      </c>
      <c r="P11595">
        <v>56334</v>
      </c>
      <c r="Q11595" t="str">
        <f>"40.665994"</f>
        <v>40.665994</v>
      </c>
      <c r="R11595" t="str">
        <f>"22.898089"</f>
        <v>22.898089</v>
      </c>
      <c r="S11595" t="s">
        <v>26</v>
      </c>
    </row>
    <row r="11596" spans="1:19" x14ac:dyDescent="0.3">
      <c r="A11596" t="s">
        <v>25190</v>
      </c>
      <c r="B11596" t="s">
        <v>28466</v>
      </c>
      <c r="C11596" t="s">
        <v>29522</v>
      </c>
      <c r="D11596" t="s">
        <v>25197</v>
      </c>
      <c r="E11596" t="s">
        <v>25203</v>
      </c>
      <c r="F11596" t="s">
        <v>25878</v>
      </c>
      <c r="G11596" t="s">
        <v>25878</v>
      </c>
      <c r="H11596" t="s">
        <v>859</v>
      </c>
      <c r="I11596" t="s">
        <v>860</v>
      </c>
      <c r="J11596" t="str">
        <f>"9521311"</f>
        <v>9521311</v>
      </c>
      <c r="K11596">
        <v>2310685507</v>
      </c>
      <c r="L11596">
        <v>2310685507</v>
      </c>
      <c r="M11596" t="s">
        <v>29523</v>
      </c>
      <c r="N11596" t="s">
        <v>25878</v>
      </c>
      <c r="O11596" t="s">
        <v>29524</v>
      </c>
      <c r="P11596">
        <v>56429</v>
      </c>
      <c r="Q11596" t="str">
        <f>"40.683032"</f>
        <v>40.683032</v>
      </c>
      <c r="R11596" t="str">
        <f>"22.954235"</f>
        <v>22.954235</v>
      </c>
      <c r="S11596" t="s">
        <v>26</v>
      </c>
    </row>
    <row r="11597" spans="1:19" x14ac:dyDescent="0.3">
      <c r="A11597" t="s">
        <v>25190</v>
      </c>
      <c r="B11597" t="s">
        <v>28466</v>
      </c>
      <c r="C11597" t="s">
        <v>29525</v>
      </c>
      <c r="D11597" t="s">
        <v>25197</v>
      </c>
      <c r="E11597" t="s">
        <v>25889</v>
      </c>
      <c r="F11597" t="s">
        <v>26080</v>
      </c>
      <c r="G11597" t="s">
        <v>26080</v>
      </c>
      <c r="H11597" t="s">
        <v>859</v>
      </c>
      <c r="I11597" t="s">
        <v>860</v>
      </c>
      <c r="J11597" t="str">
        <f>"9521312"</f>
        <v>9521312</v>
      </c>
      <c r="K11597">
        <v>2310582250</v>
      </c>
      <c r="L11597">
        <v>2310582250</v>
      </c>
      <c r="M11597" t="s">
        <v>29526</v>
      </c>
      <c r="N11597" t="s">
        <v>26080</v>
      </c>
      <c r="O11597" t="s">
        <v>29527</v>
      </c>
      <c r="P11597">
        <v>57010</v>
      </c>
      <c r="Q11597" t="str">
        <f>"40.658154"</f>
        <v>40.658154</v>
      </c>
      <c r="R11597" t="str">
        <f>"22.990783"</f>
        <v>22.990783</v>
      </c>
      <c r="S11597" t="s">
        <v>26</v>
      </c>
    </row>
    <row r="11598" spans="1:19" x14ac:dyDescent="0.3">
      <c r="A11598" t="s">
        <v>25190</v>
      </c>
      <c r="B11598" t="s">
        <v>28466</v>
      </c>
      <c r="C11598" t="s">
        <v>29537</v>
      </c>
      <c r="D11598" t="s">
        <v>25197</v>
      </c>
      <c r="E11598" t="s">
        <v>25790</v>
      </c>
      <c r="F11598" t="s">
        <v>25896</v>
      </c>
      <c r="G11598" t="s">
        <v>17625</v>
      </c>
      <c r="H11598" t="s">
        <v>859</v>
      </c>
      <c r="I11598" t="s">
        <v>860</v>
      </c>
      <c r="J11598" t="str">
        <f>"9190697"</f>
        <v>9190697</v>
      </c>
      <c r="K11598">
        <v>2310718261</v>
      </c>
      <c r="L11598">
        <v>2310718261</v>
      </c>
      <c r="M11598" t="s">
        <v>29538</v>
      </c>
      <c r="N11598" t="s">
        <v>17625</v>
      </c>
      <c r="O11598" t="s">
        <v>18130</v>
      </c>
      <c r="P11598">
        <v>57300</v>
      </c>
      <c r="Q11598" t="str">
        <f>"40.662037"</f>
        <v>40.662037</v>
      </c>
      <c r="R11598" t="str">
        <f>"22.711651"</f>
        <v>22.711651</v>
      </c>
      <c r="S11598" t="s">
        <v>26</v>
      </c>
    </row>
    <row r="11599" spans="1:19" x14ac:dyDescent="0.3">
      <c r="A11599" t="s">
        <v>25190</v>
      </c>
      <c r="B11599" t="s">
        <v>28466</v>
      </c>
      <c r="C11599" t="s">
        <v>29539</v>
      </c>
      <c r="D11599" t="s">
        <v>25197</v>
      </c>
      <c r="E11599" t="s">
        <v>25815</v>
      </c>
      <c r="F11599" t="s">
        <v>60</v>
      </c>
      <c r="G11599" t="s">
        <v>26100</v>
      </c>
      <c r="H11599" t="s">
        <v>859</v>
      </c>
      <c r="I11599" t="s">
        <v>860</v>
      </c>
      <c r="J11599" t="str">
        <f>"9521327"</f>
        <v>9521327</v>
      </c>
      <c r="K11599">
        <v>2310719798</v>
      </c>
      <c r="L11599">
        <v>2310719798</v>
      </c>
      <c r="M11599" t="s">
        <v>29540</v>
      </c>
      <c r="N11599" t="s">
        <v>29324</v>
      </c>
      <c r="O11599" t="s">
        <v>29197</v>
      </c>
      <c r="P11599">
        <v>57011</v>
      </c>
      <c r="Q11599" t="str">
        <f>"40.770271"</f>
        <v>40.770271</v>
      </c>
      <c r="R11599" t="str">
        <f>"22.708366"</f>
        <v>22.708366</v>
      </c>
      <c r="S11599" t="s">
        <v>26</v>
      </c>
    </row>
    <row r="11600" spans="1:19" x14ac:dyDescent="0.3">
      <c r="A11600" t="s">
        <v>25190</v>
      </c>
      <c r="B11600" t="s">
        <v>28466</v>
      </c>
      <c r="C11600" t="s">
        <v>29541</v>
      </c>
      <c r="D11600" t="s">
        <v>25197</v>
      </c>
      <c r="E11600" t="s">
        <v>25966</v>
      </c>
      <c r="F11600" t="s">
        <v>5563</v>
      </c>
      <c r="G11600" t="s">
        <v>15257</v>
      </c>
      <c r="H11600" t="s">
        <v>859</v>
      </c>
      <c r="I11600" t="s">
        <v>860</v>
      </c>
      <c r="J11600" t="str">
        <f>"9521328"</f>
        <v>9521328</v>
      </c>
      <c r="K11600">
        <v>2310787842</v>
      </c>
      <c r="L11600">
        <v>2310787859</v>
      </c>
      <c r="M11600" t="s">
        <v>29542</v>
      </c>
      <c r="N11600" t="s">
        <v>15257</v>
      </c>
      <c r="O11600" t="s">
        <v>15374</v>
      </c>
      <c r="P11600">
        <v>54500</v>
      </c>
      <c r="Q11600" t="str">
        <f>"40.744633"</f>
        <v>40.744633</v>
      </c>
      <c r="R11600" t="str">
        <f>"22.856039"</f>
        <v>22.856039</v>
      </c>
      <c r="S11600" t="s">
        <v>26</v>
      </c>
    </row>
    <row r="11601" spans="1:19" x14ac:dyDescent="0.3">
      <c r="A11601" t="s">
        <v>25190</v>
      </c>
      <c r="B11601" t="s">
        <v>28466</v>
      </c>
      <c r="C11601" t="s">
        <v>29545</v>
      </c>
      <c r="D11601" t="s">
        <v>25197</v>
      </c>
      <c r="E11601" t="s">
        <v>25966</v>
      </c>
      <c r="F11601" t="s">
        <v>26056</v>
      </c>
      <c r="G11601" t="s">
        <v>28954</v>
      </c>
      <c r="H11601" t="s">
        <v>859</v>
      </c>
      <c r="I11601" t="s">
        <v>860</v>
      </c>
      <c r="J11601" t="str">
        <f>"9521330"</f>
        <v>9521330</v>
      </c>
      <c r="K11601">
        <v>2394073026</v>
      </c>
      <c r="L11601">
        <v>2394073026</v>
      </c>
      <c r="M11601" t="s">
        <v>29546</v>
      </c>
      <c r="N11601" t="s">
        <v>28954</v>
      </c>
      <c r="O11601" t="s">
        <v>29547</v>
      </c>
      <c r="P11601">
        <v>57200</v>
      </c>
      <c r="Q11601" t="str">
        <f>"40.743945"</f>
        <v>40.743945</v>
      </c>
      <c r="R11601" t="str">
        <f>"22.975138"</f>
        <v>22.975138</v>
      </c>
      <c r="S11601" t="s">
        <v>26</v>
      </c>
    </row>
    <row r="11602" spans="1:19" x14ac:dyDescent="0.3">
      <c r="A11602" t="s">
        <v>25190</v>
      </c>
      <c r="B11602" t="s">
        <v>28466</v>
      </c>
      <c r="C11602" t="s">
        <v>29548</v>
      </c>
      <c r="D11602" t="s">
        <v>25197</v>
      </c>
      <c r="E11602" t="s">
        <v>25966</v>
      </c>
      <c r="F11602" t="s">
        <v>26056</v>
      </c>
      <c r="G11602" t="s">
        <v>22434</v>
      </c>
      <c r="H11602" t="s">
        <v>859</v>
      </c>
      <c r="I11602" t="s">
        <v>860</v>
      </c>
      <c r="J11602" t="str">
        <f>"9521329"</f>
        <v>9521329</v>
      </c>
      <c r="K11602">
        <v>2394033102</v>
      </c>
      <c r="L11602">
        <v>2394033102</v>
      </c>
      <c r="M11602" t="s">
        <v>29549</v>
      </c>
      <c r="N11602" t="s">
        <v>22434</v>
      </c>
      <c r="O11602" t="s">
        <v>29550</v>
      </c>
      <c r="P11602">
        <v>57018</v>
      </c>
      <c r="Q11602" t="str">
        <f>"40.760425"</f>
        <v>40.760425</v>
      </c>
      <c r="R11602" t="str">
        <f>"22.941626"</f>
        <v>22.941626</v>
      </c>
      <c r="S11602" t="s">
        <v>26</v>
      </c>
    </row>
    <row r="11603" spans="1:19" x14ac:dyDescent="0.3">
      <c r="A11603" t="s">
        <v>25190</v>
      </c>
      <c r="B11603" t="s">
        <v>28466</v>
      </c>
      <c r="C11603" t="s">
        <v>29554</v>
      </c>
      <c r="D11603" t="s">
        <v>25197</v>
      </c>
      <c r="E11603" t="s">
        <v>25826</v>
      </c>
      <c r="F11603" t="s">
        <v>25833</v>
      </c>
      <c r="G11603" t="s">
        <v>25833</v>
      </c>
      <c r="H11603" t="s">
        <v>859</v>
      </c>
      <c r="I11603" t="s">
        <v>860</v>
      </c>
      <c r="J11603" t="str">
        <f>"9521403"</f>
        <v>9521403</v>
      </c>
      <c r="K11603">
        <v>2310559858</v>
      </c>
      <c r="M11603" t="s">
        <v>29555</v>
      </c>
      <c r="N11603" t="s">
        <v>25833</v>
      </c>
      <c r="O11603" t="s">
        <v>29556</v>
      </c>
      <c r="P11603">
        <v>56226</v>
      </c>
      <c r="Q11603" t="str">
        <f>"40.676328"</f>
        <v>40.676328</v>
      </c>
      <c r="R11603" t="str">
        <f>"22.917023"</f>
        <v>22.917023</v>
      </c>
      <c r="S11603" t="s">
        <v>26</v>
      </c>
    </row>
    <row r="11604" spans="1:19" x14ac:dyDescent="0.3">
      <c r="A11604" t="s">
        <v>25190</v>
      </c>
      <c r="B11604" t="s">
        <v>28466</v>
      </c>
      <c r="C11604" t="s">
        <v>29557</v>
      </c>
      <c r="D11604" t="s">
        <v>25197</v>
      </c>
      <c r="E11604" t="s">
        <v>25826</v>
      </c>
      <c r="F11604" t="s">
        <v>25833</v>
      </c>
      <c r="G11604" t="s">
        <v>25833</v>
      </c>
      <c r="H11604" t="s">
        <v>859</v>
      </c>
      <c r="I11604" t="s">
        <v>860</v>
      </c>
      <c r="J11604" t="str">
        <f>"9521404"</f>
        <v>9521404</v>
      </c>
      <c r="K11604">
        <v>2310666756</v>
      </c>
      <c r="L11604">
        <v>2310666756</v>
      </c>
      <c r="M11604" t="s">
        <v>29558</v>
      </c>
      <c r="N11604" t="s">
        <v>25833</v>
      </c>
      <c r="O11604" t="s">
        <v>29559</v>
      </c>
      <c r="P11604">
        <v>56224</v>
      </c>
      <c r="Q11604" t="str">
        <f>"40.669184"</f>
        <v>40.669184</v>
      </c>
      <c r="R11604" t="str">
        <f>"22.924836"</f>
        <v>22.924836</v>
      </c>
      <c r="S11604" t="s">
        <v>26</v>
      </c>
    </row>
    <row r="11605" spans="1:19" x14ac:dyDescent="0.3">
      <c r="A11605" t="s">
        <v>25190</v>
      </c>
      <c r="B11605" t="s">
        <v>28466</v>
      </c>
      <c r="C11605" t="s">
        <v>29560</v>
      </c>
      <c r="D11605" t="s">
        <v>25197</v>
      </c>
      <c r="E11605" t="s">
        <v>25790</v>
      </c>
      <c r="F11605" t="s">
        <v>25851</v>
      </c>
      <c r="G11605" t="s">
        <v>25852</v>
      </c>
      <c r="H11605" t="s">
        <v>859</v>
      </c>
      <c r="I11605" t="s">
        <v>860</v>
      </c>
      <c r="J11605" t="str">
        <f>"9521326"</f>
        <v>9521326</v>
      </c>
      <c r="K11605">
        <v>2316015571</v>
      </c>
      <c r="M11605" t="s">
        <v>29561</v>
      </c>
      <c r="N11605" t="s">
        <v>25855</v>
      </c>
      <c r="O11605" t="s">
        <v>29562</v>
      </c>
      <c r="P11605">
        <v>57400</v>
      </c>
      <c r="Q11605" t="str">
        <f>"40.669200"</f>
        <v>40.669200</v>
      </c>
      <c r="R11605" t="str">
        <f>"22.809727"</f>
        <v>22.809727</v>
      </c>
      <c r="S11605" t="s">
        <v>26</v>
      </c>
    </row>
    <row r="11606" spans="1:19" x14ac:dyDescent="0.3">
      <c r="A11606" t="s">
        <v>25190</v>
      </c>
      <c r="B11606" t="s">
        <v>28466</v>
      </c>
      <c r="C11606" t="s">
        <v>29566</v>
      </c>
      <c r="D11606" t="s">
        <v>25197</v>
      </c>
      <c r="E11606" t="s">
        <v>25203</v>
      </c>
      <c r="F11606" t="s">
        <v>595</v>
      </c>
      <c r="G11606" t="s">
        <v>595</v>
      </c>
      <c r="H11606" t="s">
        <v>859</v>
      </c>
      <c r="I11606" t="s">
        <v>860</v>
      </c>
      <c r="J11606" t="str">
        <f>"9521453"</f>
        <v>9521453</v>
      </c>
      <c r="K11606">
        <v>2310682915</v>
      </c>
      <c r="L11606">
        <v>2310682915</v>
      </c>
      <c r="M11606" t="s">
        <v>29567</v>
      </c>
      <c r="N11606" t="s">
        <v>594</v>
      </c>
      <c r="O11606" t="s">
        <v>29568</v>
      </c>
      <c r="P11606">
        <v>56430</v>
      </c>
      <c r="Q11606" t="str">
        <f>"40.683328"</f>
        <v>40.683328</v>
      </c>
      <c r="R11606" t="str">
        <f>"22.931725"</f>
        <v>22.931725</v>
      </c>
      <c r="S11606" t="s">
        <v>26</v>
      </c>
    </row>
    <row r="11607" spans="1:19" x14ac:dyDescent="0.3">
      <c r="A11607" t="s">
        <v>25190</v>
      </c>
      <c r="B11607" t="s">
        <v>28466</v>
      </c>
      <c r="C11607" t="s">
        <v>29569</v>
      </c>
      <c r="D11607" t="s">
        <v>25197</v>
      </c>
      <c r="E11607" t="s">
        <v>25966</v>
      </c>
      <c r="F11607" t="s">
        <v>25966</v>
      </c>
      <c r="G11607" t="s">
        <v>25966</v>
      </c>
      <c r="H11607" t="s">
        <v>859</v>
      </c>
      <c r="I11607" t="s">
        <v>860</v>
      </c>
      <c r="J11607" t="str">
        <f>"9521454"</f>
        <v>9521454</v>
      </c>
      <c r="K11607">
        <v>2310695389</v>
      </c>
      <c r="L11607">
        <v>2310695389</v>
      </c>
      <c r="M11607" t="s">
        <v>29570</v>
      </c>
      <c r="N11607" t="s">
        <v>25966</v>
      </c>
      <c r="O11607" t="s">
        <v>29571</v>
      </c>
      <c r="P11607">
        <v>57013</v>
      </c>
      <c r="Q11607" t="str">
        <f>"40.709064"</f>
        <v>40.709064</v>
      </c>
      <c r="R11607" t="str">
        <f>"22.929299"</f>
        <v>22.929299</v>
      </c>
      <c r="S11607" t="s">
        <v>26</v>
      </c>
    </row>
    <row r="11608" spans="1:19" x14ac:dyDescent="0.3">
      <c r="A11608" t="s">
        <v>25190</v>
      </c>
      <c r="B11608" t="s">
        <v>28466</v>
      </c>
      <c r="C11608" t="s">
        <v>29572</v>
      </c>
      <c r="D11608" t="s">
        <v>25197</v>
      </c>
      <c r="E11608" t="s">
        <v>25889</v>
      </c>
      <c r="F11608" t="s">
        <v>25890</v>
      </c>
      <c r="G11608" t="s">
        <v>25890</v>
      </c>
      <c r="H11608" t="s">
        <v>859</v>
      </c>
      <c r="I11608" t="s">
        <v>860</v>
      </c>
      <c r="J11608" t="str">
        <f>"9190091"</f>
        <v>9190091</v>
      </c>
      <c r="K11608">
        <v>2310619037</v>
      </c>
      <c r="L11608">
        <v>2310619037</v>
      </c>
      <c r="M11608" t="s">
        <v>29573</v>
      </c>
      <c r="N11608" t="s">
        <v>11666</v>
      </c>
      <c r="O11608" t="s">
        <v>28797</v>
      </c>
      <c r="P11608">
        <v>56728</v>
      </c>
      <c r="Q11608" t="str">
        <f>"40.653152"</f>
        <v>40.653152</v>
      </c>
      <c r="R11608" t="str">
        <f>"22.945393"</f>
        <v>22.945393</v>
      </c>
      <c r="S11608" t="s">
        <v>26</v>
      </c>
    </row>
    <row r="11609" spans="1:19" x14ac:dyDescent="0.3">
      <c r="A11609" t="s">
        <v>25190</v>
      </c>
      <c r="B11609" t="s">
        <v>28466</v>
      </c>
      <c r="C11609" t="s">
        <v>29574</v>
      </c>
      <c r="D11609" t="s">
        <v>25197</v>
      </c>
      <c r="E11609" t="s">
        <v>25889</v>
      </c>
      <c r="F11609" t="s">
        <v>25890</v>
      </c>
      <c r="G11609" t="s">
        <v>25890</v>
      </c>
      <c r="H11609" t="s">
        <v>859</v>
      </c>
      <c r="I11609" t="s">
        <v>860</v>
      </c>
      <c r="J11609" t="str">
        <f>"9190092"</f>
        <v>9190092</v>
      </c>
      <c r="K11609">
        <v>2310619037</v>
      </c>
      <c r="L11609">
        <v>2310619037</v>
      </c>
      <c r="M11609" t="s">
        <v>29575</v>
      </c>
      <c r="N11609" t="s">
        <v>11666</v>
      </c>
      <c r="O11609" t="s">
        <v>28797</v>
      </c>
      <c r="P11609">
        <v>56728</v>
      </c>
      <c r="Q11609" t="str">
        <f>"40.653152"</f>
        <v>40.653152</v>
      </c>
      <c r="R11609" t="str">
        <f>"22.945393"</f>
        <v>22.945393</v>
      </c>
      <c r="S11609" t="s">
        <v>26</v>
      </c>
    </row>
    <row r="11610" spans="1:19" x14ac:dyDescent="0.3">
      <c r="A11610" t="s">
        <v>25190</v>
      </c>
      <c r="B11610" t="s">
        <v>28466</v>
      </c>
      <c r="C11610" t="s">
        <v>29576</v>
      </c>
      <c r="D11610" t="s">
        <v>25197</v>
      </c>
      <c r="E11610" t="s">
        <v>25889</v>
      </c>
      <c r="F11610" t="s">
        <v>25890</v>
      </c>
      <c r="G11610" t="s">
        <v>25890</v>
      </c>
      <c r="H11610" t="s">
        <v>859</v>
      </c>
      <c r="I11610" t="s">
        <v>860</v>
      </c>
      <c r="J11610" t="str">
        <f>"9190093"</f>
        <v>9190093</v>
      </c>
      <c r="K11610">
        <v>2310522054</v>
      </c>
      <c r="L11610">
        <v>2310522054</v>
      </c>
      <c r="M11610" t="s">
        <v>29577</v>
      </c>
      <c r="N11610" t="s">
        <v>11666</v>
      </c>
      <c r="O11610" t="s">
        <v>28897</v>
      </c>
      <c r="P11610">
        <v>56727</v>
      </c>
      <c r="Q11610" t="str">
        <f>"40.654906"</f>
        <v>40.654906</v>
      </c>
      <c r="R11610" t="str">
        <f>"22.934893"</f>
        <v>22.934893</v>
      </c>
      <c r="S11610" t="s">
        <v>26</v>
      </c>
    </row>
    <row r="11611" spans="1:19" x14ac:dyDescent="0.3">
      <c r="A11611" t="s">
        <v>25190</v>
      </c>
      <c r="B11611" t="s">
        <v>28466</v>
      </c>
      <c r="C11611" t="s">
        <v>29581</v>
      </c>
      <c r="D11611" t="s">
        <v>25197</v>
      </c>
      <c r="E11611" t="s">
        <v>25889</v>
      </c>
      <c r="F11611" t="s">
        <v>25924</v>
      </c>
      <c r="G11611" t="s">
        <v>25924</v>
      </c>
      <c r="H11611" t="s">
        <v>859</v>
      </c>
      <c r="I11611" t="s">
        <v>860</v>
      </c>
      <c r="J11611" t="str">
        <f>"9521449"</f>
        <v>9521449</v>
      </c>
      <c r="K11611">
        <v>2310626286</v>
      </c>
      <c r="L11611">
        <v>2310626286</v>
      </c>
      <c r="M11611" t="s">
        <v>29582</v>
      </c>
      <c r="N11611" t="s">
        <v>25924</v>
      </c>
      <c r="O11611" t="s">
        <v>29583</v>
      </c>
      <c r="P11611">
        <v>56626</v>
      </c>
      <c r="Q11611" t="str">
        <f>"40.650127"</f>
        <v>40.650127</v>
      </c>
      <c r="R11611" t="str">
        <f>"22.956914"</f>
        <v>22.956914</v>
      </c>
      <c r="S11611" t="s">
        <v>26</v>
      </c>
    </row>
    <row r="11612" spans="1:19" x14ac:dyDescent="0.3">
      <c r="A11612" t="s">
        <v>25190</v>
      </c>
      <c r="B11612" t="s">
        <v>28466</v>
      </c>
      <c r="C11612" t="s">
        <v>29584</v>
      </c>
      <c r="D11612" t="s">
        <v>25197</v>
      </c>
      <c r="E11612" t="s">
        <v>25889</v>
      </c>
      <c r="F11612" t="s">
        <v>25924</v>
      </c>
      <c r="G11612" t="s">
        <v>25924</v>
      </c>
      <c r="H11612" t="s">
        <v>859</v>
      </c>
      <c r="I11612" t="s">
        <v>860</v>
      </c>
      <c r="J11612" t="str">
        <f>"9521450"</f>
        <v>9521450</v>
      </c>
      <c r="K11612">
        <v>2310627893</v>
      </c>
      <c r="L11612">
        <v>2310627893</v>
      </c>
      <c r="M11612" t="s">
        <v>29585</v>
      </c>
      <c r="N11612" t="s">
        <v>25924</v>
      </c>
      <c r="O11612" t="s">
        <v>29586</v>
      </c>
      <c r="P11612">
        <v>56626</v>
      </c>
      <c r="Q11612" t="str">
        <f>"40.652547"</f>
        <v>40.652547</v>
      </c>
      <c r="R11612" t="str">
        <f>"22.953215"</f>
        <v>22.953215</v>
      </c>
      <c r="S11612" t="s">
        <v>26</v>
      </c>
    </row>
    <row r="11613" spans="1:19" x14ac:dyDescent="0.3">
      <c r="A11613" t="s">
        <v>25190</v>
      </c>
      <c r="B11613" t="s">
        <v>28466</v>
      </c>
      <c r="C11613" t="s">
        <v>29590</v>
      </c>
      <c r="D11613" t="s">
        <v>25197</v>
      </c>
      <c r="E11613" t="s">
        <v>13689</v>
      </c>
      <c r="F11613" t="s">
        <v>13689</v>
      </c>
      <c r="G11613" t="s">
        <v>28720</v>
      </c>
      <c r="H11613" t="s">
        <v>859</v>
      </c>
      <c r="I11613" t="s">
        <v>860</v>
      </c>
      <c r="J11613" t="str">
        <f>"9521720"</f>
        <v>9521720</v>
      </c>
      <c r="K11613">
        <v>2394052734</v>
      </c>
      <c r="L11613">
        <v>2394052734</v>
      </c>
      <c r="M11613" t="s">
        <v>29591</v>
      </c>
      <c r="N11613" t="s">
        <v>28832</v>
      </c>
      <c r="O11613" t="s">
        <v>28723</v>
      </c>
      <c r="P11613">
        <v>57200</v>
      </c>
      <c r="Q11613" t="str">
        <f>"40.717460"</f>
        <v>40.717460</v>
      </c>
      <c r="R11613" t="str">
        <f>"23.044765"</f>
        <v>23.044765</v>
      </c>
      <c r="S11613" t="s">
        <v>26</v>
      </c>
    </row>
    <row r="11614" spans="1:19" x14ac:dyDescent="0.3">
      <c r="A11614" t="s">
        <v>25190</v>
      </c>
      <c r="B11614" t="s">
        <v>28466</v>
      </c>
      <c r="C11614" t="s">
        <v>29592</v>
      </c>
      <c r="D11614" t="s">
        <v>25197</v>
      </c>
      <c r="E11614" t="s">
        <v>25873</v>
      </c>
      <c r="F11614" t="s">
        <v>25992</v>
      </c>
      <c r="G11614" t="s">
        <v>25992</v>
      </c>
      <c r="H11614" t="s">
        <v>859</v>
      </c>
      <c r="I11614" t="s">
        <v>860</v>
      </c>
      <c r="J11614" t="str">
        <f>"9521114"</f>
        <v>9521114</v>
      </c>
      <c r="N11614" t="s">
        <v>25992</v>
      </c>
      <c r="O11614" t="s">
        <v>28686</v>
      </c>
      <c r="P11614">
        <v>0</v>
      </c>
      <c r="Q11614" t="str">
        <f>""</f>
        <v/>
      </c>
      <c r="R11614" t="str">
        <f>""</f>
        <v/>
      </c>
      <c r="S11614" t="s">
        <v>26</v>
      </c>
    </row>
    <row r="11615" spans="1:19" x14ac:dyDescent="0.3">
      <c r="A11615" t="s">
        <v>25190</v>
      </c>
      <c r="B11615" t="s">
        <v>28466</v>
      </c>
      <c r="C11615" t="s">
        <v>29604</v>
      </c>
      <c r="D11615" t="s">
        <v>25197</v>
      </c>
      <c r="E11615" t="s">
        <v>25790</v>
      </c>
      <c r="F11615" t="s">
        <v>25851</v>
      </c>
      <c r="G11615" t="s">
        <v>26241</v>
      </c>
      <c r="H11615" t="s">
        <v>859</v>
      </c>
      <c r="I11615" t="s">
        <v>860</v>
      </c>
      <c r="J11615" t="str">
        <f>"9521451"</f>
        <v>9521451</v>
      </c>
      <c r="N11615" t="s">
        <v>26241</v>
      </c>
      <c r="O11615" t="s">
        <v>28707</v>
      </c>
      <c r="P11615">
        <v>57008</v>
      </c>
      <c r="Q11615" t="str">
        <f>""</f>
        <v/>
      </c>
      <c r="R11615" t="str">
        <f>""</f>
        <v/>
      </c>
      <c r="S11615" t="s">
        <v>26</v>
      </c>
    </row>
    <row r="11616" spans="1:19" x14ac:dyDescent="0.3">
      <c r="A11616" t="s">
        <v>25190</v>
      </c>
      <c r="B11616" t="s">
        <v>28466</v>
      </c>
      <c r="C11616" t="s">
        <v>29605</v>
      </c>
      <c r="D11616" t="s">
        <v>25197</v>
      </c>
      <c r="E11616" t="s">
        <v>25790</v>
      </c>
      <c r="F11616" t="s">
        <v>25791</v>
      </c>
      <c r="G11616" t="s">
        <v>25792</v>
      </c>
      <c r="H11616" t="s">
        <v>859</v>
      </c>
      <c r="I11616" t="s">
        <v>860</v>
      </c>
      <c r="J11616" t="str">
        <f>"9521529"</f>
        <v>9521529</v>
      </c>
      <c r="N11616" t="s">
        <v>25792</v>
      </c>
      <c r="O11616" t="s">
        <v>26268</v>
      </c>
      <c r="P11616">
        <v>0</v>
      </c>
      <c r="Q11616" t="str">
        <f>""</f>
        <v/>
      </c>
      <c r="R11616" t="str">
        <f>""</f>
        <v/>
      </c>
      <c r="S11616" t="s">
        <v>26</v>
      </c>
    </row>
    <row r="11617" spans="1:19" x14ac:dyDescent="0.3">
      <c r="A11617" t="s">
        <v>25190</v>
      </c>
      <c r="B11617" t="s">
        <v>28466</v>
      </c>
      <c r="C11617" t="s">
        <v>29606</v>
      </c>
      <c r="D11617" t="s">
        <v>25197</v>
      </c>
      <c r="E11617" t="s">
        <v>25790</v>
      </c>
      <c r="F11617" t="s">
        <v>25851</v>
      </c>
      <c r="G11617" t="s">
        <v>26312</v>
      </c>
      <c r="H11617" t="s">
        <v>859</v>
      </c>
      <c r="I11617" t="s">
        <v>860</v>
      </c>
      <c r="J11617" t="str">
        <f>"9521325"</f>
        <v>9521325</v>
      </c>
      <c r="N11617" t="s">
        <v>26312</v>
      </c>
      <c r="O11617" t="s">
        <v>29607</v>
      </c>
      <c r="P11617">
        <v>57008</v>
      </c>
      <c r="Q11617" t="str">
        <f>""</f>
        <v/>
      </c>
      <c r="R11617" t="str">
        <f>""</f>
        <v/>
      </c>
      <c r="S11617" t="s">
        <v>26</v>
      </c>
    </row>
    <row r="11618" spans="1:19" x14ac:dyDescent="0.3">
      <c r="A11618" t="s">
        <v>25190</v>
      </c>
      <c r="B11618" t="s">
        <v>28466</v>
      </c>
      <c r="C11618" t="s">
        <v>29610</v>
      </c>
      <c r="D11618" t="s">
        <v>25197</v>
      </c>
      <c r="E11618" t="s">
        <v>25790</v>
      </c>
      <c r="F11618" t="s">
        <v>25851</v>
      </c>
      <c r="G11618" t="s">
        <v>26241</v>
      </c>
      <c r="H11618" t="s">
        <v>859</v>
      </c>
      <c r="I11618" t="s">
        <v>860</v>
      </c>
      <c r="J11618" t="str">
        <f>"9521324"</f>
        <v>9521324</v>
      </c>
      <c r="K11618">
        <v>2310788649</v>
      </c>
      <c r="L11618">
        <v>2310788649</v>
      </c>
      <c r="M11618" t="s">
        <v>29611</v>
      </c>
      <c r="N11618" t="s">
        <v>26241</v>
      </c>
      <c r="O11618" t="s">
        <v>29612</v>
      </c>
      <c r="P11618">
        <v>57008</v>
      </c>
      <c r="Q11618" t="str">
        <f>"40.687775"</f>
        <v>40.687775</v>
      </c>
      <c r="R11618" t="str">
        <f>"22.857950"</f>
        <v>22.857950</v>
      </c>
      <c r="S11618" t="s">
        <v>26</v>
      </c>
    </row>
    <row r="11619" spans="1:19" x14ac:dyDescent="0.3">
      <c r="A11619" t="s">
        <v>25190</v>
      </c>
      <c r="B11619" t="s">
        <v>28466</v>
      </c>
      <c r="C11619" t="s">
        <v>29614</v>
      </c>
      <c r="D11619" t="s">
        <v>25197</v>
      </c>
      <c r="E11619" t="s">
        <v>25815</v>
      </c>
      <c r="F11619" t="s">
        <v>60</v>
      </c>
      <c r="G11619" t="s">
        <v>29613</v>
      </c>
      <c r="H11619" t="s">
        <v>859</v>
      </c>
      <c r="I11619" t="s">
        <v>860</v>
      </c>
      <c r="J11619" t="str">
        <f>"9190316"</f>
        <v>9190316</v>
      </c>
      <c r="K11619">
        <v>2310713471</v>
      </c>
      <c r="M11619" t="s">
        <v>29615</v>
      </c>
      <c r="N11619" t="s">
        <v>29616</v>
      </c>
      <c r="O11619" t="s">
        <v>29616</v>
      </c>
      <c r="P11619">
        <v>57011</v>
      </c>
      <c r="Q11619" t="str">
        <f>"40.819441"</f>
        <v>40.819441</v>
      </c>
      <c r="R11619" t="str">
        <f>"22.767958"</f>
        <v>22.767958</v>
      </c>
      <c r="S11619" t="s">
        <v>26</v>
      </c>
    </row>
    <row r="11620" spans="1:19" x14ac:dyDescent="0.3">
      <c r="A11620" t="s">
        <v>25190</v>
      </c>
      <c r="B11620" t="s">
        <v>28466</v>
      </c>
      <c r="C11620" t="s">
        <v>29617</v>
      </c>
      <c r="D11620" t="s">
        <v>25197</v>
      </c>
      <c r="E11620" t="s">
        <v>25966</v>
      </c>
      <c r="F11620" t="s">
        <v>25966</v>
      </c>
      <c r="G11620" t="s">
        <v>25966</v>
      </c>
      <c r="H11620" t="s">
        <v>859</v>
      </c>
      <c r="I11620" t="s">
        <v>860</v>
      </c>
      <c r="J11620" t="str">
        <f>"9521531"</f>
        <v>9521531</v>
      </c>
      <c r="K11620">
        <v>2310020881</v>
      </c>
      <c r="L11620">
        <v>2310020880</v>
      </c>
      <c r="M11620" t="s">
        <v>29618</v>
      </c>
      <c r="N11620" t="s">
        <v>25966</v>
      </c>
      <c r="O11620" t="s">
        <v>29619</v>
      </c>
      <c r="P11620">
        <v>57013</v>
      </c>
      <c r="Q11620" t="str">
        <f>"40.731682"</f>
        <v>40.731682</v>
      </c>
      <c r="R11620" t="str">
        <f>"22.912073"</f>
        <v>22.912073</v>
      </c>
      <c r="S11620" t="s">
        <v>26</v>
      </c>
    </row>
    <row r="11621" spans="1:19" x14ac:dyDescent="0.3">
      <c r="A11621" t="s">
        <v>25190</v>
      </c>
      <c r="B11621" t="s">
        <v>28466</v>
      </c>
      <c r="C11621" t="s">
        <v>29620</v>
      </c>
      <c r="D11621" t="s">
        <v>25197</v>
      </c>
      <c r="E11621" t="s">
        <v>25873</v>
      </c>
      <c r="F11621" t="s">
        <v>25992</v>
      </c>
      <c r="G11621" t="s">
        <v>25992</v>
      </c>
      <c r="H11621" t="s">
        <v>859</v>
      </c>
      <c r="I11621" t="s">
        <v>860</v>
      </c>
      <c r="J11621" t="str">
        <f>"9521530"</f>
        <v>9521530</v>
      </c>
      <c r="K11621">
        <v>2310557509</v>
      </c>
      <c r="L11621">
        <v>2310557509</v>
      </c>
      <c r="M11621" t="s">
        <v>29621</v>
      </c>
      <c r="N11621" t="s">
        <v>25992</v>
      </c>
      <c r="O11621" t="s">
        <v>29622</v>
      </c>
      <c r="P11621">
        <v>54628</v>
      </c>
      <c r="Q11621" t="str">
        <f>"40.657723"</f>
        <v>40.657723</v>
      </c>
      <c r="R11621" t="str">
        <f>"22.905403"</f>
        <v>22.905403</v>
      </c>
      <c r="S11621" t="s">
        <v>26</v>
      </c>
    </row>
    <row r="11622" spans="1:19" x14ac:dyDescent="0.3">
      <c r="A11622" t="s">
        <v>25190</v>
      </c>
      <c r="B11622" t="s">
        <v>28466</v>
      </c>
      <c r="C11622" t="s">
        <v>29623</v>
      </c>
      <c r="D11622" t="s">
        <v>25197</v>
      </c>
      <c r="E11622" t="s">
        <v>25203</v>
      </c>
      <c r="F11622" t="s">
        <v>25878</v>
      </c>
      <c r="G11622" t="s">
        <v>25878</v>
      </c>
      <c r="H11622" t="s">
        <v>859</v>
      </c>
      <c r="I11622" t="s">
        <v>860</v>
      </c>
      <c r="J11622" t="str">
        <f>"9521532"</f>
        <v>9521532</v>
      </c>
      <c r="N11622" t="s">
        <v>25878</v>
      </c>
      <c r="O11622">
        <v>0</v>
      </c>
      <c r="P11622">
        <v>0</v>
      </c>
      <c r="Q11622" t="str">
        <f>""</f>
        <v/>
      </c>
      <c r="R11622" t="str">
        <f>""</f>
        <v/>
      </c>
      <c r="S11622" t="s">
        <v>26</v>
      </c>
    </row>
    <row r="11623" spans="1:19" x14ac:dyDescent="0.3">
      <c r="A11623" t="s">
        <v>25190</v>
      </c>
      <c r="B11623" t="s">
        <v>28466</v>
      </c>
      <c r="C11623" t="s">
        <v>29624</v>
      </c>
      <c r="D11623" t="s">
        <v>25197</v>
      </c>
      <c r="E11623" t="s">
        <v>25889</v>
      </c>
      <c r="F11623" t="s">
        <v>25890</v>
      </c>
      <c r="G11623" t="s">
        <v>25890</v>
      </c>
      <c r="H11623" t="s">
        <v>859</v>
      </c>
      <c r="I11623" t="s">
        <v>860</v>
      </c>
      <c r="J11623" t="str">
        <f>"9190680"</f>
        <v>9190680</v>
      </c>
      <c r="K11623">
        <v>2310546723</v>
      </c>
      <c r="L11623">
        <v>2310546723</v>
      </c>
      <c r="M11623" t="s">
        <v>29625</v>
      </c>
      <c r="N11623" t="s">
        <v>11666</v>
      </c>
      <c r="O11623" t="s">
        <v>29626</v>
      </c>
      <c r="P11623">
        <v>56727</v>
      </c>
      <c r="Q11623" t="str">
        <f>"40.655781"</f>
        <v>40.655781</v>
      </c>
      <c r="R11623" t="str">
        <f>"22.937954"</f>
        <v>22.937954</v>
      </c>
      <c r="S11623" t="s">
        <v>26</v>
      </c>
    </row>
    <row r="11624" spans="1:19" x14ac:dyDescent="0.3">
      <c r="A11624" t="s">
        <v>25190</v>
      </c>
      <c r="B11624" t="s">
        <v>28466</v>
      </c>
      <c r="C11624" t="s">
        <v>29627</v>
      </c>
      <c r="D11624" t="s">
        <v>25197</v>
      </c>
      <c r="E11624" t="s">
        <v>25203</v>
      </c>
      <c r="F11624" t="s">
        <v>25784</v>
      </c>
      <c r="G11624" t="s">
        <v>25784</v>
      </c>
      <c r="H11624" t="s">
        <v>859</v>
      </c>
      <c r="I11624" t="s">
        <v>860</v>
      </c>
      <c r="J11624" t="str">
        <f>"9521527"</f>
        <v>9521527</v>
      </c>
      <c r="N11624" t="s">
        <v>25784</v>
      </c>
      <c r="O11624" t="s">
        <v>25911</v>
      </c>
      <c r="P11624">
        <v>57625</v>
      </c>
      <c r="Q11624" t="str">
        <f>""</f>
        <v/>
      </c>
      <c r="R11624" t="str">
        <f>""</f>
        <v/>
      </c>
      <c r="S11624" t="s">
        <v>26</v>
      </c>
    </row>
    <row r="11625" spans="1:19" x14ac:dyDescent="0.3">
      <c r="A11625" t="s">
        <v>25190</v>
      </c>
      <c r="B11625" t="s">
        <v>28466</v>
      </c>
      <c r="C11625" t="s">
        <v>29628</v>
      </c>
      <c r="D11625" t="s">
        <v>25197</v>
      </c>
      <c r="E11625" t="s">
        <v>25203</v>
      </c>
      <c r="F11625" t="s">
        <v>25784</v>
      </c>
      <c r="G11625" t="s">
        <v>25784</v>
      </c>
      <c r="H11625" t="s">
        <v>859</v>
      </c>
      <c r="I11625" t="s">
        <v>860</v>
      </c>
      <c r="J11625" t="str">
        <f>"9521528"</f>
        <v>9521528</v>
      </c>
      <c r="N11625" t="s">
        <v>25784</v>
      </c>
      <c r="O11625" t="s">
        <v>25911</v>
      </c>
      <c r="P11625">
        <v>57625</v>
      </c>
      <c r="Q11625" t="str">
        <f>""</f>
        <v/>
      </c>
      <c r="R11625" t="str">
        <f>""</f>
        <v/>
      </c>
      <c r="S11625" t="s">
        <v>26</v>
      </c>
    </row>
    <row r="11626" spans="1:19" x14ac:dyDescent="0.3">
      <c r="A11626" t="s">
        <v>25190</v>
      </c>
      <c r="B11626" t="s">
        <v>28466</v>
      </c>
      <c r="C11626" t="s">
        <v>29629</v>
      </c>
      <c r="D11626" t="s">
        <v>25197</v>
      </c>
      <c r="E11626" t="s">
        <v>25203</v>
      </c>
      <c r="F11626" t="s">
        <v>25784</v>
      </c>
      <c r="G11626" t="s">
        <v>25784</v>
      </c>
      <c r="H11626" t="s">
        <v>859</v>
      </c>
      <c r="I11626" t="s">
        <v>860</v>
      </c>
      <c r="J11626" t="str">
        <f>"9190597"</f>
        <v>9190597</v>
      </c>
      <c r="N11626" t="s">
        <v>25784</v>
      </c>
      <c r="O11626">
        <v>0</v>
      </c>
      <c r="P11626">
        <v>0</v>
      </c>
      <c r="Q11626" t="str">
        <f>""</f>
        <v/>
      </c>
      <c r="R11626" t="str">
        <f>""</f>
        <v/>
      </c>
      <c r="S11626" t="s">
        <v>26</v>
      </c>
    </row>
    <row r="11627" spans="1:19" x14ac:dyDescent="0.3">
      <c r="A11627" t="s">
        <v>25190</v>
      </c>
      <c r="B11627" t="s">
        <v>28466</v>
      </c>
      <c r="C11627" t="s">
        <v>29630</v>
      </c>
      <c r="D11627" t="s">
        <v>25197</v>
      </c>
      <c r="E11627" t="s">
        <v>25826</v>
      </c>
      <c r="F11627" t="s">
        <v>25833</v>
      </c>
      <c r="G11627" t="s">
        <v>25833</v>
      </c>
      <c r="H11627" t="s">
        <v>859</v>
      </c>
      <c r="I11627" t="s">
        <v>860</v>
      </c>
      <c r="J11627" t="str">
        <f>"9521600"</f>
        <v>9521600</v>
      </c>
      <c r="K11627">
        <v>2310808040</v>
      </c>
      <c r="L11627">
        <v>2310808040</v>
      </c>
      <c r="M11627" t="s">
        <v>29631</v>
      </c>
      <c r="N11627" t="s">
        <v>25833</v>
      </c>
      <c r="O11627" t="s">
        <v>29632</v>
      </c>
      <c r="P11627">
        <v>56224</v>
      </c>
      <c r="Q11627" t="str">
        <f>"40.678314"</f>
        <v>40.678314</v>
      </c>
      <c r="R11627" t="str">
        <f>"22.926805"</f>
        <v>22.926805</v>
      </c>
      <c r="S11627" t="s">
        <v>26</v>
      </c>
    </row>
    <row r="11628" spans="1:19" x14ac:dyDescent="0.3">
      <c r="A11628" t="s">
        <v>25190</v>
      </c>
      <c r="B11628" t="s">
        <v>28466</v>
      </c>
      <c r="C11628" t="s">
        <v>29633</v>
      </c>
      <c r="D11628" t="s">
        <v>25197</v>
      </c>
      <c r="E11628" t="s">
        <v>25815</v>
      </c>
      <c r="F11628" t="s">
        <v>25815</v>
      </c>
      <c r="G11628" t="s">
        <v>25821</v>
      </c>
      <c r="H11628" t="s">
        <v>859</v>
      </c>
      <c r="I11628" t="s">
        <v>860</v>
      </c>
      <c r="J11628" t="str">
        <f>"9521601"</f>
        <v>9521601</v>
      </c>
      <c r="K11628">
        <v>2391032062</v>
      </c>
      <c r="L11628">
        <v>2391032062</v>
      </c>
      <c r="N11628" t="s">
        <v>25821</v>
      </c>
      <c r="O11628" t="s">
        <v>29634</v>
      </c>
      <c r="P11628">
        <v>57007</v>
      </c>
      <c r="Q11628" t="str">
        <f>""</f>
        <v/>
      </c>
      <c r="R11628" t="str">
        <f>""</f>
        <v/>
      </c>
      <c r="S11628" t="s">
        <v>26</v>
      </c>
    </row>
    <row r="11629" spans="1:19" x14ac:dyDescent="0.3">
      <c r="A11629" t="s">
        <v>25190</v>
      </c>
      <c r="B11629" t="s">
        <v>28466</v>
      </c>
      <c r="C11629" t="s">
        <v>29635</v>
      </c>
      <c r="D11629" t="s">
        <v>25197</v>
      </c>
      <c r="E11629" t="s">
        <v>25889</v>
      </c>
      <c r="F11629" t="s">
        <v>26080</v>
      </c>
      <c r="G11629" t="s">
        <v>26080</v>
      </c>
      <c r="H11629" t="s">
        <v>859</v>
      </c>
      <c r="I11629" t="s">
        <v>860</v>
      </c>
      <c r="J11629" t="str">
        <f>"9521602"</f>
        <v>9521602</v>
      </c>
      <c r="N11629" t="s">
        <v>26080</v>
      </c>
      <c r="O11629">
        <v>0</v>
      </c>
      <c r="P11629">
        <v>0</v>
      </c>
      <c r="Q11629" t="str">
        <f>""</f>
        <v/>
      </c>
      <c r="R11629" t="str">
        <f>""</f>
        <v/>
      </c>
      <c r="S11629" t="s">
        <v>26</v>
      </c>
    </row>
    <row r="11630" spans="1:19" x14ac:dyDescent="0.3">
      <c r="A11630" t="s">
        <v>25190</v>
      </c>
      <c r="B11630" t="s">
        <v>28466</v>
      </c>
      <c r="C11630" t="s">
        <v>29641</v>
      </c>
      <c r="D11630" t="s">
        <v>25197</v>
      </c>
      <c r="E11630" t="s">
        <v>25815</v>
      </c>
      <c r="F11630" t="s">
        <v>60</v>
      </c>
      <c r="G11630" t="s">
        <v>60</v>
      </c>
      <c r="H11630" t="s">
        <v>859</v>
      </c>
      <c r="I11630" t="s">
        <v>1102</v>
      </c>
      <c r="J11630" t="str">
        <f>"9521731"</f>
        <v>9521731</v>
      </c>
      <c r="K11630">
        <v>2310702568</v>
      </c>
      <c r="M11630" t="s">
        <v>29642</v>
      </c>
      <c r="N11630" t="s">
        <v>64</v>
      </c>
      <c r="O11630" t="s">
        <v>29643</v>
      </c>
      <c r="P11630">
        <v>57003</v>
      </c>
      <c r="Q11630" t="str">
        <f>"40.716181"</f>
        <v>40.716181</v>
      </c>
      <c r="R11630" t="str">
        <f>"22.737579"</f>
        <v>22.737579</v>
      </c>
      <c r="S11630" t="s">
        <v>26</v>
      </c>
    </row>
    <row r="11631" spans="1:19" x14ac:dyDescent="0.3">
      <c r="A11631" t="s">
        <v>25190</v>
      </c>
      <c r="B11631" t="s">
        <v>28466</v>
      </c>
      <c r="C11631" t="s">
        <v>29644</v>
      </c>
      <c r="D11631" t="s">
        <v>25197</v>
      </c>
      <c r="E11631" t="s">
        <v>13689</v>
      </c>
      <c r="F11631" t="s">
        <v>13689</v>
      </c>
      <c r="G11631" t="s">
        <v>13689</v>
      </c>
      <c r="H11631" t="s">
        <v>859</v>
      </c>
      <c r="I11631" t="s">
        <v>1102</v>
      </c>
      <c r="J11631" t="str">
        <f>"9521732"</f>
        <v>9521732</v>
      </c>
      <c r="K11631">
        <v>2395026066</v>
      </c>
      <c r="L11631">
        <v>2395026066</v>
      </c>
      <c r="M11631" t="s">
        <v>29645</v>
      </c>
      <c r="N11631" t="s">
        <v>13686</v>
      </c>
      <c r="O11631" t="s">
        <v>29640</v>
      </c>
      <c r="P11631">
        <v>57002</v>
      </c>
      <c r="Q11631" t="str">
        <f>"40.773667"</f>
        <v>40.773667</v>
      </c>
      <c r="R11631" t="str">
        <f>"23.224430"</f>
        <v>23.224430</v>
      </c>
      <c r="S11631" t="s">
        <v>26</v>
      </c>
    </row>
    <row r="11632" spans="1:19" x14ac:dyDescent="0.3">
      <c r="A11632" t="s">
        <v>25190</v>
      </c>
      <c r="B11632" t="s">
        <v>28466</v>
      </c>
      <c r="C11632" t="s">
        <v>29646</v>
      </c>
      <c r="D11632" t="s">
        <v>25197</v>
      </c>
      <c r="E11632" t="s">
        <v>25826</v>
      </c>
      <c r="F11632" t="s">
        <v>25833</v>
      </c>
      <c r="G11632" t="s">
        <v>25833</v>
      </c>
      <c r="H11632" t="s">
        <v>859</v>
      </c>
      <c r="I11632" t="s">
        <v>860</v>
      </c>
      <c r="J11632" t="str">
        <f>"9192001"</f>
        <v>9192001</v>
      </c>
      <c r="K11632">
        <v>2310686773</v>
      </c>
      <c r="M11632" t="s">
        <v>29647</v>
      </c>
      <c r="N11632" t="s">
        <v>29648</v>
      </c>
      <c r="O11632" t="s">
        <v>29649</v>
      </c>
      <c r="P11632">
        <v>56224</v>
      </c>
      <c r="Q11632" t="str">
        <f>"40.679928"</f>
        <v>40.679928</v>
      </c>
      <c r="R11632" t="str">
        <f>"22.922434"</f>
        <v>22.922434</v>
      </c>
      <c r="S11632" t="s">
        <v>26</v>
      </c>
    </row>
    <row r="11633" spans="1:19" x14ac:dyDescent="0.3">
      <c r="A11633" t="s">
        <v>25190</v>
      </c>
      <c r="B11633" t="s">
        <v>28466</v>
      </c>
      <c r="C11633" t="s">
        <v>29650</v>
      </c>
      <c r="D11633" t="s">
        <v>25197</v>
      </c>
      <c r="E11633" t="s">
        <v>25826</v>
      </c>
      <c r="F11633" t="s">
        <v>25833</v>
      </c>
      <c r="G11633" t="s">
        <v>25833</v>
      </c>
      <c r="H11633" t="s">
        <v>859</v>
      </c>
      <c r="I11633" t="s">
        <v>860</v>
      </c>
      <c r="J11633" t="str">
        <f>"9192003"</f>
        <v>9192003</v>
      </c>
      <c r="Q11633" t="str">
        <f>""</f>
        <v/>
      </c>
      <c r="R11633" t="str">
        <f>""</f>
        <v/>
      </c>
      <c r="S11633" t="s">
        <v>26</v>
      </c>
    </row>
    <row r="11634" spans="1:19" x14ac:dyDescent="0.3">
      <c r="A11634" t="s">
        <v>25190</v>
      </c>
      <c r="B11634" t="s">
        <v>28466</v>
      </c>
      <c r="C11634" t="s">
        <v>29651</v>
      </c>
      <c r="D11634" t="s">
        <v>25197</v>
      </c>
      <c r="E11634" t="s">
        <v>25826</v>
      </c>
      <c r="F11634" t="s">
        <v>25833</v>
      </c>
      <c r="G11634" t="s">
        <v>25833</v>
      </c>
      <c r="H11634" t="s">
        <v>859</v>
      </c>
      <c r="I11634" t="s">
        <v>860</v>
      </c>
      <c r="J11634" t="str">
        <f>"9192005"</f>
        <v>9192005</v>
      </c>
      <c r="Q11634" t="str">
        <f>""</f>
        <v/>
      </c>
      <c r="R11634" t="str">
        <f>""</f>
        <v/>
      </c>
      <c r="S11634" t="s">
        <v>26</v>
      </c>
    </row>
    <row r="11635" spans="1:19" x14ac:dyDescent="0.3">
      <c r="A11635" t="s">
        <v>25190</v>
      </c>
      <c r="B11635" t="s">
        <v>28466</v>
      </c>
      <c r="C11635" t="s">
        <v>29652</v>
      </c>
      <c r="D11635" t="s">
        <v>25197</v>
      </c>
      <c r="E11635" t="s">
        <v>25826</v>
      </c>
      <c r="F11635" t="s">
        <v>25827</v>
      </c>
      <c r="G11635" t="s">
        <v>25827</v>
      </c>
      <c r="H11635" t="s">
        <v>859</v>
      </c>
      <c r="I11635" t="s">
        <v>860</v>
      </c>
      <c r="J11635" t="str">
        <f>"9192007"</f>
        <v>9192007</v>
      </c>
      <c r="Q11635" t="str">
        <f>""</f>
        <v/>
      </c>
      <c r="R11635" t="str">
        <f>""</f>
        <v/>
      </c>
      <c r="S11635" t="s">
        <v>26</v>
      </c>
    </row>
    <row r="11636" spans="1:19" x14ac:dyDescent="0.3">
      <c r="A11636" t="s">
        <v>25190</v>
      </c>
      <c r="B11636" t="s">
        <v>28466</v>
      </c>
      <c r="C11636" t="s">
        <v>29653</v>
      </c>
      <c r="D11636" t="s">
        <v>25197</v>
      </c>
      <c r="E11636" t="s">
        <v>25203</v>
      </c>
      <c r="F11636" t="s">
        <v>595</v>
      </c>
      <c r="G11636" t="s">
        <v>595</v>
      </c>
      <c r="H11636" t="s">
        <v>859</v>
      </c>
      <c r="I11636" t="s">
        <v>860</v>
      </c>
      <c r="J11636" t="str">
        <f>"9192009"</f>
        <v>9192009</v>
      </c>
      <c r="Q11636" t="str">
        <f>""</f>
        <v/>
      </c>
      <c r="R11636" t="str">
        <f>""</f>
        <v/>
      </c>
      <c r="S11636" t="s">
        <v>26</v>
      </c>
    </row>
    <row r="11637" spans="1:19" x14ac:dyDescent="0.3">
      <c r="A11637" t="s">
        <v>25190</v>
      </c>
      <c r="B11637" t="s">
        <v>28466</v>
      </c>
      <c r="C11637" t="s">
        <v>29657</v>
      </c>
      <c r="D11637" t="s">
        <v>25197</v>
      </c>
      <c r="E11637" t="s">
        <v>25826</v>
      </c>
      <c r="F11637" t="s">
        <v>25833</v>
      </c>
      <c r="G11637" t="s">
        <v>25833</v>
      </c>
      <c r="H11637" t="s">
        <v>859</v>
      </c>
      <c r="I11637" t="s">
        <v>860</v>
      </c>
      <c r="J11637" t="str">
        <f>"9192011"</f>
        <v>9192011</v>
      </c>
      <c r="Q11637" t="str">
        <f>""</f>
        <v/>
      </c>
      <c r="R11637" t="str">
        <f>""</f>
        <v/>
      </c>
      <c r="S11637" t="s">
        <v>26</v>
      </c>
    </row>
    <row r="11638" spans="1:19" x14ac:dyDescent="0.3">
      <c r="A11638" t="s">
        <v>25190</v>
      </c>
      <c r="B11638" t="s">
        <v>29658</v>
      </c>
      <c r="C11638" t="s">
        <v>29660</v>
      </c>
      <c r="D11638" t="s">
        <v>25191</v>
      </c>
      <c r="E11638" t="s">
        <v>26403</v>
      </c>
      <c r="F11638" t="s">
        <v>26507</v>
      </c>
      <c r="G11638" t="s">
        <v>29659</v>
      </c>
      <c r="H11638" t="s">
        <v>859</v>
      </c>
      <c r="I11638" t="s">
        <v>860</v>
      </c>
      <c r="J11638" t="str">
        <f>"9160106"</f>
        <v>9160106</v>
      </c>
      <c r="K11638">
        <v>2332042957</v>
      </c>
      <c r="M11638" t="s">
        <v>29661</v>
      </c>
      <c r="N11638" t="s">
        <v>29659</v>
      </c>
      <c r="O11638" t="s">
        <v>29662</v>
      </c>
      <c r="P11638">
        <v>59035</v>
      </c>
      <c r="Q11638" t="str">
        <f>"40.616862"</f>
        <v>40.616862</v>
      </c>
      <c r="R11638" t="str">
        <f>"22.176230"</f>
        <v>22.176230</v>
      </c>
      <c r="S11638" t="s">
        <v>26</v>
      </c>
    </row>
    <row r="11639" spans="1:19" x14ac:dyDescent="0.3">
      <c r="A11639" t="s">
        <v>25190</v>
      </c>
      <c r="B11639" t="s">
        <v>29658</v>
      </c>
      <c r="C11639" t="s">
        <v>29663</v>
      </c>
      <c r="D11639" t="s">
        <v>25191</v>
      </c>
      <c r="E11639" t="s">
        <v>25192</v>
      </c>
      <c r="F11639" t="s">
        <v>25192</v>
      </c>
      <c r="G11639" t="s">
        <v>25192</v>
      </c>
      <c r="H11639" t="s">
        <v>859</v>
      </c>
      <c r="I11639" t="s">
        <v>860</v>
      </c>
      <c r="J11639" t="str">
        <f>"9160013"</f>
        <v>9160013</v>
      </c>
      <c r="K11639">
        <v>2331060060</v>
      </c>
      <c r="L11639">
        <v>2331060060</v>
      </c>
      <c r="M11639" t="s">
        <v>29664</v>
      </c>
      <c r="N11639" t="s">
        <v>25192</v>
      </c>
      <c r="O11639" t="s">
        <v>29665</v>
      </c>
      <c r="P11639">
        <v>59132</v>
      </c>
      <c r="Q11639" t="str">
        <f>"40.513712"</f>
        <v>40.513712</v>
      </c>
      <c r="R11639" t="str">
        <f>"22.203853"</f>
        <v>22.203853</v>
      </c>
      <c r="S11639" t="s">
        <v>26</v>
      </c>
    </row>
    <row r="11640" spans="1:19" x14ac:dyDescent="0.3">
      <c r="A11640" t="s">
        <v>25190</v>
      </c>
      <c r="B11640" t="s">
        <v>29658</v>
      </c>
      <c r="C11640" t="s">
        <v>29666</v>
      </c>
      <c r="D11640" t="s">
        <v>25191</v>
      </c>
      <c r="E11640" t="s">
        <v>26403</v>
      </c>
      <c r="F11640" t="s">
        <v>26403</v>
      </c>
      <c r="G11640" t="s">
        <v>26404</v>
      </c>
      <c r="H11640" t="s">
        <v>859</v>
      </c>
      <c r="I11640" t="s">
        <v>860</v>
      </c>
      <c r="J11640" t="str">
        <f>"9160188"</f>
        <v>9160188</v>
      </c>
      <c r="K11640">
        <v>2332022204</v>
      </c>
      <c r="M11640" t="s">
        <v>29667</v>
      </c>
      <c r="N11640" t="s">
        <v>26404</v>
      </c>
      <c r="O11640" t="s">
        <v>29668</v>
      </c>
      <c r="P11640">
        <v>59200</v>
      </c>
      <c r="Q11640" t="str">
        <f>"40.628360"</f>
        <v>40.628360</v>
      </c>
      <c r="R11640" t="str">
        <f>"22.062026"</f>
        <v>22.062026</v>
      </c>
      <c r="S11640" t="s">
        <v>26</v>
      </c>
    </row>
    <row r="11641" spans="1:19" x14ac:dyDescent="0.3">
      <c r="A11641" t="s">
        <v>25190</v>
      </c>
      <c r="B11641" t="s">
        <v>29658</v>
      </c>
      <c r="C11641" t="s">
        <v>29670</v>
      </c>
      <c r="D11641" t="s">
        <v>25191</v>
      </c>
      <c r="E11641" t="s">
        <v>25192</v>
      </c>
      <c r="F11641" t="s">
        <v>25192</v>
      </c>
      <c r="G11641" t="s">
        <v>29669</v>
      </c>
      <c r="H11641" t="s">
        <v>859</v>
      </c>
      <c r="I11641" t="s">
        <v>860</v>
      </c>
      <c r="J11641" t="str">
        <f>"9160203"</f>
        <v>9160203</v>
      </c>
      <c r="K11641">
        <v>2331091119</v>
      </c>
      <c r="L11641">
        <v>2331091119</v>
      </c>
      <c r="M11641" t="s">
        <v>29671</v>
      </c>
      <c r="N11641" t="s">
        <v>2612</v>
      </c>
      <c r="O11641" t="s">
        <v>29669</v>
      </c>
      <c r="P11641">
        <v>59100</v>
      </c>
      <c r="Q11641" t="str">
        <f>"40.488981"</f>
        <v>40.488981</v>
      </c>
      <c r="R11641" t="str">
        <f>"22.231168"</f>
        <v>22.231168</v>
      </c>
      <c r="S11641" t="s">
        <v>26</v>
      </c>
    </row>
    <row r="11642" spans="1:19" x14ac:dyDescent="0.3">
      <c r="A11642" t="s">
        <v>25190</v>
      </c>
      <c r="B11642" t="s">
        <v>29658</v>
      </c>
      <c r="C11642" t="s">
        <v>29674</v>
      </c>
      <c r="D11642" t="s">
        <v>25191</v>
      </c>
      <c r="E11642" t="s">
        <v>25192</v>
      </c>
      <c r="F11642" t="s">
        <v>25192</v>
      </c>
      <c r="G11642" t="s">
        <v>25192</v>
      </c>
      <c r="H11642" t="s">
        <v>859</v>
      </c>
      <c r="I11642" t="s">
        <v>860</v>
      </c>
      <c r="J11642" t="str">
        <f>"9160011"</f>
        <v>9160011</v>
      </c>
      <c r="K11642">
        <v>2331074570</v>
      </c>
      <c r="M11642" t="s">
        <v>29675</v>
      </c>
      <c r="N11642" t="s">
        <v>25192</v>
      </c>
      <c r="O11642" t="s">
        <v>29676</v>
      </c>
      <c r="P11642">
        <v>59132</v>
      </c>
      <c r="Q11642" t="str">
        <f>"40.519417"</f>
        <v>40.519417</v>
      </c>
      <c r="R11642" t="str">
        <f>"22.199322"</f>
        <v>22.199322</v>
      </c>
      <c r="S11642" t="s">
        <v>26</v>
      </c>
    </row>
    <row r="11643" spans="1:19" x14ac:dyDescent="0.3">
      <c r="A11643" t="s">
        <v>25190</v>
      </c>
      <c r="B11643" t="s">
        <v>29658</v>
      </c>
      <c r="C11643" t="s">
        <v>29677</v>
      </c>
      <c r="D11643" t="s">
        <v>25191</v>
      </c>
      <c r="E11643" t="s">
        <v>26403</v>
      </c>
      <c r="F11643" t="s">
        <v>26403</v>
      </c>
      <c r="G11643" t="s">
        <v>26404</v>
      </c>
      <c r="H11643" t="s">
        <v>859</v>
      </c>
      <c r="I11643" t="s">
        <v>860</v>
      </c>
      <c r="J11643" t="str">
        <f>"9160194"</f>
        <v>9160194</v>
      </c>
      <c r="K11643">
        <v>2332023060</v>
      </c>
      <c r="L11643">
        <v>2332023060</v>
      </c>
      <c r="M11643" t="s">
        <v>29678</v>
      </c>
      <c r="N11643" t="s">
        <v>26404</v>
      </c>
      <c r="O11643" t="s">
        <v>10978</v>
      </c>
      <c r="P11643">
        <v>59200</v>
      </c>
      <c r="Q11643" t="str">
        <f>"40.630922"</f>
        <v>40.630922</v>
      </c>
      <c r="R11643" t="str">
        <f>"22.069937"</f>
        <v>22.069937</v>
      </c>
      <c r="S11643" t="s">
        <v>26</v>
      </c>
    </row>
    <row r="11644" spans="1:19" x14ac:dyDescent="0.3">
      <c r="A11644" t="s">
        <v>25190</v>
      </c>
      <c r="B11644" t="s">
        <v>29658</v>
      </c>
      <c r="C11644" t="s">
        <v>29682</v>
      </c>
      <c r="D11644" t="s">
        <v>25191</v>
      </c>
      <c r="E11644" t="s">
        <v>26403</v>
      </c>
      <c r="F11644" t="s">
        <v>26403</v>
      </c>
      <c r="G11644" t="s">
        <v>26404</v>
      </c>
      <c r="H11644" t="s">
        <v>859</v>
      </c>
      <c r="I11644" t="s">
        <v>860</v>
      </c>
      <c r="J11644" t="str">
        <f>"9520841"</f>
        <v>9520841</v>
      </c>
      <c r="K11644">
        <v>2332028644</v>
      </c>
      <c r="M11644" t="s">
        <v>29683</v>
      </c>
      <c r="N11644" t="s">
        <v>26407</v>
      </c>
      <c r="O11644" t="s">
        <v>29684</v>
      </c>
      <c r="P11644">
        <v>59200</v>
      </c>
      <c r="Q11644" t="str">
        <f>"40.629441"</f>
        <v>40.629441</v>
      </c>
      <c r="R11644" t="str">
        <f>"22.068855"</f>
        <v>22.068855</v>
      </c>
      <c r="S11644" t="s">
        <v>26</v>
      </c>
    </row>
    <row r="11645" spans="1:19" x14ac:dyDescent="0.3">
      <c r="A11645" t="s">
        <v>25190</v>
      </c>
      <c r="B11645" t="s">
        <v>29658</v>
      </c>
      <c r="C11645" t="s">
        <v>29686</v>
      </c>
      <c r="D11645" t="s">
        <v>25191</v>
      </c>
      <c r="E11645" t="s">
        <v>26403</v>
      </c>
      <c r="F11645" t="s">
        <v>26507</v>
      </c>
      <c r="G11645" t="s">
        <v>29685</v>
      </c>
      <c r="H11645" t="s">
        <v>859</v>
      </c>
      <c r="I11645" t="s">
        <v>860</v>
      </c>
      <c r="J11645" t="str">
        <f>"9160104"</f>
        <v>9160104</v>
      </c>
      <c r="K11645">
        <v>2332044495</v>
      </c>
      <c r="M11645" t="s">
        <v>29687</v>
      </c>
      <c r="N11645" t="s">
        <v>29688</v>
      </c>
      <c r="O11645" t="s">
        <v>29689</v>
      </c>
      <c r="P11645">
        <v>59200</v>
      </c>
      <c r="Q11645" t="str">
        <f>"40.690920"</f>
        <v>40.690920</v>
      </c>
      <c r="R11645" t="str">
        <f>"22.105110"</f>
        <v>22.105110</v>
      </c>
      <c r="S11645" t="s">
        <v>26</v>
      </c>
    </row>
    <row r="11646" spans="1:19" x14ac:dyDescent="0.3">
      <c r="A11646" t="s">
        <v>25190</v>
      </c>
      <c r="B11646" t="s">
        <v>29658</v>
      </c>
      <c r="C11646" t="s">
        <v>29693</v>
      </c>
      <c r="D11646" t="s">
        <v>25191</v>
      </c>
      <c r="E11646" t="s">
        <v>25192</v>
      </c>
      <c r="F11646" t="s">
        <v>25192</v>
      </c>
      <c r="G11646" t="s">
        <v>25192</v>
      </c>
      <c r="H11646" t="s">
        <v>859</v>
      </c>
      <c r="I11646" t="s">
        <v>860</v>
      </c>
      <c r="J11646" t="str">
        <f>"9160121"</f>
        <v>9160121</v>
      </c>
      <c r="K11646">
        <v>2331073910</v>
      </c>
      <c r="L11646">
        <v>2331073910</v>
      </c>
      <c r="M11646" t="s">
        <v>29694</v>
      </c>
      <c r="N11646" t="s">
        <v>25192</v>
      </c>
      <c r="O11646" t="s">
        <v>29695</v>
      </c>
      <c r="P11646">
        <v>59100</v>
      </c>
      <c r="Q11646" t="str">
        <f>"40.530410"</f>
        <v>40.530410</v>
      </c>
      <c r="R11646" t="str">
        <f>"22.205955"</f>
        <v>22.205955</v>
      </c>
      <c r="S11646" t="s">
        <v>26</v>
      </c>
    </row>
    <row r="11647" spans="1:19" x14ac:dyDescent="0.3">
      <c r="A11647" t="s">
        <v>25190</v>
      </c>
      <c r="B11647" t="s">
        <v>29658</v>
      </c>
      <c r="C11647" t="s">
        <v>29699</v>
      </c>
      <c r="D11647" t="s">
        <v>25191</v>
      </c>
      <c r="E11647" t="s">
        <v>26403</v>
      </c>
      <c r="F11647" t="s">
        <v>26403</v>
      </c>
      <c r="G11647" t="s">
        <v>26404</v>
      </c>
      <c r="H11647" t="s">
        <v>859</v>
      </c>
      <c r="I11647" t="s">
        <v>860</v>
      </c>
      <c r="J11647" t="str">
        <f>"9160078"</f>
        <v>9160078</v>
      </c>
      <c r="K11647">
        <v>2332024090</v>
      </c>
      <c r="L11647">
        <v>2332024090</v>
      </c>
      <c r="M11647" t="s">
        <v>29700</v>
      </c>
      <c r="N11647" t="s">
        <v>26404</v>
      </c>
      <c r="O11647" t="s">
        <v>29701</v>
      </c>
      <c r="P11647">
        <v>59200</v>
      </c>
      <c r="Q11647" t="str">
        <f>"40.631333"</f>
        <v>40.631333</v>
      </c>
      <c r="R11647" t="str">
        <f>"22.069552"</f>
        <v>22.069552</v>
      </c>
      <c r="S11647" t="s">
        <v>26</v>
      </c>
    </row>
    <row r="11648" spans="1:19" x14ac:dyDescent="0.3">
      <c r="A11648" t="s">
        <v>25190</v>
      </c>
      <c r="B11648" t="s">
        <v>29658</v>
      </c>
      <c r="C11648" t="s">
        <v>29702</v>
      </c>
      <c r="D11648" t="s">
        <v>25191</v>
      </c>
      <c r="E11648" t="s">
        <v>26403</v>
      </c>
      <c r="F11648" t="s">
        <v>26478</v>
      </c>
      <c r="G11648" t="s">
        <v>26479</v>
      </c>
      <c r="H11648" t="s">
        <v>859</v>
      </c>
      <c r="I11648" t="s">
        <v>860</v>
      </c>
      <c r="J11648" t="str">
        <f>"9160086"</f>
        <v>9160086</v>
      </c>
      <c r="K11648">
        <v>2332047577</v>
      </c>
      <c r="L11648">
        <v>2332047577</v>
      </c>
      <c r="M11648" t="s">
        <v>29703</v>
      </c>
      <c r="N11648" t="s">
        <v>26479</v>
      </c>
      <c r="O11648" t="s">
        <v>29704</v>
      </c>
      <c r="P11648">
        <v>59200</v>
      </c>
      <c r="Q11648" t="str">
        <f>"40.671778"</f>
        <v>40.671778</v>
      </c>
      <c r="R11648" t="str">
        <f>"22.201479"</f>
        <v>22.201479</v>
      </c>
      <c r="S11648" t="s">
        <v>26</v>
      </c>
    </row>
    <row r="11649" spans="1:19" x14ac:dyDescent="0.3">
      <c r="A11649" t="s">
        <v>25190</v>
      </c>
      <c r="B11649" t="s">
        <v>29658</v>
      </c>
      <c r="C11649" t="s">
        <v>29706</v>
      </c>
      <c r="D11649" t="s">
        <v>25191</v>
      </c>
      <c r="E11649" t="s">
        <v>26403</v>
      </c>
      <c r="F11649" t="s">
        <v>26403</v>
      </c>
      <c r="G11649" t="s">
        <v>29705</v>
      </c>
      <c r="H11649" t="s">
        <v>859</v>
      </c>
      <c r="I11649" t="s">
        <v>860</v>
      </c>
      <c r="J11649" t="str">
        <f>"9160112"</f>
        <v>9160112</v>
      </c>
      <c r="K11649">
        <v>2332043384</v>
      </c>
      <c r="L11649">
        <v>2332043384</v>
      </c>
      <c r="M11649" t="s">
        <v>29707</v>
      </c>
      <c r="N11649" t="s">
        <v>29705</v>
      </c>
      <c r="O11649" t="s">
        <v>29708</v>
      </c>
      <c r="P11649">
        <v>59035</v>
      </c>
      <c r="Q11649" t="str">
        <f>"40.603162"</f>
        <v>40.603162</v>
      </c>
      <c r="R11649" t="str">
        <f>"22.127740"</f>
        <v>22.127740</v>
      </c>
      <c r="S11649" t="s">
        <v>26</v>
      </c>
    </row>
    <row r="11650" spans="1:19" x14ac:dyDescent="0.3">
      <c r="A11650" t="s">
        <v>25190</v>
      </c>
      <c r="B11650" t="s">
        <v>29658</v>
      </c>
      <c r="C11650" t="s">
        <v>29709</v>
      </c>
      <c r="D11650" t="s">
        <v>25191</v>
      </c>
      <c r="E11650" t="s">
        <v>26403</v>
      </c>
      <c r="F11650" t="s">
        <v>26403</v>
      </c>
      <c r="G11650" t="s">
        <v>26404</v>
      </c>
      <c r="H11650" t="s">
        <v>859</v>
      </c>
      <c r="I11650" t="s">
        <v>860</v>
      </c>
      <c r="J11650" t="str">
        <f>"9160076"</f>
        <v>9160076</v>
      </c>
      <c r="K11650">
        <v>2332024652</v>
      </c>
      <c r="L11650">
        <v>2332024652</v>
      </c>
      <c r="M11650" t="s">
        <v>29710</v>
      </c>
      <c r="N11650" t="s">
        <v>26404</v>
      </c>
      <c r="O11650" t="s">
        <v>29711</v>
      </c>
      <c r="P11650">
        <v>59200</v>
      </c>
      <c r="Q11650" t="str">
        <f>"40.628137"</f>
        <v>40.628137</v>
      </c>
      <c r="R11650" t="str">
        <f>"22.067393"</f>
        <v>22.067393</v>
      </c>
      <c r="S11650" t="s">
        <v>26</v>
      </c>
    </row>
    <row r="11651" spans="1:19" x14ac:dyDescent="0.3">
      <c r="A11651" t="s">
        <v>25190</v>
      </c>
      <c r="B11651" t="s">
        <v>29658</v>
      </c>
      <c r="C11651" t="s">
        <v>29712</v>
      </c>
      <c r="D11651" t="s">
        <v>25191</v>
      </c>
      <c r="E11651" t="s">
        <v>26403</v>
      </c>
      <c r="F11651" t="s">
        <v>26403</v>
      </c>
      <c r="G11651" t="s">
        <v>26404</v>
      </c>
      <c r="H11651" t="s">
        <v>859</v>
      </c>
      <c r="I11651" t="s">
        <v>860</v>
      </c>
      <c r="J11651" t="str">
        <f>"9520919"</f>
        <v>9520919</v>
      </c>
      <c r="K11651">
        <v>2332024644</v>
      </c>
      <c r="M11651" t="s">
        <v>29713</v>
      </c>
      <c r="N11651" t="s">
        <v>26407</v>
      </c>
      <c r="O11651" t="s">
        <v>29714</v>
      </c>
      <c r="P11651">
        <v>59200</v>
      </c>
      <c r="Q11651" t="str">
        <f>"40.624825"</f>
        <v>40.624825</v>
      </c>
      <c r="R11651" t="str">
        <f>"22.067119"</f>
        <v>22.067119</v>
      </c>
      <c r="S11651" t="s">
        <v>26</v>
      </c>
    </row>
    <row r="11652" spans="1:19" x14ac:dyDescent="0.3">
      <c r="A11652" t="s">
        <v>25190</v>
      </c>
      <c r="B11652" t="s">
        <v>29658</v>
      </c>
      <c r="C11652" t="s">
        <v>29716</v>
      </c>
      <c r="D11652" t="s">
        <v>25191</v>
      </c>
      <c r="E11652" t="s">
        <v>25192</v>
      </c>
      <c r="F11652" t="s">
        <v>26460</v>
      </c>
      <c r="G11652" t="s">
        <v>29715</v>
      </c>
      <c r="H11652" t="s">
        <v>859</v>
      </c>
      <c r="I11652" t="s">
        <v>860</v>
      </c>
      <c r="J11652" t="str">
        <f>"9160158"</f>
        <v>9160158</v>
      </c>
      <c r="K11652">
        <v>2331044163</v>
      </c>
      <c r="M11652" t="s">
        <v>29717</v>
      </c>
      <c r="N11652" t="s">
        <v>29718</v>
      </c>
      <c r="O11652" t="s">
        <v>29719</v>
      </c>
      <c r="P11652">
        <v>59033</v>
      </c>
      <c r="Q11652" t="str">
        <f>"40.573215"</f>
        <v>40.573215</v>
      </c>
      <c r="R11652" t="str">
        <f>"22.238221"</f>
        <v>22.238221</v>
      </c>
      <c r="S11652" t="s">
        <v>26</v>
      </c>
    </row>
    <row r="11653" spans="1:19" x14ac:dyDescent="0.3">
      <c r="A11653" t="s">
        <v>25190</v>
      </c>
      <c r="B11653" t="s">
        <v>29658</v>
      </c>
      <c r="C11653" t="s">
        <v>29721</v>
      </c>
      <c r="D11653" t="s">
        <v>25191</v>
      </c>
      <c r="E11653" t="s">
        <v>25192</v>
      </c>
      <c r="F11653" t="s">
        <v>25192</v>
      </c>
      <c r="G11653" t="s">
        <v>29720</v>
      </c>
      <c r="H11653" t="s">
        <v>859</v>
      </c>
      <c r="I11653" t="s">
        <v>860</v>
      </c>
      <c r="J11653" t="str">
        <f>"9160180"</f>
        <v>9160180</v>
      </c>
      <c r="K11653">
        <v>2331023176</v>
      </c>
      <c r="M11653" t="s">
        <v>29722</v>
      </c>
      <c r="N11653" t="s">
        <v>29720</v>
      </c>
      <c r="O11653" t="s">
        <v>29723</v>
      </c>
      <c r="P11653">
        <v>59100</v>
      </c>
      <c r="Q11653" t="str">
        <f>"40.492854"</f>
        <v>40.492854</v>
      </c>
      <c r="R11653" t="str">
        <f>"22.179528"</f>
        <v>22.179528</v>
      </c>
      <c r="S11653" t="s">
        <v>26</v>
      </c>
    </row>
    <row r="11654" spans="1:19" x14ac:dyDescent="0.3">
      <c r="A11654" t="s">
        <v>25190</v>
      </c>
      <c r="B11654" t="s">
        <v>29658</v>
      </c>
      <c r="C11654" t="s">
        <v>29725</v>
      </c>
      <c r="D11654" t="s">
        <v>25191</v>
      </c>
      <c r="E11654" t="s">
        <v>26403</v>
      </c>
      <c r="F11654" t="s">
        <v>26478</v>
      </c>
      <c r="G11654" t="s">
        <v>29724</v>
      </c>
      <c r="H11654" t="s">
        <v>859</v>
      </c>
      <c r="I11654" t="s">
        <v>860</v>
      </c>
      <c r="J11654" t="str">
        <f>"9160108"</f>
        <v>9160108</v>
      </c>
      <c r="K11654">
        <v>2332048339</v>
      </c>
      <c r="M11654" t="s">
        <v>29726</v>
      </c>
      <c r="N11654" t="s">
        <v>29724</v>
      </c>
      <c r="O11654" t="s">
        <v>29727</v>
      </c>
      <c r="P11654">
        <v>59034</v>
      </c>
      <c r="Q11654" t="str">
        <f>"40.682600"</f>
        <v>40.682600</v>
      </c>
      <c r="R11654" t="str">
        <f>"22.194411"</f>
        <v>22.194411</v>
      </c>
      <c r="S11654" t="s">
        <v>26</v>
      </c>
    </row>
    <row r="11655" spans="1:19" x14ac:dyDescent="0.3">
      <c r="A11655" t="s">
        <v>25190</v>
      </c>
      <c r="B11655" t="s">
        <v>29658</v>
      </c>
      <c r="C11655" t="s">
        <v>29729</v>
      </c>
      <c r="D11655" t="s">
        <v>25191</v>
      </c>
      <c r="E11655" t="s">
        <v>25192</v>
      </c>
      <c r="F11655" t="s">
        <v>26535</v>
      </c>
      <c r="G11655" t="s">
        <v>29728</v>
      </c>
      <c r="H11655" t="s">
        <v>859</v>
      </c>
      <c r="I11655" t="s">
        <v>860</v>
      </c>
      <c r="J11655" t="str">
        <f>"9160027"</f>
        <v>9160027</v>
      </c>
      <c r="K11655">
        <v>2331096241</v>
      </c>
      <c r="M11655" t="s">
        <v>29730</v>
      </c>
      <c r="N11655" t="s">
        <v>29728</v>
      </c>
      <c r="O11655" t="s">
        <v>29731</v>
      </c>
      <c r="P11655">
        <v>59100</v>
      </c>
      <c r="Q11655" t="str">
        <f>"40.336511"</f>
        <v>40.336511</v>
      </c>
      <c r="R11655" t="str">
        <f>"22.173352"</f>
        <v>22.173352</v>
      </c>
      <c r="S11655" t="s">
        <v>26</v>
      </c>
    </row>
    <row r="11656" spans="1:19" x14ac:dyDescent="0.3">
      <c r="A11656" t="s">
        <v>25190</v>
      </c>
      <c r="B11656" t="s">
        <v>29658</v>
      </c>
      <c r="C11656" t="s">
        <v>29732</v>
      </c>
      <c r="D11656" t="s">
        <v>25191</v>
      </c>
      <c r="E11656" t="s">
        <v>26403</v>
      </c>
      <c r="F11656" t="s">
        <v>26403</v>
      </c>
      <c r="G11656" t="s">
        <v>26404</v>
      </c>
      <c r="H11656" t="s">
        <v>859</v>
      </c>
      <c r="I11656" t="s">
        <v>860</v>
      </c>
      <c r="J11656" t="str">
        <f>"9160222"</f>
        <v>9160222</v>
      </c>
      <c r="K11656">
        <v>2332026210</v>
      </c>
      <c r="L11656">
        <v>2332026210</v>
      </c>
      <c r="M11656" t="s">
        <v>29733</v>
      </c>
      <c r="N11656" t="s">
        <v>26404</v>
      </c>
      <c r="O11656" t="s">
        <v>1969</v>
      </c>
      <c r="P11656">
        <v>59200</v>
      </c>
      <c r="Q11656" t="str">
        <f>"40.627239"</f>
        <v>40.627239</v>
      </c>
      <c r="R11656" t="str">
        <f>"22.062546"</f>
        <v>22.062546</v>
      </c>
      <c r="S11656" t="s">
        <v>26</v>
      </c>
    </row>
    <row r="11657" spans="1:19" x14ac:dyDescent="0.3">
      <c r="A11657" t="s">
        <v>25190</v>
      </c>
      <c r="B11657" t="s">
        <v>29658</v>
      </c>
      <c r="C11657" t="s">
        <v>29734</v>
      </c>
      <c r="D11657" t="s">
        <v>25191</v>
      </c>
      <c r="E11657" t="s">
        <v>26403</v>
      </c>
      <c r="F11657" t="s">
        <v>26478</v>
      </c>
      <c r="G11657" t="s">
        <v>19774</v>
      </c>
      <c r="H11657" t="s">
        <v>859</v>
      </c>
      <c r="I11657" t="s">
        <v>860</v>
      </c>
      <c r="J11657" t="str">
        <f>"9160096"</f>
        <v>9160096</v>
      </c>
      <c r="K11657">
        <v>2332047401</v>
      </c>
      <c r="L11657">
        <v>2332047401</v>
      </c>
      <c r="M11657" t="s">
        <v>29735</v>
      </c>
      <c r="N11657" t="s">
        <v>29736</v>
      </c>
      <c r="O11657" t="s">
        <v>19424</v>
      </c>
      <c r="P11657">
        <v>59034</v>
      </c>
      <c r="Q11657" t="str">
        <f>"41.079283"</f>
        <v>41.079283</v>
      </c>
      <c r="R11657" t="str">
        <f>"22.278296"</f>
        <v>22.278296</v>
      </c>
      <c r="S11657" t="s">
        <v>26</v>
      </c>
    </row>
    <row r="11658" spans="1:19" x14ac:dyDescent="0.3">
      <c r="A11658" t="s">
        <v>25190</v>
      </c>
      <c r="B11658" t="s">
        <v>29658</v>
      </c>
      <c r="C11658" t="s">
        <v>29738</v>
      </c>
      <c r="D11658" t="s">
        <v>25191</v>
      </c>
      <c r="E11658" t="s">
        <v>25192</v>
      </c>
      <c r="F11658" t="s">
        <v>26460</v>
      </c>
      <c r="G11658" t="s">
        <v>29737</v>
      </c>
      <c r="H11658" t="s">
        <v>859</v>
      </c>
      <c r="I11658" t="s">
        <v>860</v>
      </c>
      <c r="J11658" t="str">
        <f>"9160165"</f>
        <v>9160165</v>
      </c>
      <c r="K11658">
        <v>2331090093</v>
      </c>
      <c r="M11658" t="s">
        <v>29739</v>
      </c>
      <c r="N11658" t="s">
        <v>29737</v>
      </c>
      <c r="O11658" t="s">
        <v>29740</v>
      </c>
      <c r="P11658">
        <v>59033</v>
      </c>
      <c r="Q11658" t="str">
        <f>"40.587609"</f>
        <v>40.587609</v>
      </c>
      <c r="R11658" t="str">
        <f>"22.250441"</f>
        <v>22.250441</v>
      </c>
      <c r="S11658" t="s">
        <v>26</v>
      </c>
    </row>
    <row r="11659" spans="1:19" x14ac:dyDescent="0.3">
      <c r="A11659" t="s">
        <v>25190</v>
      </c>
      <c r="B11659" t="s">
        <v>29658</v>
      </c>
      <c r="C11659" t="s">
        <v>29741</v>
      </c>
      <c r="D11659" t="s">
        <v>25191</v>
      </c>
      <c r="E11659" t="s">
        <v>26403</v>
      </c>
      <c r="F11659" t="s">
        <v>26403</v>
      </c>
      <c r="G11659" t="s">
        <v>26404</v>
      </c>
      <c r="H11659" t="s">
        <v>859</v>
      </c>
      <c r="I11659" t="s">
        <v>860</v>
      </c>
      <c r="J11659" t="str">
        <f>"9160077"</f>
        <v>9160077</v>
      </c>
      <c r="K11659">
        <v>2332022074</v>
      </c>
      <c r="L11659">
        <v>2332022074</v>
      </c>
      <c r="M11659" t="s">
        <v>29742</v>
      </c>
      <c r="N11659" t="s">
        <v>26407</v>
      </c>
      <c r="O11659" t="s">
        <v>29743</v>
      </c>
      <c r="P11659">
        <v>59200</v>
      </c>
      <c r="Q11659" t="str">
        <f>"40.629161"</f>
        <v>40.629161</v>
      </c>
      <c r="R11659" t="str">
        <f>"22.089487"</f>
        <v>22.089487</v>
      </c>
      <c r="S11659" t="s">
        <v>26</v>
      </c>
    </row>
    <row r="11660" spans="1:19" x14ac:dyDescent="0.3">
      <c r="A11660" t="s">
        <v>25190</v>
      </c>
      <c r="B11660" t="s">
        <v>29658</v>
      </c>
      <c r="C11660" t="s">
        <v>29744</v>
      </c>
      <c r="D11660" t="s">
        <v>25191</v>
      </c>
      <c r="E11660" t="s">
        <v>25192</v>
      </c>
      <c r="F11660" t="s">
        <v>25192</v>
      </c>
      <c r="G11660" t="s">
        <v>19496</v>
      </c>
      <c r="H11660" t="s">
        <v>859</v>
      </c>
      <c r="I11660" t="s">
        <v>860</v>
      </c>
      <c r="J11660" t="str">
        <f>"9160198"</f>
        <v>9160198</v>
      </c>
      <c r="K11660">
        <v>2331020320</v>
      </c>
      <c r="L11660">
        <v>2331020320</v>
      </c>
      <c r="M11660" t="s">
        <v>29745</v>
      </c>
      <c r="N11660" t="s">
        <v>19496</v>
      </c>
      <c r="O11660" t="s">
        <v>19499</v>
      </c>
      <c r="P11660">
        <v>59100</v>
      </c>
      <c r="Q11660" t="str">
        <f>"40.485030"</f>
        <v>40.485030</v>
      </c>
      <c r="R11660" t="str">
        <f>"22.213696"</f>
        <v>22.213696</v>
      </c>
      <c r="S11660" t="s">
        <v>26</v>
      </c>
    </row>
    <row r="11661" spans="1:19" x14ac:dyDescent="0.3">
      <c r="A11661" t="s">
        <v>25190</v>
      </c>
      <c r="B11661" t="s">
        <v>29658</v>
      </c>
      <c r="C11661" t="s">
        <v>29746</v>
      </c>
      <c r="D11661" t="s">
        <v>25191</v>
      </c>
      <c r="E11661" t="s">
        <v>26403</v>
      </c>
      <c r="F11661" t="s">
        <v>26507</v>
      </c>
      <c r="G11661" t="s">
        <v>26513</v>
      </c>
      <c r="H11661" t="s">
        <v>859</v>
      </c>
      <c r="I11661" t="s">
        <v>860</v>
      </c>
      <c r="J11661" t="str">
        <f>"9160091"</f>
        <v>9160091</v>
      </c>
      <c r="K11661">
        <v>2332044487</v>
      </c>
      <c r="M11661" t="s">
        <v>29747</v>
      </c>
      <c r="N11661" t="s">
        <v>26516</v>
      </c>
      <c r="O11661" t="s">
        <v>29748</v>
      </c>
      <c r="P11661">
        <v>59200</v>
      </c>
      <c r="Q11661" t="str">
        <f>"40.687749"</f>
        <v>40.687749</v>
      </c>
      <c r="R11661" t="str">
        <f>"22.136765"</f>
        <v>22.136765</v>
      </c>
      <c r="S11661" t="s">
        <v>26</v>
      </c>
    </row>
    <row r="11662" spans="1:19" x14ac:dyDescent="0.3">
      <c r="A11662" t="s">
        <v>25190</v>
      </c>
      <c r="B11662" t="s">
        <v>29658</v>
      </c>
      <c r="C11662" t="s">
        <v>29750</v>
      </c>
      <c r="D11662" t="s">
        <v>25191</v>
      </c>
      <c r="E11662" t="s">
        <v>26403</v>
      </c>
      <c r="F11662" t="s">
        <v>26403</v>
      </c>
      <c r="G11662" t="s">
        <v>29749</v>
      </c>
      <c r="H11662" t="s">
        <v>859</v>
      </c>
      <c r="I11662" t="s">
        <v>860</v>
      </c>
      <c r="J11662" t="str">
        <f>"9160111"</f>
        <v>9160111</v>
      </c>
      <c r="K11662">
        <v>2332051358</v>
      </c>
      <c r="L11662">
        <v>2332051358</v>
      </c>
      <c r="M11662" t="s">
        <v>29751</v>
      </c>
      <c r="N11662" t="s">
        <v>29752</v>
      </c>
      <c r="O11662" t="s">
        <v>29752</v>
      </c>
      <c r="P11662">
        <v>59200</v>
      </c>
      <c r="Q11662" t="str">
        <f>"40.690944"</f>
        <v>40.690944</v>
      </c>
      <c r="R11662" t="str">
        <f>"22.019066"</f>
        <v>22.019066</v>
      </c>
      <c r="S11662" t="s">
        <v>26</v>
      </c>
    </row>
    <row r="11663" spans="1:19" x14ac:dyDescent="0.3">
      <c r="A11663" t="s">
        <v>25190</v>
      </c>
      <c r="B11663" t="s">
        <v>29658</v>
      </c>
      <c r="C11663" t="s">
        <v>29753</v>
      </c>
      <c r="D11663" t="s">
        <v>25191</v>
      </c>
      <c r="E11663" t="s">
        <v>26403</v>
      </c>
      <c r="F11663" t="s">
        <v>26403</v>
      </c>
      <c r="G11663" t="s">
        <v>26404</v>
      </c>
      <c r="H11663" t="s">
        <v>859</v>
      </c>
      <c r="I11663" t="s">
        <v>860</v>
      </c>
      <c r="J11663" t="str">
        <f>"9160075"</f>
        <v>9160075</v>
      </c>
      <c r="K11663">
        <v>2332028644</v>
      </c>
      <c r="M11663" t="s">
        <v>29754</v>
      </c>
      <c r="N11663" t="s">
        <v>26404</v>
      </c>
      <c r="O11663" t="s">
        <v>29755</v>
      </c>
      <c r="P11663">
        <v>59200</v>
      </c>
      <c r="Q11663" t="str">
        <f>"40.629161"</f>
        <v>40.629161</v>
      </c>
      <c r="R11663" t="str">
        <f>"22.089487"</f>
        <v>22.089487</v>
      </c>
      <c r="S11663" t="s">
        <v>26</v>
      </c>
    </row>
    <row r="11664" spans="1:19" x14ac:dyDescent="0.3">
      <c r="A11664" t="s">
        <v>25190</v>
      </c>
      <c r="B11664" t="s">
        <v>29658</v>
      </c>
      <c r="C11664" t="s">
        <v>29756</v>
      </c>
      <c r="D11664" t="s">
        <v>25191</v>
      </c>
      <c r="E11664" t="s">
        <v>26403</v>
      </c>
      <c r="F11664" t="s">
        <v>26403</v>
      </c>
      <c r="G11664" t="s">
        <v>26404</v>
      </c>
      <c r="H11664" t="s">
        <v>859</v>
      </c>
      <c r="I11664" t="s">
        <v>860</v>
      </c>
      <c r="J11664" t="str">
        <f>"9160189"</f>
        <v>9160189</v>
      </c>
      <c r="K11664">
        <v>2332024644</v>
      </c>
      <c r="L11664">
        <v>2332024644</v>
      </c>
      <c r="M11664" t="s">
        <v>29757</v>
      </c>
      <c r="N11664" t="s">
        <v>26404</v>
      </c>
      <c r="O11664" t="s">
        <v>29714</v>
      </c>
      <c r="P11664">
        <v>59100</v>
      </c>
      <c r="Q11664" t="str">
        <f>"40.624741"</f>
        <v>40.624741</v>
      </c>
      <c r="R11664" t="str">
        <f>"22.067176"</f>
        <v>22.067176</v>
      </c>
      <c r="S11664" t="s">
        <v>26</v>
      </c>
    </row>
    <row r="11665" spans="1:19" x14ac:dyDescent="0.3">
      <c r="A11665" t="s">
        <v>25190</v>
      </c>
      <c r="B11665" t="s">
        <v>29658</v>
      </c>
      <c r="C11665" t="s">
        <v>29759</v>
      </c>
      <c r="D11665" t="s">
        <v>25191</v>
      </c>
      <c r="E11665" t="s">
        <v>25192</v>
      </c>
      <c r="F11665" t="s">
        <v>29758</v>
      </c>
      <c r="G11665" t="s">
        <v>1872</v>
      </c>
      <c r="H11665" t="s">
        <v>859</v>
      </c>
      <c r="I11665" t="s">
        <v>860</v>
      </c>
      <c r="J11665" t="str">
        <f>"9160139"</f>
        <v>9160139</v>
      </c>
      <c r="K11665">
        <v>2331051325</v>
      </c>
      <c r="M11665" t="s">
        <v>29760</v>
      </c>
      <c r="N11665" t="s">
        <v>12409</v>
      </c>
      <c r="O11665" t="s">
        <v>29761</v>
      </c>
      <c r="P11665">
        <v>59100</v>
      </c>
      <c r="Q11665" t="str">
        <f>"40.600571"</f>
        <v>40.600571</v>
      </c>
      <c r="R11665" t="str">
        <f>"22.195938"</f>
        <v>22.195938</v>
      </c>
      <c r="S11665" t="s">
        <v>26</v>
      </c>
    </row>
    <row r="11666" spans="1:19" x14ac:dyDescent="0.3">
      <c r="A11666" t="s">
        <v>25190</v>
      </c>
      <c r="B11666" t="s">
        <v>29658</v>
      </c>
      <c r="C11666" t="s">
        <v>29762</v>
      </c>
      <c r="D11666" t="s">
        <v>25191</v>
      </c>
      <c r="E11666" t="s">
        <v>25192</v>
      </c>
      <c r="F11666" t="s">
        <v>25192</v>
      </c>
      <c r="G11666" t="s">
        <v>25192</v>
      </c>
      <c r="H11666" t="s">
        <v>859</v>
      </c>
      <c r="I11666" t="s">
        <v>860</v>
      </c>
      <c r="J11666" t="str">
        <f>"9160224"</f>
        <v>9160224</v>
      </c>
      <c r="K11666">
        <v>2331065766</v>
      </c>
      <c r="L11666">
        <v>2331065766</v>
      </c>
      <c r="M11666" t="s">
        <v>29763</v>
      </c>
      <c r="N11666" t="s">
        <v>25192</v>
      </c>
      <c r="O11666" t="s">
        <v>29764</v>
      </c>
      <c r="P11666">
        <v>59100</v>
      </c>
      <c r="Q11666" t="str">
        <f>"40.528600"</f>
        <v>40.528600</v>
      </c>
      <c r="R11666" t="str">
        <f>"22.201524"</f>
        <v>22.201524</v>
      </c>
      <c r="S11666" t="s">
        <v>26</v>
      </c>
    </row>
    <row r="11667" spans="1:19" x14ac:dyDescent="0.3">
      <c r="A11667" t="s">
        <v>25190</v>
      </c>
      <c r="B11667" t="s">
        <v>29658</v>
      </c>
      <c r="C11667" t="s">
        <v>29765</v>
      </c>
      <c r="D11667" t="s">
        <v>25191</v>
      </c>
      <c r="E11667" t="s">
        <v>25192</v>
      </c>
      <c r="F11667" t="s">
        <v>26460</v>
      </c>
      <c r="G11667" t="s">
        <v>18057</v>
      </c>
      <c r="H11667" t="s">
        <v>859</v>
      </c>
      <c r="I11667" t="s">
        <v>860</v>
      </c>
      <c r="J11667" t="str">
        <f>"9160161"</f>
        <v>9160161</v>
      </c>
      <c r="K11667">
        <v>2331041111</v>
      </c>
      <c r="L11667">
        <v>2331041111</v>
      </c>
      <c r="M11667" t="s">
        <v>29766</v>
      </c>
      <c r="N11667" t="s">
        <v>18057</v>
      </c>
      <c r="O11667" t="s">
        <v>29767</v>
      </c>
      <c r="P11667">
        <v>59033</v>
      </c>
      <c r="Q11667" t="str">
        <f>"40.556821"</f>
        <v>40.556821</v>
      </c>
      <c r="R11667" t="str">
        <f>"22.260709"</f>
        <v>22.260709</v>
      </c>
      <c r="S11667" t="s">
        <v>26</v>
      </c>
    </row>
    <row r="11668" spans="1:19" x14ac:dyDescent="0.3">
      <c r="A11668" t="s">
        <v>25190</v>
      </c>
      <c r="B11668" t="s">
        <v>29658</v>
      </c>
      <c r="C11668" t="s">
        <v>29768</v>
      </c>
      <c r="D11668" t="s">
        <v>25191</v>
      </c>
      <c r="E11668" t="s">
        <v>26403</v>
      </c>
      <c r="F11668" t="s">
        <v>26478</v>
      </c>
      <c r="G11668" t="s">
        <v>19774</v>
      </c>
      <c r="H11668" t="s">
        <v>859</v>
      </c>
      <c r="I11668" t="s">
        <v>860</v>
      </c>
      <c r="J11668" t="str">
        <f>"9160097"</f>
        <v>9160097</v>
      </c>
      <c r="K11668">
        <v>2332047790</v>
      </c>
      <c r="M11668" t="s">
        <v>29769</v>
      </c>
      <c r="N11668" t="s">
        <v>29770</v>
      </c>
      <c r="O11668" t="s">
        <v>29771</v>
      </c>
      <c r="P11668">
        <v>59034</v>
      </c>
      <c r="Q11668" t="str">
        <f>"40.656873"</f>
        <v>40.656873</v>
      </c>
      <c r="R11668" t="str">
        <f>"22.226479"</f>
        <v>22.226479</v>
      </c>
      <c r="S11668" t="s">
        <v>26</v>
      </c>
    </row>
    <row r="11669" spans="1:19" x14ac:dyDescent="0.3">
      <c r="A11669" t="s">
        <v>25190</v>
      </c>
      <c r="B11669" t="s">
        <v>29658</v>
      </c>
      <c r="C11669" t="s">
        <v>29773</v>
      </c>
      <c r="D11669" t="s">
        <v>25191</v>
      </c>
      <c r="E11669" t="s">
        <v>26403</v>
      </c>
      <c r="F11669" t="s">
        <v>26403</v>
      </c>
      <c r="G11669" t="s">
        <v>29772</v>
      </c>
      <c r="H11669" t="s">
        <v>859</v>
      </c>
      <c r="I11669" t="s">
        <v>860</v>
      </c>
      <c r="J11669" t="str">
        <f>"9160090"</f>
        <v>9160090</v>
      </c>
      <c r="K11669">
        <v>2332051153</v>
      </c>
      <c r="M11669" t="s">
        <v>29774</v>
      </c>
      <c r="N11669" t="s">
        <v>29772</v>
      </c>
      <c r="O11669" t="s">
        <v>29775</v>
      </c>
      <c r="P11669">
        <v>59200</v>
      </c>
      <c r="Q11669" t="str">
        <f>"40.673174"</f>
        <v>40.673174</v>
      </c>
      <c r="R11669" t="str">
        <f>"22.055004"</f>
        <v>22.055004</v>
      </c>
      <c r="S11669" t="s">
        <v>26</v>
      </c>
    </row>
    <row r="11670" spans="1:19" x14ac:dyDescent="0.3">
      <c r="A11670" t="s">
        <v>25190</v>
      </c>
      <c r="B11670" t="s">
        <v>29658</v>
      </c>
      <c r="C11670" t="s">
        <v>29776</v>
      </c>
      <c r="D11670" t="s">
        <v>25191</v>
      </c>
      <c r="E11670" t="s">
        <v>26403</v>
      </c>
      <c r="F11670" t="s">
        <v>26507</v>
      </c>
      <c r="G11670" t="s">
        <v>26508</v>
      </c>
      <c r="H11670" t="s">
        <v>859</v>
      </c>
      <c r="I11670" t="s">
        <v>860</v>
      </c>
      <c r="J11670" t="str">
        <f>"9160099"</f>
        <v>9160099</v>
      </c>
      <c r="K11670">
        <v>2332041570</v>
      </c>
      <c r="M11670" t="s">
        <v>29777</v>
      </c>
      <c r="N11670" t="s">
        <v>26511</v>
      </c>
      <c r="O11670" t="s">
        <v>26511</v>
      </c>
      <c r="P11670">
        <v>59035</v>
      </c>
      <c r="Q11670" t="str">
        <f>"40.634239"</f>
        <v>40.634239</v>
      </c>
      <c r="R11670" t="str">
        <f>"22.125290"</f>
        <v>22.125290</v>
      </c>
      <c r="S11670" t="s">
        <v>26</v>
      </c>
    </row>
    <row r="11671" spans="1:19" x14ac:dyDescent="0.3">
      <c r="A11671" t="s">
        <v>25190</v>
      </c>
      <c r="B11671" t="s">
        <v>29658</v>
      </c>
      <c r="C11671" t="s">
        <v>29779</v>
      </c>
      <c r="D11671" t="s">
        <v>25191</v>
      </c>
      <c r="E11671" t="s">
        <v>25192</v>
      </c>
      <c r="F11671" t="s">
        <v>26485</v>
      </c>
      <c r="G11671" t="s">
        <v>29778</v>
      </c>
      <c r="H11671" t="s">
        <v>859</v>
      </c>
      <c r="I11671" t="s">
        <v>860</v>
      </c>
      <c r="J11671" t="str">
        <f>"9160044"</f>
        <v>9160044</v>
      </c>
      <c r="K11671">
        <v>2331092215</v>
      </c>
      <c r="M11671" t="s">
        <v>29780</v>
      </c>
      <c r="N11671" t="s">
        <v>29781</v>
      </c>
      <c r="O11671" t="s">
        <v>29781</v>
      </c>
      <c r="P11671">
        <v>59031</v>
      </c>
      <c r="Q11671" t="str">
        <f>"40.488679"</f>
        <v>40.488679</v>
      </c>
      <c r="R11671" t="str">
        <f>"22.350419"</f>
        <v>22.350419</v>
      </c>
      <c r="S11671" t="s">
        <v>26</v>
      </c>
    </row>
    <row r="11672" spans="1:19" x14ac:dyDescent="0.3">
      <c r="A11672" t="s">
        <v>25190</v>
      </c>
      <c r="B11672" t="s">
        <v>29658</v>
      </c>
      <c r="C11672" t="s">
        <v>29783</v>
      </c>
      <c r="D11672" t="s">
        <v>25191</v>
      </c>
      <c r="E11672" t="s">
        <v>26403</v>
      </c>
      <c r="F11672" t="s">
        <v>26507</v>
      </c>
      <c r="G11672" t="s">
        <v>29782</v>
      </c>
      <c r="H11672" t="s">
        <v>859</v>
      </c>
      <c r="I11672" t="s">
        <v>860</v>
      </c>
      <c r="J11672" t="str">
        <f>"9160102"</f>
        <v>9160102</v>
      </c>
      <c r="K11672">
        <v>2332042299</v>
      </c>
      <c r="M11672" t="s">
        <v>29784</v>
      </c>
      <c r="N11672" t="s">
        <v>29782</v>
      </c>
      <c r="O11672" t="s">
        <v>29785</v>
      </c>
      <c r="P11672">
        <v>59035</v>
      </c>
      <c r="Q11672" t="str">
        <f>"40.650613"</f>
        <v>40.650613</v>
      </c>
      <c r="R11672" t="str">
        <f>"22.117609"</f>
        <v>22.117609</v>
      </c>
      <c r="S11672" t="s">
        <v>26</v>
      </c>
    </row>
    <row r="11673" spans="1:19" x14ac:dyDescent="0.3">
      <c r="A11673" t="s">
        <v>25190</v>
      </c>
      <c r="B11673" t="s">
        <v>29658</v>
      </c>
      <c r="C11673" t="s">
        <v>29786</v>
      </c>
      <c r="D11673" t="s">
        <v>25191</v>
      </c>
      <c r="E11673" t="s">
        <v>25192</v>
      </c>
      <c r="F11673" t="s">
        <v>29758</v>
      </c>
      <c r="G11673" t="s">
        <v>13279</v>
      </c>
      <c r="H11673" t="s">
        <v>859</v>
      </c>
      <c r="I11673" t="s">
        <v>860</v>
      </c>
      <c r="J11673" t="str">
        <f>"9160137"</f>
        <v>9160137</v>
      </c>
      <c r="K11673">
        <v>2331051243</v>
      </c>
      <c r="M11673" t="s">
        <v>29787</v>
      </c>
      <c r="N11673" t="s">
        <v>8190</v>
      </c>
      <c r="O11673" t="s">
        <v>8190</v>
      </c>
      <c r="P11673">
        <v>59100</v>
      </c>
      <c r="Q11673" t="str">
        <f>"40.597946"</f>
        <v>40.597946</v>
      </c>
      <c r="R11673" t="str">
        <f>"22.214570"</f>
        <v>22.214570</v>
      </c>
      <c r="S11673" t="s">
        <v>26</v>
      </c>
    </row>
    <row r="11674" spans="1:19" x14ac:dyDescent="0.3">
      <c r="A11674" t="s">
        <v>25190</v>
      </c>
      <c r="B11674" t="s">
        <v>29658</v>
      </c>
      <c r="C11674" t="s">
        <v>29788</v>
      </c>
      <c r="D11674" t="s">
        <v>25191</v>
      </c>
      <c r="E11674" t="s">
        <v>25192</v>
      </c>
      <c r="F11674" t="s">
        <v>26460</v>
      </c>
      <c r="G11674" t="s">
        <v>15967</v>
      </c>
      <c r="H11674" t="s">
        <v>859</v>
      </c>
      <c r="I11674" t="s">
        <v>860</v>
      </c>
      <c r="J11674" t="str">
        <f>"9160154"</f>
        <v>9160154</v>
      </c>
      <c r="K11674">
        <v>2331097157</v>
      </c>
      <c r="M11674" t="s">
        <v>29789</v>
      </c>
      <c r="N11674" t="s">
        <v>15967</v>
      </c>
      <c r="O11674" t="s">
        <v>29790</v>
      </c>
      <c r="P11674">
        <v>59033</v>
      </c>
      <c r="Q11674" t="str">
        <f>"40.549288"</f>
        <v>40.549288</v>
      </c>
      <c r="R11674" t="str">
        <f>"22.314436"</f>
        <v>22.314436</v>
      </c>
      <c r="S11674" t="s">
        <v>26</v>
      </c>
    </row>
    <row r="11675" spans="1:19" x14ac:dyDescent="0.3">
      <c r="A11675" t="s">
        <v>25190</v>
      </c>
      <c r="B11675" t="s">
        <v>29658</v>
      </c>
      <c r="C11675" t="s">
        <v>29791</v>
      </c>
      <c r="D11675" t="s">
        <v>25191</v>
      </c>
      <c r="E11675" t="s">
        <v>25192</v>
      </c>
      <c r="F11675" t="s">
        <v>26535</v>
      </c>
      <c r="G11675" t="s">
        <v>26536</v>
      </c>
      <c r="H11675" t="s">
        <v>859</v>
      </c>
      <c r="I11675" t="s">
        <v>860</v>
      </c>
      <c r="J11675" t="str">
        <f>"9160059"</f>
        <v>9160059</v>
      </c>
      <c r="K11675">
        <v>2331096530</v>
      </c>
      <c r="M11675" t="s">
        <v>29792</v>
      </c>
      <c r="N11675" t="s">
        <v>26536</v>
      </c>
      <c r="O11675" t="s">
        <v>29793</v>
      </c>
      <c r="P11675">
        <v>59100</v>
      </c>
      <c r="Q11675" t="str">
        <f>"40.352093"</f>
        <v>40.352093</v>
      </c>
      <c r="R11675" t="str">
        <f>"22.209173"</f>
        <v>22.209173</v>
      </c>
      <c r="S11675" t="s">
        <v>26</v>
      </c>
    </row>
    <row r="11676" spans="1:19" x14ac:dyDescent="0.3">
      <c r="A11676" t="s">
        <v>25190</v>
      </c>
      <c r="B11676" t="s">
        <v>29658</v>
      </c>
      <c r="C11676" t="s">
        <v>29794</v>
      </c>
      <c r="D11676" t="s">
        <v>25191</v>
      </c>
      <c r="E11676" t="s">
        <v>25192</v>
      </c>
      <c r="F11676" t="s">
        <v>25192</v>
      </c>
      <c r="G11676" t="s">
        <v>25192</v>
      </c>
      <c r="H11676" t="s">
        <v>859</v>
      </c>
      <c r="I11676" t="s">
        <v>860</v>
      </c>
      <c r="J11676" t="str">
        <f>"9160202"</f>
        <v>9160202</v>
      </c>
      <c r="K11676">
        <v>2331041339</v>
      </c>
      <c r="M11676" t="s">
        <v>29795</v>
      </c>
      <c r="N11676" t="s">
        <v>29796</v>
      </c>
      <c r="O11676" t="s">
        <v>29797</v>
      </c>
      <c r="P11676">
        <v>59100</v>
      </c>
      <c r="Q11676" t="str">
        <f>"40.525583"</f>
        <v>40.525583</v>
      </c>
      <c r="R11676" t="str">
        <f>"22.267643"</f>
        <v>22.267643</v>
      </c>
      <c r="S11676" t="s">
        <v>26</v>
      </c>
    </row>
    <row r="11677" spans="1:19" x14ac:dyDescent="0.3">
      <c r="A11677" t="s">
        <v>25190</v>
      </c>
      <c r="B11677" t="s">
        <v>29658</v>
      </c>
      <c r="C11677" t="s">
        <v>29798</v>
      </c>
      <c r="D11677" t="s">
        <v>25191</v>
      </c>
      <c r="E11677" t="s">
        <v>25192</v>
      </c>
      <c r="F11677" t="s">
        <v>25192</v>
      </c>
      <c r="G11677" t="s">
        <v>25192</v>
      </c>
      <c r="H11677" t="s">
        <v>859</v>
      </c>
      <c r="I11677" t="s">
        <v>860</v>
      </c>
      <c r="J11677" t="str">
        <f>"9160119"</f>
        <v>9160119</v>
      </c>
      <c r="K11677">
        <v>2331072850</v>
      </c>
      <c r="L11677">
        <v>2331072850</v>
      </c>
      <c r="M11677" t="s">
        <v>29799</v>
      </c>
      <c r="N11677" t="s">
        <v>25192</v>
      </c>
      <c r="O11677" t="s">
        <v>29800</v>
      </c>
      <c r="P11677">
        <v>59132</v>
      </c>
      <c r="Q11677" t="str">
        <f>"40.524951"</f>
        <v>40.524951</v>
      </c>
      <c r="R11677" t="str">
        <f>"22.204440"</f>
        <v>22.204440</v>
      </c>
      <c r="S11677" t="s">
        <v>26</v>
      </c>
    </row>
    <row r="11678" spans="1:19" x14ac:dyDescent="0.3">
      <c r="A11678" t="s">
        <v>25190</v>
      </c>
      <c r="B11678" t="s">
        <v>29658</v>
      </c>
      <c r="C11678" t="s">
        <v>29801</v>
      </c>
      <c r="D11678" t="s">
        <v>25191</v>
      </c>
      <c r="E11678" t="s">
        <v>25192</v>
      </c>
      <c r="F11678" t="s">
        <v>26460</v>
      </c>
      <c r="G11678" t="s">
        <v>18057</v>
      </c>
      <c r="H11678" t="s">
        <v>859</v>
      </c>
      <c r="I11678" t="s">
        <v>860</v>
      </c>
      <c r="J11678" t="str">
        <f>"9160162"</f>
        <v>9160162</v>
      </c>
      <c r="K11678">
        <v>2331041838</v>
      </c>
      <c r="L11678">
        <v>2331041838</v>
      </c>
      <c r="M11678" t="s">
        <v>29802</v>
      </c>
      <c r="N11678" t="s">
        <v>18057</v>
      </c>
      <c r="O11678" t="s">
        <v>29803</v>
      </c>
      <c r="P11678">
        <v>59033</v>
      </c>
      <c r="Q11678" t="str">
        <f>"40.548099"</f>
        <v>40.548099</v>
      </c>
      <c r="R11678" t="str">
        <f>"22.240165"</f>
        <v>22.240165</v>
      </c>
      <c r="S11678" t="s">
        <v>26</v>
      </c>
    </row>
    <row r="11679" spans="1:19" x14ac:dyDescent="0.3">
      <c r="A11679" t="s">
        <v>25190</v>
      </c>
      <c r="B11679" t="s">
        <v>29658</v>
      </c>
      <c r="C11679" t="s">
        <v>29805</v>
      </c>
      <c r="D11679" t="s">
        <v>25191</v>
      </c>
      <c r="E11679" t="s">
        <v>26403</v>
      </c>
      <c r="F11679" t="s">
        <v>26507</v>
      </c>
      <c r="G11679" t="s">
        <v>29804</v>
      </c>
      <c r="H11679" t="s">
        <v>859</v>
      </c>
      <c r="I11679" t="s">
        <v>860</v>
      </c>
      <c r="J11679" t="str">
        <f>"9160115"</f>
        <v>9160115</v>
      </c>
      <c r="K11679">
        <v>2332041477</v>
      </c>
      <c r="M11679" t="s">
        <v>29806</v>
      </c>
      <c r="N11679" t="s">
        <v>29807</v>
      </c>
      <c r="O11679" t="s">
        <v>29808</v>
      </c>
      <c r="P11679">
        <v>59035</v>
      </c>
      <c r="Q11679" t="str">
        <f>"40.652300"</f>
        <v>40.652300</v>
      </c>
      <c r="R11679" t="str">
        <f>"22.166308"</f>
        <v>22.166308</v>
      </c>
      <c r="S11679" t="s">
        <v>26</v>
      </c>
    </row>
    <row r="11680" spans="1:19" x14ac:dyDescent="0.3">
      <c r="A11680" t="s">
        <v>25190</v>
      </c>
      <c r="B11680" t="s">
        <v>29658</v>
      </c>
      <c r="C11680" t="s">
        <v>29809</v>
      </c>
      <c r="D11680" t="s">
        <v>25191</v>
      </c>
      <c r="E11680" t="s">
        <v>25192</v>
      </c>
      <c r="F11680" t="s">
        <v>25192</v>
      </c>
      <c r="G11680" t="s">
        <v>25192</v>
      </c>
      <c r="H11680" t="s">
        <v>859</v>
      </c>
      <c r="I11680" t="s">
        <v>860</v>
      </c>
      <c r="J11680" t="str">
        <f>"9160118"</f>
        <v>9160118</v>
      </c>
      <c r="K11680">
        <v>2331021900</v>
      </c>
      <c r="L11680">
        <v>2331021900</v>
      </c>
      <c r="M11680" t="s">
        <v>29810</v>
      </c>
      <c r="N11680" t="s">
        <v>25192</v>
      </c>
      <c r="O11680" t="s">
        <v>29811</v>
      </c>
      <c r="P11680">
        <v>59100</v>
      </c>
      <c r="Q11680" t="str">
        <f>"40.523155"</f>
        <v>40.523155</v>
      </c>
      <c r="R11680" t="str">
        <f>"22.204844"</f>
        <v>22.204844</v>
      </c>
      <c r="S11680" t="s">
        <v>26</v>
      </c>
    </row>
    <row r="11681" spans="1:19" x14ac:dyDescent="0.3">
      <c r="A11681" t="s">
        <v>25190</v>
      </c>
      <c r="B11681" t="s">
        <v>29658</v>
      </c>
      <c r="C11681" t="s">
        <v>29812</v>
      </c>
      <c r="D11681" t="s">
        <v>25191</v>
      </c>
      <c r="E11681" t="s">
        <v>25192</v>
      </c>
      <c r="F11681" t="s">
        <v>25192</v>
      </c>
      <c r="G11681" t="s">
        <v>25192</v>
      </c>
      <c r="H11681" t="s">
        <v>859</v>
      </c>
      <c r="I11681" t="s">
        <v>860</v>
      </c>
      <c r="J11681" t="str">
        <f>"9160015"</f>
        <v>9160015</v>
      </c>
      <c r="K11681">
        <v>2331071671</v>
      </c>
      <c r="M11681" t="s">
        <v>29813</v>
      </c>
      <c r="N11681" t="s">
        <v>25195</v>
      </c>
      <c r="O11681" t="s">
        <v>29814</v>
      </c>
      <c r="P11681">
        <v>59132</v>
      </c>
      <c r="Q11681" t="str">
        <f>"40.519707"</f>
        <v>40.519707</v>
      </c>
      <c r="R11681" t="str">
        <f>"22.205539"</f>
        <v>22.205539</v>
      </c>
      <c r="S11681" t="s">
        <v>26</v>
      </c>
    </row>
    <row r="11682" spans="1:19" x14ac:dyDescent="0.3">
      <c r="A11682" t="s">
        <v>25190</v>
      </c>
      <c r="B11682" t="s">
        <v>29658</v>
      </c>
      <c r="C11682" t="s">
        <v>29815</v>
      </c>
      <c r="D11682" t="s">
        <v>25191</v>
      </c>
      <c r="E11682" t="s">
        <v>25192</v>
      </c>
      <c r="F11682" t="s">
        <v>26485</v>
      </c>
      <c r="G11682" t="s">
        <v>26486</v>
      </c>
      <c r="H11682" t="s">
        <v>859</v>
      </c>
      <c r="I11682" t="s">
        <v>860</v>
      </c>
      <c r="J11682" t="str">
        <f>"9160025"</f>
        <v>9160025</v>
      </c>
      <c r="K11682">
        <v>2331092496</v>
      </c>
      <c r="L11682">
        <v>2331092496</v>
      </c>
      <c r="M11682" t="s">
        <v>29816</v>
      </c>
      <c r="N11682" t="s">
        <v>26485</v>
      </c>
      <c r="O11682" t="s">
        <v>26489</v>
      </c>
      <c r="P11682">
        <v>59031</v>
      </c>
      <c r="Q11682" t="str">
        <f>"40.487201"</f>
        <v>40.487201</v>
      </c>
      <c r="R11682" t="str">
        <f>"22.311179"</f>
        <v>22.311179</v>
      </c>
      <c r="S11682" t="s">
        <v>26</v>
      </c>
    </row>
    <row r="11683" spans="1:19" x14ac:dyDescent="0.3">
      <c r="A11683" t="s">
        <v>25190</v>
      </c>
      <c r="B11683" t="s">
        <v>29658</v>
      </c>
      <c r="C11683" t="s">
        <v>29818</v>
      </c>
      <c r="D11683" t="s">
        <v>25191</v>
      </c>
      <c r="E11683" t="s">
        <v>25192</v>
      </c>
      <c r="F11683" t="s">
        <v>26535</v>
      </c>
      <c r="G11683" t="s">
        <v>29817</v>
      </c>
      <c r="H11683" t="s">
        <v>859</v>
      </c>
      <c r="I11683" t="s">
        <v>860</v>
      </c>
      <c r="J11683" t="str">
        <f>"9160061"</f>
        <v>9160061</v>
      </c>
      <c r="K11683">
        <v>2331094213</v>
      </c>
      <c r="M11683" t="s">
        <v>29819</v>
      </c>
      <c r="N11683" t="s">
        <v>29817</v>
      </c>
      <c r="O11683" t="s">
        <v>29820</v>
      </c>
      <c r="P11683">
        <v>59100</v>
      </c>
      <c r="Q11683" t="str">
        <f>"38.151059"</f>
        <v>38.151059</v>
      </c>
      <c r="R11683" t="str">
        <f>"24.003939"</f>
        <v>24.003939</v>
      </c>
      <c r="S11683" t="s">
        <v>26</v>
      </c>
    </row>
    <row r="11684" spans="1:19" x14ac:dyDescent="0.3">
      <c r="A11684" t="s">
        <v>25190</v>
      </c>
      <c r="B11684" t="s">
        <v>29658</v>
      </c>
      <c r="C11684" t="s">
        <v>29821</v>
      </c>
      <c r="D11684" t="s">
        <v>25191</v>
      </c>
      <c r="E11684" t="s">
        <v>25192</v>
      </c>
      <c r="F11684" t="s">
        <v>26460</v>
      </c>
      <c r="G11684" t="s">
        <v>18057</v>
      </c>
      <c r="H11684" t="s">
        <v>859</v>
      </c>
      <c r="I11684" t="s">
        <v>860</v>
      </c>
      <c r="J11684" t="str">
        <f>"9160211"</f>
        <v>9160211</v>
      </c>
      <c r="K11684">
        <v>2331042024</v>
      </c>
      <c r="L11684">
        <v>2331042024</v>
      </c>
      <c r="M11684" t="s">
        <v>29822</v>
      </c>
      <c r="N11684" t="s">
        <v>18057</v>
      </c>
      <c r="O11684" t="s">
        <v>21250</v>
      </c>
      <c r="P11684">
        <v>59033</v>
      </c>
      <c r="Q11684" t="str">
        <f>"40.553857"</f>
        <v>40.553857</v>
      </c>
      <c r="R11684" t="str">
        <f>"22.250390"</f>
        <v>22.250390</v>
      </c>
      <c r="S11684" t="s">
        <v>26</v>
      </c>
    </row>
    <row r="11685" spans="1:19" x14ac:dyDescent="0.3">
      <c r="A11685" t="s">
        <v>25190</v>
      </c>
      <c r="B11685" t="s">
        <v>29658</v>
      </c>
      <c r="C11685" t="s">
        <v>29823</v>
      </c>
      <c r="D11685" t="s">
        <v>25191</v>
      </c>
      <c r="E11685" t="s">
        <v>26414</v>
      </c>
      <c r="F11685" t="s">
        <v>13055</v>
      </c>
      <c r="G11685" t="s">
        <v>13386</v>
      </c>
      <c r="H11685" t="s">
        <v>859</v>
      </c>
      <c r="I11685" t="s">
        <v>860</v>
      </c>
      <c r="J11685" t="str">
        <f>"9160047"</f>
        <v>9160047</v>
      </c>
      <c r="K11685">
        <v>2333071254</v>
      </c>
      <c r="L11685">
        <v>2333071254</v>
      </c>
      <c r="M11685" t="s">
        <v>29824</v>
      </c>
      <c r="N11685" t="s">
        <v>13386</v>
      </c>
      <c r="O11685" t="s">
        <v>13389</v>
      </c>
      <c r="P11685">
        <v>59032</v>
      </c>
      <c r="Q11685" t="str">
        <f>"40.561660"</f>
        <v>40.561660</v>
      </c>
      <c r="R11685" t="str">
        <f>"22.548998"</f>
        <v>22.548998</v>
      </c>
      <c r="S11685" t="s">
        <v>26</v>
      </c>
    </row>
    <row r="11686" spans="1:19" x14ac:dyDescent="0.3">
      <c r="A11686" t="s">
        <v>25190</v>
      </c>
      <c r="B11686" t="s">
        <v>29658</v>
      </c>
      <c r="C11686" t="s">
        <v>29825</v>
      </c>
      <c r="D11686" t="s">
        <v>25191</v>
      </c>
      <c r="E11686" t="s">
        <v>25192</v>
      </c>
      <c r="F11686" t="s">
        <v>25192</v>
      </c>
      <c r="G11686" t="s">
        <v>25192</v>
      </c>
      <c r="H11686" t="s">
        <v>859</v>
      </c>
      <c r="I11686" t="s">
        <v>860</v>
      </c>
      <c r="J11686" t="str">
        <f>"9160187"</f>
        <v>9160187</v>
      </c>
      <c r="K11686">
        <v>2331073782</v>
      </c>
      <c r="L11686">
        <v>2331073782</v>
      </c>
      <c r="M11686" t="s">
        <v>29826</v>
      </c>
      <c r="N11686" t="s">
        <v>25192</v>
      </c>
      <c r="O11686" t="s">
        <v>29827</v>
      </c>
      <c r="P11686">
        <v>59100</v>
      </c>
      <c r="Q11686" t="str">
        <f>"40.531824"</f>
        <v>40.531824</v>
      </c>
      <c r="R11686" t="str">
        <f>"22.202129"</f>
        <v>22.202129</v>
      </c>
      <c r="S11686" t="s">
        <v>26</v>
      </c>
    </row>
    <row r="11687" spans="1:19" x14ac:dyDescent="0.3">
      <c r="A11687" t="s">
        <v>25190</v>
      </c>
      <c r="B11687" t="s">
        <v>29658</v>
      </c>
      <c r="C11687" t="s">
        <v>29828</v>
      </c>
      <c r="D11687" t="s">
        <v>25191</v>
      </c>
      <c r="E11687" t="s">
        <v>25192</v>
      </c>
      <c r="F11687" t="s">
        <v>25192</v>
      </c>
      <c r="G11687" t="s">
        <v>25192</v>
      </c>
      <c r="H11687" t="s">
        <v>859</v>
      </c>
      <c r="I11687" t="s">
        <v>860</v>
      </c>
      <c r="J11687" t="str">
        <f>"9160065"</f>
        <v>9160065</v>
      </c>
      <c r="K11687">
        <v>2331022273</v>
      </c>
      <c r="L11687">
        <v>2331022273</v>
      </c>
      <c r="M11687" t="s">
        <v>29829</v>
      </c>
      <c r="N11687" t="s">
        <v>25192</v>
      </c>
      <c r="O11687" t="s">
        <v>29830</v>
      </c>
      <c r="P11687">
        <v>59132</v>
      </c>
      <c r="Q11687" t="str">
        <f>"40.523221"</f>
        <v>40.523221</v>
      </c>
      <c r="R11687" t="str">
        <f>"22.197558"</f>
        <v>22.197558</v>
      </c>
      <c r="S11687" t="s">
        <v>26</v>
      </c>
    </row>
    <row r="11688" spans="1:19" x14ac:dyDescent="0.3">
      <c r="A11688" t="s">
        <v>25190</v>
      </c>
      <c r="B11688" t="s">
        <v>29658</v>
      </c>
      <c r="C11688" t="s">
        <v>29831</v>
      </c>
      <c r="D11688" t="s">
        <v>25191</v>
      </c>
      <c r="E11688" t="s">
        <v>25192</v>
      </c>
      <c r="F11688" t="s">
        <v>25192</v>
      </c>
      <c r="G11688" t="s">
        <v>25192</v>
      </c>
      <c r="H11688" t="s">
        <v>859</v>
      </c>
      <c r="I11688" t="s">
        <v>860</v>
      </c>
      <c r="J11688" t="str">
        <f>"9160066"</f>
        <v>9160066</v>
      </c>
      <c r="K11688">
        <v>2331073445</v>
      </c>
      <c r="M11688" t="s">
        <v>29832</v>
      </c>
      <c r="N11688" t="s">
        <v>25195</v>
      </c>
      <c r="O11688" t="s">
        <v>29681</v>
      </c>
      <c r="P11688">
        <v>59131</v>
      </c>
      <c r="Q11688" t="str">
        <f>"40.529336"</f>
        <v>40.529336</v>
      </c>
      <c r="R11688" t="str">
        <f>"22.197546"</f>
        <v>22.197546</v>
      </c>
      <c r="S11688" t="s">
        <v>26</v>
      </c>
    </row>
    <row r="11689" spans="1:19" x14ac:dyDescent="0.3">
      <c r="A11689" t="s">
        <v>25190</v>
      </c>
      <c r="B11689" t="s">
        <v>29658</v>
      </c>
      <c r="C11689" t="s">
        <v>29833</v>
      </c>
      <c r="D11689" t="s">
        <v>25191</v>
      </c>
      <c r="E11689" t="s">
        <v>25192</v>
      </c>
      <c r="F11689" t="s">
        <v>25192</v>
      </c>
      <c r="G11689" t="s">
        <v>25192</v>
      </c>
      <c r="H11689" t="s">
        <v>859</v>
      </c>
      <c r="I11689" t="s">
        <v>860</v>
      </c>
      <c r="J11689" t="str">
        <f>"9160014"</f>
        <v>9160014</v>
      </c>
      <c r="K11689">
        <v>2331063555</v>
      </c>
      <c r="L11689">
        <v>2331063555</v>
      </c>
      <c r="M11689" t="s">
        <v>29834</v>
      </c>
      <c r="N11689" t="s">
        <v>25192</v>
      </c>
      <c r="O11689" t="s">
        <v>29835</v>
      </c>
      <c r="P11689">
        <v>59100</v>
      </c>
      <c r="Q11689" t="str">
        <f>"40.512726"</f>
        <v>40.512726</v>
      </c>
      <c r="R11689" t="str">
        <f>"22.209451"</f>
        <v>22.209451</v>
      </c>
      <c r="S11689" t="s">
        <v>26</v>
      </c>
    </row>
    <row r="11690" spans="1:19" x14ac:dyDescent="0.3">
      <c r="A11690" t="s">
        <v>25190</v>
      </c>
      <c r="B11690" t="s">
        <v>29658</v>
      </c>
      <c r="C11690" t="s">
        <v>29836</v>
      </c>
      <c r="D11690" t="s">
        <v>25191</v>
      </c>
      <c r="E11690" t="s">
        <v>26414</v>
      </c>
      <c r="F11690" t="s">
        <v>13055</v>
      </c>
      <c r="G11690" t="s">
        <v>20680</v>
      </c>
      <c r="H11690" t="s">
        <v>859</v>
      </c>
      <c r="I11690" t="s">
        <v>860</v>
      </c>
      <c r="J11690" t="str">
        <f>"9160064"</f>
        <v>9160064</v>
      </c>
      <c r="K11690">
        <v>2333081123</v>
      </c>
      <c r="M11690" t="s">
        <v>29837</v>
      </c>
      <c r="N11690" t="s">
        <v>20680</v>
      </c>
      <c r="O11690" t="s">
        <v>20684</v>
      </c>
      <c r="P11690">
        <v>59032</v>
      </c>
      <c r="Q11690" t="str">
        <f>"40.600101"</f>
        <v>40.600101</v>
      </c>
      <c r="R11690" t="str">
        <f>"22.554049"</f>
        <v>22.554049</v>
      </c>
      <c r="S11690" t="s">
        <v>26</v>
      </c>
    </row>
    <row r="11691" spans="1:19" x14ac:dyDescent="0.3">
      <c r="A11691" t="s">
        <v>25190</v>
      </c>
      <c r="B11691" t="s">
        <v>29658</v>
      </c>
      <c r="C11691" t="s">
        <v>29839</v>
      </c>
      <c r="D11691" t="s">
        <v>25191</v>
      </c>
      <c r="E11691" t="s">
        <v>26414</v>
      </c>
      <c r="F11691" t="s">
        <v>13055</v>
      </c>
      <c r="G11691" t="s">
        <v>29838</v>
      </c>
      <c r="H11691" t="s">
        <v>859</v>
      </c>
      <c r="I11691" t="s">
        <v>860</v>
      </c>
      <c r="J11691" t="str">
        <f>"9160037"</f>
        <v>9160037</v>
      </c>
      <c r="K11691">
        <v>2333064628</v>
      </c>
      <c r="M11691" t="s">
        <v>29840</v>
      </c>
      <c r="N11691" t="s">
        <v>1684</v>
      </c>
      <c r="O11691" t="s">
        <v>1687</v>
      </c>
      <c r="P11691">
        <v>59300</v>
      </c>
      <c r="Q11691" t="str">
        <f>"40.634851"</f>
        <v>40.634851</v>
      </c>
      <c r="R11691" t="str">
        <f>"22.492762"</f>
        <v>22.492762</v>
      </c>
      <c r="S11691" t="s">
        <v>26</v>
      </c>
    </row>
    <row r="11692" spans="1:19" x14ac:dyDescent="0.3">
      <c r="A11692" t="s">
        <v>25190</v>
      </c>
      <c r="B11692" t="s">
        <v>29658</v>
      </c>
      <c r="C11692" t="s">
        <v>29841</v>
      </c>
      <c r="D11692" t="s">
        <v>25191</v>
      </c>
      <c r="E11692" t="s">
        <v>26414</v>
      </c>
      <c r="F11692" t="s">
        <v>13055</v>
      </c>
      <c r="G11692" t="s">
        <v>19570</v>
      </c>
      <c r="H11692" t="s">
        <v>859</v>
      </c>
      <c r="I11692" t="s">
        <v>860</v>
      </c>
      <c r="J11692" t="str">
        <f>"9160029"</f>
        <v>9160029</v>
      </c>
      <c r="K11692">
        <v>2333071090</v>
      </c>
      <c r="M11692" t="s">
        <v>29842</v>
      </c>
      <c r="N11692" t="s">
        <v>19570</v>
      </c>
      <c r="O11692" t="s">
        <v>19573</v>
      </c>
      <c r="P11692">
        <v>59300</v>
      </c>
      <c r="Q11692" t="str">
        <f>"40.569108"</f>
        <v>40.569108</v>
      </c>
      <c r="R11692" t="str">
        <f>"22.589848"</f>
        <v>22.589848</v>
      </c>
      <c r="S11692" t="s">
        <v>26</v>
      </c>
    </row>
    <row r="11693" spans="1:19" x14ac:dyDescent="0.3">
      <c r="A11693" t="s">
        <v>25190</v>
      </c>
      <c r="B11693" t="s">
        <v>29658</v>
      </c>
      <c r="C11693" t="s">
        <v>29843</v>
      </c>
      <c r="D11693" t="s">
        <v>25191</v>
      </c>
      <c r="E11693" t="s">
        <v>26414</v>
      </c>
      <c r="F11693" t="s">
        <v>13055</v>
      </c>
      <c r="G11693" t="s">
        <v>29838</v>
      </c>
      <c r="H11693" t="s">
        <v>859</v>
      </c>
      <c r="I11693" t="s">
        <v>860</v>
      </c>
      <c r="J11693" t="str">
        <f>"9160036"</f>
        <v>9160036</v>
      </c>
      <c r="K11693">
        <v>2333063308</v>
      </c>
      <c r="L11693">
        <v>2333063308</v>
      </c>
      <c r="M11693" t="s">
        <v>29844</v>
      </c>
      <c r="N11693" t="s">
        <v>29838</v>
      </c>
      <c r="O11693" t="s">
        <v>29845</v>
      </c>
      <c r="P11693">
        <v>59032</v>
      </c>
      <c r="Q11693" t="str">
        <f>"40.634962"</f>
        <v>40.634962</v>
      </c>
      <c r="R11693" t="str">
        <f>"22.508752"</f>
        <v>22.508752</v>
      </c>
      <c r="S11693" t="s">
        <v>26</v>
      </c>
    </row>
    <row r="11694" spans="1:19" x14ac:dyDescent="0.3">
      <c r="A11694" t="s">
        <v>25190</v>
      </c>
      <c r="B11694" t="s">
        <v>29658</v>
      </c>
      <c r="C11694" t="s">
        <v>29846</v>
      </c>
      <c r="D11694" t="s">
        <v>25191</v>
      </c>
      <c r="E11694" t="s">
        <v>26414</v>
      </c>
      <c r="F11694" t="s">
        <v>13055</v>
      </c>
      <c r="G11694" t="s">
        <v>13055</v>
      </c>
      <c r="H11694" t="s">
        <v>859</v>
      </c>
      <c r="I11694" t="s">
        <v>860</v>
      </c>
      <c r="J11694" t="str">
        <f>"9520840"</f>
        <v>9520840</v>
      </c>
      <c r="K11694">
        <v>2333053849</v>
      </c>
      <c r="L11694">
        <v>2333053849</v>
      </c>
      <c r="M11694" t="s">
        <v>29847</v>
      </c>
      <c r="N11694" t="s">
        <v>29848</v>
      </c>
      <c r="O11694" t="s">
        <v>29848</v>
      </c>
      <c r="P11694">
        <v>59032</v>
      </c>
      <c r="Q11694" t="str">
        <f>"40.639228"</f>
        <v>40.639228</v>
      </c>
      <c r="R11694" t="str">
        <f>"22.536347"</f>
        <v>22.536347</v>
      </c>
      <c r="S11694" t="s">
        <v>26</v>
      </c>
    </row>
    <row r="11695" spans="1:19" x14ac:dyDescent="0.3">
      <c r="A11695" t="s">
        <v>25190</v>
      </c>
      <c r="B11695" t="s">
        <v>29658</v>
      </c>
      <c r="C11695" t="s">
        <v>29849</v>
      </c>
      <c r="D11695" t="s">
        <v>25191</v>
      </c>
      <c r="E11695" t="s">
        <v>26414</v>
      </c>
      <c r="F11695" t="s">
        <v>13055</v>
      </c>
      <c r="G11695" t="s">
        <v>26466</v>
      </c>
      <c r="H11695" t="s">
        <v>859</v>
      </c>
      <c r="I11695" t="s">
        <v>860</v>
      </c>
      <c r="J11695" t="str">
        <f>"9520582"</f>
        <v>9520582</v>
      </c>
      <c r="K11695">
        <v>2333041150</v>
      </c>
      <c r="M11695" t="s">
        <v>29850</v>
      </c>
      <c r="N11695" t="s">
        <v>27506</v>
      </c>
      <c r="O11695" t="s">
        <v>27506</v>
      </c>
      <c r="P11695">
        <v>59300</v>
      </c>
      <c r="Q11695" t="str">
        <f>"40.589425"</f>
        <v>40.589425</v>
      </c>
      <c r="R11695" t="str">
        <f>"22.499003"</f>
        <v>22.499003</v>
      </c>
      <c r="S11695" t="s">
        <v>26</v>
      </c>
    </row>
    <row r="11696" spans="1:19" x14ac:dyDescent="0.3">
      <c r="A11696" t="s">
        <v>25190</v>
      </c>
      <c r="B11696" t="s">
        <v>29658</v>
      </c>
      <c r="C11696" t="s">
        <v>29851</v>
      </c>
      <c r="D11696" t="s">
        <v>25191</v>
      </c>
      <c r="E11696" t="s">
        <v>26414</v>
      </c>
      <c r="F11696" t="s">
        <v>26519</v>
      </c>
      <c r="G11696" t="s">
        <v>21878</v>
      </c>
      <c r="H11696" t="s">
        <v>859</v>
      </c>
      <c r="I11696" t="s">
        <v>860</v>
      </c>
      <c r="J11696" t="str">
        <f>"9160178"</f>
        <v>9160178</v>
      </c>
      <c r="K11696">
        <v>2331039298</v>
      </c>
      <c r="M11696" t="s">
        <v>29852</v>
      </c>
      <c r="N11696" t="s">
        <v>25191</v>
      </c>
      <c r="O11696" t="s">
        <v>29853</v>
      </c>
      <c r="P11696">
        <v>59132</v>
      </c>
      <c r="Q11696" t="str">
        <f>"40.563070"</f>
        <v>40.563070</v>
      </c>
      <c r="R11696" t="str">
        <f>"22.203669"</f>
        <v>22.203669</v>
      </c>
      <c r="S11696" t="s">
        <v>26</v>
      </c>
    </row>
    <row r="11697" spans="1:19" x14ac:dyDescent="0.3">
      <c r="A11697" t="s">
        <v>25190</v>
      </c>
      <c r="B11697" t="s">
        <v>29658</v>
      </c>
      <c r="C11697" t="s">
        <v>29855</v>
      </c>
      <c r="D11697" t="s">
        <v>25191</v>
      </c>
      <c r="E11697" t="s">
        <v>25192</v>
      </c>
      <c r="F11697" t="s">
        <v>29758</v>
      </c>
      <c r="G11697" t="s">
        <v>29854</v>
      </c>
      <c r="H11697" t="s">
        <v>859</v>
      </c>
      <c r="I11697" t="s">
        <v>860</v>
      </c>
      <c r="J11697" t="str">
        <f>"9160071"</f>
        <v>9160071</v>
      </c>
      <c r="K11697">
        <v>2331022348</v>
      </c>
      <c r="L11697">
        <v>2331022348</v>
      </c>
      <c r="M11697" t="s">
        <v>29856</v>
      </c>
      <c r="N11697" t="s">
        <v>29857</v>
      </c>
      <c r="O11697" t="s">
        <v>29858</v>
      </c>
      <c r="P11697">
        <v>59100</v>
      </c>
      <c r="Q11697" t="str">
        <f>"40.563070"</f>
        <v>40.563070</v>
      </c>
      <c r="R11697" t="str">
        <f>"22.203669"</f>
        <v>22.203669</v>
      </c>
      <c r="S11697" t="s">
        <v>26</v>
      </c>
    </row>
    <row r="11698" spans="1:19" x14ac:dyDescent="0.3">
      <c r="A11698" t="s">
        <v>25190</v>
      </c>
      <c r="B11698" t="s">
        <v>29658</v>
      </c>
      <c r="C11698" t="s">
        <v>29859</v>
      </c>
      <c r="D11698" t="s">
        <v>25191</v>
      </c>
      <c r="E11698" t="s">
        <v>26414</v>
      </c>
      <c r="F11698" t="s">
        <v>26414</v>
      </c>
      <c r="G11698" t="s">
        <v>26414</v>
      </c>
      <c r="H11698" t="s">
        <v>859</v>
      </c>
      <c r="I11698" t="s">
        <v>860</v>
      </c>
      <c r="J11698" t="str">
        <f>"9520837"</f>
        <v>9520837</v>
      </c>
      <c r="K11698">
        <v>2333022206</v>
      </c>
      <c r="L11698">
        <v>2333022206</v>
      </c>
      <c r="M11698" t="s">
        <v>29860</v>
      </c>
      <c r="N11698" t="s">
        <v>26414</v>
      </c>
      <c r="O11698" t="s">
        <v>29861</v>
      </c>
      <c r="P11698">
        <v>59300</v>
      </c>
      <c r="Q11698" t="str">
        <f>"40.624593"</f>
        <v>40.624593</v>
      </c>
      <c r="R11698" t="str">
        <f>"22.443691"</f>
        <v>22.443691</v>
      </c>
      <c r="S11698" t="s">
        <v>26</v>
      </c>
    </row>
    <row r="11699" spans="1:19" x14ac:dyDescent="0.3">
      <c r="A11699" t="s">
        <v>25190</v>
      </c>
      <c r="B11699" t="s">
        <v>29658</v>
      </c>
      <c r="C11699" t="s">
        <v>29863</v>
      </c>
      <c r="D11699" t="s">
        <v>25191</v>
      </c>
      <c r="E11699" t="s">
        <v>25192</v>
      </c>
      <c r="F11699" t="s">
        <v>26460</v>
      </c>
      <c r="G11699" t="s">
        <v>29862</v>
      </c>
      <c r="H11699" t="s">
        <v>859</v>
      </c>
      <c r="I11699" t="s">
        <v>860</v>
      </c>
      <c r="J11699" t="str">
        <f>"9160144"</f>
        <v>9160144</v>
      </c>
      <c r="K11699">
        <v>2331041114</v>
      </c>
      <c r="M11699" t="s">
        <v>29864</v>
      </c>
      <c r="N11699" t="s">
        <v>29865</v>
      </c>
      <c r="O11699" t="s">
        <v>29865</v>
      </c>
      <c r="P11699">
        <v>59200</v>
      </c>
      <c r="Q11699" t="str">
        <f>"40.546466"</f>
        <v>40.546466</v>
      </c>
      <c r="R11699" t="str">
        <f>"22.266612"</f>
        <v>22.266612</v>
      </c>
      <c r="S11699" t="s">
        <v>26</v>
      </c>
    </row>
    <row r="11700" spans="1:19" x14ac:dyDescent="0.3">
      <c r="A11700" t="s">
        <v>25190</v>
      </c>
      <c r="B11700" t="s">
        <v>29658</v>
      </c>
      <c r="C11700" t="s">
        <v>29866</v>
      </c>
      <c r="D11700" t="s">
        <v>25191</v>
      </c>
      <c r="E11700" t="s">
        <v>25192</v>
      </c>
      <c r="F11700" t="s">
        <v>25192</v>
      </c>
      <c r="G11700" t="s">
        <v>5162</v>
      </c>
      <c r="H11700" t="s">
        <v>859</v>
      </c>
      <c r="I11700" t="s">
        <v>860</v>
      </c>
      <c r="J11700" t="str">
        <f>"9160132"</f>
        <v>9160132</v>
      </c>
      <c r="K11700">
        <v>2331091180</v>
      </c>
      <c r="L11700">
        <v>2331091180</v>
      </c>
      <c r="M11700" t="s">
        <v>29867</v>
      </c>
      <c r="N11700" t="s">
        <v>25195</v>
      </c>
      <c r="O11700" t="s">
        <v>5429</v>
      </c>
      <c r="P11700">
        <v>59100</v>
      </c>
      <c r="Q11700" t="str">
        <f>"40.496415"</f>
        <v>40.496415</v>
      </c>
      <c r="R11700" t="str">
        <f>"22.244851"</f>
        <v>22.244851</v>
      </c>
      <c r="S11700" t="s">
        <v>26</v>
      </c>
    </row>
    <row r="11701" spans="1:19" x14ac:dyDescent="0.3">
      <c r="A11701" t="s">
        <v>25190</v>
      </c>
      <c r="B11701" t="s">
        <v>29658</v>
      </c>
      <c r="C11701" t="s">
        <v>29871</v>
      </c>
      <c r="D11701" t="s">
        <v>25191</v>
      </c>
      <c r="E11701" t="s">
        <v>25192</v>
      </c>
      <c r="F11701" t="s">
        <v>25192</v>
      </c>
      <c r="G11701" t="s">
        <v>25192</v>
      </c>
      <c r="H11701" t="s">
        <v>859</v>
      </c>
      <c r="I11701" t="s">
        <v>860</v>
      </c>
      <c r="J11701" t="str">
        <f>"9160120"</f>
        <v>9160120</v>
      </c>
      <c r="K11701">
        <v>2331063887</v>
      </c>
      <c r="L11701">
        <v>2331063887</v>
      </c>
      <c r="M11701" t="s">
        <v>29872</v>
      </c>
      <c r="N11701" t="s">
        <v>25192</v>
      </c>
      <c r="O11701" t="s">
        <v>29873</v>
      </c>
      <c r="P11701">
        <v>59131</v>
      </c>
      <c r="Q11701" t="str">
        <f>"40.528156"</f>
        <v>40.528156</v>
      </c>
      <c r="R11701" t="str">
        <f>"22.204520"</f>
        <v>22.204520</v>
      </c>
      <c r="S11701" t="s">
        <v>26</v>
      </c>
    </row>
    <row r="11702" spans="1:19" x14ac:dyDescent="0.3">
      <c r="A11702" t="s">
        <v>25190</v>
      </c>
      <c r="B11702" t="s">
        <v>29658</v>
      </c>
      <c r="C11702" t="s">
        <v>29876</v>
      </c>
      <c r="D11702" t="s">
        <v>25191</v>
      </c>
      <c r="E11702" t="s">
        <v>26414</v>
      </c>
      <c r="F11702" t="s">
        <v>13055</v>
      </c>
      <c r="G11702" t="s">
        <v>26466</v>
      </c>
      <c r="H11702" t="s">
        <v>859</v>
      </c>
      <c r="I11702" t="s">
        <v>860</v>
      </c>
      <c r="J11702" t="str">
        <f>"9160031"</f>
        <v>9160031</v>
      </c>
      <c r="K11702">
        <v>2333041434</v>
      </c>
      <c r="M11702" t="s">
        <v>29877</v>
      </c>
      <c r="N11702" t="s">
        <v>26466</v>
      </c>
      <c r="O11702" t="s">
        <v>29878</v>
      </c>
      <c r="P11702">
        <v>59300</v>
      </c>
      <c r="Q11702" t="str">
        <f>"40.588032"</f>
        <v>40.588032</v>
      </c>
      <c r="R11702" t="str">
        <f>"22.473666"</f>
        <v>22.473666</v>
      </c>
      <c r="S11702" t="s">
        <v>26</v>
      </c>
    </row>
    <row r="11703" spans="1:19" x14ac:dyDescent="0.3">
      <c r="A11703" t="s">
        <v>25190</v>
      </c>
      <c r="B11703" t="s">
        <v>29658</v>
      </c>
      <c r="C11703" t="s">
        <v>29883</v>
      </c>
      <c r="D11703" t="s">
        <v>25191</v>
      </c>
      <c r="E11703" t="s">
        <v>26414</v>
      </c>
      <c r="F11703" t="s">
        <v>26422</v>
      </c>
      <c r="G11703" t="s">
        <v>22056</v>
      </c>
      <c r="H11703" t="s">
        <v>859</v>
      </c>
      <c r="I11703" t="s">
        <v>860</v>
      </c>
      <c r="J11703" t="str">
        <f>"9160057"</f>
        <v>9160057</v>
      </c>
      <c r="K11703">
        <v>2331095122</v>
      </c>
      <c r="L11703">
        <v>2331095122</v>
      </c>
      <c r="M11703" t="s">
        <v>29884</v>
      </c>
      <c r="N11703" t="s">
        <v>22056</v>
      </c>
      <c r="O11703" t="s">
        <v>29885</v>
      </c>
      <c r="P11703">
        <v>59031</v>
      </c>
      <c r="Q11703" t="str">
        <f>"40.549567"</f>
        <v>40.549567</v>
      </c>
      <c r="R11703" t="str">
        <f>"22.394566"</f>
        <v>22.394566</v>
      </c>
      <c r="S11703" t="s">
        <v>26</v>
      </c>
    </row>
    <row r="11704" spans="1:19" x14ac:dyDescent="0.3">
      <c r="A11704" t="s">
        <v>25190</v>
      </c>
      <c r="B11704" t="s">
        <v>29658</v>
      </c>
      <c r="C11704" t="s">
        <v>29887</v>
      </c>
      <c r="D11704" t="s">
        <v>25191</v>
      </c>
      <c r="E11704" t="s">
        <v>26414</v>
      </c>
      <c r="F11704" t="s">
        <v>13055</v>
      </c>
      <c r="G11704" t="s">
        <v>29886</v>
      </c>
      <c r="H11704" t="s">
        <v>859</v>
      </c>
      <c r="I11704" t="s">
        <v>860</v>
      </c>
      <c r="J11704" t="str">
        <f>"9160216"</f>
        <v>9160216</v>
      </c>
      <c r="K11704">
        <v>2333071169</v>
      </c>
      <c r="L11704">
        <v>2333071169</v>
      </c>
      <c r="M11704" t="s">
        <v>29888</v>
      </c>
      <c r="N11704" t="s">
        <v>29886</v>
      </c>
      <c r="O11704" t="s">
        <v>29889</v>
      </c>
      <c r="P11704">
        <v>59032</v>
      </c>
      <c r="Q11704" t="str">
        <f>"40.562308"</f>
        <v>40.562308</v>
      </c>
      <c r="R11704" t="str">
        <f>"22.515754"</f>
        <v>22.515754</v>
      </c>
      <c r="S11704" t="s">
        <v>26</v>
      </c>
    </row>
    <row r="11705" spans="1:19" x14ac:dyDescent="0.3">
      <c r="A11705" t="s">
        <v>25190</v>
      </c>
      <c r="B11705" t="s">
        <v>29658</v>
      </c>
      <c r="C11705" t="s">
        <v>29891</v>
      </c>
      <c r="D11705" t="s">
        <v>25191</v>
      </c>
      <c r="E11705" t="s">
        <v>26414</v>
      </c>
      <c r="F11705" t="s">
        <v>26414</v>
      </c>
      <c r="G11705" t="s">
        <v>29890</v>
      </c>
      <c r="H11705" t="s">
        <v>859</v>
      </c>
      <c r="I11705" t="s">
        <v>860</v>
      </c>
      <c r="J11705" t="str">
        <f>"9160117"</f>
        <v>9160117</v>
      </c>
      <c r="K11705">
        <v>2333023121</v>
      </c>
      <c r="L11705">
        <v>2333023121</v>
      </c>
      <c r="M11705" t="s">
        <v>29892</v>
      </c>
      <c r="N11705" t="s">
        <v>29893</v>
      </c>
      <c r="O11705" t="s">
        <v>29894</v>
      </c>
      <c r="P11705">
        <v>59300</v>
      </c>
      <c r="Q11705" t="str">
        <f>"40.626791"</f>
        <v>40.626791</v>
      </c>
      <c r="R11705" t="str">
        <f>"22.440624"</f>
        <v>22.440624</v>
      </c>
      <c r="S11705" t="s">
        <v>26</v>
      </c>
    </row>
    <row r="11706" spans="1:19" x14ac:dyDescent="0.3">
      <c r="A11706" t="s">
        <v>25190</v>
      </c>
      <c r="B11706" t="s">
        <v>29658</v>
      </c>
      <c r="C11706" t="s">
        <v>29896</v>
      </c>
      <c r="D11706" t="s">
        <v>25191</v>
      </c>
      <c r="E11706" t="s">
        <v>26414</v>
      </c>
      <c r="F11706" t="s">
        <v>26519</v>
      </c>
      <c r="G11706" t="s">
        <v>29895</v>
      </c>
      <c r="H11706" t="s">
        <v>859</v>
      </c>
      <c r="I11706" t="s">
        <v>860</v>
      </c>
      <c r="J11706" t="str">
        <f>"9160170"</f>
        <v>9160170</v>
      </c>
      <c r="K11706">
        <v>2331039044</v>
      </c>
      <c r="L11706">
        <v>2331039939</v>
      </c>
      <c r="M11706" t="s">
        <v>29897</v>
      </c>
      <c r="N11706" t="s">
        <v>29895</v>
      </c>
      <c r="O11706" t="s">
        <v>29898</v>
      </c>
      <c r="P11706">
        <v>59100</v>
      </c>
      <c r="Q11706" t="str">
        <f>"40.571947"</f>
        <v>40.571947</v>
      </c>
      <c r="R11706" t="str">
        <f>"22.340042"</f>
        <v>22.340042</v>
      </c>
      <c r="S11706" t="s">
        <v>26</v>
      </c>
    </row>
    <row r="11707" spans="1:19" x14ac:dyDescent="0.3">
      <c r="A11707" t="s">
        <v>25190</v>
      </c>
      <c r="B11707" t="s">
        <v>29658</v>
      </c>
      <c r="C11707" t="s">
        <v>29899</v>
      </c>
      <c r="D11707" t="s">
        <v>25191</v>
      </c>
      <c r="E11707" t="s">
        <v>26414</v>
      </c>
      <c r="F11707" t="s">
        <v>26414</v>
      </c>
      <c r="G11707" t="s">
        <v>1460</v>
      </c>
      <c r="H11707" t="s">
        <v>859</v>
      </c>
      <c r="I11707" t="s">
        <v>860</v>
      </c>
      <c r="J11707" t="str">
        <f>"9160157"</f>
        <v>9160157</v>
      </c>
      <c r="K11707">
        <v>2333088400</v>
      </c>
      <c r="L11707">
        <v>2333088400</v>
      </c>
      <c r="M11707" t="s">
        <v>29900</v>
      </c>
      <c r="N11707" t="s">
        <v>1460</v>
      </c>
      <c r="O11707" t="s">
        <v>1611</v>
      </c>
      <c r="P11707">
        <v>59300</v>
      </c>
      <c r="Q11707" t="str">
        <f>"40.587716"</f>
        <v>40.587716</v>
      </c>
      <c r="R11707" t="str">
        <f>"22.398564"</f>
        <v>22.398564</v>
      </c>
      <c r="S11707" t="s">
        <v>26</v>
      </c>
    </row>
    <row r="11708" spans="1:19" x14ac:dyDescent="0.3">
      <c r="A11708" t="s">
        <v>25190</v>
      </c>
      <c r="B11708" t="s">
        <v>29658</v>
      </c>
      <c r="C11708" t="s">
        <v>29901</v>
      </c>
      <c r="D11708" t="s">
        <v>25191</v>
      </c>
      <c r="E11708" t="s">
        <v>26414</v>
      </c>
      <c r="F11708" t="s">
        <v>26414</v>
      </c>
      <c r="G11708" t="s">
        <v>26414</v>
      </c>
      <c r="H11708" t="s">
        <v>859</v>
      </c>
      <c r="I11708" t="s">
        <v>860</v>
      </c>
      <c r="J11708" t="str">
        <f>"9160008"</f>
        <v>9160008</v>
      </c>
      <c r="K11708">
        <v>2333026014</v>
      </c>
      <c r="M11708" t="s">
        <v>29902</v>
      </c>
      <c r="N11708" t="s">
        <v>29903</v>
      </c>
      <c r="O11708" t="s">
        <v>29904</v>
      </c>
      <c r="P11708">
        <v>59300</v>
      </c>
      <c r="Q11708" t="str">
        <f>"40.613208"</f>
        <v>40.613208</v>
      </c>
      <c r="R11708" t="str">
        <f>"22.432449"</f>
        <v>22.432449</v>
      </c>
      <c r="S11708" t="s">
        <v>26</v>
      </c>
    </row>
    <row r="11709" spans="1:19" x14ac:dyDescent="0.3">
      <c r="A11709" t="s">
        <v>25190</v>
      </c>
      <c r="B11709" t="s">
        <v>29658</v>
      </c>
      <c r="C11709" t="s">
        <v>29905</v>
      </c>
      <c r="D11709" t="s">
        <v>25191</v>
      </c>
      <c r="E11709" t="s">
        <v>26414</v>
      </c>
      <c r="F11709" t="s">
        <v>26414</v>
      </c>
      <c r="G11709" t="s">
        <v>26414</v>
      </c>
      <c r="H11709" t="s">
        <v>859</v>
      </c>
      <c r="I11709" t="s">
        <v>860</v>
      </c>
      <c r="J11709" t="str">
        <f>"9160002"</f>
        <v>9160002</v>
      </c>
      <c r="K11709">
        <v>2333022140</v>
      </c>
      <c r="L11709">
        <v>2333022140</v>
      </c>
      <c r="M11709" t="s">
        <v>29906</v>
      </c>
      <c r="N11709" t="s">
        <v>26414</v>
      </c>
      <c r="O11709" t="s">
        <v>29907</v>
      </c>
      <c r="P11709">
        <v>59300</v>
      </c>
      <c r="Q11709" t="str">
        <f>"40.623588"</f>
        <v>40.623588</v>
      </c>
      <c r="R11709" t="str">
        <f>"22.441695"</f>
        <v>22.441695</v>
      </c>
      <c r="S11709" t="s">
        <v>26</v>
      </c>
    </row>
    <row r="11710" spans="1:19" x14ac:dyDescent="0.3">
      <c r="A11710" t="s">
        <v>25190</v>
      </c>
      <c r="B11710" t="s">
        <v>29658</v>
      </c>
      <c r="C11710" t="s">
        <v>29908</v>
      </c>
      <c r="D11710" t="s">
        <v>25191</v>
      </c>
      <c r="E11710" t="s">
        <v>26414</v>
      </c>
      <c r="F11710" t="s">
        <v>26414</v>
      </c>
      <c r="G11710" t="s">
        <v>26414</v>
      </c>
      <c r="H11710" t="s">
        <v>859</v>
      </c>
      <c r="I11710" t="s">
        <v>860</v>
      </c>
      <c r="J11710" t="str">
        <f>"9160003"</f>
        <v>9160003</v>
      </c>
      <c r="K11710">
        <v>2333023106</v>
      </c>
      <c r="L11710">
        <v>2333023106</v>
      </c>
      <c r="M11710" t="s">
        <v>29909</v>
      </c>
      <c r="N11710" t="s">
        <v>26414</v>
      </c>
      <c r="O11710" t="s">
        <v>29910</v>
      </c>
      <c r="P11710">
        <v>59300</v>
      </c>
      <c r="Q11710" t="str">
        <f>"40.627310"</f>
        <v>40.627310</v>
      </c>
      <c r="R11710" t="str">
        <f>"22.452025"</f>
        <v>22.452025</v>
      </c>
      <c r="S11710" t="s">
        <v>26</v>
      </c>
    </row>
    <row r="11711" spans="1:19" x14ac:dyDescent="0.3">
      <c r="A11711" t="s">
        <v>25190</v>
      </c>
      <c r="B11711" t="s">
        <v>29658</v>
      </c>
      <c r="C11711" t="s">
        <v>29911</v>
      </c>
      <c r="D11711" t="s">
        <v>25191</v>
      </c>
      <c r="E11711" t="s">
        <v>26414</v>
      </c>
      <c r="F11711" t="s">
        <v>26414</v>
      </c>
      <c r="G11711" t="s">
        <v>26414</v>
      </c>
      <c r="H11711" t="s">
        <v>859</v>
      </c>
      <c r="I11711" t="s">
        <v>860</v>
      </c>
      <c r="J11711" t="str">
        <f>"9160009"</f>
        <v>9160009</v>
      </c>
      <c r="K11711">
        <v>2333022317</v>
      </c>
      <c r="M11711" t="s">
        <v>29912</v>
      </c>
      <c r="N11711" t="s">
        <v>26414</v>
      </c>
      <c r="O11711" t="s">
        <v>29913</v>
      </c>
      <c r="P11711">
        <v>59300</v>
      </c>
      <c r="Q11711" t="str">
        <f>"40.593935"</f>
        <v>40.593935</v>
      </c>
      <c r="R11711" t="str">
        <f>"22.460204"</f>
        <v>22.460204</v>
      </c>
      <c r="S11711" t="s">
        <v>26</v>
      </c>
    </row>
    <row r="11712" spans="1:19" x14ac:dyDescent="0.3">
      <c r="A11712" t="s">
        <v>25190</v>
      </c>
      <c r="B11712" t="s">
        <v>29658</v>
      </c>
      <c r="C11712" t="s">
        <v>29914</v>
      </c>
      <c r="D11712" t="s">
        <v>25191</v>
      </c>
      <c r="E11712" t="s">
        <v>26414</v>
      </c>
      <c r="F11712" t="s">
        <v>26414</v>
      </c>
      <c r="G11712" t="s">
        <v>26414</v>
      </c>
      <c r="H11712" t="s">
        <v>859</v>
      </c>
      <c r="I11712" t="s">
        <v>860</v>
      </c>
      <c r="J11712" t="str">
        <f>"9520774"</f>
        <v>9520774</v>
      </c>
      <c r="K11712">
        <v>2333028262</v>
      </c>
      <c r="L11712">
        <v>2333028262</v>
      </c>
      <c r="M11712" t="s">
        <v>29915</v>
      </c>
      <c r="N11712" t="s">
        <v>26414</v>
      </c>
      <c r="O11712" t="s">
        <v>29916</v>
      </c>
      <c r="P11712">
        <v>59300</v>
      </c>
      <c r="Q11712" t="str">
        <f>"40.628931"</f>
        <v>40.628931</v>
      </c>
      <c r="R11712" t="str">
        <f>"22.443938"</f>
        <v>22.443938</v>
      </c>
      <c r="S11712" t="s">
        <v>26</v>
      </c>
    </row>
    <row r="11713" spans="1:19" x14ac:dyDescent="0.3">
      <c r="A11713" t="s">
        <v>25190</v>
      </c>
      <c r="B11713" t="s">
        <v>29658</v>
      </c>
      <c r="C11713" t="s">
        <v>29917</v>
      </c>
      <c r="D11713" t="s">
        <v>25191</v>
      </c>
      <c r="E11713" t="s">
        <v>26414</v>
      </c>
      <c r="F11713" t="s">
        <v>26414</v>
      </c>
      <c r="G11713" t="s">
        <v>26414</v>
      </c>
      <c r="H11713" t="s">
        <v>859</v>
      </c>
      <c r="I11713" t="s">
        <v>860</v>
      </c>
      <c r="J11713" t="str">
        <f>"9520773"</f>
        <v>9520773</v>
      </c>
      <c r="K11713">
        <v>2333024386</v>
      </c>
      <c r="L11713">
        <v>2333024386</v>
      </c>
      <c r="M11713" t="s">
        <v>29918</v>
      </c>
      <c r="N11713" t="s">
        <v>26469</v>
      </c>
      <c r="O11713" t="s">
        <v>29919</v>
      </c>
      <c r="P11713">
        <v>59300</v>
      </c>
      <c r="Q11713" t="str">
        <f>"40.628530"</f>
        <v>40.628530</v>
      </c>
      <c r="R11713" t="str">
        <f>"22.436109"</f>
        <v>22.436109</v>
      </c>
      <c r="S11713" t="s">
        <v>26</v>
      </c>
    </row>
    <row r="11714" spans="1:19" x14ac:dyDescent="0.3">
      <c r="A11714" t="s">
        <v>25190</v>
      </c>
      <c r="B11714" t="s">
        <v>29658</v>
      </c>
      <c r="C11714" t="s">
        <v>29921</v>
      </c>
      <c r="D11714" t="s">
        <v>25191</v>
      </c>
      <c r="E11714" t="s">
        <v>26414</v>
      </c>
      <c r="F11714" t="s">
        <v>26519</v>
      </c>
      <c r="G11714" t="s">
        <v>29920</v>
      </c>
      <c r="H11714" t="s">
        <v>859</v>
      </c>
      <c r="I11714" t="s">
        <v>860</v>
      </c>
      <c r="J11714" t="str">
        <f>"9160173"</f>
        <v>9160173</v>
      </c>
      <c r="K11714">
        <v>2331039211</v>
      </c>
      <c r="M11714" t="s">
        <v>29922</v>
      </c>
      <c r="N11714" t="s">
        <v>29923</v>
      </c>
      <c r="O11714" t="s">
        <v>29924</v>
      </c>
      <c r="P11714">
        <v>59100</v>
      </c>
      <c r="Q11714" t="str">
        <f>"40.563070"</f>
        <v>40.563070</v>
      </c>
      <c r="R11714" t="str">
        <f>"22.203669"</f>
        <v>22.203669</v>
      </c>
      <c r="S11714" t="s">
        <v>26</v>
      </c>
    </row>
    <row r="11715" spans="1:19" x14ac:dyDescent="0.3">
      <c r="A11715" t="s">
        <v>25190</v>
      </c>
      <c r="B11715" t="s">
        <v>29658</v>
      </c>
      <c r="C11715" t="s">
        <v>29925</v>
      </c>
      <c r="D11715" t="s">
        <v>25191</v>
      </c>
      <c r="E11715" t="s">
        <v>26414</v>
      </c>
      <c r="F11715" t="s">
        <v>26414</v>
      </c>
      <c r="G11715" t="s">
        <v>29890</v>
      </c>
      <c r="H11715" t="s">
        <v>859</v>
      </c>
      <c r="I11715" t="s">
        <v>860</v>
      </c>
      <c r="J11715" t="str">
        <f>"9160168"</f>
        <v>9160168</v>
      </c>
      <c r="K11715">
        <v>2333051143</v>
      </c>
      <c r="M11715" t="s">
        <v>29926</v>
      </c>
      <c r="N11715" t="s">
        <v>29890</v>
      </c>
      <c r="O11715" t="s">
        <v>29927</v>
      </c>
      <c r="P11715">
        <v>59300</v>
      </c>
      <c r="Q11715" t="str">
        <f>"40.637480"</f>
        <v>40.637480</v>
      </c>
      <c r="R11715" t="str">
        <f>"22.388660"</f>
        <v>22.388660</v>
      </c>
      <c r="S11715" t="s">
        <v>26</v>
      </c>
    </row>
    <row r="11716" spans="1:19" x14ac:dyDescent="0.3">
      <c r="A11716" t="s">
        <v>25190</v>
      </c>
      <c r="B11716" t="s">
        <v>29658</v>
      </c>
      <c r="C11716" t="s">
        <v>29929</v>
      </c>
      <c r="D11716" t="s">
        <v>25191</v>
      </c>
      <c r="E11716" t="s">
        <v>26414</v>
      </c>
      <c r="F11716" t="s">
        <v>13055</v>
      </c>
      <c r="G11716" t="s">
        <v>29928</v>
      </c>
      <c r="H11716" t="s">
        <v>859</v>
      </c>
      <c r="I11716" t="s">
        <v>860</v>
      </c>
      <c r="J11716" t="str">
        <f>"9160190"</f>
        <v>9160190</v>
      </c>
      <c r="K11716">
        <v>2333059849</v>
      </c>
      <c r="M11716" t="s">
        <v>29930</v>
      </c>
      <c r="N11716" t="s">
        <v>29928</v>
      </c>
      <c r="O11716" t="s">
        <v>29931</v>
      </c>
      <c r="P11716">
        <v>59032</v>
      </c>
      <c r="Q11716" t="str">
        <f>"38.157856"</f>
        <v>38.157856</v>
      </c>
      <c r="R11716" t="str">
        <f>"21.397357"</f>
        <v>21.397357</v>
      </c>
      <c r="S11716" t="s">
        <v>26</v>
      </c>
    </row>
    <row r="11717" spans="1:19" x14ac:dyDescent="0.3">
      <c r="A11717" t="s">
        <v>25190</v>
      </c>
      <c r="B11717" t="s">
        <v>29658</v>
      </c>
      <c r="C11717" t="s">
        <v>29943</v>
      </c>
      <c r="D11717" t="s">
        <v>25191</v>
      </c>
      <c r="E11717" t="s">
        <v>26414</v>
      </c>
      <c r="F11717" t="s">
        <v>26414</v>
      </c>
      <c r="G11717" t="s">
        <v>26414</v>
      </c>
      <c r="H11717" t="s">
        <v>859</v>
      </c>
      <c r="I11717" t="s">
        <v>860</v>
      </c>
      <c r="J11717" t="str">
        <f>"9160204"</f>
        <v>9160204</v>
      </c>
      <c r="K11717">
        <v>2333026008</v>
      </c>
      <c r="L11717">
        <v>2333026008</v>
      </c>
      <c r="M11717" t="s">
        <v>29944</v>
      </c>
      <c r="N11717" t="s">
        <v>26469</v>
      </c>
      <c r="O11717" t="s">
        <v>29945</v>
      </c>
      <c r="P11717">
        <v>59300</v>
      </c>
      <c r="Q11717" t="str">
        <f>"40.631550"</f>
        <v>40.631550</v>
      </c>
      <c r="R11717" t="str">
        <f>"22.439022"</f>
        <v>22.439022</v>
      </c>
      <c r="S11717" t="s">
        <v>26</v>
      </c>
    </row>
    <row r="11718" spans="1:19" x14ac:dyDescent="0.3">
      <c r="A11718" t="s">
        <v>25190</v>
      </c>
      <c r="B11718" t="s">
        <v>29658</v>
      </c>
      <c r="C11718" t="s">
        <v>29949</v>
      </c>
      <c r="D11718" t="s">
        <v>25191</v>
      </c>
      <c r="E11718" t="s">
        <v>26414</v>
      </c>
      <c r="F11718" t="s">
        <v>13055</v>
      </c>
      <c r="G11718" t="s">
        <v>13055</v>
      </c>
      <c r="H11718" t="s">
        <v>859</v>
      </c>
      <c r="I11718" t="s">
        <v>860</v>
      </c>
      <c r="J11718" t="str">
        <f>"9160175"</f>
        <v>9160175</v>
      </c>
      <c r="K11718">
        <v>2333063212</v>
      </c>
      <c r="L11718">
        <v>2333063212</v>
      </c>
      <c r="M11718" t="s">
        <v>29950</v>
      </c>
      <c r="N11718" t="s">
        <v>13055</v>
      </c>
      <c r="O11718" t="s">
        <v>29848</v>
      </c>
      <c r="P11718">
        <v>59032</v>
      </c>
      <c r="Q11718" t="str">
        <f>"40.605069"</f>
        <v>40.605069</v>
      </c>
      <c r="R11718" t="str">
        <f>"22.548760"</f>
        <v>22.548760</v>
      </c>
      <c r="S11718" t="s">
        <v>26</v>
      </c>
    </row>
    <row r="11719" spans="1:19" x14ac:dyDescent="0.3">
      <c r="A11719" t="s">
        <v>25190</v>
      </c>
      <c r="B11719" t="s">
        <v>29658</v>
      </c>
      <c r="C11719" t="s">
        <v>29952</v>
      </c>
      <c r="D11719" t="s">
        <v>25191</v>
      </c>
      <c r="E11719" t="s">
        <v>26414</v>
      </c>
      <c r="F11719" t="s">
        <v>26422</v>
      </c>
      <c r="G11719" t="s">
        <v>29951</v>
      </c>
      <c r="H11719" t="s">
        <v>859</v>
      </c>
      <c r="I11719" t="s">
        <v>860</v>
      </c>
      <c r="J11719" t="str">
        <f>"9160022"</f>
        <v>9160022</v>
      </c>
      <c r="K11719">
        <v>2331099411</v>
      </c>
      <c r="L11719">
        <v>2331099411</v>
      </c>
      <c r="M11719" t="s">
        <v>29953</v>
      </c>
      <c r="N11719" t="s">
        <v>29951</v>
      </c>
      <c r="O11719" t="s">
        <v>29954</v>
      </c>
      <c r="P11719">
        <v>59031</v>
      </c>
      <c r="Q11719" t="str">
        <f>"40.555551"</f>
        <v>40.555551</v>
      </c>
      <c r="R11719" t="str">
        <f>"22.472577"</f>
        <v>22.472577</v>
      </c>
      <c r="S11719" t="s">
        <v>26</v>
      </c>
    </row>
    <row r="11720" spans="1:19" x14ac:dyDescent="0.3">
      <c r="A11720" t="s">
        <v>25190</v>
      </c>
      <c r="B11720" t="s">
        <v>29658</v>
      </c>
      <c r="C11720" t="s">
        <v>29955</v>
      </c>
      <c r="D11720" t="s">
        <v>25191</v>
      </c>
      <c r="E11720" t="s">
        <v>26414</v>
      </c>
      <c r="F11720" t="s">
        <v>26519</v>
      </c>
      <c r="G11720" t="s">
        <v>20147</v>
      </c>
      <c r="H11720" t="s">
        <v>859</v>
      </c>
      <c r="I11720" t="s">
        <v>860</v>
      </c>
      <c r="J11720" t="str">
        <f>"9160152"</f>
        <v>9160152</v>
      </c>
      <c r="K11720">
        <v>2331097240</v>
      </c>
      <c r="L11720">
        <v>2331097240</v>
      </c>
      <c r="M11720" t="s">
        <v>29956</v>
      </c>
      <c r="N11720" t="s">
        <v>20147</v>
      </c>
      <c r="O11720" t="s">
        <v>20150</v>
      </c>
      <c r="P11720">
        <v>59100</v>
      </c>
      <c r="Q11720" t="str">
        <f>"40.570011"</f>
        <v>40.570011</v>
      </c>
      <c r="R11720" t="str">
        <f>"22.364601"</f>
        <v>22.364601</v>
      </c>
      <c r="S11720" t="s">
        <v>26</v>
      </c>
    </row>
    <row r="11721" spans="1:19" x14ac:dyDescent="0.3">
      <c r="A11721" t="s">
        <v>25190</v>
      </c>
      <c r="B11721" t="s">
        <v>29658</v>
      </c>
      <c r="C11721" t="s">
        <v>29958</v>
      </c>
      <c r="D11721" t="s">
        <v>25191</v>
      </c>
      <c r="E11721" t="s">
        <v>26414</v>
      </c>
      <c r="F11721" t="s">
        <v>26414</v>
      </c>
      <c r="G11721" t="s">
        <v>29957</v>
      </c>
      <c r="H11721" t="s">
        <v>859</v>
      </c>
      <c r="I11721" t="s">
        <v>860</v>
      </c>
      <c r="J11721" t="str">
        <f>"9160150"</f>
        <v>9160150</v>
      </c>
      <c r="K11721">
        <v>2333091540</v>
      </c>
      <c r="L11721">
        <v>2333091540</v>
      </c>
      <c r="M11721" t="s">
        <v>29959</v>
      </c>
      <c r="N11721" t="s">
        <v>29957</v>
      </c>
      <c r="O11721" t="s">
        <v>29960</v>
      </c>
      <c r="P11721">
        <v>59300</v>
      </c>
      <c r="Q11721" t="str">
        <f>"40.626791"</f>
        <v>40.626791</v>
      </c>
      <c r="R11721" t="str">
        <f>"22.440624"</f>
        <v>22.440624</v>
      </c>
      <c r="S11721" t="s">
        <v>26</v>
      </c>
    </row>
    <row r="11722" spans="1:19" x14ac:dyDescent="0.3">
      <c r="A11722" t="s">
        <v>25190</v>
      </c>
      <c r="B11722" t="s">
        <v>29658</v>
      </c>
      <c r="C11722" t="s">
        <v>29962</v>
      </c>
      <c r="D11722" t="s">
        <v>25191</v>
      </c>
      <c r="E11722" t="s">
        <v>26414</v>
      </c>
      <c r="F11722" t="s">
        <v>26414</v>
      </c>
      <c r="G11722" t="s">
        <v>29961</v>
      </c>
      <c r="H11722" t="s">
        <v>859</v>
      </c>
      <c r="I11722" t="s">
        <v>860</v>
      </c>
      <c r="J11722" t="str">
        <f>"9160191"</f>
        <v>9160191</v>
      </c>
      <c r="K11722">
        <v>2333051026</v>
      </c>
      <c r="L11722">
        <v>2333051026</v>
      </c>
      <c r="M11722" t="s">
        <v>29963</v>
      </c>
      <c r="N11722" t="s">
        <v>29961</v>
      </c>
      <c r="O11722" t="s">
        <v>29964</v>
      </c>
      <c r="P11722">
        <v>59300</v>
      </c>
      <c r="Q11722" t="str">
        <f>"40.618084"</f>
        <v>40.618084</v>
      </c>
      <c r="R11722" t="str">
        <f>"22.404998"</f>
        <v>22.404998</v>
      </c>
      <c r="S11722" t="s">
        <v>26</v>
      </c>
    </row>
    <row r="11723" spans="1:19" x14ac:dyDescent="0.3">
      <c r="A11723" t="s">
        <v>25190</v>
      </c>
      <c r="B11723" t="s">
        <v>29658</v>
      </c>
      <c r="C11723" t="s">
        <v>29965</v>
      </c>
      <c r="D11723" t="s">
        <v>25191</v>
      </c>
      <c r="E11723" t="s">
        <v>26414</v>
      </c>
      <c r="F11723" t="s">
        <v>26519</v>
      </c>
      <c r="G11723" t="s">
        <v>26520</v>
      </c>
      <c r="H11723" t="s">
        <v>859</v>
      </c>
      <c r="I11723" t="s">
        <v>860</v>
      </c>
      <c r="J11723" t="str">
        <f>"9160148"</f>
        <v>9160148</v>
      </c>
      <c r="K11723">
        <v>2331039226</v>
      </c>
      <c r="M11723" t="s">
        <v>29966</v>
      </c>
      <c r="N11723" t="s">
        <v>16829</v>
      </c>
      <c r="O11723" t="s">
        <v>16829</v>
      </c>
      <c r="P11723">
        <v>59100</v>
      </c>
      <c r="Q11723" t="str">
        <f>"40.591330"</f>
        <v>40.591330</v>
      </c>
      <c r="R11723" t="str">
        <f>"22.333225"</f>
        <v>22.333225</v>
      </c>
      <c r="S11723" t="s">
        <v>26</v>
      </c>
    </row>
    <row r="11724" spans="1:19" x14ac:dyDescent="0.3">
      <c r="A11724" t="s">
        <v>25190</v>
      </c>
      <c r="B11724" t="s">
        <v>29658</v>
      </c>
      <c r="C11724" t="s">
        <v>29967</v>
      </c>
      <c r="D11724" t="s">
        <v>25191</v>
      </c>
      <c r="E11724" t="s">
        <v>26414</v>
      </c>
      <c r="F11724" t="s">
        <v>26422</v>
      </c>
      <c r="G11724" t="s">
        <v>26422</v>
      </c>
      <c r="H11724" t="s">
        <v>859</v>
      </c>
      <c r="I11724" t="s">
        <v>860</v>
      </c>
      <c r="J11724" t="str">
        <f>"9520838"</f>
        <v>9520838</v>
      </c>
      <c r="K11724">
        <v>2331081794</v>
      </c>
      <c r="L11724">
        <v>2331081794</v>
      </c>
      <c r="M11724" t="s">
        <v>29968</v>
      </c>
      <c r="N11724" t="s">
        <v>29969</v>
      </c>
      <c r="O11724" t="s">
        <v>29970</v>
      </c>
      <c r="P11724">
        <v>59031</v>
      </c>
      <c r="Q11724" t="str">
        <f>"40.521134"</f>
        <v>40.521134</v>
      </c>
      <c r="R11724" t="str">
        <f>"22.400837"</f>
        <v>22.400837</v>
      </c>
      <c r="S11724" t="s">
        <v>26</v>
      </c>
    </row>
    <row r="11725" spans="1:19" x14ac:dyDescent="0.3">
      <c r="A11725" t="s">
        <v>25190</v>
      </c>
      <c r="B11725" t="s">
        <v>29658</v>
      </c>
      <c r="C11725" t="s">
        <v>29971</v>
      </c>
      <c r="D11725" t="s">
        <v>25191</v>
      </c>
      <c r="E11725" t="s">
        <v>26414</v>
      </c>
      <c r="F11725" t="s">
        <v>26422</v>
      </c>
      <c r="G11725" t="s">
        <v>26422</v>
      </c>
      <c r="H11725" t="s">
        <v>859</v>
      </c>
      <c r="I11725" t="s">
        <v>860</v>
      </c>
      <c r="J11725" t="str">
        <f>"9160039"</f>
        <v>9160039</v>
      </c>
      <c r="K11725">
        <v>2331081500</v>
      </c>
      <c r="L11725">
        <v>2331081500</v>
      </c>
      <c r="M11725" t="s">
        <v>29972</v>
      </c>
      <c r="N11725" t="s">
        <v>26422</v>
      </c>
      <c r="O11725" t="s">
        <v>29973</v>
      </c>
      <c r="P11725">
        <v>59031</v>
      </c>
      <c r="Q11725" t="str">
        <f>"40.518461"</f>
        <v>40.518461</v>
      </c>
      <c r="R11725" t="str">
        <f>"22.394059"</f>
        <v>22.394059</v>
      </c>
      <c r="S11725" t="s">
        <v>26</v>
      </c>
    </row>
    <row r="11726" spans="1:19" x14ac:dyDescent="0.3">
      <c r="A11726" t="s">
        <v>25190</v>
      </c>
      <c r="B11726" t="s">
        <v>29658</v>
      </c>
      <c r="C11726" t="s">
        <v>29982</v>
      </c>
      <c r="D11726" t="s">
        <v>25191</v>
      </c>
      <c r="E11726" t="s">
        <v>26414</v>
      </c>
      <c r="F11726" t="s">
        <v>26414</v>
      </c>
      <c r="G11726" t="s">
        <v>26414</v>
      </c>
      <c r="H11726" t="s">
        <v>859</v>
      </c>
      <c r="I11726" t="s">
        <v>860</v>
      </c>
      <c r="J11726" t="str">
        <f>"9160186"</f>
        <v>9160186</v>
      </c>
      <c r="K11726">
        <v>2333022061</v>
      </c>
      <c r="L11726">
        <v>2333022061</v>
      </c>
      <c r="M11726" t="s">
        <v>29983</v>
      </c>
      <c r="N11726" t="s">
        <v>26414</v>
      </c>
      <c r="O11726" t="s">
        <v>29984</v>
      </c>
      <c r="P11726">
        <v>59300</v>
      </c>
      <c r="Q11726" t="str">
        <f>"40.625227"</f>
        <v>40.625227</v>
      </c>
      <c r="R11726" t="str">
        <f>"22.437067"</f>
        <v>22.437067</v>
      </c>
      <c r="S11726" t="s">
        <v>26</v>
      </c>
    </row>
    <row r="11727" spans="1:19" x14ac:dyDescent="0.3">
      <c r="A11727" t="s">
        <v>25190</v>
      </c>
      <c r="B11727" t="s">
        <v>29658</v>
      </c>
      <c r="C11727" t="s">
        <v>30073</v>
      </c>
      <c r="D11727" t="s">
        <v>25191</v>
      </c>
      <c r="E11727" t="s">
        <v>26414</v>
      </c>
      <c r="F11727" t="s">
        <v>26422</v>
      </c>
      <c r="G11727" t="s">
        <v>29995</v>
      </c>
      <c r="H11727" t="s">
        <v>859</v>
      </c>
      <c r="I11727" t="s">
        <v>860</v>
      </c>
      <c r="J11727" t="str">
        <f>"9160042"</f>
        <v>9160042</v>
      </c>
      <c r="K11727">
        <v>2331081224</v>
      </c>
      <c r="L11727">
        <v>2331081224</v>
      </c>
      <c r="M11727" t="s">
        <v>30074</v>
      </c>
      <c r="N11727" t="s">
        <v>29995</v>
      </c>
      <c r="O11727" t="s">
        <v>29998</v>
      </c>
      <c r="P11727">
        <v>59031</v>
      </c>
      <c r="Q11727" t="str">
        <f>"40.504597"</f>
        <v>40.504597</v>
      </c>
      <c r="R11727" t="str">
        <f>"22.414814"</f>
        <v>22.414814</v>
      </c>
      <c r="S11727" t="s">
        <v>26</v>
      </c>
    </row>
    <row r="11728" spans="1:19" x14ac:dyDescent="0.3">
      <c r="A11728" t="s">
        <v>25190</v>
      </c>
      <c r="B11728" t="s">
        <v>29658</v>
      </c>
      <c r="C11728" t="s">
        <v>30106</v>
      </c>
      <c r="D11728" t="s">
        <v>25191</v>
      </c>
      <c r="E11728" t="s">
        <v>26414</v>
      </c>
      <c r="F11728" t="s">
        <v>26414</v>
      </c>
      <c r="G11728" t="s">
        <v>26414</v>
      </c>
      <c r="H11728" t="s">
        <v>859</v>
      </c>
      <c r="I11728" t="s">
        <v>1102</v>
      </c>
      <c r="J11728" t="str">
        <f>"9521067"</f>
        <v>9521067</v>
      </c>
      <c r="K11728">
        <v>2333025672</v>
      </c>
      <c r="L11728">
        <v>2333025672</v>
      </c>
      <c r="M11728" t="s">
        <v>30107</v>
      </c>
      <c r="N11728" t="s">
        <v>26414</v>
      </c>
      <c r="O11728" t="s">
        <v>30005</v>
      </c>
      <c r="P11728">
        <v>59300</v>
      </c>
      <c r="Q11728" t="str">
        <f>"40.626791"</f>
        <v>40.626791</v>
      </c>
      <c r="R11728" t="str">
        <f>"22.440624"</f>
        <v>22.440624</v>
      </c>
      <c r="S11728" t="s">
        <v>26</v>
      </c>
    </row>
    <row r="11729" spans="1:19" x14ac:dyDescent="0.3">
      <c r="A11729" t="s">
        <v>25190</v>
      </c>
      <c r="B11729" t="s">
        <v>29658</v>
      </c>
      <c r="C11729" t="s">
        <v>30108</v>
      </c>
      <c r="D11729" t="s">
        <v>25191</v>
      </c>
      <c r="E11729" t="s">
        <v>25192</v>
      </c>
      <c r="F11729" t="s">
        <v>25192</v>
      </c>
      <c r="G11729" t="s">
        <v>25192</v>
      </c>
      <c r="H11729" t="s">
        <v>859</v>
      </c>
      <c r="I11729" t="s">
        <v>1102</v>
      </c>
      <c r="J11729" t="str">
        <f>"9160229"</f>
        <v>9160229</v>
      </c>
      <c r="K11729">
        <v>2331026501</v>
      </c>
      <c r="M11729" t="s">
        <v>30109</v>
      </c>
      <c r="N11729" t="s">
        <v>25195</v>
      </c>
      <c r="O11729" t="s">
        <v>29681</v>
      </c>
      <c r="P11729">
        <v>59132</v>
      </c>
      <c r="Q11729" t="str">
        <f>"40.529336"</f>
        <v>40.529336</v>
      </c>
      <c r="R11729" t="str">
        <f>"22.197546"</f>
        <v>22.197546</v>
      </c>
      <c r="S11729" t="s">
        <v>26</v>
      </c>
    </row>
    <row r="11730" spans="1:19" x14ac:dyDescent="0.3">
      <c r="A11730" t="s">
        <v>25190</v>
      </c>
      <c r="B11730" t="s">
        <v>29658</v>
      </c>
      <c r="C11730" t="s">
        <v>30110</v>
      </c>
      <c r="D11730" t="s">
        <v>25191</v>
      </c>
      <c r="E11730" t="s">
        <v>26403</v>
      </c>
      <c r="F11730" t="s">
        <v>26403</v>
      </c>
      <c r="G11730" t="s">
        <v>26404</v>
      </c>
      <c r="H11730" t="s">
        <v>859</v>
      </c>
      <c r="I11730" t="s">
        <v>1102</v>
      </c>
      <c r="J11730" t="str">
        <f>"9521066"</f>
        <v>9521066</v>
      </c>
      <c r="K11730">
        <v>2332020378</v>
      </c>
      <c r="L11730">
        <v>2332020378</v>
      </c>
      <c r="M11730" t="s">
        <v>30111</v>
      </c>
      <c r="N11730" t="s">
        <v>26404</v>
      </c>
      <c r="O11730" t="s">
        <v>1969</v>
      </c>
      <c r="P11730">
        <v>59200</v>
      </c>
      <c r="Q11730" t="str">
        <f>"40.625529"</f>
        <v>40.625529</v>
      </c>
      <c r="R11730" t="str">
        <f>"22.058201"</f>
        <v>22.058201</v>
      </c>
      <c r="S11730" t="s">
        <v>26</v>
      </c>
    </row>
    <row r="11731" spans="1:19" x14ac:dyDescent="0.3">
      <c r="A11731" t="s">
        <v>25190</v>
      </c>
      <c r="B11731" t="s">
        <v>29658</v>
      </c>
      <c r="C11731" t="s">
        <v>30113</v>
      </c>
      <c r="D11731" t="s">
        <v>25191</v>
      </c>
      <c r="E11731" t="s">
        <v>26414</v>
      </c>
      <c r="F11731" t="s">
        <v>26519</v>
      </c>
      <c r="G11731" t="s">
        <v>30112</v>
      </c>
      <c r="H11731" t="s">
        <v>859</v>
      </c>
      <c r="I11731" t="s">
        <v>860</v>
      </c>
      <c r="J11731" t="str">
        <f>"9160146"</f>
        <v>9160146</v>
      </c>
      <c r="K11731">
        <v>2333091081</v>
      </c>
      <c r="L11731">
        <v>2333091081</v>
      </c>
      <c r="M11731" t="s">
        <v>30114</v>
      </c>
      <c r="N11731" t="s">
        <v>30112</v>
      </c>
      <c r="O11731" t="s">
        <v>30115</v>
      </c>
      <c r="P11731">
        <v>59300</v>
      </c>
      <c r="Q11731" t="str">
        <f>"40.626791"</f>
        <v>40.626791</v>
      </c>
      <c r="R11731" t="str">
        <f>"22.440624"</f>
        <v>22.440624</v>
      </c>
      <c r="S11731" t="s">
        <v>26</v>
      </c>
    </row>
    <row r="11732" spans="1:19" x14ac:dyDescent="0.3">
      <c r="A11732" t="s">
        <v>25190</v>
      </c>
      <c r="B11732" t="s">
        <v>29658</v>
      </c>
      <c r="C11732" t="s">
        <v>30116</v>
      </c>
      <c r="D11732" t="s">
        <v>25191</v>
      </c>
      <c r="E11732" t="s">
        <v>26414</v>
      </c>
      <c r="F11732" t="s">
        <v>26414</v>
      </c>
      <c r="G11732" t="s">
        <v>13744</v>
      </c>
      <c r="H11732" t="s">
        <v>859</v>
      </c>
      <c r="I11732" t="s">
        <v>860</v>
      </c>
      <c r="J11732" t="str">
        <f>"9160167"</f>
        <v>9160167</v>
      </c>
      <c r="K11732">
        <v>2333022297</v>
      </c>
      <c r="M11732" t="s">
        <v>30117</v>
      </c>
      <c r="N11732" t="s">
        <v>13744</v>
      </c>
      <c r="O11732" t="s">
        <v>13748</v>
      </c>
      <c r="P11732">
        <v>59300</v>
      </c>
      <c r="Q11732" t="str">
        <f>"40.664820"</f>
        <v>40.664820</v>
      </c>
      <c r="R11732" t="str">
        <f>"22.443597"</f>
        <v>22.443597</v>
      </c>
      <c r="S11732" t="s">
        <v>26</v>
      </c>
    </row>
    <row r="11733" spans="1:19" x14ac:dyDescent="0.3">
      <c r="A11733" t="s">
        <v>25190</v>
      </c>
      <c r="B11733" t="s">
        <v>29658</v>
      </c>
      <c r="C11733" t="s">
        <v>30118</v>
      </c>
      <c r="D11733" t="s">
        <v>25191</v>
      </c>
      <c r="E11733" t="s">
        <v>25192</v>
      </c>
      <c r="F11733" t="s">
        <v>29758</v>
      </c>
      <c r="G11733" t="s">
        <v>25324</v>
      </c>
      <c r="H11733" t="s">
        <v>859</v>
      </c>
      <c r="I11733" t="s">
        <v>860</v>
      </c>
      <c r="J11733" t="str">
        <f>"9160073"</f>
        <v>9160073</v>
      </c>
      <c r="K11733">
        <v>2331093100</v>
      </c>
      <c r="M11733" t="s">
        <v>30119</v>
      </c>
      <c r="N11733" t="s">
        <v>25324</v>
      </c>
      <c r="O11733" t="s">
        <v>25327</v>
      </c>
      <c r="P11733">
        <v>59100</v>
      </c>
      <c r="Q11733" t="str">
        <f>"40.592153"</f>
        <v>40.592153</v>
      </c>
      <c r="R11733" t="str">
        <f>"22.168836"</f>
        <v>22.168836</v>
      </c>
      <c r="S11733" t="s">
        <v>26</v>
      </c>
    </row>
    <row r="11734" spans="1:19" x14ac:dyDescent="0.3">
      <c r="A11734" t="s">
        <v>25190</v>
      </c>
      <c r="B11734" t="s">
        <v>30129</v>
      </c>
      <c r="C11734" t="s">
        <v>30131</v>
      </c>
      <c r="D11734" t="s">
        <v>25207</v>
      </c>
      <c r="E11734" t="s">
        <v>25207</v>
      </c>
      <c r="F11734" t="s">
        <v>25207</v>
      </c>
      <c r="G11734" t="s">
        <v>30130</v>
      </c>
      <c r="H11734" t="s">
        <v>859</v>
      </c>
      <c r="I11734" t="s">
        <v>860</v>
      </c>
      <c r="J11734" t="str">
        <f>"9260170"</f>
        <v>9260170</v>
      </c>
      <c r="K11734">
        <v>2341081471</v>
      </c>
      <c r="M11734" t="s">
        <v>30132</v>
      </c>
      <c r="N11734" t="s">
        <v>30130</v>
      </c>
      <c r="O11734" t="s">
        <v>30133</v>
      </c>
      <c r="P11734">
        <v>61100</v>
      </c>
      <c r="Q11734" t="str">
        <f>"40.994781"</f>
        <v>40.994781</v>
      </c>
      <c r="R11734" t="str">
        <f>"22.726419"</f>
        <v>22.726419</v>
      </c>
      <c r="S11734" t="s">
        <v>26</v>
      </c>
    </row>
    <row r="11735" spans="1:19" x14ac:dyDescent="0.3">
      <c r="A11735" t="s">
        <v>25190</v>
      </c>
      <c r="B11735" t="s">
        <v>30129</v>
      </c>
      <c r="C11735" t="s">
        <v>30134</v>
      </c>
      <c r="D11735" t="s">
        <v>25207</v>
      </c>
      <c r="E11735" t="s">
        <v>25207</v>
      </c>
      <c r="F11735" t="s">
        <v>26591</v>
      </c>
      <c r="G11735" t="s">
        <v>26591</v>
      </c>
      <c r="H11735" t="s">
        <v>859</v>
      </c>
      <c r="I11735" t="s">
        <v>860</v>
      </c>
      <c r="J11735" t="str">
        <f>"9260094"</f>
        <v>9260094</v>
      </c>
      <c r="K11735">
        <v>2341031275</v>
      </c>
      <c r="M11735" t="s">
        <v>30135</v>
      </c>
      <c r="N11735" t="s">
        <v>26597</v>
      </c>
      <c r="O11735" t="s">
        <v>26597</v>
      </c>
      <c r="P11735">
        <v>61003</v>
      </c>
      <c r="Q11735" t="str">
        <f>"41.258939"</f>
        <v>41.258939</v>
      </c>
      <c r="R11735" t="str">
        <f>"22.832102"</f>
        <v>22.832102</v>
      </c>
      <c r="S11735" t="s">
        <v>26</v>
      </c>
    </row>
    <row r="11736" spans="1:19" x14ac:dyDescent="0.3">
      <c r="A11736" t="s">
        <v>25190</v>
      </c>
      <c r="B11736" t="s">
        <v>30129</v>
      </c>
      <c r="C11736" t="s">
        <v>30139</v>
      </c>
      <c r="D11736" t="s">
        <v>25207</v>
      </c>
      <c r="E11736" t="s">
        <v>25207</v>
      </c>
      <c r="F11736" t="s">
        <v>25207</v>
      </c>
      <c r="G11736" t="s">
        <v>30138</v>
      </c>
      <c r="H11736" t="s">
        <v>859</v>
      </c>
      <c r="I11736" t="s">
        <v>860</v>
      </c>
      <c r="J11736" t="str">
        <f>"9260083"</f>
        <v>9260083</v>
      </c>
      <c r="K11736">
        <v>2341071293</v>
      </c>
      <c r="M11736" t="s">
        <v>30140</v>
      </c>
      <c r="N11736" t="s">
        <v>30141</v>
      </c>
      <c r="O11736" t="s">
        <v>30142</v>
      </c>
      <c r="P11736">
        <v>61100</v>
      </c>
      <c r="Q11736" t="str">
        <f>"41.007396"</f>
        <v>41.007396</v>
      </c>
      <c r="R11736" t="str">
        <f>"22.795210"</f>
        <v>22.795210</v>
      </c>
      <c r="S11736" t="s">
        <v>26</v>
      </c>
    </row>
    <row r="11737" spans="1:19" x14ac:dyDescent="0.3">
      <c r="A11737" t="s">
        <v>25190</v>
      </c>
      <c r="B11737" t="s">
        <v>30129</v>
      </c>
      <c r="C11737" t="s">
        <v>30144</v>
      </c>
      <c r="D11737" t="s">
        <v>25207</v>
      </c>
      <c r="E11737" t="s">
        <v>25207</v>
      </c>
      <c r="F11737" t="s">
        <v>25207</v>
      </c>
      <c r="G11737" t="s">
        <v>30143</v>
      </c>
      <c r="H11737" t="s">
        <v>859</v>
      </c>
      <c r="I11737" t="s">
        <v>860</v>
      </c>
      <c r="J11737" t="str">
        <f>"9260072"</f>
        <v>9260072</v>
      </c>
      <c r="K11737">
        <v>2341028048</v>
      </c>
      <c r="M11737" t="s">
        <v>30145</v>
      </c>
      <c r="N11737" t="s">
        <v>30143</v>
      </c>
      <c r="O11737" t="s">
        <v>30146</v>
      </c>
      <c r="P11737">
        <v>61100</v>
      </c>
      <c r="Q11737" t="str">
        <f>"40.959584"</f>
        <v>40.959584</v>
      </c>
      <c r="R11737" t="str">
        <f>"22.860472"</f>
        <v>22.860472</v>
      </c>
      <c r="S11737" t="s">
        <v>26</v>
      </c>
    </row>
    <row r="11738" spans="1:19" x14ac:dyDescent="0.3">
      <c r="A11738" t="s">
        <v>25190</v>
      </c>
      <c r="B11738" t="s">
        <v>30129</v>
      </c>
      <c r="C11738" t="s">
        <v>30151</v>
      </c>
      <c r="D11738" t="s">
        <v>25207</v>
      </c>
      <c r="E11738" t="s">
        <v>25207</v>
      </c>
      <c r="F11738" t="s">
        <v>25207</v>
      </c>
      <c r="G11738" t="s">
        <v>30150</v>
      </c>
      <c r="H11738" t="s">
        <v>859</v>
      </c>
      <c r="I11738" t="s">
        <v>860</v>
      </c>
      <c r="J11738" t="str">
        <f>"9260113"</f>
        <v>9260113</v>
      </c>
      <c r="K11738">
        <v>2341072256</v>
      </c>
      <c r="M11738" t="s">
        <v>30152</v>
      </c>
      <c r="N11738" t="s">
        <v>30150</v>
      </c>
      <c r="O11738" t="s">
        <v>30153</v>
      </c>
      <c r="P11738">
        <v>61100</v>
      </c>
      <c r="Q11738" t="str">
        <f>"41.034599"</f>
        <v>41.034599</v>
      </c>
      <c r="R11738" t="str">
        <f>"22.799883"</f>
        <v>22.799883</v>
      </c>
      <c r="S11738" t="s">
        <v>26</v>
      </c>
    </row>
    <row r="11739" spans="1:19" x14ac:dyDescent="0.3">
      <c r="A11739" t="s">
        <v>25190</v>
      </c>
      <c r="B11739" t="s">
        <v>30129</v>
      </c>
      <c r="C11739" t="s">
        <v>30154</v>
      </c>
      <c r="D11739" t="s">
        <v>25207</v>
      </c>
      <c r="E11739" t="s">
        <v>25207</v>
      </c>
      <c r="F11739" t="s">
        <v>26599</v>
      </c>
      <c r="G11739" t="s">
        <v>25878</v>
      </c>
      <c r="H11739" t="s">
        <v>859</v>
      </c>
      <c r="I11739" t="s">
        <v>860</v>
      </c>
      <c r="J11739" t="str">
        <f>"9260051"</f>
        <v>9260051</v>
      </c>
      <c r="K11739">
        <v>2341075880</v>
      </c>
      <c r="L11739">
        <v>2341075880</v>
      </c>
      <c r="M11739" t="s">
        <v>30155</v>
      </c>
      <c r="N11739" t="s">
        <v>26602</v>
      </c>
      <c r="O11739" t="s">
        <v>26602</v>
      </c>
      <c r="P11739">
        <v>61100</v>
      </c>
      <c r="Q11739" t="str">
        <f>"41.072445"</f>
        <v>41.072445</v>
      </c>
      <c r="R11739" t="str">
        <f>"22.908682"</f>
        <v>22.908682</v>
      </c>
      <c r="S11739" t="s">
        <v>26</v>
      </c>
    </row>
    <row r="11740" spans="1:19" x14ac:dyDescent="0.3">
      <c r="A11740" t="s">
        <v>25190</v>
      </c>
      <c r="B11740" t="s">
        <v>30129</v>
      </c>
      <c r="C11740" t="s">
        <v>30157</v>
      </c>
      <c r="D11740" t="s">
        <v>25207</v>
      </c>
      <c r="E11740" t="s">
        <v>25207</v>
      </c>
      <c r="F11740" t="s">
        <v>26682</v>
      </c>
      <c r="G11740" t="s">
        <v>30156</v>
      </c>
      <c r="H11740" t="s">
        <v>859</v>
      </c>
      <c r="I11740" t="s">
        <v>860</v>
      </c>
      <c r="J11740" t="str">
        <f>"9260223"</f>
        <v>9260223</v>
      </c>
      <c r="K11740">
        <v>2341063186</v>
      </c>
      <c r="M11740" t="s">
        <v>30158</v>
      </c>
      <c r="N11740" t="s">
        <v>30156</v>
      </c>
      <c r="O11740" t="s">
        <v>30159</v>
      </c>
      <c r="P11740">
        <v>61100</v>
      </c>
      <c r="Q11740" t="str">
        <f>"40.909119"</f>
        <v>40.909119</v>
      </c>
      <c r="R11740" t="str">
        <f>"22.872416"</f>
        <v>22.872416</v>
      </c>
      <c r="S11740" t="s">
        <v>26</v>
      </c>
    </row>
    <row r="11741" spans="1:19" x14ac:dyDescent="0.3">
      <c r="A11741" t="s">
        <v>25190</v>
      </c>
      <c r="B11741" t="s">
        <v>30129</v>
      </c>
      <c r="C11741" t="s">
        <v>30160</v>
      </c>
      <c r="D11741" t="s">
        <v>25207</v>
      </c>
      <c r="E11741" t="s">
        <v>25207</v>
      </c>
      <c r="F11741" t="s">
        <v>26584</v>
      </c>
      <c r="G11741" t="s">
        <v>26661</v>
      </c>
      <c r="H11741" t="s">
        <v>859</v>
      </c>
      <c r="I11741" t="s">
        <v>860</v>
      </c>
      <c r="J11741" t="str">
        <f>"9260134"</f>
        <v>9260134</v>
      </c>
      <c r="K11741">
        <v>2341093575</v>
      </c>
      <c r="M11741" t="s">
        <v>30161</v>
      </c>
      <c r="N11741" t="s">
        <v>26664</v>
      </c>
      <c r="O11741" t="s">
        <v>26664</v>
      </c>
      <c r="P11741">
        <v>57011</v>
      </c>
      <c r="Q11741" t="str">
        <f>"40.808868"</f>
        <v>40.808868</v>
      </c>
      <c r="R11741" t="str">
        <f>"22.705686"</f>
        <v>22.705686</v>
      </c>
      <c r="S11741" t="s">
        <v>26</v>
      </c>
    </row>
    <row r="11742" spans="1:19" x14ac:dyDescent="0.3">
      <c r="A11742" t="s">
        <v>25190</v>
      </c>
      <c r="B11742" t="s">
        <v>30129</v>
      </c>
      <c r="C11742" t="s">
        <v>30163</v>
      </c>
      <c r="D11742" t="s">
        <v>25207</v>
      </c>
      <c r="E11742" t="s">
        <v>25207</v>
      </c>
      <c r="F11742" t="s">
        <v>26584</v>
      </c>
      <c r="G11742" t="s">
        <v>30162</v>
      </c>
      <c r="H11742" t="s">
        <v>859</v>
      </c>
      <c r="I11742" t="s">
        <v>860</v>
      </c>
      <c r="J11742" t="str">
        <f>"9260136"</f>
        <v>9260136</v>
      </c>
      <c r="K11742">
        <v>2341093935</v>
      </c>
      <c r="M11742" t="s">
        <v>30164</v>
      </c>
      <c r="N11742" t="s">
        <v>30165</v>
      </c>
      <c r="O11742" t="s">
        <v>30165</v>
      </c>
      <c r="P11742">
        <v>57011</v>
      </c>
      <c r="Q11742" t="str">
        <f>"40.844942"</f>
        <v>40.844942</v>
      </c>
      <c r="R11742" t="str">
        <f>"22.757994"</f>
        <v>22.757994</v>
      </c>
      <c r="S11742" t="s">
        <v>26</v>
      </c>
    </row>
    <row r="11743" spans="1:19" x14ac:dyDescent="0.3">
      <c r="A11743" t="s">
        <v>25190</v>
      </c>
      <c r="B11743" t="s">
        <v>30129</v>
      </c>
      <c r="C11743" t="s">
        <v>30166</v>
      </c>
      <c r="D11743" t="s">
        <v>25207</v>
      </c>
      <c r="E11743" t="s">
        <v>25207</v>
      </c>
      <c r="F11743" t="s">
        <v>26682</v>
      </c>
      <c r="G11743" t="s">
        <v>26683</v>
      </c>
      <c r="H11743" t="s">
        <v>859</v>
      </c>
      <c r="I11743" t="s">
        <v>860</v>
      </c>
      <c r="J11743" t="str">
        <f>"9260058"</f>
        <v>9260058</v>
      </c>
      <c r="K11743">
        <v>2341041336</v>
      </c>
      <c r="L11743">
        <v>2341041336</v>
      </c>
      <c r="M11743" t="s">
        <v>30167</v>
      </c>
      <c r="N11743" t="s">
        <v>26683</v>
      </c>
      <c r="O11743" t="s">
        <v>26683</v>
      </c>
      <c r="P11743">
        <v>61100</v>
      </c>
      <c r="Q11743" t="str">
        <f>"40.891161"</f>
        <v>40.891161</v>
      </c>
      <c r="R11743" t="str">
        <f>"22.914849"</f>
        <v>22.914849</v>
      </c>
      <c r="S11743" t="s">
        <v>26</v>
      </c>
    </row>
    <row r="11744" spans="1:19" x14ac:dyDescent="0.3">
      <c r="A11744" t="s">
        <v>25190</v>
      </c>
      <c r="B11744" t="s">
        <v>30129</v>
      </c>
      <c r="C11744" t="s">
        <v>30168</v>
      </c>
      <c r="D11744" t="s">
        <v>25207</v>
      </c>
      <c r="E11744" t="s">
        <v>26604</v>
      </c>
      <c r="F11744" t="s">
        <v>26637</v>
      </c>
      <c r="G11744" t="s">
        <v>8518</v>
      </c>
      <c r="H11744" t="s">
        <v>859</v>
      </c>
      <c r="I11744" t="s">
        <v>860</v>
      </c>
      <c r="J11744" t="str">
        <f>"9260180"</f>
        <v>9260180</v>
      </c>
      <c r="K11744">
        <v>2343061889</v>
      </c>
      <c r="M11744" t="s">
        <v>30169</v>
      </c>
      <c r="N11744" t="s">
        <v>30170</v>
      </c>
      <c r="O11744" t="s">
        <v>30170</v>
      </c>
      <c r="P11744">
        <v>61007</v>
      </c>
      <c r="Q11744" t="str">
        <f>"40.867400"</f>
        <v>40.867400</v>
      </c>
      <c r="R11744" t="str">
        <f>"22.580836"</f>
        <v>22.580836</v>
      </c>
      <c r="S11744" t="s">
        <v>26</v>
      </c>
    </row>
    <row r="11745" spans="1:19" x14ac:dyDescent="0.3">
      <c r="A11745" t="s">
        <v>25190</v>
      </c>
      <c r="B11745" t="s">
        <v>30129</v>
      </c>
      <c r="C11745" t="s">
        <v>30171</v>
      </c>
      <c r="D11745" t="s">
        <v>25207</v>
      </c>
      <c r="E11745" t="s">
        <v>25207</v>
      </c>
      <c r="F11745" t="s">
        <v>26682</v>
      </c>
      <c r="G11745" t="s">
        <v>26682</v>
      </c>
      <c r="H11745" t="s">
        <v>859</v>
      </c>
      <c r="I11745" t="s">
        <v>860</v>
      </c>
      <c r="J11745" t="str">
        <f>"9260224"</f>
        <v>9260224</v>
      </c>
      <c r="K11745">
        <v>2341042295</v>
      </c>
      <c r="M11745" t="s">
        <v>30172</v>
      </c>
      <c r="N11745" t="s">
        <v>26682</v>
      </c>
      <c r="O11745" t="s">
        <v>30173</v>
      </c>
      <c r="P11745">
        <v>61100</v>
      </c>
      <c r="Q11745" t="str">
        <f>"40.858122"</f>
        <v>40.858122</v>
      </c>
      <c r="R11745" t="str">
        <f>"22.879743"</f>
        <v>22.879743</v>
      </c>
      <c r="S11745" t="s">
        <v>26</v>
      </c>
    </row>
    <row r="11746" spans="1:19" x14ac:dyDescent="0.3">
      <c r="A11746" t="s">
        <v>25190</v>
      </c>
      <c r="B11746" t="s">
        <v>30129</v>
      </c>
      <c r="C11746" t="s">
        <v>30175</v>
      </c>
      <c r="D11746" t="s">
        <v>25207</v>
      </c>
      <c r="E11746" t="s">
        <v>25207</v>
      </c>
      <c r="F11746" t="s">
        <v>26682</v>
      </c>
      <c r="G11746" t="s">
        <v>30174</v>
      </c>
      <c r="H11746" t="s">
        <v>859</v>
      </c>
      <c r="I11746" t="s">
        <v>860</v>
      </c>
      <c r="J11746" t="str">
        <f>"9260081"</f>
        <v>9260081</v>
      </c>
      <c r="K11746">
        <v>2341041143</v>
      </c>
      <c r="L11746">
        <v>2341041143</v>
      </c>
      <c r="M11746" t="s">
        <v>30176</v>
      </c>
      <c r="N11746" t="s">
        <v>30174</v>
      </c>
      <c r="O11746" t="s">
        <v>30177</v>
      </c>
      <c r="P11746">
        <v>61100</v>
      </c>
      <c r="Q11746" t="str">
        <f>"40.871121"</f>
        <v>40.871121</v>
      </c>
      <c r="R11746" t="str">
        <f>"22.910096"</f>
        <v>22.910096</v>
      </c>
      <c r="S11746" t="s">
        <v>26</v>
      </c>
    </row>
    <row r="11747" spans="1:19" x14ac:dyDescent="0.3">
      <c r="A11747" t="s">
        <v>25190</v>
      </c>
      <c r="B11747" t="s">
        <v>30129</v>
      </c>
      <c r="C11747" t="s">
        <v>30179</v>
      </c>
      <c r="D11747" t="s">
        <v>25207</v>
      </c>
      <c r="E11747" t="s">
        <v>25207</v>
      </c>
      <c r="F11747" t="s">
        <v>26682</v>
      </c>
      <c r="G11747" t="s">
        <v>30178</v>
      </c>
      <c r="H11747" t="s">
        <v>859</v>
      </c>
      <c r="I11747" t="s">
        <v>860</v>
      </c>
      <c r="J11747" t="str">
        <f>"9260248"</f>
        <v>9260248</v>
      </c>
      <c r="K11747">
        <v>2341064330</v>
      </c>
      <c r="L11747">
        <v>2341064330</v>
      </c>
      <c r="M11747" t="s">
        <v>30180</v>
      </c>
      <c r="N11747" t="s">
        <v>25207</v>
      </c>
      <c r="O11747" t="s">
        <v>18766</v>
      </c>
      <c r="P11747">
        <v>61100</v>
      </c>
      <c r="Q11747" t="str">
        <f>"40.830463"</f>
        <v>40.830463</v>
      </c>
      <c r="R11747" t="str">
        <f>"22.893530"</f>
        <v>22.893530</v>
      </c>
      <c r="S11747" t="s">
        <v>26</v>
      </c>
    </row>
    <row r="11748" spans="1:19" x14ac:dyDescent="0.3">
      <c r="A11748" t="s">
        <v>25190</v>
      </c>
      <c r="B11748" t="s">
        <v>30129</v>
      </c>
      <c r="C11748" t="s">
        <v>30181</v>
      </c>
      <c r="D11748" t="s">
        <v>25207</v>
      </c>
      <c r="E11748" t="s">
        <v>26604</v>
      </c>
      <c r="F11748" t="s">
        <v>26605</v>
      </c>
      <c r="G11748" t="s">
        <v>26606</v>
      </c>
      <c r="H11748" t="s">
        <v>859</v>
      </c>
      <c r="I11748" t="s">
        <v>860</v>
      </c>
      <c r="J11748" t="str">
        <f>"9260176"</f>
        <v>9260176</v>
      </c>
      <c r="K11748">
        <v>2343031626</v>
      </c>
      <c r="L11748">
        <v>2343031810</v>
      </c>
      <c r="M11748" t="s">
        <v>30182</v>
      </c>
      <c r="N11748" t="s">
        <v>26609</v>
      </c>
      <c r="O11748" t="s">
        <v>30183</v>
      </c>
      <c r="P11748">
        <v>61400</v>
      </c>
      <c r="Q11748" t="str">
        <f>"40.985108"</f>
        <v>40.985108</v>
      </c>
      <c r="R11748" t="str">
        <f>"22.537523"</f>
        <v>22.537523</v>
      </c>
      <c r="S11748" t="s">
        <v>26</v>
      </c>
    </row>
    <row r="11749" spans="1:19" x14ac:dyDescent="0.3">
      <c r="A11749" t="s">
        <v>25190</v>
      </c>
      <c r="B11749" t="s">
        <v>30129</v>
      </c>
      <c r="C11749" t="s">
        <v>30184</v>
      </c>
      <c r="D11749" t="s">
        <v>25207</v>
      </c>
      <c r="E11749" t="s">
        <v>26604</v>
      </c>
      <c r="F11749" t="s">
        <v>26605</v>
      </c>
      <c r="G11749" t="s">
        <v>26606</v>
      </c>
      <c r="H11749" t="s">
        <v>859</v>
      </c>
      <c r="I11749" t="s">
        <v>860</v>
      </c>
      <c r="J11749" t="str">
        <f>"9260255"</f>
        <v>9260255</v>
      </c>
      <c r="K11749">
        <v>2343032759</v>
      </c>
      <c r="L11749">
        <v>234303275</v>
      </c>
      <c r="M11749" t="s">
        <v>30185</v>
      </c>
      <c r="N11749" t="s">
        <v>26609</v>
      </c>
      <c r="O11749" t="s">
        <v>30186</v>
      </c>
      <c r="P11749">
        <v>61400</v>
      </c>
      <c r="Q11749" t="str">
        <f>"40.987750"</f>
        <v>40.987750</v>
      </c>
      <c r="R11749" t="str">
        <f>"22.542463"</f>
        <v>22.542463</v>
      </c>
      <c r="S11749" t="s">
        <v>26</v>
      </c>
    </row>
    <row r="11750" spans="1:19" x14ac:dyDescent="0.3">
      <c r="A11750" t="s">
        <v>25190</v>
      </c>
      <c r="B11750" t="s">
        <v>30129</v>
      </c>
      <c r="C11750" t="s">
        <v>30188</v>
      </c>
      <c r="D11750" t="s">
        <v>25207</v>
      </c>
      <c r="E11750" t="s">
        <v>26604</v>
      </c>
      <c r="F11750" t="s">
        <v>26605</v>
      </c>
      <c r="G11750" t="s">
        <v>30187</v>
      </c>
      <c r="H11750" t="s">
        <v>859</v>
      </c>
      <c r="I11750" t="s">
        <v>860</v>
      </c>
      <c r="J11750" t="str">
        <f>"9260182"</f>
        <v>9260182</v>
      </c>
      <c r="K11750">
        <v>2343031320</v>
      </c>
      <c r="L11750">
        <v>2343031320</v>
      </c>
      <c r="M11750" t="s">
        <v>30189</v>
      </c>
      <c r="N11750" t="s">
        <v>30187</v>
      </c>
      <c r="O11750" t="s">
        <v>30187</v>
      </c>
      <c r="P11750">
        <v>61400</v>
      </c>
      <c r="Q11750" t="str">
        <f>"40.961614"</f>
        <v>40.961614</v>
      </c>
      <c r="R11750" t="str">
        <f>"22.516936"</f>
        <v>22.516936</v>
      </c>
      <c r="S11750" t="s">
        <v>26</v>
      </c>
    </row>
    <row r="11751" spans="1:19" x14ac:dyDescent="0.3">
      <c r="A11751" t="s">
        <v>25190</v>
      </c>
      <c r="B11751" t="s">
        <v>30129</v>
      </c>
      <c r="C11751" t="s">
        <v>30191</v>
      </c>
      <c r="D11751" t="s">
        <v>25207</v>
      </c>
      <c r="E11751" t="s">
        <v>26604</v>
      </c>
      <c r="F11751" t="s">
        <v>26645</v>
      </c>
      <c r="G11751" t="s">
        <v>30190</v>
      </c>
      <c r="H11751" t="s">
        <v>859</v>
      </c>
      <c r="I11751" t="s">
        <v>860</v>
      </c>
      <c r="J11751" t="str">
        <f>"9260225"</f>
        <v>9260225</v>
      </c>
      <c r="K11751">
        <v>2343095395</v>
      </c>
      <c r="M11751" t="s">
        <v>30192</v>
      </c>
      <c r="N11751" t="s">
        <v>30193</v>
      </c>
      <c r="O11751" t="s">
        <v>30193</v>
      </c>
      <c r="P11751">
        <v>61200</v>
      </c>
      <c r="Q11751" t="str">
        <f>"40.899058"</f>
        <v>40.899058</v>
      </c>
      <c r="R11751" t="str">
        <f>"22.629272"</f>
        <v>22.629272</v>
      </c>
      <c r="S11751" t="s">
        <v>26</v>
      </c>
    </row>
    <row r="11752" spans="1:19" x14ac:dyDescent="0.3">
      <c r="A11752" t="s">
        <v>25190</v>
      </c>
      <c r="B11752" t="s">
        <v>30129</v>
      </c>
      <c r="C11752" t="s">
        <v>30194</v>
      </c>
      <c r="D11752" t="s">
        <v>25207</v>
      </c>
      <c r="E11752" t="s">
        <v>26604</v>
      </c>
      <c r="F11752" t="s">
        <v>26614</v>
      </c>
      <c r="G11752" t="s">
        <v>26614</v>
      </c>
      <c r="H11752" t="s">
        <v>859</v>
      </c>
      <c r="I11752" t="s">
        <v>860</v>
      </c>
      <c r="J11752" t="str">
        <f>"9260188"</f>
        <v>9260188</v>
      </c>
      <c r="K11752">
        <v>2343041983</v>
      </c>
      <c r="M11752" t="s">
        <v>30195</v>
      </c>
      <c r="N11752" t="s">
        <v>26617</v>
      </c>
      <c r="O11752" t="s">
        <v>30196</v>
      </c>
      <c r="P11752">
        <v>61300</v>
      </c>
      <c r="Q11752" t="str">
        <f>"40.942578"</f>
        <v>40.942578</v>
      </c>
      <c r="R11752" t="str">
        <f>"22.454009"</f>
        <v>22.454009</v>
      </c>
      <c r="S11752" t="s">
        <v>26</v>
      </c>
    </row>
    <row r="11753" spans="1:19" x14ac:dyDescent="0.3">
      <c r="A11753" t="s">
        <v>25190</v>
      </c>
      <c r="B11753" t="s">
        <v>30129</v>
      </c>
      <c r="C11753" t="s">
        <v>30197</v>
      </c>
      <c r="D11753" t="s">
        <v>25207</v>
      </c>
      <c r="E11753" t="s">
        <v>25207</v>
      </c>
      <c r="F11753" t="s">
        <v>26682</v>
      </c>
      <c r="G11753" t="s">
        <v>30178</v>
      </c>
      <c r="H11753" t="s">
        <v>859</v>
      </c>
      <c r="I11753" t="s">
        <v>860</v>
      </c>
      <c r="J11753" t="str">
        <f>"9260097"</f>
        <v>9260097</v>
      </c>
      <c r="K11753">
        <v>2341064780</v>
      </c>
      <c r="M11753" t="s">
        <v>30198</v>
      </c>
      <c r="N11753" t="s">
        <v>30199</v>
      </c>
      <c r="O11753" t="s">
        <v>30200</v>
      </c>
      <c r="P11753">
        <v>61100</v>
      </c>
      <c r="Q11753" t="str">
        <f>"40.857313"</f>
        <v>40.857313</v>
      </c>
      <c r="R11753" t="str">
        <f>"22.909520"</f>
        <v>22.909520</v>
      </c>
      <c r="S11753" t="s">
        <v>26</v>
      </c>
    </row>
    <row r="11754" spans="1:19" x14ac:dyDescent="0.3">
      <c r="A11754" t="s">
        <v>25190</v>
      </c>
      <c r="B11754" t="s">
        <v>30129</v>
      </c>
      <c r="C11754" t="s">
        <v>30203</v>
      </c>
      <c r="D11754" t="s">
        <v>25207</v>
      </c>
      <c r="E11754" t="s">
        <v>26604</v>
      </c>
      <c r="F11754" t="s">
        <v>26614</v>
      </c>
      <c r="G11754" t="s">
        <v>26614</v>
      </c>
      <c r="H11754" t="s">
        <v>859</v>
      </c>
      <c r="I11754" t="s">
        <v>860</v>
      </c>
      <c r="J11754" t="str">
        <f>"9260189"</f>
        <v>9260189</v>
      </c>
      <c r="K11754">
        <v>2343041330</v>
      </c>
      <c r="M11754" t="s">
        <v>30204</v>
      </c>
      <c r="N11754" t="s">
        <v>26617</v>
      </c>
      <c r="O11754" t="s">
        <v>30137</v>
      </c>
      <c r="P11754">
        <v>61300</v>
      </c>
      <c r="Q11754" t="str">
        <f>"40.949947"</f>
        <v>40.949947</v>
      </c>
      <c r="R11754" t="str">
        <f>"22.451891"</f>
        <v>22.451891</v>
      </c>
      <c r="S11754" t="s">
        <v>26</v>
      </c>
    </row>
    <row r="11755" spans="1:19" x14ac:dyDescent="0.3">
      <c r="A11755" t="s">
        <v>25190</v>
      </c>
      <c r="B11755" t="s">
        <v>30129</v>
      </c>
      <c r="C11755" t="s">
        <v>30206</v>
      </c>
      <c r="D11755" t="s">
        <v>25207</v>
      </c>
      <c r="E11755" t="s">
        <v>26604</v>
      </c>
      <c r="F11755" t="s">
        <v>26614</v>
      </c>
      <c r="G11755" t="s">
        <v>30205</v>
      </c>
      <c r="H11755" t="s">
        <v>859</v>
      </c>
      <c r="I11755" t="s">
        <v>860</v>
      </c>
      <c r="J11755" t="str">
        <f>"9260218"</f>
        <v>9260218</v>
      </c>
      <c r="K11755">
        <v>2343042501</v>
      </c>
      <c r="M11755" t="s">
        <v>30207</v>
      </c>
      <c r="N11755" t="s">
        <v>30208</v>
      </c>
      <c r="O11755" t="s">
        <v>30208</v>
      </c>
      <c r="P11755">
        <v>61300</v>
      </c>
      <c r="Q11755" t="str">
        <f>"40.954453"</f>
        <v>40.954453</v>
      </c>
      <c r="R11755" t="str">
        <f>"22.411110"</f>
        <v>22.411110</v>
      </c>
      <c r="S11755" t="s">
        <v>26</v>
      </c>
    </row>
    <row r="11756" spans="1:19" x14ac:dyDescent="0.3">
      <c r="A11756" t="s">
        <v>25190</v>
      </c>
      <c r="B11756" t="s">
        <v>30129</v>
      </c>
      <c r="C11756" t="s">
        <v>30209</v>
      </c>
      <c r="D11756" t="s">
        <v>25207</v>
      </c>
      <c r="E11756" t="s">
        <v>25207</v>
      </c>
      <c r="F11756" t="s">
        <v>26584</v>
      </c>
      <c r="G11756" t="s">
        <v>26585</v>
      </c>
      <c r="H11756" t="s">
        <v>859</v>
      </c>
      <c r="I11756" t="s">
        <v>860</v>
      </c>
      <c r="J11756" t="str">
        <f>"9260163"</f>
        <v>9260163</v>
      </c>
      <c r="K11756">
        <v>2341094137</v>
      </c>
      <c r="M11756" t="s">
        <v>30210</v>
      </c>
      <c r="N11756" t="s">
        <v>26589</v>
      </c>
      <c r="O11756" t="s">
        <v>26589</v>
      </c>
      <c r="P11756">
        <v>61100</v>
      </c>
      <c r="Q11756" t="str">
        <f>"40.920268"</f>
        <v>40.920268</v>
      </c>
      <c r="R11756" t="str">
        <f>"22.747216"</f>
        <v>22.747216</v>
      </c>
      <c r="S11756" t="s">
        <v>26</v>
      </c>
    </row>
    <row r="11757" spans="1:19" x14ac:dyDescent="0.3">
      <c r="A11757" t="s">
        <v>25190</v>
      </c>
      <c r="B11757" t="s">
        <v>30129</v>
      </c>
      <c r="C11757" t="s">
        <v>30211</v>
      </c>
      <c r="D11757" t="s">
        <v>25207</v>
      </c>
      <c r="E11757" t="s">
        <v>26604</v>
      </c>
      <c r="F11757" t="s">
        <v>26637</v>
      </c>
      <c r="G11757" t="s">
        <v>26637</v>
      </c>
      <c r="H11757" t="s">
        <v>859</v>
      </c>
      <c r="I11757" t="s">
        <v>860</v>
      </c>
      <c r="J11757" t="str">
        <f>"9260192"</f>
        <v>9260192</v>
      </c>
      <c r="K11757">
        <v>2343061944</v>
      </c>
      <c r="L11757">
        <v>2343061944</v>
      </c>
      <c r="M11757" t="s">
        <v>30212</v>
      </c>
      <c r="N11757" t="s">
        <v>26640</v>
      </c>
      <c r="O11757" t="s">
        <v>26640</v>
      </c>
      <c r="P11757">
        <v>61007</v>
      </c>
      <c r="Q11757" t="str">
        <f>"40.893822"</f>
        <v>40.893822</v>
      </c>
      <c r="R11757" t="str">
        <f>"22.554090"</f>
        <v>22.554090</v>
      </c>
      <c r="S11757" t="s">
        <v>26</v>
      </c>
    </row>
    <row r="11758" spans="1:19" x14ac:dyDescent="0.3">
      <c r="A11758" t="s">
        <v>25190</v>
      </c>
      <c r="B11758" t="s">
        <v>30129</v>
      </c>
      <c r="C11758" t="s">
        <v>30214</v>
      </c>
      <c r="D11758" t="s">
        <v>25207</v>
      </c>
      <c r="E11758" t="s">
        <v>25207</v>
      </c>
      <c r="F11758" t="s">
        <v>26584</v>
      </c>
      <c r="G11758" t="s">
        <v>30213</v>
      </c>
      <c r="H11758" t="s">
        <v>859</v>
      </c>
      <c r="I11758" t="s">
        <v>860</v>
      </c>
      <c r="J11758" t="str">
        <f>"9260156"</f>
        <v>9260156</v>
      </c>
      <c r="K11758">
        <v>2341091127</v>
      </c>
      <c r="L11758">
        <v>2341091066</v>
      </c>
      <c r="M11758" t="s">
        <v>30215</v>
      </c>
      <c r="N11758" t="s">
        <v>30216</v>
      </c>
      <c r="O11758" t="s">
        <v>30216</v>
      </c>
      <c r="P11758">
        <v>61100</v>
      </c>
      <c r="Q11758" t="str">
        <f>"40.887927"</f>
        <v>40.887927</v>
      </c>
      <c r="R11758" t="str">
        <f>"22.811285"</f>
        <v>22.811285</v>
      </c>
      <c r="S11758" t="s">
        <v>26</v>
      </c>
    </row>
    <row r="11759" spans="1:19" x14ac:dyDescent="0.3">
      <c r="A11759" t="s">
        <v>25190</v>
      </c>
      <c r="B11759" t="s">
        <v>30129</v>
      </c>
      <c r="C11759" t="s">
        <v>30217</v>
      </c>
      <c r="D11759" t="s">
        <v>25207</v>
      </c>
      <c r="E11759" t="s">
        <v>26604</v>
      </c>
      <c r="F11759" t="s">
        <v>26645</v>
      </c>
      <c r="G11759" t="s">
        <v>26645</v>
      </c>
      <c r="H11759" t="s">
        <v>859</v>
      </c>
      <c r="I11759" t="s">
        <v>860</v>
      </c>
      <c r="J11759" t="str">
        <f>"9260254"</f>
        <v>9260254</v>
      </c>
      <c r="K11759">
        <v>2343024192</v>
      </c>
      <c r="M11759" t="s">
        <v>30218</v>
      </c>
      <c r="N11759" t="s">
        <v>26648</v>
      </c>
      <c r="O11759" t="s">
        <v>5322</v>
      </c>
      <c r="P11759">
        <v>61200</v>
      </c>
      <c r="Q11759" t="str">
        <f>"41.002881"</f>
        <v>41.002881</v>
      </c>
      <c r="R11759" t="str">
        <f>"22.572343"</f>
        <v>22.572343</v>
      </c>
      <c r="S11759" t="s">
        <v>26</v>
      </c>
    </row>
    <row r="11760" spans="1:19" x14ac:dyDescent="0.3">
      <c r="A11760" t="s">
        <v>25190</v>
      </c>
      <c r="B11760" t="s">
        <v>30129</v>
      </c>
      <c r="C11760" t="s">
        <v>30220</v>
      </c>
      <c r="D11760" t="s">
        <v>25207</v>
      </c>
      <c r="E11760" t="s">
        <v>25207</v>
      </c>
      <c r="F11760" t="s">
        <v>26584</v>
      </c>
      <c r="G11760" t="s">
        <v>30219</v>
      </c>
      <c r="H11760" t="s">
        <v>859</v>
      </c>
      <c r="I11760" t="s">
        <v>860</v>
      </c>
      <c r="J11760" t="str">
        <f>"9260160"</f>
        <v>9260160</v>
      </c>
      <c r="K11760">
        <v>2341098166</v>
      </c>
      <c r="L11760">
        <v>2341098166</v>
      </c>
      <c r="M11760" t="s">
        <v>30221</v>
      </c>
      <c r="N11760" t="s">
        <v>30222</v>
      </c>
      <c r="O11760" t="s">
        <v>30222</v>
      </c>
      <c r="P11760">
        <v>57011</v>
      </c>
      <c r="Q11760" t="str">
        <f>"40.842771"</f>
        <v>40.842771</v>
      </c>
      <c r="R11760" t="str">
        <f>"22.774490"</f>
        <v>22.774490</v>
      </c>
      <c r="S11760" t="s">
        <v>26</v>
      </c>
    </row>
    <row r="11761" spans="1:19" x14ac:dyDescent="0.3">
      <c r="A11761" t="s">
        <v>25190</v>
      </c>
      <c r="B11761" t="s">
        <v>30129</v>
      </c>
      <c r="C11761" t="s">
        <v>30224</v>
      </c>
      <c r="D11761" t="s">
        <v>25207</v>
      </c>
      <c r="E11761" t="s">
        <v>26604</v>
      </c>
      <c r="F11761" t="s">
        <v>26645</v>
      </c>
      <c r="G11761" t="s">
        <v>30223</v>
      </c>
      <c r="H11761" t="s">
        <v>859</v>
      </c>
      <c r="I11761" t="s">
        <v>860</v>
      </c>
      <c r="J11761" t="str">
        <f>"9260149"</f>
        <v>9260149</v>
      </c>
      <c r="K11761">
        <v>2343092233</v>
      </c>
      <c r="L11761">
        <v>2343092233</v>
      </c>
      <c r="M11761" t="s">
        <v>30225</v>
      </c>
      <c r="N11761" t="s">
        <v>20356</v>
      </c>
      <c r="O11761" t="s">
        <v>20356</v>
      </c>
      <c r="P11761">
        <v>61200</v>
      </c>
      <c r="Q11761" t="str">
        <f>"41.065583"</f>
        <v>41.065583</v>
      </c>
      <c r="R11761" t="str">
        <f>"22.596585"</f>
        <v>22.596585</v>
      </c>
      <c r="S11761" t="s">
        <v>26</v>
      </c>
    </row>
    <row r="11762" spans="1:19" x14ac:dyDescent="0.3">
      <c r="A11762" t="s">
        <v>25190</v>
      </c>
      <c r="B11762" t="s">
        <v>30129</v>
      </c>
      <c r="C11762" t="s">
        <v>30226</v>
      </c>
      <c r="D11762" t="s">
        <v>25207</v>
      </c>
      <c r="E11762" t="s">
        <v>26604</v>
      </c>
      <c r="F11762" t="s">
        <v>26645</v>
      </c>
      <c r="G11762" t="s">
        <v>26645</v>
      </c>
      <c r="H11762" t="s">
        <v>859</v>
      </c>
      <c r="I11762" t="s">
        <v>860</v>
      </c>
      <c r="J11762" t="str">
        <f>"9260168"</f>
        <v>9260168</v>
      </c>
      <c r="K11762">
        <v>2343022370</v>
      </c>
      <c r="L11762">
        <v>2343022370</v>
      </c>
      <c r="M11762" t="s">
        <v>30227</v>
      </c>
      <c r="N11762" t="s">
        <v>26648</v>
      </c>
      <c r="O11762" t="s">
        <v>30228</v>
      </c>
      <c r="P11762">
        <v>61200</v>
      </c>
      <c r="Q11762" t="str">
        <f>"39.853477"</f>
        <v>39.853477</v>
      </c>
      <c r="R11762" t="str">
        <f>"22.556572"</f>
        <v>22.556572</v>
      </c>
      <c r="S11762" t="s">
        <v>26</v>
      </c>
    </row>
    <row r="11763" spans="1:19" x14ac:dyDescent="0.3">
      <c r="A11763" t="s">
        <v>25190</v>
      </c>
      <c r="B11763" t="s">
        <v>30129</v>
      </c>
      <c r="C11763" t="s">
        <v>30232</v>
      </c>
      <c r="D11763" t="s">
        <v>25207</v>
      </c>
      <c r="E11763" t="s">
        <v>26604</v>
      </c>
      <c r="F11763" t="s">
        <v>26645</v>
      </c>
      <c r="G11763" t="s">
        <v>26645</v>
      </c>
      <c r="H11763" t="s">
        <v>859</v>
      </c>
      <c r="I11763" t="s">
        <v>860</v>
      </c>
      <c r="J11763" t="str">
        <f>"9260228"</f>
        <v>9260228</v>
      </c>
      <c r="K11763">
        <v>2343022730</v>
      </c>
      <c r="L11763">
        <v>2343020225</v>
      </c>
      <c r="M11763" t="s">
        <v>30233</v>
      </c>
      <c r="N11763" t="s">
        <v>26648</v>
      </c>
      <c r="O11763" t="s">
        <v>30234</v>
      </c>
      <c r="P11763">
        <v>61200</v>
      </c>
      <c r="Q11763" t="str">
        <f>"40.991295"</f>
        <v>40.991295</v>
      </c>
      <c r="R11763" t="str">
        <f>"22.577554"</f>
        <v>22.577554</v>
      </c>
      <c r="S11763" t="s">
        <v>26</v>
      </c>
    </row>
    <row r="11764" spans="1:19" x14ac:dyDescent="0.3">
      <c r="A11764" t="s">
        <v>25190</v>
      </c>
      <c r="B11764" t="s">
        <v>30129</v>
      </c>
      <c r="C11764" t="s">
        <v>30235</v>
      </c>
      <c r="D11764" t="s">
        <v>25207</v>
      </c>
      <c r="E11764" t="s">
        <v>26604</v>
      </c>
      <c r="F11764" t="s">
        <v>26645</v>
      </c>
      <c r="G11764" t="s">
        <v>26691</v>
      </c>
      <c r="H11764" t="s">
        <v>859</v>
      </c>
      <c r="I11764" t="s">
        <v>860</v>
      </c>
      <c r="J11764" t="str">
        <f>"9260172"</f>
        <v>9260172</v>
      </c>
      <c r="K11764">
        <v>2343092658</v>
      </c>
      <c r="L11764">
        <v>2343092244</v>
      </c>
      <c r="M11764" t="s">
        <v>30236</v>
      </c>
      <c r="N11764" t="s">
        <v>26691</v>
      </c>
      <c r="O11764" t="s">
        <v>30149</v>
      </c>
      <c r="P11764">
        <v>61200</v>
      </c>
      <c r="Q11764" t="str">
        <f>"41.103282"</f>
        <v>41.103282</v>
      </c>
      <c r="R11764" t="str">
        <f>"22.618528"</f>
        <v>22.618528</v>
      </c>
      <c r="S11764" t="s">
        <v>26</v>
      </c>
    </row>
    <row r="11765" spans="1:19" x14ac:dyDescent="0.3">
      <c r="A11765" t="s">
        <v>25190</v>
      </c>
      <c r="B11765" t="s">
        <v>30129</v>
      </c>
      <c r="C11765" t="s">
        <v>30237</v>
      </c>
      <c r="D11765" t="s">
        <v>25207</v>
      </c>
      <c r="E11765" t="s">
        <v>25207</v>
      </c>
      <c r="F11765" t="s">
        <v>25207</v>
      </c>
      <c r="G11765" t="s">
        <v>25207</v>
      </c>
      <c r="H11765" t="s">
        <v>859</v>
      </c>
      <c r="I11765" t="s">
        <v>860</v>
      </c>
      <c r="J11765" t="str">
        <f>"9520757"</f>
        <v>9520757</v>
      </c>
      <c r="K11765">
        <v>2341070513</v>
      </c>
      <c r="L11765">
        <v>2341070513</v>
      </c>
      <c r="M11765" t="s">
        <v>30238</v>
      </c>
      <c r="N11765" t="s">
        <v>25207</v>
      </c>
      <c r="O11765" t="s">
        <v>30239</v>
      </c>
      <c r="P11765">
        <v>61100</v>
      </c>
      <c r="Q11765" t="str">
        <f>"40.994695"</f>
        <v>40.994695</v>
      </c>
      <c r="R11765" t="str">
        <f>"22.866172"</f>
        <v>22.866172</v>
      </c>
      <c r="S11765" t="s">
        <v>26</v>
      </c>
    </row>
    <row r="11766" spans="1:19" x14ac:dyDescent="0.3">
      <c r="A11766" t="s">
        <v>25190</v>
      </c>
      <c r="B11766" t="s">
        <v>30129</v>
      </c>
      <c r="C11766" t="s">
        <v>30241</v>
      </c>
      <c r="D11766" t="s">
        <v>25207</v>
      </c>
      <c r="E11766" t="s">
        <v>26604</v>
      </c>
      <c r="F11766" t="s">
        <v>26614</v>
      </c>
      <c r="G11766" t="s">
        <v>30240</v>
      </c>
      <c r="H11766" t="s">
        <v>859</v>
      </c>
      <c r="I11766" t="s">
        <v>860</v>
      </c>
      <c r="J11766" t="str">
        <f>"9260184"</f>
        <v>9260184</v>
      </c>
      <c r="K11766">
        <v>2343032288</v>
      </c>
      <c r="M11766" t="s">
        <v>30242</v>
      </c>
      <c r="N11766" t="s">
        <v>30240</v>
      </c>
      <c r="O11766" t="s">
        <v>30243</v>
      </c>
      <c r="P11766">
        <v>61400</v>
      </c>
      <c r="Q11766" t="str">
        <f>"40.951256"</f>
        <v>40.951256</v>
      </c>
      <c r="R11766" t="str">
        <f>"22.498167"</f>
        <v>22.498167</v>
      </c>
      <c r="S11766" t="s">
        <v>26</v>
      </c>
    </row>
    <row r="11767" spans="1:19" x14ac:dyDescent="0.3">
      <c r="A11767" t="s">
        <v>25190</v>
      </c>
      <c r="B11767" t="s">
        <v>30129</v>
      </c>
      <c r="C11767" t="s">
        <v>30244</v>
      </c>
      <c r="D11767" t="s">
        <v>25207</v>
      </c>
      <c r="E11767" t="s">
        <v>26604</v>
      </c>
      <c r="F11767" t="s">
        <v>26637</v>
      </c>
      <c r="G11767" t="s">
        <v>25291</v>
      </c>
      <c r="H11767" t="s">
        <v>859</v>
      </c>
      <c r="I11767" t="s">
        <v>860</v>
      </c>
      <c r="J11767" t="str">
        <f>"9260226"</f>
        <v>9260226</v>
      </c>
      <c r="K11767">
        <v>2343071466</v>
      </c>
      <c r="M11767" t="s">
        <v>30245</v>
      </c>
      <c r="N11767" t="s">
        <v>30246</v>
      </c>
      <c r="O11767" t="s">
        <v>30246</v>
      </c>
      <c r="P11767">
        <v>61400</v>
      </c>
      <c r="Q11767" t="str">
        <f>"40.936647"</f>
        <v>40.936647</v>
      </c>
      <c r="R11767" t="str">
        <f>"22.543788"</f>
        <v>22.543788</v>
      </c>
      <c r="S11767" t="s">
        <v>26</v>
      </c>
    </row>
    <row r="11768" spans="1:19" x14ac:dyDescent="0.3">
      <c r="A11768" t="s">
        <v>25190</v>
      </c>
      <c r="B11768" t="s">
        <v>30129</v>
      </c>
      <c r="C11768" t="s">
        <v>30262</v>
      </c>
      <c r="D11768" t="s">
        <v>25207</v>
      </c>
      <c r="E11768" t="s">
        <v>25207</v>
      </c>
      <c r="F11768" t="s">
        <v>26631</v>
      </c>
      <c r="G11768" t="s">
        <v>26631</v>
      </c>
      <c r="H11768" t="s">
        <v>859</v>
      </c>
      <c r="I11768" t="s">
        <v>860</v>
      </c>
      <c r="J11768" t="str">
        <f>"9260128"</f>
        <v>9260128</v>
      </c>
      <c r="K11768">
        <v>2341075806</v>
      </c>
      <c r="M11768" t="s">
        <v>30263</v>
      </c>
      <c r="N11768" t="s">
        <v>26631</v>
      </c>
      <c r="O11768" t="s">
        <v>26668</v>
      </c>
      <c r="P11768">
        <v>61002</v>
      </c>
      <c r="Q11768" t="str">
        <f>"41.088624"</f>
        <v>41.088624</v>
      </c>
      <c r="R11768" t="str">
        <f>"22.780241"</f>
        <v>22.780241</v>
      </c>
      <c r="S11768" t="s">
        <v>26</v>
      </c>
    </row>
    <row r="11769" spans="1:19" x14ac:dyDescent="0.3">
      <c r="A11769" t="s">
        <v>25190</v>
      </c>
      <c r="B11769" t="s">
        <v>30129</v>
      </c>
      <c r="C11769" t="s">
        <v>30268</v>
      </c>
      <c r="D11769" t="s">
        <v>25207</v>
      </c>
      <c r="E11769" t="s">
        <v>25207</v>
      </c>
      <c r="F11769" t="s">
        <v>26599</v>
      </c>
      <c r="G11769" t="s">
        <v>30267</v>
      </c>
      <c r="H11769" t="s">
        <v>859</v>
      </c>
      <c r="I11769" t="s">
        <v>860</v>
      </c>
      <c r="J11769" t="str">
        <f>"9260049"</f>
        <v>9260049</v>
      </c>
      <c r="K11769">
        <v>2341062340</v>
      </c>
      <c r="M11769" t="s">
        <v>30269</v>
      </c>
      <c r="N11769" t="s">
        <v>30270</v>
      </c>
      <c r="O11769" t="s">
        <v>30270</v>
      </c>
      <c r="P11769">
        <v>61100</v>
      </c>
      <c r="Q11769" t="str">
        <f>"41.009318"</f>
        <v>41.009318</v>
      </c>
      <c r="R11769" t="str">
        <f>"23.011986"</f>
        <v>23.011986</v>
      </c>
      <c r="S11769" t="s">
        <v>26</v>
      </c>
    </row>
    <row r="11770" spans="1:19" x14ac:dyDescent="0.3">
      <c r="A11770" t="s">
        <v>25190</v>
      </c>
      <c r="B11770" t="s">
        <v>30129</v>
      </c>
      <c r="C11770" t="s">
        <v>30273</v>
      </c>
      <c r="D11770" t="s">
        <v>25207</v>
      </c>
      <c r="E11770" t="s">
        <v>25207</v>
      </c>
      <c r="F11770" t="s">
        <v>30271</v>
      </c>
      <c r="G11770" t="s">
        <v>30272</v>
      </c>
      <c r="H11770" t="s">
        <v>859</v>
      </c>
      <c r="I11770" t="s">
        <v>860</v>
      </c>
      <c r="J11770" t="str">
        <f>"9260045"</f>
        <v>9260045</v>
      </c>
      <c r="K11770">
        <v>2341097744</v>
      </c>
      <c r="M11770" t="s">
        <v>30274</v>
      </c>
      <c r="N11770" t="s">
        <v>30272</v>
      </c>
      <c r="O11770" t="s">
        <v>30275</v>
      </c>
      <c r="P11770">
        <v>61003</v>
      </c>
      <c r="Q11770" t="str">
        <f>"41.168606"</f>
        <v>41.168606</v>
      </c>
      <c r="R11770" t="str">
        <f>"22.802157"</f>
        <v>22.802157</v>
      </c>
      <c r="S11770" t="s">
        <v>26</v>
      </c>
    </row>
    <row r="11771" spans="1:19" x14ac:dyDescent="0.3">
      <c r="A11771" t="s">
        <v>25190</v>
      </c>
      <c r="B11771" t="s">
        <v>30129</v>
      </c>
      <c r="C11771" t="s">
        <v>30276</v>
      </c>
      <c r="D11771" t="s">
        <v>25207</v>
      </c>
      <c r="E11771" t="s">
        <v>25207</v>
      </c>
      <c r="F11771" t="s">
        <v>25207</v>
      </c>
      <c r="G11771" t="s">
        <v>25207</v>
      </c>
      <c r="H11771" t="s">
        <v>859</v>
      </c>
      <c r="I11771" t="s">
        <v>860</v>
      </c>
      <c r="J11771" t="str">
        <f>"9260007"</f>
        <v>9260007</v>
      </c>
      <c r="K11771">
        <v>2341023405</v>
      </c>
      <c r="M11771" t="s">
        <v>30277</v>
      </c>
      <c r="N11771" t="s">
        <v>25207</v>
      </c>
      <c r="O11771" t="s">
        <v>30254</v>
      </c>
      <c r="P11771">
        <v>61100</v>
      </c>
      <c r="Q11771" t="str">
        <f>"40.990081"</f>
        <v>40.990081</v>
      </c>
      <c r="R11771" t="str">
        <f>"22.878239"</f>
        <v>22.878239</v>
      </c>
      <c r="S11771" t="s">
        <v>26</v>
      </c>
    </row>
    <row r="11772" spans="1:19" x14ac:dyDescent="0.3">
      <c r="A11772" t="s">
        <v>25190</v>
      </c>
      <c r="B11772" t="s">
        <v>30129</v>
      </c>
      <c r="C11772" t="s">
        <v>30283</v>
      </c>
      <c r="D11772" t="s">
        <v>25207</v>
      </c>
      <c r="E11772" t="s">
        <v>25207</v>
      </c>
      <c r="F11772" t="s">
        <v>25207</v>
      </c>
      <c r="G11772" t="s">
        <v>25207</v>
      </c>
      <c r="H11772" t="s">
        <v>859</v>
      </c>
      <c r="I11772" t="s">
        <v>860</v>
      </c>
      <c r="J11772" t="str">
        <f>"9260247"</f>
        <v>9260247</v>
      </c>
      <c r="K11772">
        <v>2341020692</v>
      </c>
      <c r="M11772" t="s">
        <v>30284</v>
      </c>
      <c r="N11772" t="s">
        <v>25207</v>
      </c>
      <c r="O11772" t="s">
        <v>30254</v>
      </c>
      <c r="P11772">
        <v>61100</v>
      </c>
      <c r="Q11772" t="str">
        <f>"40.989941"</f>
        <v>40.989941</v>
      </c>
      <c r="R11772" t="str">
        <f>"22.878475"</f>
        <v>22.878475</v>
      </c>
      <c r="S11772" t="s">
        <v>26</v>
      </c>
    </row>
    <row r="11773" spans="1:19" x14ac:dyDescent="0.3">
      <c r="A11773" t="s">
        <v>25190</v>
      </c>
      <c r="B11773" t="s">
        <v>30129</v>
      </c>
      <c r="C11773" t="s">
        <v>30294</v>
      </c>
      <c r="D11773" t="s">
        <v>25207</v>
      </c>
      <c r="E11773" t="s">
        <v>25207</v>
      </c>
      <c r="F11773" t="s">
        <v>25207</v>
      </c>
      <c r="G11773" t="s">
        <v>25207</v>
      </c>
      <c r="H11773" t="s">
        <v>859</v>
      </c>
      <c r="I11773" t="s">
        <v>860</v>
      </c>
      <c r="J11773" t="str">
        <f>"9520699"</f>
        <v>9520699</v>
      </c>
      <c r="K11773">
        <v>2341024995</v>
      </c>
      <c r="M11773" t="s">
        <v>30295</v>
      </c>
      <c r="N11773" t="s">
        <v>25207</v>
      </c>
      <c r="O11773" t="s">
        <v>30296</v>
      </c>
      <c r="P11773">
        <v>61100</v>
      </c>
      <c r="Q11773" t="str">
        <f>"40.988415"</f>
        <v>40.988415</v>
      </c>
      <c r="R11773" t="str">
        <f>"22.877278"</f>
        <v>22.877278</v>
      </c>
      <c r="S11773" t="s">
        <v>26</v>
      </c>
    </row>
    <row r="11774" spans="1:19" x14ac:dyDescent="0.3">
      <c r="A11774" t="s">
        <v>25190</v>
      </c>
      <c r="B11774" t="s">
        <v>30129</v>
      </c>
      <c r="C11774" t="s">
        <v>30314</v>
      </c>
      <c r="D11774" t="s">
        <v>25207</v>
      </c>
      <c r="E11774" t="s">
        <v>25207</v>
      </c>
      <c r="F11774" t="s">
        <v>25207</v>
      </c>
      <c r="G11774" t="s">
        <v>25207</v>
      </c>
      <c r="H11774" t="s">
        <v>859</v>
      </c>
      <c r="I11774" t="s">
        <v>860</v>
      </c>
      <c r="J11774" t="str">
        <f>"9260245"</f>
        <v>9260245</v>
      </c>
      <c r="K11774">
        <v>2341025255</v>
      </c>
      <c r="M11774" t="s">
        <v>30315</v>
      </c>
      <c r="N11774" t="s">
        <v>25207</v>
      </c>
      <c r="O11774" t="s">
        <v>30316</v>
      </c>
      <c r="P11774">
        <v>61100</v>
      </c>
      <c r="Q11774" t="str">
        <f>"40.988290"</f>
        <v>40.988290</v>
      </c>
      <c r="R11774" t="str">
        <f>"22.871991"</f>
        <v>22.871991</v>
      </c>
      <c r="S11774" t="s">
        <v>26</v>
      </c>
    </row>
    <row r="11775" spans="1:19" x14ac:dyDescent="0.3">
      <c r="A11775" t="s">
        <v>25190</v>
      </c>
      <c r="B11775" t="s">
        <v>30129</v>
      </c>
      <c r="C11775" t="s">
        <v>30321</v>
      </c>
      <c r="D11775" t="s">
        <v>25207</v>
      </c>
      <c r="E11775" t="s">
        <v>25207</v>
      </c>
      <c r="F11775" t="s">
        <v>25207</v>
      </c>
      <c r="G11775" t="s">
        <v>25207</v>
      </c>
      <c r="H11775" t="s">
        <v>859</v>
      </c>
      <c r="I11775" t="s">
        <v>860</v>
      </c>
      <c r="J11775" t="str">
        <f>"9260012"</f>
        <v>9260012</v>
      </c>
      <c r="K11775">
        <v>2341028774</v>
      </c>
      <c r="M11775" t="s">
        <v>30322</v>
      </c>
      <c r="N11775" t="s">
        <v>25207</v>
      </c>
      <c r="O11775" t="s">
        <v>30323</v>
      </c>
      <c r="P11775">
        <v>61100</v>
      </c>
      <c r="Q11775" t="str">
        <f>"40.996962"</f>
        <v>40.996962</v>
      </c>
      <c r="R11775" t="str">
        <f>"22.884583"</f>
        <v>22.884583</v>
      </c>
      <c r="S11775" t="s">
        <v>26</v>
      </c>
    </row>
    <row r="11776" spans="1:19" x14ac:dyDescent="0.3">
      <c r="A11776" t="s">
        <v>25190</v>
      </c>
      <c r="B11776" t="s">
        <v>30129</v>
      </c>
      <c r="C11776" t="s">
        <v>30330</v>
      </c>
      <c r="D11776" t="s">
        <v>25207</v>
      </c>
      <c r="E11776" t="s">
        <v>25207</v>
      </c>
      <c r="F11776" t="s">
        <v>25207</v>
      </c>
      <c r="G11776" t="s">
        <v>25207</v>
      </c>
      <c r="H11776" t="s">
        <v>859</v>
      </c>
      <c r="I11776" t="s">
        <v>860</v>
      </c>
      <c r="J11776" t="str">
        <f>"9260241"</f>
        <v>9260241</v>
      </c>
      <c r="K11776">
        <v>2341024928</v>
      </c>
      <c r="L11776">
        <v>2341024928</v>
      </c>
      <c r="M11776" t="s">
        <v>30331</v>
      </c>
      <c r="N11776" t="s">
        <v>25207</v>
      </c>
      <c r="O11776" t="s">
        <v>30332</v>
      </c>
      <c r="P11776">
        <v>61100</v>
      </c>
      <c r="Q11776" t="str">
        <f>"40.998364"</f>
        <v>40.998364</v>
      </c>
      <c r="R11776" t="str">
        <f>"22.878449"</f>
        <v>22.878449</v>
      </c>
      <c r="S11776" t="s">
        <v>26</v>
      </c>
    </row>
    <row r="11777" spans="1:19" x14ac:dyDescent="0.3">
      <c r="A11777" t="s">
        <v>25190</v>
      </c>
      <c r="B11777" t="s">
        <v>30129</v>
      </c>
      <c r="C11777" t="s">
        <v>30333</v>
      </c>
      <c r="D11777" t="s">
        <v>25207</v>
      </c>
      <c r="E11777" t="s">
        <v>25207</v>
      </c>
      <c r="F11777" t="s">
        <v>25207</v>
      </c>
      <c r="G11777" t="s">
        <v>25207</v>
      </c>
      <c r="H11777" t="s">
        <v>859</v>
      </c>
      <c r="I11777" t="s">
        <v>860</v>
      </c>
      <c r="J11777" t="str">
        <f>"9260011"</f>
        <v>9260011</v>
      </c>
      <c r="K11777">
        <v>2341028394</v>
      </c>
      <c r="M11777" t="s">
        <v>30334</v>
      </c>
      <c r="N11777" t="s">
        <v>25207</v>
      </c>
      <c r="O11777" t="s">
        <v>30335</v>
      </c>
      <c r="P11777">
        <v>61100</v>
      </c>
      <c r="Q11777" t="str">
        <f>"40.996364"</f>
        <v>40.996364</v>
      </c>
      <c r="R11777" t="str">
        <f>"22.866865"</f>
        <v>22.866865</v>
      </c>
      <c r="S11777" t="s">
        <v>26</v>
      </c>
    </row>
    <row r="11778" spans="1:19" x14ac:dyDescent="0.3">
      <c r="A11778" t="s">
        <v>25190</v>
      </c>
      <c r="B11778" t="s">
        <v>30129</v>
      </c>
      <c r="C11778" t="s">
        <v>30336</v>
      </c>
      <c r="D11778" t="s">
        <v>25207</v>
      </c>
      <c r="E11778" t="s">
        <v>25207</v>
      </c>
      <c r="F11778" t="s">
        <v>25207</v>
      </c>
      <c r="G11778" t="s">
        <v>25207</v>
      </c>
      <c r="H11778" t="s">
        <v>859</v>
      </c>
      <c r="I11778" t="s">
        <v>860</v>
      </c>
      <c r="J11778" t="str">
        <f>"9260009"</f>
        <v>9260009</v>
      </c>
      <c r="K11778">
        <v>2341028113</v>
      </c>
      <c r="M11778" t="s">
        <v>30337</v>
      </c>
      <c r="N11778" t="s">
        <v>25207</v>
      </c>
      <c r="O11778" t="s">
        <v>30338</v>
      </c>
      <c r="P11778">
        <v>61100</v>
      </c>
      <c r="Q11778" t="str">
        <f>"40.993836"</f>
        <v>40.993836</v>
      </c>
      <c r="R11778" t="str">
        <f>"22.873666"</f>
        <v>22.873666</v>
      </c>
      <c r="S11778" t="s">
        <v>26</v>
      </c>
    </row>
    <row r="11779" spans="1:19" x14ac:dyDescent="0.3">
      <c r="A11779" t="s">
        <v>25190</v>
      </c>
      <c r="B11779" t="s">
        <v>30129</v>
      </c>
      <c r="C11779" t="s">
        <v>30356</v>
      </c>
      <c r="D11779" t="s">
        <v>25207</v>
      </c>
      <c r="E11779" t="s">
        <v>25207</v>
      </c>
      <c r="F11779" t="s">
        <v>25207</v>
      </c>
      <c r="G11779" t="s">
        <v>25207</v>
      </c>
      <c r="H11779" t="s">
        <v>859</v>
      </c>
      <c r="I11779" t="s">
        <v>860</v>
      </c>
      <c r="J11779" t="str">
        <f>"9260253"</f>
        <v>9260253</v>
      </c>
      <c r="K11779">
        <v>2341023947</v>
      </c>
      <c r="M11779" t="s">
        <v>30357</v>
      </c>
      <c r="N11779" t="s">
        <v>25207</v>
      </c>
      <c r="O11779" t="s">
        <v>30358</v>
      </c>
      <c r="P11779">
        <v>61100</v>
      </c>
      <c r="Q11779" t="str">
        <f>"40.997189"</f>
        <v>40.997189</v>
      </c>
      <c r="R11779" t="str">
        <f>"22.871913"</f>
        <v>22.871913</v>
      </c>
      <c r="S11779" t="s">
        <v>26</v>
      </c>
    </row>
    <row r="11780" spans="1:19" x14ac:dyDescent="0.3">
      <c r="A11780" t="s">
        <v>25190</v>
      </c>
      <c r="B11780" t="s">
        <v>30129</v>
      </c>
      <c r="C11780" t="s">
        <v>30362</v>
      </c>
      <c r="D11780" t="s">
        <v>25207</v>
      </c>
      <c r="E11780" t="s">
        <v>25207</v>
      </c>
      <c r="F11780" t="s">
        <v>26591</v>
      </c>
      <c r="G11780" t="s">
        <v>30278</v>
      </c>
      <c r="H11780" t="s">
        <v>859</v>
      </c>
      <c r="I11780" t="s">
        <v>860</v>
      </c>
      <c r="J11780" t="str">
        <f>"9521224"</f>
        <v>9521224</v>
      </c>
      <c r="K11780">
        <v>2341031545</v>
      </c>
      <c r="M11780" t="s">
        <v>30363</v>
      </c>
      <c r="N11780" t="s">
        <v>30281</v>
      </c>
      <c r="O11780" t="s">
        <v>30281</v>
      </c>
      <c r="P11780">
        <v>61003</v>
      </c>
      <c r="Q11780" t="str">
        <f>"41.223880"</f>
        <v>41.223880</v>
      </c>
      <c r="R11780" t="str">
        <f>"22.819296"</f>
        <v>22.819296</v>
      </c>
      <c r="S11780" t="s">
        <v>26</v>
      </c>
    </row>
    <row r="11781" spans="1:19" x14ac:dyDescent="0.3">
      <c r="A11781" t="s">
        <v>25190</v>
      </c>
      <c r="B11781" t="s">
        <v>30129</v>
      </c>
      <c r="C11781" t="s">
        <v>30364</v>
      </c>
      <c r="D11781" t="s">
        <v>25207</v>
      </c>
      <c r="E11781" t="s">
        <v>25207</v>
      </c>
      <c r="F11781" t="s">
        <v>25207</v>
      </c>
      <c r="G11781" t="s">
        <v>25207</v>
      </c>
      <c r="H11781" t="s">
        <v>859</v>
      </c>
      <c r="I11781" t="s">
        <v>860</v>
      </c>
      <c r="J11781" t="str">
        <f>"9521222"</f>
        <v>9521222</v>
      </c>
      <c r="K11781">
        <v>2341070623</v>
      </c>
      <c r="M11781" t="s">
        <v>30365</v>
      </c>
      <c r="N11781" t="s">
        <v>25207</v>
      </c>
      <c r="O11781" t="s">
        <v>29026</v>
      </c>
      <c r="P11781">
        <v>61100</v>
      </c>
      <c r="Q11781" t="str">
        <f>"40.988203"</f>
        <v>40.988203</v>
      </c>
      <c r="R11781" t="str">
        <f>"22.876653"</f>
        <v>22.876653</v>
      </c>
      <c r="S11781" t="s">
        <v>26</v>
      </c>
    </row>
    <row r="11782" spans="1:19" x14ac:dyDescent="0.3">
      <c r="A11782" t="s">
        <v>25190</v>
      </c>
      <c r="B11782" t="s">
        <v>30129</v>
      </c>
      <c r="C11782" t="s">
        <v>30366</v>
      </c>
      <c r="D11782" t="s">
        <v>25207</v>
      </c>
      <c r="E11782" t="s">
        <v>25207</v>
      </c>
      <c r="F11782" t="s">
        <v>25207</v>
      </c>
      <c r="G11782" t="s">
        <v>25207</v>
      </c>
      <c r="H11782" t="s">
        <v>859</v>
      </c>
      <c r="I11782" t="s">
        <v>860</v>
      </c>
      <c r="J11782" t="str">
        <f>"9521223"</f>
        <v>9521223</v>
      </c>
      <c r="K11782">
        <v>2341027069</v>
      </c>
      <c r="M11782" t="s">
        <v>30367</v>
      </c>
      <c r="N11782" t="s">
        <v>30368</v>
      </c>
      <c r="O11782" t="s">
        <v>30369</v>
      </c>
      <c r="P11782">
        <v>61100</v>
      </c>
      <c r="Q11782" t="str">
        <f>"40.990145"</f>
        <v>40.990145</v>
      </c>
      <c r="R11782" t="str">
        <f>"22.885729"</f>
        <v>22.885729</v>
      </c>
      <c r="S11782" t="s">
        <v>26</v>
      </c>
    </row>
    <row r="11783" spans="1:19" x14ac:dyDescent="0.3">
      <c r="A11783" t="s">
        <v>25190</v>
      </c>
      <c r="B11783" t="s">
        <v>30129</v>
      </c>
      <c r="C11783" t="s">
        <v>30370</v>
      </c>
      <c r="D11783" t="s">
        <v>25207</v>
      </c>
      <c r="E11783" t="s">
        <v>25207</v>
      </c>
      <c r="F11783" t="s">
        <v>25207</v>
      </c>
      <c r="G11783" t="s">
        <v>25207</v>
      </c>
      <c r="H11783" t="s">
        <v>859</v>
      </c>
      <c r="I11783" t="s">
        <v>860</v>
      </c>
      <c r="J11783" t="str">
        <f>"9521371"</f>
        <v>9521371</v>
      </c>
      <c r="K11783">
        <v>2341076213</v>
      </c>
      <c r="L11783">
        <v>2341076213</v>
      </c>
      <c r="M11783" t="s">
        <v>30371</v>
      </c>
      <c r="N11783" t="s">
        <v>25207</v>
      </c>
      <c r="O11783" t="s">
        <v>30372</v>
      </c>
      <c r="P11783">
        <v>61100</v>
      </c>
      <c r="Q11783" t="str">
        <f>"40.992086"</f>
        <v>40.992086</v>
      </c>
      <c r="R11783" t="str">
        <f>"22.866056"</f>
        <v>22.866056</v>
      </c>
      <c r="S11783" t="s">
        <v>26</v>
      </c>
    </row>
    <row r="11784" spans="1:19" x14ac:dyDescent="0.3">
      <c r="A11784" t="s">
        <v>25190</v>
      </c>
      <c r="B11784" t="s">
        <v>30129</v>
      </c>
      <c r="C11784" t="s">
        <v>30373</v>
      </c>
      <c r="D11784" t="s">
        <v>25207</v>
      </c>
      <c r="E11784" t="s">
        <v>25207</v>
      </c>
      <c r="F11784" t="s">
        <v>25207</v>
      </c>
      <c r="G11784" t="s">
        <v>25207</v>
      </c>
      <c r="H11784" t="s">
        <v>859</v>
      </c>
      <c r="I11784" t="s">
        <v>1102</v>
      </c>
      <c r="J11784" t="str">
        <f>"9521069"</f>
        <v>9521069</v>
      </c>
      <c r="K11784">
        <v>2341025848</v>
      </c>
      <c r="L11784">
        <v>2341025848</v>
      </c>
      <c r="M11784" t="s">
        <v>30374</v>
      </c>
      <c r="N11784" t="s">
        <v>25207</v>
      </c>
      <c r="O11784" t="s">
        <v>30375</v>
      </c>
      <c r="P11784">
        <v>61100</v>
      </c>
      <c r="Q11784" t="str">
        <f>"40.993290"</f>
        <v>40.993290</v>
      </c>
      <c r="R11784" t="str">
        <f>"22.869798"</f>
        <v>22.869798</v>
      </c>
      <c r="S11784" t="s">
        <v>26</v>
      </c>
    </row>
    <row r="11785" spans="1:19" x14ac:dyDescent="0.3">
      <c r="A11785" t="s">
        <v>25190</v>
      </c>
      <c r="B11785" t="s">
        <v>30129</v>
      </c>
      <c r="C11785" t="s">
        <v>30376</v>
      </c>
      <c r="D11785" t="s">
        <v>25207</v>
      </c>
      <c r="E11785" t="s">
        <v>25207</v>
      </c>
      <c r="F11785" t="s">
        <v>25207</v>
      </c>
      <c r="G11785" t="s">
        <v>25207</v>
      </c>
      <c r="H11785" t="s">
        <v>859</v>
      </c>
      <c r="I11785" t="s">
        <v>860</v>
      </c>
      <c r="J11785" t="str">
        <f>"9521536"</f>
        <v>9521536</v>
      </c>
      <c r="K11785">
        <v>2341026627</v>
      </c>
      <c r="M11785" t="s">
        <v>30377</v>
      </c>
      <c r="N11785" t="s">
        <v>25207</v>
      </c>
      <c r="O11785" t="s">
        <v>30378</v>
      </c>
      <c r="P11785">
        <v>61100</v>
      </c>
      <c r="Q11785" t="str">
        <f>"40.989009"</f>
        <v>40.989009</v>
      </c>
      <c r="R11785" t="str">
        <f>"22.871896"</f>
        <v>22.871896</v>
      </c>
      <c r="S11785" t="s">
        <v>26</v>
      </c>
    </row>
    <row r="11786" spans="1:19" x14ac:dyDescent="0.3">
      <c r="A11786" t="s">
        <v>25190</v>
      </c>
      <c r="B11786" t="s">
        <v>30129</v>
      </c>
      <c r="C11786" t="s">
        <v>30379</v>
      </c>
      <c r="D11786" t="s">
        <v>25207</v>
      </c>
      <c r="E11786" t="s">
        <v>26604</v>
      </c>
      <c r="F11786" t="s">
        <v>26645</v>
      </c>
      <c r="G11786" t="s">
        <v>26645</v>
      </c>
      <c r="H11786" t="s">
        <v>859</v>
      </c>
      <c r="I11786" t="s">
        <v>860</v>
      </c>
      <c r="J11786" t="str">
        <f>"9521537"</f>
        <v>9521537</v>
      </c>
      <c r="K11786">
        <v>2343033022</v>
      </c>
      <c r="M11786" t="s">
        <v>30380</v>
      </c>
      <c r="N11786" t="s">
        <v>26645</v>
      </c>
      <c r="O11786" t="s">
        <v>8006</v>
      </c>
      <c r="P11786">
        <v>61200</v>
      </c>
      <c r="Q11786" t="str">
        <f>"40.997144"</f>
        <v>40.997144</v>
      </c>
      <c r="R11786" t="str">
        <f>"22.568690"</f>
        <v>22.568690</v>
      </c>
      <c r="S11786" t="s">
        <v>26</v>
      </c>
    </row>
    <row r="11787" spans="1:19" x14ac:dyDescent="0.3">
      <c r="A11787" t="s">
        <v>25190</v>
      </c>
      <c r="B11787" t="s">
        <v>30129</v>
      </c>
      <c r="C11787" t="s">
        <v>30384</v>
      </c>
      <c r="D11787" t="s">
        <v>25207</v>
      </c>
      <c r="E11787" t="s">
        <v>26604</v>
      </c>
      <c r="F11787" t="s">
        <v>26614</v>
      </c>
      <c r="G11787" t="s">
        <v>26614</v>
      </c>
      <c r="H11787" t="s">
        <v>859</v>
      </c>
      <c r="I11787" t="s">
        <v>1102</v>
      </c>
      <c r="J11787" t="str">
        <f>"9521701"</f>
        <v>9521701</v>
      </c>
      <c r="Q11787" t="str">
        <f>""</f>
        <v/>
      </c>
      <c r="R11787" t="str">
        <f>""</f>
        <v/>
      </c>
      <c r="S11787" t="s">
        <v>26</v>
      </c>
    </row>
    <row r="11788" spans="1:19" x14ac:dyDescent="0.3">
      <c r="A11788" t="s">
        <v>25190</v>
      </c>
      <c r="B11788" t="s">
        <v>30385</v>
      </c>
      <c r="C11788" t="s">
        <v>30399</v>
      </c>
      <c r="D11788" t="s">
        <v>25211</v>
      </c>
      <c r="E11788" t="s">
        <v>25211</v>
      </c>
      <c r="F11788" t="s">
        <v>26731</v>
      </c>
      <c r="G11788" t="s">
        <v>26731</v>
      </c>
      <c r="H11788" t="s">
        <v>859</v>
      </c>
      <c r="I11788" t="s">
        <v>860</v>
      </c>
      <c r="J11788" t="str">
        <f>"9380086"</f>
        <v>9380086</v>
      </c>
      <c r="K11788">
        <v>2382023346</v>
      </c>
      <c r="L11788">
        <v>2382023346</v>
      </c>
      <c r="M11788" t="s">
        <v>30400</v>
      </c>
      <c r="N11788" t="s">
        <v>26731</v>
      </c>
      <c r="O11788" t="s">
        <v>30401</v>
      </c>
      <c r="P11788">
        <v>58100</v>
      </c>
      <c r="Q11788" t="str">
        <f>"40.785651"</f>
        <v>40.785651</v>
      </c>
      <c r="R11788" t="str">
        <f>"22.406410"</f>
        <v>22.406410</v>
      </c>
      <c r="S11788" t="s">
        <v>26</v>
      </c>
    </row>
    <row r="11789" spans="1:19" x14ac:dyDescent="0.3">
      <c r="A11789" t="s">
        <v>25190</v>
      </c>
      <c r="B11789" t="s">
        <v>30385</v>
      </c>
      <c r="C11789" t="s">
        <v>30403</v>
      </c>
      <c r="D11789" t="s">
        <v>25211</v>
      </c>
      <c r="E11789" t="s">
        <v>25211</v>
      </c>
      <c r="F11789" t="s">
        <v>8406</v>
      </c>
      <c r="G11789" t="s">
        <v>30402</v>
      </c>
      <c r="H11789" t="s">
        <v>859</v>
      </c>
      <c r="I11789" t="s">
        <v>860</v>
      </c>
      <c r="J11789" t="str">
        <f>"9380212"</f>
        <v>9380212</v>
      </c>
      <c r="K11789">
        <v>2381096043</v>
      </c>
      <c r="L11789">
        <v>2381096342</v>
      </c>
      <c r="M11789" t="s">
        <v>30404</v>
      </c>
      <c r="N11789" t="s">
        <v>2263</v>
      </c>
      <c r="O11789" t="s">
        <v>2263</v>
      </c>
      <c r="P11789">
        <v>58100</v>
      </c>
      <c r="Q11789" t="str">
        <f>"40.823525"</f>
        <v>40.823525</v>
      </c>
      <c r="R11789" t="str">
        <f>"22.246758"</f>
        <v>22.246758</v>
      </c>
      <c r="S11789" t="s">
        <v>26</v>
      </c>
    </row>
    <row r="11790" spans="1:19" x14ac:dyDescent="0.3">
      <c r="A11790" t="s">
        <v>25190</v>
      </c>
      <c r="B11790" t="s">
        <v>30385</v>
      </c>
      <c r="C11790" t="s">
        <v>30405</v>
      </c>
      <c r="D11790" t="s">
        <v>25211</v>
      </c>
      <c r="E11790" t="s">
        <v>25211</v>
      </c>
      <c r="F11790" t="s">
        <v>25211</v>
      </c>
      <c r="G11790" t="s">
        <v>26747</v>
      </c>
      <c r="H11790" t="s">
        <v>859</v>
      </c>
      <c r="I11790" t="s">
        <v>860</v>
      </c>
      <c r="J11790" t="str">
        <f>"9380117"</f>
        <v>9380117</v>
      </c>
      <c r="K11790">
        <v>2382032599</v>
      </c>
      <c r="M11790" t="s">
        <v>30406</v>
      </c>
      <c r="N11790" t="s">
        <v>25211</v>
      </c>
      <c r="O11790" t="s">
        <v>26750</v>
      </c>
      <c r="P11790">
        <v>58005</v>
      </c>
      <c r="Q11790" t="str">
        <f>"40.763244"</f>
        <v>40.763244</v>
      </c>
      <c r="R11790" t="str">
        <f>"22.526053"</f>
        <v>22.526053</v>
      </c>
      <c r="S11790" t="s">
        <v>26</v>
      </c>
    </row>
    <row r="11791" spans="1:19" x14ac:dyDescent="0.3">
      <c r="A11791" t="s">
        <v>25190</v>
      </c>
      <c r="B11791" t="s">
        <v>30385</v>
      </c>
      <c r="C11791" t="s">
        <v>30408</v>
      </c>
      <c r="D11791" t="s">
        <v>25211</v>
      </c>
      <c r="E11791" t="s">
        <v>25211</v>
      </c>
      <c r="F11791" t="s">
        <v>25211</v>
      </c>
      <c r="G11791" t="s">
        <v>30407</v>
      </c>
      <c r="H11791" t="s">
        <v>859</v>
      </c>
      <c r="I11791" t="s">
        <v>860</v>
      </c>
      <c r="J11791" t="str">
        <f>"9380298"</f>
        <v>9380298</v>
      </c>
      <c r="K11791">
        <v>2382093234</v>
      </c>
      <c r="L11791">
        <v>2382093281</v>
      </c>
      <c r="M11791" t="s">
        <v>30409</v>
      </c>
      <c r="N11791" t="s">
        <v>30407</v>
      </c>
      <c r="O11791" t="s">
        <v>30410</v>
      </c>
      <c r="P11791">
        <v>58005</v>
      </c>
      <c r="Q11791" t="str">
        <f>"40.857120"</f>
        <v>40.857120</v>
      </c>
      <c r="R11791" t="str">
        <f>"22.530225"</f>
        <v>22.530225</v>
      </c>
      <c r="S11791" t="s">
        <v>26</v>
      </c>
    </row>
    <row r="11792" spans="1:19" x14ac:dyDescent="0.3">
      <c r="A11792" t="s">
        <v>25190</v>
      </c>
      <c r="B11792" t="s">
        <v>30385</v>
      </c>
      <c r="C11792" t="s">
        <v>30412</v>
      </c>
      <c r="D11792" t="s">
        <v>25211</v>
      </c>
      <c r="E11792" t="s">
        <v>25211</v>
      </c>
      <c r="F11792" t="s">
        <v>8406</v>
      </c>
      <c r="G11792" t="s">
        <v>30411</v>
      </c>
      <c r="H11792" t="s">
        <v>859</v>
      </c>
      <c r="I11792" t="s">
        <v>860</v>
      </c>
      <c r="J11792" t="str">
        <f>"9380208"</f>
        <v>9380208</v>
      </c>
      <c r="K11792">
        <v>2381096393</v>
      </c>
      <c r="M11792" t="s">
        <v>30413</v>
      </c>
      <c r="N11792" t="s">
        <v>30414</v>
      </c>
      <c r="O11792" t="s">
        <v>30415</v>
      </c>
      <c r="P11792">
        <v>58100</v>
      </c>
      <c r="Q11792" t="str">
        <f>"40.809899"</f>
        <v>40.809899</v>
      </c>
      <c r="R11792" t="str">
        <f>"22.260198"</f>
        <v>22.260198</v>
      </c>
      <c r="S11792" t="s">
        <v>26</v>
      </c>
    </row>
    <row r="11793" spans="1:19" x14ac:dyDescent="0.3">
      <c r="A11793" t="s">
        <v>25190</v>
      </c>
      <c r="B11793" t="s">
        <v>30385</v>
      </c>
      <c r="C11793" t="s">
        <v>30416</v>
      </c>
      <c r="D11793" t="s">
        <v>25211</v>
      </c>
      <c r="E11793" t="s">
        <v>25211</v>
      </c>
      <c r="F11793" t="s">
        <v>26731</v>
      </c>
      <c r="G11793" t="s">
        <v>26731</v>
      </c>
      <c r="H11793" t="s">
        <v>859</v>
      </c>
      <c r="I11793" t="s">
        <v>860</v>
      </c>
      <c r="J11793" t="str">
        <f>"9380310"</f>
        <v>9380310</v>
      </c>
      <c r="K11793">
        <v>2382082826</v>
      </c>
      <c r="L11793">
        <v>2382082826</v>
      </c>
      <c r="M11793" t="s">
        <v>30417</v>
      </c>
      <c r="N11793" t="s">
        <v>26731</v>
      </c>
      <c r="O11793" t="s">
        <v>30418</v>
      </c>
      <c r="P11793">
        <v>58100</v>
      </c>
      <c r="Q11793" t="str">
        <f>"40.783419"</f>
        <v>40.783419</v>
      </c>
      <c r="R11793" t="str">
        <f>"22.412761"</f>
        <v>22.412761</v>
      </c>
      <c r="S11793" t="s">
        <v>26</v>
      </c>
    </row>
    <row r="11794" spans="1:19" x14ac:dyDescent="0.3">
      <c r="A11794" t="s">
        <v>25190</v>
      </c>
      <c r="B11794" t="s">
        <v>30385</v>
      </c>
      <c r="C11794" t="s">
        <v>30420</v>
      </c>
      <c r="D11794" t="s">
        <v>25211</v>
      </c>
      <c r="E11794" t="s">
        <v>25211</v>
      </c>
      <c r="F11794" t="s">
        <v>25211</v>
      </c>
      <c r="G11794" t="s">
        <v>30419</v>
      </c>
      <c r="H11794" t="s">
        <v>859</v>
      </c>
      <c r="I11794" t="s">
        <v>860</v>
      </c>
      <c r="J11794" t="str">
        <f>"9380095"</f>
        <v>9380095</v>
      </c>
      <c r="K11794">
        <v>2391091478</v>
      </c>
      <c r="L11794">
        <v>2391091478</v>
      </c>
      <c r="M11794" t="s">
        <v>30421</v>
      </c>
      <c r="N11794" t="s">
        <v>30419</v>
      </c>
      <c r="O11794" t="s">
        <v>30422</v>
      </c>
      <c r="P11794">
        <v>58005</v>
      </c>
      <c r="Q11794" t="str">
        <f>"40.822750"</f>
        <v>40.822750</v>
      </c>
      <c r="R11794" t="str">
        <f>"22.591588"</f>
        <v>22.591588</v>
      </c>
      <c r="S11794" t="s">
        <v>26</v>
      </c>
    </row>
    <row r="11795" spans="1:19" x14ac:dyDescent="0.3">
      <c r="A11795" t="s">
        <v>25190</v>
      </c>
      <c r="B11795" t="s">
        <v>30385</v>
      </c>
      <c r="C11795" t="s">
        <v>30423</v>
      </c>
      <c r="D11795" t="s">
        <v>25211</v>
      </c>
      <c r="E11795" t="s">
        <v>25211</v>
      </c>
      <c r="F11795" t="s">
        <v>26731</v>
      </c>
      <c r="G11795" t="s">
        <v>26731</v>
      </c>
      <c r="H11795" t="s">
        <v>859</v>
      </c>
      <c r="I11795" t="s">
        <v>860</v>
      </c>
      <c r="J11795" t="str">
        <f>"9380296"</f>
        <v>9380296</v>
      </c>
      <c r="K11795">
        <v>2382021597</v>
      </c>
      <c r="L11795">
        <v>2382021597</v>
      </c>
      <c r="M11795" t="s">
        <v>30424</v>
      </c>
      <c r="N11795" t="s">
        <v>26731</v>
      </c>
      <c r="O11795" t="s">
        <v>30425</v>
      </c>
      <c r="P11795">
        <v>58100</v>
      </c>
      <c r="Q11795" t="str">
        <f>"40.789087"</f>
        <v>40.789087</v>
      </c>
      <c r="R11795" t="str">
        <f>"22.412334"</f>
        <v>22.412334</v>
      </c>
      <c r="S11795" t="s">
        <v>26</v>
      </c>
    </row>
    <row r="11796" spans="1:19" x14ac:dyDescent="0.3">
      <c r="A11796" t="s">
        <v>25190</v>
      </c>
      <c r="B11796" t="s">
        <v>30385</v>
      </c>
      <c r="C11796" t="s">
        <v>30426</v>
      </c>
      <c r="D11796" t="s">
        <v>25211</v>
      </c>
      <c r="E11796" t="s">
        <v>25211</v>
      </c>
      <c r="F11796" t="s">
        <v>26731</v>
      </c>
      <c r="G11796" t="s">
        <v>26731</v>
      </c>
      <c r="H11796" t="s">
        <v>859</v>
      </c>
      <c r="I11796" t="s">
        <v>860</v>
      </c>
      <c r="J11796" t="str">
        <f>"9380082"</f>
        <v>9380082</v>
      </c>
      <c r="K11796">
        <v>2382025125</v>
      </c>
      <c r="L11796">
        <v>2382025125</v>
      </c>
      <c r="M11796" t="s">
        <v>30427</v>
      </c>
      <c r="N11796" t="s">
        <v>26772</v>
      </c>
      <c r="O11796" t="s">
        <v>30428</v>
      </c>
      <c r="P11796">
        <v>58100</v>
      </c>
      <c r="Q11796" t="str">
        <f>"40.792157"</f>
        <v>40.792157</v>
      </c>
      <c r="R11796" t="str">
        <f>"22.415262"</f>
        <v>22.415262</v>
      </c>
      <c r="S11796" t="s">
        <v>26</v>
      </c>
    </row>
    <row r="11797" spans="1:19" x14ac:dyDescent="0.3">
      <c r="A11797" t="s">
        <v>25190</v>
      </c>
      <c r="B11797" t="s">
        <v>30385</v>
      </c>
      <c r="C11797" t="s">
        <v>30430</v>
      </c>
      <c r="D11797" t="s">
        <v>25211</v>
      </c>
      <c r="E11797" t="s">
        <v>25211</v>
      </c>
      <c r="F11797" t="s">
        <v>26731</v>
      </c>
      <c r="G11797" t="s">
        <v>30429</v>
      </c>
      <c r="H11797" t="s">
        <v>859</v>
      </c>
      <c r="I11797" t="s">
        <v>860</v>
      </c>
      <c r="J11797" t="str">
        <f>"9380109"</f>
        <v>9380109</v>
      </c>
      <c r="K11797">
        <v>2382041949</v>
      </c>
      <c r="L11797">
        <v>2382041949</v>
      </c>
      <c r="M11797" t="s">
        <v>30431</v>
      </c>
      <c r="N11797" t="s">
        <v>30429</v>
      </c>
      <c r="O11797" t="s">
        <v>30432</v>
      </c>
      <c r="P11797">
        <v>58100</v>
      </c>
      <c r="Q11797" t="str">
        <f>"40.775528"</f>
        <v>40.775528</v>
      </c>
      <c r="R11797" t="str">
        <f>"22.353159"</f>
        <v>22.353159</v>
      </c>
      <c r="S11797" t="s">
        <v>26</v>
      </c>
    </row>
    <row r="11798" spans="1:19" x14ac:dyDescent="0.3">
      <c r="A11798" t="s">
        <v>25190</v>
      </c>
      <c r="B11798" t="s">
        <v>30385</v>
      </c>
      <c r="C11798" t="s">
        <v>30433</v>
      </c>
      <c r="D11798" t="s">
        <v>25211</v>
      </c>
      <c r="E11798" t="s">
        <v>25211</v>
      </c>
      <c r="F11798" t="s">
        <v>26733</v>
      </c>
      <c r="G11798" t="s">
        <v>26841</v>
      </c>
      <c r="H11798" t="s">
        <v>859</v>
      </c>
      <c r="I11798" t="s">
        <v>860</v>
      </c>
      <c r="J11798" t="str">
        <f>"9380111"</f>
        <v>9380111</v>
      </c>
      <c r="K11798">
        <v>2382051847</v>
      </c>
      <c r="L11798">
        <v>2382051847</v>
      </c>
      <c r="M11798" t="s">
        <v>30434</v>
      </c>
      <c r="N11798" t="s">
        <v>30435</v>
      </c>
      <c r="O11798" t="s">
        <v>30436</v>
      </c>
      <c r="P11798">
        <v>58100</v>
      </c>
      <c r="Q11798" t="str">
        <f>"40.820525"</f>
        <v>40.820525</v>
      </c>
      <c r="R11798" t="str">
        <f>"22.352291"</f>
        <v>22.352291</v>
      </c>
      <c r="S11798" t="s">
        <v>26</v>
      </c>
    </row>
    <row r="11799" spans="1:19" x14ac:dyDescent="0.3">
      <c r="A11799" t="s">
        <v>25190</v>
      </c>
      <c r="B11799" t="s">
        <v>30385</v>
      </c>
      <c r="C11799" t="s">
        <v>30438</v>
      </c>
      <c r="D11799" t="s">
        <v>25211</v>
      </c>
      <c r="E11799" t="s">
        <v>25211</v>
      </c>
      <c r="F11799" t="s">
        <v>21739</v>
      </c>
      <c r="G11799" t="s">
        <v>30437</v>
      </c>
      <c r="H11799" t="s">
        <v>859</v>
      </c>
      <c r="I11799" t="s">
        <v>860</v>
      </c>
      <c r="J11799" t="str">
        <f>"9380128"</f>
        <v>9380128</v>
      </c>
      <c r="K11799">
        <v>2382071359</v>
      </c>
      <c r="L11799">
        <v>2382071359</v>
      </c>
      <c r="M11799" t="s">
        <v>30439</v>
      </c>
      <c r="N11799" t="s">
        <v>16038</v>
      </c>
      <c r="O11799" t="s">
        <v>16038</v>
      </c>
      <c r="P11799">
        <v>58300</v>
      </c>
      <c r="Q11799" t="str">
        <f>"40.708569"</f>
        <v>40.708569</v>
      </c>
      <c r="R11799" t="str">
        <f>"22.219536"</f>
        <v>22.219536</v>
      </c>
      <c r="S11799" t="s">
        <v>26</v>
      </c>
    </row>
    <row r="11800" spans="1:19" x14ac:dyDescent="0.3">
      <c r="A11800" t="s">
        <v>25190</v>
      </c>
      <c r="B11800" t="s">
        <v>30385</v>
      </c>
      <c r="C11800" t="s">
        <v>30440</v>
      </c>
      <c r="D11800" t="s">
        <v>25211</v>
      </c>
      <c r="E11800" t="s">
        <v>26753</v>
      </c>
      <c r="F11800" t="s">
        <v>26775</v>
      </c>
      <c r="G11800" t="s">
        <v>26886</v>
      </c>
      <c r="H11800" t="s">
        <v>859</v>
      </c>
      <c r="I11800" t="s">
        <v>860</v>
      </c>
      <c r="J11800" t="str">
        <f>"9380201"</f>
        <v>9380201</v>
      </c>
      <c r="K11800">
        <v>2384031455</v>
      </c>
      <c r="M11800" t="s">
        <v>30441</v>
      </c>
      <c r="N11800" t="s">
        <v>30442</v>
      </c>
      <c r="O11800" t="s">
        <v>17916</v>
      </c>
      <c r="P11800">
        <v>58400</v>
      </c>
      <c r="Q11800" t="str">
        <f>"40.928249"</f>
        <v>40.928249</v>
      </c>
      <c r="R11800" t="str">
        <f>"22.017975"</f>
        <v>22.017975</v>
      </c>
      <c r="S11800" t="s">
        <v>26</v>
      </c>
    </row>
    <row r="11801" spans="1:19" x14ac:dyDescent="0.3">
      <c r="A11801" t="s">
        <v>25190</v>
      </c>
      <c r="B11801" t="s">
        <v>30385</v>
      </c>
      <c r="C11801" t="s">
        <v>30443</v>
      </c>
      <c r="D11801" t="s">
        <v>25211</v>
      </c>
      <c r="E11801" t="s">
        <v>25211</v>
      </c>
      <c r="F11801" t="s">
        <v>26731</v>
      </c>
      <c r="G11801" t="s">
        <v>26731</v>
      </c>
      <c r="H11801" t="s">
        <v>859</v>
      </c>
      <c r="I11801" t="s">
        <v>860</v>
      </c>
      <c r="J11801" t="str">
        <f>"9380078"</f>
        <v>9380078</v>
      </c>
      <c r="K11801">
        <v>2382022720</v>
      </c>
      <c r="M11801" t="s">
        <v>30444</v>
      </c>
      <c r="N11801" t="s">
        <v>26731</v>
      </c>
      <c r="O11801" t="s">
        <v>30445</v>
      </c>
      <c r="P11801">
        <v>58100</v>
      </c>
      <c r="Q11801" t="str">
        <f>"40.791509"</f>
        <v>40.791509</v>
      </c>
      <c r="R11801" t="str">
        <f>"22.407683"</f>
        <v>22.407683</v>
      </c>
      <c r="S11801" t="s">
        <v>26</v>
      </c>
    </row>
    <row r="11802" spans="1:19" x14ac:dyDescent="0.3">
      <c r="A11802" t="s">
        <v>25190</v>
      </c>
      <c r="B11802" t="s">
        <v>30385</v>
      </c>
      <c r="C11802" t="s">
        <v>30446</v>
      </c>
      <c r="D11802" t="s">
        <v>25211</v>
      </c>
      <c r="E11802" t="s">
        <v>25211</v>
      </c>
      <c r="F11802" t="s">
        <v>26733</v>
      </c>
      <c r="G11802" t="s">
        <v>26922</v>
      </c>
      <c r="H11802" t="s">
        <v>859</v>
      </c>
      <c r="I11802" t="s">
        <v>860</v>
      </c>
      <c r="J11802" t="str">
        <f>"9380099"</f>
        <v>9380099</v>
      </c>
      <c r="K11802">
        <v>2382051660</v>
      </c>
      <c r="L11802">
        <v>2382051660</v>
      </c>
      <c r="M11802" t="s">
        <v>30447</v>
      </c>
      <c r="N11802" t="s">
        <v>26922</v>
      </c>
      <c r="O11802" t="s">
        <v>26925</v>
      </c>
      <c r="P11802">
        <v>58100</v>
      </c>
      <c r="Q11802" t="str">
        <f>"40.798889"</f>
        <v>40.798889</v>
      </c>
      <c r="R11802" t="str">
        <f>"22.362775"</f>
        <v>22.362775</v>
      </c>
      <c r="S11802" t="s">
        <v>26</v>
      </c>
    </row>
    <row r="11803" spans="1:19" x14ac:dyDescent="0.3">
      <c r="A11803" t="s">
        <v>25190</v>
      </c>
      <c r="B11803" t="s">
        <v>30385</v>
      </c>
      <c r="C11803" t="s">
        <v>30449</v>
      </c>
      <c r="D11803" t="s">
        <v>25211</v>
      </c>
      <c r="E11803" t="s">
        <v>25211</v>
      </c>
      <c r="F11803" t="s">
        <v>26733</v>
      </c>
      <c r="G11803" t="s">
        <v>30448</v>
      </c>
      <c r="H11803" t="s">
        <v>859</v>
      </c>
      <c r="I11803" t="s">
        <v>860</v>
      </c>
      <c r="J11803" t="str">
        <f>"9380113"</f>
        <v>9380113</v>
      </c>
      <c r="K11803">
        <v>2382052455</v>
      </c>
      <c r="L11803">
        <v>2382052455</v>
      </c>
      <c r="M11803" t="s">
        <v>30450</v>
      </c>
      <c r="N11803" t="s">
        <v>30451</v>
      </c>
      <c r="O11803" t="s">
        <v>30451</v>
      </c>
      <c r="P11803">
        <v>58100</v>
      </c>
      <c r="Q11803" t="str">
        <f>"40.806045"</f>
        <v>40.806045</v>
      </c>
      <c r="R11803" t="str">
        <f>"22.325945"</f>
        <v>22.325945</v>
      </c>
      <c r="S11803" t="s">
        <v>26</v>
      </c>
    </row>
    <row r="11804" spans="1:19" x14ac:dyDescent="0.3">
      <c r="A11804" t="s">
        <v>25190</v>
      </c>
      <c r="B11804" t="s">
        <v>30385</v>
      </c>
      <c r="C11804" t="s">
        <v>30452</v>
      </c>
      <c r="D11804" t="s">
        <v>25211</v>
      </c>
      <c r="E11804" t="s">
        <v>25211</v>
      </c>
      <c r="F11804" t="s">
        <v>26731</v>
      </c>
      <c r="G11804" t="s">
        <v>26731</v>
      </c>
      <c r="H11804" t="s">
        <v>859</v>
      </c>
      <c r="I11804" t="s">
        <v>860</v>
      </c>
      <c r="J11804" t="str">
        <f>"9520996"</f>
        <v>9520996</v>
      </c>
      <c r="K11804">
        <v>2382082611</v>
      </c>
      <c r="L11804">
        <v>2382082611</v>
      </c>
      <c r="M11804" t="s">
        <v>30453</v>
      </c>
      <c r="N11804" t="s">
        <v>26772</v>
      </c>
      <c r="O11804" t="s">
        <v>30454</v>
      </c>
      <c r="P11804">
        <v>58100</v>
      </c>
      <c r="Q11804" t="str">
        <f>"40.806720"</f>
        <v>40.806720</v>
      </c>
      <c r="R11804" t="str">
        <f>"22.417635"</f>
        <v>22.417635</v>
      </c>
      <c r="S11804" t="s">
        <v>26</v>
      </c>
    </row>
    <row r="11805" spans="1:19" x14ac:dyDescent="0.3">
      <c r="A11805" t="s">
        <v>25190</v>
      </c>
      <c r="B11805" t="s">
        <v>30385</v>
      </c>
      <c r="C11805" t="s">
        <v>30455</v>
      </c>
      <c r="D11805" t="s">
        <v>25211</v>
      </c>
      <c r="E11805" t="s">
        <v>25211</v>
      </c>
      <c r="F11805" t="s">
        <v>26731</v>
      </c>
      <c r="G11805" t="s">
        <v>26731</v>
      </c>
      <c r="H11805" t="s">
        <v>859</v>
      </c>
      <c r="I11805" t="s">
        <v>860</v>
      </c>
      <c r="J11805" t="str">
        <f>"9380297"</f>
        <v>9380297</v>
      </c>
      <c r="K11805">
        <v>2382082681</v>
      </c>
      <c r="L11805">
        <v>2382082681</v>
      </c>
      <c r="M11805" t="s">
        <v>30456</v>
      </c>
      <c r="N11805" t="s">
        <v>26731</v>
      </c>
      <c r="O11805" t="s">
        <v>30457</v>
      </c>
      <c r="P11805">
        <v>58100</v>
      </c>
      <c r="Q11805" t="str">
        <f>"40.785809"</f>
        <v>40.785809</v>
      </c>
      <c r="R11805" t="str">
        <f>"22.409265"</f>
        <v>22.409265</v>
      </c>
      <c r="S11805" t="s">
        <v>26</v>
      </c>
    </row>
    <row r="11806" spans="1:19" x14ac:dyDescent="0.3">
      <c r="A11806" t="s">
        <v>25190</v>
      </c>
      <c r="B11806" t="s">
        <v>30385</v>
      </c>
      <c r="C11806" t="s">
        <v>30458</v>
      </c>
      <c r="D11806" t="s">
        <v>25211</v>
      </c>
      <c r="E11806" t="s">
        <v>25211</v>
      </c>
      <c r="F11806" t="s">
        <v>26731</v>
      </c>
      <c r="G11806" t="s">
        <v>26731</v>
      </c>
      <c r="H11806" t="s">
        <v>859</v>
      </c>
      <c r="I11806" t="s">
        <v>860</v>
      </c>
      <c r="J11806" t="str">
        <f>"9380293"</f>
        <v>9380293</v>
      </c>
      <c r="K11806">
        <v>2382026197</v>
      </c>
      <c r="L11806">
        <v>2382026197</v>
      </c>
      <c r="M11806" t="s">
        <v>30459</v>
      </c>
      <c r="N11806" t="s">
        <v>26731</v>
      </c>
      <c r="O11806" t="s">
        <v>30460</v>
      </c>
      <c r="P11806">
        <v>58100</v>
      </c>
      <c r="Q11806" t="str">
        <f>"40.793017"</f>
        <v>40.793017</v>
      </c>
      <c r="R11806" t="str">
        <f>"22.420085"</f>
        <v>22.420085</v>
      </c>
      <c r="S11806" t="s">
        <v>26</v>
      </c>
    </row>
    <row r="11807" spans="1:19" x14ac:dyDescent="0.3">
      <c r="A11807" t="s">
        <v>25190</v>
      </c>
      <c r="B11807" t="s">
        <v>30385</v>
      </c>
      <c r="C11807" t="s">
        <v>30461</v>
      </c>
      <c r="D11807" t="s">
        <v>25211</v>
      </c>
      <c r="E11807" t="s">
        <v>25211</v>
      </c>
      <c r="F11807" t="s">
        <v>26731</v>
      </c>
      <c r="G11807" t="s">
        <v>26731</v>
      </c>
      <c r="H11807" t="s">
        <v>859</v>
      </c>
      <c r="I11807" t="s">
        <v>860</v>
      </c>
      <c r="J11807" t="str">
        <f>"9380283"</f>
        <v>9380283</v>
      </c>
      <c r="K11807">
        <v>2382025124</v>
      </c>
      <c r="L11807">
        <v>2382025124</v>
      </c>
      <c r="M11807" t="s">
        <v>30462</v>
      </c>
      <c r="N11807" t="s">
        <v>26731</v>
      </c>
      <c r="O11807" t="s">
        <v>30463</v>
      </c>
      <c r="P11807">
        <v>58100</v>
      </c>
      <c r="Q11807" t="str">
        <f>"40.788420"</f>
        <v>40.788420</v>
      </c>
      <c r="R11807" t="str">
        <f>"22.407745"</f>
        <v>22.407745</v>
      </c>
      <c r="S11807" t="s">
        <v>26</v>
      </c>
    </row>
    <row r="11808" spans="1:19" x14ac:dyDescent="0.3">
      <c r="A11808" t="s">
        <v>25190</v>
      </c>
      <c r="B11808" t="s">
        <v>30385</v>
      </c>
      <c r="C11808" t="s">
        <v>30464</v>
      </c>
      <c r="D11808" t="s">
        <v>25211</v>
      </c>
      <c r="E11808" t="s">
        <v>25211</v>
      </c>
      <c r="F11808" t="s">
        <v>26731</v>
      </c>
      <c r="G11808" t="s">
        <v>26731</v>
      </c>
      <c r="H11808" t="s">
        <v>859</v>
      </c>
      <c r="I11808" t="s">
        <v>860</v>
      </c>
      <c r="J11808" t="str">
        <f>"9380280"</f>
        <v>9380280</v>
      </c>
      <c r="K11808">
        <v>2382028337</v>
      </c>
      <c r="L11808">
        <v>2382028337</v>
      </c>
      <c r="M11808" t="s">
        <v>30465</v>
      </c>
      <c r="N11808" t="s">
        <v>26772</v>
      </c>
      <c r="O11808" t="s">
        <v>30466</v>
      </c>
      <c r="P11808">
        <v>58100</v>
      </c>
      <c r="Q11808" t="str">
        <f>"40.786077"</f>
        <v>40.786077</v>
      </c>
      <c r="R11808" t="str">
        <f>"22.410842"</f>
        <v>22.410842</v>
      </c>
      <c r="S11808" t="s">
        <v>26</v>
      </c>
    </row>
    <row r="11809" spans="1:19" x14ac:dyDescent="0.3">
      <c r="A11809" t="s">
        <v>25190</v>
      </c>
      <c r="B11809" t="s">
        <v>30385</v>
      </c>
      <c r="C11809" t="s">
        <v>30468</v>
      </c>
      <c r="D11809" t="s">
        <v>25211</v>
      </c>
      <c r="E11809" t="s">
        <v>25211</v>
      </c>
      <c r="F11809" t="s">
        <v>8406</v>
      </c>
      <c r="G11809" t="s">
        <v>30467</v>
      </c>
      <c r="H11809" t="s">
        <v>859</v>
      </c>
      <c r="I11809" t="s">
        <v>860</v>
      </c>
      <c r="J11809" t="str">
        <f>"9380130"</f>
        <v>9380130</v>
      </c>
      <c r="K11809">
        <v>2382042021</v>
      </c>
      <c r="L11809">
        <v>2382042021</v>
      </c>
      <c r="M11809" t="s">
        <v>30469</v>
      </c>
      <c r="N11809" t="s">
        <v>30467</v>
      </c>
      <c r="O11809" t="s">
        <v>30470</v>
      </c>
      <c r="P11809">
        <v>58300</v>
      </c>
      <c r="Q11809" t="str">
        <f>"40.755812"</f>
        <v>40.755812</v>
      </c>
      <c r="R11809" t="str">
        <f>"22.279395"</f>
        <v>22.279395</v>
      </c>
      <c r="S11809" t="s">
        <v>26</v>
      </c>
    </row>
    <row r="11810" spans="1:19" x14ac:dyDescent="0.3">
      <c r="A11810" t="s">
        <v>25190</v>
      </c>
      <c r="B11810" t="s">
        <v>30385</v>
      </c>
      <c r="C11810" t="s">
        <v>30471</v>
      </c>
      <c r="D11810" t="s">
        <v>25211</v>
      </c>
      <c r="E11810" t="s">
        <v>25211</v>
      </c>
      <c r="F11810" t="s">
        <v>26731</v>
      </c>
      <c r="G11810" t="s">
        <v>26731</v>
      </c>
      <c r="H11810" t="s">
        <v>859</v>
      </c>
      <c r="I11810" t="s">
        <v>860</v>
      </c>
      <c r="J11810" t="str">
        <f>"9380074"</f>
        <v>9380074</v>
      </c>
      <c r="K11810">
        <v>2382022171</v>
      </c>
      <c r="M11810" t="s">
        <v>30472</v>
      </c>
      <c r="N11810" t="s">
        <v>26731</v>
      </c>
      <c r="O11810" t="s">
        <v>30473</v>
      </c>
      <c r="P11810">
        <v>58100</v>
      </c>
      <c r="Q11810" t="str">
        <f>"40.800576"</f>
        <v>40.800576</v>
      </c>
      <c r="R11810" t="str">
        <f>"22.415675"</f>
        <v>22.415675</v>
      </c>
      <c r="S11810" t="s">
        <v>26</v>
      </c>
    </row>
    <row r="11811" spans="1:19" x14ac:dyDescent="0.3">
      <c r="A11811" t="s">
        <v>25190</v>
      </c>
      <c r="B11811" t="s">
        <v>30385</v>
      </c>
      <c r="C11811" t="s">
        <v>30474</v>
      </c>
      <c r="D11811" t="s">
        <v>25211</v>
      </c>
      <c r="E11811" t="s">
        <v>25211</v>
      </c>
      <c r="F11811" t="s">
        <v>26731</v>
      </c>
      <c r="G11811" t="s">
        <v>26731</v>
      </c>
      <c r="H11811" t="s">
        <v>859</v>
      </c>
      <c r="I11811" t="s">
        <v>860</v>
      </c>
      <c r="J11811" t="str">
        <f>"9380314"</f>
        <v>9380314</v>
      </c>
      <c r="K11811">
        <v>2382081007</v>
      </c>
      <c r="L11811">
        <v>2382081007</v>
      </c>
      <c r="M11811" t="s">
        <v>30475</v>
      </c>
      <c r="N11811" t="s">
        <v>26731</v>
      </c>
      <c r="O11811" t="s">
        <v>26825</v>
      </c>
      <c r="P11811">
        <v>58100</v>
      </c>
      <c r="Q11811" t="str">
        <f>"40.798970"</f>
        <v>40.798970</v>
      </c>
      <c r="R11811" t="str">
        <f>"22.424211"</f>
        <v>22.424211</v>
      </c>
      <c r="S11811" t="s">
        <v>26</v>
      </c>
    </row>
    <row r="11812" spans="1:19" x14ac:dyDescent="0.3">
      <c r="A11812" t="s">
        <v>25190</v>
      </c>
      <c r="B11812" t="s">
        <v>30385</v>
      </c>
      <c r="C11812" t="s">
        <v>30476</v>
      </c>
      <c r="D11812" t="s">
        <v>25211</v>
      </c>
      <c r="E11812" t="s">
        <v>25211</v>
      </c>
      <c r="F11812" t="s">
        <v>26731</v>
      </c>
      <c r="G11812" t="s">
        <v>26731</v>
      </c>
      <c r="H11812" t="s">
        <v>859</v>
      </c>
      <c r="I11812" t="s">
        <v>860</v>
      </c>
      <c r="J11812" t="str">
        <f>"9380075"</f>
        <v>9380075</v>
      </c>
      <c r="K11812">
        <v>2382081366</v>
      </c>
      <c r="L11812">
        <v>2382081366</v>
      </c>
      <c r="M11812" t="s">
        <v>30477</v>
      </c>
      <c r="N11812" t="s">
        <v>26731</v>
      </c>
      <c r="O11812" t="s">
        <v>30478</v>
      </c>
      <c r="P11812">
        <v>58100</v>
      </c>
      <c r="Q11812" t="str">
        <f>"40.797854"</f>
        <v>40.797854</v>
      </c>
      <c r="R11812" t="str">
        <f>"22.415049"</f>
        <v>22.415049</v>
      </c>
      <c r="S11812" t="s">
        <v>26</v>
      </c>
    </row>
    <row r="11813" spans="1:19" x14ac:dyDescent="0.3">
      <c r="A11813" t="s">
        <v>25190</v>
      </c>
      <c r="B11813" t="s">
        <v>30385</v>
      </c>
      <c r="C11813" t="s">
        <v>30479</v>
      </c>
      <c r="D11813" t="s">
        <v>25211</v>
      </c>
      <c r="E11813" t="s">
        <v>25212</v>
      </c>
      <c r="F11813" t="s">
        <v>26815</v>
      </c>
      <c r="G11813" t="s">
        <v>26816</v>
      </c>
      <c r="H11813" t="s">
        <v>859</v>
      </c>
      <c r="I11813" t="s">
        <v>860</v>
      </c>
      <c r="J11813" t="str">
        <f>"9380237"</f>
        <v>9380237</v>
      </c>
      <c r="K11813">
        <v>2381031685</v>
      </c>
      <c r="L11813">
        <v>2381031685</v>
      </c>
      <c r="M11813" t="s">
        <v>30480</v>
      </c>
      <c r="N11813" t="s">
        <v>30481</v>
      </c>
      <c r="O11813" t="s">
        <v>26820</v>
      </c>
      <c r="P11813">
        <v>58002</v>
      </c>
      <c r="Q11813" t="str">
        <f>"40.792062"</f>
        <v>40.792062</v>
      </c>
      <c r="R11813" t="str">
        <f>"21.832971"</f>
        <v>21.832971</v>
      </c>
      <c r="S11813" t="s">
        <v>26</v>
      </c>
    </row>
    <row r="11814" spans="1:19" x14ac:dyDescent="0.3">
      <c r="A11814" t="s">
        <v>25190</v>
      </c>
      <c r="B11814" t="s">
        <v>30385</v>
      </c>
      <c r="C11814" t="s">
        <v>30483</v>
      </c>
      <c r="D11814" t="s">
        <v>25211</v>
      </c>
      <c r="E11814" t="s">
        <v>25211</v>
      </c>
      <c r="F11814" t="s">
        <v>8406</v>
      </c>
      <c r="G11814" t="s">
        <v>30482</v>
      </c>
      <c r="H11814" t="s">
        <v>859</v>
      </c>
      <c r="I11814" t="s">
        <v>860</v>
      </c>
      <c r="J11814" t="str">
        <f>"9380221"</f>
        <v>9380221</v>
      </c>
      <c r="K11814">
        <v>2382041347</v>
      </c>
      <c r="L11814">
        <v>2382041347</v>
      </c>
      <c r="M11814" t="s">
        <v>30484</v>
      </c>
      <c r="N11814" t="s">
        <v>30482</v>
      </c>
      <c r="O11814" t="s">
        <v>30485</v>
      </c>
      <c r="P11814">
        <v>58100</v>
      </c>
      <c r="Q11814" t="str">
        <f>"40.781739"</f>
        <v>40.781739</v>
      </c>
      <c r="R11814" t="str">
        <f>"22.276737"</f>
        <v>22.276737</v>
      </c>
      <c r="S11814" t="s">
        <v>26</v>
      </c>
    </row>
    <row r="11815" spans="1:19" x14ac:dyDescent="0.3">
      <c r="A11815" t="s">
        <v>25190</v>
      </c>
      <c r="B11815" t="s">
        <v>30385</v>
      </c>
      <c r="C11815" t="s">
        <v>30487</v>
      </c>
      <c r="D11815" t="s">
        <v>25211</v>
      </c>
      <c r="E11815" t="s">
        <v>25211</v>
      </c>
      <c r="F11815" t="s">
        <v>21739</v>
      </c>
      <c r="G11815" t="s">
        <v>30437</v>
      </c>
      <c r="H11815" t="s">
        <v>859</v>
      </c>
      <c r="I11815" t="s">
        <v>860</v>
      </c>
      <c r="J11815" t="str">
        <f>"9380127"</f>
        <v>9380127</v>
      </c>
      <c r="K11815">
        <v>2382071317</v>
      </c>
      <c r="L11815">
        <v>2382071211</v>
      </c>
      <c r="M11815" t="s">
        <v>30488</v>
      </c>
      <c r="N11815" t="s">
        <v>30489</v>
      </c>
      <c r="O11815" t="s">
        <v>30490</v>
      </c>
      <c r="P11815">
        <v>58300</v>
      </c>
      <c r="Q11815" t="str">
        <f>"40.704228"</f>
        <v>40.704228</v>
      </c>
      <c r="R11815" t="str">
        <f>"22.263015"</f>
        <v>22.263015</v>
      </c>
      <c r="S11815" t="s">
        <v>26</v>
      </c>
    </row>
    <row r="11816" spans="1:19" x14ac:dyDescent="0.3">
      <c r="A11816" t="s">
        <v>25190</v>
      </c>
      <c r="B11816" t="s">
        <v>30385</v>
      </c>
      <c r="C11816" t="s">
        <v>30492</v>
      </c>
      <c r="D11816" t="s">
        <v>25211</v>
      </c>
      <c r="E11816" t="s">
        <v>25211</v>
      </c>
      <c r="F11816" t="s">
        <v>21739</v>
      </c>
      <c r="G11816" t="s">
        <v>30491</v>
      </c>
      <c r="H11816" t="s">
        <v>859</v>
      </c>
      <c r="I11816" t="s">
        <v>860</v>
      </c>
      <c r="J11816" t="str">
        <f>"9380124"</f>
        <v>9380124</v>
      </c>
      <c r="K11816">
        <v>2382062764</v>
      </c>
      <c r="L11816">
        <v>2382062764</v>
      </c>
      <c r="M11816" t="s">
        <v>30493</v>
      </c>
      <c r="N11816" t="s">
        <v>30491</v>
      </c>
      <c r="O11816" t="s">
        <v>30494</v>
      </c>
      <c r="P11816">
        <v>58300</v>
      </c>
      <c r="Q11816" t="str">
        <f>"40.716357"</f>
        <v>40.716357</v>
      </c>
      <c r="R11816" t="str">
        <f>"22.297343"</f>
        <v>22.297343</v>
      </c>
      <c r="S11816" t="s">
        <v>26</v>
      </c>
    </row>
    <row r="11817" spans="1:19" x14ac:dyDescent="0.3">
      <c r="A11817" t="s">
        <v>25190</v>
      </c>
      <c r="B11817" t="s">
        <v>30385</v>
      </c>
      <c r="C11817" t="s">
        <v>30495</v>
      </c>
      <c r="D11817" t="s">
        <v>25211</v>
      </c>
      <c r="E11817" t="s">
        <v>25211</v>
      </c>
      <c r="F11817" t="s">
        <v>26733</v>
      </c>
      <c r="G11817" t="s">
        <v>26734</v>
      </c>
      <c r="H11817" t="s">
        <v>859</v>
      </c>
      <c r="I11817" t="s">
        <v>860</v>
      </c>
      <c r="J11817" t="str">
        <f>"9380101"</f>
        <v>9380101</v>
      </c>
      <c r="K11817">
        <v>2382099360</v>
      </c>
      <c r="L11817">
        <v>2382099360</v>
      </c>
      <c r="M11817" t="s">
        <v>30496</v>
      </c>
      <c r="N11817" t="s">
        <v>26734</v>
      </c>
      <c r="O11817" t="s">
        <v>26737</v>
      </c>
      <c r="P11817">
        <v>58100</v>
      </c>
      <c r="Q11817" t="str">
        <f>"40.844551"</f>
        <v>40.844551</v>
      </c>
      <c r="R11817" t="str">
        <f>"22.301867"</f>
        <v>22.301867</v>
      </c>
      <c r="S11817" t="s">
        <v>26</v>
      </c>
    </row>
    <row r="11818" spans="1:19" x14ac:dyDescent="0.3">
      <c r="A11818" t="s">
        <v>25190</v>
      </c>
      <c r="B11818" t="s">
        <v>30385</v>
      </c>
      <c r="C11818" t="s">
        <v>30497</v>
      </c>
      <c r="D11818" t="s">
        <v>25211</v>
      </c>
      <c r="E11818" t="s">
        <v>25211</v>
      </c>
      <c r="F11818" t="s">
        <v>26731</v>
      </c>
      <c r="G11818" t="s">
        <v>26731</v>
      </c>
      <c r="H11818" t="s">
        <v>859</v>
      </c>
      <c r="I11818" t="s">
        <v>860</v>
      </c>
      <c r="J11818" t="str">
        <f>"9380079"</f>
        <v>9380079</v>
      </c>
      <c r="K11818">
        <v>2382026925</v>
      </c>
      <c r="L11818">
        <v>2382026925</v>
      </c>
      <c r="M11818" t="s">
        <v>30498</v>
      </c>
      <c r="N11818" t="s">
        <v>26772</v>
      </c>
      <c r="O11818" t="s">
        <v>30499</v>
      </c>
      <c r="P11818">
        <v>58100</v>
      </c>
      <c r="Q11818" t="str">
        <f>"40.795724"</f>
        <v>40.795724</v>
      </c>
      <c r="R11818" t="str">
        <f>"22.413518"</f>
        <v>22.413518</v>
      </c>
      <c r="S11818" t="s">
        <v>26</v>
      </c>
    </row>
    <row r="11819" spans="1:19" x14ac:dyDescent="0.3">
      <c r="A11819" t="s">
        <v>25190</v>
      </c>
      <c r="B11819" t="s">
        <v>30385</v>
      </c>
      <c r="C11819" t="s">
        <v>30500</v>
      </c>
      <c r="D11819" t="s">
        <v>25211</v>
      </c>
      <c r="E11819" t="s">
        <v>25211</v>
      </c>
      <c r="F11819" t="s">
        <v>26731</v>
      </c>
      <c r="G11819" t="s">
        <v>26731</v>
      </c>
      <c r="H11819" t="s">
        <v>859</v>
      </c>
      <c r="I11819" t="s">
        <v>860</v>
      </c>
      <c r="J11819" t="str">
        <f>"9380084"</f>
        <v>9380084</v>
      </c>
      <c r="K11819">
        <v>2382020066</v>
      </c>
      <c r="L11819">
        <v>23820066</v>
      </c>
      <c r="M11819" t="s">
        <v>30501</v>
      </c>
      <c r="N11819" t="s">
        <v>26772</v>
      </c>
      <c r="O11819" t="s">
        <v>30502</v>
      </c>
      <c r="P11819">
        <v>58100</v>
      </c>
      <c r="Q11819" t="str">
        <f>"40.789593"</f>
        <v>40.789593</v>
      </c>
      <c r="R11819" t="str">
        <f>"22.415212"</f>
        <v>22.415212</v>
      </c>
      <c r="S11819" t="s">
        <v>26</v>
      </c>
    </row>
    <row r="11820" spans="1:19" x14ac:dyDescent="0.3">
      <c r="A11820" t="s">
        <v>25190</v>
      </c>
      <c r="B11820" t="s">
        <v>30385</v>
      </c>
      <c r="C11820" t="s">
        <v>30504</v>
      </c>
      <c r="D11820" t="s">
        <v>25211</v>
      </c>
      <c r="E11820" t="s">
        <v>25211</v>
      </c>
      <c r="F11820" t="s">
        <v>8406</v>
      </c>
      <c r="G11820" t="s">
        <v>30503</v>
      </c>
      <c r="H11820" t="s">
        <v>859</v>
      </c>
      <c r="I11820" t="s">
        <v>860</v>
      </c>
      <c r="J11820" t="str">
        <f>"9380136"</f>
        <v>9380136</v>
      </c>
      <c r="K11820">
        <v>2381061110</v>
      </c>
      <c r="M11820" t="s">
        <v>30505</v>
      </c>
      <c r="N11820" t="s">
        <v>30503</v>
      </c>
      <c r="O11820" t="s">
        <v>30506</v>
      </c>
      <c r="P11820">
        <v>58500</v>
      </c>
      <c r="Q11820" t="str">
        <f>"40.748381"</f>
        <v>40.748381</v>
      </c>
      <c r="R11820" t="str">
        <f>"22.249842"</f>
        <v>22.249842</v>
      </c>
      <c r="S11820" t="s">
        <v>26</v>
      </c>
    </row>
    <row r="11821" spans="1:19" x14ac:dyDescent="0.3">
      <c r="A11821" t="s">
        <v>25190</v>
      </c>
      <c r="B11821" t="s">
        <v>30385</v>
      </c>
      <c r="C11821" t="s">
        <v>30507</v>
      </c>
      <c r="D11821" t="s">
        <v>25211</v>
      </c>
      <c r="E11821" t="s">
        <v>25211</v>
      </c>
      <c r="F11821" t="s">
        <v>25211</v>
      </c>
      <c r="G11821" t="s">
        <v>26747</v>
      </c>
      <c r="H11821" t="s">
        <v>859</v>
      </c>
      <c r="I11821" t="s">
        <v>860</v>
      </c>
      <c r="J11821" t="str">
        <f>"9380305"</f>
        <v>9380305</v>
      </c>
      <c r="K11821">
        <v>2382031332</v>
      </c>
      <c r="L11821">
        <v>2382031332</v>
      </c>
      <c r="M11821" t="s">
        <v>30508</v>
      </c>
      <c r="N11821" t="s">
        <v>30509</v>
      </c>
      <c r="O11821" t="s">
        <v>30510</v>
      </c>
      <c r="P11821">
        <v>58005</v>
      </c>
      <c r="Q11821" t="str">
        <f>"40.757343"</f>
        <v>40.757343</v>
      </c>
      <c r="R11821" t="str">
        <f>"22.521992"</f>
        <v>22.521992</v>
      </c>
      <c r="S11821" t="s">
        <v>26</v>
      </c>
    </row>
    <row r="11822" spans="1:19" x14ac:dyDescent="0.3">
      <c r="A11822" t="s">
        <v>25190</v>
      </c>
      <c r="B11822" t="s">
        <v>30385</v>
      </c>
      <c r="C11822" t="s">
        <v>30511</v>
      </c>
      <c r="D11822" t="s">
        <v>25211</v>
      </c>
      <c r="E11822" t="s">
        <v>25212</v>
      </c>
      <c r="F11822" t="s">
        <v>25212</v>
      </c>
      <c r="G11822" t="s">
        <v>25213</v>
      </c>
      <c r="H11822" t="s">
        <v>859</v>
      </c>
      <c r="I11822" t="s">
        <v>860</v>
      </c>
      <c r="J11822" t="str">
        <f>"9380303"</f>
        <v>9380303</v>
      </c>
      <c r="K11822">
        <v>2381023451</v>
      </c>
      <c r="L11822">
        <v>2381023451</v>
      </c>
      <c r="M11822" t="s">
        <v>30512</v>
      </c>
      <c r="N11822" t="s">
        <v>25212</v>
      </c>
      <c r="O11822" t="s">
        <v>30513</v>
      </c>
      <c r="P11822">
        <v>58200</v>
      </c>
      <c r="Q11822" t="str">
        <f>"40.807061"</f>
        <v>40.807061</v>
      </c>
      <c r="R11822" t="str">
        <f>"22.046821"</f>
        <v>22.046821</v>
      </c>
      <c r="S11822" t="s">
        <v>26</v>
      </c>
    </row>
    <row r="11823" spans="1:19" x14ac:dyDescent="0.3">
      <c r="A11823" t="s">
        <v>25190</v>
      </c>
      <c r="B11823" t="s">
        <v>30385</v>
      </c>
      <c r="C11823" t="s">
        <v>30514</v>
      </c>
      <c r="D11823" t="s">
        <v>25211</v>
      </c>
      <c r="E11823" t="s">
        <v>25212</v>
      </c>
      <c r="F11823" t="s">
        <v>25212</v>
      </c>
      <c r="G11823" t="s">
        <v>25213</v>
      </c>
      <c r="H11823" t="s">
        <v>859</v>
      </c>
      <c r="I11823" t="s">
        <v>860</v>
      </c>
      <c r="J11823" t="str">
        <f>"9380290"</f>
        <v>9380290</v>
      </c>
      <c r="K11823">
        <v>2381028152</v>
      </c>
      <c r="L11823">
        <v>2381025239</v>
      </c>
      <c r="M11823" t="s">
        <v>30515</v>
      </c>
      <c r="N11823" t="s">
        <v>25212</v>
      </c>
      <c r="O11823" t="s">
        <v>30516</v>
      </c>
      <c r="P11823">
        <v>58200</v>
      </c>
      <c r="Q11823" t="str">
        <f>"40.808190"</f>
        <v>40.808190</v>
      </c>
      <c r="R11823" t="str">
        <f>"22.041323"</f>
        <v>22.041323</v>
      </c>
      <c r="S11823" t="s">
        <v>26</v>
      </c>
    </row>
    <row r="11824" spans="1:19" x14ac:dyDescent="0.3">
      <c r="A11824" t="s">
        <v>25190</v>
      </c>
      <c r="B11824" t="s">
        <v>30385</v>
      </c>
      <c r="C11824" t="s">
        <v>30517</v>
      </c>
      <c r="D11824" t="s">
        <v>25211</v>
      </c>
      <c r="E11824" t="s">
        <v>25211</v>
      </c>
      <c r="F11824" t="s">
        <v>8406</v>
      </c>
      <c r="G11824" t="s">
        <v>26875</v>
      </c>
      <c r="H11824" t="s">
        <v>859</v>
      </c>
      <c r="I11824" t="s">
        <v>860</v>
      </c>
      <c r="J11824" t="str">
        <f>"9380105"</f>
        <v>9380105</v>
      </c>
      <c r="K11824">
        <v>2382042790</v>
      </c>
      <c r="L11824">
        <v>2382042790</v>
      </c>
      <c r="M11824" t="s">
        <v>30518</v>
      </c>
      <c r="N11824" t="s">
        <v>26878</v>
      </c>
      <c r="O11824" t="s">
        <v>26878</v>
      </c>
      <c r="P11824">
        <v>58001</v>
      </c>
      <c r="Q11824" t="str">
        <f>"40.767120"</f>
        <v>40.767120</v>
      </c>
      <c r="R11824" t="str">
        <f>"22.313696"</f>
        <v>22.313696</v>
      </c>
      <c r="S11824" t="s">
        <v>26</v>
      </c>
    </row>
    <row r="11825" spans="1:19" x14ac:dyDescent="0.3">
      <c r="A11825" t="s">
        <v>25190</v>
      </c>
      <c r="B11825" t="s">
        <v>30385</v>
      </c>
      <c r="C11825" t="s">
        <v>30520</v>
      </c>
      <c r="D11825" t="s">
        <v>25211</v>
      </c>
      <c r="E11825" t="s">
        <v>25211</v>
      </c>
      <c r="F11825" t="s">
        <v>26731</v>
      </c>
      <c r="G11825" t="s">
        <v>30519</v>
      </c>
      <c r="H11825" t="s">
        <v>859</v>
      </c>
      <c r="I11825" t="s">
        <v>860</v>
      </c>
      <c r="J11825" t="str">
        <f>"9380097"</f>
        <v>9380097</v>
      </c>
      <c r="K11825">
        <v>2382094537</v>
      </c>
      <c r="L11825">
        <v>2382094537</v>
      </c>
      <c r="M11825" t="s">
        <v>30521</v>
      </c>
      <c r="N11825" t="s">
        <v>30519</v>
      </c>
      <c r="O11825" t="s">
        <v>30522</v>
      </c>
      <c r="P11825">
        <v>58100</v>
      </c>
      <c r="Q11825" t="str">
        <f>"40.833894"</f>
        <v>40.833894</v>
      </c>
      <c r="R11825" t="str">
        <f>"22.387981"</f>
        <v>22.387981</v>
      </c>
      <c r="S11825" t="s">
        <v>26</v>
      </c>
    </row>
    <row r="11826" spans="1:19" x14ac:dyDescent="0.3">
      <c r="A11826" t="s">
        <v>25190</v>
      </c>
      <c r="B11826" t="s">
        <v>30385</v>
      </c>
      <c r="C11826" t="s">
        <v>30523</v>
      </c>
      <c r="D11826" t="s">
        <v>25211</v>
      </c>
      <c r="E11826" t="s">
        <v>25212</v>
      </c>
      <c r="F11826" t="s">
        <v>25212</v>
      </c>
      <c r="G11826" t="s">
        <v>25213</v>
      </c>
      <c r="H11826" t="s">
        <v>859</v>
      </c>
      <c r="I11826" t="s">
        <v>860</v>
      </c>
      <c r="J11826" t="str">
        <f>"9380228"</f>
        <v>9380228</v>
      </c>
      <c r="K11826">
        <v>2381027798</v>
      </c>
      <c r="M11826" t="s">
        <v>30524</v>
      </c>
      <c r="N11826" t="s">
        <v>25212</v>
      </c>
      <c r="O11826" t="s">
        <v>30525</v>
      </c>
      <c r="P11826">
        <v>58200</v>
      </c>
      <c r="Q11826" t="str">
        <f>"40.802424"</f>
        <v>40.802424</v>
      </c>
      <c r="R11826" t="str">
        <f>"22.046086"</f>
        <v>22.046086</v>
      </c>
      <c r="S11826" t="s">
        <v>26</v>
      </c>
    </row>
    <row r="11827" spans="1:19" x14ac:dyDescent="0.3">
      <c r="A11827" t="s">
        <v>25190</v>
      </c>
      <c r="B11827" t="s">
        <v>30385</v>
      </c>
      <c r="C11827" t="s">
        <v>30526</v>
      </c>
      <c r="D11827" t="s">
        <v>25211</v>
      </c>
      <c r="E11827" t="s">
        <v>25211</v>
      </c>
      <c r="F11827" t="s">
        <v>8406</v>
      </c>
      <c r="G11827" t="s">
        <v>30411</v>
      </c>
      <c r="H11827" t="s">
        <v>859</v>
      </c>
      <c r="I11827" t="s">
        <v>860</v>
      </c>
      <c r="J11827" t="str">
        <f>"9380211"</f>
        <v>9380211</v>
      </c>
      <c r="K11827">
        <v>2381094123</v>
      </c>
      <c r="M11827" t="s">
        <v>30527</v>
      </c>
      <c r="N11827" t="s">
        <v>30528</v>
      </c>
      <c r="O11827" t="s">
        <v>30528</v>
      </c>
      <c r="P11827">
        <v>58100</v>
      </c>
      <c r="Q11827" t="str">
        <f>"40.788592"</f>
        <v>40.788592</v>
      </c>
      <c r="R11827" t="str">
        <f>"22.262300"</f>
        <v>22.262300</v>
      </c>
      <c r="S11827" t="s">
        <v>26</v>
      </c>
    </row>
    <row r="11828" spans="1:19" x14ac:dyDescent="0.3">
      <c r="A11828" t="s">
        <v>25190</v>
      </c>
      <c r="B11828" t="s">
        <v>30385</v>
      </c>
      <c r="C11828" t="s">
        <v>30529</v>
      </c>
      <c r="D11828" t="s">
        <v>25211</v>
      </c>
      <c r="E11828" t="s">
        <v>25212</v>
      </c>
      <c r="F11828" t="s">
        <v>25212</v>
      </c>
      <c r="G11828" t="s">
        <v>2864</v>
      </c>
      <c r="H11828" t="s">
        <v>859</v>
      </c>
      <c r="I11828" t="s">
        <v>860</v>
      </c>
      <c r="J11828" t="str">
        <f>"9380236"</f>
        <v>9380236</v>
      </c>
      <c r="K11828">
        <v>2381092120</v>
      </c>
      <c r="L11828">
        <v>2381092509</v>
      </c>
      <c r="M11828" t="s">
        <v>30530</v>
      </c>
      <c r="N11828" t="s">
        <v>2861</v>
      </c>
      <c r="O11828" t="s">
        <v>2861</v>
      </c>
      <c r="P11828">
        <v>58200</v>
      </c>
      <c r="Q11828" t="str">
        <f>"40.805736"</f>
        <v>40.805736</v>
      </c>
      <c r="R11828" t="str">
        <f>"22.005127"</f>
        <v>22.005127</v>
      </c>
      <c r="S11828" t="s">
        <v>26</v>
      </c>
    </row>
    <row r="11829" spans="1:19" x14ac:dyDescent="0.3">
      <c r="A11829" t="s">
        <v>25190</v>
      </c>
      <c r="B11829" t="s">
        <v>30385</v>
      </c>
      <c r="C11829" t="s">
        <v>30531</v>
      </c>
      <c r="D11829" t="s">
        <v>25211</v>
      </c>
      <c r="E11829" t="s">
        <v>25211</v>
      </c>
      <c r="F11829" t="s">
        <v>26731</v>
      </c>
      <c r="G11829" t="s">
        <v>26731</v>
      </c>
      <c r="H11829" t="s">
        <v>859</v>
      </c>
      <c r="I11829" t="s">
        <v>860</v>
      </c>
      <c r="J11829" t="str">
        <f>"9380072"</f>
        <v>9380072</v>
      </c>
      <c r="K11829">
        <v>2382032393</v>
      </c>
      <c r="M11829" t="s">
        <v>30532</v>
      </c>
      <c r="N11829" t="s">
        <v>25211</v>
      </c>
      <c r="O11829" t="s">
        <v>30533</v>
      </c>
      <c r="P11829">
        <v>58100</v>
      </c>
      <c r="Q11829" t="str">
        <f>"40.751887"</f>
        <v>40.751887</v>
      </c>
      <c r="R11829" t="str">
        <f>"22.457124"</f>
        <v>22.457124</v>
      </c>
      <c r="S11829" t="s">
        <v>26</v>
      </c>
    </row>
    <row r="11830" spans="1:19" x14ac:dyDescent="0.3">
      <c r="A11830" t="s">
        <v>25190</v>
      </c>
      <c r="B11830" t="s">
        <v>30385</v>
      </c>
      <c r="C11830" t="s">
        <v>30534</v>
      </c>
      <c r="D11830" t="s">
        <v>25211</v>
      </c>
      <c r="E11830" t="s">
        <v>25211</v>
      </c>
      <c r="F11830" t="s">
        <v>26731</v>
      </c>
      <c r="G11830" t="s">
        <v>26731</v>
      </c>
      <c r="H11830" t="s">
        <v>859</v>
      </c>
      <c r="I11830" t="s">
        <v>1102</v>
      </c>
      <c r="J11830" t="str">
        <f>"9380320"</f>
        <v>9380320</v>
      </c>
      <c r="K11830">
        <v>2382025375</v>
      </c>
      <c r="L11830">
        <v>2382025375</v>
      </c>
      <c r="M11830" t="s">
        <v>30535</v>
      </c>
      <c r="N11830" t="s">
        <v>26772</v>
      </c>
      <c r="O11830" t="s">
        <v>30536</v>
      </c>
      <c r="P11830">
        <v>58100</v>
      </c>
      <c r="Q11830" t="str">
        <f>"40.790956"</f>
        <v>40.790956</v>
      </c>
      <c r="R11830" t="str">
        <f>"22.418748"</f>
        <v>22.418748</v>
      </c>
      <c r="S11830" t="s">
        <v>26</v>
      </c>
    </row>
    <row r="11831" spans="1:19" x14ac:dyDescent="0.3">
      <c r="A11831" t="s">
        <v>25190</v>
      </c>
      <c r="B11831" t="s">
        <v>30385</v>
      </c>
      <c r="C11831" t="s">
        <v>30538</v>
      </c>
      <c r="D11831" t="s">
        <v>25211</v>
      </c>
      <c r="E11831" t="s">
        <v>26760</v>
      </c>
      <c r="F11831" t="s">
        <v>26785</v>
      </c>
      <c r="G11831" t="s">
        <v>30537</v>
      </c>
      <c r="H11831" t="s">
        <v>859</v>
      </c>
      <c r="I11831" t="s">
        <v>860</v>
      </c>
      <c r="J11831" t="str">
        <f>"9380218"</f>
        <v>9380218</v>
      </c>
      <c r="K11831">
        <v>2381097401</v>
      </c>
      <c r="M11831" t="s">
        <v>30539</v>
      </c>
      <c r="N11831" t="s">
        <v>30537</v>
      </c>
      <c r="O11831" t="s">
        <v>30540</v>
      </c>
      <c r="P11831">
        <v>58500</v>
      </c>
      <c r="Q11831" t="str">
        <f>"40.857502"</f>
        <v>40.857502</v>
      </c>
      <c r="R11831" t="str">
        <f>"22.213482"</f>
        <v>22.213482</v>
      </c>
      <c r="S11831" t="s">
        <v>26</v>
      </c>
    </row>
    <row r="11832" spans="1:19" x14ac:dyDescent="0.3">
      <c r="A11832" t="s">
        <v>25190</v>
      </c>
      <c r="B11832" t="s">
        <v>30385</v>
      </c>
      <c r="C11832" t="s">
        <v>30541</v>
      </c>
      <c r="D11832" t="s">
        <v>25211</v>
      </c>
      <c r="E11832" t="s">
        <v>26760</v>
      </c>
      <c r="F11832" t="s">
        <v>26760</v>
      </c>
      <c r="G11832" t="s">
        <v>3549</v>
      </c>
      <c r="H11832" t="s">
        <v>859</v>
      </c>
      <c r="I11832" t="s">
        <v>860</v>
      </c>
      <c r="J11832" t="str">
        <f>"9380134"</f>
        <v>9380134</v>
      </c>
      <c r="K11832">
        <v>2381061388</v>
      </c>
      <c r="L11832">
        <v>2381061388</v>
      </c>
      <c r="M11832" t="s">
        <v>30542</v>
      </c>
      <c r="O11832" t="s">
        <v>3549</v>
      </c>
      <c r="P11832">
        <v>58500</v>
      </c>
      <c r="Q11832" t="str">
        <f>"40.770880"</f>
        <v>40.770880</v>
      </c>
      <c r="R11832" t="str">
        <f>"22.233753"</f>
        <v>22.233753</v>
      </c>
      <c r="S11832" t="s">
        <v>26</v>
      </c>
    </row>
    <row r="11833" spans="1:19" x14ac:dyDescent="0.3">
      <c r="A11833" t="s">
        <v>25190</v>
      </c>
      <c r="B11833" t="s">
        <v>30385</v>
      </c>
      <c r="C11833" t="s">
        <v>30543</v>
      </c>
      <c r="D11833" t="s">
        <v>25211</v>
      </c>
      <c r="E11833" t="s">
        <v>25212</v>
      </c>
      <c r="F11833" t="s">
        <v>25212</v>
      </c>
      <c r="G11833" t="s">
        <v>25213</v>
      </c>
      <c r="H11833" t="s">
        <v>859</v>
      </c>
      <c r="I11833" t="s">
        <v>860</v>
      </c>
      <c r="J11833" t="str">
        <f>"9380276"</f>
        <v>9380276</v>
      </c>
      <c r="K11833">
        <v>2381026782</v>
      </c>
      <c r="M11833" t="s">
        <v>30544</v>
      </c>
      <c r="N11833" t="s">
        <v>25212</v>
      </c>
      <c r="O11833" t="s">
        <v>30545</v>
      </c>
      <c r="P11833">
        <v>58200</v>
      </c>
      <c r="Q11833" t="str">
        <f>"40.801796"</f>
        <v>40.801796</v>
      </c>
      <c r="R11833" t="str">
        <f>"22.047566"</f>
        <v>22.047566</v>
      </c>
      <c r="S11833" t="s">
        <v>26</v>
      </c>
    </row>
    <row r="11834" spans="1:19" x14ac:dyDescent="0.3">
      <c r="A11834" t="s">
        <v>25190</v>
      </c>
      <c r="B11834" t="s">
        <v>30385</v>
      </c>
      <c r="C11834" t="s">
        <v>30547</v>
      </c>
      <c r="D11834" t="s">
        <v>25211</v>
      </c>
      <c r="E11834" t="s">
        <v>25211</v>
      </c>
      <c r="F11834" t="s">
        <v>21739</v>
      </c>
      <c r="G11834" t="s">
        <v>30546</v>
      </c>
      <c r="H11834" t="s">
        <v>859</v>
      </c>
      <c r="I11834" t="s">
        <v>860</v>
      </c>
      <c r="J11834" t="str">
        <f>"9380122"</f>
        <v>9380122</v>
      </c>
      <c r="K11834">
        <v>2382061660</v>
      </c>
      <c r="M11834" t="s">
        <v>30548</v>
      </c>
      <c r="N11834" t="s">
        <v>30546</v>
      </c>
      <c r="O11834" t="s">
        <v>30549</v>
      </c>
      <c r="P11834">
        <v>58300</v>
      </c>
      <c r="Q11834" t="str">
        <f>"40.677719"</f>
        <v>40.677719</v>
      </c>
      <c r="R11834" t="str">
        <f>"22.260990"</f>
        <v>22.260990</v>
      </c>
      <c r="S11834" t="s">
        <v>26</v>
      </c>
    </row>
    <row r="11835" spans="1:19" x14ac:dyDescent="0.3">
      <c r="A11835" t="s">
        <v>25190</v>
      </c>
      <c r="B11835" t="s">
        <v>30385</v>
      </c>
      <c r="C11835" t="s">
        <v>30550</v>
      </c>
      <c r="D11835" t="s">
        <v>25211</v>
      </c>
      <c r="E11835" t="s">
        <v>26760</v>
      </c>
      <c r="F11835" t="s">
        <v>26760</v>
      </c>
      <c r="G11835" t="s">
        <v>30190</v>
      </c>
      <c r="H11835" t="s">
        <v>859</v>
      </c>
      <c r="I11835" t="s">
        <v>860</v>
      </c>
      <c r="J11835" t="str">
        <f>"9380159"</f>
        <v>9380159</v>
      </c>
      <c r="K11835">
        <v>2381062091</v>
      </c>
      <c r="L11835">
        <v>2381061201</v>
      </c>
      <c r="M11835" t="s">
        <v>30551</v>
      </c>
      <c r="N11835" t="s">
        <v>30190</v>
      </c>
      <c r="O11835" t="s">
        <v>30552</v>
      </c>
      <c r="P11835">
        <v>58500</v>
      </c>
      <c r="Q11835" t="str">
        <f>"40.734939"</f>
        <v>40.734939</v>
      </c>
      <c r="R11835" t="str">
        <f>"22.213307"</f>
        <v>22.213307</v>
      </c>
      <c r="S11835" t="s">
        <v>26</v>
      </c>
    </row>
    <row r="11836" spans="1:19" x14ac:dyDescent="0.3">
      <c r="A11836" t="s">
        <v>25190</v>
      </c>
      <c r="B11836" t="s">
        <v>30385</v>
      </c>
      <c r="C11836" t="s">
        <v>30553</v>
      </c>
      <c r="D11836" t="s">
        <v>25211</v>
      </c>
      <c r="E11836" t="s">
        <v>25211</v>
      </c>
      <c r="F11836" t="s">
        <v>26731</v>
      </c>
      <c r="G11836" t="s">
        <v>26731</v>
      </c>
      <c r="H11836" t="s">
        <v>859</v>
      </c>
      <c r="I11836" t="s">
        <v>860</v>
      </c>
      <c r="J11836" t="str">
        <f>"9380306"</f>
        <v>9380306</v>
      </c>
      <c r="K11836">
        <v>2382024414</v>
      </c>
      <c r="L11836">
        <v>2382024414</v>
      </c>
      <c r="M11836" t="s">
        <v>30554</v>
      </c>
      <c r="O11836" t="s">
        <v>30555</v>
      </c>
      <c r="P11836">
        <v>58100</v>
      </c>
      <c r="Q11836" t="str">
        <f>"40.821073"</f>
        <v>40.821073</v>
      </c>
      <c r="R11836" t="str">
        <f>"22.417947"</f>
        <v>22.417947</v>
      </c>
      <c r="S11836" t="s">
        <v>26</v>
      </c>
    </row>
    <row r="11837" spans="1:19" x14ac:dyDescent="0.3">
      <c r="A11837" t="s">
        <v>25190</v>
      </c>
      <c r="B11837" t="s">
        <v>30385</v>
      </c>
      <c r="C11837" t="s">
        <v>30561</v>
      </c>
      <c r="D11837" t="s">
        <v>25211</v>
      </c>
      <c r="E11837" t="s">
        <v>26760</v>
      </c>
      <c r="F11837" t="s">
        <v>26785</v>
      </c>
      <c r="G11837" t="s">
        <v>30560</v>
      </c>
      <c r="H11837" t="s">
        <v>859</v>
      </c>
      <c r="I11837" t="s">
        <v>860</v>
      </c>
      <c r="J11837" t="str">
        <f>"9380277"</f>
        <v>9380277</v>
      </c>
      <c r="K11837">
        <v>2381094122</v>
      </c>
      <c r="L11837">
        <v>2381094122</v>
      </c>
      <c r="M11837" t="s">
        <v>30562</v>
      </c>
      <c r="N11837" t="s">
        <v>30563</v>
      </c>
      <c r="O11837" t="s">
        <v>6673</v>
      </c>
      <c r="P11837">
        <v>58500</v>
      </c>
      <c r="Q11837" t="str">
        <f>"40.788727"</f>
        <v>40.788727</v>
      </c>
      <c r="R11837" t="str">
        <f>"22.232102"</f>
        <v>22.232102</v>
      </c>
      <c r="S11837" t="s">
        <v>26</v>
      </c>
    </row>
    <row r="11838" spans="1:19" x14ac:dyDescent="0.3">
      <c r="A11838" t="s">
        <v>25190</v>
      </c>
      <c r="B11838" t="s">
        <v>30385</v>
      </c>
      <c r="C11838" t="s">
        <v>30565</v>
      </c>
      <c r="D11838" t="s">
        <v>25211</v>
      </c>
      <c r="E11838" t="s">
        <v>26760</v>
      </c>
      <c r="F11838" t="s">
        <v>26760</v>
      </c>
      <c r="G11838" t="s">
        <v>30564</v>
      </c>
      <c r="H11838" t="s">
        <v>859</v>
      </c>
      <c r="I11838" t="s">
        <v>860</v>
      </c>
      <c r="J11838" t="str">
        <f>"9380157"</f>
        <v>9380157</v>
      </c>
      <c r="K11838">
        <v>2381072152</v>
      </c>
      <c r="M11838" t="s">
        <v>30566</v>
      </c>
      <c r="N11838" t="s">
        <v>30564</v>
      </c>
      <c r="O11838" t="s">
        <v>30567</v>
      </c>
      <c r="P11838">
        <v>58500</v>
      </c>
      <c r="Q11838" t="str">
        <f>"40.713363"</f>
        <v>40.713363</v>
      </c>
      <c r="R11838" t="str">
        <f>"22.164436"</f>
        <v>22.164436</v>
      </c>
      <c r="S11838" t="s">
        <v>26</v>
      </c>
    </row>
    <row r="11839" spans="1:19" x14ac:dyDescent="0.3">
      <c r="A11839" t="s">
        <v>25190</v>
      </c>
      <c r="B11839" t="s">
        <v>30385</v>
      </c>
      <c r="C11839" t="s">
        <v>30581</v>
      </c>
      <c r="D11839" t="s">
        <v>25211</v>
      </c>
      <c r="E11839" t="s">
        <v>25211</v>
      </c>
      <c r="F11839" t="s">
        <v>25211</v>
      </c>
      <c r="G11839" t="s">
        <v>30580</v>
      </c>
      <c r="H11839" t="s">
        <v>859</v>
      </c>
      <c r="I11839" t="s">
        <v>860</v>
      </c>
      <c r="J11839" t="str">
        <f>"9380116"</f>
        <v>9380116</v>
      </c>
      <c r="K11839">
        <v>2382031297</v>
      </c>
      <c r="L11839">
        <v>2382031297</v>
      </c>
      <c r="M11839" t="s">
        <v>30582</v>
      </c>
      <c r="N11839" t="s">
        <v>30583</v>
      </c>
      <c r="O11839" t="s">
        <v>30584</v>
      </c>
      <c r="P11839">
        <v>58005</v>
      </c>
      <c r="Q11839" t="str">
        <f>"40.768073"</f>
        <v>40.768073</v>
      </c>
      <c r="R11839" t="str">
        <f>"22.492369"</f>
        <v>22.492369</v>
      </c>
      <c r="S11839" t="s">
        <v>26</v>
      </c>
    </row>
    <row r="11840" spans="1:19" x14ac:dyDescent="0.3">
      <c r="A11840" t="s">
        <v>25190</v>
      </c>
      <c r="B11840" t="s">
        <v>30385</v>
      </c>
      <c r="C11840" t="s">
        <v>30625</v>
      </c>
      <c r="D11840" t="s">
        <v>25211</v>
      </c>
      <c r="E11840" t="s">
        <v>25212</v>
      </c>
      <c r="F11840" t="s">
        <v>25212</v>
      </c>
      <c r="G11840" t="s">
        <v>25213</v>
      </c>
      <c r="H11840" t="s">
        <v>859</v>
      </c>
      <c r="I11840" t="s">
        <v>860</v>
      </c>
      <c r="J11840" t="str">
        <f>"9380147"</f>
        <v>9380147</v>
      </c>
      <c r="K11840">
        <v>2381025593</v>
      </c>
      <c r="M11840" t="s">
        <v>30626</v>
      </c>
      <c r="N11840" t="s">
        <v>25212</v>
      </c>
      <c r="O11840" t="s">
        <v>30627</v>
      </c>
      <c r="P11840">
        <v>58200</v>
      </c>
      <c r="Q11840" t="str">
        <f>"40.795496"</f>
        <v>40.795496</v>
      </c>
      <c r="R11840" t="str">
        <f>"22.045427"</f>
        <v>22.045427</v>
      </c>
      <c r="S11840" t="s">
        <v>26</v>
      </c>
    </row>
    <row r="11841" spans="1:19" x14ac:dyDescent="0.3">
      <c r="A11841" t="s">
        <v>25190</v>
      </c>
      <c r="B11841" t="s">
        <v>30385</v>
      </c>
      <c r="C11841" t="s">
        <v>30628</v>
      </c>
      <c r="D11841" t="s">
        <v>25211</v>
      </c>
      <c r="E11841" t="s">
        <v>25212</v>
      </c>
      <c r="F11841" t="s">
        <v>25212</v>
      </c>
      <c r="G11841" t="s">
        <v>25213</v>
      </c>
      <c r="H11841" t="s">
        <v>859</v>
      </c>
      <c r="I11841" t="s">
        <v>860</v>
      </c>
      <c r="J11841" t="str">
        <f>"9380226"</f>
        <v>9380226</v>
      </c>
      <c r="K11841">
        <v>2381028640</v>
      </c>
      <c r="L11841">
        <v>2381028640</v>
      </c>
      <c r="M11841" t="s">
        <v>30629</v>
      </c>
      <c r="N11841" t="s">
        <v>25212</v>
      </c>
      <c r="O11841" t="s">
        <v>30630</v>
      </c>
      <c r="P11841">
        <v>58200</v>
      </c>
      <c r="Q11841" t="str">
        <f>"40.798233"</f>
        <v>40.798233</v>
      </c>
      <c r="R11841" t="str">
        <f>"22.045597"</f>
        <v>22.045597</v>
      </c>
      <c r="S11841" t="s">
        <v>26</v>
      </c>
    </row>
    <row r="11842" spans="1:19" x14ac:dyDescent="0.3">
      <c r="A11842" t="s">
        <v>25190</v>
      </c>
      <c r="B11842" t="s">
        <v>30385</v>
      </c>
      <c r="C11842" t="s">
        <v>30631</v>
      </c>
      <c r="D11842" t="s">
        <v>25211</v>
      </c>
      <c r="E11842" t="s">
        <v>25212</v>
      </c>
      <c r="F11842" t="s">
        <v>25212</v>
      </c>
      <c r="G11842" t="s">
        <v>25213</v>
      </c>
      <c r="H11842" t="s">
        <v>859</v>
      </c>
      <c r="I11842" t="s">
        <v>860</v>
      </c>
      <c r="J11842" t="str">
        <f>"9380282"</f>
        <v>9380282</v>
      </c>
      <c r="K11842">
        <v>2381024341</v>
      </c>
      <c r="L11842">
        <v>2381024341</v>
      </c>
      <c r="M11842" t="s">
        <v>30632</v>
      </c>
      <c r="N11842" t="s">
        <v>25212</v>
      </c>
      <c r="O11842" t="s">
        <v>30633</v>
      </c>
      <c r="P11842">
        <v>58200</v>
      </c>
      <c r="Q11842" t="str">
        <f>"40.807170"</f>
        <v>40.807170</v>
      </c>
      <c r="R11842" t="str">
        <f>"22.044976"</f>
        <v>22.044976</v>
      </c>
      <c r="S11842" t="s">
        <v>26</v>
      </c>
    </row>
    <row r="11843" spans="1:19" x14ac:dyDescent="0.3">
      <c r="A11843" t="s">
        <v>25190</v>
      </c>
      <c r="B11843" t="s">
        <v>30385</v>
      </c>
      <c r="C11843" t="s">
        <v>30634</v>
      </c>
      <c r="D11843" t="s">
        <v>25211</v>
      </c>
      <c r="E11843" t="s">
        <v>26753</v>
      </c>
      <c r="F11843" t="s">
        <v>26754</v>
      </c>
      <c r="G11843" t="s">
        <v>26863</v>
      </c>
      <c r="H11843" t="s">
        <v>859</v>
      </c>
      <c r="I11843" t="s">
        <v>860</v>
      </c>
      <c r="J11843" t="str">
        <f>"9380062"</f>
        <v>9380062</v>
      </c>
      <c r="K11843">
        <v>2384062282</v>
      </c>
      <c r="L11843">
        <v>2384062282</v>
      </c>
      <c r="M11843" t="s">
        <v>30635</v>
      </c>
      <c r="N11843" t="s">
        <v>30636</v>
      </c>
      <c r="O11843" t="s">
        <v>26867</v>
      </c>
      <c r="P11843">
        <v>58400</v>
      </c>
      <c r="Q11843" t="str">
        <f>"41.055548"</f>
        <v>41.055548</v>
      </c>
      <c r="R11843" t="str">
        <f>"22.175043"</f>
        <v>22.175043</v>
      </c>
      <c r="S11843" t="s">
        <v>26</v>
      </c>
    </row>
    <row r="11844" spans="1:19" x14ac:dyDescent="0.3">
      <c r="A11844" t="s">
        <v>25190</v>
      </c>
      <c r="B11844" t="s">
        <v>30385</v>
      </c>
      <c r="C11844" t="s">
        <v>30645</v>
      </c>
      <c r="D11844" t="s">
        <v>25211</v>
      </c>
      <c r="E11844" t="s">
        <v>25211</v>
      </c>
      <c r="F11844" t="s">
        <v>21739</v>
      </c>
      <c r="G11844" t="s">
        <v>21739</v>
      </c>
      <c r="H11844" t="s">
        <v>859</v>
      </c>
      <c r="I11844" t="s">
        <v>860</v>
      </c>
      <c r="J11844" t="str">
        <f>"9380318"</f>
        <v>9380318</v>
      </c>
      <c r="K11844">
        <v>2382063588</v>
      </c>
      <c r="L11844">
        <v>2382063588</v>
      </c>
      <c r="M11844" t="s">
        <v>30646</v>
      </c>
      <c r="N11844" t="s">
        <v>21739</v>
      </c>
      <c r="O11844" t="s">
        <v>30647</v>
      </c>
      <c r="P11844">
        <v>58300</v>
      </c>
      <c r="Q11844" t="str">
        <f>"40.682087"</f>
        <v>40.682087</v>
      </c>
      <c r="R11844" t="str">
        <f>"22.304796"</f>
        <v>22.304796</v>
      </c>
      <c r="S11844" t="s">
        <v>26</v>
      </c>
    </row>
    <row r="11845" spans="1:19" x14ac:dyDescent="0.3">
      <c r="A11845" t="s">
        <v>25190</v>
      </c>
      <c r="B11845" t="s">
        <v>30385</v>
      </c>
      <c r="C11845" t="s">
        <v>30654</v>
      </c>
      <c r="D11845" t="s">
        <v>25211</v>
      </c>
      <c r="E11845" t="s">
        <v>26753</v>
      </c>
      <c r="F11845" t="s">
        <v>26754</v>
      </c>
      <c r="G11845" t="s">
        <v>30653</v>
      </c>
      <c r="H11845" t="s">
        <v>859</v>
      </c>
      <c r="I11845" t="s">
        <v>860</v>
      </c>
      <c r="J11845" t="str">
        <f>"9380060"</f>
        <v>9380060</v>
      </c>
      <c r="K11845">
        <v>2384062278</v>
      </c>
      <c r="M11845" t="s">
        <v>30655</v>
      </c>
      <c r="N11845" t="s">
        <v>30656</v>
      </c>
      <c r="O11845" t="s">
        <v>30657</v>
      </c>
      <c r="P11845">
        <v>58003</v>
      </c>
      <c r="Q11845" t="str">
        <f>"41.035737"</f>
        <v>41.035737</v>
      </c>
      <c r="R11845" t="str">
        <f>"22.150650"</f>
        <v>22.150650</v>
      </c>
      <c r="S11845" t="s">
        <v>26</v>
      </c>
    </row>
    <row r="11846" spans="1:19" x14ac:dyDescent="0.3">
      <c r="A11846" t="s">
        <v>25190</v>
      </c>
      <c r="B11846" t="s">
        <v>30385</v>
      </c>
      <c r="C11846" t="s">
        <v>30667</v>
      </c>
      <c r="D11846" t="s">
        <v>25211</v>
      </c>
      <c r="E11846" t="s">
        <v>26753</v>
      </c>
      <c r="F11846" t="s">
        <v>26754</v>
      </c>
      <c r="G11846" t="s">
        <v>30660</v>
      </c>
      <c r="H11846" t="s">
        <v>859</v>
      </c>
      <c r="I11846" t="s">
        <v>860</v>
      </c>
      <c r="J11846" t="str">
        <f>"9380050"</f>
        <v>9380050</v>
      </c>
      <c r="K11846">
        <v>2384073028</v>
      </c>
      <c r="M11846" t="s">
        <v>30668</v>
      </c>
      <c r="N11846" t="s">
        <v>30669</v>
      </c>
      <c r="O11846" t="s">
        <v>30663</v>
      </c>
      <c r="P11846">
        <v>58003</v>
      </c>
      <c r="Q11846" t="str">
        <f>"41.099891"</f>
        <v>41.099891</v>
      </c>
      <c r="R11846" t="str">
        <f>"22.264137"</f>
        <v>22.264137</v>
      </c>
      <c r="S11846" t="s">
        <v>26</v>
      </c>
    </row>
    <row r="11847" spans="1:19" x14ac:dyDescent="0.3">
      <c r="A11847" t="s">
        <v>25190</v>
      </c>
      <c r="B11847" t="s">
        <v>30385</v>
      </c>
      <c r="C11847" t="s">
        <v>30674</v>
      </c>
      <c r="D11847" t="s">
        <v>25211</v>
      </c>
      <c r="E11847" t="s">
        <v>26760</v>
      </c>
      <c r="F11847" t="s">
        <v>26760</v>
      </c>
      <c r="G11847" t="s">
        <v>26760</v>
      </c>
      <c r="H11847" t="s">
        <v>859</v>
      </c>
      <c r="I11847" t="s">
        <v>860</v>
      </c>
      <c r="J11847" t="str">
        <f>"9520935"</f>
        <v>9520935</v>
      </c>
      <c r="K11847">
        <v>2381088548</v>
      </c>
      <c r="L11847">
        <v>2381088548</v>
      </c>
      <c r="M11847" t="s">
        <v>30675</v>
      </c>
      <c r="N11847" t="s">
        <v>26760</v>
      </c>
      <c r="O11847" t="s">
        <v>30676</v>
      </c>
      <c r="P11847">
        <v>58500</v>
      </c>
      <c r="Q11847" t="str">
        <f>"40.764968"</f>
        <v>40.764968</v>
      </c>
      <c r="R11847" t="str">
        <f>"22.155004"</f>
        <v>22.155004</v>
      </c>
      <c r="S11847" t="s">
        <v>26</v>
      </c>
    </row>
    <row r="11848" spans="1:19" x14ac:dyDescent="0.3">
      <c r="A11848" t="s">
        <v>25190</v>
      </c>
      <c r="B11848" t="s">
        <v>30385</v>
      </c>
      <c r="C11848" t="s">
        <v>30687</v>
      </c>
      <c r="D11848" t="s">
        <v>25211</v>
      </c>
      <c r="E11848" t="s">
        <v>25212</v>
      </c>
      <c r="F11848" t="s">
        <v>25212</v>
      </c>
      <c r="G11848" t="s">
        <v>25213</v>
      </c>
      <c r="H11848" t="s">
        <v>859</v>
      </c>
      <c r="I11848" t="s">
        <v>860</v>
      </c>
      <c r="J11848" t="str">
        <f>"9380149"</f>
        <v>9380149</v>
      </c>
      <c r="K11848">
        <v>2381022832</v>
      </c>
      <c r="M11848" t="s">
        <v>30688</v>
      </c>
      <c r="N11848" t="s">
        <v>25212</v>
      </c>
      <c r="O11848" t="s">
        <v>30689</v>
      </c>
      <c r="P11848">
        <v>58200</v>
      </c>
      <c r="Q11848" t="str">
        <f>"40.798400"</f>
        <v>40.798400</v>
      </c>
      <c r="R11848" t="str">
        <f>"22.046033"</f>
        <v>22.046033</v>
      </c>
      <c r="S11848" t="s">
        <v>26</v>
      </c>
    </row>
    <row r="11849" spans="1:19" x14ac:dyDescent="0.3">
      <c r="A11849" t="s">
        <v>25190</v>
      </c>
      <c r="B11849" t="s">
        <v>30385</v>
      </c>
      <c r="C11849" t="s">
        <v>30691</v>
      </c>
      <c r="D11849" t="s">
        <v>25211</v>
      </c>
      <c r="E11849" t="s">
        <v>26753</v>
      </c>
      <c r="F11849" t="s">
        <v>26775</v>
      </c>
      <c r="G11849" t="s">
        <v>30690</v>
      </c>
      <c r="H11849" t="s">
        <v>859</v>
      </c>
      <c r="I11849" t="s">
        <v>860</v>
      </c>
      <c r="J11849" t="str">
        <f>"9380052"</f>
        <v>9380052</v>
      </c>
      <c r="K11849">
        <v>2384024291</v>
      </c>
      <c r="L11849">
        <v>2384024291</v>
      </c>
      <c r="M11849" t="s">
        <v>30692</v>
      </c>
      <c r="N11849" t="s">
        <v>30693</v>
      </c>
      <c r="O11849" t="s">
        <v>30694</v>
      </c>
      <c r="P11849">
        <v>58400</v>
      </c>
      <c r="Q11849" t="str">
        <f>"40.968901"</f>
        <v>40.968901</v>
      </c>
      <c r="R11849" t="str">
        <f>"22.019115"</f>
        <v>22.019115</v>
      </c>
      <c r="S11849" t="s">
        <v>26</v>
      </c>
    </row>
    <row r="11850" spans="1:19" x14ac:dyDescent="0.3">
      <c r="A11850" t="s">
        <v>25190</v>
      </c>
      <c r="B11850" t="s">
        <v>30385</v>
      </c>
      <c r="C11850" t="s">
        <v>30695</v>
      </c>
      <c r="D11850" t="s">
        <v>25211</v>
      </c>
      <c r="E11850" t="s">
        <v>26753</v>
      </c>
      <c r="F11850" t="s">
        <v>26754</v>
      </c>
      <c r="G11850" t="s">
        <v>29736</v>
      </c>
      <c r="H11850" t="s">
        <v>859</v>
      </c>
      <c r="I11850" t="s">
        <v>860</v>
      </c>
      <c r="J11850" t="str">
        <f>"9380010"</f>
        <v>9380010</v>
      </c>
      <c r="K11850">
        <v>2384073603</v>
      </c>
      <c r="L11850">
        <v>2384073603</v>
      </c>
      <c r="M11850" t="s">
        <v>30696</v>
      </c>
      <c r="N11850" t="s">
        <v>19424</v>
      </c>
      <c r="O11850" t="s">
        <v>19424</v>
      </c>
      <c r="P11850">
        <v>58400</v>
      </c>
      <c r="Q11850" t="str">
        <f>"41.085365"</f>
        <v>41.085365</v>
      </c>
      <c r="R11850" t="str">
        <f>"22.278779"</f>
        <v>22.278779</v>
      </c>
      <c r="S11850" t="s">
        <v>26</v>
      </c>
    </row>
    <row r="11851" spans="1:19" x14ac:dyDescent="0.3">
      <c r="A11851" t="s">
        <v>25190</v>
      </c>
      <c r="B11851" t="s">
        <v>30385</v>
      </c>
      <c r="C11851" t="s">
        <v>30697</v>
      </c>
      <c r="D11851" t="s">
        <v>25211</v>
      </c>
      <c r="E11851" t="s">
        <v>26760</v>
      </c>
      <c r="F11851" t="s">
        <v>26785</v>
      </c>
      <c r="G11851" t="s">
        <v>26786</v>
      </c>
      <c r="H11851" t="s">
        <v>859</v>
      </c>
      <c r="I11851" t="s">
        <v>860</v>
      </c>
      <c r="J11851" t="str">
        <f>"9380214"</f>
        <v>9380214</v>
      </c>
      <c r="K11851">
        <v>2381041920</v>
      </c>
      <c r="M11851" t="s">
        <v>30698</v>
      </c>
      <c r="N11851" t="s">
        <v>26760</v>
      </c>
      <c r="O11851" t="s">
        <v>26835</v>
      </c>
      <c r="P11851">
        <v>58500</v>
      </c>
      <c r="Q11851" t="str">
        <f>"40.820186"</f>
        <v>40.820186</v>
      </c>
      <c r="R11851" t="str">
        <f>"22.177504"</f>
        <v>22.177504</v>
      </c>
      <c r="S11851" t="s">
        <v>26</v>
      </c>
    </row>
    <row r="11852" spans="1:19" x14ac:dyDescent="0.3">
      <c r="A11852" t="s">
        <v>25190</v>
      </c>
      <c r="B11852" t="s">
        <v>30385</v>
      </c>
      <c r="C11852" t="s">
        <v>30702</v>
      </c>
      <c r="D11852" t="s">
        <v>25211</v>
      </c>
      <c r="E11852" t="s">
        <v>25211</v>
      </c>
      <c r="F11852" t="s">
        <v>26731</v>
      </c>
      <c r="G11852" t="s">
        <v>26731</v>
      </c>
      <c r="H11852" t="s">
        <v>859</v>
      </c>
      <c r="I11852" t="s">
        <v>860</v>
      </c>
      <c r="J11852" t="str">
        <f>"9380087"</f>
        <v>9380087</v>
      </c>
      <c r="K11852">
        <v>2382022076</v>
      </c>
      <c r="L11852">
        <v>2382022076</v>
      </c>
      <c r="M11852" t="s">
        <v>30703</v>
      </c>
      <c r="N11852" t="s">
        <v>30704</v>
      </c>
      <c r="O11852" t="s">
        <v>30705</v>
      </c>
      <c r="P11852">
        <v>58100</v>
      </c>
      <c r="Q11852" t="str">
        <f>"40.828825"</f>
        <v>40.828825</v>
      </c>
      <c r="R11852" t="str">
        <f>"22.450819"</f>
        <v>22.450819</v>
      </c>
      <c r="S11852" t="s">
        <v>26</v>
      </c>
    </row>
    <row r="11853" spans="1:19" x14ac:dyDescent="0.3">
      <c r="A11853" t="s">
        <v>25190</v>
      </c>
      <c r="B11853" t="s">
        <v>30385</v>
      </c>
      <c r="C11853" t="s">
        <v>30715</v>
      </c>
      <c r="D11853" t="s">
        <v>25211</v>
      </c>
      <c r="E11853" t="s">
        <v>25211</v>
      </c>
      <c r="F11853" t="s">
        <v>25211</v>
      </c>
      <c r="G11853" t="s">
        <v>30714</v>
      </c>
      <c r="H11853" t="s">
        <v>859</v>
      </c>
      <c r="I11853" t="s">
        <v>860</v>
      </c>
      <c r="J11853" t="str">
        <f>"9380268"</f>
        <v>9380268</v>
      </c>
      <c r="K11853">
        <v>2391051178</v>
      </c>
      <c r="L11853">
        <v>2391051178</v>
      </c>
      <c r="M11853" t="s">
        <v>30716</v>
      </c>
      <c r="O11853" t="s">
        <v>30717</v>
      </c>
      <c r="P11853">
        <v>58005</v>
      </c>
      <c r="Q11853" t="str">
        <f>"40.810605"</f>
        <v>40.810605</v>
      </c>
      <c r="R11853" t="str">
        <f>"22.541108"</f>
        <v>22.541108</v>
      </c>
      <c r="S11853" t="s">
        <v>26</v>
      </c>
    </row>
    <row r="11854" spans="1:19" x14ac:dyDescent="0.3">
      <c r="A11854" t="s">
        <v>25190</v>
      </c>
      <c r="B11854" t="s">
        <v>30385</v>
      </c>
      <c r="C11854" t="s">
        <v>30732</v>
      </c>
      <c r="D11854" t="s">
        <v>25211</v>
      </c>
      <c r="E11854" t="s">
        <v>26753</v>
      </c>
      <c r="F11854" t="s">
        <v>26775</v>
      </c>
      <c r="G11854" t="s">
        <v>30731</v>
      </c>
      <c r="H11854" t="s">
        <v>859</v>
      </c>
      <c r="I11854" t="s">
        <v>860</v>
      </c>
      <c r="J11854" t="str">
        <f>"9380008"</f>
        <v>9380008</v>
      </c>
      <c r="K11854">
        <v>2384092203</v>
      </c>
      <c r="L11854">
        <v>2384092203</v>
      </c>
      <c r="M11854" t="s">
        <v>30733</v>
      </c>
      <c r="N11854" t="s">
        <v>30734</v>
      </c>
      <c r="O11854" t="s">
        <v>30734</v>
      </c>
      <c r="P11854">
        <v>58400</v>
      </c>
      <c r="Q11854" t="str">
        <f>"40.928419"</f>
        <v>40.928419</v>
      </c>
      <c r="R11854" t="str">
        <f>"22.091357"</f>
        <v>22.091357</v>
      </c>
      <c r="S11854" t="s">
        <v>26</v>
      </c>
    </row>
    <row r="11855" spans="1:19" x14ac:dyDescent="0.3">
      <c r="A11855" t="s">
        <v>25190</v>
      </c>
      <c r="B11855" t="s">
        <v>30385</v>
      </c>
      <c r="C11855" t="s">
        <v>30736</v>
      </c>
      <c r="D11855" t="s">
        <v>25211</v>
      </c>
      <c r="E11855" t="s">
        <v>25212</v>
      </c>
      <c r="F11855" t="s">
        <v>26815</v>
      </c>
      <c r="G11855" t="s">
        <v>30735</v>
      </c>
      <c r="H11855" t="s">
        <v>859</v>
      </c>
      <c r="I11855" t="s">
        <v>860</v>
      </c>
      <c r="J11855" t="str">
        <f>"9380255"</f>
        <v>9380255</v>
      </c>
      <c r="K11855">
        <v>2381034192</v>
      </c>
      <c r="L11855">
        <v>2381034192</v>
      </c>
      <c r="M11855" t="s">
        <v>30737</v>
      </c>
      <c r="N11855" t="s">
        <v>30735</v>
      </c>
      <c r="O11855" t="s">
        <v>30738</v>
      </c>
      <c r="P11855">
        <v>58002</v>
      </c>
      <c r="Q11855" t="str">
        <f>"40.799945"</f>
        <v>40.799945</v>
      </c>
      <c r="R11855" t="str">
        <f>"21.731156"</f>
        <v>21.731156</v>
      </c>
      <c r="S11855" t="s">
        <v>26</v>
      </c>
    </row>
    <row r="11856" spans="1:19" x14ac:dyDescent="0.3">
      <c r="A11856" t="s">
        <v>25190</v>
      </c>
      <c r="B11856" t="s">
        <v>30385</v>
      </c>
      <c r="C11856" t="s">
        <v>30745</v>
      </c>
      <c r="D11856" t="s">
        <v>25211</v>
      </c>
      <c r="E11856" t="s">
        <v>26760</v>
      </c>
      <c r="F11856" t="s">
        <v>26760</v>
      </c>
      <c r="G11856" t="s">
        <v>30744</v>
      </c>
      <c r="H11856" t="s">
        <v>859</v>
      </c>
      <c r="I11856" t="s">
        <v>860</v>
      </c>
      <c r="J11856" t="str">
        <f>"9380180"</f>
        <v>9380180</v>
      </c>
      <c r="K11856">
        <v>2381071801</v>
      </c>
      <c r="M11856" t="s">
        <v>30746</v>
      </c>
      <c r="N11856" t="s">
        <v>30744</v>
      </c>
      <c r="O11856" t="s">
        <v>30747</v>
      </c>
      <c r="P11856">
        <v>58500</v>
      </c>
      <c r="Q11856" t="str">
        <f>"40.734220"</f>
        <v>40.734220</v>
      </c>
      <c r="R11856" t="str">
        <f>"22.134212"</f>
        <v>22.134212</v>
      </c>
      <c r="S11856" t="s">
        <v>26</v>
      </c>
    </row>
    <row r="11857" spans="1:19" x14ac:dyDescent="0.3">
      <c r="A11857" t="s">
        <v>25190</v>
      </c>
      <c r="B11857" t="s">
        <v>30385</v>
      </c>
      <c r="C11857" t="s">
        <v>30748</v>
      </c>
      <c r="D11857" t="s">
        <v>25211</v>
      </c>
      <c r="E11857" t="s">
        <v>26753</v>
      </c>
      <c r="F11857" t="s">
        <v>26775</v>
      </c>
      <c r="G11857" t="s">
        <v>26775</v>
      </c>
      <c r="H11857" t="s">
        <v>859</v>
      </c>
      <c r="I11857" t="s">
        <v>860</v>
      </c>
      <c r="J11857" t="str">
        <f>"9380001"</f>
        <v>9380001</v>
      </c>
      <c r="K11857">
        <v>2384023240</v>
      </c>
      <c r="L11857">
        <v>2384023240</v>
      </c>
      <c r="M11857" t="s">
        <v>30749</v>
      </c>
      <c r="N11857" t="s">
        <v>26778</v>
      </c>
      <c r="O11857" t="s">
        <v>30750</v>
      </c>
      <c r="P11857">
        <v>58400</v>
      </c>
      <c r="Q11857" t="str">
        <f>"40.978674"</f>
        <v>40.978674</v>
      </c>
      <c r="R11857" t="str">
        <f>"22.061693"</f>
        <v>22.061693</v>
      </c>
      <c r="S11857" t="s">
        <v>26</v>
      </c>
    </row>
    <row r="11858" spans="1:19" x14ac:dyDescent="0.3">
      <c r="A11858" t="s">
        <v>25190</v>
      </c>
      <c r="B11858" t="s">
        <v>30385</v>
      </c>
      <c r="C11858" t="s">
        <v>30761</v>
      </c>
      <c r="D11858" t="s">
        <v>25211</v>
      </c>
      <c r="E11858" t="s">
        <v>25212</v>
      </c>
      <c r="F11858" t="s">
        <v>25212</v>
      </c>
      <c r="G11858" t="s">
        <v>30683</v>
      </c>
      <c r="H11858" t="s">
        <v>859</v>
      </c>
      <c r="I11858" t="s">
        <v>860</v>
      </c>
      <c r="J11858" t="str">
        <f>"9380243"</f>
        <v>9380243</v>
      </c>
      <c r="K11858">
        <v>2381092091</v>
      </c>
      <c r="M11858" t="s">
        <v>30762</v>
      </c>
      <c r="N11858" t="s">
        <v>30683</v>
      </c>
      <c r="O11858" t="s">
        <v>30686</v>
      </c>
      <c r="P11858">
        <v>58200</v>
      </c>
      <c r="Q11858" t="str">
        <f>"40.799654"</f>
        <v>40.799654</v>
      </c>
      <c r="R11858" t="str">
        <f>"21.915955"</f>
        <v>21.915955</v>
      </c>
      <c r="S11858" t="s">
        <v>26</v>
      </c>
    </row>
    <row r="11859" spans="1:19" x14ac:dyDescent="0.3">
      <c r="A11859" t="s">
        <v>25190</v>
      </c>
      <c r="B11859" t="s">
        <v>30385</v>
      </c>
      <c r="C11859" t="s">
        <v>30763</v>
      </c>
      <c r="D11859" t="s">
        <v>25211</v>
      </c>
      <c r="E11859" t="s">
        <v>25212</v>
      </c>
      <c r="F11859" t="s">
        <v>25212</v>
      </c>
      <c r="G11859" t="s">
        <v>30621</v>
      </c>
      <c r="H11859" t="s">
        <v>859</v>
      </c>
      <c r="I11859" t="s">
        <v>860</v>
      </c>
      <c r="J11859" t="str">
        <f>"9380191"</f>
        <v>9380191</v>
      </c>
      <c r="K11859">
        <v>2381099112</v>
      </c>
      <c r="M11859" t="s">
        <v>30764</v>
      </c>
      <c r="N11859" t="s">
        <v>30621</v>
      </c>
      <c r="O11859" t="s">
        <v>30624</v>
      </c>
      <c r="P11859">
        <v>58200</v>
      </c>
      <c r="Q11859" t="str">
        <f>"40.752041"</f>
        <v>40.752041</v>
      </c>
      <c r="R11859" t="str">
        <f>"22.012524"</f>
        <v>22.012524</v>
      </c>
      <c r="S11859" t="s">
        <v>26</v>
      </c>
    </row>
    <row r="11860" spans="1:19" x14ac:dyDescent="0.3">
      <c r="A11860" t="s">
        <v>25190</v>
      </c>
      <c r="B11860" t="s">
        <v>30385</v>
      </c>
      <c r="C11860" t="s">
        <v>30795</v>
      </c>
      <c r="D11860" t="s">
        <v>25211</v>
      </c>
      <c r="E11860" t="s">
        <v>26760</v>
      </c>
      <c r="F11860" t="s">
        <v>26760</v>
      </c>
      <c r="G11860" t="s">
        <v>26760</v>
      </c>
      <c r="H11860" t="s">
        <v>859</v>
      </c>
      <c r="I11860" t="s">
        <v>860</v>
      </c>
      <c r="J11860" t="str">
        <f>"9380185"</f>
        <v>9380185</v>
      </c>
      <c r="K11860">
        <v>2381082608</v>
      </c>
      <c r="L11860">
        <v>2381082608</v>
      </c>
      <c r="M11860" t="s">
        <v>30796</v>
      </c>
      <c r="N11860" t="s">
        <v>26760</v>
      </c>
      <c r="O11860" t="s">
        <v>30797</v>
      </c>
      <c r="P11860">
        <v>58500</v>
      </c>
      <c r="Q11860" t="str">
        <f>"40.766946"</f>
        <v>40.766946</v>
      </c>
      <c r="R11860" t="str">
        <f>"22.159020"</f>
        <v>22.159020</v>
      </c>
      <c r="S11860" t="s">
        <v>26</v>
      </c>
    </row>
    <row r="11861" spans="1:19" x14ac:dyDescent="0.3">
      <c r="A11861" t="s">
        <v>25190</v>
      </c>
      <c r="B11861" t="s">
        <v>30385</v>
      </c>
      <c r="C11861" t="s">
        <v>30798</v>
      </c>
      <c r="D11861" t="s">
        <v>25211</v>
      </c>
      <c r="E11861" t="s">
        <v>26760</v>
      </c>
      <c r="F11861" t="s">
        <v>26760</v>
      </c>
      <c r="G11861" t="s">
        <v>26760</v>
      </c>
      <c r="H11861" t="s">
        <v>859</v>
      </c>
      <c r="I11861" t="s">
        <v>860</v>
      </c>
      <c r="J11861" t="str">
        <f>"9380184"</f>
        <v>9380184</v>
      </c>
      <c r="K11861">
        <v>2381081903</v>
      </c>
      <c r="M11861" t="s">
        <v>30799</v>
      </c>
      <c r="N11861" t="s">
        <v>26760</v>
      </c>
      <c r="O11861" t="s">
        <v>30800</v>
      </c>
      <c r="P11861">
        <v>58500</v>
      </c>
      <c r="Q11861" t="str">
        <f>"40.767722"</f>
        <v>40.767722</v>
      </c>
      <c r="R11861" t="str">
        <f>"22.152586"</f>
        <v>22.152586</v>
      </c>
      <c r="S11861" t="s">
        <v>26</v>
      </c>
    </row>
    <row r="11862" spans="1:19" x14ac:dyDescent="0.3">
      <c r="A11862" t="s">
        <v>25190</v>
      </c>
      <c r="B11862" t="s">
        <v>30385</v>
      </c>
      <c r="C11862" t="s">
        <v>30804</v>
      </c>
      <c r="D11862" t="s">
        <v>25211</v>
      </c>
      <c r="E11862" t="s">
        <v>25211</v>
      </c>
      <c r="F11862" t="s">
        <v>21739</v>
      </c>
      <c r="G11862" t="s">
        <v>21739</v>
      </c>
      <c r="H11862" t="s">
        <v>859</v>
      </c>
      <c r="I11862" t="s">
        <v>860</v>
      </c>
      <c r="J11862" t="str">
        <f>"9380141"</f>
        <v>9380141</v>
      </c>
      <c r="K11862">
        <v>2382061295</v>
      </c>
      <c r="L11862">
        <v>2382061295</v>
      </c>
      <c r="M11862" t="s">
        <v>30805</v>
      </c>
      <c r="N11862" t="s">
        <v>21739</v>
      </c>
      <c r="O11862" t="s">
        <v>30806</v>
      </c>
      <c r="P11862">
        <v>58300</v>
      </c>
      <c r="Q11862" t="str">
        <f>"40.684392"</f>
        <v>40.684392</v>
      </c>
      <c r="R11862" t="str">
        <f>"22.299617"</f>
        <v>22.299617</v>
      </c>
      <c r="S11862" t="s">
        <v>26</v>
      </c>
    </row>
    <row r="11863" spans="1:19" x14ac:dyDescent="0.3">
      <c r="A11863" t="s">
        <v>25190</v>
      </c>
      <c r="B11863" t="s">
        <v>30385</v>
      </c>
      <c r="C11863" t="s">
        <v>30807</v>
      </c>
      <c r="D11863" t="s">
        <v>25211</v>
      </c>
      <c r="E11863" t="s">
        <v>25211</v>
      </c>
      <c r="F11863" t="s">
        <v>21739</v>
      </c>
      <c r="G11863" t="s">
        <v>21739</v>
      </c>
      <c r="H11863" t="s">
        <v>859</v>
      </c>
      <c r="I11863" t="s">
        <v>860</v>
      </c>
      <c r="J11863" t="str">
        <f>"9380140"</f>
        <v>9380140</v>
      </c>
      <c r="K11863">
        <v>2382061145</v>
      </c>
      <c r="L11863">
        <v>2382061145</v>
      </c>
      <c r="M11863" t="s">
        <v>30808</v>
      </c>
      <c r="N11863" t="s">
        <v>21739</v>
      </c>
      <c r="O11863" t="s">
        <v>30809</v>
      </c>
      <c r="P11863">
        <v>58300</v>
      </c>
      <c r="Q11863" t="str">
        <f>"40.688304"</f>
        <v>40.688304</v>
      </c>
      <c r="R11863" t="str">
        <f>"22.294447"</f>
        <v>22.294447</v>
      </c>
      <c r="S11863" t="s">
        <v>26</v>
      </c>
    </row>
    <row r="11864" spans="1:19" x14ac:dyDescent="0.3">
      <c r="A11864" t="s">
        <v>25190</v>
      </c>
      <c r="B11864" t="s">
        <v>30385</v>
      </c>
      <c r="C11864" t="s">
        <v>30819</v>
      </c>
      <c r="D11864" t="s">
        <v>25211</v>
      </c>
      <c r="E11864" t="s">
        <v>25212</v>
      </c>
      <c r="F11864" t="s">
        <v>26815</v>
      </c>
      <c r="G11864" t="s">
        <v>30735</v>
      </c>
      <c r="H11864" t="s">
        <v>859</v>
      </c>
      <c r="I11864" t="s">
        <v>860</v>
      </c>
      <c r="J11864" t="str">
        <f>"9380253"</f>
        <v>9380253</v>
      </c>
      <c r="K11864">
        <v>2381034241</v>
      </c>
      <c r="L11864">
        <v>2381034386</v>
      </c>
      <c r="M11864" t="s">
        <v>30820</v>
      </c>
      <c r="N11864" t="s">
        <v>30821</v>
      </c>
      <c r="O11864" t="s">
        <v>30822</v>
      </c>
      <c r="P11864">
        <v>58002</v>
      </c>
      <c r="Q11864" t="str">
        <f>"40.857539"</f>
        <v>40.857539</v>
      </c>
      <c r="R11864" t="str">
        <f>"21.819540"</f>
        <v>21.819540</v>
      </c>
      <c r="S11864" t="s">
        <v>26</v>
      </c>
    </row>
    <row r="11865" spans="1:19" x14ac:dyDescent="0.3">
      <c r="A11865" t="s">
        <v>25190</v>
      </c>
      <c r="B11865" t="s">
        <v>30385</v>
      </c>
      <c r="C11865" t="s">
        <v>30824</v>
      </c>
      <c r="D11865" t="s">
        <v>25211</v>
      </c>
      <c r="E11865" t="s">
        <v>26753</v>
      </c>
      <c r="F11865" t="s">
        <v>26775</v>
      </c>
      <c r="G11865" t="s">
        <v>30823</v>
      </c>
      <c r="H11865" t="s">
        <v>859</v>
      </c>
      <c r="I11865" t="s">
        <v>860</v>
      </c>
      <c r="J11865" t="str">
        <f>"9380199"</f>
        <v>9380199</v>
      </c>
      <c r="K11865">
        <v>2384094400</v>
      </c>
      <c r="M11865" t="s">
        <v>30825</v>
      </c>
      <c r="N11865" t="s">
        <v>30826</v>
      </c>
      <c r="O11865" t="s">
        <v>30827</v>
      </c>
      <c r="P11865">
        <v>58400</v>
      </c>
      <c r="Q11865" t="str">
        <f>"40.953928"</f>
        <v>40.953928</v>
      </c>
      <c r="R11865" t="str">
        <f>"21.926601"</f>
        <v>21.926601</v>
      </c>
      <c r="S11865" t="s">
        <v>26</v>
      </c>
    </row>
    <row r="11866" spans="1:19" x14ac:dyDescent="0.3">
      <c r="A11866" t="s">
        <v>25190</v>
      </c>
      <c r="B11866" t="s">
        <v>30385</v>
      </c>
      <c r="C11866" t="s">
        <v>30832</v>
      </c>
      <c r="D11866" t="s">
        <v>25211</v>
      </c>
      <c r="E11866" t="s">
        <v>26760</v>
      </c>
      <c r="F11866" t="s">
        <v>26760</v>
      </c>
      <c r="G11866" t="s">
        <v>26912</v>
      </c>
      <c r="H11866" t="s">
        <v>859</v>
      </c>
      <c r="I11866" t="s">
        <v>860</v>
      </c>
      <c r="J11866" t="str">
        <f>"9380173"</f>
        <v>9380173</v>
      </c>
      <c r="K11866">
        <v>2381071395</v>
      </c>
      <c r="L11866">
        <v>2381071395</v>
      </c>
      <c r="M11866" t="s">
        <v>30833</v>
      </c>
      <c r="N11866" t="s">
        <v>26912</v>
      </c>
      <c r="O11866" t="s">
        <v>26915</v>
      </c>
      <c r="P11866">
        <v>58500</v>
      </c>
      <c r="Q11866" t="str">
        <f>"40.721175"</f>
        <v>40.721175</v>
      </c>
      <c r="R11866" t="str">
        <f>"22.142319"</f>
        <v>22.142319</v>
      </c>
      <c r="S11866" t="s">
        <v>26</v>
      </c>
    </row>
    <row r="11867" spans="1:19" x14ac:dyDescent="0.3">
      <c r="A11867" t="s">
        <v>25190</v>
      </c>
      <c r="B11867" t="s">
        <v>30385</v>
      </c>
      <c r="C11867" t="s">
        <v>30860</v>
      </c>
      <c r="D11867" t="s">
        <v>25211</v>
      </c>
      <c r="E11867" t="s">
        <v>25212</v>
      </c>
      <c r="F11867" t="s">
        <v>25212</v>
      </c>
      <c r="G11867" t="s">
        <v>30859</v>
      </c>
      <c r="H11867" t="s">
        <v>859</v>
      </c>
      <c r="I11867" t="s">
        <v>860</v>
      </c>
      <c r="J11867" t="str">
        <f>"9380245"</f>
        <v>9380245</v>
      </c>
      <c r="K11867">
        <v>2381092450</v>
      </c>
      <c r="L11867">
        <v>2381092450</v>
      </c>
      <c r="M11867" t="s">
        <v>30861</v>
      </c>
      <c r="N11867" t="s">
        <v>30859</v>
      </c>
      <c r="O11867" t="s">
        <v>30862</v>
      </c>
      <c r="P11867">
        <v>58200</v>
      </c>
      <c r="Q11867" t="str">
        <f>"40.845212"</f>
        <v>40.845212</v>
      </c>
      <c r="R11867" t="str">
        <f>"21.957699"</f>
        <v>21.957699</v>
      </c>
      <c r="S11867" t="s">
        <v>26</v>
      </c>
    </row>
    <row r="11868" spans="1:19" x14ac:dyDescent="0.3">
      <c r="A11868" t="s">
        <v>25190</v>
      </c>
      <c r="B11868" t="s">
        <v>30385</v>
      </c>
      <c r="C11868" t="s">
        <v>30874</v>
      </c>
      <c r="D11868" t="s">
        <v>25211</v>
      </c>
      <c r="E11868" t="s">
        <v>25211</v>
      </c>
      <c r="F11868" t="s">
        <v>26731</v>
      </c>
      <c r="G11868" t="s">
        <v>26731</v>
      </c>
      <c r="H11868" t="s">
        <v>859</v>
      </c>
      <c r="I11868" t="s">
        <v>860</v>
      </c>
      <c r="J11868" t="str">
        <f>"9380271"</f>
        <v>9380271</v>
      </c>
      <c r="K11868">
        <v>2382082611</v>
      </c>
      <c r="L11868">
        <v>2382082611</v>
      </c>
      <c r="M11868" t="s">
        <v>30875</v>
      </c>
      <c r="N11868" t="s">
        <v>26731</v>
      </c>
      <c r="O11868" t="s">
        <v>30876</v>
      </c>
      <c r="P11868">
        <v>58100</v>
      </c>
      <c r="Q11868" t="str">
        <f>"40.806865"</f>
        <v>40.806865</v>
      </c>
      <c r="R11868" t="str">
        <f>"22.417462"</f>
        <v>22.417462</v>
      </c>
      <c r="S11868" t="s">
        <v>26</v>
      </c>
    </row>
    <row r="11869" spans="1:19" x14ac:dyDescent="0.3">
      <c r="A11869" t="s">
        <v>25190</v>
      </c>
      <c r="B11869" t="s">
        <v>30385</v>
      </c>
      <c r="C11869" t="s">
        <v>30887</v>
      </c>
      <c r="D11869" t="s">
        <v>25211</v>
      </c>
      <c r="E11869" t="s">
        <v>26753</v>
      </c>
      <c r="F11869" t="s">
        <v>26775</v>
      </c>
      <c r="G11869" t="s">
        <v>30637</v>
      </c>
      <c r="H11869" t="s">
        <v>859</v>
      </c>
      <c r="I11869" t="s">
        <v>860</v>
      </c>
      <c r="J11869" t="str">
        <f>"9380291"</f>
        <v>9380291</v>
      </c>
      <c r="K11869">
        <v>2384021757</v>
      </c>
      <c r="M11869" t="s">
        <v>30888</v>
      </c>
      <c r="N11869" t="s">
        <v>30889</v>
      </c>
      <c r="O11869" t="s">
        <v>30640</v>
      </c>
      <c r="P11869">
        <v>58400</v>
      </c>
      <c r="Q11869" t="str">
        <f>"40.991722"</f>
        <v>40.991722</v>
      </c>
      <c r="R11869" t="str">
        <f>"22.055713"</f>
        <v>22.055713</v>
      </c>
      <c r="S11869" t="s">
        <v>26</v>
      </c>
    </row>
    <row r="11870" spans="1:19" x14ac:dyDescent="0.3">
      <c r="A11870" t="s">
        <v>25190</v>
      </c>
      <c r="B11870" t="s">
        <v>30385</v>
      </c>
      <c r="C11870" t="s">
        <v>30890</v>
      </c>
      <c r="D11870" t="s">
        <v>25211</v>
      </c>
      <c r="E11870" t="s">
        <v>26753</v>
      </c>
      <c r="F11870" t="s">
        <v>26754</v>
      </c>
      <c r="G11870" t="s">
        <v>26754</v>
      </c>
      <c r="H11870" t="s">
        <v>859</v>
      </c>
      <c r="I11870" t="s">
        <v>860</v>
      </c>
      <c r="J11870" t="str">
        <f>"9380026"</f>
        <v>9380026</v>
      </c>
      <c r="K11870">
        <v>2384062261</v>
      </c>
      <c r="M11870" t="s">
        <v>30891</v>
      </c>
      <c r="N11870" t="s">
        <v>30892</v>
      </c>
      <c r="O11870" t="s">
        <v>30893</v>
      </c>
      <c r="P11870">
        <v>58004</v>
      </c>
      <c r="Q11870" t="str">
        <f>"41.057903"</f>
        <v>41.057903</v>
      </c>
      <c r="R11870" t="str">
        <f>"22.160940"</f>
        <v>22.160940</v>
      </c>
      <c r="S11870" t="s">
        <v>26</v>
      </c>
    </row>
    <row r="11871" spans="1:19" x14ac:dyDescent="0.3">
      <c r="A11871" t="s">
        <v>25190</v>
      </c>
      <c r="B11871" t="s">
        <v>30385</v>
      </c>
      <c r="C11871" t="s">
        <v>30894</v>
      </c>
      <c r="D11871" t="s">
        <v>25211</v>
      </c>
      <c r="E11871" t="s">
        <v>26753</v>
      </c>
      <c r="F11871" t="s">
        <v>26775</v>
      </c>
      <c r="G11871" t="s">
        <v>30846</v>
      </c>
      <c r="H11871" t="s">
        <v>859</v>
      </c>
      <c r="I11871" t="s">
        <v>860</v>
      </c>
      <c r="J11871" t="str">
        <f>"9380047"</f>
        <v>9380047</v>
      </c>
      <c r="K11871">
        <v>2384092485</v>
      </c>
      <c r="M11871" t="s">
        <v>30895</v>
      </c>
      <c r="N11871" t="s">
        <v>30896</v>
      </c>
      <c r="O11871" t="s">
        <v>30850</v>
      </c>
      <c r="P11871">
        <v>58400</v>
      </c>
      <c r="Q11871" t="str">
        <f>"40.929188"</f>
        <v>40.929188</v>
      </c>
      <c r="R11871" t="str">
        <f>"22.081117"</f>
        <v>22.081117</v>
      </c>
      <c r="S11871" t="s">
        <v>26</v>
      </c>
    </row>
    <row r="11872" spans="1:19" x14ac:dyDescent="0.3">
      <c r="A11872" t="s">
        <v>25190</v>
      </c>
      <c r="B11872" t="s">
        <v>30385</v>
      </c>
      <c r="C11872" t="s">
        <v>30897</v>
      </c>
      <c r="D11872" t="s">
        <v>25211</v>
      </c>
      <c r="E11872" t="s">
        <v>26753</v>
      </c>
      <c r="F11872" t="s">
        <v>26775</v>
      </c>
      <c r="G11872" t="s">
        <v>26827</v>
      </c>
      <c r="H11872" t="s">
        <v>859</v>
      </c>
      <c r="I11872" t="s">
        <v>860</v>
      </c>
      <c r="J11872" t="str">
        <f>"9380054"</f>
        <v>9380054</v>
      </c>
      <c r="K11872">
        <v>2384075656</v>
      </c>
      <c r="L11872">
        <v>75656</v>
      </c>
      <c r="M11872" t="s">
        <v>30898</v>
      </c>
      <c r="N11872" t="s">
        <v>30899</v>
      </c>
      <c r="O11872" t="s">
        <v>26830</v>
      </c>
      <c r="P11872">
        <v>58400</v>
      </c>
      <c r="Q11872" t="str">
        <f>"41.022209"</f>
        <v>41.022209</v>
      </c>
      <c r="R11872" t="str">
        <f>"22.006830"</f>
        <v>22.006830</v>
      </c>
      <c r="S11872" t="s">
        <v>26</v>
      </c>
    </row>
    <row r="11873" spans="1:19" x14ac:dyDescent="0.3">
      <c r="A11873" t="s">
        <v>25190</v>
      </c>
      <c r="B11873" t="s">
        <v>30385</v>
      </c>
      <c r="C11873" t="s">
        <v>30900</v>
      </c>
      <c r="D11873" t="s">
        <v>25211</v>
      </c>
      <c r="E11873" t="s">
        <v>26753</v>
      </c>
      <c r="F11873" t="s">
        <v>26754</v>
      </c>
      <c r="G11873" t="s">
        <v>19955</v>
      </c>
      <c r="H11873" t="s">
        <v>859</v>
      </c>
      <c r="I11873" t="s">
        <v>860</v>
      </c>
      <c r="J11873" t="str">
        <f>"9380039"</f>
        <v>9380039</v>
      </c>
      <c r="K11873">
        <v>2384041620</v>
      </c>
      <c r="L11873">
        <v>41620</v>
      </c>
      <c r="M11873" t="s">
        <v>30901</v>
      </c>
      <c r="N11873" t="s">
        <v>30902</v>
      </c>
      <c r="O11873" t="s">
        <v>30903</v>
      </c>
      <c r="P11873">
        <v>58400</v>
      </c>
      <c r="Q11873" t="str">
        <f>"41.010706"</f>
        <v>41.010706</v>
      </c>
      <c r="R11873" t="str">
        <f>"22.134811"</f>
        <v>22.134811</v>
      </c>
      <c r="S11873" t="s">
        <v>26</v>
      </c>
    </row>
    <row r="11874" spans="1:19" x14ac:dyDescent="0.3">
      <c r="A11874" t="s">
        <v>25190</v>
      </c>
      <c r="B11874" t="s">
        <v>30385</v>
      </c>
      <c r="C11874" t="s">
        <v>30904</v>
      </c>
      <c r="D11874" t="s">
        <v>25211</v>
      </c>
      <c r="E11874" t="s">
        <v>26753</v>
      </c>
      <c r="F11874" t="s">
        <v>26775</v>
      </c>
      <c r="G11874" t="s">
        <v>30865</v>
      </c>
      <c r="H11874" t="s">
        <v>859</v>
      </c>
      <c r="I11874" t="s">
        <v>860</v>
      </c>
      <c r="J11874" t="str">
        <f>"9380289"</f>
        <v>9380289</v>
      </c>
      <c r="K11874">
        <v>2384094096</v>
      </c>
      <c r="M11874" t="s">
        <v>30905</v>
      </c>
      <c r="N11874" t="s">
        <v>30906</v>
      </c>
      <c r="O11874" t="s">
        <v>30868</v>
      </c>
      <c r="P11874">
        <v>58400</v>
      </c>
      <c r="Q11874" t="str">
        <f>"40.915792"</f>
        <v>40.915792</v>
      </c>
      <c r="R11874" t="str">
        <f>"21.953088"</f>
        <v>21.953088</v>
      </c>
      <c r="S11874" t="s">
        <v>26</v>
      </c>
    </row>
    <row r="11875" spans="1:19" x14ac:dyDescent="0.3">
      <c r="A11875" t="s">
        <v>25190</v>
      </c>
      <c r="B11875" t="s">
        <v>30385</v>
      </c>
      <c r="C11875" t="s">
        <v>30907</v>
      </c>
      <c r="D11875" t="s">
        <v>25211</v>
      </c>
      <c r="E11875" t="s">
        <v>26753</v>
      </c>
      <c r="F11875" t="s">
        <v>26775</v>
      </c>
      <c r="G11875" t="s">
        <v>30718</v>
      </c>
      <c r="H11875" t="s">
        <v>859</v>
      </c>
      <c r="I11875" t="s">
        <v>860</v>
      </c>
      <c r="J11875" t="str">
        <f>"9380056"</f>
        <v>9380056</v>
      </c>
      <c r="K11875">
        <v>2384021247</v>
      </c>
      <c r="L11875">
        <v>2384021452</v>
      </c>
      <c r="M11875" t="s">
        <v>30908</v>
      </c>
      <c r="N11875" t="s">
        <v>30909</v>
      </c>
      <c r="O11875" t="s">
        <v>30910</v>
      </c>
      <c r="P11875">
        <v>58400</v>
      </c>
      <c r="Q11875" t="str">
        <f>"40.998985"</f>
        <v>40.998985</v>
      </c>
      <c r="R11875" t="str">
        <f>"22.035842"</f>
        <v>22.035842</v>
      </c>
      <c r="S11875" t="s">
        <v>26</v>
      </c>
    </row>
    <row r="11876" spans="1:19" x14ac:dyDescent="0.3">
      <c r="A11876" t="s">
        <v>25190</v>
      </c>
      <c r="B11876" t="s">
        <v>30385</v>
      </c>
      <c r="C11876" t="s">
        <v>30911</v>
      </c>
      <c r="D11876" t="s">
        <v>25211</v>
      </c>
      <c r="E11876" t="s">
        <v>26753</v>
      </c>
      <c r="F11876" t="s">
        <v>26775</v>
      </c>
      <c r="G11876" t="s">
        <v>26775</v>
      </c>
      <c r="H11876" t="s">
        <v>859</v>
      </c>
      <c r="I11876" t="s">
        <v>860</v>
      </c>
      <c r="J11876" t="str">
        <f>"9380007"</f>
        <v>9380007</v>
      </c>
      <c r="K11876">
        <v>2384021073</v>
      </c>
      <c r="L11876">
        <v>2384021073</v>
      </c>
      <c r="M11876" t="s">
        <v>30912</v>
      </c>
      <c r="N11876" t="s">
        <v>30913</v>
      </c>
      <c r="O11876" t="s">
        <v>30914</v>
      </c>
      <c r="P11876">
        <v>58400</v>
      </c>
      <c r="Q11876" t="str">
        <f>"40.961152"</f>
        <v>40.961152</v>
      </c>
      <c r="R11876" t="str">
        <f>"22.082357"</f>
        <v>22.082357</v>
      </c>
      <c r="S11876" t="s">
        <v>26</v>
      </c>
    </row>
    <row r="11877" spans="1:19" x14ac:dyDescent="0.3">
      <c r="A11877" t="s">
        <v>25190</v>
      </c>
      <c r="B11877" t="s">
        <v>30385</v>
      </c>
      <c r="C11877" t="s">
        <v>30915</v>
      </c>
      <c r="D11877" t="s">
        <v>25211</v>
      </c>
      <c r="E11877" t="s">
        <v>26753</v>
      </c>
      <c r="F11877" t="s">
        <v>26775</v>
      </c>
      <c r="G11877" t="s">
        <v>30882</v>
      </c>
      <c r="H11877" t="s">
        <v>859</v>
      </c>
      <c r="I11877" t="s">
        <v>860</v>
      </c>
      <c r="J11877" t="str">
        <f>"9380058"</f>
        <v>9380058</v>
      </c>
      <c r="K11877">
        <v>2384023950</v>
      </c>
      <c r="M11877" t="s">
        <v>30916</v>
      </c>
      <c r="N11877" t="s">
        <v>30917</v>
      </c>
      <c r="O11877" t="s">
        <v>30885</v>
      </c>
      <c r="P11877">
        <v>58400</v>
      </c>
      <c r="Q11877" t="str">
        <f>"40.954194"</f>
        <v>40.954194</v>
      </c>
      <c r="R11877" t="str">
        <f>"22.040423"</f>
        <v>22.040423</v>
      </c>
      <c r="S11877" t="s">
        <v>26</v>
      </c>
    </row>
    <row r="11878" spans="1:19" x14ac:dyDescent="0.3">
      <c r="A11878" t="s">
        <v>25190</v>
      </c>
      <c r="B11878" t="s">
        <v>30385</v>
      </c>
      <c r="C11878" t="s">
        <v>30918</v>
      </c>
      <c r="D11878" t="s">
        <v>25211</v>
      </c>
      <c r="E11878" t="s">
        <v>26753</v>
      </c>
      <c r="F11878" t="s">
        <v>26775</v>
      </c>
      <c r="G11878" t="s">
        <v>26775</v>
      </c>
      <c r="H11878" t="s">
        <v>859</v>
      </c>
      <c r="I11878" t="s">
        <v>860</v>
      </c>
      <c r="J11878" t="str">
        <f>"9380003"</f>
        <v>9380003</v>
      </c>
      <c r="K11878">
        <v>2384022507</v>
      </c>
      <c r="M11878" t="s">
        <v>30919</v>
      </c>
      <c r="N11878" t="s">
        <v>26778</v>
      </c>
      <c r="O11878" t="s">
        <v>30920</v>
      </c>
      <c r="P11878">
        <v>58400</v>
      </c>
      <c r="Q11878" t="str">
        <f>"40.970575"</f>
        <v>40.970575</v>
      </c>
      <c r="R11878" t="str">
        <f>"22.060033"</f>
        <v>22.060033</v>
      </c>
      <c r="S11878" t="s">
        <v>26</v>
      </c>
    </row>
    <row r="11879" spans="1:19" x14ac:dyDescent="0.3">
      <c r="A11879" t="s">
        <v>25190</v>
      </c>
      <c r="B11879" t="s">
        <v>30385</v>
      </c>
      <c r="C11879" t="s">
        <v>30921</v>
      </c>
      <c r="D11879" t="s">
        <v>25211</v>
      </c>
      <c r="E11879" t="s">
        <v>26753</v>
      </c>
      <c r="F11879" t="s">
        <v>26775</v>
      </c>
      <c r="G11879" t="s">
        <v>30395</v>
      </c>
      <c r="H11879" t="s">
        <v>859</v>
      </c>
      <c r="I11879" t="s">
        <v>860</v>
      </c>
      <c r="J11879" t="str">
        <f>"9380192"</f>
        <v>9380192</v>
      </c>
      <c r="K11879">
        <v>2384065003</v>
      </c>
      <c r="M11879" t="s">
        <v>30922</v>
      </c>
      <c r="N11879" t="s">
        <v>30923</v>
      </c>
      <c r="O11879" t="s">
        <v>30398</v>
      </c>
      <c r="P11879">
        <v>58400</v>
      </c>
      <c r="Q11879" t="str">
        <f>"40.892127"</f>
        <v>40.892127</v>
      </c>
      <c r="R11879" t="str">
        <f>"22.058170"</f>
        <v>22.058170</v>
      </c>
      <c r="S11879" t="s">
        <v>26</v>
      </c>
    </row>
    <row r="11880" spans="1:19" x14ac:dyDescent="0.3">
      <c r="A11880" t="s">
        <v>25190</v>
      </c>
      <c r="B11880" t="s">
        <v>30385</v>
      </c>
      <c r="C11880" t="s">
        <v>30924</v>
      </c>
      <c r="D11880" t="s">
        <v>25211</v>
      </c>
      <c r="E11880" t="s">
        <v>26753</v>
      </c>
      <c r="F11880" t="s">
        <v>26775</v>
      </c>
      <c r="G11880" t="s">
        <v>30386</v>
      </c>
      <c r="H11880" t="s">
        <v>859</v>
      </c>
      <c r="I11880" t="s">
        <v>860</v>
      </c>
      <c r="J11880" t="str">
        <f>"9380013"</f>
        <v>9380013</v>
      </c>
      <c r="K11880">
        <v>2384071331</v>
      </c>
      <c r="M11880" t="s">
        <v>30925</v>
      </c>
      <c r="N11880" t="s">
        <v>30926</v>
      </c>
      <c r="O11880" t="s">
        <v>30389</v>
      </c>
      <c r="P11880">
        <v>58400</v>
      </c>
      <c r="Q11880" t="str">
        <f>"41.026079"</f>
        <v>41.026079</v>
      </c>
      <c r="R11880" t="str">
        <f>"22.078002"</f>
        <v>22.078002</v>
      </c>
      <c r="S11880" t="s">
        <v>26</v>
      </c>
    </row>
    <row r="11881" spans="1:19" x14ac:dyDescent="0.3">
      <c r="A11881" t="s">
        <v>25190</v>
      </c>
      <c r="B11881" t="s">
        <v>30385</v>
      </c>
      <c r="C11881" t="s">
        <v>30927</v>
      </c>
      <c r="D11881" t="s">
        <v>25211</v>
      </c>
      <c r="E11881" t="s">
        <v>26753</v>
      </c>
      <c r="F11881" t="s">
        <v>26775</v>
      </c>
      <c r="G11881" t="s">
        <v>30575</v>
      </c>
      <c r="H11881" t="s">
        <v>859</v>
      </c>
      <c r="I11881" t="s">
        <v>860</v>
      </c>
      <c r="J11881" t="str">
        <f>"9380017"</f>
        <v>9380017</v>
      </c>
      <c r="K11881">
        <v>2384075311</v>
      </c>
      <c r="L11881">
        <v>2384075311</v>
      </c>
      <c r="M11881" t="s">
        <v>30928</v>
      </c>
      <c r="N11881" t="s">
        <v>30929</v>
      </c>
      <c r="O11881" t="s">
        <v>30578</v>
      </c>
      <c r="P11881">
        <v>58400</v>
      </c>
      <c r="Q11881" t="str">
        <f>"40.971518"</f>
        <v>40.971518</v>
      </c>
      <c r="R11881" t="str">
        <f>"22.058672"</f>
        <v>22.058672</v>
      </c>
      <c r="S11881" t="s">
        <v>26</v>
      </c>
    </row>
    <row r="11882" spans="1:19" x14ac:dyDescent="0.3">
      <c r="A11882" t="s">
        <v>25190</v>
      </c>
      <c r="B11882" t="s">
        <v>30385</v>
      </c>
      <c r="C11882" t="s">
        <v>30930</v>
      </c>
      <c r="D11882" t="s">
        <v>25211</v>
      </c>
      <c r="E11882" t="s">
        <v>26753</v>
      </c>
      <c r="F11882" t="s">
        <v>26754</v>
      </c>
      <c r="G11882" t="s">
        <v>26754</v>
      </c>
      <c r="H11882" t="s">
        <v>859</v>
      </c>
      <c r="I11882" t="s">
        <v>860</v>
      </c>
      <c r="J11882" t="str">
        <f>"9380023"</f>
        <v>9380023</v>
      </c>
      <c r="K11882">
        <v>2384041254</v>
      </c>
      <c r="L11882">
        <v>2384041254</v>
      </c>
      <c r="M11882" t="s">
        <v>30931</v>
      </c>
      <c r="N11882" t="s">
        <v>26754</v>
      </c>
      <c r="O11882" t="s">
        <v>26757</v>
      </c>
      <c r="P11882">
        <v>58004</v>
      </c>
      <c r="Q11882" t="str">
        <f>"40.978399"</f>
        <v>40.978399</v>
      </c>
      <c r="R11882" t="str">
        <f>"22.128464"</f>
        <v>22.128464</v>
      </c>
      <c r="S11882" t="s">
        <v>26</v>
      </c>
    </row>
    <row r="11883" spans="1:19" x14ac:dyDescent="0.3">
      <c r="A11883" t="s">
        <v>25190</v>
      </c>
      <c r="B11883" t="s">
        <v>30385</v>
      </c>
      <c r="C11883" t="s">
        <v>30932</v>
      </c>
      <c r="D11883" t="s">
        <v>25211</v>
      </c>
      <c r="E11883" t="s">
        <v>26753</v>
      </c>
      <c r="F11883" t="s">
        <v>26754</v>
      </c>
      <c r="G11883" t="s">
        <v>30568</v>
      </c>
      <c r="H11883" t="s">
        <v>859</v>
      </c>
      <c r="I11883" t="s">
        <v>860</v>
      </c>
      <c r="J11883" t="str">
        <f>"9380025"</f>
        <v>9380025</v>
      </c>
      <c r="K11883">
        <v>2384024276</v>
      </c>
      <c r="M11883" t="s">
        <v>30933</v>
      </c>
      <c r="N11883" t="s">
        <v>30934</v>
      </c>
      <c r="O11883" t="s">
        <v>30571</v>
      </c>
      <c r="P11883">
        <v>58400</v>
      </c>
      <c r="Q11883" t="str">
        <f>"40.948111"</f>
        <v>40.948111</v>
      </c>
      <c r="R11883" t="str">
        <f>"22.188995"</f>
        <v>22.188995</v>
      </c>
      <c r="S11883" t="s">
        <v>26</v>
      </c>
    </row>
    <row r="11884" spans="1:19" x14ac:dyDescent="0.3">
      <c r="A11884" t="s">
        <v>25190</v>
      </c>
      <c r="B11884" t="s">
        <v>30385</v>
      </c>
      <c r="C11884" t="s">
        <v>30936</v>
      </c>
      <c r="D11884" t="s">
        <v>25211</v>
      </c>
      <c r="E11884" t="s">
        <v>26753</v>
      </c>
      <c r="F11884" t="s">
        <v>26754</v>
      </c>
      <c r="G11884" t="s">
        <v>30935</v>
      </c>
      <c r="H11884" t="s">
        <v>859</v>
      </c>
      <c r="I11884" t="s">
        <v>860</v>
      </c>
      <c r="J11884" t="str">
        <f>"9380029"</f>
        <v>9380029</v>
      </c>
      <c r="K11884">
        <v>2384051157</v>
      </c>
      <c r="M11884" t="s">
        <v>30937</v>
      </c>
      <c r="N11884" t="s">
        <v>30938</v>
      </c>
      <c r="O11884" t="s">
        <v>30939</v>
      </c>
      <c r="P11884">
        <v>58400</v>
      </c>
      <c r="Q11884" t="str">
        <f>"41.011901"</f>
        <v>41.011901</v>
      </c>
      <c r="R11884" t="str">
        <f>"22.180131"</f>
        <v>22.180131</v>
      </c>
      <c r="S11884" t="s">
        <v>26</v>
      </c>
    </row>
    <row r="11885" spans="1:19" x14ac:dyDescent="0.3">
      <c r="A11885" t="s">
        <v>25190</v>
      </c>
      <c r="B11885" t="s">
        <v>30385</v>
      </c>
      <c r="C11885" t="s">
        <v>30940</v>
      </c>
      <c r="D11885" t="s">
        <v>25211</v>
      </c>
      <c r="E11885" t="s">
        <v>26753</v>
      </c>
      <c r="F11885" t="s">
        <v>26754</v>
      </c>
      <c r="G11885" t="s">
        <v>30614</v>
      </c>
      <c r="H11885" t="s">
        <v>859</v>
      </c>
      <c r="I11885" t="s">
        <v>860</v>
      </c>
      <c r="J11885" t="str">
        <f>"9380030"</f>
        <v>9380030</v>
      </c>
      <c r="K11885">
        <v>2384051126</v>
      </c>
      <c r="M11885" t="s">
        <v>30941</v>
      </c>
      <c r="N11885" t="s">
        <v>30942</v>
      </c>
      <c r="O11885" t="s">
        <v>30617</v>
      </c>
      <c r="P11885">
        <v>58400</v>
      </c>
      <c r="Q11885" t="str">
        <f>"40.999234"</f>
        <v>40.999234</v>
      </c>
      <c r="R11885" t="str">
        <f>"22.171257"</f>
        <v>22.171257</v>
      </c>
      <c r="S11885" t="s">
        <v>26</v>
      </c>
    </row>
    <row r="11886" spans="1:19" x14ac:dyDescent="0.3">
      <c r="A11886" t="s">
        <v>25190</v>
      </c>
      <c r="B11886" t="s">
        <v>30385</v>
      </c>
      <c r="C11886" t="s">
        <v>30943</v>
      </c>
      <c r="D11886" t="s">
        <v>25211</v>
      </c>
      <c r="E11886" t="s">
        <v>26753</v>
      </c>
      <c r="F11886" t="s">
        <v>26775</v>
      </c>
      <c r="G11886" t="s">
        <v>30854</v>
      </c>
      <c r="H11886" t="s">
        <v>859</v>
      </c>
      <c r="I11886" t="s">
        <v>860</v>
      </c>
      <c r="J11886" t="str">
        <f>"9380033"</f>
        <v>9380033</v>
      </c>
      <c r="K11886">
        <v>2384091058</v>
      </c>
      <c r="M11886" t="s">
        <v>30944</v>
      </c>
      <c r="N11886" t="s">
        <v>30945</v>
      </c>
      <c r="O11886" t="s">
        <v>30857</v>
      </c>
      <c r="P11886">
        <v>58400</v>
      </c>
      <c r="Q11886" t="str">
        <f>"40.968559"</f>
        <v>40.968559</v>
      </c>
      <c r="R11886" t="str">
        <f>"21.945394"</f>
        <v>21.945394</v>
      </c>
      <c r="S11886" t="s">
        <v>26</v>
      </c>
    </row>
    <row r="11887" spans="1:19" x14ac:dyDescent="0.3">
      <c r="A11887" t="s">
        <v>25190</v>
      </c>
      <c r="B11887" t="s">
        <v>30385</v>
      </c>
      <c r="C11887" t="s">
        <v>30947</v>
      </c>
      <c r="D11887" t="s">
        <v>25211</v>
      </c>
      <c r="E11887" t="s">
        <v>26753</v>
      </c>
      <c r="F11887" t="s">
        <v>26775</v>
      </c>
      <c r="G11887" t="s">
        <v>30946</v>
      </c>
      <c r="H11887" t="s">
        <v>859</v>
      </c>
      <c r="I11887" t="s">
        <v>860</v>
      </c>
      <c r="J11887" t="str">
        <f>"9380194"</f>
        <v>9380194</v>
      </c>
      <c r="K11887">
        <v>2384094596</v>
      </c>
      <c r="L11887">
        <v>2384094596</v>
      </c>
      <c r="M11887" t="s">
        <v>30948</v>
      </c>
      <c r="N11887" t="s">
        <v>30949</v>
      </c>
      <c r="O11887" t="s">
        <v>30950</v>
      </c>
      <c r="P11887">
        <v>58400</v>
      </c>
      <c r="Q11887" t="str">
        <f>"40.942090"</f>
        <v>40.942090</v>
      </c>
      <c r="R11887" t="str">
        <f>"21.973013"</f>
        <v>21.973013</v>
      </c>
      <c r="S11887" t="s">
        <v>26</v>
      </c>
    </row>
    <row r="11888" spans="1:19" x14ac:dyDescent="0.3">
      <c r="A11888" t="s">
        <v>25190</v>
      </c>
      <c r="B11888" t="s">
        <v>30385</v>
      </c>
      <c r="C11888" t="s">
        <v>30987</v>
      </c>
      <c r="D11888" t="s">
        <v>25211</v>
      </c>
      <c r="E11888" t="s">
        <v>26760</v>
      </c>
      <c r="F11888" t="s">
        <v>26760</v>
      </c>
      <c r="G11888" t="s">
        <v>30986</v>
      </c>
      <c r="H11888" t="s">
        <v>859</v>
      </c>
      <c r="I11888" t="s">
        <v>860</v>
      </c>
      <c r="J11888" t="str">
        <f>"9380165"</f>
        <v>9380165</v>
      </c>
      <c r="K11888">
        <v>2381089399</v>
      </c>
      <c r="M11888" t="s">
        <v>30988</v>
      </c>
      <c r="N11888" t="s">
        <v>30989</v>
      </c>
      <c r="O11888" t="s">
        <v>30989</v>
      </c>
      <c r="P11888">
        <v>58500</v>
      </c>
      <c r="Q11888" t="str">
        <f>"40.781838"</f>
        <v>40.781838</v>
      </c>
      <c r="R11888" t="str">
        <f>"22.154474"</f>
        <v>22.154474</v>
      </c>
      <c r="S11888" t="s">
        <v>26</v>
      </c>
    </row>
    <row r="11889" spans="1:19" x14ac:dyDescent="0.3">
      <c r="A11889" t="s">
        <v>25190</v>
      </c>
      <c r="B11889" t="s">
        <v>30385</v>
      </c>
      <c r="C11889" t="s">
        <v>30990</v>
      </c>
      <c r="D11889" t="s">
        <v>25211</v>
      </c>
      <c r="E11889" t="s">
        <v>26760</v>
      </c>
      <c r="F11889" t="s">
        <v>26760</v>
      </c>
      <c r="G11889" t="s">
        <v>30982</v>
      </c>
      <c r="H11889" t="s">
        <v>859</v>
      </c>
      <c r="I11889" t="s">
        <v>860</v>
      </c>
      <c r="J11889" t="str">
        <f>"9380249"</f>
        <v>9380249</v>
      </c>
      <c r="K11889">
        <v>2381052135</v>
      </c>
      <c r="M11889" t="s">
        <v>30991</v>
      </c>
      <c r="N11889" t="s">
        <v>30982</v>
      </c>
      <c r="O11889" t="s">
        <v>30985</v>
      </c>
      <c r="P11889">
        <v>58500</v>
      </c>
      <c r="Q11889" t="str">
        <f>"40.759276"</f>
        <v>40.759276</v>
      </c>
      <c r="R11889" t="str">
        <f>"22.179981"</f>
        <v>22.179981</v>
      </c>
      <c r="S11889" t="s">
        <v>26</v>
      </c>
    </row>
    <row r="11890" spans="1:19" x14ac:dyDescent="0.3">
      <c r="A11890" t="s">
        <v>25190</v>
      </c>
      <c r="B11890" t="s">
        <v>30385</v>
      </c>
      <c r="C11890" t="s">
        <v>30993</v>
      </c>
      <c r="D11890" t="s">
        <v>25211</v>
      </c>
      <c r="E11890" t="s">
        <v>26760</v>
      </c>
      <c r="F11890" t="s">
        <v>26760</v>
      </c>
      <c r="G11890" t="s">
        <v>30992</v>
      </c>
      <c r="H11890" t="s">
        <v>859</v>
      </c>
      <c r="I11890" t="s">
        <v>860</v>
      </c>
      <c r="J11890" t="str">
        <f>"9380270"</f>
        <v>9380270</v>
      </c>
      <c r="K11890">
        <v>2381082149</v>
      </c>
      <c r="M11890" t="s">
        <v>30994</v>
      </c>
      <c r="N11890" t="s">
        <v>30992</v>
      </c>
      <c r="O11890" t="s">
        <v>30995</v>
      </c>
      <c r="P11890">
        <v>58500</v>
      </c>
      <c r="Q11890" t="str">
        <f>"40.768694"</f>
        <v>40.768694</v>
      </c>
      <c r="R11890" t="str">
        <f>"22.122836"</f>
        <v>22.122836</v>
      </c>
      <c r="S11890" t="s">
        <v>26</v>
      </c>
    </row>
    <row r="11891" spans="1:19" x14ac:dyDescent="0.3">
      <c r="A11891" t="s">
        <v>25190</v>
      </c>
      <c r="B11891" t="s">
        <v>30385</v>
      </c>
      <c r="C11891" t="s">
        <v>30996</v>
      </c>
      <c r="D11891" t="s">
        <v>25211</v>
      </c>
      <c r="E11891" t="s">
        <v>25212</v>
      </c>
      <c r="F11891" t="s">
        <v>25212</v>
      </c>
      <c r="G11891" t="s">
        <v>25213</v>
      </c>
      <c r="H11891" t="s">
        <v>859</v>
      </c>
      <c r="I11891" t="s">
        <v>860</v>
      </c>
      <c r="J11891" t="str">
        <f>"9380308"</f>
        <v>9380308</v>
      </c>
      <c r="K11891">
        <v>2381022675</v>
      </c>
      <c r="M11891" t="s">
        <v>30997</v>
      </c>
      <c r="N11891" t="s">
        <v>30998</v>
      </c>
      <c r="O11891" t="s">
        <v>30999</v>
      </c>
      <c r="P11891">
        <v>58200</v>
      </c>
      <c r="Q11891" t="str">
        <f>"40.814110"</f>
        <v>40.814110</v>
      </c>
      <c r="R11891" t="str">
        <f>"22.064315"</f>
        <v>22.064315</v>
      </c>
      <c r="S11891" t="s">
        <v>26</v>
      </c>
    </row>
    <row r="11892" spans="1:19" x14ac:dyDescent="0.3">
      <c r="A11892" t="s">
        <v>25190</v>
      </c>
      <c r="B11892" t="s">
        <v>30385</v>
      </c>
      <c r="C11892" t="s">
        <v>31000</v>
      </c>
      <c r="D11892" t="s">
        <v>25211</v>
      </c>
      <c r="E11892" t="s">
        <v>26760</v>
      </c>
      <c r="F11892" t="s">
        <v>26760</v>
      </c>
      <c r="G11892" t="s">
        <v>2920</v>
      </c>
      <c r="H11892" t="s">
        <v>859</v>
      </c>
      <c r="I11892" t="s">
        <v>860</v>
      </c>
      <c r="J11892" t="str">
        <f>"9380138"</f>
        <v>9380138</v>
      </c>
      <c r="K11892">
        <v>2381061946</v>
      </c>
      <c r="L11892">
        <v>2381061946</v>
      </c>
      <c r="M11892" t="s">
        <v>31001</v>
      </c>
      <c r="N11892" t="s">
        <v>2920</v>
      </c>
      <c r="O11892" t="s">
        <v>2921</v>
      </c>
      <c r="P11892">
        <v>58500</v>
      </c>
      <c r="Q11892" t="str">
        <f>"40.756482"</f>
        <v>40.756482</v>
      </c>
      <c r="R11892" t="str">
        <f>"22.215400"</f>
        <v>22.215400</v>
      </c>
      <c r="S11892" t="s">
        <v>26</v>
      </c>
    </row>
    <row r="11893" spans="1:19" x14ac:dyDescent="0.3">
      <c r="A11893" t="s">
        <v>25190</v>
      </c>
      <c r="B11893" t="s">
        <v>30385</v>
      </c>
      <c r="C11893" t="s">
        <v>31002</v>
      </c>
      <c r="D11893" t="s">
        <v>25211</v>
      </c>
      <c r="E11893" t="s">
        <v>25212</v>
      </c>
      <c r="F11893" t="s">
        <v>25212</v>
      </c>
      <c r="G11893" t="s">
        <v>30859</v>
      </c>
      <c r="H11893" t="s">
        <v>859</v>
      </c>
      <c r="I11893" t="s">
        <v>860</v>
      </c>
      <c r="J11893" t="str">
        <f>"9380321"</f>
        <v>9380321</v>
      </c>
      <c r="K11893">
        <v>2381092776</v>
      </c>
      <c r="L11893">
        <v>2381092776</v>
      </c>
      <c r="M11893" t="s">
        <v>31003</v>
      </c>
      <c r="N11893" t="s">
        <v>31004</v>
      </c>
      <c r="O11893" t="s">
        <v>3008</v>
      </c>
      <c r="P11893">
        <v>58200</v>
      </c>
      <c r="Q11893" t="str">
        <f>"40.876703"</f>
        <v>40.876703</v>
      </c>
      <c r="R11893" t="str">
        <f>"21.962599"</f>
        <v>21.962599</v>
      </c>
      <c r="S11893" t="s">
        <v>26</v>
      </c>
    </row>
    <row r="11894" spans="1:19" x14ac:dyDescent="0.3">
      <c r="A11894" t="s">
        <v>25190</v>
      </c>
      <c r="B11894" t="s">
        <v>30385</v>
      </c>
      <c r="C11894" t="s">
        <v>31005</v>
      </c>
      <c r="D11894" t="s">
        <v>25211</v>
      </c>
      <c r="E11894" t="s">
        <v>25212</v>
      </c>
      <c r="F11894" t="s">
        <v>26815</v>
      </c>
      <c r="G11894" t="s">
        <v>25664</v>
      </c>
      <c r="H11894" t="s">
        <v>859</v>
      </c>
      <c r="I11894" t="s">
        <v>860</v>
      </c>
      <c r="J11894" t="str">
        <f>"9380169"</f>
        <v>9380169</v>
      </c>
      <c r="K11894">
        <v>2381033234</v>
      </c>
      <c r="L11894">
        <v>2381033258</v>
      </c>
      <c r="M11894" t="s">
        <v>31006</v>
      </c>
      <c r="N11894" t="s">
        <v>25664</v>
      </c>
      <c r="O11894" t="s">
        <v>25664</v>
      </c>
      <c r="P11894">
        <v>58002</v>
      </c>
      <c r="Q11894" t="str">
        <f>"40.738385"</f>
        <v>40.738385</v>
      </c>
      <c r="R11894" t="str">
        <f>"21.823459"</f>
        <v>21.823459</v>
      </c>
      <c r="S11894" t="s">
        <v>26</v>
      </c>
    </row>
    <row r="11895" spans="1:19" x14ac:dyDescent="0.3">
      <c r="A11895" t="s">
        <v>25190</v>
      </c>
      <c r="B11895" t="s">
        <v>30385</v>
      </c>
      <c r="C11895" t="s">
        <v>31007</v>
      </c>
      <c r="D11895" t="s">
        <v>25211</v>
      </c>
      <c r="E11895" t="s">
        <v>25212</v>
      </c>
      <c r="F11895" t="s">
        <v>26815</v>
      </c>
      <c r="G11895" t="s">
        <v>8133</v>
      </c>
      <c r="H11895" t="s">
        <v>859</v>
      </c>
      <c r="I11895" t="s">
        <v>860</v>
      </c>
      <c r="J11895" t="str">
        <f>"9380162"</f>
        <v>9380162</v>
      </c>
      <c r="K11895">
        <v>2381031145</v>
      </c>
      <c r="L11895">
        <v>2381031145</v>
      </c>
      <c r="M11895" t="s">
        <v>31008</v>
      </c>
      <c r="N11895" t="s">
        <v>31009</v>
      </c>
      <c r="O11895" t="s">
        <v>31010</v>
      </c>
      <c r="P11895">
        <v>58002</v>
      </c>
      <c r="Q11895" t="str">
        <f>"40.707508"</f>
        <v>40.707508</v>
      </c>
      <c r="R11895" t="str">
        <f>"21.891209"</f>
        <v>21.891209</v>
      </c>
      <c r="S11895" t="s">
        <v>26</v>
      </c>
    </row>
    <row r="11896" spans="1:19" x14ac:dyDescent="0.3">
      <c r="A11896" t="s">
        <v>25190</v>
      </c>
      <c r="B11896" t="s">
        <v>30385</v>
      </c>
      <c r="C11896" t="s">
        <v>31030</v>
      </c>
      <c r="D11896" t="s">
        <v>25211</v>
      </c>
      <c r="E11896" t="s">
        <v>25212</v>
      </c>
      <c r="F11896" t="s">
        <v>25212</v>
      </c>
      <c r="G11896" t="s">
        <v>30621</v>
      </c>
      <c r="H11896" t="s">
        <v>859</v>
      </c>
      <c r="I11896" t="s">
        <v>860</v>
      </c>
      <c r="J11896" t="str">
        <f>"9380317"</f>
        <v>9380317</v>
      </c>
      <c r="K11896">
        <v>2381099296</v>
      </c>
      <c r="M11896" t="s">
        <v>31031</v>
      </c>
      <c r="N11896" t="s">
        <v>31032</v>
      </c>
      <c r="O11896" t="s">
        <v>31024</v>
      </c>
      <c r="P11896">
        <v>58200</v>
      </c>
      <c r="Q11896" t="str">
        <f>"40.713451"</f>
        <v>40.713451</v>
      </c>
      <c r="R11896" t="str">
        <f>"22.000941"</f>
        <v>22.000941</v>
      </c>
      <c r="S11896" t="s">
        <v>26</v>
      </c>
    </row>
    <row r="11897" spans="1:19" x14ac:dyDescent="0.3">
      <c r="A11897" t="s">
        <v>25190</v>
      </c>
      <c r="B11897" t="s">
        <v>30385</v>
      </c>
      <c r="C11897" t="s">
        <v>31048</v>
      </c>
      <c r="D11897" t="s">
        <v>25211</v>
      </c>
      <c r="E11897" t="s">
        <v>26760</v>
      </c>
      <c r="F11897" t="s">
        <v>26785</v>
      </c>
      <c r="G11897" t="s">
        <v>31014</v>
      </c>
      <c r="H11897" t="s">
        <v>859</v>
      </c>
      <c r="I11897" t="s">
        <v>860</v>
      </c>
      <c r="J11897" t="str">
        <f>"9380258"</f>
        <v>9380258</v>
      </c>
      <c r="K11897">
        <v>2381041860</v>
      </c>
      <c r="M11897" t="s">
        <v>31049</v>
      </c>
      <c r="N11897" t="s">
        <v>20619</v>
      </c>
      <c r="O11897" t="s">
        <v>31050</v>
      </c>
      <c r="P11897">
        <v>58500</v>
      </c>
      <c r="Q11897" t="str">
        <f>"40.813027"</f>
        <v>40.813027</v>
      </c>
      <c r="R11897" t="str">
        <f>"22.161399"</f>
        <v>22.161399</v>
      </c>
      <c r="S11897" t="s">
        <v>26</v>
      </c>
    </row>
    <row r="11898" spans="1:19" x14ac:dyDescent="0.3">
      <c r="A11898" t="s">
        <v>25190</v>
      </c>
      <c r="B11898" t="s">
        <v>30385</v>
      </c>
      <c r="C11898" t="s">
        <v>31054</v>
      </c>
      <c r="D11898" t="s">
        <v>25211</v>
      </c>
      <c r="E11898" t="s">
        <v>25212</v>
      </c>
      <c r="F11898" t="s">
        <v>25212</v>
      </c>
      <c r="G11898" t="s">
        <v>25213</v>
      </c>
      <c r="H11898" t="s">
        <v>859</v>
      </c>
      <c r="I11898" t="s">
        <v>860</v>
      </c>
      <c r="J11898" t="str">
        <f>"9380229"</f>
        <v>9380229</v>
      </c>
      <c r="K11898">
        <v>2381025539</v>
      </c>
      <c r="M11898" t="s">
        <v>31055</v>
      </c>
      <c r="N11898" t="s">
        <v>25212</v>
      </c>
      <c r="O11898" t="s">
        <v>31056</v>
      </c>
      <c r="P11898">
        <v>58200</v>
      </c>
      <c r="Q11898" t="str">
        <f>"40.800697"</f>
        <v>40.800697</v>
      </c>
      <c r="R11898" t="str">
        <f>"22.040092"</f>
        <v>22.040092</v>
      </c>
      <c r="S11898" t="s">
        <v>26</v>
      </c>
    </row>
    <row r="11899" spans="1:19" x14ac:dyDescent="0.3">
      <c r="A11899" t="s">
        <v>25190</v>
      </c>
      <c r="B11899" t="s">
        <v>30385</v>
      </c>
      <c r="C11899" t="s">
        <v>31057</v>
      </c>
      <c r="D11899" t="s">
        <v>25211</v>
      </c>
      <c r="E11899" t="s">
        <v>25212</v>
      </c>
      <c r="F11899" t="s">
        <v>25212</v>
      </c>
      <c r="G11899" t="s">
        <v>25213</v>
      </c>
      <c r="H11899" t="s">
        <v>859</v>
      </c>
      <c r="I11899" t="s">
        <v>860</v>
      </c>
      <c r="J11899" t="str">
        <f>"9380281"</f>
        <v>9380281</v>
      </c>
      <c r="K11899">
        <v>2381022111</v>
      </c>
      <c r="M11899" t="s">
        <v>31058</v>
      </c>
      <c r="N11899" t="s">
        <v>25212</v>
      </c>
      <c r="O11899" t="s">
        <v>31059</v>
      </c>
      <c r="P11899">
        <v>58200</v>
      </c>
      <c r="Q11899" t="str">
        <f>"40.807321"</f>
        <v>40.807321</v>
      </c>
      <c r="R11899" t="str">
        <f>"22.049986"</f>
        <v>22.049986</v>
      </c>
      <c r="S11899" t="s">
        <v>26</v>
      </c>
    </row>
    <row r="11900" spans="1:19" x14ac:dyDescent="0.3">
      <c r="A11900" t="s">
        <v>25190</v>
      </c>
      <c r="B11900" t="s">
        <v>30385</v>
      </c>
      <c r="C11900" t="s">
        <v>31060</v>
      </c>
      <c r="D11900" t="s">
        <v>25211</v>
      </c>
      <c r="E11900" t="s">
        <v>25212</v>
      </c>
      <c r="F11900" t="s">
        <v>26815</v>
      </c>
      <c r="G11900" t="s">
        <v>60</v>
      </c>
      <c r="H11900" t="s">
        <v>859</v>
      </c>
      <c r="I11900" t="s">
        <v>860</v>
      </c>
      <c r="J11900" t="str">
        <f>"9380234"</f>
        <v>9380234</v>
      </c>
      <c r="K11900">
        <v>2381031850</v>
      </c>
      <c r="L11900">
        <v>2381031053</v>
      </c>
      <c r="M11900" t="s">
        <v>31061</v>
      </c>
      <c r="N11900" t="s">
        <v>31062</v>
      </c>
      <c r="O11900" t="s">
        <v>31063</v>
      </c>
      <c r="P11900">
        <v>58002</v>
      </c>
      <c r="Q11900" t="str">
        <f>"40.833429"</f>
        <v>40.833429</v>
      </c>
      <c r="R11900" t="str">
        <f>"21.795138"</f>
        <v>21.795138</v>
      </c>
      <c r="S11900" t="s">
        <v>26</v>
      </c>
    </row>
    <row r="11901" spans="1:19" x14ac:dyDescent="0.3">
      <c r="A11901" t="s">
        <v>25190</v>
      </c>
      <c r="B11901" t="s">
        <v>30385</v>
      </c>
      <c r="C11901" t="s">
        <v>31064</v>
      </c>
      <c r="D11901" t="s">
        <v>25211</v>
      </c>
      <c r="E11901" t="s">
        <v>26760</v>
      </c>
      <c r="F11901" t="s">
        <v>26760</v>
      </c>
      <c r="G11901" t="s">
        <v>26912</v>
      </c>
      <c r="H11901" t="s">
        <v>859</v>
      </c>
      <c r="I11901" t="s">
        <v>860</v>
      </c>
      <c r="J11901" t="str">
        <f>"9380171"</f>
        <v>9380171</v>
      </c>
      <c r="K11901">
        <v>2381072411</v>
      </c>
      <c r="M11901" t="s">
        <v>31065</v>
      </c>
      <c r="N11901" t="s">
        <v>31066</v>
      </c>
      <c r="O11901" t="s">
        <v>30708</v>
      </c>
      <c r="P11901">
        <v>58500</v>
      </c>
      <c r="Q11901" t="str">
        <f>"40.723476"</f>
        <v>40.723476</v>
      </c>
      <c r="R11901" t="str">
        <f>"22.109819"</f>
        <v>22.109819</v>
      </c>
      <c r="S11901" t="s">
        <v>26</v>
      </c>
    </row>
    <row r="11902" spans="1:19" x14ac:dyDescent="0.3">
      <c r="A11902" t="s">
        <v>25190</v>
      </c>
      <c r="B11902" t="s">
        <v>30385</v>
      </c>
      <c r="C11902" t="s">
        <v>31067</v>
      </c>
      <c r="D11902" t="s">
        <v>25211</v>
      </c>
      <c r="E11902" t="s">
        <v>25211</v>
      </c>
      <c r="F11902" t="s">
        <v>26733</v>
      </c>
      <c r="G11902" t="s">
        <v>30765</v>
      </c>
      <c r="H11902" t="s">
        <v>859</v>
      </c>
      <c r="I11902" t="s">
        <v>860</v>
      </c>
      <c r="J11902" t="str">
        <f>"9380223"</f>
        <v>9380223</v>
      </c>
      <c r="K11902">
        <v>2381097642</v>
      </c>
      <c r="L11902">
        <v>2381097642</v>
      </c>
      <c r="M11902" t="s">
        <v>31068</v>
      </c>
      <c r="N11902" t="s">
        <v>30765</v>
      </c>
      <c r="O11902" t="s">
        <v>30768</v>
      </c>
      <c r="P11902">
        <v>58500</v>
      </c>
      <c r="Q11902" t="str">
        <f>"40.856530"</f>
        <v>40.856530</v>
      </c>
      <c r="R11902" t="str">
        <f>"22.244076"</f>
        <v>22.244076</v>
      </c>
      <c r="S11902" t="s">
        <v>26</v>
      </c>
    </row>
    <row r="11903" spans="1:19" x14ac:dyDescent="0.3">
      <c r="A11903" t="s">
        <v>25190</v>
      </c>
      <c r="B11903" t="s">
        <v>30385</v>
      </c>
      <c r="C11903" t="s">
        <v>31075</v>
      </c>
      <c r="D11903" t="s">
        <v>25211</v>
      </c>
      <c r="E11903" t="s">
        <v>25211</v>
      </c>
      <c r="F11903" t="s">
        <v>26731</v>
      </c>
      <c r="G11903" t="s">
        <v>26731</v>
      </c>
      <c r="H11903" t="s">
        <v>859</v>
      </c>
      <c r="I11903" t="s">
        <v>860</v>
      </c>
      <c r="J11903" t="str">
        <f>"9521468"</f>
        <v>9521468</v>
      </c>
      <c r="K11903">
        <v>2382082564</v>
      </c>
      <c r="L11903">
        <v>2382082564</v>
      </c>
      <c r="M11903" t="s">
        <v>31076</v>
      </c>
      <c r="N11903" t="s">
        <v>26772</v>
      </c>
      <c r="O11903" t="s">
        <v>31077</v>
      </c>
      <c r="P11903">
        <v>58100</v>
      </c>
      <c r="Q11903" t="str">
        <f>"40.794359"</f>
        <v>40.794359</v>
      </c>
      <c r="R11903" t="str">
        <f>"22.414448"</f>
        <v>22.414448</v>
      </c>
      <c r="S11903" t="s">
        <v>26</v>
      </c>
    </row>
    <row r="11904" spans="1:19" x14ac:dyDescent="0.3">
      <c r="A11904" t="s">
        <v>25190</v>
      </c>
      <c r="B11904" t="s">
        <v>30385</v>
      </c>
      <c r="C11904" t="s">
        <v>31081</v>
      </c>
      <c r="D11904" t="s">
        <v>25211</v>
      </c>
      <c r="E11904" t="s">
        <v>25212</v>
      </c>
      <c r="F11904" t="s">
        <v>25212</v>
      </c>
      <c r="G11904" t="s">
        <v>25758</v>
      </c>
      <c r="H11904" t="s">
        <v>859</v>
      </c>
      <c r="I11904" t="s">
        <v>860</v>
      </c>
      <c r="J11904" t="str">
        <f>"9380167"</f>
        <v>9380167</v>
      </c>
      <c r="K11904">
        <v>2381026143</v>
      </c>
      <c r="L11904">
        <v>2381022676</v>
      </c>
      <c r="M11904" t="s">
        <v>31082</v>
      </c>
      <c r="N11904" t="s">
        <v>25758</v>
      </c>
      <c r="O11904" t="s">
        <v>28042</v>
      </c>
      <c r="P11904">
        <v>58200</v>
      </c>
      <c r="Q11904" t="str">
        <f>"40.791735"</f>
        <v>40.791735</v>
      </c>
      <c r="R11904" t="str">
        <f>"22.027311"</f>
        <v>22.027311</v>
      </c>
      <c r="S11904" t="s">
        <v>26</v>
      </c>
    </row>
    <row r="11905" spans="1:19" x14ac:dyDescent="0.3">
      <c r="A11905" t="s">
        <v>25190</v>
      </c>
      <c r="B11905" t="s">
        <v>30385</v>
      </c>
      <c r="C11905" t="s">
        <v>31083</v>
      </c>
      <c r="D11905" t="s">
        <v>25211</v>
      </c>
      <c r="E11905" t="s">
        <v>25212</v>
      </c>
      <c r="F11905" t="s">
        <v>25212</v>
      </c>
      <c r="G11905" t="s">
        <v>29890</v>
      </c>
      <c r="H11905" t="s">
        <v>859</v>
      </c>
      <c r="I11905" t="s">
        <v>860</v>
      </c>
      <c r="J11905" t="str">
        <f>"9380252"</f>
        <v>9380252</v>
      </c>
      <c r="K11905">
        <v>2381092860</v>
      </c>
      <c r="L11905">
        <v>2381092860</v>
      </c>
      <c r="M11905" t="s">
        <v>31084</v>
      </c>
      <c r="N11905" t="s">
        <v>29890</v>
      </c>
      <c r="O11905" t="s">
        <v>29927</v>
      </c>
      <c r="P11905">
        <v>58200</v>
      </c>
      <c r="Q11905" t="str">
        <f>"40.821746"</f>
        <v>40.821746</v>
      </c>
      <c r="R11905" t="str">
        <f>"21.933915"</f>
        <v>21.933915</v>
      </c>
      <c r="S11905" t="s">
        <v>26</v>
      </c>
    </row>
    <row r="11906" spans="1:19" x14ac:dyDescent="0.3">
      <c r="A11906" t="s">
        <v>25190</v>
      </c>
      <c r="B11906" t="s">
        <v>30385</v>
      </c>
      <c r="C11906" t="s">
        <v>31085</v>
      </c>
      <c r="D11906" t="s">
        <v>25211</v>
      </c>
      <c r="E11906" t="s">
        <v>25212</v>
      </c>
      <c r="F11906" t="s">
        <v>25212</v>
      </c>
      <c r="G11906" t="s">
        <v>23583</v>
      </c>
      <c r="H11906" t="s">
        <v>859</v>
      </c>
      <c r="I11906" t="s">
        <v>860</v>
      </c>
      <c r="J11906" t="str">
        <f>"9380178"</f>
        <v>9380178</v>
      </c>
      <c r="K11906">
        <v>2381091485</v>
      </c>
      <c r="M11906" t="s">
        <v>31086</v>
      </c>
      <c r="N11906" t="s">
        <v>23583</v>
      </c>
      <c r="O11906" t="s">
        <v>30973</v>
      </c>
      <c r="P11906">
        <v>58200</v>
      </c>
      <c r="Q11906" t="str">
        <f>"40.782910"</f>
        <v>40.782910</v>
      </c>
      <c r="R11906" t="str">
        <f>"22.089620"</f>
        <v>22.089620</v>
      </c>
      <c r="S11906" t="s">
        <v>26</v>
      </c>
    </row>
    <row r="11907" spans="1:19" x14ac:dyDescent="0.3">
      <c r="A11907" t="s">
        <v>25190</v>
      </c>
      <c r="B11907" t="s">
        <v>30385</v>
      </c>
      <c r="C11907" t="s">
        <v>31087</v>
      </c>
      <c r="D11907" t="s">
        <v>25211</v>
      </c>
      <c r="E11907" t="s">
        <v>26753</v>
      </c>
      <c r="F11907" t="s">
        <v>26775</v>
      </c>
      <c r="G11907" t="s">
        <v>26775</v>
      </c>
      <c r="H11907" t="s">
        <v>859</v>
      </c>
      <c r="I11907" t="s">
        <v>1102</v>
      </c>
      <c r="J11907" t="str">
        <f>"9521073"</f>
        <v>9521073</v>
      </c>
      <c r="N11907" t="s">
        <v>26778</v>
      </c>
      <c r="O11907" t="s">
        <v>31088</v>
      </c>
      <c r="P11907">
        <v>58400</v>
      </c>
      <c r="Q11907" t="str">
        <f>""</f>
        <v/>
      </c>
      <c r="R11907" t="str">
        <f>""</f>
        <v/>
      </c>
      <c r="S11907" t="s">
        <v>26</v>
      </c>
    </row>
    <row r="11908" spans="1:19" x14ac:dyDescent="0.3">
      <c r="A11908" t="s">
        <v>25190</v>
      </c>
      <c r="B11908" t="s">
        <v>30385</v>
      </c>
      <c r="C11908" t="s">
        <v>31089</v>
      </c>
      <c r="D11908" t="s">
        <v>25211</v>
      </c>
      <c r="E11908" t="s">
        <v>25212</v>
      </c>
      <c r="F11908" t="s">
        <v>25212</v>
      </c>
      <c r="G11908" t="s">
        <v>25213</v>
      </c>
      <c r="H11908" t="s">
        <v>859</v>
      </c>
      <c r="I11908" t="s">
        <v>1102</v>
      </c>
      <c r="J11908" t="str">
        <f>"9521072"</f>
        <v>9521072</v>
      </c>
      <c r="K11908">
        <v>2381051118</v>
      </c>
      <c r="M11908" t="s">
        <v>31090</v>
      </c>
      <c r="N11908" t="s">
        <v>25212</v>
      </c>
      <c r="O11908" t="s">
        <v>26910</v>
      </c>
      <c r="P11908">
        <v>58200</v>
      </c>
      <c r="Q11908" t="str">
        <f>"40.803360"</f>
        <v>40.803360</v>
      </c>
      <c r="R11908" t="str">
        <f>"22.047739"</f>
        <v>22.047739</v>
      </c>
      <c r="S11908" t="s">
        <v>26</v>
      </c>
    </row>
    <row r="11909" spans="1:19" x14ac:dyDescent="0.3">
      <c r="A11909" t="s">
        <v>25190</v>
      </c>
      <c r="B11909" t="s">
        <v>30385</v>
      </c>
      <c r="C11909" t="s">
        <v>31095</v>
      </c>
      <c r="D11909" t="s">
        <v>25211</v>
      </c>
      <c r="E11909" t="s">
        <v>25211</v>
      </c>
      <c r="F11909" t="s">
        <v>21739</v>
      </c>
      <c r="G11909" t="s">
        <v>21739</v>
      </c>
      <c r="H11909" t="s">
        <v>859</v>
      </c>
      <c r="I11909" t="s">
        <v>860</v>
      </c>
      <c r="J11909" t="str">
        <f>"9380745"</f>
        <v>9380745</v>
      </c>
      <c r="K11909">
        <v>2382063745</v>
      </c>
      <c r="L11909">
        <v>2382063745</v>
      </c>
      <c r="M11909" t="s">
        <v>31096</v>
      </c>
      <c r="N11909" t="s">
        <v>21742</v>
      </c>
      <c r="O11909" t="s">
        <v>31097</v>
      </c>
      <c r="P11909">
        <v>58300</v>
      </c>
      <c r="Q11909" t="str">
        <f>"40.686959"</f>
        <v>40.686959</v>
      </c>
      <c r="R11909" t="str">
        <f>"22.310732"</f>
        <v>22.310732</v>
      </c>
      <c r="S11909" t="s">
        <v>26</v>
      </c>
    </row>
    <row r="11910" spans="1:19" x14ac:dyDescent="0.3">
      <c r="A11910" t="s">
        <v>25190</v>
      </c>
      <c r="B11910" t="s">
        <v>31098</v>
      </c>
      <c r="C11910" t="s">
        <v>31109</v>
      </c>
      <c r="D11910" t="s">
        <v>25218</v>
      </c>
      <c r="E11910" t="s">
        <v>26941</v>
      </c>
      <c r="F11910" t="s">
        <v>26942</v>
      </c>
      <c r="G11910" t="s">
        <v>31108</v>
      </c>
      <c r="H11910" t="s">
        <v>859</v>
      </c>
      <c r="I11910" t="s">
        <v>860</v>
      </c>
      <c r="J11910" t="str">
        <f>"9390089"</f>
        <v>9390089</v>
      </c>
      <c r="K11910">
        <v>2352091289</v>
      </c>
      <c r="L11910">
        <v>2352091215</v>
      </c>
      <c r="M11910" t="s">
        <v>31110</v>
      </c>
      <c r="N11910" t="s">
        <v>31111</v>
      </c>
      <c r="O11910" t="s">
        <v>31111</v>
      </c>
      <c r="P11910">
        <v>60063</v>
      </c>
      <c r="Q11910" t="str">
        <f>"40.007134"</f>
        <v>40.007134</v>
      </c>
      <c r="R11910" t="str">
        <f>"22.555231"</f>
        <v>22.555231</v>
      </c>
      <c r="S11910" t="s">
        <v>26</v>
      </c>
    </row>
    <row r="11911" spans="1:19" x14ac:dyDescent="0.3">
      <c r="A11911" t="s">
        <v>25190</v>
      </c>
      <c r="B11911" t="s">
        <v>31098</v>
      </c>
      <c r="C11911" t="s">
        <v>31121</v>
      </c>
      <c r="D11911" t="s">
        <v>25218</v>
      </c>
      <c r="E11911" t="s">
        <v>25219</v>
      </c>
      <c r="F11911" t="s">
        <v>31119</v>
      </c>
      <c r="G11911" t="s">
        <v>31120</v>
      </c>
      <c r="H11911" t="s">
        <v>859</v>
      </c>
      <c r="I11911" t="s">
        <v>860</v>
      </c>
      <c r="J11911" t="str">
        <f>"9390151"</f>
        <v>9390151</v>
      </c>
      <c r="K11911">
        <v>2351092200</v>
      </c>
      <c r="M11911" t="s">
        <v>31122</v>
      </c>
      <c r="N11911" t="s">
        <v>31120</v>
      </c>
      <c r="O11911" t="s">
        <v>31123</v>
      </c>
      <c r="P11911">
        <v>60100</v>
      </c>
      <c r="Q11911" t="str">
        <f>"40.315262"</f>
        <v>40.315262</v>
      </c>
      <c r="R11911" t="str">
        <f>"22.465229"</f>
        <v>22.465229</v>
      </c>
      <c r="S11911" t="s">
        <v>26</v>
      </c>
    </row>
    <row r="11912" spans="1:19" x14ac:dyDescent="0.3">
      <c r="A11912" t="s">
        <v>25190</v>
      </c>
      <c r="B11912" t="s">
        <v>31098</v>
      </c>
      <c r="C11912" t="s">
        <v>31125</v>
      </c>
      <c r="D11912" t="s">
        <v>25218</v>
      </c>
      <c r="E11912" t="s">
        <v>25219</v>
      </c>
      <c r="F11912" t="s">
        <v>27025</v>
      </c>
      <c r="G11912" t="s">
        <v>31124</v>
      </c>
      <c r="H11912" t="s">
        <v>859</v>
      </c>
      <c r="I11912" t="s">
        <v>860</v>
      </c>
      <c r="J11912" t="str">
        <f>"9390163"</f>
        <v>9390163</v>
      </c>
      <c r="K11912">
        <v>2351082907</v>
      </c>
      <c r="L11912">
        <v>2351082907</v>
      </c>
      <c r="M11912" t="s">
        <v>31126</v>
      </c>
      <c r="N11912" t="s">
        <v>31124</v>
      </c>
      <c r="O11912" t="s">
        <v>31127</v>
      </c>
      <c r="P11912">
        <v>60100</v>
      </c>
      <c r="Q11912" t="str">
        <f>"40.272899"</f>
        <v>40.272899</v>
      </c>
      <c r="R11912" t="str">
        <f>"22.323724"</f>
        <v>22.323724</v>
      </c>
      <c r="S11912" t="s">
        <v>26</v>
      </c>
    </row>
    <row r="11913" spans="1:19" x14ac:dyDescent="0.3">
      <c r="A11913" t="s">
        <v>25190</v>
      </c>
      <c r="B11913" t="s">
        <v>31098</v>
      </c>
      <c r="C11913" t="s">
        <v>31129</v>
      </c>
      <c r="D11913" t="s">
        <v>25218</v>
      </c>
      <c r="E11913" t="s">
        <v>26941</v>
      </c>
      <c r="F11913" t="s">
        <v>26942</v>
      </c>
      <c r="G11913" t="s">
        <v>31128</v>
      </c>
      <c r="H11913" t="s">
        <v>859</v>
      </c>
      <c r="I11913" t="s">
        <v>860</v>
      </c>
      <c r="J11913" t="str">
        <f>"9390171"</f>
        <v>9390171</v>
      </c>
      <c r="K11913">
        <v>2352041924</v>
      </c>
      <c r="M11913" t="s">
        <v>31130</v>
      </c>
      <c r="N11913" t="s">
        <v>31131</v>
      </c>
      <c r="O11913" t="s">
        <v>31132</v>
      </c>
      <c r="P11913">
        <v>60065</v>
      </c>
      <c r="Q11913" t="str">
        <f>"39.976315"</f>
        <v>39.976315</v>
      </c>
      <c r="R11913" t="str">
        <f>"22.649341"</f>
        <v>22.649341</v>
      </c>
      <c r="S11913" t="s">
        <v>26</v>
      </c>
    </row>
    <row r="11914" spans="1:19" x14ac:dyDescent="0.3">
      <c r="A11914" t="s">
        <v>25190</v>
      </c>
      <c r="B11914" t="s">
        <v>31098</v>
      </c>
      <c r="C11914" t="s">
        <v>31133</v>
      </c>
      <c r="D11914" t="s">
        <v>25218</v>
      </c>
      <c r="E11914" t="s">
        <v>26949</v>
      </c>
      <c r="F11914" t="s">
        <v>26955</v>
      </c>
      <c r="G11914" t="s">
        <v>26955</v>
      </c>
      <c r="H11914" t="s">
        <v>859</v>
      </c>
      <c r="I11914" t="s">
        <v>860</v>
      </c>
      <c r="J11914" t="str">
        <f>"9390001"</f>
        <v>9390001</v>
      </c>
      <c r="K11914">
        <v>2353024294</v>
      </c>
      <c r="L11914">
        <v>2353024294</v>
      </c>
      <c r="M11914" t="s">
        <v>31134</v>
      </c>
      <c r="N11914" t="s">
        <v>26955</v>
      </c>
      <c r="O11914" t="s">
        <v>31135</v>
      </c>
      <c r="P11914">
        <v>60300</v>
      </c>
      <c r="Q11914" t="str">
        <f>"40.498819"</f>
        <v>40.498819</v>
      </c>
      <c r="R11914" t="str">
        <f>"22.542957"</f>
        <v>22.542957</v>
      </c>
      <c r="S11914" t="s">
        <v>26</v>
      </c>
    </row>
    <row r="11915" spans="1:19" x14ac:dyDescent="0.3">
      <c r="A11915" t="s">
        <v>25190</v>
      </c>
      <c r="B11915" t="s">
        <v>31098</v>
      </c>
      <c r="C11915" t="s">
        <v>31143</v>
      </c>
      <c r="D11915" t="s">
        <v>25218</v>
      </c>
      <c r="E11915" t="s">
        <v>25219</v>
      </c>
      <c r="F11915" t="s">
        <v>25219</v>
      </c>
      <c r="G11915" t="s">
        <v>25219</v>
      </c>
      <c r="H11915" t="s">
        <v>859</v>
      </c>
      <c r="I11915" t="s">
        <v>860</v>
      </c>
      <c r="J11915" t="str">
        <f>"9390099"</f>
        <v>9390099</v>
      </c>
      <c r="K11915">
        <v>2351035344</v>
      </c>
      <c r="L11915">
        <v>2351023630</v>
      </c>
      <c r="M11915" t="s">
        <v>31144</v>
      </c>
      <c r="N11915" t="s">
        <v>25219</v>
      </c>
      <c r="O11915" t="s">
        <v>11263</v>
      </c>
      <c r="P11915">
        <v>60132</v>
      </c>
      <c r="Q11915" t="str">
        <f>"40.270921"</f>
        <v>40.270921</v>
      </c>
      <c r="R11915" t="str">
        <f>"22.505098"</f>
        <v>22.505098</v>
      </c>
      <c r="S11915" t="s">
        <v>26</v>
      </c>
    </row>
    <row r="11916" spans="1:19" x14ac:dyDescent="0.3">
      <c r="A11916" t="s">
        <v>25190</v>
      </c>
      <c r="B11916" t="s">
        <v>31098</v>
      </c>
      <c r="C11916" t="s">
        <v>31145</v>
      </c>
      <c r="D11916" t="s">
        <v>25218</v>
      </c>
      <c r="E11916" t="s">
        <v>25219</v>
      </c>
      <c r="F11916" t="s">
        <v>25219</v>
      </c>
      <c r="G11916" t="s">
        <v>25219</v>
      </c>
      <c r="H11916" t="s">
        <v>859</v>
      </c>
      <c r="I11916" t="s">
        <v>860</v>
      </c>
      <c r="J11916" t="str">
        <f>"9390182"</f>
        <v>9390182</v>
      </c>
      <c r="K11916">
        <v>2351045559</v>
      </c>
      <c r="L11916">
        <v>2351045582</v>
      </c>
      <c r="M11916" t="s">
        <v>31146</v>
      </c>
      <c r="N11916" t="s">
        <v>25219</v>
      </c>
      <c r="O11916" t="s">
        <v>31147</v>
      </c>
      <c r="P11916">
        <v>60100</v>
      </c>
      <c r="Q11916" t="str">
        <f>"40.265702"</f>
        <v>40.265702</v>
      </c>
      <c r="R11916" t="str">
        <f>"22.519308"</f>
        <v>22.519308</v>
      </c>
      <c r="S11916" t="s">
        <v>26</v>
      </c>
    </row>
    <row r="11917" spans="1:19" x14ac:dyDescent="0.3">
      <c r="A11917" t="s">
        <v>25190</v>
      </c>
      <c r="B11917" t="s">
        <v>31098</v>
      </c>
      <c r="C11917" t="s">
        <v>31149</v>
      </c>
      <c r="D11917" t="s">
        <v>25218</v>
      </c>
      <c r="E11917" t="s">
        <v>25219</v>
      </c>
      <c r="F11917" t="s">
        <v>27077</v>
      </c>
      <c r="G11917" t="s">
        <v>31148</v>
      </c>
      <c r="H11917" t="s">
        <v>859</v>
      </c>
      <c r="I11917" t="s">
        <v>860</v>
      </c>
      <c r="J11917" t="str">
        <f>"9390193"</f>
        <v>9390193</v>
      </c>
      <c r="K11917">
        <v>2351091156</v>
      </c>
      <c r="L11917">
        <v>2351091156</v>
      </c>
      <c r="M11917" t="s">
        <v>31150</v>
      </c>
      <c r="N11917" t="s">
        <v>31151</v>
      </c>
      <c r="O11917" t="s">
        <v>31152</v>
      </c>
      <c r="P11917">
        <v>60150</v>
      </c>
      <c r="Q11917" t="str">
        <f>"40.336132"</f>
        <v>40.336132</v>
      </c>
      <c r="R11917" t="str">
        <f>"22.523213"</f>
        <v>22.523213</v>
      </c>
      <c r="S11917" t="s">
        <v>26</v>
      </c>
    </row>
    <row r="11918" spans="1:19" x14ac:dyDescent="0.3">
      <c r="A11918" t="s">
        <v>25190</v>
      </c>
      <c r="B11918" t="s">
        <v>31098</v>
      </c>
      <c r="C11918" t="s">
        <v>31153</v>
      </c>
      <c r="D11918" t="s">
        <v>25218</v>
      </c>
      <c r="E11918" t="s">
        <v>26941</v>
      </c>
      <c r="F11918" t="s">
        <v>26942</v>
      </c>
      <c r="G11918" t="s">
        <v>26943</v>
      </c>
      <c r="H11918" t="s">
        <v>859</v>
      </c>
      <c r="I11918" t="s">
        <v>860</v>
      </c>
      <c r="J11918" t="str">
        <f>"9390091"</f>
        <v>9390091</v>
      </c>
      <c r="K11918">
        <v>2352041020</v>
      </c>
      <c r="L11918">
        <v>2352041020</v>
      </c>
      <c r="M11918" t="s">
        <v>31154</v>
      </c>
      <c r="N11918" t="s">
        <v>31155</v>
      </c>
      <c r="O11918" t="s">
        <v>31156</v>
      </c>
      <c r="P11918">
        <v>60065</v>
      </c>
      <c r="Q11918" t="str">
        <f>"39.988819"</f>
        <v>39.988819</v>
      </c>
      <c r="R11918" t="str">
        <f>"22.627808"</f>
        <v>22.627808</v>
      </c>
      <c r="S11918" t="s">
        <v>26</v>
      </c>
    </row>
    <row r="11919" spans="1:19" x14ac:dyDescent="0.3">
      <c r="A11919" t="s">
        <v>25190</v>
      </c>
      <c r="B11919" t="s">
        <v>31098</v>
      </c>
      <c r="C11919" t="s">
        <v>31158</v>
      </c>
      <c r="D11919" t="s">
        <v>25218</v>
      </c>
      <c r="E11919" t="s">
        <v>26941</v>
      </c>
      <c r="F11919" t="s">
        <v>26981</v>
      </c>
      <c r="G11919" t="s">
        <v>31157</v>
      </c>
      <c r="H11919" t="s">
        <v>859</v>
      </c>
      <c r="I11919" t="s">
        <v>860</v>
      </c>
      <c r="J11919" t="str">
        <f>"9390078"</f>
        <v>9390078</v>
      </c>
      <c r="K11919">
        <v>2351051156</v>
      </c>
      <c r="L11919">
        <v>2351051156</v>
      </c>
      <c r="M11919" t="s">
        <v>31159</v>
      </c>
      <c r="N11919" t="s">
        <v>31160</v>
      </c>
      <c r="O11919" t="s">
        <v>31160</v>
      </c>
      <c r="P11919">
        <v>60100</v>
      </c>
      <c r="Q11919" t="str">
        <f>"40.230131"</f>
        <v>40.230131</v>
      </c>
      <c r="R11919" t="str">
        <f>"22.500264"</f>
        <v>22.500264</v>
      </c>
      <c r="S11919" t="s">
        <v>26</v>
      </c>
    </row>
    <row r="11920" spans="1:19" x14ac:dyDescent="0.3">
      <c r="A11920" t="s">
        <v>25190</v>
      </c>
      <c r="B11920" t="s">
        <v>31098</v>
      </c>
      <c r="C11920" t="s">
        <v>31164</v>
      </c>
      <c r="D11920" t="s">
        <v>25218</v>
      </c>
      <c r="E11920" t="s">
        <v>25219</v>
      </c>
      <c r="F11920" t="s">
        <v>25219</v>
      </c>
      <c r="G11920" t="s">
        <v>25219</v>
      </c>
      <c r="H11920" t="s">
        <v>859</v>
      </c>
      <c r="I11920" t="s">
        <v>860</v>
      </c>
      <c r="J11920" t="str">
        <f>"9390181"</f>
        <v>9390181</v>
      </c>
      <c r="K11920">
        <v>2351023601</v>
      </c>
      <c r="M11920" t="s">
        <v>31165</v>
      </c>
      <c r="N11920" t="s">
        <v>25219</v>
      </c>
      <c r="O11920" t="s">
        <v>31166</v>
      </c>
      <c r="P11920">
        <v>60100</v>
      </c>
      <c r="Q11920" t="str">
        <f>"40.259954"</f>
        <v>40.259954</v>
      </c>
      <c r="R11920" t="str">
        <f>"22.501821"</f>
        <v>22.501821</v>
      </c>
      <c r="S11920" t="s">
        <v>26</v>
      </c>
    </row>
    <row r="11921" spans="1:19" x14ac:dyDescent="0.3">
      <c r="A11921" t="s">
        <v>25190</v>
      </c>
      <c r="B11921" t="s">
        <v>31098</v>
      </c>
      <c r="C11921" t="s">
        <v>31167</v>
      </c>
      <c r="D11921" t="s">
        <v>25218</v>
      </c>
      <c r="E11921" t="s">
        <v>25219</v>
      </c>
      <c r="F11921" t="s">
        <v>14212</v>
      </c>
      <c r="G11921" t="s">
        <v>5563</v>
      </c>
      <c r="H11921" t="s">
        <v>859</v>
      </c>
      <c r="I11921" t="s">
        <v>860</v>
      </c>
      <c r="J11921" t="str">
        <f>"9390115"</f>
        <v>9390115</v>
      </c>
      <c r="K11921">
        <v>2351061545</v>
      </c>
      <c r="L11921">
        <v>2351061545</v>
      </c>
      <c r="M11921" t="s">
        <v>31168</v>
      </c>
      <c r="N11921" t="s">
        <v>5563</v>
      </c>
      <c r="O11921" t="s">
        <v>31169</v>
      </c>
      <c r="P11921">
        <v>60100</v>
      </c>
      <c r="Q11921" t="str">
        <f>"40.274277"</f>
        <v>40.274277</v>
      </c>
      <c r="R11921" t="str">
        <f>"22.580232"</f>
        <v>22.580232</v>
      </c>
      <c r="S11921" t="s">
        <v>26</v>
      </c>
    </row>
    <row r="11922" spans="1:19" x14ac:dyDescent="0.3">
      <c r="A11922" t="s">
        <v>25190</v>
      </c>
      <c r="B11922" t="s">
        <v>31098</v>
      </c>
      <c r="C11922" t="s">
        <v>31170</v>
      </c>
      <c r="D11922" t="s">
        <v>25218</v>
      </c>
      <c r="E11922" t="s">
        <v>25219</v>
      </c>
      <c r="F11922" t="s">
        <v>25219</v>
      </c>
      <c r="G11922" t="s">
        <v>25219</v>
      </c>
      <c r="H11922" t="s">
        <v>859</v>
      </c>
      <c r="I11922" t="s">
        <v>860</v>
      </c>
      <c r="J11922" t="str">
        <f>"9390007"</f>
        <v>9390007</v>
      </c>
      <c r="K11922">
        <v>2351023720</v>
      </c>
      <c r="L11922">
        <v>2351023660</v>
      </c>
      <c r="M11922" t="s">
        <v>31171</v>
      </c>
      <c r="N11922" t="s">
        <v>26969</v>
      </c>
      <c r="O11922" t="s">
        <v>31172</v>
      </c>
      <c r="P11922">
        <v>60133</v>
      </c>
      <c r="Q11922" t="str">
        <f>"40.276973"</f>
        <v>40.276973</v>
      </c>
      <c r="R11922" t="str">
        <f>"22.502462"</f>
        <v>22.502462</v>
      </c>
      <c r="S11922" t="s">
        <v>26</v>
      </c>
    </row>
    <row r="11923" spans="1:19" x14ac:dyDescent="0.3">
      <c r="A11923" t="s">
        <v>25190</v>
      </c>
      <c r="B11923" t="s">
        <v>31098</v>
      </c>
      <c r="C11923" t="s">
        <v>31173</v>
      </c>
      <c r="D11923" t="s">
        <v>25218</v>
      </c>
      <c r="E11923" t="s">
        <v>25219</v>
      </c>
      <c r="F11923" t="s">
        <v>25219</v>
      </c>
      <c r="G11923" t="s">
        <v>25219</v>
      </c>
      <c r="H11923" t="s">
        <v>859</v>
      </c>
      <c r="I11923" t="s">
        <v>860</v>
      </c>
      <c r="J11923" t="str">
        <f>"9390008"</f>
        <v>9390008</v>
      </c>
      <c r="K11923">
        <v>2351079730</v>
      </c>
      <c r="L11923">
        <v>2351023508</v>
      </c>
      <c r="M11923" t="s">
        <v>31174</v>
      </c>
      <c r="N11923" t="s">
        <v>25219</v>
      </c>
      <c r="O11923" t="s">
        <v>31175</v>
      </c>
      <c r="P11923">
        <v>60100</v>
      </c>
      <c r="Q11923" t="str">
        <f>"40.269712"</f>
        <v>40.269712</v>
      </c>
      <c r="R11923" t="str">
        <f>"22.512466"</f>
        <v>22.512466</v>
      </c>
      <c r="S11923" t="s">
        <v>26</v>
      </c>
    </row>
    <row r="11924" spans="1:19" x14ac:dyDescent="0.3">
      <c r="A11924" t="s">
        <v>25190</v>
      </c>
      <c r="B11924" t="s">
        <v>31098</v>
      </c>
      <c r="C11924" t="s">
        <v>31176</v>
      </c>
      <c r="D11924" t="s">
        <v>25218</v>
      </c>
      <c r="E11924" t="s">
        <v>25219</v>
      </c>
      <c r="F11924" t="s">
        <v>25219</v>
      </c>
      <c r="G11924" t="s">
        <v>25219</v>
      </c>
      <c r="H11924" t="s">
        <v>859</v>
      </c>
      <c r="I11924" t="s">
        <v>860</v>
      </c>
      <c r="J11924" t="str">
        <f>"9390010"</f>
        <v>9390010</v>
      </c>
      <c r="K11924">
        <v>2351034555</v>
      </c>
      <c r="L11924">
        <v>2351034555</v>
      </c>
      <c r="M11924" t="s">
        <v>31177</v>
      </c>
      <c r="N11924" t="s">
        <v>25219</v>
      </c>
      <c r="O11924" t="s">
        <v>31178</v>
      </c>
      <c r="P11924">
        <v>60100</v>
      </c>
      <c r="Q11924" t="str">
        <f>"40.269235"</f>
        <v>40.269235</v>
      </c>
      <c r="R11924" t="str">
        <f>"22.518101"</f>
        <v>22.518101</v>
      </c>
      <c r="S11924" t="s">
        <v>26</v>
      </c>
    </row>
    <row r="11925" spans="1:19" x14ac:dyDescent="0.3">
      <c r="A11925" t="s">
        <v>25190</v>
      </c>
      <c r="B11925" t="s">
        <v>31098</v>
      </c>
      <c r="C11925" t="s">
        <v>31179</v>
      </c>
      <c r="D11925" t="s">
        <v>25218</v>
      </c>
      <c r="E11925" t="s">
        <v>25219</v>
      </c>
      <c r="F11925" t="s">
        <v>25219</v>
      </c>
      <c r="G11925" t="s">
        <v>25219</v>
      </c>
      <c r="H11925" t="s">
        <v>859</v>
      </c>
      <c r="I11925" t="s">
        <v>860</v>
      </c>
      <c r="J11925" t="str">
        <f>"9390146"</f>
        <v>9390146</v>
      </c>
      <c r="K11925">
        <v>2351078552</v>
      </c>
      <c r="L11925">
        <v>2351078552</v>
      </c>
      <c r="M11925" t="s">
        <v>31180</v>
      </c>
      <c r="N11925" t="s">
        <v>25219</v>
      </c>
      <c r="O11925" t="s">
        <v>31181</v>
      </c>
      <c r="P11925">
        <v>60100</v>
      </c>
      <c r="Q11925" t="str">
        <f>"40.264416"</f>
        <v>40.264416</v>
      </c>
      <c r="R11925" t="str">
        <f>"22.510610"</f>
        <v>22.510610</v>
      </c>
      <c r="S11925" t="s">
        <v>26</v>
      </c>
    </row>
    <row r="11926" spans="1:19" x14ac:dyDescent="0.3">
      <c r="A11926" t="s">
        <v>25190</v>
      </c>
      <c r="B11926" t="s">
        <v>31098</v>
      </c>
      <c r="C11926" t="s">
        <v>31182</v>
      </c>
      <c r="D11926" t="s">
        <v>25218</v>
      </c>
      <c r="E11926" t="s">
        <v>26949</v>
      </c>
      <c r="F11926" t="s">
        <v>26955</v>
      </c>
      <c r="G11926" t="s">
        <v>26955</v>
      </c>
      <c r="H11926" t="s">
        <v>859</v>
      </c>
      <c r="I11926" t="s">
        <v>860</v>
      </c>
      <c r="J11926" t="str">
        <f>"9390161"</f>
        <v>9390161</v>
      </c>
      <c r="K11926">
        <v>2353024354</v>
      </c>
      <c r="M11926" t="s">
        <v>31183</v>
      </c>
      <c r="N11926" t="s">
        <v>31184</v>
      </c>
      <c r="O11926" t="s">
        <v>31185</v>
      </c>
      <c r="P11926">
        <v>60300</v>
      </c>
      <c r="Q11926" t="str">
        <f>"40.511641"</f>
        <v>40.511641</v>
      </c>
      <c r="R11926" t="str">
        <f>"22.538675"</f>
        <v>22.538675</v>
      </c>
      <c r="S11926" t="s">
        <v>26</v>
      </c>
    </row>
    <row r="11927" spans="1:19" x14ac:dyDescent="0.3">
      <c r="A11927" t="s">
        <v>25190</v>
      </c>
      <c r="B11927" t="s">
        <v>31098</v>
      </c>
      <c r="C11927" t="s">
        <v>31186</v>
      </c>
      <c r="D11927" t="s">
        <v>25218</v>
      </c>
      <c r="E11927" t="s">
        <v>25219</v>
      </c>
      <c r="F11927" t="s">
        <v>25219</v>
      </c>
      <c r="G11927" t="s">
        <v>25219</v>
      </c>
      <c r="H11927" t="s">
        <v>859</v>
      </c>
      <c r="I11927" t="s">
        <v>860</v>
      </c>
      <c r="J11927" t="str">
        <f>"9390056"</f>
        <v>9390056</v>
      </c>
      <c r="K11927">
        <v>2351030858</v>
      </c>
      <c r="L11927">
        <v>2351046665</v>
      </c>
      <c r="M11927" t="s">
        <v>31187</v>
      </c>
      <c r="N11927" t="s">
        <v>26969</v>
      </c>
      <c r="O11927" t="s">
        <v>31188</v>
      </c>
      <c r="P11927">
        <v>60131</v>
      </c>
      <c r="Q11927" t="str">
        <f>"40.270097"</f>
        <v>40.270097</v>
      </c>
      <c r="R11927" t="str">
        <f>"22.501457"</f>
        <v>22.501457</v>
      </c>
      <c r="S11927" t="s">
        <v>26</v>
      </c>
    </row>
    <row r="11928" spans="1:19" x14ac:dyDescent="0.3">
      <c r="A11928" t="s">
        <v>25190</v>
      </c>
      <c r="B11928" t="s">
        <v>31098</v>
      </c>
      <c r="C11928" t="s">
        <v>31189</v>
      </c>
      <c r="D11928" t="s">
        <v>25218</v>
      </c>
      <c r="E11928" t="s">
        <v>25219</v>
      </c>
      <c r="F11928" t="s">
        <v>27077</v>
      </c>
      <c r="G11928" t="s">
        <v>27077</v>
      </c>
      <c r="H11928" t="s">
        <v>859</v>
      </c>
      <c r="I11928" t="s">
        <v>860</v>
      </c>
      <c r="J11928" t="str">
        <f>"9390119"</f>
        <v>9390119</v>
      </c>
      <c r="K11928">
        <v>2351041176</v>
      </c>
      <c r="L11928">
        <v>2351041176</v>
      </c>
      <c r="M11928" t="s">
        <v>31190</v>
      </c>
      <c r="N11928" t="s">
        <v>27077</v>
      </c>
      <c r="O11928" t="s">
        <v>31191</v>
      </c>
      <c r="P11928">
        <v>60062</v>
      </c>
      <c r="Q11928" t="str">
        <f>"40.313865"</f>
        <v>40.313865</v>
      </c>
      <c r="R11928" t="str">
        <f>"22.585086"</f>
        <v>22.585086</v>
      </c>
      <c r="S11928" t="s">
        <v>26</v>
      </c>
    </row>
    <row r="11929" spans="1:19" x14ac:dyDescent="0.3">
      <c r="A11929" t="s">
        <v>25190</v>
      </c>
      <c r="B11929" t="s">
        <v>31098</v>
      </c>
      <c r="C11929" t="s">
        <v>31192</v>
      </c>
      <c r="D11929" t="s">
        <v>25218</v>
      </c>
      <c r="E11929" t="s">
        <v>25219</v>
      </c>
      <c r="F11929" t="s">
        <v>25219</v>
      </c>
      <c r="G11929" t="s">
        <v>25219</v>
      </c>
      <c r="H11929" t="s">
        <v>859</v>
      </c>
      <c r="I11929" t="s">
        <v>860</v>
      </c>
      <c r="J11929" t="str">
        <f>"9390192"</f>
        <v>9390192</v>
      </c>
      <c r="K11929">
        <v>2351078019</v>
      </c>
      <c r="L11929">
        <v>2351047467</v>
      </c>
      <c r="M11929" t="s">
        <v>31193</v>
      </c>
      <c r="N11929" t="s">
        <v>25219</v>
      </c>
      <c r="O11929" t="s">
        <v>31194</v>
      </c>
      <c r="P11929">
        <v>60132</v>
      </c>
      <c r="Q11929" t="str">
        <f>"40.264813"</f>
        <v>40.264813</v>
      </c>
      <c r="R11929" t="str">
        <f>"22.511038"</f>
        <v>22.511038</v>
      </c>
      <c r="S11929" t="s">
        <v>26</v>
      </c>
    </row>
    <row r="11930" spans="1:19" x14ac:dyDescent="0.3">
      <c r="A11930" t="s">
        <v>25190</v>
      </c>
      <c r="B11930" t="s">
        <v>31098</v>
      </c>
      <c r="C11930" t="s">
        <v>31195</v>
      </c>
      <c r="D11930" t="s">
        <v>25218</v>
      </c>
      <c r="E11930" t="s">
        <v>25219</v>
      </c>
      <c r="F11930" t="s">
        <v>25219</v>
      </c>
      <c r="G11930" t="s">
        <v>25219</v>
      </c>
      <c r="H11930" t="s">
        <v>859</v>
      </c>
      <c r="I11930" t="s">
        <v>860</v>
      </c>
      <c r="J11930" t="str">
        <f>"9390108"</f>
        <v>9390108</v>
      </c>
      <c r="K11930">
        <v>2351091444</v>
      </c>
      <c r="L11930">
        <v>2351091444</v>
      </c>
      <c r="M11930" t="s">
        <v>31196</v>
      </c>
      <c r="N11930" t="s">
        <v>31197</v>
      </c>
      <c r="O11930" t="s">
        <v>31198</v>
      </c>
      <c r="P11930">
        <v>60100</v>
      </c>
      <c r="Q11930" t="str">
        <f>"40.308780"</f>
        <v>40.308780</v>
      </c>
      <c r="R11930" t="str">
        <f>"22.543416"</f>
        <v>22.543416</v>
      </c>
      <c r="S11930" t="s">
        <v>26</v>
      </c>
    </row>
    <row r="11931" spans="1:19" x14ac:dyDescent="0.3">
      <c r="A11931" t="s">
        <v>25190</v>
      </c>
      <c r="B11931" t="s">
        <v>31098</v>
      </c>
      <c r="C11931" t="s">
        <v>31199</v>
      </c>
      <c r="D11931" t="s">
        <v>25218</v>
      </c>
      <c r="E11931" t="s">
        <v>25219</v>
      </c>
      <c r="F11931" t="s">
        <v>25219</v>
      </c>
      <c r="G11931" t="s">
        <v>25219</v>
      </c>
      <c r="H11931" t="s">
        <v>859</v>
      </c>
      <c r="I11931" t="s">
        <v>860</v>
      </c>
      <c r="J11931" t="str">
        <f>"9390179"</f>
        <v>9390179</v>
      </c>
      <c r="K11931">
        <v>2351036220</v>
      </c>
      <c r="L11931">
        <v>2351036220</v>
      </c>
      <c r="M11931" t="s">
        <v>31200</v>
      </c>
      <c r="N11931" t="s">
        <v>25219</v>
      </c>
      <c r="O11931" t="s">
        <v>31201</v>
      </c>
      <c r="P11931">
        <v>60100</v>
      </c>
      <c r="Q11931" t="str">
        <f>"40.282349"</f>
        <v>40.282349</v>
      </c>
      <c r="R11931" t="str">
        <f>"22.506155"</f>
        <v>22.506155</v>
      </c>
      <c r="S11931" t="s">
        <v>26</v>
      </c>
    </row>
    <row r="11932" spans="1:19" x14ac:dyDescent="0.3">
      <c r="A11932" t="s">
        <v>25190</v>
      </c>
      <c r="B11932" t="s">
        <v>31098</v>
      </c>
      <c r="C11932" t="s">
        <v>31204</v>
      </c>
      <c r="D11932" t="s">
        <v>25218</v>
      </c>
      <c r="E11932" t="s">
        <v>25219</v>
      </c>
      <c r="F11932" t="s">
        <v>25219</v>
      </c>
      <c r="G11932" t="s">
        <v>25219</v>
      </c>
      <c r="H11932" t="s">
        <v>859</v>
      </c>
      <c r="I11932" t="s">
        <v>860</v>
      </c>
      <c r="J11932" t="str">
        <f>"9390009"</f>
        <v>9390009</v>
      </c>
      <c r="K11932">
        <v>2351079440</v>
      </c>
      <c r="L11932">
        <v>2351023904</v>
      </c>
      <c r="M11932" t="s">
        <v>31205</v>
      </c>
      <c r="N11932" t="s">
        <v>25219</v>
      </c>
      <c r="O11932" t="s">
        <v>31100</v>
      </c>
      <c r="P11932">
        <v>60100</v>
      </c>
      <c r="Q11932" t="str">
        <f>"40.284044"</f>
        <v>40.284044</v>
      </c>
      <c r="R11932" t="str">
        <f>"22.500590"</f>
        <v>22.500590</v>
      </c>
      <c r="S11932" t="s">
        <v>26</v>
      </c>
    </row>
    <row r="11933" spans="1:19" x14ac:dyDescent="0.3">
      <c r="A11933" t="s">
        <v>25190</v>
      </c>
      <c r="B11933" t="s">
        <v>31098</v>
      </c>
      <c r="C11933" t="s">
        <v>31207</v>
      </c>
      <c r="D11933" t="s">
        <v>25218</v>
      </c>
      <c r="E11933" t="s">
        <v>25219</v>
      </c>
      <c r="F11933" t="s">
        <v>25219</v>
      </c>
      <c r="G11933" t="s">
        <v>31206</v>
      </c>
      <c r="H11933" t="s">
        <v>859</v>
      </c>
      <c r="I11933" t="s">
        <v>860</v>
      </c>
      <c r="J11933" t="str">
        <f>"9390096"</f>
        <v>9390096</v>
      </c>
      <c r="K11933">
        <v>2351092499</v>
      </c>
      <c r="M11933" t="s">
        <v>31208</v>
      </c>
      <c r="N11933" t="s">
        <v>31209</v>
      </c>
      <c r="O11933" t="s">
        <v>31210</v>
      </c>
      <c r="P11933">
        <v>60100</v>
      </c>
      <c r="Q11933" t="str">
        <f>"40.320853"</f>
        <v>40.320853</v>
      </c>
      <c r="R11933" t="str">
        <f>"22.493309"</f>
        <v>22.493309</v>
      </c>
      <c r="S11933" t="s">
        <v>26</v>
      </c>
    </row>
    <row r="11934" spans="1:19" x14ac:dyDescent="0.3">
      <c r="A11934" t="s">
        <v>25190</v>
      </c>
      <c r="B11934" t="s">
        <v>31098</v>
      </c>
      <c r="C11934" t="s">
        <v>31214</v>
      </c>
      <c r="D11934" t="s">
        <v>25218</v>
      </c>
      <c r="E11934" t="s">
        <v>25219</v>
      </c>
      <c r="F11934" t="s">
        <v>25219</v>
      </c>
      <c r="G11934" t="s">
        <v>25219</v>
      </c>
      <c r="H11934" t="s">
        <v>859</v>
      </c>
      <c r="I11934" t="s">
        <v>860</v>
      </c>
      <c r="J11934" t="str">
        <f>"9390105"</f>
        <v>9390105</v>
      </c>
      <c r="K11934">
        <v>2351029216</v>
      </c>
      <c r="L11934">
        <v>2351029216</v>
      </c>
      <c r="M11934" t="s">
        <v>31215</v>
      </c>
      <c r="N11934" t="s">
        <v>31216</v>
      </c>
      <c r="O11934" t="s">
        <v>27087</v>
      </c>
      <c r="P11934">
        <v>60100</v>
      </c>
      <c r="Q11934" t="str">
        <f>"40.284659"</f>
        <v>40.284659</v>
      </c>
      <c r="R11934" t="str">
        <f>"22.465712"</f>
        <v>22.465712</v>
      </c>
      <c r="S11934" t="s">
        <v>26</v>
      </c>
    </row>
    <row r="11935" spans="1:19" x14ac:dyDescent="0.3">
      <c r="A11935" t="s">
        <v>25190</v>
      </c>
      <c r="B11935" t="s">
        <v>31098</v>
      </c>
      <c r="C11935" t="s">
        <v>31217</v>
      </c>
      <c r="D11935" t="s">
        <v>25218</v>
      </c>
      <c r="E11935" t="s">
        <v>25219</v>
      </c>
      <c r="F11935" t="s">
        <v>14212</v>
      </c>
      <c r="G11935" t="s">
        <v>27020</v>
      </c>
      <c r="H11935" t="s">
        <v>859</v>
      </c>
      <c r="I11935" t="s">
        <v>860</v>
      </c>
      <c r="J11935" t="str">
        <f>"9390131"</f>
        <v>9390131</v>
      </c>
      <c r="K11935">
        <v>2351076790</v>
      </c>
      <c r="M11935" t="s">
        <v>31218</v>
      </c>
      <c r="N11935" t="s">
        <v>27020</v>
      </c>
      <c r="O11935" t="s">
        <v>31219</v>
      </c>
      <c r="P11935">
        <v>60100</v>
      </c>
      <c r="Q11935" t="str">
        <f>"40.274462"</f>
        <v>40.274462</v>
      </c>
      <c r="R11935" t="str">
        <f>"22.539580"</f>
        <v>22.539580</v>
      </c>
      <c r="S11935" t="s">
        <v>26</v>
      </c>
    </row>
    <row r="11936" spans="1:19" x14ac:dyDescent="0.3">
      <c r="A11936" t="s">
        <v>25190</v>
      </c>
      <c r="B11936" t="s">
        <v>31098</v>
      </c>
      <c r="C11936" t="s">
        <v>31221</v>
      </c>
      <c r="D11936" t="s">
        <v>25218</v>
      </c>
      <c r="E11936" t="s">
        <v>25219</v>
      </c>
      <c r="F11936" t="s">
        <v>31119</v>
      </c>
      <c r="G11936" t="s">
        <v>31220</v>
      </c>
      <c r="H11936" t="s">
        <v>859</v>
      </c>
      <c r="I11936" t="s">
        <v>860</v>
      </c>
      <c r="J11936" t="str">
        <f>"9390158"</f>
        <v>9390158</v>
      </c>
      <c r="K11936">
        <v>2351095545</v>
      </c>
      <c r="L11936">
        <v>2351095545</v>
      </c>
      <c r="M11936" t="s">
        <v>31222</v>
      </c>
      <c r="N11936" t="s">
        <v>31220</v>
      </c>
      <c r="O11936" t="s">
        <v>31223</v>
      </c>
      <c r="P11936">
        <v>60100</v>
      </c>
      <c r="Q11936" t="str">
        <f>"40.351765"</f>
        <v>40.351765</v>
      </c>
      <c r="R11936" t="str">
        <f>"22.367274"</f>
        <v>22.367274</v>
      </c>
      <c r="S11936" t="s">
        <v>26</v>
      </c>
    </row>
    <row r="11937" spans="1:19" x14ac:dyDescent="0.3">
      <c r="A11937" t="s">
        <v>25190</v>
      </c>
      <c r="B11937" t="s">
        <v>31098</v>
      </c>
      <c r="C11937" t="s">
        <v>31224</v>
      </c>
      <c r="D11937" t="s">
        <v>25218</v>
      </c>
      <c r="E11937" t="s">
        <v>25219</v>
      </c>
      <c r="F11937" t="s">
        <v>31119</v>
      </c>
      <c r="G11937" t="s">
        <v>2344</v>
      </c>
      <c r="H11937" t="s">
        <v>859</v>
      </c>
      <c r="I11937" t="s">
        <v>860</v>
      </c>
      <c r="J11937" t="str">
        <f>"9390095"</f>
        <v>9390095</v>
      </c>
      <c r="K11937">
        <v>2351095479</v>
      </c>
      <c r="L11937">
        <v>2351095690</v>
      </c>
      <c r="M11937" t="s">
        <v>31225</v>
      </c>
      <c r="N11937" t="s">
        <v>31226</v>
      </c>
      <c r="O11937" t="s">
        <v>2347</v>
      </c>
      <c r="P11937">
        <v>60100</v>
      </c>
      <c r="Q11937" t="str">
        <f>"40.351174"</f>
        <v>40.351174</v>
      </c>
      <c r="R11937" t="str">
        <f>"22.427422"</f>
        <v>22.427422</v>
      </c>
      <c r="S11937" t="s">
        <v>26</v>
      </c>
    </row>
    <row r="11938" spans="1:19" x14ac:dyDescent="0.3">
      <c r="A11938" t="s">
        <v>25190</v>
      </c>
      <c r="B11938" t="s">
        <v>31098</v>
      </c>
      <c r="C11938" t="s">
        <v>31228</v>
      </c>
      <c r="D11938" t="s">
        <v>25218</v>
      </c>
      <c r="E11938" t="s">
        <v>25219</v>
      </c>
      <c r="F11938" t="s">
        <v>31119</v>
      </c>
      <c r="G11938" t="s">
        <v>31227</v>
      </c>
      <c r="H11938" t="s">
        <v>859</v>
      </c>
      <c r="I11938" t="s">
        <v>860</v>
      </c>
      <c r="J11938" t="str">
        <f>"9390137"</f>
        <v>9390137</v>
      </c>
      <c r="K11938">
        <v>2351600973</v>
      </c>
      <c r="M11938" t="s">
        <v>31229</v>
      </c>
      <c r="N11938" t="s">
        <v>31230</v>
      </c>
      <c r="O11938" t="s">
        <v>31231</v>
      </c>
      <c r="P11938">
        <v>60100</v>
      </c>
      <c r="Q11938" t="str">
        <f>"40.286223"</f>
        <v>40.286223</v>
      </c>
      <c r="R11938" t="str">
        <f>"22.352576"</f>
        <v>22.352576</v>
      </c>
      <c r="S11938" t="s">
        <v>26</v>
      </c>
    </row>
    <row r="11939" spans="1:19" x14ac:dyDescent="0.3">
      <c r="A11939" t="s">
        <v>25190</v>
      </c>
      <c r="B11939" t="s">
        <v>31098</v>
      </c>
      <c r="C11939" t="s">
        <v>31232</v>
      </c>
      <c r="D11939" t="s">
        <v>25218</v>
      </c>
      <c r="E11939" t="s">
        <v>25219</v>
      </c>
      <c r="F11939" t="s">
        <v>25219</v>
      </c>
      <c r="G11939" t="s">
        <v>25219</v>
      </c>
      <c r="H11939" t="s">
        <v>859</v>
      </c>
      <c r="I11939" t="s">
        <v>860</v>
      </c>
      <c r="J11939" t="str">
        <f>"9390162"</f>
        <v>9390162</v>
      </c>
      <c r="K11939">
        <v>2351034111</v>
      </c>
      <c r="L11939">
        <v>2351034111</v>
      </c>
      <c r="M11939" t="s">
        <v>31233</v>
      </c>
      <c r="N11939" t="s">
        <v>31234</v>
      </c>
      <c r="O11939" t="s">
        <v>31235</v>
      </c>
      <c r="P11939">
        <v>60100</v>
      </c>
      <c r="Q11939" t="str">
        <f>"40.273835"</f>
        <v>40.273835</v>
      </c>
      <c r="R11939" t="str">
        <f>"22.482009"</f>
        <v>22.482009</v>
      </c>
      <c r="S11939" t="s">
        <v>26</v>
      </c>
    </row>
    <row r="11940" spans="1:19" x14ac:dyDescent="0.3">
      <c r="A11940" t="s">
        <v>25190</v>
      </c>
      <c r="B11940" t="s">
        <v>31098</v>
      </c>
      <c r="C11940" t="s">
        <v>31237</v>
      </c>
      <c r="D11940" t="s">
        <v>25218</v>
      </c>
      <c r="E11940" t="s">
        <v>25219</v>
      </c>
      <c r="F11940" t="s">
        <v>31119</v>
      </c>
      <c r="G11940" t="s">
        <v>31236</v>
      </c>
      <c r="H11940" t="s">
        <v>859</v>
      </c>
      <c r="I11940" t="s">
        <v>860</v>
      </c>
      <c r="J11940" t="str">
        <f>"9390150"</f>
        <v>9390150</v>
      </c>
      <c r="K11940">
        <v>2351093466</v>
      </c>
      <c r="L11940">
        <v>2351093466</v>
      </c>
      <c r="M11940" t="s">
        <v>31238</v>
      </c>
      <c r="N11940" t="s">
        <v>31236</v>
      </c>
      <c r="O11940" t="s">
        <v>31239</v>
      </c>
      <c r="P11940">
        <v>60100</v>
      </c>
      <c r="Q11940" t="str">
        <f>"40.326244"</f>
        <v>40.326244</v>
      </c>
      <c r="R11940" t="str">
        <f>"22.307361"</f>
        <v>22.307361</v>
      </c>
      <c r="S11940" t="s">
        <v>26</v>
      </c>
    </row>
    <row r="11941" spans="1:19" x14ac:dyDescent="0.3">
      <c r="A11941" t="s">
        <v>25190</v>
      </c>
      <c r="B11941" t="s">
        <v>31098</v>
      </c>
      <c r="C11941" t="s">
        <v>31241</v>
      </c>
      <c r="D11941" t="s">
        <v>25218</v>
      </c>
      <c r="E11941" t="s">
        <v>26941</v>
      </c>
      <c r="F11941" t="s">
        <v>26942</v>
      </c>
      <c r="G11941" t="s">
        <v>31240</v>
      </c>
      <c r="H11941" t="s">
        <v>859</v>
      </c>
      <c r="I11941" t="s">
        <v>860</v>
      </c>
      <c r="J11941" t="str">
        <f>"9390156"</f>
        <v>9390156</v>
      </c>
      <c r="K11941">
        <v>2352041183</v>
      </c>
      <c r="L11941">
        <v>2352041143</v>
      </c>
      <c r="M11941" t="s">
        <v>31242</v>
      </c>
      <c r="N11941" t="s">
        <v>31243</v>
      </c>
      <c r="O11941" t="s">
        <v>22957</v>
      </c>
      <c r="P11941">
        <v>60065</v>
      </c>
      <c r="Q11941" t="str">
        <f>"40.001892"</f>
        <v>40.001892</v>
      </c>
      <c r="R11941" t="str">
        <f>"22.596103"</f>
        <v>22.596103</v>
      </c>
      <c r="S11941" t="s">
        <v>26</v>
      </c>
    </row>
    <row r="11942" spans="1:19" x14ac:dyDescent="0.3">
      <c r="A11942" t="s">
        <v>25190</v>
      </c>
      <c r="B11942" t="s">
        <v>31098</v>
      </c>
      <c r="C11942" t="s">
        <v>31244</v>
      </c>
      <c r="D11942" t="s">
        <v>25218</v>
      </c>
      <c r="E11942" t="s">
        <v>26949</v>
      </c>
      <c r="F11942" t="s">
        <v>26950</v>
      </c>
      <c r="G11942" t="s">
        <v>26950</v>
      </c>
      <c r="H11942" t="s">
        <v>859</v>
      </c>
      <c r="I11942" t="s">
        <v>860</v>
      </c>
      <c r="J11942" t="str">
        <f>"9390017"</f>
        <v>9390017</v>
      </c>
      <c r="K11942">
        <v>2353031556</v>
      </c>
      <c r="M11942" t="s">
        <v>31245</v>
      </c>
      <c r="N11942" t="s">
        <v>26950</v>
      </c>
      <c r="O11942" t="s">
        <v>31246</v>
      </c>
      <c r="P11942">
        <v>60061</v>
      </c>
      <c r="Q11942" t="str">
        <f>"40.477883"</f>
        <v>40.477883</v>
      </c>
      <c r="R11942" t="str">
        <f>"22.477690"</f>
        <v>22.477690</v>
      </c>
      <c r="S11942" t="s">
        <v>26</v>
      </c>
    </row>
    <row r="11943" spans="1:19" x14ac:dyDescent="0.3">
      <c r="A11943" t="s">
        <v>25190</v>
      </c>
      <c r="B11943" t="s">
        <v>31098</v>
      </c>
      <c r="C11943" t="s">
        <v>31255</v>
      </c>
      <c r="D11943" t="s">
        <v>25218</v>
      </c>
      <c r="E11943" t="s">
        <v>25219</v>
      </c>
      <c r="F11943" t="s">
        <v>25219</v>
      </c>
      <c r="G11943" t="s">
        <v>25219</v>
      </c>
      <c r="H11943" t="s">
        <v>859</v>
      </c>
      <c r="I11943" t="s">
        <v>860</v>
      </c>
      <c r="J11943" t="str">
        <f>"9390104"</f>
        <v>9390104</v>
      </c>
      <c r="K11943">
        <v>2351035978</v>
      </c>
      <c r="L11943">
        <v>2351035978</v>
      </c>
      <c r="M11943" t="s">
        <v>31256</v>
      </c>
      <c r="N11943" t="s">
        <v>26969</v>
      </c>
      <c r="O11943" t="s">
        <v>31138</v>
      </c>
      <c r="P11943">
        <v>60100</v>
      </c>
      <c r="Q11943" t="str">
        <f>"40.271555"</f>
        <v>40.271555</v>
      </c>
      <c r="R11943" t="str">
        <f>"22.491667"</f>
        <v>22.491667</v>
      </c>
      <c r="S11943" t="s">
        <v>26</v>
      </c>
    </row>
    <row r="11944" spans="1:19" x14ac:dyDescent="0.3">
      <c r="A11944" t="s">
        <v>25190</v>
      </c>
      <c r="B11944" t="s">
        <v>31098</v>
      </c>
      <c r="C11944" t="s">
        <v>31259</v>
      </c>
      <c r="D11944" t="s">
        <v>25218</v>
      </c>
      <c r="E11944" t="s">
        <v>25219</v>
      </c>
      <c r="F11944" t="s">
        <v>25219</v>
      </c>
      <c r="G11944" t="s">
        <v>25219</v>
      </c>
      <c r="H11944" t="s">
        <v>859</v>
      </c>
      <c r="I11944" t="s">
        <v>860</v>
      </c>
      <c r="J11944" t="str">
        <f>"9390178"</f>
        <v>9390178</v>
      </c>
      <c r="K11944">
        <v>2351073846</v>
      </c>
      <c r="M11944" t="s">
        <v>31260</v>
      </c>
      <c r="N11944" t="s">
        <v>25219</v>
      </c>
      <c r="O11944" t="s">
        <v>31261</v>
      </c>
      <c r="P11944">
        <v>60100</v>
      </c>
      <c r="Q11944" t="str">
        <f>"40.268996"</f>
        <v>40.268996</v>
      </c>
      <c r="R11944" t="str">
        <f>"22.517701"</f>
        <v>22.517701</v>
      </c>
      <c r="S11944" t="s">
        <v>26</v>
      </c>
    </row>
    <row r="11945" spans="1:19" x14ac:dyDescent="0.3">
      <c r="A11945" t="s">
        <v>25190</v>
      </c>
      <c r="B11945" t="s">
        <v>31098</v>
      </c>
      <c r="C11945" t="s">
        <v>31262</v>
      </c>
      <c r="D11945" t="s">
        <v>25218</v>
      </c>
      <c r="E11945" t="s">
        <v>25219</v>
      </c>
      <c r="F11945" t="s">
        <v>25219</v>
      </c>
      <c r="G11945" t="s">
        <v>25219</v>
      </c>
      <c r="H11945" t="s">
        <v>859</v>
      </c>
      <c r="I11945" t="s">
        <v>860</v>
      </c>
      <c r="J11945" t="str">
        <f>"9390057"</f>
        <v>9390057</v>
      </c>
      <c r="K11945">
        <v>2351023758</v>
      </c>
      <c r="L11945">
        <v>2351029336</v>
      </c>
      <c r="M11945" t="s">
        <v>31263</v>
      </c>
      <c r="N11945" t="s">
        <v>25219</v>
      </c>
      <c r="O11945" t="s">
        <v>28648</v>
      </c>
      <c r="P11945">
        <v>60100</v>
      </c>
      <c r="Q11945" t="str">
        <f>"40.266447"</f>
        <v>40.266447</v>
      </c>
      <c r="R11945" t="str">
        <f>"22.505526"</f>
        <v>22.505526</v>
      </c>
      <c r="S11945" t="s">
        <v>26</v>
      </c>
    </row>
    <row r="11946" spans="1:19" x14ac:dyDescent="0.3">
      <c r="A11946" t="s">
        <v>25190</v>
      </c>
      <c r="B11946" t="s">
        <v>31098</v>
      </c>
      <c r="C11946" t="s">
        <v>31264</v>
      </c>
      <c r="D11946" t="s">
        <v>25218</v>
      </c>
      <c r="E11946" t="s">
        <v>26949</v>
      </c>
      <c r="F11946" t="s">
        <v>27066</v>
      </c>
      <c r="G11946" t="s">
        <v>27066</v>
      </c>
      <c r="H11946" t="s">
        <v>859</v>
      </c>
      <c r="I11946" t="s">
        <v>860</v>
      </c>
      <c r="J11946" t="str">
        <f>"9390029"</f>
        <v>9390029</v>
      </c>
      <c r="K11946">
        <v>2353051860</v>
      </c>
      <c r="L11946">
        <v>2353051860</v>
      </c>
      <c r="M11946" t="s">
        <v>31265</v>
      </c>
      <c r="N11946" t="s">
        <v>27066</v>
      </c>
      <c r="O11946" t="s">
        <v>31266</v>
      </c>
      <c r="P11946">
        <v>60066</v>
      </c>
      <c r="Q11946" t="str">
        <f>"40.446101"</f>
        <v>40.446101</v>
      </c>
      <c r="R11946" t="str">
        <f>"22.583288"</f>
        <v>22.583288</v>
      </c>
      <c r="S11946" t="s">
        <v>26</v>
      </c>
    </row>
    <row r="11947" spans="1:19" x14ac:dyDescent="0.3">
      <c r="A11947" t="s">
        <v>25190</v>
      </c>
      <c r="B11947" t="s">
        <v>31098</v>
      </c>
      <c r="C11947" t="s">
        <v>31267</v>
      </c>
      <c r="D11947" t="s">
        <v>25218</v>
      </c>
      <c r="E11947" t="s">
        <v>26949</v>
      </c>
      <c r="F11947" t="s">
        <v>27047</v>
      </c>
      <c r="G11947" t="s">
        <v>27047</v>
      </c>
      <c r="H11947" t="s">
        <v>859</v>
      </c>
      <c r="I11947" t="s">
        <v>860</v>
      </c>
      <c r="J11947" t="str">
        <f>"9390038"</f>
        <v>9390038</v>
      </c>
      <c r="K11947">
        <v>2351071808</v>
      </c>
      <c r="M11947" t="s">
        <v>31268</v>
      </c>
      <c r="N11947" t="s">
        <v>31269</v>
      </c>
      <c r="O11947" t="s">
        <v>31270</v>
      </c>
      <c r="P11947">
        <v>60064</v>
      </c>
      <c r="Q11947" t="str">
        <f>"40.372323"</f>
        <v>40.372323</v>
      </c>
      <c r="R11947" t="str">
        <f>"22.571442"</f>
        <v>22.571442</v>
      </c>
      <c r="S11947" t="s">
        <v>26</v>
      </c>
    </row>
    <row r="11948" spans="1:19" x14ac:dyDescent="0.3">
      <c r="A11948" t="s">
        <v>25190</v>
      </c>
      <c r="B11948" t="s">
        <v>31098</v>
      </c>
      <c r="C11948" t="s">
        <v>31286</v>
      </c>
      <c r="D11948" t="s">
        <v>25218</v>
      </c>
      <c r="E11948" t="s">
        <v>25219</v>
      </c>
      <c r="F11948" t="s">
        <v>14212</v>
      </c>
      <c r="G11948" t="s">
        <v>14212</v>
      </c>
      <c r="H11948" t="s">
        <v>859</v>
      </c>
      <c r="I11948" t="s">
        <v>860</v>
      </c>
      <c r="J11948" t="str">
        <f>"9390159"</f>
        <v>9390159</v>
      </c>
      <c r="K11948">
        <v>2351063196</v>
      </c>
      <c r="L11948">
        <v>2351063196</v>
      </c>
      <c r="M11948" t="s">
        <v>31287</v>
      </c>
      <c r="N11948" t="s">
        <v>14212</v>
      </c>
      <c r="O11948" t="s">
        <v>31288</v>
      </c>
      <c r="P11948">
        <v>60100</v>
      </c>
      <c r="Q11948" t="str">
        <f>"40.264715"</f>
        <v>40.264715</v>
      </c>
      <c r="R11948" t="str">
        <f>"22.596400"</f>
        <v>22.596400</v>
      </c>
      <c r="S11948" t="s">
        <v>26</v>
      </c>
    </row>
    <row r="11949" spans="1:19" x14ac:dyDescent="0.3">
      <c r="A11949" t="s">
        <v>25190</v>
      </c>
      <c r="B11949" t="s">
        <v>31098</v>
      </c>
      <c r="C11949" t="s">
        <v>31289</v>
      </c>
      <c r="D11949" t="s">
        <v>25218</v>
      </c>
      <c r="E11949" t="s">
        <v>25219</v>
      </c>
      <c r="F11949" t="s">
        <v>12466</v>
      </c>
      <c r="G11949" t="s">
        <v>31251</v>
      </c>
      <c r="H11949" t="s">
        <v>859</v>
      </c>
      <c r="I11949" t="s">
        <v>860</v>
      </c>
      <c r="J11949" t="str">
        <f>"9390073"</f>
        <v>9390073</v>
      </c>
      <c r="K11949">
        <v>2351098470</v>
      </c>
      <c r="L11949">
        <v>2351098214</v>
      </c>
      <c r="M11949" t="s">
        <v>31290</v>
      </c>
      <c r="N11949" t="s">
        <v>31251</v>
      </c>
      <c r="O11949" t="s">
        <v>31254</v>
      </c>
      <c r="P11949">
        <v>60100</v>
      </c>
      <c r="Q11949" t="str">
        <f>"40.244441"</f>
        <v>40.244441</v>
      </c>
      <c r="R11949" t="str">
        <f>"22.378049"</f>
        <v>22.378049</v>
      </c>
      <c r="S11949" t="s">
        <v>26</v>
      </c>
    </row>
    <row r="11950" spans="1:19" x14ac:dyDescent="0.3">
      <c r="A11950" t="s">
        <v>25190</v>
      </c>
      <c r="B11950" t="s">
        <v>31098</v>
      </c>
      <c r="C11950" t="s">
        <v>31291</v>
      </c>
      <c r="D11950" t="s">
        <v>25218</v>
      </c>
      <c r="E11950" t="s">
        <v>25219</v>
      </c>
      <c r="F11950" t="s">
        <v>12466</v>
      </c>
      <c r="G11950" t="s">
        <v>27034</v>
      </c>
      <c r="H11950" t="s">
        <v>859</v>
      </c>
      <c r="I11950" t="s">
        <v>860</v>
      </c>
      <c r="J11950" t="str">
        <f>"9390123"</f>
        <v>9390123</v>
      </c>
      <c r="K11950">
        <v>2351081752</v>
      </c>
      <c r="M11950" t="s">
        <v>31292</v>
      </c>
      <c r="N11950" t="s">
        <v>31293</v>
      </c>
      <c r="O11950" t="s">
        <v>27104</v>
      </c>
      <c r="P11950">
        <v>60100</v>
      </c>
      <c r="Q11950" t="str">
        <f>"40.252214"</f>
        <v>40.252214</v>
      </c>
      <c r="R11950" t="str">
        <f>"22.340671"</f>
        <v>22.340671</v>
      </c>
      <c r="S11950" t="s">
        <v>26</v>
      </c>
    </row>
    <row r="11951" spans="1:19" x14ac:dyDescent="0.3">
      <c r="A11951" t="s">
        <v>25190</v>
      </c>
      <c r="B11951" t="s">
        <v>31098</v>
      </c>
      <c r="C11951" t="s">
        <v>31294</v>
      </c>
      <c r="D11951" t="s">
        <v>25218</v>
      </c>
      <c r="E11951" t="s">
        <v>25219</v>
      </c>
      <c r="F11951" t="s">
        <v>12466</v>
      </c>
      <c r="G11951" t="s">
        <v>31281</v>
      </c>
      <c r="H11951" t="s">
        <v>859</v>
      </c>
      <c r="I11951" t="s">
        <v>860</v>
      </c>
      <c r="J11951" t="str">
        <f>"9390173"</f>
        <v>9390173</v>
      </c>
      <c r="K11951">
        <v>2351081231</v>
      </c>
      <c r="L11951">
        <v>2351081231</v>
      </c>
      <c r="M11951" t="s">
        <v>31295</v>
      </c>
      <c r="N11951" t="s">
        <v>31281</v>
      </c>
      <c r="O11951" t="s">
        <v>31285</v>
      </c>
      <c r="P11951">
        <v>60100</v>
      </c>
      <c r="Q11951" t="str">
        <f>"40.219247"</f>
        <v>40.219247</v>
      </c>
      <c r="R11951" t="str">
        <f>"22.312909"</f>
        <v>22.312909</v>
      </c>
      <c r="S11951" t="s">
        <v>26</v>
      </c>
    </row>
    <row r="11952" spans="1:19" x14ac:dyDescent="0.3">
      <c r="A11952" t="s">
        <v>25190</v>
      </c>
      <c r="B11952" t="s">
        <v>31098</v>
      </c>
      <c r="C11952" t="s">
        <v>31296</v>
      </c>
      <c r="D11952" t="s">
        <v>25218</v>
      </c>
      <c r="E11952" t="s">
        <v>25219</v>
      </c>
      <c r="F11952" t="s">
        <v>27025</v>
      </c>
      <c r="G11952" t="s">
        <v>27026</v>
      </c>
      <c r="H11952" t="s">
        <v>859</v>
      </c>
      <c r="I11952" t="s">
        <v>860</v>
      </c>
      <c r="J11952" t="str">
        <f>"9390133"</f>
        <v>9390133</v>
      </c>
      <c r="K11952">
        <v>2351082833</v>
      </c>
      <c r="L11952">
        <v>2352082833</v>
      </c>
      <c r="M11952" t="s">
        <v>31297</v>
      </c>
      <c r="N11952" t="s">
        <v>25218</v>
      </c>
      <c r="O11952" t="s">
        <v>27030</v>
      </c>
      <c r="P11952">
        <v>60100</v>
      </c>
      <c r="Q11952" t="str">
        <f>"40.286182"</f>
        <v>40.286182</v>
      </c>
      <c r="R11952" t="str">
        <f>"22.283255"</f>
        <v>22.283255</v>
      </c>
      <c r="S11952" t="s">
        <v>26</v>
      </c>
    </row>
    <row r="11953" spans="1:19" x14ac:dyDescent="0.3">
      <c r="A11953" t="s">
        <v>25190</v>
      </c>
      <c r="B11953" t="s">
        <v>31098</v>
      </c>
      <c r="C11953" t="s">
        <v>31298</v>
      </c>
      <c r="D11953" t="s">
        <v>25218</v>
      </c>
      <c r="E11953" t="s">
        <v>25219</v>
      </c>
      <c r="F11953" t="s">
        <v>12466</v>
      </c>
      <c r="G11953" t="s">
        <v>3295</v>
      </c>
      <c r="H11953" t="s">
        <v>859</v>
      </c>
      <c r="I11953" t="s">
        <v>860</v>
      </c>
      <c r="J11953" t="str">
        <f>"9390109"</f>
        <v>9390109</v>
      </c>
      <c r="K11953">
        <v>2351084250</v>
      </c>
      <c r="M11953" t="s">
        <v>31299</v>
      </c>
      <c r="N11953" t="s">
        <v>3295</v>
      </c>
      <c r="O11953" t="s">
        <v>3472</v>
      </c>
      <c r="P11953">
        <v>60100</v>
      </c>
      <c r="Q11953" t="str">
        <f>"40.156082"</f>
        <v>40.156082</v>
      </c>
      <c r="R11953" t="str">
        <f>"22.231062"</f>
        <v>22.231062</v>
      </c>
      <c r="S11953" t="s">
        <v>26</v>
      </c>
    </row>
    <row r="11954" spans="1:19" x14ac:dyDescent="0.3">
      <c r="A11954" t="s">
        <v>25190</v>
      </c>
      <c r="B11954" t="s">
        <v>31098</v>
      </c>
      <c r="C11954" t="s">
        <v>31307</v>
      </c>
      <c r="D11954" t="s">
        <v>25218</v>
      </c>
      <c r="E11954" t="s">
        <v>26941</v>
      </c>
      <c r="F11954" t="s">
        <v>26981</v>
      </c>
      <c r="G11954" t="s">
        <v>31306</v>
      </c>
      <c r="H11954" t="s">
        <v>859</v>
      </c>
      <c r="I11954" t="s">
        <v>860</v>
      </c>
      <c r="J11954" t="str">
        <f>"9390061"</f>
        <v>9390061</v>
      </c>
      <c r="K11954">
        <v>2351055333</v>
      </c>
      <c r="L11954">
        <v>2351055333</v>
      </c>
      <c r="M11954" t="s">
        <v>31308</v>
      </c>
      <c r="N11954" t="s">
        <v>31306</v>
      </c>
      <c r="O11954" t="s">
        <v>31309</v>
      </c>
      <c r="P11954">
        <v>60100</v>
      </c>
      <c r="Q11954" t="str">
        <f>"40.193623"</f>
        <v>40.193623</v>
      </c>
      <c r="R11954" t="str">
        <f>"22.436161"</f>
        <v>22.436161</v>
      </c>
      <c r="S11954" t="s">
        <v>26</v>
      </c>
    </row>
    <row r="11955" spans="1:19" x14ac:dyDescent="0.3">
      <c r="A11955" t="s">
        <v>25190</v>
      </c>
      <c r="B11955" t="s">
        <v>31098</v>
      </c>
      <c r="C11955" t="s">
        <v>31310</v>
      </c>
      <c r="D11955" t="s">
        <v>25218</v>
      </c>
      <c r="E11955" t="s">
        <v>25219</v>
      </c>
      <c r="F11955" t="s">
        <v>25219</v>
      </c>
      <c r="G11955" t="s">
        <v>25219</v>
      </c>
      <c r="H11955" t="s">
        <v>859</v>
      </c>
      <c r="I11955" t="s">
        <v>860</v>
      </c>
      <c r="J11955" t="str">
        <f>"9390052"</f>
        <v>9390052</v>
      </c>
      <c r="K11955">
        <v>2351029829</v>
      </c>
      <c r="L11955">
        <v>2351029829</v>
      </c>
      <c r="M11955" t="s">
        <v>31311</v>
      </c>
      <c r="N11955" t="s">
        <v>25219</v>
      </c>
      <c r="O11955" t="s">
        <v>31312</v>
      </c>
      <c r="P11955">
        <v>60100</v>
      </c>
      <c r="Q11955" t="str">
        <f>"40.264898"</f>
        <v>40.264898</v>
      </c>
      <c r="R11955" t="str">
        <f>"22.495120"</f>
        <v>22.495120</v>
      </c>
      <c r="S11955" t="s">
        <v>26</v>
      </c>
    </row>
    <row r="11956" spans="1:19" x14ac:dyDescent="0.3">
      <c r="A11956" t="s">
        <v>25190</v>
      </c>
      <c r="B11956" t="s">
        <v>31098</v>
      </c>
      <c r="C11956" t="s">
        <v>31313</v>
      </c>
      <c r="D11956" t="s">
        <v>25218</v>
      </c>
      <c r="E11956" t="s">
        <v>26949</v>
      </c>
      <c r="F11956" t="s">
        <v>26950</v>
      </c>
      <c r="G11956" t="s">
        <v>26950</v>
      </c>
      <c r="H11956" t="s">
        <v>859</v>
      </c>
      <c r="I11956" t="s">
        <v>860</v>
      </c>
      <c r="J11956" t="str">
        <f>"9390016"</f>
        <v>9390016</v>
      </c>
      <c r="K11956">
        <v>2353031758</v>
      </c>
      <c r="L11956">
        <v>2351031758</v>
      </c>
      <c r="M11956" t="s">
        <v>31314</v>
      </c>
      <c r="N11956" t="s">
        <v>26950</v>
      </c>
      <c r="O11956" t="s">
        <v>31315</v>
      </c>
      <c r="P11956">
        <v>60061</v>
      </c>
      <c r="Q11956" t="str">
        <f>"40.477189"</f>
        <v>40.477189</v>
      </c>
      <c r="R11956" t="str">
        <f>"22.487893"</f>
        <v>22.487893</v>
      </c>
      <c r="S11956" t="s">
        <v>26</v>
      </c>
    </row>
    <row r="11957" spans="1:19" x14ac:dyDescent="0.3">
      <c r="A11957" t="s">
        <v>25190</v>
      </c>
      <c r="B11957" t="s">
        <v>31098</v>
      </c>
      <c r="C11957" t="s">
        <v>31316</v>
      </c>
      <c r="D11957" t="s">
        <v>25218</v>
      </c>
      <c r="E11957" t="s">
        <v>25219</v>
      </c>
      <c r="F11957" t="s">
        <v>25219</v>
      </c>
      <c r="G11957" t="s">
        <v>25219</v>
      </c>
      <c r="H11957" t="s">
        <v>859</v>
      </c>
      <c r="I11957" t="s">
        <v>860</v>
      </c>
      <c r="J11957" t="str">
        <f>"9390142"</f>
        <v>9390142</v>
      </c>
      <c r="K11957">
        <v>2351078774</v>
      </c>
      <c r="L11957">
        <v>2351078774</v>
      </c>
      <c r="M11957" t="s">
        <v>31317</v>
      </c>
      <c r="N11957" t="s">
        <v>25219</v>
      </c>
      <c r="O11957" t="s">
        <v>31302</v>
      </c>
      <c r="P11957">
        <v>60134</v>
      </c>
      <c r="Q11957" t="str">
        <f>"40.277863"</f>
        <v>40.277863</v>
      </c>
      <c r="R11957" t="str">
        <f>"22.512289"</f>
        <v>22.512289</v>
      </c>
      <c r="S11957" t="s">
        <v>26</v>
      </c>
    </row>
    <row r="11958" spans="1:19" x14ac:dyDescent="0.3">
      <c r="A11958" t="s">
        <v>25190</v>
      </c>
      <c r="B11958" t="s">
        <v>31098</v>
      </c>
      <c r="C11958" t="s">
        <v>31321</v>
      </c>
      <c r="D11958" t="s">
        <v>25218</v>
      </c>
      <c r="E11958" t="s">
        <v>26949</v>
      </c>
      <c r="F11958" t="s">
        <v>27047</v>
      </c>
      <c r="G11958" t="s">
        <v>31320</v>
      </c>
      <c r="H11958" t="s">
        <v>859</v>
      </c>
      <c r="I11958" t="s">
        <v>860</v>
      </c>
      <c r="J11958" t="str">
        <f>"9390046"</f>
        <v>9390046</v>
      </c>
      <c r="K11958">
        <v>2351085083</v>
      </c>
      <c r="L11958">
        <v>2351085083</v>
      </c>
      <c r="M11958" t="s">
        <v>31322</v>
      </c>
      <c r="N11958" t="s">
        <v>31323</v>
      </c>
      <c r="O11958" t="s">
        <v>31324</v>
      </c>
      <c r="P11958">
        <v>60066</v>
      </c>
      <c r="Q11958" t="str">
        <f>"40.413690"</f>
        <v>40.413690</v>
      </c>
      <c r="R11958" t="str">
        <f>"22.547799"</f>
        <v>22.547799</v>
      </c>
      <c r="S11958" t="s">
        <v>26</v>
      </c>
    </row>
    <row r="11959" spans="1:19" x14ac:dyDescent="0.3">
      <c r="A11959" t="s">
        <v>25190</v>
      </c>
      <c r="B11959" t="s">
        <v>31098</v>
      </c>
      <c r="C11959" t="s">
        <v>31336</v>
      </c>
      <c r="D11959" t="s">
        <v>25218</v>
      </c>
      <c r="E11959" t="s">
        <v>25219</v>
      </c>
      <c r="F11959" t="s">
        <v>25219</v>
      </c>
      <c r="G11959" t="s">
        <v>25219</v>
      </c>
      <c r="H11959" t="s">
        <v>859</v>
      </c>
      <c r="I11959" t="s">
        <v>860</v>
      </c>
      <c r="J11959" t="str">
        <f>"9390166"</f>
        <v>9390166</v>
      </c>
      <c r="K11959">
        <v>2351029496</v>
      </c>
      <c r="L11959">
        <v>2351025529</v>
      </c>
      <c r="M11959" t="s">
        <v>31337</v>
      </c>
      <c r="N11959" t="s">
        <v>25219</v>
      </c>
      <c r="O11959" t="s">
        <v>31338</v>
      </c>
      <c r="P11959">
        <v>60100</v>
      </c>
      <c r="Q11959" t="str">
        <f>"40.271248"</f>
        <v>40.271248</v>
      </c>
      <c r="R11959" t="str">
        <f>"22.511510"</f>
        <v>22.511510</v>
      </c>
      <c r="S11959" t="s">
        <v>26</v>
      </c>
    </row>
    <row r="11960" spans="1:19" x14ac:dyDescent="0.3">
      <c r="A11960" t="s">
        <v>25190</v>
      </c>
      <c r="B11960" t="s">
        <v>31098</v>
      </c>
      <c r="C11960" t="s">
        <v>31339</v>
      </c>
      <c r="D11960" t="s">
        <v>25218</v>
      </c>
      <c r="E11960" t="s">
        <v>26941</v>
      </c>
      <c r="F11960" t="s">
        <v>26981</v>
      </c>
      <c r="G11960" t="s">
        <v>19462</v>
      </c>
      <c r="H11960" t="s">
        <v>859</v>
      </c>
      <c r="I11960" t="s">
        <v>860</v>
      </c>
      <c r="J11960" t="str">
        <f>"9390060"</f>
        <v>9390060</v>
      </c>
      <c r="K11960">
        <v>2351055874</v>
      </c>
      <c r="L11960">
        <v>2351055874</v>
      </c>
      <c r="M11960" t="s">
        <v>31340</v>
      </c>
      <c r="N11960" t="s">
        <v>31341</v>
      </c>
      <c r="O11960" t="s">
        <v>19465</v>
      </c>
      <c r="P11960">
        <v>60100</v>
      </c>
      <c r="Q11960" t="str">
        <f>"40.208294"</f>
        <v>40.208294</v>
      </c>
      <c r="R11960" t="str">
        <f>"22.442697"</f>
        <v>22.442697</v>
      </c>
      <c r="S11960" t="s">
        <v>26</v>
      </c>
    </row>
    <row r="11961" spans="1:19" x14ac:dyDescent="0.3">
      <c r="A11961" t="s">
        <v>25190</v>
      </c>
      <c r="B11961" t="s">
        <v>31098</v>
      </c>
      <c r="C11961" t="s">
        <v>31342</v>
      </c>
      <c r="D11961" t="s">
        <v>25218</v>
      </c>
      <c r="E11961" t="s">
        <v>26941</v>
      </c>
      <c r="F11961" t="s">
        <v>26981</v>
      </c>
      <c r="G11961" t="s">
        <v>26981</v>
      </c>
      <c r="H11961" t="s">
        <v>859</v>
      </c>
      <c r="I11961" t="s">
        <v>860</v>
      </c>
      <c r="J11961" t="str">
        <f>"9390076"</f>
        <v>9390076</v>
      </c>
      <c r="K11961">
        <v>2351053880</v>
      </c>
      <c r="M11961" t="s">
        <v>31343</v>
      </c>
      <c r="N11961" t="s">
        <v>26981</v>
      </c>
      <c r="O11961" t="s">
        <v>31344</v>
      </c>
      <c r="P11961">
        <v>60100</v>
      </c>
      <c r="Q11961" t="str">
        <f>"40.170758"</f>
        <v>40.170758</v>
      </c>
      <c r="R11961" t="str">
        <f>"22.484552"</f>
        <v>22.484552</v>
      </c>
      <c r="S11961" t="s">
        <v>26</v>
      </c>
    </row>
    <row r="11962" spans="1:19" x14ac:dyDescent="0.3">
      <c r="A11962" t="s">
        <v>25190</v>
      </c>
      <c r="B11962" t="s">
        <v>31098</v>
      </c>
      <c r="C11962" t="s">
        <v>31346</v>
      </c>
      <c r="D11962" t="s">
        <v>25218</v>
      </c>
      <c r="E11962" t="s">
        <v>26941</v>
      </c>
      <c r="F11962" t="s">
        <v>26981</v>
      </c>
      <c r="G11962" t="s">
        <v>31345</v>
      </c>
      <c r="H11962" t="s">
        <v>859</v>
      </c>
      <c r="I11962" t="s">
        <v>860</v>
      </c>
      <c r="J11962" t="str">
        <f>"9390063"</f>
        <v>9390063</v>
      </c>
      <c r="K11962">
        <v>2351053054</v>
      </c>
      <c r="M11962" t="s">
        <v>31347</v>
      </c>
      <c r="N11962" t="s">
        <v>31348</v>
      </c>
      <c r="O11962" t="s">
        <v>31349</v>
      </c>
      <c r="P11962">
        <v>60100</v>
      </c>
      <c r="Q11962" t="str">
        <f>"40.184637"</f>
        <v>40.184637</v>
      </c>
      <c r="R11962" t="str">
        <f>"22.480288"</f>
        <v>22.480288</v>
      </c>
      <c r="S11962" t="s">
        <v>26</v>
      </c>
    </row>
    <row r="11963" spans="1:19" x14ac:dyDescent="0.3">
      <c r="A11963" t="s">
        <v>25190</v>
      </c>
      <c r="B11963" t="s">
        <v>31098</v>
      </c>
      <c r="C11963" t="s">
        <v>31350</v>
      </c>
      <c r="D11963" t="s">
        <v>25218</v>
      </c>
      <c r="E11963" t="s">
        <v>26941</v>
      </c>
      <c r="F11963" t="s">
        <v>26981</v>
      </c>
      <c r="G11963" t="s">
        <v>26982</v>
      </c>
      <c r="H11963" t="s">
        <v>859</v>
      </c>
      <c r="I11963" t="s">
        <v>860</v>
      </c>
      <c r="J11963" t="str">
        <f>"9390066"</f>
        <v>9390066</v>
      </c>
      <c r="K11963">
        <v>2351051741</v>
      </c>
      <c r="L11963">
        <v>2351051741</v>
      </c>
      <c r="M11963" t="s">
        <v>31351</v>
      </c>
      <c r="N11963" t="s">
        <v>31352</v>
      </c>
      <c r="O11963" t="s">
        <v>26985</v>
      </c>
      <c r="P11963">
        <v>60100</v>
      </c>
      <c r="Q11963" t="str">
        <f>"40.225158"</f>
        <v>40.225158</v>
      </c>
      <c r="R11963" t="str">
        <f>"22.461384"</f>
        <v>22.461384</v>
      </c>
      <c r="S11963" t="s">
        <v>26</v>
      </c>
    </row>
    <row r="11964" spans="1:19" x14ac:dyDescent="0.3">
      <c r="A11964" t="s">
        <v>25190</v>
      </c>
      <c r="B11964" t="s">
        <v>31098</v>
      </c>
      <c r="C11964" t="s">
        <v>31353</v>
      </c>
      <c r="D11964" t="s">
        <v>25218</v>
      </c>
      <c r="E11964" t="s">
        <v>25219</v>
      </c>
      <c r="F11964" t="s">
        <v>25219</v>
      </c>
      <c r="G11964" t="s">
        <v>25219</v>
      </c>
      <c r="H11964" t="s">
        <v>859</v>
      </c>
      <c r="I11964" t="s">
        <v>860</v>
      </c>
      <c r="J11964" t="str">
        <f>"9390098"</f>
        <v>9390098</v>
      </c>
      <c r="K11964">
        <v>2351039091</v>
      </c>
      <c r="M11964" t="s">
        <v>31354</v>
      </c>
      <c r="N11964" t="s">
        <v>25219</v>
      </c>
      <c r="O11964" t="s">
        <v>31355</v>
      </c>
      <c r="P11964">
        <v>60100</v>
      </c>
      <c r="Q11964" t="str">
        <f>"40.273659"</f>
        <v>40.273659</v>
      </c>
      <c r="R11964" t="str">
        <f>"22.527161"</f>
        <v>22.527161</v>
      </c>
      <c r="S11964" t="s">
        <v>26</v>
      </c>
    </row>
    <row r="11965" spans="1:19" x14ac:dyDescent="0.3">
      <c r="A11965" t="s">
        <v>25190</v>
      </c>
      <c r="B11965" t="s">
        <v>31098</v>
      </c>
      <c r="C11965" t="s">
        <v>31356</v>
      </c>
      <c r="D11965" t="s">
        <v>25218</v>
      </c>
      <c r="E11965" t="s">
        <v>25219</v>
      </c>
      <c r="F11965" t="s">
        <v>27025</v>
      </c>
      <c r="G11965" t="s">
        <v>31274</v>
      </c>
      <c r="H11965" t="s">
        <v>859</v>
      </c>
      <c r="I11965" t="s">
        <v>860</v>
      </c>
      <c r="J11965" t="str">
        <f>"9390114"</f>
        <v>9390114</v>
      </c>
      <c r="K11965">
        <v>2351082802</v>
      </c>
      <c r="M11965" t="s">
        <v>31357</v>
      </c>
      <c r="N11965" t="s">
        <v>31274</v>
      </c>
      <c r="O11965" t="s">
        <v>31277</v>
      </c>
      <c r="P11965">
        <v>60132</v>
      </c>
      <c r="Q11965" t="str">
        <f>"40.318193"</f>
        <v>40.318193</v>
      </c>
      <c r="R11965" t="str">
        <f>"22.262505"</f>
        <v>22.262505</v>
      </c>
      <c r="S11965" t="s">
        <v>26</v>
      </c>
    </row>
    <row r="11966" spans="1:19" x14ac:dyDescent="0.3">
      <c r="A11966" t="s">
        <v>25190</v>
      </c>
      <c r="B11966" t="s">
        <v>31098</v>
      </c>
      <c r="C11966" t="s">
        <v>31358</v>
      </c>
      <c r="D11966" t="s">
        <v>25218</v>
      </c>
      <c r="E11966" t="s">
        <v>26941</v>
      </c>
      <c r="F11966" t="s">
        <v>26942</v>
      </c>
      <c r="G11966" t="s">
        <v>19920</v>
      </c>
      <c r="H11966" t="s">
        <v>859</v>
      </c>
      <c r="I11966" t="s">
        <v>860</v>
      </c>
      <c r="J11966" t="str">
        <f>"9390067"</f>
        <v>9390067</v>
      </c>
      <c r="K11966">
        <v>2352031080</v>
      </c>
      <c r="L11966">
        <v>2352031080</v>
      </c>
      <c r="M11966" t="s">
        <v>31359</v>
      </c>
      <c r="N11966" t="s">
        <v>19920</v>
      </c>
      <c r="O11966" t="s">
        <v>31360</v>
      </c>
      <c r="P11966">
        <v>60063</v>
      </c>
      <c r="Q11966" t="str">
        <f>"40.060638"</f>
        <v>40.060638</v>
      </c>
      <c r="R11966" t="str">
        <f>"22.564589"</f>
        <v>22.564589</v>
      </c>
      <c r="S11966" t="s">
        <v>26</v>
      </c>
    </row>
    <row r="11967" spans="1:19" x14ac:dyDescent="0.3">
      <c r="A11967" t="s">
        <v>25190</v>
      </c>
      <c r="B11967" t="s">
        <v>31098</v>
      </c>
      <c r="C11967" t="s">
        <v>31362</v>
      </c>
      <c r="D11967" t="s">
        <v>25218</v>
      </c>
      <c r="E11967" t="s">
        <v>25219</v>
      </c>
      <c r="F11967" t="s">
        <v>27077</v>
      </c>
      <c r="G11967" t="s">
        <v>31361</v>
      </c>
      <c r="H11967" t="s">
        <v>859</v>
      </c>
      <c r="I11967" t="s">
        <v>860</v>
      </c>
      <c r="J11967" t="str">
        <f>"9390172"</f>
        <v>9390172</v>
      </c>
      <c r="K11967">
        <v>2351071696</v>
      </c>
      <c r="M11967" t="s">
        <v>31363</v>
      </c>
      <c r="N11967" t="s">
        <v>31361</v>
      </c>
      <c r="O11967" t="s">
        <v>31364</v>
      </c>
      <c r="P11967">
        <v>60150</v>
      </c>
      <c r="Q11967" t="str">
        <f>"40.358997"</f>
        <v>40.358997</v>
      </c>
      <c r="R11967" t="str">
        <f>"22.544733"</f>
        <v>22.544733</v>
      </c>
      <c r="S11967" t="s">
        <v>26</v>
      </c>
    </row>
    <row r="11968" spans="1:19" x14ac:dyDescent="0.3">
      <c r="A11968" t="s">
        <v>25190</v>
      </c>
      <c r="B11968" t="s">
        <v>31098</v>
      </c>
      <c r="C11968" t="s">
        <v>31365</v>
      </c>
      <c r="D11968" t="s">
        <v>25218</v>
      </c>
      <c r="E11968" t="s">
        <v>25219</v>
      </c>
      <c r="F11968" t="s">
        <v>25219</v>
      </c>
      <c r="G11968" t="s">
        <v>25219</v>
      </c>
      <c r="H11968" t="s">
        <v>859</v>
      </c>
      <c r="I11968" t="s">
        <v>860</v>
      </c>
      <c r="J11968" t="str">
        <f>"9390168"</f>
        <v>9390168</v>
      </c>
      <c r="K11968">
        <v>2351079341</v>
      </c>
      <c r="M11968" t="s">
        <v>31366</v>
      </c>
      <c r="N11968" t="s">
        <v>25219</v>
      </c>
      <c r="O11968" t="s">
        <v>31367</v>
      </c>
      <c r="P11968">
        <v>60100</v>
      </c>
      <c r="Q11968" t="str">
        <f>"40.272650"</f>
        <v>40.272650</v>
      </c>
      <c r="R11968" t="str">
        <f>"22.500948"</f>
        <v>22.500948</v>
      </c>
      <c r="S11968" t="s">
        <v>26</v>
      </c>
    </row>
    <row r="11969" spans="1:19" x14ac:dyDescent="0.3">
      <c r="A11969" t="s">
        <v>25190</v>
      </c>
      <c r="B11969" t="s">
        <v>31098</v>
      </c>
      <c r="C11969" t="s">
        <v>31368</v>
      </c>
      <c r="D11969" t="s">
        <v>25218</v>
      </c>
      <c r="E11969" t="s">
        <v>26941</v>
      </c>
      <c r="F11969" t="s">
        <v>26962</v>
      </c>
      <c r="G11969" t="s">
        <v>26962</v>
      </c>
      <c r="H11969" t="s">
        <v>859</v>
      </c>
      <c r="I11969" t="s">
        <v>860</v>
      </c>
      <c r="J11969" t="str">
        <f>"9390148"</f>
        <v>9390148</v>
      </c>
      <c r="K11969">
        <v>2352081270</v>
      </c>
      <c r="L11969">
        <v>2352081270</v>
      </c>
      <c r="M11969" t="s">
        <v>31369</v>
      </c>
      <c r="N11969" t="s">
        <v>31370</v>
      </c>
      <c r="O11969" t="s">
        <v>31371</v>
      </c>
      <c r="P11969">
        <v>60200</v>
      </c>
      <c r="Q11969" t="str">
        <f>"40.100933"</f>
        <v>40.100933</v>
      </c>
      <c r="R11969" t="str">
        <f>"22.500539"</f>
        <v>22.500539</v>
      </c>
      <c r="S11969" t="s">
        <v>26</v>
      </c>
    </row>
    <row r="11970" spans="1:19" x14ac:dyDescent="0.3">
      <c r="A11970" t="s">
        <v>25190</v>
      </c>
      <c r="B11970" t="s">
        <v>31098</v>
      </c>
      <c r="C11970" t="s">
        <v>31372</v>
      </c>
      <c r="D11970" t="s">
        <v>25218</v>
      </c>
      <c r="E11970" t="s">
        <v>25219</v>
      </c>
      <c r="F11970" t="s">
        <v>25219</v>
      </c>
      <c r="G11970" t="s">
        <v>25219</v>
      </c>
      <c r="H11970" t="s">
        <v>859</v>
      </c>
      <c r="I11970" t="s">
        <v>860</v>
      </c>
      <c r="J11970" t="str">
        <f>"9390100"</f>
        <v>9390100</v>
      </c>
      <c r="K11970">
        <v>2351022080</v>
      </c>
      <c r="M11970" t="s">
        <v>31373</v>
      </c>
      <c r="N11970" t="s">
        <v>25219</v>
      </c>
      <c r="O11970" t="s">
        <v>31374</v>
      </c>
      <c r="P11970">
        <v>60133</v>
      </c>
      <c r="Q11970" t="str">
        <f>"40.275629"</f>
        <v>40.275629</v>
      </c>
      <c r="R11970" t="str">
        <f>"22.491104"</f>
        <v>22.491104</v>
      </c>
      <c r="S11970" t="s">
        <v>26</v>
      </c>
    </row>
    <row r="11971" spans="1:19" x14ac:dyDescent="0.3">
      <c r="A11971" t="s">
        <v>25190</v>
      </c>
      <c r="B11971" t="s">
        <v>31098</v>
      </c>
      <c r="C11971" t="s">
        <v>31380</v>
      </c>
      <c r="D11971" t="s">
        <v>25218</v>
      </c>
      <c r="E11971" t="s">
        <v>25219</v>
      </c>
      <c r="F11971" t="s">
        <v>25219</v>
      </c>
      <c r="G11971" t="s">
        <v>25219</v>
      </c>
      <c r="H11971" t="s">
        <v>859</v>
      </c>
      <c r="I11971" t="s">
        <v>1102</v>
      </c>
      <c r="J11971" t="str">
        <f>"9390185"</f>
        <v>9390185</v>
      </c>
      <c r="K11971">
        <v>2351028859</v>
      </c>
      <c r="L11971">
        <v>2351031493</v>
      </c>
      <c r="M11971" t="s">
        <v>31381</v>
      </c>
      <c r="N11971" t="s">
        <v>25219</v>
      </c>
      <c r="O11971" t="s">
        <v>27076</v>
      </c>
      <c r="P11971">
        <v>60100</v>
      </c>
      <c r="Q11971" t="str">
        <f>"40.308557"</f>
        <v>40.308557</v>
      </c>
      <c r="R11971" t="str">
        <f>"22.497842"</f>
        <v>22.497842</v>
      </c>
      <c r="S11971" t="s">
        <v>26</v>
      </c>
    </row>
    <row r="11972" spans="1:19" x14ac:dyDescent="0.3">
      <c r="A11972" t="s">
        <v>25190</v>
      </c>
      <c r="B11972" t="s">
        <v>31098</v>
      </c>
      <c r="C11972" t="s">
        <v>31401</v>
      </c>
      <c r="D11972" t="s">
        <v>25218</v>
      </c>
      <c r="E11972" t="s">
        <v>26949</v>
      </c>
      <c r="F11972" t="s">
        <v>27066</v>
      </c>
      <c r="G11972" t="s">
        <v>27067</v>
      </c>
      <c r="H11972" t="s">
        <v>859</v>
      </c>
      <c r="I11972" t="s">
        <v>860</v>
      </c>
      <c r="J11972" t="str">
        <f>"9390028"</f>
        <v>9390028</v>
      </c>
      <c r="K11972">
        <v>2353041119</v>
      </c>
      <c r="M11972" t="s">
        <v>31402</v>
      </c>
      <c r="N11972" t="s">
        <v>27067</v>
      </c>
      <c r="O11972" t="s">
        <v>31335</v>
      </c>
      <c r="P11972">
        <v>60300</v>
      </c>
      <c r="Q11972" t="str">
        <f>"40.415483"</f>
        <v>40.415483</v>
      </c>
      <c r="R11972" t="str">
        <f>"22.602143"</f>
        <v>22.602143</v>
      </c>
      <c r="S11972" t="s">
        <v>26</v>
      </c>
    </row>
    <row r="11973" spans="1:19" x14ac:dyDescent="0.3">
      <c r="A11973" t="s">
        <v>25190</v>
      </c>
      <c r="B11973" t="s">
        <v>31098</v>
      </c>
      <c r="C11973" t="s">
        <v>31412</v>
      </c>
      <c r="D11973" t="s">
        <v>25218</v>
      </c>
      <c r="E11973" t="s">
        <v>26949</v>
      </c>
      <c r="F11973" t="s">
        <v>26955</v>
      </c>
      <c r="G11973" t="s">
        <v>26955</v>
      </c>
      <c r="H11973" t="s">
        <v>859</v>
      </c>
      <c r="I11973" t="s">
        <v>860</v>
      </c>
      <c r="J11973" t="str">
        <f>"9390002"</f>
        <v>9390002</v>
      </c>
      <c r="K11973">
        <v>2353022719</v>
      </c>
      <c r="L11973">
        <v>2353022719</v>
      </c>
      <c r="M11973" t="s">
        <v>31413</v>
      </c>
      <c r="N11973" t="s">
        <v>31184</v>
      </c>
      <c r="O11973" t="s">
        <v>31414</v>
      </c>
      <c r="P11973">
        <v>60300</v>
      </c>
      <c r="Q11973" t="str">
        <f>"40.501332"</f>
        <v>40.501332</v>
      </c>
      <c r="R11973" t="str">
        <f>"22.539892"</f>
        <v>22.539892</v>
      </c>
      <c r="S11973" t="s">
        <v>26</v>
      </c>
    </row>
    <row r="11974" spans="1:19" x14ac:dyDescent="0.3">
      <c r="A11974" t="s">
        <v>25190</v>
      </c>
      <c r="B11974" t="s">
        <v>31098</v>
      </c>
      <c r="C11974" t="s">
        <v>31423</v>
      </c>
      <c r="D11974" t="s">
        <v>25218</v>
      </c>
      <c r="E11974" t="s">
        <v>26941</v>
      </c>
      <c r="F11974" t="s">
        <v>26942</v>
      </c>
      <c r="G11974" t="s">
        <v>19920</v>
      </c>
      <c r="H11974" t="s">
        <v>859</v>
      </c>
      <c r="I11974" t="s">
        <v>860</v>
      </c>
      <c r="J11974" t="str">
        <f>"9390180"</f>
        <v>9390180</v>
      </c>
      <c r="K11974">
        <v>2352032097</v>
      </c>
      <c r="L11974">
        <v>2352032097</v>
      </c>
      <c r="M11974" t="s">
        <v>31424</v>
      </c>
      <c r="N11974" t="s">
        <v>31425</v>
      </c>
      <c r="O11974" t="s">
        <v>31360</v>
      </c>
      <c r="P11974">
        <v>60063</v>
      </c>
      <c r="Q11974" t="str">
        <f>"40.062359"</f>
        <v>40.062359</v>
      </c>
      <c r="R11974" t="str">
        <f>"22.564516"</f>
        <v>22.564516</v>
      </c>
      <c r="S11974" t="s">
        <v>26</v>
      </c>
    </row>
    <row r="11975" spans="1:19" x14ac:dyDescent="0.3">
      <c r="A11975" t="s">
        <v>25190</v>
      </c>
      <c r="B11975" t="s">
        <v>31098</v>
      </c>
      <c r="C11975" t="s">
        <v>31428</v>
      </c>
      <c r="D11975" t="s">
        <v>25218</v>
      </c>
      <c r="E11975" t="s">
        <v>26941</v>
      </c>
      <c r="F11975" t="s">
        <v>26962</v>
      </c>
      <c r="G11975" t="s">
        <v>26962</v>
      </c>
      <c r="H11975" t="s">
        <v>859</v>
      </c>
      <c r="I11975" t="s">
        <v>860</v>
      </c>
      <c r="J11975" t="str">
        <f>"9390153"</f>
        <v>9390153</v>
      </c>
      <c r="K11975">
        <v>2352082630</v>
      </c>
      <c r="L11975">
        <v>2352082630</v>
      </c>
      <c r="M11975" t="s">
        <v>31429</v>
      </c>
      <c r="N11975" t="s">
        <v>31370</v>
      </c>
      <c r="O11975" t="s">
        <v>31430</v>
      </c>
      <c r="P11975">
        <v>60200</v>
      </c>
      <c r="Q11975" t="str">
        <f>"40.103923"</f>
        <v>40.103923</v>
      </c>
      <c r="R11975" t="str">
        <f>"22.509007"</f>
        <v>22.509007</v>
      </c>
      <c r="S11975" t="s">
        <v>26</v>
      </c>
    </row>
    <row r="11976" spans="1:19" x14ac:dyDescent="0.3">
      <c r="A11976" t="s">
        <v>25190</v>
      </c>
      <c r="B11976" t="s">
        <v>31098</v>
      </c>
      <c r="C11976" t="s">
        <v>31485</v>
      </c>
      <c r="D11976" t="s">
        <v>25218</v>
      </c>
      <c r="E11976" t="s">
        <v>26941</v>
      </c>
      <c r="F11976" t="s">
        <v>26962</v>
      </c>
      <c r="G11976" t="s">
        <v>26962</v>
      </c>
      <c r="H11976" t="s">
        <v>859</v>
      </c>
      <c r="I11976" t="s">
        <v>860</v>
      </c>
      <c r="J11976" t="str">
        <f>"9390188"</f>
        <v>9390188</v>
      </c>
      <c r="K11976">
        <v>2352084233</v>
      </c>
      <c r="L11976">
        <v>2352084233</v>
      </c>
      <c r="M11976" t="s">
        <v>31486</v>
      </c>
      <c r="N11976" t="s">
        <v>26962</v>
      </c>
      <c r="O11976" t="s">
        <v>31435</v>
      </c>
      <c r="P11976">
        <v>60200</v>
      </c>
      <c r="Q11976" t="str">
        <f>"40.098154"</f>
        <v>40.098154</v>
      </c>
      <c r="R11976" t="str">
        <f>"22.502522"</f>
        <v>22.502522</v>
      </c>
      <c r="S11976" t="s">
        <v>26</v>
      </c>
    </row>
    <row r="11977" spans="1:19" x14ac:dyDescent="0.3">
      <c r="A11977" t="s">
        <v>25190</v>
      </c>
      <c r="B11977" t="s">
        <v>31098</v>
      </c>
      <c r="C11977" t="s">
        <v>31487</v>
      </c>
      <c r="D11977" t="s">
        <v>25218</v>
      </c>
      <c r="E11977" t="s">
        <v>25219</v>
      </c>
      <c r="F11977" t="s">
        <v>25219</v>
      </c>
      <c r="G11977" t="s">
        <v>31479</v>
      </c>
      <c r="H11977" t="s">
        <v>859</v>
      </c>
      <c r="I11977" t="s">
        <v>860</v>
      </c>
      <c r="J11977" t="str">
        <f>"9390086"</f>
        <v>9390086</v>
      </c>
      <c r="K11977">
        <v>2351030268</v>
      </c>
      <c r="L11977">
        <v>2351030268</v>
      </c>
      <c r="M11977" t="s">
        <v>31488</v>
      </c>
      <c r="N11977" t="s">
        <v>31482</v>
      </c>
      <c r="O11977" t="s">
        <v>31483</v>
      </c>
      <c r="P11977">
        <v>60100</v>
      </c>
      <c r="Q11977" t="str">
        <f>"40.269714"</f>
        <v>40.269714</v>
      </c>
      <c r="R11977" t="str">
        <f>"22.465582"</f>
        <v>22.465582</v>
      </c>
      <c r="S11977" t="s">
        <v>26</v>
      </c>
    </row>
    <row r="11978" spans="1:19" x14ac:dyDescent="0.3">
      <c r="A11978" t="s">
        <v>25190</v>
      </c>
      <c r="B11978" t="s">
        <v>31098</v>
      </c>
      <c r="C11978" t="s">
        <v>31491</v>
      </c>
      <c r="D11978" t="s">
        <v>25218</v>
      </c>
      <c r="E11978" t="s">
        <v>25219</v>
      </c>
      <c r="F11978" t="s">
        <v>25219</v>
      </c>
      <c r="G11978" t="s">
        <v>25219</v>
      </c>
      <c r="H11978" t="s">
        <v>859</v>
      </c>
      <c r="I11978" t="s">
        <v>860</v>
      </c>
      <c r="J11978" t="str">
        <f>"9521147"</f>
        <v>9521147</v>
      </c>
      <c r="K11978">
        <v>2351047858</v>
      </c>
      <c r="L11978">
        <v>2351047858</v>
      </c>
      <c r="M11978" t="s">
        <v>31492</v>
      </c>
      <c r="N11978" t="s">
        <v>26969</v>
      </c>
      <c r="O11978" t="s">
        <v>31302</v>
      </c>
      <c r="P11978">
        <v>60100</v>
      </c>
      <c r="Q11978" t="str">
        <f>"40.278278"</f>
        <v>40.278278</v>
      </c>
      <c r="R11978" t="str">
        <f>"22.512485"</f>
        <v>22.512485</v>
      </c>
      <c r="S11978" t="s">
        <v>26</v>
      </c>
    </row>
    <row r="11979" spans="1:19" x14ac:dyDescent="0.3">
      <c r="A11979" t="s">
        <v>25190</v>
      </c>
      <c r="B11979" t="s">
        <v>31098</v>
      </c>
      <c r="C11979" t="s">
        <v>31493</v>
      </c>
      <c r="D11979" t="s">
        <v>25218</v>
      </c>
      <c r="E11979" t="s">
        <v>25219</v>
      </c>
      <c r="F11979" t="s">
        <v>27077</v>
      </c>
      <c r="G11979" t="s">
        <v>27077</v>
      </c>
      <c r="H11979" t="s">
        <v>859</v>
      </c>
      <c r="I11979" t="s">
        <v>860</v>
      </c>
      <c r="J11979" t="str">
        <f>"9521235"</f>
        <v>9521235</v>
      </c>
      <c r="K11979">
        <v>2351042267</v>
      </c>
      <c r="M11979" t="s">
        <v>31494</v>
      </c>
      <c r="N11979" t="s">
        <v>27077</v>
      </c>
      <c r="O11979" t="s">
        <v>31495</v>
      </c>
      <c r="P11979">
        <v>60062</v>
      </c>
      <c r="Q11979" t="str">
        <f>"40.314717"</f>
        <v>40.314717</v>
      </c>
      <c r="R11979" t="str">
        <f>"22.588752"</f>
        <v>22.588752</v>
      </c>
      <c r="S11979" t="s">
        <v>26</v>
      </c>
    </row>
    <row r="11980" spans="1:19" x14ac:dyDescent="0.3">
      <c r="A11980" t="s">
        <v>25190</v>
      </c>
      <c r="B11980" t="s">
        <v>31098</v>
      </c>
      <c r="C11980" t="s">
        <v>31496</v>
      </c>
      <c r="D11980" t="s">
        <v>25218</v>
      </c>
      <c r="E11980" t="s">
        <v>26941</v>
      </c>
      <c r="F11980" t="s">
        <v>26942</v>
      </c>
      <c r="G11980" t="s">
        <v>19920</v>
      </c>
      <c r="H11980" t="s">
        <v>859</v>
      </c>
      <c r="I11980" t="s">
        <v>860</v>
      </c>
      <c r="J11980" t="str">
        <f>"9521544"</f>
        <v>9521544</v>
      </c>
      <c r="K11980">
        <v>2352033856</v>
      </c>
      <c r="L11980">
        <v>2352033856</v>
      </c>
      <c r="M11980" t="s">
        <v>31497</v>
      </c>
      <c r="N11980" t="s">
        <v>19920</v>
      </c>
      <c r="O11980" t="s">
        <v>19923</v>
      </c>
      <c r="P11980">
        <v>60063</v>
      </c>
      <c r="Q11980" t="str">
        <f>"40.060327"</f>
        <v>40.060327</v>
      </c>
      <c r="R11980" t="str">
        <f>"22.564395"</f>
        <v>22.564395</v>
      </c>
      <c r="S11980" t="s">
        <v>26</v>
      </c>
    </row>
    <row r="11981" spans="1:19" x14ac:dyDescent="0.3">
      <c r="A11981" t="s">
        <v>25190</v>
      </c>
      <c r="B11981" t="s">
        <v>31098</v>
      </c>
      <c r="C11981" t="s">
        <v>31502</v>
      </c>
      <c r="D11981" t="s">
        <v>25218</v>
      </c>
      <c r="E11981" t="s">
        <v>25219</v>
      </c>
      <c r="F11981" t="s">
        <v>12466</v>
      </c>
      <c r="G11981" t="s">
        <v>31139</v>
      </c>
      <c r="H11981" t="s">
        <v>859</v>
      </c>
      <c r="I11981" t="s">
        <v>860</v>
      </c>
      <c r="J11981" t="str">
        <f>"9390157"</f>
        <v>9390157</v>
      </c>
      <c r="K11981">
        <v>2351098506</v>
      </c>
      <c r="L11981">
        <v>2351098506</v>
      </c>
      <c r="M11981" t="s">
        <v>31503</v>
      </c>
      <c r="N11981" t="s">
        <v>31139</v>
      </c>
      <c r="O11981" t="s">
        <v>31142</v>
      </c>
      <c r="P11981">
        <v>60100</v>
      </c>
      <c r="Q11981" t="str">
        <f>"40.264892"</f>
        <v>40.264892</v>
      </c>
      <c r="R11981" t="str">
        <f>"22.398045"</f>
        <v>22.398045</v>
      </c>
      <c r="S11981" t="s">
        <v>26</v>
      </c>
    </row>
    <row r="11982" spans="1:19" x14ac:dyDescent="0.3">
      <c r="A11982" t="s">
        <v>25190</v>
      </c>
      <c r="B11982" t="s">
        <v>31098</v>
      </c>
      <c r="C11982" t="s">
        <v>31504</v>
      </c>
      <c r="D11982" t="s">
        <v>25218</v>
      </c>
      <c r="E11982" t="s">
        <v>26941</v>
      </c>
      <c r="F11982" t="s">
        <v>26962</v>
      </c>
      <c r="G11982" t="s">
        <v>26962</v>
      </c>
      <c r="H11982" t="s">
        <v>859</v>
      </c>
      <c r="I11982" t="s">
        <v>860</v>
      </c>
      <c r="J11982" t="str">
        <f>"9521305"</f>
        <v>9521305</v>
      </c>
      <c r="K11982">
        <v>2352084715</v>
      </c>
      <c r="L11982">
        <v>2352084715</v>
      </c>
      <c r="M11982" t="s">
        <v>31505</v>
      </c>
      <c r="N11982" t="s">
        <v>31370</v>
      </c>
      <c r="O11982" t="s">
        <v>31506</v>
      </c>
      <c r="P11982">
        <v>60200</v>
      </c>
      <c r="Q11982" t="str">
        <f>"40.105717"</f>
        <v>40.105717</v>
      </c>
      <c r="R11982" t="str">
        <f>"22.502609"</f>
        <v>22.502609</v>
      </c>
      <c r="S11982" t="s">
        <v>26</v>
      </c>
    </row>
    <row r="11983" spans="1:19" x14ac:dyDescent="0.3">
      <c r="A11983" t="s">
        <v>25190</v>
      </c>
      <c r="B11983" t="s">
        <v>31098</v>
      </c>
      <c r="C11983" t="s">
        <v>31507</v>
      </c>
      <c r="D11983" t="s">
        <v>25218</v>
      </c>
      <c r="E11983" t="s">
        <v>25219</v>
      </c>
      <c r="F11983" t="s">
        <v>25219</v>
      </c>
      <c r="G11983" t="s">
        <v>25219</v>
      </c>
      <c r="H11983" t="s">
        <v>859</v>
      </c>
      <c r="I11983" t="s">
        <v>860</v>
      </c>
      <c r="J11983" t="str">
        <f>"9521543"</f>
        <v>9521543</v>
      </c>
      <c r="K11983">
        <v>2351047599</v>
      </c>
      <c r="L11983">
        <v>2351047599</v>
      </c>
      <c r="M11983" t="s">
        <v>31508</v>
      </c>
      <c r="N11983" t="s">
        <v>25219</v>
      </c>
      <c r="O11983" t="s">
        <v>31509</v>
      </c>
      <c r="P11983">
        <v>60100</v>
      </c>
      <c r="Q11983" t="str">
        <f>"40.272944"</f>
        <v>40.272944</v>
      </c>
      <c r="R11983" t="str">
        <f>"22.528487"</f>
        <v>22.528487</v>
      </c>
      <c r="S11983" t="s">
        <v>26</v>
      </c>
    </row>
    <row r="11984" spans="1:19" x14ac:dyDescent="0.3">
      <c r="A11984" t="s">
        <v>25190</v>
      </c>
      <c r="B11984" t="s">
        <v>31098</v>
      </c>
      <c r="C11984" t="s">
        <v>31513</v>
      </c>
      <c r="D11984" t="s">
        <v>25218</v>
      </c>
      <c r="E11984" t="s">
        <v>25219</v>
      </c>
      <c r="F11984" t="s">
        <v>25219</v>
      </c>
      <c r="G11984" t="s">
        <v>25219</v>
      </c>
      <c r="H11984" t="s">
        <v>859</v>
      </c>
      <c r="I11984" t="s">
        <v>860</v>
      </c>
      <c r="J11984" t="str">
        <f>"9521635"</f>
        <v>9521635</v>
      </c>
      <c r="K11984">
        <v>2351035622</v>
      </c>
      <c r="L11984">
        <v>2351035622</v>
      </c>
      <c r="M11984" t="s">
        <v>31514</v>
      </c>
      <c r="N11984" t="s">
        <v>25219</v>
      </c>
      <c r="O11984" t="s">
        <v>31515</v>
      </c>
      <c r="P11984">
        <v>60133</v>
      </c>
      <c r="Q11984" t="str">
        <f>"40.277375"</f>
        <v>40.277375</v>
      </c>
      <c r="R11984" t="str">
        <f>"22.494551"</f>
        <v>22.494551</v>
      </c>
      <c r="S11984" t="s">
        <v>26</v>
      </c>
    </row>
    <row r="11985" spans="1:19" x14ac:dyDescent="0.3">
      <c r="A11985" t="s">
        <v>25190</v>
      </c>
      <c r="B11985" t="s">
        <v>31524</v>
      </c>
      <c r="C11985" t="s">
        <v>31526</v>
      </c>
      <c r="D11985" t="s">
        <v>25224</v>
      </c>
      <c r="E11985" t="s">
        <v>27106</v>
      </c>
      <c r="F11985" t="s">
        <v>31525</v>
      </c>
      <c r="G11985" t="s">
        <v>31525</v>
      </c>
      <c r="H11985" t="s">
        <v>859</v>
      </c>
      <c r="I11985" t="s">
        <v>860</v>
      </c>
      <c r="J11985" t="str">
        <f>"9440217"</f>
        <v>9440217</v>
      </c>
      <c r="K11985">
        <v>2323041303</v>
      </c>
      <c r="L11985">
        <v>2323041303</v>
      </c>
      <c r="M11985" t="s">
        <v>31527</v>
      </c>
      <c r="N11985" t="s">
        <v>31528</v>
      </c>
      <c r="O11985" t="s">
        <v>31528</v>
      </c>
      <c r="P11985">
        <v>62300</v>
      </c>
      <c r="Q11985" t="str">
        <f>"41.376445"</f>
        <v>41.376445</v>
      </c>
      <c r="R11985" t="str">
        <f>"23.443122"</f>
        <v>23.443122</v>
      </c>
      <c r="S11985" t="s">
        <v>26</v>
      </c>
    </row>
    <row r="11986" spans="1:19" x14ac:dyDescent="0.3">
      <c r="A11986" t="s">
        <v>25190</v>
      </c>
      <c r="B11986" t="s">
        <v>31524</v>
      </c>
      <c r="C11986" t="s">
        <v>31529</v>
      </c>
      <c r="D11986" t="s">
        <v>25224</v>
      </c>
      <c r="E11986" t="s">
        <v>25224</v>
      </c>
      <c r="F11986" t="s">
        <v>25224</v>
      </c>
      <c r="G11986" t="s">
        <v>25224</v>
      </c>
      <c r="H11986" t="s">
        <v>859</v>
      </c>
      <c r="I11986" t="s">
        <v>860</v>
      </c>
      <c r="J11986" t="str">
        <f>"9520613"</f>
        <v>9520613</v>
      </c>
      <c r="K11986">
        <v>2321046507</v>
      </c>
      <c r="L11986">
        <v>2321046507</v>
      </c>
      <c r="M11986" t="s">
        <v>31530</v>
      </c>
      <c r="N11986" t="s">
        <v>25224</v>
      </c>
      <c r="O11986" t="s">
        <v>31531</v>
      </c>
      <c r="P11986">
        <v>62124</v>
      </c>
      <c r="Q11986" t="str">
        <f>"41.082479"</f>
        <v>41.082479</v>
      </c>
      <c r="R11986" t="str">
        <f>"23.549795"</f>
        <v>23.549795</v>
      </c>
      <c r="S11986" t="s">
        <v>26</v>
      </c>
    </row>
    <row r="11987" spans="1:19" x14ac:dyDescent="0.3">
      <c r="A11987" t="s">
        <v>25190</v>
      </c>
      <c r="B11987" t="s">
        <v>31524</v>
      </c>
      <c r="C11987" t="s">
        <v>31534</v>
      </c>
      <c r="D11987" t="s">
        <v>25224</v>
      </c>
      <c r="E11987" t="s">
        <v>25224</v>
      </c>
      <c r="F11987" t="s">
        <v>25224</v>
      </c>
      <c r="G11987" t="s">
        <v>25224</v>
      </c>
      <c r="H11987" t="s">
        <v>859</v>
      </c>
      <c r="I11987" t="s">
        <v>860</v>
      </c>
      <c r="J11987" t="str">
        <f>"9440357"</f>
        <v>9440357</v>
      </c>
      <c r="K11987">
        <v>2321023238</v>
      </c>
      <c r="M11987" t="s">
        <v>31535</v>
      </c>
      <c r="N11987" t="s">
        <v>25224</v>
      </c>
      <c r="O11987" t="s">
        <v>31536</v>
      </c>
      <c r="P11987">
        <v>62125</v>
      </c>
      <c r="Q11987" t="str">
        <f>"41.086909"</f>
        <v>41.086909</v>
      </c>
      <c r="R11987" t="str">
        <f>"23.537384"</f>
        <v>23.537384</v>
      </c>
      <c r="S11987" t="s">
        <v>26</v>
      </c>
    </row>
    <row r="11988" spans="1:19" x14ac:dyDescent="0.3">
      <c r="A11988" t="s">
        <v>25190</v>
      </c>
      <c r="B11988" t="s">
        <v>31524</v>
      </c>
      <c r="C11988" t="s">
        <v>31537</v>
      </c>
      <c r="D11988" t="s">
        <v>25224</v>
      </c>
      <c r="E11988" t="s">
        <v>25224</v>
      </c>
      <c r="F11988" t="s">
        <v>25224</v>
      </c>
      <c r="G11988" t="s">
        <v>25224</v>
      </c>
      <c r="H11988" t="s">
        <v>859</v>
      </c>
      <c r="I11988" t="s">
        <v>860</v>
      </c>
      <c r="J11988" t="str">
        <f>"9520785"</f>
        <v>9520785</v>
      </c>
      <c r="K11988">
        <v>2321047906</v>
      </c>
      <c r="M11988" t="s">
        <v>31538</v>
      </c>
      <c r="N11988" t="s">
        <v>25224</v>
      </c>
      <c r="O11988" t="s">
        <v>31539</v>
      </c>
      <c r="P11988">
        <v>62100</v>
      </c>
      <c r="Q11988" t="str">
        <f>"41.079481"</f>
        <v>41.079481</v>
      </c>
      <c r="R11988" t="str">
        <f>"23.533874"</f>
        <v>23.533874</v>
      </c>
      <c r="S11988" t="s">
        <v>26</v>
      </c>
    </row>
    <row r="11989" spans="1:19" x14ac:dyDescent="0.3">
      <c r="A11989" t="s">
        <v>25190</v>
      </c>
      <c r="B11989" t="s">
        <v>31524</v>
      </c>
      <c r="C11989" t="s">
        <v>31543</v>
      </c>
      <c r="D11989" t="s">
        <v>25224</v>
      </c>
      <c r="E11989" t="s">
        <v>25224</v>
      </c>
      <c r="F11989" t="s">
        <v>25224</v>
      </c>
      <c r="G11989" t="s">
        <v>25224</v>
      </c>
      <c r="H11989" t="s">
        <v>859</v>
      </c>
      <c r="I11989" t="s">
        <v>860</v>
      </c>
      <c r="J11989" t="str">
        <f>"9520788"</f>
        <v>9520788</v>
      </c>
      <c r="K11989">
        <v>2321020447</v>
      </c>
      <c r="M11989" t="s">
        <v>31544</v>
      </c>
      <c r="N11989" t="s">
        <v>25224</v>
      </c>
      <c r="O11989" t="s">
        <v>31545</v>
      </c>
      <c r="P11989">
        <v>62121</v>
      </c>
      <c r="Q11989" t="str">
        <f>"41.087341"</f>
        <v>41.087341</v>
      </c>
      <c r="R11989" t="str">
        <f>"23.539250"</f>
        <v>23.539250</v>
      </c>
      <c r="S11989" t="s">
        <v>26</v>
      </c>
    </row>
    <row r="11990" spans="1:19" x14ac:dyDescent="0.3">
      <c r="A11990" t="s">
        <v>25190</v>
      </c>
      <c r="B11990" t="s">
        <v>31524</v>
      </c>
      <c r="C11990" t="s">
        <v>31547</v>
      </c>
      <c r="D11990" t="s">
        <v>25224</v>
      </c>
      <c r="E11990" t="s">
        <v>25224</v>
      </c>
      <c r="F11990" t="s">
        <v>27289</v>
      </c>
      <c r="G11990" t="s">
        <v>31546</v>
      </c>
      <c r="H11990" t="s">
        <v>859</v>
      </c>
      <c r="I11990" t="s">
        <v>860</v>
      </c>
      <c r="J11990" t="str">
        <f>"9440166"</f>
        <v>9440166</v>
      </c>
      <c r="K11990">
        <v>2321078855</v>
      </c>
      <c r="M11990" t="s">
        <v>31548</v>
      </c>
      <c r="N11990" t="s">
        <v>31546</v>
      </c>
      <c r="O11990" t="s">
        <v>31549</v>
      </c>
      <c r="P11990">
        <v>62100</v>
      </c>
      <c r="Q11990" t="str">
        <f>"41.100145"</f>
        <v>41.100145</v>
      </c>
      <c r="R11990" t="str">
        <f>"23.422572"</f>
        <v>23.422572</v>
      </c>
      <c r="S11990" t="s">
        <v>26</v>
      </c>
    </row>
    <row r="11991" spans="1:19" x14ac:dyDescent="0.3">
      <c r="A11991" t="s">
        <v>25190</v>
      </c>
      <c r="B11991" t="s">
        <v>31524</v>
      </c>
      <c r="C11991" t="s">
        <v>31550</v>
      </c>
      <c r="D11991" t="s">
        <v>25224</v>
      </c>
      <c r="E11991" t="s">
        <v>25224</v>
      </c>
      <c r="F11991" t="s">
        <v>27289</v>
      </c>
      <c r="G11991" t="s">
        <v>27289</v>
      </c>
      <c r="H11991" t="s">
        <v>859</v>
      </c>
      <c r="I11991" t="s">
        <v>860</v>
      </c>
      <c r="J11991" t="str">
        <f>"9440173"</f>
        <v>9440173</v>
      </c>
      <c r="K11991">
        <v>2321050353</v>
      </c>
      <c r="M11991" t="s">
        <v>31551</v>
      </c>
      <c r="N11991" t="s">
        <v>27289</v>
      </c>
      <c r="O11991" t="s">
        <v>31552</v>
      </c>
      <c r="P11991">
        <v>62121</v>
      </c>
      <c r="Q11991" t="str">
        <f>"41.099869"</f>
        <v>41.099869</v>
      </c>
      <c r="R11991" t="str">
        <f>"23.495823"</f>
        <v>23.495823</v>
      </c>
      <c r="S11991" t="s">
        <v>26</v>
      </c>
    </row>
    <row r="11992" spans="1:19" x14ac:dyDescent="0.3">
      <c r="A11992" t="s">
        <v>25190</v>
      </c>
      <c r="B11992" t="s">
        <v>31524</v>
      </c>
      <c r="C11992" t="s">
        <v>31556</v>
      </c>
      <c r="D11992" t="s">
        <v>25224</v>
      </c>
      <c r="E11992" t="s">
        <v>27143</v>
      </c>
      <c r="F11992" t="s">
        <v>27174</v>
      </c>
      <c r="G11992" t="s">
        <v>27175</v>
      </c>
      <c r="H11992" t="s">
        <v>859</v>
      </c>
      <c r="I11992" t="s">
        <v>860</v>
      </c>
      <c r="J11992" t="str">
        <f>"9440109"</f>
        <v>9440109</v>
      </c>
      <c r="K11992">
        <v>2321032632</v>
      </c>
      <c r="L11992">
        <v>2321032632</v>
      </c>
      <c r="M11992" t="s">
        <v>31557</v>
      </c>
      <c r="N11992" t="s">
        <v>27175</v>
      </c>
      <c r="O11992" t="s">
        <v>31558</v>
      </c>
      <c r="P11992">
        <v>62044</v>
      </c>
      <c r="Q11992" t="str">
        <f>"41.021801"</f>
        <v>41.021801</v>
      </c>
      <c r="R11992" t="str">
        <f>"23.604164"</f>
        <v>23.604164</v>
      </c>
      <c r="S11992" t="s">
        <v>26</v>
      </c>
    </row>
    <row r="11993" spans="1:19" x14ac:dyDescent="0.3">
      <c r="A11993" t="s">
        <v>25190</v>
      </c>
      <c r="B11993" t="s">
        <v>31524</v>
      </c>
      <c r="C11993" t="s">
        <v>31559</v>
      </c>
      <c r="D11993" t="s">
        <v>25224</v>
      </c>
      <c r="E11993" t="s">
        <v>27143</v>
      </c>
      <c r="F11993" t="s">
        <v>27174</v>
      </c>
      <c r="G11993" t="s">
        <v>13744</v>
      </c>
      <c r="H11993" t="s">
        <v>859</v>
      </c>
      <c r="I11993" t="s">
        <v>860</v>
      </c>
      <c r="J11993" t="str">
        <f>"9440115"</f>
        <v>9440115</v>
      </c>
      <c r="K11993">
        <v>2321076695</v>
      </c>
      <c r="L11993">
        <v>2321076695</v>
      </c>
      <c r="M11993" t="s">
        <v>31560</v>
      </c>
      <c r="N11993" t="s">
        <v>13744</v>
      </c>
      <c r="O11993" t="s">
        <v>31561</v>
      </c>
      <c r="P11993">
        <v>62100</v>
      </c>
      <c r="Q11993" t="str">
        <f>"41.053473"</f>
        <v>41.053473</v>
      </c>
      <c r="R11993" t="str">
        <f>"23.580139"</f>
        <v>23.580139</v>
      </c>
      <c r="S11993" t="s">
        <v>26</v>
      </c>
    </row>
    <row r="11994" spans="1:19" x14ac:dyDescent="0.3">
      <c r="A11994" t="s">
        <v>25190</v>
      </c>
      <c r="B11994" t="s">
        <v>31524</v>
      </c>
      <c r="C11994" t="s">
        <v>31564</v>
      </c>
      <c r="D11994" t="s">
        <v>25224</v>
      </c>
      <c r="E11994" t="s">
        <v>25224</v>
      </c>
      <c r="F11994" t="s">
        <v>25224</v>
      </c>
      <c r="G11994" t="s">
        <v>25224</v>
      </c>
      <c r="H11994" t="s">
        <v>859</v>
      </c>
      <c r="I11994" t="s">
        <v>860</v>
      </c>
      <c r="J11994" t="str">
        <f>"9440143"</f>
        <v>9440143</v>
      </c>
      <c r="K11994">
        <v>2321021836</v>
      </c>
      <c r="L11994">
        <v>2321021836</v>
      </c>
      <c r="M11994" t="s">
        <v>31565</v>
      </c>
      <c r="N11994" t="s">
        <v>25224</v>
      </c>
      <c r="O11994" t="s">
        <v>31566</v>
      </c>
      <c r="P11994">
        <v>62121</v>
      </c>
      <c r="Q11994" t="str">
        <f>"41.093252"</f>
        <v>41.093252</v>
      </c>
      <c r="R11994" t="str">
        <f>"23.546440"</f>
        <v>23.546440</v>
      </c>
      <c r="S11994" t="s">
        <v>26</v>
      </c>
    </row>
    <row r="11995" spans="1:19" x14ac:dyDescent="0.3">
      <c r="A11995" t="s">
        <v>25190</v>
      </c>
      <c r="B11995" t="s">
        <v>31524</v>
      </c>
      <c r="C11995" t="s">
        <v>31570</v>
      </c>
      <c r="D11995" t="s">
        <v>25224</v>
      </c>
      <c r="E11995" t="s">
        <v>25224</v>
      </c>
      <c r="F11995" t="s">
        <v>25224</v>
      </c>
      <c r="G11995" t="s">
        <v>25224</v>
      </c>
      <c r="H11995" t="s">
        <v>859</v>
      </c>
      <c r="I11995" t="s">
        <v>860</v>
      </c>
      <c r="J11995" t="str">
        <f>"9440074"</f>
        <v>9440074</v>
      </c>
      <c r="K11995">
        <v>2321035913</v>
      </c>
      <c r="M11995" t="s">
        <v>31571</v>
      </c>
      <c r="N11995" t="s">
        <v>25224</v>
      </c>
      <c r="O11995" t="s">
        <v>31572</v>
      </c>
      <c r="P11995">
        <v>62124</v>
      </c>
      <c r="Q11995" t="str">
        <f>"41.080256"</f>
        <v>41.080256</v>
      </c>
      <c r="R11995" t="str">
        <f>"23.548435"</f>
        <v>23.548435</v>
      </c>
      <c r="S11995" t="s">
        <v>26</v>
      </c>
    </row>
    <row r="11996" spans="1:19" x14ac:dyDescent="0.3">
      <c r="A11996" t="s">
        <v>25190</v>
      </c>
      <c r="B11996" t="s">
        <v>31524</v>
      </c>
      <c r="C11996" t="s">
        <v>31573</v>
      </c>
      <c r="D11996" t="s">
        <v>25224</v>
      </c>
      <c r="E11996" t="s">
        <v>25224</v>
      </c>
      <c r="F11996" t="s">
        <v>25224</v>
      </c>
      <c r="G11996" t="s">
        <v>25224</v>
      </c>
      <c r="H11996" t="s">
        <v>859</v>
      </c>
      <c r="I11996" t="s">
        <v>860</v>
      </c>
      <c r="J11996" t="str">
        <f>"9440078"</f>
        <v>9440078</v>
      </c>
      <c r="K11996">
        <v>2321037978</v>
      </c>
      <c r="L11996">
        <v>2321037978</v>
      </c>
      <c r="M11996" t="s">
        <v>31574</v>
      </c>
      <c r="N11996" t="s">
        <v>25224</v>
      </c>
      <c r="O11996" t="s">
        <v>31575</v>
      </c>
      <c r="P11996">
        <v>62124</v>
      </c>
      <c r="Q11996" t="str">
        <f>"41.081534"</f>
        <v>41.081534</v>
      </c>
      <c r="R11996" t="str">
        <f>"23.554638"</f>
        <v>23.554638</v>
      </c>
      <c r="S11996" t="s">
        <v>26</v>
      </c>
    </row>
    <row r="11997" spans="1:19" x14ac:dyDescent="0.3">
      <c r="A11997" t="s">
        <v>25190</v>
      </c>
      <c r="B11997" t="s">
        <v>31524</v>
      </c>
      <c r="C11997" t="s">
        <v>31576</v>
      </c>
      <c r="D11997" t="s">
        <v>25224</v>
      </c>
      <c r="E11997" t="s">
        <v>25224</v>
      </c>
      <c r="F11997" t="s">
        <v>25224</v>
      </c>
      <c r="G11997" t="s">
        <v>25224</v>
      </c>
      <c r="H11997" t="s">
        <v>859</v>
      </c>
      <c r="I11997" t="s">
        <v>860</v>
      </c>
      <c r="J11997" t="str">
        <f>"9440144"</f>
        <v>9440144</v>
      </c>
      <c r="K11997">
        <v>2321038166</v>
      </c>
      <c r="L11997">
        <v>2321038166</v>
      </c>
      <c r="M11997" t="s">
        <v>31577</v>
      </c>
      <c r="N11997" t="s">
        <v>25224</v>
      </c>
      <c r="O11997" t="s">
        <v>2072</v>
      </c>
      <c r="P11997">
        <v>62125</v>
      </c>
      <c r="Q11997" t="str">
        <f>"41.078969"</f>
        <v>41.078969</v>
      </c>
      <c r="R11997" t="str">
        <f>"23.536037"</f>
        <v>23.536037</v>
      </c>
      <c r="S11997" t="s">
        <v>26</v>
      </c>
    </row>
    <row r="11998" spans="1:19" x14ac:dyDescent="0.3">
      <c r="A11998" t="s">
        <v>25190</v>
      </c>
      <c r="B11998" t="s">
        <v>31524</v>
      </c>
      <c r="C11998" t="s">
        <v>31578</v>
      </c>
      <c r="D11998" t="s">
        <v>25224</v>
      </c>
      <c r="E11998" t="s">
        <v>25224</v>
      </c>
      <c r="F11998" t="s">
        <v>25224</v>
      </c>
      <c r="G11998" t="s">
        <v>25224</v>
      </c>
      <c r="H11998" t="s">
        <v>859</v>
      </c>
      <c r="I11998" t="s">
        <v>860</v>
      </c>
      <c r="J11998" t="str">
        <f>"9440154"</f>
        <v>9440154</v>
      </c>
      <c r="K11998">
        <v>2321045632</v>
      </c>
      <c r="M11998" t="s">
        <v>31579</v>
      </c>
      <c r="N11998" t="s">
        <v>25224</v>
      </c>
      <c r="O11998" t="s">
        <v>31580</v>
      </c>
      <c r="P11998">
        <v>62125</v>
      </c>
      <c r="Q11998" t="str">
        <f>"41.081796"</f>
        <v>41.081796</v>
      </c>
      <c r="R11998" t="str">
        <f>"23.532034"</f>
        <v>23.532034</v>
      </c>
      <c r="S11998" t="s">
        <v>26</v>
      </c>
    </row>
    <row r="11999" spans="1:19" x14ac:dyDescent="0.3">
      <c r="A11999" t="s">
        <v>25190</v>
      </c>
      <c r="B11999" t="s">
        <v>31524</v>
      </c>
      <c r="C11999" t="s">
        <v>31581</v>
      </c>
      <c r="D11999" t="s">
        <v>25224</v>
      </c>
      <c r="E11999" t="s">
        <v>25224</v>
      </c>
      <c r="F11999" t="s">
        <v>25224</v>
      </c>
      <c r="G11999" t="s">
        <v>25224</v>
      </c>
      <c r="H11999" t="s">
        <v>859</v>
      </c>
      <c r="I11999" t="s">
        <v>860</v>
      </c>
      <c r="J11999" t="str">
        <f>"9440142"</f>
        <v>9440142</v>
      </c>
      <c r="K11999">
        <v>2321054417</v>
      </c>
      <c r="M11999" t="s">
        <v>31582</v>
      </c>
      <c r="N11999" t="s">
        <v>25224</v>
      </c>
      <c r="O11999" t="s">
        <v>31536</v>
      </c>
      <c r="P11999">
        <v>62121</v>
      </c>
      <c r="Q11999" t="str">
        <f>"41.086608"</f>
        <v>41.086608</v>
      </c>
      <c r="R11999" t="str">
        <f>"23.537437"</f>
        <v>23.537437</v>
      </c>
      <c r="S11999" t="s">
        <v>26</v>
      </c>
    </row>
    <row r="12000" spans="1:19" x14ac:dyDescent="0.3">
      <c r="A12000" t="s">
        <v>25190</v>
      </c>
      <c r="B12000" t="s">
        <v>31524</v>
      </c>
      <c r="C12000" t="s">
        <v>31583</v>
      </c>
      <c r="D12000" t="s">
        <v>25224</v>
      </c>
      <c r="E12000" t="s">
        <v>25224</v>
      </c>
      <c r="F12000" t="s">
        <v>25224</v>
      </c>
      <c r="G12000" t="s">
        <v>25224</v>
      </c>
      <c r="H12000" t="s">
        <v>859</v>
      </c>
      <c r="I12000" t="s">
        <v>860</v>
      </c>
      <c r="J12000" t="str">
        <f>"9440358"</f>
        <v>9440358</v>
      </c>
      <c r="K12000">
        <v>2321021468</v>
      </c>
      <c r="L12000">
        <v>2321023660</v>
      </c>
      <c r="M12000" t="s">
        <v>31584</v>
      </c>
      <c r="N12000" t="s">
        <v>25224</v>
      </c>
      <c r="O12000" t="s">
        <v>31585</v>
      </c>
      <c r="P12000">
        <v>62121</v>
      </c>
      <c r="Q12000" t="str">
        <f>"41.091071"</f>
        <v>41.091071</v>
      </c>
      <c r="R12000" t="str">
        <f>"23.544455"</f>
        <v>23.544455</v>
      </c>
      <c r="S12000" t="s">
        <v>26</v>
      </c>
    </row>
    <row r="12001" spans="1:19" x14ac:dyDescent="0.3">
      <c r="A12001" t="s">
        <v>25190</v>
      </c>
      <c r="B12001" t="s">
        <v>31524</v>
      </c>
      <c r="C12001" t="s">
        <v>31586</v>
      </c>
      <c r="D12001" t="s">
        <v>25224</v>
      </c>
      <c r="E12001" t="s">
        <v>25224</v>
      </c>
      <c r="F12001" t="s">
        <v>25224</v>
      </c>
      <c r="G12001" t="s">
        <v>25224</v>
      </c>
      <c r="H12001" t="s">
        <v>859</v>
      </c>
      <c r="I12001" t="s">
        <v>860</v>
      </c>
      <c r="J12001" t="str">
        <f>"9440373"</f>
        <v>9440373</v>
      </c>
      <c r="K12001">
        <v>2321046149</v>
      </c>
      <c r="M12001" t="s">
        <v>31587</v>
      </c>
      <c r="N12001" t="s">
        <v>25224</v>
      </c>
      <c r="O12001" t="s">
        <v>31588</v>
      </c>
      <c r="P12001">
        <v>62125</v>
      </c>
      <c r="Q12001" t="str">
        <f>"41.082408"</f>
        <v>41.082408</v>
      </c>
      <c r="R12001" t="str">
        <f>"23.535330"</f>
        <v>23.535330</v>
      </c>
      <c r="S12001" t="s">
        <v>26</v>
      </c>
    </row>
    <row r="12002" spans="1:19" x14ac:dyDescent="0.3">
      <c r="A12002" t="s">
        <v>25190</v>
      </c>
      <c r="B12002" t="s">
        <v>31524</v>
      </c>
      <c r="C12002" t="s">
        <v>31589</v>
      </c>
      <c r="D12002" t="s">
        <v>25224</v>
      </c>
      <c r="E12002" t="s">
        <v>25224</v>
      </c>
      <c r="F12002" t="s">
        <v>25224</v>
      </c>
      <c r="G12002" t="s">
        <v>25224</v>
      </c>
      <c r="H12002" t="s">
        <v>859</v>
      </c>
      <c r="I12002" t="s">
        <v>860</v>
      </c>
      <c r="J12002" t="str">
        <f>"9440384"</f>
        <v>9440384</v>
      </c>
      <c r="K12002">
        <v>2321037317</v>
      </c>
      <c r="M12002" t="s">
        <v>31590</v>
      </c>
      <c r="N12002" t="s">
        <v>25224</v>
      </c>
      <c r="O12002" t="s">
        <v>31591</v>
      </c>
      <c r="P12002">
        <v>62125</v>
      </c>
      <c r="Q12002" t="str">
        <f>"41.086613"</f>
        <v>41.086613</v>
      </c>
      <c r="R12002" t="str">
        <f>"23.543062"</f>
        <v>23.543062</v>
      </c>
      <c r="S12002" t="s">
        <v>26</v>
      </c>
    </row>
    <row r="12003" spans="1:19" x14ac:dyDescent="0.3">
      <c r="A12003" t="s">
        <v>25190</v>
      </c>
      <c r="B12003" t="s">
        <v>31524</v>
      </c>
      <c r="C12003" t="s">
        <v>31602</v>
      </c>
      <c r="D12003" t="s">
        <v>25224</v>
      </c>
      <c r="E12003" t="s">
        <v>25224</v>
      </c>
      <c r="F12003" t="s">
        <v>25224</v>
      </c>
      <c r="G12003" t="s">
        <v>25224</v>
      </c>
      <c r="H12003" t="s">
        <v>859</v>
      </c>
      <c r="I12003" t="s">
        <v>860</v>
      </c>
      <c r="J12003" t="str">
        <f>"9440076"</f>
        <v>9440076</v>
      </c>
      <c r="K12003">
        <v>2321038155</v>
      </c>
      <c r="M12003" t="s">
        <v>31603</v>
      </c>
      <c r="N12003" t="s">
        <v>25224</v>
      </c>
      <c r="O12003" t="s">
        <v>31604</v>
      </c>
      <c r="P12003">
        <v>62124</v>
      </c>
      <c r="Q12003" t="str">
        <f>"41.082835"</f>
        <v>41.082835</v>
      </c>
      <c r="R12003" t="str">
        <f>"23.546354"</f>
        <v>23.546354</v>
      </c>
      <c r="S12003" t="s">
        <v>26</v>
      </c>
    </row>
    <row r="12004" spans="1:19" x14ac:dyDescent="0.3">
      <c r="A12004" t="s">
        <v>25190</v>
      </c>
      <c r="B12004" t="s">
        <v>31524</v>
      </c>
      <c r="C12004" t="s">
        <v>31605</v>
      </c>
      <c r="D12004" t="s">
        <v>25224</v>
      </c>
      <c r="E12004" t="s">
        <v>25224</v>
      </c>
      <c r="F12004" t="s">
        <v>25224</v>
      </c>
      <c r="G12004" t="s">
        <v>25224</v>
      </c>
      <c r="H12004" t="s">
        <v>859</v>
      </c>
      <c r="I12004" t="s">
        <v>860</v>
      </c>
      <c r="J12004" t="str">
        <f>"9440396"</f>
        <v>9440396</v>
      </c>
      <c r="K12004">
        <v>2321035821</v>
      </c>
      <c r="M12004" t="s">
        <v>31606</v>
      </c>
      <c r="N12004" t="s">
        <v>25224</v>
      </c>
      <c r="O12004" t="s">
        <v>31607</v>
      </c>
      <c r="P12004">
        <v>62123</v>
      </c>
      <c r="Q12004" t="str">
        <f>"41.083687"</f>
        <v>41.083687</v>
      </c>
      <c r="R12004" t="str">
        <f>"23.547614"</f>
        <v>23.547614</v>
      </c>
      <c r="S12004" t="s">
        <v>26</v>
      </c>
    </row>
    <row r="12005" spans="1:19" x14ac:dyDescent="0.3">
      <c r="A12005" t="s">
        <v>25190</v>
      </c>
      <c r="B12005" t="s">
        <v>31524</v>
      </c>
      <c r="C12005" t="s">
        <v>31614</v>
      </c>
      <c r="D12005" t="s">
        <v>25224</v>
      </c>
      <c r="E12005" t="s">
        <v>25224</v>
      </c>
      <c r="F12005" t="s">
        <v>25224</v>
      </c>
      <c r="G12005" t="s">
        <v>25224</v>
      </c>
      <c r="H12005" t="s">
        <v>859</v>
      </c>
      <c r="I12005" t="s">
        <v>860</v>
      </c>
      <c r="J12005" t="str">
        <f>"9440403"</f>
        <v>9440403</v>
      </c>
      <c r="K12005">
        <v>2321023238</v>
      </c>
      <c r="M12005" t="s">
        <v>31615</v>
      </c>
      <c r="N12005" t="s">
        <v>25224</v>
      </c>
      <c r="O12005" t="s">
        <v>31536</v>
      </c>
      <c r="P12005">
        <v>62125</v>
      </c>
      <c r="Q12005" t="str">
        <f>"41.086942"</f>
        <v>41.086942</v>
      </c>
      <c r="R12005" t="str">
        <f>"23.537555"</f>
        <v>23.537555</v>
      </c>
      <c r="S12005" t="s">
        <v>26</v>
      </c>
    </row>
    <row r="12006" spans="1:19" x14ac:dyDescent="0.3">
      <c r="A12006" t="s">
        <v>25190</v>
      </c>
      <c r="B12006" t="s">
        <v>31524</v>
      </c>
      <c r="C12006" t="s">
        <v>31618</v>
      </c>
      <c r="D12006" t="s">
        <v>25224</v>
      </c>
      <c r="E12006" t="s">
        <v>25224</v>
      </c>
      <c r="F12006" t="s">
        <v>25224</v>
      </c>
      <c r="G12006" t="s">
        <v>25224</v>
      </c>
      <c r="H12006" t="s">
        <v>859</v>
      </c>
      <c r="I12006" t="s">
        <v>860</v>
      </c>
      <c r="J12006" t="str">
        <f>"9440404"</f>
        <v>9440404</v>
      </c>
      <c r="K12006">
        <v>2321059773</v>
      </c>
      <c r="M12006" t="s">
        <v>31619</v>
      </c>
      <c r="N12006" t="s">
        <v>25224</v>
      </c>
      <c r="O12006" t="s">
        <v>31591</v>
      </c>
      <c r="P12006">
        <v>62125</v>
      </c>
      <c r="Q12006" t="str">
        <f>"41.086613"</f>
        <v>41.086613</v>
      </c>
      <c r="R12006" t="str">
        <f>"23.543062"</f>
        <v>23.543062</v>
      </c>
      <c r="S12006" t="s">
        <v>26</v>
      </c>
    </row>
    <row r="12007" spans="1:19" x14ac:dyDescent="0.3">
      <c r="A12007" t="s">
        <v>25190</v>
      </c>
      <c r="B12007" t="s">
        <v>31524</v>
      </c>
      <c r="C12007" t="s">
        <v>31620</v>
      </c>
      <c r="D12007" t="s">
        <v>25224</v>
      </c>
      <c r="E12007" t="s">
        <v>25224</v>
      </c>
      <c r="F12007" t="s">
        <v>25224</v>
      </c>
      <c r="G12007" t="s">
        <v>25224</v>
      </c>
      <c r="H12007" t="s">
        <v>859</v>
      </c>
      <c r="I12007" t="s">
        <v>860</v>
      </c>
      <c r="J12007" t="str">
        <f>"9440416"</f>
        <v>9440416</v>
      </c>
      <c r="K12007">
        <v>2321055744</v>
      </c>
      <c r="L12007">
        <v>2321023660</v>
      </c>
      <c r="M12007" t="s">
        <v>31621</v>
      </c>
      <c r="N12007" t="s">
        <v>25224</v>
      </c>
      <c r="O12007" t="s">
        <v>31585</v>
      </c>
      <c r="P12007">
        <v>62121</v>
      </c>
      <c r="Q12007" t="str">
        <f>"41.091112"</f>
        <v>41.091112</v>
      </c>
      <c r="R12007" t="str">
        <f>"23.544080"</f>
        <v>23.544080</v>
      </c>
      <c r="S12007" t="s">
        <v>26</v>
      </c>
    </row>
    <row r="12008" spans="1:19" x14ac:dyDescent="0.3">
      <c r="A12008" t="s">
        <v>25190</v>
      </c>
      <c r="B12008" t="s">
        <v>31524</v>
      </c>
      <c r="C12008" t="s">
        <v>31622</v>
      </c>
      <c r="D12008" t="s">
        <v>25224</v>
      </c>
      <c r="E12008" t="s">
        <v>25224</v>
      </c>
      <c r="F12008" t="s">
        <v>25224</v>
      </c>
      <c r="G12008" t="s">
        <v>25224</v>
      </c>
      <c r="H12008" t="s">
        <v>859</v>
      </c>
      <c r="I12008" t="s">
        <v>860</v>
      </c>
      <c r="J12008" t="str">
        <f>"9440419"</f>
        <v>9440419</v>
      </c>
      <c r="K12008">
        <v>2321020447</v>
      </c>
      <c r="M12008" t="s">
        <v>31623</v>
      </c>
      <c r="N12008" t="s">
        <v>25224</v>
      </c>
      <c r="O12008" t="s">
        <v>31533</v>
      </c>
      <c r="P12008">
        <v>62121</v>
      </c>
      <c r="Q12008" t="str">
        <f>"41.087341"</f>
        <v>41.087341</v>
      </c>
      <c r="R12008" t="str">
        <f>"23.539250"</f>
        <v>23.539250</v>
      </c>
      <c r="S12008" t="s">
        <v>26</v>
      </c>
    </row>
    <row r="12009" spans="1:19" x14ac:dyDescent="0.3">
      <c r="A12009" t="s">
        <v>25190</v>
      </c>
      <c r="B12009" t="s">
        <v>31524</v>
      </c>
      <c r="C12009" t="s">
        <v>31624</v>
      </c>
      <c r="D12009" t="s">
        <v>25224</v>
      </c>
      <c r="E12009" t="s">
        <v>27218</v>
      </c>
      <c r="F12009" t="s">
        <v>27218</v>
      </c>
      <c r="G12009" t="s">
        <v>27313</v>
      </c>
      <c r="H12009" t="s">
        <v>859</v>
      </c>
      <c r="I12009" t="s">
        <v>860</v>
      </c>
      <c r="J12009" t="str">
        <f>"9440335"</f>
        <v>9440335</v>
      </c>
      <c r="K12009">
        <v>2324093783</v>
      </c>
      <c r="L12009">
        <v>2324093783</v>
      </c>
      <c r="M12009" t="s">
        <v>31625</v>
      </c>
      <c r="N12009" t="s">
        <v>27313</v>
      </c>
      <c r="O12009" t="s">
        <v>27316</v>
      </c>
      <c r="P12009">
        <v>62041</v>
      </c>
      <c r="Q12009" t="str">
        <f>"40.871077"</f>
        <v>40.871077</v>
      </c>
      <c r="R12009" t="str">
        <f>"23.906969"</f>
        <v>23.906969</v>
      </c>
      <c r="S12009" t="s">
        <v>26</v>
      </c>
    </row>
    <row r="12010" spans="1:19" x14ac:dyDescent="0.3">
      <c r="A12010" t="s">
        <v>25190</v>
      </c>
      <c r="B12010" t="s">
        <v>31524</v>
      </c>
      <c r="C12010" t="s">
        <v>31631</v>
      </c>
      <c r="D12010" t="s">
        <v>25224</v>
      </c>
      <c r="E12010" t="s">
        <v>27181</v>
      </c>
      <c r="F12010" t="s">
        <v>31629</v>
      </c>
      <c r="G12010" t="s">
        <v>31630</v>
      </c>
      <c r="H12010" t="s">
        <v>859</v>
      </c>
      <c r="I12010" t="s">
        <v>860</v>
      </c>
      <c r="J12010" t="str">
        <f>"9440047"</f>
        <v>9440047</v>
      </c>
      <c r="K12010">
        <v>2322051067</v>
      </c>
      <c r="M12010" t="s">
        <v>31632</v>
      </c>
      <c r="N12010" t="s">
        <v>31633</v>
      </c>
      <c r="O12010" t="s">
        <v>31634</v>
      </c>
      <c r="P12010">
        <v>62200</v>
      </c>
      <c r="Q12010" t="str">
        <f>"40.883112"</f>
        <v>40.883112</v>
      </c>
      <c r="R12010" t="str">
        <f>"23.620190"</f>
        <v>23.620190</v>
      </c>
      <c r="S12010" t="s">
        <v>26</v>
      </c>
    </row>
    <row r="12011" spans="1:19" x14ac:dyDescent="0.3">
      <c r="A12011" t="s">
        <v>25190</v>
      </c>
      <c r="B12011" t="s">
        <v>31524</v>
      </c>
      <c r="C12011" t="s">
        <v>31635</v>
      </c>
      <c r="D12011" t="s">
        <v>25224</v>
      </c>
      <c r="E12011" t="s">
        <v>27181</v>
      </c>
      <c r="F12011" t="s">
        <v>27181</v>
      </c>
      <c r="G12011" t="s">
        <v>27338</v>
      </c>
      <c r="H12011" t="s">
        <v>859</v>
      </c>
      <c r="I12011" t="s">
        <v>860</v>
      </c>
      <c r="J12011" t="str">
        <f>"9440022"</f>
        <v>9440022</v>
      </c>
      <c r="K12011">
        <v>2322061251</v>
      </c>
      <c r="L12011">
        <v>2322061251</v>
      </c>
      <c r="M12011" t="s">
        <v>31636</v>
      </c>
      <c r="N12011" t="s">
        <v>31637</v>
      </c>
      <c r="O12011" t="s">
        <v>31638</v>
      </c>
      <c r="P12011">
        <v>62200</v>
      </c>
      <c r="Q12011" t="str">
        <f>"40.985229"</f>
        <v>40.985229</v>
      </c>
      <c r="R12011" t="str">
        <f>"23.410731"</f>
        <v>23.410731</v>
      </c>
      <c r="S12011" t="s">
        <v>26</v>
      </c>
    </row>
    <row r="12012" spans="1:19" x14ac:dyDescent="0.3">
      <c r="A12012" t="s">
        <v>25190</v>
      </c>
      <c r="B12012" t="s">
        <v>31524</v>
      </c>
      <c r="C12012" t="s">
        <v>31641</v>
      </c>
      <c r="D12012" t="s">
        <v>25224</v>
      </c>
      <c r="E12012" t="s">
        <v>27143</v>
      </c>
      <c r="F12012" t="s">
        <v>27143</v>
      </c>
      <c r="G12012" t="s">
        <v>27144</v>
      </c>
      <c r="H12012" t="s">
        <v>859</v>
      </c>
      <c r="I12012" t="s">
        <v>860</v>
      </c>
      <c r="J12012" t="str">
        <f>"9440111"</f>
        <v>9440111</v>
      </c>
      <c r="K12012">
        <v>2321092676</v>
      </c>
      <c r="L12012">
        <v>2321092676</v>
      </c>
      <c r="M12012" t="s">
        <v>31642</v>
      </c>
      <c r="N12012" t="s">
        <v>31643</v>
      </c>
      <c r="O12012" t="s">
        <v>27147</v>
      </c>
      <c r="P12012">
        <v>62100</v>
      </c>
      <c r="Q12012" t="str">
        <f>"41.093568"</f>
        <v>41.093568</v>
      </c>
      <c r="R12012" t="str">
        <f>"23.634631"</f>
        <v>23.634631</v>
      </c>
      <c r="S12012" t="s">
        <v>26</v>
      </c>
    </row>
    <row r="12013" spans="1:19" x14ac:dyDescent="0.3">
      <c r="A12013" t="s">
        <v>25190</v>
      </c>
      <c r="B12013" t="s">
        <v>31524</v>
      </c>
      <c r="C12013" t="s">
        <v>31645</v>
      </c>
      <c r="D12013" t="s">
        <v>25224</v>
      </c>
      <c r="E12013" t="s">
        <v>27181</v>
      </c>
      <c r="F12013" t="s">
        <v>27225</v>
      </c>
      <c r="G12013" t="s">
        <v>31644</v>
      </c>
      <c r="H12013" t="s">
        <v>859</v>
      </c>
      <c r="I12013" t="s">
        <v>860</v>
      </c>
      <c r="J12013" t="str">
        <f>"9440029"</f>
        <v>9440029</v>
      </c>
      <c r="K12013">
        <v>2322035004</v>
      </c>
      <c r="M12013" t="s">
        <v>31646</v>
      </c>
      <c r="N12013" t="s">
        <v>31644</v>
      </c>
      <c r="O12013" t="s">
        <v>31647</v>
      </c>
      <c r="P12013">
        <v>62049</v>
      </c>
      <c r="Q12013" t="str">
        <f>"40.894818"</f>
        <v>40.894818</v>
      </c>
      <c r="R12013" t="str">
        <f>"23.695883"</f>
        <v>23.695883</v>
      </c>
      <c r="S12013" t="s">
        <v>26</v>
      </c>
    </row>
    <row r="12014" spans="1:19" x14ac:dyDescent="0.3">
      <c r="A12014" t="s">
        <v>25190</v>
      </c>
      <c r="B12014" t="s">
        <v>31524</v>
      </c>
      <c r="C12014" t="s">
        <v>31648</v>
      </c>
      <c r="D12014" t="s">
        <v>25224</v>
      </c>
      <c r="E12014" t="s">
        <v>27143</v>
      </c>
      <c r="F12014" t="s">
        <v>27143</v>
      </c>
      <c r="G12014" t="s">
        <v>27380</v>
      </c>
      <c r="H12014" t="s">
        <v>859</v>
      </c>
      <c r="I12014" t="s">
        <v>860</v>
      </c>
      <c r="J12014" t="str">
        <f>"9440090"</f>
        <v>9440090</v>
      </c>
      <c r="K12014">
        <v>2321091289</v>
      </c>
      <c r="L12014">
        <v>2321091289</v>
      </c>
      <c r="M12014" t="s">
        <v>31649</v>
      </c>
      <c r="O12014" t="s">
        <v>27384</v>
      </c>
      <c r="P12014">
        <v>62048</v>
      </c>
      <c r="Q12014" t="str">
        <f>"41.099939"</f>
        <v>41.099939</v>
      </c>
      <c r="R12014" t="str">
        <f>"23.677370"</f>
        <v>23.677370</v>
      </c>
      <c r="S12014" t="s">
        <v>26</v>
      </c>
    </row>
    <row r="12015" spans="1:19" x14ac:dyDescent="0.3">
      <c r="A12015" t="s">
        <v>25190</v>
      </c>
      <c r="B12015" t="s">
        <v>31524</v>
      </c>
      <c r="C12015" t="s">
        <v>31650</v>
      </c>
      <c r="D12015" t="s">
        <v>25224</v>
      </c>
      <c r="E12015" t="s">
        <v>27143</v>
      </c>
      <c r="F12015" t="s">
        <v>27143</v>
      </c>
      <c r="G12015" t="s">
        <v>27168</v>
      </c>
      <c r="H12015" t="s">
        <v>859</v>
      </c>
      <c r="I12015" t="s">
        <v>860</v>
      </c>
      <c r="J12015" t="str">
        <f>"9440122"</f>
        <v>9440122</v>
      </c>
      <c r="K12015">
        <v>2321071542</v>
      </c>
      <c r="M12015" t="s">
        <v>31651</v>
      </c>
      <c r="N12015" t="s">
        <v>31652</v>
      </c>
      <c r="O12015" t="s">
        <v>27172</v>
      </c>
      <c r="P12015">
        <v>62048</v>
      </c>
      <c r="Q12015" t="str">
        <f>"41.047796"</f>
        <v>41.047796</v>
      </c>
      <c r="R12015" t="str">
        <f>"23.685802"</f>
        <v>23.685802</v>
      </c>
      <c r="S12015" t="s">
        <v>26</v>
      </c>
    </row>
    <row r="12016" spans="1:19" x14ac:dyDescent="0.3">
      <c r="A12016" t="s">
        <v>25190</v>
      </c>
      <c r="B12016" t="s">
        <v>31524</v>
      </c>
      <c r="C12016" t="s">
        <v>31653</v>
      </c>
      <c r="D12016" t="s">
        <v>25224</v>
      </c>
      <c r="E12016" t="s">
        <v>27163</v>
      </c>
      <c r="F12016" t="s">
        <v>27163</v>
      </c>
      <c r="G12016" t="s">
        <v>27328</v>
      </c>
      <c r="H12016" t="s">
        <v>859</v>
      </c>
      <c r="I12016" t="s">
        <v>860</v>
      </c>
      <c r="J12016" t="str">
        <f>"9440306"</f>
        <v>9440306</v>
      </c>
      <c r="K12016">
        <v>2324051686</v>
      </c>
      <c r="L12016">
        <v>2324051686</v>
      </c>
      <c r="M12016" t="s">
        <v>31654</v>
      </c>
      <c r="N12016" t="s">
        <v>27328</v>
      </c>
      <c r="O12016" t="s">
        <v>27331</v>
      </c>
      <c r="P12016">
        <v>62052</v>
      </c>
      <c r="Q12016" t="str">
        <f>"40.925894"</f>
        <v>40.925894</v>
      </c>
      <c r="R12016" t="str">
        <f>"23.870749"</f>
        <v>23.870749</v>
      </c>
      <c r="S12016" t="s">
        <v>26</v>
      </c>
    </row>
    <row r="12017" spans="1:19" x14ac:dyDescent="0.3">
      <c r="A12017" t="s">
        <v>25190</v>
      </c>
      <c r="B12017" t="s">
        <v>31524</v>
      </c>
      <c r="C12017" t="s">
        <v>31655</v>
      </c>
      <c r="D12017" t="s">
        <v>25224</v>
      </c>
      <c r="E12017" t="s">
        <v>27163</v>
      </c>
      <c r="F12017" t="s">
        <v>27243</v>
      </c>
      <c r="G12017" t="s">
        <v>27243</v>
      </c>
      <c r="H12017" t="s">
        <v>859</v>
      </c>
      <c r="I12017" t="s">
        <v>860</v>
      </c>
      <c r="J12017" t="str">
        <f>"9440293"</f>
        <v>9440293</v>
      </c>
      <c r="K12017">
        <v>2324031211</v>
      </c>
      <c r="L12017">
        <v>2324031211</v>
      </c>
      <c r="M12017" t="s">
        <v>31656</v>
      </c>
      <c r="N12017" t="s">
        <v>27243</v>
      </c>
      <c r="O12017" t="s">
        <v>27297</v>
      </c>
      <c r="P12017">
        <v>62045</v>
      </c>
      <c r="Q12017" t="str">
        <f>"41.065514"</f>
        <v>41.065514</v>
      </c>
      <c r="R12017" t="str">
        <f>"23.954069"</f>
        <v>23.954069</v>
      </c>
      <c r="S12017" t="s">
        <v>26</v>
      </c>
    </row>
    <row r="12018" spans="1:19" x14ac:dyDescent="0.3">
      <c r="A12018" t="s">
        <v>25190</v>
      </c>
      <c r="B12018" t="s">
        <v>31524</v>
      </c>
      <c r="C12018" t="s">
        <v>31658</v>
      </c>
      <c r="D12018" t="s">
        <v>25224</v>
      </c>
      <c r="E12018" t="s">
        <v>27181</v>
      </c>
      <c r="F12018" t="s">
        <v>27181</v>
      </c>
      <c r="G12018" t="s">
        <v>31657</v>
      </c>
      <c r="H12018" t="s">
        <v>859</v>
      </c>
      <c r="I12018" t="s">
        <v>860</v>
      </c>
      <c r="J12018" t="str">
        <f>"9440053"</f>
        <v>9440053</v>
      </c>
      <c r="K12018">
        <v>2322061373</v>
      </c>
      <c r="M12018" t="s">
        <v>31659</v>
      </c>
      <c r="N12018" t="s">
        <v>31657</v>
      </c>
      <c r="O12018" t="s">
        <v>31660</v>
      </c>
      <c r="P12018">
        <v>62200</v>
      </c>
      <c r="Q12018" t="str">
        <f>"40.979702"</f>
        <v>40.979702</v>
      </c>
      <c r="R12018" t="str">
        <f>"23.354533"</f>
        <v>23.354533</v>
      </c>
      <c r="S12018" t="s">
        <v>26</v>
      </c>
    </row>
    <row r="12019" spans="1:19" x14ac:dyDescent="0.3">
      <c r="A12019" t="s">
        <v>25190</v>
      </c>
      <c r="B12019" t="s">
        <v>31524</v>
      </c>
      <c r="C12019" t="s">
        <v>31661</v>
      </c>
      <c r="D12019" t="s">
        <v>25224</v>
      </c>
      <c r="E12019" t="s">
        <v>27181</v>
      </c>
      <c r="F12019" t="s">
        <v>27225</v>
      </c>
      <c r="G12019" t="s">
        <v>27226</v>
      </c>
      <c r="H12019" t="s">
        <v>859</v>
      </c>
      <c r="I12019" t="s">
        <v>860</v>
      </c>
      <c r="J12019" t="str">
        <f>"9440038"</f>
        <v>9440038</v>
      </c>
      <c r="K12019">
        <v>2322031123</v>
      </c>
      <c r="L12019">
        <v>2322031123</v>
      </c>
      <c r="M12019" t="s">
        <v>31662</v>
      </c>
      <c r="O12019" t="s">
        <v>27230</v>
      </c>
      <c r="P12019">
        <v>62049</v>
      </c>
      <c r="Q12019" t="str">
        <f>"40.894606"</f>
        <v>40.894606</v>
      </c>
      <c r="R12019" t="str">
        <f>"23.753173"</f>
        <v>23.753173</v>
      </c>
      <c r="S12019" t="s">
        <v>26</v>
      </c>
    </row>
    <row r="12020" spans="1:19" x14ac:dyDescent="0.3">
      <c r="A12020" t="s">
        <v>25190</v>
      </c>
      <c r="B12020" t="s">
        <v>31524</v>
      </c>
      <c r="C12020" t="s">
        <v>31664</v>
      </c>
      <c r="D12020" t="s">
        <v>25224</v>
      </c>
      <c r="E12020" t="s">
        <v>27106</v>
      </c>
      <c r="F12020" t="s">
        <v>27118</v>
      </c>
      <c r="G12020" t="s">
        <v>31663</v>
      </c>
      <c r="H12020" t="s">
        <v>859</v>
      </c>
      <c r="I12020" t="s">
        <v>860</v>
      </c>
      <c r="J12020" t="str">
        <f>"9440227"</f>
        <v>9440227</v>
      </c>
      <c r="K12020">
        <v>2327051376</v>
      </c>
      <c r="M12020" t="s">
        <v>31665</v>
      </c>
      <c r="N12020" t="s">
        <v>31663</v>
      </c>
      <c r="O12020" t="s">
        <v>31666</v>
      </c>
      <c r="P12020">
        <v>62055</v>
      </c>
      <c r="Q12020" t="str">
        <f>"41.287775"</f>
        <v>41.287775</v>
      </c>
      <c r="R12020" t="str">
        <f>"23.035280"</f>
        <v>23.035280</v>
      </c>
      <c r="S12020" t="s">
        <v>26</v>
      </c>
    </row>
    <row r="12021" spans="1:19" x14ac:dyDescent="0.3">
      <c r="A12021" t="s">
        <v>25190</v>
      </c>
      <c r="B12021" t="s">
        <v>31524</v>
      </c>
      <c r="C12021" t="s">
        <v>31668</v>
      </c>
      <c r="D12021" t="s">
        <v>25224</v>
      </c>
      <c r="E12021" t="s">
        <v>27106</v>
      </c>
      <c r="F12021" t="s">
        <v>27107</v>
      </c>
      <c r="G12021" t="s">
        <v>27107</v>
      </c>
      <c r="H12021" t="s">
        <v>859</v>
      </c>
      <c r="I12021" t="s">
        <v>860</v>
      </c>
      <c r="J12021" t="str">
        <f>"9440229"</f>
        <v>9440229</v>
      </c>
      <c r="K12021">
        <v>2323061201</v>
      </c>
      <c r="M12021" t="s">
        <v>31669</v>
      </c>
      <c r="N12021" t="s">
        <v>27107</v>
      </c>
      <c r="O12021" t="s">
        <v>27110</v>
      </c>
      <c r="P12021">
        <v>62300</v>
      </c>
      <c r="Q12021" t="str">
        <f>"41.320000"</f>
        <v>41.320000</v>
      </c>
      <c r="R12021" t="str">
        <f>"23.540000"</f>
        <v>23.540000</v>
      </c>
      <c r="S12021" t="s">
        <v>26</v>
      </c>
    </row>
    <row r="12022" spans="1:19" x14ac:dyDescent="0.3">
      <c r="A12022" t="s">
        <v>25190</v>
      </c>
      <c r="B12022" t="s">
        <v>31524</v>
      </c>
      <c r="C12022" t="s">
        <v>31670</v>
      </c>
      <c r="D12022" t="s">
        <v>25224</v>
      </c>
      <c r="E12022" t="s">
        <v>27163</v>
      </c>
      <c r="F12022" t="s">
        <v>27163</v>
      </c>
      <c r="G12022" t="s">
        <v>27163</v>
      </c>
      <c r="H12022" t="s">
        <v>859</v>
      </c>
      <c r="I12022" t="s">
        <v>860</v>
      </c>
      <c r="J12022" t="str">
        <f>"9440327"</f>
        <v>9440327</v>
      </c>
      <c r="K12022">
        <v>2324023488</v>
      </c>
      <c r="M12022" t="s">
        <v>31671</v>
      </c>
      <c r="N12022" t="s">
        <v>27298</v>
      </c>
      <c r="O12022" t="s">
        <v>31672</v>
      </c>
      <c r="P12022">
        <v>62042</v>
      </c>
      <c r="Q12022" t="str">
        <f>"41.031382"</f>
        <v>41.031382</v>
      </c>
      <c r="R12022" t="str">
        <f>"23.833421"</f>
        <v>23.833421</v>
      </c>
      <c r="S12022" t="s">
        <v>26</v>
      </c>
    </row>
    <row r="12023" spans="1:19" x14ac:dyDescent="0.3">
      <c r="A12023" t="s">
        <v>25190</v>
      </c>
      <c r="B12023" t="s">
        <v>31524</v>
      </c>
      <c r="C12023" t="s">
        <v>31674</v>
      </c>
      <c r="D12023" t="s">
        <v>25224</v>
      </c>
      <c r="E12023" t="s">
        <v>25224</v>
      </c>
      <c r="F12023" t="s">
        <v>27201</v>
      </c>
      <c r="G12023" t="s">
        <v>31673</v>
      </c>
      <c r="H12023" t="s">
        <v>859</v>
      </c>
      <c r="I12023" t="s">
        <v>860</v>
      </c>
      <c r="J12023" t="str">
        <f>"9440103"</f>
        <v>9440103</v>
      </c>
      <c r="K12023">
        <v>2321041460</v>
      </c>
      <c r="L12023">
        <v>2321041460</v>
      </c>
      <c r="M12023" t="s">
        <v>31675</v>
      </c>
      <c r="N12023" t="s">
        <v>31673</v>
      </c>
      <c r="O12023" t="s">
        <v>31676</v>
      </c>
      <c r="P12023">
        <v>62100</v>
      </c>
      <c r="Q12023" t="str">
        <f>"41.020267"</f>
        <v>41.020267</v>
      </c>
      <c r="R12023" t="str">
        <f>"23.482726"</f>
        <v>23.482726</v>
      </c>
      <c r="S12023" t="s">
        <v>26</v>
      </c>
    </row>
    <row r="12024" spans="1:19" x14ac:dyDescent="0.3">
      <c r="A12024" t="s">
        <v>25190</v>
      </c>
      <c r="B12024" t="s">
        <v>31524</v>
      </c>
      <c r="C12024" t="s">
        <v>31677</v>
      </c>
      <c r="D12024" t="s">
        <v>25224</v>
      </c>
      <c r="E12024" t="s">
        <v>27106</v>
      </c>
      <c r="F12024" t="s">
        <v>27149</v>
      </c>
      <c r="G12024" t="s">
        <v>27150</v>
      </c>
      <c r="H12024" t="s">
        <v>859</v>
      </c>
      <c r="I12024" t="s">
        <v>860</v>
      </c>
      <c r="J12024" t="str">
        <f>"9440233"</f>
        <v>9440233</v>
      </c>
      <c r="K12024">
        <v>2323032520</v>
      </c>
      <c r="M12024" t="s">
        <v>31678</v>
      </c>
      <c r="N12024" t="s">
        <v>27150</v>
      </c>
      <c r="O12024" t="s">
        <v>31679</v>
      </c>
      <c r="P12024">
        <v>62043</v>
      </c>
      <c r="Q12024" t="str">
        <f>"41.264232"</f>
        <v>41.264232</v>
      </c>
      <c r="R12024" t="str">
        <f>"23.246331"</f>
        <v>23.246331</v>
      </c>
      <c r="S12024" t="s">
        <v>26</v>
      </c>
    </row>
    <row r="12025" spans="1:19" x14ac:dyDescent="0.3">
      <c r="A12025" t="s">
        <v>25190</v>
      </c>
      <c r="B12025" t="s">
        <v>31524</v>
      </c>
      <c r="C12025" t="s">
        <v>31680</v>
      </c>
      <c r="D12025" t="s">
        <v>25224</v>
      </c>
      <c r="E12025" t="s">
        <v>27143</v>
      </c>
      <c r="F12025" t="s">
        <v>27143</v>
      </c>
      <c r="G12025" t="s">
        <v>2116</v>
      </c>
      <c r="H12025" t="s">
        <v>859</v>
      </c>
      <c r="I12025" t="s">
        <v>860</v>
      </c>
      <c r="J12025" t="str">
        <f>"9440131"</f>
        <v>9440131</v>
      </c>
      <c r="K12025">
        <v>2321074610</v>
      </c>
      <c r="L12025">
        <v>2321074610</v>
      </c>
      <c r="M12025" t="s">
        <v>31681</v>
      </c>
      <c r="N12025" t="s">
        <v>2116</v>
      </c>
      <c r="O12025" t="s">
        <v>31682</v>
      </c>
      <c r="P12025">
        <v>62046</v>
      </c>
      <c r="Q12025" t="str">
        <f>"41.063074"</f>
        <v>41.063074</v>
      </c>
      <c r="R12025" t="str">
        <f>"23.656755"</f>
        <v>23.656755</v>
      </c>
      <c r="S12025" t="s">
        <v>26</v>
      </c>
    </row>
    <row r="12026" spans="1:19" x14ac:dyDescent="0.3">
      <c r="A12026" t="s">
        <v>25190</v>
      </c>
      <c r="B12026" t="s">
        <v>31524</v>
      </c>
      <c r="C12026" t="s">
        <v>31683</v>
      </c>
      <c r="D12026" t="s">
        <v>25224</v>
      </c>
      <c r="E12026" t="s">
        <v>27143</v>
      </c>
      <c r="F12026" t="s">
        <v>27143</v>
      </c>
      <c r="G12026" t="s">
        <v>25291</v>
      </c>
      <c r="H12026" t="s">
        <v>859</v>
      </c>
      <c r="I12026" t="s">
        <v>860</v>
      </c>
      <c r="J12026" t="str">
        <f>"9440352"</f>
        <v>9440352</v>
      </c>
      <c r="K12026">
        <v>2321071283</v>
      </c>
      <c r="L12026">
        <v>2321071283</v>
      </c>
      <c r="M12026" t="s">
        <v>31684</v>
      </c>
      <c r="N12026" t="s">
        <v>25291</v>
      </c>
      <c r="O12026" t="s">
        <v>31685</v>
      </c>
      <c r="P12026">
        <v>62048</v>
      </c>
      <c r="Q12026" t="str">
        <f>"41.022679"</f>
        <v>41.022679</v>
      </c>
      <c r="R12026" t="str">
        <f>"23.706166"</f>
        <v>23.706166</v>
      </c>
      <c r="S12026" t="s">
        <v>26</v>
      </c>
    </row>
    <row r="12027" spans="1:19" x14ac:dyDescent="0.3">
      <c r="A12027" t="s">
        <v>25190</v>
      </c>
      <c r="B12027" t="s">
        <v>31524</v>
      </c>
      <c r="C12027" t="s">
        <v>31687</v>
      </c>
      <c r="D12027" t="s">
        <v>25224</v>
      </c>
      <c r="E12027" t="s">
        <v>27106</v>
      </c>
      <c r="F12027" t="s">
        <v>27111</v>
      </c>
      <c r="G12027" t="s">
        <v>31686</v>
      </c>
      <c r="H12027" t="s">
        <v>859</v>
      </c>
      <c r="I12027" t="s">
        <v>860</v>
      </c>
      <c r="J12027" t="str">
        <f>"9440202"</f>
        <v>9440202</v>
      </c>
      <c r="K12027">
        <v>2323052047</v>
      </c>
      <c r="L12027">
        <v>2323051428</v>
      </c>
      <c r="M12027" t="s">
        <v>31688</v>
      </c>
      <c r="N12027" t="s">
        <v>31686</v>
      </c>
      <c r="O12027" t="s">
        <v>31689</v>
      </c>
      <c r="P12027">
        <v>62300</v>
      </c>
      <c r="Q12027" t="str">
        <f>"41.179353"</f>
        <v>41.179353</v>
      </c>
      <c r="R12027" t="str">
        <f>"23.395008"</f>
        <v>23.395008</v>
      </c>
      <c r="S12027" t="s">
        <v>26</v>
      </c>
    </row>
    <row r="12028" spans="1:19" x14ac:dyDescent="0.3">
      <c r="A12028" t="s">
        <v>25190</v>
      </c>
      <c r="B12028" t="s">
        <v>31524</v>
      </c>
      <c r="C12028" t="s">
        <v>31690</v>
      </c>
      <c r="D12028" t="s">
        <v>25224</v>
      </c>
      <c r="E12028" t="s">
        <v>27181</v>
      </c>
      <c r="F12028" t="s">
        <v>27182</v>
      </c>
      <c r="G12028" t="s">
        <v>27182</v>
      </c>
      <c r="H12028" t="s">
        <v>859</v>
      </c>
      <c r="I12028" t="s">
        <v>860</v>
      </c>
      <c r="J12028" t="str">
        <f>"9440003"</f>
        <v>9440003</v>
      </c>
      <c r="K12028">
        <v>2322022063</v>
      </c>
      <c r="L12028">
        <v>2322022063</v>
      </c>
      <c r="M12028" t="s">
        <v>31691</v>
      </c>
      <c r="N12028" t="s">
        <v>27190</v>
      </c>
      <c r="O12028" t="s">
        <v>31692</v>
      </c>
      <c r="P12028">
        <v>62200</v>
      </c>
      <c r="Q12028" t="str">
        <f>"40.911107"</f>
        <v>40.911107</v>
      </c>
      <c r="R12028" t="str">
        <f>"23.499611"</f>
        <v>23.499611</v>
      </c>
      <c r="S12028" t="s">
        <v>26</v>
      </c>
    </row>
    <row r="12029" spans="1:19" x14ac:dyDescent="0.3">
      <c r="A12029" t="s">
        <v>25190</v>
      </c>
      <c r="B12029" t="s">
        <v>31524</v>
      </c>
      <c r="C12029" t="s">
        <v>31699</v>
      </c>
      <c r="D12029" t="s">
        <v>25224</v>
      </c>
      <c r="E12029" t="s">
        <v>27181</v>
      </c>
      <c r="F12029" t="s">
        <v>27182</v>
      </c>
      <c r="G12029" t="s">
        <v>31698</v>
      </c>
      <c r="H12029" t="s">
        <v>859</v>
      </c>
      <c r="I12029" t="s">
        <v>860</v>
      </c>
      <c r="J12029" t="str">
        <f>"9440049"</f>
        <v>9440049</v>
      </c>
      <c r="K12029">
        <v>2322022505</v>
      </c>
      <c r="L12029">
        <v>2322022505</v>
      </c>
      <c r="M12029" t="s">
        <v>31700</v>
      </c>
      <c r="N12029" t="s">
        <v>31698</v>
      </c>
      <c r="O12029" t="s">
        <v>31701</v>
      </c>
      <c r="P12029">
        <v>62200</v>
      </c>
      <c r="Q12029" t="str">
        <f>"40.920342"</f>
        <v>40.920342</v>
      </c>
      <c r="R12029" t="str">
        <f>"23.484244"</f>
        <v>23.484244</v>
      </c>
      <c r="S12029" t="s">
        <v>26</v>
      </c>
    </row>
    <row r="12030" spans="1:19" x14ac:dyDescent="0.3">
      <c r="A12030" t="s">
        <v>25190</v>
      </c>
      <c r="B12030" t="s">
        <v>31524</v>
      </c>
      <c r="C12030" t="s">
        <v>31705</v>
      </c>
      <c r="D12030" t="s">
        <v>25224</v>
      </c>
      <c r="E12030" t="s">
        <v>27163</v>
      </c>
      <c r="F12030" t="s">
        <v>27163</v>
      </c>
      <c r="G12030" t="s">
        <v>31704</v>
      </c>
      <c r="H12030" t="s">
        <v>859</v>
      </c>
      <c r="I12030" t="s">
        <v>860</v>
      </c>
      <c r="J12030" t="str">
        <f>"9440299"</f>
        <v>9440299</v>
      </c>
      <c r="K12030">
        <v>2324041668</v>
      </c>
      <c r="M12030" t="s">
        <v>31706</v>
      </c>
      <c r="N12030" t="s">
        <v>31704</v>
      </c>
      <c r="O12030" t="s">
        <v>31707</v>
      </c>
      <c r="P12030">
        <v>62050</v>
      </c>
      <c r="Q12030" t="str">
        <f>"41.024642"</f>
        <v>41.024642</v>
      </c>
      <c r="R12030" t="str">
        <f>"23.774871"</f>
        <v>23.774871</v>
      </c>
      <c r="S12030" t="s">
        <v>26</v>
      </c>
    </row>
    <row r="12031" spans="1:19" x14ac:dyDescent="0.3">
      <c r="A12031" t="s">
        <v>25190</v>
      </c>
      <c r="B12031" t="s">
        <v>31524</v>
      </c>
      <c r="C12031" t="s">
        <v>31708</v>
      </c>
      <c r="D12031" t="s">
        <v>25224</v>
      </c>
      <c r="E12031" t="s">
        <v>25224</v>
      </c>
      <c r="F12031" t="s">
        <v>25224</v>
      </c>
      <c r="G12031" t="s">
        <v>25224</v>
      </c>
      <c r="H12031" t="s">
        <v>859</v>
      </c>
      <c r="I12031" t="s">
        <v>860</v>
      </c>
      <c r="J12031" t="str">
        <f>"9440145"</f>
        <v>9440145</v>
      </c>
      <c r="K12031">
        <v>2321021836</v>
      </c>
      <c r="L12031">
        <v>2321021836</v>
      </c>
      <c r="M12031" t="s">
        <v>31709</v>
      </c>
      <c r="N12031" t="s">
        <v>25224</v>
      </c>
      <c r="O12031" t="s">
        <v>31566</v>
      </c>
      <c r="P12031">
        <v>62121</v>
      </c>
      <c r="Q12031" t="str">
        <f>"41.093333"</f>
        <v>41.093333</v>
      </c>
      <c r="R12031" t="str">
        <f>"23.546327"</f>
        <v>23.546327</v>
      </c>
      <c r="S12031" t="s">
        <v>26</v>
      </c>
    </row>
    <row r="12032" spans="1:19" x14ac:dyDescent="0.3">
      <c r="A12032" t="s">
        <v>25190</v>
      </c>
      <c r="B12032" t="s">
        <v>31524</v>
      </c>
      <c r="C12032" t="s">
        <v>31713</v>
      </c>
      <c r="D12032" t="s">
        <v>25224</v>
      </c>
      <c r="E12032" t="s">
        <v>25224</v>
      </c>
      <c r="F12032" t="s">
        <v>25224</v>
      </c>
      <c r="G12032" t="s">
        <v>25224</v>
      </c>
      <c r="H12032" t="s">
        <v>859</v>
      </c>
      <c r="I12032" t="s">
        <v>860</v>
      </c>
      <c r="J12032" t="str">
        <f>"9440382"</f>
        <v>9440382</v>
      </c>
      <c r="K12032">
        <v>2321025297</v>
      </c>
      <c r="L12032">
        <v>2321065750</v>
      </c>
      <c r="M12032" t="s">
        <v>31714</v>
      </c>
      <c r="N12032" t="s">
        <v>25224</v>
      </c>
      <c r="O12032" t="s">
        <v>5159</v>
      </c>
      <c r="P12032">
        <v>62122</v>
      </c>
      <c r="Q12032" t="str">
        <f>"41.095330"</f>
        <v>41.095330</v>
      </c>
      <c r="R12032" t="str">
        <f>"23.558960"</f>
        <v>23.558960</v>
      </c>
      <c r="S12032" t="s">
        <v>26</v>
      </c>
    </row>
    <row r="12033" spans="1:19" x14ac:dyDescent="0.3">
      <c r="A12033" t="s">
        <v>25190</v>
      </c>
      <c r="B12033" t="s">
        <v>31524</v>
      </c>
      <c r="C12033" t="s">
        <v>31717</v>
      </c>
      <c r="D12033" t="s">
        <v>25224</v>
      </c>
      <c r="E12033" t="s">
        <v>25224</v>
      </c>
      <c r="F12033" t="s">
        <v>25224</v>
      </c>
      <c r="G12033" t="s">
        <v>25224</v>
      </c>
      <c r="H12033" t="s">
        <v>859</v>
      </c>
      <c r="I12033" t="s">
        <v>860</v>
      </c>
      <c r="J12033" t="str">
        <f>"9440392"</f>
        <v>9440392</v>
      </c>
      <c r="K12033">
        <v>2321023243</v>
      </c>
      <c r="L12033">
        <v>2321023243</v>
      </c>
      <c r="M12033" t="s">
        <v>31718</v>
      </c>
      <c r="N12033" t="s">
        <v>25224</v>
      </c>
      <c r="O12033" t="s">
        <v>31719</v>
      </c>
      <c r="P12033">
        <v>62124</v>
      </c>
      <c r="Q12033" t="str">
        <f>"41.092046"</f>
        <v>41.092046</v>
      </c>
      <c r="R12033" t="str">
        <f>"23.562532"</f>
        <v>23.562532</v>
      </c>
      <c r="S12033" t="s">
        <v>26</v>
      </c>
    </row>
    <row r="12034" spans="1:19" x14ac:dyDescent="0.3">
      <c r="A12034" t="s">
        <v>25190</v>
      </c>
      <c r="B12034" t="s">
        <v>31524</v>
      </c>
      <c r="C12034" t="s">
        <v>31720</v>
      </c>
      <c r="D12034" t="s">
        <v>25224</v>
      </c>
      <c r="E12034" t="s">
        <v>25224</v>
      </c>
      <c r="F12034" t="s">
        <v>25224</v>
      </c>
      <c r="G12034" t="s">
        <v>25224</v>
      </c>
      <c r="H12034" t="s">
        <v>859</v>
      </c>
      <c r="I12034" t="s">
        <v>860</v>
      </c>
      <c r="J12034" t="str">
        <f>"9440082"</f>
        <v>9440082</v>
      </c>
      <c r="K12034">
        <v>2321065750</v>
      </c>
      <c r="L12034">
        <v>2321065750</v>
      </c>
      <c r="M12034" t="s">
        <v>31721</v>
      </c>
      <c r="N12034" t="s">
        <v>25224</v>
      </c>
      <c r="O12034" t="s">
        <v>31722</v>
      </c>
      <c r="P12034">
        <v>62122</v>
      </c>
      <c r="Q12034" t="str">
        <f>"41.095542"</f>
        <v>41.095542</v>
      </c>
      <c r="R12034" t="str">
        <f>"23.562020"</f>
        <v>23.562020</v>
      </c>
      <c r="S12034" t="s">
        <v>26</v>
      </c>
    </row>
    <row r="12035" spans="1:19" x14ac:dyDescent="0.3">
      <c r="A12035" t="s">
        <v>25190</v>
      </c>
      <c r="B12035" t="s">
        <v>31524</v>
      </c>
      <c r="C12035" t="s">
        <v>31723</v>
      </c>
      <c r="D12035" t="s">
        <v>25224</v>
      </c>
      <c r="E12035" t="s">
        <v>25224</v>
      </c>
      <c r="F12035" t="s">
        <v>25224</v>
      </c>
      <c r="G12035" t="s">
        <v>25224</v>
      </c>
      <c r="H12035" t="s">
        <v>859</v>
      </c>
      <c r="I12035" t="s">
        <v>860</v>
      </c>
      <c r="J12035" t="str">
        <f>"9440414"</f>
        <v>9440414</v>
      </c>
      <c r="K12035">
        <v>2321055339</v>
      </c>
      <c r="M12035" t="s">
        <v>31724</v>
      </c>
      <c r="N12035" t="s">
        <v>25224</v>
      </c>
      <c r="O12035" t="s">
        <v>31725</v>
      </c>
      <c r="P12035">
        <v>62124</v>
      </c>
      <c r="Q12035" t="str">
        <f>"41.087527"</f>
        <v>41.087527</v>
      </c>
      <c r="R12035" t="str">
        <f>"23.551279"</f>
        <v>23.551279</v>
      </c>
      <c r="S12035" t="s">
        <v>26</v>
      </c>
    </row>
    <row r="12036" spans="1:19" x14ac:dyDescent="0.3">
      <c r="A12036" t="s">
        <v>25190</v>
      </c>
      <c r="B12036" t="s">
        <v>31524</v>
      </c>
      <c r="C12036" t="s">
        <v>31726</v>
      </c>
      <c r="D12036" t="s">
        <v>25224</v>
      </c>
      <c r="E12036" t="s">
        <v>25224</v>
      </c>
      <c r="F12036" t="s">
        <v>25224</v>
      </c>
      <c r="G12036" t="s">
        <v>25224</v>
      </c>
      <c r="H12036" t="s">
        <v>859</v>
      </c>
      <c r="I12036" t="s">
        <v>860</v>
      </c>
      <c r="J12036" t="str">
        <f>"9440372"</f>
        <v>9440372</v>
      </c>
      <c r="K12036">
        <v>2321063458</v>
      </c>
      <c r="L12036">
        <v>2321021976</v>
      </c>
      <c r="M12036" t="s">
        <v>31727</v>
      </c>
      <c r="N12036" t="s">
        <v>25224</v>
      </c>
      <c r="O12036" t="s">
        <v>31725</v>
      </c>
      <c r="P12036">
        <v>62124</v>
      </c>
      <c r="Q12036" t="str">
        <f>"40.909133"</f>
        <v>40.909133</v>
      </c>
      <c r="R12036" t="str">
        <f>"23.501015"</f>
        <v>23.501015</v>
      </c>
      <c r="S12036" t="s">
        <v>26</v>
      </c>
    </row>
    <row r="12037" spans="1:19" x14ac:dyDescent="0.3">
      <c r="A12037" t="s">
        <v>25190</v>
      </c>
      <c r="B12037" t="s">
        <v>31524</v>
      </c>
      <c r="C12037" t="s">
        <v>31728</v>
      </c>
      <c r="D12037" t="s">
        <v>25224</v>
      </c>
      <c r="E12037" t="s">
        <v>27218</v>
      </c>
      <c r="F12037" t="s">
        <v>27219</v>
      </c>
      <c r="G12037" t="s">
        <v>27219</v>
      </c>
      <c r="H12037" t="s">
        <v>859</v>
      </c>
      <c r="I12037" t="s">
        <v>860</v>
      </c>
      <c r="J12037" t="str">
        <f>"9440342"</f>
        <v>9440342</v>
      </c>
      <c r="K12037">
        <v>2324071226</v>
      </c>
      <c r="L12037">
        <v>2324071226</v>
      </c>
      <c r="M12037" t="s">
        <v>31729</v>
      </c>
      <c r="N12037" t="s">
        <v>27222</v>
      </c>
      <c r="O12037" t="s">
        <v>31730</v>
      </c>
      <c r="P12037">
        <v>62041</v>
      </c>
      <c r="Q12037" t="str">
        <f>"40.921168"</f>
        <v>40.921168</v>
      </c>
      <c r="R12037" t="str">
        <f>"23.967852"</f>
        <v>23.967852</v>
      </c>
      <c r="S12037" t="s">
        <v>26</v>
      </c>
    </row>
    <row r="12038" spans="1:19" x14ac:dyDescent="0.3">
      <c r="A12038" t="s">
        <v>25190</v>
      </c>
      <c r="B12038" t="s">
        <v>31524</v>
      </c>
      <c r="C12038" t="s">
        <v>31747</v>
      </c>
      <c r="D12038" t="s">
        <v>25224</v>
      </c>
      <c r="E12038" t="s">
        <v>27218</v>
      </c>
      <c r="F12038" t="s">
        <v>27218</v>
      </c>
      <c r="G12038" t="s">
        <v>31746</v>
      </c>
      <c r="H12038" t="s">
        <v>859</v>
      </c>
      <c r="I12038" t="s">
        <v>860</v>
      </c>
      <c r="J12038" t="str">
        <f>"9440423"</f>
        <v>9440423</v>
      </c>
      <c r="K12038">
        <v>2322032130</v>
      </c>
      <c r="L12038">
        <v>2322032130</v>
      </c>
      <c r="M12038" t="s">
        <v>31748</v>
      </c>
      <c r="N12038" t="s">
        <v>31749</v>
      </c>
      <c r="O12038" t="s">
        <v>31750</v>
      </c>
      <c r="P12038">
        <v>62041</v>
      </c>
      <c r="Q12038" t="str">
        <f>"40.793332"</f>
        <v>40.793332</v>
      </c>
      <c r="R12038" t="str">
        <f>"23.839035"</f>
        <v>23.839035</v>
      </c>
      <c r="S12038" t="s">
        <v>26</v>
      </c>
    </row>
    <row r="12039" spans="1:19" x14ac:dyDescent="0.3">
      <c r="A12039" t="s">
        <v>25190</v>
      </c>
      <c r="B12039" t="s">
        <v>31524</v>
      </c>
      <c r="C12039" t="s">
        <v>31752</v>
      </c>
      <c r="D12039" t="s">
        <v>25224</v>
      </c>
      <c r="E12039" t="s">
        <v>27106</v>
      </c>
      <c r="F12039" t="s">
        <v>27118</v>
      </c>
      <c r="G12039" t="s">
        <v>27118</v>
      </c>
      <c r="H12039" t="s">
        <v>859</v>
      </c>
      <c r="I12039" t="s">
        <v>860</v>
      </c>
      <c r="J12039" t="str">
        <f>"9440249"</f>
        <v>9440249</v>
      </c>
      <c r="K12039">
        <v>2327041267</v>
      </c>
      <c r="L12039">
        <v>2327041267</v>
      </c>
      <c r="M12039" t="s">
        <v>31753</v>
      </c>
      <c r="N12039" t="s">
        <v>27118</v>
      </c>
      <c r="O12039" t="s">
        <v>31733</v>
      </c>
      <c r="P12039">
        <v>62055</v>
      </c>
      <c r="Q12039" t="str">
        <f>"41.219175"</f>
        <v>41.219175</v>
      </c>
      <c r="R12039" t="str">
        <f>"23.083100"</f>
        <v>23.083100</v>
      </c>
      <c r="S12039" t="s">
        <v>26</v>
      </c>
    </row>
    <row r="12040" spans="1:19" x14ac:dyDescent="0.3">
      <c r="A12040" t="s">
        <v>25190</v>
      </c>
      <c r="B12040" t="s">
        <v>31524</v>
      </c>
      <c r="C12040" t="s">
        <v>31755</v>
      </c>
      <c r="D12040" t="s">
        <v>25224</v>
      </c>
      <c r="E12040" t="s">
        <v>25224</v>
      </c>
      <c r="F12040" t="s">
        <v>27125</v>
      </c>
      <c r="G12040" t="s">
        <v>31754</v>
      </c>
      <c r="H12040" t="s">
        <v>859</v>
      </c>
      <c r="I12040" t="s">
        <v>860</v>
      </c>
      <c r="J12040" t="str">
        <f>"9440160"</f>
        <v>9440160</v>
      </c>
      <c r="K12040">
        <v>2321088993</v>
      </c>
      <c r="M12040" t="s">
        <v>31756</v>
      </c>
      <c r="N12040" t="s">
        <v>31754</v>
      </c>
      <c r="O12040" t="s">
        <v>31757</v>
      </c>
      <c r="P12040">
        <v>62100</v>
      </c>
      <c r="Q12040" t="str">
        <f>"41.056960"</f>
        <v>41.056960</v>
      </c>
      <c r="R12040" t="str">
        <f>"23.423188"</f>
        <v>23.423188</v>
      </c>
      <c r="S12040" t="s">
        <v>26</v>
      </c>
    </row>
    <row r="12041" spans="1:19" x14ac:dyDescent="0.3">
      <c r="A12041" t="s">
        <v>25190</v>
      </c>
      <c r="B12041" t="s">
        <v>31524</v>
      </c>
      <c r="C12041" t="s">
        <v>31759</v>
      </c>
      <c r="D12041" t="s">
        <v>25224</v>
      </c>
      <c r="E12041" t="s">
        <v>18832</v>
      </c>
      <c r="F12041" t="s">
        <v>18832</v>
      </c>
      <c r="G12041" t="s">
        <v>31758</v>
      </c>
      <c r="H12041" t="s">
        <v>859</v>
      </c>
      <c r="I12041" t="s">
        <v>860</v>
      </c>
      <c r="J12041" t="str">
        <f>"9440200"</f>
        <v>9440200</v>
      </c>
      <c r="K12041">
        <v>2325022676</v>
      </c>
      <c r="M12041" t="s">
        <v>31760</v>
      </c>
      <c r="N12041" t="s">
        <v>31758</v>
      </c>
      <c r="O12041" t="s">
        <v>31761</v>
      </c>
      <c r="P12041">
        <v>62400</v>
      </c>
      <c r="Q12041" t="str">
        <f>"41.177997"</f>
        <v>41.177997</v>
      </c>
      <c r="R12041" t="str">
        <f>"23.318173"</f>
        <v>23.318173</v>
      </c>
      <c r="S12041" t="s">
        <v>26</v>
      </c>
    </row>
    <row r="12042" spans="1:19" x14ac:dyDescent="0.3">
      <c r="A12042" t="s">
        <v>25190</v>
      </c>
      <c r="B12042" t="s">
        <v>31524</v>
      </c>
      <c r="C12042" t="s">
        <v>31762</v>
      </c>
      <c r="D12042" t="s">
        <v>25224</v>
      </c>
      <c r="E12042" t="s">
        <v>27218</v>
      </c>
      <c r="F12042" t="s">
        <v>31740</v>
      </c>
      <c r="G12042" t="s">
        <v>31741</v>
      </c>
      <c r="H12042" t="s">
        <v>859</v>
      </c>
      <c r="I12042" t="s">
        <v>860</v>
      </c>
      <c r="J12042" t="str">
        <f>"9440330"</f>
        <v>9440330</v>
      </c>
      <c r="K12042">
        <v>2324081326</v>
      </c>
      <c r="L12042">
        <v>2324081326</v>
      </c>
      <c r="M12042" t="s">
        <v>31763</v>
      </c>
      <c r="N12042" t="s">
        <v>31764</v>
      </c>
      <c r="O12042" t="s">
        <v>31745</v>
      </c>
      <c r="P12042">
        <v>62047</v>
      </c>
      <c r="Q12042" t="str">
        <f>"40.989819"</f>
        <v>40.989819</v>
      </c>
      <c r="R12042" t="str">
        <f>"24.020918"</f>
        <v>24.020918</v>
      </c>
      <c r="S12042" t="s">
        <v>26</v>
      </c>
    </row>
    <row r="12043" spans="1:19" x14ac:dyDescent="0.3">
      <c r="A12043" t="s">
        <v>25190</v>
      </c>
      <c r="B12043" t="s">
        <v>31524</v>
      </c>
      <c r="C12043" t="s">
        <v>31766</v>
      </c>
      <c r="D12043" t="s">
        <v>25224</v>
      </c>
      <c r="E12043" t="s">
        <v>27106</v>
      </c>
      <c r="F12043" t="s">
        <v>27118</v>
      </c>
      <c r="G12043" t="s">
        <v>31765</v>
      </c>
      <c r="H12043" t="s">
        <v>859</v>
      </c>
      <c r="I12043" t="s">
        <v>860</v>
      </c>
      <c r="J12043" t="str">
        <f>"9440267"</f>
        <v>9440267</v>
      </c>
      <c r="K12043">
        <v>2327061305</v>
      </c>
      <c r="L12043">
        <v>2327061305</v>
      </c>
      <c r="M12043" t="s">
        <v>31767</v>
      </c>
      <c r="N12043" t="s">
        <v>31768</v>
      </c>
      <c r="O12043" t="s">
        <v>31768</v>
      </c>
      <c r="P12043">
        <v>62055</v>
      </c>
      <c r="Q12043" t="str">
        <f>"41.290807"</f>
        <v>41.290807</v>
      </c>
      <c r="R12043" t="str">
        <f>"22.954835"</f>
        <v>22.954835</v>
      </c>
      <c r="S12043" t="s">
        <v>26</v>
      </c>
    </row>
    <row r="12044" spans="1:19" x14ac:dyDescent="0.3">
      <c r="A12044" t="s">
        <v>25190</v>
      </c>
      <c r="B12044" t="s">
        <v>31524</v>
      </c>
      <c r="C12044" t="s">
        <v>31769</v>
      </c>
      <c r="D12044" t="s">
        <v>25224</v>
      </c>
      <c r="E12044" t="s">
        <v>27106</v>
      </c>
      <c r="F12044" t="s">
        <v>27118</v>
      </c>
      <c r="G12044" t="s">
        <v>4330</v>
      </c>
      <c r="H12044" t="s">
        <v>859</v>
      </c>
      <c r="I12044" t="s">
        <v>860</v>
      </c>
      <c r="J12044" t="str">
        <f>"9440275"</f>
        <v>9440275</v>
      </c>
      <c r="K12044">
        <v>2327022026</v>
      </c>
      <c r="L12044">
        <v>2327022026</v>
      </c>
      <c r="M12044" t="s">
        <v>31770</v>
      </c>
      <c r="N12044" t="s">
        <v>8482</v>
      </c>
      <c r="O12044" t="s">
        <v>31771</v>
      </c>
      <c r="P12044">
        <v>62055</v>
      </c>
      <c r="Q12044" t="str">
        <f>"41.262329"</f>
        <v>41.262329</v>
      </c>
      <c r="R12044" t="str">
        <f>"22.999203"</f>
        <v>22.999203</v>
      </c>
      <c r="S12044" t="s">
        <v>26</v>
      </c>
    </row>
    <row r="12045" spans="1:19" x14ac:dyDescent="0.3">
      <c r="A12045" t="s">
        <v>25190</v>
      </c>
      <c r="B12045" t="s">
        <v>31524</v>
      </c>
      <c r="C12045" t="s">
        <v>31772</v>
      </c>
      <c r="D12045" t="s">
        <v>25224</v>
      </c>
      <c r="E12045" t="s">
        <v>27106</v>
      </c>
      <c r="F12045" t="s">
        <v>27111</v>
      </c>
      <c r="G12045" t="s">
        <v>27111</v>
      </c>
      <c r="H12045" t="s">
        <v>859</v>
      </c>
      <c r="I12045" t="s">
        <v>860</v>
      </c>
      <c r="J12045" t="str">
        <f>"9440208"</f>
        <v>9440208</v>
      </c>
      <c r="K12045">
        <v>2323022281</v>
      </c>
      <c r="L12045">
        <v>2323022281</v>
      </c>
      <c r="M12045" t="s">
        <v>31773</v>
      </c>
      <c r="N12045" t="s">
        <v>27111</v>
      </c>
      <c r="O12045" t="s">
        <v>27271</v>
      </c>
      <c r="P12045">
        <v>62300</v>
      </c>
      <c r="Q12045" t="str">
        <f>"41.240934"</f>
        <v>41.240934</v>
      </c>
      <c r="R12045" t="str">
        <f>"23.389880"</f>
        <v>23.389880</v>
      </c>
      <c r="S12045" t="s">
        <v>26</v>
      </c>
    </row>
    <row r="12046" spans="1:19" x14ac:dyDescent="0.3">
      <c r="A12046" t="s">
        <v>25190</v>
      </c>
      <c r="B12046" t="s">
        <v>31524</v>
      </c>
      <c r="C12046" t="s">
        <v>31775</v>
      </c>
      <c r="D12046" t="s">
        <v>25224</v>
      </c>
      <c r="E12046" t="s">
        <v>18832</v>
      </c>
      <c r="F12046" t="s">
        <v>27137</v>
      </c>
      <c r="G12046" t="s">
        <v>31774</v>
      </c>
      <c r="H12046" t="s">
        <v>859</v>
      </c>
      <c r="I12046" t="s">
        <v>860</v>
      </c>
      <c r="J12046" t="str">
        <f>"9440204"</f>
        <v>9440204</v>
      </c>
      <c r="K12046">
        <v>2323051304</v>
      </c>
      <c r="M12046" t="s">
        <v>31776</v>
      </c>
      <c r="N12046" t="s">
        <v>31774</v>
      </c>
      <c r="O12046" t="s">
        <v>31777</v>
      </c>
      <c r="P12046">
        <v>62300</v>
      </c>
      <c r="Q12046" t="str">
        <f>"41.162064"</f>
        <v>41.162064</v>
      </c>
      <c r="R12046" t="str">
        <f>"23.363025"</f>
        <v>23.363025</v>
      </c>
      <c r="S12046" t="s">
        <v>26</v>
      </c>
    </row>
    <row r="12047" spans="1:19" x14ac:dyDescent="0.3">
      <c r="A12047" t="s">
        <v>25190</v>
      </c>
      <c r="B12047" t="s">
        <v>31524</v>
      </c>
      <c r="C12047" t="s">
        <v>31782</v>
      </c>
      <c r="D12047" t="s">
        <v>25224</v>
      </c>
      <c r="E12047" t="s">
        <v>18832</v>
      </c>
      <c r="F12047" t="s">
        <v>27273</v>
      </c>
      <c r="G12047" t="s">
        <v>27273</v>
      </c>
      <c r="H12047" t="s">
        <v>859</v>
      </c>
      <c r="I12047" t="s">
        <v>860</v>
      </c>
      <c r="J12047" t="str">
        <f>"9440065"</f>
        <v>9440065</v>
      </c>
      <c r="K12047">
        <v>2321086077</v>
      </c>
      <c r="L12047">
        <v>2321086022</v>
      </c>
      <c r="M12047" t="s">
        <v>31783</v>
      </c>
      <c r="N12047" t="s">
        <v>27276</v>
      </c>
      <c r="O12047" t="s">
        <v>27277</v>
      </c>
      <c r="P12047">
        <v>62054</v>
      </c>
      <c r="Q12047" t="str">
        <f>"41.043440"</f>
        <v>41.043440</v>
      </c>
      <c r="R12047" t="str">
        <f>"23.317231"</f>
        <v>23.317231</v>
      </c>
      <c r="S12047" t="s">
        <v>26</v>
      </c>
    </row>
    <row r="12048" spans="1:19" x14ac:dyDescent="0.3">
      <c r="A12048" t="s">
        <v>25190</v>
      </c>
      <c r="B12048" t="s">
        <v>31524</v>
      </c>
      <c r="C12048" t="s">
        <v>31787</v>
      </c>
      <c r="D12048" t="s">
        <v>25224</v>
      </c>
      <c r="E12048" t="s">
        <v>18832</v>
      </c>
      <c r="F12048" t="s">
        <v>18832</v>
      </c>
      <c r="G12048" t="s">
        <v>27279</v>
      </c>
      <c r="H12048" t="s">
        <v>859</v>
      </c>
      <c r="I12048" t="s">
        <v>860</v>
      </c>
      <c r="J12048" t="str">
        <f>"9440253"</f>
        <v>9440253</v>
      </c>
      <c r="K12048">
        <v>2325023591</v>
      </c>
      <c r="L12048">
        <v>2325023599</v>
      </c>
      <c r="M12048" t="s">
        <v>31788</v>
      </c>
      <c r="N12048" t="s">
        <v>31789</v>
      </c>
      <c r="O12048" t="s">
        <v>31790</v>
      </c>
      <c r="P12048">
        <v>62400</v>
      </c>
      <c r="Q12048" t="str">
        <f>"41.212973"</f>
        <v>41.212973</v>
      </c>
      <c r="R12048" t="str">
        <f>"23.301938"</f>
        <v>23.301938</v>
      </c>
      <c r="S12048" t="s">
        <v>26</v>
      </c>
    </row>
    <row r="12049" spans="1:19" x14ac:dyDescent="0.3">
      <c r="A12049" t="s">
        <v>25190</v>
      </c>
      <c r="B12049" t="s">
        <v>31524</v>
      </c>
      <c r="C12049" t="s">
        <v>31791</v>
      </c>
      <c r="D12049" t="s">
        <v>25224</v>
      </c>
      <c r="E12049" t="s">
        <v>25224</v>
      </c>
      <c r="F12049" t="s">
        <v>25224</v>
      </c>
      <c r="G12049" t="s">
        <v>25224</v>
      </c>
      <c r="H12049" t="s">
        <v>859</v>
      </c>
      <c r="I12049" t="s">
        <v>860</v>
      </c>
      <c r="J12049" t="str">
        <f>"9440073"</f>
        <v>9440073</v>
      </c>
      <c r="K12049">
        <v>2321020728</v>
      </c>
      <c r="L12049">
        <v>2321020728</v>
      </c>
      <c r="M12049" t="s">
        <v>31792</v>
      </c>
      <c r="N12049" t="s">
        <v>25224</v>
      </c>
      <c r="O12049" t="s">
        <v>31793</v>
      </c>
      <c r="P12049">
        <v>62100</v>
      </c>
      <c r="Q12049" t="str">
        <f>"41.087935"</f>
        <v>41.087935</v>
      </c>
      <c r="R12049" t="str">
        <f>"23.570174"</f>
        <v>23.570174</v>
      </c>
      <c r="S12049" t="s">
        <v>26</v>
      </c>
    </row>
    <row r="12050" spans="1:19" x14ac:dyDescent="0.3">
      <c r="A12050" t="s">
        <v>25190</v>
      </c>
      <c r="B12050" t="s">
        <v>31524</v>
      </c>
      <c r="C12050" t="s">
        <v>31794</v>
      </c>
      <c r="D12050" t="s">
        <v>25224</v>
      </c>
      <c r="E12050" t="s">
        <v>25224</v>
      </c>
      <c r="F12050" t="s">
        <v>25224</v>
      </c>
      <c r="G12050" t="s">
        <v>25224</v>
      </c>
      <c r="H12050" t="s">
        <v>859</v>
      </c>
      <c r="I12050" t="s">
        <v>860</v>
      </c>
      <c r="J12050" t="str">
        <f>"9440083"</f>
        <v>9440083</v>
      </c>
      <c r="K12050">
        <v>2321021664</v>
      </c>
      <c r="M12050" t="s">
        <v>31795</v>
      </c>
      <c r="N12050" t="s">
        <v>25227</v>
      </c>
      <c r="O12050" t="s">
        <v>31796</v>
      </c>
      <c r="P12050">
        <v>62122</v>
      </c>
      <c r="Q12050" t="str">
        <f>"41.094455"</f>
        <v>41.094455</v>
      </c>
      <c r="R12050" t="str">
        <f>"23.555858"</f>
        <v>23.555858</v>
      </c>
      <c r="S12050" t="s">
        <v>26</v>
      </c>
    </row>
    <row r="12051" spans="1:19" x14ac:dyDescent="0.3">
      <c r="A12051" t="s">
        <v>25190</v>
      </c>
      <c r="B12051" t="s">
        <v>31524</v>
      </c>
      <c r="C12051" t="s">
        <v>31797</v>
      </c>
      <c r="D12051" t="s">
        <v>25224</v>
      </c>
      <c r="E12051" t="s">
        <v>25224</v>
      </c>
      <c r="F12051" t="s">
        <v>25224</v>
      </c>
      <c r="G12051" t="s">
        <v>25224</v>
      </c>
      <c r="H12051" t="s">
        <v>859</v>
      </c>
      <c r="I12051" t="s">
        <v>860</v>
      </c>
      <c r="J12051" t="str">
        <f>"9440371"</f>
        <v>9440371</v>
      </c>
      <c r="K12051">
        <v>2321063094</v>
      </c>
      <c r="L12051">
        <v>2321063094</v>
      </c>
      <c r="M12051" t="s">
        <v>31798</v>
      </c>
      <c r="N12051" t="s">
        <v>25224</v>
      </c>
      <c r="O12051" t="s">
        <v>31799</v>
      </c>
      <c r="P12051">
        <v>62122</v>
      </c>
      <c r="Q12051" t="str">
        <f>"41.094403"</f>
        <v>41.094403</v>
      </c>
      <c r="R12051" t="str">
        <f>"23.548667"</f>
        <v>23.548667</v>
      </c>
      <c r="S12051" t="s">
        <v>26</v>
      </c>
    </row>
    <row r="12052" spans="1:19" x14ac:dyDescent="0.3">
      <c r="A12052" t="s">
        <v>25190</v>
      </c>
      <c r="B12052" t="s">
        <v>31524</v>
      </c>
      <c r="C12052" t="s">
        <v>31801</v>
      </c>
      <c r="D12052" t="s">
        <v>25224</v>
      </c>
      <c r="E12052" t="s">
        <v>18832</v>
      </c>
      <c r="F12052" t="s">
        <v>18832</v>
      </c>
      <c r="G12052" t="s">
        <v>31800</v>
      </c>
      <c r="H12052" t="s">
        <v>859</v>
      </c>
      <c r="I12052" t="s">
        <v>860</v>
      </c>
      <c r="J12052" t="str">
        <f>"9440196"</f>
        <v>9440196</v>
      </c>
      <c r="K12052">
        <v>2325041610</v>
      </c>
      <c r="L12052">
        <v>325041610</v>
      </c>
      <c r="M12052" t="s">
        <v>31802</v>
      </c>
      <c r="N12052" t="s">
        <v>31800</v>
      </c>
      <c r="O12052" t="s">
        <v>31803</v>
      </c>
      <c r="P12052">
        <v>62400</v>
      </c>
      <c r="Q12052" t="str">
        <f>"41.136702"</f>
        <v>41.136702</v>
      </c>
      <c r="R12052" t="str">
        <f>"23.218686"</f>
        <v>23.218686</v>
      </c>
      <c r="S12052" t="s">
        <v>26</v>
      </c>
    </row>
    <row r="12053" spans="1:19" x14ac:dyDescent="0.3">
      <c r="A12053" t="s">
        <v>25190</v>
      </c>
      <c r="B12053" t="s">
        <v>31524</v>
      </c>
      <c r="C12053" t="s">
        <v>31804</v>
      </c>
      <c r="D12053" t="s">
        <v>25224</v>
      </c>
      <c r="E12053" t="s">
        <v>25224</v>
      </c>
      <c r="F12053" t="s">
        <v>25224</v>
      </c>
      <c r="G12053" t="s">
        <v>25224</v>
      </c>
      <c r="H12053" t="s">
        <v>859</v>
      </c>
      <c r="I12053" t="s">
        <v>860</v>
      </c>
      <c r="J12053" t="str">
        <f>"9440407"</f>
        <v>9440407</v>
      </c>
      <c r="K12053">
        <v>2321065788</v>
      </c>
      <c r="M12053" t="s">
        <v>31805</v>
      </c>
      <c r="N12053" t="s">
        <v>25224</v>
      </c>
      <c r="O12053" t="s">
        <v>31796</v>
      </c>
      <c r="P12053">
        <v>62124</v>
      </c>
      <c r="Q12053" t="str">
        <f>"41.094465"</f>
        <v>41.094465</v>
      </c>
      <c r="R12053" t="str">
        <f>"23.555905"</f>
        <v>23.555905</v>
      </c>
      <c r="S12053" t="s">
        <v>26</v>
      </c>
    </row>
    <row r="12054" spans="1:19" x14ac:dyDescent="0.3">
      <c r="A12054" t="s">
        <v>25190</v>
      </c>
      <c r="B12054" t="s">
        <v>31524</v>
      </c>
      <c r="C12054" t="s">
        <v>31808</v>
      </c>
      <c r="D12054" t="s">
        <v>25224</v>
      </c>
      <c r="E12054" t="s">
        <v>27218</v>
      </c>
      <c r="F12054" t="s">
        <v>27322</v>
      </c>
      <c r="G12054" t="s">
        <v>27322</v>
      </c>
      <c r="H12054" t="s">
        <v>859</v>
      </c>
      <c r="I12054" t="s">
        <v>860</v>
      </c>
      <c r="J12054" t="str">
        <f>"9440339"</f>
        <v>9440339</v>
      </c>
      <c r="K12054">
        <v>2324061010</v>
      </c>
      <c r="L12054">
        <v>2324061010</v>
      </c>
      <c r="M12054" t="s">
        <v>31809</v>
      </c>
      <c r="N12054" t="s">
        <v>31810</v>
      </c>
      <c r="O12054" t="s">
        <v>27326</v>
      </c>
      <c r="P12054">
        <v>62047</v>
      </c>
      <c r="Q12054" t="str">
        <f>"40.941090"</f>
        <v>40.941090</v>
      </c>
      <c r="R12054" t="str">
        <f>"24.003001"</f>
        <v>24.003001</v>
      </c>
      <c r="S12054" t="s">
        <v>26</v>
      </c>
    </row>
    <row r="12055" spans="1:19" x14ac:dyDescent="0.3">
      <c r="A12055" t="s">
        <v>25190</v>
      </c>
      <c r="B12055" t="s">
        <v>31524</v>
      </c>
      <c r="C12055" t="s">
        <v>31811</v>
      </c>
      <c r="D12055" t="s">
        <v>25224</v>
      </c>
      <c r="E12055" t="s">
        <v>25224</v>
      </c>
      <c r="F12055" t="s">
        <v>25224</v>
      </c>
      <c r="G12055" t="s">
        <v>25224</v>
      </c>
      <c r="H12055" t="s">
        <v>859</v>
      </c>
      <c r="I12055" t="s">
        <v>860</v>
      </c>
      <c r="J12055" t="str">
        <f>"9440410"</f>
        <v>9440410</v>
      </c>
      <c r="K12055">
        <v>2321057174</v>
      </c>
      <c r="L12055">
        <v>2321057174</v>
      </c>
      <c r="M12055" t="s">
        <v>31812</v>
      </c>
      <c r="N12055" t="s">
        <v>25224</v>
      </c>
      <c r="O12055" t="s">
        <v>31813</v>
      </c>
      <c r="P12055">
        <v>62124</v>
      </c>
      <c r="Q12055" t="str">
        <f>"41.088961"</f>
        <v>41.088961</v>
      </c>
      <c r="R12055" t="str">
        <f>"23.552693"</f>
        <v>23.552693</v>
      </c>
      <c r="S12055" t="s">
        <v>26</v>
      </c>
    </row>
    <row r="12056" spans="1:19" x14ac:dyDescent="0.3">
      <c r="A12056" t="s">
        <v>25190</v>
      </c>
      <c r="B12056" t="s">
        <v>31524</v>
      </c>
      <c r="C12056" t="s">
        <v>31814</v>
      </c>
      <c r="D12056" t="s">
        <v>25224</v>
      </c>
      <c r="E12056" t="s">
        <v>25224</v>
      </c>
      <c r="F12056" t="s">
        <v>27125</v>
      </c>
      <c r="G12056" t="s">
        <v>27126</v>
      </c>
      <c r="H12056" t="s">
        <v>859</v>
      </c>
      <c r="I12056" t="s">
        <v>860</v>
      </c>
      <c r="J12056" t="str">
        <f>"9440186"</f>
        <v>9440186</v>
      </c>
      <c r="K12056">
        <v>2321088329</v>
      </c>
      <c r="L12056">
        <v>2321088329</v>
      </c>
      <c r="M12056" t="s">
        <v>31815</v>
      </c>
      <c r="N12056" t="s">
        <v>27126</v>
      </c>
      <c r="O12056" t="s">
        <v>31816</v>
      </c>
      <c r="P12056">
        <v>62100</v>
      </c>
      <c r="Q12056" t="str">
        <f>"41.070698"</f>
        <v>41.070698</v>
      </c>
      <c r="R12056" t="str">
        <f>"23.390673"</f>
        <v>23.390673</v>
      </c>
      <c r="S12056" t="s">
        <v>26</v>
      </c>
    </row>
    <row r="12057" spans="1:19" x14ac:dyDescent="0.3">
      <c r="A12057" t="s">
        <v>25190</v>
      </c>
      <c r="B12057" t="s">
        <v>31524</v>
      </c>
      <c r="C12057" t="s">
        <v>31817</v>
      </c>
      <c r="D12057" t="s">
        <v>25224</v>
      </c>
      <c r="E12057" t="s">
        <v>18832</v>
      </c>
      <c r="F12057" t="s">
        <v>27137</v>
      </c>
      <c r="G12057" t="s">
        <v>27137</v>
      </c>
      <c r="H12057" t="s">
        <v>859</v>
      </c>
      <c r="I12057" t="s">
        <v>860</v>
      </c>
      <c r="J12057" t="str">
        <f>"9440188"</f>
        <v>9440188</v>
      </c>
      <c r="K12057">
        <v>2321081557</v>
      </c>
      <c r="M12057" t="s">
        <v>31818</v>
      </c>
      <c r="N12057" t="s">
        <v>27137</v>
      </c>
      <c r="O12057" t="s">
        <v>27141</v>
      </c>
      <c r="P12057">
        <v>62100</v>
      </c>
      <c r="Q12057" t="str">
        <f>"41.126658"</f>
        <v>41.126658</v>
      </c>
      <c r="R12057" t="str">
        <f>"23.378017"</f>
        <v>23.378017</v>
      </c>
      <c r="S12057" t="s">
        <v>26</v>
      </c>
    </row>
    <row r="12058" spans="1:19" x14ac:dyDescent="0.3">
      <c r="A12058" t="s">
        <v>25190</v>
      </c>
      <c r="B12058" t="s">
        <v>31524</v>
      </c>
      <c r="C12058" t="s">
        <v>31820</v>
      </c>
      <c r="D12058" t="s">
        <v>25224</v>
      </c>
      <c r="E12058" t="s">
        <v>18832</v>
      </c>
      <c r="F12058" t="s">
        <v>18832</v>
      </c>
      <c r="G12058" t="s">
        <v>31819</v>
      </c>
      <c r="H12058" t="s">
        <v>859</v>
      </c>
      <c r="I12058" t="s">
        <v>860</v>
      </c>
      <c r="J12058" t="str">
        <f>"9440191"</f>
        <v>9440191</v>
      </c>
      <c r="K12058">
        <v>2325051295</v>
      </c>
      <c r="M12058" t="s">
        <v>31821</v>
      </c>
      <c r="N12058" t="s">
        <v>31819</v>
      </c>
      <c r="O12058" t="s">
        <v>31822</v>
      </c>
      <c r="P12058">
        <v>62400</v>
      </c>
      <c r="Q12058" t="str">
        <f>"41.181528"</f>
        <v>41.181528</v>
      </c>
      <c r="R12058" t="str">
        <f>"23.233573"</f>
        <v>23.233573</v>
      </c>
      <c r="S12058" t="s">
        <v>26</v>
      </c>
    </row>
    <row r="12059" spans="1:19" x14ac:dyDescent="0.3">
      <c r="A12059" t="s">
        <v>25190</v>
      </c>
      <c r="B12059" t="s">
        <v>31524</v>
      </c>
      <c r="C12059" t="s">
        <v>31823</v>
      </c>
      <c r="D12059" t="s">
        <v>25224</v>
      </c>
      <c r="E12059" t="s">
        <v>25224</v>
      </c>
      <c r="F12059" t="s">
        <v>25224</v>
      </c>
      <c r="G12059" t="s">
        <v>25224</v>
      </c>
      <c r="H12059" t="s">
        <v>859</v>
      </c>
      <c r="I12059" t="s">
        <v>860</v>
      </c>
      <c r="J12059" t="str">
        <f>"9520786"</f>
        <v>9520786</v>
      </c>
      <c r="K12059">
        <v>2321053119</v>
      </c>
      <c r="L12059">
        <v>2321053119</v>
      </c>
      <c r="M12059" t="s">
        <v>31824</v>
      </c>
      <c r="N12059" t="s">
        <v>25224</v>
      </c>
      <c r="O12059" t="s">
        <v>31825</v>
      </c>
      <c r="P12059">
        <v>62122</v>
      </c>
      <c r="Q12059" t="str">
        <f>"41.094477"</f>
        <v>41.094477</v>
      </c>
      <c r="R12059" t="str">
        <f>"23.548852"</f>
        <v>23.548852</v>
      </c>
      <c r="S12059" t="s">
        <v>26</v>
      </c>
    </row>
    <row r="12060" spans="1:19" x14ac:dyDescent="0.3">
      <c r="A12060" t="s">
        <v>25190</v>
      </c>
      <c r="B12060" t="s">
        <v>31524</v>
      </c>
      <c r="C12060" t="s">
        <v>31826</v>
      </c>
      <c r="D12060" t="s">
        <v>25224</v>
      </c>
      <c r="E12060" t="s">
        <v>18832</v>
      </c>
      <c r="F12060" t="s">
        <v>18832</v>
      </c>
      <c r="G12060" t="s">
        <v>18832</v>
      </c>
      <c r="H12060" t="s">
        <v>859</v>
      </c>
      <c r="I12060" t="s">
        <v>860</v>
      </c>
      <c r="J12060" t="str">
        <f>"9440137"</f>
        <v>9440137</v>
      </c>
      <c r="K12060">
        <v>2325022935</v>
      </c>
      <c r="L12060">
        <v>2325022922</v>
      </c>
      <c r="M12060" t="s">
        <v>31827</v>
      </c>
      <c r="N12060" t="s">
        <v>18832</v>
      </c>
      <c r="O12060" t="s">
        <v>31828</v>
      </c>
      <c r="P12060">
        <v>62400</v>
      </c>
      <c r="Q12060" t="str">
        <f>"41.182237"</f>
        <v>41.182237</v>
      </c>
      <c r="R12060" t="str">
        <f>"23.278245"</f>
        <v>23.278245</v>
      </c>
      <c r="S12060" t="s">
        <v>26</v>
      </c>
    </row>
    <row r="12061" spans="1:19" x14ac:dyDescent="0.3">
      <c r="A12061" t="s">
        <v>25190</v>
      </c>
      <c r="B12061" t="s">
        <v>31524</v>
      </c>
      <c r="C12061" t="s">
        <v>31829</v>
      </c>
      <c r="D12061" t="s">
        <v>25224</v>
      </c>
      <c r="E12061" t="s">
        <v>18832</v>
      </c>
      <c r="F12061" t="s">
        <v>18832</v>
      </c>
      <c r="G12061" t="s">
        <v>18832</v>
      </c>
      <c r="H12061" t="s">
        <v>859</v>
      </c>
      <c r="I12061" t="s">
        <v>860</v>
      </c>
      <c r="J12061" t="str">
        <f>"9440138"</f>
        <v>9440138</v>
      </c>
      <c r="K12061">
        <v>2325022935</v>
      </c>
      <c r="L12061">
        <v>2325022922</v>
      </c>
      <c r="M12061" t="s">
        <v>31830</v>
      </c>
      <c r="N12061" t="s">
        <v>18832</v>
      </c>
      <c r="O12061" t="s">
        <v>31828</v>
      </c>
      <c r="P12061">
        <v>62400</v>
      </c>
      <c r="Q12061" t="str">
        <f>"41.168458"</f>
        <v>41.168458</v>
      </c>
      <c r="R12061" t="str">
        <f>"23.276562"</f>
        <v>23.276562</v>
      </c>
      <c r="S12061" t="s">
        <v>26</v>
      </c>
    </row>
    <row r="12062" spans="1:19" x14ac:dyDescent="0.3">
      <c r="A12062" t="s">
        <v>25190</v>
      </c>
      <c r="B12062" t="s">
        <v>31524</v>
      </c>
      <c r="C12062" t="s">
        <v>31832</v>
      </c>
      <c r="D12062" t="s">
        <v>25224</v>
      </c>
      <c r="E12062" t="s">
        <v>18832</v>
      </c>
      <c r="F12062" t="s">
        <v>18832</v>
      </c>
      <c r="G12062" t="s">
        <v>31831</v>
      </c>
      <c r="H12062" t="s">
        <v>859</v>
      </c>
      <c r="I12062" t="s">
        <v>860</v>
      </c>
      <c r="J12062" t="str">
        <f>"9440270"</f>
        <v>9440270</v>
      </c>
      <c r="K12062">
        <v>2325024916</v>
      </c>
      <c r="L12062">
        <v>2325024915</v>
      </c>
      <c r="M12062" t="s">
        <v>31833</v>
      </c>
      <c r="N12062" t="s">
        <v>31831</v>
      </c>
      <c r="O12062" t="s">
        <v>31834</v>
      </c>
      <c r="P12062">
        <v>62400</v>
      </c>
      <c r="Q12062" t="str">
        <f>"41.206887"</f>
        <v>41.206887</v>
      </c>
      <c r="R12062" t="str">
        <f>"23.286857"</f>
        <v>23.286857</v>
      </c>
      <c r="S12062" t="s">
        <v>26</v>
      </c>
    </row>
    <row r="12063" spans="1:19" x14ac:dyDescent="0.3">
      <c r="A12063" t="s">
        <v>25190</v>
      </c>
      <c r="B12063" t="s">
        <v>31524</v>
      </c>
      <c r="C12063" t="s">
        <v>31836</v>
      </c>
      <c r="D12063" t="s">
        <v>25224</v>
      </c>
      <c r="E12063" t="s">
        <v>18832</v>
      </c>
      <c r="F12063" t="s">
        <v>27273</v>
      </c>
      <c r="G12063" t="s">
        <v>31835</v>
      </c>
      <c r="H12063" t="s">
        <v>859</v>
      </c>
      <c r="I12063" t="s">
        <v>860</v>
      </c>
      <c r="J12063" t="str">
        <f>"9440069"</f>
        <v>9440069</v>
      </c>
      <c r="K12063">
        <v>2325041659</v>
      </c>
      <c r="L12063">
        <v>2325041574</v>
      </c>
      <c r="M12063" t="s">
        <v>31837</v>
      </c>
      <c r="N12063" t="s">
        <v>31835</v>
      </c>
      <c r="O12063" t="s">
        <v>31838</v>
      </c>
      <c r="P12063">
        <v>62400</v>
      </c>
      <c r="Q12063" t="str">
        <f>"41.108252"</f>
        <v>41.108252</v>
      </c>
      <c r="R12063" t="str">
        <f>"23.261048"</f>
        <v>23.261048</v>
      </c>
      <c r="S12063" t="s">
        <v>26</v>
      </c>
    </row>
    <row r="12064" spans="1:19" x14ac:dyDescent="0.3">
      <c r="A12064" t="s">
        <v>25190</v>
      </c>
      <c r="B12064" t="s">
        <v>31524</v>
      </c>
      <c r="C12064" t="s">
        <v>31839</v>
      </c>
      <c r="D12064" t="s">
        <v>25224</v>
      </c>
      <c r="E12064" t="s">
        <v>25224</v>
      </c>
      <c r="F12064" t="s">
        <v>25224</v>
      </c>
      <c r="G12064" t="s">
        <v>25224</v>
      </c>
      <c r="H12064" t="s">
        <v>859</v>
      </c>
      <c r="I12064" t="s">
        <v>1102</v>
      </c>
      <c r="J12064" t="str">
        <f>"9440415"</f>
        <v>9440415</v>
      </c>
      <c r="K12064">
        <v>2321056002</v>
      </c>
      <c r="L12064">
        <v>2321023349</v>
      </c>
      <c r="M12064" t="s">
        <v>31840</v>
      </c>
      <c r="N12064" t="s">
        <v>25224</v>
      </c>
      <c r="O12064" t="s">
        <v>31739</v>
      </c>
      <c r="P12064">
        <v>62100</v>
      </c>
      <c r="Q12064" t="str">
        <f>"41.089962"</f>
        <v>41.089962</v>
      </c>
      <c r="R12064" t="str">
        <f>"23.586379"</f>
        <v>23.586379</v>
      </c>
      <c r="S12064" t="s">
        <v>26</v>
      </c>
    </row>
    <row r="12065" spans="1:19" x14ac:dyDescent="0.3">
      <c r="A12065" t="s">
        <v>25190</v>
      </c>
      <c r="B12065" t="s">
        <v>31524</v>
      </c>
      <c r="C12065" t="s">
        <v>31841</v>
      </c>
      <c r="D12065" t="s">
        <v>25224</v>
      </c>
      <c r="E12065" t="s">
        <v>25224</v>
      </c>
      <c r="F12065" t="s">
        <v>25224</v>
      </c>
      <c r="G12065" t="s">
        <v>16106</v>
      </c>
      <c r="H12065" t="s">
        <v>859</v>
      </c>
      <c r="I12065" t="s">
        <v>860</v>
      </c>
      <c r="J12065" t="str">
        <f>"9520997"</f>
        <v>9520997</v>
      </c>
      <c r="K12065">
        <v>2321066689</v>
      </c>
      <c r="L12065">
        <v>2321066689</v>
      </c>
      <c r="M12065" t="s">
        <v>31842</v>
      </c>
      <c r="N12065" t="s">
        <v>31843</v>
      </c>
      <c r="O12065" t="s">
        <v>31843</v>
      </c>
      <c r="P12065">
        <v>62100</v>
      </c>
      <c r="Q12065" t="str">
        <f>"41.141803"</f>
        <v>41.141803</v>
      </c>
      <c r="R12065" t="str">
        <f>"23.581705"</f>
        <v>23.581705</v>
      </c>
      <c r="S12065" t="s">
        <v>26</v>
      </c>
    </row>
    <row r="12066" spans="1:19" x14ac:dyDescent="0.3">
      <c r="A12066" t="s">
        <v>25190</v>
      </c>
      <c r="B12066" t="s">
        <v>31524</v>
      </c>
      <c r="C12066" t="s">
        <v>31844</v>
      </c>
      <c r="D12066" t="s">
        <v>25224</v>
      </c>
      <c r="E12066" t="s">
        <v>27106</v>
      </c>
      <c r="F12066" t="s">
        <v>27111</v>
      </c>
      <c r="G12066" t="s">
        <v>27111</v>
      </c>
      <c r="H12066" t="s">
        <v>859</v>
      </c>
      <c r="I12066" t="s">
        <v>860</v>
      </c>
      <c r="J12066" t="str">
        <f>"9440209"</f>
        <v>9440209</v>
      </c>
      <c r="K12066">
        <v>2323022852</v>
      </c>
      <c r="M12066" t="s">
        <v>31845</v>
      </c>
      <c r="N12066" t="s">
        <v>27111</v>
      </c>
      <c r="O12066" t="s">
        <v>31846</v>
      </c>
      <c r="P12066">
        <v>62300</v>
      </c>
      <c r="Q12066" t="str">
        <f>"41.236420"</f>
        <v>41.236420</v>
      </c>
      <c r="R12066" t="str">
        <f>"23.394337"</f>
        <v>23.394337</v>
      </c>
      <c r="S12066" t="s">
        <v>26</v>
      </c>
    </row>
    <row r="12067" spans="1:19" x14ac:dyDescent="0.3">
      <c r="A12067" t="s">
        <v>25190</v>
      </c>
      <c r="B12067" t="s">
        <v>31524</v>
      </c>
      <c r="C12067" t="s">
        <v>31847</v>
      </c>
      <c r="D12067" t="s">
        <v>25224</v>
      </c>
      <c r="E12067" t="s">
        <v>27106</v>
      </c>
      <c r="F12067" t="s">
        <v>27111</v>
      </c>
      <c r="G12067" t="s">
        <v>27111</v>
      </c>
      <c r="H12067" t="s">
        <v>859</v>
      </c>
      <c r="I12067" t="s">
        <v>860</v>
      </c>
      <c r="J12067" t="str">
        <f>"9440210"</f>
        <v>9440210</v>
      </c>
      <c r="K12067">
        <v>2323023246</v>
      </c>
      <c r="M12067" t="s">
        <v>31848</v>
      </c>
      <c r="N12067" t="s">
        <v>27111</v>
      </c>
      <c r="O12067" t="s">
        <v>31849</v>
      </c>
      <c r="P12067">
        <v>62300</v>
      </c>
      <c r="Q12067" t="str">
        <f>"41.234912"</f>
        <v>41.234912</v>
      </c>
      <c r="R12067" t="str">
        <f>"23.388813"</f>
        <v>23.388813</v>
      </c>
      <c r="S12067" t="s">
        <v>26</v>
      </c>
    </row>
    <row r="12068" spans="1:19" x14ac:dyDescent="0.3">
      <c r="A12068" t="s">
        <v>25190</v>
      </c>
      <c r="B12068" t="s">
        <v>31524</v>
      </c>
      <c r="C12068" t="s">
        <v>31852</v>
      </c>
      <c r="D12068" t="s">
        <v>25224</v>
      </c>
      <c r="E12068" t="s">
        <v>25224</v>
      </c>
      <c r="F12068" t="s">
        <v>25224</v>
      </c>
      <c r="G12068" t="s">
        <v>25224</v>
      </c>
      <c r="H12068" t="s">
        <v>859</v>
      </c>
      <c r="I12068" t="s">
        <v>860</v>
      </c>
      <c r="J12068" t="str">
        <f>"9520787"</f>
        <v>9520787</v>
      </c>
      <c r="K12068">
        <v>2321062459</v>
      </c>
      <c r="L12068">
        <v>2321062459</v>
      </c>
      <c r="M12068" t="s">
        <v>31853</v>
      </c>
      <c r="N12068" t="s">
        <v>25224</v>
      </c>
      <c r="O12068" t="s">
        <v>31854</v>
      </c>
      <c r="P12068">
        <v>62150</v>
      </c>
      <c r="Q12068" t="str">
        <f>"41.089957"</f>
        <v>41.089957</v>
      </c>
      <c r="R12068" t="str">
        <f>"23.584403"</f>
        <v>23.584403</v>
      </c>
      <c r="S12068" t="s">
        <v>26</v>
      </c>
    </row>
    <row r="12069" spans="1:19" x14ac:dyDescent="0.3">
      <c r="A12069" t="s">
        <v>25190</v>
      </c>
      <c r="B12069" t="s">
        <v>31524</v>
      </c>
      <c r="C12069" t="s">
        <v>31855</v>
      </c>
      <c r="D12069" t="s">
        <v>25224</v>
      </c>
      <c r="E12069" t="s">
        <v>25224</v>
      </c>
      <c r="F12069" t="s">
        <v>25224</v>
      </c>
      <c r="G12069" t="s">
        <v>25224</v>
      </c>
      <c r="H12069" t="s">
        <v>859</v>
      </c>
      <c r="I12069" t="s">
        <v>860</v>
      </c>
      <c r="J12069" t="str">
        <f>"9440411"</f>
        <v>9440411</v>
      </c>
      <c r="K12069">
        <v>2321021976</v>
      </c>
      <c r="L12069">
        <v>2321021976</v>
      </c>
      <c r="M12069" t="s">
        <v>31856</v>
      </c>
      <c r="N12069" t="s">
        <v>25224</v>
      </c>
      <c r="O12069" t="s">
        <v>31725</v>
      </c>
      <c r="P12069">
        <v>62100</v>
      </c>
      <c r="Q12069" t="str">
        <f>"41.080628"</f>
        <v>41.080628</v>
      </c>
      <c r="R12069" t="str">
        <f>"23.549738"</f>
        <v>23.549738</v>
      </c>
      <c r="S12069" t="s">
        <v>26</v>
      </c>
    </row>
    <row r="12070" spans="1:19" x14ac:dyDescent="0.3">
      <c r="A12070" t="s">
        <v>25190</v>
      </c>
      <c r="B12070" t="s">
        <v>31524</v>
      </c>
      <c r="C12070" t="s">
        <v>31859</v>
      </c>
      <c r="D12070" t="s">
        <v>25224</v>
      </c>
      <c r="E12070" t="s">
        <v>27106</v>
      </c>
      <c r="F12070" t="s">
        <v>27111</v>
      </c>
      <c r="G12070" t="s">
        <v>27111</v>
      </c>
      <c r="H12070" t="s">
        <v>859</v>
      </c>
      <c r="I12070" t="s">
        <v>860</v>
      </c>
      <c r="J12070" t="str">
        <f>"9440426"</f>
        <v>9440426</v>
      </c>
      <c r="K12070">
        <v>2323024340</v>
      </c>
      <c r="L12070">
        <v>2323025588</v>
      </c>
      <c r="M12070" t="s">
        <v>31860</v>
      </c>
      <c r="N12070" t="s">
        <v>27111</v>
      </c>
      <c r="O12070" t="s">
        <v>31861</v>
      </c>
      <c r="P12070">
        <v>62300</v>
      </c>
      <c r="Q12070" t="str">
        <f>"41.234588"</f>
        <v>41.234588</v>
      </c>
      <c r="R12070" t="str">
        <f>"23.389395"</f>
        <v>23.389395</v>
      </c>
      <c r="S12070" t="s">
        <v>26</v>
      </c>
    </row>
    <row r="12071" spans="1:19" x14ac:dyDescent="0.3">
      <c r="A12071" t="s">
        <v>25190</v>
      </c>
      <c r="B12071" t="s">
        <v>31524</v>
      </c>
      <c r="C12071" t="s">
        <v>31862</v>
      </c>
      <c r="D12071" t="s">
        <v>25224</v>
      </c>
      <c r="E12071" t="s">
        <v>27106</v>
      </c>
      <c r="F12071" t="s">
        <v>27111</v>
      </c>
      <c r="G12071" t="s">
        <v>31693</v>
      </c>
      <c r="H12071" t="s">
        <v>859</v>
      </c>
      <c r="I12071" t="s">
        <v>860</v>
      </c>
      <c r="J12071" t="str">
        <f>"9440279"</f>
        <v>9440279</v>
      </c>
      <c r="K12071">
        <v>2323022872</v>
      </c>
      <c r="L12071">
        <v>2323022868</v>
      </c>
      <c r="M12071" t="s">
        <v>31863</v>
      </c>
      <c r="N12071" t="s">
        <v>31693</v>
      </c>
      <c r="O12071" t="s">
        <v>31697</v>
      </c>
      <c r="P12071">
        <v>62300</v>
      </c>
      <c r="Q12071" t="str">
        <f>"41.264845"</f>
        <v>41.264845</v>
      </c>
      <c r="R12071" t="str">
        <f>"23.374386"</f>
        <v>23.374386</v>
      </c>
      <c r="S12071" t="s">
        <v>26</v>
      </c>
    </row>
    <row r="12072" spans="1:19" x14ac:dyDescent="0.3">
      <c r="A12072" t="s">
        <v>25190</v>
      </c>
      <c r="B12072" t="s">
        <v>31524</v>
      </c>
      <c r="C12072" t="s">
        <v>31872</v>
      </c>
      <c r="D12072" t="s">
        <v>25224</v>
      </c>
      <c r="E12072" t="s">
        <v>18832</v>
      </c>
      <c r="F12072" t="s">
        <v>27137</v>
      </c>
      <c r="G12072" t="s">
        <v>31871</v>
      </c>
      <c r="H12072" t="s">
        <v>859</v>
      </c>
      <c r="I12072" t="s">
        <v>860</v>
      </c>
      <c r="J12072" t="str">
        <f>"9440181"</f>
        <v>9440181</v>
      </c>
      <c r="K12072">
        <v>2321081390</v>
      </c>
      <c r="M12072" t="s">
        <v>31873</v>
      </c>
      <c r="N12072" t="s">
        <v>31871</v>
      </c>
      <c r="O12072" t="s">
        <v>31874</v>
      </c>
      <c r="P12072">
        <v>62100</v>
      </c>
      <c r="Q12072" t="str">
        <f>"41.113736"</f>
        <v>41.113736</v>
      </c>
      <c r="R12072" t="str">
        <f>"23.376730"</f>
        <v>23.376730</v>
      </c>
      <c r="S12072" t="s">
        <v>26</v>
      </c>
    </row>
    <row r="12073" spans="1:19" x14ac:dyDescent="0.3">
      <c r="A12073" t="s">
        <v>25190</v>
      </c>
      <c r="B12073" t="s">
        <v>31524</v>
      </c>
      <c r="C12073" t="s">
        <v>31893</v>
      </c>
      <c r="D12073" t="s">
        <v>25224</v>
      </c>
      <c r="E12073" t="s">
        <v>27181</v>
      </c>
      <c r="F12073" t="s">
        <v>27182</v>
      </c>
      <c r="G12073" t="s">
        <v>27182</v>
      </c>
      <c r="H12073" t="s">
        <v>859</v>
      </c>
      <c r="I12073" t="s">
        <v>860</v>
      </c>
      <c r="J12073" t="str">
        <f>"9440002"</f>
        <v>9440002</v>
      </c>
      <c r="K12073">
        <v>2322023027</v>
      </c>
      <c r="M12073" t="s">
        <v>31894</v>
      </c>
      <c r="N12073" t="s">
        <v>27185</v>
      </c>
      <c r="O12073" t="s">
        <v>31895</v>
      </c>
      <c r="P12073">
        <v>62200</v>
      </c>
      <c r="Q12073" t="str">
        <f>"40.906616"</f>
        <v>40.906616</v>
      </c>
      <c r="R12073" t="str">
        <f>"23.497773"</f>
        <v>23.497773</v>
      </c>
      <c r="S12073" t="s">
        <v>26</v>
      </c>
    </row>
    <row r="12074" spans="1:19" x14ac:dyDescent="0.3">
      <c r="A12074" t="s">
        <v>25190</v>
      </c>
      <c r="B12074" t="s">
        <v>31524</v>
      </c>
      <c r="C12074" t="s">
        <v>31898</v>
      </c>
      <c r="D12074" t="s">
        <v>25224</v>
      </c>
      <c r="E12074" t="s">
        <v>25224</v>
      </c>
      <c r="F12074" t="s">
        <v>27201</v>
      </c>
      <c r="G12074" t="s">
        <v>27201</v>
      </c>
      <c r="H12074" t="s">
        <v>859</v>
      </c>
      <c r="I12074" t="s">
        <v>860</v>
      </c>
      <c r="J12074" t="str">
        <f>"9440431"</f>
        <v>9440431</v>
      </c>
      <c r="K12074">
        <v>2321042879</v>
      </c>
      <c r="M12074" t="s">
        <v>31899</v>
      </c>
      <c r="N12074" t="s">
        <v>27201</v>
      </c>
      <c r="O12074" t="s">
        <v>31900</v>
      </c>
      <c r="P12074">
        <v>62100</v>
      </c>
      <c r="Q12074" t="str">
        <f>"41.016891"</f>
        <v>41.016891</v>
      </c>
      <c r="R12074" t="str">
        <f>"23.516956"</f>
        <v>23.516956</v>
      </c>
      <c r="S12074" t="s">
        <v>26</v>
      </c>
    </row>
    <row r="12075" spans="1:19" x14ac:dyDescent="0.3">
      <c r="A12075" t="s">
        <v>25190</v>
      </c>
      <c r="B12075" t="s">
        <v>31524</v>
      </c>
      <c r="C12075" t="s">
        <v>31906</v>
      </c>
      <c r="D12075" t="s">
        <v>25224</v>
      </c>
      <c r="E12075" t="s">
        <v>25224</v>
      </c>
      <c r="F12075" t="s">
        <v>27125</v>
      </c>
      <c r="G12075" t="s">
        <v>31905</v>
      </c>
      <c r="H12075" t="s">
        <v>859</v>
      </c>
      <c r="I12075" t="s">
        <v>860</v>
      </c>
      <c r="J12075" t="str">
        <f>"9440178"</f>
        <v>9440178</v>
      </c>
      <c r="K12075">
        <v>2321075720</v>
      </c>
      <c r="L12075">
        <v>2321075720</v>
      </c>
      <c r="M12075" t="s">
        <v>31907</v>
      </c>
      <c r="N12075" t="s">
        <v>31908</v>
      </c>
      <c r="O12075" t="s">
        <v>31909</v>
      </c>
      <c r="P12075">
        <v>62100</v>
      </c>
      <c r="Q12075" t="str">
        <f>"41.071909"</f>
        <v>41.071909</v>
      </c>
      <c r="R12075" t="str">
        <f>"23.460952"</f>
        <v>23.460952</v>
      </c>
      <c r="S12075" t="s">
        <v>26</v>
      </c>
    </row>
    <row r="12076" spans="1:19" x14ac:dyDescent="0.3">
      <c r="A12076" t="s">
        <v>25190</v>
      </c>
      <c r="B12076" t="s">
        <v>31524</v>
      </c>
      <c r="C12076" t="s">
        <v>31962</v>
      </c>
      <c r="D12076" t="s">
        <v>25224</v>
      </c>
      <c r="E12076" t="s">
        <v>27143</v>
      </c>
      <c r="F12076" t="s">
        <v>27174</v>
      </c>
      <c r="G12076" t="s">
        <v>31961</v>
      </c>
      <c r="H12076" t="s">
        <v>859</v>
      </c>
      <c r="I12076" t="s">
        <v>860</v>
      </c>
      <c r="J12076" t="str">
        <f>"9440120"</f>
        <v>9440120</v>
      </c>
      <c r="K12076">
        <v>2321073370</v>
      </c>
      <c r="L12076">
        <v>2321073370</v>
      </c>
      <c r="M12076" t="s">
        <v>31963</v>
      </c>
      <c r="N12076" t="s">
        <v>31961</v>
      </c>
      <c r="O12076" t="s">
        <v>31964</v>
      </c>
      <c r="P12076">
        <v>62100</v>
      </c>
      <c r="Q12076" t="str">
        <f>"40.984457"</f>
        <v>40.984457</v>
      </c>
      <c r="R12076" t="str">
        <f>"23.667890"</f>
        <v>23.667890</v>
      </c>
      <c r="S12076" t="s">
        <v>26</v>
      </c>
    </row>
    <row r="12077" spans="1:19" x14ac:dyDescent="0.3">
      <c r="A12077" t="s">
        <v>25190</v>
      </c>
      <c r="B12077" t="s">
        <v>31524</v>
      </c>
      <c r="C12077" t="s">
        <v>31965</v>
      </c>
      <c r="D12077" t="s">
        <v>25224</v>
      </c>
      <c r="E12077" t="s">
        <v>27106</v>
      </c>
      <c r="F12077" t="s">
        <v>27118</v>
      </c>
      <c r="G12077" t="s">
        <v>31956</v>
      </c>
      <c r="H12077" t="s">
        <v>859</v>
      </c>
      <c r="I12077" t="s">
        <v>860</v>
      </c>
      <c r="J12077" t="str">
        <f>"9440246"</f>
        <v>9440246</v>
      </c>
      <c r="K12077">
        <v>2327061616</v>
      </c>
      <c r="L12077">
        <v>2327061257</v>
      </c>
      <c r="M12077" t="s">
        <v>31966</v>
      </c>
      <c r="N12077" t="s">
        <v>31967</v>
      </c>
      <c r="O12077" t="s">
        <v>31968</v>
      </c>
      <c r="P12077">
        <v>62055</v>
      </c>
      <c r="Q12077" t="str">
        <f>"41.276596"</f>
        <v>41.276596</v>
      </c>
      <c r="R12077" t="str">
        <f>"22.892879"</f>
        <v>22.892879</v>
      </c>
      <c r="S12077" t="s">
        <v>26</v>
      </c>
    </row>
    <row r="12078" spans="1:19" x14ac:dyDescent="0.3">
      <c r="A12078" t="s">
        <v>25190</v>
      </c>
      <c r="B12078" t="s">
        <v>31524</v>
      </c>
      <c r="C12078" t="s">
        <v>31969</v>
      </c>
      <c r="D12078" t="s">
        <v>25224</v>
      </c>
      <c r="E12078" t="s">
        <v>25224</v>
      </c>
      <c r="F12078" t="s">
        <v>31951</v>
      </c>
      <c r="G12078" t="s">
        <v>31951</v>
      </c>
      <c r="H12078" t="s">
        <v>859</v>
      </c>
      <c r="I12078" t="s">
        <v>860</v>
      </c>
      <c r="J12078" t="str">
        <f>"9440119"</f>
        <v>9440119</v>
      </c>
      <c r="K12078">
        <v>2321056846</v>
      </c>
      <c r="L12078">
        <v>2321056846</v>
      </c>
      <c r="M12078" t="s">
        <v>31970</v>
      </c>
      <c r="N12078" t="s">
        <v>31971</v>
      </c>
      <c r="O12078" t="s">
        <v>31955</v>
      </c>
      <c r="P12078">
        <v>62100</v>
      </c>
      <c r="Q12078" t="str">
        <f>"41.190708"</f>
        <v>41.190708</v>
      </c>
      <c r="R12078" t="str">
        <f>"23.592175"</f>
        <v>23.592175</v>
      </c>
      <c r="S12078" t="s">
        <v>26</v>
      </c>
    </row>
    <row r="12079" spans="1:19" x14ac:dyDescent="0.3">
      <c r="A12079" t="s">
        <v>25190</v>
      </c>
      <c r="B12079" t="s">
        <v>31524</v>
      </c>
      <c r="C12079" t="s">
        <v>31972</v>
      </c>
      <c r="D12079" t="s">
        <v>25224</v>
      </c>
      <c r="E12079" t="s">
        <v>27143</v>
      </c>
      <c r="F12079" t="s">
        <v>27174</v>
      </c>
      <c r="G12079" t="s">
        <v>3344</v>
      </c>
      <c r="H12079" t="s">
        <v>859</v>
      </c>
      <c r="I12079" t="s">
        <v>860</v>
      </c>
      <c r="J12079" t="str">
        <f>"9440135"</f>
        <v>9440135</v>
      </c>
      <c r="K12079">
        <v>2321031737</v>
      </c>
      <c r="M12079" t="s">
        <v>31973</v>
      </c>
      <c r="N12079" t="s">
        <v>3344</v>
      </c>
      <c r="O12079" t="s">
        <v>31597</v>
      </c>
      <c r="P12079">
        <v>62100</v>
      </c>
      <c r="Q12079" t="str">
        <f>"41.006574"</f>
        <v>41.006574</v>
      </c>
      <c r="R12079" t="str">
        <f>"23.625369"</f>
        <v>23.625369</v>
      </c>
      <c r="S12079" t="s">
        <v>26</v>
      </c>
    </row>
    <row r="12080" spans="1:19" x14ac:dyDescent="0.3">
      <c r="A12080" t="s">
        <v>25190</v>
      </c>
      <c r="B12080" t="s">
        <v>31524</v>
      </c>
      <c r="C12080" t="s">
        <v>31974</v>
      </c>
      <c r="D12080" t="s">
        <v>25224</v>
      </c>
      <c r="E12080" t="s">
        <v>27143</v>
      </c>
      <c r="F12080" t="s">
        <v>27174</v>
      </c>
      <c r="G12080" t="s">
        <v>31879</v>
      </c>
      <c r="H12080" t="s">
        <v>859</v>
      </c>
      <c r="I12080" t="s">
        <v>860</v>
      </c>
      <c r="J12080" t="str">
        <f>"9440096"</f>
        <v>9440096</v>
      </c>
      <c r="K12080">
        <v>2321032458</v>
      </c>
      <c r="M12080" t="s">
        <v>31975</v>
      </c>
      <c r="N12080" t="s">
        <v>31879</v>
      </c>
      <c r="O12080" t="s">
        <v>31883</v>
      </c>
      <c r="P12080">
        <v>62100</v>
      </c>
      <c r="Q12080" t="str">
        <f>"40.993133"</f>
        <v>40.993133</v>
      </c>
      <c r="R12080" t="str">
        <f>"23.595563"</f>
        <v>23.595563</v>
      </c>
      <c r="S12080" t="s">
        <v>26</v>
      </c>
    </row>
    <row r="12081" spans="1:19" x14ac:dyDescent="0.3">
      <c r="A12081" t="s">
        <v>25190</v>
      </c>
      <c r="B12081" t="s">
        <v>31524</v>
      </c>
      <c r="C12081" t="s">
        <v>31977</v>
      </c>
      <c r="D12081" t="s">
        <v>25224</v>
      </c>
      <c r="E12081" t="s">
        <v>27143</v>
      </c>
      <c r="F12081" t="s">
        <v>27174</v>
      </c>
      <c r="G12081" t="s">
        <v>31976</v>
      </c>
      <c r="H12081" t="s">
        <v>859</v>
      </c>
      <c r="I12081" t="s">
        <v>860</v>
      </c>
      <c r="J12081" t="str">
        <f>"9440108"</f>
        <v>9440108</v>
      </c>
      <c r="K12081">
        <v>2321076444</v>
      </c>
      <c r="L12081">
        <v>2321076444</v>
      </c>
      <c r="M12081" t="s">
        <v>31978</v>
      </c>
      <c r="N12081" t="s">
        <v>31976</v>
      </c>
      <c r="O12081" t="s">
        <v>31979</v>
      </c>
      <c r="P12081">
        <v>62100</v>
      </c>
      <c r="Q12081" t="str">
        <f>"41.058788"</f>
        <v>41.058788</v>
      </c>
      <c r="R12081" t="str">
        <f>"23.604726"</f>
        <v>23.604726</v>
      </c>
      <c r="S12081" t="s">
        <v>26</v>
      </c>
    </row>
    <row r="12082" spans="1:19" x14ac:dyDescent="0.3">
      <c r="A12082" t="s">
        <v>25190</v>
      </c>
      <c r="B12082" t="s">
        <v>31524</v>
      </c>
      <c r="C12082" t="s">
        <v>31990</v>
      </c>
      <c r="D12082" t="s">
        <v>25224</v>
      </c>
      <c r="E12082" t="s">
        <v>27106</v>
      </c>
      <c r="F12082" t="s">
        <v>27149</v>
      </c>
      <c r="G12082" t="s">
        <v>27301</v>
      </c>
      <c r="H12082" t="s">
        <v>859</v>
      </c>
      <c r="I12082" t="s">
        <v>860</v>
      </c>
      <c r="J12082" t="str">
        <f>"9440265"</f>
        <v>9440265</v>
      </c>
      <c r="K12082">
        <v>2323031344</v>
      </c>
      <c r="M12082" t="s">
        <v>31991</v>
      </c>
      <c r="N12082" t="s">
        <v>31992</v>
      </c>
      <c r="O12082" t="s">
        <v>31993</v>
      </c>
      <c r="P12082">
        <v>62043</v>
      </c>
      <c r="Q12082" t="str">
        <f>"41.272315"</f>
        <v>41.272315</v>
      </c>
      <c r="R12082" t="str">
        <f>"23.295401"</f>
        <v>23.295401</v>
      </c>
      <c r="S12082" t="s">
        <v>26</v>
      </c>
    </row>
    <row r="12083" spans="1:19" x14ac:dyDescent="0.3">
      <c r="A12083" t="s">
        <v>25190</v>
      </c>
      <c r="B12083" t="s">
        <v>31524</v>
      </c>
      <c r="C12083" t="s">
        <v>31997</v>
      </c>
      <c r="D12083" t="s">
        <v>25224</v>
      </c>
      <c r="E12083" t="s">
        <v>27106</v>
      </c>
      <c r="F12083" t="s">
        <v>27118</v>
      </c>
      <c r="G12083" t="s">
        <v>27119</v>
      </c>
      <c r="H12083" t="s">
        <v>859</v>
      </c>
      <c r="I12083" t="s">
        <v>860</v>
      </c>
      <c r="J12083" t="str">
        <f>"9440247"</f>
        <v>9440247</v>
      </c>
      <c r="K12083">
        <v>2327028119</v>
      </c>
      <c r="L12083">
        <v>2327028119</v>
      </c>
      <c r="M12083" t="s">
        <v>31998</v>
      </c>
      <c r="N12083" t="s">
        <v>27119</v>
      </c>
      <c r="O12083" t="s">
        <v>27268</v>
      </c>
      <c r="P12083">
        <v>62055</v>
      </c>
      <c r="Q12083" t="str">
        <f>"41.282360"</f>
        <v>41.282360</v>
      </c>
      <c r="R12083" t="str">
        <f>"23.010277"</f>
        <v>23.010277</v>
      </c>
      <c r="S12083" t="s">
        <v>26</v>
      </c>
    </row>
    <row r="12084" spans="1:19" x14ac:dyDescent="0.3">
      <c r="A12084" t="s">
        <v>25190</v>
      </c>
      <c r="B12084" t="s">
        <v>31524</v>
      </c>
      <c r="C12084" t="s">
        <v>32005</v>
      </c>
      <c r="D12084" t="s">
        <v>25224</v>
      </c>
      <c r="E12084" t="s">
        <v>27106</v>
      </c>
      <c r="F12084" t="s">
        <v>27118</v>
      </c>
      <c r="G12084" t="s">
        <v>13744</v>
      </c>
      <c r="H12084" t="s">
        <v>859</v>
      </c>
      <c r="I12084" t="s">
        <v>860</v>
      </c>
      <c r="J12084" t="str">
        <f>"9440285"</f>
        <v>9440285</v>
      </c>
      <c r="K12084">
        <v>2327031253</v>
      </c>
      <c r="L12084">
        <v>2327031253</v>
      </c>
      <c r="M12084" t="s">
        <v>32006</v>
      </c>
      <c r="N12084" t="s">
        <v>32007</v>
      </c>
      <c r="O12084" t="s">
        <v>32008</v>
      </c>
      <c r="P12084">
        <v>62055</v>
      </c>
      <c r="Q12084" t="str">
        <f>"41.259884"</f>
        <v>41.259884</v>
      </c>
      <c r="R12084" t="str">
        <f>"23.086886"</f>
        <v>23.086886</v>
      </c>
      <c r="S12084" t="s">
        <v>26</v>
      </c>
    </row>
    <row r="12085" spans="1:19" x14ac:dyDescent="0.3">
      <c r="A12085" t="s">
        <v>25190</v>
      </c>
      <c r="B12085" t="s">
        <v>31524</v>
      </c>
      <c r="C12085" t="s">
        <v>32021</v>
      </c>
      <c r="D12085" t="s">
        <v>25224</v>
      </c>
      <c r="E12085" t="s">
        <v>25224</v>
      </c>
      <c r="F12085" t="s">
        <v>27201</v>
      </c>
      <c r="G12085" t="s">
        <v>27201</v>
      </c>
      <c r="H12085" t="s">
        <v>859</v>
      </c>
      <c r="I12085" t="s">
        <v>860</v>
      </c>
      <c r="J12085" t="str">
        <f>"9440127"</f>
        <v>9440127</v>
      </c>
      <c r="K12085">
        <v>2321041680</v>
      </c>
      <c r="M12085" t="s">
        <v>32022</v>
      </c>
      <c r="N12085" t="s">
        <v>27201</v>
      </c>
      <c r="O12085" t="s">
        <v>27204</v>
      </c>
      <c r="P12085">
        <v>62100</v>
      </c>
      <c r="Q12085" t="str">
        <f>"41.016783"</f>
        <v>41.016783</v>
      </c>
      <c r="R12085" t="str">
        <f>"23.516954"</f>
        <v>23.516954</v>
      </c>
      <c r="S12085" t="s">
        <v>26</v>
      </c>
    </row>
    <row r="12086" spans="1:19" x14ac:dyDescent="0.3">
      <c r="A12086" t="s">
        <v>25190</v>
      </c>
      <c r="B12086" t="s">
        <v>31524</v>
      </c>
      <c r="C12086" t="s">
        <v>32025</v>
      </c>
      <c r="D12086" t="s">
        <v>25224</v>
      </c>
      <c r="E12086" t="s">
        <v>25224</v>
      </c>
      <c r="F12086" t="s">
        <v>25224</v>
      </c>
      <c r="G12086" t="s">
        <v>25224</v>
      </c>
      <c r="H12086" t="s">
        <v>859</v>
      </c>
      <c r="I12086" t="s">
        <v>860</v>
      </c>
      <c r="J12086" t="str">
        <f>"9521149"</f>
        <v>9521149</v>
      </c>
      <c r="K12086">
        <v>2321047239</v>
      </c>
      <c r="M12086" t="s">
        <v>32026</v>
      </c>
      <c r="N12086" t="s">
        <v>25224</v>
      </c>
      <c r="O12086" t="s">
        <v>32027</v>
      </c>
      <c r="P12086">
        <v>62121</v>
      </c>
      <c r="Q12086" t="str">
        <f>"41.086563"</f>
        <v>41.086563</v>
      </c>
      <c r="R12086" t="str">
        <f>"23.537431"</f>
        <v>23.537431</v>
      </c>
      <c r="S12086" t="s">
        <v>26</v>
      </c>
    </row>
    <row r="12087" spans="1:19" x14ac:dyDescent="0.3">
      <c r="A12087" t="s">
        <v>25190</v>
      </c>
      <c r="B12087" t="s">
        <v>31524</v>
      </c>
      <c r="C12087" t="s">
        <v>32035</v>
      </c>
      <c r="D12087" t="s">
        <v>25224</v>
      </c>
      <c r="E12087" t="s">
        <v>27106</v>
      </c>
      <c r="F12087" t="s">
        <v>27149</v>
      </c>
      <c r="G12087" t="s">
        <v>13031</v>
      </c>
      <c r="H12087" t="s">
        <v>859</v>
      </c>
      <c r="I12087" t="s">
        <v>860</v>
      </c>
      <c r="J12087" t="str">
        <f>"9440263"</f>
        <v>9440263</v>
      </c>
      <c r="K12087">
        <v>2325061226</v>
      </c>
      <c r="L12087">
        <v>2325061226</v>
      </c>
      <c r="M12087" t="s">
        <v>32036</v>
      </c>
      <c r="N12087" t="s">
        <v>13031</v>
      </c>
      <c r="O12087" t="s">
        <v>32037</v>
      </c>
      <c r="P12087">
        <v>62043</v>
      </c>
      <c r="Q12087" t="str">
        <f>"41.249121"</f>
        <v>41.249121</v>
      </c>
      <c r="R12087" t="str">
        <f>"23.228457"</f>
        <v>23.228457</v>
      </c>
      <c r="S12087" t="s">
        <v>26</v>
      </c>
    </row>
    <row r="12088" spans="1:19" x14ac:dyDescent="0.3">
      <c r="A12088" t="s">
        <v>25190</v>
      </c>
      <c r="B12088" t="s">
        <v>31524</v>
      </c>
      <c r="C12088" t="s">
        <v>32038</v>
      </c>
      <c r="D12088" t="s">
        <v>25224</v>
      </c>
      <c r="E12088" t="s">
        <v>18832</v>
      </c>
      <c r="F12088" t="s">
        <v>18832</v>
      </c>
      <c r="G12088" t="s">
        <v>31983</v>
      </c>
      <c r="H12088" t="s">
        <v>859</v>
      </c>
      <c r="I12088" t="s">
        <v>860</v>
      </c>
      <c r="J12088" t="str">
        <f>"9440163"</f>
        <v>9440163</v>
      </c>
      <c r="K12088">
        <v>2325022932</v>
      </c>
      <c r="M12088" t="s">
        <v>32039</v>
      </c>
      <c r="N12088" t="s">
        <v>31983</v>
      </c>
      <c r="O12088" t="s">
        <v>31986</v>
      </c>
      <c r="P12088">
        <v>62400</v>
      </c>
      <c r="Q12088" t="str">
        <f>"41.164395"</f>
        <v>41.164395</v>
      </c>
      <c r="R12088" t="str">
        <f>"23.269973"</f>
        <v>23.269973</v>
      </c>
      <c r="S12088" t="s">
        <v>26</v>
      </c>
    </row>
    <row r="12089" spans="1:19" x14ac:dyDescent="0.3">
      <c r="A12089" t="s">
        <v>25190</v>
      </c>
      <c r="B12089" t="s">
        <v>31524</v>
      </c>
      <c r="C12089" t="s">
        <v>32040</v>
      </c>
      <c r="D12089" t="s">
        <v>25224</v>
      </c>
      <c r="E12089" t="s">
        <v>18832</v>
      </c>
      <c r="F12089" t="s">
        <v>27137</v>
      </c>
      <c r="G12089" t="s">
        <v>13554</v>
      </c>
      <c r="H12089" t="s">
        <v>859</v>
      </c>
      <c r="I12089" t="s">
        <v>860</v>
      </c>
      <c r="J12089" t="str">
        <f>"9520678"</f>
        <v>9520678</v>
      </c>
      <c r="K12089">
        <v>2321081161</v>
      </c>
      <c r="L12089">
        <v>2321081161</v>
      </c>
      <c r="M12089" t="s">
        <v>32041</v>
      </c>
      <c r="N12089" t="s">
        <v>13554</v>
      </c>
      <c r="O12089" t="s">
        <v>32042</v>
      </c>
      <c r="P12089">
        <v>62300</v>
      </c>
      <c r="Q12089" t="str">
        <f>"41.154403"</f>
        <v>41.154403</v>
      </c>
      <c r="R12089" t="str">
        <f>"23.409830"</f>
        <v>23.409830</v>
      </c>
      <c r="S12089" t="s">
        <v>26</v>
      </c>
    </row>
    <row r="12090" spans="1:19" x14ac:dyDescent="0.3">
      <c r="A12090" t="s">
        <v>25190</v>
      </c>
      <c r="B12090" t="s">
        <v>31524</v>
      </c>
      <c r="C12090" t="s">
        <v>32043</v>
      </c>
      <c r="D12090" t="s">
        <v>25224</v>
      </c>
      <c r="E12090" t="s">
        <v>27181</v>
      </c>
      <c r="F12090" t="s">
        <v>27182</v>
      </c>
      <c r="G12090" t="s">
        <v>18603</v>
      </c>
      <c r="H12090" t="s">
        <v>859</v>
      </c>
      <c r="I12090" t="s">
        <v>860</v>
      </c>
      <c r="J12090" t="str">
        <f>"9440056"</f>
        <v>9440056</v>
      </c>
      <c r="K12090">
        <v>2322064203</v>
      </c>
      <c r="L12090">
        <v>2322064203</v>
      </c>
      <c r="M12090" t="s">
        <v>32044</v>
      </c>
      <c r="N12090" t="s">
        <v>18603</v>
      </c>
      <c r="O12090" t="s">
        <v>32045</v>
      </c>
      <c r="P12090">
        <v>62200</v>
      </c>
      <c r="Q12090" t="str">
        <f>"40.934020"</f>
        <v>40.934020</v>
      </c>
      <c r="R12090" t="str">
        <f>"23.565038"</f>
        <v>23.565038</v>
      </c>
      <c r="S12090" t="s">
        <v>26</v>
      </c>
    </row>
    <row r="12091" spans="1:19" x14ac:dyDescent="0.3">
      <c r="A12091" t="s">
        <v>25190</v>
      </c>
      <c r="B12091" t="s">
        <v>31524</v>
      </c>
      <c r="C12091" t="s">
        <v>32047</v>
      </c>
      <c r="D12091" t="s">
        <v>25224</v>
      </c>
      <c r="E12091" t="s">
        <v>25224</v>
      </c>
      <c r="F12091" t="s">
        <v>25224</v>
      </c>
      <c r="G12091" t="s">
        <v>32046</v>
      </c>
      <c r="H12091" t="s">
        <v>859</v>
      </c>
      <c r="I12091" t="s">
        <v>860</v>
      </c>
      <c r="J12091" t="str">
        <f>"9440128"</f>
        <v>9440128</v>
      </c>
      <c r="K12091">
        <v>2321091469</v>
      </c>
      <c r="L12091">
        <v>2321091469</v>
      </c>
      <c r="M12091" t="s">
        <v>32048</v>
      </c>
      <c r="N12091" t="s">
        <v>32049</v>
      </c>
      <c r="O12091" t="s">
        <v>32050</v>
      </c>
      <c r="P12091">
        <v>62100</v>
      </c>
      <c r="Q12091" t="str">
        <f>"41.101825"</f>
        <v>41.101825</v>
      </c>
      <c r="R12091" t="str">
        <f>"23.627898"</f>
        <v>23.627898</v>
      </c>
      <c r="S12091" t="s">
        <v>26</v>
      </c>
    </row>
    <row r="12092" spans="1:19" x14ac:dyDescent="0.3">
      <c r="A12092" t="s">
        <v>25190</v>
      </c>
      <c r="B12092" t="s">
        <v>32051</v>
      </c>
      <c r="C12092" t="s">
        <v>32053</v>
      </c>
      <c r="D12092" t="s">
        <v>25229</v>
      </c>
      <c r="E12092" t="s">
        <v>27415</v>
      </c>
      <c r="F12092" t="s">
        <v>4024</v>
      </c>
      <c r="G12092" t="s">
        <v>32052</v>
      </c>
      <c r="H12092" t="s">
        <v>859</v>
      </c>
      <c r="I12092" t="s">
        <v>860</v>
      </c>
      <c r="J12092" t="str">
        <f>"9490148"</f>
        <v>9490148</v>
      </c>
      <c r="K12092">
        <v>2374071220</v>
      </c>
      <c r="L12092">
        <v>2374071220</v>
      </c>
      <c r="M12092" t="s">
        <v>32054</v>
      </c>
      <c r="N12092" t="s">
        <v>32055</v>
      </c>
      <c r="O12092" t="s">
        <v>32056</v>
      </c>
      <c r="P12092">
        <v>63085</v>
      </c>
      <c r="Q12092" t="str">
        <f>"39.946715"</f>
        <v>39.946715</v>
      </c>
      <c r="R12092" t="str">
        <f>"23.534493"</f>
        <v>23.534493</v>
      </c>
      <c r="S12092" t="s">
        <v>26</v>
      </c>
    </row>
    <row r="12093" spans="1:19" x14ac:dyDescent="0.3">
      <c r="A12093" t="s">
        <v>25190</v>
      </c>
      <c r="B12093" t="s">
        <v>32051</v>
      </c>
      <c r="C12093" t="s">
        <v>32057</v>
      </c>
      <c r="D12093" t="s">
        <v>25229</v>
      </c>
      <c r="E12093" t="s">
        <v>27394</v>
      </c>
      <c r="F12093" t="s">
        <v>27395</v>
      </c>
      <c r="G12093" t="s">
        <v>15880</v>
      </c>
      <c r="H12093" t="s">
        <v>859</v>
      </c>
      <c r="I12093" t="s">
        <v>860</v>
      </c>
      <c r="J12093" t="str">
        <f>"9490354"</f>
        <v>9490354</v>
      </c>
      <c r="K12093">
        <v>2373075005</v>
      </c>
      <c r="L12093">
        <v>2373075005</v>
      </c>
      <c r="M12093" t="s">
        <v>32058</v>
      </c>
      <c r="N12093" t="s">
        <v>27540</v>
      </c>
      <c r="O12093" t="s">
        <v>32059</v>
      </c>
      <c r="P12093">
        <v>63080</v>
      </c>
      <c r="Q12093" t="str">
        <f>"40.396666"</f>
        <v>40.396666</v>
      </c>
      <c r="R12093" t="str">
        <f>"23.160128"</f>
        <v>23.160128</v>
      </c>
      <c r="S12093" t="s">
        <v>26</v>
      </c>
    </row>
    <row r="12094" spans="1:19" x14ac:dyDescent="0.3">
      <c r="A12094" t="s">
        <v>25190</v>
      </c>
      <c r="B12094" t="s">
        <v>32051</v>
      </c>
      <c r="C12094" t="s">
        <v>32069</v>
      </c>
      <c r="D12094" t="s">
        <v>25229</v>
      </c>
      <c r="E12094" t="s">
        <v>25230</v>
      </c>
      <c r="F12094" t="s">
        <v>25230</v>
      </c>
      <c r="G12094" t="s">
        <v>32068</v>
      </c>
      <c r="H12094" t="s">
        <v>859</v>
      </c>
      <c r="I12094" t="s">
        <v>860</v>
      </c>
      <c r="J12094" t="str">
        <f>"9490117"</f>
        <v>9490117</v>
      </c>
      <c r="K12094">
        <v>2371071185</v>
      </c>
      <c r="L12094">
        <v>2371071185</v>
      </c>
      <c r="M12094" t="s">
        <v>32070</v>
      </c>
      <c r="N12094" t="s">
        <v>32071</v>
      </c>
      <c r="O12094" t="s">
        <v>32071</v>
      </c>
      <c r="P12094">
        <v>63100</v>
      </c>
      <c r="Q12094" t="str">
        <f>"40.371869"</f>
        <v>40.371869</v>
      </c>
      <c r="R12094" t="str">
        <f>"23.536063"</f>
        <v>23.536063</v>
      </c>
      <c r="S12094" t="s">
        <v>26</v>
      </c>
    </row>
    <row r="12095" spans="1:19" x14ac:dyDescent="0.3">
      <c r="A12095" t="s">
        <v>25190</v>
      </c>
      <c r="B12095" t="s">
        <v>32051</v>
      </c>
      <c r="C12095" t="s">
        <v>32081</v>
      </c>
      <c r="D12095" t="s">
        <v>25229</v>
      </c>
      <c r="E12095" t="s">
        <v>27394</v>
      </c>
      <c r="F12095" t="s">
        <v>27453</v>
      </c>
      <c r="G12095" t="s">
        <v>27454</v>
      </c>
      <c r="H12095" t="s">
        <v>859</v>
      </c>
      <c r="I12095" t="s">
        <v>860</v>
      </c>
      <c r="J12095" t="str">
        <f>"9490331"</f>
        <v>9490331</v>
      </c>
      <c r="K12095">
        <v>2399021303</v>
      </c>
      <c r="L12095">
        <v>2399021303</v>
      </c>
      <c r="M12095" t="s">
        <v>32082</v>
      </c>
      <c r="N12095" t="s">
        <v>32083</v>
      </c>
      <c r="O12095" t="s">
        <v>32084</v>
      </c>
      <c r="P12095">
        <v>63080</v>
      </c>
      <c r="Q12095" t="str">
        <f>"40.312644"</f>
        <v>40.312644</v>
      </c>
      <c r="R12095" t="str">
        <f>"23.062785"</f>
        <v>23.062785</v>
      </c>
      <c r="S12095" t="s">
        <v>26</v>
      </c>
    </row>
    <row r="12096" spans="1:19" x14ac:dyDescent="0.3">
      <c r="A12096" t="s">
        <v>25190</v>
      </c>
      <c r="B12096" t="s">
        <v>32051</v>
      </c>
      <c r="C12096" t="s">
        <v>32085</v>
      </c>
      <c r="D12096" t="s">
        <v>25229</v>
      </c>
      <c r="E12096" t="s">
        <v>27394</v>
      </c>
      <c r="F12096" t="s">
        <v>27453</v>
      </c>
      <c r="G12096" t="s">
        <v>27454</v>
      </c>
      <c r="H12096" t="s">
        <v>859</v>
      </c>
      <c r="I12096" t="s">
        <v>860</v>
      </c>
      <c r="J12096" t="str">
        <f>"9490027"</f>
        <v>9490027</v>
      </c>
      <c r="K12096">
        <v>2399021303</v>
      </c>
      <c r="L12096">
        <v>2399021303</v>
      </c>
      <c r="M12096" t="s">
        <v>32086</v>
      </c>
      <c r="N12096" t="s">
        <v>32083</v>
      </c>
      <c r="O12096" t="s">
        <v>32084</v>
      </c>
      <c r="P12096">
        <v>63080</v>
      </c>
      <c r="Q12096" t="str">
        <f>"40.312665"</f>
        <v>40.312665</v>
      </c>
      <c r="R12096" t="str">
        <f>"23.062858"</f>
        <v>23.062858</v>
      </c>
      <c r="S12096" t="s">
        <v>26</v>
      </c>
    </row>
    <row r="12097" spans="1:19" x14ac:dyDescent="0.3">
      <c r="A12097" t="s">
        <v>25190</v>
      </c>
      <c r="B12097" t="s">
        <v>32051</v>
      </c>
      <c r="C12097" t="s">
        <v>32089</v>
      </c>
      <c r="D12097" t="s">
        <v>25229</v>
      </c>
      <c r="E12097" t="s">
        <v>27415</v>
      </c>
      <c r="F12097" t="s">
        <v>27415</v>
      </c>
      <c r="G12097" t="s">
        <v>27416</v>
      </c>
      <c r="H12097" t="s">
        <v>859</v>
      </c>
      <c r="I12097" t="s">
        <v>860</v>
      </c>
      <c r="J12097" t="str">
        <f>"9490365"</f>
        <v>9490365</v>
      </c>
      <c r="K12097">
        <v>2374022150</v>
      </c>
      <c r="L12097">
        <v>2374022150</v>
      </c>
      <c r="M12097" t="s">
        <v>32090</v>
      </c>
      <c r="N12097" t="s">
        <v>27420</v>
      </c>
      <c r="O12097" t="s">
        <v>27416</v>
      </c>
      <c r="P12097">
        <v>63077</v>
      </c>
      <c r="Q12097" t="str">
        <f>"40.051974"</f>
        <v>40.051974</v>
      </c>
      <c r="R12097" t="str">
        <f>"23.420798"</f>
        <v>23.420798</v>
      </c>
      <c r="S12097" t="s">
        <v>26</v>
      </c>
    </row>
    <row r="12098" spans="1:19" x14ac:dyDescent="0.3">
      <c r="A12098" t="s">
        <v>25190</v>
      </c>
      <c r="B12098" t="s">
        <v>32051</v>
      </c>
      <c r="C12098" t="s">
        <v>32092</v>
      </c>
      <c r="D12098" t="s">
        <v>25229</v>
      </c>
      <c r="E12098" t="s">
        <v>27415</v>
      </c>
      <c r="F12098" t="s">
        <v>27415</v>
      </c>
      <c r="G12098" t="s">
        <v>32091</v>
      </c>
      <c r="H12098" t="s">
        <v>859</v>
      </c>
      <c r="I12098" t="s">
        <v>860</v>
      </c>
      <c r="J12098" t="str">
        <f>"9490126"</f>
        <v>9490126</v>
      </c>
      <c r="K12098">
        <v>2374044130</v>
      </c>
      <c r="L12098">
        <v>2374044130</v>
      </c>
      <c r="M12098" t="s">
        <v>32093</v>
      </c>
      <c r="N12098" t="s">
        <v>32091</v>
      </c>
      <c r="O12098" t="s">
        <v>32094</v>
      </c>
      <c r="P12098">
        <v>63077</v>
      </c>
      <c r="Q12098" t="str">
        <f>"39.974880"</f>
        <v>39.974880</v>
      </c>
      <c r="R12098" t="str">
        <f>"23.400865"</f>
        <v>23.400865</v>
      </c>
      <c r="S12098" t="s">
        <v>26</v>
      </c>
    </row>
    <row r="12099" spans="1:19" x14ac:dyDescent="0.3">
      <c r="A12099" t="s">
        <v>25190</v>
      </c>
      <c r="B12099" t="s">
        <v>32051</v>
      </c>
      <c r="C12099" t="s">
        <v>32095</v>
      </c>
      <c r="D12099" t="s">
        <v>25229</v>
      </c>
      <c r="E12099" t="s">
        <v>27394</v>
      </c>
      <c r="F12099" t="s">
        <v>27447</v>
      </c>
      <c r="G12099" t="s">
        <v>27401</v>
      </c>
      <c r="H12099" t="s">
        <v>859</v>
      </c>
      <c r="I12099" t="s">
        <v>860</v>
      </c>
      <c r="J12099" t="str">
        <f>"9520872"</f>
        <v>9520872</v>
      </c>
      <c r="K12099">
        <v>2373026636</v>
      </c>
      <c r="L12099">
        <v>2373026636</v>
      </c>
      <c r="M12099" t="s">
        <v>32096</v>
      </c>
      <c r="N12099" t="s">
        <v>32097</v>
      </c>
      <c r="O12099" t="s">
        <v>32098</v>
      </c>
      <c r="P12099">
        <v>63200</v>
      </c>
      <c r="Q12099" t="str">
        <f>"40.239581"</f>
        <v>40.239581</v>
      </c>
      <c r="R12099" t="str">
        <f>"23.290834"</f>
        <v>23.290834</v>
      </c>
      <c r="S12099" t="s">
        <v>26</v>
      </c>
    </row>
    <row r="12100" spans="1:19" x14ac:dyDescent="0.3">
      <c r="A12100" t="s">
        <v>25190</v>
      </c>
      <c r="B12100" t="s">
        <v>32051</v>
      </c>
      <c r="C12100" t="s">
        <v>32100</v>
      </c>
      <c r="D12100" t="s">
        <v>25229</v>
      </c>
      <c r="E12100" t="s">
        <v>27403</v>
      </c>
      <c r="F12100" t="s">
        <v>27404</v>
      </c>
      <c r="G12100" t="s">
        <v>32099</v>
      </c>
      <c r="H12100" t="s">
        <v>859</v>
      </c>
      <c r="I12100" t="s">
        <v>860</v>
      </c>
      <c r="J12100" t="str">
        <f>"9490135"</f>
        <v>9490135</v>
      </c>
      <c r="K12100">
        <v>2377051007</v>
      </c>
      <c r="L12100">
        <v>2377051007</v>
      </c>
      <c r="M12100" t="s">
        <v>32101</v>
      </c>
      <c r="N12100" t="s">
        <v>32102</v>
      </c>
      <c r="O12100" t="s">
        <v>32102</v>
      </c>
      <c r="P12100">
        <v>63075</v>
      </c>
      <c r="Q12100" t="str">
        <f>"40.329906"</f>
        <v>40.329906</v>
      </c>
      <c r="R12100" t="str">
        <f>"23.919671"</f>
        <v>23.919671</v>
      </c>
      <c r="S12100" t="s">
        <v>57</v>
      </c>
    </row>
    <row r="12101" spans="1:19" x14ac:dyDescent="0.3">
      <c r="A12101" t="s">
        <v>25190</v>
      </c>
      <c r="B12101" t="s">
        <v>32051</v>
      </c>
      <c r="C12101" t="s">
        <v>32104</v>
      </c>
      <c r="D12101" t="s">
        <v>25229</v>
      </c>
      <c r="E12101" t="s">
        <v>27403</v>
      </c>
      <c r="F12101" t="s">
        <v>27430</v>
      </c>
      <c r="G12101" t="s">
        <v>32103</v>
      </c>
      <c r="H12101" t="s">
        <v>859</v>
      </c>
      <c r="I12101" t="s">
        <v>860</v>
      </c>
      <c r="J12101" t="str">
        <f>"9490116"</f>
        <v>9490116</v>
      </c>
      <c r="K12101">
        <v>2372051479</v>
      </c>
      <c r="L12101">
        <v>2372051479</v>
      </c>
      <c r="M12101" t="s">
        <v>32105</v>
      </c>
      <c r="N12101" t="s">
        <v>32106</v>
      </c>
      <c r="O12101" t="s">
        <v>32106</v>
      </c>
      <c r="P12101">
        <v>63074</v>
      </c>
      <c r="Q12101" t="str">
        <f>"40.571791"</f>
        <v>40.571791</v>
      </c>
      <c r="R12101" t="str">
        <f>"23.655343"</f>
        <v>23.655343</v>
      </c>
      <c r="S12101" t="s">
        <v>26</v>
      </c>
    </row>
    <row r="12102" spans="1:19" x14ac:dyDescent="0.3">
      <c r="A12102" t="s">
        <v>25190</v>
      </c>
      <c r="B12102" t="s">
        <v>32051</v>
      </c>
      <c r="C12102" t="s">
        <v>32107</v>
      </c>
      <c r="D12102" t="s">
        <v>25229</v>
      </c>
      <c r="E12102" t="s">
        <v>27403</v>
      </c>
      <c r="F12102" t="s">
        <v>27430</v>
      </c>
      <c r="G12102" t="s">
        <v>27430</v>
      </c>
      <c r="H12102" t="s">
        <v>859</v>
      </c>
      <c r="I12102" t="s">
        <v>860</v>
      </c>
      <c r="J12102" t="str">
        <f>"9490061"</f>
        <v>9490061</v>
      </c>
      <c r="K12102">
        <v>2372022562</v>
      </c>
      <c r="L12102">
        <v>2372021011</v>
      </c>
      <c r="M12102" t="s">
        <v>32108</v>
      </c>
      <c r="N12102" t="s">
        <v>27434</v>
      </c>
      <c r="O12102" t="s">
        <v>27434</v>
      </c>
      <c r="P12102">
        <v>63074</v>
      </c>
      <c r="Q12102" t="str">
        <f>"40.486832"</f>
        <v>40.486832</v>
      </c>
      <c r="R12102" t="str">
        <f>"23.596396"</f>
        <v>23.596396</v>
      </c>
      <c r="S12102" t="s">
        <v>26</v>
      </c>
    </row>
    <row r="12103" spans="1:19" x14ac:dyDescent="0.3">
      <c r="A12103" t="s">
        <v>25190</v>
      </c>
      <c r="B12103" t="s">
        <v>32051</v>
      </c>
      <c r="C12103" t="s">
        <v>32109</v>
      </c>
      <c r="D12103" t="s">
        <v>25229</v>
      </c>
      <c r="E12103" t="s">
        <v>27394</v>
      </c>
      <c r="F12103" t="s">
        <v>27447</v>
      </c>
      <c r="G12103" t="s">
        <v>2180</v>
      </c>
      <c r="H12103" t="s">
        <v>859</v>
      </c>
      <c r="I12103" t="s">
        <v>860</v>
      </c>
      <c r="J12103" t="str">
        <f>"9490348"</f>
        <v>9490348</v>
      </c>
      <c r="K12103">
        <v>2373061326</v>
      </c>
      <c r="M12103" t="s">
        <v>32110</v>
      </c>
      <c r="N12103" t="s">
        <v>2181</v>
      </c>
      <c r="O12103" t="s">
        <v>2181</v>
      </c>
      <c r="P12103">
        <v>63200</v>
      </c>
      <c r="Q12103" t="str">
        <f>"40.343287"</f>
        <v>40.343287</v>
      </c>
      <c r="R12103" t="str">
        <f>"23.311233"</f>
        <v>23.311233</v>
      </c>
      <c r="S12103" t="s">
        <v>26</v>
      </c>
    </row>
    <row r="12104" spans="1:19" x14ac:dyDescent="0.3">
      <c r="A12104" t="s">
        <v>25190</v>
      </c>
      <c r="B12104" t="s">
        <v>32051</v>
      </c>
      <c r="C12104" t="s">
        <v>32120</v>
      </c>
      <c r="D12104" t="s">
        <v>25229</v>
      </c>
      <c r="E12104" t="s">
        <v>25230</v>
      </c>
      <c r="F12104" t="s">
        <v>27520</v>
      </c>
      <c r="G12104" t="s">
        <v>27521</v>
      </c>
      <c r="H12104" t="s">
        <v>859</v>
      </c>
      <c r="I12104" t="s">
        <v>860</v>
      </c>
      <c r="J12104" t="str">
        <f>"9490095"</f>
        <v>9490095</v>
      </c>
      <c r="K12104">
        <v>2371031088</v>
      </c>
      <c r="L12104">
        <v>2371031088</v>
      </c>
      <c r="M12104" t="s">
        <v>32121</v>
      </c>
      <c r="N12104" t="s">
        <v>27525</v>
      </c>
      <c r="O12104" t="s">
        <v>27525</v>
      </c>
      <c r="P12104">
        <v>63073</v>
      </c>
      <c r="Q12104" t="str">
        <f>"40.469174"</f>
        <v>40.469174</v>
      </c>
      <c r="R12104" t="str">
        <f>"23.275999"</f>
        <v>23.275999</v>
      </c>
      <c r="S12104" t="s">
        <v>26</v>
      </c>
    </row>
    <row r="12105" spans="1:19" x14ac:dyDescent="0.3">
      <c r="A12105" t="s">
        <v>25190</v>
      </c>
      <c r="B12105" t="s">
        <v>32051</v>
      </c>
      <c r="C12105" t="s">
        <v>32122</v>
      </c>
      <c r="D12105" t="s">
        <v>25229</v>
      </c>
      <c r="E12105" t="s">
        <v>25230</v>
      </c>
      <c r="F12105" t="s">
        <v>27520</v>
      </c>
      <c r="G12105" t="s">
        <v>27521</v>
      </c>
      <c r="H12105" t="s">
        <v>859</v>
      </c>
      <c r="I12105" t="s">
        <v>860</v>
      </c>
      <c r="J12105" t="str">
        <f>"9490359"</f>
        <v>9490359</v>
      </c>
      <c r="K12105">
        <v>2371031088</v>
      </c>
      <c r="L12105">
        <v>2371031088</v>
      </c>
      <c r="M12105" t="s">
        <v>32123</v>
      </c>
      <c r="N12105" t="s">
        <v>27525</v>
      </c>
      <c r="O12105" t="s">
        <v>27525</v>
      </c>
      <c r="P12105">
        <v>63073</v>
      </c>
      <c r="Q12105" t="str">
        <f>"40.469049"</f>
        <v>40.469049</v>
      </c>
      <c r="R12105" t="str">
        <f>"23.276096"</f>
        <v>23.276096</v>
      </c>
      <c r="S12105" t="s">
        <v>26</v>
      </c>
    </row>
    <row r="12106" spans="1:19" x14ac:dyDescent="0.3">
      <c r="A12106" t="s">
        <v>25190</v>
      </c>
      <c r="B12106" t="s">
        <v>32051</v>
      </c>
      <c r="C12106" t="s">
        <v>32124</v>
      </c>
      <c r="D12106" t="s">
        <v>25229</v>
      </c>
      <c r="E12106" t="s">
        <v>27403</v>
      </c>
      <c r="F12106" t="s">
        <v>27430</v>
      </c>
      <c r="G12106" t="s">
        <v>1684</v>
      </c>
      <c r="H12106" t="s">
        <v>859</v>
      </c>
      <c r="I12106" t="s">
        <v>860</v>
      </c>
      <c r="J12106" t="str">
        <f>"9490076"</f>
        <v>9490076</v>
      </c>
      <c r="K12106">
        <v>2372041887</v>
      </c>
      <c r="L12106">
        <v>2372041887</v>
      </c>
      <c r="M12106" t="s">
        <v>32125</v>
      </c>
      <c r="N12106" t="s">
        <v>1687</v>
      </c>
      <c r="O12106" t="s">
        <v>1687</v>
      </c>
      <c r="P12106">
        <v>63074</v>
      </c>
      <c r="Q12106" t="str">
        <f>"40.489601"</f>
        <v>40.489601</v>
      </c>
      <c r="R12106" t="str">
        <f>"23.648798"</f>
        <v>23.648798</v>
      </c>
      <c r="S12106" t="s">
        <v>26</v>
      </c>
    </row>
    <row r="12107" spans="1:19" x14ac:dyDescent="0.3">
      <c r="A12107" t="s">
        <v>25190</v>
      </c>
      <c r="B12107" t="s">
        <v>32051</v>
      </c>
      <c r="C12107" t="s">
        <v>32126</v>
      </c>
      <c r="D12107" t="s">
        <v>25229</v>
      </c>
      <c r="E12107" t="s">
        <v>27394</v>
      </c>
      <c r="F12107" t="s">
        <v>27395</v>
      </c>
      <c r="G12107" t="s">
        <v>27396</v>
      </c>
      <c r="H12107" t="s">
        <v>859</v>
      </c>
      <c r="I12107" t="s">
        <v>860</v>
      </c>
      <c r="J12107" t="str">
        <f>"9490333"</f>
        <v>9490333</v>
      </c>
      <c r="K12107">
        <v>2373051861</v>
      </c>
      <c r="L12107">
        <v>2373052382</v>
      </c>
      <c r="M12107" t="s">
        <v>32127</v>
      </c>
      <c r="N12107" t="s">
        <v>32128</v>
      </c>
      <c r="O12107" t="s">
        <v>32128</v>
      </c>
      <c r="P12107">
        <v>63079</v>
      </c>
      <c r="Q12107" t="str">
        <f>"40.305630"</f>
        <v>40.305630</v>
      </c>
      <c r="R12107" t="str">
        <f>"23.208146"</f>
        <v>23.208146</v>
      </c>
      <c r="S12107" t="s">
        <v>26</v>
      </c>
    </row>
    <row r="12108" spans="1:19" x14ac:dyDescent="0.3">
      <c r="A12108" t="s">
        <v>25190</v>
      </c>
      <c r="B12108" t="s">
        <v>32051</v>
      </c>
      <c r="C12108" t="s">
        <v>32129</v>
      </c>
      <c r="D12108" t="s">
        <v>25229</v>
      </c>
      <c r="E12108" t="s">
        <v>27394</v>
      </c>
      <c r="F12108" t="s">
        <v>27395</v>
      </c>
      <c r="G12108" t="s">
        <v>27396</v>
      </c>
      <c r="H12108" t="s">
        <v>859</v>
      </c>
      <c r="I12108" t="s">
        <v>860</v>
      </c>
      <c r="J12108" t="str">
        <f>"9490032"</f>
        <v>9490032</v>
      </c>
      <c r="K12108">
        <v>2373051861</v>
      </c>
      <c r="L12108">
        <v>2373052382</v>
      </c>
      <c r="M12108" t="s">
        <v>32130</v>
      </c>
      <c r="N12108" t="s">
        <v>32128</v>
      </c>
      <c r="O12108" t="s">
        <v>32128</v>
      </c>
      <c r="P12108">
        <v>63079</v>
      </c>
      <c r="Q12108" t="str">
        <f>"40.305561"</f>
        <v>40.305561</v>
      </c>
      <c r="R12108" t="str">
        <f>"23.208114"</f>
        <v>23.208114</v>
      </c>
      <c r="S12108" t="s">
        <v>26</v>
      </c>
    </row>
    <row r="12109" spans="1:19" x14ac:dyDescent="0.3">
      <c r="A12109" t="s">
        <v>25190</v>
      </c>
      <c r="B12109" t="s">
        <v>32051</v>
      </c>
      <c r="C12109" t="s">
        <v>32132</v>
      </c>
      <c r="D12109" t="s">
        <v>25229</v>
      </c>
      <c r="E12109" t="s">
        <v>27403</v>
      </c>
      <c r="F12109" t="s">
        <v>1800</v>
      </c>
      <c r="G12109" t="s">
        <v>32131</v>
      </c>
      <c r="H12109" t="s">
        <v>859</v>
      </c>
      <c r="I12109" t="s">
        <v>860</v>
      </c>
      <c r="J12109" t="str">
        <f>"9490134"</f>
        <v>9490134</v>
      </c>
      <c r="K12109">
        <v>2377041373</v>
      </c>
      <c r="L12109">
        <v>2377041373</v>
      </c>
      <c r="M12109" t="s">
        <v>32133</v>
      </c>
      <c r="N12109" t="s">
        <v>32134</v>
      </c>
      <c r="O12109" t="s">
        <v>32134</v>
      </c>
      <c r="P12109">
        <v>63076</v>
      </c>
      <c r="Q12109" t="str">
        <f>"40.394253"</f>
        <v>40.394253</v>
      </c>
      <c r="R12109" t="str">
        <f>"23.796936"</f>
        <v>23.796936</v>
      </c>
      <c r="S12109" t="s">
        <v>26</v>
      </c>
    </row>
    <row r="12110" spans="1:19" x14ac:dyDescent="0.3">
      <c r="A12110" t="s">
        <v>25190</v>
      </c>
      <c r="B12110" t="s">
        <v>32051</v>
      </c>
      <c r="C12110" t="s">
        <v>32135</v>
      </c>
      <c r="D12110" t="s">
        <v>25229</v>
      </c>
      <c r="E12110" t="s">
        <v>27394</v>
      </c>
      <c r="F12110" t="s">
        <v>27453</v>
      </c>
      <c r="G12110" t="s">
        <v>27454</v>
      </c>
      <c r="H12110" t="s">
        <v>859</v>
      </c>
      <c r="I12110" t="s">
        <v>860</v>
      </c>
      <c r="J12110" t="str">
        <f>"9520795"</f>
        <v>9520795</v>
      </c>
      <c r="K12110">
        <v>2399021602</v>
      </c>
      <c r="L12110">
        <v>2399021602</v>
      </c>
      <c r="M12110" t="s">
        <v>32136</v>
      </c>
      <c r="N12110" t="s">
        <v>32137</v>
      </c>
      <c r="O12110" t="s">
        <v>27540</v>
      </c>
      <c r="P12110">
        <v>63080</v>
      </c>
      <c r="Q12110" t="str">
        <f>"40.318749"</f>
        <v>40.318749</v>
      </c>
      <c r="R12110" t="str">
        <f>"23.065857"</f>
        <v>23.065857</v>
      </c>
      <c r="S12110" t="s">
        <v>26</v>
      </c>
    </row>
    <row r="12111" spans="1:19" x14ac:dyDescent="0.3">
      <c r="A12111" t="s">
        <v>25190</v>
      </c>
      <c r="B12111" t="s">
        <v>32051</v>
      </c>
      <c r="C12111" t="s">
        <v>32141</v>
      </c>
      <c r="D12111" t="s">
        <v>25229</v>
      </c>
      <c r="E12111" t="s">
        <v>25230</v>
      </c>
      <c r="F12111" t="s">
        <v>27520</v>
      </c>
      <c r="G12111" t="s">
        <v>32140</v>
      </c>
      <c r="H12111" t="s">
        <v>859</v>
      </c>
      <c r="I12111" t="s">
        <v>860</v>
      </c>
      <c r="J12111" t="str">
        <f>"9490118"</f>
        <v>9490118</v>
      </c>
      <c r="K12111">
        <v>2371092112</v>
      </c>
      <c r="L12111">
        <v>2371092112</v>
      </c>
      <c r="M12111" t="s">
        <v>32142</v>
      </c>
      <c r="N12111" t="s">
        <v>32143</v>
      </c>
      <c r="O12111" t="s">
        <v>32143</v>
      </c>
      <c r="P12111">
        <v>63073</v>
      </c>
      <c r="Q12111" t="str">
        <f>"40.510890"</f>
        <v>40.510890</v>
      </c>
      <c r="R12111" t="str">
        <f>"23.349371"</f>
        <v>23.349371</v>
      </c>
      <c r="S12111" t="s">
        <v>26</v>
      </c>
    </row>
    <row r="12112" spans="1:19" x14ac:dyDescent="0.3">
      <c r="A12112" t="s">
        <v>25190</v>
      </c>
      <c r="B12112" t="s">
        <v>32051</v>
      </c>
      <c r="C12112" t="s">
        <v>32144</v>
      </c>
      <c r="D12112" t="s">
        <v>25229</v>
      </c>
      <c r="E12112" t="s">
        <v>27415</v>
      </c>
      <c r="F12112" t="s">
        <v>4024</v>
      </c>
      <c r="G12112" t="s">
        <v>27549</v>
      </c>
      <c r="H12112" t="s">
        <v>859</v>
      </c>
      <c r="I12112" t="s">
        <v>860</v>
      </c>
      <c r="J12112" t="str">
        <f>"9520951"</f>
        <v>9520951</v>
      </c>
      <c r="K12112">
        <v>2374061861</v>
      </c>
      <c r="L12112">
        <v>2374061861</v>
      </c>
      <c r="M12112" t="s">
        <v>32145</v>
      </c>
      <c r="N12112" t="s">
        <v>27553</v>
      </c>
      <c r="O12112" t="s">
        <v>27553</v>
      </c>
      <c r="P12112">
        <v>63085</v>
      </c>
      <c r="Q12112" t="str">
        <f>"39.986907"</f>
        <v>39.986907</v>
      </c>
      <c r="R12112" t="str">
        <f>"23.614506"</f>
        <v>23.614506</v>
      </c>
      <c r="S12112" t="s">
        <v>26</v>
      </c>
    </row>
    <row r="12113" spans="1:19" x14ac:dyDescent="0.3">
      <c r="A12113" t="s">
        <v>25190</v>
      </c>
      <c r="B12113" t="s">
        <v>32051</v>
      </c>
      <c r="C12113" t="s">
        <v>32146</v>
      </c>
      <c r="D12113" t="s">
        <v>25229</v>
      </c>
      <c r="E12113" t="s">
        <v>27394</v>
      </c>
      <c r="F12113" t="s">
        <v>27447</v>
      </c>
      <c r="G12113" t="s">
        <v>2180</v>
      </c>
      <c r="H12113" t="s">
        <v>859</v>
      </c>
      <c r="I12113" t="s">
        <v>860</v>
      </c>
      <c r="J12113" t="str">
        <f>"9490052"</f>
        <v>9490052</v>
      </c>
      <c r="K12113">
        <v>2373061326</v>
      </c>
      <c r="L12113">
        <v>2373061326</v>
      </c>
      <c r="M12113" t="s">
        <v>32147</v>
      </c>
      <c r="N12113" t="s">
        <v>2181</v>
      </c>
      <c r="O12113" t="s">
        <v>32148</v>
      </c>
      <c r="P12113">
        <v>63200</v>
      </c>
      <c r="Q12113" t="str">
        <f>"40.343282"</f>
        <v>40.343282</v>
      </c>
      <c r="R12113" t="str">
        <f>"23.311278"</f>
        <v>23.311278</v>
      </c>
      <c r="S12113" t="s">
        <v>26</v>
      </c>
    </row>
    <row r="12114" spans="1:19" x14ac:dyDescent="0.3">
      <c r="A12114" t="s">
        <v>25190</v>
      </c>
      <c r="B12114" t="s">
        <v>32051</v>
      </c>
      <c r="C12114" t="s">
        <v>32149</v>
      </c>
      <c r="D12114" t="s">
        <v>25229</v>
      </c>
      <c r="E12114" t="s">
        <v>27403</v>
      </c>
      <c r="F12114" t="s">
        <v>27404</v>
      </c>
      <c r="G12114" t="s">
        <v>27405</v>
      </c>
      <c r="H12114" t="s">
        <v>859</v>
      </c>
      <c r="I12114" t="s">
        <v>860</v>
      </c>
      <c r="J12114" t="str">
        <f>"9490065"</f>
        <v>9490065</v>
      </c>
      <c r="K12114">
        <v>2377022790</v>
      </c>
      <c r="L12114">
        <v>2377022790</v>
      </c>
      <c r="M12114" t="s">
        <v>32150</v>
      </c>
      <c r="N12114" t="s">
        <v>27405</v>
      </c>
      <c r="O12114" t="s">
        <v>32151</v>
      </c>
      <c r="P12114">
        <v>63075</v>
      </c>
      <c r="Q12114" t="str">
        <f>"40.395359"</f>
        <v>40.395359</v>
      </c>
      <c r="R12114" t="str">
        <f>"23.882015"</f>
        <v>23.882015</v>
      </c>
      <c r="S12114" t="s">
        <v>26</v>
      </c>
    </row>
    <row r="12115" spans="1:19" x14ac:dyDescent="0.3">
      <c r="A12115" t="s">
        <v>25190</v>
      </c>
      <c r="B12115" t="s">
        <v>32051</v>
      </c>
      <c r="C12115" t="s">
        <v>32152</v>
      </c>
      <c r="D12115" t="s">
        <v>25229</v>
      </c>
      <c r="E12115" t="s">
        <v>25230</v>
      </c>
      <c r="F12115" t="s">
        <v>25230</v>
      </c>
      <c r="G12115" t="s">
        <v>25230</v>
      </c>
      <c r="H12115" t="s">
        <v>859</v>
      </c>
      <c r="I12115" t="s">
        <v>860</v>
      </c>
      <c r="J12115" t="str">
        <f>"9490142"</f>
        <v>9490142</v>
      </c>
      <c r="K12115">
        <v>2371053500</v>
      </c>
      <c r="L12115">
        <v>2371053500</v>
      </c>
      <c r="M12115" t="s">
        <v>32153</v>
      </c>
      <c r="N12115" t="s">
        <v>32080</v>
      </c>
      <c r="O12115" t="s">
        <v>32080</v>
      </c>
      <c r="P12115">
        <v>63100</v>
      </c>
      <c r="Q12115" t="str">
        <f>"40.284537"</f>
        <v>40.284537</v>
      </c>
      <c r="R12115" t="str">
        <f>"23.398721"</f>
        <v>23.398721</v>
      </c>
      <c r="S12115" t="s">
        <v>26</v>
      </c>
    </row>
    <row r="12116" spans="1:19" x14ac:dyDescent="0.3">
      <c r="A12116" t="s">
        <v>25190</v>
      </c>
      <c r="B12116" t="s">
        <v>32051</v>
      </c>
      <c r="C12116" t="s">
        <v>32154</v>
      </c>
      <c r="D12116" t="s">
        <v>25229</v>
      </c>
      <c r="E12116" t="s">
        <v>27415</v>
      </c>
      <c r="F12116" t="s">
        <v>27415</v>
      </c>
      <c r="G12116" t="s">
        <v>27416</v>
      </c>
      <c r="H12116" t="s">
        <v>859</v>
      </c>
      <c r="I12116" t="s">
        <v>860</v>
      </c>
      <c r="J12116" t="str">
        <f>"9490019"</f>
        <v>9490019</v>
      </c>
      <c r="K12116">
        <v>2374023840</v>
      </c>
      <c r="L12116">
        <v>2374023840</v>
      </c>
      <c r="M12116" t="s">
        <v>32155</v>
      </c>
      <c r="N12116" t="s">
        <v>27416</v>
      </c>
      <c r="O12116" t="s">
        <v>27420</v>
      </c>
      <c r="P12116">
        <v>63077</v>
      </c>
      <c r="Q12116" t="str">
        <f>"40.045978"</f>
        <v>40.045978</v>
      </c>
      <c r="R12116" t="str">
        <f>"23.412156"</f>
        <v>23.412156</v>
      </c>
      <c r="S12116" t="s">
        <v>26</v>
      </c>
    </row>
    <row r="12117" spans="1:19" x14ac:dyDescent="0.3">
      <c r="A12117" t="s">
        <v>25190</v>
      </c>
      <c r="B12117" t="s">
        <v>32051</v>
      </c>
      <c r="C12117" t="s">
        <v>32156</v>
      </c>
      <c r="D12117" t="s">
        <v>25229</v>
      </c>
      <c r="E12117" t="s">
        <v>25230</v>
      </c>
      <c r="F12117" t="s">
        <v>27470</v>
      </c>
      <c r="G12117" t="s">
        <v>27470</v>
      </c>
      <c r="H12117" t="s">
        <v>859</v>
      </c>
      <c r="I12117" t="s">
        <v>860</v>
      </c>
      <c r="J12117" t="str">
        <f>"9490043"</f>
        <v>9490043</v>
      </c>
      <c r="K12117">
        <v>2371042083</v>
      </c>
      <c r="L12117">
        <v>2371042083</v>
      </c>
      <c r="M12117" t="s">
        <v>32157</v>
      </c>
      <c r="N12117" t="s">
        <v>27473</v>
      </c>
      <c r="O12117" t="s">
        <v>27473</v>
      </c>
      <c r="P12117">
        <v>63071</v>
      </c>
      <c r="Q12117" t="str">
        <f>"40.292272"</f>
        <v>40.292272</v>
      </c>
      <c r="R12117" t="str">
        <f>"23.540340"</f>
        <v>23.540340</v>
      </c>
      <c r="S12117" t="s">
        <v>26</v>
      </c>
    </row>
    <row r="12118" spans="1:19" x14ac:dyDescent="0.3">
      <c r="A12118" t="s">
        <v>25190</v>
      </c>
      <c r="B12118" t="s">
        <v>32051</v>
      </c>
      <c r="C12118" t="s">
        <v>32159</v>
      </c>
      <c r="D12118" t="s">
        <v>25229</v>
      </c>
      <c r="E12118" t="s">
        <v>27394</v>
      </c>
      <c r="F12118" t="s">
        <v>27395</v>
      </c>
      <c r="G12118" t="s">
        <v>32158</v>
      </c>
      <c r="H12118" t="s">
        <v>859</v>
      </c>
      <c r="I12118" t="s">
        <v>860</v>
      </c>
      <c r="J12118" t="str">
        <f>"9490143"</f>
        <v>9490143</v>
      </c>
      <c r="K12118">
        <v>2373053202</v>
      </c>
      <c r="M12118" t="s">
        <v>32160</v>
      </c>
      <c r="N12118" t="s">
        <v>32161</v>
      </c>
      <c r="O12118" t="s">
        <v>32148</v>
      </c>
      <c r="P12118">
        <v>63200</v>
      </c>
      <c r="Q12118" t="str">
        <f>"40.326918"</f>
        <v>40.326918</v>
      </c>
      <c r="R12118" t="str">
        <f>"23.239727"</f>
        <v>23.239727</v>
      </c>
      <c r="S12118" t="s">
        <v>26</v>
      </c>
    </row>
    <row r="12119" spans="1:19" x14ac:dyDescent="0.3">
      <c r="A12119" t="s">
        <v>25190</v>
      </c>
      <c r="B12119" t="s">
        <v>32051</v>
      </c>
      <c r="C12119" t="s">
        <v>32162</v>
      </c>
      <c r="D12119" t="s">
        <v>25229</v>
      </c>
      <c r="E12119" t="s">
        <v>27394</v>
      </c>
      <c r="F12119" t="s">
        <v>27447</v>
      </c>
      <c r="G12119" t="s">
        <v>27401</v>
      </c>
      <c r="H12119" t="s">
        <v>859</v>
      </c>
      <c r="I12119" t="s">
        <v>860</v>
      </c>
      <c r="J12119" t="str">
        <f>"9490002"</f>
        <v>9490002</v>
      </c>
      <c r="K12119">
        <v>2373022628</v>
      </c>
      <c r="L12119">
        <v>2373022628</v>
      </c>
      <c r="M12119" t="s">
        <v>32163</v>
      </c>
      <c r="N12119" t="s">
        <v>32164</v>
      </c>
      <c r="O12119" t="s">
        <v>32165</v>
      </c>
      <c r="P12119">
        <v>63200</v>
      </c>
      <c r="Q12119" t="str">
        <f>"40.243346"</f>
        <v>40.243346</v>
      </c>
      <c r="R12119" t="str">
        <f>"23.281711"</f>
        <v>23.281711</v>
      </c>
      <c r="S12119" t="s">
        <v>26</v>
      </c>
    </row>
    <row r="12120" spans="1:19" x14ac:dyDescent="0.3">
      <c r="A12120" t="s">
        <v>25190</v>
      </c>
      <c r="B12120" t="s">
        <v>32051</v>
      </c>
      <c r="C12120" t="s">
        <v>32173</v>
      </c>
      <c r="D12120" t="s">
        <v>25229</v>
      </c>
      <c r="E12120" t="s">
        <v>25230</v>
      </c>
      <c r="F12120" t="s">
        <v>25230</v>
      </c>
      <c r="G12120" t="s">
        <v>32115</v>
      </c>
      <c r="H12120" t="s">
        <v>859</v>
      </c>
      <c r="I12120" t="s">
        <v>860</v>
      </c>
      <c r="J12120" t="str">
        <f>"9490107"</f>
        <v>9490107</v>
      </c>
      <c r="K12120">
        <v>2371094049</v>
      </c>
      <c r="L12120">
        <v>2371094049</v>
      </c>
      <c r="M12120" t="s">
        <v>32174</v>
      </c>
      <c r="N12120" t="s">
        <v>32118</v>
      </c>
      <c r="O12120" t="s">
        <v>32118</v>
      </c>
      <c r="P12120">
        <v>63100</v>
      </c>
      <c r="Q12120" t="str">
        <f>"40.424418"</f>
        <v>40.424418</v>
      </c>
      <c r="R12120" t="str">
        <f>"23.522931"</f>
        <v>23.522931</v>
      </c>
      <c r="S12120" t="s">
        <v>26</v>
      </c>
    </row>
    <row r="12121" spans="1:19" x14ac:dyDescent="0.3">
      <c r="A12121" t="s">
        <v>25190</v>
      </c>
      <c r="B12121" t="s">
        <v>32051</v>
      </c>
      <c r="C12121" t="s">
        <v>32175</v>
      </c>
      <c r="D12121" t="s">
        <v>25229</v>
      </c>
      <c r="E12121" t="s">
        <v>27387</v>
      </c>
      <c r="F12121" t="s">
        <v>27388</v>
      </c>
      <c r="G12121" t="s">
        <v>27389</v>
      </c>
      <c r="H12121" t="s">
        <v>859</v>
      </c>
      <c r="I12121" t="s">
        <v>860</v>
      </c>
      <c r="J12121" t="str">
        <f>"9490054"</f>
        <v>9490054</v>
      </c>
      <c r="K12121">
        <v>2375041635</v>
      </c>
      <c r="L12121">
        <v>41635</v>
      </c>
      <c r="M12121" t="s">
        <v>32176</v>
      </c>
      <c r="N12121" t="s">
        <v>32065</v>
      </c>
      <c r="O12121" t="s">
        <v>32065</v>
      </c>
      <c r="P12121">
        <v>63072</v>
      </c>
      <c r="Q12121" t="str">
        <f>"40.037425"</f>
        <v>40.037425</v>
      </c>
      <c r="R12121" t="str">
        <f>"23.952098"</f>
        <v>23.952098</v>
      </c>
      <c r="S12121" t="s">
        <v>26</v>
      </c>
    </row>
    <row r="12122" spans="1:19" x14ac:dyDescent="0.3">
      <c r="A12122" t="s">
        <v>25190</v>
      </c>
      <c r="B12122" t="s">
        <v>32051</v>
      </c>
      <c r="C12122" t="s">
        <v>32177</v>
      </c>
      <c r="D12122" t="s">
        <v>25229</v>
      </c>
      <c r="E12122" t="s">
        <v>25230</v>
      </c>
      <c r="F12122" t="s">
        <v>27470</v>
      </c>
      <c r="G12122" t="s">
        <v>27470</v>
      </c>
      <c r="H12122" t="s">
        <v>859</v>
      </c>
      <c r="I12122" t="s">
        <v>860</v>
      </c>
      <c r="J12122" t="str">
        <f>"9490140"</f>
        <v>9490140</v>
      </c>
      <c r="K12122">
        <v>2371042083</v>
      </c>
      <c r="L12122">
        <v>2371042083</v>
      </c>
      <c r="M12122" t="s">
        <v>32178</v>
      </c>
      <c r="N12122" t="s">
        <v>27473</v>
      </c>
      <c r="O12122" t="s">
        <v>27473</v>
      </c>
      <c r="P12122">
        <v>63071</v>
      </c>
      <c r="Q12122" t="str">
        <f>"40.294850"</f>
        <v>40.294850</v>
      </c>
      <c r="R12122" t="str">
        <f>"23.542765"</f>
        <v>23.542765</v>
      </c>
      <c r="S12122" t="s">
        <v>26</v>
      </c>
    </row>
    <row r="12123" spans="1:19" x14ac:dyDescent="0.3">
      <c r="A12123" t="s">
        <v>25190</v>
      </c>
      <c r="B12123" t="s">
        <v>32051</v>
      </c>
      <c r="C12123" t="s">
        <v>32180</v>
      </c>
      <c r="D12123" t="s">
        <v>25229</v>
      </c>
      <c r="E12123" t="s">
        <v>27387</v>
      </c>
      <c r="F12123" t="s">
        <v>27387</v>
      </c>
      <c r="G12123" t="s">
        <v>32179</v>
      </c>
      <c r="H12123" t="s">
        <v>859</v>
      </c>
      <c r="I12123" t="s">
        <v>860</v>
      </c>
      <c r="J12123" t="str">
        <f>"9490100"</f>
        <v>9490100</v>
      </c>
      <c r="K12123">
        <v>2375092218</v>
      </c>
      <c r="L12123">
        <v>2375092218</v>
      </c>
      <c r="M12123" t="s">
        <v>32181</v>
      </c>
      <c r="N12123" t="s">
        <v>32182</v>
      </c>
      <c r="O12123" t="s">
        <v>32182</v>
      </c>
      <c r="P12123">
        <v>63078</v>
      </c>
      <c r="Q12123" t="str">
        <f>"40.323686"</f>
        <v>40.323686</v>
      </c>
      <c r="R12123" t="str">
        <f>"23.654656"</f>
        <v>23.654656</v>
      </c>
      <c r="S12123" t="s">
        <v>26</v>
      </c>
    </row>
    <row r="12124" spans="1:19" x14ac:dyDescent="0.3">
      <c r="A12124" t="s">
        <v>25190</v>
      </c>
      <c r="B12124" t="s">
        <v>32051</v>
      </c>
      <c r="C12124" t="s">
        <v>32183</v>
      </c>
      <c r="D12124" t="s">
        <v>25229</v>
      </c>
      <c r="E12124" t="s">
        <v>27387</v>
      </c>
      <c r="F12124" t="s">
        <v>27388</v>
      </c>
      <c r="G12124" t="s">
        <v>32111</v>
      </c>
      <c r="H12124" t="s">
        <v>859</v>
      </c>
      <c r="I12124" t="s">
        <v>860</v>
      </c>
      <c r="J12124" t="str">
        <f>"9490132"</f>
        <v>9490132</v>
      </c>
      <c r="K12124">
        <v>2375094213</v>
      </c>
      <c r="L12124">
        <v>2375094350</v>
      </c>
      <c r="M12124" t="s">
        <v>32184</v>
      </c>
      <c r="O12124" t="s">
        <v>32185</v>
      </c>
      <c r="P12124">
        <v>63072</v>
      </c>
      <c r="Q12124" t="str">
        <f>"40.093282"</f>
        <v>40.093282</v>
      </c>
      <c r="R12124" t="str">
        <f>"23.978588"</f>
        <v>23.978588</v>
      </c>
      <c r="S12124" t="s">
        <v>26</v>
      </c>
    </row>
    <row r="12125" spans="1:19" x14ac:dyDescent="0.3">
      <c r="A12125" t="s">
        <v>25190</v>
      </c>
      <c r="B12125" t="s">
        <v>32051</v>
      </c>
      <c r="C12125" t="s">
        <v>32186</v>
      </c>
      <c r="D12125" t="s">
        <v>25229</v>
      </c>
      <c r="E12125" t="s">
        <v>27387</v>
      </c>
      <c r="F12125" t="s">
        <v>27387</v>
      </c>
      <c r="G12125" t="s">
        <v>1969</v>
      </c>
      <c r="H12125" t="s">
        <v>859</v>
      </c>
      <c r="I12125" t="s">
        <v>860</v>
      </c>
      <c r="J12125" t="str">
        <f>"9490087"</f>
        <v>9490087</v>
      </c>
      <c r="K12125">
        <v>2375031401</v>
      </c>
      <c r="L12125">
        <v>2375031401</v>
      </c>
      <c r="M12125" t="s">
        <v>32187</v>
      </c>
      <c r="N12125" t="s">
        <v>14960</v>
      </c>
      <c r="O12125" t="s">
        <v>14960</v>
      </c>
      <c r="P12125">
        <v>63078</v>
      </c>
      <c r="Q12125" t="str">
        <f>"40.247330"</f>
        <v>40.247330</v>
      </c>
      <c r="R12125" t="str">
        <f>"23.692712"</f>
        <v>23.692712</v>
      </c>
      <c r="S12125" t="s">
        <v>26</v>
      </c>
    </row>
    <row r="12126" spans="1:19" x14ac:dyDescent="0.3">
      <c r="A12126" t="s">
        <v>25190</v>
      </c>
      <c r="B12126" t="s">
        <v>32051</v>
      </c>
      <c r="C12126" t="s">
        <v>32188</v>
      </c>
      <c r="D12126" t="s">
        <v>25229</v>
      </c>
      <c r="E12126" t="s">
        <v>27387</v>
      </c>
      <c r="F12126" t="s">
        <v>27387</v>
      </c>
      <c r="G12126" t="s">
        <v>27487</v>
      </c>
      <c r="H12126" t="s">
        <v>859</v>
      </c>
      <c r="I12126" t="s">
        <v>860</v>
      </c>
      <c r="J12126" t="str">
        <f>"9490110"</f>
        <v>9490110</v>
      </c>
      <c r="K12126">
        <v>2375072138</v>
      </c>
      <c r="L12126">
        <v>2375072138</v>
      </c>
      <c r="M12126" t="s">
        <v>32189</v>
      </c>
      <c r="N12126" t="s">
        <v>32190</v>
      </c>
      <c r="O12126" t="s">
        <v>32190</v>
      </c>
      <c r="P12126">
        <v>63081</v>
      </c>
      <c r="Q12126" t="str">
        <f>"40.093333"</f>
        <v>40.093333</v>
      </c>
      <c r="R12126" t="str">
        <f>"23.786667"</f>
        <v>23.786667</v>
      </c>
      <c r="S12126" t="s">
        <v>26</v>
      </c>
    </row>
    <row r="12127" spans="1:19" x14ac:dyDescent="0.3">
      <c r="A12127" t="s">
        <v>25190</v>
      </c>
      <c r="B12127" t="s">
        <v>32051</v>
      </c>
      <c r="C12127" t="s">
        <v>32191</v>
      </c>
      <c r="D12127" t="s">
        <v>25229</v>
      </c>
      <c r="E12127" t="s">
        <v>27387</v>
      </c>
      <c r="F12127" t="s">
        <v>27387</v>
      </c>
      <c r="G12127" t="s">
        <v>27487</v>
      </c>
      <c r="H12127" t="s">
        <v>859</v>
      </c>
      <c r="I12127" t="s">
        <v>860</v>
      </c>
      <c r="J12127" t="str">
        <f>"9490337"</f>
        <v>9490337</v>
      </c>
      <c r="K12127">
        <v>2375072138</v>
      </c>
      <c r="L12127">
        <v>2375072138</v>
      </c>
      <c r="M12127" t="s">
        <v>32192</v>
      </c>
      <c r="N12127" t="s">
        <v>27490</v>
      </c>
      <c r="O12127" t="s">
        <v>32193</v>
      </c>
      <c r="P12127">
        <v>63081</v>
      </c>
      <c r="Q12127" t="str">
        <f>"40.093333"</f>
        <v>40.093333</v>
      </c>
      <c r="R12127" t="str">
        <f>"23.786667"</f>
        <v>23.786667</v>
      </c>
      <c r="S12127" t="s">
        <v>26</v>
      </c>
    </row>
    <row r="12128" spans="1:19" x14ac:dyDescent="0.3">
      <c r="A12128" t="s">
        <v>25190</v>
      </c>
      <c r="B12128" t="s">
        <v>32051</v>
      </c>
      <c r="C12128" t="s">
        <v>32194</v>
      </c>
      <c r="D12128" t="s">
        <v>25229</v>
      </c>
      <c r="E12128" t="s">
        <v>25230</v>
      </c>
      <c r="F12128" t="s">
        <v>25230</v>
      </c>
      <c r="G12128" t="s">
        <v>25230</v>
      </c>
      <c r="H12128" t="s">
        <v>859</v>
      </c>
      <c r="I12128" t="s">
        <v>860</v>
      </c>
      <c r="J12128" t="str">
        <f>"9490338"</f>
        <v>9490338</v>
      </c>
      <c r="K12128">
        <v>2371023810</v>
      </c>
      <c r="L12128">
        <v>2371023810</v>
      </c>
      <c r="M12128" t="s">
        <v>32195</v>
      </c>
      <c r="N12128" t="s">
        <v>32196</v>
      </c>
      <c r="O12128" t="s">
        <v>8406</v>
      </c>
      <c r="P12128">
        <v>63100</v>
      </c>
      <c r="Q12128" t="str">
        <f>"40.378047"</f>
        <v>40.378047</v>
      </c>
      <c r="R12128" t="str">
        <f>"23.447391"</f>
        <v>23.447391</v>
      </c>
      <c r="S12128" t="s">
        <v>26</v>
      </c>
    </row>
    <row r="12129" spans="1:19" x14ac:dyDescent="0.3">
      <c r="A12129" t="s">
        <v>25190</v>
      </c>
      <c r="B12129" t="s">
        <v>32051</v>
      </c>
      <c r="C12129" t="s">
        <v>32197</v>
      </c>
      <c r="D12129" t="s">
        <v>25229</v>
      </c>
      <c r="E12129" t="s">
        <v>25230</v>
      </c>
      <c r="F12129" t="s">
        <v>27470</v>
      </c>
      <c r="G12129" t="s">
        <v>4832</v>
      </c>
      <c r="H12129" t="s">
        <v>859</v>
      </c>
      <c r="I12129" t="s">
        <v>860</v>
      </c>
      <c r="J12129" t="str">
        <f>"9490353"</f>
        <v>9490353</v>
      </c>
      <c r="K12129">
        <v>2375061552</v>
      </c>
      <c r="L12129">
        <v>2375061552</v>
      </c>
      <c r="M12129" t="s">
        <v>32198</v>
      </c>
      <c r="N12129" t="s">
        <v>4835</v>
      </c>
      <c r="O12129" t="s">
        <v>4835</v>
      </c>
      <c r="P12129">
        <v>63078</v>
      </c>
      <c r="Q12129" t="str">
        <f>"40.228287"</f>
        <v>40.228287</v>
      </c>
      <c r="R12129" t="str">
        <f>"23.602349"</f>
        <v>23.602349</v>
      </c>
      <c r="S12129" t="s">
        <v>26</v>
      </c>
    </row>
    <row r="12130" spans="1:19" x14ac:dyDescent="0.3">
      <c r="A12130" t="s">
        <v>25190</v>
      </c>
      <c r="B12130" t="s">
        <v>32051</v>
      </c>
      <c r="C12130" t="s">
        <v>32200</v>
      </c>
      <c r="D12130" t="s">
        <v>25229</v>
      </c>
      <c r="E12130" t="s">
        <v>27394</v>
      </c>
      <c r="F12130" t="s">
        <v>27395</v>
      </c>
      <c r="G12130" t="s">
        <v>32199</v>
      </c>
      <c r="H12130" t="s">
        <v>859</v>
      </c>
      <c r="I12130" t="s">
        <v>860</v>
      </c>
      <c r="J12130" t="str">
        <f>"9490141"</f>
        <v>9490141</v>
      </c>
      <c r="K12130">
        <v>2373032145</v>
      </c>
      <c r="M12130" t="s">
        <v>32201</v>
      </c>
      <c r="N12130" t="s">
        <v>32202</v>
      </c>
      <c r="O12130" t="s">
        <v>32148</v>
      </c>
      <c r="P12130">
        <v>63200</v>
      </c>
      <c r="Q12130" t="str">
        <f>"40.267885"</f>
        <v>40.267885</v>
      </c>
      <c r="R12130" t="str">
        <f>"23.203608"</f>
        <v>23.203608</v>
      </c>
      <c r="S12130" t="s">
        <v>26</v>
      </c>
    </row>
    <row r="12131" spans="1:19" x14ac:dyDescent="0.3">
      <c r="A12131" t="s">
        <v>25190</v>
      </c>
      <c r="B12131" t="s">
        <v>32051</v>
      </c>
      <c r="C12131" t="s">
        <v>32205</v>
      </c>
      <c r="D12131" t="s">
        <v>25229</v>
      </c>
      <c r="E12131" t="s">
        <v>27415</v>
      </c>
      <c r="F12131" t="s">
        <v>27415</v>
      </c>
      <c r="G12131" t="s">
        <v>5563</v>
      </c>
      <c r="H12131" t="s">
        <v>859</v>
      </c>
      <c r="I12131" t="s">
        <v>860</v>
      </c>
      <c r="J12131" t="str">
        <f>"9490360"</f>
        <v>9490360</v>
      </c>
      <c r="K12131">
        <v>2374024632</v>
      </c>
      <c r="L12131">
        <v>2374024632</v>
      </c>
      <c r="M12131" t="s">
        <v>32206</v>
      </c>
      <c r="N12131" t="s">
        <v>5567</v>
      </c>
      <c r="O12131" t="s">
        <v>5567</v>
      </c>
      <c r="P12131">
        <v>63077</v>
      </c>
      <c r="Q12131" t="str">
        <f>"40.075200"</f>
        <v>40.075200</v>
      </c>
      <c r="R12131" t="str">
        <f>"23.446879"</f>
        <v>23.446879</v>
      </c>
      <c r="S12131" t="s">
        <v>26</v>
      </c>
    </row>
    <row r="12132" spans="1:19" x14ac:dyDescent="0.3">
      <c r="A12132" t="s">
        <v>25190</v>
      </c>
      <c r="B12132" t="s">
        <v>32051</v>
      </c>
      <c r="C12132" t="s">
        <v>32208</v>
      </c>
      <c r="D12132" t="s">
        <v>25229</v>
      </c>
      <c r="E12132" t="s">
        <v>27415</v>
      </c>
      <c r="F12132" t="s">
        <v>4024</v>
      </c>
      <c r="G12132" t="s">
        <v>32207</v>
      </c>
      <c r="H12132" t="s">
        <v>859</v>
      </c>
      <c r="I12132" t="s">
        <v>860</v>
      </c>
      <c r="J12132" t="str">
        <f>"9490160"</f>
        <v>9490160</v>
      </c>
      <c r="K12132">
        <v>2374051938</v>
      </c>
      <c r="L12132">
        <v>2374051938</v>
      </c>
      <c r="M12132" t="s">
        <v>32209</v>
      </c>
      <c r="N12132" t="s">
        <v>32210</v>
      </c>
      <c r="O12132" t="s">
        <v>32148</v>
      </c>
      <c r="P12132">
        <v>63085</v>
      </c>
      <c r="Q12132" t="str">
        <f>"40.001294"</f>
        <v>40.001294</v>
      </c>
      <c r="R12132" t="str">
        <f>"23.575164"</f>
        <v>23.575164</v>
      </c>
      <c r="S12132" t="s">
        <v>26</v>
      </c>
    </row>
    <row r="12133" spans="1:19" x14ac:dyDescent="0.3">
      <c r="A12133" t="s">
        <v>25190</v>
      </c>
      <c r="B12133" t="s">
        <v>32051</v>
      </c>
      <c r="C12133" t="s">
        <v>32212</v>
      </c>
      <c r="D12133" t="s">
        <v>25229</v>
      </c>
      <c r="E12133" t="s">
        <v>25230</v>
      </c>
      <c r="F12133" t="s">
        <v>25230</v>
      </c>
      <c r="G12133" t="s">
        <v>32211</v>
      </c>
      <c r="H12133" t="s">
        <v>859</v>
      </c>
      <c r="I12133" t="s">
        <v>860</v>
      </c>
      <c r="J12133" t="str">
        <f>"9490041"</f>
        <v>9490041</v>
      </c>
      <c r="K12133">
        <v>2373091366</v>
      </c>
      <c r="L12133">
        <v>2373091366</v>
      </c>
      <c r="M12133" t="s">
        <v>32213</v>
      </c>
      <c r="N12133" t="s">
        <v>32214</v>
      </c>
      <c r="O12133" t="s">
        <v>32148</v>
      </c>
      <c r="P12133">
        <v>63200</v>
      </c>
      <c r="Q12133" t="str">
        <f>"40.235420"</f>
        <v>40.235420</v>
      </c>
      <c r="R12133" t="str">
        <f>"23.299819"</f>
        <v>23.299819</v>
      </c>
      <c r="S12133" t="s">
        <v>26</v>
      </c>
    </row>
    <row r="12134" spans="1:19" x14ac:dyDescent="0.3">
      <c r="A12134" t="s">
        <v>25190</v>
      </c>
      <c r="B12134" t="s">
        <v>32051</v>
      </c>
      <c r="C12134" t="s">
        <v>32215</v>
      </c>
      <c r="D12134" t="s">
        <v>25229</v>
      </c>
      <c r="E12134" t="s">
        <v>27415</v>
      </c>
      <c r="F12134" t="s">
        <v>27415</v>
      </c>
      <c r="G12134" t="s">
        <v>27576</v>
      </c>
      <c r="H12134" t="s">
        <v>859</v>
      </c>
      <c r="I12134" t="s">
        <v>860</v>
      </c>
      <c r="J12134" t="str">
        <f>"9490115"</f>
        <v>9490115</v>
      </c>
      <c r="K12134">
        <v>2374081700</v>
      </c>
      <c r="L12134">
        <v>2374081700</v>
      </c>
      <c r="M12134" t="s">
        <v>32216</v>
      </c>
      <c r="N12134" t="s">
        <v>27579</v>
      </c>
      <c r="O12134" t="s">
        <v>32217</v>
      </c>
      <c r="P12134">
        <v>63077</v>
      </c>
      <c r="Q12134" t="str">
        <f>"40.133503"</f>
        <v>40.133503</v>
      </c>
      <c r="R12134" t="str">
        <f>"23.397446"</f>
        <v>23.397446</v>
      </c>
      <c r="S12134" t="s">
        <v>26</v>
      </c>
    </row>
    <row r="12135" spans="1:19" x14ac:dyDescent="0.3">
      <c r="A12135" t="s">
        <v>25190</v>
      </c>
      <c r="B12135" t="s">
        <v>32051</v>
      </c>
      <c r="C12135" t="s">
        <v>32218</v>
      </c>
      <c r="D12135" t="s">
        <v>25229</v>
      </c>
      <c r="E12135" t="s">
        <v>27387</v>
      </c>
      <c r="F12135" t="s">
        <v>27387</v>
      </c>
      <c r="G12135" t="s">
        <v>27425</v>
      </c>
      <c r="H12135" t="s">
        <v>859</v>
      </c>
      <c r="I12135" t="s">
        <v>860</v>
      </c>
      <c r="J12135" t="str">
        <f>"9490112"</f>
        <v>9490112</v>
      </c>
      <c r="K12135">
        <v>2375023680</v>
      </c>
      <c r="L12135">
        <v>2375023680</v>
      </c>
      <c r="M12135" t="s">
        <v>32219</v>
      </c>
      <c r="N12135" t="s">
        <v>27428</v>
      </c>
      <c r="O12135" t="s">
        <v>27428</v>
      </c>
      <c r="P12135">
        <v>63088</v>
      </c>
      <c r="Q12135" t="str">
        <f>"40.233377"</f>
        <v>40.233377</v>
      </c>
      <c r="R12135" t="str">
        <f>"23.673285"</f>
        <v>23.673285</v>
      </c>
      <c r="S12135" t="s">
        <v>26</v>
      </c>
    </row>
    <row r="12136" spans="1:19" x14ac:dyDescent="0.3">
      <c r="A12136" t="s">
        <v>25190</v>
      </c>
      <c r="B12136" t="s">
        <v>32051</v>
      </c>
      <c r="C12136" t="s">
        <v>32220</v>
      </c>
      <c r="D12136" t="s">
        <v>25229</v>
      </c>
      <c r="E12136" t="s">
        <v>27394</v>
      </c>
      <c r="F12136" t="s">
        <v>27447</v>
      </c>
      <c r="G12136" t="s">
        <v>27401</v>
      </c>
      <c r="H12136" t="s">
        <v>859</v>
      </c>
      <c r="I12136" t="s">
        <v>860</v>
      </c>
      <c r="J12136" t="str">
        <f>"9490340"</f>
        <v>9490340</v>
      </c>
      <c r="K12136">
        <v>2373024723</v>
      </c>
      <c r="L12136">
        <v>2373024723</v>
      </c>
      <c r="M12136" t="s">
        <v>32221</v>
      </c>
      <c r="N12136" t="s">
        <v>32164</v>
      </c>
      <c r="O12136" t="s">
        <v>32222</v>
      </c>
      <c r="P12136">
        <v>63200</v>
      </c>
      <c r="Q12136" t="str">
        <f>"40.241317"</f>
        <v>40.241317</v>
      </c>
      <c r="R12136" t="str">
        <f>"23.285501"</f>
        <v>23.285501</v>
      </c>
      <c r="S12136" t="s">
        <v>26</v>
      </c>
    </row>
    <row r="12137" spans="1:19" x14ac:dyDescent="0.3">
      <c r="A12137" t="s">
        <v>25190</v>
      </c>
      <c r="B12137" t="s">
        <v>32051</v>
      </c>
      <c r="C12137" t="s">
        <v>32232</v>
      </c>
      <c r="D12137" t="s">
        <v>25229</v>
      </c>
      <c r="E12137" t="s">
        <v>27403</v>
      </c>
      <c r="F12137" t="s">
        <v>1800</v>
      </c>
      <c r="G12137" t="s">
        <v>27529</v>
      </c>
      <c r="H12137" t="s">
        <v>859</v>
      </c>
      <c r="I12137" t="s">
        <v>860</v>
      </c>
      <c r="J12137" t="str">
        <f>"9490069"</f>
        <v>9490069</v>
      </c>
      <c r="K12137">
        <v>2372032070</v>
      </c>
      <c r="L12137">
        <v>2372032070</v>
      </c>
      <c r="M12137" t="s">
        <v>32233</v>
      </c>
      <c r="N12137" t="s">
        <v>32076</v>
      </c>
      <c r="O12137" t="s">
        <v>32076</v>
      </c>
      <c r="P12137">
        <v>63076</v>
      </c>
      <c r="Q12137" t="str">
        <f>"40.442475"</f>
        <v>40.442475</v>
      </c>
      <c r="R12137" t="str">
        <f>"23.680476"</f>
        <v>23.680476</v>
      </c>
      <c r="S12137" t="s">
        <v>26</v>
      </c>
    </row>
    <row r="12138" spans="1:19" x14ac:dyDescent="0.3">
      <c r="A12138" t="s">
        <v>25190</v>
      </c>
      <c r="B12138" t="s">
        <v>32051</v>
      </c>
      <c r="C12138" t="s">
        <v>32234</v>
      </c>
      <c r="D12138" t="s">
        <v>25229</v>
      </c>
      <c r="E12138" t="s">
        <v>27394</v>
      </c>
      <c r="F12138" t="s">
        <v>27453</v>
      </c>
      <c r="G12138" t="s">
        <v>28843</v>
      </c>
      <c r="H12138" t="s">
        <v>859</v>
      </c>
      <c r="I12138" t="s">
        <v>860</v>
      </c>
      <c r="J12138" t="str">
        <f>"9490339"</f>
        <v>9490339</v>
      </c>
      <c r="K12138">
        <v>2399021550</v>
      </c>
      <c r="L12138">
        <v>2399021550</v>
      </c>
      <c r="M12138" t="s">
        <v>32235</v>
      </c>
      <c r="N12138" t="s">
        <v>28843</v>
      </c>
      <c r="O12138" t="s">
        <v>32236</v>
      </c>
      <c r="P12138">
        <v>63080</v>
      </c>
      <c r="Q12138" t="str">
        <f>"40.339904"</f>
        <v>40.339904</v>
      </c>
      <c r="R12138" t="str">
        <f>"23.060596"</f>
        <v>23.060596</v>
      </c>
      <c r="S12138" t="s">
        <v>26</v>
      </c>
    </row>
    <row r="12139" spans="1:19" x14ac:dyDescent="0.3">
      <c r="A12139" t="s">
        <v>25190</v>
      </c>
      <c r="B12139" t="s">
        <v>32051</v>
      </c>
      <c r="C12139" t="s">
        <v>32238</v>
      </c>
      <c r="D12139" t="s">
        <v>25229</v>
      </c>
      <c r="E12139" t="s">
        <v>27403</v>
      </c>
      <c r="F12139" t="s">
        <v>27404</v>
      </c>
      <c r="G12139" t="s">
        <v>32237</v>
      </c>
      <c r="H12139" t="s">
        <v>859</v>
      </c>
      <c r="I12139" t="s">
        <v>860</v>
      </c>
      <c r="J12139" t="str">
        <f>"9490072"</f>
        <v>9490072</v>
      </c>
      <c r="K12139">
        <v>2377031007</v>
      </c>
      <c r="L12139">
        <v>2377031120</v>
      </c>
      <c r="M12139" t="s">
        <v>32239</v>
      </c>
      <c r="N12139" t="s">
        <v>32240</v>
      </c>
      <c r="O12139" t="s">
        <v>32241</v>
      </c>
      <c r="P12139">
        <v>63075</v>
      </c>
      <c r="Q12139" t="str">
        <f>"40.384547"</f>
        <v>40.384547</v>
      </c>
      <c r="R12139" t="str">
        <f>"23.920978"</f>
        <v>23.920978</v>
      </c>
      <c r="S12139" t="s">
        <v>26</v>
      </c>
    </row>
    <row r="12140" spans="1:19" x14ac:dyDescent="0.3">
      <c r="A12140" t="s">
        <v>25190</v>
      </c>
      <c r="B12140" t="s">
        <v>32051</v>
      </c>
      <c r="C12140" t="s">
        <v>32246</v>
      </c>
      <c r="D12140" t="s">
        <v>25229</v>
      </c>
      <c r="E12140" t="s">
        <v>27394</v>
      </c>
      <c r="F12140" t="s">
        <v>27447</v>
      </c>
      <c r="G12140" t="s">
        <v>32245</v>
      </c>
      <c r="H12140" t="s">
        <v>859</v>
      </c>
      <c r="I12140" t="s">
        <v>860</v>
      </c>
      <c r="J12140" t="str">
        <f>"9490056"</f>
        <v>9490056</v>
      </c>
      <c r="K12140">
        <v>2373031968</v>
      </c>
      <c r="L12140">
        <v>2373031968</v>
      </c>
      <c r="M12140" t="s">
        <v>32247</v>
      </c>
      <c r="N12140" t="s">
        <v>32248</v>
      </c>
      <c r="O12140" t="s">
        <v>32249</v>
      </c>
      <c r="P12140">
        <v>63200</v>
      </c>
      <c r="Q12140" t="str">
        <f>"40.264072"</f>
        <v>40.264072</v>
      </c>
      <c r="R12140" t="str">
        <f>"23.221316"</f>
        <v>23.221316</v>
      </c>
      <c r="S12140" t="s">
        <v>26</v>
      </c>
    </row>
    <row r="12141" spans="1:19" x14ac:dyDescent="0.3">
      <c r="A12141" t="s">
        <v>25190</v>
      </c>
      <c r="B12141" t="s">
        <v>32051</v>
      </c>
      <c r="C12141" t="s">
        <v>32251</v>
      </c>
      <c r="D12141" t="s">
        <v>25229</v>
      </c>
      <c r="E12141" t="s">
        <v>27394</v>
      </c>
      <c r="F12141" t="s">
        <v>27395</v>
      </c>
      <c r="G12141" t="s">
        <v>32250</v>
      </c>
      <c r="H12141" t="s">
        <v>859</v>
      </c>
      <c r="I12141" t="s">
        <v>860</v>
      </c>
      <c r="J12141" t="str">
        <f>"9490347"</f>
        <v>9490347</v>
      </c>
      <c r="K12141">
        <v>2373071061</v>
      </c>
      <c r="L12141">
        <v>2373071061</v>
      </c>
      <c r="M12141" t="s">
        <v>32252</v>
      </c>
      <c r="N12141" t="s">
        <v>32253</v>
      </c>
      <c r="O12141" t="s">
        <v>32253</v>
      </c>
      <c r="P12141">
        <v>63080</v>
      </c>
      <c r="Q12141" t="str">
        <f>"40.335569"</f>
        <v>40.335569</v>
      </c>
      <c r="R12141" t="str">
        <f>"23.173153"</f>
        <v>23.173153</v>
      </c>
      <c r="S12141" t="s">
        <v>26</v>
      </c>
    </row>
    <row r="12142" spans="1:19" x14ac:dyDescent="0.3">
      <c r="A12142" t="s">
        <v>25190</v>
      </c>
      <c r="B12142" t="s">
        <v>32051</v>
      </c>
      <c r="C12142" t="s">
        <v>32256</v>
      </c>
      <c r="D12142" t="s">
        <v>25229</v>
      </c>
      <c r="E12142" t="s">
        <v>27403</v>
      </c>
      <c r="F12142" t="s">
        <v>27404</v>
      </c>
      <c r="G12142" t="s">
        <v>32223</v>
      </c>
      <c r="H12142" t="s">
        <v>859</v>
      </c>
      <c r="I12142" t="s">
        <v>860</v>
      </c>
      <c r="J12142" t="str">
        <f>"9490137"</f>
        <v>9490137</v>
      </c>
      <c r="K12142">
        <v>2377071174</v>
      </c>
      <c r="L12142">
        <v>2377071174</v>
      </c>
      <c r="M12142" t="s">
        <v>32257</v>
      </c>
      <c r="N12142" t="s">
        <v>32258</v>
      </c>
      <c r="O12142" t="s">
        <v>32226</v>
      </c>
      <c r="P12142">
        <v>63075</v>
      </c>
      <c r="Q12142" t="str">
        <f>"40.325081"</f>
        <v>40.325081</v>
      </c>
      <c r="R12142" t="str">
        <f>"23.984380"</f>
        <v>23.984380</v>
      </c>
      <c r="S12142" t="s">
        <v>26</v>
      </c>
    </row>
    <row r="12143" spans="1:19" x14ac:dyDescent="0.3">
      <c r="A12143" t="s">
        <v>25190</v>
      </c>
      <c r="B12143" t="s">
        <v>32051</v>
      </c>
      <c r="C12143" t="s">
        <v>32260</v>
      </c>
      <c r="D12143" t="s">
        <v>25229</v>
      </c>
      <c r="E12143" t="s">
        <v>27403</v>
      </c>
      <c r="F12143" t="s">
        <v>27404</v>
      </c>
      <c r="G12143" t="s">
        <v>32259</v>
      </c>
      <c r="H12143" t="s">
        <v>859</v>
      </c>
      <c r="I12143" t="s">
        <v>860</v>
      </c>
      <c r="J12143" t="str">
        <f>"9490083"</f>
        <v>9490083</v>
      </c>
      <c r="K12143">
        <v>2376041337</v>
      </c>
      <c r="L12143">
        <v>2376041337</v>
      </c>
      <c r="M12143" t="s">
        <v>32261</v>
      </c>
      <c r="N12143" t="s">
        <v>32262</v>
      </c>
      <c r="O12143" t="s">
        <v>32262</v>
      </c>
      <c r="P12143">
        <v>63083</v>
      </c>
      <c r="Q12143" t="str">
        <f>"40.530009"</f>
        <v>40.530009</v>
      </c>
      <c r="R12143" t="str">
        <f>"23.751997"</f>
        <v>23.751997</v>
      </c>
      <c r="S12143" t="s">
        <v>26</v>
      </c>
    </row>
    <row r="12144" spans="1:19" x14ac:dyDescent="0.3">
      <c r="A12144" t="s">
        <v>25190</v>
      </c>
      <c r="B12144" t="s">
        <v>32051</v>
      </c>
      <c r="C12144" t="s">
        <v>32263</v>
      </c>
      <c r="D12144" t="s">
        <v>25229</v>
      </c>
      <c r="E12144" t="s">
        <v>27394</v>
      </c>
      <c r="F12144" t="s">
        <v>27453</v>
      </c>
      <c r="G12144" t="s">
        <v>28843</v>
      </c>
      <c r="H12144" t="s">
        <v>859</v>
      </c>
      <c r="I12144" t="s">
        <v>860</v>
      </c>
      <c r="J12144" t="str">
        <f>"9490362"</f>
        <v>9490362</v>
      </c>
      <c r="K12144">
        <v>2399062692</v>
      </c>
      <c r="L12144">
        <v>2399062692</v>
      </c>
      <c r="M12144" t="s">
        <v>32264</v>
      </c>
      <c r="N12144" t="s">
        <v>32265</v>
      </c>
      <c r="O12144" t="s">
        <v>32148</v>
      </c>
      <c r="P12144">
        <v>63080</v>
      </c>
      <c r="Q12144" t="str">
        <f>"40.346809"</f>
        <v>40.346809</v>
      </c>
      <c r="R12144" t="str">
        <f>"23.014809"</f>
        <v>23.014809</v>
      </c>
      <c r="S12144" t="s">
        <v>26</v>
      </c>
    </row>
    <row r="12145" spans="1:19" x14ac:dyDescent="0.3">
      <c r="A12145" t="s">
        <v>25190</v>
      </c>
      <c r="B12145" t="s">
        <v>32051</v>
      </c>
      <c r="C12145" t="s">
        <v>32270</v>
      </c>
      <c r="D12145" t="s">
        <v>25229</v>
      </c>
      <c r="E12145" t="s">
        <v>27403</v>
      </c>
      <c r="F12145" t="s">
        <v>27404</v>
      </c>
      <c r="G12145" t="s">
        <v>27405</v>
      </c>
      <c r="H12145" t="s">
        <v>859</v>
      </c>
      <c r="I12145" t="s">
        <v>860</v>
      </c>
      <c r="J12145" t="str">
        <f>"9490153"</f>
        <v>9490153</v>
      </c>
      <c r="K12145">
        <v>2377023151</v>
      </c>
      <c r="L12145">
        <v>2377023151</v>
      </c>
      <c r="M12145" t="s">
        <v>32271</v>
      </c>
      <c r="N12145" t="s">
        <v>27405</v>
      </c>
      <c r="O12145" t="s">
        <v>32272</v>
      </c>
      <c r="P12145">
        <v>63075</v>
      </c>
      <c r="Q12145" t="str">
        <f>"40.400553"</f>
        <v>40.400553</v>
      </c>
      <c r="R12145" t="str">
        <f>"23.872926"</f>
        <v>23.872926</v>
      </c>
      <c r="S12145" t="s">
        <v>26</v>
      </c>
    </row>
    <row r="12146" spans="1:19" x14ac:dyDescent="0.3">
      <c r="A12146" t="s">
        <v>25190</v>
      </c>
      <c r="B12146" t="s">
        <v>32051</v>
      </c>
      <c r="C12146" t="s">
        <v>32273</v>
      </c>
      <c r="D12146" t="s">
        <v>25229</v>
      </c>
      <c r="E12146" t="s">
        <v>27415</v>
      </c>
      <c r="F12146" t="s">
        <v>4024</v>
      </c>
      <c r="G12146" t="s">
        <v>27549</v>
      </c>
      <c r="H12146" t="s">
        <v>859</v>
      </c>
      <c r="I12146" t="s">
        <v>860</v>
      </c>
      <c r="J12146" t="str">
        <f>"9490147"</f>
        <v>9490147</v>
      </c>
      <c r="K12146">
        <v>2374061861</v>
      </c>
      <c r="L12146">
        <v>2374061861</v>
      </c>
      <c r="M12146" t="s">
        <v>32274</v>
      </c>
      <c r="N12146" t="s">
        <v>27553</v>
      </c>
      <c r="O12146" t="s">
        <v>27553</v>
      </c>
      <c r="P12146">
        <v>63085</v>
      </c>
      <c r="Q12146" t="str">
        <f>"39.989130"</f>
        <v>39.989130</v>
      </c>
      <c r="R12146" t="str">
        <f>"23.616850"</f>
        <v>23.616850</v>
      </c>
      <c r="S12146" t="s">
        <v>26</v>
      </c>
    </row>
    <row r="12147" spans="1:19" x14ac:dyDescent="0.3">
      <c r="A12147" t="s">
        <v>25190</v>
      </c>
      <c r="B12147" t="s">
        <v>32051</v>
      </c>
      <c r="C12147" t="s">
        <v>32275</v>
      </c>
      <c r="D12147" t="s">
        <v>25229</v>
      </c>
      <c r="E12147" t="s">
        <v>27394</v>
      </c>
      <c r="F12147" t="s">
        <v>27447</v>
      </c>
      <c r="G12147" t="s">
        <v>27401</v>
      </c>
      <c r="H12147" t="s">
        <v>859</v>
      </c>
      <c r="I12147" t="s">
        <v>860</v>
      </c>
      <c r="J12147" t="str">
        <f>"9490127"</f>
        <v>9490127</v>
      </c>
      <c r="K12147">
        <v>2373022795</v>
      </c>
      <c r="L12147">
        <v>2373022795</v>
      </c>
      <c r="M12147" t="s">
        <v>32276</v>
      </c>
      <c r="N12147" t="s">
        <v>32277</v>
      </c>
      <c r="O12147" t="s">
        <v>29120</v>
      </c>
      <c r="P12147">
        <v>63200</v>
      </c>
      <c r="Q12147" t="str">
        <f>"40.244247"</f>
        <v>40.244247</v>
      </c>
      <c r="R12147" t="str">
        <f>"23.289800"</f>
        <v>23.289800</v>
      </c>
      <c r="S12147" t="s">
        <v>26</v>
      </c>
    </row>
    <row r="12148" spans="1:19" x14ac:dyDescent="0.3">
      <c r="A12148" t="s">
        <v>25190</v>
      </c>
      <c r="B12148" t="s">
        <v>32051</v>
      </c>
      <c r="C12148" t="s">
        <v>32279</v>
      </c>
      <c r="D12148" t="s">
        <v>25229</v>
      </c>
      <c r="E12148" t="s">
        <v>25230</v>
      </c>
      <c r="F12148" t="s">
        <v>25230</v>
      </c>
      <c r="G12148" t="s">
        <v>25230</v>
      </c>
      <c r="H12148" t="s">
        <v>859</v>
      </c>
      <c r="I12148" t="s">
        <v>860</v>
      </c>
      <c r="J12148" t="str">
        <f>"9490121"</f>
        <v>9490121</v>
      </c>
      <c r="K12148">
        <v>2371023477</v>
      </c>
      <c r="M12148" t="s">
        <v>32280</v>
      </c>
      <c r="N12148" t="s">
        <v>25233</v>
      </c>
      <c r="O12148" t="s">
        <v>32281</v>
      </c>
      <c r="P12148">
        <v>63100</v>
      </c>
      <c r="Q12148" t="str">
        <f>"40.383172"</f>
        <v>40.383172</v>
      </c>
      <c r="R12148" t="str">
        <f>"23.443617"</f>
        <v>23.443617</v>
      </c>
      <c r="S12148" t="s">
        <v>26</v>
      </c>
    </row>
    <row r="12149" spans="1:19" x14ac:dyDescent="0.3">
      <c r="A12149" t="s">
        <v>25190</v>
      </c>
      <c r="B12149" t="s">
        <v>32051</v>
      </c>
      <c r="C12149" t="s">
        <v>32300</v>
      </c>
      <c r="D12149" t="s">
        <v>25229</v>
      </c>
      <c r="E12149" t="s">
        <v>25230</v>
      </c>
      <c r="F12149" t="s">
        <v>25230</v>
      </c>
      <c r="G12149" t="s">
        <v>25230</v>
      </c>
      <c r="H12149" t="s">
        <v>859</v>
      </c>
      <c r="I12149" t="s">
        <v>860</v>
      </c>
      <c r="J12149" t="str">
        <f>"9490006"</f>
        <v>9490006</v>
      </c>
      <c r="K12149">
        <v>2371022902</v>
      </c>
      <c r="M12149" t="s">
        <v>32301</v>
      </c>
      <c r="N12149" t="s">
        <v>32302</v>
      </c>
      <c r="O12149" t="s">
        <v>25233</v>
      </c>
      <c r="P12149">
        <v>63100</v>
      </c>
      <c r="Q12149" t="str">
        <f>"40.377141"</f>
        <v>40.377141</v>
      </c>
      <c r="R12149" t="str">
        <f>"23.435425"</f>
        <v>23.435425</v>
      </c>
      <c r="S12149" t="s">
        <v>26</v>
      </c>
    </row>
    <row r="12150" spans="1:19" x14ac:dyDescent="0.3">
      <c r="A12150" t="s">
        <v>25190</v>
      </c>
      <c r="B12150" t="s">
        <v>32051</v>
      </c>
      <c r="C12150" t="s">
        <v>32329</v>
      </c>
      <c r="D12150" t="s">
        <v>25229</v>
      </c>
      <c r="E12150" t="s">
        <v>27403</v>
      </c>
      <c r="F12150" t="s">
        <v>27404</v>
      </c>
      <c r="G12150" t="s">
        <v>27476</v>
      </c>
      <c r="H12150" t="s">
        <v>859</v>
      </c>
      <c r="I12150" t="s">
        <v>860</v>
      </c>
      <c r="J12150" t="str">
        <f>"9490084"</f>
        <v>9490084</v>
      </c>
      <c r="K12150">
        <v>2376022433</v>
      </c>
      <c r="L12150">
        <v>2376022433</v>
      </c>
      <c r="M12150" t="s">
        <v>32330</v>
      </c>
      <c r="N12150" t="s">
        <v>27480</v>
      </c>
      <c r="O12150" t="s">
        <v>27479</v>
      </c>
      <c r="P12150">
        <v>63082</v>
      </c>
      <c r="Q12150" t="str">
        <f>"40.515952"</f>
        <v>40.515952</v>
      </c>
      <c r="R12150" t="str">
        <f>"23.824824"</f>
        <v>23.824824</v>
      </c>
      <c r="S12150" t="s">
        <v>26</v>
      </c>
    </row>
    <row r="12151" spans="1:19" x14ac:dyDescent="0.3">
      <c r="A12151" t="s">
        <v>25190</v>
      </c>
      <c r="B12151" t="s">
        <v>32051</v>
      </c>
      <c r="C12151" t="s">
        <v>32332</v>
      </c>
      <c r="D12151" t="s">
        <v>25229</v>
      </c>
      <c r="E12151" t="s">
        <v>27403</v>
      </c>
      <c r="F12151" t="s">
        <v>27430</v>
      </c>
      <c r="G12151" t="s">
        <v>15528</v>
      </c>
      <c r="H12151" t="s">
        <v>859</v>
      </c>
      <c r="I12151" t="s">
        <v>860</v>
      </c>
      <c r="J12151" t="str">
        <f>"9490113"</f>
        <v>9490113</v>
      </c>
      <c r="K12151">
        <v>2372061455</v>
      </c>
      <c r="L12151">
        <v>2372061455</v>
      </c>
      <c r="M12151" t="s">
        <v>32333</v>
      </c>
      <c r="N12151" t="s">
        <v>15531</v>
      </c>
      <c r="O12151" t="s">
        <v>15531</v>
      </c>
      <c r="P12151">
        <v>63074</v>
      </c>
      <c r="Q12151" t="str">
        <f>"40.541536"</f>
        <v>40.541536</v>
      </c>
      <c r="R12151" t="str">
        <f>"23.590663"</f>
        <v>23.590663</v>
      </c>
      <c r="S12151" t="s">
        <v>26</v>
      </c>
    </row>
    <row r="12152" spans="1:19" x14ac:dyDescent="0.3">
      <c r="A12152" t="s">
        <v>25190</v>
      </c>
      <c r="B12152" t="s">
        <v>32051</v>
      </c>
      <c r="C12152" t="s">
        <v>32377</v>
      </c>
      <c r="D12152" t="s">
        <v>25229</v>
      </c>
      <c r="E12152" t="s">
        <v>27415</v>
      </c>
      <c r="F12152" t="s">
        <v>27415</v>
      </c>
      <c r="G12152" t="s">
        <v>32376</v>
      </c>
      <c r="H12152" t="s">
        <v>859</v>
      </c>
      <c r="I12152" t="s">
        <v>860</v>
      </c>
      <c r="J12152" t="str">
        <f>"9490351"</f>
        <v>9490351</v>
      </c>
      <c r="K12152">
        <v>2374051035</v>
      </c>
      <c r="L12152">
        <v>2374051035</v>
      </c>
      <c r="M12152" t="s">
        <v>32378</v>
      </c>
      <c r="N12152" t="s">
        <v>32376</v>
      </c>
      <c r="O12152" t="s">
        <v>32148</v>
      </c>
      <c r="P12152">
        <v>63077</v>
      </c>
      <c r="Q12152" t="str">
        <f>"40.001193"</f>
        <v>40.001193</v>
      </c>
      <c r="R12152" t="str">
        <f>"23.420492"</f>
        <v>23.420492</v>
      </c>
      <c r="S12152" t="s">
        <v>26</v>
      </c>
    </row>
    <row r="12153" spans="1:19" x14ac:dyDescent="0.3">
      <c r="A12153" t="s">
        <v>25190</v>
      </c>
      <c r="B12153" t="s">
        <v>32051</v>
      </c>
      <c r="C12153" t="s">
        <v>32379</v>
      </c>
      <c r="D12153" t="s">
        <v>25229</v>
      </c>
      <c r="E12153" t="s">
        <v>27415</v>
      </c>
      <c r="F12153" t="s">
        <v>4024</v>
      </c>
      <c r="G12153" t="s">
        <v>27494</v>
      </c>
      <c r="H12153" t="s">
        <v>859</v>
      </c>
      <c r="I12153" t="s">
        <v>860</v>
      </c>
      <c r="J12153" t="str">
        <f>"9490122"</f>
        <v>9490122</v>
      </c>
      <c r="K12153">
        <v>2374092223</v>
      </c>
      <c r="L12153">
        <v>2374092223</v>
      </c>
      <c r="M12153" t="s">
        <v>32380</v>
      </c>
      <c r="N12153" t="s">
        <v>27494</v>
      </c>
      <c r="O12153" t="s">
        <v>27498</v>
      </c>
      <c r="P12153">
        <v>63085</v>
      </c>
      <c r="Q12153" t="str">
        <f>"39.942321"</f>
        <v>39.942321</v>
      </c>
      <c r="R12153" t="str">
        <f>"23.662452"</f>
        <v>23.662452</v>
      </c>
      <c r="S12153" t="s">
        <v>26</v>
      </c>
    </row>
    <row r="12154" spans="1:19" x14ac:dyDescent="0.3">
      <c r="A12154" t="s">
        <v>25190</v>
      </c>
      <c r="B12154" t="s">
        <v>32051</v>
      </c>
      <c r="C12154" t="s">
        <v>32381</v>
      </c>
      <c r="D12154" t="s">
        <v>25229</v>
      </c>
      <c r="E12154" t="s">
        <v>27415</v>
      </c>
      <c r="F12154" t="s">
        <v>4024</v>
      </c>
      <c r="G12154" t="s">
        <v>32339</v>
      </c>
      <c r="H12154" t="s">
        <v>859</v>
      </c>
      <c r="I12154" t="s">
        <v>860</v>
      </c>
      <c r="J12154" t="str">
        <f>"9490155"</f>
        <v>9490155</v>
      </c>
      <c r="K12154">
        <v>2374053854</v>
      </c>
      <c r="L12154">
        <v>2374053854</v>
      </c>
      <c r="M12154" t="s">
        <v>32382</v>
      </c>
      <c r="N12154" t="s">
        <v>32339</v>
      </c>
      <c r="O12154" t="s">
        <v>32342</v>
      </c>
      <c r="P12154">
        <v>63085</v>
      </c>
      <c r="Q12154" t="str">
        <f>"40.014643"</f>
        <v>40.014643</v>
      </c>
      <c r="R12154" t="str">
        <f>"23.528740"</f>
        <v>23.528740</v>
      </c>
      <c r="S12154" t="s">
        <v>26</v>
      </c>
    </row>
    <row r="12155" spans="1:19" x14ac:dyDescent="0.3">
      <c r="A12155" t="s">
        <v>25190</v>
      </c>
      <c r="B12155" t="s">
        <v>32051</v>
      </c>
      <c r="C12155" t="s">
        <v>32383</v>
      </c>
      <c r="D12155" t="s">
        <v>25229</v>
      </c>
      <c r="E12155" t="s">
        <v>27394</v>
      </c>
      <c r="F12155" t="s">
        <v>27453</v>
      </c>
      <c r="G12155" t="s">
        <v>32347</v>
      </c>
      <c r="H12155" t="s">
        <v>859</v>
      </c>
      <c r="I12155" t="s">
        <v>860</v>
      </c>
      <c r="J12155" t="str">
        <f>"9490125"</f>
        <v>9490125</v>
      </c>
      <c r="K12155">
        <v>2373071662</v>
      </c>
      <c r="L12155">
        <v>2373071662</v>
      </c>
      <c r="M12155" t="s">
        <v>32384</v>
      </c>
      <c r="N12155" t="s">
        <v>32385</v>
      </c>
      <c r="O12155" t="s">
        <v>32386</v>
      </c>
      <c r="P12155">
        <v>63080</v>
      </c>
      <c r="Q12155" t="str">
        <f>"40.328640"</f>
        <v>40.328640</v>
      </c>
      <c r="R12155" t="str">
        <f>"23.135431"</f>
        <v>23.135431</v>
      </c>
      <c r="S12155" t="s">
        <v>26</v>
      </c>
    </row>
    <row r="12156" spans="1:19" x14ac:dyDescent="0.3">
      <c r="A12156" t="s">
        <v>25190</v>
      </c>
      <c r="B12156" t="s">
        <v>32051</v>
      </c>
      <c r="C12156" t="s">
        <v>32388</v>
      </c>
      <c r="D12156" t="s">
        <v>25229</v>
      </c>
      <c r="E12156" t="s">
        <v>27394</v>
      </c>
      <c r="F12156" t="s">
        <v>27395</v>
      </c>
      <c r="G12156" t="s">
        <v>32387</v>
      </c>
      <c r="H12156" t="s">
        <v>859</v>
      </c>
      <c r="I12156" t="s">
        <v>860</v>
      </c>
      <c r="J12156" t="str">
        <f>"9490047"</f>
        <v>9490047</v>
      </c>
      <c r="K12156">
        <v>2373071131</v>
      </c>
      <c r="L12156">
        <v>2373071131</v>
      </c>
      <c r="M12156" t="s">
        <v>32389</v>
      </c>
      <c r="N12156" t="s">
        <v>32387</v>
      </c>
      <c r="O12156" t="s">
        <v>32390</v>
      </c>
      <c r="P12156">
        <v>63080</v>
      </c>
      <c r="Q12156" t="str">
        <f>"40.320311"</f>
        <v>40.320311</v>
      </c>
      <c r="R12156" t="str">
        <f>"23.066189"</f>
        <v>23.066189</v>
      </c>
      <c r="S12156" t="s">
        <v>26</v>
      </c>
    </row>
    <row r="12157" spans="1:19" x14ac:dyDescent="0.3">
      <c r="A12157" t="s">
        <v>25190</v>
      </c>
      <c r="B12157" t="s">
        <v>32051</v>
      </c>
      <c r="C12157" t="s">
        <v>32391</v>
      </c>
      <c r="D12157" t="s">
        <v>25229</v>
      </c>
      <c r="E12157" t="s">
        <v>27394</v>
      </c>
      <c r="F12157" t="s">
        <v>27447</v>
      </c>
      <c r="G12157" t="s">
        <v>27570</v>
      </c>
      <c r="H12157" t="s">
        <v>859</v>
      </c>
      <c r="I12157" t="s">
        <v>860</v>
      </c>
      <c r="J12157" t="str">
        <f>"9490111"</f>
        <v>9490111</v>
      </c>
      <c r="K12157">
        <v>2373041607</v>
      </c>
      <c r="L12157">
        <v>2373041607</v>
      </c>
      <c r="M12157" t="s">
        <v>32392</v>
      </c>
      <c r="N12157" t="s">
        <v>32393</v>
      </c>
      <c r="O12157" t="s">
        <v>32394</v>
      </c>
      <c r="P12157">
        <v>63200</v>
      </c>
      <c r="Q12157" t="str">
        <f>"40.196233"</f>
        <v>40.196233</v>
      </c>
      <c r="R12157" t="str">
        <f>"23.326303"</f>
        <v>23.326303</v>
      </c>
      <c r="S12157" t="s">
        <v>26</v>
      </c>
    </row>
    <row r="12158" spans="1:19" x14ac:dyDescent="0.3">
      <c r="A12158" t="s">
        <v>25190</v>
      </c>
      <c r="B12158" t="s">
        <v>32051</v>
      </c>
      <c r="C12158" t="s">
        <v>32395</v>
      </c>
      <c r="D12158" t="s">
        <v>25229</v>
      </c>
      <c r="E12158" t="s">
        <v>27394</v>
      </c>
      <c r="F12158" t="s">
        <v>27447</v>
      </c>
      <c r="G12158" t="s">
        <v>32168</v>
      </c>
      <c r="H12158" t="s">
        <v>859</v>
      </c>
      <c r="I12158" t="s">
        <v>860</v>
      </c>
      <c r="J12158" t="str">
        <f>"9490335"</f>
        <v>9490335</v>
      </c>
      <c r="K12158">
        <v>2373023042</v>
      </c>
      <c r="L12158">
        <v>2373023055</v>
      </c>
      <c r="M12158" t="s">
        <v>32396</v>
      </c>
      <c r="N12158" t="s">
        <v>32397</v>
      </c>
      <c r="O12158" t="s">
        <v>32398</v>
      </c>
      <c r="P12158">
        <v>63200</v>
      </c>
      <c r="Q12158" t="str">
        <f>"40.252678"</f>
        <v>40.252678</v>
      </c>
      <c r="R12158" t="str">
        <f>"23.249873"</f>
        <v>23.249873</v>
      </c>
      <c r="S12158" t="s">
        <v>26</v>
      </c>
    </row>
    <row r="12159" spans="1:19" x14ac:dyDescent="0.3">
      <c r="A12159" t="s">
        <v>25190</v>
      </c>
      <c r="B12159" t="s">
        <v>32051</v>
      </c>
      <c r="C12159" t="s">
        <v>32399</v>
      </c>
      <c r="D12159" t="s">
        <v>25229</v>
      </c>
      <c r="E12159" t="s">
        <v>27394</v>
      </c>
      <c r="F12159" t="s">
        <v>27447</v>
      </c>
      <c r="G12159" t="s">
        <v>22987</v>
      </c>
      <c r="H12159" t="s">
        <v>859</v>
      </c>
      <c r="I12159" t="s">
        <v>860</v>
      </c>
      <c r="J12159" t="str">
        <f>"9490124"</f>
        <v>9490124</v>
      </c>
      <c r="K12159">
        <v>2373024489</v>
      </c>
      <c r="L12159">
        <v>2373065154</v>
      </c>
      <c r="M12159" t="s">
        <v>32400</v>
      </c>
      <c r="N12159" t="s">
        <v>22987</v>
      </c>
      <c r="O12159" t="s">
        <v>23281</v>
      </c>
      <c r="P12159">
        <v>63200</v>
      </c>
      <c r="Q12159" t="str">
        <f>"40.282918"</f>
        <v>40.282918</v>
      </c>
      <c r="R12159" t="str">
        <f>"23.294501"</f>
        <v>23.294501</v>
      </c>
      <c r="S12159" t="s">
        <v>26</v>
      </c>
    </row>
    <row r="12160" spans="1:19" x14ac:dyDescent="0.3">
      <c r="A12160" t="s">
        <v>25190</v>
      </c>
      <c r="B12160" t="s">
        <v>32051</v>
      </c>
      <c r="C12160" t="s">
        <v>32401</v>
      </c>
      <c r="D12160" t="s">
        <v>25229</v>
      </c>
      <c r="E12160" t="s">
        <v>27415</v>
      </c>
      <c r="F12160" t="s">
        <v>27415</v>
      </c>
      <c r="G12160" t="s">
        <v>32305</v>
      </c>
      <c r="H12160" t="s">
        <v>859</v>
      </c>
      <c r="I12160" t="s">
        <v>860</v>
      </c>
      <c r="J12160" t="str">
        <f>"9490144"</f>
        <v>9490144</v>
      </c>
      <c r="K12160">
        <v>2374091077</v>
      </c>
      <c r="L12160">
        <v>2374091077</v>
      </c>
      <c r="M12160" t="s">
        <v>32402</v>
      </c>
      <c r="N12160" t="s">
        <v>32305</v>
      </c>
      <c r="O12160" t="s">
        <v>32403</v>
      </c>
      <c r="P12160">
        <v>63077</v>
      </c>
      <c r="Q12160" t="str">
        <f>"40.098493"</f>
        <v>40.098493</v>
      </c>
      <c r="R12160" t="str">
        <f>"23.436177"</f>
        <v>23.436177</v>
      </c>
      <c r="S12160" t="s">
        <v>26</v>
      </c>
    </row>
    <row r="12161" spans="1:19" x14ac:dyDescent="0.3">
      <c r="A12161" t="s">
        <v>25190</v>
      </c>
      <c r="B12161" t="s">
        <v>32051</v>
      </c>
      <c r="C12161" t="s">
        <v>32404</v>
      </c>
      <c r="D12161" t="s">
        <v>25229</v>
      </c>
      <c r="E12161" t="s">
        <v>27394</v>
      </c>
      <c r="F12161" t="s">
        <v>27447</v>
      </c>
      <c r="G12161" t="s">
        <v>32294</v>
      </c>
      <c r="H12161" t="s">
        <v>859</v>
      </c>
      <c r="I12161" t="s">
        <v>860</v>
      </c>
      <c r="J12161" t="str">
        <f>"9490130"</f>
        <v>9490130</v>
      </c>
      <c r="K12161">
        <v>2373091072</v>
      </c>
      <c r="L12161">
        <v>2373091072</v>
      </c>
      <c r="M12161" t="s">
        <v>32405</v>
      </c>
      <c r="N12161" t="s">
        <v>32406</v>
      </c>
      <c r="O12161" t="s">
        <v>32407</v>
      </c>
      <c r="P12161">
        <v>63200</v>
      </c>
      <c r="Q12161" t="str">
        <f>"40.257605"</f>
        <v>40.257605</v>
      </c>
      <c r="R12161" t="str">
        <f>"23.333690"</f>
        <v>23.333690</v>
      </c>
      <c r="S12161" t="s">
        <v>26</v>
      </c>
    </row>
    <row r="12162" spans="1:19" x14ac:dyDescent="0.3">
      <c r="A12162" t="s">
        <v>25190</v>
      </c>
      <c r="B12162" t="s">
        <v>32051</v>
      </c>
      <c r="C12162" t="s">
        <v>32408</v>
      </c>
      <c r="D12162" t="s">
        <v>25229</v>
      </c>
      <c r="E12162" t="s">
        <v>27415</v>
      </c>
      <c r="F12162" t="s">
        <v>27415</v>
      </c>
      <c r="G12162" t="s">
        <v>32357</v>
      </c>
      <c r="H12162" t="s">
        <v>859</v>
      </c>
      <c r="I12162" t="s">
        <v>860</v>
      </c>
      <c r="J12162" t="str">
        <f>"9490129"</f>
        <v>9490129</v>
      </c>
      <c r="K12162">
        <v>2374043353</v>
      </c>
      <c r="L12162">
        <v>2374043353</v>
      </c>
      <c r="M12162" t="s">
        <v>32409</v>
      </c>
      <c r="N12162" t="s">
        <v>32357</v>
      </c>
      <c r="O12162" t="s">
        <v>32410</v>
      </c>
      <c r="P12162">
        <v>63077</v>
      </c>
      <c r="Q12162" t="str">
        <f>"40.005015"</f>
        <v>40.005015</v>
      </c>
      <c r="R12162" t="str">
        <f>"23.414194"</f>
        <v>23.414194</v>
      </c>
      <c r="S12162" t="s">
        <v>26</v>
      </c>
    </row>
    <row r="12163" spans="1:19" x14ac:dyDescent="0.3">
      <c r="A12163" t="s">
        <v>25190</v>
      </c>
      <c r="B12163" t="s">
        <v>32051</v>
      </c>
      <c r="C12163" t="s">
        <v>32412</v>
      </c>
      <c r="D12163" t="s">
        <v>25229</v>
      </c>
      <c r="E12163" t="s">
        <v>27394</v>
      </c>
      <c r="F12163" t="s">
        <v>27453</v>
      </c>
      <c r="G12163" t="s">
        <v>32411</v>
      </c>
      <c r="H12163" t="s">
        <v>859</v>
      </c>
      <c r="I12163" t="s">
        <v>860</v>
      </c>
      <c r="J12163" t="str">
        <f>"9490341"</f>
        <v>9490341</v>
      </c>
      <c r="K12163">
        <v>2399021662</v>
      </c>
      <c r="L12163">
        <v>2399021662</v>
      </c>
      <c r="M12163" t="s">
        <v>32413</v>
      </c>
      <c r="N12163" t="s">
        <v>32414</v>
      </c>
      <c r="O12163" t="s">
        <v>32148</v>
      </c>
      <c r="P12163">
        <v>63080</v>
      </c>
      <c r="Q12163" t="str">
        <f>"40.362831"</f>
        <v>40.362831</v>
      </c>
      <c r="R12163" t="str">
        <f>"23.093912"</f>
        <v>23.093912</v>
      </c>
      <c r="S12163" t="s">
        <v>26</v>
      </c>
    </row>
    <row r="12164" spans="1:19" x14ac:dyDescent="0.3">
      <c r="A12164" t="s">
        <v>25190</v>
      </c>
      <c r="B12164" t="s">
        <v>32051</v>
      </c>
      <c r="C12164" t="s">
        <v>32415</v>
      </c>
      <c r="D12164" t="s">
        <v>25229</v>
      </c>
      <c r="E12164" t="s">
        <v>25230</v>
      </c>
      <c r="F12164" t="s">
        <v>25230</v>
      </c>
      <c r="G12164" t="s">
        <v>25230</v>
      </c>
      <c r="H12164" t="s">
        <v>859</v>
      </c>
      <c r="I12164" t="s">
        <v>1102</v>
      </c>
      <c r="J12164" t="str">
        <f>"9521077"</f>
        <v>9521077</v>
      </c>
      <c r="K12164">
        <v>2371024868</v>
      </c>
      <c r="L12164">
        <v>2371024868</v>
      </c>
      <c r="M12164" t="s">
        <v>32416</v>
      </c>
      <c r="N12164" t="s">
        <v>25233</v>
      </c>
      <c r="O12164" t="s">
        <v>32244</v>
      </c>
      <c r="P12164">
        <v>63100</v>
      </c>
      <c r="Q12164" t="str">
        <f>"40.383172"</f>
        <v>40.383172</v>
      </c>
      <c r="R12164" t="str">
        <f>"23.444690"</f>
        <v>23.444690</v>
      </c>
      <c r="S12164" t="s">
        <v>26</v>
      </c>
    </row>
    <row r="12165" spans="1:19" x14ac:dyDescent="0.3">
      <c r="A12165" t="s">
        <v>25190</v>
      </c>
      <c r="B12165" t="s">
        <v>32051</v>
      </c>
      <c r="C12165" t="s">
        <v>32417</v>
      </c>
      <c r="D12165" t="s">
        <v>25229</v>
      </c>
      <c r="E12165" t="s">
        <v>25230</v>
      </c>
      <c r="F12165" t="s">
        <v>25230</v>
      </c>
      <c r="G12165" t="s">
        <v>25230</v>
      </c>
      <c r="H12165" t="s">
        <v>859</v>
      </c>
      <c r="I12165" t="s">
        <v>860</v>
      </c>
      <c r="J12165" t="str">
        <f>"9521233"</f>
        <v>9521233</v>
      </c>
      <c r="K12165">
        <v>2371022271</v>
      </c>
      <c r="L12165">
        <v>2371022271</v>
      </c>
      <c r="M12165" t="s">
        <v>32418</v>
      </c>
      <c r="N12165" t="s">
        <v>25233</v>
      </c>
      <c r="O12165" t="s">
        <v>32419</v>
      </c>
      <c r="P12165">
        <v>63100</v>
      </c>
      <c r="Q12165" t="str">
        <f>"40.373985"</f>
        <v>40.373985</v>
      </c>
      <c r="R12165" t="str">
        <f>"23.440965"</f>
        <v>23.440965</v>
      </c>
      <c r="S12165" t="s">
        <v>26</v>
      </c>
    </row>
    <row r="12166" spans="1:19" x14ac:dyDescent="0.3">
      <c r="A12166" t="s">
        <v>25190</v>
      </c>
      <c r="B12166" t="s">
        <v>32051</v>
      </c>
      <c r="C12166" t="s">
        <v>32425</v>
      </c>
      <c r="D12166" t="s">
        <v>25229</v>
      </c>
      <c r="E12166" t="s">
        <v>27394</v>
      </c>
      <c r="F12166" t="s">
        <v>27447</v>
      </c>
      <c r="G12166" t="s">
        <v>27401</v>
      </c>
      <c r="H12166" t="s">
        <v>859</v>
      </c>
      <c r="I12166" t="s">
        <v>860</v>
      </c>
      <c r="J12166" t="str">
        <f>"9521232"</f>
        <v>9521232</v>
      </c>
      <c r="K12166">
        <v>2373024450</v>
      </c>
      <c r="M12166" t="s">
        <v>32426</v>
      </c>
      <c r="N12166" t="s">
        <v>32277</v>
      </c>
      <c r="O12166" t="s">
        <v>32427</v>
      </c>
      <c r="P12166">
        <v>63200</v>
      </c>
      <c r="Q12166" t="str">
        <f>"40.243438"</f>
        <v>40.243438</v>
      </c>
      <c r="R12166" t="str">
        <f>"23.287105"</f>
        <v>23.287105</v>
      </c>
      <c r="S12166" t="s">
        <v>26</v>
      </c>
    </row>
    <row r="12167" spans="1:19" x14ac:dyDescent="0.3">
      <c r="A12167" t="s">
        <v>25190</v>
      </c>
      <c r="B12167" t="s">
        <v>32051</v>
      </c>
      <c r="C12167" t="s">
        <v>32429</v>
      </c>
      <c r="D12167" t="s">
        <v>25229</v>
      </c>
      <c r="E12167" t="s">
        <v>27415</v>
      </c>
      <c r="F12167" t="s">
        <v>27415</v>
      </c>
      <c r="G12167" t="s">
        <v>27576</v>
      </c>
      <c r="H12167" t="s">
        <v>859</v>
      </c>
      <c r="I12167" t="s">
        <v>860</v>
      </c>
      <c r="J12167" t="str">
        <f>"9521296"</f>
        <v>9521296</v>
      </c>
      <c r="K12167">
        <v>2374081606</v>
      </c>
      <c r="L12167">
        <v>2374081606</v>
      </c>
      <c r="M12167" t="s">
        <v>32430</v>
      </c>
      <c r="N12167" t="s">
        <v>32431</v>
      </c>
      <c r="O12167" t="s">
        <v>32432</v>
      </c>
      <c r="P12167">
        <v>63077</v>
      </c>
      <c r="Q12167" t="str">
        <f>"40.132304"</f>
        <v>40.132304</v>
      </c>
      <c r="R12167" t="str">
        <f>"23.397900"</f>
        <v>23.397900</v>
      </c>
      <c r="S12167" t="s">
        <v>26</v>
      </c>
    </row>
    <row r="12168" spans="1:19" x14ac:dyDescent="0.3">
      <c r="A12168" t="s">
        <v>25190</v>
      </c>
      <c r="B12168" t="s">
        <v>32051</v>
      </c>
      <c r="C12168" t="s">
        <v>32435</v>
      </c>
      <c r="D12168" t="s">
        <v>25229</v>
      </c>
      <c r="E12168" t="s">
        <v>27394</v>
      </c>
      <c r="F12168" t="s">
        <v>27447</v>
      </c>
      <c r="G12168" t="s">
        <v>27401</v>
      </c>
      <c r="H12168" t="s">
        <v>859</v>
      </c>
      <c r="I12168" t="s">
        <v>860</v>
      </c>
      <c r="J12168" t="str">
        <f>"9521422"</f>
        <v>9521422</v>
      </c>
      <c r="K12168">
        <v>2373026827</v>
      </c>
      <c r="L12168">
        <v>2373026827</v>
      </c>
      <c r="M12168" t="s">
        <v>32436</v>
      </c>
      <c r="N12168" t="s">
        <v>27401</v>
      </c>
      <c r="O12168" t="s">
        <v>32148</v>
      </c>
      <c r="P12168">
        <v>63200</v>
      </c>
      <c r="Q12168" t="str">
        <f>"40.235420"</f>
        <v>40.235420</v>
      </c>
      <c r="R12168" t="str">
        <f>"23.299819"</f>
        <v>23.299819</v>
      </c>
      <c r="S12168" t="s">
        <v>26</v>
      </c>
    </row>
    <row r="12169" spans="1:19" x14ac:dyDescent="0.3">
      <c r="A12169" t="s">
        <v>25190</v>
      </c>
      <c r="B12169" t="s">
        <v>32051</v>
      </c>
      <c r="C12169" t="s">
        <v>32437</v>
      </c>
      <c r="D12169" t="s">
        <v>25229</v>
      </c>
      <c r="E12169" t="s">
        <v>27394</v>
      </c>
      <c r="F12169" t="s">
        <v>27453</v>
      </c>
      <c r="G12169" t="s">
        <v>27454</v>
      </c>
      <c r="H12169" t="s">
        <v>859</v>
      </c>
      <c r="I12169" t="s">
        <v>860</v>
      </c>
      <c r="J12169" t="str">
        <f>"9521421"</f>
        <v>9521421</v>
      </c>
      <c r="K12169">
        <v>2399047013</v>
      </c>
      <c r="L12169">
        <v>2399047013</v>
      </c>
      <c r="M12169" t="s">
        <v>32438</v>
      </c>
      <c r="N12169" t="s">
        <v>27454</v>
      </c>
      <c r="O12169" t="s">
        <v>32439</v>
      </c>
      <c r="P12169">
        <v>63080</v>
      </c>
      <c r="Q12169" t="str">
        <f>"40.320311"</f>
        <v>40.320311</v>
      </c>
      <c r="R12169" t="str">
        <f>"23.066189"</f>
        <v>23.066189</v>
      </c>
      <c r="S12169" t="s">
        <v>26</v>
      </c>
    </row>
    <row r="12170" spans="1:19" x14ac:dyDescent="0.3">
      <c r="A12170" t="s">
        <v>25190</v>
      </c>
      <c r="B12170" t="s">
        <v>32051</v>
      </c>
      <c r="C12170" t="s">
        <v>32450</v>
      </c>
      <c r="D12170" t="s">
        <v>25229</v>
      </c>
      <c r="E12170" t="s">
        <v>27387</v>
      </c>
      <c r="F12170" t="s">
        <v>27387</v>
      </c>
      <c r="G12170" t="s">
        <v>27425</v>
      </c>
      <c r="H12170" t="s">
        <v>859</v>
      </c>
      <c r="I12170" t="s">
        <v>860</v>
      </c>
      <c r="J12170" t="str">
        <f>"9521294"</f>
        <v>9521294</v>
      </c>
      <c r="K12170">
        <v>2375023680</v>
      </c>
      <c r="L12170">
        <v>2375023680</v>
      </c>
      <c r="M12170" t="s">
        <v>32451</v>
      </c>
      <c r="N12170" t="s">
        <v>27428</v>
      </c>
      <c r="O12170" t="s">
        <v>27428</v>
      </c>
      <c r="P12170">
        <v>63088</v>
      </c>
      <c r="Q12170" t="str">
        <f>"40.221917"</f>
        <v>40.221917</v>
      </c>
      <c r="R12170" t="str">
        <f>"23.665946"</f>
        <v>23.665946</v>
      </c>
      <c r="S12170" t="s">
        <v>26</v>
      </c>
    </row>
    <row r="12171" spans="1:19" x14ac:dyDescent="0.3">
      <c r="A12171" t="s">
        <v>25190</v>
      </c>
      <c r="B12171" t="s">
        <v>32051</v>
      </c>
      <c r="C12171" t="s">
        <v>32452</v>
      </c>
      <c r="D12171" t="s">
        <v>25229</v>
      </c>
      <c r="E12171" t="s">
        <v>27403</v>
      </c>
      <c r="F12171" t="s">
        <v>27430</v>
      </c>
      <c r="G12171" t="s">
        <v>27430</v>
      </c>
      <c r="H12171" t="s">
        <v>859</v>
      </c>
      <c r="I12171" t="s">
        <v>860</v>
      </c>
      <c r="J12171" t="str">
        <f>"9521295"</f>
        <v>9521295</v>
      </c>
      <c r="K12171">
        <v>2372022562</v>
      </c>
      <c r="M12171" t="s">
        <v>32453</v>
      </c>
      <c r="N12171" t="s">
        <v>27430</v>
      </c>
      <c r="O12171" t="s">
        <v>27434</v>
      </c>
      <c r="P12171">
        <v>63074</v>
      </c>
      <c r="Q12171" t="str">
        <f>"40.488105"</f>
        <v>40.488105</v>
      </c>
      <c r="R12171" t="str">
        <f>"23.598338"</f>
        <v>23.598338</v>
      </c>
      <c r="S12171" t="s">
        <v>26</v>
      </c>
    </row>
    <row r="12172" spans="1:19" x14ac:dyDescent="0.3">
      <c r="A12172" t="s">
        <v>25190</v>
      </c>
      <c r="B12172" t="s">
        <v>32051</v>
      </c>
      <c r="C12172" t="s">
        <v>32454</v>
      </c>
      <c r="D12172" t="s">
        <v>25229</v>
      </c>
      <c r="E12172" t="s">
        <v>27403</v>
      </c>
      <c r="F12172" t="s">
        <v>27430</v>
      </c>
      <c r="G12172" t="s">
        <v>13744</v>
      </c>
      <c r="H12172" t="s">
        <v>859</v>
      </c>
      <c r="I12172" t="s">
        <v>860</v>
      </c>
      <c r="J12172" t="str">
        <f>"9490114"</f>
        <v>9490114</v>
      </c>
      <c r="K12172">
        <v>2372042130</v>
      </c>
      <c r="L12172">
        <v>2372042130</v>
      </c>
      <c r="M12172" t="s">
        <v>32455</v>
      </c>
      <c r="N12172" t="s">
        <v>13748</v>
      </c>
      <c r="O12172" t="s">
        <v>13748</v>
      </c>
      <c r="P12172">
        <v>63074</v>
      </c>
      <c r="Q12172" t="str">
        <f>"40.511226"</f>
        <v>40.511226</v>
      </c>
      <c r="R12172" t="str">
        <f>"23.680415"</f>
        <v>23.680415</v>
      </c>
      <c r="S12172" t="s">
        <v>26</v>
      </c>
    </row>
    <row r="12173" spans="1:19" x14ac:dyDescent="0.3">
      <c r="A12173" t="s">
        <v>25190</v>
      </c>
      <c r="B12173" t="s">
        <v>32051</v>
      </c>
      <c r="C12173" t="s">
        <v>32456</v>
      </c>
      <c r="D12173" t="s">
        <v>25229</v>
      </c>
      <c r="E12173" t="s">
        <v>27403</v>
      </c>
      <c r="F12173" t="s">
        <v>27404</v>
      </c>
      <c r="G12173" t="s">
        <v>18357</v>
      </c>
      <c r="H12173" t="s">
        <v>859</v>
      </c>
      <c r="I12173" t="s">
        <v>860</v>
      </c>
      <c r="J12173" t="str">
        <f>"9490136"</f>
        <v>9490136</v>
      </c>
      <c r="K12173">
        <v>2376051297</v>
      </c>
      <c r="L12173">
        <v>2376051297</v>
      </c>
      <c r="M12173" t="s">
        <v>32457</v>
      </c>
      <c r="N12173" t="s">
        <v>18360</v>
      </c>
      <c r="O12173" t="s">
        <v>18361</v>
      </c>
      <c r="P12173">
        <v>57014</v>
      </c>
      <c r="Q12173" t="str">
        <f>"40.590370"</f>
        <v>40.590370</v>
      </c>
      <c r="R12173" t="str">
        <f>"23.780627"</f>
        <v>23.780627</v>
      </c>
      <c r="S12173" t="s">
        <v>26</v>
      </c>
    </row>
    <row r="12174" spans="1:19" x14ac:dyDescent="0.3">
      <c r="A12174" t="s">
        <v>25190</v>
      </c>
      <c r="B12174" t="s">
        <v>32051</v>
      </c>
      <c r="C12174" t="s">
        <v>32458</v>
      </c>
      <c r="D12174" t="s">
        <v>25229</v>
      </c>
      <c r="E12174" t="s">
        <v>25230</v>
      </c>
      <c r="F12174" t="s">
        <v>27502</v>
      </c>
      <c r="G12174" t="s">
        <v>27503</v>
      </c>
      <c r="H12174" t="s">
        <v>859</v>
      </c>
      <c r="I12174" t="s">
        <v>860</v>
      </c>
      <c r="J12174" t="str">
        <f>"9490102"</f>
        <v>9490102</v>
      </c>
      <c r="K12174">
        <v>2371061727</v>
      </c>
      <c r="L12174">
        <v>2371061727</v>
      </c>
      <c r="M12174" t="s">
        <v>32459</v>
      </c>
      <c r="N12174" t="s">
        <v>32460</v>
      </c>
      <c r="O12174" t="s">
        <v>32461</v>
      </c>
      <c r="P12174">
        <v>63073</v>
      </c>
      <c r="Q12174" t="str">
        <f>"40.477461"</f>
        <v>40.477461</v>
      </c>
      <c r="R12174" t="str">
        <f>"23.343088"</f>
        <v>23.343088</v>
      </c>
      <c r="S12174" t="s">
        <v>26</v>
      </c>
    </row>
    <row r="12175" spans="1:19" x14ac:dyDescent="0.3">
      <c r="A12175" t="s">
        <v>25190</v>
      </c>
      <c r="B12175" t="s">
        <v>32051</v>
      </c>
      <c r="C12175" t="s">
        <v>32462</v>
      </c>
      <c r="D12175" t="s">
        <v>25229</v>
      </c>
      <c r="E12175" t="s">
        <v>27403</v>
      </c>
      <c r="F12175" t="s">
        <v>27430</v>
      </c>
      <c r="G12175" t="s">
        <v>27430</v>
      </c>
      <c r="H12175" t="s">
        <v>859</v>
      </c>
      <c r="I12175" t="s">
        <v>1102</v>
      </c>
      <c r="J12175" t="str">
        <f>"9521385"</f>
        <v>9521385</v>
      </c>
      <c r="N12175" t="s">
        <v>27434</v>
      </c>
      <c r="O12175" t="s">
        <v>1687</v>
      </c>
      <c r="P12175">
        <v>63074</v>
      </c>
      <c r="Q12175" t="str">
        <f>"40.492613"</f>
        <v>40.492613</v>
      </c>
      <c r="R12175" t="str">
        <f>"23.649008"</f>
        <v>23.649008</v>
      </c>
      <c r="S12175" t="s">
        <v>26</v>
      </c>
    </row>
    <row r="12176" spans="1:19" x14ac:dyDescent="0.3">
      <c r="A12176" t="s">
        <v>25190</v>
      </c>
      <c r="B12176" t="s">
        <v>32051</v>
      </c>
      <c r="C12176" t="s">
        <v>32463</v>
      </c>
      <c r="D12176" t="s">
        <v>25229</v>
      </c>
      <c r="E12176" t="s">
        <v>27394</v>
      </c>
      <c r="F12176" t="s">
        <v>27453</v>
      </c>
      <c r="G12176" t="s">
        <v>1497</v>
      </c>
      <c r="H12176" t="s">
        <v>859</v>
      </c>
      <c r="I12176" t="s">
        <v>860</v>
      </c>
      <c r="J12176" t="str">
        <f>"9490146"</f>
        <v>9490146</v>
      </c>
      <c r="K12176">
        <v>2399051295</v>
      </c>
      <c r="L12176">
        <v>2399051295</v>
      </c>
      <c r="M12176" t="s">
        <v>32464</v>
      </c>
      <c r="N12176" t="s">
        <v>1497</v>
      </c>
      <c r="O12176" t="s">
        <v>1494</v>
      </c>
      <c r="P12176">
        <v>63080</v>
      </c>
      <c r="Q12176" t="str">
        <f>"40.390246"</f>
        <v>40.390246</v>
      </c>
      <c r="R12176" t="str">
        <f>"23.054375"</f>
        <v>23.054375</v>
      </c>
      <c r="S12176" t="s">
        <v>26</v>
      </c>
    </row>
    <row r="12177" spans="1:19" x14ac:dyDescent="0.3">
      <c r="A12177" t="s">
        <v>25190</v>
      </c>
      <c r="B12177" t="s">
        <v>32051</v>
      </c>
      <c r="C12177" t="s">
        <v>32465</v>
      </c>
      <c r="D12177" t="s">
        <v>25229</v>
      </c>
      <c r="E12177" t="s">
        <v>27394</v>
      </c>
      <c r="F12177" t="s">
        <v>27447</v>
      </c>
      <c r="G12177" t="s">
        <v>22987</v>
      </c>
      <c r="H12177" t="s">
        <v>859</v>
      </c>
      <c r="I12177" t="s">
        <v>1102</v>
      </c>
      <c r="J12177" t="str">
        <f>"9521386"</f>
        <v>9521386</v>
      </c>
      <c r="K12177">
        <v>2373022772</v>
      </c>
      <c r="L12177">
        <v>2373022772</v>
      </c>
      <c r="M12177" t="s">
        <v>32466</v>
      </c>
      <c r="N12177" t="s">
        <v>27394</v>
      </c>
      <c r="O12177" t="s">
        <v>23281</v>
      </c>
      <c r="P12177">
        <v>63200</v>
      </c>
      <c r="Q12177" t="str">
        <f>"40.284294"</f>
        <v>40.284294</v>
      </c>
      <c r="R12177" t="str">
        <f>"23.295715"</f>
        <v>23.295715</v>
      </c>
      <c r="S12177" t="s">
        <v>26</v>
      </c>
    </row>
    <row r="12178" spans="1:19" x14ac:dyDescent="0.3">
      <c r="A12178" t="s">
        <v>32470</v>
      </c>
      <c r="B12178" t="s">
        <v>33426</v>
      </c>
      <c r="C12178" t="s">
        <v>33427</v>
      </c>
      <c r="D12178" t="s">
        <v>4618</v>
      </c>
      <c r="E12178" t="s">
        <v>32549</v>
      </c>
      <c r="F12178" t="s">
        <v>32550</v>
      </c>
      <c r="G12178" t="s">
        <v>19938</v>
      </c>
      <c r="H12178" t="s">
        <v>859</v>
      </c>
      <c r="I12178" t="s">
        <v>860</v>
      </c>
      <c r="J12178" t="str">
        <f>"9170391"</f>
        <v>9170391</v>
      </c>
      <c r="K12178">
        <v>2891071030</v>
      </c>
      <c r="M12178" t="s">
        <v>33428</v>
      </c>
      <c r="N12178" t="s">
        <v>19938</v>
      </c>
      <c r="O12178" t="s">
        <v>33429</v>
      </c>
      <c r="P12178">
        <v>70010</v>
      </c>
      <c r="Q12178" t="str">
        <f>"35.034277"</f>
        <v>35.034277</v>
      </c>
      <c r="R12178" t="str">
        <f>"25.292195"</f>
        <v>25.292195</v>
      </c>
      <c r="S12178" t="s">
        <v>26</v>
      </c>
    </row>
    <row r="12179" spans="1:19" x14ac:dyDescent="0.3">
      <c r="A12179" t="s">
        <v>32470</v>
      </c>
      <c r="B12179" t="s">
        <v>33426</v>
      </c>
      <c r="C12179" t="s">
        <v>33431</v>
      </c>
      <c r="D12179" t="s">
        <v>4618</v>
      </c>
      <c r="E12179" t="s">
        <v>4618</v>
      </c>
      <c r="F12179" t="s">
        <v>4618</v>
      </c>
      <c r="G12179" t="s">
        <v>33430</v>
      </c>
      <c r="H12179" t="s">
        <v>859</v>
      </c>
      <c r="I12179" t="s">
        <v>860</v>
      </c>
      <c r="J12179" t="str">
        <f>"9170443"</f>
        <v>9170443</v>
      </c>
      <c r="K12179">
        <v>2810731370</v>
      </c>
      <c r="L12179">
        <v>2810731361</v>
      </c>
      <c r="M12179" t="s">
        <v>33432</v>
      </c>
      <c r="N12179" t="s">
        <v>33430</v>
      </c>
      <c r="O12179" t="s">
        <v>33433</v>
      </c>
      <c r="P12179">
        <v>71500</v>
      </c>
      <c r="Q12179" t="str">
        <f>"35.283699"</f>
        <v>35.283699</v>
      </c>
      <c r="R12179" t="str">
        <f>"25.186514"</f>
        <v>25.186514</v>
      </c>
      <c r="S12179" t="s">
        <v>26</v>
      </c>
    </row>
    <row r="12180" spans="1:19" x14ac:dyDescent="0.3">
      <c r="A12180" t="s">
        <v>32470</v>
      </c>
      <c r="B12180" t="s">
        <v>33426</v>
      </c>
      <c r="C12180" t="s">
        <v>33434</v>
      </c>
      <c r="D12180" t="s">
        <v>4618</v>
      </c>
      <c r="E12180" t="s">
        <v>4618</v>
      </c>
      <c r="F12180" t="s">
        <v>4618</v>
      </c>
      <c r="G12180" t="s">
        <v>32514</v>
      </c>
      <c r="H12180" t="s">
        <v>859</v>
      </c>
      <c r="I12180" t="s">
        <v>860</v>
      </c>
      <c r="J12180" t="str">
        <f>"9170409"</f>
        <v>9170409</v>
      </c>
      <c r="K12180">
        <v>2810261766</v>
      </c>
      <c r="L12180">
        <v>2810261766</v>
      </c>
      <c r="M12180" t="s">
        <v>33435</v>
      </c>
      <c r="N12180" t="s">
        <v>4618</v>
      </c>
      <c r="O12180" t="s">
        <v>33436</v>
      </c>
      <c r="P12180">
        <v>71304</v>
      </c>
      <c r="Q12180" t="str">
        <f>"35.334772"</f>
        <v>35.334772</v>
      </c>
      <c r="R12180" t="str">
        <f>"25.121993"</f>
        <v>25.121993</v>
      </c>
      <c r="S12180" t="s">
        <v>26</v>
      </c>
    </row>
    <row r="12181" spans="1:19" x14ac:dyDescent="0.3">
      <c r="A12181" t="s">
        <v>32470</v>
      </c>
      <c r="B12181" t="s">
        <v>33426</v>
      </c>
      <c r="C12181" t="s">
        <v>33445</v>
      </c>
      <c r="D12181" t="s">
        <v>4618</v>
      </c>
      <c r="E12181" t="s">
        <v>32508</v>
      </c>
      <c r="F12181" t="s">
        <v>32519</v>
      </c>
      <c r="G12181" t="s">
        <v>33444</v>
      </c>
      <c r="H12181" t="s">
        <v>859</v>
      </c>
      <c r="I12181" t="s">
        <v>860</v>
      </c>
      <c r="J12181" t="str">
        <f>"9170475"</f>
        <v>9170475</v>
      </c>
      <c r="K12181">
        <v>2810781200</v>
      </c>
      <c r="L12181">
        <v>2810781200</v>
      </c>
      <c r="M12181" t="s">
        <v>33446</v>
      </c>
      <c r="N12181" t="s">
        <v>33447</v>
      </c>
      <c r="O12181" t="s">
        <v>33448</v>
      </c>
      <c r="P12181">
        <v>70008</v>
      </c>
      <c r="Q12181" t="str">
        <f>"35.305685"</f>
        <v>35.305685</v>
      </c>
      <c r="R12181" t="str">
        <f>"25.257665"</f>
        <v>25.257665</v>
      </c>
      <c r="S12181" t="s">
        <v>26</v>
      </c>
    </row>
    <row r="12182" spans="1:19" x14ac:dyDescent="0.3">
      <c r="A12182" t="s">
        <v>32470</v>
      </c>
      <c r="B12182" t="s">
        <v>33426</v>
      </c>
      <c r="C12182" t="s">
        <v>33449</v>
      </c>
      <c r="D12182" t="s">
        <v>4618</v>
      </c>
      <c r="E12182" t="s">
        <v>4618</v>
      </c>
      <c r="F12182" t="s">
        <v>4618</v>
      </c>
      <c r="G12182" t="s">
        <v>32537</v>
      </c>
      <c r="H12182" t="s">
        <v>859</v>
      </c>
      <c r="I12182" t="s">
        <v>1102</v>
      </c>
      <c r="J12182" t="str">
        <f>"9170568"</f>
        <v>9170568</v>
      </c>
      <c r="M12182" t="s">
        <v>33450</v>
      </c>
      <c r="N12182" t="s">
        <v>28925</v>
      </c>
      <c r="O12182">
        <v>1</v>
      </c>
      <c r="P12182">
        <v>71409</v>
      </c>
      <c r="Q12182" t="str">
        <f>"35.313702"</f>
        <v>35.313702</v>
      </c>
      <c r="R12182" t="str">
        <f>"25.152194"</f>
        <v>25.152194</v>
      </c>
      <c r="S12182" t="s">
        <v>26</v>
      </c>
    </row>
    <row r="12183" spans="1:19" x14ac:dyDescent="0.3">
      <c r="A12183" t="s">
        <v>32470</v>
      </c>
      <c r="B12183" t="s">
        <v>33426</v>
      </c>
      <c r="C12183" t="s">
        <v>33451</v>
      </c>
      <c r="D12183" t="s">
        <v>4618</v>
      </c>
      <c r="E12183" t="s">
        <v>4618</v>
      </c>
      <c r="F12183" t="s">
        <v>4618</v>
      </c>
      <c r="G12183" t="s">
        <v>32754</v>
      </c>
      <c r="H12183" t="s">
        <v>859</v>
      </c>
      <c r="I12183" t="s">
        <v>860</v>
      </c>
      <c r="J12183" t="str">
        <f>"9170414"</f>
        <v>9170414</v>
      </c>
      <c r="K12183">
        <v>2810220080</v>
      </c>
      <c r="L12183">
        <v>2810220080</v>
      </c>
      <c r="M12183" t="s">
        <v>33452</v>
      </c>
      <c r="N12183" t="s">
        <v>4618</v>
      </c>
      <c r="O12183" t="s">
        <v>33453</v>
      </c>
      <c r="P12183">
        <v>71307</v>
      </c>
      <c r="Q12183" t="str">
        <f>"35.334468"</f>
        <v>35.334468</v>
      </c>
      <c r="R12183" t="str">
        <f>"25.147229"</f>
        <v>25.147229</v>
      </c>
      <c r="S12183" t="s">
        <v>26</v>
      </c>
    </row>
    <row r="12184" spans="1:19" x14ac:dyDescent="0.3">
      <c r="A12184" t="s">
        <v>32470</v>
      </c>
      <c r="B12184" t="s">
        <v>33426</v>
      </c>
      <c r="C12184" t="s">
        <v>33456</v>
      </c>
      <c r="D12184" t="s">
        <v>4618</v>
      </c>
      <c r="E12184" t="s">
        <v>4618</v>
      </c>
      <c r="F12184" t="s">
        <v>4618</v>
      </c>
      <c r="G12184" t="s">
        <v>32754</v>
      </c>
      <c r="H12184" t="s">
        <v>859</v>
      </c>
      <c r="I12184" t="s">
        <v>860</v>
      </c>
      <c r="J12184" t="str">
        <f>"9170251"</f>
        <v>9170251</v>
      </c>
      <c r="K12184">
        <v>2810225132</v>
      </c>
      <c r="L12184">
        <v>2810225132</v>
      </c>
      <c r="M12184" t="s">
        <v>33457</v>
      </c>
      <c r="N12184" t="s">
        <v>4618</v>
      </c>
      <c r="O12184" t="s">
        <v>33458</v>
      </c>
      <c r="P12184">
        <v>71307</v>
      </c>
      <c r="Q12184" t="str">
        <f>"35.333349"</f>
        <v>35.333349</v>
      </c>
      <c r="R12184" t="str">
        <f>"25.144514"</f>
        <v>25.144514</v>
      </c>
      <c r="S12184" t="s">
        <v>26</v>
      </c>
    </row>
    <row r="12185" spans="1:19" x14ac:dyDescent="0.3">
      <c r="A12185" t="s">
        <v>32470</v>
      </c>
      <c r="B12185" t="s">
        <v>33426</v>
      </c>
      <c r="C12185" t="s">
        <v>33459</v>
      </c>
      <c r="D12185" t="s">
        <v>4618</v>
      </c>
      <c r="E12185" t="s">
        <v>32501</v>
      </c>
      <c r="F12185" t="s">
        <v>32502</v>
      </c>
      <c r="G12185" t="s">
        <v>32502</v>
      </c>
      <c r="H12185" t="s">
        <v>859</v>
      </c>
      <c r="I12185" t="s">
        <v>860</v>
      </c>
      <c r="J12185" t="str">
        <f>"9170096"</f>
        <v>9170096</v>
      </c>
      <c r="K12185">
        <v>2810751200</v>
      </c>
      <c r="L12185">
        <v>2810751200</v>
      </c>
      <c r="M12185" t="s">
        <v>33460</v>
      </c>
      <c r="N12185" t="s">
        <v>33461</v>
      </c>
      <c r="O12185" t="s">
        <v>33462</v>
      </c>
      <c r="P12185">
        <v>70100</v>
      </c>
      <c r="Q12185" t="str">
        <f>"35.239082"</f>
        <v>35.239082</v>
      </c>
      <c r="R12185" t="str">
        <f>"25.161820"</f>
        <v>25.161820</v>
      </c>
      <c r="S12185" t="s">
        <v>26</v>
      </c>
    </row>
    <row r="12186" spans="1:19" x14ac:dyDescent="0.3">
      <c r="A12186" t="s">
        <v>32470</v>
      </c>
      <c r="B12186" t="s">
        <v>33426</v>
      </c>
      <c r="C12186" t="s">
        <v>33464</v>
      </c>
      <c r="D12186" t="s">
        <v>4618</v>
      </c>
      <c r="E12186" t="s">
        <v>32501</v>
      </c>
      <c r="F12186" t="s">
        <v>32502</v>
      </c>
      <c r="G12186" t="s">
        <v>33463</v>
      </c>
      <c r="H12186" t="s">
        <v>859</v>
      </c>
      <c r="I12186" t="s">
        <v>860</v>
      </c>
      <c r="J12186" t="str">
        <f>"9170417"</f>
        <v>9170417</v>
      </c>
      <c r="K12186">
        <v>2810752140</v>
      </c>
      <c r="L12186">
        <v>2810752140</v>
      </c>
      <c r="M12186" t="s">
        <v>33465</v>
      </c>
      <c r="N12186" t="s">
        <v>33461</v>
      </c>
      <c r="O12186" t="s">
        <v>31925</v>
      </c>
      <c r="P12186">
        <v>70100</v>
      </c>
      <c r="Q12186" t="str">
        <f>"35.235311"</f>
        <v>35.235311</v>
      </c>
      <c r="R12186" t="str">
        <f>"25.154589"</f>
        <v>25.154589</v>
      </c>
      <c r="S12186" t="s">
        <v>26</v>
      </c>
    </row>
    <row r="12187" spans="1:19" x14ac:dyDescent="0.3">
      <c r="A12187" t="s">
        <v>32470</v>
      </c>
      <c r="B12187" t="s">
        <v>33426</v>
      </c>
      <c r="C12187" t="s">
        <v>33466</v>
      </c>
      <c r="D12187" t="s">
        <v>4618</v>
      </c>
      <c r="E12187" t="s">
        <v>32508</v>
      </c>
      <c r="F12187" t="s">
        <v>32519</v>
      </c>
      <c r="G12187" t="s">
        <v>32519</v>
      </c>
      <c r="H12187" t="s">
        <v>859</v>
      </c>
      <c r="I12187" t="s">
        <v>860</v>
      </c>
      <c r="J12187" t="str">
        <f>"9170595"</f>
        <v>9170595</v>
      </c>
      <c r="K12187">
        <v>2897042900</v>
      </c>
      <c r="L12187">
        <v>2897042900</v>
      </c>
      <c r="M12187" t="s">
        <v>33467</v>
      </c>
      <c r="N12187" t="s">
        <v>33468</v>
      </c>
      <c r="O12187" t="s">
        <v>33468</v>
      </c>
      <c r="P12187">
        <v>70014</v>
      </c>
      <c r="Q12187" t="str">
        <f>"35.330441"</f>
        <v>35.330441</v>
      </c>
      <c r="R12187" t="str">
        <f>"25.297991"</f>
        <v>25.297991</v>
      </c>
      <c r="S12187" t="s">
        <v>26</v>
      </c>
    </row>
    <row r="12188" spans="1:19" x14ac:dyDescent="0.3">
      <c r="A12188" t="s">
        <v>32470</v>
      </c>
      <c r="B12188" t="s">
        <v>33426</v>
      </c>
      <c r="C12188" t="s">
        <v>33469</v>
      </c>
      <c r="D12188" t="s">
        <v>4618</v>
      </c>
      <c r="E12188" t="s">
        <v>4618</v>
      </c>
      <c r="F12188" t="s">
        <v>4618</v>
      </c>
      <c r="G12188" t="s">
        <v>32754</v>
      </c>
      <c r="H12188" t="s">
        <v>859</v>
      </c>
      <c r="I12188" t="s">
        <v>860</v>
      </c>
      <c r="J12188" t="str">
        <f>"9170104"</f>
        <v>9170104</v>
      </c>
      <c r="K12188">
        <v>2810222334</v>
      </c>
      <c r="L12188">
        <v>2810332611</v>
      </c>
      <c r="M12188" t="s">
        <v>33470</v>
      </c>
      <c r="N12188" t="s">
        <v>4618</v>
      </c>
      <c r="O12188" t="s">
        <v>33471</v>
      </c>
      <c r="P12188">
        <v>71202</v>
      </c>
      <c r="Q12188" t="str">
        <f>"35.339601"</f>
        <v>35.339601</v>
      </c>
      <c r="R12188" t="str">
        <f>"25.136576"</f>
        <v>25.136576</v>
      </c>
      <c r="S12188" t="s">
        <v>26</v>
      </c>
    </row>
    <row r="12189" spans="1:19" x14ac:dyDescent="0.3">
      <c r="A12189" t="s">
        <v>32470</v>
      </c>
      <c r="B12189" t="s">
        <v>33426</v>
      </c>
      <c r="C12189" t="s">
        <v>33473</v>
      </c>
      <c r="D12189" t="s">
        <v>4618</v>
      </c>
      <c r="E12189" t="s">
        <v>32508</v>
      </c>
      <c r="F12189" t="s">
        <v>32519</v>
      </c>
      <c r="G12189" t="s">
        <v>33472</v>
      </c>
      <c r="H12189" t="s">
        <v>859</v>
      </c>
      <c r="I12189" t="s">
        <v>860</v>
      </c>
      <c r="J12189" t="str">
        <f>"9170462"</f>
        <v>9170462</v>
      </c>
      <c r="K12189">
        <v>2810781040</v>
      </c>
      <c r="L12189">
        <v>2810781537</v>
      </c>
      <c r="M12189" t="s">
        <v>33474</v>
      </c>
      <c r="N12189" t="s">
        <v>33475</v>
      </c>
      <c r="O12189" t="s">
        <v>33476</v>
      </c>
      <c r="P12189">
        <v>70008</v>
      </c>
      <c r="Q12189" t="str">
        <f>"35.301576"</f>
        <v>35.301576</v>
      </c>
      <c r="R12189" t="str">
        <f>"25.230901"</f>
        <v>25.230901</v>
      </c>
      <c r="S12189" t="s">
        <v>26</v>
      </c>
    </row>
    <row r="12190" spans="1:19" x14ac:dyDescent="0.3">
      <c r="A12190" t="s">
        <v>32470</v>
      </c>
      <c r="B12190" t="s">
        <v>33426</v>
      </c>
      <c r="C12190" t="s">
        <v>33477</v>
      </c>
      <c r="D12190" t="s">
        <v>4618</v>
      </c>
      <c r="E12190" t="s">
        <v>4618</v>
      </c>
      <c r="F12190" t="s">
        <v>4618</v>
      </c>
      <c r="G12190" t="s">
        <v>32754</v>
      </c>
      <c r="H12190" t="s">
        <v>859</v>
      </c>
      <c r="I12190" t="s">
        <v>860</v>
      </c>
      <c r="J12190" t="str">
        <f>"9170252"</f>
        <v>9170252</v>
      </c>
      <c r="K12190">
        <v>2810220386</v>
      </c>
      <c r="M12190" t="s">
        <v>33478</v>
      </c>
      <c r="N12190" t="s">
        <v>4618</v>
      </c>
      <c r="O12190" t="s">
        <v>5558</v>
      </c>
      <c r="P12190">
        <v>71307</v>
      </c>
      <c r="Q12190" t="str">
        <f>"35.334327"</f>
        <v>35.334327</v>
      </c>
      <c r="R12190" t="str">
        <f>"25.145946"</f>
        <v>25.145946</v>
      </c>
      <c r="S12190" t="s">
        <v>26</v>
      </c>
    </row>
    <row r="12191" spans="1:19" x14ac:dyDescent="0.3">
      <c r="A12191" t="s">
        <v>32470</v>
      </c>
      <c r="B12191" t="s">
        <v>33426</v>
      </c>
      <c r="C12191" t="s">
        <v>33479</v>
      </c>
      <c r="D12191" t="s">
        <v>4618</v>
      </c>
      <c r="E12191" t="s">
        <v>4618</v>
      </c>
      <c r="F12191" t="s">
        <v>4618</v>
      </c>
      <c r="G12191" t="s">
        <v>32754</v>
      </c>
      <c r="H12191" t="s">
        <v>859</v>
      </c>
      <c r="I12191" t="s">
        <v>860</v>
      </c>
      <c r="J12191" t="str">
        <f>"9170260"</f>
        <v>9170260</v>
      </c>
      <c r="K12191">
        <v>2810221900</v>
      </c>
      <c r="L12191">
        <v>2810221900</v>
      </c>
      <c r="M12191" t="s">
        <v>33480</v>
      </c>
      <c r="N12191" t="s">
        <v>4618</v>
      </c>
      <c r="O12191" t="s">
        <v>33481</v>
      </c>
      <c r="P12191">
        <v>71307</v>
      </c>
      <c r="Q12191" t="str">
        <f>"35.341811"</f>
        <v>35.341811</v>
      </c>
      <c r="R12191" t="str">
        <f>"25.152106"</f>
        <v>25.152106</v>
      </c>
      <c r="S12191" t="s">
        <v>26</v>
      </c>
    </row>
    <row r="12192" spans="1:19" x14ac:dyDescent="0.3">
      <c r="A12192" t="s">
        <v>32470</v>
      </c>
      <c r="B12192" t="s">
        <v>33426</v>
      </c>
      <c r="C12192" t="s">
        <v>33482</v>
      </c>
      <c r="D12192" t="s">
        <v>4618</v>
      </c>
      <c r="E12192" t="s">
        <v>4618</v>
      </c>
      <c r="F12192" t="s">
        <v>4618</v>
      </c>
      <c r="G12192" t="s">
        <v>32471</v>
      </c>
      <c r="H12192" t="s">
        <v>859</v>
      </c>
      <c r="I12192" t="s">
        <v>860</v>
      </c>
      <c r="J12192" t="str">
        <f>"9170047"</f>
        <v>9170047</v>
      </c>
      <c r="K12192">
        <v>2810289645</v>
      </c>
      <c r="L12192">
        <v>2810289645</v>
      </c>
      <c r="M12192" t="s">
        <v>33483</v>
      </c>
      <c r="N12192" t="s">
        <v>4618</v>
      </c>
      <c r="O12192" t="s">
        <v>33484</v>
      </c>
      <c r="P12192">
        <v>71202</v>
      </c>
      <c r="Q12192" t="str">
        <f>"35.340761"</f>
        <v>35.340761</v>
      </c>
      <c r="R12192" t="str">
        <f>"25.133586"</f>
        <v>25.133586</v>
      </c>
      <c r="S12192" t="s">
        <v>26</v>
      </c>
    </row>
    <row r="12193" spans="1:19" x14ac:dyDescent="0.3">
      <c r="A12193" t="s">
        <v>32470</v>
      </c>
      <c r="B12193" t="s">
        <v>33426</v>
      </c>
      <c r="C12193" t="s">
        <v>33485</v>
      </c>
      <c r="D12193" t="s">
        <v>4618</v>
      </c>
      <c r="E12193" t="s">
        <v>32508</v>
      </c>
      <c r="F12193" t="s">
        <v>32519</v>
      </c>
      <c r="G12193" t="s">
        <v>32519</v>
      </c>
      <c r="H12193" t="s">
        <v>859</v>
      </c>
      <c r="I12193" t="s">
        <v>860</v>
      </c>
      <c r="J12193" t="str">
        <f>"9170464"</f>
        <v>9170464</v>
      </c>
      <c r="K12193">
        <v>2897042950</v>
      </c>
      <c r="L12193">
        <v>2897042950</v>
      </c>
      <c r="M12193" t="s">
        <v>33486</v>
      </c>
      <c r="N12193" t="s">
        <v>33487</v>
      </c>
      <c r="O12193" t="s">
        <v>33487</v>
      </c>
      <c r="P12193">
        <v>70014</v>
      </c>
      <c r="Q12193" t="str">
        <f>"35.299060"</f>
        <v>35.299060</v>
      </c>
      <c r="R12193" t="str">
        <f>"25.308176"</f>
        <v>25.308176</v>
      </c>
      <c r="S12193" t="s">
        <v>26</v>
      </c>
    </row>
    <row r="12194" spans="1:19" x14ac:dyDescent="0.3">
      <c r="A12194" t="s">
        <v>32470</v>
      </c>
      <c r="B12194" t="s">
        <v>33426</v>
      </c>
      <c r="C12194" t="s">
        <v>33488</v>
      </c>
      <c r="D12194" t="s">
        <v>4618</v>
      </c>
      <c r="E12194" t="s">
        <v>4618</v>
      </c>
      <c r="F12194" t="s">
        <v>4618</v>
      </c>
      <c r="G12194" t="s">
        <v>32754</v>
      </c>
      <c r="H12194" t="s">
        <v>859</v>
      </c>
      <c r="I12194" t="s">
        <v>860</v>
      </c>
      <c r="J12194" t="str">
        <f>"9170253"</f>
        <v>9170253</v>
      </c>
      <c r="K12194">
        <v>2810245816</v>
      </c>
      <c r="L12194">
        <v>2810245816</v>
      </c>
      <c r="M12194" t="s">
        <v>33489</v>
      </c>
      <c r="N12194" t="s">
        <v>4618</v>
      </c>
      <c r="O12194" t="s">
        <v>33490</v>
      </c>
      <c r="P12194">
        <v>71307</v>
      </c>
      <c r="Q12194" t="str">
        <f>"35.336976"</f>
        <v>35.336976</v>
      </c>
      <c r="R12194" t="str">
        <f>"25.150619"</f>
        <v>25.150619</v>
      </c>
      <c r="S12194" t="s">
        <v>26</v>
      </c>
    </row>
    <row r="12195" spans="1:19" x14ac:dyDescent="0.3">
      <c r="A12195" t="s">
        <v>32470</v>
      </c>
      <c r="B12195" t="s">
        <v>33426</v>
      </c>
      <c r="C12195" t="s">
        <v>33491</v>
      </c>
      <c r="D12195" t="s">
        <v>4618</v>
      </c>
      <c r="E12195" t="s">
        <v>4618</v>
      </c>
      <c r="F12195" t="s">
        <v>4618</v>
      </c>
      <c r="G12195" t="s">
        <v>32754</v>
      </c>
      <c r="H12195" t="s">
        <v>859</v>
      </c>
      <c r="I12195" t="s">
        <v>860</v>
      </c>
      <c r="J12195" t="str">
        <f>"9170105"</f>
        <v>9170105</v>
      </c>
      <c r="K12195">
        <v>2810234712</v>
      </c>
      <c r="L12195">
        <v>2810234712</v>
      </c>
      <c r="M12195" t="s">
        <v>33492</v>
      </c>
      <c r="N12195" t="s">
        <v>4618</v>
      </c>
      <c r="O12195" t="s">
        <v>33493</v>
      </c>
      <c r="P12195">
        <v>71306</v>
      </c>
      <c r="Q12195" t="str">
        <f>"35.330211"</f>
        <v>35.330211</v>
      </c>
      <c r="R12195" t="str">
        <f>"25.139144"</f>
        <v>25.139144</v>
      </c>
      <c r="S12195" t="s">
        <v>26</v>
      </c>
    </row>
    <row r="12196" spans="1:19" x14ac:dyDescent="0.3">
      <c r="A12196" t="s">
        <v>32470</v>
      </c>
      <c r="B12196" t="s">
        <v>33426</v>
      </c>
      <c r="C12196" t="s">
        <v>33494</v>
      </c>
      <c r="D12196" t="s">
        <v>4618</v>
      </c>
      <c r="E12196" t="s">
        <v>4618</v>
      </c>
      <c r="F12196" t="s">
        <v>4618</v>
      </c>
      <c r="G12196" t="s">
        <v>32471</v>
      </c>
      <c r="H12196" t="s">
        <v>859</v>
      </c>
      <c r="I12196" t="s">
        <v>860</v>
      </c>
      <c r="J12196" t="str">
        <f>"9170189"</f>
        <v>9170189</v>
      </c>
      <c r="K12196">
        <v>2810241270</v>
      </c>
      <c r="L12196">
        <v>2810241270</v>
      </c>
      <c r="M12196" t="s">
        <v>33495</v>
      </c>
      <c r="N12196" t="s">
        <v>4618</v>
      </c>
      <c r="O12196" t="s">
        <v>33496</v>
      </c>
      <c r="P12196">
        <v>71306</v>
      </c>
      <c r="Q12196" t="str">
        <f>"35.333693"</f>
        <v>35.333693</v>
      </c>
      <c r="R12196" t="str">
        <f>"25.139812"</f>
        <v>25.139812</v>
      </c>
      <c r="S12196" t="s">
        <v>26</v>
      </c>
    </row>
    <row r="12197" spans="1:19" x14ac:dyDescent="0.3">
      <c r="A12197" t="s">
        <v>32470</v>
      </c>
      <c r="B12197" t="s">
        <v>33426</v>
      </c>
      <c r="C12197" t="s">
        <v>33497</v>
      </c>
      <c r="D12197" t="s">
        <v>4618</v>
      </c>
      <c r="E12197" t="s">
        <v>4618</v>
      </c>
      <c r="F12197" t="s">
        <v>4618</v>
      </c>
      <c r="G12197" t="s">
        <v>32471</v>
      </c>
      <c r="H12197" t="s">
        <v>859</v>
      </c>
      <c r="I12197" t="s">
        <v>860</v>
      </c>
      <c r="J12197" t="str">
        <f>"9170349"</f>
        <v>9170349</v>
      </c>
      <c r="K12197">
        <v>2810282893</v>
      </c>
      <c r="L12197">
        <v>2810282893</v>
      </c>
      <c r="M12197" t="s">
        <v>33498</v>
      </c>
      <c r="N12197" t="s">
        <v>4618</v>
      </c>
      <c r="O12197" t="s">
        <v>33499</v>
      </c>
      <c r="P12197">
        <v>71305</v>
      </c>
      <c r="Q12197" t="str">
        <f>"35.331540"</f>
        <v>35.331540</v>
      </c>
      <c r="R12197" t="str">
        <f>"25.133598"</f>
        <v>25.133598</v>
      </c>
      <c r="S12197" t="s">
        <v>26</v>
      </c>
    </row>
    <row r="12198" spans="1:19" x14ac:dyDescent="0.3">
      <c r="A12198" t="s">
        <v>32470</v>
      </c>
      <c r="B12198" t="s">
        <v>33426</v>
      </c>
      <c r="C12198" t="s">
        <v>33500</v>
      </c>
      <c r="D12198" t="s">
        <v>4618</v>
      </c>
      <c r="E12198" t="s">
        <v>4618</v>
      </c>
      <c r="F12198" t="s">
        <v>4618</v>
      </c>
      <c r="G12198" t="s">
        <v>32754</v>
      </c>
      <c r="H12198" t="s">
        <v>859</v>
      </c>
      <c r="I12198" t="s">
        <v>860</v>
      </c>
      <c r="J12198" t="str">
        <f>"9170390"</f>
        <v>9170390</v>
      </c>
      <c r="K12198">
        <v>2810238601</v>
      </c>
      <c r="L12198">
        <v>2810238667</v>
      </c>
      <c r="M12198" t="s">
        <v>33501</v>
      </c>
      <c r="N12198" t="s">
        <v>4618</v>
      </c>
      <c r="O12198" t="s">
        <v>33502</v>
      </c>
      <c r="P12198">
        <v>71307</v>
      </c>
      <c r="Q12198" t="str">
        <f>"35.328733"</f>
        <v>35.328733</v>
      </c>
      <c r="R12198" t="str">
        <f>"25.145359"</f>
        <v>25.145359</v>
      </c>
      <c r="S12198" t="s">
        <v>26</v>
      </c>
    </row>
    <row r="12199" spans="1:19" x14ac:dyDescent="0.3">
      <c r="A12199" t="s">
        <v>32470</v>
      </c>
      <c r="B12199" t="s">
        <v>33426</v>
      </c>
      <c r="C12199" t="s">
        <v>33503</v>
      </c>
      <c r="D12199" t="s">
        <v>4618</v>
      </c>
      <c r="E12199" t="s">
        <v>4618</v>
      </c>
      <c r="F12199" t="s">
        <v>4618</v>
      </c>
      <c r="G12199" t="s">
        <v>32471</v>
      </c>
      <c r="H12199" t="s">
        <v>859</v>
      </c>
      <c r="I12199" t="s">
        <v>860</v>
      </c>
      <c r="J12199" t="str">
        <f>"9170404"</f>
        <v>9170404</v>
      </c>
      <c r="K12199">
        <v>2810282893</v>
      </c>
      <c r="L12199">
        <v>2810282893</v>
      </c>
      <c r="M12199" t="s">
        <v>33504</v>
      </c>
      <c r="N12199" t="s">
        <v>4618</v>
      </c>
      <c r="O12199" t="s">
        <v>33499</v>
      </c>
      <c r="P12199">
        <v>71305</v>
      </c>
      <c r="Q12199" t="str">
        <f>"35.331540"</f>
        <v>35.331540</v>
      </c>
      <c r="R12199" t="str">
        <f>"25.133598"</f>
        <v>25.133598</v>
      </c>
      <c r="S12199" t="s">
        <v>26</v>
      </c>
    </row>
    <row r="12200" spans="1:19" x14ac:dyDescent="0.3">
      <c r="A12200" t="s">
        <v>32470</v>
      </c>
      <c r="B12200" t="s">
        <v>33426</v>
      </c>
      <c r="C12200" t="s">
        <v>33505</v>
      </c>
      <c r="D12200" t="s">
        <v>4618</v>
      </c>
      <c r="E12200" t="s">
        <v>4618</v>
      </c>
      <c r="F12200" t="s">
        <v>4618</v>
      </c>
      <c r="G12200" t="s">
        <v>32514</v>
      </c>
      <c r="H12200" t="s">
        <v>859</v>
      </c>
      <c r="I12200" t="s">
        <v>860</v>
      </c>
      <c r="J12200" t="str">
        <f>"9170526"</f>
        <v>9170526</v>
      </c>
      <c r="K12200">
        <v>2810251986</v>
      </c>
      <c r="L12200">
        <v>2810251986</v>
      </c>
      <c r="M12200" t="s">
        <v>33506</v>
      </c>
      <c r="N12200" t="s">
        <v>4618</v>
      </c>
      <c r="O12200" t="s">
        <v>33507</v>
      </c>
      <c r="P12200">
        <v>71304</v>
      </c>
      <c r="Q12200" t="str">
        <f>"35.334381"</f>
        <v>35.334381</v>
      </c>
      <c r="R12200" t="str">
        <f>"25.100845"</f>
        <v>25.100845</v>
      </c>
      <c r="S12200" t="s">
        <v>26</v>
      </c>
    </row>
    <row r="12201" spans="1:19" x14ac:dyDescent="0.3">
      <c r="A12201" t="s">
        <v>32470</v>
      </c>
      <c r="B12201" t="s">
        <v>33426</v>
      </c>
      <c r="C12201" t="s">
        <v>33508</v>
      </c>
      <c r="D12201" t="s">
        <v>4618</v>
      </c>
      <c r="E12201" t="s">
        <v>4618</v>
      </c>
      <c r="F12201" t="s">
        <v>4618</v>
      </c>
      <c r="G12201" t="s">
        <v>32754</v>
      </c>
      <c r="H12201" t="s">
        <v>859</v>
      </c>
      <c r="I12201" t="s">
        <v>860</v>
      </c>
      <c r="J12201" t="str">
        <f>"9170405"</f>
        <v>9170405</v>
      </c>
      <c r="K12201">
        <v>2810323644</v>
      </c>
      <c r="L12201">
        <v>2810323644</v>
      </c>
      <c r="M12201" t="s">
        <v>33509</v>
      </c>
      <c r="N12201" t="s">
        <v>4618</v>
      </c>
      <c r="O12201" t="s">
        <v>33510</v>
      </c>
      <c r="P12201">
        <v>71307</v>
      </c>
      <c r="Q12201" t="str">
        <f>"35.328757"</f>
        <v>35.328757</v>
      </c>
      <c r="R12201" t="str">
        <f>"25.145263"</f>
        <v>25.145263</v>
      </c>
      <c r="S12201" t="s">
        <v>26</v>
      </c>
    </row>
    <row r="12202" spans="1:19" x14ac:dyDescent="0.3">
      <c r="A12202" t="s">
        <v>32470</v>
      </c>
      <c r="B12202" t="s">
        <v>33426</v>
      </c>
      <c r="C12202" t="s">
        <v>33511</v>
      </c>
      <c r="D12202" t="s">
        <v>4618</v>
      </c>
      <c r="E12202" t="s">
        <v>4618</v>
      </c>
      <c r="F12202" t="s">
        <v>4618</v>
      </c>
      <c r="G12202" t="s">
        <v>32471</v>
      </c>
      <c r="H12202" t="s">
        <v>859</v>
      </c>
      <c r="I12202" t="s">
        <v>860</v>
      </c>
      <c r="J12202" t="str">
        <f>"9170400"</f>
        <v>9170400</v>
      </c>
      <c r="K12202">
        <v>2810312158</v>
      </c>
      <c r="L12202">
        <v>2810312158</v>
      </c>
      <c r="M12202" t="s">
        <v>33512</v>
      </c>
      <c r="N12202" t="s">
        <v>4618</v>
      </c>
      <c r="O12202" t="s">
        <v>33513</v>
      </c>
      <c r="P12202">
        <v>71305</v>
      </c>
      <c r="Q12202" t="str">
        <f>"35.322160"</f>
        <v>35.322160</v>
      </c>
      <c r="R12202" t="str">
        <f>"25.126564"</f>
        <v>25.126564</v>
      </c>
      <c r="S12202" t="s">
        <v>26</v>
      </c>
    </row>
    <row r="12203" spans="1:19" x14ac:dyDescent="0.3">
      <c r="A12203" t="s">
        <v>32470</v>
      </c>
      <c r="B12203" t="s">
        <v>33426</v>
      </c>
      <c r="C12203" t="s">
        <v>33514</v>
      </c>
      <c r="D12203" t="s">
        <v>4618</v>
      </c>
      <c r="E12203" t="s">
        <v>4618</v>
      </c>
      <c r="F12203" t="s">
        <v>4618</v>
      </c>
      <c r="G12203" t="s">
        <v>32514</v>
      </c>
      <c r="H12203" t="s">
        <v>859</v>
      </c>
      <c r="I12203" t="s">
        <v>860</v>
      </c>
      <c r="J12203" t="str">
        <f>"9170600"</f>
        <v>9170600</v>
      </c>
      <c r="K12203">
        <v>2810250956</v>
      </c>
      <c r="M12203" t="s">
        <v>33515</v>
      </c>
      <c r="N12203" t="s">
        <v>4618</v>
      </c>
      <c r="O12203" t="s">
        <v>33516</v>
      </c>
      <c r="P12203">
        <v>71304</v>
      </c>
      <c r="Q12203" t="str">
        <f>"35.326931"</f>
        <v>35.326931</v>
      </c>
      <c r="R12203" t="str">
        <f>"25.102403"</f>
        <v>25.102403</v>
      </c>
      <c r="S12203" t="s">
        <v>26</v>
      </c>
    </row>
    <row r="12204" spans="1:19" x14ac:dyDescent="0.3">
      <c r="A12204" t="s">
        <v>32470</v>
      </c>
      <c r="B12204" t="s">
        <v>33426</v>
      </c>
      <c r="C12204" t="s">
        <v>33517</v>
      </c>
      <c r="D12204" t="s">
        <v>4618</v>
      </c>
      <c r="E12204" t="s">
        <v>4618</v>
      </c>
      <c r="F12204" t="s">
        <v>4618</v>
      </c>
      <c r="G12204" t="s">
        <v>32471</v>
      </c>
      <c r="H12204" t="s">
        <v>859</v>
      </c>
      <c r="I12204" t="s">
        <v>860</v>
      </c>
      <c r="J12204" t="str">
        <f>"9170406"</f>
        <v>9170406</v>
      </c>
      <c r="K12204">
        <v>2810223855</v>
      </c>
      <c r="M12204" t="s">
        <v>33518</v>
      </c>
      <c r="N12204" t="s">
        <v>4618</v>
      </c>
      <c r="O12204" t="s">
        <v>33519</v>
      </c>
      <c r="P12204">
        <v>71306</v>
      </c>
      <c r="Q12204" t="str">
        <f>"35.335175"</f>
        <v>35.335175</v>
      </c>
      <c r="R12204" t="str">
        <f>"25.140297"</f>
        <v>25.140297</v>
      </c>
      <c r="S12204" t="s">
        <v>26</v>
      </c>
    </row>
    <row r="12205" spans="1:19" x14ac:dyDescent="0.3">
      <c r="A12205" t="s">
        <v>32470</v>
      </c>
      <c r="B12205" t="s">
        <v>33426</v>
      </c>
      <c r="C12205" t="s">
        <v>33520</v>
      </c>
      <c r="D12205" t="s">
        <v>4618</v>
      </c>
      <c r="E12205" t="s">
        <v>4618</v>
      </c>
      <c r="F12205" t="s">
        <v>4618</v>
      </c>
      <c r="G12205" t="s">
        <v>32537</v>
      </c>
      <c r="H12205" t="s">
        <v>859</v>
      </c>
      <c r="I12205" t="s">
        <v>860</v>
      </c>
      <c r="J12205" t="str">
        <f>"9170509"</f>
        <v>9170509</v>
      </c>
      <c r="K12205">
        <v>2810324988</v>
      </c>
      <c r="L12205">
        <v>2810324988</v>
      </c>
      <c r="M12205" t="s">
        <v>33521</v>
      </c>
      <c r="N12205" t="s">
        <v>4618</v>
      </c>
      <c r="O12205" t="s">
        <v>33522</v>
      </c>
      <c r="P12205">
        <v>71409</v>
      </c>
      <c r="Q12205" t="str">
        <f>"35.308370"</f>
        <v>35.308370</v>
      </c>
      <c r="R12205" t="str">
        <f>"25.153663"</f>
        <v>25.153663</v>
      </c>
      <c r="S12205" t="s">
        <v>26</v>
      </c>
    </row>
    <row r="12206" spans="1:19" x14ac:dyDescent="0.3">
      <c r="A12206" t="s">
        <v>32470</v>
      </c>
      <c r="B12206" t="s">
        <v>33426</v>
      </c>
      <c r="C12206" t="s">
        <v>33524</v>
      </c>
      <c r="D12206" t="s">
        <v>4618</v>
      </c>
      <c r="E12206" t="s">
        <v>4618</v>
      </c>
      <c r="F12206" t="s">
        <v>4618</v>
      </c>
      <c r="G12206" t="s">
        <v>33523</v>
      </c>
      <c r="H12206" t="s">
        <v>859</v>
      </c>
      <c r="I12206" t="s">
        <v>860</v>
      </c>
      <c r="J12206" t="str">
        <f>"9170602"</f>
        <v>9170602</v>
      </c>
      <c r="K12206">
        <v>2810881591</v>
      </c>
      <c r="L12206">
        <v>2810881591</v>
      </c>
      <c r="M12206" t="s">
        <v>33525</v>
      </c>
      <c r="N12206" t="s">
        <v>33526</v>
      </c>
      <c r="O12206" t="s">
        <v>33527</v>
      </c>
      <c r="P12206">
        <v>71500</v>
      </c>
      <c r="Q12206" t="str">
        <f>"35.254879"</f>
        <v>35.254879</v>
      </c>
      <c r="R12206" t="str">
        <f>"25.132738"</f>
        <v>25.132738</v>
      </c>
      <c r="S12206" t="s">
        <v>26</v>
      </c>
    </row>
    <row r="12207" spans="1:19" x14ac:dyDescent="0.3">
      <c r="A12207" t="s">
        <v>32470</v>
      </c>
      <c r="B12207" t="s">
        <v>33426</v>
      </c>
      <c r="C12207" t="s">
        <v>33528</v>
      </c>
      <c r="D12207" t="s">
        <v>4618</v>
      </c>
      <c r="E12207" t="s">
        <v>32629</v>
      </c>
      <c r="F12207" t="s">
        <v>5162</v>
      </c>
      <c r="G12207" t="s">
        <v>15717</v>
      </c>
      <c r="H12207" t="s">
        <v>859</v>
      </c>
      <c r="I12207" t="s">
        <v>860</v>
      </c>
      <c r="J12207" t="str">
        <f>"9170394"</f>
        <v>9170394</v>
      </c>
      <c r="K12207">
        <v>2894023548</v>
      </c>
      <c r="M12207" t="s">
        <v>33529</v>
      </c>
      <c r="N12207" t="s">
        <v>15717</v>
      </c>
      <c r="O12207" t="s">
        <v>33530</v>
      </c>
      <c r="P12207">
        <v>70003</v>
      </c>
      <c r="Q12207" t="str">
        <f>"35.145538"</f>
        <v>35.145538</v>
      </c>
      <c r="R12207" t="str">
        <f>"25.033327"</f>
        <v>25.033327</v>
      </c>
      <c r="S12207" t="s">
        <v>26</v>
      </c>
    </row>
    <row r="12208" spans="1:19" x14ac:dyDescent="0.3">
      <c r="A12208" t="s">
        <v>32470</v>
      </c>
      <c r="B12208" t="s">
        <v>33426</v>
      </c>
      <c r="C12208" t="s">
        <v>33531</v>
      </c>
      <c r="D12208" t="s">
        <v>4618</v>
      </c>
      <c r="E12208" t="s">
        <v>4618</v>
      </c>
      <c r="F12208" t="s">
        <v>4618</v>
      </c>
      <c r="G12208" t="s">
        <v>32471</v>
      </c>
      <c r="H12208" t="s">
        <v>859</v>
      </c>
      <c r="I12208" t="s">
        <v>860</v>
      </c>
      <c r="J12208" t="str">
        <f>"9170350"</f>
        <v>9170350</v>
      </c>
      <c r="K12208">
        <v>2810280798</v>
      </c>
      <c r="L12208">
        <v>2810280798</v>
      </c>
      <c r="M12208" t="s">
        <v>33532</v>
      </c>
      <c r="N12208" t="s">
        <v>4618</v>
      </c>
      <c r="O12208" t="s">
        <v>33533</v>
      </c>
      <c r="P12208">
        <v>71202</v>
      </c>
      <c r="Q12208" t="str">
        <f>"35.340103"</f>
        <v>35.340103</v>
      </c>
      <c r="R12208" t="str">
        <f>"25.124158"</f>
        <v>25.124158</v>
      </c>
      <c r="S12208" t="s">
        <v>26</v>
      </c>
    </row>
    <row r="12209" spans="1:19" x14ac:dyDescent="0.3">
      <c r="A12209" t="s">
        <v>32470</v>
      </c>
      <c r="B12209" t="s">
        <v>33426</v>
      </c>
      <c r="C12209" t="s">
        <v>33534</v>
      </c>
      <c r="D12209" t="s">
        <v>4618</v>
      </c>
      <c r="E12209" t="s">
        <v>4618</v>
      </c>
      <c r="F12209" t="s">
        <v>4618</v>
      </c>
      <c r="G12209" t="s">
        <v>32754</v>
      </c>
      <c r="H12209" t="s">
        <v>859</v>
      </c>
      <c r="I12209" t="s">
        <v>860</v>
      </c>
      <c r="J12209" t="str">
        <f>"9170416"</f>
        <v>9170416</v>
      </c>
      <c r="K12209">
        <v>2810224704</v>
      </c>
      <c r="L12209">
        <v>2810224704</v>
      </c>
      <c r="M12209" t="s">
        <v>33535</v>
      </c>
      <c r="N12209" t="s">
        <v>4618</v>
      </c>
      <c r="O12209" t="s">
        <v>33490</v>
      </c>
      <c r="P12209">
        <v>71307</v>
      </c>
      <c r="Q12209" t="str">
        <f>"35.336976"</f>
        <v>35.336976</v>
      </c>
      <c r="R12209" t="str">
        <f>"25.150619"</f>
        <v>25.150619</v>
      </c>
      <c r="S12209" t="s">
        <v>26</v>
      </c>
    </row>
    <row r="12210" spans="1:19" x14ac:dyDescent="0.3">
      <c r="A12210" t="s">
        <v>32470</v>
      </c>
      <c r="B12210" t="s">
        <v>33426</v>
      </c>
      <c r="C12210" t="s">
        <v>33537</v>
      </c>
      <c r="D12210" t="s">
        <v>4618</v>
      </c>
      <c r="E12210" t="s">
        <v>4618</v>
      </c>
      <c r="F12210" t="s">
        <v>32607</v>
      </c>
      <c r="G12210" t="s">
        <v>33536</v>
      </c>
      <c r="H12210" t="s">
        <v>859</v>
      </c>
      <c r="I12210" t="s">
        <v>860</v>
      </c>
      <c r="J12210" t="str">
        <f>"9170353"</f>
        <v>9170353</v>
      </c>
      <c r="K12210">
        <v>2810861585</v>
      </c>
      <c r="L12210">
        <v>2810861585</v>
      </c>
      <c r="M12210" t="s">
        <v>33538</v>
      </c>
      <c r="N12210" t="s">
        <v>33536</v>
      </c>
      <c r="O12210" t="s">
        <v>33539</v>
      </c>
      <c r="P12210">
        <v>70013</v>
      </c>
      <c r="Q12210" t="str">
        <f>"35.201937"</f>
        <v>35.201937</v>
      </c>
      <c r="R12210" t="str">
        <f>"24.996407"</f>
        <v>24.996407</v>
      </c>
      <c r="S12210" t="s">
        <v>26</v>
      </c>
    </row>
    <row r="12211" spans="1:19" x14ac:dyDescent="0.3">
      <c r="A12211" t="s">
        <v>32470</v>
      </c>
      <c r="B12211" t="s">
        <v>33426</v>
      </c>
      <c r="C12211" t="s">
        <v>33540</v>
      </c>
      <c r="D12211" t="s">
        <v>4618</v>
      </c>
      <c r="E12211" t="s">
        <v>4618</v>
      </c>
      <c r="F12211" t="s">
        <v>4618</v>
      </c>
      <c r="G12211" t="s">
        <v>32471</v>
      </c>
      <c r="H12211" t="s">
        <v>859</v>
      </c>
      <c r="I12211" t="s">
        <v>860</v>
      </c>
      <c r="J12211" t="str">
        <f>"9170530"</f>
        <v>9170530</v>
      </c>
      <c r="K12211">
        <v>2810238562</v>
      </c>
      <c r="L12211">
        <v>2810238562</v>
      </c>
      <c r="M12211" t="s">
        <v>33541</v>
      </c>
      <c r="N12211" t="s">
        <v>4618</v>
      </c>
      <c r="O12211" t="s">
        <v>33542</v>
      </c>
      <c r="P12211">
        <v>71307</v>
      </c>
      <c r="Q12211" t="str">
        <f>"35.323937"</f>
        <v>35.323937</v>
      </c>
      <c r="R12211" t="str">
        <f>"25.142180"</f>
        <v>25.142180</v>
      </c>
      <c r="S12211" t="s">
        <v>26</v>
      </c>
    </row>
    <row r="12212" spans="1:19" x14ac:dyDescent="0.3">
      <c r="A12212" t="s">
        <v>32470</v>
      </c>
      <c r="B12212" t="s">
        <v>33426</v>
      </c>
      <c r="C12212" t="s">
        <v>33543</v>
      </c>
      <c r="D12212" t="s">
        <v>4618</v>
      </c>
      <c r="E12212" t="s">
        <v>4618</v>
      </c>
      <c r="F12212" t="s">
        <v>4618</v>
      </c>
      <c r="G12212" t="s">
        <v>32537</v>
      </c>
      <c r="H12212" t="s">
        <v>859</v>
      </c>
      <c r="I12212" t="s">
        <v>860</v>
      </c>
      <c r="J12212" t="str">
        <f>"9170587"</f>
        <v>9170587</v>
      </c>
      <c r="K12212">
        <v>2810212554</v>
      </c>
      <c r="L12212">
        <v>2810212554</v>
      </c>
      <c r="M12212" t="s">
        <v>33544</v>
      </c>
      <c r="N12212" t="s">
        <v>4618</v>
      </c>
      <c r="O12212" t="s">
        <v>33545</v>
      </c>
      <c r="P12212">
        <v>71409</v>
      </c>
      <c r="Q12212" t="str">
        <f>"35.313316"</f>
        <v>35.313316</v>
      </c>
      <c r="R12212" t="str">
        <f>"25.153036"</f>
        <v>25.153036</v>
      </c>
      <c r="S12212" t="s">
        <v>26</v>
      </c>
    </row>
    <row r="12213" spans="1:19" x14ac:dyDescent="0.3">
      <c r="A12213" t="s">
        <v>32470</v>
      </c>
      <c r="B12213" t="s">
        <v>33426</v>
      </c>
      <c r="C12213" t="s">
        <v>33546</v>
      </c>
      <c r="D12213" t="s">
        <v>4618</v>
      </c>
      <c r="E12213" t="s">
        <v>4618</v>
      </c>
      <c r="F12213" t="s">
        <v>4618</v>
      </c>
      <c r="G12213" t="s">
        <v>32471</v>
      </c>
      <c r="H12213" t="s">
        <v>859</v>
      </c>
      <c r="I12213" t="s">
        <v>860</v>
      </c>
      <c r="J12213" t="str">
        <f>"9170099"</f>
        <v>9170099</v>
      </c>
      <c r="K12213">
        <v>2810288280</v>
      </c>
      <c r="L12213">
        <v>2810288280</v>
      </c>
      <c r="M12213" t="s">
        <v>33547</v>
      </c>
      <c r="N12213" t="s">
        <v>4618</v>
      </c>
      <c r="O12213" t="s">
        <v>33548</v>
      </c>
      <c r="P12213">
        <v>71201</v>
      </c>
      <c r="Q12213" t="str">
        <f>"35.337610"</f>
        <v>35.337610</v>
      </c>
      <c r="R12213" t="str">
        <f>"25.127019"</f>
        <v>25.127019</v>
      </c>
      <c r="S12213" t="s">
        <v>26</v>
      </c>
    </row>
    <row r="12214" spans="1:19" x14ac:dyDescent="0.3">
      <c r="A12214" t="s">
        <v>32470</v>
      </c>
      <c r="B12214" t="s">
        <v>33426</v>
      </c>
      <c r="C12214" t="s">
        <v>33549</v>
      </c>
      <c r="D12214" t="s">
        <v>4618</v>
      </c>
      <c r="E12214" t="s">
        <v>4618</v>
      </c>
      <c r="F12214" t="s">
        <v>4618</v>
      </c>
      <c r="G12214" t="s">
        <v>32471</v>
      </c>
      <c r="H12214" t="s">
        <v>859</v>
      </c>
      <c r="I12214" t="s">
        <v>860</v>
      </c>
      <c r="J12214" t="str">
        <f>"9170604"</f>
        <v>9170604</v>
      </c>
      <c r="K12214">
        <v>2810323824</v>
      </c>
      <c r="L12214">
        <v>2810323824</v>
      </c>
      <c r="M12214" t="s">
        <v>33550</v>
      </c>
      <c r="N12214" t="s">
        <v>4618</v>
      </c>
      <c r="O12214" t="s">
        <v>33551</v>
      </c>
      <c r="P12214">
        <v>71408</v>
      </c>
      <c r="Q12214" t="str">
        <f>"35.325793"</f>
        <v>35.325793</v>
      </c>
      <c r="R12214" t="str">
        <f>"25.155766"</f>
        <v>25.155766</v>
      </c>
      <c r="S12214" t="s">
        <v>26</v>
      </c>
    </row>
    <row r="12215" spans="1:19" x14ac:dyDescent="0.3">
      <c r="A12215" t="s">
        <v>32470</v>
      </c>
      <c r="B12215" t="s">
        <v>33426</v>
      </c>
      <c r="C12215" t="s">
        <v>33552</v>
      </c>
      <c r="D12215" t="s">
        <v>4618</v>
      </c>
      <c r="E12215" t="s">
        <v>4618</v>
      </c>
      <c r="F12215" t="s">
        <v>4618</v>
      </c>
      <c r="G12215" t="s">
        <v>32471</v>
      </c>
      <c r="H12215" t="s">
        <v>859</v>
      </c>
      <c r="I12215" t="s">
        <v>1102</v>
      </c>
      <c r="J12215" t="str">
        <f>"9170527"</f>
        <v>9170527</v>
      </c>
      <c r="K12215">
        <v>2810282486</v>
      </c>
      <c r="L12215">
        <v>2810282486</v>
      </c>
      <c r="M12215" t="s">
        <v>33553</v>
      </c>
      <c r="N12215" t="s">
        <v>28925</v>
      </c>
      <c r="O12215" t="s">
        <v>33554</v>
      </c>
      <c r="P12215">
        <v>71410</v>
      </c>
      <c r="Q12215" t="str">
        <f>"35.331091"</f>
        <v>35.331091</v>
      </c>
      <c r="R12215" t="str">
        <f>"25.133620"</f>
        <v>25.133620</v>
      </c>
      <c r="S12215" t="s">
        <v>26</v>
      </c>
    </row>
    <row r="12216" spans="1:19" x14ac:dyDescent="0.3">
      <c r="A12216" t="s">
        <v>32470</v>
      </c>
      <c r="B12216" t="s">
        <v>33426</v>
      </c>
      <c r="C12216" t="s">
        <v>33555</v>
      </c>
      <c r="D12216" t="s">
        <v>4618</v>
      </c>
      <c r="E12216" t="s">
        <v>4618</v>
      </c>
      <c r="F12216" t="s">
        <v>4618</v>
      </c>
      <c r="G12216" t="s">
        <v>32537</v>
      </c>
      <c r="H12216" t="s">
        <v>859</v>
      </c>
      <c r="I12216" t="s">
        <v>860</v>
      </c>
      <c r="J12216" t="str">
        <f>"9170101"</f>
        <v>9170101</v>
      </c>
      <c r="K12216">
        <v>2810238392</v>
      </c>
      <c r="L12216">
        <v>2810238392</v>
      </c>
      <c r="M12216" t="s">
        <v>33556</v>
      </c>
      <c r="N12216" t="s">
        <v>4618</v>
      </c>
      <c r="O12216" t="s">
        <v>33557</v>
      </c>
      <c r="P12216">
        <v>71306</v>
      </c>
      <c r="Q12216" t="str">
        <f>"35.323818"</f>
        <v>35.323818</v>
      </c>
      <c r="R12216" t="str">
        <f>"25.135311"</f>
        <v>25.135311</v>
      </c>
      <c r="S12216" t="s">
        <v>26</v>
      </c>
    </row>
    <row r="12217" spans="1:19" x14ac:dyDescent="0.3">
      <c r="A12217" t="s">
        <v>32470</v>
      </c>
      <c r="B12217" t="s">
        <v>33426</v>
      </c>
      <c r="C12217" t="s">
        <v>33558</v>
      </c>
      <c r="D12217" t="s">
        <v>4618</v>
      </c>
      <c r="E12217" t="s">
        <v>4618</v>
      </c>
      <c r="F12217" t="s">
        <v>32623</v>
      </c>
      <c r="G12217" t="s">
        <v>5563</v>
      </c>
      <c r="H12217" t="s">
        <v>859</v>
      </c>
      <c r="I12217" t="s">
        <v>860</v>
      </c>
      <c r="J12217" t="str">
        <f>"9170541"</f>
        <v>9170541</v>
      </c>
      <c r="K12217">
        <v>2810333698</v>
      </c>
      <c r="L12217">
        <v>2810333698</v>
      </c>
      <c r="M12217" t="s">
        <v>33559</v>
      </c>
      <c r="N12217" t="s">
        <v>5563</v>
      </c>
      <c r="O12217" t="s">
        <v>33560</v>
      </c>
      <c r="P12217">
        <v>71500</v>
      </c>
      <c r="Q12217" t="str">
        <f>"35.312684"</f>
        <v>35.312684</v>
      </c>
      <c r="R12217" t="str">
        <f>"25.172886"</f>
        <v>25.172886</v>
      </c>
      <c r="S12217" t="s">
        <v>26</v>
      </c>
    </row>
    <row r="12218" spans="1:19" x14ac:dyDescent="0.3">
      <c r="A12218" t="s">
        <v>32470</v>
      </c>
      <c r="B12218" t="s">
        <v>33426</v>
      </c>
      <c r="C12218" t="s">
        <v>33561</v>
      </c>
      <c r="D12218" t="s">
        <v>4618</v>
      </c>
      <c r="E12218" t="s">
        <v>4618</v>
      </c>
      <c r="F12218" t="s">
        <v>4618</v>
      </c>
      <c r="G12218" t="s">
        <v>32514</v>
      </c>
      <c r="H12218" t="s">
        <v>859</v>
      </c>
      <c r="I12218" t="s">
        <v>860</v>
      </c>
      <c r="J12218" t="str">
        <f>"9170351"</f>
        <v>9170351</v>
      </c>
      <c r="K12218">
        <v>2810262817</v>
      </c>
      <c r="L12218">
        <v>2810262817</v>
      </c>
      <c r="M12218" t="s">
        <v>33562</v>
      </c>
      <c r="N12218" t="s">
        <v>4618</v>
      </c>
      <c r="O12218" t="s">
        <v>33563</v>
      </c>
      <c r="P12218">
        <v>71305</v>
      </c>
      <c r="Q12218" t="str">
        <f>"35.332520"</f>
        <v>35.332520</v>
      </c>
      <c r="R12218" t="str">
        <f>"25.126008"</f>
        <v>25.126008</v>
      </c>
      <c r="S12218" t="s">
        <v>26</v>
      </c>
    </row>
    <row r="12219" spans="1:19" x14ac:dyDescent="0.3">
      <c r="A12219" t="s">
        <v>32470</v>
      </c>
      <c r="B12219" t="s">
        <v>33426</v>
      </c>
      <c r="C12219" t="s">
        <v>33564</v>
      </c>
      <c r="D12219" t="s">
        <v>4618</v>
      </c>
      <c r="E12219" t="s">
        <v>4618</v>
      </c>
      <c r="F12219" t="s">
        <v>4618</v>
      </c>
      <c r="G12219" t="s">
        <v>32471</v>
      </c>
      <c r="H12219" t="s">
        <v>859</v>
      </c>
      <c r="I12219" t="s">
        <v>860</v>
      </c>
      <c r="J12219" t="str">
        <f>"9170110"</f>
        <v>9170110</v>
      </c>
      <c r="K12219">
        <v>2810282944</v>
      </c>
      <c r="L12219">
        <v>2810282944</v>
      </c>
      <c r="M12219" t="s">
        <v>33565</v>
      </c>
      <c r="N12219" t="s">
        <v>4618</v>
      </c>
      <c r="O12219" t="s">
        <v>33548</v>
      </c>
      <c r="P12219">
        <v>71201</v>
      </c>
      <c r="Q12219" t="str">
        <f>"35.337610"</f>
        <v>35.337610</v>
      </c>
      <c r="R12219" t="str">
        <f>"25.127019"</f>
        <v>25.127019</v>
      </c>
      <c r="S12219" t="s">
        <v>26</v>
      </c>
    </row>
    <row r="12220" spans="1:19" x14ac:dyDescent="0.3">
      <c r="A12220" t="s">
        <v>32470</v>
      </c>
      <c r="B12220" t="s">
        <v>33426</v>
      </c>
      <c r="C12220" t="s">
        <v>33566</v>
      </c>
      <c r="D12220" t="s">
        <v>4618</v>
      </c>
      <c r="E12220" t="s">
        <v>4618</v>
      </c>
      <c r="F12220" t="s">
        <v>4618</v>
      </c>
      <c r="G12220" t="s">
        <v>32471</v>
      </c>
      <c r="H12220" t="s">
        <v>859</v>
      </c>
      <c r="I12220" t="s">
        <v>860</v>
      </c>
      <c r="J12220" t="str">
        <f>"9170103"</f>
        <v>9170103</v>
      </c>
      <c r="K12220">
        <v>2810233184</v>
      </c>
      <c r="L12220">
        <v>2810233184</v>
      </c>
      <c r="M12220" t="s">
        <v>33567</v>
      </c>
      <c r="N12220" t="s">
        <v>4618</v>
      </c>
      <c r="O12220" t="s">
        <v>33568</v>
      </c>
      <c r="P12220">
        <v>71305</v>
      </c>
      <c r="Q12220" t="str">
        <f>"35.320552"</f>
        <v>35.320552</v>
      </c>
      <c r="R12220" t="str">
        <f>"25.131150"</f>
        <v>25.131150</v>
      </c>
      <c r="S12220" t="s">
        <v>26</v>
      </c>
    </row>
    <row r="12221" spans="1:19" x14ac:dyDescent="0.3">
      <c r="A12221" t="s">
        <v>32470</v>
      </c>
      <c r="B12221" t="s">
        <v>33426</v>
      </c>
      <c r="C12221" t="s">
        <v>33569</v>
      </c>
      <c r="D12221" t="s">
        <v>4618</v>
      </c>
      <c r="E12221" t="s">
        <v>4618</v>
      </c>
      <c r="F12221" t="s">
        <v>4618</v>
      </c>
      <c r="G12221" t="s">
        <v>32471</v>
      </c>
      <c r="H12221" t="s">
        <v>859</v>
      </c>
      <c r="I12221" t="s">
        <v>1102</v>
      </c>
      <c r="J12221" t="str">
        <f>"9170605"</f>
        <v>9170605</v>
      </c>
      <c r="K12221">
        <v>2810343820</v>
      </c>
      <c r="L12221">
        <v>2810343820</v>
      </c>
      <c r="M12221" t="s">
        <v>33570</v>
      </c>
      <c r="N12221" t="s">
        <v>28925</v>
      </c>
      <c r="O12221" t="s">
        <v>33571</v>
      </c>
      <c r="P12221">
        <v>71305</v>
      </c>
      <c r="Q12221" t="str">
        <f>"35.331652"</f>
        <v>35.331652</v>
      </c>
      <c r="R12221" t="str">
        <f>"25.133955"</f>
        <v>25.133955</v>
      </c>
      <c r="S12221" t="s">
        <v>26</v>
      </c>
    </row>
    <row r="12222" spans="1:19" x14ac:dyDescent="0.3">
      <c r="A12222" t="s">
        <v>32470</v>
      </c>
      <c r="B12222" t="s">
        <v>33426</v>
      </c>
      <c r="C12222" t="s">
        <v>33572</v>
      </c>
      <c r="D12222" t="s">
        <v>4618</v>
      </c>
      <c r="E12222" t="s">
        <v>4618</v>
      </c>
      <c r="F12222" t="s">
        <v>4618</v>
      </c>
      <c r="G12222" t="s">
        <v>32537</v>
      </c>
      <c r="H12222" t="s">
        <v>859</v>
      </c>
      <c r="I12222" t="s">
        <v>860</v>
      </c>
      <c r="J12222" t="str">
        <f>"9520920"</f>
        <v>9520920</v>
      </c>
      <c r="K12222">
        <v>2810322441</v>
      </c>
      <c r="L12222">
        <v>2810322441</v>
      </c>
      <c r="M12222" t="s">
        <v>33573</v>
      </c>
      <c r="N12222" t="s">
        <v>28925</v>
      </c>
      <c r="O12222" t="s">
        <v>33574</v>
      </c>
      <c r="P12222">
        <v>71409</v>
      </c>
      <c r="Q12222" t="str">
        <f>"35.308370"</f>
        <v>35.308370</v>
      </c>
      <c r="R12222" t="str">
        <f>"25.153663"</f>
        <v>25.153663</v>
      </c>
      <c r="S12222" t="s">
        <v>26</v>
      </c>
    </row>
    <row r="12223" spans="1:19" x14ac:dyDescent="0.3">
      <c r="A12223" t="s">
        <v>32470</v>
      </c>
      <c r="B12223" t="s">
        <v>33426</v>
      </c>
      <c r="C12223" t="s">
        <v>33575</v>
      </c>
      <c r="D12223" t="s">
        <v>4618</v>
      </c>
      <c r="E12223" t="s">
        <v>4618</v>
      </c>
      <c r="F12223" t="s">
        <v>4618</v>
      </c>
      <c r="G12223" t="s">
        <v>32514</v>
      </c>
      <c r="H12223" t="s">
        <v>859</v>
      </c>
      <c r="I12223" t="s">
        <v>860</v>
      </c>
      <c r="J12223" t="str">
        <f>"9170051"</f>
        <v>9170051</v>
      </c>
      <c r="K12223">
        <v>2810262913</v>
      </c>
      <c r="L12223">
        <v>2810262913</v>
      </c>
      <c r="M12223" t="s">
        <v>33576</v>
      </c>
      <c r="N12223" t="s">
        <v>4618</v>
      </c>
      <c r="O12223" t="s">
        <v>33577</v>
      </c>
      <c r="P12223">
        <v>71303</v>
      </c>
      <c r="Q12223" t="str">
        <f>"35.336490"</f>
        <v>35.336490</v>
      </c>
      <c r="R12223" t="str">
        <f>"25.114173"</f>
        <v>25.114173</v>
      </c>
      <c r="S12223" t="s">
        <v>26</v>
      </c>
    </row>
    <row r="12224" spans="1:19" x14ac:dyDescent="0.3">
      <c r="A12224" t="s">
        <v>32470</v>
      </c>
      <c r="B12224" t="s">
        <v>33426</v>
      </c>
      <c r="C12224" t="s">
        <v>33578</v>
      </c>
      <c r="D12224" t="s">
        <v>4618</v>
      </c>
      <c r="E12224" t="s">
        <v>4618</v>
      </c>
      <c r="F12224" t="s">
        <v>4618</v>
      </c>
      <c r="G12224" t="s">
        <v>32537</v>
      </c>
      <c r="H12224" t="s">
        <v>859</v>
      </c>
      <c r="I12224" t="s">
        <v>860</v>
      </c>
      <c r="J12224" t="str">
        <f>"9170348"</f>
        <v>9170348</v>
      </c>
      <c r="K12224">
        <v>2810239435</v>
      </c>
      <c r="L12224">
        <v>2810239435</v>
      </c>
      <c r="M12224" t="s">
        <v>33579</v>
      </c>
      <c r="N12224" t="s">
        <v>4618</v>
      </c>
      <c r="O12224" t="s">
        <v>33580</v>
      </c>
      <c r="P12224">
        <v>71305</v>
      </c>
      <c r="Q12224" t="str">
        <f>"35.324610"</f>
        <v>35.324610</v>
      </c>
      <c r="R12224" t="str">
        <f>"25.132113"</f>
        <v>25.132113</v>
      </c>
      <c r="S12224" t="s">
        <v>26</v>
      </c>
    </row>
    <row r="12225" spans="1:19" x14ac:dyDescent="0.3">
      <c r="A12225" t="s">
        <v>32470</v>
      </c>
      <c r="B12225" t="s">
        <v>33426</v>
      </c>
      <c r="C12225" t="s">
        <v>33582</v>
      </c>
      <c r="D12225" t="s">
        <v>4618</v>
      </c>
      <c r="E12225" t="s">
        <v>32508</v>
      </c>
      <c r="F12225" t="s">
        <v>32508</v>
      </c>
      <c r="G12225" t="s">
        <v>33581</v>
      </c>
      <c r="H12225" t="s">
        <v>859</v>
      </c>
      <c r="I12225" t="s">
        <v>860</v>
      </c>
      <c r="J12225" t="str">
        <f>"9170463"</f>
        <v>9170463</v>
      </c>
      <c r="K12225">
        <v>2897051454</v>
      </c>
      <c r="L12225">
        <v>2897051454</v>
      </c>
      <c r="M12225" t="s">
        <v>33583</v>
      </c>
      <c r="N12225" t="s">
        <v>33584</v>
      </c>
      <c r="O12225" t="s">
        <v>33584</v>
      </c>
      <c r="P12225">
        <v>70005</v>
      </c>
      <c r="Q12225" t="str">
        <f>"35.240356"</f>
        <v>35.240356</v>
      </c>
      <c r="R12225" t="str">
        <f>"25.414119"</f>
        <v>25.414119</v>
      </c>
      <c r="S12225" t="s">
        <v>26</v>
      </c>
    </row>
    <row r="12226" spans="1:19" x14ac:dyDescent="0.3">
      <c r="A12226" t="s">
        <v>32470</v>
      </c>
      <c r="B12226" t="s">
        <v>33426</v>
      </c>
      <c r="C12226" t="s">
        <v>33585</v>
      </c>
      <c r="D12226" t="s">
        <v>4618</v>
      </c>
      <c r="E12226" t="s">
        <v>4618</v>
      </c>
      <c r="F12226" t="s">
        <v>4618</v>
      </c>
      <c r="G12226" t="s">
        <v>32537</v>
      </c>
      <c r="H12226" t="s">
        <v>859</v>
      </c>
      <c r="I12226" t="s">
        <v>860</v>
      </c>
      <c r="J12226" t="str">
        <f>"9170539"</f>
        <v>9170539</v>
      </c>
      <c r="K12226">
        <v>2810212420</v>
      </c>
      <c r="L12226">
        <v>2810212420</v>
      </c>
      <c r="M12226" t="s">
        <v>33586</v>
      </c>
      <c r="N12226" t="s">
        <v>33587</v>
      </c>
      <c r="O12226" t="s">
        <v>33588</v>
      </c>
      <c r="P12226">
        <v>71409</v>
      </c>
      <c r="Q12226" t="str">
        <f>"35.311929"</f>
        <v>35.311929</v>
      </c>
      <c r="R12226" t="str">
        <f>"25.137386"</f>
        <v>25.137386</v>
      </c>
      <c r="S12226" t="s">
        <v>26</v>
      </c>
    </row>
    <row r="12227" spans="1:19" x14ac:dyDescent="0.3">
      <c r="A12227" t="s">
        <v>32470</v>
      </c>
      <c r="B12227" t="s">
        <v>33426</v>
      </c>
      <c r="C12227" t="s">
        <v>33590</v>
      </c>
      <c r="D12227" t="s">
        <v>4618</v>
      </c>
      <c r="E12227" t="s">
        <v>32501</v>
      </c>
      <c r="F12227" t="s">
        <v>32596</v>
      </c>
      <c r="G12227" t="s">
        <v>33589</v>
      </c>
      <c r="H12227" t="s">
        <v>859</v>
      </c>
      <c r="I12227" t="s">
        <v>860</v>
      </c>
      <c r="J12227" t="str">
        <f>"9170441"</f>
        <v>9170441</v>
      </c>
      <c r="K12227">
        <v>2810741759</v>
      </c>
      <c r="L12227">
        <v>2810741759</v>
      </c>
      <c r="M12227" t="s">
        <v>33591</v>
      </c>
      <c r="N12227" t="s">
        <v>33592</v>
      </c>
      <c r="O12227" t="s">
        <v>33592</v>
      </c>
      <c r="P12227">
        <v>70100</v>
      </c>
      <c r="Q12227" t="str">
        <f>"35.236937"</f>
        <v>35.236937</v>
      </c>
      <c r="R12227" t="str">
        <f>"25.185636"</f>
        <v>25.185636</v>
      </c>
      <c r="S12227" t="s">
        <v>26</v>
      </c>
    </row>
    <row r="12228" spans="1:19" x14ac:dyDescent="0.3">
      <c r="A12228" t="s">
        <v>32470</v>
      </c>
      <c r="B12228" t="s">
        <v>33426</v>
      </c>
      <c r="C12228" t="s">
        <v>33593</v>
      </c>
      <c r="D12228" t="s">
        <v>4618</v>
      </c>
      <c r="E12228" t="s">
        <v>4618</v>
      </c>
      <c r="F12228" t="s">
        <v>4618</v>
      </c>
      <c r="G12228" t="s">
        <v>32754</v>
      </c>
      <c r="H12228" t="s">
        <v>859</v>
      </c>
      <c r="I12228" t="s">
        <v>860</v>
      </c>
      <c r="J12228" t="str">
        <f>"9170186"</f>
        <v>9170186</v>
      </c>
      <c r="K12228">
        <v>6945476976</v>
      </c>
      <c r="L12228">
        <v>2810211547</v>
      </c>
      <c r="M12228" t="s">
        <v>33594</v>
      </c>
      <c r="N12228" t="s">
        <v>4741</v>
      </c>
      <c r="O12228" t="s">
        <v>492</v>
      </c>
      <c r="P12228">
        <v>71409</v>
      </c>
      <c r="Q12228" t="str">
        <f>"35.327708"</f>
        <v>35.327708</v>
      </c>
      <c r="R12228" t="str">
        <f>"25.145204"</f>
        <v>25.145204</v>
      </c>
      <c r="S12228" t="s">
        <v>26</v>
      </c>
    </row>
    <row r="12229" spans="1:19" x14ac:dyDescent="0.3">
      <c r="A12229" t="s">
        <v>32470</v>
      </c>
      <c r="B12229" t="s">
        <v>33426</v>
      </c>
      <c r="C12229" t="s">
        <v>33596</v>
      </c>
      <c r="D12229" t="s">
        <v>4618</v>
      </c>
      <c r="E12229" t="s">
        <v>32501</v>
      </c>
      <c r="F12229" t="s">
        <v>32596</v>
      </c>
      <c r="G12229" t="s">
        <v>33595</v>
      </c>
      <c r="H12229" t="s">
        <v>859</v>
      </c>
      <c r="I12229" t="s">
        <v>860</v>
      </c>
      <c r="J12229" t="str">
        <f>"9170434"</f>
        <v>9170434</v>
      </c>
      <c r="K12229">
        <v>2894051380</v>
      </c>
      <c r="M12229" t="s">
        <v>33597</v>
      </c>
      <c r="N12229" t="s">
        <v>33595</v>
      </c>
      <c r="O12229" t="s">
        <v>33598</v>
      </c>
      <c r="P12229">
        <v>70010</v>
      </c>
      <c r="Q12229" t="str">
        <f>"35.129301"</f>
        <v>35.129301</v>
      </c>
      <c r="R12229" t="str">
        <f>"25.142687"</f>
        <v>25.142687</v>
      </c>
      <c r="S12229" t="s">
        <v>26</v>
      </c>
    </row>
    <row r="12230" spans="1:19" x14ac:dyDescent="0.3">
      <c r="A12230" t="s">
        <v>32470</v>
      </c>
      <c r="B12230" t="s">
        <v>33426</v>
      </c>
      <c r="C12230" t="s">
        <v>33599</v>
      </c>
      <c r="D12230" t="s">
        <v>4618</v>
      </c>
      <c r="E12230" t="s">
        <v>4618</v>
      </c>
      <c r="F12230" t="s">
        <v>4618</v>
      </c>
      <c r="G12230" t="s">
        <v>32514</v>
      </c>
      <c r="H12230" t="s">
        <v>859</v>
      </c>
      <c r="I12230" t="s">
        <v>860</v>
      </c>
      <c r="J12230" t="str">
        <f>"9170393"</f>
        <v>9170393</v>
      </c>
      <c r="K12230">
        <v>2810314741</v>
      </c>
      <c r="L12230">
        <v>2810314741</v>
      </c>
      <c r="M12230" t="s">
        <v>33600</v>
      </c>
      <c r="N12230" t="s">
        <v>4618</v>
      </c>
      <c r="O12230" t="s">
        <v>33601</v>
      </c>
      <c r="P12230">
        <v>71303</v>
      </c>
      <c r="Q12230" t="str">
        <f>"35.338736"</f>
        <v>35.338736</v>
      </c>
      <c r="R12230" t="str">
        <f>"25.119086"</f>
        <v>25.119086</v>
      </c>
      <c r="S12230" t="s">
        <v>26</v>
      </c>
    </row>
    <row r="12231" spans="1:19" x14ac:dyDescent="0.3">
      <c r="A12231" t="s">
        <v>32470</v>
      </c>
      <c r="B12231" t="s">
        <v>33426</v>
      </c>
      <c r="C12231" t="s">
        <v>33602</v>
      </c>
      <c r="D12231" t="s">
        <v>4618</v>
      </c>
      <c r="E12231" t="s">
        <v>32508</v>
      </c>
      <c r="F12231" t="s">
        <v>32508</v>
      </c>
      <c r="G12231" t="s">
        <v>32768</v>
      </c>
      <c r="H12231" t="s">
        <v>859</v>
      </c>
      <c r="I12231" t="s">
        <v>860</v>
      </c>
      <c r="J12231" t="str">
        <f>"9170460"</f>
        <v>9170460</v>
      </c>
      <c r="K12231">
        <v>2897022010</v>
      </c>
      <c r="L12231">
        <v>2897022010</v>
      </c>
      <c r="M12231" t="s">
        <v>33603</v>
      </c>
      <c r="N12231" t="s">
        <v>33604</v>
      </c>
      <c r="O12231" t="s">
        <v>33605</v>
      </c>
      <c r="P12231">
        <v>70014</v>
      </c>
      <c r="Q12231" t="str">
        <f>"35.319543"</f>
        <v>35.319543</v>
      </c>
      <c r="R12231" t="str">
        <f>"25.390775"</f>
        <v>25.390775</v>
      </c>
      <c r="S12231" t="s">
        <v>26</v>
      </c>
    </row>
    <row r="12232" spans="1:19" x14ac:dyDescent="0.3">
      <c r="A12232" t="s">
        <v>32470</v>
      </c>
      <c r="B12232" t="s">
        <v>33426</v>
      </c>
      <c r="C12232" t="s">
        <v>33606</v>
      </c>
      <c r="D12232" t="s">
        <v>4618</v>
      </c>
      <c r="E12232" t="s">
        <v>32508</v>
      </c>
      <c r="F12232" t="s">
        <v>32602</v>
      </c>
      <c r="G12232" t="s">
        <v>32602</v>
      </c>
      <c r="H12232" t="s">
        <v>859</v>
      </c>
      <c r="I12232" t="s">
        <v>860</v>
      </c>
      <c r="J12232" t="str">
        <f>"9170356"</f>
        <v>9170356</v>
      </c>
      <c r="K12232">
        <v>2897031698</v>
      </c>
      <c r="L12232">
        <v>2897029584</v>
      </c>
      <c r="M12232" t="s">
        <v>33607</v>
      </c>
      <c r="N12232" t="s">
        <v>32602</v>
      </c>
      <c r="O12232" t="s">
        <v>33608</v>
      </c>
      <c r="P12232">
        <v>70007</v>
      </c>
      <c r="Q12232" t="str">
        <f>"35.281209"</f>
        <v>35.281209</v>
      </c>
      <c r="R12232" t="str">
        <f>"25.461766"</f>
        <v>25.461766</v>
      </c>
      <c r="S12232" t="s">
        <v>26</v>
      </c>
    </row>
    <row r="12233" spans="1:19" x14ac:dyDescent="0.3">
      <c r="A12233" t="s">
        <v>32470</v>
      </c>
      <c r="B12233" t="s">
        <v>33426</v>
      </c>
      <c r="C12233" t="s">
        <v>33609</v>
      </c>
      <c r="D12233" t="s">
        <v>4618</v>
      </c>
      <c r="E12233" t="s">
        <v>4618</v>
      </c>
      <c r="F12233" t="s">
        <v>4618</v>
      </c>
      <c r="G12233" t="s">
        <v>32471</v>
      </c>
      <c r="H12233" t="s">
        <v>859</v>
      </c>
      <c r="I12233" t="s">
        <v>860</v>
      </c>
      <c r="J12233" t="str">
        <f>"9170403"</f>
        <v>9170403</v>
      </c>
      <c r="K12233">
        <v>2810257487</v>
      </c>
      <c r="L12233">
        <v>2810257487</v>
      </c>
      <c r="M12233" t="s">
        <v>33610</v>
      </c>
      <c r="N12233" t="s">
        <v>33611</v>
      </c>
      <c r="O12233" t="s">
        <v>33612</v>
      </c>
      <c r="P12233">
        <v>71303</v>
      </c>
      <c r="Q12233" t="str">
        <f>"35.340222"</f>
        <v>35.340222</v>
      </c>
      <c r="R12233" t="str">
        <f>"25.118497"</f>
        <v>25.118497</v>
      </c>
      <c r="S12233" t="s">
        <v>26</v>
      </c>
    </row>
    <row r="12234" spans="1:19" x14ac:dyDescent="0.3">
      <c r="A12234" t="s">
        <v>32470</v>
      </c>
      <c r="B12234" t="s">
        <v>33426</v>
      </c>
      <c r="C12234" t="s">
        <v>33613</v>
      </c>
      <c r="D12234" t="s">
        <v>4618</v>
      </c>
      <c r="E12234" t="s">
        <v>32508</v>
      </c>
      <c r="F12234" t="s">
        <v>32602</v>
      </c>
      <c r="G12234" t="s">
        <v>32602</v>
      </c>
      <c r="H12234" t="s">
        <v>859</v>
      </c>
      <c r="I12234" t="s">
        <v>860</v>
      </c>
      <c r="J12234" t="str">
        <f>"9170543"</f>
        <v>9170543</v>
      </c>
      <c r="K12234">
        <v>2897032585</v>
      </c>
      <c r="L12234">
        <v>2897032585</v>
      </c>
      <c r="M12234" t="s">
        <v>33614</v>
      </c>
      <c r="N12234" t="s">
        <v>32602</v>
      </c>
      <c r="O12234" t="s">
        <v>33615</v>
      </c>
      <c r="P12234">
        <v>70007</v>
      </c>
      <c r="Q12234" t="str">
        <f>"35.279104"</f>
        <v>35.279104</v>
      </c>
      <c r="R12234" t="str">
        <f>"25.463741"</f>
        <v>25.463741</v>
      </c>
      <c r="S12234" t="s">
        <v>26</v>
      </c>
    </row>
    <row r="12235" spans="1:19" x14ac:dyDescent="0.3">
      <c r="A12235" t="s">
        <v>32470</v>
      </c>
      <c r="B12235" t="s">
        <v>33426</v>
      </c>
      <c r="C12235" t="s">
        <v>33616</v>
      </c>
      <c r="D12235" t="s">
        <v>4618</v>
      </c>
      <c r="E12235" t="s">
        <v>32508</v>
      </c>
      <c r="F12235" t="s">
        <v>32602</v>
      </c>
      <c r="G12235" t="s">
        <v>32640</v>
      </c>
      <c r="H12235" t="s">
        <v>859</v>
      </c>
      <c r="I12235" t="s">
        <v>860</v>
      </c>
      <c r="J12235" t="str">
        <f>"9170355"</f>
        <v>9170355</v>
      </c>
      <c r="K12235">
        <v>2897061031</v>
      </c>
      <c r="M12235" t="s">
        <v>33617</v>
      </c>
      <c r="N12235" t="s">
        <v>32640</v>
      </c>
      <c r="O12235" t="s">
        <v>32645</v>
      </c>
      <c r="P12235">
        <v>70005</v>
      </c>
      <c r="Q12235" t="str">
        <f>"35.261203"</f>
        <v>35.261203</v>
      </c>
      <c r="R12235" t="str">
        <f>"25.425720"</f>
        <v>25.425720</v>
      </c>
      <c r="S12235" t="s">
        <v>26</v>
      </c>
    </row>
    <row r="12236" spans="1:19" x14ac:dyDescent="0.3">
      <c r="A12236" t="s">
        <v>32470</v>
      </c>
      <c r="B12236" t="s">
        <v>33426</v>
      </c>
      <c r="C12236" t="s">
        <v>33618</v>
      </c>
      <c r="D12236" t="s">
        <v>4618</v>
      </c>
      <c r="E12236" t="s">
        <v>4618</v>
      </c>
      <c r="F12236" t="s">
        <v>4618</v>
      </c>
      <c r="G12236" t="s">
        <v>32471</v>
      </c>
      <c r="H12236" t="s">
        <v>859</v>
      </c>
      <c r="I12236" t="s">
        <v>860</v>
      </c>
      <c r="J12236" t="str">
        <f>"9170450"</f>
        <v>9170450</v>
      </c>
      <c r="K12236">
        <v>2810253661</v>
      </c>
      <c r="L12236">
        <v>2810253661</v>
      </c>
      <c r="M12236" t="s">
        <v>33619</v>
      </c>
      <c r="N12236" t="s">
        <v>4618</v>
      </c>
      <c r="O12236" t="s">
        <v>33620</v>
      </c>
      <c r="P12236">
        <v>71305</v>
      </c>
      <c r="Q12236" t="str">
        <f>"35.334081"</f>
        <v>35.334081</v>
      </c>
      <c r="R12236" t="str">
        <f>"25.126373"</f>
        <v>25.126373</v>
      </c>
      <c r="S12236" t="s">
        <v>26</v>
      </c>
    </row>
    <row r="12237" spans="1:19" x14ac:dyDescent="0.3">
      <c r="A12237" t="s">
        <v>32470</v>
      </c>
      <c r="B12237" t="s">
        <v>33426</v>
      </c>
      <c r="C12237" t="s">
        <v>33621</v>
      </c>
      <c r="D12237" t="s">
        <v>4618</v>
      </c>
      <c r="E12237" t="s">
        <v>4618</v>
      </c>
      <c r="F12237" t="s">
        <v>4618</v>
      </c>
      <c r="G12237" t="s">
        <v>32471</v>
      </c>
      <c r="H12237" t="s">
        <v>859</v>
      </c>
      <c r="I12237" t="s">
        <v>860</v>
      </c>
      <c r="J12237" t="str">
        <f>"9170498"</f>
        <v>9170498</v>
      </c>
      <c r="K12237">
        <v>2810315220</v>
      </c>
      <c r="L12237">
        <v>2810315220</v>
      </c>
      <c r="M12237" t="s">
        <v>33622</v>
      </c>
      <c r="N12237" t="s">
        <v>4618</v>
      </c>
      <c r="O12237" t="s">
        <v>33623</v>
      </c>
      <c r="P12237">
        <v>71305</v>
      </c>
      <c r="Q12237" t="str">
        <f>"35.326019"</f>
        <v>35.326019</v>
      </c>
      <c r="R12237" t="str">
        <f>"25.127023"</f>
        <v>25.127023</v>
      </c>
      <c r="S12237" t="s">
        <v>26</v>
      </c>
    </row>
    <row r="12238" spans="1:19" x14ac:dyDescent="0.3">
      <c r="A12238" t="s">
        <v>32470</v>
      </c>
      <c r="B12238" t="s">
        <v>33426</v>
      </c>
      <c r="C12238" t="s">
        <v>33624</v>
      </c>
      <c r="D12238" t="s">
        <v>4618</v>
      </c>
      <c r="E12238" t="s">
        <v>4618</v>
      </c>
      <c r="F12238" t="s">
        <v>4618</v>
      </c>
      <c r="G12238" t="s">
        <v>32514</v>
      </c>
      <c r="H12238" t="s">
        <v>859</v>
      </c>
      <c r="I12238" t="s">
        <v>860</v>
      </c>
      <c r="J12238" t="str">
        <f>"9170481"</f>
        <v>9170481</v>
      </c>
      <c r="K12238">
        <v>2810250560</v>
      </c>
      <c r="L12238">
        <v>2810250560</v>
      </c>
      <c r="M12238" t="s">
        <v>33625</v>
      </c>
      <c r="N12238" t="s">
        <v>4618</v>
      </c>
      <c r="O12238" t="s">
        <v>33626</v>
      </c>
      <c r="P12238">
        <v>71305</v>
      </c>
      <c r="Q12238" t="str">
        <f>"35.328462"</f>
        <v>35.328462</v>
      </c>
      <c r="R12238" t="str">
        <f>"25.122665"</f>
        <v>25.122665</v>
      </c>
      <c r="S12238" t="s">
        <v>26</v>
      </c>
    </row>
    <row r="12239" spans="1:19" x14ac:dyDescent="0.3">
      <c r="A12239" t="s">
        <v>32470</v>
      </c>
      <c r="B12239" t="s">
        <v>33426</v>
      </c>
      <c r="C12239" t="s">
        <v>33627</v>
      </c>
      <c r="D12239" t="s">
        <v>4618</v>
      </c>
      <c r="E12239" t="s">
        <v>4618</v>
      </c>
      <c r="F12239" t="s">
        <v>4618</v>
      </c>
      <c r="G12239" t="s">
        <v>32471</v>
      </c>
      <c r="H12239" t="s">
        <v>859</v>
      </c>
      <c r="I12239" t="s">
        <v>860</v>
      </c>
      <c r="J12239" t="str">
        <f>"9170499"</f>
        <v>9170499</v>
      </c>
      <c r="K12239">
        <v>2810257978</v>
      </c>
      <c r="L12239">
        <v>2810257978</v>
      </c>
      <c r="M12239" t="s">
        <v>33628</v>
      </c>
      <c r="N12239" t="s">
        <v>4618</v>
      </c>
      <c r="O12239" t="s">
        <v>33629</v>
      </c>
      <c r="P12239">
        <v>71305</v>
      </c>
      <c r="Q12239" t="str">
        <f>"35.329460"</f>
        <v>35.329460</v>
      </c>
      <c r="R12239" t="str">
        <f>"25.120911"</f>
        <v>25.120911</v>
      </c>
      <c r="S12239" t="s">
        <v>26</v>
      </c>
    </row>
    <row r="12240" spans="1:19" x14ac:dyDescent="0.3">
      <c r="A12240" t="s">
        <v>32470</v>
      </c>
      <c r="B12240" t="s">
        <v>33426</v>
      </c>
      <c r="C12240" t="s">
        <v>33630</v>
      </c>
      <c r="D12240" t="s">
        <v>4618</v>
      </c>
      <c r="E12240" t="s">
        <v>4618</v>
      </c>
      <c r="F12240" t="s">
        <v>4618</v>
      </c>
      <c r="G12240" t="s">
        <v>32471</v>
      </c>
      <c r="H12240" t="s">
        <v>859</v>
      </c>
      <c r="I12240" t="s">
        <v>860</v>
      </c>
      <c r="J12240" t="str">
        <f>"9170487"</f>
        <v>9170487</v>
      </c>
      <c r="K12240">
        <v>2810232045</v>
      </c>
      <c r="L12240">
        <v>2810232045</v>
      </c>
      <c r="M12240" t="s">
        <v>33631</v>
      </c>
      <c r="N12240" t="s">
        <v>4618</v>
      </c>
      <c r="O12240" t="s">
        <v>33632</v>
      </c>
      <c r="P12240">
        <v>71305</v>
      </c>
      <c r="Q12240" t="str">
        <f>"35.320052"</f>
        <v>35.320052</v>
      </c>
      <c r="R12240" t="str">
        <f>"25.131290"</f>
        <v>25.131290</v>
      </c>
      <c r="S12240" t="s">
        <v>26</v>
      </c>
    </row>
    <row r="12241" spans="1:19" x14ac:dyDescent="0.3">
      <c r="A12241" t="s">
        <v>32470</v>
      </c>
      <c r="B12241" t="s">
        <v>33426</v>
      </c>
      <c r="C12241" t="s">
        <v>33633</v>
      </c>
      <c r="D12241" t="s">
        <v>4618</v>
      </c>
      <c r="E12241" t="s">
        <v>32508</v>
      </c>
      <c r="F12241" t="s">
        <v>32602</v>
      </c>
      <c r="G12241" t="s">
        <v>32602</v>
      </c>
      <c r="H12241" t="s">
        <v>859</v>
      </c>
      <c r="I12241" t="s">
        <v>860</v>
      </c>
      <c r="J12241" t="str">
        <f>"9520921"</f>
        <v>9520921</v>
      </c>
      <c r="K12241">
        <v>2897033119</v>
      </c>
      <c r="L12241">
        <v>2897033119</v>
      </c>
      <c r="M12241" t="s">
        <v>33634</v>
      </c>
      <c r="N12241" t="s">
        <v>33635</v>
      </c>
      <c r="O12241" t="s">
        <v>33608</v>
      </c>
      <c r="P12241">
        <v>70007</v>
      </c>
      <c r="Q12241" t="str">
        <f>"35.281028"</f>
        <v>35.281028</v>
      </c>
      <c r="R12241" t="str">
        <f>"25.461643"</f>
        <v>25.461643</v>
      </c>
      <c r="S12241" t="s">
        <v>26</v>
      </c>
    </row>
    <row r="12242" spans="1:19" x14ac:dyDescent="0.3">
      <c r="A12242" t="s">
        <v>32470</v>
      </c>
      <c r="B12242" t="s">
        <v>33426</v>
      </c>
      <c r="C12242" t="s">
        <v>33636</v>
      </c>
      <c r="D12242" t="s">
        <v>4618</v>
      </c>
      <c r="E12242" t="s">
        <v>4618</v>
      </c>
      <c r="F12242" t="s">
        <v>32623</v>
      </c>
      <c r="G12242" t="s">
        <v>32623</v>
      </c>
      <c r="H12242" t="s">
        <v>859</v>
      </c>
      <c r="I12242" t="s">
        <v>860</v>
      </c>
      <c r="J12242" t="str">
        <f>"9170367"</f>
        <v>9170367</v>
      </c>
      <c r="K12242">
        <v>2810244550</v>
      </c>
      <c r="L12242">
        <v>2810244550</v>
      </c>
      <c r="M12242" t="s">
        <v>33637</v>
      </c>
      <c r="N12242" t="s">
        <v>32623</v>
      </c>
      <c r="O12242" t="s">
        <v>33638</v>
      </c>
      <c r="P12242">
        <v>71601</v>
      </c>
      <c r="Q12242" t="str">
        <f>"35.337734"</f>
        <v>35.337734</v>
      </c>
      <c r="R12242" t="str">
        <f>"25.156608"</f>
        <v>25.156608</v>
      </c>
      <c r="S12242" t="s">
        <v>26</v>
      </c>
    </row>
    <row r="12243" spans="1:19" x14ac:dyDescent="0.3">
      <c r="A12243" t="s">
        <v>32470</v>
      </c>
      <c r="B12243" t="s">
        <v>33426</v>
      </c>
      <c r="C12243" t="s">
        <v>33639</v>
      </c>
      <c r="D12243" t="s">
        <v>4618</v>
      </c>
      <c r="E12243" t="s">
        <v>4618</v>
      </c>
      <c r="F12243" t="s">
        <v>32623</v>
      </c>
      <c r="G12243" t="s">
        <v>32623</v>
      </c>
      <c r="H12243" t="s">
        <v>859</v>
      </c>
      <c r="I12243" t="s">
        <v>860</v>
      </c>
      <c r="J12243" t="str">
        <f>"9170396"</f>
        <v>9170396</v>
      </c>
      <c r="K12243">
        <v>2810240478</v>
      </c>
      <c r="L12243">
        <v>2810240478</v>
      </c>
      <c r="M12243" t="s">
        <v>33640</v>
      </c>
      <c r="N12243" t="s">
        <v>32623</v>
      </c>
      <c r="O12243" t="s">
        <v>33641</v>
      </c>
      <c r="P12243">
        <v>71601</v>
      </c>
      <c r="Q12243" t="str">
        <f>"35.342333"</f>
        <v>35.342333</v>
      </c>
      <c r="R12243" t="str">
        <f>"25.161020"</f>
        <v>25.161020</v>
      </c>
      <c r="S12243" t="s">
        <v>26</v>
      </c>
    </row>
    <row r="12244" spans="1:19" x14ac:dyDescent="0.3">
      <c r="A12244" t="s">
        <v>32470</v>
      </c>
      <c r="B12244" t="s">
        <v>33426</v>
      </c>
      <c r="C12244" t="s">
        <v>33642</v>
      </c>
      <c r="D12244" t="s">
        <v>4618</v>
      </c>
      <c r="E12244" t="s">
        <v>4618</v>
      </c>
      <c r="F12244" t="s">
        <v>4618</v>
      </c>
      <c r="G12244" t="s">
        <v>32471</v>
      </c>
      <c r="H12244" t="s">
        <v>859</v>
      </c>
      <c r="I12244" t="s">
        <v>860</v>
      </c>
      <c r="J12244" t="str">
        <f>"9170451"</f>
        <v>9170451</v>
      </c>
      <c r="K12244">
        <v>2810260690</v>
      </c>
      <c r="L12244">
        <v>2810260690</v>
      </c>
      <c r="M12244" t="s">
        <v>33643</v>
      </c>
      <c r="N12244" t="s">
        <v>4618</v>
      </c>
      <c r="O12244" t="s">
        <v>33644</v>
      </c>
      <c r="P12244">
        <v>71305</v>
      </c>
      <c r="Q12244" t="str">
        <f>"35.327606"</f>
        <v>35.327606</v>
      </c>
      <c r="R12244" t="str">
        <f>"25.121870"</f>
        <v>25.121870</v>
      </c>
      <c r="S12244" t="s">
        <v>26</v>
      </c>
    </row>
    <row r="12245" spans="1:19" x14ac:dyDescent="0.3">
      <c r="A12245" t="s">
        <v>32470</v>
      </c>
      <c r="B12245" t="s">
        <v>33426</v>
      </c>
      <c r="C12245" t="s">
        <v>33645</v>
      </c>
      <c r="D12245" t="s">
        <v>4618</v>
      </c>
      <c r="E12245" t="s">
        <v>4618</v>
      </c>
      <c r="F12245" t="s">
        <v>32623</v>
      </c>
      <c r="G12245" t="s">
        <v>32623</v>
      </c>
      <c r="H12245" t="s">
        <v>859</v>
      </c>
      <c r="I12245" t="s">
        <v>860</v>
      </c>
      <c r="J12245" t="str">
        <f>"9170529"</f>
        <v>9170529</v>
      </c>
      <c r="K12245">
        <v>2810223699</v>
      </c>
      <c r="M12245" t="s">
        <v>33646</v>
      </c>
      <c r="N12245" t="s">
        <v>32626</v>
      </c>
      <c r="O12245" t="s">
        <v>33647</v>
      </c>
      <c r="P12245">
        <v>71601</v>
      </c>
      <c r="Q12245" t="str">
        <f>"35.327679"</f>
        <v>35.327679</v>
      </c>
      <c r="R12245" t="str">
        <f>"25.165726"</f>
        <v>25.165726</v>
      </c>
      <c r="S12245" t="s">
        <v>26</v>
      </c>
    </row>
    <row r="12246" spans="1:19" x14ac:dyDescent="0.3">
      <c r="A12246" t="s">
        <v>32470</v>
      </c>
      <c r="B12246" t="s">
        <v>33426</v>
      </c>
      <c r="C12246" t="s">
        <v>33648</v>
      </c>
      <c r="D12246" t="s">
        <v>4618</v>
      </c>
      <c r="E12246" t="s">
        <v>4618</v>
      </c>
      <c r="F12246" t="s">
        <v>4618</v>
      </c>
      <c r="G12246" t="s">
        <v>32514</v>
      </c>
      <c r="H12246" t="s">
        <v>859</v>
      </c>
      <c r="I12246" t="s">
        <v>860</v>
      </c>
      <c r="J12246" t="str">
        <f>"9170452"</f>
        <v>9170452</v>
      </c>
      <c r="K12246">
        <v>2810262825</v>
      </c>
      <c r="L12246">
        <v>2810262825</v>
      </c>
      <c r="M12246" t="s">
        <v>33649</v>
      </c>
      <c r="N12246" t="s">
        <v>4618</v>
      </c>
      <c r="O12246" t="s">
        <v>33650</v>
      </c>
      <c r="P12246">
        <v>71303</v>
      </c>
      <c r="Q12246" t="str">
        <f>"35.340196"</f>
        <v>35.340196</v>
      </c>
      <c r="R12246" t="str">
        <f>"25.118569"</f>
        <v>25.118569</v>
      </c>
      <c r="S12246" t="s">
        <v>26</v>
      </c>
    </row>
    <row r="12247" spans="1:19" x14ac:dyDescent="0.3">
      <c r="A12247" t="s">
        <v>32470</v>
      </c>
      <c r="B12247" t="s">
        <v>33426</v>
      </c>
      <c r="C12247" t="s">
        <v>33651</v>
      </c>
      <c r="D12247" t="s">
        <v>4618</v>
      </c>
      <c r="E12247" t="s">
        <v>4618</v>
      </c>
      <c r="F12247" t="s">
        <v>4618</v>
      </c>
      <c r="G12247" t="s">
        <v>32471</v>
      </c>
      <c r="H12247" t="s">
        <v>859</v>
      </c>
      <c r="I12247" t="s">
        <v>860</v>
      </c>
      <c r="J12247" t="str">
        <f>"9170507"</f>
        <v>9170507</v>
      </c>
      <c r="K12247">
        <v>2810236132</v>
      </c>
      <c r="L12247">
        <v>2810236132</v>
      </c>
      <c r="M12247" t="s">
        <v>33652</v>
      </c>
      <c r="N12247" t="s">
        <v>4618</v>
      </c>
      <c r="O12247" t="s">
        <v>33653</v>
      </c>
      <c r="P12247">
        <v>71305</v>
      </c>
      <c r="Q12247" t="str">
        <f>"35.325302"</f>
        <v>35.325302</v>
      </c>
      <c r="R12247" t="str">
        <f>"25.129678"</f>
        <v>25.129678</v>
      </c>
      <c r="S12247" t="s">
        <v>26</v>
      </c>
    </row>
    <row r="12248" spans="1:19" x14ac:dyDescent="0.3">
      <c r="A12248" t="s">
        <v>32470</v>
      </c>
      <c r="B12248" t="s">
        <v>33426</v>
      </c>
      <c r="C12248" t="s">
        <v>33654</v>
      </c>
      <c r="D12248" t="s">
        <v>4618</v>
      </c>
      <c r="E12248" t="s">
        <v>4618</v>
      </c>
      <c r="F12248" t="s">
        <v>32623</v>
      </c>
      <c r="G12248" t="s">
        <v>32623</v>
      </c>
      <c r="H12248" t="s">
        <v>859</v>
      </c>
      <c r="I12248" t="s">
        <v>860</v>
      </c>
      <c r="J12248" t="str">
        <f>"9170577"</f>
        <v>9170577</v>
      </c>
      <c r="K12248">
        <v>2810240478</v>
      </c>
      <c r="L12248">
        <v>2810240478</v>
      </c>
      <c r="M12248" t="s">
        <v>33655</v>
      </c>
      <c r="N12248" t="s">
        <v>32623</v>
      </c>
      <c r="O12248" t="s">
        <v>33641</v>
      </c>
      <c r="P12248">
        <v>71601</v>
      </c>
      <c r="Q12248" t="str">
        <f>"35.342353"</f>
        <v>35.342353</v>
      </c>
      <c r="R12248" t="str">
        <f>"25.161120"</f>
        <v>25.161120</v>
      </c>
      <c r="S12248" t="s">
        <v>26</v>
      </c>
    </row>
    <row r="12249" spans="1:19" x14ac:dyDescent="0.3">
      <c r="A12249" t="s">
        <v>32470</v>
      </c>
      <c r="B12249" t="s">
        <v>33426</v>
      </c>
      <c r="C12249" t="s">
        <v>33656</v>
      </c>
      <c r="D12249" t="s">
        <v>4618</v>
      </c>
      <c r="E12249" t="s">
        <v>4618</v>
      </c>
      <c r="F12249" t="s">
        <v>32623</v>
      </c>
      <c r="G12249" t="s">
        <v>32623</v>
      </c>
      <c r="H12249" t="s">
        <v>859</v>
      </c>
      <c r="I12249" t="s">
        <v>860</v>
      </c>
      <c r="J12249" t="str">
        <f>"9170596"</f>
        <v>9170596</v>
      </c>
      <c r="K12249">
        <v>2810341285</v>
      </c>
      <c r="M12249" t="s">
        <v>33657</v>
      </c>
      <c r="N12249" t="s">
        <v>32623</v>
      </c>
      <c r="O12249" t="s">
        <v>33638</v>
      </c>
      <c r="P12249">
        <v>71601</v>
      </c>
      <c r="Q12249" t="str">
        <f>"35.337752"</f>
        <v>35.337752</v>
      </c>
      <c r="R12249" t="str">
        <f>"25.156619"</f>
        <v>25.156619</v>
      </c>
      <c r="S12249" t="s">
        <v>26</v>
      </c>
    </row>
    <row r="12250" spans="1:19" x14ac:dyDescent="0.3">
      <c r="A12250" t="s">
        <v>32470</v>
      </c>
      <c r="B12250" t="s">
        <v>33426</v>
      </c>
      <c r="C12250" t="s">
        <v>33658</v>
      </c>
      <c r="D12250" t="s">
        <v>4618</v>
      </c>
      <c r="E12250" t="s">
        <v>4618</v>
      </c>
      <c r="F12250" t="s">
        <v>4618</v>
      </c>
      <c r="G12250" t="s">
        <v>32537</v>
      </c>
      <c r="H12250" t="s">
        <v>859</v>
      </c>
      <c r="I12250" t="s">
        <v>860</v>
      </c>
      <c r="J12250" t="str">
        <f>"9170522"</f>
        <v>9170522</v>
      </c>
      <c r="K12250">
        <v>2810211038</v>
      </c>
      <c r="L12250">
        <v>2810211038</v>
      </c>
      <c r="M12250" t="s">
        <v>33659</v>
      </c>
      <c r="N12250" t="s">
        <v>4618</v>
      </c>
      <c r="O12250" t="s">
        <v>33660</v>
      </c>
      <c r="P12250">
        <v>71409</v>
      </c>
      <c r="Q12250" t="str">
        <f>"35.318485"</f>
        <v>35.318485</v>
      </c>
      <c r="R12250" t="str">
        <f>"25.139446"</f>
        <v>25.139446</v>
      </c>
      <c r="S12250" t="s">
        <v>26</v>
      </c>
    </row>
    <row r="12251" spans="1:19" x14ac:dyDescent="0.3">
      <c r="A12251" t="s">
        <v>32470</v>
      </c>
      <c r="B12251" t="s">
        <v>33426</v>
      </c>
      <c r="C12251" t="s">
        <v>33661</v>
      </c>
      <c r="D12251" t="s">
        <v>4618</v>
      </c>
      <c r="E12251" t="s">
        <v>4618</v>
      </c>
      <c r="F12251" t="s">
        <v>4618</v>
      </c>
      <c r="G12251" t="s">
        <v>32471</v>
      </c>
      <c r="H12251" t="s">
        <v>859</v>
      </c>
      <c r="I12251" t="s">
        <v>860</v>
      </c>
      <c r="J12251" t="str">
        <f>"9170563"</f>
        <v>9170563</v>
      </c>
      <c r="K12251">
        <v>2810211027</v>
      </c>
      <c r="L12251">
        <v>2810211027</v>
      </c>
      <c r="M12251" t="s">
        <v>33662</v>
      </c>
      <c r="N12251" t="s">
        <v>4618</v>
      </c>
      <c r="O12251" t="s">
        <v>33663</v>
      </c>
      <c r="P12251">
        <v>71306</v>
      </c>
      <c r="Q12251" t="str">
        <f>"35.310837"</f>
        <v>35.310837</v>
      </c>
      <c r="R12251" t="str">
        <f>"25.139506"</f>
        <v>25.139506</v>
      </c>
      <c r="S12251" t="s">
        <v>26</v>
      </c>
    </row>
    <row r="12252" spans="1:19" x14ac:dyDescent="0.3">
      <c r="A12252" t="s">
        <v>32470</v>
      </c>
      <c r="B12252" t="s">
        <v>33426</v>
      </c>
      <c r="C12252" t="s">
        <v>33664</v>
      </c>
      <c r="D12252" t="s">
        <v>4618</v>
      </c>
      <c r="E12252" t="s">
        <v>4618</v>
      </c>
      <c r="F12252" t="s">
        <v>4618</v>
      </c>
      <c r="G12252" t="s">
        <v>32514</v>
      </c>
      <c r="H12252" t="s">
        <v>859</v>
      </c>
      <c r="I12252" t="s">
        <v>860</v>
      </c>
      <c r="J12252" t="str">
        <f>"9170569"</f>
        <v>9170569</v>
      </c>
      <c r="K12252">
        <v>2810310767</v>
      </c>
      <c r="L12252">
        <v>2810310767</v>
      </c>
      <c r="M12252" t="s">
        <v>33665</v>
      </c>
      <c r="N12252" t="s">
        <v>4618</v>
      </c>
      <c r="O12252" t="s">
        <v>33666</v>
      </c>
      <c r="P12252">
        <v>71500</v>
      </c>
      <c r="Q12252" t="str">
        <f>"35.322188"</f>
        <v>35.322188</v>
      </c>
      <c r="R12252" t="str">
        <f>"25.101915"</f>
        <v>25.101915</v>
      </c>
      <c r="S12252" t="s">
        <v>26</v>
      </c>
    </row>
    <row r="12253" spans="1:19" x14ac:dyDescent="0.3">
      <c r="A12253" t="s">
        <v>32470</v>
      </c>
      <c r="B12253" t="s">
        <v>33426</v>
      </c>
      <c r="C12253" t="s">
        <v>33672</v>
      </c>
      <c r="D12253" t="s">
        <v>4618</v>
      </c>
      <c r="E12253" t="s">
        <v>32501</v>
      </c>
      <c r="F12253" t="s">
        <v>32596</v>
      </c>
      <c r="G12253" t="s">
        <v>33671</v>
      </c>
      <c r="H12253" t="s">
        <v>859</v>
      </c>
      <c r="I12253" t="s">
        <v>860</v>
      </c>
      <c r="J12253" t="str">
        <f>"9170364"</f>
        <v>9170364</v>
      </c>
      <c r="K12253">
        <v>2810741562</v>
      </c>
      <c r="L12253">
        <v>2810741562</v>
      </c>
      <c r="M12253" t="s">
        <v>33673</v>
      </c>
      <c r="N12253" t="s">
        <v>33671</v>
      </c>
      <c r="O12253" t="s">
        <v>33674</v>
      </c>
      <c r="P12253">
        <v>70100</v>
      </c>
      <c r="Q12253" t="str">
        <f>"35.194422"</f>
        <v>35.194422</v>
      </c>
      <c r="R12253" t="str">
        <f>"25.179864"</f>
        <v>25.179864</v>
      </c>
      <c r="S12253" t="s">
        <v>26</v>
      </c>
    </row>
    <row r="12254" spans="1:19" x14ac:dyDescent="0.3">
      <c r="A12254" t="s">
        <v>32470</v>
      </c>
      <c r="B12254" t="s">
        <v>33426</v>
      </c>
      <c r="C12254" t="s">
        <v>33676</v>
      </c>
      <c r="D12254" t="s">
        <v>4618</v>
      </c>
      <c r="E12254" t="s">
        <v>32501</v>
      </c>
      <c r="F12254" t="s">
        <v>32571</v>
      </c>
      <c r="G12254" t="s">
        <v>33675</v>
      </c>
      <c r="H12254" t="s">
        <v>859</v>
      </c>
      <c r="I12254" t="s">
        <v>860</v>
      </c>
      <c r="J12254" t="str">
        <f>"9170524"</f>
        <v>9170524</v>
      </c>
      <c r="K12254">
        <v>2894051117</v>
      </c>
      <c r="L12254">
        <v>2894051117</v>
      </c>
      <c r="M12254" t="s">
        <v>33677</v>
      </c>
      <c r="N12254" t="s">
        <v>33675</v>
      </c>
      <c r="O12254" t="s">
        <v>33678</v>
      </c>
      <c r="P12254">
        <v>70010</v>
      </c>
      <c r="Q12254" t="str">
        <f>"34.964600"</f>
        <v>34.964600</v>
      </c>
      <c r="R12254" t="str">
        <f>"25.182272"</f>
        <v>25.182272</v>
      </c>
      <c r="S12254" t="s">
        <v>26</v>
      </c>
    </row>
    <row r="12255" spans="1:19" x14ac:dyDescent="0.3">
      <c r="A12255" t="s">
        <v>32470</v>
      </c>
      <c r="B12255" t="s">
        <v>33426</v>
      </c>
      <c r="C12255" t="s">
        <v>33679</v>
      </c>
      <c r="D12255" t="s">
        <v>4618</v>
      </c>
      <c r="E12255" t="s">
        <v>32508</v>
      </c>
      <c r="F12255" t="s">
        <v>32508</v>
      </c>
      <c r="G12255" t="s">
        <v>32508</v>
      </c>
      <c r="H12255" t="s">
        <v>859</v>
      </c>
      <c r="I12255" t="s">
        <v>860</v>
      </c>
      <c r="J12255" t="str">
        <f>"9170567"</f>
        <v>9170567</v>
      </c>
      <c r="K12255">
        <v>2897024060</v>
      </c>
      <c r="L12255">
        <v>2897024060</v>
      </c>
      <c r="M12255" t="s">
        <v>33680</v>
      </c>
      <c r="N12255" t="s">
        <v>33681</v>
      </c>
      <c r="O12255" t="s">
        <v>33682</v>
      </c>
      <c r="P12255">
        <v>70014</v>
      </c>
      <c r="Q12255" t="str">
        <f>"35.333633"</f>
        <v>35.333633</v>
      </c>
      <c r="R12255" t="str">
        <f>"25.345631"</f>
        <v>25.345631</v>
      </c>
      <c r="S12255" t="s">
        <v>26</v>
      </c>
    </row>
    <row r="12256" spans="1:19" x14ac:dyDescent="0.3">
      <c r="A12256" t="s">
        <v>32470</v>
      </c>
      <c r="B12256" t="s">
        <v>33426</v>
      </c>
      <c r="C12256" t="s">
        <v>33683</v>
      </c>
      <c r="D12256" t="s">
        <v>4618</v>
      </c>
      <c r="E12256" t="s">
        <v>32508</v>
      </c>
      <c r="F12256" t="s">
        <v>32508</v>
      </c>
      <c r="G12256" t="s">
        <v>32768</v>
      </c>
      <c r="H12256" t="s">
        <v>859</v>
      </c>
      <c r="I12256" t="s">
        <v>860</v>
      </c>
      <c r="J12256" t="str">
        <f>"9170578"</f>
        <v>9170578</v>
      </c>
      <c r="K12256">
        <v>2897029348</v>
      </c>
      <c r="L12256">
        <v>2897022010</v>
      </c>
      <c r="M12256" t="s">
        <v>33684</v>
      </c>
      <c r="N12256" t="s">
        <v>33685</v>
      </c>
      <c r="O12256" t="s">
        <v>33605</v>
      </c>
      <c r="P12256">
        <v>70014</v>
      </c>
      <c r="Q12256" t="str">
        <f>"35.319649"</f>
        <v>35.319649</v>
      </c>
      <c r="R12256" t="str">
        <f>"25.391078"</f>
        <v>25.391078</v>
      </c>
      <c r="S12256" t="s">
        <v>26</v>
      </c>
    </row>
    <row r="12257" spans="1:19" x14ac:dyDescent="0.3">
      <c r="A12257" t="s">
        <v>32470</v>
      </c>
      <c r="B12257" t="s">
        <v>33426</v>
      </c>
      <c r="C12257" t="s">
        <v>33696</v>
      </c>
      <c r="D12257" t="s">
        <v>4618</v>
      </c>
      <c r="E12257" t="s">
        <v>32549</v>
      </c>
      <c r="F12257" t="s">
        <v>32669</v>
      </c>
      <c r="G12257" t="s">
        <v>32669</v>
      </c>
      <c r="H12257" t="s">
        <v>859</v>
      </c>
      <c r="I12257" t="s">
        <v>860</v>
      </c>
      <c r="J12257" t="str">
        <f>"9170371"</f>
        <v>9170371</v>
      </c>
      <c r="K12257">
        <v>2891031438</v>
      </c>
      <c r="L12257">
        <v>2891031438</v>
      </c>
      <c r="M12257" t="s">
        <v>33697</v>
      </c>
      <c r="N12257" t="s">
        <v>33698</v>
      </c>
      <c r="O12257" t="s">
        <v>32840</v>
      </c>
      <c r="P12257">
        <v>70006</v>
      </c>
      <c r="Q12257" t="str">
        <f>"35.205840"</f>
        <v>35.205840</v>
      </c>
      <c r="R12257" t="str">
        <f>"25.341210"</f>
        <v>25.341210</v>
      </c>
      <c r="S12257" t="s">
        <v>26</v>
      </c>
    </row>
    <row r="12258" spans="1:19" x14ac:dyDescent="0.3">
      <c r="A12258" t="s">
        <v>32470</v>
      </c>
      <c r="B12258" t="s">
        <v>33426</v>
      </c>
      <c r="C12258" t="s">
        <v>33707</v>
      </c>
      <c r="D12258" t="s">
        <v>4618</v>
      </c>
      <c r="E12258" t="s">
        <v>4618</v>
      </c>
      <c r="F12258" t="s">
        <v>4618</v>
      </c>
      <c r="G12258" t="s">
        <v>32537</v>
      </c>
      <c r="H12258" t="s">
        <v>859</v>
      </c>
      <c r="I12258" t="s">
        <v>860</v>
      </c>
      <c r="J12258" t="str">
        <f>"9170594"</f>
        <v>9170594</v>
      </c>
      <c r="K12258">
        <v>2810211000</v>
      </c>
      <c r="N12258" t="s">
        <v>4618</v>
      </c>
      <c r="O12258" t="s">
        <v>33708</v>
      </c>
      <c r="P12258">
        <v>71409</v>
      </c>
      <c r="Q12258" t="str">
        <f>""</f>
        <v/>
      </c>
      <c r="R12258" t="str">
        <f>""</f>
        <v/>
      </c>
      <c r="S12258" t="s">
        <v>26</v>
      </c>
    </row>
    <row r="12259" spans="1:19" x14ac:dyDescent="0.3">
      <c r="A12259" t="s">
        <v>32470</v>
      </c>
      <c r="B12259" t="s">
        <v>33426</v>
      </c>
      <c r="C12259" t="s">
        <v>33709</v>
      </c>
      <c r="D12259" t="s">
        <v>4618</v>
      </c>
      <c r="E12259" t="s">
        <v>4618</v>
      </c>
      <c r="F12259" t="s">
        <v>4618</v>
      </c>
      <c r="G12259" t="s">
        <v>32537</v>
      </c>
      <c r="H12259" t="s">
        <v>859</v>
      </c>
      <c r="I12259" t="s">
        <v>860</v>
      </c>
      <c r="J12259" t="str">
        <f>"9170187"</f>
        <v>9170187</v>
      </c>
      <c r="K12259">
        <v>2810211623</v>
      </c>
      <c r="L12259">
        <v>2810211623</v>
      </c>
      <c r="M12259" t="s">
        <v>33710</v>
      </c>
      <c r="N12259" t="s">
        <v>4618</v>
      </c>
      <c r="O12259" t="s">
        <v>33711</v>
      </c>
      <c r="P12259">
        <v>71409</v>
      </c>
      <c r="Q12259" t="str">
        <f>"35.316646"</f>
        <v>35.316646</v>
      </c>
      <c r="R12259" t="str">
        <f>"25.145849"</f>
        <v>25.145849</v>
      </c>
      <c r="S12259" t="s">
        <v>26</v>
      </c>
    </row>
    <row r="12260" spans="1:19" x14ac:dyDescent="0.3">
      <c r="A12260" t="s">
        <v>32470</v>
      </c>
      <c r="B12260" t="s">
        <v>33426</v>
      </c>
      <c r="C12260" t="s">
        <v>33712</v>
      </c>
      <c r="D12260" t="s">
        <v>4618</v>
      </c>
      <c r="E12260" t="s">
        <v>4618</v>
      </c>
      <c r="F12260" t="s">
        <v>32623</v>
      </c>
      <c r="G12260" t="s">
        <v>32623</v>
      </c>
      <c r="H12260" t="s">
        <v>859</v>
      </c>
      <c r="I12260" t="s">
        <v>860</v>
      </c>
      <c r="J12260" t="str">
        <f>"9170576"</f>
        <v>9170576</v>
      </c>
      <c r="K12260">
        <v>2810240001</v>
      </c>
      <c r="L12260">
        <v>2810228697</v>
      </c>
      <c r="M12260" t="s">
        <v>33713</v>
      </c>
      <c r="N12260" t="s">
        <v>32623</v>
      </c>
      <c r="O12260" t="s">
        <v>33714</v>
      </c>
      <c r="P12260">
        <v>71601</v>
      </c>
      <c r="Q12260" t="str">
        <f>"35.340554"</f>
        <v>35.340554</v>
      </c>
      <c r="R12260" t="str">
        <f>"25.156466"</f>
        <v>25.156466</v>
      </c>
      <c r="S12260" t="s">
        <v>26</v>
      </c>
    </row>
    <row r="12261" spans="1:19" x14ac:dyDescent="0.3">
      <c r="A12261" t="s">
        <v>32470</v>
      </c>
      <c r="B12261" t="s">
        <v>33426</v>
      </c>
      <c r="C12261" t="s">
        <v>33715</v>
      </c>
      <c r="D12261" t="s">
        <v>4618</v>
      </c>
      <c r="E12261" t="s">
        <v>4618</v>
      </c>
      <c r="F12261" t="s">
        <v>32623</v>
      </c>
      <c r="G12261" t="s">
        <v>32623</v>
      </c>
      <c r="H12261" t="s">
        <v>859</v>
      </c>
      <c r="I12261" t="s">
        <v>860</v>
      </c>
      <c r="J12261" t="str">
        <f>"9170261"</f>
        <v>9170261</v>
      </c>
      <c r="K12261">
        <v>2810228697</v>
      </c>
      <c r="L12261">
        <v>2810228697</v>
      </c>
      <c r="M12261" t="s">
        <v>33716</v>
      </c>
      <c r="N12261" t="s">
        <v>33717</v>
      </c>
      <c r="O12261" t="s">
        <v>33714</v>
      </c>
      <c r="P12261">
        <v>71601</v>
      </c>
      <c r="Q12261" t="str">
        <f>"35.340554"</f>
        <v>35.340554</v>
      </c>
      <c r="R12261" t="str">
        <f>"25.156466"</f>
        <v>25.156466</v>
      </c>
      <c r="S12261" t="s">
        <v>26</v>
      </c>
    </row>
    <row r="12262" spans="1:19" x14ac:dyDescent="0.3">
      <c r="A12262" t="s">
        <v>32470</v>
      </c>
      <c r="B12262" t="s">
        <v>33426</v>
      </c>
      <c r="C12262" t="s">
        <v>33723</v>
      </c>
      <c r="D12262" t="s">
        <v>4618</v>
      </c>
      <c r="E12262" t="s">
        <v>4618</v>
      </c>
      <c r="F12262" t="s">
        <v>4618</v>
      </c>
      <c r="G12262" t="s">
        <v>32754</v>
      </c>
      <c r="H12262" t="s">
        <v>859</v>
      </c>
      <c r="I12262" t="s">
        <v>860</v>
      </c>
      <c r="J12262" t="str">
        <f>"9170588"</f>
        <v>9170588</v>
      </c>
      <c r="K12262">
        <v>2810320601</v>
      </c>
      <c r="L12262">
        <v>2810320601</v>
      </c>
      <c r="M12262" t="s">
        <v>33724</v>
      </c>
      <c r="N12262" t="s">
        <v>4618</v>
      </c>
      <c r="O12262" t="s">
        <v>33725</v>
      </c>
      <c r="P12262">
        <v>71307</v>
      </c>
      <c r="Q12262" t="str">
        <f>"35.331299"</f>
        <v>35.331299</v>
      </c>
      <c r="R12262" t="str">
        <f>"25.149472"</f>
        <v>25.149472</v>
      </c>
      <c r="S12262" t="s">
        <v>26</v>
      </c>
    </row>
    <row r="12263" spans="1:19" x14ac:dyDescent="0.3">
      <c r="A12263" t="s">
        <v>32470</v>
      </c>
      <c r="B12263" t="s">
        <v>33426</v>
      </c>
      <c r="C12263" t="s">
        <v>33726</v>
      </c>
      <c r="D12263" t="s">
        <v>4618</v>
      </c>
      <c r="E12263" t="s">
        <v>4618</v>
      </c>
      <c r="F12263" t="s">
        <v>4618</v>
      </c>
      <c r="G12263" t="s">
        <v>32537</v>
      </c>
      <c r="H12263" t="s">
        <v>859</v>
      </c>
      <c r="I12263" t="s">
        <v>860</v>
      </c>
      <c r="J12263" t="str">
        <f>"9170556"</f>
        <v>9170556</v>
      </c>
      <c r="K12263">
        <v>2810239763</v>
      </c>
      <c r="L12263">
        <v>2810239763</v>
      </c>
      <c r="M12263" t="s">
        <v>33727</v>
      </c>
      <c r="N12263" t="s">
        <v>4618</v>
      </c>
      <c r="O12263" t="s">
        <v>33728</v>
      </c>
      <c r="P12263">
        <v>71305</v>
      </c>
      <c r="Q12263" t="str">
        <f>"35.329797"</f>
        <v>35.329797</v>
      </c>
      <c r="R12263" t="str">
        <f>"25.132576"</f>
        <v>25.132576</v>
      </c>
      <c r="S12263" t="s">
        <v>26</v>
      </c>
    </row>
    <row r="12264" spans="1:19" x14ac:dyDescent="0.3">
      <c r="A12264" t="s">
        <v>32470</v>
      </c>
      <c r="B12264" t="s">
        <v>33426</v>
      </c>
      <c r="C12264" t="s">
        <v>33730</v>
      </c>
      <c r="D12264" t="s">
        <v>4618</v>
      </c>
      <c r="E12264" t="s">
        <v>32529</v>
      </c>
      <c r="F12264" t="s">
        <v>32650</v>
      </c>
      <c r="G12264" t="s">
        <v>33729</v>
      </c>
      <c r="H12264" t="s">
        <v>859</v>
      </c>
      <c r="I12264" t="s">
        <v>860</v>
      </c>
      <c r="J12264" t="str">
        <f>"9170458"</f>
        <v>9170458</v>
      </c>
      <c r="K12264">
        <v>6986913607</v>
      </c>
      <c r="L12264">
        <v>2810521531</v>
      </c>
      <c r="M12264" t="s">
        <v>33731</v>
      </c>
      <c r="N12264" t="s">
        <v>33732</v>
      </c>
      <c r="O12264" t="s">
        <v>33733</v>
      </c>
      <c r="P12264">
        <v>71306</v>
      </c>
      <c r="Q12264" t="str">
        <f>"35.381607"</f>
        <v>35.381607</v>
      </c>
      <c r="R12264" t="str">
        <f>"24.957891"</f>
        <v>24.957891</v>
      </c>
      <c r="S12264" t="s">
        <v>26</v>
      </c>
    </row>
    <row r="12265" spans="1:19" x14ac:dyDescent="0.3">
      <c r="A12265" t="s">
        <v>32470</v>
      </c>
      <c r="B12265" t="s">
        <v>33426</v>
      </c>
      <c r="C12265" t="s">
        <v>33734</v>
      </c>
      <c r="D12265" t="s">
        <v>4618</v>
      </c>
      <c r="E12265" t="s">
        <v>4618</v>
      </c>
      <c r="F12265" t="s">
        <v>32623</v>
      </c>
      <c r="G12265" t="s">
        <v>5563</v>
      </c>
      <c r="H12265" t="s">
        <v>859</v>
      </c>
      <c r="I12265" t="s">
        <v>860</v>
      </c>
      <c r="J12265" t="str">
        <f>"9520948"</f>
        <v>9520948</v>
      </c>
      <c r="K12265">
        <v>2810380183</v>
      </c>
      <c r="L12265">
        <v>2810380183</v>
      </c>
      <c r="M12265" t="s">
        <v>33735</v>
      </c>
      <c r="N12265" t="s">
        <v>33736</v>
      </c>
      <c r="O12265" t="s">
        <v>33736</v>
      </c>
      <c r="P12265">
        <v>71500</v>
      </c>
      <c r="Q12265" t="str">
        <f>"35.327493"</f>
        <v>35.327493</v>
      </c>
      <c r="R12265" t="str">
        <f>"25.198350"</f>
        <v>25.198350</v>
      </c>
      <c r="S12265" t="s">
        <v>26</v>
      </c>
    </row>
    <row r="12266" spans="1:19" x14ac:dyDescent="0.3">
      <c r="A12266" t="s">
        <v>32470</v>
      </c>
      <c r="B12266" t="s">
        <v>33426</v>
      </c>
      <c r="C12266" t="s">
        <v>33737</v>
      </c>
      <c r="D12266" t="s">
        <v>4618</v>
      </c>
      <c r="E12266" t="s">
        <v>32529</v>
      </c>
      <c r="F12266" t="s">
        <v>32831</v>
      </c>
      <c r="G12266" t="s">
        <v>32831</v>
      </c>
      <c r="H12266" t="s">
        <v>859</v>
      </c>
      <c r="I12266" t="s">
        <v>860</v>
      </c>
      <c r="J12266" t="str">
        <f>"9170352"</f>
        <v>9170352</v>
      </c>
      <c r="K12266">
        <v>2810831204</v>
      </c>
      <c r="M12266" t="s">
        <v>33738</v>
      </c>
      <c r="N12266" t="s">
        <v>32834</v>
      </c>
      <c r="O12266" t="s">
        <v>32834</v>
      </c>
      <c r="P12266">
        <v>71500</v>
      </c>
      <c r="Q12266" t="str">
        <f>"35.297039"</f>
        <v>35.297039</v>
      </c>
      <c r="R12266" t="str">
        <f>"25.018223"</f>
        <v>25.018223</v>
      </c>
      <c r="S12266" t="s">
        <v>26</v>
      </c>
    </row>
    <row r="12267" spans="1:19" x14ac:dyDescent="0.3">
      <c r="A12267" t="s">
        <v>32470</v>
      </c>
      <c r="B12267" t="s">
        <v>33426</v>
      </c>
      <c r="C12267" t="s">
        <v>33740</v>
      </c>
      <c r="D12267" t="s">
        <v>4618</v>
      </c>
      <c r="E12267" t="s">
        <v>32501</v>
      </c>
      <c r="F12267" t="s">
        <v>32596</v>
      </c>
      <c r="G12267" t="s">
        <v>33739</v>
      </c>
      <c r="H12267" t="s">
        <v>859</v>
      </c>
      <c r="I12267" t="s">
        <v>860</v>
      </c>
      <c r="J12267" t="str">
        <f>"9170212"</f>
        <v>9170212</v>
      </c>
      <c r="K12267">
        <v>2810741056</v>
      </c>
      <c r="M12267" t="s">
        <v>33741</v>
      </c>
      <c r="N12267" t="s">
        <v>33739</v>
      </c>
      <c r="O12267" t="s">
        <v>16740</v>
      </c>
      <c r="P12267">
        <v>70100</v>
      </c>
      <c r="Q12267" t="str">
        <f>"35.234650"</f>
        <v>35.234650</v>
      </c>
      <c r="R12267" t="str">
        <f>"25.209204"</f>
        <v>25.209204</v>
      </c>
      <c r="S12267" t="s">
        <v>26</v>
      </c>
    </row>
    <row r="12268" spans="1:19" x14ac:dyDescent="0.3">
      <c r="A12268" t="s">
        <v>32470</v>
      </c>
      <c r="B12268" t="s">
        <v>33426</v>
      </c>
      <c r="C12268" t="s">
        <v>33742</v>
      </c>
      <c r="D12268" t="s">
        <v>4618</v>
      </c>
      <c r="E12268" t="s">
        <v>4618</v>
      </c>
      <c r="F12268" t="s">
        <v>4618</v>
      </c>
      <c r="G12268" t="s">
        <v>33523</v>
      </c>
      <c r="H12268" t="s">
        <v>859</v>
      </c>
      <c r="I12268" t="s">
        <v>860</v>
      </c>
      <c r="J12268" t="str">
        <f>"9170592"</f>
        <v>9170592</v>
      </c>
      <c r="K12268">
        <v>2810230907</v>
      </c>
      <c r="M12268" t="s">
        <v>33743</v>
      </c>
      <c r="N12268" t="s">
        <v>33744</v>
      </c>
      <c r="O12268" t="s">
        <v>33745</v>
      </c>
      <c r="P12268">
        <v>71500</v>
      </c>
      <c r="Q12268" t="str">
        <f>"35.270160"</f>
        <v>35.270160</v>
      </c>
      <c r="R12268" t="str">
        <f>"25.138259"</f>
        <v>25.138259</v>
      </c>
      <c r="S12268" t="s">
        <v>26</v>
      </c>
    </row>
    <row r="12269" spans="1:19" x14ac:dyDescent="0.3">
      <c r="A12269" t="s">
        <v>32470</v>
      </c>
      <c r="B12269" t="s">
        <v>33426</v>
      </c>
      <c r="C12269" t="s">
        <v>33747</v>
      </c>
      <c r="D12269" t="s">
        <v>4618</v>
      </c>
      <c r="E12269" t="s">
        <v>32529</v>
      </c>
      <c r="F12269" t="s">
        <v>32650</v>
      </c>
      <c r="G12269" t="s">
        <v>32650</v>
      </c>
      <c r="H12269" t="s">
        <v>859</v>
      </c>
      <c r="I12269" t="s">
        <v>860</v>
      </c>
      <c r="J12269" t="str">
        <f>"9170457"</f>
        <v>9170457</v>
      </c>
      <c r="K12269">
        <v>2810823321</v>
      </c>
      <c r="L12269">
        <v>2810823321</v>
      </c>
      <c r="M12269" t="s">
        <v>33748</v>
      </c>
      <c r="N12269" t="s">
        <v>32650</v>
      </c>
      <c r="O12269" t="s">
        <v>33749</v>
      </c>
      <c r="P12269">
        <v>71414</v>
      </c>
      <c r="Q12269" t="str">
        <f>"35.324264"</f>
        <v>35.324264</v>
      </c>
      <c r="R12269" t="str">
        <f>"25.065459"</f>
        <v>25.065459</v>
      </c>
      <c r="S12269" t="s">
        <v>26</v>
      </c>
    </row>
    <row r="12270" spans="1:19" x14ac:dyDescent="0.3">
      <c r="A12270" t="s">
        <v>32470</v>
      </c>
      <c r="B12270" t="s">
        <v>33426</v>
      </c>
      <c r="C12270" t="s">
        <v>33752</v>
      </c>
      <c r="D12270" t="s">
        <v>4618</v>
      </c>
      <c r="E12270" t="s">
        <v>4618</v>
      </c>
      <c r="F12270" t="s">
        <v>4618</v>
      </c>
      <c r="G12270" t="s">
        <v>32514</v>
      </c>
      <c r="H12270" t="s">
        <v>859</v>
      </c>
      <c r="I12270" t="s">
        <v>860</v>
      </c>
      <c r="J12270" t="str">
        <f>"9170449"</f>
        <v>9170449</v>
      </c>
      <c r="K12270">
        <v>2810262915</v>
      </c>
      <c r="L12270">
        <v>2810262915</v>
      </c>
      <c r="M12270" t="s">
        <v>33753</v>
      </c>
      <c r="N12270" t="s">
        <v>4618</v>
      </c>
      <c r="O12270" t="s">
        <v>33754</v>
      </c>
      <c r="P12270">
        <v>71303</v>
      </c>
      <c r="Q12270" t="str">
        <f>"35.334331"</f>
        <v>35.334331</v>
      </c>
      <c r="R12270" t="str">
        <f>"25.112518"</f>
        <v>25.112518</v>
      </c>
      <c r="S12270" t="s">
        <v>26</v>
      </c>
    </row>
    <row r="12271" spans="1:19" x14ac:dyDescent="0.3">
      <c r="A12271" t="s">
        <v>32470</v>
      </c>
      <c r="B12271" t="s">
        <v>33426</v>
      </c>
      <c r="C12271" t="s">
        <v>33759</v>
      </c>
      <c r="D12271" t="s">
        <v>4618</v>
      </c>
      <c r="E12271" t="s">
        <v>4618</v>
      </c>
      <c r="F12271" t="s">
        <v>4618</v>
      </c>
      <c r="G12271" t="s">
        <v>32537</v>
      </c>
      <c r="H12271" t="s">
        <v>859</v>
      </c>
      <c r="I12271" t="s">
        <v>860</v>
      </c>
      <c r="J12271" t="str">
        <f>"9170508"</f>
        <v>9170508</v>
      </c>
      <c r="K12271">
        <v>2810212076</v>
      </c>
      <c r="L12271">
        <v>2810212076</v>
      </c>
      <c r="M12271" t="s">
        <v>33760</v>
      </c>
      <c r="N12271" t="s">
        <v>4618</v>
      </c>
      <c r="O12271" t="s">
        <v>33761</v>
      </c>
      <c r="P12271">
        <v>71409</v>
      </c>
      <c r="Q12271" t="str">
        <f>"35.319187"</f>
        <v>35.319187</v>
      </c>
      <c r="R12271" t="str">
        <f>"25.134251"</f>
        <v>25.134251</v>
      </c>
      <c r="S12271" t="s">
        <v>26</v>
      </c>
    </row>
    <row r="12272" spans="1:19" x14ac:dyDescent="0.3">
      <c r="A12272" t="s">
        <v>32470</v>
      </c>
      <c r="B12272" t="s">
        <v>33426</v>
      </c>
      <c r="C12272" t="s">
        <v>33762</v>
      </c>
      <c r="D12272" t="s">
        <v>4618</v>
      </c>
      <c r="E12272" t="s">
        <v>4618</v>
      </c>
      <c r="F12272" t="s">
        <v>4618</v>
      </c>
      <c r="G12272" t="s">
        <v>32514</v>
      </c>
      <c r="H12272" t="s">
        <v>859</v>
      </c>
      <c r="I12272" t="s">
        <v>860</v>
      </c>
      <c r="J12272" t="str">
        <f>"9170582"</f>
        <v>9170582</v>
      </c>
      <c r="K12272">
        <v>2810261806</v>
      </c>
      <c r="M12272" t="s">
        <v>33763</v>
      </c>
      <c r="N12272" t="s">
        <v>4618</v>
      </c>
      <c r="O12272" t="s">
        <v>33764</v>
      </c>
      <c r="P12272">
        <v>71303</v>
      </c>
      <c r="Q12272" t="str">
        <f>"35.336475"</f>
        <v>35.336475</v>
      </c>
      <c r="R12272" t="str">
        <f>"25.113465"</f>
        <v>25.113465</v>
      </c>
      <c r="S12272" t="s">
        <v>26</v>
      </c>
    </row>
    <row r="12273" spans="1:19" x14ac:dyDescent="0.3">
      <c r="A12273" t="s">
        <v>32470</v>
      </c>
      <c r="B12273" t="s">
        <v>33426</v>
      </c>
      <c r="C12273" t="s">
        <v>33765</v>
      </c>
      <c r="D12273" t="s">
        <v>4618</v>
      </c>
      <c r="E12273" t="s">
        <v>32549</v>
      </c>
      <c r="F12273" t="s">
        <v>32550</v>
      </c>
      <c r="G12273" t="s">
        <v>32550</v>
      </c>
      <c r="H12273" t="s">
        <v>859</v>
      </c>
      <c r="I12273" t="s">
        <v>860</v>
      </c>
      <c r="J12273" t="str">
        <f>"9170389"</f>
        <v>9170389</v>
      </c>
      <c r="K12273">
        <v>2891023312</v>
      </c>
      <c r="M12273" t="s">
        <v>33766</v>
      </c>
      <c r="N12273" t="s">
        <v>32550</v>
      </c>
      <c r="O12273" t="s">
        <v>32688</v>
      </c>
      <c r="P12273">
        <v>70300</v>
      </c>
      <c r="Q12273" t="str">
        <f>"35.142173"</f>
        <v>35.142173</v>
      </c>
      <c r="R12273" t="str">
        <f>"25.266287"</f>
        <v>25.266287</v>
      </c>
      <c r="S12273" t="s">
        <v>26</v>
      </c>
    </row>
    <row r="12274" spans="1:19" x14ac:dyDescent="0.3">
      <c r="A12274" t="s">
        <v>32470</v>
      </c>
      <c r="B12274" t="s">
        <v>33426</v>
      </c>
      <c r="C12274" t="s">
        <v>33767</v>
      </c>
      <c r="D12274" t="s">
        <v>4618</v>
      </c>
      <c r="E12274" t="s">
        <v>4618</v>
      </c>
      <c r="F12274" t="s">
        <v>4618</v>
      </c>
      <c r="G12274" t="s">
        <v>32514</v>
      </c>
      <c r="H12274" t="s">
        <v>859</v>
      </c>
      <c r="I12274" t="s">
        <v>860</v>
      </c>
      <c r="J12274" t="str">
        <f>"9170601"</f>
        <v>9170601</v>
      </c>
      <c r="K12274">
        <v>2810319772</v>
      </c>
      <c r="L12274">
        <v>2810319772</v>
      </c>
      <c r="M12274" t="s">
        <v>33768</v>
      </c>
      <c r="N12274" t="s">
        <v>4618</v>
      </c>
      <c r="O12274" t="s">
        <v>33769</v>
      </c>
      <c r="P12274">
        <v>71304</v>
      </c>
      <c r="Q12274" t="str">
        <f>"35.320832"</f>
        <v>35.320832</v>
      </c>
      <c r="R12274" t="str">
        <f>"25.115227"</f>
        <v>25.115227</v>
      </c>
      <c r="S12274" t="s">
        <v>26</v>
      </c>
    </row>
    <row r="12275" spans="1:19" x14ac:dyDescent="0.3">
      <c r="A12275" t="s">
        <v>32470</v>
      </c>
      <c r="B12275" t="s">
        <v>33426</v>
      </c>
      <c r="C12275" t="s">
        <v>33771</v>
      </c>
      <c r="D12275" t="s">
        <v>4618</v>
      </c>
      <c r="E12275" t="s">
        <v>32529</v>
      </c>
      <c r="F12275" t="s">
        <v>32650</v>
      </c>
      <c r="G12275" t="s">
        <v>33770</v>
      </c>
      <c r="H12275" t="s">
        <v>859</v>
      </c>
      <c r="I12275" t="s">
        <v>860</v>
      </c>
      <c r="J12275" t="str">
        <f>"9170411"</f>
        <v>9170411</v>
      </c>
      <c r="K12275">
        <v>2810823950</v>
      </c>
      <c r="L12275">
        <v>2810823950</v>
      </c>
      <c r="M12275" t="s">
        <v>33772</v>
      </c>
      <c r="N12275" t="s">
        <v>33773</v>
      </c>
      <c r="O12275" t="s">
        <v>33773</v>
      </c>
      <c r="P12275">
        <v>71500</v>
      </c>
      <c r="Q12275" t="str">
        <f>"35.286798"</f>
        <v>35.286798</v>
      </c>
      <c r="R12275" t="str">
        <f>"25.059698"</f>
        <v>25.059698</v>
      </c>
      <c r="S12275" t="s">
        <v>26</v>
      </c>
    </row>
    <row r="12276" spans="1:19" x14ac:dyDescent="0.3">
      <c r="A12276" t="s">
        <v>32470</v>
      </c>
      <c r="B12276" t="s">
        <v>33426</v>
      </c>
      <c r="C12276" t="s">
        <v>33774</v>
      </c>
      <c r="D12276" t="s">
        <v>4618</v>
      </c>
      <c r="E12276" t="s">
        <v>32529</v>
      </c>
      <c r="F12276" t="s">
        <v>32650</v>
      </c>
      <c r="G12276" t="s">
        <v>32650</v>
      </c>
      <c r="H12276" t="s">
        <v>859</v>
      </c>
      <c r="I12276" t="s">
        <v>860</v>
      </c>
      <c r="J12276" t="str">
        <f>"9170591"</f>
        <v>9170591</v>
      </c>
      <c r="K12276">
        <v>2810263596</v>
      </c>
      <c r="L12276">
        <v>2810263596</v>
      </c>
      <c r="M12276" t="s">
        <v>33775</v>
      </c>
      <c r="N12276" t="s">
        <v>8281</v>
      </c>
      <c r="O12276" t="s">
        <v>33776</v>
      </c>
      <c r="P12276">
        <v>71414</v>
      </c>
      <c r="Q12276" t="str">
        <f>"35.334157"</f>
        <v>35.334157</v>
      </c>
      <c r="R12276" t="str">
        <f>"25.087945"</f>
        <v>25.087945</v>
      </c>
      <c r="S12276" t="s">
        <v>26</v>
      </c>
    </row>
    <row r="12277" spans="1:19" x14ac:dyDescent="0.3">
      <c r="A12277" t="s">
        <v>32470</v>
      </c>
      <c r="B12277" t="s">
        <v>33426</v>
      </c>
      <c r="C12277" t="s">
        <v>33779</v>
      </c>
      <c r="D12277" t="s">
        <v>4618</v>
      </c>
      <c r="E12277" t="s">
        <v>4618</v>
      </c>
      <c r="F12277" t="s">
        <v>32607</v>
      </c>
      <c r="G12277" t="s">
        <v>33778</v>
      </c>
      <c r="H12277" t="s">
        <v>859</v>
      </c>
      <c r="I12277" t="s">
        <v>860</v>
      </c>
      <c r="J12277" t="str">
        <f>"9170483"</f>
        <v>9170483</v>
      </c>
      <c r="K12277">
        <v>2810861166</v>
      </c>
      <c r="M12277" t="s">
        <v>33780</v>
      </c>
      <c r="N12277" t="s">
        <v>33781</v>
      </c>
      <c r="O12277" t="s">
        <v>33782</v>
      </c>
      <c r="P12277">
        <v>70013</v>
      </c>
      <c r="Q12277" t="str">
        <f>"35.194408"</f>
        <v>35.194408</v>
      </c>
      <c r="R12277" t="str">
        <f>"24.999291"</f>
        <v>24.999291</v>
      </c>
      <c r="S12277" t="s">
        <v>26</v>
      </c>
    </row>
    <row r="12278" spans="1:19" x14ac:dyDescent="0.3">
      <c r="A12278" t="s">
        <v>32470</v>
      </c>
      <c r="B12278" t="s">
        <v>33426</v>
      </c>
      <c r="C12278" t="s">
        <v>33788</v>
      </c>
      <c r="D12278" t="s">
        <v>4618</v>
      </c>
      <c r="E12278" t="s">
        <v>32529</v>
      </c>
      <c r="F12278" t="s">
        <v>32650</v>
      </c>
      <c r="G12278" t="s">
        <v>32650</v>
      </c>
      <c r="H12278" t="s">
        <v>859</v>
      </c>
      <c r="I12278" t="s">
        <v>860</v>
      </c>
      <c r="J12278" t="str">
        <f>"9170570"</f>
        <v>9170570</v>
      </c>
      <c r="K12278">
        <v>2810318507</v>
      </c>
      <c r="L12278">
        <v>2810318507</v>
      </c>
      <c r="M12278" t="s">
        <v>33789</v>
      </c>
      <c r="N12278" t="s">
        <v>8190</v>
      </c>
      <c r="O12278" t="s">
        <v>33790</v>
      </c>
      <c r="P12278">
        <v>71414</v>
      </c>
      <c r="Q12278" t="str">
        <f>"35.330468"</f>
        <v>35.330468</v>
      </c>
      <c r="R12278" t="str">
        <f>"25.084617"</f>
        <v>25.084617</v>
      </c>
      <c r="S12278" t="s">
        <v>26</v>
      </c>
    </row>
    <row r="12279" spans="1:19" x14ac:dyDescent="0.3">
      <c r="A12279" t="s">
        <v>32470</v>
      </c>
      <c r="B12279" t="s">
        <v>33426</v>
      </c>
      <c r="C12279" t="s">
        <v>33791</v>
      </c>
      <c r="D12279" t="s">
        <v>4618</v>
      </c>
      <c r="E12279" t="s">
        <v>32529</v>
      </c>
      <c r="F12279" t="s">
        <v>32650</v>
      </c>
      <c r="G12279" t="s">
        <v>32650</v>
      </c>
      <c r="H12279" t="s">
        <v>859</v>
      </c>
      <c r="I12279" t="s">
        <v>860</v>
      </c>
      <c r="J12279" t="str">
        <f>"9170448"</f>
        <v>9170448</v>
      </c>
      <c r="K12279">
        <v>2810315229</v>
      </c>
      <c r="L12279">
        <v>2810315229</v>
      </c>
      <c r="M12279" t="s">
        <v>33792</v>
      </c>
      <c r="N12279" t="s">
        <v>33793</v>
      </c>
      <c r="O12279" t="s">
        <v>33794</v>
      </c>
      <c r="P12279">
        <v>71500</v>
      </c>
      <c r="Q12279" t="str">
        <f>"35.336674"</f>
        <v>35.336674</v>
      </c>
      <c r="R12279" t="str">
        <f>"25.094863"</f>
        <v>25.094863</v>
      </c>
      <c r="S12279" t="s">
        <v>26</v>
      </c>
    </row>
    <row r="12280" spans="1:19" x14ac:dyDescent="0.3">
      <c r="A12280" t="s">
        <v>32470</v>
      </c>
      <c r="B12280" t="s">
        <v>33426</v>
      </c>
      <c r="C12280" t="s">
        <v>33798</v>
      </c>
      <c r="D12280" t="s">
        <v>4618</v>
      </c>
      <c r="E12280" t="s">
        <v>32549</v>
      </c>
      <c r="F12280" t="s">
        <v>32550</v>
      </c>
      <c r="G12280" t="s">
        <v>33797</v>
      </c>
      <c r="H12280" t="s">
        <v>859</v>
      </c>
      <c r="I12280" t="s">
        <v>860</v>
      </c>
      <c r="J12280" t="str">
        <f>"9170489"</f>
        <v>9170489</v>
      </c>
      <c r="K12280">
        <v>2891071190</v>
      </c>
      <c r="L12280">
        <v>2891071183</v>
      </c>
      <c r="M12280" t="s">
        <v>33799</v>
      </c>
      <c r="N12280" t="s">
        <v>33800</v>
      </c>
      <c r="O12280" t="s">
        <v>33801</v>
      </c>
      <c r="P12280">
        <v>70010</v>
      </c>
      <c r="Q12280" t="str">
        <f>""</f>
        <v/>
      </c>
      <c r="R12280" t="str">
        <f>""</f>
        <v/>
      </c>
      <c r="S12280" t="s">
        <v>26</v>
      </c>
    </row>
    <row r="12281" spans="1:19" x14ac:dyDescent="0.3">
      <c r="A12281" t="s">
        <v>32470</v>
      </c>
      <c r="B12281" t="s">
        <v>33426</v>
      </c>
      <c r="C12281" t="s">
        <v>33802</v>
      </c>
      <c r="D12281" t="s">
        <v>4618</v>
      </c>
      <c r="E12281" t="s">
        <v>32529</v>
      </c>
      <c r="F12281" t="s">
        <v>32650</v>
      </c>
      <c r="G12281" t="s">
        <v>32650</v>
      </c>
      <c r="H12281" t="s">
        <v>859</v>
      </c>
      <c r="I12281" t="s">
        <v>860</v>
      </c>
      <c r="J12281" t="str">
        <f>"9170586"</f>
        <v>9170586</v>
      </c>
      <c r="K12281">
        <v>2810823321</v>
      </c>
      <c r="L12281">
        <v>2810823321</v>
      </c>
      <c r="M12281" t="s">
        <v>33803</v>
      </c>
      <c r="N12281" t="s">
        <v>33804</v>
      </c>
      <c r="O12281" t="s">
        <v>33805</v>
      </c>
      <c r="P12281">
        <v>71414</v>
      </c>
      <c r="Q12281" t="str">
        <f>"35.325374"</f>
        <v>35.325374</v>
      </c>
      <c r="R12281" t="str">
        <f>"25.065359"</f>
        <v>25.065359</v>
      </c>
      <c r="S12281" t="s">
        <v>26</v>
      </c>
    </row>
    <row r="12282" spans="1:19" x14ac:dyDescent="0.3">
      <c r="A12282" t="s">
        <v>32470</v>
      </c>
      <c r="B12282" t="s">
        <v>33426</v>
      </c>
      <c r="C12282" t="s">
        <v>33824</v>
      </c>
      <c r="D12282" t="s">
        <v>4618</v>
      </c>
      <c r="E12282" t="s">
        <v>4618</v>
      </c>
      <c r="F12282" t="s">
        <v>4618</v>
      </c>
      <c r="G12282" t="s">
        <v>32514</v>
      </c>
      <c r="H12282" t="s">
        <v>859</v>
      </c>
      <c r="I12282" t="s">
        <v>860</v>
      </c>
      <c r="J12282" t="str">
        <f>"9170537"</f>
        <v>9170537</v>
      </c>
      <c r="K12282">
        <v>2810262801</v>
      </c>
      <c r="L12282">
        <v>2810262801</v>
      </c>
      <c r="M12282" t="s">
        <v>33825</v>
      </c>
      <c r="N12282" t="s">
        <v>28925</v>
      </c>
      <c r="O12282" t="s">
        <v>32789</v>
      </c>
      <c r="P12282">
        <v>71303</v>
      </c>
      <c r="Q12282" t="str">
        <f>"35.333563"</f>
        <v>35.333563</v>
      </c>
      <c r="R12282" t="str">
        <f>"25.110681"</f>
        <v>25.110681</v>
      </c>
      <c r="S12282" t="s">
        <v>26</v>
      </c>
    </row>
    <row r="12283" spans="1:19" x14ac:dyDescent="0.3">
      <c r="A12283" t="s">
        <v>32470</v>
      </c>
      <c r="B12283" t="s">
        <v>33426</v>
      </c>
      <c r="C12283" t="s">
        <v>33837</v>
      </c>
      <c r="D12283" t="s">
        <v>4618</v>
      </c>
      <c r="E12283" t="s">
        <v>32501</v>
      </c>
      <c r="F12283" t="s">
        <v>32596</v>
      </c>
      <c r="G12283" t="s">
        <v>33815</v>
      </c>
      <c r="H12283" t="s">
        <v>859</v>
      </c>
      <c r="I12283" t="s">
        <v>860</v>
      </c>
      <c r="J12283" t="str">
        <f>"9170201"</f>
        <v>9170201</v>
      </c>
      <c r="K12283">
        <v>2810741564</v>
      </c>
      <c r="L12283">
        <v>2810741564</v>
      </c>
      <c r="M12283" t="s">
        <v>33838</v>
      </c>
      <c r="N12283" t="s">
        <v>33815</v>
      </c>
      <c r="O12283" t="s">
        <v>33839</v>
      </c>
      <c r="P12283">
        <v>70100</v>
      </c>
      <c r="Q12283" t="str">
        <f>"35.193470"</f>
        <v>35.193470</v>
      </c>
      <c r="R12283" t="str">
        <f>"25.202758"</f>
        <v>25.202758</v>
      </c>
      <c r="S12283" t="s">
        <v>26</v>
      </c>
    </row>
    <row r="12284" spans="1:19" x14ac:dyDescent="0.3">
      <c r="A12284" t="s">
        <v>32470</v>
      </c>
      <c r="B12284" t="s">
        <v>33426</v>
      </c>
      <c r="C12284" t="s">
        <v>33845</v>
      </c>
      <c r="D12284" t="s">
        <v>4618</v>
      </c>
      <c r="E12284" t="s">
        <v>32690</v>
      </c>
      <c r="F12284" t="s">
        <v>32690</v>
      </c>
      <c r="G12284" t="s">
        <v>33844</v>
      </c>
      <c r="H12284" t="s">
        <v>859</v>
      </c>
      <c r="I12284" t="s">
        <v>860</v>
      </c>
      <c r="J12284" t="str">
        <f>"9170574"</f>
        <v>9170574</v>
      </c>
      <c r="K12284">
        <v>2895051525</v>
      </c>
      <c r="L12284">
        <v>2895051525</v>
      </c>
      <c r="M12284" t="s">
        <v>33846</v>
      </c>
      <c r="N12284" t="s">
        <v>19879</v>
      </c>
      <c r="O12284" t="s">
        <v>33847</v>
      </c>
      <c r="P12284">
        <v>70004</v>
      </c>
      <c r="Q12284" t="str">
        <f>"34.999040"</f>
        <v>34.999040</v>
      </c>
      <c r="R12284" t="str">
        <f>"25.375964"</f>
        <v>25.375964</v>
      </c>
      <c r="S12284" t="s">
        <v>57</v>
      </c>
    </row>
    <row r="12285" spans="1:19" x14ac:dyDescent="0.3">
      <c r="A12285" t="s">
        <v>32470</v>
      </c>
      <c r="B12285" t="s">
        <v>33426</v>
      </c>
      <c r="C12285" t="s">
        <v>33854</v>
      </c>
      <c r="D12285" t="s">
        <v>4618</v>
      </c>
      <c r="E12285" t="s">
        <v>32690</v>
      </c>
      <c r="F12285" t="s">
        <v>32690</v>
      </c>
      <c r="G12285" t="s">
        <v>33853</v>
      </c>
      <c r="H12285" t="s">
        <v>859</v>
      </c>
      <c r="I12285" t="s">
        <v>860</v>
      </c>
      <c r="J12285" t="str">
        <f>"9170579"</f>
        <v>9170579</v>
      </c>
      <c r="K12285">
        <v>2895061350</v>
      </c>
      <c r="L12285">
        <v>2895061350</v>
      </c>
      <c r="M12285" t="s">
        <v>33855</v>
      </c>
      <c r="N12285" t="s">
        <v>33856</v>
      </c>
      <c r="P12285">
        <v>70004</v>
      </c>
      <c r="Q12285" t="str">
        <f>"34.986632"</f>
        <v>34.986632</v>
      </c>
      <c r="R12285" t="str">
        <f>"25.499972"</f>
        <v>25.499972</v>
      </c>
      <c r="S12285" t="s">
        <v>57</v>
      </c>
    </row>
    <row r="12286" spans="1:19" x14ac:dyDescent="0.3">
      <c r="A12286" t="s">
        <v>32470</v>
      </c>
      <c r="B12286" t="s">
        <v>33426</v>
      </c>
      <c r="C12286" t="s">
        <v>33875</v>
      </c>
      <c r="D12286" t="s">
        <v>4618</v>
      </c>
      <c r="E12286" t="s">
        <v>32690</v>
      </c>
      <c r="F12286" t="s">
        <v>32690</v>
      </c>
      <c r="G12286" t="s">
        <v>33783</v>
      </c>
      <c r="H12286" t="s">
        <v>859</v>
      </c>
      <c r="I12286" t="s">
        <v>860</v>
      </c>
      <c r="J12286" t="str">
        <f>"9170559"</f>
        <v>9170559</v>
      </c>
      <c r="K12286">
        <v>2895041441</v>
      </c>
      <c r="L12286">
        <v>2895041441</v>
      </c>
      <c r="M12286" t="s">
        <v>33876</v>
      </c>
      <c r="N12286" t="s">
        <v>33783</v>
      </c>
      <c r="O12286" t="s">
        <v>33786</v>
      </c>
      <c r="P12286">
        <v>70015</v>
      </c>
      <c r="Q12286" t="str">
        <f>"35.097279"</f>
        <v>35.097279</v>
      </c>
      <c r="R12286" t="str">
        <f>"25.385073"</f>
        <v>25.385073</v>
      </c>
      <c r="S12286" t="s">
        <v>26</v>
      </c>
    </row>
    <row r="12287" spans="1:19" x14ac:dyDescent="0.3">
      <c r="A12287" t="s">
        <v>32470</v>
      </c>
      <c r="B12287" t="s">
        <v>33426</v>
      </c>
      <c r="C12287" t="s">
        <v>33891</v>
      </c>
      <c r="D12287" t="s">
        <v>4618</v>
      </c>
      <c r="E12287" t="s">
        <v>32529</v>
      </c>
      <c r="F12287" t="s">
        <v>32650</v>
      </c>
      <c r="G12287" t="s">
        <v>18607</v>
      </c>
      <c r="H12287" t="s">
        <v>859</v>
      </c>
      <c r="I12287" t="s">
        <v>860</v>
      </c>
      <c r="J12287" t="str">
        <f>"9170473"</f>
        <v>9170473</v>
      </c>
      <c r="K12287">
        <v>2810812103</v>
      </c>
      <c r="L12287">
        <v>2810812103</v>
      </c>
      <c r="M12287" t="s">
        <v>33892</v>
      </c>
      <c r="N12287" t="s">
        <v>33890</v>
      </c>
      <c r="O12287" t="s">
        <v>33893</v>
      </c>
      <c r="P12287">
        <v>71500</v>
      </c>
      <c r="Q12287" t="str">
        <f>"35.406858"</f>
        <v>35.406858</v>
      </c>
      <c r="R12287" t="str">
        <f>"25.015346"</f>
        <v>25.015346</v>
      </c>
      <c r="S12287" t="s">
        <v>26</v>
      </c>
    </row>
    <row r="12288" spans="1:19" x14ac:dyDescent="0.3">
      <c r="A12288" t="s">
        <v>32470</v>
      </c>
      <c r="B12288" t="s">
        <v>33426</v>
      </c>
      <c r="C12288" t="s">
        <v>33909</v>
      </c>
      <c r="D12288" t="s">
        <v>4618</v>
      </c>
      <c r="E12288" t="s">
        <v>4618</v>
      </c>
      <c r="F12288" t="s">
        <v>4618</v>
      </c>
      <c r="G12288" t="s">
        <v>32514</v>
      </c>
      <c r="H12288" t="s">
        <v>859</v>
      </c>
      <c r="I12288" t="s">
        <v>860</v>
      </c>
      <c r="J12288" t="str">
        <f>"9170053"</f>
        <v>9170053</v>
      </c>
      <c r="K12288">
        <v>2810262835</v>
      </c>
      <c r="L12288">
        <v>2810262835</v>
      </c>
      <c r="M12288" t="s">
        <v>33910</v>
      </c>
      <c r="N12288" t="s">
        <v>4618</v>
      </c>
      <c r="O12288" t="s">
        <v>33911</v>
      </c>
      <c r="P12288">
        <v>71304</v>
      </c>
      <c r="Q12288" t="str">
        <f>"35.334019"</f>
        <v>35.334019</v>
      </c>
      <c r="R12288" t="str">
        <f>"25.117178"</f>
        <v>25.117178</v>
      </c>
      <c r="S12288" t="s">
        <v>26</v>
      </c>
    </row>
    <row r="12289" spans="1:19" x14ac:dyDescent="0.3">
      <c r="A12289" t="s">
        <v>32470</v>
      </c>
      <c r="B12289" t="s">
        <v>33426</v>
      </c>
      <c r="C12289" t="s">
        <v>33918</v>
      </c>
      <c r="D12289" t="s">
        <v>4618</v>
      </c>
      <c r="E12289" t="s">
        <v>32529</v>
      </c>
      <c r="F12289" t="s">
        <v>32650</v>
      </c>
      <c r="G12289" t="s">
        <v>32650</v>
      </c>
      <c r="H12289" t="s">
        <v>859</v>
      </c>
      <c r="I12289" t="s">
        <v>860</v>
      </c>
      <c r="J12289" t="str">
        <f>"9170593"</f>
        <v>9170593</v>
      </c>
      <c r="K12289">
        <v>2810824942</v>
      </c>
      <c r="M12289" t="s">
        <v>33919</v>
      </c>
      <c r="N12289" t="s">
        <v>33920</v>
      </c>
      <c r="O12289" t="s">
        <v>33920</v>
      </c>
      <c r="P12289">
        <v>71500</v>
      </c>
      <c r="Q12289" t="str">
        <f>"35.308567"</f>
        <v>35.308567</v>
      </c>
      <c r="R12289" t="str">
        <f>"25.045941"</f>
        <v>25.045941</v>
      </c>
      <c r="S12289" t="s">
        <v>26</v>
      </c>
    </row>
    <row r="12290" spans="1:19" x14ac:dyDescent="0.3">
      <c r="A12290" t="s">
        <v>32470</v>
      </c>
      <c r="B12290" t="s">
        <v>33426</v>
      </c>
      <c r="C12290" t="s">
        <v>33929</v>
      </c>
      <c r="D12290" t="s">
        <v>4618</v>
      </c>
      <c r="E12290" t="s">
        <v>4618</v>
      </c>
      <c r="F12290" t="s">
        <v>4618</v>
      </c>
      <c r="G12290" t="s">
        <v>32471</v>
      </c>
      <c r="H12290" t="s">
        <v>859</v>
      </c>
      <c r="I12290" t="s">
        <v>860</v>
      </c>
      <c r="J12290" t="str">
        <f>"9170188"</f>
        <v>9170188</v>
      </c>
      <c r="K12290">
        <v>2810212635</v>
      </c>
      <c r="L12290">
        <v>2810212635</v>
      </c>
      <c r="M12290" t="s">
        <v>33930</v>
      </c>
      <c r="N12290" t="s">
        <v>4618</v>
      </c>
      <c r="O12290" t="s">
        <v>33931</v>
      </c>
      <c r="P12290">
        <v>71409</v>
      </c>
      <c r="Q12290" t="str">
        <f>"35.322020"</f>
        <v>35.322020</v>
      </c>
      <c r="R12290" t="str">
        <f>"25.142028"</f>
        <v>25.142028</v>
      </c>
      <c r="S12290" t="s">
        <v>26</v>
      </c>
    </row>
    <row r="12291" spans="1:19" x14ac:dyDescent="0.3">
      <c r="A12291" t="s">
        <v>32470</v>
      </c>
      <c r="B12291" t="s">
        <v>33426</v>
      </c>
      <c r="C12291" t="s">
        <v>33932</v>
      </c>
      <c r="D12291" t="s">
        <v>4618</v>
      </c>
      <c r="E12291" t="s">
        <v>4618</v>
      </c>
      <c r="F12291" t="s">
        <v>4618</v>
      </c>
      <c r="G12291" t="s">
        <v>32514</v>
      </c>
      <c r="H12291" t="s">
        <v>859</v>
      </c>
      <c r="I12291" t="s">
        <v>860</v>
      </c>
      <c r="J12291" t="str">
        <f>"9170050"</f>
        <v>9170050</v>
      </c>
      <c r="K12291">
        <v>2810250935</v>
      </c>
      <c r="L12291">
        <v>2810250935</v>
      </c>
      <c r="M12291" t="s">
        <v>33933</v>
      </c>
      <c r="N12291" t="s">
        <v>4618</v>
      </c>
      <c r="O12291" t="s">
        <v>33934</v>
      </c>
      <c r="P12291">
        <v>71304</v>
      </c>
      <c r="Q12291" t="str">
        <f>"35.332420"</f>
        <v>35.332420</v>
      </c>
      <c r="R12291" t="str">
        <f>"25.118931"</f>
        <v>25.118931</v>
      </c>
      <c r="S12291" t="s">
        <v>26</v>
      </c>
    </row>
    <row r="12292" spans="1:19" x14ac:dyDescent="0.3">
      <c r="A12292" t="s">
        <v>32470</v>
      </c>
      <c r="B12292" t="s">
        <v>33426</v>
      </c>
      <c r="C12292" t="s">
        <v>33935</v>
      </c>
      <c r="D12292" t="s">
        <v>4618</v>
      </c>
      <c r="E12292" t="s">
        <v>4618</v>
      </c>
      <c r="F12292" t="s">
        <v>4618</v>
      </c>
      <c r="G12292" t="s">
        <v>32471</v>
      </c>
      <c r="H12292" t="s">
        <v>859</v>
      </c>
      <c r="I12292" t="s">
        <v>860</v>
      </c>
      <c r="J12292" t="str">
        <f>"9170052"</f>
        <v>9170052</v>
      </c>
      <c r="K12292">
        <v>2810257486</v>
      </c>
      <c r="L12292">
        <v>2810257486</v>
      </c>
      <c r="M12292" t="s">
        <v>33936</v>
      </c>
      <c r="N12292" t="s">
        <v>4618</v>
      </c>
      <c r="O12292" t="s">
        <v>33441</v>
      </c>
      <c r="P12292">
        <v>71305</v>
      </c>
      <c r="Q12292" t="str">
        <f>"35.334269"</f>
        <v>35.334269</v>
      </c>
      <c r="R12292" t="str">
        <f>"25.126163"</f>
        <v>25.126163</v>
      </c>
      <c r="S12292" t="s">
        <v>26</v>
      </c>
    </row>
    <row r="12293" spans="1:19" x14ac:dyDescent="0.3">
      <c r="A12293" t="s">
        <v>32470</v>
      </c>
      <c r="B12293" t="s">
        <v>33426</v>
      </c>
      <c r="C12293" t="s">
        <v>33937</v>
      </c>
      <c r="D12293" t="s">
        <v>4618</v>
      </c>
      <c r="E12293" t="s">
        <v>32584</v>
      </c>
      <c r="F12293" t="s">
        <v>32616</v>
      </c>
      <c r="G12293" t="s">
        <v>32616</v>
      </c>
      <c r="H12293" t="s">
        <v>859</v>
      </c>
      <c r="I12293" t="s">
        <v>860</v>
      </c>
      <c r="J12293" t="str">
        <f>"9170397"</f>
        <v>9170397</v>
      </c>
      <c r="K12293">
        <v>2892022520</v>
      </c>
      <c r="L12293">
        <v>2892022520</v>
      </c>
      <c r="M12293" t="s">
        <v>33938</v>
      </c>
      <c r="N12293" t="s">
        <v>32857</v>
      </c>
      <c r="O12293" t="s">
        <v>33939</v>
      </c>
      <c r="P12293">
        <v>70400</v>
      </c>
      <c r="Q12293" t="str">
        <f>"35.049754"</f>
        <v>35.049754</v>
      </c>
      <c r="R12293" t="str">
        <f>"24.873876"</f>
        <v>24.873876</v>
      </c>
      <c r="S12293" t="s">
        <v>26</v>
      </c>
    </row>
    <row r="12294" spans="1:19" x14ac:dyDescent="0.3">
      <c r="A12294" t="s">
        <v>32470</v>
      </c>
      <c r="B12294" t="s">
        <v>33426</v>
      </c>
      <c r="C12294" t="s">
        <v>33953</v>
      </c>
      <c r="D12294" t="s">
        <v>4618</v>
      </c>
      <c r="E12294" t="s">
        <v>4618</v>
      </c>
      <c r="F12294" t="s">
        <v>4618</v>
      </c>
      <c r="G12294" t="s">
        <v>32514</v>
      </c>
      <c r="H12294" t="s">
        <v>859</v>
      </c>
      <c r="I12294" t="s">
        <v>860</v>
      </c>
      <c r="J12294" t="str">
        <f>"9170482"</f>
        <v>9170482</v>
      </c>
      <c r="K12294">
        <v>2810256403</v>
      </c>
      <c r="L12294">
        <v>2810251805</v>
      </c>
      <c r="M12294" t="s">
        <v>33954</v>
      </c>
      <c r="N12294" t="s">
        <v>4618</v>
      </c>
      <c r="O12294" t="s">
        <v>33955</v>
      </c>
      <c r="P12294">
        <v>71304</v>
      </c>
      <c r="Q12294" t="str">
        <f>"35.331082"</f>
        <v>35.331082</v>
      </c>
      <c r="R12294" t="str">
        <f>"25.113847"</f>
        <v>25.113847</v>
      </c>
      <c r="S12294" t="s">
        <v>26</v>
      </c>
    </row>
    <row r="12295" spans="1:19" x14ac:dyDescent="0.3">
      <c r="A12295" t="s">
        <v>32470</v>
      </c>
      <c r="B12295" t="s">
        <v>33426</v>
      </c>
      <c r="C12295" t="s">
        <v>33956</v>
      </c>
      <c r="D12295" t="s">
        <v>4618</v>
      </c>
      <c r="E12295" t="s">
        <v>4618</v>
      </c>
      <c r="F12295" t="s">
        <v>4618</v>
      </c>
      <c r="G12295" t="s">
        <v>32514</v>
      </c>
      <c r="H12295" t="s">
        <v>859</v>
      </c>
      <c r="I12295" t="s">
        <v>860</v>
      </c>
      <c r="J12295" t="str">
        <f>"9170410"</f>
        <v>9170410</v>
      </c>
      <c r="K12295">
        <v>2810251805</v>
      </c>
      <c r="L12295">
        <v>2810251805</v>
      </c>
      <c r="M12295" t="s">
        <v>33957</v>
      </c>
      <c r="N12295" t="s">
        <v>28925</v>
      </c>
      <c r="O12295" t="s">
        <v>33955</v>
      </c>
      <c r="P12295">
        <v>71304</v>
      </c>
      <c r="Q12295" t="str">
        <f>"35.331093"</f>
        <v>35.331093</v>
      </c>
      <c r="R12295" t="str">
        <f>"25.113946"</f>
        <v>25.113946</v>
      </c>
      <c r="S12295" t="s">
        <v>26</v>
      </c>
    </row>
    <row r="12296" spans="1:19" x14ac:dyDescent="0.3">
      <c r="A12296" t="s">
        <v>32470</v>
      </c>
      <c r="B12296" t="s">
        <v>33426</v>
      </c>
      <c r="C12296" t="s">
        <v>33958</v>
      </c>
      <c r="D12296" t="s">
        <v>4618</v>
      </c>
      <c r="E12296" t="s">
        <v>4618</v>
      </c>
      <c r="F12296" t="s">
        <v>4618</v>
      </c>
      <c r="G12296" t="s">
        <v>32514</v>
      </c>
      <c r="H12296" t="s">
        <v>859</v>
      </c>
      <c r="I12296" t="s">
        <v>860</v>
      </c>
      <c r="J12296" t="str">
        <f>"9170506"</f>
        <v>9170506</v>
      </c>
      <c r="K12296">
        <v>2810312448</v>
      </c>
      <c r="M12296" t="s">
        <v>33959</v>
      </c>
      <c r="N12296" t="s">
        <v>4618</v>
      </c>
      <c r="O12296" t="s">
        <v>33516</v>
      </c>
      <c r="P12296">
        <v>71304</v>
      </c>
      <c r="Q12296" t="str">
        <f>"35.327162"</f>
        <v>35.327162</v>
      </c>
      <c r="R12296" t="str">
        <f>"25.102335"</f>
        <v>25.102335</v>
      </c>
      <c r="S12296" t="s">
        <v>26</v>
      </c>
    </row>
    <row r="12297" spans="1:19" x14ac:dyDescent="0.3">
      <c r="A12297" t="s">
        <v>32470</v>
      </c>
      <c r="B12297" t="s">
        <v>33426</v>
      </c>
      <c r="C12297" t="s">
        <v>33960</v>
      </c>
      <c r="D12297" t="s">
        <v>4618</v>
      </c>
      <c r="E12297" t="s">
        <v>32529</v>
      </c>
      <c r="F12297" t="s">
        <v>32530</v>
      </c>
      <c r="G12297" t="s">
        <v>32531</v>
      </c>
      <c r="H12297" t="s">
        <v>859</v>
      </c>
      <c r="I12297" t="s">
        <v>860</v>
      </c>
      <c r="J12297" t="str">
        <f>"9170453"</f>
        <v>9170453</v>
      </c>
      <c r="K12297">
        <v>2810711205</v>
      </c>
      <c r="L12297">
        <v>2810711205</v>
      </c>
      <c r="M12297" t="s">
        <v>33961</v>
      </c>
      <c r="N12297" t="s">
        <v>32530</v>
      </c>
      <c r="O12297" t="s">
        <v>32535</v>
      </c>
      <c r="P12297">
        <v>70001</v>
      </c>
      <c r="Q12297" t="str">
        <f>"35.230467"</f>
        <v>35.230467</v>
      </c>
      <c r="R12297" t="str">
        <f>"24.982697"</f>
        <v>24.982697</v>
      </c>
      <c r="S12297" t="s">
        <v>26</v>
      </c>
    </row>
    <row r="12298" spans="1:19" x14ac:dyDescent="0.3">
      <c r="A12298" t="s">
        <v>32470</v>
      </c>
      <c r="B12298" t="s">
        <v>33426</v>
      </c>
      <c r="C12298" t="s">
        <v>33962</v>
      </c>
      <c r="D12298" t="s">
        <v>4618</v>
      </c>
      <c r="E12298" t="s">
        <v>32529</v>
      </c>
      <c r="F12298" t="s">
        <v>32530</v>
      </c>
      <c r="G12298" t="s">
        <v>32531</v>
      </c>
      <c r="H12298" t="s">
        <v>859</v>
      </c>
      <c r="I12298" t="s">
        <v>860</v>
      </c>
      <c r="J12298" t="str">
        <f>"9170026"</f>
        <v>9170026</v>
      </c>
      <c r="K12298">
        <v>2810711205</v>
      </c>
      <c r="L12298">
        <v>2810711205</v>
      </c>
      <c r="M12298" t="s">
        <v>33963</v>
      </c>
      <c r="N12298" t="s">
        <v>32530</v>
      </c>
      <c r="O12298" t="s">
        <v>32535</v>
      </c>
      <c r="P12298">
        <v>70001</v>
      </c>
      <c r="Q12298" t="str">
        <f>"35.230467"</f>
        <v>35.230467</v>
      </c>
      <c r="R12298" t="str">
        <f>"24.982697"</f>
        <v>24.982697</v>
      </c>
      <c r="S12298" t="s">
        <v>26</v>
      </c>
    </row>
    <row r="12299" spans="1:19" x14ac:dyDescent="0.3">
      <c r="A12299" t="s">
        <v>32470</v>
      </c>
      <c r="B12299" t="s">
        <v>33426</v>
      </c>
      <c r="C12299" t="s">
        <v>33982</v>
      </c>
      <c r="D12299" t="s">
        <v>4618</v>
      </c>
      <c r="E12299" t="s">
        <v>4618</v>
      </c>
      <c r="F12299" t="s">
        <v>4618</v>
      </c>
      <c r="G12299" t="s">
        <v>32514</v>
      </c>
      <c r="H12299" t="s">
        <v>859</v>
      </c>
      <c r="I12299" t="s">
        <v>860</v>
      </c>
      <c r="J12299" t="str">
        <f>"9170583"</f>
        <v>9170583</v>
      </c>
      <c r="K12299">
        <v>2810261765</v>
      </c>
      <c r="L12299">
        <v>2810261765</v>
      </c>
      <c r="M12299" t="s">
        <v>33983</v>
      </c>
      <c r="N12299" t="s">
        <v>4618</v>
      </c>
      <c r="O12299" t="s">
        <v>33984</v>
      </c>
      <c r="P12299">
        <v>71304</v>
      </c>
      <c r="Q12299" t="str">
        <f>"35.325728"</f>
        <v>35.325728</v>
      </c>
      <c r="R12299" t="str">
        <f>"25.108444"</f>
        <v>25.108444</v>
      </c>
      <c r="S12299" t="s">
        <v>26</v>
      </c>
    </row>
    <row r="12300" spans="1:19" x14ac:dyDescent="0.3">
      <c r="A12300" t="s">
        <v>32470</v>
      </c>
      <c r="B12300" t="s">
        <v>33426</v>
      </c>
      <c r="C12300" t="s">
        <v>33985</v>
      </c>
      <c r="D12300" t="s">
        <v>4618</v>
      </c>
      <c r="E12300" t="s">
        <v>32629</v>
      </c>
      <c r="F12300" t="s">
        <v>5162</v>
      </c>
      <c r="G12300" t="s">
        <v>5162</v>
      </c>
      <c r="H12300" t="s">
        <v>859</v>
      </c>
      <c r="I12300" t="s">
        <v>860</v>
      </c>
      <c r="J12300" t="str">
        <f>"9170040"</f>
        <v>9170040</v>
      </c>
      <c r="K12300">
        <v>2894023512</v>
      </c>
      <c r="L12300">
        <v>2894023512</v>
      </c>
      <c r="M12300" t="s">
        <v>33986</v>
      </c>
      <c r="N12300" t="s">
        <v>4618</v>
      </c>
      <c r="O12300" t="s">
        <v>5165</v>
      </c>
      <c r="P12300">
        <v>70003</v>
      </c>
      <c r="Q12300" t="str">
        <f>"35.135460"</f>
        <v>35.135460</v>
      </c>
      <c r="R12300" t="str">
        <f>"24.999846"</f>
        <v>24.999846</v>
      </c>
      <c r="S12300" t="s">
        <v>26</v>
      </c>
    </row>
    <row r="12301" spans="1:19" x14ac:dyDescent="0.3">
      <c r="A12301" t="s">
        <v>32470</v>
      </c>
      <c r="B12301" t="s">
        <v>33426</v>
      </c>
      <c r="C12301" t="s">
        <v>34015</v>
      </c>
      <c r="D12301" t="s">
        <v>4618</v>
      </c>
      <c r="E12301" t="s">
        <v>32690</v>
      </c>
      <c r="F12301" t="s">
        <v>32690</v>
      </c>
      <c r="G12301" t="s">
        <v>33701</v>
      </c>
      <c r="H12301" t="s">
        <v>859</v>
      </c>
      <c r="I12301" t="s">
        <v>860</v>
      </c>
      <c r="J12301" t="str">
        <f>"9170439"</f>
        <v>9170439</v>
      </c>
      <c r="K12301">
        <v>2895071251</v>
      </c>
      <c r="L12301">
        <v>2895071253</v>
      </c>
      <c r="M12301" t="s">
        <v>34016</v>
      </c>
      <c r="N12301" t="s">
        <v>34017</v>
      </c>
      <c r="O12301" t="s">
        <v>34018</v>
      </c>
      <c r="P12301">
        <v>70004</v>
      </c>
      <c r="Q12301" t="str">
        <f>"34.992847"</f>
        <v>34.992847</v>
      </c>
      <c r="R12301" t="str">
        <f>"25.454336"</f>
        <v>25.454336</v>
      </c>
      <c r="S12301" t="s">
        <v>57</v>
      </c>
    </row>
    <row r="12302" spans="1:19" x14ac:dyDescent="0.3">
      <c r="A12302" t="s">
        <v>32470</v>
      </c>
      <c r="B12302" t="s">
        <v>33426</v>
      </c>
      <c r="C12302" t="s">
        <v>34032</v>
      </c>
      <c r="D12302" t="s">
        <v>4618</v>
      </c>
      <c r="E12302" t="s">
        <v>4618</v>
      </c>
      <c r="F12302" t="s">
        <v>4618</v>
      </c>
      <c r="G12302" t="s">
        <v>32471</v>
      </c>
      <c r="H12302" t="s">
        <v>859</v>
      </c>
      <c r="I12302" t="s">
        <v>860</v>
      </c>
      <c r="J12302" t="str">
        <f>"9170106"</f>
        <v>9170106</v>
      </c>
      <c r="K12302">
        <v>2810341815</v>
      </c>
      <c r="L12302">
        <v>281314815</v>
      </c>
      <c r="M12302" t="s">
        <v>34033</v>
      </c>
      <c r="N12302" t="s">
        <v>4618</v>
      </c>
      <c r="O12302" t="s">
        <v>34034</v>
      </c>
      <c r="P12302">
        <v>71306</v>
      </c>
      <c r="Q12302" t="str">
        <f>"35.332425"</f>
        <v>35.332425</v>
      </c>
      <c r="R12302" t="str">
        <f>"25.134753"</f>
        <v>25.134753</v>
      </c>
      <c r="S12302" t="s">
        <v>26</v>
      </c>
    </row>
    <row r="12303" spans="1:19" x14ac:dyDescent="0.3">
      <c r="A12303" t="s">
        <v>32470</v>
      </c>
      <c r="B12303" t="s">
        <v>33426</v>
      </c>
      <c r="C12303" t="s">
        <v>34035</v>
      </c>
      <c r="D12303" t="s">
        <v>4618</v>
      </c>
      <c r="E12303" t="s">
        <v>32501</v>
      </c>
      <c r="F12303" t="s">
        <v>32571</v>
      </c>
      <c r="G12303" t="s">
        <v>1210</v>
      </c>
      <c r="H12303" t="s">
        <v>859</v>
      </c>
      <c r="I12303" t="s">
        <v>860</v>
      </c>
      <c r="J12303" t="str">
        <f>"9170318"</f>
        <v>9170318</v>
      </c>
      <c r="K12303">
        <v>2893023231</v>
      </c>
      <c r="L12303">
        <v>2893023231</v>
      </c>
      <c r="M12303" t="s">
        <v>34036</v>
      </c>
      <c r="N12303" t="s">
        <v>1210</v>
      </c>
      <c r="O12303" t="s">
        <v>1211</v>
      </c>
      <c r="P12303">
        <v>70010</v>
      </c>
      <c r="Q12303" t="str">
        <f>"35.006863"</f>
        <v>35.006863</v>
      </c>
      <c r="R12303" t="str">
        <f>"25.152238"</f>
        <v>25.152238</v>
      </c>
      <c r="S12303" t="s">
        <v>26</v>
      </c>
    </row>
    <row r="12304" spans="1:19" x14ac:dyDescent="0.3">
      <c r="A12304" t="s">
        <v>32470</v>
      </c>
      <c r="B12304" t="s">
        <v>33426</v>
      </c>
      <c r="C12304" t="s">
        <v>34050</v>
      </c>
      <c r="D12304" t="s">
        <v>4618</v>
      </c>
      <c r="E12304" t="s">
        <v>32584</v>
      </c>
      <c r="F12304" t="s">
        <v>32585</v>
      </c>
      <c r="G12304" t="s">
        <v>32585</v>
      </c>
      <c r="H12304" t="s">
        <v>859</v>
      </c>
      <c r="I12304" t="s">
        <v>860</v>
      </c>
      <c r="J12304" t="str">
        <f>"9170398"</f>
        <v>9170398</v>
      </c>
      <c r="K12304">
        <v>2892053478</v>
      </c>
      <c r="L12304">
        <v>2892053478</v>
      </c>
      <c r="M12304" t="s">
        <v>34051</v>
      </c>
      <c r="O12304" t="s">
        <v>32589</v>
      </c>
      <c r="P12304">
        <v>70200</v>
      </c>
      <c r="Q12304" t="str">
        <f>"35.069305"</f>
        <v>35.069305</v>
      </c>
      <c r="R12304" t="str">
        <f>"24.771464"</f>
        <v>24.771464</v>
      </c>
      <c r="S12304" t="s">
        <v>26</v>
      </c>
    </row>
    <row r="12305" spans="1:19" x14ac:dyDescent="0.3">
      <c r="A12305" t="s">
        <v>32470</v>
      </c>
      <c r="B12305" t="s">
        <v>33426</v>
      </c>
      <c r="C12305" t="s">
        <v>34053</v>
      </c>
      <c r="D12305" t="s">
        <v>4618</v>
      </c>
      <c r="E12305" t="s">
        <v>32584</v>
      </c>
      <c r="F12305" t="s">
        <v>32585</v>
      </c>
      <c r="G12305" t="s">
        <v>32585</v>
      </c>
      <c r="H12305" t="s">
        <v>859</v>
      </c>
      <c r="I12305" t="s">
        <v>860</v>
      </c>
      <c r="J12305" t="str">
        <f>"9170545"</f>
        <v>9170545</v>
      </c>
      <c r="K12305">
        <v>2892053479</v>
      </c>
      <c r="L12305">
        <v>2892053479</v>
      </c>
      <c r="M12305" t="s">
        <v>34054</v>
      </c>
      <c r="N12305" t="s">
        <v>32585</v>
      </c>
      <c r="O12305" t="s">
        <v>34055</v>
      </c>
      <c r="P12305">
        <v>70200</v>
      </c>
      <c r="Q12305" t="str">
        <f>"35.068298"</f>
        <v>35.068298</v>
      </c>
      <c r="R12305" t="str">
        <f>"24.771510"</f>
        <v>24.771510</v>
      </c>
      <c r="S12305" t="s">
        <v>26</v>
      </c>
    </row>
    <row r="12306" spans="1:19" x14ac:dyDescent="0.3">
      <c r="A12306" t="s">
        <v>32470</v>
      </c>
      <c r="B12306" t="s">
        <v>33426</v>
      </c>
      <c r="C12306" t="s">
        <v>34060</v>
      </c>
      <c r="D12306" t="s">
        <v>4618</v>
      </c>
      <c r="E12306" t="s">
        <v>32584</v>
      </c>
      <c r="F12306" t="s">
        <v>32616</v>
      </c>
      <c r="G12306" t="s">
        <v>34059</v>
      </c>
      <c r="H12306" t="s">
        <v>859</v>
      </c>
      <c r="I12306" t="s">
        <v>860</v>
      </c>
      <c r="J12306" t="str">
        <f>"9170420"</f>
        <v>9170420</v>
      </c>
      <c r="K12306">
        <v>2892042820</v>
      </c>
      <c r="L12306">
        <v>2892042820</v>
      </c>
      <c r="M12306" t="s">
        <v>34061</v>
      </c>
      <c r="N12306" t="s">
        <v>34059</v>
      </c>
      <c r="O12306" t="s">
        <v>34062</v>
      </c>
      <c r="P12306">
        <v>70400</v>
      </c>
      <c r="Q12306" t="str">
        <f>"35.030329"</f>
        <v>35.030329</v>
      </c>
      <c r="R12306" t="str">
        <f>"24.834180"</f>
        <v>24.834180</v>
      </c>
      <c r="S12306" t="s">
        <v>26</v>
      </c>
    </row>
    <row r="12307" spans="1:19" x14ac:dyDescent="0.3">
      <c r="A12307" t="s">
        <v>32470</v>
      </c>
      <c r="B12307" t="s">
        <v>33426</v>
      </c>
      <c r="C12307" t="s">
        <v>34063</v>
      </c>
      <c r="D12307" t="s">
        <v>4618</v>
      </c>
      <c r="E12307" t="s">
        <v>32549</v>
      </c>
      <c r="F12307" t="s">
        <v>32794</v>
      </c>
      <c r="G12307" t="s">
        <v>32794</v>
      </c>
      <c r="H12307" t="s">
        <v>859</v>
      </c>
      <c r="I12307" t="s">
        <v>860</v>
      </c>
      <c r="J12307" t="str">
        <f>"9170229"</f>
        <v>9170229</v>
      </c>
      <c r="K12307">
        <v>2891041639</v>
      </c>
      <c r="M12307" t="s">
        <v>34064</v>
      </c>
      <c r="N12307" t="s">
        <v>32794</v>
      </c>
      <c r="O12307" t="s">
        <v>34065</v>
      </c>
      <c r="P12307">
        <v>70006</v>
      </c>
      <c r="Q12307" t="str">
        <f>"35.187826"</f>
        <v>35.187826</v>
      </c>
      <c r="R12307" t="str">
        <f>"25.281133"</f>
        <v>25.281133</v>
      </c>
      <c r="S12307" t="s">
        <v>26</v>
      </c>
    </row>
    <row r="12308" spans="1:19" x14ac:dyDescent="0.3">
      <c r="A12308" t="s">
        <v>32470</v>
      </c>
      <c r="B12308" t="s">
        <v>33426</v>
      </c>
      <c r="C12308" t="s">
        <v>34072</v>
      </c>
      <c r="D12308" t="s">
        <v>4618</v>
      </c>
      <c r="E12308" t="s">
        <v>32629</v>
      </c>
      <c r="F12308" t="s">
        <v>32629</v>
      </c>
      <c r="G12308" t="s">
        <v>32702</v>
      </c>
      <c r="H12308" t="s">
        <v>859</v>
      </c>
      <c r="I12308" t="s">
        <v>860</v>
      </c>
      <c r="J12308" t="str">
        <f>"9170399"</f>
        <v>9170399</v>
      </c>
      <c r="K12308">
        <v>2892031806</v>
      </c>
      <c r="L12308">
        <v>2892031806</v>
      </c>
      <c r="M12308" t="s">
        <v>34073</v>
      </c>
      <c r="N12308" t="s">
        <v>32702</v>
      </c>
      <c r="O12308" t="s">
        <v>32706</v>
      </c>
      <c r="P12308">
        <v>70012</v>
      </c>
      <c r="Q12308" t="str">
        <f>"35.059311"</f>
        <v>35.059311</v>
      </c>
      <c r="R12308" t="str">
        <f>"24.961769"</f>
        <v>24.961769</v>
      </c>
      <c r="S12308" t="s">
        <v>26</v>
      </c>
    </row>
    <row r="12309" spans="1:19" x14ac:dyDescent="0.3">
      <c r="A12309" t="s">
        <v>32470</v>
      </c>
      <c r="B12309" t="s">
        <v>33426</v>
      </c>
      <c r="C12309" t="s">
        <v>34076</v>
      </c>
      <c r="D12309" t="s">
        <v>4618</v>
      </c>
      <c r="E12309" t="s">
        <v>32629</v>
      </c>
      <c r="F12309" t="s">
        <v>32629</v>
      </c>
      <c r="G12309" t="s">
        <v>34075</v>
      </c>
      <c r="H12309" t="s">
        <v>859</v>
      </c>
      <c r="I12309" t="s">
        <v>860</v>
      </c>
      <c r="J12309" t="str">
        <f>"9170421"</f>
        <v>9170421</v>
      </c>
      <c r="K12309">
        <v>2892031220</v>
      </c>
      <c r="L12309">
        <v>2892031220</v>
      </c>
      <c r="M12309" t="s">
        <v>34077</v>
      </c>
      <c r="N12309" t="s">
        <v>20757</v>
      </c>
      <c r="O12309" t="s">
        <v>20757</v>
      </c>
      <c r="P12309">
        <v>70012</v>
      </c>
      <c r="Q12309" t="str">
        <f>"35.054766"</f>
        <v>35.054766</v>
      </c>
      <c r="R12309" t="str">
        <f>"24.944420"</f>
        <v>24.944420</v>
      </c>
      <c r="S12309" t="s">
        <v>26</v>
      </c>
    </row>
    <row r="12310" spans="1:19" x14ac:dyDescent="0.3">
      <c r="A12310" t="s">
        <v>32470</v>
      </c>
      <c r="B12310" t="s">
        <v>33426</v>
      </c>
      <c r="C12310" t="s">
        <v>34083</v>
      </c>
      <c r="D12310" t="s">
        <v>4618</v>
      </c>
      <c r="E12310" t="s">
        <v>32584</v>
      </c>
      <c r="F12310" t="s">
        <v>32616</v>
      </c>
      <c r="G12310" t="s">
        <v>34082</v>
      </c>
      <c r="H12310" t="s">
        <v>859</v>
      </c>
      <c r="I12310" t="s">
        <v>860</v>
      </c>
      <c r="J12310" t="str">
        <f>"9170422"</f>
        <v>9170422</v>
      </c>
      <c r="K12310">
        <v>2892097222</v>
      </c>
      <c r="L12310">
        <v>2892097222</v>
      </c>
      <c r="M12310" t="s">
        <v>34084</v>
      </c>
      <c r="N12310" t="s">
        <v>34082</v>
      </c>
      <c r="O12310" t="s">
        <v>34085</v>
      </c>
      <c r="P12310">
        <v>70009</v>
      </c>
      <c r="Q12310" t="str">
        <f>"34.959553"</f>
        <v>34.959553</v>
      </c>
      <c r="R12310" t="str">
        <f>"24.881565"</f>
        <v>24.881565</v>
      </c>
      <c r="S12310" t="s">
        <v>57</v>
      </c>
    </row>
    <row r="12311" spans="1:19" x14ac:dyDescent="0.3">
      <c r="A12311" t="s">
        <v>32470</v>
      </c>
      <c r="B12311" t="s">
        <v>33426</v>
      </c>
      <c r="C12311" t="s">
        <v>34086</v>
      </c>
      <c r="D12311" t="s">
        <v>4618</v>
      </c>
      <c r="E12311" t="s">
        <v>32629</v>
      </c>
      <c r="F12311" t="s">
        <v>32630</v>
      </c>
      <c r="G12311" t="s">
        <v>33867</v>
      </c>
      <c r="H12311" t="s">
        <v>859</v>
      </c>
      <c r="I12311" t="s">
        <v>860</v>
      </c>
      <c r="J12311" t="str">
        <f>"9170365"</f>
        <v>9170365</v>
      </c>
      <c r="K12311">
        <v>2893032347</v>
      </c>
      <c r="L12311">
        <v>2893032347</v>
      </c>
      <c r="M12311" t="s">
        <v>34087</v>
      </c>
      <c r="N12311" t="s">
        <v>33867</v>
      </c>
      <c r="O12311" t="s">
        <v>33870</v>
      </c>
      <c r="P12311">
        <v>70016</v>
      </c>
      <c r="Q12311" t="str">
        <f>"35.059789"</f>
        <v>35.059789</v>
      </c>
      <c r="R12311" t="str">
        <f>"25.109124"</f>
        <v>25.109124</v>
      </c>
      <c r="S12311" t="s">
        <v>26</v>
      </c>
    </row>
    <row r="12312" spans="1:19" x14ac:dyDescent="0.3">
      <c r="A12312" t="s">
        <v>32470</v>
      </c>
      <c r="B12312" t="s">
        <v>33426</v>
      </c>
      <c r="C12312" t="s">
        <v>34091</v>
      </c>
      <c r="D12312" t="s">
        <v>4618</v>
      </c>
      <c r="E12312" t="s">
        <v>32629</v>
      </c>
      <c r="F12312" t="s">
        <v>32630</v>
      </c>
      <c r="G12312" t="s">
        <v>33667</v>
      </c>
      <c r="H12312" t="s">
        <v>859</v>
      </c>
      <c r="I12312" t="s">
        <v>860</v>
      </c>
      <c r="J12312" t="str">
        <f>"9170493"</f>
        <v>9170493</v>
      </c>
      <c r="K12312">
        <v>2893031054</v>
      </c>
      <c r="L12312">
        <v>2893031054</v>
      </c>
      <c r="M12312" t="s">
        <v>34092</v>
      </c>
      <c r="N12312" t="s">
        <v>33667</v>
      </c>
      <c r="O12312" t="s">
        <v>34093</v>
      </c>
      <c r="P12312">
        <v>70012</v>
      </c>
      <c r="Q12312" t="str">
        <f>"35.053809"</f>
        <v>35.053809</v>
      </c>
      <c r="R12312" t="str">
        <f>"25.047786"</f>
        <v>25.047786</v>
      </c>
      <c r="S12312" t="s">
        <v>26</v>
      </c>
    </row>
    <row r="12313" spans="1:19" x14ac:dyDescent="0.3">
      <c r="A12313" t="s">
        <v>32470</v>
      </c>
      <c r="B12313" t="s">
        <v>33426</v>
      </c>
      <c r="C12313" t="s">
        <v>34100</v>
      </c>
      <c r="D12313" t="s">
        <v>4618</v>
      </c>
      <c r="E12313" t="s">
        <v>32584</v>
      </c>
      <c r="F12313" t="s">
        <v>32585</v>
      </c>
      <c r="G12313" t="s">
        <v>34099</v>
      </c>
      <c r="H12313" t="s">
        <v>859</v>
      </c>
      <c r="I12313" t="s">
        <v>860</v>
      </c>
      <c r="J12313" t="str">
        <f>"9170477"</f>
        <v>9170477</v>
      </c>
      <c r="K12313">
        <v>2892091506</v>
      </c>
      <c r="L12313">
        <v>2892091506</v>
      </c>
      <c r="M12313" t="s">
        <v>34101</v>
      </c>
      <c r="N12313" t="s">
        <v>34099</v>
      </c>
      <c r="O12313" t="s">
        <v>34102</v>
      </c>
      <c r="P12313">
        <v>70200</v>
      </c>
      <c r="Q12313" t="str">
        <f>"35.068860"</f>
        <v>35.068860</v>
      </c>
      <c r="R12313" t="str">
        <f>"24.811422"</f>
        <v>24.811422</v>
      </c>
      <c r="S12313" t="s">
        <v>26</v>
      </c>
    </row>
    <row r="12314" spans="1:19" x14ac:dyDescent="0.3">
      <c r="A12314" t="s">
        <v>32470</v>
      </c>
      <c r="B12314" t="s">
        <v>33426</v>
      </c>
      <c r="C12314" t="s">
        <v>34104</v>
      </c>
      <c r="D12314" t="s">
        <v>4618</v>
      </c>
      <c r="E12314" t="s">
        <v>32584</v>
      </c>
      <c r="F12314" t="s">
        <v>32801</v>
      </c>
      <c r="G12314" t="s">
        <v>34103</v>
      </c>
      <c r="H12314" t="s">
        <v>859</v>
      </c>
      <c r="I12314" t="s">
        <v>860</v>
      </c>
      <c r="J12314" t="str">
        <f>"9170280"</f>
        <v>9170280</v>
      </c>
      <c r="K12314">
        <v>2894034011</v>
      </c>
      <c r="L12314">
        <v>2894031022</v>
      </c>
      <c r="M12314" t="s">
        <v>34105</v>
      </c>
      <c r="N12314" t="s">
        <v>34103</v>
      </c>
      <c r="O12314" t="s">
        <v>34106</v>
      </c>
      <c r="P12314">
        <v>70400</v>
      </c>
      <c r="Q12314" t="str">
        <f>"35.150073"</f>
        <v>35.150073</v>
      </c>
      <c r="R12314" t="str">
        <f>"24.849378"</f>
        <v>24.849378</v>
      </c>
      <c r="S12314" t="s">
        <v>26</v>
      </c>
    </row>
    <row r="12315" spans="1:19" x14ac:dyDescent="0.3">
      <c r="A12315" t="s">
        <v>32470</v>
      </c>
      <c r="B12315" t="s">
        <v>33426</v>
      </c>
      <c r="C12315" t="s">
        <v>34108</v>
      </c>
      <c r="D12315" t="s">
        <v>4618</v>
      </c>
      <c r="E12315" t="s">
        <v>32629</v>
      </c>
      <c r="F12315" t="s">
        <v>32629</v>
      </c>
      <c r="G12315" t="s">
        <v>34107</v>
      </c>
      <c r="H12315" t="s">
        <v>859</v>
      </c>
      <c r="I12315" t="s">
        <v>860</v>
      </c>
      <c r="J12315" t="str">
        <f>"9170479"</f>
        <v>9170479</v>
      </c>
      <c r="K12315">
        <v>2892031060</v>
      </c>
      <c r="L12315">
        <v>2892031060</v>
      </c>
      <c r="M12315" t="s">
        <v>34109</v>
      </c>
      <c r="N12315" t="s">
        <v>34110</v>
      </c>
      <c r="O12315" t="s">
        <v>34110</v>
      </c>
      <c r="P12315">
        <v>70012</v>
      </c>
      <c r="Q12315" t="str">
        <f>"35.059184"</f>
        <v>35.059184</v>
      </c>
      <c r="R12315" t="str">
        <f>"25.009003"</f>
        <v>25.009003</v>
      </c>
      <c r="S12315" t="s">
        <v>26</v>
      </c>
    </row>
    <row r="12316" spans="1:19" x14ac:dyDescent="0.3">
      <c r="A12316" t="s">
        <v>32470</v>
      </c>
      <c r="B12316" t="s">
        <v>33426</v>
      </c>
      <c r="C12316" t="s">
        <v>34111</v>
      </c>
      <c r="D12316" t="s">
        <v>4618</v>
      </c>
      <c r="E12316" t="s">
        <v>32584</v>
      </c>
      <c r="F12316" t="s">
        <v>32616</v>
      </c>
      <c r="G12316" t="s">
        <v>32616</v>
      </c>
      <c r="H12316" t="s">
        <v>859</v>
      </c>
      <c r="I12316" t="s">
        <v>860</v>
      </c>
      <c r="J12316" t="str">
        <f>"9170553"</f>
        <v>9170553</v>
      </c>
      <c r="K12316">
        <v>6944161375</v>
      </c>
      <c r="L12316">
        <v>2892023325</v>
      </c>
      <c r="M12316" t="s">
        <v>34112</v>
      </c>
      <c r="N12316" t="s">
        <v>32860</v>
      </c>
      <c r="O12316" t="s">
        <v>32860</v>
      </c>
      <c r="P12316">
        <v>70400</v>
      </c>
      <c r="Q12316" t="str">
        <f>"35.051563"</f>
        <v>35.051563</v>
      </c>
      <c r="R12316" t="str">
        <f>"24.894671"</f>
        <v>24.894671</v>
      </c>
      <c r="S12316" t="s">
        <v>26</v>
      </c>
    </row>
    <row r="12317" spans="1:19" x14ac:dyDescent="0.3">
      <c r="A12317" t="s">
        <v>32470</v>
      </c>
      <c r="B12317" t="s">
        <v>33426</v>
      </c>
      <c r="C12317" t="s">
        <v>34123</v>
      </c>
      <c r="D12317" t="s">
        <v>4618</v>
      </c>
      <c r="E12317" t="s">
        <v>32549</v>
      </c>
      <c r="F12317" t="s">
        <v>32550</v>
      </c>
      <c r="G12317" t="s">
        <v>32550</v>
      </c>
      <c r="H12317" t="s">
        <v>859</v>
      </c>
      <c r="I12317" t="s">
        <v>860</v>
      </c>
      <c r="J12317" t="str">
        <f>"9170145"</f>
        <v>9170145</v>
      </c>
      <c r="K12317">
        <v>2891023133</v>
      </c>
      <c r="L12317">
        <v>2891024358</v>
      </c>
      <c r="M12317" t="s">
        <v>34124</v>
      </c>
      <c r="N12317" t="s">
        <v>32550</v>
      </c>
      <c r="O12317" t="s">
        <v>32688</v>
      </c>
      <c r="P12317">
        <v>70300</v>
      </c>
      <c r="Q12317" t="str">
        <f>"35.147903"</f>
        <v>35.147903</v>
      </c>
      <c r="R12317" t="str">
        <f>"25.264505"</f>
        <v>25.264505</v>
      </c>
      <c r="S12317" t="s">
        <v>26</v>
      </c>
    </row>
    <row r="12318" spans="1:19" x14ac:dyDescent="0.3">
      <c r="A12318" t="s">
        <v>32470</v>
      </c>
      <c r="B12318" t="s">
        <v>33426</v>
      </c>
      <c r="C12318" t="s">
        <v>34133</v>
      </c>
      <c r="D12318" t="s">
        <v>4618</v>
      </c>
      <c r="E12318" t="s">
        <v>32584</v>
      </c>
      <c r="F12318" t="s">
        <v>32585</v>
      </c>
      <c r="G12318" t="s">
        <v>33945</v>
      </c>
      <c r="H12318" t="s">
        <v>859</v>
      </c>
      <c r="I12318" t="s">
        <v>860</v>
      </c>
      <c r="J12318" t="str">
        <f>"9170503"</f>
        <v>9170503</v>
      </c>
      <c r="K12318">
        <v>2892045288</v>
      </c>
      <c r="L12318">
        <v>2892045388</v>
      </c>
      <c r="M12318" t="s">
        <v>34134</v>
      </c>
      <c r="N12318" t="s">
        <v>33945</v>
      </c>
      <c r="O12318" t="s">
        <v>34135</v>
      </c>
      <c r="P12318">
        <v>70200</v>
      </c>
      <c r="Q12318" t="str">
        <f>"35.016604"</f>
        <v>35.016604</v>
      </c>
      <c r="R12318" t="str">
        <f>"24.779201"</f>
        <v>24.779201</v>
      </c>
      <c r="S12318" t="s">
        <v>26</v>
      </c>
    </row>
    <row r="12319" spans="1:19" x14ac:dyDescent="0.3">
      <c r="A12319" t="s">
        <v>32470</v>
      </c>
      <c r="B12319" t="s">
        <v>33426</v>
      </c>
      <c r="C12319" t="s">
        <v>34136</v>
      </c>
      <c r="D12319" t="s">
        <v>4618</v>
      </c>
      <c r="E12319" t="s">
        <v>32584</v>
      </c>
      <c r="F12319" t="s">
        <v>32616</v>
      </c>
      <c r="G12319" t="s">
        <v>32616</v>
      </c>
      <c r="H12319" t="s">
        <v>859</v>
      </c>
      <c r="I12319" t="s">
        <v>860</v>
      </c>
      <c r="J12319" t="str">
        <f>"9170266"</f>
        <v>9170266</v>
      </c>
      <c r="K12319">
        <v>2892023328</v>
      </c>
      <c r="L12319">
        <v>2892023328</v>
      </c>
      <c r="M12319" t="s">
        <v>34137</v>
      </c>
      <c r="N12319" t="s">
        <v>32616</v>
      </c>
      <c r="O12319" t="s">
        <v>34138</v>
      </c>
      <c r="P12319">
        <v>70400</v>
      </c>
      <c r="Q12319" t="str">
        <f>"35.051983"</f>
        <v>35.051983</v>
      </c>
      <c r="R12319" t="str">
        <f>"24.873469"</f>
        <v>24.873469</v>
      </c>
      <c r="S12319" t="s">
        <v>26</v>
      </c>
    </row>
    <row r="12320" spans="1:19" x14ac:dyDescent="0.3">
      <c r="A12320" t="s">
        <v>32470</v>
      </c>
      <c r="B12320" t="s">
        <v>33426</v>
      </c>
      <c r="C12320" t="s">
        <v>34144</v>
      </c>
      <c r="D12320" t="s">
        <v>4618</v>
      </c>
      <c r="E12320" t="s">
        <v>32629</v>
      </c>
      <c r="F12320" t="s">
        <v>32732</v>
      </c>
      <c r="G12320" t="s">
        <v>32733</v>
      </c>
      <c r="H12320" t="s">
        <v>859</v>
      </c>
      <c r="I12320" t="s">
        <v>860</v>
      </c>
      <c r="J12320" t="str">
        <f>"9170354"</f>
        <v>9170354</v>
      </c>
      <c r="K12320">
        <v>2894041313</v>
      </c>
      <c r="L12320">
        <v>2894041207</v>
      </c>
      <c r="M12320" t="s">
        <v>34145</v>
      </c>
      <c r="N12320" t="s">
        <v>32733</v>
      </c>
      <c r="O12320" t="s">
        <v>34146</v>
      </c>
      <c r="P12320">
        <v>70003</v>
      </c>
      <c r="Q12320" t="str">
        <f>"35.133607"</f>
        <v>35.133607</v>
      </c>
      <c r="R12320" t="str">
        <f>"24.951919"</f>
        <v>24.951919</v>
      </c>
      <c r="S12320" t="s">
        <v>26</v>
      </c>
    </row>
    <row r="12321" spans="1:19" x14ac:dyDescent="0.3">
      <c r="A12321" t="s">
        <v>32470</v>
      </c>
      <c r="B12321" t="s">
        <v>33426</v>
      </c>
      <c r="C12321" t="s">
        <v>34154</v>
      </c>
      <c r="D12321" t="s">
        <v>4618</v>
      </c>
      <c r="E12321" t="s">
        <v>32549</v>
      </c>
      <c r="F12321" t="s">
        <v>32550</v>
      </c>
      <c r="G12321" t="s">
        <v>32550</v>
      </c>
      <c r="H12321" t="s">
        <v>859</v>
      </c>
      <c r="I12321" t="s">
        <v>860</v>
      </c>
      <c r="J12321" t="str">
        <f>"9170571"</f>
        <v>9170571</v>
      </c>
      <c r="K12321">
        <v>2891023446</v>
      </c>
      <c r="L12321">
        <v>2891022379</v>
      </c>
      <c r="M12321" t="s">
        <v>34155</v>
      </c>
      <c r="N12321" t="s">
        <v>32550</v>
      </c>
      <c r="O12321" t="s">
        <v>32688</v>
      </c>
      <c r="P12321">
        <v>70300</v>
      </c>
      <c r="Q12321" t="str">
        <f>"35.146781"</f>
        <v>35.146781</v>
      </c>
      <c r="R12321" t="str">
        <f>"25.266020"</f>
        <v>25.266020</v>
      </c>
      <c r="S12321" t="s">
        <v>26</v>
      </c>
    </row>
    <row r="12322" spans="1:19" x14ac:dyDescent="0.3">
      <c r="A12322" t="s">
        <v>32470</v>
      </c>
      <c r="B12322" t="s">
        <v>33426</v>
      </c>
      <c r="C12322" t="s">
        <v>34158</v>
      </c>
      <c r="D12322" t="s">
        <v>4618</v>
      </c>
      <c r="E12322" t="s">
        <v>32584</v>
      </c>
      <c r="F12322" t="s">
        <v>32585</v>
      </c>
      <c r="G12322" t="s">
        <v>34149</v>
      </c>
      <c r="H12322" t="s">
        <v>859</v>
      </c>
      <c r="I12322" t="s">
        <v>860</v>
      </c>
      <c r="J12322" t="str">
        <f>"9170572"</f>
        <v>9170572</v>
      </c>
      <c r="K12322">
        <v>2892042000</v>
      </c>
      <c r="L12322">
        <v>2892042000</v>
      </c>
      <c r="M12322" t="s">
        <v>34159</v>
      </c>
      <c r="N12322" t="s">
        <v>34152</v>
      </c>
      <c r="O12322" t="s">
        <v>34153</v>
      </c>
      <c r="P12322">
        <v>70200</v>
      </c>
      <c r="Q12322" t="str">
        <f>"35.018199"</f>
        <v>35.018199</v>
      </c>
      <c r="R12322" t="str">
        <f>"24.808959"</f>
        <v>24.808959</v>
      </c>
      <c r="S12322" t="s">
        <v>26</v>
      </c>
    </row>
    <row r="12323" spans="1:19" x14ac:dyDescent="0.3">
      <c r="A12323" t="s">
        <v>32470</v>
      </c>
      <c r="B12323" t="s">
        <v>33426</v>
      </c>
      <c r="C12323" t="s">
        <v>34182</v>
      </c>
      <c r="D12323" t="s">
        <v>4618</v>
      </c>
      <c r="E12323" t="s">
        <v>32629</v>
      </c>
      <c r="F12323" t="s">
        <v>32629</v>
      </c>
      <c r="G12323" t="s">
        <v>32818</v>
      </c>
      <c r="H12323" t="s">
        <v>859</v>
      </c>
      <c r="I12323" t="s">
        <v>860</v>
      </c>
      <c r="J12323" t="str">
        <f>"9170476"</f>
        <v>9170476</v>
      </c>
      <c r="K12323">
        <v>2893034038</v>
      </c>
      <c r="L12323">
        <v>2893034038</v>
      </c>
      <c r="M12323" t="s">
        <v>34183</v>
      </c>
      <c r="N12323" t="s">
        <v>32818</v>
      </c>
      <c r="O12323" t="s">
        <v>32822</v>
      </c>
      <c r="P12323">
        <v>70012</v>
      </c>
      <c r="Q12323" t="str">
        <f>"35.014373"</f>
        <v>35.014373</v>
      </c>
      <c r="R12323" t="str">
        <f>"25.001168"</f>
        <v>25.001168</v>
      </c>
      <c r="S12323" t="s">
        <v>26</v>
      </c>
    </row>
    <row r="12324" spans="1:19" x14ac:dyDescent="0.3">
      <c r="A12324" t="s">
        <v>32470</v>
      </c>
      <c r="B12324" t="s">
        <v>33426</v>
      </c>
      <c r="C12324" t="s">
        <v>34204</v>
      </c>
      <c r="D12324" t="s">
        <v>4618</v>
      </c>
      <c r="E12324" t="s">
        <v>32629</v>
      </c>
      <c r="F12324" t="s">
        <v>32630</v>
      </c>
      <c r="G12324" t="s">
        <v>34200</v>
      </c>
      <c r="H12324" t="s">
        <v>859</v>
      </c>
      <c r="I12324" t="s">
        <v>860</v>
      </c>
      <c r="J12324" t="str">
        <f>"9170438"</f>
        <v>9170438</v>
      </c>
      <c r="K12324">
        <v>2893031095</v>
      </c>
      <c r="L12324">
        <v>2893031095</v>
      </c>
      <c r="M12324" t="s">
        <v>34205</v>
      </c>
      <c r="N12324" t="s">
        <v>34206</v>
      </c>
      <c r="O12324" t="s">
        <v>34203</v>
      </c>
      <c r="P12324">
        <v>70010</v>
      </c>
      <c r="Q12324" t="str">
        <f>"35.083591"</f>
        <v>35.083591</v>
      </c>
      <c r="R12324" t="str">
        <f>"25.104102"</f>
        <v>25.104102</v>
      </c>
      <c r="S12324" t="s">
        <v>26</v>
      </c>
    </row>
    <row r="12325" spans="1:19" x14ac:dyDescent="0.3">
      <c r="A12325" t="s">
        <v>32470</v>
      </c>
      <c r="B12325" t="s">
        <v>33426</v>
      </c>
      <c r="C12325" t="s">
        <v>34207</v>
      </c>
      <c r="D12325" t="s">
        <v>4618</v>
      </c>
      <c r="E12325" t="s">
        <v>4618</v>
      </c>
      <c r="F12325" t="s">
        <v>4618</v>
      </c>
      <c r="G12325" t="s">
        <v>32537</v>
      </c>
      <c r="H12325" t="s">
        <v>859</v>
      </c>
      <c r="I12325" t="s">
        <v>860</v>
      </c>
      <c r="J12325" t="str">
        <f>"9170256"</f>
        <v>9170256</v>
      </c>
      <c r="K12325">
        <v>2810211000</v>
      </c>
      <c r="L12325">
        <v>2810211000</v>
      </c>
      <c r="M12325" t="s">
        <v>34208</v>
      </c>
      <c r="N12325" t="s">
        <v>4618</v>
      </c>
      <c r="O12325" t="s">
        <v>34209</v>
      </c>
      <c r="P12325">
        <v>71409</v>
      </c>
      <c r="Q12325" t="str">
        <f>"35.298647"</f>
        <v>35.298647</v>
      </c>
      <c r="R12325" t="str">
        <f>"25.150745"</f>
        <v>25.150745</v>
      </c>
      <c r="S12325" t="s">
        <v>26</v>
      </c>
    </row>
    <row r="12326" spans="1:19" x14ac:dyDescent="0.3">
      <c r="A12326" t="s">
        <v>32470</v>
      </c>
      <c r="B12326" t="s">
        <v>33426</v>
      </c>
      <c r="C12326" t="s">
        <v>34216</v>
      </c>
      <c r="D12326" t="s">
        <v>4618</v>
      </c>
      <c r="E12326" t="s">
        <v>4618</v>
      </c>
      <c r="F12326" t="s">
        <v>4618</v>
      </c>
      <c r="G12326" t="s">
        <v>32537</v>
      </c>
      <c r="H12326" t="s">
        <v>859</v>
      </c>
      <c r="I12326" t="s">
        <v>860</v>
      </c>
      <c r="J12326" t="str">
        <f>"9520695"</f>
        <v>9520695</v>
      </c>
      <c r="K12326">
        <v>2810235506</v>
      </c>
      <c r="L12326">
        <v>2810235506</v>
      </c>
      <c r="M12326" t="s">
        <v>34217</v>
      </c>
      <c r="N12326" t="s">
        <v>4618</v>
      </c>
      <c r="O12326" t="s">
        <v>34218</v>
      </c>
      <c r="P12326">
        <v>71409</v>
      </c>
      <c r="Q12326" t="str">
        <f>"35.309496"</f>
        <v>35.309496</v>
      </c>
      <c r="R12326" t="str">
        <f>"25.144802"</f>
        <v>25.144802</v>
      </c>
      <c r="S12326" t="s">
        <v>26</v>
      </c>
    </row>
    <row r="12327" spans="1:19" x14ac:dyDescent="0.3">
      <c r="A12327" t="s">
        <v>32470</v>
      </c>
      <c r="B12327" t="s">
        <v>33426</v>
      </c>
      <c r="C12327" t="s">
        <v>34219</v>
      </c>
      <c r="D12327" t="s">
        <v>4618</v>
      </c>
      <c r="E12327" t="s">
        <v>4618</v>
      </c>
      <c r="F12327" t="s">
        <v>4618</v>
      </c>
      <c r="G12327" t="s">
        <v>32514</v>
      </c>
      <c r="H12327" t="s">
        <v>859</v>
      </c>
      <c r="I12327" t="s">
        <v>860</v>
      </c>
      <c r="J12327" t="str">
        <f>"9520696"</f>
        <v>9520696</v>
      </c>
      <c r="K12327">
        <v>2810311032</v>
      </c>
      <c r="L12327">
        <v>2810311032</v>
      </c>
      <c r="M12327" t="s">
        <v>34220</v>
      </c>
      <c r="N12327" t="s">
        <v>34221</v>
      </c>
      <c r="O12327" t="s">
        <v>34222</v>
      </c>
      <c r="P12327">
        <v>71410</v>
      </c>
      <c r="Q12327" t="str">
        <f>"35.324266"</f>
        <v>35.324266</v>
      </c>
      <c r="R12327" t="str">
        <f>"25.108843"</f>
        <v>25.108843</v>
      </c>
      <c r="S12327" t="s">
        <v>26</v>
      </c>
    </row>
    <row r="12328" spans="1:19" x14ac:dyDescent="0.3">
      <c r="A12328" t="s">
        <v>32470</v>
      </c>
      <c r="B12328" t="s">
        <v>33426</v>
      </c>
      <c r="C12328" t="s">
        <v>34226</v>
      </c>
      <c r="D12328" t="s">
        <v>4618</v>
      </c>
      <c r="E12328" t="s">
        <v>32584</v>
      </c>
      <c r="F12328" t="s">
        <v>32616</v>
      </c>
      <c r="G12328" t="s">
        <v>33863</v>
      </c>
      <c r="H12328" t="s">
        <v>859</v>
      </c>
      <c r="I12328" t="s">
        <v>860</v>
      </c>
      <c r="J12328" t="str">
        <f>"9170281"</f>
        <v>9170281</v>
      </c>
      <c r="K12328">
        <v>2892023666</v>
      </c>
      <c r="L12328">
        <v>2892023666</v>
      </c>
      <c r="M12328" t="s">
        <v>34227</v>
      </c>
      <c r="N12328" t="s">
        <v>33863</v>
      </c>
      <c r="O12328" t="s">
        <v>34228</v>
      </c>
      <c r="P12328">
        <v>70400</v>
      </c>
      <c r="Q12328" t="str">
        <f>"35.075999"</f>
        <v>35.075999</v>
      </c>
      <c r="R12328" t="str">
        <f>"24.867975"</f>
        <v>24.867975</v>
      </c>
      <c r="S12328" t="s">
        <v>26</v>
      </c>
    </row>
    <row r="12329" spans="1:19" x14ac:dyDescent="0.3">
      <c r="A12329" t="s">
        <v>32470</v>
      </c>
      <c r="B12329" t="s">
        <v>33426</v>
      </c>
      <c r="C12329" t="s">
        <v>34230</v>
      </c>
      <c r="D12329" t="s">
        <v>4618</v>
      </c>
      <c r="E12329" t="s">
        <v>32584</v>
      </c>
      <c r="F12329" t="s">
        <v>32585</v>
      </c>
      <c r="G12329" t="s">
        <v>34229</v>
      </c>
      <c r="H12329" t="s">
        <v>859</v>
      </c>
      <c r="I12329" t="s">
        <v>860</v>
      </c>
      <c r="J12329" t="str">
        <f>"9520583"</f>
        <v>9520583</v>
      </c>
      <c r="K12329">
        <v>2892023333</v>
      </c>
      <c r="M12329" t="s">
        <v>34231</v>
      </c>
      <c r="N12329" t="s">
        <v>34232</v>
      </c>
      <c r="O12329" t="s">
        <v>34233</v>
      </c>
      <c r="P12329">
        <v>70400</v>
      </c>
      <c r="Q12329" t="str">
        <f>"35.052127"</f>
        <v>35.052127</v>
      </c>
      <c r="R12329" t="str">
        <f>"24.832946"</f>
        <v>24.832946</v>
      </c>
      <c r="S12329" t="s">
        <v>26</v>
      </c>
    </row>
    <row r="12330" spans="1:19" x14ac:dyDescent="0.3">
      <c r="A12330" t="s">
        <v>32470</v>
      </c>
      <c r="B12330" t="s">
        <v>33426</v>
      </c>
      <c r="C12330" t="s">
        <v>34236</v>
      </c>
      <c r="D12330" t="s">
        <v>4618</v>
      </c>
      <c r="E12330" t="s">
        <v>32584</v>
      </c>
      <c r="F12330" t="s">
        <v>32616</v>
      </c>
      <c r="G12330" t="s">
        <v>32617</v>
      </c>
      <c r="H12330" t="s">
        <v>859</v>
      </c>
      <c r="I12330" t="s">
        <v>860</v>
      </c>
      <c r="J12330" t="str">
        <f>"9170299"</f>
        <v>9170299</v>
      </c>
      <c r="K12330">
        <v>2892041219</v>
      </c>
      <c r="L12330">
        <v>2892041219</v>
      </c>
      <c r="M12330" t="s">
        <v>34237</v>
      </c>
      <c r="N12330" t="s">
        <v>32617</v>
      </c>
      <c r="O12330" t="s">
        <v>34191</v>
      </c>
      <c r="P12330">
        <v>70400</v>
      </c>
      <c r="Q12330" t="str">
        <f>"35.010169"</f>
        <v>35.010169</v>
      </c>
      <c r="R12330" t="str">
        <f>"24.869199"</f>
        <v>24.869199</v>
      </c>
      <c r="S12330" t="s">
        <v>26</v>
      </c>
    </row>
    <row r="12331" spans="1:19" x14ac:dyDescent="0.3">
      <c r="A12331" t="s">
        <v>32470</v>
      </c>
      <c r="B12331" t="s">
        <v>33426</v>
      </c>
      <c r="C12331" t="s">
        <v>34251</v>
      </c>
      <c r="D12331" t="s">
        <v>4618</v>
      </c>
      <c r="E12331" t="s">
        <v>32584</v>
      </c>
      <c r="F12331" t="s">
        <v>32616</v>
      </c>
      <c r="G12331" t="s">
        <v>34250</v>
      </c>
      <c r="H12331" t="s">
        <v>859</v>
      </c>
      <c r="I12331" t="s">
        <v>860</v>
      </c>
      <c r="J12331" t="str">
        <f>"9170303"</f>
        <v>9170303</v>
      </c>
      <c r="K12331">
        <v>2892043189</v>
      </c>
      <c r="L12331">
        <v>2892043189</v>
      </c>
      <c r="M12331" t="s">
        <v>34252</v>
      </c>
      <c r="N12331" t="s">
        <v>34250</v>
      </c>
      <c r="O12331" t="s">
        <v>34253</v>
      </c>
      <c r="P12331">
        <v>70200</v>
      </c>
      <c r="Q12331" t="str">
        <f>"35.107757"</f>
        <v>35.107757</v>
      </c>
      <c r="R12331" t="str">
        <f>"24.843480"</f>
        <v>24.843480</v>
      </c>
      <c r="S12331" t="s">
        <v>57</v>
      </c>
    </row>
    <row r="12332" spans="1:19" x14ac:dyDescent="0.3">
      <c r="A12332" t="s">
        <v>32470</v>
      </c>
      <c r="B12332" t="s">
        <v>33426</v>
      </c>
      <c r="C12332" t="s">
        <v>34254</v>
      </c>
      <c r="D12332" t="s">
        <v>4618</v>
      </c>
      <c r="E12332" t="s">
        <v>32584</v>
      </c>
      <c r="F12332" t="s">
        <v>32585</v>
      </c>
      <c r="G12332" t="s">
        <v>32585</v>
      </c>
      <c r="H12332" t="s">
        <v>859</v>
      </c>
      <c r="I12332" t="s">
        <v>860</v>
      </c>
      <c r="J12332" t="str">
        <f>"9170337"</f>
        <v>9170337</v>
      </c>
      <c r="K12332">
        <v>2892053029</v>
      </c>
      <c r="L12332">
        <v>2892053029</v>
      </c>
      <c r="M12332" t="s">
        <v>34255</v>
      </c>
      <c r="N12332" t="s">
        <v>32585</v>
      </c>
      <c r="O12332" t="s">
        <v>34186</v>
      </c>
      <c r="P12332">
        <v>70200</v>
      </c>
      <c r="Q12332" t="str">
        <f>"35.068825"</f>
        <v>35.068825</v>
      </c>
      <c r="R12332" t="str">
        <f>"24.771301"</f>
        <v>24.771301</v>
      </c>
      <c r="S12332" t="s">
        <v>26</v>
      </c>
    </row>
    <row r="12333" spans="1:19" x14ac:dyDescent="0.3">
      <c r="A12333" t="s">
        <v>32470</v>
      </c>
      <c r="B12333" t="s">
        <v>33426</v>
      </c>
      <c r="C12333" t="s">
        <v>34256</v>
      </c>
      <c r="D12333" t="s">
        <v>4618</v>
      </c>
      <c r="E12333" t="s">
        <v>32629</v>
      </c>
      <c r="F12333" t="s">
        <v>32630</v>
      </c>
      <c r="G12333" t="s">
        <v>32631</v>
      </c>
      <c r="H12333" t="s">
        <v>859</v>
      </c>
      <c r="I12333" t="s">
        <v>860</v>
      </c>
      <c r="J12333" t="str">
        <f>"9170347"</f>
        <v>9170347</v>
      </c>
      <c r="K12333">
        <v>2893031831</v>
      </c>
      <c r="L12333">
        <v>2893031831</v>
      </c>
      <c r="M12333" t="s">
        <v>34257</v>
      </c>
      <c r="N12333" t="s">
        <v>32631</v>
      </c>
      <c r="O12333" t="s">
        <v>34166</v>
      </c>
      <c r="P12333">
        <v>70016</v>
      </c>
      <c r="Q12333" t="str">
        <f>"35.043185"</f>
        <v>35.043185</v>
      </c>
      <c r="R12333" t="str">
        <f>"25.084491"</f>
        <v>25.084491</v>
      </c>
      <c r="S12333" t="s">
        <v>26</v>
      </c>
    </row>
    <row r="12334" spans="1:19" x14ac:dyDescent="0.3">
      <c r="A12334" t="s">
        <v>32470</v>
      </c>
      <c r="B12334" t="s">
        <v>33426</v>
      </c>
      <c r="C12334" t="s">
        <v>34258</v>
      </c>
      <c r="D12334" t="s">
        <v>4618</v>
      </c>
      <c r="E12334" t="s">
        <v>32584</v>
      </c>
      <c r="F12334" t="s">
        <v>32801</v>
      </c>
      <c r="G12334" t="s">
        <v>32801</v>
      </c>
      <c r="H12334" t="s">
        <v>859</v>
      </c>
      <c r="I12334" t="s">
        <v>860</v>
      </c>
      <c r="J12334" t="str">
        <f>"9170357"</f>
        <v>9170357</v>
      </c>
      <c r="K12334">
        <v>2894031009</v>
      </c>
      <c r="L12334">
        <v>2894031009</v>
      </c>
      <c r="M12334" t="s">
        <v>34259</v>
      </c>
      <c r="N12334" t="s">
        <v>32801</v>
      </c>
      <c r="O12334" t="s">
        <v>32804</v>
      </c>
      <c r="P12334">
        <v>70002</v>
      </c>
      <c r="Q12334" t="str">
        <f>"35.128642"</f>
        <v>35.128642</v>
      </c>
      <c r="R12334" t="str">
        <f>"24.901681"</f>
        <v>24.901681</v>
      </c>
      <c r="S12334" t="s">
        <v>26</v>
      </c>
    </row>
    <row r="12335" spans="1:19" x14ac:dyDescent="0.3">
      <c r="A12335" t="s">
        <v>32470</v>
      </c>
      <c r="B12335" t="s">
        <v>33426</v>
      </c>
      <c r="C12335" t="s">
        <v>34260</v>
      </c>
      <c r="D12335" t="s">
        <v>4618</v>
      </c>
      <c r="E12335" t="s">
        <v>32584</v>
      </c>
      <c r="F12335" t="s">
        <v>32616</v>
      </c>
      <c r="G12335" t="s">
        <v>32616</v>
      </c>
      <c r="H12335" t="s">
        <v>859</v>
      </c>
      <c r="I12335" t="s">
        <v>860</v>
      </c>
      <c r="J12335" t="str">
        <f>"9170552"</f>
        <v>9170552</v>
      </c>
      <c r="K12335">
        <v>2892025131</v>
      </c>
      <c r="L12335">
        <v>2892025131</v>
      </c>
      <c r="M12335" t="s">
        <v>34261</v>
      </c>
      <c r="N12335" t="s">
        <v>32616</v>
      </c>
      <c r="O12335" t="s">
        <v>32860</v>
      </c>
      <c r="P12335">
        <v>70400</v>
      </c>
      <c r="Q12335" t="str">
        <f>"35.042511"</f>
        <v>35.042511</v>
      </c>
      <c r="R12335" t="str">
        <f>"24.873502"</f>
        <v>24.873502</v>
      </c>
      <c r="S12335" t="s">
        <v>26</v>
      </c>
    </row>
    <row r="12336" spans="1:19" x14ac:dyDescent="0.3">
      <c r="A12336" t="s">
        <v>32470</v>
      </c>
      <c r="B12336" t="s">
        <v>33426</v>
      </c>
      <c r="C12336" t="s">
        <v>34266</v>
      </c>
      <c r="D12336" t="s">
        <v>4618</v>
      </c>
      <c r="E12336" t="s">
        <v>32501</v>
      </c>
      <c r="F12336" t="s">
        <v>32571</v>
      </c>
      <c r="G12336" t="s">
        <v>32572</v>
      </c>
      <c r="H12336" t="s">
        <v>859</v>
      </c>
      <c r="I12336" t="s">
        <v>860</v>
      </c>
      <c r="J12336" t="str">
        <f>"9170370"</f>
        <v>9170370</v>
      </c>
      <c r="K12336">
        <v>2893023891</v>
      </c>
      <c r="M12336" t="s">
        <v>34267</v>
      </c>
      <c r="N12336" t="s">
        <v>34268</v>
      </c>
      <c r="O12336" t="s">
        <v>33719</v>
      </c>
      <c r="P12336">
        <v>70010</v>
      </c>
      <c r="Q12336" t="str">
        <f>"35.010550"</f>
        <v>35.010550</v>
      </c>
      <c r="R12336" t="str">
        <f>"25.121122"</f>
        <v>25.121122</v>
      </c>
      <c r="S12336" t="s">
        <v>26</v>
      </c>
    </row>
    <row r="12337" spans="1:19" x14ac:dyDescent="0.3">
      <c r="A12337" t="s">
        <v>32470</v>
      </c>
      <c r="B12337" t="s">
        <v>33426</v>
      </c>
      <c r="C12337" t="s">
        <v>34269</v>
      </c>
      <c r="D12337" t="s">
        <v>4618</v>
      </c>
      <c r="E12337" t="s">
        <v>32501</v>
      </c>
      <c r="F12337" t="s">
        <v>32571</v>
      </c>
      <c r="G12337" t="s">
        <v>32759</v>
      </c>
      <c r="H12337" t="s">
        <v>859</v>
      </c>
      <c r="I12337" t="s">
        <v>860</v>
      </c>
      <c r="J12337" t="str">
        <f>"9170401"</f>
        <v>9170401</v>
      </c>
      <c r="K12337">
        <v>2893051329</v>
      </c>
      <c r="L12337">
        <v>2893051329</v>
      </c>
      <c r="M12337" t="s">
        <v>34270</v>
      </c>
      <c r="N12337" t="s">
        <v>32759</v>
      </c>
      <c r="O12337" t="s">
        <v>33814</v>
      </c>
      <c r="P12337">
        <v>70010</v>
      </c>
      <c r="Q12337" t="str">
        <f>"35.094645"</f>
        <v>35.094645</v>
      </c>
      <c r="R12337" t="str">
        <f>"25.160074"</f>
        <v>25.160074</v>
      </c>
      <c r="S12337" t="s">
        <v>26</v>
      </c>
    </row>
    <row r="12338" spans="1:19" x14ac:dyDescent="0.3">
      <c r="A12338" t="s">
        <v>32470</v>
      </c>
      <c r="B12338" t="s">
        <v>33426</v>
      </c>
      <c r="C12338" t="s">
        <v>34272</v>
      </c>
      <c r="D12338" t="s">
        <v>4618</v>
      </c>
      <c r="E12338" t="s">
        <v>32501</v>
      </c>
      <c r="F12338" t="s">
        <v>32571</v>
      </c>
      <c r="G12338" t="s">
        <v>34271</v>
      </c>
      <c r="H12338" t="s">
        <v>859</v>
      </c>
      <c r="I12338" t="s">
        <v>860</v>
      </c>
      <c r="J12338" t="str">
        <f>"9170598"</f>
        <v>9170598</v>
      </c>
      <c r="K12338">
        <v>2893022752</v>
      </c>
      <c r="M12338" t="s">
        <v>34273</v>
      </c>
      <c r="N12338" t="s">
        <v>34271</v>
      </c>
      <c r="O12338" t="s">
        <v>34274</v>
      </c>
      <c r="P12338">
        <v>70010</v>
      </c>
      <c r="Q12338" t="str">
        <f>"34.991142"</f>
        <v>34.991142</v>
      </c>
      <c r="R12338" t="str">
        <f>"25.225183"</f>
        <v>25.225183</v>
      </c>
      <c r="S12338" t="s">
        <v>57</v>
      </c>
    </row>
    <row r="12339" spans="1:19" x14ac:dyDescent="0.3">
      <c r="A12339" t="s">
        <v>32470</v>
      </c>
      <c r="B12339" t="s">
        <v>33426</v>
      </c>
      <c r="C12339" t="s">
        <v>34277</v>
      </c>
      <c r="D12339" t="s">
        <v>4618</v>
      </c>
      <c r="E12339" t="s">
        <v>32508</v>
      </c>
      <c r="F12339" t="s">
        <v>32519</v>
      </c>
      <c r="G12339" t="s">
        <v>33444</v>
      </c>
      <c r="H12339" t="s">
        <v>859</v>
      </c>
      <c r="I12339" t="s">
        <v>860</v>
      </c>
      <c r="J12339" t="str">
        <f>"9170589"</f>
        <v>9170589</v>
      </c>
      <c r="K12339">
        <v>2810763139</v>
      </c>
      <c r="L12339">
        <v>2810763139</v>
      </c>
      <c r="M12339" t="s">
        <v>34278</v>
      </c>
      <c r="N12339" t="s">
        <v>33694</v>
      </c>
      <c r="O12339" t="s">
        <v>34279</v>
      </c>
      <c r="P12339">
        <v>71500</v>
      </c>
      <c r="Q12339" t="str">
        <f>"35.325868"</f>
        <v>35.325868</v>
      </c>
      <c r="R12339" t="str">
        <f>"25.282663"</f>
        <v>25.282663</v>
      </c>
      <c r="S12339" t="s">
        <v>26</v>
      </c>
    </row>
    <row r="12340" spans="1:19" x14ac:dyDescent="0.3">
      <c r="A12340" t="s">
        <v>32470</v>
      </c>
      <c r="B12340" t="s">
        <v>33426</v>
      </c>
      <c r="C12340" t="s">
        <v>34280</v>
      </c>
      <c r="D12340" t="s">
        <v>4618</v>
      </c>
      <c r="E12340" t="s">
        <v>4618</v>
      </c>
      <c r="F12340" t="s">
        <v>4618</v>
      </c>
      <c r="G12340" t="s">
        <v>33925</v>
      </c>
      <c r="H12340" t="s">
        <v>859</v>
      </c>
      <c r="I12340" t="s">
        <v>860</v>
      </c>
      <c r="J12340" t="str">
        <f>"9170412"</f>
        <v>9170412</v>
      </c>
      <c r="K12340">
        <v>2810721466</v>
      </c>
      <c r="L12340">
        <v>2810721466</v>
      </c>
      <c r="M12340" t="s">
        <v>34281</v>
      </c>
      <c r="O12340" t="s">
        <v>33928</v>
      </c>
      <c r="P12340">
        <v>70013</v>
      </c>
      <c r="Q12340" t="str">
        <f>"35.253533"</f>
        <v>35.253533</v>
      </c>
      <c r="R12340" t="str">
        <f>"25.061744"</f>
        <v>25.061744</v>
      </c>
      <c r="S12340" t="s">
        <v>26</v>
      </c>
    </row>
    <row r="12341" spans="1:19" x14ac:dyDescent="0.3">
      <c r="A12341" t="s">
        <v>32470</v>
      </c>
      <c r="B12341" t="s">
        <v>33426</v>
      </c>
      <c r="C12341" t="s">
        <v>34282</v>
      </c>
      <c r="D12341" t="s">
        <v>4618</v>
      </c>
      <c r="E12341" t="s">
        <v>4618</v>
      </c>
      <c r="F12341" t="s">
        <v>2421</v>
      </c>
      <c r="G12341" t="s">
        <v>32492</v>
      </c>
      <c r="H12341" t="s">
        <v>859</v>
      </c>
      <c r="I12341" t="s">
        <v>860</v>
      </c>
      <c r="J12341" t="str">
        <f>"9170127"</f>
        <v>9170127</v>
      </c>
      <c r="K12341">
        <v>2810871640</v>
      </c>
      <c r="L12341">
        <v>2810871640</v>
      </c>
      <c r="M12341" t="s">
        <v>34283</v>
      </c>
      <c r="N12341" t="s">
        <v>31050</v>
      </c>
      <c r="O12341" t="s">
        <v>31050</v>
      </c>
      <c r="P12341">
        <v>71500</v>
      </c>
      <c r="Q12341" t="str">
        <f>"35.210066"</f>
        <v>35.210066</v>
      </c>
      <c r="R12341" t="str">
        <f>"25.100856"</f>
        <v>25.100856</v>
      </c>
      <c r="S12341" t="s">
        <v>26</v>
      </c>
    </row>
    <row r="12342" spans="1:19" x14ac:dyDescent="0.3">
      <c r="A12342" t="s">
        <v>32470</v>
      </c>
      <c r="B12342" t="s">
        <v>33426</v>
      </c>
      <c r="C12342" t="s">
        <v>34285</v>
      </c>
      <c r="D12342" t="s">
        <v>4618</v>
      </c>
      <c r="E12342" t="s">
        <v>32529</v>
      </c>
      <c r="F12342" t="s">
        <v>32831</v>
      </c>
      <c r="G12342" t="s">
        <v>34284</v>
      </c>
      <c r="H12342" t="s">
        <v>859</v>
      </c>
      <c r="I12342" t="s">
        <v>860</v>
      </c>
      <c r="J12342" t="str">
        <f>"9170459"</f>
        <v>9170459</v>
      </c>
      <c r="K12342">
        <v>2810521240</v>
      </c>
      <c r="L12342">
        <v>2810521061</v>
      </c>
      <c r="M12342" t="s">
        <v>34286</v>
      </c>
      <c r="N12342" t="s">
        <v>34287</v>
      </c>
      <c r="O12342" t="s">
        <v>34287</v>
      </c>
      <c r="P12342">
        <v>71500</v>
      </c>
      <c r="Q12342" t="str">
        <f>"35.347193"</f>
        <v>35.347193</v>
      </c>
      <c r="R12342" t="str">
        <f>"24.971010"</f>
        <v>24.971010</v>
      </c>
      <c r="S12342" t="s">
        <v>26</v>
      </c>
    </row>
    <row r="12343" spans="1:19" x14ac:dyDescent="0.3">
      <c r="A12343" t="s">
        <v>32470</v>
      </c>
      <c r="B12343" t="s">
        <v>33426</v>
      </c>
      <c r="C12343" t="s">
        <v>34288</v>
      </c>
      <c r="D12343" t="s">
        <v>4618</v>
      </c>
      <c r="E12343" t="s">
        <v>4618</v>
      </c>
      <c r="F12343" t="s">
        <v>2421</v>
      </c>
      <c r="G12343" t="s">
        <v>15297</v>
      </c>
      <c r="H12343" t="s">
        <v>859</v>
      </c>
      <c r="I12343" t="s">
        <v>860</v>
      </c>
      <c r="J12343" t="str">
        <f>"9170528"</f>
        <v>9170528</v>
      </c>
      <c r="K12343">
        <v>2810871161</v>
      </c>
      <c r="L12343">
        <v>2810871162</v>
      </c>
      <c r="M12343" t="s">
        <v>34289</v>
      </c>
      <c r="N12343" t="s">
        <v>34290</v>
      </c>
      <c r="O12343" t="s">
        <v>34290</v>
      </c>
      <c r="P12343">
        <v>71500</v>
      </c>
      <c r="Q12343" t="str">
        <f>"36.962379"</f>
        <v>36.962379</v>
      </c>
      <c r="R12343" t="str">
        <f>"22.988503"</f>
        <v>22.988503</v>
      </c>
      <c r="S12343" t="s">
        <v>26</v>
      </c>
    </row>
    <row r="12344" spans="1:19" x14ac:dyDescent="0.3">
      <c r="A12344" t="s">
        <v>32470</v>
      </c>
      <c r="B12344" t="s">
        <v>33426</v>
      </c>
      <c r="C12344" t="s">
        <v>34291</v>
      </c>
      <c r="D12344" t="s">
        <v>4618</v>
      </c>
      <c r="E12344" t="s">
        <v>4618</v>
      </c>
      <c r="F12344" t="s">
        <v>4618</v>
      </c>
      <c r="G12344" t="s">
        <v>33840</v>
      </c>
      <c r="H12344" t="s">
        <v>859</v>
      </c>
      <c r="I12344" t="s">
        <v>860</v>
      </c>
      <c r="J12344" t="str">
        <f>"9170060"</f>
        <v>9170060</v>
      </c>
      <c r="K12344">
        <v>2810791187</v>
      </c>
      <c r="M12344" t="s">
        <v>34292</v>
      </c>
      <c r="N12344" t="s">
        <v>33843</v>
      </c>
      <c r="O12344" t="s">
        <v>33843</v>
      </c>
      <c r="P12344">
        <v>70011</v>
      </c>
      <c r="Q12344" t="str">
        <f>"35.216808"</f>
        <v>35.216808</v>
      </c>
      <c r="R12344" t="str">
        <f>"25.050692"</f>
        <v>25.050692</v>
      </c>
      <c r="S12344" t="s">
        <v>26</v>
      </c>
    </row>
    <row r="12345" spans="1:19" x14ac:dyDescent="0.3">
      <c r="A12345" t="s">
        <v>32470</v>
      </c>
      <c r="B12345" t="s">
        <v>33426</v>
      </c>
      <c r="C12345" t="s">
        <v>34293</v>
      </c>
      <c r="D12345" t="s">
        <v>4618</v>
      </c>
      <c r="E12345" t="s">
        <v>32529</v>
      </c>
      <c r="F12345" t="s">
        <v>32650</v>
      </c>
      <c r="G12345" t="s">
        <v>32650</v>
      </c>
      <c r="H12345" t="s">
        <v>859</v>
      </c>
      <c r="I12345" t="s">
        <v>860</v>
      </c>
      <c r="J12345" t="str">
        <f>"9170562"</f>
        <v>9170562</v>
      </c>
      <c r="K12345">
        <v>2810822781</v>
      </c>
      <c r="L12345">
        <v>2810822781</v>
      </c>
      <c r="M12345" t="s">
        <v>34294</v>
      </c>
      <c r="N12345" t="s">
        <v>33793</v>
      </c>
      <c r="O12345" t="s">
        <v>34295</v>
      </c>
      <c r="P12345">
        <v>71414</v>
      </c>
      <c r="Q12345" t="str">
        <f>"35.329784"</f>
        <v>35.329784</v>
      </c>
      <c r="R12345" t="str">
        <f>"25.073698"</f>
        <v>25.073698</v>
      </c>
      <c r="S12345" t="s">
        <v>26</v>
      </c>
    </row>
    <row r="12346" spans="1:19" x14ac:dyDescent="0.3">
      <c r="A12346" t="s">
        <v>32470</v>
      </c>
      <c r="B12346" t="s">
        <v>33426</v>
      </c>
      <c r="C12346" t="s">
        <v>34296</v>
      </c>
      <c r="D12346" t="s">
        <v>4618</v>
      </c>
      <c r="E12346" t="s">
        <v>4618</v>
      </c>
      <c r="F12346" t="s">
        <v>4618</v>
      </c>
      <c r="G12346" t="s">
        <v>34195</v>
      </c>
      <c r="H12346" t="s">
        <v>859</v>
      </c>
      <c r="I12346" t="s">
        <v>860</v>
      </c>
      <c r="J12346" t="str">
        <f>"9170603"</f>
        <v>9170603</v>
      </c>
      <c r="K12346">
        <v>2810542177</v>
      </c>
      <c r="L12346">
        <v>2810542177</v>
      </c>
      <c r="M12346" t="s">
        <v>34297</v>
      </c>
      <c r="N12346" t="s">
        <v>34198</v>
      </c>
      <c r="O12346" t="s">
        <v>34298</v>
      </c>
      <c r="P12346">
        <v>70013</v>
      </c>
      <c r="Q12346" t="str">
        <f>"35.296329"</f>
        <v>35.296329</v>
      </c>
      <c r="R12346" t="str">
        <f>"25.080105"</f>
        <v>25.080105</v>
      </c>
      <c r="S12346" t="s">
        <v>26</v>
      </c>
    </row>
    <row r="12347" spans="1:19" x14ac:dyDescent="0.3">
      <c r="A12347" t="s">
        <v>32470</v>
      </c>
      <c r="B12347" t="s">
        <v>33426</v>
      </c>
      <c r="C12347" t="s">
        <v>34299</v>
      </c>
      <c r="D12347" t="s">
        <v>4618</v>
      </c>
      <c r="E12347" t="s">
        <v>4618</v>
      </c>
      <c r="F12347" t="s">
        <v>4618</v>
      </c>
      <c r="G12347" t="s">
        <v>34195</v>
      </c>
      <c r="H12347" t="s">
        <v>859</v>
      </c>
      <c r="I12347" t="s">
        <v>860</v>
      </c>
      <c r="J12347" t="str">
        <f>"9170585"</f>
        <v>9170585</v>
      </c>
      <c r="K12347">
        <v>2810542736</v>
      </c>
      <c r="L12347">
        <v>2810542736</v>
      </c>
      <c r="M12347" t="s">
        <v>34300</v>
      </c>
      <c r="N12347" t="s">
        <v>34195</v>
      </c>
      <c r="O12347" t="s">
        <v>34199</v>
      </c>
      <c r="P12347">
        <v>70013</v>
      </c>
      <c r="Q12347" t="str">
        <f>"35.296377"</f>
        <v>35.296377</v>
      </c>
      <c r="R12347" t="str">
        <f>"25.079952"</f>
        <v>25.079952</v>
      </c>
      <c r="S12347" t="s">
        <v>26</v>
      </c>
    </row>
    <row r="12348" spans="1:19" x14ac:dyDescent="0.3">
      <c r="A12348" t="s">
        <v>32470</v>
      </c>
      <c r="B12348" t="s">
        <v>33426</v>
      </c>
      <c r="C12348" t="s">
        <v>34301</v>
      </c>
      <c r="D12348" t="s">
        <v>4618</v>
      </c>
      <c r="E12348" t="s">
        <v>4618</v>
      </c>
      <c r="F12348" t="s">
        <v>4618</v>
      </c>
      <c r="G12348" t="s">
        <v>34195</v>
      </c>
      <c r="H12348" t="s">
        <v>859</v>
      </c>
      <c r="I12348" t="s">
        <v>860</v>
      </c>
      <c r="J12348" t="str">
        <f>"9170474"</f>
        <v>9170474</v>
      </c>
      <c r="K12348">
        <v>2810721509</v>
      </c>
      <c r="L12348">
        <v>2810721509</v>
      </c>
      <c r="M12348" t="s">
        <v>34302</v>
      </c>
      <c r="N12348" t="s">
        <v>34198</v>
      </c>
      <c r="O12348" t="s">
        <v>34198</v>
      </c>
      <c r="P12348">
        <v>70013</v>
      </c>
      <c r="Q12348" t="str">
        <f>"35.268093"</f>
        <v>35.268093</v>
      </c>
      <c r="R12348" t="str">
        <f>"25.057867"</f>
        <v>25.057867</v>
      </c>
      <c r="S12348" t="s">
        <v>26</v>
      </c>
    </row>
    <row r="12349" spans="1:19" x14ac:dyDescent="0.3">
      <c r="A12349" t="s">
        <v>32470</v>
      </c>
      <c r="B12349" t="s">
        <v>33426</v>
      </c>
      <c r="C12349" t="s">
        <v>34303</v>
      </c>
      <c r="D12349" t="s">
        <v>4618</v>
      </c>
      <c r="E12349" t="s">
        <v>4618</v>
      </c>
      <c r="F12349" t="s">
        <v>32824</v>
      </c>
      <c r="G12349" t="s">
        <v>32825</v>
      </c>
      <c r="H12349" t="s">
        <v>859</v>
      </c>
      <c r="I12349" t="s">
        <v>860</v>
      </c>
      <c r="J12349" t="str">
        <f>"9170366"</f>
        <v>9170366</v>
      </c>
      <c r="K12349">
        <v>2810791740</v>
      </c>
      <c r="L12349">
        <v>2810791740</v>
      </c>
      <c r="M12349" t="s">
        <v>34304</v>
      </c>
      <c r="N12349" t="s">
        <v>32829</v>
      </c>
      <c r="O12349" t="s">
        <v>34305</v>
      </c>
      <c r="P12349">
        <v>70011</v>
      </c>
      <c r="Q12349" t="str">
        <f>"35.197354"</f>
        <v>35.197354</v>
      </c>
      <c r="R12349" t="str">
        <f>"25.039728"</f>
        <v>25.039728</v>
      </c>
      <c r="S12349" t="s">
        <v>26</v>
      </c>
    </row>
    <row r="12350" spans="1:19" x14ac:dyDescent="0.3">
      <c r="A12350" t="s">
        <v>32470</v>
      </c>
      <c r="B12350" t="s">
        <v>33426</v>
      </c>
      <c r="C12350" t="s">
        <v>34306</v>
      </c>
      <c r="D12350" t="s">
        <v>4618</v>
      </c>
      <c r="E12350" t="s">
        <v>4618</v>
      </c>
      <c r="F12350" t="s">
        <v>2421</v>
      </c>
      <c r="G12350" t="s">
        <v>33826</v>
      </c>
      <c r="H12350" t="s">
        <v>859</v>
      </c>
      <c r="I12350" t="s">
        <v>860</v>
      </c>
      <c r="J12350" t="str">
        <f>"9170116"</f>
        <v>9170116</v>
      </c>
      <c r="K12350">
        <v>2810881584</v>
      </c>
      <c r="L12350">
        <v>2810881584</v>
      </c>
      <c r="M12350" t="s">
        <v>34307</v>
      </c>
      <c r="N12350" t="s">
        <v>33826</v>
      </c>
      <c r="O12350" t="s">
        <v>34308</v>
      </c>
      <c r="P12350">
        <v>71500</v>
      </c>
      <c r="Q12350" t="str">
        <f>"35.241053"</f>
        <v>35.241053</v>
      </c>
      <c r="R12350" t="str">
        <f>"25.114963"</f>
        <v>25.114963</v>
      </c>
      <c r="S12350" t="s">
        <v>26</v>
      </c>
    </row>
    <row r="12351" spans="1:19" x14ac:dyDescent="0.3">
      <c r="A12351" t="s">
        <v>32470</v>
      </c>
      <c r="B12351" t="s">
        <v>33426</v>
      </c>
      <c r="C12351" t="s">
        <v>34309</v>
      </c>
      <c r="D12351" t="s">
        <v>4618</v>
      </c>
      <c r="E12351" t="s">
        <v>4618</v>
      </c>
      <c r="F12351" t="s">
        <v>32607</v>
      </c>
      <c r="G12351" t="s">
        <v>32608</v>
      </c>
      <c r="H12351" t="s">
        <v>859</v>
      </c>
      <c r="I12351" t="s">
        <v>860</v>
      </c>
      <c r="J12351" t="str">
        <f>"9170395"</f>
        <v>9170395</v>
      </c>
      <c r="K12351">
        <v>2810722035</v>
      </c>
      <c r="L12351">
        <v>2810722035</v>
      </c>
      <c r="M12351" t="s">
        <v>34310</v>
      </c>
      <c r="N12351" t="s">
        <v>34311</v>
      </c>
      <c r="O12351" t="s">
        <v>32612</v>
      </c>
      <c r="P12351">
        <v>70013</v>
      </c>
      <c r="Q12351" t="str">
        <f>"35.231988"</f>
        <v>35.231988</v>
      </c>
      <c r="R12351" t="str">
        <f>"25.029347"</f>
        <v>25.029347</v>
      </c>
      <c r="S12351" t="s">
        <v>26</v>
      </c>
    </row>
    <row r="12352" spans="1:19" x14ac:dyDescent="0.3">
      <c r="A12352" t="s">
        <v>32470</v>
      </c>
      <c r="B12352" t="s">
        <v>33426</v>
      </c>
      <c r="C12352" t="s">
        <v>34312</v>
      </c>
      <c r="D12352" t="s">
        <v>4618</v>
      </c>
      <c r="E12352" t="s">
        <v>32629</v>
      </c>
      <c r="F12352" t="s">
        <v>5162</v>
      </c>
      <c r="G12352" t="s">
        <v>5162</v>
      </c>
      <c r="H12352" t="s">
        <v>859</v>
      </c>
      <c r="I12352" t="s">
        <v>860</v>
      </c>
      <c r="J12352" t="str">
        <f>"9170584"</f>
        <v>9170584</v>
      </c>
      <c r="K12352">
        <v>2894022251</v>
      </c>
      <c r="L12352">
        <v>2894022251</v>
      </c>
      <c r="M12352" t="s">
        <v>34313</v>
      </c>
      <c r="N12352" t="s">
        <v>5162</v>
      </c>
      <c r="O12352" t="s">
        <v>5165</v>
      </c>
      <c r="P12352">
        <v>70003</v>
      </c>
      <c r="Q12352" t="str">
        <f>"35.132802"</f>
        <v>35.132802</v>
      </c>
      <c r="R12352" t="str">
        <f>"24.996944"</f>
        <v>24.996944</v>
      </c>
      <c r="S12352" t="s">
        <v>26</v>
      </c>
    </row>
    <row r="12353" spans="1:19" x14ac:dyDescent="0.3">
      <c r="A12353" t="s">
        <v>32470</v>
      </c>
      <c r="B12353" t="s">
        <v>33426</v>
      </c>
      <c r="C12353" t="s">
        <v>34320</v>
      </c>
      <c r="D12353" t="s">
        <v>4618</v>
      </c>
      <c r="E12353" t="s">
        <v>4618</v>
      </c>
      <c r="F12353" t="s">
        <v>4618</v>
      </c>
      <c r="G12353" t="s">
        <v>32754</v>
      </c>
      <c r="H12353" t="s">
        <v>859</v>
      </c>
      <c r="I12353" t="s">
        <v>860</v>
      </c>
      <c r="J12353" t="str">
        <f>"9170505"</f>
        <v>9170505</v>
      </c>
      <c r="K12353">
        <v>2810243082</v>
      </c>
      <c r="L12353">
        <v>2810243082</v>
      </c>
      <c r="M12353" t="s">
        <v>34321</v>
      </c>
      <c r="N12353" t="s">
        <v>4618</v>
      </c>
      <c r="O12353" t="s">
        <v>34322</v>
      </c>
      <c r="P12353">
        <v>71307</v>
      </c>
      <c r="Q12353" t="str">
        <f>"35.335825"</f>
        <v>35.335825</v>
      </c>
      <c r="R12353" t="str">
        <f>"25.143092"</f>
        <v>25.143092</v>
      </c>
      <c r="S12353" t="s">
        <v>26</v>
      </c>
    </row>
    <row r="12354" spans="1:19" x14ac:dyDescent="0.3">
      <c r="A12354" t="s">
        <v>32470</v>
      </c>
      <c r="B12354" t="s">
        <v>33426</v>
      </c>
      <c r="C12354" t="s">
        <v>34325</v>
      </c>
      <c r="D12354" t="s">
        <v>4618</v>
      </c>
      <c r="E12354" t="s">
        <v>32508</v>
      </c>
      <c r="F12354" t="s">
        <v>32508</v>
      </c>
      <c r="G12354" t="s">
        <v>32508</v>
      </c>
      <c r="H12354" t="s">
        <v>859</v>
      </c>
      <c r="I12354" t="s">
        <v>860</v>
      </c>
      <c r="J12354" t="str">
        <f>"9170466"</f>
        <v>9170466</v>
      </c>
      <c r="K12354">
        <v>2897022686</v>
      </c>
      <c r="L12354">
        <v>2897022686</v>
      </c>
      <c r="M12354" t="s">
        <v>34326</v>
      </c>
      <c r="N12354" t="s">
        <v>32508</v>
      </c>
      <c r="O12354" t="s">
        <v>34327</v>
      </c>
      <c r="P12354">
        <v>70014</v>
      </c>
      <c r="Q12354" t="str">
        <f>"35.307587"</f>
        <v>35.307587</v>
      </c>
      <c r="R12354" t="str">
        <f>"25.368907"</f>
        <v>25.368907</v>
      </c>
      <c r="S12354" t="s">
        <v>26</v>
      </c>
    </row>
    <row r="12355" spans="1:19" x14ac:dyDescent="0.3">
      <c r="A12355" t="s">
        <v>32470</v>
      </c>
      <c r="B12355" t="s">
        <v>33426</v>
      </c>
      <c r="C12355" t="s">
        <v>34328</v>
      </c>
      <c r="D12355" t="s">
        <v>4618</v>
      </c>
      <c r="E12355" t="s">
        <v>32508</v>
      </c>
      <c r="F12355" t="s">
        <v>30112</v>
      </c>
      <c r="G12355" t="s">
        <v>33806</v>
      </c>
      <c r="H12355" t="s">
        <v>859</v>
      </c>
      <c r="I12355" t="s">
        <v>860</v>
      </c>
      <c r="J12355" t="str">
        <f>"9170446"</f>
        <v>9170446</v>
      </c>
      <c r="K12355">
        <v>2810772067</v>
      </c>
      <c r="L12355">
        <v>2810771820</v>
      </c>
      <c r="M12355" t="s">
        <v>34329</v>
      </c>
      <c r="N12355" t="s">
        <v>34330</v>
      </c>
      <c r="O12355" t="s">
        <v>33809</v>
      </c>
      <c r="P12355">
        <v>70008</v>
      </c>
      <c r="Q12355" t="str">
        <f>"35.240565"</f>
        <v>35.240565</v>
      </c>
      <c r="R12355" t="str">
        <f>"25.236933"</f>
        <v>25.236933</v>
      </c>
      <c r="S12355" t="s">
        <v>26</v>
      </c>
    </row>
    <row r="12356" spans="1:19" x14ac:dyDescent="0.3">
      <c r="A12356" t="s">
        <v>32470</v>
      </c>
      <c r="B12356" t="s">
        <v>33426</v>
      </c>
      <c r="C12356" t="s">
        <v>34332</v>
      </c>
      <c r="D12356" t="s">
        <v>4618</v>
      </c>
      <c r="E12356" t="s">
        <v>32508</v>
      </c>
      <c r="F12356" t="s">
        <v>32519</v>
      </c>
      <c r="G12356" t="s">
        <v>33444</v>
      </c>
      <c r="H12356" t="s">
        <v>859</v>
      </c>
      <c r="I12356" t="s">
        <v>860</v>
      </c>
      <c r="J12356" t="str">
        <f>"9170500"</f>
        <v>9170500</v>
      </c>
      <c r="K12356">
        <v>2810762149</v>
      </c>
      <c r="L12356">
        <v>2810762149</v>
      </c>
      <c r="M12356" t="s">
        <v>34333</v>
      </c>
      <c r="N12356" t="s">
        <v>34162</v>
      </c>
      <c r="O12356" t="s">
        <v>34162</v>
      </c>
      <c r="P12356">
        <v>71500</v>
      </c>
      <c r="Q12356" t="str">
        <f>"35.329456"</f>
        <v>35.329456</v>
      </c>
      <c r="R12356" t="str">
        <f>"25.259369"</f>
        <v>25.259369</v>
      </c>
      <c r="S12356" t="s">
        <v>26</v>
      </c>
    </row>
    <row r="12357" spans="1:19" x14ac:dyDescent="0.3">
      <c r="A12357" t="s">
        <v>32470</v>
      </c>
      <c r="B12357" t="s">
        <v>33426</v>
      </c>
      <c r="C12357" t="s">
        <v>34340</v>
      </c>
      <c r="D12357" t="s">
        <v>4618</v>
      </c>
      <c r="E12357" t="s">
        <v>32549</v>
      </c>
      <c r="F12357" t="s">
        <v>32550</v>
      </c>
      <c r="G12357" t="s">
        <v>32550</v>
      </c>
      <c r="H12357" t="s">
        <v>859</v>
      </c>
      <c r="I12357" t="s">
        <v>1102</v>
      </c>
      <c r="J12357" t="str">
        <f>"9521044"</f>
        <v>9521044</v>
      </c>
      <c r="K12357">
        <v>2891023329</v>
      </c>
      <c r="L12357">
        <v>2891023329</v>
      </c>
      <c r="M12357" t="s">
        <v>34341</v>
      </c>
      <c r="N12357" t="s">
        <v>32688</v>
      </c>
      <c r="O12357" t="s">
        <v>32688</v>
      </c>
      <c r="P12357">
        <v>70300</v>
      </c>
      <c r="Q12357" t="str">
        <f>"35.141988"</f>
        <v>35.141988</v>
      </c>
      <c r="R12357" t="str">
        <f>"25.265876"</f>
        <v>25.265876</v>
      </c>
      <c r="S12357" t="s">
        <v>26</v>
      </c>
    </row>
    <row r="12358" spans="1:19" x14ac:dyDescent="0.3">
      <c r="A12358" t="s">
        <v>32470</v>
      </c>
      <c r="B12358" t="s">
        <v>33426</v>
      </c>
      <c r="C12358" t="s">
        <v>34342</v>
      </c>
      <c r="D12358" t="s">
        <v>4618</v>
      </c>
      <c r="E12358" t="s">
        <v>32690</v>
      </c>
      <c r="F12358" t="s">
        <v>32690</v>
      </c>
      <c r="G12358" t="s">
        <v>32691</v>
      </c>
      <c r="H12358" t="s">
        <v>859</v>
      </c>
      <c r="I12358" t="s">
        <v>860</v>
      </c>
      <c r="J12358" t="str">
        <f>"9170131"</f>
        <v>9170131</v>
      </c>
      <c r="K12358">
        <v>2895022644</v>
      </c>
      <c r="L12358">
        <v>2895022123</v>
      </c>
      <c r="M12358" t="s">
        <v>34343</v>
      </c>
      <c r="N12358" t="s">
        <v>33847</v>
      </c>
      <c r="O12358" t="s">
        <v>33847</v>
      </c>
      <c r="P12358">
        <v>70004</v>
      </c>
      <c r="Q12358" t="str">
        <f>"35.053860"</f>
        <v>35.053860</v>
      </c>
      <c r="R12358" t="str">
        <f>"25.410419"</f>
        <v>25.410419</v>
      </c>
      <c r="S12358" t="s">
        <v>26</v>
      </c>
    </row>
    <row r="12359" spans="1:19" x14ac:dyDescent="0.3">
      <c r="A12359" t="s">
        <v>32470</v>
      </c>
      <c r="B12359" t="s">
        <v>33426</v>
      </c>
      <c r="C12359" t="s">
        <v>34349</v>
      </c>
      <c r="D12359" t="s">
        <v>4618</v>
      </c>
      <c r="E12359" t="s">
        <v>4618</v>
      </c>
      <c r="F12359" t="s">
        <v>4618</v>
      </c>
      <c r="G12359" t="s">
        <v>32514</v>
      </c>
      <c r="H12359" t="s">
        <v>859</v>
      </c>
      <c r="I12359" t="s">
        <v>860</v>
      </c>
      <c r="J12359" t="str">
        <f>"9521128"</f>
        <v>9521128</v>
      </c>
      <c r="K12359">
        <v>2810310918</v>
      </c>
      <c r="L12359">
        <v>2810310918</v>
      </c>
      <c r="M12359" t="s">
        <v>34350</v>
      </c>
      <c r="N12359" t="s">
        <v>4618</v>
      </c>
      <c r="O12359" t="s">
        <v>34351</v>
      </c>
      <c r="P12359">
        <v>71304</v>
      </c>
      <c r="Q12359" t="str">
        <f>"35.327519"</f>
        <v>35.327519</v>
      </c>
      <c r="R12359" t="str">
        <f>"25.102757"</f>
        <v>25.102757</v>
      </c>
      <c r="S12359" t="s">
        <v>26</v>
      </c>
    </row>
    <row r="12360" spans="1:19" x14ac:dyDescent="0.3">
      <c r="A12360" t="s">
        <v>32470</v>
      </c>
      <c r="B12360" t="s">
        <v>33426</v>
      </c>
      <c r="C12360" t="s">
        <v>34358</v>
      </c>
      <c r="D12360" t="s">
        <v>4618</v>
      </c>
      <c r="E12360" t="s">
        <v>4618</v>
      </c>
      <c r="F12360" t="s">
        <v>4618</v>
      </c>
      <c r="G12360" t="s">
        <v>32537</v>
      </c>
      <c r="H12360" t="s">
        <v>859</v>
      </c>
      <c r="I12360" t="s">
        <v>860</v>
      </c>
      <c r="J12360" t="str">
        <f>"9521246"</f>
        <v>9521246</v>
      </c>
      <c r="K12360">
        <v>2810311269</v>
      </c>
      <c r="L12360">
        <v>2810311285</v>
      </c>
      <c r="M12360" t="s">
        <v>34359</v>
      </c>
      <c r="N12360" t="s">
        <v>34360</v>
      </c>
      <c r="O12360" t="s">
        <v>34361</v>
      </c>
      <c r="P12360">
        <v>71305</v>
      </c>
      <c r="Q12360" t="str">
        <f>"35.322274"</f>
        <v>35.322274</v>
      </c>
      <c r="R12360" t="str">
        <f>"25.121719"</f>
        <v>25.121719</v>
      </c>
      <c r="S12360" t="s">
        <v>26</v>
      </c>
    </row>
    <row r="12361" spans="1:19" x14ac:dyDescent="0.3">
      <c r="A12361" t="s">
        <v>32470</v>
      </c>
      <c r="B12361" t="s">
        <v>33426</v>
      </c>
      <c r="C12361" t="s">
        <v>34362</v>
      </c>
      <c r="D12361" t="s">
        <v>4618</v>
      </c>
      <c r="E12361" t="s">
        <v>32629</v>
      </c>
      <c r="F12361" t="s">
        <v>5162</v>
      </c>
      <c r="G12361" t="s">
        <v>30138</v>
      </c>
      <c r="H12361" t="s">
        <v>859</v>
      </c>
      <c r="I12361" t="s">
        <v>860</v>
      </c>
      <c r="J12361" t="str">
        <f>"9170402"</f>
        <v>9170402</v>
      </c>
      <c r="K12361">
        <v>2894023373</v>
      </c>
      <c r="L12361">
        <v>2894023373</v>
      </c>
      <c r="M12361" t="s">
        <v>34363</v>
      </c>
      <c r="N12361" t="s">
        <v>30142</v>
      </c>
      <c r="O12361" t="s">
        <v>30142</v>
      </c>
      <c r="P12361">
        <v>70003</v>
      </c>
      <c r="Q12361" t="str">
        <f>"35.134611"</f>
        <v>35.134611</v>
      </c>
      <c r="R12361" t="str">
        <f>"25.020504"</f>
        <v>25.020504</v>
      </c>
      <c r="S12361" t="s">
        <v>26</v>
      </c>
    </row>
    <row r="12362" spans="1:19" x14ac:dyDescent="0.3">
      <c r="A12362" t="s">
        <v>32470</v>
      </c>
      <c r="B12362" t="s">
        <v>33426</v>
      </c>
      <c r="C12362" t="s">
        <v>34364</v>
      </c>
      <c r="D12362" t="s">
        <v>4618</v>
      </c>
      <c r="E12362" t="s">
        <v>32529</v>
      </c>
      <c r="F12362" t="s">
        <v>32650</v>
      </c>
      <c r="G12362" t="s">
        <v>22398</v>
      </c>
      <c r="H12362" t="s">
        <v>859</v>
      </c>
      <c r="I12362" t="s">
        <v>860</v>
      </c>
      <c r="J12362" t="str">
        <f>"9170456"</f>
        <v>9170456</v>
      </c>
      <c r="K12362">
        <v>2810841410</v>
      </c>
      <c r="M12362" t="s">
        <v>34365</v>
      </c>
      <c r="N12362" t="s">
        <v>22401</v>
      </c>
      <c r="O12362" t="s">
        <v>22398</v>
      </c>
      <c r="P12362">
        <v>71500</v>
      </c>
      <c r="Q12362" t="str">
        <f>"35.365134"</f>
        <v>35.365134</v>
      </c>
      <c r="R12362" t="str">
        <f>"25.020587"</f>
        <v>25.020587</v>
      </c>
      <c r="S12362" t="s">
        <v>26</v>
      </c>
    </row>
    <row r="12363" spans="1:19" x14ac:dyDescent="0.3">
      <c r="A12363" t="s">
        <v>32470</v>
      </c>
      <c r="B12363" t="s">
        <v>33426</v>
      </c>
      <c r="C12363" t="s">
        <v>34366</v>
      </c>
      <c r="D12363" t="s">
        <v>4618</v>
      </c>
      <c r="E12363" t="s">
        <v>32508</v>
      </c>
      <c r="F12363" t="s">
        <v>30112</v>
      </c>
      <c r="G12363" t="s">
        <v>30112</v>
      </c>
      <c r="H12363" t="s">
        <v>859</v>
      </c>
      <c r="I12363" t="s">
        <v>860</v>
      </c>
      <c r="J12363" t="str">
        <f>"9170368"</f>
        <v>9170368</v>
      </c>
      <c r="K12363">
        <v>2810771998</v>
      </c>
      <c r="L12363">
        <v>2810771998</v>
      </c>
      <c r="M12363" t="s">
        <v>34367</v>
      </c>
      <c r="N12363" t="s">
        <v>30112</v>
      </c>
      <c r="O12363" t="s">
        <v>34368</v>
      </c>
      <c r="P12363">
        <v>70008</v>
      </c>
      <c r="Q12363" t="str">
        <f>"35.258795"</f>
        <v>35.258795</v>
      </c>
      <c r="R12363" t="str">
        <f>"25.238040"</f>
        <v>25.238040</v>
      </c>
      <c r="S12363" t="s">
        <v>26</v>
      </c>
    </row>
    <row r="12364" spans="1:19" x14ac:dyDescent="0.3">
      <c r="A12364" t="s">
        <v>32470</v>
      </c>
      <c r="B12364" t="s">
        <v>33426</v>
      </c>
      <c r="C12364" t="s">
        <v>34369</v>
      </c>
      <c r="D12364" t="s">
        <v>4618</v>
      </c>
      <c r="E12364" t="s">
        <v>32549</v>
      </c>
      <c r="F12364" t="s">
        <v>32550</v>
      </c>
      <c r="G12364" t="s">
        <v>25400</v>
      </c>
      <c r="H12364" t="s">
        <v>859</v>
      </c>
      <c r="I12364" t="s">
        <v>860</v>
      </c>
      <c r="J12364" t="str">
        <f>"9521129"</f>
        <v>9521129</v>
      </c>
      <c r="K12364">
        <v>2891093519</v>
      </c>
      <c r="M12364" t="s">
        <v>34370</v>
      </c>
      <c r="N12364" t="s">
        <v>34371</v>
      </c>
      <c r="O12364" t="s">
        <v>34372</v>
      </c>
      <c r="P12364">
        <v>70300</v>
      </c>
      <c r="Q12364" t="str">
        <f>"35.121886"</f>
        <v>35.121886</v>
      </c>
      <c r="R12364" t="str">
        <f>"25.187804"</f>
        <v>25.187804</v>
      </c>
      <c r="S12364" t="s">
        <v>26</v>
      </c>
    </row>
    <row r="12365" spans="1:19" x14ac:dyDescent="0.3">
      <c r="A12365" t="s">
        <v>32470</v>
      </c>
      <c r="B12365" t="s">
        <v>33426</v>
      </c>
      <c r="C12365" t="s">
        <v>34379</v>
      </c>
      <c r="D12365" t="s">
        <v>4618</v>
      </c>
      <c r="E12365" t="s">
        <v>32584</v>
      </c>
      <c r="F12365" t="s">
        <v>32616</v>
      </c>
      <c r="G12365" t="s">
        <v>32617</v>
      </c>
      <c r="H12365" t="s">
        <v>859</v>
      </c>
      <c r="I12365" t="s">
        <v>1102</v>
      </c>
      <c r="J12365" t="str">
        <f>"9521068"</f>
        <v>9521068</v>
      </c>
      <c r="K12365">
        <v>2892041052</v>
      </c>
      <c r="L12365">
        <v>2892041052</v>
      </c>
      <c r="M12365" t="s">
        <v>34380</v>
      </c>
      <c r="N12365" t="s">
        <v>34381</v>
      </c>
      <c r="O12365" t="s">
        <v>34191</v>
      </c>
      <c r="P12365">
        <v>70400</v>
      </c>
      <c r="Q12365" t="str">
        <f>"35.010195"</f>
        <v>35.010195</v>
      </c>
      <c r="R12365" t="str">
        <f>"24.869042"</f>
        <v>24.869042</v>
      </c>
      <c r="S12365" t="s">
        <v>26</v>
      </c>
    </row>
    <row r="12366" spans="1:19" x14ac:dyDescent="0.3">
      <c r="A12366" t="s">
        <v>32470</v>
      </c>
      <c r="B12366" t="s">
        <v>33426</v>
      </c>
      <c r="C12366" t="s">
        <v>34382</v>
      </c>
      <c r="D12366" t="s">
        <v>4618</v>
      </c>
      <c r="E12366" t="s">
        <v>32501</v>
      </c>
      <c r="F12366" t="s">
        <v>32571</v>
      </c>
      <c r="G12366" t="s">
        <v>22254</v>
      </c>
      <c r="H12366" t="s">
        <v>859</v>
      </c>
      <c r="I12366" t="s">
        <v>860</v>
      </c>
      <c r="J12366" t="str">
        <f>"9170315"</f>
        <v>9170315</v>
      </c>
      <c r="K12366">
        <v>2893023966</v>
      </c>
      <c r="M12366" t="s">
        <v>34383</v>
      </c>
      <c r="N12366" t="s">
        <v>28925</v>
      </c>
      <c r="O12366" t="s">
        <v>33908</v>
      </c>
      <c r="P12366">
        <v>70010</v>
      </c>
      <c r="Q12366" t="str">
        <f>"35.020103"</f>
        <v>35.020103</v>
      </c>
      <c r="R12366" t="str">
        <f>"25.204889"</f>
        <v>25.204889</v>
      </c>
      <c r="S12366" t="s">
        <v>26</v>
      </c>
    </row>
    <row r="12367" spans="1:19" x14ac:dyDescent="0.3">
      <c r="A12367" t="s">
        <v>32470</v>
      </c>
      <c r="B12367" t="s">
        <v>33426</v>
      </c>
      <c r="C12367" t="s">
        <v>34385</v>
      </c>
      <c r="D12367" t="s">
        <v>4618</v>
      </c>
      <c r="E12367" t="s">
        <v>4618</v>
      </c>
      <c r="F12367" t="s">
        <v>4618</v>
      </c>
      <c r="G12367" t="s">
        <v>32471</v>
      </c>
      <c r="H12367" t="s">
        <v>859</v>
      </c>
      <c r="I12367" t="s">
        <v>34384</v>
      </c>
      <c r="J12367" t="str">
        <f>"9521477"</f>
        <v>9521477</v>
      </c>
      <c r="K12367">
        <v>2810301780</v>
      </c>
      <c r="L12367">
        <v>2810222712</v>
      </c>
      <c r="M12367" t="s">
        <v>34386</v>
      </c>
      <c r="N12367" t="s">
        <v>28925</v>
      </c>
      <c r="O12367" t="s">
        <v>32889</v>
      </c>
      <c r="P12367">
        <v>71202</v>
      </c>
      <c r="Q12367" t="str">
        <f>"35.336511"</f>
        <v>35.336511</v>
      </c>
      <c r="R12367" t="str">
        <f>"25.129960"</f>
        <v>25.129960</v>
      </c>
      <c r="S12367" t="s">
        <v>26</v>
      </c>
    </row>
    <row r="12368" spans="1:19" x14ac:dyDescent="0.3">
      <c r="A12368" t="s">
        <v>32470</v>
      </c>
      <c r="B12368" t="s">
        <v>33426</v>
      </c>
      <c r="C12368" t="s">
        <v>34392</v>
      </c>
      <c r="D12368" t="s">
        <v>4618</v>
      </c>
      <c r="E12368" t="s">
        <v>32584</v>
      </c>
      <c r="F12368" t="s">
        <v>32585</v>
      </c>
      <c r="G12368" t="s">
        <v>14231</v>
      </c>
      <c r="H12368" t="s">
        <v>859</v>
      </c>
      <c r="I12368" t="s">
        <v>860</v>
      </c>
      <c r="J12368" t="str">
        <f>"9170329"</f>
        <v>9170329</v>
      </c>
      <c r="K12368">
        <v>2892043274</v>
      </c>
      <c r="M12368" t="s">
        <v>34393</v>
      </c>
      <c r="N12368" t="s">
        <v>14231</v>
      </c>
      <c r="O12368" t="s">
        <v>13150</v>
      </c>
      <c r="P12368">
        <v>70002</v>
      </c>
      <c r="Q12368" t="str">
        <f>"35.153557"</f>
        <v>35.153557</v>
      </c>
      <c r="R12368" t="str">
        <f>"24.820331"</f>
        <v>24.820331</v>
      </c>
      <c r="S12368" t="s">
        <v>26</v>
      </c>
    </row>
    <row r="12369" spans="1:19" x14ac:dyDescent="0.3">
      <c r="A12369" t="s">
        <v>32470</v>
      </c>
      <c r="B12369" t="s">
        <v>33426</v>
      </c>
      <c r="C12369" t="s">
        <v>34396</v>
      </c>
      <c r="D12369" t="s">
        <v>4618</v>
      </c>
      <c r="E12369" t="s">
        <v>4618</v>
      </c>
      <c r="F12369" t="s">
        <v>4618</v>
      </c>
      <c r="G12369" t="s">
        <v>32514</v>
      </c>
      <c r="H12369" t="s">
        <v>859</v>
      </c>
      <c r="I12369" t="s">
        <v>860</v>
      </c>
      <c r="J12369" t="str">
        <f>"9521443"</f>
        <v>9521443</v>
      </c>
      <c r="K12369">
        <v>2810528607</v>
      </c>
      <c r="L12369">
        <v>2810528607</v>
      </c>
      <c r="M12369" t="s">
        <v>34397</v>
      </c>
      <c r="N12369" t="s">
        <v>4618</v>
      </c>
      <c r="O12369" t="s">
        <v>34398</v>
      </c>
      <c r="P12369">
        <v>71410</v>
      </c>
      <c r="Q12369" t="str">
        <f>"35.319376"</f>
        <v>35.319376</v>
      </c>
      <c r="R12369" t="str">
        <f>"25.102439"</f>
        <v>25.102439</v>
      </c>
      <c r="S12369" t="s">
        <v>26</v>
      </c>
    </row>
    <row r="12370" spans="1:19" x14ac:dyDescent="0.3">
      <c r="A12370" t="s">
        <v>32470</v>
      </c>
      <c r="B12370" t="s">
        <v>33426</v>
      </c>
      <c r="C12370" t="s">
        <v>34399</v>
      </c>
      <c r="D12370" t="s">
        <v>4618</v>
      </c>
      <c r="E12370" t="s">
        <v>4618</v>
      </c>
      <c r="F12370" t="s">
        <v>4618</v>
      </c>
      <c r="G12370" t="s">
        <v>32537</v>
      </c>
      <c r="H12370" t="s">
        <v>859</v>
      </c>
      <c r="I12370" t="s">
        <v>860</v>
      </c>
      <c r="J12370" t="str">
        <f>"9521522"</f>
        <v>9521522</v>
      </c>
      <c r="K12370">
        <v>2810324296</v>
      </c>
      <c r="L12370">
        <v>2810324296</v>
      </c>
      <c r="M12370" t="s">
        <v>34400</v>
      </c>
      <c r="N12370" t="s">
        <v>4618</v>
      </c>
      <c r="O12370" t="s">
        <v>34401</v>
      </c>
      <c r="P12370">
        <v>71409</v>
      </c>
      <c r="Q12370" t="str">
        <f>"35.317078"</f>
        <v>35.317078</v>
      </c>
      <c r="R12370" t="str">
        <f>"25.139993"</f>
        <v>25.139993</v>
      </c>
      <c r="S12370" t="s">
        <v>26</v>
      </c>
    </row>
    <row r="12371" spans="1:19" x14ac:dyDescent="0.3">
      <c r="A12371" t="s">
        <v>32470</v>
      </c>
      <c r="B12371" t="s">
        <v>33426</v>
      </c>
      <c r="C12371" t="s">
        <v>34405</v>
      </c>
      <c r="D12371" t="s">
        <v>4618</v>
      </c>
      <c r="E12371" t="s">
        <v>4618</v>
      </c>
      <c r="F12371" t="s">
        <v>32623</v>
      </c>
      <c r="G12371" t="s">
        <v>32623</v>
      </c>
      <c r="H12371" t="s">
        <v>859</v>
      </c>
      <c r="I12371" t="s">
        <v>860</v>
      </c>
      <c r="J12371" t="str">
        <f>"9521369"</f>
        <v>9521369</v>
      </c>
      <c r="K12371">
        <v>2810222259</v>
      </c>
      <c r="L12371">
        <v>2810222259</v>
      </c>
      <c r="M12371" t="s">
        <v>34406</v>
      </c>
      <c r="N12371" t="s">
        <v>34407</v>
      </c>
      <c r="O12371" t="s">
        <v>34408</v>
      </c>
      <c r="P12371">
        <v>71601</v>
      </c>
      <c r="Q12371" t="str">
        <f>"35.328603"</f>
        <v>35.328603</v>
      </c>
      <c r="R12371" t="str">
        <f>"25.164802"</f>
        <v>25.164802</v>
      </c>
      <c r="S12371" t="s">
        <v>26</v>
      </c>
    </row>
    <row r="12372" spans="1:19" x14ac:dyDescent="0.3">
      <c r="A12372" t="s">
        <v>32470</v>
      </c>
      <c r="B12372" t="s">
        <v>33426</v>
      </c>
      <c r="C12372" t="s">
        <v>34412</v>
      </c>
      <c r="D12372" t="s">
        <v>4618</v>
      </c>
      <c r="E12372" t="s">
        <v>4618</v>
      </c>
      <c r="F12372" t="s">
        <v>4618</v>
      </c>
      <c r="G12372" t="s">
        <v>32514</v>
      </c>
      <c r="H12372" t="s">
        <v>859</v>
      </c>
      <c r="I12372" t="s">
        <v>860</v>
      </c>
      <c r="J12372" t="str">
        <f>"9521595"</f>
        <v>9521595</v>
      </c>
      <c r="K12372">
        <v>2810251986</v>
      </c>
      <c r="L12372">
        <v>2810251986</v>
      </c>
      <c r="M12372" t="s">
        <v>34413</v>
      </c>
      <c r="N12372" t="s">
        <v>4618</v>
      </c>
      <c r="O12372" t="s">
        <v>34414</v>
      </c>
      <c r="P12372">
        <v>71304</v>
      </c>
      <c r="Q12372" t="str">
        <f>"35.334488"</f>
        <v>35.334488</v>
      </c>
      <c r="R12372" t="str">
        <f>"25.100725"</f>
        <v>25.100725</v>
      </c>
      <c r="S12372" t="s">
        <v>26</v>
      </c>
    </row>
    <row r="12373" spans="1:19" x14ac:dyDescent="0.3">
      <c r="A12373" t="s">
        <v>32470</v>
      </c>
      <c r="B12373" t="s">
        <v>33426</v>
      </c>
      <c r="C12373" t="s">
        <v>34415</v>
      </c>
      <c r="D12373" t="s">
        <v>4618</v>
      </c>
      <c r="E12373" t="s">
        <v>4618</v>
      </c>
      <c r="F12373" t="s">
        <v>4618</v>
      </c>
      <c r="G12373" t="s">
        <v>32537</v>
      </c>
      <c r="H12373" t="s">
        <v>859</v>
      </c>
      <c r="I12373" t="s">
        <v>860</v>
      </c>
      <c r="J12373" t="str">
        <f>"9521596"</f>
        <v>9521596</v>
      </c>
      <c r="K12373">
        <v>2810324977</v>
      </c>
      <c r="L12373">
        <v>2810324977</v>
      </c>
      <c r="M12373" t="s">
        <v>34416</v>
      </c>
      <c r="N12373" t="s">
        <v>4618</v>
      </c>
      <c r="O12373" t="s">
        <v>34417</v>
      </c>
      <c r="P12373">
        <v>71409</v>
      </c>
      <c r="Q12373" t="str">
        <f>"35.308370"</f>
        <v>35.308370</v>
      </c>
      <c r="R12373" t="str">
        <f>"25.153663"</f>
        <v>25.153663</v>
      </c>
      <c r="S12373" t="s">
        <v>26</v>
      </c>
    </row>
    <row r="12374" spans="1:19" x14ac:dyDescent="0.3">
      <c r="A12374" t="s">
        <v>32470</v>
      </c>
      <c r="B12374" t="s">
        <v>33426</v>
      </c>
      <c r="C12374" t="s">
        <v>34420</v>
      </c>
      <c r="D12374" t="s">
        <v>4618</v>
      </c>
      <c r="E12374" t="s">
        <v>32501</v>
      </c>
      <c r="F12374" t="s">
        <v>32502</v>
      </c>
      <c r="G12374" t="s">
        <v>32502</v>
      </c>
      <c r="H12374" t="s">
        <v>859</v>
      </c>
      <c r="I12374" t="s">
        <v>860</v>
      </c>
      <c r="J12374" t="str">
        <f>"9521639"</f>
        <v>9521639</v>
      </c>
      <c r="K12374">
        <v>2810751950</v>
      </c>
      <c r="L12374">
        <v>2810751950</v>
      </c>
      <c r="M12374" t="s">
        <v>34421</v>
      </c>
      <c r="N12374" t="s">
        <v>34422</v>
      </c>
      <c r="O12374" t="s">
        <v>34423</v>
      </c>
      <c r="P12374">
        <v>70100</v>
      </c>
      <c r="Q12374" t="str">
        <f>"35.250283"</f>
        <v>35.250283</v>
      </c>
      <c r="R12374" t="str">
        <f>"25.169224"</f>
        <v>25.169224</v>
      </c>
      <c r="S12374" t="s">
        <v>26</v>
      </c>
    </row>
    <row r="12375" spans="1:19" x14ac:dyDescent="0.3">
      <c r="A12375" t="s">
        <v>32470</v>
      </c>
      <c r="B12375" t="s">
        <v>33426</v>
      </c>
      <c r="C12375" t="s">
        <v>34424</v>
      </c>
      <c r="D12375" t="s">
        <v>4618</v>
      </c>
      <c r="E12375" t="s">
        <v>32629</v>
      </c>
      <c r="F12375" t="s">
        <v>32630</v>
      </c>
      <c r="G12375" t="s">
        <v>32631</v>
      </c>
      <c r="H12375" t="s">
        <v>859</v>
      </c>
      <c r="I12375" t="s">
        <v>860</v>
      </c>
      <c r="J12375" t="str">
        <f>"9521638"</f>
        <v>9521638</v>
      </c>
      <c r="K12375">
        <v>2893031831</v>
      </c>
      <c r="M12375" t="s">
        <v>34425</v>
      </c>
      <c r="N12375" t="s">
        <v>32631</v>
      </c>
      <c r="O12375" t="s">
        <v>34426</v>
      </c>
      <c r="P12375">
        <v>0</v>
      </c>
      <c r="Q12375" t="str">
        <f>"35.043519"</f>
        <v>35.043519</v>
      </c>
      <c r="R12375" t="str">
        <f>"25.092870"</f>
        <v>25.092870</v>
      </c>
      <c r="S12375" t="s">
        <v>26</v>
      </c>
    </row>
    <row r="12376" spans="1:19" x14ac:dyDescent="0.3">
      <c r="A12376" t="s">
        <v>32470</v>
      </c>
      <c r="B12376" t="s">
        <v>33426</v>
      </c>
      <c r="C12376" t="s">
        <v>34427</v>
      </c>
      <c r="D12376" t="s">
        <v>4618</v>
      </c>
      <c r="E12376" t="s">
        <v>32529</v>
      </c>
      <c r="F12376" t="s">
        <v>32650</v>
      </c>
      <c r="G12376" t="s">
        <v>32650</v>
      </c>
      <c r="H12376" t="s">
        <v>859</v>
      </c>
      <c r="I12376" t="s">
        <v>860</v>
      </c>
      <c r="J12376" t="str">
        <f>"9521694"</f>
        <v>9521694</v>
      </c>
      <c r="K12376">
        <v>2810262562</v>
      </c>
      <c r="M12376" t="s">
        <v>34428</v>
      </c>
      <c r="N12376" t="s">
        <v>8190</v>
      </c>
      <c r="O12376" t="s">
        <v>34429</v>
      </c>
      <c r="Q12376" t="str">
        <f>"35.333188"</f>
        <v>35.333188</v>
      </c>
      <c r="R12376" t="str">
        <f>"25.080953"</f>
        <v>25.080953</v>
      </c>
      <c r="S12376" t="s">
        <v>26</v>
      </c>
    </row>
    <row r="12377" spans="1:19" x14ac:dyDescent="0.3">
      <c r="A12377" t="s">
        <v>32470</v>
      </c>
      <c r="B12377" t="s">
        <v>34430</v>
      </c>
      <c r="C12377" t="s">
        <v>34431</v>
      </c>
      <c r="D12377" t="s">
        <v>32475</v>
      </c>
      <c r="E12377" t="s">
        <v>32924</v>
      </c>
      <c r="F12377" t="s">
        <v>32924</v>
      </c>
      <c r="G12377" t="s">
        <v>1872</v>
      </c>
      <c r="H12377" t="s">
        <v>859</v>
      </c>
      <c r="I12377" t="s">
        <v>860</v>
      </c>
      <c r="J12377" t="str">
        <f>"9320041"</f>
        <v>9320041</v>
      </c>
      <c r="K12377">
        <v>2844031900</v>
      </c>
      <c r="M12377" t="s">
        <v>34432</v>
      </c>
      <c r="N12377" t="s">
        <v>14960</v>
      </c>
      <c r="O12377" t="s">
        <v>34433</v>
      </c>
      <c r="P12377">
        <v>72052</v>
      </c>
      <c r="Q12377" t="str">
        <f>"35.198834"</f>
        <v>35.198834</v>
      </c>
      <c r="R12377" t="str">
        <f>"25.488309"</f>
        <v>25.488309</v>
      </c>
      <c r="S12377" t="s">
        <v>57</v>
      </c>
    </row>
    <row r="12378" spans="1:19" x14ac:dyDescent="0.3">
      <c r="A12378" t="s">
        <v>32470</v>
      </c>
      <c r="B12378" t="s">
        <v>34430</v>
      </c>
      <c r="C12378" t="s">
        <v>34434</v>
      </c>
      <c r="D12378" t="s">
        <v>32475</v>
      </c>
      <c r="E12378" t="s">
        <v>32917</v>
      </c>
      <c r="F12378" t="s">
        <v>32918</v>
      </c>
      <c r="G12378" t="s">
        <v>30150</v>
      </c>
      <c r="H12378" t="s">
        <v>859</v>
      </c>
      <c r="I12378" t="s">
        <v>860</v>
      </c>
      <c r="J12378" t="str">
        <f>"9320203"</f>
        <v>9320203</v>
      </c>
      <c r="K12378">
        <v>2843052423</v>
      </c>
      <c r="L12378">
        <v>2843052423</v>
      </c>
      <c r="M12378" t="s">
        <v>34435</v>
      </c>
      <c r="N12378" t="s">
        <v>32976</v>
      </c>
      <c r="O12378" t="s">
        <v>32922</v>
      </c>
      <c r="P12378">
        <v>72055</v>
      </c>
      <c r="Q12378" t="str">
        <f>"35.033728"</f>
        <v>35.033728</v>
      </c>
      <c r="R12378" t="str">
        <f>"25.947949"</f>
        <v>25.947949</v>
      </c>
      <c r="S12378" t="s">
        <v>26</v>
      </c>
    </row>
    <row r="12379" spans="1:19" x14ac:dyDescent="0.3">
      <c r="A12379" t="s">
        <v>32470</v>
      </c>
      <c r="B12379" t="s">
        <v>34430</v>
      </c>
      <c r="C12379" t="s">
        <v>34437</v>
      </c>
      <c r="D12379" t="s">
        <v>32475</v>
      </c>
      <c r="E12379" t="s">
        <v>32905</v>
      </c>
      <c r="F12379" t="s">
        <v>17070</v>
      </c>
      <c r="G12379" t="s">
        <v>34436</v>
      </c>
      <c r="H12379" t="s">
        <v>859</v>
      </c>
      <c r="I12379" t="s">
        <v>860</v>
      </c>
      <c r="J12379" t="str">
        <f>"9320217"</f>
        <v>9320217</v>
      </c>
      <c r="K12379">
        <v>2843051412</v>
      </c>
      <c r="L12379">
        <v>2843051115</v>
      </c>
      <c r="M12379" t="s">
        <v>34438</v>
      </c>
      <c r="N12379" t="s">
        <v>32961</v>
      </c>
      <c r="O12379" t="s">
        <v>34439</v>
      </c>
      <c r="P12379">
        <v>72059</v>
      </c>
      <c r="Q12379" t="str">
        <f>"35.012573"</f>
        <v>35.012573</v>
      </c>
      <c r="R12379" t="str">
        <f>"26.099825"</f>
        <v>26.099825</v>
      </c>
      <c r="S12379" t="s">
        <v>57</v>
      </c>
    </row>
    <row r="12380" spans="1:19" x14ac:dyDescent="0.3">
      <c r="A12380" t="s">
        <v>32470</v>
      </c>
      <c r="B12380" t="s">
        <v>34430</v>
      </c>
      <c r="C12380" t="s">
        <v>34440</v>
      </c>
      <c r="D12380" t="s">
        <v>32475</v>
      </c>
      <c r="E12380" t="s">
        <v>1969</v>
      </c>
      <c r="F12380" t="s">
        <v>1969</v>
      </c>
      <c r="G12380" t="s">
        <v>1969</v>
      </c>
      <c r="H12380" t="s">
        <v>859</v>
      </c>
      <c r="I12380" t="s">
        <v>860</v>
      </c>
      <c r="J12380" t="str">
        <f>"9320057"</f>
        <v>9320057</v>
      </c>
      <c r="K12380">
        <v>2841022111</v>
      </c>
      <c r="L12380">
        <v>2841022111</v>
      </c>
      <c r="M12380" t="s">
        <v>34441</v>
      </c>
      <c r="N12380" t="s">
        <v>14960</v>
      </c>
      <c r="O12380" t="s">
        <v>34442</v>
      </c>
      <c r="P12380">
        <v>72100</v>
      </c>
      <c r="Q12380" t="str">
        <f>"35.190090"</f>
        <v>35.190090</v>
      </c>
      <c r="R12380" t="str">
        <f>"25.720344"</f>
        <v>25.720344</v>
      </c>
      <c r="S12380" t="s">
        <v>26</v>
      </c>
    </row>
    <row r="12381" spans="1:19" x14ac:dyDescent="0.3">
      <c r="A12381" t="s">
        <v>32470</v>
      </c>
      <c r="B12381" t="s">
        <v>34430</v>
      </c>
      <c r="C12381" t="s">
        <v>34443</v>
      </c>
      <c r="D12381" t="s">
        <v>32475</v>
      </c>
      <c r="E12381" t="s">
        <v>1969</v>
      </c>
      <c r="F12381" t="s">
        <v>1969</v>
      </c>
      <c r="G12381" t="s">
        <v>1969</v>
      </c>
      <c r="H12381" t="s">
        <v>859</v>
      </c>
      <c r="I12381" t="s">
        <v>860</v>
      </c>
      <c r="J12381" t="str">
        <f>"9320056"</f>
        <v>9320056</v>
      </c>
      <c r="K12381">
        <v>2841028260</v>
      </c>
      <c r="L12381">
        <v>2841028260</v>
      </c>
      <c r="M12381" t="s">
        <v>34444</v>
      </c>
      <c r="N12381" t="s">
        <v>14960</v>
      </c>
      <c r="O12381" t="s">
        <v>34445</v>
      </c>
      <c r="P12381">
        <v>72100</v>
      </c>
      <c r="Q12381" t="str">
        <f>"35.191247"</f>
        <v>35.191247</v>
      </c>
      <c r="R12381" t="str">
        <f>"25.715793"</f>
        <v>25.715793</v>
      </c>
      <c r="S12381" t="s">
        <v>26</v>
      </c>
    </row>
    <row r="12382" spans="1:19" x14ac:dyDescent="0.3">
      <c r="A12382" t="s">
        <v>32470</v>
      </c>
      <c r="B12382" t="s">
        <v>34430</v>
      </c>
      <c r="C12382" t="s">
        <v>34456</v>
      </c>
      <c r="D12382" t="s">
        <v>32475</v>
      </c>
      <c r="E12382" t="s">
        <v>32905</v>
      </c>
      <c r="F12382" t="s">
        <v>32967</v>
      </c>
      <c r="G12382" t="s">
        <v>34446</v>
      </c>
      <c r="H12382" t="s">
        <v>859</v>
      </c>
      <c r="I12382" t="s">
        <v>860</v>
      </c>
      <c r="J12382" t="str">
        <f>"9320148"</f>
        <v>9320148</v>
      </c>
      <c r="K12382">
        <v>2843093395</v>
      </c>
      <c r="L12382">
        <v>2843093395</v>
      </c>
      <c r="M12382" t="s">
        <v>34457</v>
      </c>
      <c r="N12382" t="s">
        <v>32961</v>
      </c>
      <c r="O12382" t="s">
        <v>34458</v>
      </c>
      <c r="P12382">
        <v>72300</v>
      </c>
      <c r="Q12382" t="str">
        <f>"35.110264"</f>
        <v>35.110264</v>
      </c>
      <c r="R12382" t="str">
        <f>"26.220443"</f>
        <v>26.220443</v>
      </c>
      <c r="S12382" t="s">
        <v>57</v>
      </c>
    </row>
    <row r="12383" spans="1:19" x14ac:dyDescent="0.3">
      <c r="A12383" t="s">
        <v>32470</v>
      </c>
      <c r="B12383" t="s">
        <v>34430</v>
      </c>
      <c r="C12383" t="s">
        <v>34459</v>
      </c>
      <c r="D12383" t="s">
        <v>32475</v>
      </c>
      <c r="E12383" t="s">
        <v>32905</v>
      </c>
      <c r="F12383" t="s">
        <v>32905</v>
      </c>
      <c r="G12383" t="s">
        <v>32905</v>
      </c>
      <c r="H12383" t="s">
        <v>859</v>
      </c>
      <c r="I12383" t="s">
        <v>860</v>
      </c>
      <c r="J12383" t="str">
        <f>"9320091"</f>
        <v>9320091</v>
      </c>
      <c r="K12383">
        <v>2843022685</v>
      </c>
      <c r="L12383">
        <v>2843022667</v>
      </c>
      <c r="M12383" t="s">
        <v>34460</v>
      </c>
      <c r="N12383" t="s">
        <v>32961</v>
      </c>
      <c r="O12383" t="s">
        <v>34461</v>
      </c>
      <c r="P12383">
        <v>72300</v>
      </c>
      <c r="Q12383" t="str">
        <f>"35.201655"</f>
        <v>35.201655</v>
      </c>
      <c r="R12383" t="str">
        <f>"26.107218"</f>
        <v>26.107218</v>
      </c>
      <c r="S12383" t="s">
        <v>26</v>
      </c>
    </row>
    <row r="12384" spans="1:19" x14ac:dyDescent="0.3">
      <c r="A12384" t="s">
        <v>32470</v>
      </c>
      <c r="B12384" t="s">
        <v>34430</v>
      </c>
      <c r="C12384" t="s">
        <v>34462</v>
      </c>
      <c r="D12384" t="s">
        <v>32475</v>
      </c>
      <c r="E12384" t="s">
        <v>32905</v>
      </c>
      <c r="F12384" t="s">
        <v>32905</v>
      </c>
      <c r="G12384" t="s">
        <v>32905</v>
      </c>
      <c r="H12384" t="s">
        <v>859</v>
      </c>
      <c r="I12384" t="s">
        <v>860</v>
      </c>
      <c r="J12384" t="str">
        <f>"9320223"</f>
        <v>9320223</v>
      </c>
      <c r="K12384">
        <v>2843026063</v>
      </c>
      <c r="L12384">
        <v>2843026063</v>
      </c>
      <c r="M12384" t="s">
        <v>34463</v>
      </c>
      <c r="N12384" t="s">
        <v>32961</v>
      </c>
      <c r="O12384" t="s">
        <v>11247</v>
      </c>
      <c r="P12384">
        <v>72300</v>
      </c>
      <c r="Q12384" t="str">
        <f>"35.208983"</f>
        <v>35.208983</v>
      </c>
      <c r="R12384" t="str">
        <f>"26.075133"</f>
        <v>26.075133</v>
      </c>
      <c r="S12384" t="s">
        <v>26</v>
      </c>
    </row>
    <row r="12385" spans="1:19" x14ac:dyDescent="0.3">
      <c r="A12385" t="s">
        <v>32470</v>
      </c>
      <c r="B12385" t="s">
        <v>34430</v>
      </c>
      <c r="C12385" t="s">
        <v>34464</v>
      </c>
      <c r="D12385" t="s">
        <v>32475</v>
      </c>
      <c r="E12385" t="s">
        <v>32917</v>
      </c>
      <c r="F12385" t="s">
        <v>32918</v>
      </c>
      <c r="G12385" t="s">
        <v>4073</v>
      </c>
      <c r="H12385" t="s">
        <v>859</v>
      </c>
      <c r="I12385" t="s">
        <v>860</v>
      </c>
      <c r="J12385" t="str">
        <f>"9320206"</f>
        <v>9320206</v>
      </c>
      <c r="K12385">
        <v>2843051143</v>
      </c>
      <c r="L12385">
        <v>2843051143</v>
      </c>
      <c r="M12385" t="s">
        <v>34465</v>
      </c>
      <c r="N12385" t="s">
        <v>32976</v>
      </c>
      <c r="O12385" t="s">
        <v>34466</v>
      </c>
      <c r="P12385">
        <v>72055</v>
      </c>
      <c r="Q12385" t="str">
        <f>"35.035952"</f>
        <v>35.035952</v>
      </c>
      <c r="R12385" t="str">
        <f>"25.972822"</f>
        <v>25.972822</v>
      </c>
      <c r="S12385" t="s">
        <v>26</v>
      </c>
    </row>
    <row r="12386" spans="1:19" x14ac:dyDescent="0.3">
      <c r="A12386" t="s">
        <v>32470</v>
      </c>
      <c r="B12386" t="s">
        <v>34430</v>
      </c>
      <c r="C12386" t="s">
        <v>34471</v>
      </c>
      <c r="D12386" t="s">
        <v>32475</v>
      </c>
      <c r="E12386" t="s">
        <v>32905</v>
      </c>
      <c r="F12386" t="s">
        <v>32905</v>
      </c>
      <c r="G12386" t="s">
        <v>34470</v>
      </c>
      <c r="H12386" t="s">
        <v>859</v>
      </c>
      <c r="I12386" t="s">
        <v>860</v>
      </c>
      <c r="J12386" t="str">
        <f>"9320220"</f>
        <v>9320220</v>
      </c>
      <c r="K12386">
        <v>2843094214</v>
      </c>
      <c r="L12386">
        <v>2843094341</v>
      </c>
      <c r="M12386" t="s">
        <v>34472</v>
      </c>
      <c r="N12386" t="s">
        <v>32961</v>
      </c>
      <c r="O12386" t="s">
        <v>34473</v>
      </c>
      <c r="P12386">
        <v>72057</v>
      </c>
      <c r="Q12386" t="str">
        <f>"35.155517"</f>
        <v>35.155517</v>
      </c>
      <c r="R12386" t="str">
        <f>"25.923758"</f>
        <v>25.923758</v>
      </c>
      <c r="S12386" t="s">
        <v>26</v>
      </c>
    </row>
    <row r="12387" spans="1:19" x14ac:dyDescent="0.3">
      <c r="A12387" t="s">
        <v>32470</v>
      </c>
      <c r="B12387" t="s">
        <v>34430</v>
      </c>
      <c r="C12387" t="s">
        <v>34474</v>
      </c>
      <c r="D12387" t="s">
        <v>32475</v>
      </c>
      <c r="E12387" t="s">
        <v>32905</v>
      </c>
      <c r="F12387" t="s">
        <v>32905</v>
      </c>
      <c r="G12387" t="s">
        <v>32905</v>
      </c>
      <c r="H12387" t="s">
        <v>859</v>
      </c>
      <c r="I12387" t="s">
        <v>860</v>
      </c>
      <c r="J12387" t="str">
        <f>"9320224"</f>
        <v>9320224</v>
      </c>
      <c r="K12387">
        <v>2843022656</v>
      </c>
      <c r="L12387">
        <v>2843022656</v>
      </c>
      <c r="M12387" t="s">
        <v>34475</v>
      </c>
      <c r="N12387" t="s">
        <v>32961</v>
      </c>
      <c r="O12387" t="s">
        <v>34476</v>
      </c>
      <c r="P12387">
        <v>72300</v>
      </c>
      <c r="Q12387" t="str">
        <f>"35.208983"</f>
        <v>35.208983</v>
      </c>
      <c r="R12387" t="str">
        <f>"26.075133"</f>
        <v>26.075133</v>
      </c>
      <c r="S12387" t="s">
        <v>26</v>
      </c>
    </row>
    <row r="12388" spans="1:19" x14ac:dyDescent="0.3">
      <c r="A12388" t="s">
        <v>32470</v>
      </c>
      <c r="B12388" t="s">
        <v>34430</v>
      </c>
      <c r="C12388" t="s">
        <v>34478</v>
      </c>
      <c r="D12388" t="s">
        <v>32475</v>
      </c>
      <c r="E12388" t="s">
        <v>32905</v>
      </c>
      <c r="F12388" t="s">
        <v>32905</v>
      </c>
      <c r="G12388" t="s">
        <v>32905</v>
      </c>
      <c r="H12388" t="s">
        <v>859</v>
      </c>
      <c r="I12388" t="s">
        <v>860</v>
      </c>
      <c r="J12388" t="str">
        <f>"9320147"</f>
        <v>9320147</v>
      </c>
      <c r="K12388">
        <v>2843023474</v>
      </c>
      <c r="L12388">
        <v>2843023474</v>
      </c>
      <c r="M12388" t="s">
        <v>34479</v>
      </c>
      <c r="N12388" t="s">
        <v>33000</v>
      </c>
      <c r="O12388" t="s">
        <v>34480</v>
      </c>
      <c r="P12388">
        <v>72300</v>
      </c>
      <c r="Q12388" t="str">
        <f>"35.319753"</f>
        <v>35.319753</v>
      </c>
      <c r="R12388" t="str">
        <f>"25.638713"</f>
        <v>25.638713</v>
      </c>
      <c r="S12388" t="s">
        <v>26</v>
      </c>
    </row>
    <row r="12389" spans="1:19" x14ac:dyDescent="0.3">
      <c r="A12389" t="s">
        <v>32470</v>
      </c>
      <c r="B12389" t="s">
        <v>34430</v>
      </c>
      <c r="C12389" t="s">
        <v>34482</v>
      </c>
      <c r="D12389" t="s">
        <v>32475</v>
      </c>
      <c r="E12389" t="s">
        <v>1969</v>
      </c>
      <c r="F12389" t="s">
        <v>1969</v>
      </c>
      <c r="G12389" t="s">
        <v>34481</v>
      </c>
      <c r="H12389" t="s">
        <v>859</v>
      </c>
      <c r="I12389" t="s">
        <v>860</v>
      </c>
      <c r="J12389" t="str">
        <f>"9320033"</f>
        <v>9320033</v>
      </c>
      <c r="K12389">
        <v>2841061328</v>
      </c>
      <c r="L12389">
        <v>2841061328</v>
      </c>
      <c r="M12389" t="s">
        <v>34483</v>
      </c>
      <c r="N12389" t="s">
        <v>14960</v>
      </c>
      <c r="O12389" t="s">
        <v>34484</v>
      </c>
      <c r="P12389">
        <v>72100</v>
      </c>
      <c r="Q12389" t="str">
        <f>"35.106736"</f>
        <v>35.106736</v>
      </c>
      <c r="R12389" t="str">
        <f>"25.706390"</f>
        <v>25.706390</v>
      </c>
      <c r="S12389" t="s">
        <v>26</v>
      </c>
    </row>
    <row r="12390" spans="1:19" x14ac:dyDescent="0.3">
      <c r="A12390" t="s">
        <v>32470</v>
      </c>
      <c r="B12390" t="s">
        <v>34430</v>
      </c>
      <c r="C12390" t="s">
        <v>34486</v>
      </c>
      <c r="D12390" t="s">
        <v>32475</v>
      </c>
      <c r="E12390" t="s">
        <v>32905</v>
      </c>
      <c r="F12390" t="s">
        <v>32905</v>
      </c>
      <c r="G12390" t="s">
        <v>34485</v>
      </c>
      <c r="H12390" t="s">
        <v>859</v>
      </c>
      <c r="I12390" t="s">
        <v>860</v>
      </c>
      <c r="J12390" t="str">
        <f>"9320122"</f>
        <v>9320122</v>
      </c>
      <c r="K12390">
        <v>2843028504</v>
      </c>
      <c r="L12390">
        <v>2843028504</v>
      </c>
      <c r="M12390" t="s">
        <v>34487</v>
      </c>
      <c r="N12390" t="s">
        <v>32961</v>
      </c>
      <c r="O12390" t="s">
        <v>34488</v>
      </c>
      <c r="P12390">
        <v>72300</v>
      </c>
      <c r="Q12390" t="str">
        <f>"35.208983"</f>
        <v>35.208983</v>
      </c>
      <c r="R12390" t="str">
        <f>"26.075133"</f>
        <v>26.075133</v>
      </c>
      <c r="S12390" t="s">
        <v>26</v>
      </c>
    </row>
    <row r="12391" spans="1:19" x14ac:dyDescent="0.3">
      <c r="A12391" t="s">
        <v>32470</v>
      </c>
      <c r="B12391" t="s">
        <v>34430</v>
      </c>
      <c r="C12391" t="s">
        <v>34489</v>
      </c>
      <c r="D12391" t="s">
        <v>32475</v>
      </c>
      <c r="E12391" t="s">
        <v>32905</v>
      </c>
      <c r="F12391" t="s">
        <v>32967</v>
      </c>
      <c r="G12391" t="s">
        <v>32968</v>
      </c>
      <c r="H12391" t="s">
        <v>859</v>
      </c>
      <c r="I12391" t="s">
        <v>860</v>
      </c>
      <c r="J12391" t="str">
        <f>"9320116"</f>
        <v>9320116</v>
      </c>
      <c r="K12391">
        <v>2843061439</v>
      </c>
      <c r="M12391" t="s">
        <v>34490</v>
      </c>
      <c r="N12391" t="s">
        <v>32961</v>
      </c>
      <c r="O12391" t="s">
        <v>34491</v>
      </c>
      <c r="P12391">
        <v>72300</v>
      </c>
      <c r="Q12391" t="str">
        <f>"35.199547"</f>
        <v>35.199547</v>
      </c>
      <c r="R12391" t="str">
        <f>"26.250182"</f>
        <v>26.250182</v>
      </c>
      <c r="S12391" t="s">
        <v>57</v>
      </c>
    </row>
    <row r="12392" spans="1:19" x14ac:dyDescent="0.3">
      <c r="A12392" t="s">
        <v>32470</v>
      </c>
      <c r="B12392" t="s">
        <v>34430</v>
      </c>
      <c r="C12392" t="s">
        <v>34494</v>
      </c>
      <c r="D12392" t="s">
        <v>32475</v>
      </c>
      <c r="E12392" t="s">
        <v>32905</v>
      </c>
      <c r="F12392" t="s">
        <v>32905</v>
      </c>
      <c r="G12392" t="s">
        <v>32905</v>
      </c>
      <c r="H12392" t="s">
        <v>859</v>
      </c>
      <c r="I12392" t="s">
        <v>860</v>
      </c>
      <c r="J12392" t="str">
        <f>"9320092"</f>
        <v>9320092</v>
      </c>
      <c r="K12392">
        <v>2843022724</v>
      </c>
      <c r="L12392">
        <v>2843022724</v>
      </c>
      <c r="M12392" t="s">
        <v>34495</v>
      </c>
      <c r="N12392" t="s">
        <v>32961</v>
      </c>
      <c r="O12392" t="s">
        <v>34496</v>
      </c>
      <c r="P12392">
        <v>72300</v>
      </c>
      <c r="Q12392" t="str">
        <f>"35.203776"</f>
        <v>35.203776</v>
      </c>
      <c r="R12392" t="str">
        <f>"26.097867"</f>
        <v>26.097867</v>
      </c>
      <c r="S12392" t="s">
        <v>26</v>
      </c>
    </row>
    <row r="12393" spans="1:19" x14ac:dyDescent="0.3">
      <c r="A12393" t="s">
        <v>32470</v>
      </c>
      <c r="B12393" t="s">
        <v>34430</v>
      </c>
      <c r="C12393" t="s">
        <v>34499</v>
      </c>
      <c r="D12393" t="s">
        <v>32475</v>
      </c>
      <c r="E12393" t="s">
        <v>1969</v>
      </c>
      <c r="F12393" t="s">
        <v>1969</v>
      </c>
      <c r="G12393" t="s">
        <v>1969</v>
      </c>
      <c r="H12393" t="s">
        <v>859</v>
      </c>
      <c r="I12393" t="s">
        <v>860</v>
      </c>
      <c r="J12393" t="str">
        <f>"9320139"</f>
        <v>9320139</v>
      </c>
      <c r="K12393">
        <v>2841024219</v>
      </c>
      <c r="L12393">
        <v>2841024219</v>
      </c>
      <c r="M12393" t="s">
        <v>34500</v>
      </c>
      <c r="N12393" t="s">
        <v>14960</v>
      </c>
      <c r="O12393" t="s">
        <v>34501</v>
      </c>
      <c r="P12393">
        <v>72100</v>
      </c>
      <c r="Q12393" t="str">
        <f>"35.190451"</f>
        <v>35.190451</v>
      </c>
      <c r="R12393" t="str">
        <f>"25.709458"</f>
        <v>25.709458</v>
      </c>
      <c r="S12393" t="s">
        <v>26</v>
      </c>
    </row>
    <row r="12394" spans="1:19" x14ac:dyDescent="0.3">
      <c r="A12394" t="s">
        <v>32470</v>
      </c>
      <c r="B12394" t="s">
        <v>34430</v>
      </c>
      <c r="C12394" t="s">
        <v>34502</v>
      </c>
      <c r="D12394" t="s">
        <v>32475</v>
      </c>
      <c r="E12394" t="s">
        <v>1969</v>
      </c>
      <c r="F12394" t="s">
        <v>1969</v>
      </c>
      <c r="G12394" t="s">
        <v>1969</v>
      </c>
      <c r="H12394" t="s">
        <v>859</v>
      </c>
      <c r="I12394" t="s">
        <v>860</v>
      </c>
      <c r="J12394" t="str">
        <f>"9520762"</f>
        <v>9520762</v>
      </c>
      <c r="K12394">
        <v>2841024447</v>
      </c>
      <c r="L12394">
        <v>2841024447</v>
      </c>
      <c r="M12394" t="s">
        <v>34503</v>
      </c>
      <c r="N12394" t="s">
        <v>14960</v>
      </c>
      <c r="O12394" t="s">
        <v>34504</v>
      </c>
      <c r="P12394">
        <v>72100</v>
      </c>
      <c r="Q12394" t="str">
        <f>"35.195245"</f>
        <v>35.195245</v>
      </c>
      <c r="R12394" t="str">
        <f>"25.709688"</f>
        <v>25.709688</v>
      </c>
      <c r="S12394" t="s">
        <v>26</v>
      </c>
    </row>
    <row r="12395" spans="1:19" x14ac:dyDescent="0.3">
      <c r="A12395" t="s">
        <v>32470</v>
      </c>
      <c r="B12395" t="s">
        <v>34430</v>
      </c>
      <c r="C12395" t="s">
        <v>34505</v>
      </c>
      <c r="D12395" t="s">
        <v>32475</v>
      </c>
      <c r="E12395" t="s">
        <v>1969</v>
      </c>
      <c r="F12395" t="s">
        <v>11666</v>
      </c>
      <c r="G12395" t="s">
        <v>25890</v>
      </c>
      <c r="H12395" t="s">
        <v>859</v>
      </c>
      <c r="I12395" t="s">
        <v>860</v>
      </c>
      <c r="J12395" t="str">
        <f>"9320062"</f>
        <v>9320062</v>
      </c>
      <c r="K12395">
        <v>2841032366</v>
      </c>
      <c r="L12395">
        <v>2841032366</v>
      </c>
      <c r="M12395" t="s">
        <v>34506</v>
      </c>
      <c r="N12395" t="s">
        <v>613</v>
      </c>
      <c r="O12395" t="s">
        <v>34507</v>
      </c>
      <c r="P12395">
        <v>72400</v>
      </c>
      <c r="Q12395" t="str">
        <f>"35.259301"</f>
        <v>35.259301</v>
      </c>
      <c r="R12395" t="str">
        <f>"25.598878"</f>
        <v>25.598878</v>
      </c>
      <c r="S12395" t="s">
        <v>26</v>
      </c>
    </row>
    <row r="12396" spans="1:19" x14ac:dyDescent="0.3">
      <c r="A12396" t="s">
        <v>32470</v>
      </c>
      <c r="B12396" t="s">
        <v>34430</v>
      </c>
      <c r="C12396" t="s">
        <v>34509</v>
      </c>
      <c r="D12396" t="s">
        <v>32475</v>
      </c>
      <c r="E12396" t="s">
        <v>1969</v>
      </c>
      <c r="F12396" t="s">
        <v>34508</v>
      </c>
      <c r="G12396" t="s">
        <v>34508</v>
      </c>
      <c r="H12396" t="s">
        <v>859</v>
      </c>
      <c r="I12396" t="s">
        <v>860</v>
      </c>
      <c r="J12396" t="str">
        <f>"9320215"</f>
        <v>9320215</v>
      </c>
      <c r="K12396">
        <v>2841071393</v>
      </c>
      <c r="L12396">
        <v>2841071393</v>
      </c>
      <c r="M12396" t="s">
        <v>34510</v>
      </c>
      <c r="N12396" t="s">
        <v>14960</v>
      </c>
      <c r="O12396" t="s">
        <v>34511</v>
      </c>
      <c r="P12396">
        <v>72400</v>
      </c>
      <c r="Q12396" t="str">
        <f>"35.306613"</f>
        <v>35.306613</v>
      </c>
      <c r="R12396" t="str">
        <f>"25.523181"</f>
        <v>25.523181</v>
      </c>
      <c r="S12396" t="s">
        <v>26</v>
      </c>
    </row>
    <row r="12397" spans="1:19" x14ac:dyDescent="0.3">
      <c r="A12397" t="s">
        <v>32470</v>
      </c>
      <c r="B12397" t="s">
        <v>34430</v>
      </c>
      <c r="C12397" t="s">
        <v>34517</v>
      </c>
      <c r="D12397" t="s">
        <v>32475</v>
      </c>
      <c r="E12397" t="s">
        <v>32917</v>
      </c>
      <c r="F12397" t="s">
        <v>32917</v>
      </c>
      <c r="G12397" t="s">
        <v>32917</v>
      </c>
      <c r="H12397" t="s">
        <v>859</v>
      </c>
      <c r="I12397" t="s">
        <v>860</v>
      </c>
      <c r="J12397" t="str">
        <f>"9320007"</f>
        <v>9320007</v>
      </c>
      <c r="K12397">
        <v>2842028548</v>
      </c>
      <c r="L12397">
        <v>2842028548</v>
      </c>
      <c r="M12397" t="s">
        <v>34518</v>
      </c>
      <c r="N12397" t="s">
        <v>34519</v>
      </c>
      <c r="O12397" t="s">
        <v>34520</v>
      </c>
      <c r="P12397">
        <v>72200</v>
      </c>
      <c r="Q12397" t="str">
        <f>"35.012976"</f>
        <v>35.012976</v>
      </c>
      <c r="R12397" t="str">
        <f>"25.749489"</f>
        <v>25.749489</v>
      </c>
      <c r="S12397" t="s">
        <v>26</v>
      </c>
    </row>
    <row r="12398" spans="1:19" x14ac:dyDescent="0.3">
      <c r="A12398" t="s">
        <v>32470</v>
      </c>
      <c r="B12398" t="s">
        <v>34430</v>
      </c>
      <c r="C12398" t="s">
        <v>34521</v>
      </c>
      <c r="D12398" t="s">
        <v>32475</v>
      </c>
      <c r="E12398" t="s">
        <v>32905</v>
      </c>
      <c r="F12398" t="s">
        <v>32905</v>
      </c>
      <c r="G12398" t="s">
        <v>32905</v>
      </c>
      <c r="H12398" t="s">
        <v>859</v>
      </c>
      <c r="I12398" t="s">
        <v>860</v>
      </c>
      <c r="J12398" t="str">
        <f>"9320208"</f>
        <v>9320208</v>
      </c>
      <c r="K12398">
        <v>2843022705</v>
      </c>
      <c r="L12398">
        <v>2843022705</v>
      </c>
      <c r="M12398" t="s">
        <v>34522</v>
      </c>
      <c r="N12398" t="s">
        <v>32961</v>
      </c>
      <c r="O12398" t="s">
        <v>34523</v>
      </c>
      <c r="P12398">
        <v>72300</v>
      </c>
      <c r="Q12398" t="str">
        <f>"35.206439"</f>
        <v>35.206439</v>
      </c>
      <c r="R12398" t="str">
        <f>"26.103249"</f>
        <v>26.103249</v>
      </c>
      <c r="S12398" t="s">
        <v>26</v>
      </c>
    </row>
    <row r="12399" spans="1:19" x14ac:dyDescent="0.3">
      <c r="A12399" t="s">
        <v>32470</v>
      </c>
      <c r="B12399" t="s">
        <v>34430</v>
      </c>
      <c r="C12399" t="s">
        <v>34530</v>
      </c>
      <c r="D12399" t="s">
        <v>32475</v>
      </c>
      <c r="E12399" t="s">
        <v>1969</v>
      </c>
      <c r="F12399" t="s">
        <v>1969</v>
      </c>
      <c r="G12399" t="s">
        <v>32986</v>
      </c>
      <c r="H12399" t="s">
        <v>859</v>
      </c>
      <c r="I12399" t="s">
        <v>860</v>
      </c>
      <c r="J12399" t="str">
        <f>"9320078"</f>
        <v>9320078</v>
      </c>
      <c r="K12399">
        <v>2841051225</v>
      </c>
      <c r="L12399">
        <v>2841051225</v>
      </c>
      <c r="M12399" t="s">
        <v>34531</v>
      </c>
      <c r="N12399" t="s">
        <v>14960</v>
      </c>
      <c r="O12399" t="s">
        <v>34532</v>
      </c>
      <c r="P12399">
        <v>72051</v>
      </c>
      <c r="Q12399" t="str">
        <f>"35.141429"</f>
        <v>35.141429</v>
      </c>
      <c r="R12399" t="str">
        <f>"25.579950"</f>
        <v>25.579950</v>
      </c>
      <c r="S12399" t="s">
        <v>26</v>
      </c>
    </row>
    <row r="12400" spans="1:19" x14ac:dyDescent="0.3">
      <c r="A12400" t="s">
        <v>32470</v>
      </c>
      <c r="B12400" t="s">
        <v>34430</v>
      </c>
      <c r="C12400" t="s">
        <v>34539</v>
      </c>
      <c r="D12400" t="s">
        <v>32475</v>
      </c>
      <c r="E12400" t="s">
        <v>1969</v>
      </c>
      <c r="F12400" t="s">
        <v>1969</v>
      </c>
      <c r="G12400" t="s">
        <v>1969</v>
      </c>
      <c r="H12400" t="s">
        <v>859</v>
      </c>
      <c r="I12400" t="s">
        <v>860</v>
      </c>
      <c r="J12400" t="str">
        <f>"9320222"</f>
        <v>9320222</v>
      </c>
      <c r="K12400">
        <v>2841022857</v>
      </c>
      <c r="L12400">
        <v>2841023828</v>
      </c>
      <c r="M12400" t="s">
        <v>34540</v>
      </c>
      <c r="N12400" t="s">
        <v>14960</v>
      </c>
      <c r="O12400" t="s">
        <v>21881</v>
      </c>
      <c r="P12400">
        <v>72100</v>
      </c>
      <c r="Q12400" t="str">
        <f>"35.187630"</f>
        <v>35.187630</v>
      </c>
      <c r="R12400" t="str">
        <f>"25.708674"</f>
        <v>25.708674</v>
      </c>
      <c r="S12400" t="s">
        <v>26</v>
      </c>
    </row>
    <row r="12401" spans="1:19" x14ac:dyDescent="0.3">
      <c r="A12401" t="s">
        <v>32470</v>
      </c>
      <c r="B12401" t="s">
        <v>34430</v>
      </c>
      <c r="C12401" t="s">
        <v>34541</v>
      </c>
      <c r="D12401" t="s">
        <v>32475</v>
      </c>
      <c r="E12401" t="s">
        <v>1969</v>
      </c>
      <c r="F12401" t="s">
        <v>1969</v>
      </c>
      <c r="G12401" t="s">
        <v>1969</v>
      </c>
      <c r="H12401" t="s">
        <v>859</v>
      </c>
      <c r="I12401" t="s">
        <v>1102</v>
      </c>
      <c r="J12401" t="str">
        <f>"9320225"</f>
        <v>9320225</v>
      </c>
      <c r="K12401">
        <v>2841026803</v>
      </c>
      <c r="L12401">
        <v>2841026803</v>
      </c>
      <c r="M12401" t="s">
        <v>34542</v>
      </c>
      <c r="N12401" t="s">
        <v>14960</v>
      </c>
      <c r="O12401" t="s">
        <v>34543</v>
      </c>
      <c r="P12401">
        <v>72100</v>
      </c>
      <c r="Q12401" t="str">
        <f>"35.223033"</f>
        <v>35.223033</v>
      </c>
      <c r="R12401" t="str">
        <f>"25.722112"</f>
        <v>25.722112</v>
      </c>
      <c r="S12401" t="s">
        <v>26</v>
      </c>
    </row>
    <row r="12402" spans="1:19" x14ac:dyDescent="0.3">
      <c r="A12402" t="s">
        <v>32470</v>
      </c>
      <c r="B12402" t="s">
        <v>34430</v>
      </c>
      <c r="C12402" t="s">
        <v>34555</v>
      </c>
      <c r="D12402" t="s">
        <v>32475</v>
      </c>
      <c r="E12402" t="s">
        <v>1969</v>
      </c>
      <c r="F12402" t="s">
        <v>11666</v>
      </c>
      <c r="G12402" t="s">
        <v>25890</v>
      </c>
      <c r="H12402" t="s">
        <v>859</v>
      </c>
      <c r="I12402" t="s">
        <v>860</v>
      </c>
      <c r="J12402" t="str">
        <f>"9320061"</f>
        <v>9320061</v>
      </c>
      <c r="K12402">
        <v>2841032482</v>
      </c>
      <c r="L12402">
        <v>2841032482</v>
      </c>
      <c r="M12402" t="s">
        <v>34556</v>
      </c>
      <c r="N12402" t="s">
        <v>613</v>
      </c>
      <c r="O12402" t="s">
        <v>34557</v>
      </c>
      <c r="P12402">
        <v>72400</v>
      </c>
      <c r="Q12402" t="str">
        <f>"35.257066"</f>
        <v>35.257066</v>
      </c>
      <c r="R12402" t="str">
        <f>"25.608441"</f>
        <v>25.608441</v>
      </c>
      <c r="S12402" t="s">
        <v>26</v>
      </c>
    </row>
    <row r="12403" spans="1:19" x14ac:dyDescent="0.3">
      <c r="A12403" t="s">
        <v>32470</v>
      </c>
      <c r="B12403" t="s">
        <v>34430</v>
      </c>
      <c r="C12403" t="s">
        <v>34562</v>
      </c>
      <c r="D12403" t="s">
        <v>32475</v>
      </c>
      <c r="E12403" t="s">
        <v>32905</v>
      </c>
      <c r="F12403" t="s">
        <v>32905</v>
      </c>
      <c r="G12403" t="s">
        <v>34544</v>
      </c>
      <c r="H12403" t="s">
        <v>859</v>
      </c>
      <c r="I12403" t="s">
        <v>860</v>
      </c>
      <c r="J12403" t="str">
        <f>"9320125"</f>
        <v>9320125</v>
      </c>
      <c r="K12403">
        <v>2843071393</v>
      </c>
      <c r="L12403">
        <v>2843071393</v>
      </c>
      <c r="M12403" t="s">
        <v>34563</v>
      </c>
      <c r="N12403" t="s">
        <v>32961</v>
      </c>
      <c r="O12403" t="s">
        <v>34547</v>
      </c>
      <c r="P12403">
        <v>72300</v>
      </c>
      <c r="Q12403" t="str">
        <f>"35.177185"</f>
        <v>35.177185</v>
      </c>
      <c r="R12403" t="str">
        <f>"26.038967"</f>
        <v>26.038967</v>
      </c>
      <c r="S12403" t="s">
        <v>26</v>
      </c>
    </row>
    <row r="12404" spans="1:19" x14ac:dyDescent="0.3">
      <c r="A12404" t="s">
        <v>32470</v>
      </c>
      <c r="B12404" t="s">
        <v>34430</v>
      </c>
      <c r="C12404" t="s">
        <v>34565</v>
      </c>
      <c r="D12404" t="s">
        <v>32475</v>
      </c>
      <c r="E12404" t="s">
        <v>32905</v>
      </c>
      <c r="F12404" t="s">
        <v>17070</v>
      </c>
      <c r="G12404" t="s">
        <v>34564</v>
      </c>
      <c r="H12404" t="s">
        <v>859</v>
      </c>
      <c r="I12404" t="s">
        <v>860</v>
      </c>
      <c r="J12404" t="str">
        <f>"9320160"</f>
        <v>9320160</v>
      </c>
      <c r="K12404">
        <v>2843091415</v>
      </c>
      <c r="M12404" t="s">
        <v>34566</v>
      </c>
      <c r="N12404" t="s">
        <v>32961</v>
      </c>
      <c r="O12404" t="s">
        <v>34567</v>
      </c>
      <c r="P12404">
        <v>72059</v>
      </c>
      <c r="Q12404" t="str">
        <f>"35.075160"</f>
        <v>35.075160</v>
      </c>
      <c r="R12404" t="str">
        <f>"26.138172"</f>
        <v>26.138172</v>
      </c>
      <c r="S12404" t="s">
        <v>57</v>
      </c>
    </row>
    <row r="12405" spans="1:19" x14ac:dyDescent="0.3">
      <c r="A12405" t="s">
        <v>32470</v>
      </c>
      <c r="B12405" t="s">
        <v>34430</v>
      </c>
      <c r="C12405" t="s">
        <v>34570</v>
      </c>
      <c r="D12405" t="s">
        <v>32475</v>
      </c>
      <c r="E12405" t="s">
        <v>1969</v>
      </c>
      <c r="F12405" t="s">
        <v>1969</v>
      </c>
      <c r="G12405" t="s">
        <v>1969</v>
      </c>
      <c r="H12405" t="s">
        <v>859</v>
      </c>
      <c r="I12405" t="s">
        <v>860</v>
      </c>
      <c r="J12405" t="str">
        <f>"9320161"</f>
        <v>9320161</v>
      </c>
      <c r="K12405">
        <v>2841028686</v>
      </c>
      <c r="L12405">
        <v>2841028686</v>
      </c>
      <c r="M12405" t="s">
        <v>34571</v>
      </c>
      <c r="N12405" t="s">
        <v>14960</v>
      </c>
      <c r="O12405" t="s">
        <v>34543</v>
      </c>
      <c r="P12405">
        <v>72100</v>
      </c>
      <c r="Q12405" t="str">
        <f>"35.198725"</f>
        <v>35.198725</v>
      </c>
      <c r="R12405" t="str">
        <f>"25.710729"</f>
        <v>25.710729</v>
      </c>
      <c r="S12405" t="s">
        <v>26</v>
      </c>
    </row>
    <row r="12406" spans="1:19" x14ac:dyDescent="0.3">
      <c r="A12406" t="s">
        <v>32470</v>
      </c>
      <c r="B12406" t="s">
        <v>34430</v>
      </c>
      <c r="C12406" t="s">
        <v>34577</v>
      </c>
      <c r="D12406" t="s">
        <v>32475</v>
      </c>
      <c r="E12406" t="s">
        <v>1969</v>
      </c>
      <c r="F12406" t="s">
        <v>1969</v>
      </c>
      <c r="G12406" t="s">
        <v>34576</v>
      </c>
      <c r="H12406" t="s">
        <v>859</v>
      </c>
      <c r="I12406" t="s">
        <v>860</v>
      </c>
      <c r="J12406" t="str">
        <f>"9320141"</f>
        <v>9320141</v>
      </c>
      <c r="K12406">
        <v>2841041557</v>
      </c>
      <c r="L12406">
        <v>2841041557</v>
      </c>
      <c r="M12406" t="s">
        <v>34578</v>
      </c>
      <c r="N12406" t="s">
        <v>14960</v>
      </c>
      <c r="O12406" t="s">
        <v>34579</v>
      </c>
      <c r="P12406">
        <v>72053</v>
      </c>
      <c r="Q12406" t="str">
        <f>"35.266155"</f>
        <v>35.266155</v>
      </c>
      <c r="R12406" t="str">
        <f>"25.718415"</f>
        <v>25.718415</v>
      </c>
      <c r="S12406" t="s">
        <v>26</v>
      </c>
    </row>
    <row r="12407" spans="1:19" x14ac:dyDescent="0.3">
      <c r="A12407" t="s">
        <v>32470</v>
      </c>
      <c r="B12407" t="s">
        <v>34430</v>
      </c>
      <c r="C12407" t="s">
        <v>34580</v>
      </c>
      <c r="D12407" t="s">
        <v>32475</v>
      </c>
      <c r="E12407" t="s">
        <v>32917</v>
      </c>
      <c r="F12407" t="s">
        <v>32917</v>
      </c>
      <c r="G12407" t="s">
        <v>32917</v>
      </c>
      <c r="H12407" t="s">
        <v>859</v>
      </c>
      <c r="I12407" t="s">
        <v>860</v>
      </c>
      <c r="J12407" t="str">
        <f>"9320004"</f>
        <v>9320004</v>
      </c>
      <c r="K12407">
        <v>2842023709</v>
      </c>
      <c r="L12407">
        <v>2842023709</v>
      </c>
      <c r="M12407" t="s">
        <v>34581</v>
      </c>
      <c r="N12407" t="s">
        <v>32976</v>
      </c>
      <c r="O12407" t="s">
        <v>34582</v>
      </c>
      <c r="P12407">
        <v>72200</v>
      </c>
      <c r="Q12407" t="str">
        <f>"35.010176"</f>
        <v>35.010176</v>
      </c>
      <c r="R12407" t="str">
        <f>"25.735388"</f>
        <v>25.735388</v>
      </c>
      <c r="S12407" t="s">
        <v>26</v>
      </c>
    </row>
    <row r="12408" spans="1:19" x14ac:dyDescent="0.3">
      <c r="A12408" t="s">
        <v>32470</v>
      </c>
      <c r="B12408" t="s">
        <v>34430</v>
      </c>
      <c r="C12408" t="s">
        <v>34584</v>
      </c>
      <c r="D12408" t="s">
        <v>32475</v>
      </c>
      <c r="E12408" t="s">
        <v>32917</v>
      </c>
      <c r="F12408" t="s">
        <v>32917</v>
      </c>
      <c r="G12408" t="s">
        <v>34583</v>
      </c>
      <c r="H12408" t="s">
        <v>859</v>
      </c>
      <c r="I12408" t="s">
        <v>860</v>
      </c>
      <c r="J12408" t="str">
        <f>"9320202"</f>
        <v>9320202</v>
      </c>
      <c r="K12408">
        <v>2842093392</v>
      </c>
      <c r="L12408">
        <v>2842093392</v>
      </c>
      <c r="M12408" t="s">
        <v>34585</v>
      </c>
      <c r="N12408" t="s">
        <v>32976</v>
      </c>
      <c r="O12408" t="s">
        <v>34586</v>
      </c>
      <c r="P12408">
        <v>72200</v>
      </c>
      <c r="Q12408" t="str">
        <f>"35.106187"</f>
        <v>35.106187</v>
      </c>
      <c r="R12408" t="str">
        <f>"25.805462"</f>
        <v>25.805462</v>
      </c>
      <c r="S12408" t="s">
        <v>26</v>
      </c>
    </row>
    <row r="12409" spans="1:19" x14ac:dyDescent="0.3">
      <c r="A12409" t="s">
        <v>32470</v>
      </c>
      <c r="B12409" t="s">
        <v>34430</v>
      </c>
      <c r="C12409" t="s">
        <v>34588</v>
      </c>
      <c r="D12409" t="s">
        <v>32475</v>
      </c>
      <c r="E12409" t="s">
        <v>32917</v>
      </c>
      <c r="F12409" t="s">
        <v>32917</v>
      </c>
      <c r="G12409" t="s">
        <v>34587</v>
      </c>
      <c r="H12409" t="s">
        <v>859</v>
      </c>
      <c r="I12409" t="s">
        <v>860</v>
      </c>
      <c r="J12409" t="str">
        <f>"9320019"</f>
        <v>9320019</v>
      </c>
      <c r="K12409">
        <v>2842031284</v>
      </c>
      <c r="L12409">
        <v>2842031284</v>
      </c>
      <c r="M12409" t="s">
        <v>34589</v>
      </c>
      <c r="N12409" t="s">
        <v>32976</v>
      </c>
      <c r="O12409" t="s">
        <v>34590</v>
      </c>
      <c r="P12409">
        <v>72200</v>
      </c>
      <c r="Q12409" t="str">
        <f>"35.048974"</f>
        <v>35.048974</v>
      </c>
      <c r="R12409" t="str">
        <f>"25.791135"</f>
        <v>25.791135</v>
      </c>
      <c r="S12409" t="s">
        <v>26</v>
      </c>
    </row>
    <row r="12410" spans="1:19" x14ac:dyDescent="0.3">
      <c r="A12410" t="s">
        <v>32470</v>
      </c>
      <c r="B12410" t="s">
        <v>34430</v>
      </c>
      <c r="C12410" t="s">
        <v>34609</v>
      </c>
      <c r="D12410" t="s">
        <v>32475</v>
      </c>
      <c r="E12410" t="s">
        <v>32917</v>
      </c>
      <c r="F12410" t="s">
        <v>32917</v>
      </c>
      <c r="G12410" t="s">
        <v>19179</v>
      </c>
      <c r="H12410" t="s">
        <v>859</v>
      </c>
      <c r="I12410" t="s">
        <v>860</v>
      </c>
      <c r="J12410" t="str">
        <f>"9320137"</f>
        <v>9320137</v>
      </c>
      <c r="K12410">
        <v>2842041152</v>
      </c>
      <c r="M12410" t="s">
        <v>34610</v>
      </c>
      <c r="N12410" t="s">
        <v>32976</v>
      </c>
      <c r="O12410" t="s">
        <v>34598</v>
      </c>
      <c r="P12410">
        <v>72200</v>
      </c>
      <c r="Q12410" t="str">
        <f>"35.015753"</f>
        <v>35.015753</v>
      </c>
      <c r="R12410" t="str">
        <f>"25.660515"</f>
        <v>25.660515</v>
      </c>
      <c r="S12410" t="s">
        <v>26</v>
      </c>
    </row>
    <row r="12411" spans="1:19" x14ac:dyDescent="0.3">
      <c r="A12411" t="s">
        <v>32470</v>
      </c>
      <c r="B12411" t="s">
        <v>34430</v>
      </c>
      <c r="C12411" t="s">
        <v>34611</v>
      </c>
      <c r="D12411" t="s">
        <v>32475</v>
      </c>
      <c r="E12411" t="s">
        <v>32917</v>
      </c>
      <c r="F12411" t="s">
        <v>32917</v>
      </c>
      <c r="G12411" t="s">
        <v>32917</v>
      </c>
      <c r="H12411" t="s">
        <v>859</v>
      </c>
      <c r="I12411" t="s">
        <v>1102</v>
      </c>
      <c r="J12411" t="str">
        <f>"9320221"</f>
        <v>9320221</v>
      </c>
      <c r="K12411">
        <v>2842089087</v>
      </c>
      <c r="M12411" t="s">
        <v>34612</v>
      </c>
      <c r="N12411" t="s">
        <v>32976</v>
      </c>
      <c r="O12411" t="s">
        <v>34613</v>
      </c>
      <c r="P12411">
        <v>72200</v>
      </c>
      <c r="Q12411" t="str">
        <f>"35.011896"</f>
        <v>35.011896</v>
      </c>
      <c r="R12411" t="str">
        <f>"25.740745"</f>
        <v>25.740745</v>
      </c>
      <c r="S12411" t="s">
        <v>26</v>
      </c>
    </row>
    <row r="12412" spans="1:19" x14ac:dyDescent="0.3">
      <c r="A12412" t="s">
        <v>32470</v>
      </c>
      <c r="B12412" t="s">
        <v>34430</v>
      </c>
      <c r="C12412" t="s">
        <v>34628</v>
      </c>
      <c r="D12412" t="s">
        <v>32475</v>
      </c>
      <c r="E12412" t="s">
        <v>32917</v>
      </c>
      <c r="F12412" t="s">
        <v>32917</v>
      </c>
      <c r="G12412" t="s">
        <v>32917</v>
      </c>
      <c r="H12412" t="s">
        <v>859</v>
      </c>
      <c r="I12412" t="s">
        <v>860</v>
      </c>
      <c r="J12412" t="str">
        <f>"9320142"</f>
        <v>9320142</v>
      </c>
      <c r="K12412">
        <v>2842110713</v>
      </c>
      <c r="M12412" t="s">
        <v>34629</v>
      </c>
      <c r="N12412" t="s">
        <v>32976</v>
      </c>
      <c r="O12412" t="s">
        <v>34630</v>
      </c>
      <c r="P12412">
        <v>72200</v>
      </c>
      <c r="Q12412" t="str">
        <f>"35.015866"</f>
        <v>35.015866</v>
      </c>
      <c r="R12412" t="str">
        <f>"25.690310"</f>
        <v>25.690310</v>
      </c>
      <c r="S12412" t="s">
        <v>26</v>
      </c>
    </row>
    <row r="12413" spans="1:19" x14ac:dyDescent="0.3">
      <c r="A12413" t="s">
        <v>32470</v>
      </c>
      <c r="B12413" t="s">
        <v>34430</v>
      </c>
      <c r="C12413" t="s">
        <v>34632</v>
      </c>
      <c r="D12413" t="s">
        <v>32475</v>
      </c>
      <c r="E12413" t="s">
        <v>32917</v>
      </c>
      <c r="F12413" t="s">
        <v>32917</v>
      </c>
      <c r="G12413" t="s">
        <v>34631</v>
      </c>
      <c r="H12413" t="s">
        <v>859</v>
      </c>
      <c r="I12413" t="s">
        <v>860</v>
      </c>
      <c r="J12413" t="str">
        <f>"9320017"</f>
        <v>9320017</v>
      </c>
      <c r="K12413">
        <v>2842092292</v>
      </c>
      <c r="L12413">
        <v>2842092292</v>
      </c>
      <c r="M12413" t="s">
        <v>34633</v>
      </c>
      <c r="N12413" t="s">
        <v>32976</v>
      </c>
      <c r="O12413" t="s">
        <v>34634</v>
      </c>
      <c r="P12413">
        <v>72200</v>
      </c>
      <c r="Q12413" t="str">
        <f>"35.075934"</f>
        <v>35.075934</v>
      </c>
      <c r="R12413" t="str">
        <f>"25.656604"</f>
        <v>25.656604</v>
      </c>
      <c r="S12413" t="s">
        <v>26</v>
      </c>
    </row>
    <row r="12414" spans="1:19" x14ac:dyDescent="0.3">
      <c r="A12414" t="s">
        <v>32470</v>
      </c>
      <c r="B12414" t="s">
        <v>34430</v>
      </c>
      <c r="C12414" t="s">
        <v>34642</v>
      </c>
      <c r="D12414" t="s">
        <v>32475</v>
      </c>
      <c r="E12414" t="s">
        <v>32917</v>
      </c>
      <c r="F12414" t="s">
        <v>32917</v>
      </c>
      <c r="G12414" t="s">
        <v>32917</v>
      </c>
      <c r="H12414" t="s">
        <v>859</v>
      </c>
      <c r="I12414" t="s">
        <v>860</v>
      </c>
      <c r="J12414" t="str">
        <f>"9320146"</f>
        <v>9320146</v>
      </c>
      <c r="K12414">
        <v>2842024440</v>
      </c>
      <c r="L12414">
        <v>2842024440</v>
      </c>
      <c r="M12414" t="s">
        <v>34643</v>
      </c>
      <c r="N12414" t="s">
        <v>32976</v>
      </c>
      <c r="O12414" t="s">
        <v>34644</v>
      </c>
      <c r="P12414">
        <v>72200</v>
      </c>
      <c r="Q12414" t="str">
        <f>"35.017010"</f>
        <v>35.017010</v>
      </c>
      <c r="R12414" t="str">
        <f>"25.734608"</f>
        <v>25.734608</v>
      </c>
      <c r="S12414" t="s">
        <v>26</v>
      </c>
    </row>
    <row r="12415" spans="1:19" x14ac:dyDescent="0.3">
      <c r="A12415" t="s">
        <v>32470</v>
      </c>
      <c r="B12415" t="s">
        <v>34430</v>
      </c>
      <c r="C12415" t="s">
        <v>34645</v>
      </c>
      <c r="D12415" t="s">
        <v>32475</v>
      </c>
      <c r="E12415" t="s">
        <v>32917</v>
      </c>
      <c r="F12415" t="s">
        <v>32917</v>
      </c>
      <c r="G12415" t="s">
        <v>32917</v>
      </c>
      <c r="H12415" t="s">
        <v>859</v>
      </c>
      <c r="I12415" t="s">
        <v>860</v>
      </c>
      <c r="J12415" t="str">
        <f>"9320211"</f>
        <v>9320211</v>
      </c>
      <c r="K12415">
        <v>2842024333</v>
      </c>
      <c r="L12415">
        <v>2842024333</v>
      </c>
      <c r="M12415" t="s">
        <v>34646</v>
      </c>
      <c r="N12415" t="s">
        <v>32976</v>
      </c>
      <c r="O12415" t="s">
        <v>34058</v>
      </c>
      <c r="P12415">
        <v>72200</v>
      </c>
      <c r="Q12415" t="str">
        <f>"35.016528"</f>
        <v>35.016528</v>
      </c>
      <c r="R12415" t="str">
        <f>"25.743441"</f>
        <v>25.743441</v>
      </c>
      <c r="S12415" t="s">
        <v>26</v>
      </c>
    </row>
    <row r="12416" spans="1:19" x14ac:dyDescent="0.3">
      <c r="A12416" t="s">
        <v>32470</v>
      </c>
      <c r="B12416" t="s">
        <v>34430</v>
      </c>
      <c r="C12416" t="s">
        <v>34647</v>
      </c>
      <c r="D12416" t="s">
        <v>32475</v>
      </c>
      <c r="E12416" t="s">
        <v>32917</v>
      </c>
      <c r="F12416" t="s">
        <v>32917</v>
      </c>
      <c r="G12416" t="s">
        <v>34591</v>
      </c>
      <c r="H12416" t="s">
        <v>859</v>
      </c>
      <c r="I12416" t="s">
        <v>860</v>
      </c>
      <c r="J12416" t="str">
        <f>"9320207"</f>
        <v>9320207</v>
      </c>
      <c r="K12416">
        <v>2842051282</v>
      </c>
      <c r="L12416">
        <v>2842051231</v>
      </c>
      <c r="M12416" t="s">
        <v>34648</v>
      </c>
      <c r="N12416" t="s">
        <v>32976</v>
      </c>
      <c r="O12416" t="s">
        <v>34649</v>
      </c>
      <c r="P12416">
        <v>72056</v>
      </c>
      <c r="Q12416" t="str">
        <f>"35.006499"</f>
        <v>35.006499</v>
      </c>
      <c r="R12416" t="str">
        <f>"25.583755"</f>
        <v>25.583755</v>
      </c>
      <c r="S12416" t="s">
        <v>26</v>
      </c>
    </row>
    <row r="12417" spans="1:19" x14ac:dyDescent="0.3">
      <c r="A12417" t="s">
        <v>32470</v>
      </c>
      <c r="B12417" t="s">
        <v>34430</v>
      </c>
      <c r="C12417" t="s">
        <v>34650</v>
      </c>
      <c r="D12417" t="s">
        <v>32475</v>
      </c>
      <c r="E12417" t="s">
        <v>32917</v>
      </c>
      <c r="F12417" t="s">
        <v>32917</v>
      </c>
      <c r="G12417" t="s">
        <v>32917</v>
      </c>
      <c r="H12417" t="s">
        <v>859</v>
      </c>
      <c r="I12417" t="s">
        <v>860</v>
      </c>
      <c r="J12417" t="str">
        <f>"9320143"</f>
        <v>9320143</v>
      </c>
      <c r="K12417">
        <v>2842027151</v>
      </c>
      <c r="L12417">
        <v>2842089094</v>
      </c>
      <c r="M12417" t="s">
        <v>34651</v>
      </c>
      <c r="N12417" t="s">
        <v>32976</v>
      </c>
      <c r="O12417" t="s">
        <v>34652</v>
      </c>
      <c r="P12417">
        <v>72200</v>
      </c>
      <c r="Q12417" t="str">
        <f>"35.033598"</f>
        <v>35.033598</v>
      </c>
      <c r="R12417" t="str">
        <f>"25.752770"</f>
        <v>25.752770</v>
      </c>
      <c r="S12417" t="s">
        <v>26</v>
      </c>
    </row>
    <row r="12418" spans="1:19" x14ac:dyDescent="0.3">
      <c r="A12418" t="s">
        <v>32470</v>
      </c>
      <c r="B12418" t="s">
        <v>34430</v>
      </c>
      <c r="C12418" t="s">
        <v>34658</v>
      </c>
      <c r="D12418" t="s">
        <v>32475</v>
      </c>
      <c r="E12418" t="s">
        <v>32917</v>
      </c>
      <c r="F12418" t="s">
        <v>32917</v>
      </c>
      <c r="G12418" t="s">
        <v>32917</v>
      </c>
      <c r="H12418" t="s">
        <v>859</v>
      </c>
      <c r="I12418" t="s">
        <v>860</v>
      </c>
      <c r="J12418" t="str">
        <f>"9320002"</f>
        <v>9320002</v>
      </c>
      <c r="K12418">
        <v>2842022966</v>
      </c>
      <c r="L12418">
        <v>2842022966</v>
      </c>
      <c r="M12418" t="s">
        <v>34659</v>
      </c>
      <c r="N12418" t="s">
        <v>32976</v>
      </c>
      <c r="O12418" t="s">
        <v>34660</v>
      </c>
      <c r="P12418">
        <v>72200</v>
      </c>
      <c r="Q12418" t="str">
        <f>"35.006101"</f>
        <v>35.006101</v>
      </c>
      <c r="R12418" t="str">
        <f>"25.732476"</f>
        <v>25.732476</v>
      </c>
      <c r="S12418" t="s">
        <v>26</v>
      </c>
    </row>
    <row r="12419" spans="1:19" x14ac:dyDescent="0.3">
      <c r="A12419" t="s">
        <v>32470</v>
      </c>
      <c r="B12419" t="s">
        <v>34430</v>
      </c>
      <c r="C12419" t="s">
        <v>34661</v>
      </c>
      <c r="D12419" t="s">
        <v>32475</v>
      </c>
      <c r="E12419" t="s">
        <v>32917</v>
      </c>
      <c r="F12419" t="s">
        <v>32917</v>
      </c>
      <c r="G12419" t="s">
        <v>14943</v>
      </c>
      <c r="H12419" t="s">
        <v>859</v>
      </c>
      <c r="I12419" t="s">
        <v>860</v>
      </c>
      <c r="J12419" t="str">
        <f>"9320153"</f>
        <v>9320153</v>
      </c>
      <c r="K12419">
        <v>2842061212</v>
      </c>
      <c r="L12419">
        <v>2842061212</v>
      </c>
      <c r="M12419" t="s">
        <v>34662</v>
      </c>
      <c r="N12419" t="s">
        <v>32976</v>
      </c>
      <c r="O12419" t="s">
        <v>34663</v>
      </c>
      <c r="P12419">
        <v>72200</v>
      </c>
      <c r="Q12419" t="str">
        <f>"35.017033"</f>
        <v>35.017033</v>
      </c>
      <c r="R12419" t="str">
        <f>"25.846838"</f>
        <v>25.846838</v>
      </c>
      <c r="S12419" t="s">
        <v>26</v>
      </c>
    </row>
    <row r="12420" spans="1:19" x14ac:dyDescent="0.3">
      <c r="A12420" t="s">
        <v>32470</v>
      </c>
      <c r="B12420" t="s">
        <v>34430</v>
      </c>
      <c r="C12420" t="s">
        <v>34672</v>
      </c>
      <c r="D12420" t="s">
        <v>32475</v>
      </c>
      <c r="E12420" t="s">
        <v>32917</v>
      </c>
      <c r="F12420" t="s">
        <v>32917</v>
      </c>
      <c r="G12420" t="s">
        <v>32917</v>
      </c>
      <c r="H12420" t="s">
        <v>859</v>
      </c>
      <c r="I12420" t="s">
        <v>860</v>
      </c>
      <c r="J12420" t="str">
        <f>"9521466"</f>
        <v>9521466</v>
      </c>
      <c r="K12420">
        <v>2842025606</v>
      </c>
      <c r="L12420">
        <v>2842025606</v>
      </c>
      <c r="M12420" t="s">
        <v>34673</v>
      </c>
      <c r="N12420" t="s">
        <v>32976</v>
      </c>
      <c r="O12420" t="s">
        <v>34674</v>
      </c>
      <c r="P12420">
        <v>72200</v>
      </c>
      <c r="Q12420" t="str">
        <f>"35.016998"</f>
        <v>35.016998</v>
      </c>
      <c r="R12420" t="str">
        <f>"25.741617"</f>
        <v>25.741617</v>
      </c>
      <c r="S12420" t="s">
        <v>26</v>
      </c>
    </row>
    <row r="12421" spans="1:19" x14ac:dyDescent="0.3">
      <c r="A12421" t="s">
        <v>32470</v>
      </c>
      <c r="B12421" t="s">
        <v>34430</v>
      </c>
      <c r="C12421" t="s">
        <v>34679</v>
      </c>
      <c r="D12421" t="s">
        <v>32475</v>
      </c>
      <c r="E12421" t="s">
        <v>32917</v>
      </c>
      <c r="F12421" t="s">
        <v>32917</v>
      </c>
      <c r="G12421" t="s">
        <v>34600</v>
      </c>
      <c r="H12421" t="s">
        <v>859</v>
      </c>
      <c r="I12421" t="s">
        <v>860</v>
      </c>
      <c r="J12421" t="str">
        <f>"9320162"</f>
        <v>9320162</v>
      </c>
      <c r="K12421">
        <v>2842091214</v>
      </c>
      <c r="L12421">
        <v>2842091214</v>
      </c>
      <c r="M12421" t="s">
        <v>34680</v>
      </c>
      <c r="N12421" t="s">
        <v>34600</v>
      </c>
      <c r="O12421" t="s">
        <v>34681</v>
      </c>
      <c r="P12421">
        <v>72056</v>
      </c>
      <c r="Q12421" t="str">
        <f>"35.080405"</f>
        <v>35.080405</v>
      </c>
      <c r="R12421" t="str">
        <f>"25.584941"</f>
        <v>25.584941</v>
      </c>
      <c r="S12421" t="s">
        <v>57</v>
      </c>
    </row>
    <row r="12422" spans="1:19" x14ac:dyDescent="0.3">
      <c r="A12422" t="s">
        <v>32470</v>
      </c>
      <c r="B12422" t="s">
        <v>34430</v>
      </c>
      <c r="C12422" t="s">
        <v>34682</v>
      </c>
      <c r="D12422" t="s">
        <v>32475</v>
      </c>
      <c r="E12422" t="s">
        <v>32905</v>
      </c>
      <c r="F12422" t="s">
        <v>32905</v>
      </c>
      <c r="G12422" t="s">
        <v>32905</v>
      </c>
      <c r="H12422" t="s">
        <v>859</v>
      </c>
      <c r="I12422" t="s">
        <v>1102</v>
      </c>
      <c r="J12422" t="str">
        <f>"9320226"</f>
        <v>9320226</v>
      </c>
      <c r="K12422">
        <v>2843023003</v>
      </c>
      <c r="M12422" t="s">
        <v>34683</v>
      </c>
      <c r="N12422" t="s">
        <v>32961</v>
      </c>
      <c r="O12422" t="s">
        <v>34461</v>
      </c>
      <c r="P12422">
        <v>72300</v>
      </c>
      <c r="Q12422" t="str">
        <f>"35.208650"</f>
        <v>35.208650</v>
      </c>
      <c r="R12422" t="str">
        <f>"26.105233"</f>
        <v>26.105233</v>
      </c>
      <c r="S12422" t="s">
        <v>26</v>
      </c>
    </row>
    <row r="12423" spans="1:19" x14ac:dyDescent="0.3">
      <c r="A12423" t="s">
        <v>32470</v>
      </c>
      <c r="B12423" t="s">
        <v>34430</v>
      </c>
      <c r="C12423" t="s">
        <v>34685</v>
      </c>
      <c r="D12423" t="s">
        <v>32475</v>
      </c>
      <c r="E12423" t="s">
        <v>1969</v>
      </c>
      <c r="F12423" t="s">
        <v>1969</v>
      </c>
      <c r="G12423" t="s">
        <v>1969</v>
      </c>
      <c r="H12423" t="s">
        <v>859</v>
      </c>
      <c r="I12423" t="s">
        <v>860</v>
      </c>
      <c r="J12423" t="str">
        <f>"9521689"</f>
        <v>9521689</v>
      </c>
      <c r="K12423">
        <v>2841021493</v>
      </c>
      <c r="M12423" t="s">
        <v>34686</v>
      </c>
      <c r="O12423" t="s">
        <v>34687</v>
      </c>
      <c r="Q12423" t="str">
        <f>"35.192146"</f>
        <v>35.192146</v>
      </c>
      <c r="R12423" t="str">
        <f>"25.718331"</f>
        <v>25.718331</v>
      </c>
      <c r="S12423" t="s">
        <v>26</v>
      </c>
    </row>
    <row r="12424" spans="1:19" x14ac:dyDescent="0.3">
      <c r="A12424" t="s">
        <v>32470</v>
      </c>
      <c r="B12424" t="s">
        <v>34430</v>
      </c>
      <c r="C12424" t="s">
        <v>34688</v>
      </c>
      <c r="D12424" t="s">
        <v>32475</v>
      </c>
      <c r="E12424" t="s">
        <v>32917</v>
      </c>
      <c r="F12424" t="s">
        <v>32917</v>
      </c>
      <c r="G12424" t="s">
        <v>32917</v>
      </c>
      <c r="H12424" t="s">
        <v>859</v>
      </c>
      <c r="I12424" t="s">
        <v>860</v>
      </c>
      <c r="J12424" t="str">
        <f>"9321001"</f>
        <v>9321001</v>
      </c>
      <c r="K12424">
        <v>2842026776</v>
      </c>
      <c r="M12424" t="s">
        <v>34689</v>
      </c>
      <c r="N12424" t="s">
        <v>32976</v>
      </c>
      <c r="O12424" t="s">
        <v>34690</v>
      </c>
      <c r="P12424">
        <v>72200</v>
      </c>
      <c r="Q12424" t="str">
        <f>"35.015866"</f>
        <v>35.015866</v>
      </c>
      <c r="R12424" t="str">
        <f>"25.690310"</f>
        <v>25.690310</v>
      </c>
      <c r="S12424" t="s">
        <v>26</v>
      </c>
    </row>
    <row r="12425" spans="1:19" x14ac:dyDescent="0.3">
      <c r="A12425" t="s">
        <v>32470</v>
      </c>
      <c r="B12425" t="s">
        <v>34691</v>
      </c>
      <c r="C12425" t="s">
        <v>34693</v>
      </c>
      <c r="D12425" t="s">
        <v>32480</v>
      </c>
      <c r="E12425" t="s">
        <v>995</v>
      </c>
      <c r="F12425" t="s">
        <v>33045</v>
      </c>
      <c r="G12425" t="s">
        <v>34692</v>
      </c>
      <c r="H12425" t="s">
        <v>859</v>
      </c>
      <c r="I12425" t="s">
        <v>860</v>
      </c>
      <c r="J12425" t="str">
        <f>"9410199"</f>
        <v>9410199</v>
      </c>
      <c r="K12425">
        <v>2834022502</v>
      </c>
      <c r="L12425">
        <v>2834022502</v>
      </c>
      <c r="M12425" t="s">
        <v>34694</v>
      </c>
      <c r="N12425" t="s">
        <v>34695</v>
      </c>
      <c r="O12425" t="s">
        <v>34695</v>
      </c>
      <c r="P12425">
        <v>74052</v>
      </c>
      <c r="Q12425" t="str">
        <f>"35.382203"</f>
        <v>35.382203</v>
      </c>
      <c r="R12425" t="str">
        <f>"24.678884"</f>
        <v>24.678884</v>
      </c>
      <c r="S12425" t="s">
        <v>26</v>
      </c>
    </row>
    <row r="12426" spans="1:19" x14ac:dyDescent="0.3">
      <c r="A12426" t="s">
        <v>32470</v>
      </c>
      <c r="B12426" t="s">
        <v>34691</v>
      </c>
      <c r="C12426" t="s">
        <v>34697</v>
      </c>
      <c r="D12426" t="s">
        <v>32480</v>
      </c>
      <c r="E12426" t="s">
        <v>995</v>
      </c>
      <c r="F12426" t="s">
        <v>33045</v>
      </c>
      <c r="G12426" t="s">
        <v>34696</v>
      </c>
      <c r="H12426" t="s">
        <v>859</v>
      </c>
      <c r="I12426" t="s">
        <v>860</v>
      </c>
      <c r="J12426" t="str">
        <f>"9410264"</f>
        <v>9410264</v>
      </c>
      <c r="K12426">
        <v>2834094392</v>
      </c>
      <c r="L12426">
        <v>2834094392</v>
      </c>
      <c r="M12426" t="s">
        <v>34698</v>
      </c>
      <c r="N12426" t="s">
        <v>34699</v>
      </c>
      <c r="O12426" t="s">
        <v>34700</v>
      </c>
      <c r="P12426">
        <v>74057</v>
      </c>
      <c r="Q12426" t="str">
        <f>"35.414936"</f>
        <v>35.414936</v>
      </c>
      <c r="R12426" t="str">
        <f>"24.783133"</f>
        <v>24.783133</v>
      </c>
      <c r="S12426" t="s">
        <v>26</v>
      </c>
    </row>
    <row r="12427" spans="1:19" x14ac:dyDescent="0.3">
      <c r="A12427" t="s">
        <v>32470</v>
      </c>
      <c r="B12427" t="s">
        <v>34691</v>
      </c>
      <c r="C12427" t="s">
        <v>34702</v>
      </c>
      <c r="D12427" t="s">
        <v>32480</v>
      </c>
      <c r="E12427" t="s">
        <v>995</v>
      </c>
      <c r="F12427" t="s">
        <v>33146</v>
      </c>
      <c r="G12427" t="s">
        <v>34701</v>
      </c>
      <c r="H12427" t="s">
        <v>859</v>
      </c>
      <c r="I12427" t="s">
        <v>860</v>
      </c>
      <c r="J12427" t="str">
        <f>"9410216"</f>
        <v>9410216</v>
      </c>
      <c r="K12427">
        <v>2834041321</v>
      </c>
      <c r="L12427">
        <v>2834041452</v>
      </c>
      <c r="M12427" t="s">
        <v>34703</v>
      </c>
      <c r="N12427" t="s">
        <v>34701</v>
      </c>
      <c r="O12427" t="s">
        <v>34704</v>
      </c>
      <c r="P12427">
        <v>74054</v>
      </c>
      <c r="Q12427" t="str">
        <f>"35.354308"</f>
        <v>35.354308</v>
      </c>
      <c r="R12427" t="str">
        <f>"24.818862"</f>
        <v>24.818862</v>
      </c>
      <c r="S12427" t="s">
        <v>26</v>
      </c>
    </row>
    <row r="12428" spans="1:19" x14ac:dyDescent="0.3">
      <c r="A12428" t="s">
        <v>32470</v>
      </c>
      <c r="B12428" t="s">
        <v>34691</v>
      </c>
      <c r="C12428" t="s">
        <v>34705</v>
      </c>
      <c r="D12428" t="s">
        <v>32480</v>
      </c>
      <c r="E12428" t="s">
        <v>995</v>
      </c>
      <c r="F12428" t="s">
        <v>33146</v>
      </c>
      <c r="G12428" t="s">
        <v>33147</v>
      </c>
      <c r="H12428" t="s">
        <v>859</v>
      </c>
      <c r="I12428" t="s">
        <v>860</v>
      </c>
      <c r="J12428" t="str">
        <f>"9410201"</f>
        <v>9410201</v>
      </c>
      <c r="K12428">
        <v>2834041225</v>
      </c>
      <c r="L12428">
        <v>2834041312</v>
      </c>
      <c r="M12428" t="s">
        <v>34706</v>
      </c>
      <c r="N12428" t="s">
        <v>33151</v>
      </c>
      <c r="O12428" t="s">
        <v>33151</v>
      </c>
      <c r="P12428">
        <v>74054</v>
      </c>
      <c r="Q12428" t="str">
        <f>"35.343809"</f>
        <v>35.343809</v>
      </c>
      <c r="R12428" t="str">
        <f>"24.783957"</f>
        <v>24.783957</v>
      </c>
      <c r="S12428" t="s">
        <v>26</v>
      </c>
    </row>
    <row r="12429" spans="1:19" x14ac:dyDescent="0.3">
      <c r="A12429" t="s">
        <v>32470</v>
      </c>
      <c r="B12429" t="s">
        <v>34691</v>
      </c>
      <c r="C12429" t="s">
        <v>34708</v>
      </c>
      <c r="D12429" t="s">
        <v>32480</v>
      </c>
      <c r="E12429" t="s">
        <v>995</v>
      </c>
      <c r="F12429" t="s">
        <v>33045</v>
      </c>
      <c r="G12429" t="s">
        <v>34707</v>
      </c>
      <c r="H12429" t="s">
        <v>859</v>
      </c>
      <c r="I12429" t="s">
        <v>860</v>
      </c>
      <c r="J12429" t="str">
        <f>"9410209"</f>
        <v>9410209</v>
      </c>
      <c r="K12429">
        <v>2834094379</v>
      </c>
      <c r="L12429">
        <v>2834094379</v>
      </c>
      <c r="M12429" t="s">
        <v>34709</v>
      </c>
      <c r="N12429" t="s">
        <v>34710</v>
      </c>
      <c r="O12429" t="s">
        <v>34710</v>
      </c>
      <c r="P12429">
        <v>74057</v>
      </c>
      <c r="Q12429" t="str">
        <f>"35.394039"</f>
        <v>35.394039</v>
      </c>
      <c r="R12429" t="str">
        <f>"24.886570"</f>
        <v>24.886570</v>
      </c>
      <c r="S12429" t="s">
        <v>26</v>
      </c>
    </row>
    <row r="12430" spans="1:19" x14ac:dyDescent="0.3">
      <c r="A12430" t="s">
        <v>32470</v>
      </c>
      <c r="B12430" t="s">
        <v>34691</v>
      </c>
      <c r="C12430" t="s">
        <v>34712</v>
      </c>
      <c r="D12430" t="s">
        <v>32480</v>
      </c>
      <c r="E12430" t="s">
        <v>995</v>
      </c>
      <c r="F12430" t="s">
        <v>33045</v>
      </c>
      <c r="G12430" t="s">
        <v>34711</v>
      </c>
      <c r="H12430" t="s">
        <v>859</v>
      </c>
      <c r="I12430" t="s">
        <v>860</v>
      </c>
      <c r="J12430" t="str">
        <f>"9410215"</f>
        <v>9410215</v>
      </c>
      <c r="K12430">
        <v>2834092120</v>
      </c>
      <c r="M12430" t="s">
        <v>34713</v>
      </c>
      <c r="N12430" t="s">
        <v>34711</v>
      </c>
      <c r="O12430" t="s">
        <v>34714</v>
      </c>
      <c r="P12430">
        <v>74052</v>
      </c>
      <c r="Q12430" t="str">
        <f>"35.331893"</f>
        <v>35.331893</v>
      </c>
      <c r="R12430" t="str">
        <f>"24.689218"</f>
        <v>24.689218</v>
      </c>
      <c r="S12430" t="s">
        <v>26</v>
      </c>
    </row>
    <row r="12431" spans="1:19" x14ac:dyDescent="0.3">
      <c r="A12431" t="s">
        <v>32470</v>
      </c>
      <c r="B12431" t="s">
        <v>34691</v>
      </c>
      <c r="C12431" t="s">
        <v>34715</v>
      </c>
      <c r="D12431" t="s">
        <v>32480</v>
      </c>
      <c r="E12431" t="s">
        <v>32481</v>
      </c>
      <c r="F12431" t="s">
        <v>32481</v>
      </c>
      <c r="G12431" t="s">
        <v>32481</v>
      </c>
      <c r="H12431" t="s">
        <v>859</v>
      </c>
      <c r="I12431" t="s">
        <v>860</v>
      </c>
      <c r="J12431" t="str">
        <f>"9410210"</f>
        <v>9410210</v>
      </c>
      <c r="K12431">
        <v>2831027655</v>
      </c>
      <c r="M12431" t="s">
        <v>34716</v>
      </c>
      <c r="N12431" t="s">
        <v>34717</v>
      </c>
      <c r="O12431" t="s">
        <v>34718</v>
      </c>
      <c r="P12431">
        <v>74100</v>
      </c>
      <c r="Q12431" t="str">
        <f>"35.364665"</f>
        <v>35.364665</v>
      </c>
      <c r="R12431" t="str">
        <f>"24.510830"</f>
        <v>24.510830</v>
      </c>
      <c r="S12431" t="s">
        <v>26</v>
      </c>
    </row>
    <row r="12432" spans="1:19" x14ac:dyDescent="0.3">
      <c r="A12432" t="s">
        <v>32470</v>
      </c>
      <c r="B12432" t="s">
        <v>34691</v>
      </c>
      <c r="C12432" t="s">
        <v>34719</v>
      </c>
      <c r="D12432" t="s">
        <v>32480</v>
      </c>
      <c r="E12432" t="s">
        <v>32481</v>
      </c>
      <c r="F12432" t="s">
        <v>32481</v>
      </c>
      <c r="G12432" t="s">
        <v>32481</v>
      </c>
      <c r="H12432" t="s">
        <v>859</v>
      </c>
      <c r="I12432" t="s">
        <v>860</v>
      </c>
      <c r="J12432" t="str">
        <f>"9410247"</f>
        <v>9410247</v>
      </c>
      <c r="K12432">
        <v>2831022381</v>
      </c>
      <c r="L12432">
        <v>2831022381</v>
      </c>
      <c r="M12432" t="s">
        <v>34720</v>
      </c>
      <c r="N12432" t="s">
        <v>32480</v>
      </c>
      <c r="O12432" t="s">
        <v>34721</v>
      </c>
      <c r="P12432">
        <v>74100</v>
      </c>
      <c r="Q12432" t="str">
        <f>"35.363612"</f>
        <v>35.363612</v>
      </c>
      <c r="R12432" t="str">
        <f>"24.488206"</f>
        <v>24.488206</v>
      </c>
      <c r="S12432" t="s">
        <v>26</v>
      </c>
    </row>
    <row r="12433" spans="1:19" x14ac:dyDescent="0.3">
      <c r="A12433" t="s">
        <v>32470</v>
      </c>
      <c r="B12433" t="s">
        <v>34691</v>
      </c>
      <c r="C12433" t="s">
        <v>34722</v>
      </c>
      <c r="D12433" t="s">
        <v>32480</v>
      </c>
      <c r="E12433" t="s">
        <v>32481</v>
      </c>
      <c r="F12433" t="s">
        <v>32481</v>
      </c>
      <c r="G12433" t="s">
        <v>32481</v>
      </c>
      <c r="H12433" t="s">
        <v>859</v>
      </c>
      <c r="I12433" t="s">
        <v>860</v>
      </c>
      <c r="J12433" t="str">
        <f>"9410196"</f>
        <v>9410196</v>
      </c>
      <c r="K12433">
        <v>2831027495</v>
      </c>
      <c r="M12433" t="s">
        <v>34723</v>
      </c>
      <c r="N12433" t="s">
        <v>32480</v>
      </c>
      <c r="O12433" t="s">
        <v>34724</v>
      </c>
      <c r="P12433">
        <v>74100</v>
      </c>
      <c r="Q12433" t="str">
        <f>"35.365981"</f>
        <v>35.365981</v>
      </c>
      <c r="R12433" t="str">
        <f>"24.501889"</f>
        <v>24.501889</v>
      </c>
      <c r="S12433" t="s">
        <v>26</v>
      </c>
    </row>
    <row r="12434" spans="1:19" x14ac:dyDescent="0.3">
      <c r="A12434" t="s">
        <v>32470</v>
      </c>
      <c r="B12434" t="s">
        <v>34691</v>
      </c>
      <c r="C12434" t="s">
        <v>34725</v>
      </c>
      <c r="D12434" t="s">
        <v>32480</v>
      </c>
      <c r="E12434" t="s">
        <v>32481</v>
      </c>
      <c r="F12434" t="s">
        <v>32481</v>
      </c>
      <c r="G12434" t="s">
        <v>32481</v>
      </c>
      <c r="H12434" t="s">
        <v>859</v>
      </c>
      <c r="I12434" t="s">
        <v>860</v>
      </c>
      <c r="J12434" t="str">
        <f>"9410189"</f>
        <v>9410189</v>
      </c>
      <c r="K12434">
        <v>2831028290</v>
      </c>
      <c r="L12434">
        <v>2831028290</v>
      </c>
      <c r="M12434" t="s">
        <v>34726</v>
      </c>
      <c r="N12434" t="s">
        <v>32480</v>
      </c>
      <c r="O12434" t="s">
        <v>34727</v>
      </c>
      <c r="P12434">
        <v>74100</v>
      </c>
      <c r="Q12434" t="str">
        <f>"35.327571"</f>
        <v>35.327571</v>
      </c>
      <c r="R12434" t="str">
        <f>"24.500504"</f>
        <v>24.500504</v>
      </c>
      <c r="S12434" t="s">
        <v>26</v>
      </c>
    </row>
    <row r="12435" spans="1:19" x14ac:dyDescent="0.3">
      <c r="A12435" t="s">
        <v>32470</v>
      </c>
      <c r="B12435" t="s">
        <v>34691</v>
      </c>
      <c r="C12435" t="s">
        <v>34728</v>
      </c>
      <c r="D12435" t="s">
        <v>32480</v>
      </c>
      <c r="E12435" t="s">
        <v>32481</v>
      </c>
      <c r="F12435" t="s">
        <v>32481</v>
      </c>
      <c r="G12435" t="s">
        <v>32481</v>
      </c>
      <c r="H12435" t="s">
        <v>859</v>
      </c>
      <c r="I12435" t="s">
        <v>860</v>
      </c>
      <c r="J12435" t="str">
        <f>"9410206"</f>
        <v>9410206</v>
      </c>
      <c r="K12435">
        <v>2831023219</v>
      </c>
      <c r="L12435">
        <v>2831023219</v>
      </c>
      <c r="M12435" t="s">
        <v>34729</v>
      </c>
      <c r="N12435" t="s">
        <v>20356</v>
      </c>
      <c r="O12435" t="s">
        <v>34730</v>
      </c>
      <c r="P12435">
        <v>74100</v>
      </c>
      <c r="Q12435" t="str">
        <f>"35.367227"</f>
        <v>35.367227</v>
      </c>
      <c r="R12435" t="str">
        <f>"24.532599"</f>
        <v>24.532599</v>
      </c>
      <c r="S12435" t="s">
        <v>26</v>
      </c>
    </row>
    <row r="12436" spans="1:19" x14ac:dyDescent="0.3">
      <c r="A12436" t="s">
        <v>32470</v>
      </c>
      <c r="B12436" t="s">
        <v>34691</v>
      </c>
      <c r="C12436" t="s">
        <v>34732</v>
      </c>
      <c r="D12436" t="s">
        <v>32480</v>
      </c>
      <c r="E12436" t="s">
        <v>33080</v>
      </c>
      <c r="F12436" t="s">
        <v>33108</v>
      </c>
      <c r="G12436" t="s">
        <v>34731</v>
      </c>
      <c r="H12436" t="s">
        <v>859</v>
      </c>
      <c r="I12436" t="s">
        <v>860</v>
      </c>
      <c r="J12436" t="str">
        <f>"9520775"</f>
        <v>9520775</v>
      </c>
      <c r="K12436">
        <v>2833022720</v>
      </c>
      <c r="M12436" t="s">
        <v>34733</v>
      </c>
      <c r="N12436" t="s">
        <v>34734</v>
      </c>
      <c r="O12436" t="s">
        <v>34735</v>
      </c>
      <c r="P12436">
        <v>74061</v>
      </c>
      <c r="Q12436" t="str">
        <f>"35.230748"</f>
        <v>35.230748</v>
      </c>
      <c r="R12436" t="str">
        <f>"24.619253"</f>
        <v>24.619253</v>
      </c>
      <c r="S12436" t="s">
        <v>26</v>
      </c>
    </row>
    <row r="12437" spans="1:19" x14ac:dyDescent="0.3">
      <c r="A12437" t="s">
        <v>32470</v>
      </c>
      <c r="B12437" t="s">
        <v>34691</v>
      </c>
      <c r="C12437" t="s">
        <v>34737</v>
      </c>
      <c r="D12437" t="s">
        <v>32480</v>
      </c>
      <c r="E12437" t="s">
        <v>32481</v>
      </c>
      <c r="F12437" t="s">
        <v>32481</v>
      </c>
      <c r="G12437" t="s">
        <v>34736</v>
      </c>
      <c r="H12437" t="s">
        <v>859</v>
      </c>
      <c r="I12437" t="s">
        <v>860</v>
      </c>
      <c r="J12437" t="str">
        <f>"9520732"</f>
        <v>9520732</v>
      </c>
      <c r="K12437">
        <v>2831075361</v>
      </c>
      <c r="L12437">
        <v>2831075361</v>
      </c>
      <c r="M12437" t="s">
        <v>34738</v>
      </c>
      <c r="N12437" t="s">
        <v>34739</v>
      </c>
      <c r="O12437" t="s">
        <v>34740</v>
      </c>
      <c r="P12437">
        <v>74100</v>
      </c>
      <c r="Q12437" t="str">
        <f>"35.334907"</f>
        <v>35.334907</v>
      </c>
      <c r="R12437" t="str">
        <f>"24.496246"</f>
        <v>24.496246</v>
      </c>
      <c r="S12437" t="s">
        <v>26</v>
      </c>
    </row>
    <row r="12438" spans="1:19" x14ac:dyDescent="0.3">
      <c r="A12438" t="s">
        <v>32470</v>
      </c>
      <c r="B12438" t="s">
        <v>34691</v>
      </c>
      <c r="C12438" t="s">
        <v>34741</v>
      </c>
      <c r="D12438" t="s">
        <v>32480</v>
      </c>
      <c r="E12438" t="s">
        <v>32481</v>
      </c>
      <c r="F12438" t="s">
        <v>32481</v>
      </c>
      <c r="G12438" t="s">
        <v>32481</v>
      </c>
      <c r="H12438" t="s">
        <v>859</v>
      </c>
      <c r="I12438" t="s">
        <v>860</v>
      </c>
      <c r="J12438" t="str">
        <f>"9410068"</f>
        <v>9410068</v>
      </c>
      <c r="K12438">
        <v>2831029132</v>
      </c>
      <c r="L12438">
        <v>2831029132</v>
      </c>
      <c r="M12438" t="s">
        <v>34742</v>
      </c>
      <c r="N12438" t="s">
        <v>32480</v>
      </c>
      <c r="O12438" t="s">
        <v>34743</v>
      </c>
      <c r="P12438">
        <v>74100</v>
      </c>
      <c r="Q12438" t="str">
        <f>"35.361587"</f>
        <v>35.361587</v>
      </c>
      <c r="R12438" t="str">
        <f>"24.480821"</f>
        <v>24.480821</v>
      </c>
      <c r="S12438" t="s">
        <v>26</v>
      </c>
    </row>
    <row r="12439" spans="1:19" x14ac:dyDescent="0.3">
      <c r="A12439" t="s">
        <v>32470</v>
      </c>
      <c r="B12439" t="s">
        <v>34691</v>
      </c>
      <c r="C12439" t="s">
        <v>34746</v>
      </c>
      <c r="D12439" t="s">
        <v>32480</v>
      </c>
      <c r="E12439" t="s">
        <v>32481</v>
      </c>
      <c r="F12439" t="s">
        <v>34744</v>
      </c>
      <c r="G12439" t="s">
        <v>34745</v>
      </c>
      <c r="H12439" t="s">
        <v>859</v>
      </c>
      <c r="I12439" t="s">
        <v>860</v>
      </c>
      <c r="J12439" t="str">
        <f>"9410248"</f>
        <v>9410248</v>
      </c>
      <c r="K12439">
        <v>2831071898</v>
      </c>
      <c r="M12439" t="s">
        <v>34747</v>
      </c>
      <c r="N12439" t="s">
        <v>4693</v>
      </c>
      <c r="O12439" t="s">
        <v>4693</v>
      </c>
      <c r="P12439">
        <v>74100</v>
      </c>
      <c r="Q12439" t="str">
        <f>"35.357416"</f>
        <v>35.357416</v>
      </c>
      <c r="R12439" t="str">
        <f>"24.560879"</f>
        <v>24.560879</v>
      </c>
      <c r="S12439" t="s">
        <v>26</v>
      </c>
    </row>
    <row r="12440" spans="1:19" x14ac:dyDescent="0.3">
      <c r="A12440" t="s">
        <v>32470</v>
      </c>
      <c r="B12440" t="s">
        <v>34691</v>
      </c>
      <c r="C12440" t="s">
        <v>34748</v>
      </c>
      <c r="D12440" t="s">
        <v>32480</v>
      </c>
      <c r="E12440" t="s">
        <v>32481</v>
      </c>
      <c r="F12440" t="s">
        <v>32481</v>
      </c>
      <c r="G12440" t="s">
        <v>32481</v>
      </c>
      <c r="H12440" t="s">
        <v>859</v>
      </c>
      <c r="I12440" t="s">
        <v>860</v>
      </c>
      <c r="J12440" t="str">
        <f>"9410267"</f>
        <v>9410267</v>
      </c>
      <c r="K12440">
        <v>2831029089</v>
      </c>
      <c r="M12440" t="s">
        <v>34749</v>
      </c>
      <c r="N12440" t="s">
        <v>32480</v>
      </c>
      <c r="O12440" t="s">
        <v>34750</v>
      </c>
      <c r="P12440">
        <v>74133</v>
      </c>
      <c r="Q12440" t="str">
        <f>"35.365827"</f>
        <v>35.365827</v>
      </c>
      <c r="R12440" t="str">
        <f>"24.500579"</f>
        <v>24.500579</v>
      </c>
      <c r="S12440" t="s">
        <v>26</v>
      </c>
    </row>
    <row r="12441" spans="1:19" x14ac:dyDescent="0.3">
      <c r="A12441" t="s">
        <v>32470</v>
      </c>
      <c r="B12441" t="s">
        <v>34691</v>
      </c>
      <c r="C12441" t="s">
        <v>34751</v>
      </c>
      <c r="D12441" t="s">
        <v>32480</v>
      </c>
      <c r="E12441" t="s">
        <v>32481</v>
      </c>
      <c r="F12441" t="s">
        <v>34744</v>
      </c>
      <c r="G12441" t="s">
        <v>13157</v>
      </c>
      <c r="H12441" t="s">
        <v>859</v>
      </c>
      <c r="I12441" t="s">
        <v>860</v>
      </c>
      <c r="J12441" t="str">
        <f>"9410228"</f>
        <v>9410228</v>
      </c>
      <c r="K12441">
        <v>2831071202</v>
      </c>
      <c r="L12441">
        <v>2831071202</v>
      </c>
      <c r="M12441" t="s">
        <v>34752</v>
      </c>
      <c r="N12441" t="s">
        <v>23532</v>
      </c>
      <c r="O12441" t="s">
        <v>23532</v>
      </c>
      <c r="P12441">
        <v>74100</v>
      </c>
      <c r="Q12441" t="str">
        <f>"35.359760"</f>
        <v>35.359760</v>
      </c>
      <c r="R12441" t="str">
        <f>"24.570791"</f>
        <v>24.570791</v>
      </c>
      <c r="S12441" t="s">
        <v>26</v>
      </c>
    </row>
    <row r="12442" spans="1:19" x14ac:dyDescent="0.3">
      <c r="A12442" t="s">
        <v>32470</v>
      </c>
      <c r="B12442" t="s">
        <v>34691</v>
      </c>
      <c r="C12442" t="s">
        <v>34753</v>
      </c>
      <c r="D12442" t="s">
        <v>32480</v>
      </c>
      <c r="E12442" t="s">
        <v>32481</v>
      </c>
      <c r="F12442" t="s">
        <v>32481</v>
      </c>
      <c r="G12442" t="s">
        <v>32481</v>
      </c>
      <c r="H12442" t="s">
        <v>859</v>
      </c>
      <c r="I12442" t="s">
        <v>860</v>
      </c>
      <c r="J12442" t="str">
        <f>"9410266"</f>
        <v>9410266</v>
      </c>
      <c r="K12442">
        <v>2831022467</v>
      </c>
      <c r="L12442">
        <v>2831022467</v>
      </c>
      <c r="M12442" t="s">
        <v>34754</v>
      </c>
      <c r="N12442" t="s">
        <v>32480</v>
      </c>
      <c r="O12442" t="s">
        <v>34721</v>
      </c>
      <c r="P12442">
        <v>74100</v>
      </c>
      <c r="Q12442" t="str">
        <f>"35.363647"</f>
        <v>35.363647</v>
      </c>
      <c r="R12442" t="str">
        <f>"24.488147"</f>
        <v>24.488147</v>
      </c>
      <c r="S12442" t="s">
        <v>26</v>
      </c>
    </row>
    <row r="12443" spans="1:19" x14ac:dyDescent="0.3">
      <c r="A12443" t="s">
        <v>32470</v>
      </c>
      <c r="B12443" t="s">
        <v>34691</v>
      </c>
      <c r="C12443" t="s">
        <v>34779</v>
      </c>
      <c r="D12443" t="s">
        <v>32480</v>
      </c>
      <c r="E12443" t="s">
        <v>32481</v>
      </c>
      <c r="F12443" t="s">
        <v>34744</v>
      </c>
      <c r="G12443" t="s">
        <v>34778</v>
      </c>
      <c r="H12443" t="s">
        <v>859</v>
      </c>
      <c r="I12443" t="s">
        <v>860</v>
      </c>
      <c r="J12443" t="str">
        <f>"9410254"</f>
        <v>9410254</v>
      </c>
      <c r="K12443">
        <v>2831083287</v>
      </c>
      <c r="L12443">
        <v>2831083287</v>
      </c>
      <c r="M12443" t="s">
        <v>34780</v>
      </c>
      <c r="N12443" t="s">
        <v>34778</v>
      </c>
      <c r="O12443" t="s">
        <v>34781</v>
      </c>
      <c r="P12443">
        <v>74100</v>
      </c>
      <c r="Q12443" t="str">
        <f>"35.342773"</f>
        <v>35.342773</v>
      </c>
      <c r="R12443" t="str">
        <f>"24.600344"</f>
        <v>24.600344</v>
      </c>
      <c r="S12443" t="s">
        <v>26</v>
      </c>
    </row>
    <row r="12444" spans="1:19" x14ac:dyDescent="0.3">
      <c r="A12444" t="s">
        <v>32470</v>
      </c>
      <c r="B12444" t="s">
        <v>34691</v>
      </c>
      <c r="C12444" t="s">
        <v>34787</v>
      </c>
      <c r="D12444" t="s">
        <v>32480</v>
      </c>
      <c r="E12444" t="s">
        <v>33080</v>
      </c>
      <c r="F12444" t="s">
        <v>33081</v>
      </c>
      <c r="G12444" t="s">
        <v>33082</v>
      </c>
      <c r="H12444" t="s">
        <v>859</v>
      </c>
      <c r="I12444" t="s">
        <v>860</v>
      </c>
      <c r="J12444" t="str">
        <f>"9410251"</f>
        <v>9410251</v>
      </c>
      <c r="K12444">
        <v>2833041360</v>
      </c>
      <c r="M12444" t="s">
        <v>34788</v>
      </c>
      <c r="N12444" t="s">
        <v>33082</v>
      </c>
      <c r="O12444" t="s">
        <v>34769</v>
      </c>
      <c r="P12444">
        <v>74061</v>
      </c>
      <c r="Q12444" t="str">
        <f>"35.212002"</f>
        <v>35.212002</v>
      </c>
      <c r="R12444" t="str">
        <f>"24.711741"</f>
        <v>24.711741</v>
      </c>
      <c r="S12444" t="s">
        <v>26</v>
      </c>
    </row>
    <row r="12445" spans="1:19" x14ac:dyDescent="0.3">
      <c r="A12445" t="s">
        <v>32470</v>
      </c>
      <c r="B12445" t="s">
        <v>34691</v>
      </c>
      <c r="C12445" t="s">
        <v>34830</v>
      </c>
      <c r="D12445" t="s">
        <v>32480</v>
      </c>
      <c r="E12445" t="s">
        <v>32481</v>
      </c>
      <c r="F12445" t="s">
        <v>34744</v>
      </c>
      <c r="G12445" t="s">
        <v>34789</v>
      </c>
      <c r="H12445" t="s">
        <v>859</v>
      </c>
      <c r="I12445" t="s">
        <v>860</v>
      </c>
      <c r="J12445" t="str">
        <f>"9410240"</f>
        <v>9410240</v>
      </c>
      <c r="K12445">
        <v>2831072568</v>
      </c>
      <c r="L12445">
        <v>2831073051</v>
      </c>
      <c r="M12445" t="s">
        <v>34831</v>
      </c>
      <c r="N12445" t="s">
        <v>34792</v>
      </c>
      <c r="O12445" t="s">
        <v>34792</v>
      </c>
      <c r="P12445">
        <v>74100</v>
      </c>
      <c r="Q12445" t="str">
        <f>"35.384611"</f>
        <v>35.384611</v>
      </c>
      <c r="R12445" t="str">
        <f>"24.598463"</f>
        <v>24.598463</v>
      </c>
      <c r="S12445" t="s">
        <v>26</v>
      </c>
    </row>
    <row r="12446" spans="1:19" x14ac:dyDescent="0.3">
      <c r="A12446" t="s">
        <v>32470</v>
      </c>
      <c r="B12446" t="s">
        <v>34691</v>
      </c>
      <c r="C12446" t="s">
        <v>34839</v>
      </c>
      <c r="D12446" t="s">
        <v>32480</v>
      </c>
      <c r="E12446" t="s">
        <v>995</v>
      </c>
      <c r="F12446" t="s">
        <v>33146</v>
      </c>
      <c r="G12446" t="s">
        <v>26922</v>
      </c>
      <c r="H12446" t="s">
        <v>859</v>
      </c>
      <c r="I12446" t="s">
        <v>860</v>
      </c>
      <c r="J12446" t="str">
        <f>"9410014"</f>
        <v>9410014</v>
      </c>
      <c r="K12446">
        <v>2834061336</v>
      </c>
      <c r="M12446" t="s">
        <v>34840</v>
      </c>
      <c r="N12446" t="s">
        <v>26922</v>
      </c>
      <c r="O12446" t="s">
        <v>26925</v>
      </c>
      <c r="P12446">
        <v>74051</v>
      </c>
      <c r="Q12446" t="str">
        <f>"35.298362"</f>
        <v>35.298362</v>
      </c>
      <c r="R12446" t="str">
        <f>"24.823374"</f>
        <v>24.823374</v>
      </c>
      <c r="S12446" t="s">
        <v>26</v>
      </c>
    </row>
    <row r="12447" spans="1:19" x14ac:dyDescent="0.3">
      <c r="A12447" t="s">
        <v>32470</v>
      </c>
      <c r="B12447" t="s">
        <v>34691</v>
      </c>
      <c r="C12447" t="s">
        <v>34848</v>
      </c>
      <c r="D12447" t="s">
        <v>32480</v>
      </c>
      <c r="E12447" t="s">
        <v>995</v>
      </c>
      <c r="F12447" t="s">
        <v>33045</v>
      </c>
      <c r="G12447" t="s">
        <v>32294</v>
      </c>
      <c r="H12447" t="s">
        <v>859</v>
      </c>
      <c r="I12447" t="s">
        <v>860</v>
      </c>
      <c r="J12447" t="str">
        <f>"9410253"</f>
        <v>9410253</v>
      </c>
      <c r="K12447">
        <v>2834091576</v>
      </c>
      <c r="M12447" t="s">
        <v>34849</v>
      </c>
      <c r="N12447" t="s">
        <v>34850</v>
      </c>
      <c r="O12447" t="s">
        <v>34850</v>
      </c>
      <c r="P12447">
        <v>74054</v>
      </c>
      <c r="Q12447" t="str">
        <f>"35.325105"</f>
        <v>35.325105</v>
      </c>
      <c r="R12447" t="str">
        <f>"24.760952"</f>
        <v>24.760952</v>
      </c>
      <c r="S12447" t="s">
        <v>26</v>
      </c>
    </row>
    <row r="12448" spans="1:19" x14ac:dyDescent="0.3">
      <c r="A12448" t="s">
        <v>32470</v>
      </c>
      <c r="B12448" t="s">
        <v>34691</v>
      </c>
      <c r="C12448" t="s">
        <v>34851</v>
      </c>
      <c r="D12448" t="s">
        <v>32480</v>
      </c>
      <c r="E12448" t="s">
        <v>995</v>
      </c>
      <c r="F12448" t="s">
        <v>33045</v>
      </c>
      <c r="G12448" t="s">
        <v>34764</v>
      </c>
      <c r="H12448" t="s">
        <v>859</v>
      </c>
      <c r="I12448" t="s">
        <v>860</v>
      </c>
      <c r="J12448" t="str">
        <f>"9410262"</f>
        <v>9410262</v>
      </c>
      <c r="K12448">
        <v>2834023460</v>
      </c>
      <c r="L12448">
        <v>2834022663</v>
      </c>
      <c r="M12448" t="s">
        <v>34852</v>
      </c>
      <c r="N12448" t="s">
        <v>34764</v>
      </c>
      <c r="O12448" t="s">
        <v>34767</v>
      </c>
      <c r="P12448">
        <v>74052</v>
      </c>
      <c r="Q12448" t="str">
        <f>"35.320000"</f>
        <v>35.320000</v>
      </c>
      <c r="R12448" t="str">
        <f>"24.690000"</f>
        <v>24.690000</v>
      </c>
      <c r="S12448" t="s">
        <v>26</v>
      </c>
    </row>
    <row r="12449" spans="1:19" x14ac:dyDescent="0.3">
      <c r="A12449" t="s">
        <v>32470</v>
      </c>
      <c r="B12449" t="s">
        <v>34691</v>
      </c>
      <c r="C12449" t="s">
        <v>34853</v>
      </c>
      <c r="D12449" t="s">
        <v>32480</v>
      </c>
      <c r="E12449" t="s">
        <v>995</v>
      </c>
      <c r="F12449" t="s">
        <v>33146</v>
      </c>
      <c r="G12449" t="s">
        <v>34819</v>
      </c>
      <c r="H12449" t="s">
        <v>859</v>
      </c>
      <c r="I12449" t="s">
        <v>860</v>
      </c>
      <c r="J12449" t="str">
        <f>"9410202"</f>
        <v>9410202</v>
      </c>
      <c r="K12449">
        <v>2834061717</v>
      </c>
      <c r="L12449">
        <v>2834061717</v>
      </c>
      <c r="M12449" t="s">
        <v>34854</v>
      </c>
      <c r="N12449" t="s">
        <v>995</v>
      </c>
      <c r="O12449" t="s">
        <v>34822</v>
      </c>
      <c r="P12449">
        <v>74051</v>
      </c>
      <c r="Q12449" t="str">
        <f>"35.312443"</f>
        <v>35.312443</v>
      </c>
      <c r="R12449" t="str">
        <f>"24.795627"</f>
        <v>24.795627</v>
      </c>
      <c r="S12449" t="s">
        <v>26</v>
      </c>
    </row>
    <row r="12450" spans="1:19" x14ac:dyDescent="0.3">
      <c r="A12450" t="s">
        <v>32470</v>
      </c>
      <c r="B12450" t="s">
        <v>34691</v>
      </c>
      <c r="C12450" t="s">
        <v>34859</v>
      </c>
      <c r="D12450" t="s">
        <v>32480</v>
      </c>
      <c r="E12450" t="s">
        <v>995</v>
      </c>
      <c r="F12450" t="s">
        <v>33045</v>
      </c>
      <c r="G12450" t="s">
        <v>33122</v>
      </c>
      <c r="H12450" t="s">
        <v>859</v>
      </c>
      <c r="I12450" t="s">
        <v>860</v>
      </c>
      <c r="J12450" t="str">
        <f>"9410203"</f>
        <v>9410203</v>
      </c>
      <c r="K12450">
        <v>2834051404</v>
      </c>
      <c r="M12450" t="s">
        <v>34860</v>
      </c>
      <c r="N12450" t="s">
        <v>33122</v>
      </c>
      <c r="O12450" t="s">
        <v>34861</v>
      </c>
      <c r="P12450">
        <v>74057</v>
      </c>
      <c r="Q12450" t="str">
        <f>"35.417147"</f>
        <v>35.417147</v>
      </c>
      <c r="R12450" t="str">
        <f>"24.690166"</f>
        <v>24.690166</v>
      </c>
      <c r="S12450" t="s">
        <v>26</v>
      </c>
    </row>
    <row r="12451" spans="1:19" x14ac:dyDescent="0.3">
      <c r="A12451" t="s">
        <v>32470</v>
      </c>
      <c r="B12451" t="s">
        <v>34691</v>
      </c>
      <c r="C12451" t="s">
        <v>34862</v>
      </c>
      <c r="D12451" t="s">
        <v>32480</v>
      </c>
      <c r="E12451" t="s">
        <v>995</v>
      </c>
      <c r="F12451" t="s">
        <v>33045</v>
      </c>
      <c r="G12451" t="s">
        <v>34810</v>
      </c>
      <c r="H12451" t="s">
        <v>859</v>
      </c>
      <c r="I12451" t="s">
        <v>860</v>
      </c>
      <c r="J12451" t="str">
        <f>"9520865"</f>
        <v>9520865</v>
      </c>
      <c r="K12451">
        <v>2834051036</v>
      </c>
      <c r="M12451" t="s">
        <v>34863</v>
      </c>
      <c r="N12451" t="s">
        <v>34813</v>
      </c>
      <c r="O12451" t="s">
        <v>34813</v>
      </c>
      <c r="P12451">
        <v>74057</v>
      </c>
      <c r="Q12451" t="str">
        <f>"35.413847"</f>
        <v>35.413847</v>
      </c>
      <c r="R12451" t="str">
        <f>"24.723037"</f>
        <v>24.723037</v>
      </c>
      <c r="S12451" t="s">
        <v>26</v>
      </c>
    </row>
    <row r="12452" spans="1:19" x14ac:dyDescent="0.3">
      <c r="A12452" t="s">
        <v>32470</v>
      </c>
      <c r="B12452" t="s">
        <v>34691</v>
      </c>
      <c r="C12452" t="s">
        <v>34866</v>
      </c>
      <c r="D12452" t="s">
        <v>32480</v>
      </c>
      <c r="E12452" t="s">
        <v>33059</v>
      </c>
      <c r="F12452" t="s">
        <v>33059</v>
      </c>
      <c r="G12452" t="s">
        <v>33059</v>
      </c>
      <c r="H12452" t="s">
        <v>859</v>
      </c>
      <c r="I12452" t="s">
        <v>860</v>
      </c>
      <c r="J12452" t="str">
        <f>"9410002"</f>
        <v>9410002</v>
      </c>
      <c r="K12452">
        <v>2834031184</v>
      </c>
      <c r="M12452" t="s">
        <v>34867</v>
      </c>
      <c r="N12452" t="s">
        <v>34868</v>
      </c>
      <c r="O12452" t="s">
        <v>33063</v>
      </c>
      <c r="P12452">
        <v>74051</v>
      </c>
      <c r="Q12452" t="str">
        <f>"35.289661"</f>
        <v>35.289661</v>
      </c>
      <c r="R12452" t="str">
        <f>"24.884483"</f>
        <v>24.884483</v>
      </c>
      <c r="S12452" t="s">
        <v>57</v>
      </c>
    </row>
    <row r="12453" spans="1:19" x14ac:dyDescent="0.3">
      <c r="A12453" t="s">
        <v>32470</v>
      </c>
      <c r="B12453" t="s">
        <v>34691</v>
      </c>
      <c r="C12453" t="s">
        <v>34869</v>
      </c>
      <c r="D12453" t="s">
        <v>32480</v>
      </c>
      <c r="E12453" t="s">
        <v>33059</v>
      </c>
      <c r="F12453" t="s">
        <v>33059</v>
      </c>
      <c r="G12453" t="s">
        <v>33059</v>
      </c>
      <c r="H12453" t="s">
        <v>859</v>
      </c>
      <c r="I12453" t="s">
        <v>860</v>
      </c>
      <c r="J12453" t="str">
        <f>"9410005"</f>
        <v>9410005</v>
      </c>
      <c r="K12453">
        <v>2834031184</v>
      </c>
      <c r="M12453" t="s">
        <v>34870</v>
      </c>
      <c r="N12453" t="s">
        <v>33059</v>
      </c>
      <c r="O12453" t="s">
        <v>34800</v>
      </c>
      <c r="P12453">
        <v>74051</v>
      </c>
      <c r="Q12453" t="str">
        <f>"35.292060"</f>
        <v>35.292060</v>
      </c>
      <c r="R12453" t="str">
        <f>"24.881930"</f>
        <v>24.881930</v>
      </c>
      <c r="S12453" t="s">
        <v>57</v>
      </c>
    </row>
    <row r="12454" spans="1:19" x14ac:dyDescent="0.3">
      <c r="A12454" t="s">
        <v>32470</v>
      </c>
      <c r="B12454" t="s">
        <v>34691</v>
      </c>
      <c r="C12454" t="s">
        <v>34873</v>
      </c>
      <c r="D12454" t="s">
        <v>32480</v>
      </c>
      <c r="E12454" t="s">
        <v>14541</v>
      </c>
      <c r="F12454" t="s">
        <v>33136</v>
      </c>
      <c r="G12454" t="s">
        <v>34872</v>
      </c>
      <c r="H12454" t="s">
        <v>859</v>
      </c>
      <c r="I12454" t="s">
        <v>860</v>
      </c>
      <c r="J12454" t="str">
        <f>"9410252"</f>
        <v>9410252</v>
      </c>
      <c r="K12454">
        <v>2832032056</v>
      </c>
      <c r="M12454" t="s">
        <v>34874</v>
      </c>
      <c r="N12454" t="s">
        <v>34875</v>
      </c>
      <c r="O12454" t="s">
        <v>34875</v>
      </c>
      <c r="P12454">
        <v>74060</v>
      </c>
      <c r="Q12454" t="str">
        <f>"35.200765"</f>
        <v>35.200765</v>
      </c>
      <c r="R12454" t="str">
        <f>"24.400829"</f>
        <v>24.400829</v>
      </c>
      <c r="S12454" t="s">
        <v>26</v>
      </c>
    </row>
    <row r="12455" spans="1:19" x14ac:dyDescent="0.3">
      <c r="A12455" t="s">
        <v>32470</v>
      </c>
      <c r="B12455" t="s">
        <v>34691</v>
      </c>
      <c r="C12455" t="s">
        <v>34877</v>
      </c>
      <c r="D12455" t="s">
        <v>32480</v>
      </c>
      <c r="E12455" t="s">
        <v>14541</v>
      </c>
      <c r="F12455" t="s">
        <v>33065</v>
      </c>
      <c r="G12455" t="s">
        <v>34876</v>
      </c>
      <c r="H12455" t="s">
        <v>859</v>
      </c>
      <c r="I12455" t="s">
        <v>860</v>
      </c>
      <c r="J12455" t="str">
        <f>"9410110"</f>
        <v>9410110</v>
      </c>
      <c r="K12455">
        <v>2832041559</v>
      </c>
      <c r="L12455">
        <v>2832041559</v>
      </c>
      <c r="M12455" t="s">
        <v>34878</v>
      </c>
      <c r="N12455" t="s">
        <v>34876</v>
      </c>
      <c r="O12455" t="s">
        <v>34879</v>
      </c>
      <c r="P12455">
        <v>74053</v>
      </c>
      <c r="Q12455" t="str">
        <f>"35.133568"</f>
        <v>35.133568</v>
      </c>
      <c r="R12455" t="str">
        <f>"24.554527"</f>
        <v>24.554527</v>
      </c>
      <c r="S12455" t="s">
        <v>26</v>
      </c>
    </row>
    <row r="12456" spans="1:19" x14ac:dyDescent="0.3">
      <c r="A12456" t="s">
        <v>32470</v>
      </c>
      <c r="B12456" t="s">
        <v>34691</v>
      </c>
      <c r="C12456" t="s">
        <v>34880</v>
      </c>
      <c r="D12456" t="s">
        <v>32480</v>
      </c>
      <c r="E12456" t="s">
        <v>32481</v>
      </c>
      <c r="F12456" t="s">
        <v>32481</v>
      </c>
      <c r="G12456" t="s">
        <v>32481</v>
      </c>
      <c r="H12456" t="s">
        <v>859</v>
      </c>
      <c r="I12456" t="s">
        <v>860</v>
      </c>
      <c r="J12456" t="str">
        <f>"9410265"</f>
        <v>9410265</v>
      </c>
      <c r="K12456">
        <v>2831027473</v>
      </c>
      <c r="L12456">
        <v>2831027473</v>
      </c>
      <c r="M12456" t="s">
        <v>34881</v>
      </c>
      <c r="N12456" t="s">
        <v>32484</v>
      </c>
      <c r="O12456" t="s">
        <v>34882</v>
      </c>
      <c r="P12456">
        <v>74100</v>
      </c>
      <c r="Q12456" t="str">
        <f>"35.362091"</f>
        <v>35.362091</v>
      </c>
      <c r="R12456" t="str">
        <f>"24.470778"</f>
        <v>24.470778</v>
      </c>
      <c r="S12456" t="s">
        <v>26</v>
      </c>
    </row>
    <row r="12457" spans="1:19" x14ac:dyDescent="0.3">
      <c r="A12457" t="s">
        <v>32470</v>
      </c>
      <c r="B12457" t="s">
        <v>34691</v>
      </c>
      <c r="C12457" t="s">
        <v>34884</v>
      </c>
      <c r="D12457" t="s">
        <v>32480</v>
      </c>
      <c r="E12457" t="s">
        <v>14541</v>
      </c>
      <c r="F12457" t="s">
        <v>33136</v>
      </c>
      <c r="G12457" t="s">
        <v>34883</v>
      </c>
      <c r="H12457" t="s">
        <v>859</v>
      </c>
      <c r="I12457" t="s">
        <v>860</v>
      </c>
      <c r="J12457" t="str">
        <f>"9410219"</f>
        <v>9410219</v>
      </c>
      <c r="K12457">
        <v>2832031213</v>
      </c>
      <c r="L12457">
        <v>2832031661</v>
      </c>
      <c r="M12457" t="s">
        <v>34885</v>
      </c>
      <c r="N12457" t="s">
        <v>34886</v>
      </c>
      <c r="O12457" t="s">
        <v>34887</v>
      </c>
      <c r="P12457">
        <v>74060</v>
      </c>
      <c r="Q12457" t="str">
        <f>"35.206226"</f>
        <v>35.206226</v>
      </c>
      <c r="R12457" t="str">
        <f>"24.382688"</f>
        <v>24.382688</v>
      </c>
      <c r="S12457" t="s">
        <v>26</v>
      </c>
    </row>
    <row r="12458" spans="1:19" x14ac:dyDescent="0.3">
      <c r="A12458" t="s">
        <v>32470</v>
      </c>
      <c r="B12458" t="s">
        <v>34691</v>
      </c>
      <c r="C12458" t="s">
        <v>34888</v>
      </c>
      <c r="D12458" t="s">
        <v>32480</v>
      </c>
      <c r="E12458" t="s">
        <v>32481</v>
      </c>
      <c r="F12458" t="s">
        <v>32481</v>
      </c>
      <c r="G12458" t="s">
        <v>32481</v>
      </c>
      <c r="H12458" t="s">
        <v>859</v>
      </c>
      <c r="I12458" t="s">
        <v>860</v>
      </c>
      <c r="J12458" t="str">
        <f>"9410066"</f>
        <v>9410066</v>
      </c>
      <c r="K12458">
        <v>2831023745</v>
      </c>
      <c r="L12458">
        <v>2831023745</v>
      </c>
      <c r="M12458" t="s">
        <v>34889</v>
      </c>
      <c r="N12458" t="s">
        <v>32480</v>
      </c>
      <c r="O12458" t="s">
        <v>34890</v>
      </c>
      <c r="P12458">
        <v>74132</v>
      </c>
      <c r="Q12458" t="str">
        <f>"35.366279"</f>
        <v>35.366279</v>
      </c>
      <c r="R12458" t="str">
        <f>"24.476688"</f>
        <v>24.476688</v>
      </c>
      <c r="S12458" t="s">
        <v>26</v>
      </c>
    </row>
    <row r="12459" spans="1:19" x14ac:dyDescent="0.3">
      <c r="A12459" t="s">
        <v>32470</v>
      </c>
      <c r="B12459" t="s">
        <v>34691</v>
      </c>
      <c r="C12459" t="s">
        <v>34891</v>
      </c>
      <c r="D12459" t="s">
        <v>32480</v>
      </c>
      <c r="E12459" t="s">
        <v>32481</v>
      </c>
      <c r="F12459" t="s">
        <v>32481</v>
      </c>
      <c r="G12459" t="s">
        <v>32481</v>
      </c>
      <c r="H12459" t="s">
        <v>859</v>
      </c>
      <c r="I12459" t="s">
        <v>860</v>
      </c>
      <c r="J12459" t="str">
        <f>"9410153"</f>
        <v>9410153</v>
      </c>
      <c r="K12459">
        <v>2831022984</v>
      </c>
      <c r="L12459">
        <v>2831022984</v>
      </c>
      <c r="M12459" t="s">
        <v>34892</v>
      </c>
      <c r="N12459" t="s">
        <v>32484</v>
      </c>
      <c r="O12459" t="s">
        <v>34893</v>
      </c>
      <c r="P12459">
        <v>74100</v>
      </c>
      <c r="Q12459" t="str">
        <f>"35.368415"</f>
        <v>35.368415</v>
      </c>
      <c r="R12459" t="str">
        <f>"24.471081"</f>
        <v>24.471081</v>
      </c>
      <c r="S12459" t="s">
        <v>26</v>
      </c>
    </row>
    <row r="12460" spans="1:19" x14ac:dyDescent="0.3">
      <c r="A12460" t="s">
        <v>32470</v>
      </c>
      <c r="B12460" t="s">
        <v>34691</v>
      </c>
      <c r="C12460" t="s">
        <v>34894</v>
      </c>
      <c r="D12460" t="s">
        <v>32480</v>
      </c>
      <c r="E12460" t="s">
        <v>32481</v>
      </c>
      <c r="F12460" t="s">
        <v>32481</v>
      </c>
      <c r="G12460" t="s">
        <v>32481</v>
      </c>
      <c r="H12460" t="s">
        <v>859</v>
      </c>
      <c r="I12460" t="s">
        <v>860</v>
      </c>
      <c r="J12460" t="str">
        <f>"9520776"</f>
        <v>9520776</v>
      </c>
      <c r="K12460">
        <v>2831026435</v>
      </c>
      <c r="M12460" t="s">
        <v>34895</v>
      </c>
      <c r="N12460" t="s">
        <v>34896</v>
      </c>
      <c r="O12460" t="s">
        <v>34897</v>
      </c>
      <c r="P12460">
        <v>74100</v>
      </c>
      <c r="Q12460" t="str">
        <f>"35.354307"</f>
        <v>35.354307</v>
      </c>
      <c r="R12460" t="str">
        <f>"24.450304"</f>
        <v>24.450304</v>
      </c>
      <c r="S12460" t="s">
        <v>26</v>
      </c>
    </row>
    <row r="12461" spans="1:19" x14ac:dyDescent="0.3">
      <c r="A12461" t="s">
        <v>32470</v>
      </c>
      <c r="B12461" t="s">
        <v>34691</v>
      </c>
      <c r="C12461" t="s">
        <v>34899</v>
      </c>
      <c r="D12461" t="s">
        <v>32480</v>
      </c>
      <c r="E12461" t="s">
        <v>32481</v>
      </c>
      <c r="F12461" t="s">
        <v>33173</v>
      </c>
      <c r="G12461" t="s">
        <v>34898</v>
      </c>
      <c r="H12461" t="s">
        <v>859</v>
      </c>
      <c r="I12461" t="s">
        <v>860</v>
      </c>
      <c r="J12461" t="str">
        <f>"9410246"</f>
        <v>9410246</v>
      </c>
      <c r="K12461">
        <v>2831031774</v>
      </c>
      <c r="L12461">
        <v>2831031774</v>
      </c>
      <c r="M12461" t="s">
        <v>34900</v>
      </c>
      <c r="N12461" t="s">
        <v>34901</v>
      </c>
      <c r="O12461" t="s">
        <v>34901</v>
      </c>
      <c r="P12461">
        <v>74100</v>
      </c>
      <c r="Q12461" t="str">
        <f>"35.343933"</f>
        <v>35.343933</v>
      </c>
      <c r="R12461" t="str">
        <f>"24.426500"</f>
        <v>24.426500</v>
      </c>
      <c r="S12461" t="s">
        <v>26</v>
      </c>
    </row>
    <row r="12462" spans="1:19" x14ac:dyDescent="0.3">
      <c r="A12462" t="s">
        <v>32470</v>
      </c>
      <c r="B12462" t="s">
        <v>34691</v>
      </c>
      <c r="C12462" t="s">
        <v>34902</v>
      </c>
      <c r="D12462" t="s">
        <v>32480</v>
      </c>
      <c r="E12462" t="s">
        <v>32481</v>
      </c>
      <c r="F12462" t="s">
        <v>32481</v>
      </c>
      <c r="G12462" t="s">
        <v>32481</v>
      </c>
      <c r="H12462" t="s">
        <v>859</v>
      </c>
      <c r="I12462" t="s">
        <v>860</v>
      </c>
      <c r="J12462" t="str">
        <f>"9410220"</f>
        <v>9410220</v>
      </c>
      <c r="K12462">
        <v>2831055513</v>
      </c>
      <c r="L12462">
        <v>2831055513</v>
      </c>
      <c r="M12462" t="s">
        <v>34903</v>
      </c>
      <c r="N12462" t="s">
        <v>32484</v>
      </c>
      <c r="O12462" t="s">
        <v>34034</v>
      </c>
      <c r="P12462">
        <v>74132</v>
      </c>
      <c r="Q12462" t="str">
        <f>"35.361979"</f>
        <v>35.361979</v>
      </c>
      <c r="R12462" t="str">
        <f>"24.475744"</f>
        <v>24.475744</v>
      </c>
      <c r="S12462" t="s">
        <v>26</v>
      </c>
    </row>
    <row r="12463" spans="1:19" x14ac:dyDescent="0.3">
      <c r="A12463" t="s">
        <v>32470</v>
      </c>
      <c r="B12463" t="s">
        <v>34691</v>
      </c>
      <c r="C12463" t="s">
        <v>34904</v>
      </c>
      <c r="D12463" t="s">
        <v>32480</v>
      </c>
      <c r="E12463" t="s">
        <v>32481</v>
      </c>
      <c r="F12463" t="s">
        <v>32481</v>
      </c>
      <c r="G12463" t="s">
        <v>32481</v>
      </c>
      <c r="H12463" t="s">
        <v>859</v>
      </c>
      <c r="I12463" t="s">
        <v>860</v>
      </c>
      <c r="J12463" t="str">
        <f>"9410151"</f>
        <v>9410151</v>
      </c>
      <c r="K12463">
        <v>2831024336</v>
      </c>
      <c r="M12463" t="s">
        <v>34905</v>
      </c>
      <c r="N12463" t="s">
        <v>32484</v>
      </c>
      <c r="O12463" t="s">
        <v>34906</v>
      </c>
      <c r="P12463">
        <v>74100</v>
      </c>
      <c r="Q12463" t="str">
        <f>"35.368744"</f>
        <v>35.368744</v>
      </c>
      <c r="R12463" t="str">
        <f>"24.474765"</f>
        <v>24.474765</v>
      </c>
      <c r="S12463" t="s">
        <v>26</v>
      </c>
    </row>
    <row r="12464" spans="1:19" x14ac:dyDescent="0.3">
      <c r="A12464" t="s">
        <v>32470</v>
      </c>
      <c r="B12464" t="s">
        <v>34691</v>
      </c>
      <c r="C12464" t="s">
        <v>34907</v>
      </c>
      <c r="D12464" t="s">
        <v>32480</v>
      </c>
      <c r="E12464" t="s">
        <v>32481</v>
      </c>
      <c r="F12464" t="s">
        <v>33173</v>
      </c>
      <c r="G12464" t="s">
        <v>33174</v>
      </c>
      <c r="H12464" t="s">
        <v>859</v>
      </c>
      <c r="I12464" t="s">
        <v>860</v>
      </c>
      <c r="J12464" t="str">
        <f>"9520949"</f>
        <v>9520949</v>
      </c>
      <c r="K12464">
        <v>2831031424</v>
      </c>
      <c r="L12464">
        <v>2831031424</v>
      </c>
      <c r="M12464" t="s">
        <v>34908</v>
      </c>
      <c r="N12464" t="s">
        <v>33177</v>
      </c>
      <c r="O12464" t="s">
        <v>33177</v>
      </c>
      <c r="P12464">
        <v>74100</v>
      </c>
      <c r="Q12464" t="str">
        <f>"35.357984"</f>
        <v>35.357984</v>
      </c>
      <c r="R12464" t="str">
        <f>"24.438518"</f>
        <v>24.438518</v>
      </c>
      <c r="S12464" t="s">
        <v>26</v>
      </c>
    </row>
    <row r="12465" spans="1:19" x14ac:dyDescent="0.3">
      <c r="A12465" t="s">
        <v>32470</v>
      </c>
      <c r="B12465" t="s">
        <v>34691</v>
      </c>
      <c r="C12465" t="s">
        <v>34910</v>
      </c>
      <c r="D12465" t="s">
        <v>32480</v>
      </c>
      <c r="E12465" t="s">
        <v>32481</v>
      </c>
      <c r="F12465" t="s">
        <v>33173</v>
      </c>
      <c r="G12465" t="s">
        <v>34909</v>
      </c>
      <c r="H12465" t="s">
        <v>859</v>
      </c>
      <c r="I12465" t="s">
        <v>860</v>
      </c>
      <c r="J12465" t="str">
        <f>"9410249"</f>
        <v>9410249</v>
      </c>
      <c r="K12465">
        <v>2831032526</v>
      </c>
      <c r="L12465">
        <v>2831032526</v>
      </c>
      <c r="M12465" t="s">
        <v>34911</v>
      </c>
      <c r="N12465" t="s">
        <v>34912</v>
      </c>
      <c r="O12465" t="s">
        <v>34912</v>
      </c>
      <c r="P12465">
        <v>74100</v>
      </c>
      <c r="Q12465" t="str">
        <f>"35.323512"</f>
        <v>35.323512</v>
      </c>
      <c r="R12465" t="str">
        <f>"24.419288"</f>
        <v>24.419288</v>
      </c>
      <c r="S12465" t="s">
        <v>26</v>
      </c>
    </row>
    <row r="12466" spans="1:19" x14ac:dyDescent="0.3">
      <c r="A12466" t="s">
        <v>32470</v>
      </c>
      <c r="B12466" t="s">
        <v>34691</v>
      </c>
      <c r="C12466" t="s">
        <v>34913</v>
      </c>
      <c r="D12466" t="s">
        <v>32480</v>
      </c>
      <c r="E12466" t="s">
        <v>14541</v>
      </c>
      <c r="F12466" t="s">
        <v>33065</v>
      </c>
      <c r="G12466" t="s">
        <v>33066</v>
      </c>
      <c r="H12466" t="s">
        <v>859</v>
      </c>
      <c r="I12466" t="s">
        <v>860</v>
      </c>
      <c r="J12466" t="str">
        <f>"9410121"</f>
        <v>9410121</v>
      </c>
      <c r="K12466">
        <v>2832022434</v>
      </c>
      <c r="M12466" t="s">
        <v>34914</v>
      </c>
      <c r="N12466" t="s">
        <v>33066</v>
      </c>
      <c r="O12466" t="s">
        <v>33117</v>
      </c>
      <c r="P12466">
        <v>74053</v>
      </c>
      <c r="Q12466" t="str">
        <f>"35.220557"</f>
        <v>35.220557</v>
      </c>
      <c r="R12466" t="str">
        <f>"24.531243"</f>
        <v>24.531243</v>
      </c>
      <c r="S12466" t="s">
        <v>26</v>
      </c>
    </row>
    <row r="12467" spans="1:19" x14ac:dyDescent="0.3">
      <c r="A12467" t="s">
        <v>32470</v>
      </c>
      <c r="B12467" t="s">
        <v>34691</v>
      </c>
      <c r="C12467" t="s">
        <v>34915</v>
      </c>
      <c r="D12467" t="s">
        <v>32480</v>
      </c>
      <c r="E12467" t="s">
        <v>32481</v>
      </c>
      <c r="F12467" t="s">
        <v>32481</v>
      </c>
      <c r="G12467" t="s">
        <v>34467</v>
      </c>
      <c r="H12467" t="s">
        <v>859</v>
      </c>
      <c r="I12467" t="s">
        <v>860</v>
      </c>
      <c r="J12467" t="str">
        <f>"9410218"</f>
        <v>9410218</v>
      </c>
      <c r="K12467">
        <v>2831041209</v>
      </c>
      <c r="M12467" t="s">
        <v>34916</v>
      </c>
      <c r="N12467" t="s">
        <v>34467</v>
      </c>
      <c r="O12467" t="s">
        <v>34917</v>
      </c>
      <c r="P12467">
        <v>74100</v>
      </c>
      <c r="Q12467" t="str">
        <f>"35.303267"</f>
        <v>35.303267</v>
      </c>
      <c r="R12467" t="str">
        <f>"24.459994"</f>
        <v>24.459994</v>
      </c>
      <c r="S12467" t="s">
        <v>26</v>
      </c>
    </row>
    <row r="12468" spans="1:19" x14ac:dyDescent="0.3">
      <c r="A12468" t="s">
        <v>32470</v>
      </c>
      <c r="B12468" t="s">
        <v>34691</v>
      </c>
      <c r="C12468" t="s">
        <v>34919</v>
      </c>
      <c r="D12468" t="s">
        <v>32480</v>
      </c>
      <c r="E12468" t="s">
        <v>14541</v>
      </c>
      <c r="F12468" t="s">
        <v>33136</v>
      </c>
      <c r="G12468" t="s">
        <v>34918</v>
      </c>
      <c r="H12468" t="s">
        <v>859</v>
      </c>
      <c r="I12468" t="s">
        <v>860</v>
      </c>
      <c r="J12468" t="str">
        <f>"9410233"</f>
        <v>9410233</v>
      </c>
      <c r="K12468">
        <v>2832051552</v>
      </c>
      <c r="M12468" t="s">
        <v>34920</v>
      </c>
      <c r="N12468" t="s">
        <v>34921</v>
      </c>
      <c r="O12468" t="s">
        <v>34921</v>
      </c>
      <c r="P12468">
        <v>74053</v>
      </c>
      <c r="Q12468" t="str">
        <f>"35.239272"</f>
        <v>35.239272</v>
      </c>
      <c r="R12468" t="str">
        <f>"24.436733"</f>
        <v>24.436733</v>
      </c>
      <c r="S12468" t="s">
        <v>26</v>
      </c>
    </row>
    <row r="12469" spans="1:19" x14ac:dyDescent="0.3">
      <c r="A12469" t="s">
        <v>32470</v>
      </c>
      <c r="B12469" t="s">
        <v>34691</v>
      </c>
      <c r="C12469" t="s">
        <v>34923</v>
      </c>
      <c r="D12469" t="s">
        <v>32480</v>
      </c>
      <c r="E12469" t="s">
        <v>32481</v>
      </c>
      <c r="F12469" t="s">
        <v>33173</v>
      </c>
      <c r="G12469" t="s">
        <v>34922</v>
      </c>
      <c r="H12469" t="s">
        <v>859</v>
      </c>
      <c r="I12469" t="s">
        <v>860</v>
      </c>
      <c r="J12469" t="str">
        <f>"9410232"</f>
        <v>9410232</v>
      </c>
      <c r="K12469">
        <v>2831032007</v>
      </c>
      <c r="M12469" t="s">
        <v>34924</v>
      </c>
      <c r="N12469" t="s">
        <v>34925</v>
      </c>
      <c r="O12469" t="s">
        <v>34926</v>
      </c>
      <c r="P12469">
        <v>74135</v>
      </c>
      <c r="Q12469" t="str">
        <f>"35.352617"</f>
        <v>35.352617</v>
      </c>
      <c r="R12469" t="str">
        <f>"24.398320"</f>
        <v>24.398320</v>
      </c>
      <c r="S12469" t="s">
        <v>26</v>
      </c>
    </row>
    <row r="12470" spans="1:19" x14ac:dyDescent="0.3">
      <c r="A12470" t="s">
        <v>32470</v>
      </c>
      <c r="B12470" t="s">
        <v>34691</v>
      </c>
      <c r="C12470" t="s">
        <v>34928</v>
      </c>
      <c r="D12470" t="s">
        <v>32480</v>
      </c>
      <c r="E12470" t="s">
        <v>14541</v>
      </c>
      <c r="F12470" t="s">
        <v>33065</v>
      </c>
      <c r="G12470" t="s">
        <v>34927</v>
      </c>
      <c r="H12470" t="s">
        <v>859</v>
      </c>
      <c r="I12470" t="s">
        <v>860</v>
      </c>
      <c r="J12470" t="str">
        <f>"9410250"</f>
        <v>9410250</v>
      </c>
      <c r="K12470">
        <v>2832022298</v>
      </c>
      <c r="L12470">
        <v>2832022298</v>
      </c>
      <c r="M12470" t="s">
        <v>34929</v>
      </c>
      <c r="N12470" t="s">
        <v>34930</v>
      </c>
      <c r="O12470" t="s">
        <v>34930</v>
      </c>
      <c r="P12470">
        <v>74053</v>
      </c>
      <c r="Q12470" t="str">
        <f>"35.215742"</f>
        <v>35.215742</v>
      </c>
      <c r="R12470" t="str">
        <f>"24.505445"</f>
        <v>24.505445</v>
      </c>
      <c r="S12470" t="s">
        <v>26</v>
      </c>
    </row>
    <row r="12471" spans="1:19" x14ac:dyDescent="0.3">
      <c r="A12471" t="s">
        <v>32470</v>
      </c>
      <c r="B12471" t="s">
        <v>34691</v>
      </c>
      <c r="C12471" t="s">
        <v>34932</v>
      </c>
      <c r="D12471" t="s">
        <v>32480</v>
      </c>
      <c r="E12471" t="s">
        <v>14541</v>
      </c>
      <c r="F12471" t="s">
        <v>33065</v>
      </c>
      <c r="G12471" t="s">
        <v>34931</v>
      </c>
      <c r="H12471" t="s">
        <v>859</v>
      </c>
      <c r="I12471" t="s">
        <v>860</v>
      </c>
      <c r="J12471" t="str">
        <f>"9410239"</f>
        <v>9410239</v>
      </c>
      <c r="K12471">
        <v>2832091121</v>
      </c>
      <c r="L12471">
        <v>2832091121</v>
      </c>
      <c r="M12471" t="s">
        <v>34933</v>
      </c>
      <c r="N12471" t="s">
        <v>34934</v>
      </c>
      <c r="O12471" t="s">
        <v>34934</v>
      </c>
      <c r="P12471">
        <v>74056</v>
      </c>
      <c r="Q12471" t="str">
        <f>"35.098014"</f>
        <v>35.098014</v>
      </c>
      <c r="R12471" t="str">
        <f>"24.688598"</f>
        <v>24.688598</v>
      </c>
      <c r="S12471" t="s">
        <v>26</v>
      </c>
    </row>
    <row r="12472" spans="1:19" x14ac:dyDescent="0.3">
      <c r="A12472" t="s">
        <v>32470</v>
      </c>
      <c r="B12472" t="s">
        <v>34691</v>
      </c>
      <c r="C12472" t="s">
        <v>34935</v>
      </c>
      <c r="D12472" t="s">
        <v>32480</v>
      </c>
      <c r="E12472" t="s">
        <v>32481</v>
      </c>
      <c r="F12472" t="s">
        <v>33102</v>
      </c>
      <c r="G12472" t="s">
        <v>30112</v>
      </c>
      <c r="H12472" t="s">
        <v>859</v>
      </c>
      <c r="I12472" t="s">
        <v>860</v>
      </c>
      <c r="J12472" t="str">
        <f>"9410147"</f>
        <v>9410147</v>
      </c>
      <c r="K12472">
        <v>2831061838</v>
      </c>
      <c r="M12472" t="s">
        <v>34936</v>
      </c>
      <c r="N12472" t="s">
        <v>30112</v>
      </c>
      <c r="O12472" t="s">
        <v>26516</v>
      </c>
      <c r="P12472">
        <v>74055</v>
      </c>
      <c r="Q12472" t="str">
        <f>"35.329233"</f>
        <v>35.329233</v>
      </c>
      <c r="R12472" t="str">
        <f>"24.335966"</f>
        <v>24.335966</v>
      </c>
      <c r="S12472" t="s">
        <v>26</v>
      </c>
    </row>
    <row r="12473" spans="1:19" x14ac:dyDescent="0.3">
      <c r="A12473" t="s">
        <v>32470</v>
      </c>
      <c r="B12473" t="s">
        <v>34691</v>
      </c>
      <c r="C12473" t="s">
        <v>34942</v>
      </c>
      <c r="D12473" t="s">
        <v>32480</v>
      </c>
      <c r="E12473" t="s">
        <v>32481</v>
      </c>
      <c r="F12473" t="s">
        <v>32481</v>
      </c>
      <c r="G12473" t="s">
        <v>32481</v>
      </c>
      <c r="H12473" t="s">
        <v>859</v>
      </c>
      <c r="I12473" t="s">
        <v>860</v>
      </c>
      <c r="J12473" t="str">
        <f>"9410231"</f>
        <v>9410231</v>
      </c>
      <c r="K12473">
        <v>2831025022</v>
      </c>
      <c r="L12473">
        <v>2831025022</v>
      </c>
      <c r="M12473" t="s">
        <v>34943</v>
      </c>
      <c r="N12473" t="s">
        <v>32484</v>
      </c>
      <c r="O12473" t="s">
        <v>34757</v>
      </c>
      <c r="P12473">
        <v>74132</v>
      </c>
      <c r="Q12473" t="str">
        <f>"35.363593"</f>
        <v>35.363593</v>
      </c>
      <c r="R12473" t="str">
        <f>"24.465983"</f>
        <v>24.465983</v>
      </c>
      <c r="S12473" t="s">
        <v>26</v>
      </c>
    </row>
    <row r="12474" spans="1:19" x14ac:dyDescent="0.3">
      <c r="A12474" t="s">
        <v>32470</v>
      </c>
      <c r="B12474" t="s">
        <v>34691</v>
      </c>
      <c r="C12474" t="s">
        <v>34944</v>
      </c>
      <c r="D12474" t="s">
        <v>32480</v>
      </c>
      <c r="E12474" t="s">
        <v>32481</v>
      </c>
      <c r="F12474" t="s">
        <v>33173</v>
      </c>
      <c r="G12474" t="s">
        <v>33174</v>
      </c>
      <c r="H12474" t="s">
        <v>859</v>
      </c>
      <c r="I12474" t="s">
        <v>860</v>
      </c>
      <c r="J12474" t="str">
        <f>"9410205"</f>
        <v>9410205</v>
      </c>
      <c r="K12474">
        <v>2831031637</v>
      </c>
      <c r="M12474" t="s">
        <v>34945</v>
      </c>
      <c r="N12474" t="s">
        <v>33177</v>
      </c>
      <c r="O12474" t="s">
        <v>33177</v>
      </c>
      <c r="P12474">
        <v>74100</v>
      </c>
      <c r="Q12474" t="str">
        <f>"35.352726"</f>
        <v>35.352726</v>
      </c>
      <c r="R12474" t="str">
        <f>"24.434506"</f>
        <v>24.434506</v>
      </c>
      <c r="S12474" t="s">
        <v>26</v>
      </c>
    </row>
    <row r="12475" spans="1:19" x14ac:dyDescent="0.3">
      <c r="A12475" t="s">
        <v>32470</v>
      </c>
      <c r="B12475" t="s">
        <v>34691</v>
      </c>
      <c r="C12475" t="s">
        <v>34965</v>
      </c>
      <c r="D12475" t="s">
        <v>32480</v>
      </c>
      <c r="E12475" t="s">
        <v>995</v>
      </c>
      <c r="F12475" t="s">
        <v>34825</v>
      </c>
      <c r="G12475" t="s">
        <v>34825</v>
      </c>
      <c r="H12475" t="s">
        <v>859</v>
      </c>
      <c r="I12475" t="s">
        <v>860</v>
      </c>
      <c r="J12475" t="str">
        <f>"9410032"</f>
        <v>9410032</v>
      </c>
      <c r="K12475">
        <v>2834061284</v>
      </c>
      <c r="L12475">
        <v>2834061284</v>
      </c>
      <c r="M12475" t="s">
        <v>34966</v>
      </c>
      <c r="N12475" t="s">
        <v>34825</v>
      </c>
      <c r="O12475" t="s">
        <v>34828</v>
      </c>
      <c r="P12475">
        <v>74051</v>
      </c>
      <c r="Q12475" t="str">
        <f>"35.295410"</f>
        <v>35.295410</v>
      </c>
      <c r="R12475" t="str">
        <f>"24.831875"</f>
        <v>24.831875</v>
      </c>
      <c r="S12475" t="s">
        <v>26</v>
      </c>
    </row>
    <row r="12476" spans="1:19" x14ac:dyDescent="0.3">
      <c r="A12476" t="s">
        <v>32470</v>
      </c>
      <c r="B12476" t="s">
        <v>34691</v>
      </c>
      <c r="C12476" t="s">
        <v>34973</v>
      </c>
      <c r="D12476" t="s">
        <v>32480</v>
      </c>
      <c r="E12476" t="s">
        <v>32481</v>
      </c>
      <c r="F12476" t="s">
        <v>32481</v>
      </c>
      <c r="G12476" t="s">
        <v>32481</v>
      </c>
      <c r="H12476" t="s">
        <v>859</v>
      </c>
      <c r="I12476" t="s">
        <v>860</v>
      </c>
      <c r="J12476" t="str">
        <f>"9410258"</f>
        <v>9410258</v>
      </c>
      <c r="K12476">
        <v>2831022058</v>
      </c>
      <c r="M12476" t="s">
        <v>34974</v>
      </c>
      <c r="N12476" t="s">
        <v>32480</v>
      </c>
      <c r="O12476" t="s">
        <v>34975</v>
      </c>
      <c r="P12476">
        <v>74100</v>
      </c>
      <c r="Q12476" t="str">
        <f>"35.357953"</f>
        <v>35.357953</v>
      </c>
      <c r="R12476" t="str">
        <f>"24.475824"</f>
        <v>24.475824</v>
      </c>
      <c r="S12476" t="s">
        <v>26</v>
      </c>
    </row>
    <row r="12477" spans="1:19" x14ac:dyDescent="0.3">
      <c r="A12477" t="s">
        <v>32470</v>
      </c>
      <c r="B12477" t="s">
        <v>34691</v>
      </c>
      <c r="C12477" t="s">
        <v>34979</v>
      </c>
      <c r="D12477" t="s">
        <v>32480</v>
      </c>
      <c r="E12477" t="s">
        <v>32481</v>
      </c>
      <c r="F12477" t="s">
        <v>32481</v>
      </c>
      <c r="G12477" t="s">
        <v>32481</v>
      </c>
      <c r="H12477" t="s">
        <v>859</v>
      </c>
      <c r="I12477" t="s">
        <v>1102</v>
      </c>
      <c r="J12477" t="str">
        <f>"9410270"</f>
        <v>9410270</v>
      </c>
      <c r="K12477">
        <v>2831057767</v>
      </c>
      <c r="L12477">
        <v>2831057767</v>
      </c>
      <c r="M12477" t="s">
        <v>34980</v>
      </c>
      <c r="N12477" t="s">
        <v>32484</v>
      </c>
      <c r="O12477" t="s">
        <v>34981</v>
      </c>
      <c r="P12477">
        <v>74132</v>
      </c>
      <c r="Q12477" t="str">
        <f>"35.327571"</f>
        <v>35.327571</v>
      </c>
      <c r="R12477" t="str">
        <f>"24.500504"</f>
        <v>24.500504</v>
      </c>
      <c r="S12477" t="s">
        <v>26</v>
      </c>
    </row>
    <row r="12478" spans="1:19" x14ac:dyDescent="0.3">
      <c r="A12478" t="s">
        <v>32470</v>
      </c>
      <c r="B12478" t="s">
        <v>34691</v>
      </c>
      <c r="C12478" t="s">
        <v>34985</v>
      </c>
      <c r="D12478" t="s">
        <v>32480</v>
      </c>
      <c r="E12478" t="s">
        <v>32481</v>
      </c>
      <c r="F12478" t="s">
        <v>32481</v>
      </c>
      <c r="G12478" t="s">
        <v>34984</v>
      </c>
      <c r="H12478" t="s">
        <v>859</v>
      </c>
      <c r="I12478" t="s">
        <v>860</v>
      </c>
      <c r="J12478" t="str">
        <f>"9521303"</f>
        <v>9521303</v>
      </c>
      <c r="K12478">
        <v>2831072269</v>
      </c>
      <c r="L12478">
        <v>2831072269</v>
      </c>
      <c r="M12478" t="s">
        <v>34986</v>
      </c>
      <c r="N12478" t="s">
        <v>34987</v>
      </c>
      <c r="O12478" t="s">
        <v>32484</v>
      </c>
      <c r="P12478">
        <v>74100</v>
      </c>
      <c r="Q12478" t="str">
        <f>"35.347973"</f>
        <v>35.347973</v>
      </c>
      <c r="R12478" t="str">
        <f>"24.551586"</f>
        <v>24.551586</v>
      </c>
      <c r="S12478" t="s">
        <v>26</v>
      </c>
    </row>
    <row r="12479" spans="1:19" x14ac:dyDescent="0.3">
      <c r="A12479" t="s">
        <v>32470</v>
      </c>
      <c r="B12479" t="s">
        <v>34691</v>
      </c>
      <c r="C12479" t="s">
        <v>34990</v>
      </c>
      <c r="D12479" t="s">
        <v>32480</v>
      </c>
      <c r="E12479" t="s">
        <v>32481</v>
      </c>
      <c r="F12479" t="s">
        <v>33173</v>
      </c>
      <c r="G12479" t="s">
        <v>33174</v>
      </c>
      <c r="H12479" t="s">
        <v>859</v>
      </c>
      <c r="I12479" t="s">
        <v>860</v>
      </c>
      <c r="J12479" t="str">
        <f>"9521304"</f>
        <v>9521304</v>
      </c>
      <c r="K12479">
        <v>2831057099</v>
      </c>
      <c r="L12479">
        <v>2831057099</v>
      </c>
      <c r="M12479" t="s">
        <v>34991</v>
      </c>
      <c r="N12479" t="s">
        <v>33174</v>
      </c>
      <c r="O12479" t="s">
        <v>34992</v>
      </c>
      <c r="P12479">
        <v>74132</v>
      </c>
      <c r="Q12479" t="str">
        <f>"35.363837"</f>
        <v>35.363837</v>
      </c>
      <c r="R12479" t="str">
        <f>"24.439829"</f>
        <v>24.439829</v>
      </c>
      <c r="S12479" t="s">
        <v>26</v>
      </c>
    </row>
    <row r="12480" spans="1:19" x14ac:dyDescent="0.3">
      <c r="A12480" t="s">
        <v>32470</v>
      </c>
      <c r="B12480" t="s">
        <v>34691</v>
      </c>
      <c r="C12480" t="s">
        <v>34993</v>
      </c>
      <c r="D12480" t="s">
        <v>32480</v>
      </c>
      <c r="E12480" t="s">
        <v>32481</v>
      </c>
      <c r="F12480" t="s">
        <v>33102</v>
      </c>
      <c r="G12480" t="s">
        <v>5600</v>
      </c>
      <c r="H12480" t="s">
        <v>859</v>
      </c>
      <c r="I12480" t="s">
        <v>860</v>
      </c>
      <c r="J12480" t="str">
        <f>"9410158"</f>
        <v>9410158</v>
      </c>
      <c r="K12480">
        <v>2831081040</v>
      </c>
      <c r="M12480" t="s">
        <v>34994</v>
      </c>
      <c r="N12480" t="s">
        <v>1038</v>
      </c>
      <c r="O12480" t="s">
        <v>1038</v>
      </c>
      <c r="P12480">
        <v>74055</v>
      </c>
      <c r="Q12480" t="str">
        <f>"35.284236"</f>
        <v>35.284236</v>
      </c>
      <c r="R12480" t="str">
        <f>"24.335252"</f>
        <v>24.335252</v>
      </c>
      <c r="S12480" t="s">
        <v>26</v>
      </c>
    </row>
    <row r="12481" spans="1:19" x14ac:dyDescent="0.3">
      <c r="A12481" t="s">
        <v>32470</v>
      </c>
      <c r="B12481" t="s">
        <v>34691</v>
      </c>
      <c r="C12481" t="s">
        <v>35001</v>
      </c>
      <c r="D12481" t="s">
        <v>32480</v>
      </c>
      <c r="E12481" t="s">
        <v>32481</v>
      </c>
      <c r="F12481" t="s">
        <v>34744</v>
      </c>
      <c r="G12481" t="s">
        <v>34997</v>
      </c>
      <c r="H12481" t="s">
        <v>859</v>
      </c>
      <c r="I12481" t="s">
        <v>860</v>
      </c>
      <c r="J12481" t="str">
        <f>"9410237"</f>
        <v>9410237</v>
      </c>
      <c r="K12481">
        <v>2834093305</v>
      </c>
      <c r="L12481">
        <v>2834093305</v>
      </c>
      <c r="M12481" t="s">
        <v>35002</v>
      </c>
      <c r="N12481" t="s">
        <v>32186</v>
      </c>
      <c r="O12481" t="s">
        <v>14960</v>
      </c>
      <c r="P12481">
        <v>74052</v>
      </c>
      <c r="Q12481" t="str">
        <f>"35.327782"</f>
        <v>35.327782</v>
      </c>
      <c r="R12481" t="str">
        <f>"24.690544"</f>
        <v>24.690544</v>
      </c>
      <c r="S12481" t="s">
        <v>26</v>
      </c>
    </row>
    <row r="12482" spans="1:19" x14ac:dyDescent="0.3">
      <c r="A12482" t="s">
        <v>32470</v>
      </c>
      <c r="B12482" t="s">
        <v>34691</v>
      </c>
      <c r="C12482" t="s">
        <v>35003</v>
      </c>
      <c r="D12482" t="s">
        <v>32480</v>
      </c>
      <c r="E12482" t="s">
        <v>995</v>
      </c>
      <c r="F12482" t="s">
        <v>33146</v>
      </c>
      <c r="G12482" t="s">
        <v>13684</v>
      </c>
      <c r="H12482" t="s">
        <v>859</v>
      </c>
      <c r="I12482" t="s">
        <v>860</v>
      </c>
      <c r="J12482" t="str">
        <f>"9410039"</f>
        <v>9410039</v>
      </c>
      <c r="K12482">
        <v>2834061260</v>
      </c>
      <c r="M12482" t="s">
        <v>35004</v>
      </c>
      <c r="N12482" t="s">
        <v>13684</v>
      </c>
      <c r="O12482" t="s">
        <v>13646</v>
      </c>
      <c r="P12482">
        <v>74051</v>
      </c>
      <c r="Q12482" t="str">
        <f>"35.307274"</f>
        <v>35.307274</v>
      </c>
      <c r="R12482" t="str">
        <f>"24.808965"</f>
        <v>24.808965</v>
      </c>
      <c r="S12482" t="s">
        <v>26</v>
      </c>
    </row>
    <row r="12483" spans="1:19" x14ac:dyDescent="0.3">
      <c r="A12483" t="s">
        <v>32470</v>
      </c>
      <c r="B12483" t="s">
        <v>34691</v>
      </c>
      <c r="C12483" t="s">
        <v>35006</v>
      </c>
      <c r="D12483" t="s">
        <v>32480</v>
      </c>
      <c r="E12483" t="s">
        <v>995</v>
      </c>
      <c r="F12483" t="s">
        <v>33045</v>
      </c>
      <c r="G12483" t="s">
        <v>6203</v>
      </c>
      <c r="H12483" t="s">
        <v>859</v>
      </c>
      <c r="I12483" t="s">
        <v>860</v>
      </c>
      <c r="J12483" t="str">
        <f>"9410050"</f>
        <v>9410050</v>
      </c>
      <c r="K12483">
        <v>2834022518</v>
      </c>
      <c r="L12483">
        <v>2834022518</v>
      </c>
      <c r="M12483" t="s">
        <v>35007</v>
      </c>
      <c r="N12483" t="s">
        <v>1291</v>
      </c>
      <c r="O12483" t="s">
        <v>1291</v>
      </c>
      <c r="P12483">
        <v>74052</v>
      </c>
      <c r="Q12483" t="str">
        <f>"35.367298"</f>
        <v>35.367298</v>
      </c>
      <c r="R12483" t="str">
        <f>"24.703605"</f>
        <v>24.703605</v>
      </c>
      <c r="S12483" t="s">
        <v>26</v>
      </c>
    </row>
    <row r="12484" spans="1:19" x14ac:dyDescent="0.3">
      <c r="A12484" t="s">
        <v>32470</v>
      </c>
      <c r="B12484" t="s">
        <v>34691</v>
      </c>
      <c r="C12484" t="s">
        <v>35008</v>
      </c>
      <c r="D12484" t="s">
        <v>32480</v>
      </c>
      <c r="E12484" t="s">
        <v>995</v>
      </c>
      <c r="F12484" t="s">
        <v>33045</v>
      </c>
      <c r="G12484" t="s">
        <v>6203</v>
      </c>
      <c r="H12484" t="s">
        <v>859</v>
      </c>
      <c r="I12484" t="s">
        <v>860</v>
      </c>
      <c r="J12484" t="str">
        <f>"9410260"</f>
        <v>9410260</v>
      </c>
      <c r="K12484">
        <v>2834023621</v>
      </c>
      <c r="L12484">
        <v>2834023621</v>
      </c>
      <c r="M12484" t="s">
        <v>35009</v>
      </c>
      <c r="N12484" t="s">
        <v>6203</v>
      </c>
      <c r="O12484" t="s">
        <v>1291</v>
      </c>
      <c r="P12484">
        <v>74052</v>
      </c>
      <c r="Q12484" t="str">
        <f>"35.371896"</f>
        <v>35.371896</v>
      </c>
      <c r="R12484" t="str">
        <f>"24.699225"</f>
        <v>24.699225</v>
      </c>
      <c r="S12484" t="s">
        <v>26</v>
      </c>
    </row>
    <row r="12485" spans="1:19" x14ac:dyDescent="0.3">
      <c r="A12485" t="s">
        <v>32470</v>
      </c>
      <c r="B12485" t="s">
        <v>34691</v>
      </c>
      <c r="C12485" t="s">
        <v>35010</v>
      </c>
      <c r="D12485" t="s">
        <v>32480</v>
      </c>
      <c r="E12485" t="s">
        <v>33080</v>
      </c>
      <c r="F12485" t="s">
        <v>33081</v>
      </c>
      <c r="G12485" t="s">
        <v>13386</v>
      </c>
      <c r="H12485" t="s">
        <v>859</v>
      </c>
      <c r="I12485" t="s">
        <v>860</v>
      </c>
      <c r="J12485" t="str">
        <f>"9410190"</f>
        <v>9410190</v>
      </c>
      <c r="K12485">
        <v>2833031380</v>
      </c>
      <c r="M12485" t="s">
        <v>35011</v>
      </c>
      <c r="N12485" t="s">
        <v>13386</v>
      </c>
      <c r="O12485" t="s">
        <v>13389</v>
      </c>
      <c r="P12485">
        <v>74059</v>
      </c>
      <c r="Q12485" t="str">
        <f>"39.363414"</f>
        <v>39.363414</v>
      </c>
      <c r="R12485" t="str">
        <f>"22.954555"</f>
        <v>22.954555</v>
      </c>
      <c r="S12485" t="s">
        <v>57</v>
      </c>
    </row>
    <row r="12486" spans="1:19" x14ac:dyDescent="0.3">
      <c r="A12486" t="s">
        <v>32470</v>
      </c>
      <c r="B12486" t="s">
        <v>34691</v>
      </c>
      <c r="C12486" t="s">
        <v>35012</v>
      </c>
      <c r="D12486" t="s">
        <v>32480</v>
      </c>
      <c r="E12486" t="s">
        <v>32481</v>
      </c>
      <c r="F12486" t="s">
        <v>33173</v>
      </c>
      <c r="G12486" t="s">
        <v>33174</v>
      </c>
      <c r="H12486" t="s">
        <v>859</v>
      </c>
      <c r="I12486" t="s">
        <v>860</v>
      </c>
      <c r="J12486" t="str">
        <f>"9521640"</f>
        <v>9521640</v>
      </c>
      <c r="K12486">
        <v>2831022274</v>
      </c>
      <c r="M12486" t="s">
        <v>35013</v>
      </c>
      <c r="N12486" t="s">
        <v>33177</v>
      </c>
      <c r="O12486" t="s">
        <v>33177</v>
      </c>
      <c r="P12486">
        <v>74100</v>
      </c>
      <c r="Q12486" t="str">
        <f>"35.356038"</f>
        <v>35.356038</v>
      </c>
      <c r="R12486" t="str">
        <f>"24.436667"</f>
        <v>24.436667</v>
      </c>
      <c r="S12486" t="s">
        <v>26</v>
      </c>
    </row>
    <row r="12487" spans="1:19" x14ac:dyDescent="0.3">
      <c r="A12487" t="s">
        <v>32470</v>
      </c>
      <c r="B12487" t="s">
        <v>34691</v>
      </c>
      <c r="C12487" t="s">
        <v>35014</v>
      </c>
      <c r="D12487" t="s">
        <v>32480</v>
      </c>
      <c r="E12487" t="s">
        <v>995</v>
      </c>
      <c r="F12487" t="s">
        <v>33146</v>
      </c>
      <c r="G12487" t="s">
        <v>4424</v>
      </c>
      <c r="H12487" t="s">
        <v>859</v>
      </c>
      <c r="I12487" t="s">
        <v>860</v>
      </c>
      <c r="J12487" t="str">
        <f>"9521690"</f>
        <v>9521690</v>
      </c>
      <c r="K12487">
        <v>2834022049</v>
      </c>
      <c r="M12487" t="s">
        <v>35015</v>
      </c>
      <c r="N12487" t="s">
        <v>20606</v>
      </c>
      <c r="O12487" t="s">
        <v>33151</v>
      </c>
      <c r="P12487">
        <v>74054</v>
      </c>
      <c r="Q12487" t="str">
        <f>"35.365616"</f>
        <v>35.365616</v>
      </c>
      <c r="R12487" t="str">
        <f>"24.767407"</f>
        <v>24.767407</v>
      </c>
      <c r="S12487" t="s">
        <v>26</v>
      </c>
    </row>
    <row r="12488" spans="1:19" x14ac:dyDescent="0.3">
      <c r="A12488" t="s">
        <v>32470</v>
      </c>
      <c r="B12488" t="s">
        <v>35016</v>
      </c>
      <c r="C12488" t="s">
        <v>35017</v>
      </c>
      <c r="D12488" t="s">
        <v>32486</v>
      </c>
      <c r="E12488" t="s">
        <v>32486</v>
      </c>
      <c r="F12488" t="s">
        <v>32486</v>
      </c>
      <c r="G12488" t="s">
        <v>32486</v>
      </c>
      <c r="H12488" t="s">
        <v>859</v>
      </c>
      <c r="I12488" t="s">
        <v>860</v>
      </c>
      <c r="J12488" t="str">
        <f>"9500275"</f>
        <v>9500275</v>
      </c>
      <c r="K12488">
        <v>2821056660</v>
      </c>
      <c r="L12488">
        <v>2821020198</v>
      </c>
      <c r="M12488" t="s">
        <v>35018</v>
      </c>
      <c r="N12488" t="s">
        <v>32486</v>
      </c>
      <c r="O12488" t="s">
        <v>35019</v>
      </c>
      <c r="P12488">
        <v>73134</v>
      </c>
      <c r="Q12488" t="str">
        <f>"35.508186"</f>
        <v>35.508186</v>
      </c>
      <c r="R12488" t="str">
        <f>"24.028280"</f>
        <v>24.028280</v>
      </c>
      <c r="S12488" t="s">
        <v>26</v>
      </c>
    </row>
    <row r="12489" spans="1:19" x14ac:dyDescent="0.3">
      <c r="A12489" t="s">
        <v>32470</v>
      </c>
      <c r="B12489" t="s">
        <v>35016</v>
      </c>
      <c r="C12489" t="s">
        <v>35025</v>
      </c>
      <c r="D12489" t="s">
        <v>32486</v>
      </c>
      <c r="E12489" t="s">
        <v>32486</v>
      </c>
      <c r="F12489" t="s">
        <v>35024</v>
      </c>
      <c r="G12489" t="s">
        <v>4424</v>
      </c>
      <c r="H12489" t="s">
        <v>859</v>
      </c>
      <c r="I12489" t="s">
        <v>860</v>
      </c>
      <c r="J12489" t="str">
        <f>"9500348"</f>
        <v>9500348</v>
      </c>
      <c r="K12489">
        <v>2821077606</v>
      </c>
      <c r="L12489">
        <v>2821077606</v>
      </c>
      <c r="M12489" t="s">
        <v>35026</v>
      </c>
      <c r="N12489" t="s">
        <v>35027</v>
      </c>
      <c r="O12489" t="s">
        <v>35028</v>
      </c>
      <c r="P12489">
        <v>73005</v>
      </c>
      <c r="Q12489" t="str">
        <f>"35.471964"</f>
        <v>35.471964</v>
      </c>
      <c r="R12489" t="str">
        <f>"23.929245"</f>
        <v>23.929245</v>
      </c>
      <c r="S12489" t="s">
        <v>26</v>
      </c>
    </row>
    <row r="12490" spans="1:19" x14ac:dyDescent="0.3">
      <c r="A12490" t="s">
        <v>32470</v>
      </c>
      <c r="B12490" t="s">
        <v>35016</v>
      </c>
      <c r="C12490" t="s">
        <v>35029</v>
      </c>
      <c r="D12490" t="s">
        <v>32486</v>
      </c>
      <c r="E12490" t="s">
        <v>33276</v>
      </c>
      <c r="F12490" t="s">
        <v>33276</v>
      </c>
      <c r="G12490" t="s">
        <v>33444</v>
      </c>
      <c r="H12490" t="s">
        <v>859</v>
      </c>
      <c r="I12490" t="s">
        <v>860</v>
      </c>
      <c r="J12490" t="str">
        <f>"9500323"</f>
        <v>9500323</v>
      </c>
      <c r="K12490">
        <v>2825091115</v>
      </c>
      <c r="L12490">
        <v>2825091172</v>
      </c>
      <c r="M12490" t="s">
        <v>35030</v>
      </c>
      <c r="N12490" t="s">
        <v>35031</v>
      </c>
      <c r="O12490" t="s">
        <v>35032</v>
      </c>
      <c r="P12490">
        <v>73011</v>
      </c>
      <c r="Q12490" t="str">
        <f>"35.218526"</f>
        <v>35.218526</v>
      </c>
      <c r="R12490" t="str">
        <f>"24.086017"</f>
        <v>24.086017</v>
      </c>
      <c r="S12490" t="s">
        <v>57</v>
      </c>
    </row>
    <row r="12491" spans="1:19" x14ac:dyDescent="0.3">
      <c r="A12491" t="s">
        <v>32470</v>
      </c>
      <c r="B12491" t="s">
        <v>35016</v>
      </c>
      <c r="C12491" t="s">
        <v>35040</v>
      </c>
      <c r="D12491" t="s">
        <v>32486</v>
      </c>
      <c r="E12491" t="s">
        <v>33231</v>
      </c>
      <c r="F12491" t="s">
        <v>35020</v>
      </c>
      <c r="G12491" t="s">
        <v>35020</v>
      </c>
      <c r="H12491" t="s">
        <v>859</v>
      </c>
      <c r="I12491" t="s">
        <v>860</v>
      </c>
      <c r="J12491" t="str">
        <f>"9500268"</f>
        <v>9500268</v>
      </c>
      <c r="K12491">
        <v>2831082298</v>
      </c>
      <c r="L12491">
        <v>2831082298</v>
      </c>
      <c r="M12491" t="s">
        <v>35041</v>
      </c>
      <c r="N12491" t="s">
        <v>35020</v>
      </c>
      <c r="O12491" t="s">
        <v>35042</v>
      </c>
      <c r="P12491">
        <v>74055</v>
      </c>
      <c r="Q12491" t="str">
        <f>"35.273965"</f>
        <v>35.273965</v>
      </c>
      <c r="R12491" t="str">
        <f>"24.283052"</f>
        <v>24.283052</v>
      </c>
      <c r="S12491" t="s">
        <v>57</v>
      </c>
    </row>
    <row r="12492" spans="1:19" x14ac:dyDescent="0.3">
      <c r="A12492" t="s">
        <v>32470</v>
      </c>
      <c r="B12492" t="s">
        <v>35016</v>
      </c>
      <c r="C12492" t="s">
        <v>35045</v>
      </c>
      <c r="D12492" t="s">
        <v>32486</v>
      </c>
      <c r="E12492" t="s">
        <v>33231</v>
      </c>
      <c r="F12492" t="s">
        <v>35043</v>
      </c>
      <c r="G12492" t="s">
        <v>35044</v>
      </c>
      <c r="H12492" t="s">
        <v>859</v>
      </c>
      <c r="I12492" t="s">
        <v>860</v>
      </c>
      <c r="J12492" t="str">
        <f>"9500421"</f>
        <v>9500421</v>
      </c>
      <c r="K12492">
        <v>2831061184</v>
      </c>
      <c r="L12492">
        <v>2831061184</v>
      </c>
      <c r="M12492" t="s">
        <v>35046</v>
      </c>
      <c r="N12492" t="s">
        <v>35047</v>
      </c>
      <c r="O12492" t="s">
        <v>35048</v>
      </c>
      <c r="P12492">
        <v>73007</v>
      </c>
      <c r="Q12492" t="str">
        <f>"35.343164"</f>
        <v>35.343164</v>
      </c>
      <c r="R12492" t="str">
        <f>"24.313688"</f>
        <v>24.313688</v>
      </c>
      <c r="S12492" t="s">
        <v>26</v>
      </c>
    </row>
    <row r="12493" spans="1:19" x14ac:dyDescent="0.3">
      <c r="A12493" t="s">
        <v>32470</v>
      </c>
      <c r="B12493" t="s">
        <v>35016</v>
      </c>
      <c r="C12493" t="s">
        <v>35051</v>
      </c>
      <c r="D12493" t="s">
        <v>32486</v>
      </c>
      <c r="E12493" t="s">
        <v>33218</v>
      </c>
      <c r="F12493" t="s">
        <v>35049</v>
      </c>
      <c r="G12493" t="s">
        <v>35050</v>
      </c>
      <c r="H12493" t="s">
        <v>859</v>
      </c>
      <c r="I12493" t="s">
        <v>860</v>
      </c>
      <c r="J12493" t="str">
        <f>"9500278"</f>
        <v>9500278</v>
      </c>
      <c r="K12493">
        <v>2823051396</v>
      </c>
      <c r="M12493" t="s">
        <v>35052</v>
      </c>
      <c r="O12493" t="s">
        <v>35053</v>
      </c>
      <c r="P12493">
        <v>73009</v>
      </c>
      <c r="Q12493" t="str">
        <f>"35.288988"</f>
        <v>35.288988</v>
      </c>
      <c r="R12493" t="str">
        <f>"23.781997"</f>
        <v>23.781997</v>
      </c>
      <c r="S12493" t="s">
        <v>57</v>
      </c>
    </row>
    <row r="12494" spans="1:19" x14ac:dyDescent="0.3">
      <c r="A12494" t="s">
        <v>32470</v>
      </c>
      <c r="B12494" t="s">
        <v>35016</v>
      </c>
      <c r="C12494" t="s">
        <v>35055</v>
      </c>
      <c r="D12494" t="s">
        <v>32486</v>
      </c>
      <c r="E12494" t="s">
        <v>20356</v>
      </c>
      <c r="F12494" t="s">
        <v>33294</v>
      </c>
      <c r="G12494" t="s">
        <v>35054</v>
      </c>
      <c r="H12494" t="s">
        <v>859</v>
      </c>
      <c r="I12494" t="s">
        <v>860</v>
      </c>
      <c r="J12494" t="str">
        <f>"9500269"</f>
        <v>9500269</v>
      </c>
      <c r="K12494">
        <v>2821077364</v>
      </c>
      <c r="L12494">
        <v>2821077364</v>
      </c>
      <c r="M12494" t="s">
        <v>35056</v>
      </c>
      <c r="N12494" t="s">
        <v>35054</v>
      </c>
      <c r="O12494" t="s">
        <v>35057</v>
      </c>
      <c r="P12494">
        <v>73005</v>
      </c>
      <c r="Q12494" t="str">
        <f>"35.450203"</f>
        <v>35.450203</v>
      </c>
      <c r="R12494" t="str">
        <f>"23.893883"</f>
        <v>23.893883</v>
      </c>
      <c r="S12494" t="s">
        <v>26</v>
      </c>
    </row>
    <row r="12495" spans="1:19" x14ac:dyDescent="0.3">
      <c r="A12495" t="s">
        <v>32470</v>
      </c>
      <c r="B12495" t="s">
        <v>35016</v>
      </c>
      <c r="C12495" t="s">
        <v>35058</v>
      </c>
      <c r="D12495" t="s">
        <v>32486</v>
      </c>
      <c r="E12495" t="s">
        <v>32486</v>
      </c>
      <c r="F12495" t="s">
        <v>32486</v>
      </c>
      <c r="G12495" t="s">
        <v>32486</v>
      </c>
      <c r="H12495" t="s">
        <v>859</v>
      </c>
      <c r="I12495" t="s">
        <v>860</v>
      </c>
      <c r="J12495" t="str">
        <f>"9500136"</f>
        <v>9500136</v>
      </c>
      <c r="K12495">
        <v>2821092159</v>
      </c>
      <c r="L12495">
        <v>2821092159</v>
      </c>
      <c r="M12495" t="s">
        <v>35059</v>
      </c>
      <c r="N12495" t="s">
        <v>32486</v>
      </c>
      <c r="O12495" t="s">
        <v>35060</v>
      </c>
      <c r="P12495">
        <v>73100</v>
      </c>
      <c r="Q12495" t="str">
        <f>"35.514410"</f>
        <v>35.514410</v>
      </c>
      <c r="R12495" t="str">
        <f>"24.015818"</f>
        <v>24.015818</v>
      </c>
      <c r="S12495" t="s">
        <v>26</v>
      </c>
    </row>
    <row r="12496" spans="1:19" x14ac:dyDescent="0.3">
      <c r="A12496" t="s">
        <v>32470</v>
      </c>
      <c r="B12496" t="s">
        <v>35016</v>
      </c>
      <c r="C12496" t="s">
        <v>35061</v>
      </c>
      <c r="D12496" t="s">
        <v>32486</v>
      </c>
      <c r="E12496" t="s">
        <v>32486</v>
      </c>
      <c r="F12496" t="s">
        <v>33372</v>
      </c>
      <c r="G12496" t="s">
        <v>6337</v>
      </c>
      <c r="H12496" t="s">
        <v>859</v>
      </c>
      <c r="I12496" t="s">
        <v>860</v>
      </c>
      <c r="J12496" t="str">
        <f>"9500368"</f>
        <v>9500368</v>
      </c>
      <c r="K12496">
        <v>2821031690</v>
      </c>
      <c r="L12496">
        <v>2821031690</v>
      </c>
      <c r="M12496" t="s">
        <v>35062</v>
      </c>
      <c r="N12496" t="s">
        <v>33372</v>
      </c>
      <c r="O12496" t="s">
        <v>35063</v>
      </c>
      <c r="P12496">
        <v>73100</v>
      </c>
      <c r="Q12496" t="str">
        <f>"35.511457"</f>
        <v>35.511457</v>
      </c>
      <c r="R12496" t="str">
        <f>"24.022829"</f>
        <v>24.022829</v>
      </c>
      <c r="S12496" t="s">
        <v>26</v>
      </c>
    </row>
    <row r="12497" spans="1:19" x14ac:dyDescent="0.3">
      <c r="A12497" t="s">
        <v>32470</v>
      </c>
      <c r="B12497" t="s">
        <v>35016</v>
      </c>
      <c r="C12497" t="s">
        <v>35065</v>
      </c>
      <c r="D12497" t="s">
        <v>32486</v>
      </c>
      <c r="E12497" t="s">
        <v>32486</v>
      </c>
      <c r="F12497" t="s">
        <v>35035</v>
      </c>
      <c r="G12497" t="s">
        <v>35064</v>
      </c>
      <c r="H12497" t="s">
        <v>859</v>
      </c>
      <c r="I12497" t="s">
        <v>860</v>
      </c>
      <c r="J12497" t="str">
        <f>"9520616"</f>
        <v>9520616</v>
      </c>
      <c r="K12497">
        <v>2821065223</v>
      </c>
      <c r="M12497" t="s">
        <v>35066</v>
      </c>
      <c r="N12497" t="s">
        <v>35067</v>
      </c>
      <c r="O12497" t="s">
        <v>35068</v>
      </c>
      <c r="P12497">
        <v>73100</v>
      </c>
      <c r="Q12497" t="str">
        <f>"35.436192"</f>
        <v>35.436192</v>
      </c>
      <c r="R12497" t="str">
        <f>"24.025744"</f>
        <v>24.025744</v>
      </c>
      <c r="S12497" t="s">
        <v>26</v>
      </c>
    </row>
    <row r="12498" spans="1:19" x14ac:dyDescent="0.3">
      <c r="A12498" t="s">
        <v>32470</v>
      </c>
      <c r="B12498" t="s">
        <v>35016</v>
      </c>
      <c r="C12498" t="s">
        <v>35072</v>
      </c>
      <c r="D12498" t="s">
        <v>32486</v>
      </c>
      <c r="E12498" t="s">
        <v>32486</v>
      </c>
      <c r="F12498" t="s">
        <v>32486</v>
      </c>
      <c r="G12498" t="s">
        <v>32486</v>
      </c>
      <c r="H12498" t="s">
        <v>859</v>
      </c>
      <c r="I12498" t="s">
        <v>860</v>
      </c>
      <c r="J12498" t="str">
        <f>"9500282"</f>
        <v>9500282</v>
      </c>
      <c r="K12498">
        <v>2821040081</v>
      </c>
      <c r="L12498">
        <v>2821040081</v>
      </c>
      <c r="M12498" t="s">
        <v>35073</v>
      </c>
      <c r="N12498" t="s">
        <v>32486</v>
      </c>
      <c r="O12498" t="s">
        <v>35074</v>
      </c>
      <c r="P12498">
        <v>73132</v>
      </c>
      <c r="Q12498" t="str">
        <f>"35.513443"</f>
        <v>35.513443</v>
      </c>
      <c r="R12498" t="str">
        <f>"24.029860"</f>
        <v>24.029860</v>
      </c>
      <c r="S12498" t="s">
        <v>26</v>
      </c>
    </row>
    <row r="12499" spans="1:19" x14ac:dyDescent="0.3">
      <c r="A12499" t="s">
        <v>32470</v>
      </c>
      <c r="B12499" t="s">
        <v>35016</v>
      </c>
      <c r="C12499" t="s">
        <v>35075</v>
      </c>
      <c r="D12499" t="s">
        <v>32486</v>
      </c>
      <c r="E12499" t="s">
        <v>32486</v>
      </c>
      <c r="F12499" t="s">
        <v>32486</v>
      </c>
      <c r="G12499" t="s">
        <v>32486</v>
      </c>
      <c r="H12499" t="s">
        <v>859</v>
      </c>
      <c r="I12499" t="s">
        <v>860</v>
      </c>
      <c r="J12499" t="str">
        <f>"9500281"</f>
        <v>9500281</v>
      </c>
      <c r="K12499">
        <v>2821040081</v>
      </c>
      <c r="L12499">
        <v>40081</v>
      </c>
      <c r="M12499" t="s">
        <v>35076</v>
      </c>
      <c r="N12499" t="s">
        <v>32486</v>
      </c>
      <c r="O12499" t="s">
        <v>35077</v>
      </c>
      <c r="P12499">
        <v>73132</v>
      </c>
      <c r="Q12499" t="str">
        <f>"35.513430"</f>
        <v>35.513430</v>
      </c>
      <c r="R12499" t="str">
        <f>"24.030551"</f>
        <v>24.030551</v>
      </c>
      <c r="S12499" t="s">
        <v>26</v>
      </c>
    </row>
    <row r="12500" spans="1:19" x14ac:dyDescent="0.3">
      <c r="A12500" t="s">
        <v>32470</v>
      </c>
      <c r="B12500" t="s">
        <v>35016</v>
      </c>
      <c r="C12500" t="s">
        <v>35078</v>
      </c>
      <c r="D12500" t="s">
        <v>32486</v>
      </c>
      <c r="E12500" t="s">
        <v>32486</v>
      </c>
      <c r="F12500" t="s">
        <v>32486</v>
      </c>
      <c r="G12500" t="s">
        <v>32486</v>
      </c>
      <c r="H12500" t="s">
        <v>859</v>
      </c>
      <c r="I12500" t="s">
        <v>860</v>
      </c>
      <c r="J12500" t="str">
        <f>"9500276"</f>
        <v>9500276</v>
      </c>
      <c r="K12500">
        <v>2821054388</v>
      </c>
      <c r="M12500" t="s">
        <v>35079</v>
      </c>
      <c r="N12500" t="s">
        <v>32486</v>
      </c>
      <c r="O12500" t="s">
        <v>35080</v>
      </c>
      <c r="P12500">
        <v>73100</v>
      </c>
      <c r="Q12500" t="str">
        <f>"35.506959"</f>
        <v>35.506959</v>
      </c>
      <c r="R12500" t="str">
        <f>"24.040952"</f>
        <v>24.040952</v>
      </c>
      <c r="S12500" t="s">
        <v>26</v>
      </c>
    </row>
    <row r="12501" spans="1:19" x14ac:dyDescent="0.3">
      <c r="A12501" t="s">
        <v>32470</v>
      </c>
      <c r="B12501" t="s">
        <v>35016</v>
      </c>
      <c r="C12501" t="s">
        <v>35081</v>
      </c>
      <c r="D12501" t="s">
        <v>32486</v>
      </c>
      <c r="E12501" t="s">
        <v>32486</v>
      </c>
      <c r="F12501" t="s">
        <v>33262</v>
      </c>
      <c r="G12501" t="s">
        <v>33262</v>
      </c>
      <c r="H12501" t="s">
        <v>859</v>
      </c>
      <c r="I12501" t="s">
        <v>860</v>
      </c>
      <c r="J12501" t="str">
        <f>"9500047"</f>
        <v>9500047</v>
      </c>
      <c r="K12501">
        <v>2821089155</v>
      </c>
      <c r="M12501" t="s">
        <v>35082</v>
      </c>
      <c r="N12501" t="s">
        <v>33262</v>
      </c>
      <c r="O12501" t="s">
        <v>35083</v>
      </c>
      <c r="P12501">
        <v>73200</v>
      </c>
      <c r="Q12501" t="str">
        <f>"35.487794"</f>
        <v>35.487794</v>
      </c>
      <c r="R12501" t="str">
        <f>"24.067723"</f>
        <v>24.067723</v>
      </c>
      <c r="S12501" t="s">
        <v>26</v>
      </c>
    </row>
    <row r="12502" spans="1:19" x14ac:dyDescent="0.3">
      <c r="A12502" t="s">
        <v>32470</v>
      </c>
      <c r="B12502" t="s">
        <v>35016</v>
      </c>
      <c r="C12502" t="s">
        <v>35084</v>
      </c>
      <c r="D12502" t="s">
        <v>32486</v>
      </c>
      <c r="E12502" t="s">
        <v>32486</v>
      </c>
      <c r="F12502" t="s">
        <v>32486</v>
      </c>
      <c r="G12502" t="s">
        <v>32486</v>
      </c>
      <c r="H12502" t="s">
        <v>859</v>
      </c>
      <c r="I12502" t="s">
        <v>860</v>
      </c>
      <c r="J12502" t="str">
        <f>"9500042"</f>
        <v>9500042</v>
      </c>
      <c r="K12502">
        <v>2821053815</v>
      </c>
      <c r="M12502" t="s">
        <v>35085</v>
      </c>
      <c r="N12502" t="s">
        <v>32486</v>
      </c>
      <c r="O12502" t="s">
        <v>35086</v>
      </c>
      <c r="P12502">
        <v>73132</v>
      </c>
      <c r="Q12502" t="str">
        <f>"35.513657"</f>
        <v>35.513657</v>
      </c>
      <c r="R12502" t="str">
        <f>"24.026641"</f>
        <v>24.026641</v>
      </c>
      <c r="S12502" t="s">
        <v>26</v>
      </c>
    </row>
    <row r="12503" spans="1:19" x14ac:dyDescent="0.3">
      <c r="A12503" t="s">
        <v>32470</v>
      </c>
      <c r="B12503" t="s">
        <v>35016</v>
      </c>
      <c r="C12503" t="s">
        <v>35087</v>
      </c>
      <c r="D12503" t="s">
        <v>32486</v>
      </c>
      <c r="E12503" t="s">
        <v>32486</v>
      </c>
      <c r="F12503" t="s">
        <v>32486</v>
      </c>
      <c r="G12503" t="s">
        <v>32486</v>
      </c>
      <c r="H12503" t="s">
        <v>859</v>
      </c>
      <c r="I12503" t="s">
        <v>860</v>
      </c>
      <c r="J12503" t="str">
        <f>"9500044"</f>
        <v>9500044</v>
      </c>
      <c r="K12503">
        <v>2821053815</v>
      </c>
      <c r="L12503">
        <v>2821053815</v>
      </c>
      <c r="M12503" t="s">
        <v>35088</v>
      </c>
      <c r="N12503" t="s">
        <v>32486</v>
      </c>
      <c r="O12503" t="s">
        <v>35086</v>
      </c>
      <c r="P12503">
        <v>73132</v>
      </c>
      <c r="Q12503" t="str">
        <f>"35.513616"</f>
        <v>35.513616</v>
      </c>
      <c r="R12503" t="str">
        <f>"24.026590"</f>
        <v>24.026590</v>
      </c>
      <c r="S12503" t="s">
        <v>26</v>
      </c>
    </row>
    <row r="12504" spans="1:19" x14ac:dyDescent="0.3">
      <c r="A12504" t="s">
        <v>32470</v>
      </c>
      <c r="B12504" t="s">
        <v>35016</v>
      </c>
      <c r="C12504" t="s">
        <v>35089</v>
      </c>
      <c r="D12504" t="s">
        <v>32486</v>
      </c>
      <c r="E12504" t="s">
        <v>32486</v>
      </c>
      <c r="F12504" t="s">
        <v>32486</v>
      </c>
      <c r="G12504" t="s">
        <v>32486</v>
      </c>
      <c r="H12504" t="s">
        <v>859</v>
      </c>
      <c r="I12504" t="s">
        <v>860</v>
      </c>
      <c r="J12504" t="str">
        <f>"9500283"</f>
        <v>9500283</v>
      </c>
      <c r="K12504">
        <v>2821002685</v>
      </c>
      <c r="L12504">
        <v>2821072270</v>
      </c>
      <c r="M12504" t="s">
        <v>35090</v>
      </c>
      <c r="N12504" t="s">
        <v>32486</v>
      </c>
      <c r="O12504" t="s">
        <v>35091</v>
      </c>
      <c r="P12504">
        <v>73132</v>
      </c>
      <c r="Q12504" t="str">
        <f>"35.510029"</f>
        <v>35.510029</v>
      </c>
      <c r="R12504" t="str">
        <f>"24.007358"</f>
        <v>24.007358</v>
      </c>
      <c r="S12504" t="s">
        <v>26</v>
      </c>
    </row>
    <row r="12505" spans="1:19" x14ac:dyDescent="0.3">
      <c r="A12505" t="s">
        <v>32470</v>
      </c>
      <c r="B12505" t="s">
        <v>35016</v>
      </c>
      <c r="C12505" t="s">
        <v>35101</v>
      </c>
      <c r="D12505" t="s">
        <v>32486</v>
      </c>
      <c r="E12505" t="s">
        <v>20356</v>
      </c>
      <c r="F12505" t="s">
        <v>20356</v>
      </c>
      <c r="G12505" t="s">
        <v>34922</v>
      </c>
      <c r="H12505" t="s">
        <v>859</v>
      </c>
      <c r="I12505" t="s">
        <v>860</v>
      </c>
      <c r="J12505" t="str">
        <f>"9500305"</f>
        <v>9500305</v>
      </c>
      <c r="K12505">
        <v>2821061488</v>
      </c>
      <c r="M12505" t="s">
        <v>35102</v>
      </c>
      <c r="N12505" t="s">
        <v>34922</v>
      </c>
      <c r="O12505" t="s">
        <v>35103</v>
      </c>
      <c r="P12505">
        <v>73014</v>
      </c>
      <c r="Q12505" t="str">
        <f>"35.502810"</f>
        <v>35.502810</v>
      </c>
      <c r="R12505" t="str">
        <f>"23.878566"</f>
        <v>23.878566</v>
      </c>
      <c r="S12505" t="s">
        <v>26</v>
      </c>
    </row>
    <row r="12506" spans="1:19" x14ac:dyDescent="0.3">
      <c r="A12506" t="s">
        <v>32470</v>
      </c>
      <c r="B12506" t="s">
        <v>35016</v>
      </c>
      <c r="C12506" t="s">
        <v>35114</v>
      </c>
      <c r="D12506" t="s">
        <v>32486</v>
      </c>
      <c r="E12506" t="s">
        <v>20356</v>
      </c>
      <c r="F12506" t="s">
        <v>20356</v>
      </c>
      <c r="G12506" t="s">
        <v>35113</v>
      </c>
      <c r="H12506" t="s">
        <v>859</v>
      </c>
      <c r="I12506" t="s">
        <v>860</v>
      </c>
      <c r="J12506" t="str">
        <f>"9500382"</f>
        <v>9500382</v>
      </c>
      <c r="K12506">
        <v>2821062343</v>
      </c>
      <c r="M12506" t="s">
        <v>35115</v>
      </c>
      <c r="N12506" t="s">
        <v>35113</v>
      </c>
      <c r="O12506" t="s">
        <v>35113</v>
      </c>
      <c r="P12506">
        <v>73014</v>
      </c>
      <c r="Q12506" t="str">
        <f>"35.519098"</f>
        <v>35.519098</v>
      </c>
      <c r="R12506" t="str">
        <f>"23.846711"</f>
        <v>23.846711</v>
      </c>
      <c r="S12506" t="s">
        <v>26</v>
      </c>
    </row>
    <row r="12507" spans="1:19" x14ac:dyDescent="0.3">
      <c r="A12507" t="s">
        <v>32470</v>
      </c>
      <c r="B12507" t="s">
        <v>35016</v>
      </c>
      <c r="C12507" t="s">
        <v>35117</v>
      </c>
      <c r="D12507" t="s">
        <v>32486</v>
      </c>
      <c r="E12507" t="s">
        <v>33276</v>
      </c>
      <c r="F12507" t="s">
        <v>33276</v>
      </c>
      <c r="G12507" t="s">
        <v>35116</v>
      </c>
      <c r="H12507" t="s">
        <v>859</v>
      </c>
      <c r="I12507" t="s">
        <v>860</v>
      </c>
      <c r="J12507" t="str">
        <f>"9500418"</f>
        <v>9500418</v>
      </c>
      <c r="K12507">
        <v>2825092009</v>
      </c>
      <c r="L12507">
        <v>2825092009</v>
      </c>
      <c r="M12507" t="s">
        <v>35118</v>
      </c>
      <c r="N12507" t="s">
        <v>35116</v>
      </c>
      <c r="O12507" t="s">
        <v>35119</v>
      </c>
      <c r="P12507">
        <v>73011</v>
      </c>
      <c r="Q12507" t="str">
        <f>"35.199717"</f>
        <v>35.199717</v>
      </c>
      <c r="R12507" t="str">
        <f>"24.263057"</f>
        <v>24.263057</v>
      </c>
      <c r="S12507" t="s">
        <v>57</v>
      </c>
    </row>
    <row r="12508" spans="1:19" x14ac:dyDescent="0.3">
      <c r="A12508" t="s">
        <v>32470</v>
      </c>
      <c r="B12508" t="s">
        <v>35016</v>
      </c>
      <c r="C12508" t="s">
        <v>35121</v>
      </c>
      <c r="D12508" t="s">
        <v>32486</v>
      </c>
      <c r="E12508" t="s">
        <v>33276</v>
      </c>
      <c r="F12508" t="s">
        <v>33276</v>
      </c>
      <c r="G12508" t="s">
        <v>35120</v>
      </c>
      <c r="H12508" t="s">
        <v>859</v>
      </c>
      <c r="I12508" t="s">
        <v>860</v>
      </c>
      <c r="J12508" t="str">
        <f>"9500410"</f>
        <v>9500410</v>
      </c>
      <c r="K12508">
        <v>2825095296</v>
      </c>
      <c r="L12508">
        <v>2825095296</v>
      </c>
      <c r="M12508" t="s">
        <v>35122</v>
      </c>
      <c r="N12508" t="s">
        <v>35120</v>
      </c>
      <c r="O12508" t="s">
        <v>35123</v>
      </c>
      <c r="P12508">
        <v>73013</v>
      </c>
      <c r="Q12508" t="str">
        <f>"35.289167"</f>
        <v>35.289167</v>
      </c>
      <c r="R12508" t="str">
        <f>"24.180048"</f>
        <v>24.180048</v>
      </c>
      <c r="S12508" t="s">
        <v>57</v>
      </c>
    </row>
    <row r="12509" spans="1:19" x14ac:dyDescent="0.3">
      <c r="A12509" t="s">
        <v>32470</v>
      </c>
      <c r="B12509" t="s">
        <v>35016</v>
      </c>
      <c r="C12509" t="s">
        <v>35124</v>
      </c>
      <c r="D12509" t="s">
        <v>32486</v>
      </c>
      <c r="E12509" t="s">
        <v>32486</v>
      </c>
      <c r="F12509" t="s">
        <v>33372</v>
      </c>
      <c r="G12509" t="s">
        <v>13279</v>
      </c>
      <c r="H12509" t="s">
        <v>859</v>
      </c>
      <c r="I12509" t="s">
        <v>860</v>
      </c>
      <c r="J12509" t="str">
        <f>"9500271"</f>
        <v>9500271</v>
      </c>
      <c r="K12509">
        <v>2821038248</v>
      </c>
      <c r="L12509">
        <v>2821038248</v>
      </c>
      <c r="M12509" t="s">
        <v>35125</v>
      </c>
      <c r="N12509" t="s">
        <v>35126</v>
      </c>
      <c r="O12509" t="s">
        <v>8190</v>
      </c>
      <c r="P12509">
        <v>73014</v>
      </c>
      <c r="Q12509" t="str">
        <f>"35.517070"</f>
        <v>35.517070</v>
      </c>
      <c r="R12509" t="str">
        <f>"23.934430"</f>
        <v>23.934430</v>
      </c>
      <c r="S12509" t="s">
        <v>26</v>
      </c>
    </row>
    <row r="12510" spans="1:19" x14ac:dyDescent="0.3">
      <c r="A12510" t="s">
        <v>32470</v>
      </c>
      <c r="B12510" t="s">
        <v>35016</v>
      </c>
      <c r="C12510" t="s">
        <v>35127</v>
      </c>
      <c r="D12510" t="s">
        <v>32486</v>
      </c>
      <c r="E12510" t="s">
        <v>32486</v>
      </c>
      <c r="F12510" t="s">
        <v>13933</v>
      </c>
      <c r="G12510" t="s">
        <v>33253</v>
      </c>
      <c r="H12510" t="s">
        <v>859</v>
      </c>
      <c r="I12510" t="s">
        <v>860</v>
      </c>
      <c r="J12510" t="str">
        <f>"9500371"</f>
        <v>9500371</v>
      </c>
      <c r="K12510">
        <v>2821092925</v>
      </c>
      <c r="L12510">
        <v>2821092925</v>
      </c>
      <c r="M12510" t="s">
        <v>35128</v>
      </c>
      <c r="N12510" t="s">
        <v>33253</v>
      </c>
      <c r="O12510" t="s">
        <v>35129</v>
      </c>
      <c r="P12510">
        <v>73300</v>
      </c>
      <c r="Q12510" t="str">
        <f>"35.494416"</f>
        <v>35.494416</v>
      </c>
      <c r="R12510" t="str">
        <f>"24.021374"</f>
        <v>24.021374</v>
      </c>
      <c r="S12510" t="s">
        <v>26</v>
      </c>
    </row>
    <row r="12511" spans="1:19" x14ac:dyDescent="0.3">
      <c r="A12511" t="s">
        <v>32470</v>
      </c>
      <c r="B12511" t="s">
        <v>35016</v>
      </c>
      <c r="C12511" t="s">
        <v>35131</v>
      </c>
      <c r="D12511" t="s">
        <v>32486</v>
      </c>
      <c r="E12511" t="s">
        <v>32486</v>
      </c>
      <c r="F12511" t="s">
        <v>35024</v>
      </c>
      <c r="G12511" t="s">
        <v>35130</v>
      </c>
      <c r="H12511" t="s">
        <v>859</v>
      </c>
      <c r="I12511" t="s">
        <v>860</v>
      </c>
      <c r="J12511" t="str">
        <f>"9500395"</f>
        <v>9500395</v>
      </c>
      <c r="K12511">
        <v>2821091004</v>
      </c>
      <c r="L12511">
        <v>2821091004</v>
      </c>
      <c r="M12511" t="s">
        <v>35132</v>
      </c>
      <c r="N12511" t="s">
        <v>35130</v>
      </c>
      <c r="O12511" t="s">
        <v>35133</v>
      </c>
      <c r="P12511">
        <v>73100</v>
      </c>
      <c r="Q12511" t="str">
        <f>"35.505798"</f>
        <v>35.505798</v>
      </c>
      <c r="R12511" t="str">
        <f>"24.002626"</f>
        <v>24.002626</v>
      </c>
      <c r="S12511" t="s">
        <v>26</v>
      </c>
    </row>
    <row r="12512" spans="1:19" x14ac:dyDescent="0.3">
      <c r="A12512" t="s">
        <v>32470</v>
      </c>
      <c r="B12512" t="s">
        <v>35016</v>
      </c>
      <c r="C12512" t="s">
        <v>35134</v>
      </c>
      <c r="D12512" t="s">
        <v>32486</v>
      </c>
      <c r="E12512" t="s">
        <v>32486</v>
      </c>
      <c r="F12512" t="s">
        <v>32486</v>
      </c>
      <c r="G12512" t="s">
        <v>32486</v>
      </c>
      <c r="H12512" t="s">
        <v>859</v>
      </c>
      <c r="I12512" t="s">
        <v>860</v>
      </c>
      <c r="J12512" t="str">
        <f>"9500138"</f>
        <v>9500138</v>
      </c>
      <c r="K12512">
        <v>2821095071</v>
      </c>
      <c r="L12512">
        <v>2821096819</v>
      </c>
      <c r="M12512" t="s">
        <v>35135</v>
      </c>
      <c r="N12512" t="s">
        <v>33315</v>
      </c>
      <c r="O12512" t="s">
        <v>35136</v>
      </c>
      <c r="P12512">
        <v>73131</v>
      </c>
      <c r="Q12512" t="str">
        <f>"35.509588"</f>
        <v>35.509588</v>
      </c>
      <c r="R12512" t="str">
        <f>"24.004961"</f>
        <v>24.004961</v>
      </c>
      <c r="S12512" t="s">
        <v>26</v>
      </c>
    </row>
    <row r="12513" spans="1:19" x14ac:dyDescent="0.3">
      <c r="A12513" t="s">
        <v>32470</v>
      </c>
      <c r="B12513" t="s">
        <v>35016</v>
      </c>
      <c r="C12513" t="s">
        <v>35137</v>
      </c>
      <c r="D12513" t="s">
        <v>32486</v>
      </c>
      <c r="E12513" t="s">
        <v>32486</v>
      </c>
      <c r="F12513" t="s">
        <v>13933</v>
      </c>
      <c r="G12513" t="s">
        <v>33253</v>
      </c>
      <c r="H12513" t="s">
        <v>859</v>
      </c>
      <c r="I12513" t="s">
        <v>860</v>
      </c>
      <c r="J12513" t="str">
        <f>"9500370"</f>
        <v>9500370</v>
      </c>
      <c r="K12513">
        <v>2821093892</v>
      </c>
      <c r="L12513">
        <v>2821093892</v>
      </c>
      <c r="M12513" t="s">
        <v>35138</v>
      </c>
      <c r="N12513" t="s">
        <v>33253</v>
      </c>
      <c r="O12513" t="s">
        <v>35139</v>
      </c>
      <c r="P12513">
        <v>73300</v>
      </c>
      <c r="Q12513" t="str">
        <f>"35.480194"</f>
        <v>35.480194</v>
      </c>
      <c r="R12513" t="str">
        <f>"24.015195"</f>
        <v>24.015195</v>
      </c>
      <c r="S12513" t="s">
        <v>26</v>
      </c>
    </row>
    <row r="12514" spans="1:19" x14ac:dyDescent="0.3">
      <c r="A12514" t="s">
        <v>32470</v>
      </c>
      <c r="B12514" t="s">
        <v>35016</v>
      </c>
      <c r="C12514" t="s">
        <v>35140</v>
      </c>
      <c r="D12514" t="s">
        <v>32486</v>
      </c>
      <c r="E12514" t="s">
        <v>33276</v>
      </c>
      <c r="F12514" t="s">
        <v>33276</v>
      </c>
      <c r="G12514" t="s">
        <v>35104</v>
      </c>
      <c r="H12514" t="s">
        <v>859</v>
      </c>
      <c r="I12514" t="s">
        <v>860</v>
      </c>
      <c r="J12514" t="str">
        <f>"9500308"</f>
        <v>9500308</v>
      </c>
      <c r="K12514">
        <v>2825092360</v>
      </c>
      <c r="L12514">
        <v>2825092360</v>
      </c>
      <c r="M12514" t="s">
        <v>35141</v>
      </c>
      <c r="N12514" t="s">
        <v>35107</v>
      </c>
      <c r="O12514" t="s">
        <v>35108</v>
      </c>
      <c r="P12514">
        <v>73011</v>
      </c>
      <c r="Q12514" t="str">
        <f>"35.205880"</f>
        <v>35.205880</v>
      </c>
      <c r="R12514" t="str">
        <f>"24.195591"</f>
        <v>24.195591</v>
      </c>
      <c r="S12514" t="s">
        <v>57</v>
      </c>
    </row>
    <row r="12515" spans="1:19" x14ac:dyDescent="0.3">
      <c r="A12515" t="s">
        <v>32470</v>
      </c>
      <c r="B12515" t="s">
        <v>35016</v>
      </c>
      <c r="C12515" t="s">
        <v>35142</v>
      </c>
      <c r="D12515" t="s">
        <v>32486</v>
      </c>
      <c r="E12515" t="s">
        <v>32486</v>
      </c>
      <c r="F12515" t="s">
        <v>35024</v>
      </c>
      <c r="G12515" t="s">
        <v>35130</v>
      </c>
      <c r="H12515" t="s">
        <v>859</v>
      </c>
      <c r="I12515" t="s">
        <v>860</v>
      </c>
      <c r="J12515" t="str">
        <f>"9500256"</f>
        <v>9500256</v>
      </c>
      <c r="K12515">
        <v>2821099485</v>
      </c>
      <c r="L12515">
        <v>2821099485</v>
      </c>
      <c r="M12515" t="s">
        <v>35143</v>
      </c>
      <c r="N12515" t="s">
        <v>35130</v>
      </c>
      <c r="O12515" t="s">
        <v>35144</v>
      </c>
      <c r="P12515">
        <v>73131</v>
      </c>
      <c r="Q12515" t="str">
        <f>"35.495831"</f>
        <v>35.495831</v>
      </c>
      <c r="R12515" t="str">
        <f>"23.989024"</f>
        <v>23.989024</v>
      </c>
      <c r="S12515" t="s">
        <v>26</v>
      </c>
    </row>
    <row r="12516" spans="1:19" x14ac:dyDescent="0.3">
      <c r="A12516" t="s">
        <v>32470</v>
      </c>
      <c r="B12516" t="s">
        <v>35016</v>
      </c>
      <c r="C12516" t="s">
        <v>35145</v>
      </c>
      <c r="D12516" t="s">
        <v>32486</v>
      </c>
      <c r="E12516" t="s">
        <v>32486</v>
      </c>
      <c r="F12516" t="s">
        <v>32486</v>
      </c>
      <c r="G12516" t="s">
        <v>32486</v>
      </c>
      <c r="H12516" t="s">
        <v>859</v>
      </c>
      <c r="I12516" t="s">
        <v>860</v>
      </c>
      <c r="J12516" t="str">
        <f>"9500039"</f>
        <v>9500039</v>
      </c>
      <c r="K12516">
        <v>2821045625</v>
      </c>
      <c r="M12516" t="s">
        <v>35146</v>
      </c>
      <c r="N12516" t="s">
        <v>32486</v>
      </c>
      <c r="O12516" t="s">
        <v>35147</v>
      </c>
      <c r="P12516">
        <v>73134</v>
      </c>
      <c r="Q12516" t="str">
        <f>"35.506986"</f>
        <v>35.506986</v>
      </c>
      <c r="R12516" t="str">
        <f>"24.040570"</f>
        <v>24.040570</v>
      </c>
      <c r="S12516" t="s">
        <v>26</v>
      </c>
    </row>
    <row r="12517" spans="1:19" x14ac:dyDescent="0.3">
      <c r="A12517" t="s">
        <v>32470</v>
      </c>
      <c r="B12517" t="s">
        <v>35016</v>
      </c>
      <c r="C12517" t="s">
        <v>35148</v>
      </c>
      <c r="D12517" t="s">
        <v>32486</v>
      </c>
      <c r="E12517" t="s">
        <v>33231</v>
      </c>
      <c r="F12517" t="s">
        <v>33286</v>
      </c>
      <c r="G12517" t="s">
        <v>33286</v>
      </c>
      <c r="H12517" t="s">
        <v>859</v>
      </c>
      <c r="I12517" t="s">
        <v>860</v>
      </c>
      <c r="J12517" t="str">
        <f>"9500362"</f>
        <v>9500362</v>
      </c>
      <c r="K12517">
        <v>2825022337</v>
      </c>
      <c r="L12517">
        <v>2825022337</v>
      </c>
      <c r="M12517" t="s">
        <v>35149</v>
      </c>
      <c r="N12517" t="s">
        <v>33286</v>
      </c>
      <c r="O12517" t="s">
        <v>33334</v>
      </c>
      <c r="P12517">
        <v>73008</v>
      </c>
      <c r="Q12517" t="str">
        <f>"35.410045"</f>
        <v>35.410045</v>
      </c>
      <c r="R12517" t="str">
        <f>"24.200797"</f>
        <v>24.200797</v>
      </c>
      <c r="S12517" t="s">
        <v>26</v>
      </c>
    </row>
    <row r="12518" spans="1:19" x14ac:dyDescent="0.3">
      <c r="A12518" t="s">
        <v>32470</v>
      </c>
      <c r="B12518" t="s">
        <v>35016</v>
      </c>
      <c r="C12518" t="s">
        <v>35151</v>
      </c>
      <c r="D12518" t="s">
        <v>32486</v>
      </c>
      <c r="E12518" t="s">
        <v>32486</v>
      </c>
      <c r="F12518" t="s">
        <v>35024</v>
      </c>
      <c r="G12518" t="s">
        <v>35150</v>
      </c>
      <c r="H12518" t="s">
        <v>859</v>
      </c>
      <c r="I12518" t="s">
        <v>860</v>
      </c>
      <c r="J12518" t="str">
        <f>"9500298"</f>
        <v>9500298</v>
      </c>
      <c r="K12518">
        <v>2821077606</v>
      </c>
      <c r="M12518" t="s">
        <v>35152</v>
      </c>
      <c r="N12518" t="s">
        <v>35153</v>
      </c>
      <c r="O12518" t="s">
        <v>35154</v>
      </c>
      <c r="P12518">
        <v>73005</v>
      </c>
      <c r="Q12518" t="str">
        <f>"35.466375"</f>
        <v>35.466375</v>
      </c>
      <c r="R12518" t="str">
        <f>"23.958345"</f>
        <v>23.958345</v>
      </c>
      <c r="S12518" t="s">
        <v>26</v>
      </c>
    </row>
    <row r="12519" spans="1:19" x14ac:dyDescent="0.3">
      <c r="A12519" t="s">
        <v>32470</v>
      </c>
      <c r="B12519" t="s">
        <v>35016</v>
      </c>
      <c r="C12519" t="s">
        <v>35155</v>
      </c>
      <c r="D12519" t="s">
        <v>32486</v>
      </c>
      <c r="E12519" t="s">
        <v>32486</v>
      </c>
      <c r="F12519" t="s">
        <v>32486</v>
      </c>
      <c r="G12519" t="s">
        <v>32486</v>
      </c>
      <c r="H12519" t="s">
        <v>859</v>
      </c>
      <c r="I12519" t="s">
        <v>860</v>
      </c>
      <c r="J12519" t="str">
        <f>"9500345"</f>
        <v>9500345</v>
      </c>
      <c r="K12519">
        <v>2821054443</v>
      </c>
      <c r="L12519">
        <v>2821054443</v>
      </c>
      <c r="M12519" t="s">
        <v>35156</v>
      </c>
      <c r="N12519" t="s">
        <v>32486</v>
      </c>
      <c r="O12519" t="s">
        <v>35157</v>
      </c>
      <c r="P12519">
        <v>73133</v>
      </c>
      <c r="Q12519" t="str">
        <f>"35.510916"</f>
        <v>35.510916</v>
      </c>
      <c r="R12519" t="str">
        <f>"24.035298"</f>
        <v>24.035298</v>
      </c>
      <c r="S12519" t="s">
        <v>26</v>
      </c>
    </row>
    <row r="12520" spans="1:19" x14ac:dyDescent="0.3">
      <c r="A12520" t="s">
        <v>32470</v>
      </c>
      <c r="B12520" t="s">
        <v>35016</v>
      </c>
      <c r="C12520" t="s">
        <v>35159</v>
      </c>
      <c r="D12520" t="s">
        <v>32486</v>
      </c>
      <c r="E12520" t="s">
        <v>33231</v>
      </c>
      <c r="F12520" t="s">
        <v>34467</v>
      </c>
      <c r="G12520" t="s">
        <v>35158</v>
      </c>
      <c r="H12520" t="s">
        <v>859</v>
      </c>
      <c r="I12520" t="s">
        <v>860</v>
      </c>
      <c r="J12520" t="str">
        <f>"9500270"</f>
        <v>9500270</v>
      </c>
      <c r="K12520">
        <v>2825031104</v>
      </c>
      <c r="L12520">
        <v>2825031104</v>
      </c>
      <c r="M12520" t="s">
        <v>35160</v>
      </c>
      <c r="N12520" t="s">
        <v>35158</v>
      </c>
      <c r="O12520" t="s">
        <v>35161</v>
      </c>
      <c r="P12520">
        <v>73003</v>
      </c>
      <c r="Q12520" t="str">
        <f>"35.452315"</f>
        <v>35.452315</v>
      </c>
      <c r="R12520" t="str">
        <f>"24.172166"</f>
        <v>24.172166</v>
      </c>
      <c r="S12520" t="s">
        <v>26</v>
      </c>
    </row>
    <row r="12521" spans="1:19" x14ac:dyDescent="0.3">
      <c r="A12521" t="s">
        <v>32470</v>
      </c>
      <c r="B12521" t="s">
        <v>35016</v>
      </c>
      <c r="C12521" t="s">
        <v>35163</v>
      </c>
      <c r="D12521" t="s">
        <v>32486</v>
      </c>
      <c r="E12521" t="s">
        <v>20356</v>
      </c>
      <c r="F12521" t="s">
        <v>20356</v>
      </c>
      <c r="G12521" t="s">
        <v>20356</v>
      </c>
      <c r="H12521" t="s">
        <v>859</v>
      </c>
      <c r="I12521" t="s">
        <v>860</v>
      </c>
      <c r="J12521" t="str">
        <f>"9500273"</f>
        <v>9500273</v>
      </c>
      <c r="K12521">
        <v>2821038005</v>
      </c>
      <c r="L12521">
        <v>2821038005</v>
      </c>
      <c r="M12521" t="s">
        <v>35164</v>
      </c>
      <c r="N12521" t="s">
        <v>20356</v>
      </c>
      <c r="O12521" t="s">
        <v>20284</v>
      </c>
      <c r="P12521">
        <v>73014</v>
      </c>
      <c r="Q12521" t="str">
        <f>"35.518468"</f>
        <v>35.518468</v>
      </c>
      <c r="R12521" t="str">
        <f>"23.911055"</f>
        <v>23.911055</v>
      </c>
      <c r="S12521" t="s">
        <v>26</v>
      </c>
    </row>
    <row r="12522" spans="1:19" x14ac:dyDescent="0.3">
      <c r="A12522" t="s">
        <v>32470</v>
      </c>
      <c r="B12522" t="s">
        <v>35016</v>
      </c>
      <c r="C12522" t="s">
        <v>35165</v>
      </c>
      <c r="D12522" t="s">
        <v>32486</v>
      </c>
      <c r="E12522" t="s">
        <v>33231</v>
      </c>
      <c r="F12522" t="s">
        <v>34467</v>
      </c>
      <c r="G12522" t="s">
        <v>35158</v>
      </c>
      <c r="H12522" t="s">
        <v>859</v>
      </c>
      <c r="I12522" t="s">
        <v>860</v>
      </c>
      <c r="J12522" t="str">
        <f>"9500415"</f>
        <v>9500415</v>
      </c>
      <c r="K12522">
        <v>2825031104</v>
      </c>
      <c r="L12522">
        <v>2825031104</v>
      </c>
      <c r="M12522" t="s">
        <v>35166</v>
      </c>
      <c r="N12522" t="s">
        <v>35158</v>
      </c>
      <c r="O12522" t="s">
        <v>35161</v>
      </c>
      <c r="P12522">
        <v>73003</v>
      </c>
      <c r="Q12522" t="str">
        <f>"35.452029"</f>
        <v>35.452029</v>
      </c>
      <c r="R12522" t="str">
        <f>"24.172526"</f>
        <v>24.172526</v>
      </c>
      <c r="S12522" t="s">
        <v>26</v>
      </c>
    </row>
    <row r="12523" spans="1:19" x14ac:dyDescent="0.3">
      <c r="A12523" t="s">
        <v>32470</v>
      </c>
      <c r="B12523" t="s">
        <v>35016</v>
      </c>
      <c r="C12523" t="s">
        <v>35168</v>
      </c>
      <c r="D12523" t="s">
        <v>32486</v>
      </c>
      <c r="E12523" t="s">
        <v>33231</v>
      </c>
      <c r="F12523" t="s">
        <v>33286</v>
      </c>
      <c r="G12523" t="s">
        <v>35167</v>
      </c>
      <c r="H12523" t="s">
        <v>859</v>
      </c>
      <c r="I12523" t="s">
        <v>860</v>
      </c>
      <c r="J12523" t="str">
        <f>"9520614"</f>
        <v>9520614</v>
      </c>
      <c r="K12523">
        <v>2825022625</v>
      </c>
      <c r="L12523">
        <v>2825022625</v>
      </c>
      <c r="M12523" t="s">
        <v>35169</v>
      </c>
      <c r="N12523" t="s">
        <v>35167</v>
      </c>
      <c r="O12523" t="s">
        <v>35170</v>
      </c>
      <c r="P12523">
        <v>73008</v>
      </c>
      <c r="Q12523" t="str">
        <f>"35.425141"</f>
        <v>35.425141</v>
      </c>
      <c r="R12523" t="str">
        <f>"24.207235"</f>
        <v>24.207235</v>
      </c>
      <c r="S12523" t="s">
        <v>26</v>
      </c>
    </row>
    <row r="12524" spans="1:19" x14ac:dyDescent="0.3">
      <c r="A12524" t="s">
        <v>32470</v>
      </c>
      <c r="B12524" t="s">
        <v>35016</v>
      </c>
      <c r="C12524" t="s">
        <v>35173</v>
      </c>
      <c r="D12524" t="s">
        <v>32486</v>
      </c>
      <c r="E12524" t="s">
        <v>33231</v>
      </c>
      <c r="F12524" t="s">
        <v>35171</v>
      </c>
      <c r="G12524" t="s">
        <v>35172</v>
      </c>
      <c r="H12524" t="s">
        <v>859</v>
      </c>
      <c r="I12524" t="s">
        <v>860</v>
      </c>
      <c r="J12524" t="str">
        <f>"9500419"</f>
        <v>9500419</v>
      </c>
      <c r="K12524">
        <v>2825071511</v>
      </c>
      <c r="L12524">
        <v>2825071511</v>
      </c>
      <c r="M12524" t="s">
        <v>35174</v>
      </c>
      <c r="N12524" t="s">
        <v>35172</v>
      </c>
      <c r="O12524" t="s">
        <v>35175</v>
      </c>
      <c r="P12524">
        <v>73008</v>
      </c>
      <c r="Q12524" t="str">
        <f>"35.398563"</f>
        <v>35.398563</v>
      </c>
      <c r="R12524" t="str">
        <f>"24.153221"</f>
        <v>24.153221</v>
      </c>
      <c r="S12524" t="s">
        <v>26</v>
      </c>
    </row>
    <row r="12525" spans="1:19" x14ac:dyDescent="0.3">
      <c r="A12525" t="s">
        <v>32470</v>
      </c>
      <c r="B12525" t="s">
        <v>35016</v>
      </c>
      <c r="C12525" t="s">
        <v>35177</v>
      </c>
      <c r="D12525" t="s">
        <v>32486</v>
      </c>
      <c r="E12525" t="s">
        <v>33276</v>
      </c>
      <c r="F12525" t="s">
        <v>33276</v>
      </c>
      <c r="G12525" t="s">
        <v>35176</v>
      </c>
      <c r="H12525" t="s">
        <v>859</v>
      </c>
      <c r="I12525" t="s">
        <v>860</v>
      </c>
      <c r="J12525" t="str">
        <f>"9500397"</f>
        <v>9500397</v>
      </c>
      <c r="K12525">
        <v>2825092304</v>
      </c>
      <c r="L12525">
        <v>2825092304</v>
      </c>
      <c r="M12525" t="s">
        <v>35178</v>
      </c>
      <c r="N12525" t="s">
        <v>35176</v>
      </c>
      <c r="O12525" t="s">
        <v>35179</v>
      </c>
      <c r="P12525">
        <v>73011</v>
      </c>
      <c r="Q12525" t="str">
        <f>"35.202650"</f>
        <v>35.202650</v>
      </c>
      <c r="R12525" t="str">
        <f>"24.232416"</f>
        <v>24.232416</v>
      </c>
      <c r="S12525" t="s">
        <v>57</v>
      </c>
    </row>
    <row r="12526" spans="1:19" x14ac:dyDescent="0.3">
      <c r="A12526" t="s">
        <v>32470</v>
      </c>
      <c r="B12526" t="s">
        <v>35016</v>
      </c>
      <c r="C12526" t="s">
        <v>35180</v>
      </c>
      <c r="D12526" t="s">
        <v>32486</v>
      </c>
      <c r="E12526" t="s">
        <v>32486</v>
      </c>
      <c r="F12526" t="s">
        <v>35024</v>
      </c>
      <c r="G12526" t="s">
        <v>35097</v>
      </c>
      <c r="H12526" t="s">
        <v>859</v>
      </c>
      <c r="I12526" t="s">
        <v>860</v>
      </c>
      <c r="J12526" t="str">
        <f>"9500384"</f>
        <v>9500384</v>
      </c>
      <c r="K12526">
        <v>2821075886</v>
      </c>
      <c r="L12526">
        <v>2821075886</v>
      </c>
      <c r="M12526" t="s">
        <v>35181</v>
      </c>
      <c r="N12526" t="s">
        <v>35182</v>
      </c>
      <c r="O12526" t="s">
        <v>35183</v>
      </c>
      <c r="P12526">
        <v>73100</v>
      </c>
      <c r="Q12526" t="str">
        <f>"35.502503"</f>
        <v>35.502503</v>
      </c>
      <c r="R12526" t="str">
        <f>"24.007944"</f>
        <v>24.007944</v>
      </c>
      <c r="S12526" t="s">
        <v>26</v>
      </c>
    </row>
    <row r="12527" spans="1:19" x14ac:dyDescent="0.3">
      <c r="A12527" t="s">
        <v>32470</v>
      </c>
      <c r="B12527" t="s">
        <v>35016</v>
      </c>
      <c r="C12527" t="s">
        <v>35184</v>
      </c>
      <c r="D12527" t="s">
        <v>32486</v>
      </c>
      <c r="E12527" t="s">
        <v>33231</v>
      </c>
      <c r="F12527" t="s">
        <v>33286</v>
      </c>
      <c r="G12527" t="s">
        <v>1033</v>
      </c>
      <c r="H12527" t="s">
        <v>859</v>
      </c>
      <c r="I12527" t="s">
        <v>860</v>
      </c>
      <c r="J12527" t="str">
        <f>"9500420"</f>
        <v>9500420</v>
      </c>
      <c r="K12527">
        <v>2825032496</v>
      </c>
      <c r="L12527">
        <v>2825032496</v>
      </c>
      <c r="M12527" t="s">
        <v>35185</v>
      </c>
      <c r="N12527" t="s">
        <v>1033</v>
      </c>
      <c r="O12527" t="s">
        <v>35186</v>
      </c>
      <c r="P12527">
        <v>73008</v>
      </c>
      <c r="Q12527" t="str">
        <f>"35.451456"</f>
        <v>35.451456</v>
      </c>
      <c r="R12527" t="str">
        <f>"24.210437"</f>
        <v>24.210437</v>
      </c>
      <c r="S12527" t="s">
        <v>26</v>
      </c>
    </row>
    <row r="12528" spans="1:19" x14ac:dyDescent="0.3">
      <c r="A12528" t="s">
        <v>32470</v>
      </c>
      <c r="B12528" t="s">
        <v>35016</v>
      </c>
      <c r="C12528" t="s">
        <v>35187</v>
      </c>
      <c r="D12528" t="s">
        <v>32486</v>
      </c>
      <c r="E12528" t="s">
        <v>32486</v>
      </c>
      <c r="F12528" t="s">
        <v>32486</v>
      </c>
      <c r="G12528" t="s">
        <v>32486</v>
      </c>
      <c r="H12528" t="s">
        <v>859</v>
      </c>
      <c r="I12528" t="s">
        <v>860</v>
      </c>
      <c r="J12528" t="str">
        <f>"9500427"</f>
        <v>9500427</v>
      </c>
      <c r="K12528">
        <v>2821072532</v>
      </c>
      <c r="M12528" t="s">
        <v>35188</v>
      </c>
      <c r="N12528" t="s">
        <v>32486</v>
      </c>
      <c r="O12528" t="s">
        <v>35189</v>
      </c>
      <c r="P12528">
        <v>73131</v>
      </c>
      <c r="Q12528" t="str">
        <f>"35.510054"</f>
        <v>35.510054</v>
      </c>
      <c r="R12528" t="str">
        <f>"24.007325"</f>
        <v>24.007325</v>
      </c>
      <c r="S12528" t="s">
        <v>26</v>
      </c>
    </row>
    <row r="12529" spans="1:19" x14ac:dyDescent="0.3">
      <c r="A12529" t="s">
        <v>32470</v>
      </c>
      <c r="B12529" t="s">
        <v>35016</v>
      </c>
      <c r="C12529" t="s">
        <v>35190</v>
      </c>
      <c r="D12529" t="s">
        <v>32486</v>
      </c>
      <c r="E12529" t="s">
        <v>32486</v>
      </c>
      <c r="F12529" t="s">
        <v>33268</v>
      </c>
      <c r="G12529" t="s">
        <v>33269</v>
      </c>
      <c r="H12529" t="s">
        <v>859</v>
      </c>
      <c r="I12529" t="s">
        <v>860</v>
      </c>
      <c r="J12529" t="str">
        <f>"9500295"</f>
        <v>9500295</v>
      </c>
      <c r="K12529">
        <v>2821039559</v>
      </c>
      <c r="L12529">
        <v>2821039559</v>
      </c>
      <c r="M12529" t="s">
        <v>35191</v>
      </c>
      <c r="N12529" t="s">
        <v>35192</v>
      </c>
      <c r="O12529" t="s">
        <v>35193</v>
      </c>
      <c r="P12529">
        <v>73100</v>
      </c>
      <c r="Q12529" t="str">
        <f>"35.557594"</f>
        <v>35.557594</v>
      </c>
      <c r="R12529" t="str">
        <f>"24.096179"</f>
        <v>24.096179</v>
      </c>
      <c r="S12529" t="s">
        <v>26</v>
      </c>
    </row>
    <row r="12530" spans="1:19" x14ac:dyDescent="0.3">
      <c r="A12530" t="s">
        <v>32470</v>
      </c>
      <c r="B12530" t="s">
        <v>35016</v>
      </c>
      <c r="C12530" t="s">
        <v>35195</v>
      </c>
      <c r="D12530" t="s">
        <v>32486</v>
      </c>
      <c r="E12530" t="s">
        <v>32486</v>
      </c>
      <c r="F12530" t="s">
        <v>33268</v>
      </c>
      <c r="G12530" t="s">
        <v>35194</v>
      </c>
      <c r="H12530" t="s">
        <v>859</v>
      </c>
      <c r="I12530" t="s">
        <v>860</v>
      </c>
      <c r="J12530" t="str">
        <f>"9500309"</f>
        <v>9500309</v>
      </c>
      <c r="K12530">
        <v>2821066285</v>
      </c>
      <c r="L12530">
        <v>2821066285</v>
      </c>
      <c r="M12530" t="s">
        <v>35196</v>
      </c>
      <c r="N12530" t="s">
        <v>35194</v>
      </c>
      <c r="O12530" t="s">
        <v>35197</v>
      </c>
      <c r="P12530">
        <v>73100</v>
      </c>
      <c r="Q12530" t="str">
        <f>"35.514800"</f>
        <v>35.514800</v>
      </c>
      <c r="R12530" t="str">
        <f>"24.110496"</f>
        <v>24.110496</v>
      </c>
      <c r="S12530" t="s">
        <v>26</v>
      </c>
    </row>
    <row r="12531" spans="1:19" x14ac:dyDescent="0.3">
      <c r="A12531" t="s">
        <v>32470</v>
      </c>
      <c r="B12531" t="s">
        <v>35016</v>
      </c>
      <c r="C12531" t="s">
        <v>35198</v>
      </c>
      <c r="D12531" t="s">
        <v>32486</v>
      </c>
      <c r="E12531" t="s">
        <v>32486</v>
      </c>
      <c r="F12531" t="s">
        <v>33268</v>
      </c>
      <c r="G12531" t="s">
        <v>35194</v>
      </c>
      <c r="H12531" t="s">
        <v>859</v>
      </c>
      <c r="I12531" t="s">
        <v>860</v>
      </c>
      <c r="J12531" t="str">
        <f>"9500405"</f>
        <v>9500405</v>
      </c>
      <c r="K12531">
        <v>2821047840</v>
      </c>
      <c r="M12531" t="s">
        <v>35199</v>
      </c>
      <c r="N12531" t="s">
        <v>35194</v>
      </c>
      <c r="O12531" t="s">
        <v>35200</v>
      </c>
      <c r="P12531">
        <v>73100</v>
      </c>
      <c r="Q12531" t="str">
        <f>"35.515691"</f>
        <v>35.515691</v>
      </c>
      <c r="R12531" t="str">
        <f>"24.111327"</f>
        <v>24.111327</v>
      </c>
      <c r="S12531" t="s">
        <v>26</v>
      </c>
    </row>
    <row r="12532" spans="1:19" x14ac:dyDescent="0.3">
      <c r="A12532" t="s">
        <v>32470</v>
      </c>
      <c r="B12532" t="s">
        <v>35016</v>
      </c>
      <c r="C12532" t="s">
        <v>35201</v>
      </c>
      <c r="D12532" t="s">
        <v>32486</v>
      </c>
      <c r="E12532" t="s">
        <v>32486</v>
      </c>
      <c r="F12532" t="s">
        <v>32486</v>
      </c>
      <c r="G12532" t="s">
        <v>32486</v>
      </c>
      <c r="H12532" t="s">
        <v>859</v>
      </c>
      <c r="I12532" t="s">
        <v>860</v>
      </c>
      <c r="J12532" t="str">
        <f>"9500402"</f>
        <v>9500402</v>
      </c>
      <c r="K12532">
        <v>2821042809</v>
      </c>
      <c r="L12532">
        <v>2821042809</v>
      </c>
      <c r="M12532" t="s">
        <v>35202</v>
      </c>
      <c r="N12532" t="s">
        <v>32486</v>
      </c>
      <c r="O12532" t="s">
        <v>35203</v>
      </c>
      <c r="P12532">
        <v>73134</v>
      </c>
      <c r="Q12532" t="str">
        <f>"35.508402"</f>
        <v>35.508402</v>
      </c>
      <c r="R12532" t="str">
        <f>"24.050030"</f>
        <v>24.050030</v>
      </c>
      <c r="S12532" t="s">
        <v>26</v>
      </c>
    </row>
    <row r="12533" spans="1:19" x14ac:dyDescent="0.3">
      <c r="A12533" t="s">
        <v>32470</v>
      </c>
      <c r="B12533" t="s">
        <v>35016</v>
      </c>
      <c r="C12533" t="s">
        <v>35204</v>
      </c>
      <c r="D12533" t="s">
        <v>32486</v>
      </c>
      <c r="E12533" t="s">
        <v>32486</v>
      </c>
      <c r="F12533" t="s">
        <v>32486</v>
      </c>
      <c r="G12533" t="s">
        <v>32486</v>
      </c>
      <c r="H12533" t="s">
        <v>859</v>
      </c>
      <c r="I12533" t="s">
        <v>860</v>
      </c>
      <c r="J12533" t="str">
        <f>"9500341"</f>
        <v>9500341</v>
      </c>
      <c r="K12533">
        <v>2821057345</v>
      </c>
      <c r="M12533" t="s">
        <v>35205</v>
      </c>
      <c r="N12533" t="s">
        <v>32486</v>
      </c>
      <c r="O12533" t="s">
        <v>35206</v>
      </c>
      <c r="P12533">
        <v>73100</v>
      </c>
      <c r="Q12533" t="str">
        <f>"35.509576"</f>
        <v>35.509576</v>
      </c>
      <c r="R12533" t="str">
        <f>"24.038841"</f>
        <v>24.038841</v>
      </c>
      <c r="S12533" t="s">
        <v>26</v>
      </c>
    </row>
    <row r="12534" spans="1:19" x14ac:dyDescent="0.3">
      <c r="A12534" t="s">
        <v>32470</v>
      </c>
      <c r="B12534" t="s">
        <v>35016</v>
      </c>
      <c r="C12534" t="s">
        <v>35207</v>
      </c>
      <c r="D12534" t="s">
        <v>32486</v>
      </c>
      <c r="E12534" t="s">
        <v>33231</v>
      </c>
      <c r="F12534" t="s">
        <v>35043</v>
      </c>
      <c r="G12534" t="s">
        <v>35092</v>
      </c>
      <c r="H12534" t="s">
        <v>859</v>
      </c>
      <c r="I12534" t="s">
        <v>860</v>
      </c>
      <c r="J12534" t="str">
        <f>"9500289"</f>
        <v>9500289</v>
      </c>
      <c r="K12534">
        <v>2825096337</v>
      </c>
      <c r="M12534" t="s">
        <v>35208</v>
      </c>
      <c r="N12534" t="s">
        <v>33231</v>
      </c>
      <c r="O12534" t="s">
        <v>35096</v>
      </c>
      <c r="P12534">
        <v>73007</v>
      </c>
      <c r="Q12534" t="str">
        <f>"35.315944"</f>
        <v>35.315944</v>
      </c>
      <c r="R12534" t="str">
        <f>"24.296970"</f>
        <v>24.296970</v>
      </c>
      <c r="S12534" t="s">
        <v>26</v>
      </c>
    </row>
    <row r="12535" spans="1:19" x14ac:dyDescent="0.3">
      <c r="A12535" t="s">
        <v>32470</v>
      </c>
      <c r="B12535" t="s">
        <v>35016</v>
      </c>
      <c r="C12535" t="s">
        <v>35210</v>
      </c>
      <c r="D12535" t="s">
        <v>32486</v>
      </c>
      <c r="E12535" t="s">
        <v>20356</v>
      </c>
      <c r="F12535" t="s">
        <v>33294</v>
      </c>
      <c r="G12535" t="s">
        <v>35209</v>
      </c>
      <c r="H12535" t="s">
        <v>859</v>
      </c>
      <c r="I12535" t="s">
        <v>860</v>
      </c>
      <c r="J12535" t="str">
        <f>"9500257"</f>
        <v>9500257</v>
      </c>
      <c r="K12535">
        <v>2821077365</v>
      </c>
      <c r="L12535">
        <v>2821078396</v>
      </c>
      <c r="M12535" t="s">
        <v>35211</v>
      </c>
      <c r="N12535" t="s">
        <v>35212</v>
      </c>
      <c r="O12535" t="s">
        <v>35213</v>
      </c>
      <c r="P12535">
        <v>73005</v>
      </c>
      <c r="Q12535" t="str">
        <f>"35.432425"</f>
        <v>35.432425</v>
      </c>
      <c r="R12535" t="str">
        <f>"23.927497"</f>
        <v>23.927497</v>
      </c>
      <c r="S12535" t="s">
        <v>26</v>
      </c>
    </row>
    <row r="12536" spans="1:19" x14ac:dyDescent="0.3">
      <c r="A12536" t="s">
        <v>32470</v>
      </c>
      <c r="B12536" t="s">
        <v>35016</v>
      </c>
      <c r="C12536" t="s">
        <v>35228</v>
      </c>
      <c r="D12536" t="s">
        <v>32486</v>
      </c>
      <c r="E12536" t="s">
        <v>32486</v>
      </c>
      <c r="F12536" t="s">
        <v>35024</v>
      </c>
      <c r="G12536" t="s">
        <v>35150</v>
      </c>
      <c r="H12536" t="s">
        <v>859</v>
      </c>
      <c r="I12536" t="s">
        <v>860</v>
      </c>
      <c r="J12536" t="str">
        <f>"9500333"</f>
        <v>9500333</v>
      </c>
      <c r="K12536">
        <v>2821031361</v>
      </c>
      <c r="L12536">
        <v>2821031361</v>
      </c>
      <c r="M12536" t="s">
        <v>35229</v>
      </c>
      <c r="N12536" t="s">
        <v>35230</v>
      </c>
      <c r="O12536" t="s">
        <v>35231</v>
      </c>
      <c r="P12536">
        <v>73100</v>
      </c>
      <c r="Q12536" t="str">
        <f>"35.479352"</f>
        <v>35.479352</v>
      </c>
      <c r="R12536" t="str">
        <f>"23.967135"</f>
        <v>23.967135</v>
      </c>
      <c r="S12536" t="s">
        <v>26</v>
      </c>
    </row>
    <row r="12537" spans="1:19" x14ac:dyDescent="0.3">
      <c r="A12537" t="s">
        <v>32470</v>
      </c>
      <c r="B12537" t="s">
        <v>35016</v>
      </c>
      <c r="C12537" t="s">
        <v>35233</v>
      </c>
      <c r="D12537" t="s">
        <v>32486</v>
      </c>
      <c r="E12537" t="s">
        <v>33231</v>
      </c>
      <c r="F12537" t="s">
        <v>34467</v>
      </c>
      <c r="G12537" t="s">
        <v>35232</v>
      </c>
      <c r="H12537" t="s">
        <v>859</v>
      </c>
      <c r="I12537" t="s">
        <v>860</v>
      </c>
      <c r="J12537" t="str">
        <f>"9500350"</f>
        <v>9500350</v>
      </c>
      <c r="K12537">
        <v>2825041555</v>
      </c>
      <c r="L12537">
        <v>2825041555</v>
      </c>
      <c r="M12537" t="s">
        <v>35234</v>
      </c>
      <c r="N12537" t="s">
        <v>35232</v>
      </c>
      <c r="O12537" t="s">
        <v>35235</v>
      </c>
      <c r="P12537">
        <v>73003</v>
      </c>
      <c r="Q12537" t="str">
        <f>"35.450174"</f>
        <v>35.450174</v>
      </c>
      <c r="R12537" t="str">
        <f>"24.170474"</f>
        <v>24.170474</v>
      </c>
      <c r="S12537" t="s">
        <v>26</v>
      </c>
    </row>
    <row r="12538" spans="1:19" x14ac:dyDescent="0.3">
      <c r="A12538" t="s">
        <v>32470</v>
      </c>
      <c r="B12538" t="s">
        <v>35016</v>
      </c>
      <c r="C12538" t="s">
        <v>35236</v>
      </c>
      <c r="D12538" t="s">
        <v>32486</v>
      </c>
      <c r="E12538" t="s">
        <v>33276</v>
      </c>
      <c r="F12538" t="s">
        <v>33276</v>
      </c>
      <c r="G12538" t="s">
        <v>33277</v>
      </c>
      <c r="H12538" t="s">
        <v>859</v>
      </c>
      <c r="I12538" t="s">
        <v>860</v>
      </c>
      <c r="J12538" t="str">
        <f>"9500380"</f>
        <v>9500380</v>
      </c>
      <c r="K12538">
        <v>2825091255</v>
      </c>
      <c r="L12538">
        <v>2825091255</v>
      </c>
      <c r="M12538" t="s">
        <v>35237</v>
      </c>
      <c r="N12538" t="s">
        <v>33277</v>
      </c>
      <c r="O12538" t="s">
        <v>33280</v>
      </c>
      <c r="P12538">
        <v>73011</v>
      </c>
      <c r="Q12538" t="str">
        <f>"35.201699"</f>
        <v>35.201699</v>
      </c>
      <c r="R12538" t="str">
        <f>"24.138210"</f>
        <v>24.138210</v>
      </c>
      <c r="S12538" t="s">
        <v>57</v>
      </c>
    </row>
    <row r="12539" spans="1:19" x14ac:dyDescent="0.3">
      <c r="A12539" t="s">
        <v>32470</v>
      </c>
      <c r="B12539" t="s">
        <v>35016</v>
      </c>
      <c r="C12539" t="s">
        <v>35238</v>
      </c>
      <c r="D12539" t="s">
        <v>32486</v>
      </c>
      <c r="E12539" t="s">
        <v>32486</v>
      </c>
      <c r="F12539" t="s">
        <v>32486</v>
      </c>
      <c r="G12539" t="s">
        <v>32486</v>
      </c>
      <c r="H12539" t="s">
        <v>859</v>
      </c>
      <c r="I12539" t="s">
        <v>860</v>
      </c>
      <c r="J12539" t="str">
        <f>"9500046"</f>
        <v>9500046</v>
      </c>
      <c r="K12539">
        <v>2821040434</v>
      </c>
      <c r="L12539">
        <v>2821040434</v>
      </c>
      <c r="M12539" t="s">
        <v>35239</v>
      </c>
      <c r="N12539" t="s">
        <v>32486</v>
      </c>
      <c r="O12539" t="s">
        <v>35240</v>
      </c>
      <c r="P12539">
        <v>73133</v>
      </c>
      <c r="Q12539" t="str">
        <f>"35.517500"</f>
        <v>35.517500</v>
      </c>
      <c r="R12539" t="str">
        <f>"24.037055"</f>
        <v>24.037055</v>
      </c>
      <c r="S12539" t="s">
        <v>26</v>
      </c>
    </row>
    <row r="12540" spans="1:19" x14ac:dyDescent="0.3">
      <c r="A12540" t="s">
        <v>32470</v>
      </c>
      <c r="B12540" t="s">
        <v>35016</v>
      </c>
      <c r="C12540" t="s">
        <v>35241</v>
      </c>
      <c r="D12540" t="s">
        <v>32486</v>
      </c>
      <c r="E12540" t="s">
        <v>32486</v>
      </c>
      <c r="F12540" t="s">
        <v>32486</v>
      </c>
      <c r="G12540" t="s">
        <v>32486</v>
      </c>
      <c r="H12540" t="s">
        <v>859</v>
      </c>
      <c r="I12540" t="s">
        <v>860</v>
      </c>
      <c r="J12540" t="str">
        <f>"9500145"</f>
        <v>9500145</v>
      </c>
      <c r="K12540">
        <v>2821072991</v>
      </c>
      <c r="L12540">
        <v>2821072991</v>
      </c>
      <c r="M12540" t="s">
        <v>35242</v>
      </c>
      <c r="N12540" t="s">
        <v>32486</v>
      </c>
      <c r="O12540" t="s">
        <v>35243</v>
      </c>
      <c r="P12540">
        <v>73131</v>
      </c>
      <c r="Q12540" t="str">
        <f>"35.516505"</f>
        <v>35.516505</v>
      </c>
      <c r="R12540" t="str">
        <f>"24.013500"</f>
        <v>24.013500</v>
      </c>
      <c r="S12540" t="s">
        <v>26</v>
      </c>
    </row>
    <row r="12541" spans="1:19" x14ac:dyDescent="0.3">
      <c r="A12541" t="s">
        <v>32470</v>
      </c>
      <c r="B12541" t="s">
        <v>35016</v>
      </c>
      <c r="C12541" t="s">
        <v>35244</v>
      </c>
      <c r="D12541" t="s">
        <v>32486</v>
      </c>
      <c r="E12541" t="s">
        <v>32486</v>
      </c>
      <c r="F12541" t="s">
        <v>32486</v>
      </c>
      <c r="G12541" t="s">
        <v>32486</v>
      </c>
      <c r="H12541" t="s">
        <v>859</v>
      </c>
      <c r="I12541" t="s">
        <v>860</v>
      </c>
      <c r="J12541" t="str">
        <f>"9500146"</f>
        <v>9500146</v>
      </c>
      <c r="K12541">
        <v>2821088080</v>
      </c>
      <c r="M12541" t="s">
        <v>35245</v>
      </c>
      <c r="N12541" t="s">
        <v>32486</v>
      </c>
      <c r="O12541" t="s">
        <v>35246</v>
      </c>
      <c r="P12541">
        <v>73131</v>
      </c>
      <c r="Q12541" t="str">
        <f>"35.515144"</f>
        <v>35.515144</v>
      </c>
      <c r="R12541" t="str">
        <f>"24.010325"</f>
        <v>24.010325</v>
      </c>
      <c r="S12541" t="s">
        <v>26</v>
      </c>
    </row>
    <row r="12542" spans="1:19" x14ac:dyDescent="0.3">
      <c r="A12542" t="s">
        <v>32470</v>
      </c>
      <c r="B12542" t="s">
        <v>35016</v>
      </c>
      <c r="C12542" t="s">
        <v>35247</v>
      </c>
      <c r="D12542" t="s">
        <v>32486</v>
      </c>
      <c r="E12542" t="s">
        <v>32486</v>
      </c>
      <c r="F12542" t="s">
        <v>32486</v>
      </c>
      <c r="G12542" t="s">
        <v>32486</v>
      </c>
      <c r="H12542" t="s">
        <v>859</v>
      </c>
      <c r="I12542" t="s">
        <v>860</v>
      </c>
      <c r="J12542" t="str">
        <f>"9500079"</f>
        <v>9500079</v>
      </c>
      <c r="K12542">
        <v>2821056880</v>
      </c>
      <c r="M12542" t="s">
        <v>35248</v>
      </c>
      <c r="N12542" t="s">
        <v>32486</v>
      </c>
      <c r="O12542" t="s">
        <v>35249</v>
      </c>
      <c r="P12542">
        <v>73134</v>
      </c>
      <c r="Q12542" t="str">
        <f>"35.508931"</f>
        <v>35.508931</v>
      </c>
      <c r="R12542" t="str">
        <f>"24.026827"</f>
        <v>24.026827</v>
      </c>
      <c r="S12542" t="s">
        <v>26</v>
      </c>
    </row>
    <row r="12543" spans="1:19" x14ac:dyDescent="0.3">
      <c r="A12543" t="s">
        <v>32470</v>
      </c>
      <c r="B12543" t="s">
        <v>35016</v>
      </c>
      <c r="C12543" t="s">
        <v>35251</v>
      </c>
      <c r="D12543" t="s">
        <v>32486</v>
      </c>
      <c r="E12543" t="s">
        <v>32486</v>
      </c>
      <c r="F12543" t="s">
        <v>33268</v>
      </c>
      <c r="G12543" t="s">
        <v>35250</v>
      </c>
      <c r="H12543" t="s">
        <v>859</v>
      </c>
      <c r="I12543" t="s">
        <v>1102</v>
      </c>
      <c r="J12543" t="str">
        <f>"9500373"</f>
        <v>9500373</v>
      </c>
      <c r="K12543">
        <v>2821074322</v>
      </c>
      <c r="L12543">
        <v>2821097756</v>
      </c>
      <c r="M12543" t="s">
        <v>35252</v>
      </c>
      <c r="N12543" t="s">
        <v>32489</v>
      </c>
      <c r="O12543" t="s">
        <v>35253</v>
      </c>
      <c r="P12543">
        <v>73100</v>
      </c>
      <c r="Q12543" t="str">
        <f>"35.428744"</f>
        <v>35.428744</v>
      </c>
      <c r="R12543" t="str">
        <f>"24.025014"</f>
        <v>24.025014</v>
      </c>
      <c r="S12543" t="s">
        <v>26</v>
      </c>
    </row>
    <row r="12544" spans="1:19" x14ac:dyDescent="0.3">
      <c r="A12544" t="s">
        <v>32470</v>
      </c>
      <c r="B12544" t="s">
        <v>35016</v>
      </c>
      <c r="C12544" t="s">
        <v>35254</v>
      </c>
      <c r="D12544" t="s">
        <v>32486</v>
      </c>
      <c r="E12544" t="s">
        <v>32486</v>
      </c>
      <c r="F12544" t="s">
        <v>32486</v>
      </c>
      <c r="G12544" t="s">
        <v>32486</v>
      </c>
      <c r="H12544" t="s">
        <v>859</v>
      </c>
      <c r="I12544" t="s">
        <v>860</v>
      </c>
      <c r="J12544" t="str">
        <f>"9500072"</f>
        <v>9500072</v>
      </c>
      <c r="K12544">
        <v>2821094168</v>
      </c>
      <c r="M12544" t="s">
        <v>35255</v>
      </c>
      <c r="N12544" t="s">
        <v>32486</v>
      </c>
      <c r="O12544" t="s">
        <v>35256</v>
      </c>
      <c r="P12544">
        <v>73135</v>
      </c>
      <c r="Q12544" t="str">
        <f>"35.506535"</f>
        <v>35.506535</v>
      </c>
      <c r="R12544" t="str">
        <f>"24.022966"</f>
        <v>24.022966</v>
      </c>
      <c r="S12544" t="s">
        <v>26</v>
      </c>
    </row>
    <row r="12545" spans="1:19" x14ac:dyDescent="0.3">
      <c r="A12545" t="s">
        <v>32470</v>
      </c>
      <c r="B12545" t="s">
        <v>35016</v>
      </c>
      <c r="C12545" t="s">
        <v>35259</v>
      </c>
      <c r="D12545" t="s">
        <v>32486</v>
      </c>
      <c r="E12545" t="s">
        <v>32486</v>
      </c>
      <c r="F12545" t="s">
        <v>32486</v>
      </c>
      <c r="G12545" t="s">
        <v>32486</v>
      </c>
      <c r="H12545" t="s">
        <v>859</v>
      </c>
      <c r="I12545" t="s">
        <v>860</v>
      </c>
      <c r="J12545" t="str">
        <f>"9500074"</f>
        <v>9500074</v>
      </c>
      <c r="K12545">
        <v>2821027355</v>
      </c>
      <c r="L12545">
        <v>2821027355</v>
      </c>
      <c r="M12545" t="s">
        <v>35260</v>
      </c>
      <c r="N12545" t="s">
        <v>32486</v>
      </c>
      <c r="O12545" t="s">
        <v>35261</v>
      </c>
      <c r="P12545">
        <v>73133</v>
      </c>
      <c r="Q12545" t="str">
        <f>"35.512448"</f>
        <v>35.512448</v>
      </c>
      <c r="R12545" t="str">
        <f>"24.038336"</f>
        <v>24.038336</v>
      </c>
      <c r="S12545" t="s">
        <v>26</v>
      </c>
    </row>
    <row r="12546" spans="1:19" x14ac:dyDescent="0.3">
      <c r="A12546" t="s">
        <v>32470</v>
      </c>
      <c r="B12546" t="s">
        <v>35016</v>
      </c>
      <c r="C12546" t="s">
        <v>35262</v>
      </c>
      <c r="D12546" t="s">
        <v>32486</v>
      </c>
      <c r="E12546" t="s">
        <v>32486</v>
      </c>
      <c r="F12546" t="s">
        <v>32486</v>
      </c>
      <c r="G12546" t="s">
        <v>32486</v>
      </c>
      <c r="H12546" t="s">
        <v>859</v>
      </c>
      <c r="I12546" t="s">
        <v>860</v>
      </c>
      <c r="J12546" t="str">
        <f>"9500258"</f>
        <v>9500258</v>
      </c>
      <c r="K12546">
        <v>2821090938</v>
      </c>
      <c r="L12546">
        <v>2821090938</v>
      </c>
      <c r="M12546" t="s">
        <v>35263</v>
      </c>
      <c r="N12546" t="s">
        <v>32486</v>
      </c>
      <c r="O12546" t="s">
        <v>35264</v>
      </c>
      <c r="P12546">
        <v>73136</v>
      </c>
      <c r="Q12546" t="str">
        <f>"35.508849"</f>
        <v>35.508849</v>
      </c>
      <c r="R12546" t="str">
        <f>"24.018092"</f>
        <v>24.018092</v>
      </c>
      <c r="S12546" t="s">
        <v>26</v>
      </c>
    </row>
    <row r="12547" spans="1:19" x14ac:dyDescent="0.3">
      <c r="A12547" t="s">
        <v>32470</v>
      </c>
      <c r="B12547" t="s">
        <v>35016</v>
      </c>
      <c r="C12547" t="s">
        <v>35265</v>
      </c>
      <c r="D12547" t="s">
        <v>32486</v>
      </c>
      <c r="E12547" t="s">
        <v>33218</v>
      </c>
      <c r="F12547" t="s">
        <v>33219</v>
      </c>
      <c r="G12547" t="s">
        <v>27503</v>
      </c>
      <c r="H12547" t="s">
        <v>859</v>
      </c>
      <c r="I12547" t="s">
        <v>860</v>
      </c>
      <c r="J12547" t="str">
        <f>"9500176"</f>
        <v>9500176</v>
      </c>
      <c r="K12547">
        <v>2823041288</v>
      </c>
      <c r="M12547" t="s">
        <v>35266</v>
      </c>
      <c r="N12547" t="s">
        <v>27503</v>
      </c>
      <c r="O12547" t="s">
        <v>27506</v>
      </c>
      <c r="P12547">
        <v>73001</v>
      </c>
      <c r="Q12547" t="str">
        <f>"35.238314"</f>
        <v>35.238314</v>
      </c>
      <c r="R12547" t="str">
        <f>"23.677830"</f>
        <v>23.677830</v>
      </c>
      <c r="S12547" t="s">
        <v>57</v>
      </c>
    </row>
    <row r="12548" spans="1:19" x14ac:dyDescent="0.3">
      <c r="A12548" t="s">
        <v>32470</v>
      </c>
      <c r="B12548" t="s">
        <v>35016</v>
      </c>
      <c r="C12548" t="s">
        <v>35269</v>
      </c>
      <c r="D12548" t="s">
        <v>32486</v>
      </c>
      <c r="E12548" t="s">
        <v>33301</v>
      </c>
      <c r="F12548" t="s">
        <v>35267</v>
      </c>
      <c r="G12548" t="s">
        <v>35268</v>
      </c>
      <c r="H12548" t="s">
        <v>859</v>
      </c>
      <c r="I12548" t="s">
        <v>860</v>
      </c>
      <c r="J12548" t="str">
        <f>"9500417"</f>
        <v>9500417</v>
      </c>
      <c r="K12548">
        <v>2822032013</v>
      </c>
      <c r="L12548">
        <v>2822032013</v>
      </c>
      <c r="M12548" t="s">
        <v>35270</v>
      </c>
      <c r="N12548" t="s">
        <v>35268</v>
      </c>
      <c r="O12548" t="s">
        <v>35271</v>
      </c>
      <c r="P12548">
        <v>73400</v>
      </c>
      <c r="Q12548" t="str">
        <f>"35.470598"</f>
        <v>35.470598</v>
      </c>
      <c r="R12548" t="str">
        <f>"23.694647"</f>
        <v>23.694647</v>
      </c>
      <c r="S12548" t="s">
        <v>26</v>
      </c>
    </row>
    <row r="12549" spans="1:19" x14ac:dyDescent="0.3">
      <c r="A12549" t="s">
        <v>32470</v>
      </c>
      <c r="B12549" t="s">
        <v>35016</v>
      </c>
      <c r="C12549" t="s">
        <v>35272</v>
      </c>
      <c r="D12549" t="s">
        <v>32486</v>
      </c>
      <c r="E12549" t="s">
        <v>32486</v>
      </c>
      <c r="F12549" t="s">
        <v>32486</v>
      </c>
      <c r="G12549" t="s">
        <v>32486</v>
      </c>
      <c r="H12549" t="s">
        <v>859</v>
      </c>
      <c r="I12549" t="s">
        <v>860</v>
      </c>
      <c r="J12549" t="str">
        <f>"9500347"</f>
        <v>9500347</v>
      </c>
      <c r="K12549">
        <v>2821092365</v>
      </c>
      <c r="M12549" t="s">
        <v>35273</v>
      </c>
      <c r="N12549" t="s">
        <v>32486</v>
      </c>
      <c r="O12549" t="s">
        <v>35274</v>
      </c>
      <c r="P12549">
        <v>73136</v>
      </c>
      <c r="Q12549" t="str">
        <f>"35.508976"</f>
        <v>35.508976</v>
      </c>
      <c r="R12549" t="str">
        <f>"24.011890"</f>
        <v>24.011890</v>
      </c>
      <c r="S12549" t="s">
        <v>26</v>
      </c>
    </row>
    <row r="12550" spans="1:19" x14ac:dyDescent="0.3">
      <c r="A12550" t="s">
        <v>32470</v>
      </c>
      <c r="B12550" t="s">
        <v>35016</v>
      </c>
      <c r="C12550" t="s">
        <v>35275</v>
      </c>
      <c r="D12550" t="s">
        <v>32486</v>
      </c>
      <c r="E12550" t="s">
        <v>32486</v>
      </c>
      <c r="F12550" t="s">
        <v>13933</v>
      </c>
      <c r="G12550" t="s">
        <v>33253</v>
      </c>
      <c r="H12550" t="s">
        <v>859</v>
      </c>
      <c r="I12550" t="s">
        <v>860</v>
      </c>
      <c r="J12550" t="str">
        <f>"9500369"</f>
        <v>9500369</v>
      </c>
      <c r="K12550">
        <v>2821099596</v>
      </c>
      <c r="L12550">
        <v>2821099596</v>
      </c>
      <c r="M12550" t="s">
        <v>35276</v>
      </c>
      <c r="N12550" t="s">
        <v>33253</v>
      </c>
      <c r="O12550" t="s">
        <v>35277</v>
      </c>
      <c r="P12550">
        <v>73300</v>
      </c>
      <c r="Q12550" t="str">
        <f>"35.498181"</f>
        <v>35.498181</v>
      </c>
      <c r="R12550" t="str">
        <f>"24.012169"</f>
        <v>24.012169</v>
      </c>
      <c r="S12550" t="s">
        <v>26</v>
      </c>
    </row>
    <row r="12551" spans="1:19" x14ac:dyDescent="0.3">
      <c r="A12551" t="s">
        <v>32470</v>
      </c>
      <c r="B12551" t="s">
        <v>35016</v>
      </c>
      <c r="C12551" t="s">
        <v>35278</v>
      </c>
      <c r="D12551" t="s">
        <v>32486</v>
      </c>
      <c r="E12551" t="s">
        <v>33218</v>
      </c>
      <c r="F12551" t="s">
        <v>33239</v>
      </c>
      <c r="G12551" t="s">
        <v>33240</v>
      </c>
      <c r="H12551" t="s">
        <v>859</v>
      </c>
      <c r="I12551" t="s">
        <v>860</v>
      </c>
      <c r="J12551" t="str">
        <f>"9500174"</f>
        <v>9500174</v>
      </c>
      <c r="K12551">
        <v>2823022202</v>
      </c>
      <c r="L12551">
        <v>2823022202</v>
      </c>
      <c r="M12551" t="s">
        <v>35279</v>
      </c>
      <c r="N12551" t="s">
        <v>33239</v>
      </c>
      <c r="O12551" t="s">
        <v>33244</v>
      </c>
      <c r="P12551">
        <v>73004</v>
      </c>
      <c r="Q12551" t="str">
        <f>"35.332178"</f>
        <v>35.332178</v>
      </c>
      <c r="R12551" t="str">
        <f>"23.748807"</f>
        <v>23.748807</v>
      </c>
      <c r="S12551" t="s">
        <v>57</v>
      </c>
    </row>
    <row r="12552" spans="1:19" x14ac:dyDescent="0.3">
      <c r="A12552" t="s">
        <v>32470</v>
      </c>
      <c r="B12552" t="s">
        <v>35016</v>
      </c>
      <c r="C12552" t="s">
        <v>35280</v>
      </c>
      <c r="D12552" t="s">
        <v>32486</v>
      </c>
      <c r="E12552" t="s">
        <v>32486</v>
      </c>
      <c r="F12552" t="s">
        <v>32486</v>
      </c>
      <c r="G12552" t="s">
        <v>32486</v>
      </c>
      <c r="H12552" t="s">
        <v>859</v>
      </c>
      <c r="I12552" t="s">
        <v>860</v>
      </c>
      <c r="J12552" t="str">
        <f>"9500376"</f>
        <v>9500376</v>
      </c>
      <c r="K12552">
        <v>2821097941</v>
      </c>
      <c r="L12552">
        <v>2821097941</v>
      </c>
      <c r="M12552" t="s">
        <v>35281</v>
      </c>
      <c r="N12552" t="s">
        <v>32486</v>
      </c>
      <c r="O12552" t="s">
        <v>35282</v>
      </c>
      <c r="P12552">
        <v>73136</v>
      </c>
      <c r="Q12552" t="str">
        <f>"35.507297"</f>
        <v>35.507297</v>
      </c>
      <c r="R12552" t="str">
        <f>"24.011678"</f>
        <v>24.011678</v>
      </c>
      <c r="S12552" t="s">
        <v>26</v>
      </c>
    </row>
    <row r="12553" spans="1:19" x14ac:dyDescent="0.3">
      <c r="A12553" t="s">
        <v>32470</v>
      </c>
      <c r="B12553" t="s">
        <v>35016</v>
      </c>
      <c r="C12553" t="s">
        <v>35283</v>
      </c>
      <c r="D12553" t="s">
        <v>32486</v>
      </c>
      <c r="E12553" t="s">
        <v>20356</v>
      </c>
      <c r="F12553" t="s">
        <v>33307</v>
      </c>
      <c r="G12553" t="s">
        <v>33307</v>
      </c>
      <c r="H12553" t="s">
        <v>859</v>
      </c>
      <c r="I12553" t="s">
        <v>860</v>
      </c>
      <c r="J12553" t="str">
        <f>"9500127"</f>
        <v>9500127</v>
      </c>
      <c r="K12553">
        <v>2824031321</v>
      </c>
      <c r="L12553">
        <v>2824031321</v>
      </c>
      <c r="M12553" t="s">
        <v>35284</v>
      </c>
      <c r="N12553" t="s">
        <v>33307</v>
      </c>
      <c r="O12553" t="s">
        <v>33311</v>
      </c>
      <c r="P12553">
        <v>73002</v>
      </c>
      <c r="Q12553" t="str">
        <f>"35.467035"</f>
        <v>35.467035</v>
      </c>
      <c r="R12553" t="str">
        <f>"23.799868"</f>
        <v>23.799868</v>
      </c>
      <c r="S12553" t="s">
        <v>26</v>
      </c>
    </row>
    <row r="12554" spans="1:19" x14ac:dyDescent="0.3">
      <c r="A12554" t="s">
        <v>32470</v>
      </c>
      <c r="B12554" t="s">
        <v>35016</v>
      </c>
      <c r="C12554" t="s">
        <v>35289</v>
      </c>
      <c r="D12554" t="s">
        <v>32486</v>
      </c>
      <c r="E12554" t="s">
        <v>32486</v>
      </c>
      <c r="F12554" t="s">
        <v>32486</v>
      </c>
      <c r="G12554" t="s">
        <v>32486</v>
      </c>
      <c r="H12554" t="s">
        <v>859</v>
      </c>
      <c r="I12554" t="s">
        <v>860</v>
      </c>
      <c r="J12554" t="str">
        <f>"9500377"</f>
        <v>9500377</v>
      </c>
      <c r="K12554">
        <v>2821056880</v>
      </c>
      <c r="M12554" t="s">
        <v>35290</v>
      </c>
      <c r="N12554" t="s">
        <v>32486</v>
      </c>
      <c r="O12554" t="s">
        <v>35249</v>
      </c>
      <c r="P12554">
        <v>73134</v>
      </c>
      <c r="Q12554" t="str">
        <f>"35.509149"</f>
        <v>35.509149</v>
      </c>
      <c r="R12554" t="str">
        <f>"24.026881"</f>
        <v>24.026881</v>
      </c>
      <c r="S12554" t="s">
        <v>26</v>
      </c>
    </row>
    <row r="12555" spans="1:19" x14ac:dyDescent="0.3">
      <c r="A12555" t="s">
        <v>32470</v>
      </c>
      <c r="B12555" t="s">
        <v>35016</v>
      </c>
      <c r="C12555" t="s">
        <v>35291</v>
      </c>
      <c r="D12555" t="s">
        <v>32486</v>
      </c>
      <c r="E12555" t="s">
        <v>32486</v>
      </c>
      <c r="F12555" t="s">
        <v>32486</v>
      </c>
      <c r="G12555" t="s">
        <v>32486</v>
      </c>
      <c r="H12555" t="s">
        <v>859</v>
      </c>
      <c r="I12555" t="s">
        <v>860</v>
      </c>
      <c r="J12555" t="str">
        <f>"9500339"</f>
        <v>9500339</v>
      </c>
      <c r="K12555">
        <v>2821091660</v>
      </c>
      <c r="M12555" t="s">
        <v>35292</v>
      </c>
      <c r="N12555" t="s">
        <v>32486</v>
      </c>
      <c r="O12555" t="s">
        <v>35246</v>
      </c>
      <c r="P12555">
        <v>73131</v>
      </c>
      <c r="Q12555" t="str">
        <f>"35.515154"</f>
        <v>35.515154</v>
      </c>
      <c r="R12555" t="str">
        <f>"24.010332"</f>
        <v>24.010332</v>
      </c>
      <c r="S12555" t="s">
        <v>26</v>
      </c>
    </row>
    <row r="12556" spans="1:19" x14ac:dyDescent="0.3">
      <c r="A12556" t="s">
        <v>32470</v>
      </c>
      <c r="B12556" t="s">
        <v>35016</v>
      </c>
      <c r="C12556" t="s">
        <v>35293</v>
      </c>
      <c r="D12556" t="s">
        <v>32486</v>
      </c>
      <c r="E12556" t="s">
        <v>32486</v>
      </c>
      <c r="F12556" t="s">
        <v>32486</v>
      </c>
      <c r="G12556" t="s">
        <v>32486</v>
      </c>
      <c r="H12556" t="s">
        <v>859</v>
      </c>
      <c r="I12556" t="s">
        <v>860</v>
      </c>
      <c r="J12556" t="str">
        <f>"9500303"</f>
        <v>9500303</v>
      </c>
      <c r="K12556">
        <v>2821094168</v>
      </c>
      <c r="L12556">
        <v>2821094168</v>
      </c>
      <c r="M12556" t="s">
        <v>35294</v>
      </c>
      <c r="N12556" t="s">
        <v>32486</v>
      </c>
      <c r="O12556" t="s">
        <v>35256</v>
      </c>
      <c r="P12556">
        <v>73135</v>
      </c>
      <c r="Q12556" t="str">
        <f>"35.506570"</f>
        <v>35.506570</v>
      </c>
      <c r="R12556" t="str">
        <f>"24.023003"</f>
        <v>24.023003</v>
      </c>
      <c r="S12556" t="s">
        <v>26</v>
      </c>
    </row>
    <row r="12557" spans="1:19" x14ac:dyDescent="0.3">
      <c r="A12557" t="s">
        <v>32470</v>
      </c>
      <c r="B12557" t="s">
        <v>35016</v>
      </c>
      <c r="C12557" t="s">
        <v>35295</v>
      </c>
      <c r="D12557" t="s">
        <v>32486</v>
      </c>
      <c r="E12557" t="s">
        <v>35222</v>
      </c>
      <c r="F12557" t="s">
        <v>35222</v>
      </c>
      <c r="G12557" t="s">
        <v>35222</v>
      </c>
      <c r="H12557" t="s">
        <v>859</v>
      </c>
      <c r="I12557" t="s">
        <v>860</v>
      </c>
      <c r="J12557" t="str">
        <f>"9520800"</f>
        <v>9520800</v>
      </c>
      <c r="K12557">
        <v>2823041125</v>
      </c>
      <c r="M12557" t="s">
        <v>35296</v>
      </c>
      <c r="N12557" t="s">
        <v>35222</v>
      </c>
      <c r="O12557" t="s">
        <v>35225</v>
      </c>
      <c r="P12557">
        <v>73001</v>
      </c>
      <c r="Q12557" t="str">
        <f>"34.831429"</f>
        <v>34.831429</v>
      </c>
      <c r="R12557" t="str">
        <f>"24.081497"</f>
        <v>24.081497</v>
      </c>
      <c r="S12557" t="s">
        <v>57</v>
      </c>
    </row>
    <row r="12558" spans="1:19" x14ac:dyDescent="0.3">
      <c r="A12558" t="s">
        <v>32470</v>
      </c>
      <c r="B12558" t="s">
        <v>35016</v>
      </c>
      <c r="C12558" t="s">
        <v>35298</v>
      </c>
      <c r="D12558" t="s">
        <v>32486</v>
      </c>
      <c r="E12558" t="s">
        <v>33301</v>
      </c>
      <c r="F12558" t="s">
        <v>35267</v>
      </c>
      <c r="G12558" t="s">
        <v>35297</v>
      </c>
      <c r="H12558" t="s">
        <v>859</v>
      </c>
      <c r="I12558" t="s">
        <v>860</v>
      </c>
      <c r="J12558" t="str">
        <f>"9500353"</f>
        <v>9500353</v>
      </c>
      <c r="K12558">
        <v>2822031697</v>
      </c>
      <c r="M12558" t="s">
        <v>35299</v>
      </c>
      <c r="N12558" t="s">
        <v>35297</v>
      </c>
      <c r="O12558" t="s">
        <v>35300</v>
      </c>
      <c r="P12558">
        <v>73400</v>
      </c>
      <c r="Q12558" t="str">
        <f>"35.460018"</f>
        <v>35.460018</v>
      </c>
      <c r="R12558" t="str">
        <f>"23.721014"</f>
        <v>23.721014</v>
      </c>
      <c r="S12558" t="s">
        <v>26</v>
      </c>
    </row>
    <row r="12559" spans="1:19" x14ac:dyDescent="0.3">
      <c r="A12559" t="s">
        <v>32470</v>
      </c>
      <c r="B12559" t="s">
        <v>35016</v>
      </c>
      <c r="C12559" t="s">
        <v>35301</v>
      </c>
      <c r="D12559" t="s">
        <v>32486</v>
      </c>
      <c r="E12559" t="s">
        <v>32486</v>
      </c>
      <c r="F12559" t="s">
        <v>32486</v>
      </c>
      <c r="G12559" t="s">
        <v>32486</v>
      </c>
      <c r="H12559" t="s">
        <v>859</v>
      </c>
      <c r="I12559" t="s">
        <v>860</v>
      </c>
      <c r="J12559" t="str">
        <f>"9500378"</f>
        <v>9500378</v>
      </c>
      <c r="K12559">
        <v>2821094168</v>
      </c>
      <c r="L12559">
        <v>2821094168</v>
      </c>
      <c r="M12559" t="s">
        <v>35302</v>
      </c>
      <c r="N12559" t="s">
        <v>32486</v>
      </c>
      <c r="O12559" t="s">
        <v>35256</v>
      </c>
      <c r="P12559">
        <v>73135</v>
      </c>
      <c r="Q12559" t="str">
        <f>"35.506522"</f>
        <v>35.506522</v>
      </c>
      <c r="R12559" t="str">
        <f>"24.022477"</f>
        <v>24.022477</v>
      </c>
      <c r="S12559" t="s">
        <v>26</v>
      </c>
    </row>
    <row r="12560" spans="1:19" x14ac:dyDescent="0.3">
      <c r="A12560" t="s">
        <v>32470</v>
      </c>
      <c r="B12560" t="s">
        <v>35016</v>
      </c>
      <c r="C12560" t="s">
        <v>35303</v>
      </c>
      <c r="D12560" t="s">
        <v>32486</v>
      </c>
      <c r="E12560" t="s">
        <v>32486</v>
      </c>
      <c r="F12560" t="s">
        <v>33372</v>
      </c>
      <c r="G12560" t="s">
        <v>6337</v>
      </c>
      <c r="H12560" t="s">
        <v>859</v>
      </c>
      <c r="I12560" t="s">
        <v>860</v>
      </c>
      <c r="J12560" t="str">
        <f>"9500366"</f>
        <v>9500366</v>
      </c>
      <c r="K12560">
        <v>2821032585</v>
      </c>
      <c r="L12560">
        <v>2821032585</v>
      </c>
      <c r="M12560" t="s">
        <v>35304</v>
      </c>
      <c r="N12560" t="s">
        <v>33372</v>
      </c>
      <c r="O12560" t="s">
        <v>35305</v>
      </c>
      <c r="P12560">
        <v>73100</v>
      </c>
      <c r="Q12560" t="str">
        <f>"35.498054"</f>
        <v>35.498054</v>
      </c>
      <c r="R12560" t="str">
        <f>"23.963054"</f>
        <v>23.963054</v>
      </c>
      <c r="S12560" t="s">
        <v>26</v>
      </c>
    </row>
    <row r="12561" spans="1:19" x14ac:dyDescent="0.3">
      <c r="A12561" t="s">
        <v>32470</v>
      </c>
      <c r="B12561" t="s">
        <v>35016</v>
      </c>
      <c r="C12561" t="s">
        <v>35309</v>
      </c>
      <c r="D12561" t="s">
        <v>32486</v>
      </c>
      <c r="E12561" t="s">
        <v>32486</v>
      </c>
      <c r="F12561" t="s">
        <v>32486</v>
      </c>
      <c r="G12561" t="s">
        <v>32486</v>
      </c>
      <c r="H12561" t="s">
        <v>859</v>
      </c>
      <c r="I12561" t="s">
        <v>860</v>
      </c>
      <c r="J12561" t="str">
        <f>"9500250"</f>
        <v>9500250</v>
      </c>
      <c r="K12561">
        <v>2821071236</v>
      </c>
      <c r="L12561">
        <v>2821071236</v>
      </c>
      <c r="M12561" t="s">
        <v>35310</v>
      </c>
      <c r="N12561" t="s">
        <v>32486</v>
      </c>
      <c r="O12561" t="s">
        <v>35311</v>
      </c>
      <c r="P12561">
        <v>73135</v>
      </c>
      <c r="Q12561" t="str">
        <f>"35.507243"</f>
        <v>35.507243</v>
      </c>
      <c r="R12561" t="str">
        <f>"24.019253"</f>
        <v>24.019253</v>
      </c>
      <c r="S12561" t="s">
        <v>26</v>
      </c>
    </row>
    <row r="12562" spans="1:19" x14ac:dyDescent="0.3">
      <c r="A12562" t="s">
        <v>32470</v>
      </c>
      <c r="B12562" t="s">
        <v>35016</v>
      </c>
      <c r="C12562" t="s">
        <v>35312</v>
      </c>
      <c r="D12562" t="s">
        <v>32486</v>
      </c>
      <c r="E12562" t="s">
        <v>32486</v>
      </c>
      <c r="F12562" t="s">
        <v>33262</v>
      </c>
      <c r="G12562" t="s">
        <v>33262</v>
      </c>
      <c r="H12562" t="s">
        <v>859</v>
      </c>
      <c r="I12562" t="s">
        <v>860</v>
      </c>
      <c r="J12562" t="str">
        <f>"9500406"</f>
        <v>9500406</v>
      </c>
      <c r="K12562">
        <v>2821081597</v>
      </c>
      <c r="L12562">
        <v>2821081597</v>
      </c>
      <c r="M12562" t="s">
        <v>35313</v>
      </c>
      <c r="N12562" t="s">
        <v>33262</v>
      </c>
      <c r="O12562" t="s">
        <v>35314</v>
      </c>
      <c r="P12562">
        <v>73200</v>
      </c>
      <c r="Q12562" t="str">
        <f>"35.516532"</f>
        <v>35.516532</v>
      </c>
      <c r="R12562" t="str">
        <f>"24.087880"</f>
        <v>24.087880</v>
      </c>
      <c r="S12562" t="s">
        <v>26</v>
      </c>
    </row>
    <row r="12563" spans="1:19" x14ac:dyDescent="0.3">
      <c r="A12563" t="s">
        <v>32470</v>
      </c>
      <c r="B12563" t="s">
        <v>35016</v>
      </c>
      <c r="C12563" t="s">
        <v>35315</v>
      </c>
      <c r="D12563" t="s">
        <v>32486</v>
      </c>
      <c r="E12563" t="s">
        <v>32486</v>
      </c>
      <c r="F12563" t="s">
        <v>32486</v>
      </c>
      <c r="G12563" t="s">
        <v>32486</v>
      </c>
      <c r="H12563" t="s">
        <v>859</v>
      </c>
      <c r="I12563" t="s">
        <v>860</v>
      </c>
      <c r="J12563" t="str">
        <f>"9500036"</f>
        <v>9500036</v>
      </c>
      <c r="K12563">
        <v>2821090544</v>
      </c>
      <c r="L12563">
        <v>2821090544</v>
      </c>
      <c r="M12563" t="s">
        <v>35316</v>
      </c>
      <c r="N12563" t="s">
        <v>35317</v>
      </c>
      <c r="O12563" t="s">
        <v>7899</v>
      </c>
      <c r="P12563">
        <v>73100</v>
      </c>
      <c r="Q12563" t="str">
        <f>"35.495306"</f>
        <v>35.495306</v>
      </c>
      <c r="R12563" t="str">
        <f>"24.027696"</f>
        <v>24.027696</v>
      </c>
      <c r="S12563" t="s">
        <v>26</v>
      </c>
    </row>
    <row r="12564" spans="1:19" x14ac:dyDescent="0.3">
      <c r="A12564" t="s">
        <v>32470</v>
      </c>
      <c r="B12564" t="s">
        <v>35016</v>
      </c>
      <c r="C12564" t="s">
        <v>35318</v>
      </c>
      <c r="D12564" t="s">
        <v>32486</v>
      </c>
      <c r="E12564" t="s">
        <v>32486</v>
      </c>
      <c r="F12564" t="s">
        <v>32486</v>
      </c>
      <c r="G12564" t="s">
        <v>32486</v>
      </c>
      <c r="H12564" t="s">
        <v>859</v>
      </c>
      <c r="I12564" t="s">
        <v>860</v>
      </c>
      <c r="J12564" t="str">
        <f>"9500400"</f>
        <v>9500400</v>
      </c>
      <c r="K12564">
        <v>2821090544</v>
      </c>
      <c r="L12564">
        <v>2821090544</v>
      </c>
      <c r="M12564" t="s">
        <v>35319</v>
      </c>
      <c r="N12564" t="s">
        <v>35317</v>
      </c>
      <c r="O12564" t="s">
        <v>35320</v>
      </c>
      <c r="P12564">
        <v>73100</v>
      </c>
      <c r="Q12564" t="str">
        <f>"35.495455"</f>
        <v>35.495455</v>
      </c>
      <c r="R12564" t="str">
        <f>"24.027643"</f>
        <v>24.027643</v>
      </c>
      <c r="S12564" t="s">
        <v>26</v>
      </c>
    </row>
    <row r="12565" spans="1:19" x14ac:dyDescent="0.3">
      <c r="A12565" t="s">
        <v>32470</v>
      </c>
      <c r="B12565" t="s">
        <v>35016</v>
      </c>
      <c r="C12565" t="s">
        <v>35321</v>
      </c>
      <c r="D12565" t="s">
        <v>32486</v>
      </c>
      <c r="E12565" t="s">
        <v>32486</v>
      </c>
      <c r="F12565" t="s">
        <v>13933</v>
      </c>
      <c r="G12565" t="s">
        <v>33360</v>
      </c>
      <c r="H12565" t="s">
        <v>859</v>
      </c>
      <c r="I12565" t="s">
        <v>860</v>
      </c>
      <c r="J12565" t="str">
        <f>"9500425"</f>
        <v>9500425</v>
      </c>
      <c r="K12565">
        <v>2821094663</v>
      </c>
      <c r="L12565">
        <v>2821094663</v>
      </c>
      <c r="M12565" t="s">
        <v>35322</v>
      </c>
      <c r="N12565" t="s">
        <v>35323</v>
      </c>
      <c r="O12565" t="s">
        <v>35324</v>
      </c>
      <c r="P12565">
        <v>73100</v>
      </c>
      <c r="Q12565" t="str">
        <f>"35.497446"</f>
        <v>35.497446</v>
      </c>
      <c r="R12565" t="str">
        <f>"24.031816"</f>
        <v>24.031816</v>
      </c>
      <c r="S12565" t="s">
        <v>26</v>
      </c>
    </row>
    <row r="12566" spans="1:19" x14ac:dyDescent="0.3">
      <c r="A12566" t="s">
        <v>32470</v>
      </c>
      <c r="B12566" t="s">
        <v>35016</v>
      </c>
      <c r="C12566" t="s">
        <v>35325</v>
      </c>
      <c r="D12566" t="s">
        <v>32486</v>
      </c>
      <c r="E12566" t="s">
        <v>32486</v>
      </c>
      <c r="F12566" t="s">
        <v>13933</v>
      </c>
      <c r="G12566" t="s">
        <v>33360</v>
      </c>
      <c r="H12566" t="s">
        <v>859</v>
      </c>
      <c r="I12566" t="s">
        <v>860</v>
      </c>
      <c r="J12566" t="str">
        <f>"9500342"</f>
        <v>9500342</v>
      </c>
      <c r="K12566">
        <v>2821076440</v>
      </c>
      <c r="M12566" t="s">
        <v>35326</v>
      </c>
      <c r="N12566" t="s">
        <v>35323</v>
      </c>
      <c r="O12566" t="s">
        <v>35327</v>
      </c>
      <c r="P12566">
        <v>73100</v>
      </c>
      <c r="Q12566" t="str">
        <f>"35.428744"</f>
        <v>35.428744</v>
      </c>
      <c r="R12566" t="str">
        <f>"24.025014"</f>
        <v>24.025014</v>
      </c>
      <c r="S12566" t="s">
        <v>26</v>
      </c>
    </row>
    <row r="12567" spans="1:19" x14ac:dyDescent="0.3">
      <c r="A12567" t="s">
        <v>32470</v>
      </c>
      <c r="B12567" t="s">
        <v>35016</v>
      </c>
      <c r="C12567" t="s">
        <v>35328</v>
      </c>
      <c r="D12567" t="s">
        <v>32486</v>
      </c>
      <c r="E12567" t="s">
        <v>32486</v>
      </c>
      <c r="F12567" t="s">
        <v>13933</v>
      </c>
      <c r="G12567" t="s">
        <v>33253</v>
      </c>
      <c r="H12567" t="s">
        <v>859</v>
      </c>
      <c r="I12567" t="s">
        <v>860</v>
      </c>
      <c r="J12567" t="str">
        <f>"9500422"</f>
        <v>9500422</v>
      </c>
      <c r="K12567">
        <v>2821095574</v>
      </c>
      <c r="L12567">
        <v>2821095574</v>
      </c>
      <c r="M12567" t="s">
        <v>35329</v>
      </c>
      <c r="N12567" t="s">
        <v>33253</v>
      </c>
      <c r="O12567" t="s">
        <v>35277</v>
      </c>
      <c r="P12567">
        <v>73300</v>
      </c>
      <c r="Q12567" t="str">
        <f>"35.498174"</f>
        <v>35.498174</v>
      </c>
      <c r="R12567" t="str">
        <f>"24.012238"</f>
        <v>24.012238</v>
      </c>
      <c r="S12567" t="s">
        <v>26</v>
      </c>
    </row>
    <row r="12568" spans="1:19" x14ac:dyDescent="0.3">
      <c r="A12568" t="s">
        <v>32470</v>
      </c>
      <c r="B12568" t="s">
        <v>35016</v>
      </c>
      <c r="C12568" t="s">
        <v>35330</v>
      </c>
      <c r="D12568" t="s">
        <v>32486</v>
      </c>
      <c r="E12568" t="s">
        <v>32486</v>
      </c>
      <c r="F12568" t="s">
        <v>35024</v>
      </c>
      <c r="G12568" t="s">
        <v>35097</v>
      </c>
      <c r="H12568" t="s">
        <v>859</v>
      </c>
      <c r="I12568" t="s">
        <v>860</v>
      </c>
      <c r="J12568" t="str">
        <f>"9500108"</f>
        <v>9500108</v>
      </c>
      <c r="K12568">
        <v>2821079280</v>
      </c>
      <c r="M12568" t="s">
        <v>35331</v>
      </c>
      <c r="N12568" t="s">
        <v>35182</v>
      </c>
      <c r="O12568" t="s">
        <v>35332</v>
      </c>
      <c r="P12568">
        <v>73100</v>
      </c>
      <c r="Q12568" t="str">
        <f>"35.493015"</f>
        <v>35.493015</v>
      </c>
      <c r="R12568" t="str">
        <f>"23.986537"</f>
        <v>23.986537</v>
      </c>
      <c r="S12568" t="s">
        <v>26</v>
      </c>
    </row>
    <row r="12569" spans="1:19" x14ac:dyDescent="0.3">
      <c r="A12569" t="s">
        <v>32470</v>
      </c>
      <c r="B12569" t="s">
        <v>35016</v>
      </c>
      <c r="C12569" t="s">
        <v>35336</v>
      </c>
      <c r="D12569" t="s">
        <v>32486</v>
      </c>
      <c r="E12569" t="s">
        <v>32486</v>
      </c>
      <c r="F12569" t="s">
        <v>32486</v>
      </c>
      <c r="G12569" t="s">
        <v>32486</v>
      </c>
      <c r="H12569" t="s">
        <v>859</v>
      </c>
      <c r="I12569" t="s">
        <v>860</v>
      </c>
      <c r="J12569" t="str">
        <f>"9500401"</f>
        <v>9500401</v>
      </c>
      <c r="K12569">
        <v>2821097774</v>
      </c>
      <c r="L12569">
        <v>2821097774</v>
      </c>
      <c r="M12569" t="s">
        <v>35337</v>
      </c>
      <c r="N12569" t="s">
        <v>32486</v>
      </c>
      <c r="O12569" t="s">
        <v>35338</v>
      </c>
      <c r="P12569">
        <v>73136</v>
      </c>
      <c r="Q12569" t="str">
        <f>"35.509463"</f>
        <v>35.509463</v>
      </c>
      <c r="R12569" t="str">
        <f>"24.013882"</f>
        <v>24.013882</v>
      </c>
      <c r="S12569" t="s">
        <v>26</v>
      </c>
    </row>
    <row r="12570" spans="1:19" x14ac:dyDescent="0.3">
      <c r="A12570" t="s">
        <v>32470</v>
      </c>
      <c r="B12570" t="s">
        <v>35016</v>
      </c>
      <c r="C12570" t="s">
        <v>35349</v>
      </c>
      <c r="D12570" t="s">
        <v>32486</v>
      </c>
      <c r="E12570" t="s">
        <v>32486</v>
      </c>
      <c r="F12570" t="s">
        <v>33262</v>
      </c>
      <c r="G12570" t="s">
        <v>35348</v>
      </c>
      <c r="H12570" t="s">
        <v>859</v>
      </c>
      <c r="I12570" t="s">
        <v>860</v>
      </c>
      <c r="J12570" t="str">
        <f>"9500291"</f>
        <v>9500291</v>
      </c>
      <c r="K12570">
        <v>2821081793</v>
      </c>
      <c r="M12570" t="s">
        <v>35350</v>
      </c>
      <c r="N12570" t="s">
        <v>35351</v>
      </c>
      <c r="O12570" t="s">
        <v>35352</v>
      </c>
      <c r="P12570">
        <v>73200</v>
      </c>
      <c r="Q12570" t="str">
        <f>"35.476952"</f>
        <v>35.476952</v>
      </c>
      <c r="R12570" t="str">
        <f>"24.059290"</f>
        <v>24.059290</v>
      </c>
      <c r="S12570" t="s">
        <v>26</v>
      </c>
    </row>
    <row r="12571" spans="1:19" x14ac:dyDescent="0.3">
      <c r="A12571" t="s">
        <v>32470</v>
      </c>
      <c r="B12571" t="s">
        <v>35016</v>
      </c>
      <c r="C12571" t="s">
        <v>35353</v>
      </c>
      <c r="D12571" t="s">
        <v>32486</v>
      </c>
      <c r="E12571" t="s">
        <v>32486</v>
      </c>
      <c r="F12571" t="s">
        <v>13933</v>
      </c>
      <c r="G12571" t="s">
        <v>33360</v>
      </c>
      <c r="H12571" t="s">
        <v>859</v>
      </c>
      <c r="I12571" t="s">
        <v>860</v>
      </c>
      <c r="J12571" t="str">
        <f>"9500296"</f>
        <v>9500296</v>
      </c>
      <c r="K12571">
        <v>2821099519</v>
      </c>
      <c r="L12571">
        <v>2821099519</v>
      </c>
      <c r="M12571" t="s">
        <v>35354</v>
      </c>
      <c r="N12571" t="s">
        <v>33315</v>
      </c>
      <c r="O12571" t="s">
        <v>33360</v>
      </c>
      <c r="P12571">
        <v>73100</v>
      </c>
      <c r="Q12571" t="str">
        <f>"35.490126"</f>
        <v>35.490126</v>
      </c>
      <c r="R12571" t="str">
        <f>"24.034129"</f>
        <v>24.034129</v>
      </c>
      <c r="S12571" t="s">
        <v>26</v>
      </c>
    </row>
    <row r="12572" spans="1:19" x14ac:dyDescent="0.3">
      <c r="A12572" t="s">
        <v>32470</v>
      </c>
      <c r="B12572" t="s">
        <v>35016</v>
      </c>
      <c r="C12572" t="s">
        <v>35355</v>
      </c>
      <c r="D12572" t="s">
        <v>32486</v>
      </c>
      <c r="E12572" t="s">
        <v>32486</v>
      </c>
      <c r="F12572" t="s">
        <v>13933</v>
      </c>
      <c r="G12572" t="s">
        <v>33360</v>
      </c>
      <c r="H12572" t="s">
        <v>859</v>
      </c>
      <c r="I12572" t="s">
        <v>860</v>
      </c>
      <c r="J12572" t="str">
        <f>"9500344"</f>
        <v>9500344</v>
      </c>
      <c r="K12572">
        <v>2821095241</v>
      </c>
      <c r="L12572">
        <v>2821095241</v>
      </c>
      <c r="M12572" t="s">
        <v>35356</v>
      </c>
      <c r="N12572" t="s">
        <v>35357</v>
      </c>
      <c r="O12572" t="s">
        <v>35358</v>
      </c>
      <c r="P12572">
        <v>73100</v>
      </c>
      <c r="Q12572" t="str">
        <f>"35.485984"</f>
        <v>35.485984</v>
      </c>
      <c r="R12572" t="str">
        <f>"24.031587"</f>
        <v>24.031587</v>
      </c>
      <c r="S12572" t="s">
        <v>26</v>
      </c>
    </row>
    <row r="12573" spans="1:19" x14ac:dyDescent="0.3">
      <c r="A12573" t="s">
        <v>32470</v>
      </c>
      <c r="B12573" t="s">
        <v>35016</v>
      </c>
      <c r="C12573" t="s">
        <v>35359</v>
      </c>
      <c r="D12573" t="s">
        <v>32486</v>
      </c>
      <c r="E12573" t="s">
        <v>32486</v>
      </c>
      <c r="F12573" t="s">
        <v>32486</v>
      </c>
      <c r="G12573" t="s">
        <v>32486</v>
      </c>
      <c r="H12573" t="s">
        <v>859</v>
      </c>
      <c r="I12573" t="s">
        <v>860</v>
      </c>
      <c r="J12573" t="str">
        <f>"9500141"</f>
        <v>9500141</v>
      </c>
      <c r="K12573">
        <v>2821092365</v>
      </c>
      <c r="L12573">
        <v>2821092365</v>
      </c>
      <c r="M12573" t="s">
        <v>35360</v>
      </c>
      <c r="N12573" t="s">
        <v>32486</v>
      </c>
      <c r="O12573" t="s">
        <v>35361</v>
      </c>
      <c r="P12573">
        <v>73136</v>
      </c>
      <c r="Q12573" t="str">
        <f>"35.508855"</f>
        <v>35.508855</v>
      </c>
      <c r="R12573" t="str">
        <f>"24.011853"</f>
        <v>24.011853</v>
      </c>
      <c r="S12573" t="s">
        <v>26</v>
      </c>
    </row>
    <row r="12574" spans="1:19" x14ac:dyDescent="0.3">
      <c r="A12574" t="s">
        <v>32470</v>
      </c>
      <c r="B12574" t="s">
        <v>35016</v>
      </c>
      <c r="C12574" t="s">
        <v>35372</v>
      </c>
      <c r="D12574" t="s">
        <v>32486</v>
      </c>
      <c r="E12574" t="s">
        <v>33231</v>
      </c>
      <c r="F12574" t="s">
        <v>33232</v>
      </c>
      <c r="G12574" t="s">
        <v>33233</v>
      </c>
      <c r="H12574" t="s">
        <v>859</v>
      </c>
      <c r="I12574" t="s">
        <v>860</v>
      </c>
      <c r="J12574" t="str">
        <f>"9500007"</f>
        <v>9500007</v>
      </c>
      <c r="K12574">
        <v>2825051704</v>
      </c>
      <c r="M12574" t="s">
        <v>35373</v>
      </c>
      <c r="N12574" t="s">
        <v>35374</v>
      </c>
      <c r="O12574" t="s">
        <v>33237</v>
      </c>
      <c r="P12574">
        <v>73007</v>
      </c>
      <c r="Q12574" t="str">
        <f>"35.378801"</f>
        <v>35.378801</v>
      </c>
      <c r="R12574" t="str">
        <f>"24.201964"</f>
        <v>24.201964</v>
      </c>
      <c r="S12574" t="s">
        <v>26</v>
      </c>
    </row>
    <row r="12575" spans="1:19" x14ac:dyDescent="0.3">
      <c r="A12575" t="s">
        <v>32470</v>
      </c>
      <c r="B12575" t="s">
        <v>35016</v>
      </c>
      <c r="C12575" t="s">
        <v>35376</v>
      </c>
      <c r="D12575" t="s">
        <v>32486</v>
      </c>
      <c r="E12575" t="s">
        <v>33231</v>
      </c>
      <c r="F12575" t="s">
        <v>33232</v>
      </c>
      <c r="G12575" t="s">
        <v>35375</v>
      </c>
      <c r="H12575" t="s">
        <v>859</v>
      </c>
      <c r="I12575" t="s">
        <v>860</v>
      </c>
      <c r="J12575" t="str">
        <f>"9500404"</f>
        <v>9500404</v>
      </c>
      <c r="K12575">
        <v>2825051487</v>
      </c>
      <c r="M12575" t="s">
        <v>35377</v>
      </c>
      <c r="N12575" t="s">
        <v>35375</v>
      </c>
      <c r="O12575" t="s">
        <v>35378</v>
      </c>
      <c r="P12575">
        <v>73007</v>
      </c>
      <c r="Q12575" t="str">
        <f>"35.344997"</f>
        <v>35.344997</v>
      </c>
      <c r="R12575" t="str">
        <f>"24.186511"</f>
        <v>24.186511</v>
      </c>
      <c r="S12575" t="s">
        <v>26</v>
      </c>
    </row>
    <row r="12576" spans="1:19" x14ac:dyDescent="0.3">
      <c r="A12576" t="s">
        <v>32470</v>
      </c>
      <c r="B12576" t="s">
        <v>35016</v>
      </c>
      <c r="C12576" t="s">
        <v>35379</v>
      </c>
      <c r="D12576" t="s">
        <v>32486</v>
      </c>
      <c r="E12576" t="s">
        <v>32486</v>
      </c>
      <c r="F12576" t="s">
        <v>32486</v>
      </c>
      <c r="G12576" t="s">
        <v>32486</v>
      </c>
      <c r="H12576" t="s">
        <v>859</v>
      </c>
      <c r="I12576" t="s">
        <v>860</v>
      </c>
      <c r="J12576" t="str">
        <f>"9500346"</f>
        <v>9500346</v>
      </c>
      <c r="K12576">
        <v>2821076501</v>
      </c>
      <c r="L12576">
        <v>2821076501</v>
      </c>
      <c r="M12576" t="s">
        <v>35380</v>
      </c>
      <c r="N12576" t="s">
        <v>32486</v>
      </c>
      <c r="O12576" t="s">
        <v>35381</v>
      </c>
      <c r="P12576">
        <v>73136</v>
      </c>
      <c r="Q12576" t="str">
        <f>"35.504576"</f>
        <v>35.504576</v>
      </c>
      <c r="R12576" t="str">
        <f>"24.030824"</f>
        <v>24.030824</v>
      </c>
      <c r="S12576" t="s">
        <v>26</v>
      </c>
    </row>
    <row r="12577" spans="1:19" x14ac:dyDescent="0.3">
      <c r="A12577" t="s">
        <v>32470</v>
      </c>
      <c r="B12577" t="s">
        <v>35016</v>
      </c>
      <c r="C12577" t="s">
        <v>35385</v>
      </c>
      <c r="D12577" t="s">
        <v>32486</v>
      </c>
      <c r="E12577" t="s">
        <v>20356</v>
      </c>
      <c r="F12577" t="s">
        <v>33307</v>
      </c>
      <c r="G12577" t="s">
        <v>35384</v>
      </c>
      <c r="H12577" t="s">
        <v>859</v>
      </c>
      <c r="I12577" t="s">
        <v>860</v>
      </c>
      <c r="J12577" t="str">
        <f>"9500343"</f>
        <v>9500343</v>
      </c>
      <c r="K12577">
        <v>2824022284</v>
      </c>
      <c r="L12577">
        <v>2824022284</v>
      </c>
      <c r="M12577" t="s">
        <v>35386</v>
      </c>
      <c r="N12577" t="s">
        <v>35387</v>
      </c>
      <c r="O12577" t="s">
        <v>35388</v>
      </c>
      <c r="P12577">
        <v>73006</v>
      </c>
      <c r="Q12577" t="str">
        <f>"35.534228"</f>
        <v>35.534228</v>
      </c>
      <c r="R12577" t="str">
        <f>"23.819914"</f>
        <v>23.819914</v>
      </c>
      <c r="S12577" t="s">
        <v>26</v>
      </c>
    </row>
    <row r="12578" spans="1:19" x14ac:dyDescent="0.3">
      <c r="A12578" t="s">
        <v>32470</v>
      </c>
      <c r="B12578" t="s">
        <v>35016</v>
      </c>
      <c r="C12578" t="s">
        <v>35396</v>
      </c>
      <c r="D12578" t="s">
        <v>32486</v>
      </c>
      <c r="E12578" t="s">
        <v>33301</v>
      </c>
      <c r="F12578" t="s">
        <v>33301</v>
      </c>
      <c r="G12578" t="s">
        <v>33301</v>
      </c>
      <c r="H12578" t="s">
        <v>859</v>
      </c>
      <c r="I12578" t="s">
        <v>860</v>
      </c>
      <c r="J12578" t="str">
        <f>"9500416"</f>
        <v>9500416</v>
      </c>
      <c r="K12578">
        <v>2822023003</v>
      </c>
      <c r="L12578">
        <v>2822023003</v>
      </c>
      <c r="M12578" t="s">
        <v>35397</v>
      </c>
      <c r="N12578" t="s">
        <v>35398</v>
      </c>
      <c r="O12578" t="s">
        <v>33369</v>
      </c>
      <c r="P12578">
        <v>73400</v>
      </c>
      <c r="Q12578" t="str">
        <f>"35.496282"</f>
        <v>35.496282</v>
      </c>
      <c r="R12578" t="str">
        <f>"23.660097"</f>
        <v>23.660097</v>
      </c>
      <c r="S12578" t="s">
        <v>26</v>
      </c>
    </row>
    <row r="12579" spans="1:19" x14ac:dyDescent="0.3">
      <c r="A12579" t="s">
        <v>32470</v>
      </c>
      <c r="B12579" t="s">
        <v>35016</v>
      </c>
      <c r="C12579" t="s">
        <v>35399</v>
      </c>
      <c r="D12579" t="s">
        <v>32486</v>
      </c>
      <c r="E12579" t="s">
        <v>33301</v>
      </c>
      <c r="F12579" t="s">
        <v>33301</v>
      </c>
      <c r="G12579" t="s">
        <v>13386</v>
      </c>
      <c r="H12579" t="s">
        <v>859</v>
      </c>
      <c r="I12579" t="s">
        <v>860</v>
      </c>
      <c r="J12579" t="str">
        <f>"9500226"</f>
        <v>9500226</v>
      </c>
      <c r="K12579">
        <v>2822041706</v>
      </c>
      <c r="L12579">
        <v>2822041706</v>
      </c>
      <c r="M12579" t="s">
        <v>35400</v>
      </c>
      <c r="N12579" t="s">
        <v>13386</v>
      </c>
      <c r="O12579" t="s">
        <v>35401</v>
      </c>
      <c r="P12579">
        <v>73400</v>
      </c>
      <c r="Q12579" t="str">
        <f>"35.466871"</f>
        <v>35.466871</v>
      </c>
      <c r="R12579" t="str">
        <f>"23.599166"</f>
        <v>23.599166</v>
      </c>
      <c r="S12579" t="s">
        <v>26</v>
      </c>
    </row>
    <row r="12580" spans="1:19" x14ac:dyDescent="0.3">
      <c r="A12580" t="s">
        <v>32470</v>
      </c>
      <c r="B12580" t="s">
        <v>35016</v>
      </c>
      <c r="C12580" t="s">
        <v>35405</v>
      </c>
      <c r="D12580" t="s">
        <v>32486</v>
      </c>
      <c r="E12580" t="s">
        <v>20356</v>
      </c>
      <c r="F12580" t="s">
        <v>33294</v>
      </c>
      <c r="G12580" t="s">
        <v>33295</v>
      </c>
      <c r="H12580" t="s">
        <v>859</v>
      </c>
      <c r="I12580" t="s">
        <v>860</v>
      </c>
      <c r="J12580" t="str">
        <f>"9500255"</f>
        <v>9500255</v>
      </c>
      <c r="K12580">
        <v>2821078777</v>
      </c>
      <c r="M12580" t="s">
        <v>35406</v>
      </c>
      <c r="N12580" t="s">
        <v>33295</v>
      </c>
      <c r="O12580" t="s">
        <v>35407</v>
      </c>
      <c r="P12580">
        <v>73005</v>
      </c>
      <c r="Q12580" t="str">
        <f>"35.453820"</f>
        <v>35.453820</v>
      </c>
      <c r="R12580" t="str">
        <f>"23.911754"</f>
        <v>23.911754</v>
      </c>
      <c r="S12580" t="s">
        <v>26</v>
      </c>
    </row>
    <row r="12581" spans="1:19" x14ac:dyDescent="0.3">
      <c r="A12581" t="s">
        <v>32470</v>
      </c>
      <c r="B12581" t="s">
        <v>35016</v>
      </c>
      <c r="C12581" t="s">
        <v>35408</v>
      </c>
      <c r="D12581" t="s">
        <v>32486</v>
      </c>
      <c r="E12581" t="s">
        <v>33301</v>
      </c>
      <c r="F12581" t="s">
        <v>33301</v>
      </c>
      <c r="G12581" t="s">
        <v>33301</v>
      </c>
      <c r="H12581" t="s">
        <v>859</v>
      </c>
      <c r="I12581" t="s">
        <v>860</v>
      </c>
      <c r="J12581" t="str">
        <f>"9500192"</f>
        <v>9500192</v>
      </c>
      <c r="K12581">
        <v>2822023376</v>
      </c>
      <c r="M12581" t="s">
        <v>35409</v>
      </c>
      <c r="N12581" t="s">
        <v>35398</v>
      </c>
      <c r="O12581" t="s">
        <v>35410</v>
      </c>
      <c r="P12581">
        <v>73400</v>
      </c>
      <c r="Q12581" t="str">
        <f>"35.492467"</f>
        <v>35.492467</v>
      </c>
      <c r="R12581" t="str">
        <f>"23.653861"</f>
        <v>23.653861</v>
      </c>
      <c r="S12581" t="s">
        <v>26</v>
      </c>
    </row>
    <row r="12582" spans="1:19" x14ac:dyDescent="0.3">
      <c r="A12582" t="s">
        <v>32470</v>
      </c>
      <c r="B12582" t="s">
        <v>35016</v>
      </c>
      <c r="C12582" t="s">
        <v>35411</v>
      </c>
      <c r="D12582" t="s">
        <v>32486</v>
      </c>
      <c r="E12582" t="s">
        <v>32486</v>
      </c>
      <c r="F12582" t="s">
        <v>32486</v>
      </c>
      <c r="G12582" t="s">
        <v>32486</v>
      </c>
      <c r="H12582" t="s">
        <v>859</v>
      </c>
      <c r="I12582" t="s">
        <v>1102</v>
      </c>
      <c r="J12582" t="str">
        <f>"9500372"</f>
        <v>9500372</v>
      </c>
      <c r="K12582">
        <v>2821070176</v>
      </c>
      <c r="L12582">
        <v>2821070176</v>
      </c>
      <c r="M12582" t="s">
        <v>35412</v>
      </c>
      <c r="N12582" t="s">
        <v>32486</v>
      </c>
      <c r="O12582" t="s">
        <v>35413</v>
      </c>
      <c r="P12582">
        <v>73134</v>
      </c>
      <c r="Q12582" t="str">
        <f>"35.507110"</f>
        <v>35.507110</v>
      </c>
      <c r="R12582" t="str">
        <f>"24.034860"</f>
        <v>24.034860</v>
      </c>
      <c r="S12582" t="s">
        <v>26</v>
      </c>
    </row>
    <row r="12583" spans="1:19" x14ac:dyDescent="0.3">
      <c r="A12583" t="s">
        <v>32470</v>
      </c>
      <c r="B12583" t="s">
        <v>35016</v>
      </c>
      <c r="C12583" t="s">
        <v>35415</v>
      </c>
      <c r="D12583" t="s">
        <v>32486</v>
      </c>
      <c r="E12583" t="s">
        <v>20356</v>
      </c>
      <c r="F12583" t="s">
        <v>33212</v>
      </c>
      <c r="G12583" t="s">
        <v>35414</v>
      </c>
      <c r="H12583" t="s">
        <v>859</v>
      </c>
      <c r="I12583" t="s">
        <v>860</v>
      </c>
      <c r="J12583" t="str">
        <f>"9500387"</f>
        <v>9500387</v>
      </c>
      <c r="K12583">
        <v>2824022332</v>
      </c>
      <c r="L12583">
        <v>2824022332</v>
      </c>
      <c r="M12583" t="s">
        <v>35416</v>
      </c>
      <c r="N12583" t="s">
        <v>35414</v>
      </c>
      <c r="O12583" t="s">
        <v>35417</v>
      </c>
      <c r="P12583">
        <v>73006</v>
      </c>
      <c r="Q12583" t="str">
        <f>"35.509752"</f>
        <v>35.509752</v>
      </c>
      <c r="R12583" t="str">
        <f>"23.779037"</f>
        <v>23.779037</v>
      </c>
      <c r="S12583" t="s">
        <v>26</v>
      </c>
    </row>
    <row r="12584" spans="1:19" x14ac:dyDescent="0.3">
      <c r="A12584" t="s">
        <v>32470</v>
      </c>
      <c r="B12584" t="s">
        <v>35016</v>
      </c>
      <c r="C12584" t="s">
        <v>35418</v>
      </c>
      <c r="D12584" t="s">
        <v>32486</v>
      </c>
      <c r="E12584" t="s">
        <v>32486</v>
      </c>
      <c r="F12584" t="s">
        <v>33268</v>
      </c>
      <c r="G12584" t="s">
        <v>33269</v>
      </c>
      <c r="H12584" t="s">
        <v>859</v>
      </c>
      <c r="I12584" t="s">
        <v>860</v>
      </c>
      <c r="J12584" t="str">
        <f>"9500299"</f>
        <v>9500299</v>
      </c>
      <c r="K12584">
        <v>2821009110</v>
      </c>
      <c r="L12584">
        <v>2821064862</v>
      </c>
      <c r="M12584" t="s">
        <v>35419</v>
      </c>
      <c r="N12584" t="s">
        <v>35420</v>
      </c>
      <c r="O12584" t="s">
        <v>35421</v>
      </c>
      <c r="P12584">
        <v>73100</v>
      </c>
      <c r="Q12584" t="str">
        <f>"35.536323"</f>
        <v>35.536323</v>
      </c>
      <c r="R12584" t="str">
        <f>"24.076998"</f>
        <v>24.076998</v>
      </c>
      <c r="S12584" t="s">
        <v>26</v>
      </c>
    </row>
    <row r="12585" spans="1:19" x14ac:dyDescent="0.3">
      <c r="A12585" t="s">
        <v>32470</v>
      </c>
      <c r="B12585" t="s">
        <v>35016</v>
      </c>
      <c r="C12585" t="s">
        <v>35423</v>
      </c>
      <c r="D12585" t="s">
        <v>32486</v>
      </c>
      <c r="E12585" t="s">
        <v>33301</v>
      </c>
      <c r="F12585" t="s">
        <v>33301</v>
      </c>
      <c r="G12585" t="s">
        <v>35422</v>
      </c>
      <c r="H12585" t="s">
        <v>859</v>
      </c>
      <c r="I12585" t="s">
        <v>860</v>
      </c>
      <c r="J12585" t="str">
        <f>"9500312"</f>
        <v>9500312</v>
      </c>
      <c r="K12585">
        <v>2822023924</v>
      </c>
      <c r="M12585" t="s">
        <v>35424</v>
      </c>
      <c r="O12585" t="s">
        <v>35425</v>
      </c>
      <c r="P12585">
        <v>73400</v>
      </c>
      <c r="Q12585" t="str">
        <f>"35.484793"</f>
        <v>35.484793</v>
      </c>
      <c r="R12585" t="str">
        <f>"23.605662"</f>
        <v>23.605662</v>
      </c>
      <c r="S12585" t="s">
        <v>26</v>
      </c>
    </row>
    <row r="12586" spans="1:19" x14ac:dyDescent="0.3">
      <c r="A12586" t="s">
        <v>32470</v>
      </c>
      <c r="B12586" t="s">
        <v>35016</v>
      </c>
      <c r="C12586" t="s">
        <v>35426</v>
      </c>
      <c r="D12586" t="s">
        <v>32486</v>
      </c>
      <c r="E12586" t="s">
        <v>32486</v>
      </c>
      <c r="F12586" t="s">
        <v>33268</v>
      </c>
      <c r="G12586" t="s">
        <v>33269</v>
      </c>
      <c r="H12586" t="s">
        <v>859</v>
      </c>
      <c r="I12586" t="s">
        <v>860</v>
      </c>
      <c r="J12586" t="str">
        <f>"9500413"</f>
        <v>9500413</v>
      </c>
      <c r="K12586">
        <v>2821064655</v>
      </c>
      <c r="L12586">
        <v>2821064655</v>
      </c>
      <c r="M12586" t="s">
        <v>35427</v>
      </c>
      <c r="N12586" t="s">
        <v>33269</v>
      </c>
      <c r="O12586" t="s">
        <v>35428</v>
      </c>
      <c r="P12586">
        <v>73100</v>
      </c>
      <c r="Q12586" t="str">
        <f>"35.539545"</f>
        <v>35.539545</v>
      </c>
      <c r="R12586" t="str">
        <f>"24.068580"</f>
        <v>24.068580</v>
      </c>
      <c r="S12586" t="s">
        <v>26</v>
      </c>
    </row>
    <row r="12587" spans="1:19" x14ac:dyDescent="0.3">
      <c r="A12587" t="s">
        <v>32470</v>
      </c>
      <c r="B12587" t="s">
        <v>35016</v>
      </c>
      <c r="C12587" t="s">
        <v>35429</v>
      </c>
      <c r="D12587" t="s">
        <v>32486</v>
      </c>
      <c r="E12587" t="s">
        <v>32486</v>
      </c>
      <c r="F12587" t="s">
        <v>32486</v>
      </c>
      <c r="G12587" t="s">
        <v>32486</v>
      </c>
      <c r="H12587" t="s">
        <v>859</v>
      </c>
      <c r="I12587" t="s">
        <v>860</v>
      </c>
      <c r="J12587" t="str">
        <f>"9500322"</f>
        <v>9500322</v>
      </c>
      <c r="K12587">
        <v>2821054010</v>
      </c>
      <c r="L12587">
        <v>2821054010</v>
      </c>
      <c r="M12587" t="s">
        <v>35430</v>
      </c>
      <c r="N12587" t="s">
        <v>32486</v>
      </c>
      <c r="O12587" t="s">
        <v>35431</v>
      </c>
      <c r="P12587">
        <v>73133</v>
      </c>
      <c r="Q12587" t="str">
        <f>"35.523083"</f>
        <v>35.523083</v>
      </c>
      <c r="R12587" t="str">
        <f>"24.052506"</f>
        <v>24.052506</v>
      </c>
      <c r="S12587" t="s">
        <v>26</v>
      </c>
    </row>
    <row r="12588" spans="1:19" x14ac:dyDescent="0.3">
      <c r="A12588" t="s">
        <v>32470</v>
      </c>
      <c r="B12588" t="s">
        <v>35016</v>
      </c>
      <c r="C12588" t="s">
        <v>35432</v>
      </c>
      <c r="D12588" t="s">
        <v>32486</v>
      </c>
      <c r="E12588" t="s">
        <v>32486</v>
      </c>
      <c r="F12588" t="s">
        <v>32486</v>
      </c>
      <c r="G12588" t="s">
        <v>32486</v>
      </c>
      <c r="H12588" t="s">
        <v>859</v>
      </c>
      <c r="I12588" t="s">
        <v>860</v>
      </c>
      <c r="J12588" t="str">
        <f>"9500037"</f>
        <v>9500037</v>
      </c>
      <c r="K12588">
        <v>2821054493</v>
      </c>
      <c r="L12588">
        <v>2821054493</v>
      </c>
      <c r="M12588" t="s">
        <v>35433</v>
      </c>
      <c r="N12588" t="s">
        <v>32486</v>
      </c>
      <c r="O12588" t="s">
        <v>35391</v>
      </c>
      <c r="P12588">
        <v>73100</v>
      </c>
      <c r="Q12588" t="str">
        <f>"35.517238"</f>
        <v>35.517238</v>
      </c>
      <c r="R12588" t="str">
        <f>"24.042581"</f>
        <v>24.042581</v>
      </c>
      <c r="S12588" t="s">
        <v>26</v>
      </c>
    </row>
    <row r="12589" spans="1:19" x14ac:dyDescent="0.3">
      <c r="A12589" t="s">
        <v>32470</v>
      </c>
      <c r="B12589" t="s">
        <v>35016</v>
      </c>
      <c r="C12589" t="s">
        <v>35434</v>
      </c>
      <c r="D12589" t="s">
        <v>32486</v>
      </c>
      <c r="E12589" t="s">
        <v>32486</v>
      </c>
      <c r="F12589" t="s">
        <v>32486</v>
      </c>
      <c r="G12589" t="s">
        <v>32486</v>
      </c>
      <c r="H12589" t="s">
        <v>859</v>
      </c>
      <c r="I12589" t="s">
        <v>860</v>
      </c>
      <c r="J12589" t="str">
        <f>"9500076"</f>
        <v>9500076</v>
      </c>
      <c r="K12589">
        <v>2821027020</v>
      </c>
      <c r="L12589">
        <v>2821027020</v>
      </c>
      <c r="M12589" t="s">
        <v>35435</v>
      </c>
      <c r="N12589" t="s">
        <v>32486</v>
      </c>
      <c r="O12589" t="s">
        <v>35436</v>
      </c>
      <c r="P12589">
        <v>73132</v>
      </c>
      <c r="Q12589" t="str">
        <f>"35.515342"</f>
        <v>35.515342</v>
      </c>
      <c r="R12589" t="str">
        <f>"24.023273"</f>
        <v>24.023273</v>
      </c>
      <c r="S12589" t="s">
        <v>26</v>
      </c>
    </row>
    <row r="12590" spans="1:19" x14ac:dyDescent="0.3">
      <c r="A12590" t="s">
        <v>32470</v>
      </c>
      <c r="B12590" t="s">
        <v>35016</v>
      </c>
      <c r="C12590" t="s">
        <v>35437</v>
      </c>
      <c r="D12590" t="s">
        <v>32486</v>
      </c>
      <c r="E12590" t="s">
        <v>33301</v>
      </c>
      <c r="F12590" t="s">
        <v>33301</v>
      </c>
      <c r="G12590" t="s">
        <v>33301</v>
      </c>
      <c r="H12590" t="s">
        <v>859</v>
      </c>
      <c r="I12590" t="s">
        <v>860</v>
      </c>
      <c r="J12590" t="str">
        <f>"9500385"</f>
        <v>9500385</v>
      </c>
      <c r="K12590">
        <v>2822022513</v>
      </c>
      <c r="M12590" t="s">
        <v>35438</v>
      </c>
      <c r="N12590" t="s">
        <v>35398</v>
      </c>
      <c r="O12590" t="s">
        <v>33369</v>
      </c>
      <c r="P12590">
        <v>73400</v>
      </c>
      <c r="Q12590" t="str">
        <f>"35.494159"</f>
        <v>35.494159</v>
      </c>
      <c r="R12590" t="str">
        <f>"23.640861"</f>
        <v>23.640861</v>
      </c>
      <c r="S12590" t="s">
        <v>26</v>
      </c>
    </row>
    <row r="12591" spans="1:19" x14ac:dyDescent="0.3">
      <c r="A12591" t="s">
        <v>32470</v>
      </c>
      <c r="B12591" t="s">
        <v>35016</v>
      </c>
      <c r="C12591" t="s">
        <v>35441</v>
      </c>
      <c r="D12591" t="s">
        <v>32486</v>
      </c>
      <c r="E12591" t="s">
        <v>33301</v>
      </c>
      <c r="F12591" t="s">
        <v>33301</v>
      </c>
      <c r="G12591" t="s">
        <v>33301</v>
      </c>
      <c r="H12591" t="s">
        <v>859</v>
      </c>
      <c r="I12591" t="s">
        <v>860</v>
      </c>
      <c r="J12591" t="str">
        <f>"9500190"</f>
        <v>9500190</v>
      </c>
      <c r="K12591">
        <v>2822022357</v>
      </c>
      <c r="L12591">
        <v>2822022357</v>
      </c>
      <c r="M12591" t="s">
        <v>35442</v>
      </c>
      <c r="N12591" t="s">
        <v>35398</v>
      </c>
      <c r="O12591" t="s">
        <v>33369</v>
      </c>
      <c r="P12591">
        <v>73400</v>
      </c>
      <c r="Q12591" t="str">
        <f>"35.493264"</f>
        <v>35.493264</v>
      </c>
      <c r="R12591" t="str">
        <f>"23.656857"</f>
        <v>23.656857</v>
      </c>
      <c r="S12591" t="s">
        <v>26</v>
      </c>
    </row>
    <row r="12592" spans="1:19" x14ac:dyDescent="0.3">
      <c r="A12592" t="s">
        <v>32470</v>
      </c>
      <c r="B12592" t="s">
        <v>35016</v>
      </c>
      <c r="C12592" t="s">
        <v>35445</v>
      </c>
      <c r="D12592" t="s">
        <v>32486</v>
      </c>
      <c r="E12592" t="s">
        <v>20356</v>
      </c>
      <c r="F12592" t="s">
        <v>33212</v>
      </c>
      <c r="G12592" t="s">
        <v>33212</v>
      </c>
      <c r="H12592" t="s">
        <v>859</v>
      </c>
      <c r="I12592" t="s">
        <v>860</v>
      </c>
      <c r="J12592" t="str">
        <f>"9500274"</f>
        <v>9500274</v>
      </c>
      <c r="K12592">
        <v>2824022008</v>
      </c>
      <c r="L12592">
        <v>2824022008</v>
      </c>
      <c r="M12592" t="s">
        <v>35446</v>
      </c>
      <c r="N12592" t="s">
        <v>33212</v>
      </c>
      <c r="O12592" t="s">
        <v>33215</v>
      </c>
      <c r="P12592">
        <v>73006</v>
      </c>
      <c r="Q12592" t="str">
        <f>"35.541972"</f>
        <v>35.541972</v>
      </c>
      <c r="R12592" t="str">
        <f>"23.779908"</f>
        <v>23.779908</v>
      </c>
      <c r="S12592" t="s">
        <v>26</v>
      </c>
    </row>
    <row r="12593" spans="1:19" x14ac:dyDescent="0.3">
      <c r="A12593" t="s">
        <v>32470</v>
      </c>
      <c r="B12593" t="s">
        <v>35016</v>
      </c>
      <c r="C12593" t="s">
        <v>35447</v>
      </c>
      <c r="D12593" t="s">
        <v>32486</v>
      </c>
      <c r="E12593" t="s">
        <v>32486</v>
      </c>
      <c r="F12593" t="s">
        <v>33372</v>
      </c>
      <c r="G12593" t="s">
        <v>33373</v>
      </c>
      <c r="H12593" t="s">
        <v>859</v>
      </c>
      <c r="I12593" t="s">
        <v>860</v>
      </c>
      <c r="J12593" t="str">
        <f>"9500367"</f>
        <v>9500367</v>
      </c>
      <c r="K12593">
        <v>2821031251</v>
      </c>
      <c r="L12593">
        <v>2821031251</v>
      </c>
      <c r="M12593" t="s">
        <v>35448</v>
      </c>
      <c r="N12593" t="s">
        <v>33372</v>
      </c>
      <c r="O12593" t="s">
        <v>35449</v>
      </c>
      <c r="P12593">
        <v>73100</v>
      </c>
      <c r="Q12593" t="str">
        <f>"35.504277"</f>
        <v>35.504277</v>
      </c>
      <c r="R12593" t="str">
        <f>"23.973635"</f>
        <v>23.973635</v>
      </c>
      <c r="S12593" t="s">
        <v>26</v>
      </c>
    </row>
    <row r="12594" spans="1:19" x14ac:dyDescent="0.3">
      <c r="A12594" t="s">
        <v>32470</v>
      </c>
      <c r="B12594" t="s">
        <v>35016</v>
      </c>
      <c r="C12594" t="s">
        <v>35450</v>
      </c>
      <c r="D12594" t="s">
        <v>32486</v>
      </c>
      <c r="E12594" t="s">
        <v>32486</v>
      </c>
      <c r="F12594" t="s">
        <v>33268</v>
      </c>
      <c r="G12594" t="s">
        <v>33269</v>
      </c>
      <c r="H12594" t="s">
        <v>859</v>
      </c>
      <c r="I12594" t="s">
        <v>860</v>
      </c>
      <c r="J12594" t="str">
        <f>"9520720"</f>
        <v>9520720</v>
      </c>
      <c r="K12594">
        <v>2821066510</v>
      </c>
      <c r="L12594">
        <v>2821066510</v>
      </c>
      <c r="M12594" t="s">
        <v>35451</v>
      </c>
      <c r="N12594" t="s">
        <v>35452</v>
      </c>
      <c r="O12594" t="s">
        <v>35453</v>
      </c>
      <c r="P12594">
        <v>73100</v>
      </c>
      <c r="Q12594" t="str">
        <f>"35.547108"</f>
        <v>35.547108</v>
      </c>
      <c r="R12594" t="str">
        <f>"24.085006"</f>
        <v>24.085006</v>
      </c>
      <c r="S12594" t="s">
        <v>26</v>
      </c>
    </row>
    <row r="12595" spans="1:19" x14ac:dyDescent="0.3">
      <c r="A12595" t="s">
        <v>32470</v>
      </c>
      <c r="B12595" t="s">
        <v>35016</v>
      </c>
      <c r="C12595" t="s">
        <v>35455</v>
      </c>
      <c r="D12595" t="s">
        <v>32486</v>
      </c>
      <c r="E12595" t="s">
        <v>32486</v>
      </c>
      <c r="F12595" t="s">
        <v>33372</v>
      </c>
      <c r="G12595" t="s">
        <v>35454</v>
      </c>
      <c r="H12595" t="s">
        <v>859</v>
      </c>
      <c r="I12595" t="s">
        <v>860</v>
      </c>
      <c r="J12595" t="str">
        <f>"9500375"</f>
        <v>9500375</v>
      </c>
      <c r="K12595">
        <v>2821068911</v>
      </c>
      <c r="L12595">
        <v>2821068911</v>
      </c>
      <c r="M12595" t="s">
        <v>35456</v>
      </c>
      <c r="N12595" t="s">
        <v>33372</v>
      </c>
      <c r="O12595" t="s">
        <v>35457</v>
      </c>
      <c r="P12595">
        <v>73100</v>
      </c>
      <c r="Q12595" t="str">
        <f>"35.503807"</f>
        <v>35.503807</v>
      </c>
      <c r="R12595" t="str">
        <f>"23.935284"</f>
        <v>23.935284</v>
      </c>
      <c r="S12595" t="s">
        <v>26</v>
      </c>
    </row>
    <row r="12596" spans="1:19" x14ac:dyDescent="0.3">
      <c r="A12596" t="s">
        <v>32470</v>
      </c>
      <c r="B12596" t="s">
        <v>35016</v>
      </c>
      <c r="C12596" t="s">
        <v>35461</v>
      </c>
      <c r="D12596" t="s">
        <v>32486</v>
      </c>
      <c r="E12596" t="s">
        <v>33218</v>
      </c>
      <c r="F12596" t="s">
        <v>33219</v>
      </c>
      <c r="G12596" t="s">
        <v>27503</v>
      </c>
      <c r="H12596" t="s">
        <v>859</v>
      </c>
      <c r="I12596" t="s">
        <v>860</v>
      </c>
      <c r="J12596" t="str">
        <f>"9520799"</f>
        <v>9520799</v>
      </c>
      <c r="K12596">
        <v>2823041288</v>
      </c>
      <c r="M12596" t="s">
        <v>35462</v>
      </c>
      <c r="N12596" t="s">
        <v>27503</v>
      </c>
      <c r="O12596" t="s">
        <v>27506</v>
      </c>
      <c r="P12596">
        <v>73001</v>
      </c>
      <c r="Q12596" t="str">
        <f>"35.238281"</f>
        <v>35.238281</v>
      </c>
      <c r="R12596" t="str">
        <f>"23.677837"</f>
        <v>23.677837</v>
      </c>
      <c r="S12596" t="s">
        <v>57</v>
      </c>
    </row>
    <row r="12597" spans="1:19" x14ac:dyDescent="0.3">
      <c r="A12597" t="s">
        <v>32470</v>
      </c>
      <c r="B12597" t="s">
        <v>35016</v>
      </c>
      <c r="C12597" t="s">
        <v>35464</v>
      </c>
      <c r="D12597" t="s">
        <v>32486</v>
      </c>
      <c r="E12597" t="s">
        <v>33218</v>
      </c>
      <c r="F12597" t="s">
        <v>33219</v>
      </c>
      <c r="G12597" t="s">
        <v>35463</v>
      </c>
      <c r="H12597" t="s">
        <v>859</v>
      </c>
      <c r="I12597" t="s">
        <v>860</v>
      </c>
      <c r="J12597" t="str">
        <f>"9500332"</f>
        <v>9500332</v>
      </c>
      <c r="K12597">
        <v>2823042440</v>
      </c>
      <c r="L12597">
        <v>2823042440</v>
      </c>
      <c r="M12597" t="s">
        <v>35465</v>
      </c>
      <c r="N12597" t="s">
        <v>35466</v>
      </c>
      <c r="O12597" t="s">
        <v>35467</v>
      </c>
      <c r="P12597">
        <v>73001</v>
      </c>
      <c r="Q12597" t="str">
        <f>"35.238481"</f>
        <v>35.238481</v>
      </c>
      <c r="R12597" t="str">
        <f>"23.631385"</f>
        <v>23.631385</v>
      </c>
      <c r="S12597" t="s">
        <v>57</v>
      </c>
    </row>
    <row r="12598" spans="1:19" x14ac:dyDescent="0.3">
      <c r="A12598" t="s">
        <v>32470</v>
      </c>
      <c r="B12598" t="s">
        <v>35016</v>
      </c>
      <c r="C12598" t="s">
        <v>35473</v>
      </c>
      <c r="D12598" t="s">
        <v>32486</v>
      </c>
      <c r="E12598" t="s">
        <v>33231</v>
      </c>
      <c r="F12598" t="s">
        <v>35043</v>
      </c>
      <c r="G12598" t="s">
        <v>35043</v>
      </c>
      <c r="H12598" t="s">
        <v>859</v>
      </c>
      <c r="I12598" t="s">
        <v>860</v>
      </c>
      <c r="J12598" t="str">
        <f>"9500321"</f>
        <v>9500321</v>
      </c>
      <c r="K12598">
        <v>2825061584</v>
      </c>
      <c r="M12598" t="s">
        <v>35474</v>
      </c>
      <c r="N12598" t="s">
        <v>35475</v>
      </c>
      <c r="O12598" t="s">
        <v>35476</v>
      </c>
      <c r="P12598">
        <v>73007</v>
      </c>
      <c r="Q12598" t="str">
        <f>"35.360820"</f>
        <v>35.360820</v>
      </c>
      <c r="R12598" t="str">
        <f>"24.262167"</f>
        <v>24.262167</v>
      </c>
      <c r="S12598" t="s">
        <v>26</v>
      </c>
    </row>
    <row r="12599" spans="1:19" x14ac:dyDescent="0.3">
      <c r="A12599" t="s">
        <v>32470</v>
      </c>
      <c r="B12599" t="s">
        <v>35016</v>
      </c>
      <c r="C12599" t="s">
        <v>35489</v>
      </c>
      <c r="D12599" t="s">
        <v>32486</v>
      </c>
      <c r="E12599" t="s">
        <v>33301</v>
      </c>
      <c r="F12599" t="s">
        <v>33301</v>
      </c>
      <c r="G12599" t="s">
        <v>33301</v>
      </c>
      <c r="H12599" t="s">
        <v>859</v>
      </c>
      <c r="I12599" t="s">
        <v>860</v>
      </c>
      <c r="J12599" t="str">
        <f>"9521009"</f>
        <v>9521009</v>
      </c>
      <c r="K12599">
        <v>2822023452</v>
      </c>
      <c r="L12599">
        <v>2822023452</v>
      </c>
      <c r="M12599" t="s">
        <v>35490</v>
      </c>
      <c r="N12599" t="s">
        <v>33370</v>
      </c>
      <c r="O12599" t="s">
        <v>33370</v>
      </c>
      <c r="P12599">
        <v>73400</v>
      </c>
      <c r="Q12599" t="str">
        <f>"35.494315"</f>
        <v>35.494315</v>
      </c>
      <c r="R12599" t="str">
        <f>"23.661130"</f>
        <v>23.661130</v>
      </c>
      <c r="S12599" t="s">
        <v>26</v>
      </c>
    </row>
    <row r="12600" spans="1:19" x14ac:dyDescent="0.3">
      <c r="A12600" t="s">
        <v>32470</v>
      </c>
      <c r="B12600" t="s">
        <v>35016</v>
      </c>
      <c r="C12600" t="s">
        <v>35552</v>
      </c>
      <c r="D12600" t="s">
        <v>32486</v>
      </c>
      <c r="E12600" t="s">
        <v>32486</v>
      </c>
      <c r="F12600" t="s">
        <v>35024</v>
      </c>
      <c r="G12600" t="s">
        <v>35130</v>
      </c>
      <c r="H12600" t="s">
        <v>859</v>
      </c>
      <c r="I12600" t="s">
        <v>860</v>
      </c>
      <c r="J12600" t="str">
        <f>"9500412"</f>
        <v>9500412</v>
      </c>
      <c r="K12600">
        <v>2821096875</v>
      </c>
      <c r="L12600">
        <v>2821096875</v>
      </c>
      <c r="M12600" t="s">
        <v>35553</v>
      </c>
      <c r="N12600" t="s">
        <v>35363</v>
      </c>
      <c r="O12600" t="s">
        <v>35554</v>
      </c>
      <c r="P12600">
        <v>73100</v>
      </c>
      <c r="Q12600" t="str">
        <f>"35.493875"</f>
        <v>35.493875</v>
      </c>
      <c r="R12600" t="str">
        <f>"23.981957"</f>
        <v>23.981957</v>
      </c>
      <c r="S12600" t="s">
        <v>26</v>
      </c>
    </row>
    <row r="12601" spans="1:19" x14ac:dyDescent="0.3">
      <c r="A12601" t="s">
        <v>32470</v>
      </c>
      <c r="B12601" t="s">
        <v>35016</v>
      </c>
      <c r="C12601" t="s">
        <v>35579</v>
      </c>
      <c r="D12601" t="s">
        <v>32486</v>
      </c>
      <c r="E12601" t="s">
        <v>32486</v>
      </c>
      <c r="F12601" t="s">
        <v>33268</v>
      </c>
      <c r="G12601" t="s">
        <v>35250</v>
      </c>
      <c r="H12601" t="s">
        <v>859</v>
      </c>
      <c r="I12601" t="s">
        <v>860</v>
      </c>
      <c r="J12601" t="str">
        <f>"9500301"</f>
        <v>9500301</v>
      </c>
      <c r="K12601">
        <v>2821066076</v>
      </c>
      <c r="L12601">
        <v>2821066076</v>
      </c>
      <c r="M12601" t="s">
        <v>35580</v>
      </c>
      <c r="N12601" t="s">
        <v>35253</v>
      </c>
      <c r="O12601" t="s">
        <v>35581</v>
      </c>
      <c r="P12601">
        <v>73100</v>
      </c>
      <c r="Q12601" t="str">
        <f>"35.511695"</f>
        <v>35.511695</v>
      </c>
      <c r="R12601" t="str">
        <f>"24.143676"</f>
        <v>24.143676</v>
      </c>
      <c r="S12601" t="s">
        <v>26</v>
      </c>
    </row>
    <row r="12602" spans="1:19" x14ac:dyDescent="0.3">
      <c r="A12602" t="s">
        <v>32470</v>
      </c>
      <c r="B12602" t="s">
        <v>35016</v>
      </c>
      <c r="C12602" t="s">
        <v>35589</v>
      </c>
      <c r="D12602" t="s">
        <v>32486</v>
      </c>
      <c r="E12602" t="s">
        <v>32486</v>
      </c>
      <c r="F12602" t="s">
        <v>32486</v>
      </c>
      <c r="G12602" t="s">
        <v>32486</v>
      </c>
      <c r="H12602" t="s">
        <v>859</v>
      </c>
      <c r="I12602" t="s">
        <v>1102</v>
      </c>
      <c r="J12602" t="str">
        <f>"9521078"</f>
        <v>9521078</v>
      </c>
      <c r="K12602">
        <v>2821044022</v>
      </c>
      <c r="L12602">
        <v>2821044022</v>
      </c>
      <c r="M12602" t="s">
        <v>35590</v>
      </c>
      <c r="N12602" t="s">
        <v>32486</v>
      </c>
      <c r="O12602" t="s">
        <v>35413</v>
      </c>
      <c r="P12602">
        <v>73100</v>
      </c>
      <c r="Q12602" t="str">
        <f>"35.507110"</f>
        <v>35.507110</v>
      </c>
      <c r="R12602" t="str">
        <f>"24.034860"</f>
        <v>24.034860</v>
      </c>
      <c r="S12602" t="s">
        <v>26</v>
      </c>
    </row>
    <row r="12603" spans="1:19" x14ac:dyDescent="0.3">
      <c r="A12603" t="s">
        <v>32470</v>
      </c>
      <c r="B12603" t="s">
        <v>35016</v>
      </c>
      <c r="C12603" t="s">
        <v>35600</v>
      </c>
      <c r="D12603" t="s">
        <v>32486</v>
      </c>
      <c r="E12603" t="s">
        <v>32486</v>
      </c>
      <c r="F12603" t="s">
        <v>33268</v>
      </c>
      <c r="G12603" t="s">
        <v>33269</v>
      </c>
      <c r="H12603" t="s">
        <v>859</v>
      </c>
      <c r="I12603" t="s">
        <v>860</v>
      </c>
      <c r="J12603" t="str">
        <f>"9521297"</f>
        <v>9521297</v>
      </c>
      <c r="K12603">
        <v>2821049570</v>
      </c>
      <c r="L12603">
        <v>2821049570</v>
      </c>
      <c r="M12603" t="s">
        <v>35601</v>
      </c>
      <c r="N12603" t="s">
        <v>35602</v>
      </c>
      <c r="O12603" t="s">
        <v>549</v>
      </c>
      <c r="P12603">
        <v>73100</v>
      </c>
      <c r="Q12603" t="str">
        <f>"35.517453"</f>
        <v>35.517453</v>
      </c>
      <c r="R12603" t="str">
        <f>"24.087269"</f>
        <v>24.087269</v>
      </c>
      <c r="S12603" t="s">
        <v>26</v>
      </c>
    </row>
    <row r="12604" spans="1:19" x14ac:dyDescent="0.3">
      <c r="A12604" t="s">
        <v>32470</v>
      </c>
      <c r="B12604" t="s">
        <v>35016</v>
      </c>
      <c r="C12604" t="s">
        <v>35603</v>
      </c>
      <c r="D12604" t="s">
        <v>32486</v>
      </c>
      <c r="E12604" t="s">
        <v>33301</v>
      </c>
      <c r="F12604" t="s">
        <v>35592</v>
      </c>
      <c r="G12604" t="s">
        <v>35593</v>
      </c>
      <c r="H12604" t="s">
        <v>859</v>
      </c>
      <c r="I12604" t="s">
        <v>860</v>
      </c>
      <c r="J12604" t="str">
        <f>"9500310"</f>
        <v>9500310</v>
      </c>
      <c r="K12604">
        <v>2822061268</v>
      </c>
      <c r="M12604" t="s">
        <v>35604</v>
      </c>
      <c r="N12604" t="s">
        <v>35596</v>
      </c>
      <c r="O12604" t="s">
        <v>35605</v>
      </c>
      <c r="P12604">
        <v>73400</v>
      </c>
      <c r="Q12604" t="str">
        <f>"35.361417"</f>
        <v>35.361417</v>
      </c>
      <c r="R12604" t="str">
        <f>"23.638069"</f>
        <v>23.638069</v>
      </c>
      <c r="S12604" t="s">
        <v>26</v>
      </c>
    </row>
    <row r="12605" spans="1:19" x14ac:dyDescent="0.3">
      <c r="A12605" t="s">
        <v>32470</v>
      </c>
      <c r="B12605" t="s">
        <v>35016</v>
      </c>
      <c r="C12605" t="s">
        <v>35607</v>
      </c>
      <c r="D12605" t="s">
        <v>32486</v>
      </c>
      <c r="E12605" t="s">
        <v>32486</v>
      </c>
      <c r="F12605" t="s">
        <v>33262</v>
      </c>
      <c r="G12605" t="s">
        <v>35348</v>
      </c>
      <c r="H12605" t="s">
        <v>859</v>
      </c>
      <c r="I12605" t="s">
        <v>860</v>
      </c>
      <c r="J12605" t="str">
        <f>"9521552"</f>
        <v>9521552</v>
      </c>
      <c r="K12605">
        <v>2821081793</v>
      </c>
      <c r="M12605" t="s">
        <v>35608</v>
      </c>
      <c r="N12605" t="s">
        <v>35609</v>
      </c>
      <c r="O12605" t="s">
        <v>35352</v>
      </c>
      <c r="P12605">
        <v>73200</v>
      </c>
      <c r="Q12605" t="str">
        <f>"35.476943"</f>
        <v>35.476943</v>
      </c>
      <c r="R12605" t="str">
        <f>"24.059371"</f>
        <v>24.059371</v>
      </c>
      <c r="S12605" t="s">
        <v>26</v>
      </c>
    </row>
    <row r="12606" spans="1:19" x14ac:dyDescent="0.3">
      <c r="A12606" t="s">
        <v>32470</v>
      </c>
      <c r="B12606" t="s">
        <v>35016</v>
      </c>
      <c r="C12606" t="s">
        <v>35610</v>
      </c>
      <c r="D12606" t="s">
        <v>32486</v>
      </c>
      <c r="E12606" t="s">
        <v>32486</v>
      </c>
      <c r="F12606" t="s">
        <v>32486</v>
      </c>
      <c r="G12606" t="s">
        <v>32486</v>
      </c>
      <c r="H12606" t="s">
        <v>859</v>
      </c>
      <c r="I12606" t="s">
        <v>860</v>
      </c>
      <c r="J12606" t="str">
        <f>"9521553"</f>
        <v>9521553</v>
      </c>
      <c r="K12606">
        <v>2821092365</v>
      </c>
      <c r="M12606" t="s">
        <v>35611</v>
      </c>
      <c r="N12606" t="s">
        <v>32486</v>
      </c>
      <c r="O12606" t="s">
        <v>35361</v>
      </c>
      <c r="P12606">
        <v>73136</v>
      </c>
      <c r="Q12606" t="str">
        <f>"35.508895"</f>
        <v>35.508895</v>
      </c>
      <c r="R12606" t="str">
        <f>"24.011879"</f>
        <v>24.011879</v>
      </c>
      <c r="S12606" t="s">
        <v>26</v>
      </c>
    </row>
    <row r="12607" spans="1:19" x14ac:dyDescent="0.3">
      <c r="A12607" t="s">
        <v>32470</v>
      </c>
      <c r="B12607" t="s">
        <v>35016</v>
      </c>
      <c r="C12607" t="s">
        <v>35612</v>
      </c>
      <c r="D12607" t="s">
        <v>32486</v>
      </c>
      <c r="E12607" t="s">
        <v>32486</v>
      </c>
      <c r="F12607" t="s">
        <v>33268</v>
      </c>
      <c r="G12607" t="s">
        <v>33269</v>
      </c>
      <c r="H12607" t="s">
        <v>859</v>
      </c>
      <c r="I12607" t="s">
        <v>860</v>
      </c>
      <c r="J12607" t="str">
        <f>"9521554"</f>
        <v>9521554</v>
      </c>
      <c r="K12607">
        <v>2821009201</v>
      </c>
      <c r="L12607">
        <v>2821009201</v>
      </c>
      <c r="M12607" t="s">
        <v>35613</v>
      </c>
      <c r="N12607" t="s">
        <v>33269</v>
      </c>
      <c r="O12607" t="s">
        <v>35614</v>
      </c>
      <c r="P12607">
        <v>73100</v>
      </c>
      <c r="Q12607" t="str">
        <f>"35.536612"</f>
        <v>35.536612</v>
      </c>
      <c r="R12607" t="str">
        <f>"24.087263"</f>
        <v>24.087263</v>
      </c>
      <c r="S12607" t="s">
        <v>26</v>
      </c>
    </row>
    <row r="12608" spans="1:19" x14ac:dyDescent="0.3">
      <c r="A12608" t="s">
        <v>32470</v>
      </c>
      <c r="B12608" t="s">
        <v>35016</v>
      </c>
      <c r="C12608" t="s">
        <v>35615</v>
      </c>
      <c r="D12608" t="s">
        <v>32486</v>
      </c>
      <c r="E12608" t="s">
        <v>32486</v>
      </c>
      <c r="F12608" t="s">
        <v>33372</v>
      </c>
      <c r="G12608" t="s">
        <v>33373</v>
      </c>
      <c r="H12608" t="s">
        <v>859</v>
      </c>
      <c r="I12608" t="s">
        <v>860</v>
      </c>
      <c r="J12608" t="str">
        <f>"9521555"</f>
        <v>9521555</v>
      </c>
      <c r="K12608">
        <v>2821034411</v>
      </c>
      <c r="L12608">
        <v>2821034411</v>
      </c>
      <c r="M12608" t="s">
        <v>35616</v>
      </c>
      <c r="N12608" t="s">
        <v>33372</v>
      </c>
      <c r="O12608" t="s">
        <v>35617</v>
      </c>
      <c r="P12608">
        <v>73100</v>
      </c>
      <c r="Q12608" t="str">
        <f>"35.499776"</f>
        <v>35.499776</v>
      </c>
      <c r="R12608" t="str">
        <f>"23.973011"</f>
        <v>23.973011</v>
      </c>
      <c r="S12608" t="s">
        <v>26</v>
      </c>
    </row>
    <row r="12609" spans="1:19" x14ac:dyDescent="0.3">
      <c r="A12609" t="s">
        <v>32470</v>
      </c>
      <c r="B12609" t="s">
        <v>35016</v>
      </c>
      <c r="C12609" t="s">
        <v>35618</v>
      </c>
      <c r="D12609" t="s">
        <v>32486</v>
      </c>
      <c r="E12609" t="s">
        <v>32486</v>
      </c>
      <c r="F12609" t="s">
        <v>32486</v>
      </c>
      <c r="G12609" t="s">
        <v>32486</v>
      </c>
      <c r="H12609" t="s">
        <v>859</v>
      </c>
      <c r="I12609" t="s">
        <v>860</v>
      </c>
      <c r="J12609" t="str">
        <f>"9521556"</f>
        <v>9521556</v>
      </c>
      <c r="K12609">
        <v>2821028060</v>
      </c>
      <c r="L12609">
        <v>2821028060</v>
      </c>
      <c r="M12609" t="s">
        <v>35619</v>
      </c>
      <c r="N12609" t="s">
        <v>32486</v>
      </c>
      <c r="O12609" t="s">
        <v>35620</v>
      </c>
      <c r="P12609">
        <v>73100</v>
      </c>
      <c r="Q12609" t="str">
        <f>"35.533404"</f>
        <v>35.533404</v>
      </c>
      <c r="R12609" t="str">
        <f>"24.050989"</f>
        <v>24.050989</v>
      </c>
      <c r="S12609" t="s">
        <v>26</v>
      </c>
    </row>
    <row r="12610" spans="1:19" x14ac:dyDescent="0.3">
      <c r="A12610" t="s">
        <v>32470</v>
      </c>
      <c r="B12610" t="s">
        <v>35016</v>
      </c>
      <c r="C12610" t="s">
        <v>35624</v>
      </c>
      <c r="D12610" t="s">
        <v>32486</v>
      </c>
      <c r="E12610" t="s">
        <v>32486</v>
      </c>
      <c r="F12610" t="s">
        <v>32486</v>
      </c>
      <c r="G12610" t="s">
        <v>32486</v>
      </c>
      <c r="H12610" t="s">
        <v>859</v>
      </c>
      <c r="I12610" t="s">
        <v>1102</v>
      </c>
      <c r="J12610" t="str">
        <f>"9521566"</f>
        <v>9521566</v>
      </c>
      <c r="K12610">
        <v>2821086921</v>
      </c>
      <c r="L12610">
        <v>2821086921</v>
      </c>
      <c r="M12610" t="s">
        <v>35625</v>
      </c>
      <c r="N12610" t="s">
        <v>32486</v>
      </c>
      <c r="O12610" t="s">
        <v>35623</v>
      </c>
      <c r="P12610">
        <v>73135</v>
      </c>
      <c r="Q12610" t="str">
        <f>"35.507614"</f>
        <v>35.507614</v>
      </c>
      <c r="R12610" t="str">
        <f>"24.024290"</f>
        <v>24.024290</v>
      </c>
      <c r="S12610" t="s">
        <v>26</v>
      </c>
    </row>
    <row r="12611" spans="1:19" x14ac:dyDescent="0.3">
      <c r="A12611" t="s">
        <v>32470</v>
      </c>
      <c r="B12611" t="s">
        <v>35016</v>
      </c>
      <c r="C12611" t="s">
        <v>35626</v>
      </c>
      <c r="D12611" t="s">
        <v>32486</v>
      </c>
      <c r="E12611" t="s">
        <v>32486</v>
      </c>
      <c r="F12611" t="s">
        <v>32486</v>
      </c>
      <c r="G12611" t="s">
        <v>32486</v>
      </c>
      <c r="H12611" t="s">
        <v>859</v>
      </c>
      <c r="I12611" t="s">
        <v>860</v>
      </c>
      <c r="J12611" t="str">
        <f>"9500383"</f>
        <v>9500383</v>
      </c>
      <c r="K12611">
        <v>2821054010</v>
      </c>
      <c r="L12611">
        <v>2821054010</v>
      </c>
      <c r="M12611" t="s">
        <v>35627</v>
      </c>
      <c r="N12611" t="s">
        <v>32486</v>
      </c>
      <c r="O12611" t="s">
        <v>35431</v>
      </c>
      <c r="P12611">
        <v>73133</v>
      </c>
      <c r="Q12611" t="str">
        <f>"35.522875"</f>
        <v>35.522875</v>
      </c>
      <c r="R12611" t="str">
        <f>"24.052605"</f>
        <v>24.052605</v>
      </c>
      <c r="S12611" t="s">
        <v>26</v>
      </c>
    </row>
    <row r="12612" spans="1:19" x14ac:dyDescent="0.3">
      <c r="A12612" t="s">
        <v>32470</v>
      </c>
      <c r="B12612" t="s">
        <v>35016</v>
      </c>
      <c r="C12612" t="s">
        <v>35628</v>
      </c>
      <c r="D12612" t="s">
        <v>32486</v>
      </c>
      <c r="E12612" t="s">
        <v>32486</v>
      </c>
      <c r="F12612" t="s">
        <v>13933</v>
      </c>
      <c r="G12612" t="s">
        <v>33253</v>
      </c>
      <c r="H12612" t="s">
        <v>859</v>
      </c>
      <c r="I12612" t="s">
        <v>860</v>
      </c>
      <c r="J12612" t="str">
        <f>"9521606"</f>
        <v>9521606</v>
      </c>
      <c r="K12612">
        <v>2821093393</v>
      </c>
      <c r="L12612">
        <v>93393</v>
      </c>
      <c r="M12612" t="s">
        <v>35629</v>
      </c>
      <c r="N12612" t="s">
        <v>33253</v>
      </c>
      <c r="O12612" t="s">
        <v>35139</v>
      </c>
      <c r="P12612">
        <v>73300</v>
      </c>
      <c r="Q12612" t="str">
        <f>"35.494687"</f>
        <v>35.494687</v>
      </c>
      <c r="R12612" t="str">
        <f>"24.019336"</f>
        <v>24.019336</v>
      </c>
      <c r="S12612" t="s">
        <v>26</v>
      </c>
    </row>
    <row r="12613" spans="1:19" x14ac:dyDescent="0.3">
      <c r="A12613" t="s">
        <v>32470</v>
      </c>
      <c r="B12613" t="s">
        <v>35016</v>
      </c>
      <c r="C12613" t="s">
        <v>35631</v>
      </c>
      <c r="D12613" t="s">
        <v>32486</v>
      </c>
      <c r="E12613" t="s">
        <v>32486</v>
      </c>
      <c r="F12613" t="s">
        <v>33372</v>
      </c>
      <c r="G12613" t="s">
        <v>6337</v>
      </c>
      <c r="H12613" t="s">
        <v>859</v>
      </c>
      <c r="I12613" t="s">
        <v>860</v>
      </c>
      <c r="J12613" t="str">
        <f>"9521650"</f>
        <v>9521650</v>
      </c>
      <c r="K12613">
        <v>2821009699</v>
      </c>
      <c r="L12613">
        <v>2821009699</v>
      </c>
      <c r="M12613" t="s">
        <v>35632</v>
      </c>
      <c r="N12613" t="s">
        <v>33372</v>
      </c>
      <c r="O12613" t="s">
        <v>35305</v>
      </c>
      <c r="P12613">
        <v>73100</v>
      </c>
      <c r="Q12613" t="str">
        <f>"35.494399"</f>
        <v>35.494399</v>
      </c>
      <c r="R12613" t="str">
        <f>"23.961769"</f>
        <v>23.961769</v>
      </c>
      <c r="S12613" t="s">
        <v>26</v>
      </c>
    </row>
    <row r="12614" spans="1:19" x14ac:dyDescent="0.3">
      <c r="A12614" t="s">
        <v>32470</v>
      </c>
      <c r="B12614" t="s">
        <v>35016</v>
      </c>
      <c r="C12614" t="s">
        <v>35633</v>
      </c>
      <c r="D12614" t="s">
        <v>32486</v>
      </c>
      <c r="E12614" t="s">
        <v>32486</v>
      </c>
      <c r="F12614" t="s">
        <v>32486</v>
      </c>
      <c r="G12614" t="s">
        <v>32486</v>
      </c>
      <c r="H12614" t="s">
        <v>859</v>
      </c>
      <c r="I12614" t="s">
        <v>860</v>
      </c>
      <c r="J12614" t="str">
        <f>"9521637"</f>
        <v>9521637</v>
      </c>
      <c r="K12614">
        <v>2821052402</v>
      </c>
      <c r="M12614" t="s">
        <v>35634</v>
      </c>
      <c r="N12614" t="s">
        <v>32486</v>
      </c>
      <c r="O12614" t="s">
        <v>35635</v>
      </c>
      <c r="P12614">
        <v>73134</v>
      </c>
      <c r="Q12614" t="str">
        <f>"35.506862"</f>
        <v>35.506862</v>
      </c>
      <c r="R12614" t="str">
        <f>"24.041447"</f>
        <v>24.041447</v>
      </c>
      <c r="S12614" t="s">
        <v>26</v>
      </c>
    </row>
    <row r="12615" spans="1:19" x14ac:dyDescent="0.3">
      <c r="A12615" t="s">
        <v>35638</v>
      </c>
      <c r="B12615" t="s">
        <v>36334</v>
      </c>
      <c r="C12615" t="s">
        <v>36337</v>
      </c>
      <c r="D12615" t="s">
        <v>35639</v>
      </c>
      <c r="E12615" t="s">
        <v>35639</v>
      </c>
      <c r="F12615" t="s">
        <v>35746</v>
      </c>
      <c r="G12615" t="s">
        <v>35746</v>
      </c>
      <c r="H12615" t="s">
        <v>859</v>
      </c>
      <c r="I12615" t="s">
        <v>860</v>
      </c>
      <c r="J12615" t="str">
        <f>"9520571"</f>
        <v>9520571</v>
      </c>
      <c r="K12615">
        <v>2241053370</v>
      </c>
      <c r="L12615">
        <v>2241053370</v>
      </c>
      <c r="M12615" t="s">
        <v>36338</v>
      </c>
      <c r="N12615" t="s">
        <v>35749</v>
      </c>
      <c r="O12615" t="s">
        <v>36339</v>
      </c>
      <c r="P12615">
        <v>85103</v>
      </c>
      <c r="Q12615" t="str">
        <f>"36.296119"</f>
        <v>36.296119</v>
      </c>
      <c r="R12615" t="str">
        <f>"28.162112"</f>
        <v>28.162112</v>
      </c>
      <c r="S12615" t="s">
        <v>26</v>
      </c>
    </row>
    <row r="12616" spans="1:19" x14ac:dyDescent="0.3">
      <c r="A12616" t="s">
        <v>35638</v>
      </c>
      <c r="B12616" t="s">
        <v>36334</v>
      </c>
      <c r="C12616" t="s">
        <v>36342</v>
      </c>
      <c r="D12616" t="s">
        <v>35639</v>
      </c>
      <c r="E12616" t="s">
        <v>35639</v>
      </c>
      <c r="F12616" t="s">
        <v>35639</v>
      </c>
      <c r="G12616" t="s">
        <v>35639</v>
      </c>
      <c r="H12616" t="s">
        <v>859</v>
      </c>
      <c r="I12616" t="s">
        <v>860</v>
      </c>
      <c r="J12616" t="str">
        <f>"9100047"</f>
        <v>9100047</v>
      </c>
      <c r="K12616">
        <v>2241027193</v>
      </c>
      <c r="L12616">
        <v>2241027181</v>
      </c>
      <c r="M12616" t="s">
        <v>36343</v>
      </c>
      <c r="N12616" t="s">
        <v>35703</v>
      </c>
      <c r="O12616" t="s">
        <v>36344</v>
      </c>
      <c r="P12616">
        <v>85100</v>
      </c>
      <c r="Q12616" t="str">
        <f>"36.435327"</f>
        <v>36.435327</v>
      </c>
      <c r="R12616" t="str">
        <f>"28.235085"</f>
        <v>28.235085</v>
      </c>
      <c r="S12616" t="s">
        <v>26</v>
      </c>
    </row>
    <row r="12617" spans="1:19" x14ac:dyDescent="0.3">
      <c r="A12617" t="s">
        <v>35638</v>
      </c>
      <c r="B12617" t="s">
        <v>36334</v>
      </c>
      <c r="C12617" t="s">
        <v>36350</v>
      </c>
      <c r="D12617" t="s">
        <v>35639</v>
      </c>
      <c r="E12617" t="s">
        <v>35639</v>
      </c>
      <c r="F12617" t="s">
        <v>35639</v>
      </c>
      <c r="G12617" t="s">
        <v>35639</v>
      </c>
      <c r="H12617" t="s">
        <v>859</v>
      </c>
      <c r="I12617" t="s">
        <v>860</v>
      </c>
      <c r="J12617" t="str">
        <f>"9100114"</f>
        <v>9100114</v>
      </c>
      <c r="K12617">
        <v>2241025669</v>
      </c>
      <c r="L12617">
        <v>2241025669</v>
      </c>
      <c r="M12617" t="s">
        <v>36351</v>
      </c>
      <c r="N12617" t="s">
        <v>35703</v>
      </c>
      <c r="O12617" t="s">
        <v>36352</v>
      </c>
      <c r="P12617">
        <v>85100</v>
      </c>
      <c r="Q12617" t="str">
        <f>"36.438164"</f>
        <v>36.438164</v>
      </c>
      <c r="R12617" t="str">
        <f>"28.216363"</f>
        <v>28.216363</v>
      </c>
      <c r="S12617" t="s">
        <v>26</v>
      </c>
    </row>
    <row r="12618" spans="1:19" x14ac:dyDescent="0.3">
      <c r="A12618" t="s">
        <v>35638</v>
      </c>
      <c r="B12618" t="s">
        <v>36334</v>
      </c>
      <c r="C12618" t="s">
        <v>36359</v>
      </c>
      <c r="D12618" t="s">
        <v>35657</v>
      </c>
      <c r="E12618" t="s">
        <v>35657</v>
      </c>
      <c r="F12618" t="s">
        <v>35776</v>
      </c>
      <c r="G12618" t="s">
        <v>35923</v>
      </c>
      <c r="H12618" t="s">
        <v>859</v>
      </c>
      <c r="I12618" t="s">
        <v>860</v>
      </c>
      <c r="J12618" t="str">
        <f>"9520577"</f>
        <v>9520577</v>
      </c>
      <c r="K12618">
        <v>2242071097</v>
      </c>
      <c r="L12618">
        <v>2242071305</v>
      </c>
      <c r="M12618" t="s">
        <v>36360</v>
      </c>
      <c r="N12618" t="s">
        <v>36361</v>
      </c>
      <c r="O12618" t="s">
        <v>36361</v>
      </c>
      <c r="P12618">
        <v>85301</v>
      </c>
      <c r="Q12618" t="str">
        <f>"36.741600"</f>
        <v>36.741600</v>
      </c>
      <c r="R12618" t="str">
        <f>"26.958861"</f>
        <v>26.958861</v>
      </c>
      <c r="S12618" t="s">
        <v>57</v>
      </c>
    </row>
    <row r="12619" spans="1:19" x14ac:dyDescent="0.3">
      <c r="A12619" t="s">
        <v>35638</v>
      </c>
      <c r="B12619" t="s">
        <v>36334</v>
      </c>
      <c r="C12619" t="s">
        <v>36369</v>
      </c>
      <c r="D12619" t="s">
        <v>35639</v>
      </c>
      <c r="E12619" t="s">
        <v>35639</v>
      </c>
      <c r="F12619" t="s">
        <v>35639</v>
      </c>
      <c r="G12619" t="s">
        <v>35639</v>
      </c>
      <c r="H12619" t="s">
        <v>859</v>
      </c>
      <c r="I12619" t="s">
        <v>860</v>
      </c>
      <c r="J12619" t="str">
        <f>"9100240"</f>
        <v>9100240</v>
      </c>
      <c r="K12619">
        <v>2241064360</v>
      </c>
      <c r="L12619">
        <v>2241064360</v>
      </c>
      <c r="M12619" t="s">
        <v>36370</v>
      </c>
      <c r="N12619" t="s">
        <v>35703</v>
      </c>
      <c r="O12619" t="s">
        <v>36365</v>
      </c>
      <c r="P12619">
        <v>85100</v>
      </c>
      <c r="Q12619" t="str">
        <f>"36.427450"</f>
        <v>36.427450</v>
      </c>
      <c r="R12619" t="str">
        <f>"28.214110"</f>
        <v>28.214110</v>
      </c>
      <c r="S12619" t="s">
        <v>26</v>
      </c>
    </row>
    <row r="12620" spans="1:19" x14ac:dyDescent="0.3">
      <c r="A12620" t="s">
        <v>35638</v>
      </c>
      <c r="B12620" t="s">
        <v>36334</v>
      </c>
      <c r="C12620" t="s">
        <v>36385</v>
      </c>
      <c r="D12620" t="s">
        <v>35639</v>
      </c>
      <c r="E12620" t="s">
        <v>35639</v>
      </c>
      <c r="F12620" t="s">
        <v>35639</v>
      </c>
      <c r="G12620" t="s">
        <v>35639</v>
      </c>
      <c r="H12620" t="s">
        <v>859</v>
      </c>
      <c r="I12620" t="s">
        <v>860</v>
      </c>
      <c r="J12620" t="str">
        <f>"9100246"</f>
        <v>9100246</v>
      </c>
      <c r="K12620">
        <v>2241063951</v>
      </c>
      <c r="L12620">
        <v>2241063951</v>
      </c>
      <c r="M12620" t="s">
        <v>36386</v>
      </c>
      <c r="N12620" t="s">
        <v>35703</v>
      </c>
      <c r="O12620" t="s">
        <v>36387</v>
      </c>
      <c r="P12620">
        <v>85100</v>
      </c>
      <c r="Q12620" t="str">
        <f>"36.424794"</f>
        <v>36.424794</v>
      </c>
      <c r="R12620" t="str">
        <f>"28.212586"</f>
        <v>28.212586</v>
      </c>
      <c r="S12620" t="s">
        <v>26</v>
      </c>
    </row>
    <row r="12621" spans="1:19" x14ac:dyDescent="0.3">
      <c r="A12621" t="s">
        <v>35638</v>
      </c>
      <c r="B12621" t="s">
        <v>36334</v>
      </c>
      <c r="C12621" t="s">
        <v>36390</v>
      </c>
      <c r="D12621" t="s">
        <v>35639</v>
      </c>
      <c r="E12621" t="s">
        <v>35639</v>
      </c>
      <c r="F12621" t="s">
        <v>36388</v>
      </c>
      <c r="G12621" t="s">
        <v>36389</v>
      </c>
      <c r="H12621" t="s">
        <v>859</v>
      </c>
      <c r="I12621" t="s">
        <v>860</v>
      </c>
      <c r="J12621" t="str">
        <f>"9100241"</f>
        <v>9100241</v>
      </c>
      <c r="K12621">
        <v>2244044495</v>
      </c>
      <c r="L12621">
        <v>2244044495</v>
      </c>
      <c r="M12621" t="s">
        <v>36391</v>
      </c>
      <c r="N12621" t="s">
        <v>36392</v>
      </c>
      <c r="O12621" t="s">
        <v>36392</v>
      </c>
      <c r="P12621">
        <v>85109</v>
      </c>
      <c r="Q12621" t="str">
        <f>"36.096186"</f>
        <v>36.096186</v>
      </c>
      <c r="R12621" t="str">
        <f>"28.017101"</f>
        <v>28.017101</v>
      </c>
      <c r="S12621" t="s">
        <v>26</v>
      </c>
    </row>
    <row r="12622" spans="1:19" x14ac:dyDescent="0.3">
      <c r="A12622" t="s">
        <v>35638</v>
      </c>
      <c r="B12622" t="s">
        <v>36334</v>
      </c>
      <c r="C12622" t="s">
        <v>36398</v>
      </c>
      <c r="D12622" t="s">
        <v>35657</v>
      </c>
      <c r="E12622" t="s">
        <v>35657</v>
      </c>
      <c r="F12622" t="s">
        <v>35658</v>
      </c>
      <c r="G12622" t="s">
        <v>36397</v>
      </c>
      <c r="H12622" t="s">
        <v>859</v>
      </c>
      <c r="I12622" t="s">
        <v>860</v>
      </c>
      <c r="J12622" t="str">
        <f>"9100027"</f>
        <v>9100027</v>
      </c>
      <c r="K12622">
        <v>2242041440</v>
      </c>
      <c r="L12622">
        <v>2242041675</v>
      </c>
      <c r="M12622" t="s">
        <v>36399</v>
      </c>
      <c r="N12622" t="s">
        <v>35718</v>
      </c>
      <c r="O12622" t="s">
        <v>36400</v>
      </c>
      <c r="P12622">
        <v>85300</v>
      </c>
      <c r="Q12622" t="str">
        <f>"36.846521"</f>
        <v>36.846521</v>
      </c>
      <c r="R12622" t="str">
        <f>"27.159306"</f>
        <v>27.159306</v>
      </c>
      <c r="S12622" t="s">
        <v>26</v>
      </c>
    </row>
    <row r="12623" spans="1:19" x14ac:dyDescent="0.3">
      <c r="A12623" t="s">
        <v>35638</v>
      </c>
      <c r="B12623" t="s">
        <v>36334</v>
      </c>
      <c r="C12623" t="s">
        <v>36405</v>
      </c>
      <c r="D12623" t="s">
        <v>35657</v>
      </c>
      <c r="E12623" t="s">
        <v>35657</v>
      </c>
      <c r="F12623" t="s">
        <v>35657</v>
      </c>
      <c r="G12623" t="s">
        <v>35657</v>
      </c>
      <c r="H12623" t="s">
        <v>859</v>
      </c>
      <c r="I12623" t="s">
        <v>860</v>
      </c>
      <c r="J12623" t="str">
        <f>"9100003"</f>
        <v>9100003</v>
      </c>
      <c r="K12623">
        <v>2242022152</v>
      </c>
      <c r="L12623">
        <v>2242021385</v>
      </c>
      <c r="M12623" t="s">
        <v>36406</v>
      </c>
      <c r="N12623" t="s">
        <v>35657</v>
      </c>
      <c r="O12623" t="s">
        <v>36407</v>
      </c>
      <c r="P12623">
        <v>85300</v>
      </c>
      <c r="Q12623" t="str">
        <f>"36.889956"</f>
        <v>36.889956</v>
      </c>
      <c r="R12623" t="str">
        <f>"27.298106"</f>
        <v>27.298106</v>
      </c>
      <c r="S12623" t="s">
        <v>26</v>
      </c>
    </row>
    <row r="12624" spans="1:19" x14ac:dyDescent="0.3">
      <c r="A12624" t="s">
        <v>35638</v>
      </c>
      <c r="B12624" t="s">
        <v>36334</v>
      </c>
      <c r="C12624" t="s">
        <v>36412</v>
      </c>
      <c r="D12624" t="s">
        <v>35639</v>
      </c>
      <c r="E12624" t="s">
        <v>35639</v>
      </c>
      <c r="F12624" t="s">
        <v>35639</v>
      </c>
      <c r="G12624" t="s">
        <v>35639</v>
      </c>
      <c r="H12624" t="s">
        <v>859</v>
      </c>
      <c r="I12624" t="s">
        <v>860</v>
      </c>
      <c r="J12624" t="str">
        <f>"9100229"</f>
        <v>9100229</v>
      </c>
      <c r="K12624">
        <v>2241035702</v>
      </c>
      <c r="L12624">
        <v>2241035702</v>
      </c>
      <c r="M12624" t="s">
        <v>36413</v>
      </c>
      <c r="N12624" t="s">
        <v>35703</v>
      </c>
      <c r="O12624" t="s">
        <v>36409</v>
      </c>
      <c r="P12624">
        <v>85100</v>
      </c>
      <c r="Q12624" t="str">
        <f>"36.437488"</f>
        <v>36.437488</v>
      </c>
      <c r="R12624" t="str">
        <f>"28.230120"</f>
        <v>28.230120</v>
      </c>
      <c r="S12624" t="s">
        <v>26</v>
      </c>
    </row>
    <row r="12625" spans="1:19" x14ac:dyDescent="0.3">
      <c r="A12625" t="s">
        <v>35638</v>
      </c>
      <c r="B12625" t="s">
        <v>36334</v>
      </c>
      <c r="C12625" t="s">
        <v>36414</v>
      </c>
      <c r="D12625" t="s">
        <v>35657</v>
      </c>
      <c r="E12625" t="s">
        <v>35657</v>
      </c>
      <c r="F12625" t="s">
        <v>35657</v>
      </c>
      <c r="G12625" t="s">
        <v>35657</v>
      </c>
      <c r="H12625" t="s">
        <v>859</v>
      </c>
      <c r="I12625" t="s">
        <v>860</v>
      </c>
      <c r="J12625" t="str">
        <f>"9100005"</f>
        <v>9100005</v>
      </c>
      <c r="K12625">
        <v>2242049418</v>
      </c>
      <c r="L12625">
        <v>2242049417</v>
      </c>
      <c r="M12625" t="s">
        <v>36415</v>
      </c>
      <c r="N12625" t="s">
        <v>35657</v>
      </c>
      <c r="O12625" t="s">
        <v>36416</v>
      </c>
      <c r="P12625">
        <v>85300</v>
      </c>
      <c r="Q12625" t="str">
        <f>"36.875560"</f>
        <v>36.875560</v>
      </c>
      <c r="R12625" t="str">
        <f>"27.286406"</f>
        <v>27.286406</v>
      </c>
      <c r="S12625" t="s">
        <v>26</v>
      </c>
    </row>
    <row r="12626" spans="1:19" x14ac:dyDescent="0.3">
      <c r="A12626" t="s">
        <v>35638</v>
      </c>
      <c r="B12626" t="s">
        <v>36334</v>
      </c>
      <c r="C12626" t="s">
        <v>36417</v>
      </c>
      <c r="D12626" t="s">
        <v>35639</v>
      </c>
      <c r="E12626" t="s">
        <v>35639</v>
      </c>
      <c r="F12626" t="s">
        <v>35639</v>
      </c>
      <c r="G12626" t="s">
        <v>35639</v>
      </c>
      <c r="H12626" t="s">
        <v>859</v>
      </c>
      <c r="I12626" t="s">
        <v>860</v>
      </c>
      <c r="J12626" t="str">
        <f>"9100227"</f>
        <v>9100227</v>
      </c>
      <c r="K12626">
        <v>2241031520</v>
      </c>
      <c r="L12626">
        <v>2241038214</v>
      </c>
      <c r="M12626" t="s">
        <v>36418</v>
      </c>
      <c r="N12626" t="s">
        <v>35703</v>
      </c>
      <c r="O12626" t="s">
        <v>36419</v>
      </c>
      <c r="P12626">
        <v>85100</v>
      </c>
      <c r="Q12626" t="str">
        <f>"36.439555"</f>
        <v>36.439555</v>
      </c>
      <c r="R12626" t="str">
        <f>"28.219427"</f>
        <v>28.219427</v>
      </c>
      <c r="S12626" t="s">
        <v>26</v>
      </c>
    </row>
    <row r="12627" spans="1:19" x14ac:dyDescent="0.3">
      <c r="A12627" t="s">
        <v>35638</v>
      </c>
      <c r="B12627" t="s">
        <v>36334</v>
      </c>
      <c r="C12627" t="s">
        <v>36424</v>
      </c>
      <c r="D12627" t="s">
        <v>35657</v>
      </c>
      <c r="E12627" t="s">
        <v>35657</v>
      </c>
      <c r="F12627" t="s">
        <v>35657</v>
      </c>
      <c r="G12627" t="s">
        <v>35657</v>
      </c>
      <c r="H12627" t="s">
        <v>859</v>
      </c>
      <c r="I12627" t="s">
        <v>860</v>
      </c>
      <c r="J12627" t="str">
        <f>"9100006"</f>
        <v>9100006</v>
      </c>
      <c r="K12627">
        <v>6938763190</v>
      </c>
      <c r="L12627">
        <v>2242028860</v>
      </c>
      <c r="M12627" t="s">
        <v>36425</v>
      </c>
      <c r="N12627" t="s">
        <v>35718</v>
      </c>
      <c r="O12627" t="s">
        <v>36426</v>
      </c>
      <c r="P12627">
        <v>85300</v>
      </c>
      <c r="Q12627" t="str">
        <f>"36.890572"</f>
        <v>36.890572</v>
      </c>
      <c r="R12627" t="str">
        <f>"27.290077"</f>
        <v>27.290077</v>
      </c>
      <c r="S12627" t="s">
        <v>26</v>
      </c>
    </row>
    <row r="12628" spans="1:19" x14ac:dyDescent="0.3">
      <c r="A12628" t="s">
        <v>35638</v>
      </c>
      <c r="B12628" t="s">
        <v>36334</v>
      </c>
      <c r="C12628" t="s">
        <v>36427</v>
      </c>
      <c r="D12628" t="s">
        <v>35639</v>
      </c>
      <c r="E12628" t="s">
        <v>35639</v>
      </c>
      <c r="F12628" t="s">
        <v>35639</v>
      </c>
      <c r="G12628" t="s">
        <v>35639</v>
      </c>
      <c r="H12628" t="s">
        <v>859</v>
      </c>
      <c r="I12628" t="s">
        <v>860</v>
      </c>
      <c r="J12628" t="str">
        <f>"9100179"</f>
        <v>9100179</v>
      </c>
      <c r="K12628">
        <v>2241021301</v>
      </c>
      <c r="M12628" t="s">
        <v>36428</v>
      </c>
      <c r="N12628" t="s">
        <v>35703</v>
      </c>
      <c r="O12628" t="s">
        <v>36429</v>
      </c>
      <c r="P12628">
        <v>85100</v>
      </c>
      <c r="Q12628" t="str">
        <f>"36.432981"</f>
        <v>36.432981</v>
      </c>
      <c r="R12628" t="str">
        <f>"28.222812"</f>
        <v>28.222812</v>
      </c>
      <c r="S12628" t="s">
        <v>26</v>
      </c>
    </row>
    <row r="12629" spans="1:19" x14ac:dyDescent="0.3">
      <c r="A12629" t="s">
        <v>35638</v>
      </c>
      <c r="B12629" t="s">
        <v>36334</v>
      </c>
      <c r="C12629" t="s">
        <v>36430</v>
      </c>
      <c r="D12629" t="s">
        <v>35657</v>
      </c>
      <c r="E12629" t="s">
        <v>35657</v>
      </c>
      <c r="F12629" t="s">
        <v>35657</v>
      </c>
      <c r="G12629" t="s">
        <v>35657</v>
      </c>
      <c r="H12629" t="s">
        <v>859</v>
      </c>
      <c r="I12629" t="s">
        <v>860</v>
      </c>
      <c r="J12629" t="str">
        <f>"9100210"</f>
        <v>9100210</v>
      </c>
      <c r="K12629">
        <v>2242026983</v>
      </c>
      <c r="L12629">
        <v>2242026983</v>
      </c>
      <c r="M12629" t="s">
        <v>36431</v>
      </c>
      <c r="N12629" t="s">
        <v>35657</v>
      </c>
      <c r="O12629" t="s">
        <v>36432</v>
      </c>
      <c r="P12629">
        <v>85300</v>
      </c>
      <c r="Q12629" t="str">
        <f>"36.881447"</f>
        <v>36.881447</v>
      </c>
      <c r="R12629" t="str">
        <f>"27.313764"</f>
        <v>27.313764</v>
      </c>
      <c r="S12629" t="s">
        <v>26</v>
      </c>
    </row>
    <row r="12630" spans="1:19" x14ac:dyDescent="0.3">
      <c r="A12630" t="s">
        <v>35638</v>
      </c>
      <c r="B12630" t="s">
        <v>36334</v>
      </c>
      <c r="C12630" t="s">
        <v>36433</v>
      </c>
      <c r="D12630" t="s">
        <v>35639</v>
      </c>
      <c r="E12630" t="s">
        <v>35946</v>
      </c>
      <c r="F12630" t="s">
        <v>35946</v>
      </c>
      <c r="G12630" t="s">
        <v>13684</v>
      </c>
      <c r="H12630" t="s">
        <v>859</v>
      </c>
      <c r="I12630" t="s">
        <v>860</v>
      </c>
      <c r="J12630" t="str">
        <f>"9100258"</f>
        <v>9100258</v>
      </c>
      <c r="K12630">
        <v>2246044141</v>
      </c>
      <c r="L12630">
        <v>2246044141</v>
      </c>
      <c r="M12630" t="s">
        <v>36434</v>
      </c>
      <c r="N12630" t="s">
        <v>36435</v>
      </c>
      <c r="O12630" t="s">
        <v>36436</v>
      </c>
      <c r="P12630">
        <v>85002</v>
      </c>
      <c r="Q12630" t="str">
        <f>"36.415677"</f>
        <v>36.415677</v>
      </c>
      <c r="R12630" t="str">
        <f>"27.384997"</f>
        <v>27.384997</v>
      </c>
      <c r="S12630" t="s">
        <v>57</v>
      </c>
    </row>
    <row r="12631" spans="1:19" x14ac:dyDescent="0.3">
      <c r="A12631" t="s">
        <v>35638</v>
      </c>
      <c r="B12631" t="s">
        <v>36334</v>
      </c>
      <c r="C12631" t="s">
        <v>36437</v>
      </c>
      <c r="D12631" t="s">
        <v>35657</v>
      </c>
      <c r="E12631" t="s">
        <v>35657</v>
      </c>
      <c r="F12631" t="s">
        <v>35657</v>
      </c>
      <c r="G12631" t="s">
        <v>35657</v>
      </c>
      <c r="H12631" t="s">
        <v>859</v>
      </c>
      <c r="I12631" t="s">
        <v>860</v>
      </c>
      <c r="J12631" t="str">
        <f>"9100256"</f>
        <v>9100256</v>
      </c>
      <c r="K12631">
        <v>2242021621</v>
      </c>
      <c r="L12631">
        <v>2242021621</v>
      </c>
      <c r="M12631" t="s">
        <v>36438</v>
      </c>
      <c r="N12631" t="s">
        <v>35657</v>
      </c>
      <c r="O12631" t="s">
        <v>36439</v>
      </c>
      <c r="P12631">
        <v>85300</v>
      </c>
      <c r="Q12631" t="str">
        <f>"36.909127"</f>
        <v>36.909127</v>
      </c>
      <c r="R12631" t="str">
        <f>"27.281524"</f>
        <v>27.281524</v>
      </c>
      <c r="S12631" t="s">
        <v>26</v>
      </c>
    </row>
    <row r="12632" spans="1:19" x14ac:dyDescent="0.3">
      <c r="A12632" t="s">
        <v>35638</v>
      </c>
      <c r="B12632" t="s">
        <v>36334</v>
      </c>
      <c r="C12632" t="s">
        <v>36440</v>
      </c>
      <c r="D12632" t="s">
        <v>35639</v>
      </c>
      <c r="E12632" t="s">
        <v>35639</v>
      </c>
      <c r="F12632" t="s">
        <v>35639</v>
      </c>
      <c r="G12632" t="s">
        <v>35639</v>
      </c>
      <c r="H12632" t="s">
        <v>859</v>
      </c>
      <c r="I12632" t="s">
        <v>860</v>
      </c>
      <c r="J12632" t="str">
        <f>"9100249"</f>
        <v>9100249</v>
      </c>
      <c r="K12632">
        <v>2241061763</v>
      </c>
      <c r="L12632">
        <v>2241061763</v>
      </c>
      <c r="M12632" t="s">
        <v>36441</v>
      </c>
      <c r="N12632" t="s">
        <v>35703</v>
      </c>
      <c r="O12632" t="s">
        <v>36442</v>
      </c>
      <c r="P12632">
        <v>85100</v>
      </c>
      <c r="Q12632" t="str">
        <f>"36.422581"</f>
        <v>36.422581</v>
      </c>
      <c r="R12632" t="str">
        <f>"28.224108"</f>
        <v>28.224108</v>
      </c>
      <c r="S12632" t="s">
        <v>26</v>
      </c>
    </row>
    <row r="12633" spans="1:19" x14ac:dyDescent="0.3">
      <c r="A12633" t="s">
        <v>35638</v>
      </c>
      <c r="B12633" t="s">
        <v>36334</v>
      </c>
      <c r="C12633" t="s">
        <v>36443</v>
      </c>
      <c r="D12633" t="s">
        <v>35657</v>
      </c>
      <c r="E12633" t="s">
        <v>35657</v>
      </c>
      <c r="F12633" t="s">
        <v>35657</v>
      </c>
      <c r="G12633" t="s">
        <v>35657</v>
      </c>
      <c r="H12633" t="s">
        <v>859</v>
      </c>
      <c r="I12633" t="s">
        <v>860</v>
      </c>
      <c r="J12633" t="str">
        <f>"9100010"</f>
        <v>9100010</v>
      </c>
      <c r="K12633">
        <v>2242021076</v>
      </c>
      <c r="L12633">
        <v>2242021076</v>
      </c>
      <c r="M12633" t="s">
        <v>36444</v>
      </c>
      <c r="N12633" t="s">
        <v>35718</v>
      </c>
      <c r="O12633" t="s">
        <v>36011</v>
      </c>
      <c r="P12633">
        <v>85300</v>
      </c>
      <c r="Q12633" t="str">
        <f>"36.883252"</f>
        <v>36.883252</v>
      </c>
      <c r="R12633" t="str">
        <f>"27.272313"</f>
        <v>27.272313</v>
      </c>
      <c r="S12633" t="s">
        <v>26</v>
      </c>
    </row>
    <row r="12634" spans="1:19" x14ac:dyDescent="0.3">
      <c r="A12634" t="s">
        <v>35638</v>
      </c>
      <c r="B12634" t="s">
        <v>36334</v>
      </c>
      <c r="C12634" t="s">
        <v>36445</v>
      </c>
      <c r="D12634" t="s">
        <v>35657</v>
      </c>
      <c r="E12634" t="s">
        <v>35657</v>
      </c>
      <c r="F12634" t="s">
        <v>35658</v>
      </c>
      <c r="G12634" t="s">
        <v>35659</v>
      </c>
      <c r="H12634" t="s">
        <v>859</v>
      </c>
      <c r="I12634" t="s">
        <v>860</v>
      </c>
      <c r="J12634" t="str">
        <f>"9100201"</f>
        <v>9100201</v>
      </c>
      <c r="K12634">
        <v>2242069491</v>
      </c>
      <c r="M12634" t="s">
        <v>36446</v>
      </c>
      <c r="N12634" t="s">
        <v>36447</v>
      </c>
      <c r="O12634" t="s">
        <v>36448</v>
      </c>
      <c r="P12634">
        <v>85300</v>
      </c>
      <c r="Q12634" t="str">
        <f>"36.877130"</f>
        <v>36.877130</v>
      </c>
      <c r="R12634" t="str">
        <f>"27.205350"</f>
        <v>27.205350</v>
      </c>
      <c r="S12634" t="s">
        <v>26</v>
      </c>
    </row>
    <row r="12635" spans="1:19" x14ac:dyDescent="0.3">
      <c r="A12635" t="s">
        <v>35638</v>
      </c>
      <c r="B12635" t="s">
        <v>36334</v>
      </c>
      <c r="C12635" t="s">
        <v>36449</v>
      </c>
      <c r="D12635" t="s">
        <v>35651</v>
      </c>
      <c r="E12635" t="s">
        <v>35652</v>
      </c>
      <c r="F12635" t="s">
        <v>35652</v>
      </c>
      <c r="G12635" t="s">
        <v>35652</v>
      </c>
      <c r="H12635" t="s">
        <v>859</v>
      </c>
      <c r="I12635" t="s">
        <v>860</v>
      </c>
      <c r="J12635" t="str">
        <f>"9100159"</f>
        <v>9100159</v>
      </c>
      <c r="K12635">
        <v>2243028927</v>
      </c>
      <c r="M12635" t="s">
        <v>36450</v>
      </c>
      <c r="N12635" t="s">
        <v>35673</v>
      </c>
      <c r="O12635" t="s">
        <v>36451</v>
      </c>
      <c r="P12635">
        <v>85200</v>
      </c>
      <c r="Q12635" t="str">
        <f>"36.964135"</f>
        <v>36.964135</v>
      </c>
      <c r="R12635" t="str">
        <f>"26.960986"</f>
        <v>26.960986</v>
      </c>
      <c r="S12635" t="s">
        <v>26</v>
      </c>
    </row>
    <row r="12636" spans="1:19" x14ac:dyDescent="0.3">
      <c r="A12636" t="s">
        <v>35638</v>
      </c>
      <c r="B12636" t="s">
        <v>36334</v>
      </c>
      <c r="C12636" t="s">
        <v>36452</v>
      </c>
      <c r="D12636" t="s">
        <v>35657</v>
      </c>
      <c r="E12636" t="s">
        <v>35657</v>
      </c>
      <c r="F12636" t="s">
        <v>35658</v>
      </c>
      <c r="G12636" t="s">
        <v>35659</v>
      </c>
      <c r="H12636" t="s">
        <v>859</v>
      </c>
      <c r="I12636" t="s">
        <v>860</v>
      </c>
      <c r="J12636" t="str">
        <f>"9520677"</f>
        <v>9520677</v>
      </c>
      <c r="K12636">
        <v>2242069493</v>
      </c>
      <c r="L12636">
        <v>2242069493</v>
      </c>
      <c r="M12636" t="s">
        <v>36453</v>
      </c>
      <c r="N12636" t="s">
        <v>36454</v>
      </c>
      <c r="O12636" t="s">
        <v>36454</v>
      </c>
      <c r="P12636">
        <v>85300</v>
      </c>
      <c r="Q12636" t="str">
        <f>"36.877130"</f>
        <v>36.877130</v>
      </c>
      <c r="R12636" t="str">
        <f>"27.205350"</f>
        <v>27.205350</v>
      </c>
      <c r="S12636" t="s">
        <v>26</v>
      </c>
    </row>
    <row r="12637" spans="1:19" x14ac:dyDescent="0.3">
      <c r="A12637" t="s">
        <v>35638</v>
      </c>
      <c r="B12637" t="s">
        <v>36334</v>
      </c>
      <c r="C12637" t="s">
        <v>36455</v>
      </c>
      <c r="D12637" t="s">
        <v>35657</v>
      </c>
      <c r="E12637" t="s">
        <v>35657</v>
      </c>
      <c r="F12637" t="s">
        <v>35776</v>
      </c>
      <c r="G12637" t="s">
        <v>35777</v>
      </c>
      <c r="H12637" t="s">
        <v>859</v>
      </c>
      <c r="I12637" t="s">
        <v>860</v>
      </c>
      <c r="J12637" t="str">
        <f>"9100013"</f>
        <v>9100013</v>
      </c>
      <c r="K12637">
        <v>2242051517</v>
      </c>
      <c r="L12637">
        <v>2242051063</v>
      </c>
      <c r="M12637" t="s">
        <v>36456</v>
      </c>
      <c r="N12637" t="s">
        <v>35780</v>
      </c>
      <c r="O12637" t="s">
        <v>35780</v>
      </c>
      <c r="P12637">
        <v>85302</v>
      </c>
      <c r="Q12637" t="str">
        <f>"36.807583"</f>
        <v>36.807583</v>
      </c>
      <c r="R12637" t="str">
        <f>"27.094926"</f>
        <v>27.094926</v>
      </c>
      <c r="S12637" t="s">
        <v>26</v>
      </c>
    </row>
    <row r="12638" spans="1:19" x14ac:dyDescent="0.3">
      <c r="A12638" t="s">
        <v>35638</v>
      </c>
      <c r="B12638" t="s">
        <v>36334</v>
      </c>
      <c r="C12638" t="s">
        <v>36457</v>
      </c>
      <c r="D12638" t="s">
        <v>35639</v>
      </c>
      <c r="E12638" t="s">
        <v>35639</v>
      </c>
      <c r="F12638" t="s">
        <v>29736</v>
      </c>
      <c r="G12638" t="s">
        <v>29736</v>
      </c>
      <c r="H12638" t="s">
        <v>859</v>
      </c>
      <c r="I12638" t="s">
        <v>860</v>
      </c>
      <c r="J12638" t="str">
        <f>"9100221"</f>
        <v>9100221</v>
      </c>
      <c r="K12638">
        <v>2244022755</v>
      </c>
      <c r="L12638">
        <v>2244022755</v>
      </c>
      <c r="M12638" t="s">
        <v>36458</v>
      </c>
      <c r="N12638" t="s">
        <v>35982</v>
      </c>
      <c r="O12638" t="s">
        <v>19424</v>
      </c>
      <c r="P12638">
        <v>85102</v>
      </c>
      <c r="Q12638" t="str">
        <f>"36.214529"</f>
        <v>36.214529</v>
      </c>
      <c r="R12638" t="str">
        <f>"28.116926"</f>
        <v>28.116926</v>
      </c>
      <c r="S12638" t="s">
        <v>26</v>
      </c>
    </row>
    <row r="12639" spans="1:19" x14ac:dyDescent="0.3">
      <c r="A12639" t="s">
        <v>35638</v>
      </c>
      <c r="B12639" t="s">
        <v>36334</v>
      </c>
      <c r="C12639" t="s">
        <v>36460</v>
      </c>
      <c r="D12639" t="s">
        <v>35657</v>
      </c>
      <c r="E12639" t="s">
        <v>35657</v>
      </c>
      <c r="F12639" t="s">
        <v>35776</v>
      </c>
      <c r="G12639" t="s">
        <v>36459</v>
      </c>
      <c r="H12639" t="s">
        <v>859</v>
      </c>
      <c r="I12639" t="s">
        <v>860</v>
      </c>
      <c r="J12639" t="str">
        <f>"9520576"</f>
        <v>9520576</v>
      </c>
      <c r="K12639">
        <v>2242092000</v>
      </c>
      <c r="L12639">
        <v>2242092000</v>
      </c>
      <c r="M12639" t="s">
        <v>36461</v>
      </c>
      <c r="N12639" t="s">
        <v>36462</v>
      </c>
      <c r="O12639" t="s">
        <v>36462</v>
      </c>
      <c r="P12639">
        <v>85302</v>
      </c>
      <c r="Q12639" t="str">
        <f>"36.782218"</f>
        <v>36.782218</v>
      </c>
      <c r="R12639" t="str">
        <f>"27.140129"</f>
        <v>27.140129</v>
      </c>
      <c r="S12639" t="s">
        <v>26</v>
      </c>
    </row>
    <row r="12640" spans="1:19" x14ac:dyDescent="0.3">
      <c r="A12640" t="s">
        <v>35638</v>
      </c>
      <c r="B12640" t="s">
        <v>36334</v>
      </c>
      <c r="C12640" t="s">
        <v>36466</v>
      </c>
      <c r="D12640" t="s">
        <v>35651</v>
      </c>
      <c r="E12640" t="s">
        <v>35652</v>
      </c>
      <c r="F12640" t="s">
        <v>35652</v>
      </c>
      <c r="G12640" t="s">
        <v>35652</v>
      </c>
      <c r="H12640" t="s">
        <v>859</v>
      </c>
      <c r="I12640" t="s">
        <v>860</v>
      </c>
      <c r="J12640" t="str">
        <f>"9520968"</f>
        <v>9520968</v>
      </c>
      <c r="K12640">
        <v>2243047709</v>
      </c>
      <c r="M12640" t="s">
        <v>36467</v>
      </c>
      <c r="N12640" t="s">
        <v>36468</v>
      </c>
      <c r="O12640" t="s">
        <v>36469</v>
      </c>
      <c r="P12640">
        <v>85200</v>
      </c>
      <c r="Q12640" t="str">
        <f>"36.957165"</f>
        <v>36.957165</v>
      </c>
      <c r="R12640" t="str">
        <f>"26.945115"</f>
        <v>26.945115</v>
      </c>
      <c r="S12640" t="s">
        <v>26</v>
      </c>
    </row>
    <row r="12641" spans="1:19" x14ac:dyDescent="0.3">
      <c r="A12641" t="s">
        <v>35638</v>
      </c>
      <c r="B12641" t="s">
        <v>36334</v>
      </c>
      <c r="C12641" t="s">
        <v>36470</v>
      </c>
      <c r="D12641" t="s">
        <v>35651</v>
      </c>
      <c r="E12641" t="s">
        <v>35762</v>
      </c>
      <c r="F12641" t="s">
        <v>35762</v>
      </c>
      <c r="G12641" t="s">
        <v>35762</v>
      </c>
      <c r="H12641" t="s">
        <v>859</v>
      </c>
      <c r="I12641" t="s">
        <v>860</v>
      </c>
      <c r="J12641" t="str">
        <f>"9100242"</f>
        <v>9100242</v>
      </c>
      <c r="K12641">
        <v>2247033310</v>
      </c>
      <c r="L12641">
        <v>2247031062</v>
      </c>
      <c r="M12641" t="s">
        <v>36471</v>
      </c>
      <c r="N12641" t="s">
        <v>36472</v>
      </c>
      <c r="O12641" t="s">
        <v>36472</v>
      </c>
      <c r="P12641">
        <v>85500</v>
      </c>
      <c r="Q12641" t="str">
        <f>"37.353114"</f>
        <v>37.353114</v>
      </c>
      <c r="R12641" t="str">
        <f>"26.556399"</f>
        <v>26.556399</v>
      </c>
      <c r="S12641" t="s">
        <v>57</v>
      </c>
    </row>
    <row r="12642" spans="1:19" x14ac:dyDescent="0.3">
      <c r="A12642" t="s">
        <v>35638</v>
      </c>
      <c r="B12642" t="s">
        <v>36334</v>
      </c>
      <c r="C12642" t="s">
        <v>36473</v>
      </c>
      <c r="D12642" t="s">
        <v>35651</v>
      </c>
      <c r="E12642" t="s">
        <v>35762</v>
      </c>
      <c r="F12642" t="s">
        <v>35762</v>
      </c>
      <c r="G12642" t="s">
        <v>35762</v>
      </c>
      <c r="H12642" t="s">
        <v>859</v>
      </c>
      <c r="I12642" t="s">
        <v>860</v>
      </c>
      <c r="J12642" t="str">
        <f>"9100182"</f>
        <v>9100182</v>
      </c>
      <c r="K12642">
        <v>2247033159</v>
      </c>
      <c r="L12642">
        <v>2247033159</v>
      </c>
      <c r="M12642" t="s">
        <v>36474</v>
      </c>
      <c r="N12642" t="s">
        <v>36475</v>
      </c>
      <c r="O12642" t="s">
        <v>35766</v>
      </c>
      <c r="P12642">
        <v>85500</v>
      </c>
      <c r="Q12642" t="str">
        <f>"37.322415"</f>
        <v>37.322415</v>
      </c>
      <c r="R12642" t="str">
        <f>"26.541660"</f>
        <v>26.541660</v>
      </c>
      <c r="S12642" t="s">
        <v>57</v>
      </c>
    </row>
    <row r="12643" spans="1:19" x14ac:dyDescent="0.3">
      <c r="A12643" t="s">
        <v>35638</v>
      </c>
      <c r="B12643" t="s">
        <v>36334</v>
      </c>
      <c r="C12643" t="s">
        <v>36476</v>
      </c>
      <c r="D12643" t="s">
        <v>35651</v>
      </c>
      <c r="E12643" t="s">
        <v>35762</v>
      </c>
      <c r="F12643" t="s">
        <v>35762</v>
      </c>
      <c r="G12643" t="s">
        <v>35762</v>
      </c>
      <c r="H12643" t="s">
        <v>859</v>
      </c>
      <c r="I12643" t="s">
        <v>860</v>
      </c>
      <c r="J12643" t="str">
        <f>"9100238"</f>
        <v>9100238</v>
      </c>
      <c r="K12643">
        <v>2247032920</v>
      </c>
      <c r="L12643">
        <v>2247032920</v>
      </c>
      <c r="M12643" t="s">
        <v>36477</v>
      </c>
      <c r="N12643" t="s">
        <v>36478</v>
      </c>
      <c r="O12643" t="s">
        <v>36384</v>
      </c>
      <c r="P12643">
        <v>85500</v>
      </c>
      <c r="Q12643" t="str">
        <f>"37.310141"</f>
        <v>37.310141</v>
      </c>
      <c r="R12643" t="str">
        <f>"26.551277"</f>
        <v>26.551277</v>
      </c>
      <c r="S12643" t="s">
        <v>57</v>
      </c>
    </row>
    <row r="12644" spans="1:19" x14ac:dyDescent="0.3">
      <c r="A12644" t="s">
        <v>35638</v>
      </c>
      <c r="B12644" t="s">
        <v>36334</v>
      </c>
      <c r="C12644" t="s">
        <v>36479</v>
      </c>
      <c r="D12644" t="s">
        <v>35651</v>
      </c>
      <c r="E12644" t="s">
        <v>35901</v>
      </c>
      <c r="F12644" t="s">
        <v>35901</v>
      </c>
      <c r="G12644" t="s">
        <v>35901</v>
      </c>
      <c r="H12644" t="s">
        <v>859</v>
      </c>
      <c r="I12644" t="s">
        <v>860</v>
      </c>
      <c r="J12644" t="str">
        <f>"9100209"</f>
        <v>9100209</v>
      </c>
      <c r="K12644">
        <v>2243061592</v>
      </c>
      <c r="L12644">
        <v>2243061592</v>
      </c>
      <c r="M12644" t="s">
        <v>36480</v>
      </c>
      <c r="N12644" t="s">
        <v>35901</v>
      </c>
      <c r="O12644" t="s">
        <v>35904</v>
      </c>
      <c r="P12644">
        <v>85900</v>
      </c>
      <c r="Q12644" t="str">
        <f>"36.548865"</f>
        <v>36.548865</v>
      </c>
      <c r="R12644" t="str">
        <f>"26.352473"</f>
        <v>26.352473</v>
      </c>
      <c r="S12644" t="s">
        <v>57</v>
      </c>
    </row>
    <row r="12645" spans="1:19" x14ac:dyDescent="0.3">
      <c r="A12645" t="s">
        <v>35638</v>
      </c>
      <c r="B12645" t="s">
        <v>36334</v>
      </c>
      <c r="C12645" t="s">
        <v>36481</v>
      </c>
      <c r="D12645" t="s">
        <v>35651</v>
      </c>
      <c r="E12645" t="s">
        <v>35729</v>
      </c>
      <c r="F12645" t="s">
        <v>35729</v>
      </c>
      <c r="G12645" t="s">
        <v>35729</v>
      </c>
      <c r="H12645" t="s">
        <v>859</v>
      </c>
      <c r="I12645" t="s">
        <v>860</v>
      </c>
      <c r="J12645" t="str">
        <f>"9100237"</f>
        <v>9100237</v>
      </c>
      <c r="K12645">
        <v>2247025460</v>
      </c>
      <c r="M12645" t="s">
        <v>36482</v>
      </c>
      <c r="N12645" t="s">
        <v>36483</v>
      </c>
      <c r="O12645" t="s">
        <v>36484</v>
      </c>
      <c r="P12645">
        <v>85400</v>
      </c>
      <c r="Q12645" t="str">
        <f>"37.111679"</f>
        <v>37.111679</v>
      </c>
      <c r="R12645" t="str">
        <f>"26.860130"</f>
        <v>26.860130</v>
      </c>
      <c r="S12645" t="s">
        <v>57</v>
      </c>
    </row>
    <row r="12646" spans="1:19" x14ac:dyDescent="0.3">
      <c r="A12646" t="s">
        <v>35638</v>
      </c>
      <c r="B12646" t="s">
        <v>36334</v>
      </c>
      <c r="C12646" t="s">
        <v>36485</v>
      </c>
      <c r="D12646" t="s">
        <v>35651</v>
      </c>
      <c r="E12646" t="s">
        <v>35652</v>
      </c>
      <c r="F12646" t="s">
        <v>35652</v>
      </c>
      <c r="G12646" t="s">
        <v>35652</v>
      </c>
      <c r="H12646" t="s">
        <v>859</v>
      </c>
      <c r="I12646" t="s">
        <v>860</v>
      </c>
      <c r="J12646" t="str">
        <f>"9100222"</f>
        <v>9100222</v>
      </c>
      <c r="K12646">
        <v>2243031290</v>
      </c>
      <c r="M12646" t="s">
        <v>36486</v>
      </c>
      <c r="N12646" t="s">
        <v>36487</v>
      </c>
      <c r="O12646" t="s">
        <v>36488</v>
      </c>
      <c r="P12646">
        <v>85200</v>
      </c>
      <c r="Q12646" t="str">
        <f>"36.979508"</f>
        <v>36.979508</v>
      </c>
      <c r="R12646" t="str">
        <f>"27.004742"</f>
        <v>27.004742</v>
      </c>
      <c r="S12646" t="s">
        <v>26</v>
      </c>
    </row>
    <row r="12647" spans="1:19" x14ac:dyDescent="0.3">
      <c r="A12647" t="s">
        <v>35638</v>
      </c>
      <c r="B12647" t="s">
        <v>36334</v>
      </c>
      <c r="C12647" t="s">
        <v>36489</v>
      </c>
      <c r="D12647" t="s">
        <v>35651</v>
      </c>
      <c r="E12647" t="s">
        <v>35652</v>
      </c>
      <c r="F12647" t="s">
        <v>35652</v>
      </c>
      <c r="G12647" t="s">
        <v>35652</v>
      </c>
      <c r="H12647" t="s">
        <v>859</v>
      </c>
      <c r="I12647" t="s">
        <v>860</v>
      </c>
      <c r="J12647" t="str">
        <f>"9100236"</f>
        <v>9100236</v>
      </c>
      <c r="K12647">
        <v>2243047970</v>
      </c>
      <c r="L12647">
        <v>2243047970</v>
      </c>
      <c r="M12647" t="s">
        <v>36490</v>
      </c>
      <c r="N12647" t="s">
        <v>36491</v>
      </c>
      <c r="O12647" t="s">
        <v>36492</v>
      </c>
      <c r="P12647">
        <v>85200</v>
      </c>
      <c r="Q12647" t="str">
        <f>"36.971541"</f>
        <v>36.971541</v>
      </c>
      <c r="R12647" t="str">
        <f>"26.937378"</f>
        <v>26.937378</v>
      </c>
      <c r="S12647" t="s">
        <v>26</v>
      </c>
    </row>
    <row r="12648" spans="1:19" x14ac:dyDescent="0.3">
      <c r="A12648" t="s">
        <v>35638</v>
      </c>
      <c r="B12648" t="s">
        <v>36334</v>
      </c>
      <c r="C12648" t="s">
        <v>36493</v>
      </c>
      <c r="D12648" t="s">
        <v>35651</v>
      </c>
      <c r="E12648" t="s">
        <v>35711</v>
      </c>
      <c r="F12648" t="s">
        <v>35711</v>
      </c>
      <c r="G12648" t="s">
        <v>35711</v>
      </c>
      <c r="H12648" t="s">
        <v>859</v>
      </c>
      <c r="I12648" t="s">
        <v>860</v>
      </c>
      <c r="J12648" t="str">
        <f>"9100208"</f>
        <v>9100208</v>
      </c>
      <c r="K12648">
        <v>2247041334</v>
      </c>
      <c r="L12648">
        <v>2247028958</v>
      </c>
      <c r="M12648" t="s">
        <v>36494</v>
      </c>
      <c r="N12648" t="s">
        <v>35711</v>
      </c>
      <c r="O12648" t="s">
        <v>35714</v>
      </c>
      <c r="P12648">
        <v>85001</v>
      </c>
      <c r="Q12648" t="str">
        <f>"37.295317"</f>
        <v>37.295317</v>
      </c>
      <c r="R12648" t="str">
        <f>"26.768580"</f>
        <v>26.768580</v>
      </c>
      <c r="S12648" t="s">
        <v>57</v>
      </c>
    </row>
    <row r="12649" spans="1:19" x14ac:dyDescent="0.3">
      <c r="A12649" t="s">
        <v>35638</v>
      </c>
      <c r="B12649" t="s">
        <v>36334</v>
      </c>
      <c r="C12649" t="s">
        <v>36495</v>
      </c>
      <c r="D12649" t="s">
        <v>35651</v>
      </c>
      <c r="E12649" t="s">
        <v>35729</v>
      </c>
      <c r="F12649" t="s">
        <v>35729</v>
      </c>
      <c r="G12649" t="s">
        <v>35729</v>
      </c>
      <c r="H12649" t="s">
        <v>859</v>
      </c>
      <c r="I12649" t="s">
        <v>860</v>
      </c>
      <c r="J12649" t="str">
        <f>"9100183"</f>
        <v>9100183</v>
      </c>
      <c r="K12649">
        <v>2247028065</v>
      </c>
      <c r="L12649">
        <v>2247028065</v>
      </c>
      <c r="M12649" t="s">
        <v>36496</v>
      </c>
      <c r="O12649" t="s">
        <v>36377</v>
      </c>
      <c r="P12649">
        <v>85400</v>
      </c>
      <c r="Q12649" t="str">
        <f>"37.160458"</f>
        <v>37.160458</v>
      </c>
      <c r="R12649" t="str">
        <f>"26.829926"</f>
        <v>26.829926</v>
      </c>
      <c r="S12649" t="s">
        <v>57</v>
      </c>
    </row>
    <row r="12650" spans="1:19" x14ac:dyDescent="0.3">
      <c r="A12650" t="s">
        <v>35638</v>
      </c>
      <c r="B12650" t="s">
        <v>36334</v>
      </c>
      <c r="C12650" t="s">
        <v>36497</v>
      </c>
      <c r="D12650" t="s">
        <v>35651</v>
      </c>
      <c r="E12650" t="s">
        <v>35729</v>
      </c>
      <c r="F12650" t="s">
        <v>35729</v>
      </c>
      <c r="G12650" t="s">
        <v>35729</v>
      </c>
      <c r="H12650" t="s">
        <v>859</v>
      </c>
      <c r="I12650" t="s">
        <v>860</v>
      </c>
      <c r="J12650" t="str">
        <f>"9100166"</f>
        <v>9100166</v>
      </c>
      <c r="K12650">
        <v>6907633065</v>
      </c>
      <c r="L12650">
        <v>2247025556</v>
      </c>
      <c r="M12650" t="s">
        <v>36498</v>
      </c>
      <c r="N12650" t="s">
        <v>36499</v>
      </c>
      <c r="O12650" t="s">
        <v>35933</v>
      </c>
      <c r="P12650">
        <v>85400</v>
      </c>
      <c r="Q12650" t="str">
        <f>"37.131675"</f>
        <v>37.131675</v>
      </c>
      <c r="R12650" t="str">
        <f>"26.855749"</f>
        <v>26.855749</v>
      </c>
      <c r="S12650" t="s">
        <v>57</v>
      </c>
    </row>
    <row r="12651" spans="1:19" x14ac:dyDescent="0.3">
      <c r="A12651" t="s">
        <v>35638</v>
      </c>
      <c r="B12651" t="s">
        <v>36334</v>
      </c>
      <c r="C12651" t="s">
        <v>36500</v>
      </c>
      <c r="D12651" t="s">
        <v>35651</v>
      </c>
      <c r="E12651" t="s">
        <v>35729</v>
      </c>
      <c r="F12651" t="s">
        <v>35729</v>
      </c>
      <c r="G12651" t="s">
        <v>35729</v>
      </c>
      <c r="H12651" t="s">
        <v>859</v>
      </c>
      <c r="I12651" t="s">
        <v>860</v>
      </c>
      <c r="J12651" t="str">
        <f>"9100165"</f>
        <v>9100165</v>
      </c>
      <c r="K12651">
        <v>2247022201</v>
      </c>
      <c r="L12651">
        <v>2247022204</v>
      </c>
      <c r="M12651" t="s">
        <v>36501</v>
      </c>
      <c r="N12651" t="s">
        <v>36502</v>
      </c>
      <c r="O12651" t="s">
        <v>36503</v>
      </c>
      <c r="P12651">
        <v>85400</v>
      </c>
      <c r="Q12651" t="str">
        <f>"37.155732"</f>
        <v>37.155732</v>
      </c>
      <c r="R12651" t="str">
        <f>"26.853323"</f>
        <v>26.853323</v>
      </c>
      <c r="S12651" t="s">
        <v>57</v>
      </c>
    </row>
    <row r="12652" spans="1:19" x14ac:dyDescent="0.3">
      <c r="A12652" t="s">
        <v>35638</v>
      </c>
      <c r="B12652" t="s">
        <v>36334</v>
      </c>
      <c r="C12652" t="s">
        <v>36504</v>
      </c>
      <c r="D12652" t="s">
        <v>35651</v>
      </c>
      <c r="E12652" t="s">
        <v>35652</v>
      </c>
      <c r="F12652" t="s">
        <v>35652</v>
      </c>
      <c r="G12652" t="s">
        <v>35652</v>
      </c>
      <c r="H12652" t="s">
        <v>859</v>
      </c>
      <c r="I12652" t="s">
        <v>860</v>
      </c>
      <c r="J12652" t="str">
        <f>"9100149"</f>
        <v>9100149</v>
      </c>
      <c r="K12652">
        <v>2243028090</v>
      </c>
      <c r="L12652">
        <v>2243028090</v>
      </c>
      <c r="M12652" t="s">
        <v>36505</v>
      </c>
      <c r="N12652" t="s">
        <v>36506</v>
      </c>
      <c r="O12652" t="s">
        <v>36507</v>
      </c>
      <c r="P12652">
        <v>85200</v>
      </c>
      <c r="Q12652" t="str">
        <f>"36.952197"</f>
        <v>36.952197</v>
      </c>
      <c r="R12652" t="str">
        <f>"26.970564"</f>
        <v>26.970564</v>
      </c>
      <c r="S12652" t="s">
        <v>26</v>
      </c>
    </row>
    <row r="12653" spans="1:19" x14ac:dyDescent="0.3">
      <c r="A12653" t="s">
        <v>35638</v>
      </c>
      <c r="B12653" t="s">
        <v>36334</v>
      </c>
      <c r="C12653" t="s">
        <v>36508</v>
      </c>
      <c r="D12653" t="s">
        <v>35651</v>
      </c>
      <c r="E12653" t="s">
        <v>35652</v>
      </c>
      <c r="F12653" t="s">
        <v>35652</v>
      </c>
      <c r="G12653" t="s">
        <v>35652</v>
      </c>
      <c r="H12653" t="s">
        <v>859</v>
      </c>
      <c r="I12653" t="s">
        <v>860</v>
      </c>
      <c r="J12653" t="str">
        <f>"9520574"</f>
        <v>9520574</v>
      </c>
      <c r="K12653">
        <v>2243051365</v>
      </c>
      <c r="L12653">
        <v>2243051365</v>
      </c>
      <c r="M12653" t="s">
        <v>36509</v>
      </c>
      <c r="N12653" t="s">
        <v>36510</v>
      </c>
      <c r="O12653" t="s">
        <v>36511</v>
      </c>
      <c r="P12653">
        <v>85200</v>
      </c>
      <c r="Q12653" t="str">
        <f>"36.966762"</f>
        <v>36.966762</v>
      </c>
      <c r="R12653" t="str">
        <f>"26.954953"</f>
        <v>26.954953</v>
      </c>
      <c r="S12653" t="s">
        <v>26</v>
      </c>
    </row>
    <row r="12654" spans="1:19" x14ac:dyDescent="0.3">
      <c r="A12654" t="s">
        <v>35638</v>
      </c>
      <c r="B12654" t="s">
        <v>36334</v>
      </c>
      <c r="C12654" t="s">
        <v>36512</v>
      </c>
      <c r="D12654" t="s">
        <v>35651</v>
      </c>
      <c r="E12654" t="s">
        <v>35652</v>
      </c>
      <c r="F12654" t="s">
        <v>35652</v>
      </c>
      <c r="G12654" t="s">
        <v>35652</v>
      </c>
      <c r="H12654" t="s">
        <v>859</v>
      </c>
      <c r="I12654" t="s">
        <v>860</v>
      </c>
      <c r="J12654" t="str">
        <f>"9100151"</f>
        <v>9100151</v>
      </c>
      <c r="K12654">
        <v>2243022470</v>
      </c>
      <c r="L12654">
        <v>2243022470</v>
      </c>
      <c r="M12654" t="s">
        <v>36513</v>
      </c>
      <c r="N12654" t="s">
        <v>35673</v>
      </c>
      <c r="O12654" t="s">
        <v>14960</v>
      </c>
      <c r="P12654">
        <v>85200</v>
      </c>
      <c r="Q12654" t="str">
        <f>"36.948907"</f>
        <v>36.948907</v>
      </c>
      <c r="R12654" t="str">
        <f>"26.980818"</f>
        <v>26.980818</v>
      </c>
      <c r="S12654" t="s">
        <v>26</v>
      </c>
    </row>
    <row r="12655" spans="1:19" x14ac:dyDescent="0.3">
      <c r="A12655" t="s">
        <v>35638</v>
      </c>
      <c r="B12655" t="s">
        <v>36334</v>
      </c>
      <c r="C12655" t="s">
        <v>36514</v>
      </c>
      <c r="D12655" t="s">
        <v>35657</v>
      </c>
      <c r="E12655" t="s">
        <v>35657</v>
      </c>
      <c r="F12655" t="s">
        <v>35776</v>
      </c>
      <c r="G12655" t="s">
        <v>36459</v>
      </c>
      <c r="H12655" t="s">
        <v>859</v>
      </c>
      <c r="I12655" t="s">
        <v>860</v>
      </c>
      <c r="J12655" t="str">
        <f>"9100021"</f>
        <v>9100021</v>
      </c>
      <c r="K12655">
        <v>2242092000</v>
      </c>
      <c r="L12655">
        <v>2242092000</v>
      </c>
      <c r="M12655" t="s">
        <v>36515</v>
      </c>
      <c r="N12655" t="s">
        <v>36462</v>
      </c>
      <c r="O12655" t="s">
        <v>36462</v>
      </c>
      <c r="P12655">
        <v>85302</v>
      </c>
      <c r="Q12655" t="str">
        <f>"36.782259"</f>
        <v>36.782259</v>
      </c>
      <c r="R12655" t="str">
        <f>"27.143523"</f>
        <v>27.143523</v>
      </c>
      <c r="S12655" t="s">
        <v>26</v>
      </c>
    </row>
    <row r="12656" spans="1:19" x14ac:dyDescent="0.3">
      <c r="A12656" t="s">
        <v>35638</v>
      </c>
      <c r="B12656" t="s">
        <v>36334</v>
      </c>
      <c r="C12656" t="s">
        <v>36517</v>
      </c>
      <c r="D12656" t="s">
        <v>35639</v>
      </c>
      <c r="E12656" t="s">
        <v>35639</v>
      </c>
      <c r="F12656" t="s">
        <v>35639</v>
      </c>
      <c r="G12656" t="s">
        <v>35639</v>
      </c>
      <c r="H12656" t="s">
        <v>859</v>
      </c>
      <c r="I12656" t="s">
        <v>860</v>
      </c>
      <c r="J12656" t="str">
        <f>"9100257"</f>
        <v>9100257</v>
      </c>
      <c r="K12656">
        <v>2241043292</v>
      </c>
      <c r="L12656">
        <v>2241043292</v>
      </c>
      <c r="M12656" t="s">
        <v>36518</v>
      </c>
      <c r="N12656" t="s">
        <v>35703</v>
      </c>
      <c r="O12656" t="s">
        <v>36363</v>
      </c>
      <c r="P12656">
        <v>85100</v>
      </c>
      <c r="Q12656" t="str">
        <f>"36.431884"</f>
        <v>36.431884</v>
      </c>
      <c r="R12656" t="str">
        <f>"28.229674"</f>
        <v>28.229674</v>
      </c>
      <c r="S12656" t="s">
        <v>26</v>
      </c>
    </row>
    <row r="12657" spans="1:19" x14ac:dyDescent="0.3">
      <c r="A12657" t="s">
        <v>35638</v>
      </c>
      <c r="B12657" t="s">
        <v>36334</v>
      </c>
      <c r="C12657" t="s">
        <v>36521</v>
      </c>
      <c r="D12657" t="s">
        <v>35651</v>
      </c>
      <c r="E12657" t="s">
        <v>35652</v>
      </c>
      <c r="F12657" t="s">
        <v>35652</v>
      </c>
      <c r="G12657" t="s">
        <v>35652</v>
      </c>
      <c r="H12657" t="s">
        <v>859</v>
      </c>
      <c r="I12657" t="s">
        <v>860</v>
      </c>
      <c r="J12657" t="str">
        <f>"9100206"</f>
        <v>9100206</v>
      </c>
      <c r="K12657">
        <v>2243029604</v>
      </c>
      <c r="L12657">
        <v>2243029604</v>
      </c>
      <c r="M12657" t="s">
        <v>36522</v>
      </c>
      <c r="N12657" t="s">
        <v>36510</v>
      </c>
      <c r="O12657" t="s">
        <v>36373</v>
      </c>
      <c r="P12657">
        <v>85200</v>
      </c>
      <c r="Q12657" t="str">
        <f>"36.952197"</f>
        <v>36.952197</v>
      </c>
      <c r="R12657" t="str">
        <f>"26.970564"</f>
        <v>26.970564</v>
      </c>
      <c r="S12657" t="s">
        <v>26</v>
      </c>
    </row>
    <row r="12658" spans="1:19" x14ac:dyDescent="0.3">
      <c r="A12658" t="s">
        <v>35638</v>
      </c>
      <c r="B12658" t="s">
        <v>36334</v>
      </c>
      <c r="C12658" t="s">
        <v>36523</v>
      </c>
      <c r="D12658" t="s">
        <v>35639</v>
      </c>
      <c r="E12658" t="s">
        <v>35639</v>
      </c>
      <c r="F12658" t="s">
        <v>35639</v>
      </c>
      <c r="G12658" t="s">
        <v>35639</v>
      </c>
      <c r="H12658" t="s">
        <v>859</v>
      </c>
      <c r="I12658" t="s">
        <v>860</v>
      </c>
      <c r="J12658" t="str">
        <f>"9100278"</f>
        <v>9100278</v>
      </c>
      <c r="K12658">
        <v>2241037688</v>
      </c>
      <c r="L12658">
        <v>2241037688</v>
      </c>
      <c r="M12658" t="s">
        <v>36524</v>
      </c>
      <c r="N12658" t="s">
        <v>35703</v>
      </c>
      <c r="O12658" t="s">
        <v>26485</v>
      </c>
      <c r="P12658">
        <v>85100</v>
      </c>
      <c r="Q12658" t="str">
        <f>"36.424361"</f>
        <v>36.424361</v>
      </c>
      <c r="R12658" t="str">
        <f>"28.225997"</f>
        <v>28.225997</v>
      </c>
      <c r="S12658" t="s">
        <v>26</v>
      </c>
    </row>
    <row r="12659" spans="1:19" x14ac:dyDescent="0.3">
      <c r="A12659" t="s">
        <v>35638</v>
      </c>
      <c r="B12659" t="s">
        <v>36334</v>
      </c>
      <c r="C12659" t="s">
        <v>36525</v>
      </c>
      <c r="D12659" t="s">
        <v>35651</v>
      </c>
      <c r="E12659" t="s">
        <v>35652</v>
      </c>
      <c r="F12659" t="s">
        <v>35652</v>
      </c>
      <c r="G12659" t="s">
        <v>35652</v>
      </c>
      <c r="H12659" t="s">
        <v>859</v>
      </c>
      <c r="I12659" t="s">
        <v>860</v>
      </c>
      <c r="J12659" t="str">
        <f>"9100181"</f>
        <v>9100181</v>
      </c>
      <c r="K12659">
        <v>2243029881</v>
      </c>
      <c r="L12659">
        <v>2243051288</v>
      </c>
      <c r="M12659" t="s">
        <v>36526</v>
      </c>
      <c r="N12659" t="s">
        <v>36506</v>
      </c>
      <c r="O12659" t="s">
        <v>36527</v>
      </c>
      <c r="P12659">
        <v>85200</v>
      </c>
      <c r="Q12659" t="str">
        <f>"36.952661"</f>
        <v>36.952661</v>
      </c>
      <c r="R12659" t="str">
        <f>"26.984394"</f>
        <v>26.984394</v>
      </c>
      <c r="S12659" t="s">
        <v>26</v>
      </c>
    </row>
    <row r="12660" spans="1:19" x14ac:dyDescent="0.3">
      <c r="A12660" t="s">
        <v>35638</v>
      </c>
      <c r="B12660" t="s">
        <v>36334</v>
      </c>
      <c r="C12660" t="s">
        <v>36528</v>
      </c>
      <c r="D12660" t="s">
        <v>35639</v>
      </c>
      <c r="E12660" t="s">
        <v>35639</v>
      </c>
      <c r="F12660" t="s">
        <v>35639</v>
      </c>
      <c r="G12660" t="s">
        <v>35639</v>
      </c>
      <c r="H12660" t="s">
        <v>859</v>
      </c>
      <c r="I12660" t="s">
        <v>860</v>
      </c>
      <c r="J12660" t="str">
        <f>"9100264"</f>
        <v>9100264</v>
      </c>
      <c r="K12660">
        <v>2241066710</v>
      </c>
      <c r="L12660">
        <v>2241062829</v>
      </c>
      <c r="M12660" t="s">
        <v>36529</v>
      </c>
      <c r="N12660" t="s">
        <v>35703</v>
      </c>
      <c r="O12660" t="s">
        <v>36530</v>
      </c>
      <c r="P12660">
        <v>85100</v>
      </c>
      <c r="Q12660" t="str">
        <f>"36.412479"</f>
        <v>36.412479</v>
      </c>
      <c r="R12660" t="str">
        <f>"28.193086"</f>
        <v>28.193086</v>
      </c>
      <c r="S12660" t="s">
        <v>26</v>
      </c>
    </row>
    <row r="12661" spans="1:19" x14ac:dyDescent="0.3">
      <c r="A12661" t="s">
        <v>35638</v>
      </c>
      <c r="B12661" t="s">
        <v>36334</v>
      </c>
      <c r="C12661" t="s">
        <v>36536</v>
      </c>
      <c r="D12661" t="s">
        <v>35651</v>
      </c>
      <c r="E12661" t="s">
        <v>35652</v>
      </c>
      <c r="F12661" t="s">
        <v>35652</v>
      </c>
      <c r="G12661" t="s">
        <v>35652</v>
      </c>
      <c r="H12661" t="s">
        <v>859</v>
      </c>
      <c r="I12661" t="s">
        <v>860</v>
      </c>
      <c r="J12661" t="str">
        <f>"9100207"</f>
        <v>9100207</v>
      </c>
      <c r="K12661">
        <v>2243024348</v>
      </c>
      <c r="M12661" t="s">
        <v>36537</v>
      </c>
      <c r="N12661" t="s">
        <v>36506</v>
      </c>
      <c r="O12661" t="s">
        <v>36538</v>
      </c>
      <c r="P12661">
        <v>85200</v>
      </c>
      <c r="Q12661" t="str">
        <f>"36.952197"</f>
        <v>36.952197</v>
      </c>
      <c r="R12661" t="str">
        <f>"26.970564"</f>
        <v>26.970564</v>
      </c>
      <c r="S12661" t="s">
        <v>26</v>
      </c>
    </row>
    <row r="12662" spans="1:19" x14ac:dyDescent="0.3">
      <c r="A12662" t="s">
        <v>35638</v>
      </c>
      <c r="B12662" t="s">
        <v>36334</v>
      </c>
      <c r="C12662" t="s">
        <v>36539</v>
      </c>
      <c r="D12662" t="s">
        <v>35651</v>
      </c>
      <c r="E12662" t="s">
        <v>35652</v>
      </c>
      <c r="F12662" t="s">
        <v>35652</v>
      </c>
      <c r="G12662" t="s">
        <v>35652</v>
      </c>
      <c r="H12662" t="s">
        <v>859</v>
      </c>
      <c r="I12662" t="s">
        <v>860</v>
      </c>
      <c r="J12662" t="str">
        <f>"9100213"</f>
        <v>9100213</v>
      </c>
      <c r="K12662">
        <v>2243029170</v>
      </c>
      <c r="L12662">
        <v>2243029170</v>
      </c>
      <c r="M12662" t="s">
        <v>36540</v>
      </c>
      <c r="N12662" t="s">
        <v>36506</v>
      </c>
      <c r="O12662" t="s">
        <v>36541</v>
      </c>
      <c r="P12662">
        <v>85200</v>
      </c>
      <c r="Q12662" t="str">
        <f>"36.951678"</f>
        <v>36.951678</v>
      </c>
      <c r="R12662" t="str">
        <f>"26.989562"</f>
        <v>26.989562</v>
      </c>
      <c r="S12662" t="s">
        <v>26</v>
      </c>
    </row>
    <row r="12663" spans="1:19" x14ac:dyDescent="0.3">
      <c r="A12663" t="s">
        <v>35638</v>
      </c>
      <c r="B12663" t="s">
        <v>36334</v>
      </c>
      <c r="C12663" t="s">
        <v>36545</v>
      </c>
      <c r="D12663" t="s">
        <v>35639</v>
      </c>
      <c r="E12663" t="s">
        <v>35639</v>
      </c>
      <c r="F12663" t="s">
        <v>35639</v>
      </c>
      <c r="G12663" t="s">
        <v>35639</v>
      </c>
      <c r="H12663" t="s">
        <v>859</v>
      </c>
      <c r="I12663" t="s">
        <v>860</v>
      </c>
      <c r="J12663" t="str">
        <f>"9100265"</f>
        <v>9100265</v>
      </c>
      <c r="K12663">
        <v>2241037924</v>
      </c>
      <c r="M12663" t="s">
        <v>36546</v>
      </c>
      <c r="N12663" t="s">
        <v>35703</v>
      </c>
      <c r="O12663" t="s">
        <v>36547</v>
      </c>
      <c r="P12663">
        <v>85100</v>
      </c>
      <c r="Q12663" t="str">
        <f>"36.434963"</f>
        <v>36.434963</v>
      </c>
      <c r="R12663" t="str">
        <f>"28.217483"</f>
        <v>28.217483</v>
      </c>
      <c r="S12663" t="s">
        <v>26</v>
      </c>
    </row>
    <row r="12664" spans="1:19" x14ac:dyDescent="0.3">
      <c r="A12664" t="s">
        <v>35638</v>
      </c>
      <c r="B12664" t="s">
        <v>36334</v>
      </c>
      <c r="C12664" t="s">
        <v>36548</v>
      </c>
      <c r="D12664" t="s">
        <v>35651</v>
      </c>
      <c r="E12664" t="s">
        <v>35652</v>
      </c>
      <c r="F12664" t="s">
        <v>35652</v>
      </c>
      <c r="G12664" t="s">
        <v>35652</v>
      </c>
      <c r="H12664" t="s">
        <v>859</v>
      </c>
      <c r="I12664" t="s">
        <v>860</v>
      </c>
      <c r="J12664" t="str">
        <f>"9100252"</f>
        <v>9100252</v>
      </c>
      <c r="K12664">
        <v>6981758264</v>
      </c>
      <c r="M12664" t="s">
        <v>36549</v>
      </c>
      <c r="N12664" t="s">
        <v>36506</v>
      </c>
      <c r="O12664" t="s">
        <v>36550</v>
      </c>
      <c r="P12664">
        <v>85200</v>
      </c>
      <c r="Q12664" t="str">
        <f>"36.955133"</f>
        <v>36.955133</v>
      </c>
      <c r="R12664" t="str">
        <f>"26.976733"</f>
        <v>26.976733</v>
      </c>
      <c r="S12664" t="s">
        <v>26</v>
      </c>
    </row>
    <row r="12665" spans="1:19" x14ac:dyDescent="0.3">
      <c r="A12665" t="s">
        <v>35638</v>
      </c>
      <c r="B12665" t="s">
        <v>36334</v>
      </c>
      <c r="C12665" t="s">
        <v>36551</v>
      </c>
      <c r="D12665" t="s">
        <v>35651</v>
      </c>
      <c r="E12665" t="s">
        <v>35652</v>
      </c>
      <c r="F12665" t="s">
        <v>35652</v>
      </c>
      <c r="G12665" t="s">
        <v>35652</v>
      </c>
      <c r="H12665" t="s">
        <v>859</v>
      </c>
      <c r="I12665" t="s">
        <v>860</v>
      </c>
      <c r="J12665" t="str">
        <f>"9100271"</f>
        <v>9100271</v>
      </c>
      <c r="K12665">
        <v>2243050844</v>
      </c>
      <c r="L12665">
        <v>2243050844</v>
      </c>
      <c r="M12665" t="s">
        <v>36552</v>
      </c>
      <c r="N12665" t="s">
        <v>36506</v>
      </c>
      <c r="O12665" t="s">
        <v>36553</v>
      </c>
      <c r="P12665">
        <v>85200</v>
      </c>
      <c r="Q12665" t="str">
        <f>"36.957992"</f>
        <v>36.957992</v>
      </c>
      <c r="R12665" t="str">
        <f>"26.967753"</f>
        <v>26.967753</v>
      </c>
      <c r="S12665" t="s">
        <v>26</v>
      </c>
    </row>
    <row r="12666" spans="1:19" x14ac:dyDescent="0.3">
      <c r="A12666" t="s">
        <v>35638</v>
      </c>
      <c r="B12666" t="s">
        <v>36334</v>
      </c>
      <c r="C12666" t="s">
        <v>36554</v>
      </c>
      <c r="D12666" t="s">
        <v>35639</v>
      </c>
      <c r="E12666" t="s">
        <v>35639</v>
      </c>
      <c r="F12666" t="s">
        <v>35639</v>
      </c>
      <c r="G12666" t="s">
        <v>35639</v>
      </c>
      <c r="H12666" t="s">
        <v>859</v>
      </c>
      <c r="I12666" t="s">
        <v>860</v>
      </c>
      <c r="J12666" t="str">
        <f>"9100113"</f>
        <v>9100113</v>
      </c>
      <c r="K12666">
        <v>2241026564</v>
      </c>
      <c r="L12666">
        <v>2241026564</v>
      </c>
      <c r="M12666" t="s">
        <v>36555</v>
      </c>
      <c r="N12666" t="s">
        <v>35703</v>
      </c>
      <c r="O12666" t="s">
        <v>36556</v>
      </c>
      <c r="P12666">
        <v>85100</v>
      </c>
      <c r="Q12666" t="str">
        <f>"36.431049"</f>
        <v>36.431049</v>
      </c>
      <c r="R12666" t="str">
        <f>"28.232850"</f>
        <v>28.232850</v>
      </c>
      <c r="S12666" t="s">
        <v>26</v>
      </c>
    </row>
    <row r="12667" spans="1:19" x14ac:dyDescent="0.3">
      <c r="A12667" t="s">
        <v>35638</v>
      </c>
      <c r="B12667" t="s">
        <v>36334</v>
      </c>
      <c r="C12667" t="s">
        <v>36557</v>
      </c>
      <c r="D12667" t="s">
        <v>35639</v>
      </c>
      <c r="E12667" t="s">
        <v>35864</v>
      </c>
      <c r="F12667" t="s">
        <v>35864</v>
      </c>
      <c r="G12667" t="s">
        <v>35864</v>
      </c>
      <c r="H12667" t="s">
        <v>859</v>
      </c>
      <c r="I12667" t="s">
        <v>860</v>
      </c>
      <c r="J12667" t="str">
        <f>"9100243"</f>
        <v>9100243</v>
      </c>
      <c r="K12667">
        <v>2246049011</v>
      </c>
      <c r="L12667">
        <v>2246049011</v>
      </c>
      <c r="M12667" t="s">
        <v>36558</v>
      </c>
      <c r="N12667" t="s">
        <v>36559</v>
      </c>
      <c r="O12667" t="s">
        <v>35868</v>
      </c>
      <c r="P12667">
        <v>85111</v>
      </c>
      <c r="Q12667" t="str">
        <f>"36.149523"</f>
        <v>36.149523</v>
      </c>
      <c r="R12667" t="str">
        <f>"29.593442"</f>
        <v>29.593442</v>
      </c>
      <c r="S12667" t="s">
        <v>57</v>
      </c>
    </row>
    <row r="12668" spans="1:19" x14ac:dyDescent="0.3">
      <c r="A12668" t="s">
        <v>35638</v>
      </c>
      <c r="B12668" t="s">
        <v>36334</v>
      </c>
      <c r="C12668" t="s">
        <v>36560</v>
      </c>
      <c r="D12668" t="s">
        <v>35639</v>
      </c>
      <c r="E12668" t="s">
        <v>35639</v>
      </c>
      <c r="F12668" t="s">
        <v>35639</v>
      </c>
      <c r="G12668" t="s">
        <v>35639</v>
      </c>
      <c r="H12668" t="s">
        <v>859</v>
      </c>
      <c r="I12668" t="s">
        <v>860</v>
      </c>
      <c r="J12668" t="str">
        <f>"9100041"</f>
        <v>9100041</v>
      </c>
      <c r="K12668">
        <v>2241035215</v>
      </c>
      <c r="L12668">
        <v>2241035215</v>
      </c>
      <c r="M12668" t="s">
        <v>36561</v>
      </c>
      <c r="N12668" t="s">
        <v>35703</v>
      </c>
      <c r="O12668" t="s">
        <v>36404</v>
      </c>
      <c r="P12668">
        <v>85100</v>
      </c>
      <c r="Q12668" t="str">
        <f>"36.449901"</f>
        <v>36.449901</v>
      </c>
      <c r="R12668" t="str">
        <f>"28.221481"</f>
        <v>28.221481</v>
      </c>
      <c r="S12668" t="s">
        <v>26</v>
      </c>
    </row>
    <row r="12669" spans="1:19" x14ac:dyDescent="0.3">
      <c r="A12669" t="s">
        <v>35638</v>
      </c>
      <c r="B12669" t="s">
        <v>36334</v>
      </c>
      <c r="C12669" t="s">
        <v>36567</v>
      </c>
      <c r="D12669" t="s">
        <v>35639</v>
      </c>
      <c r="E12669" t="s">
        <v>35639</v>
      </c>
      <c r="F12669" t="s">
        <v>35639</v>
      </c>
      <c r="G12669" t="s">
        <v>35639</v>
      </c>
      <c r="H12669" t="s">
        <v>859</v>
      </c>
      <c r="I12669" t="s">
        <v>860</v>
      </c>
      <c r="J12669" t="str">
        <f>"9100046"</f>
        <v>9100046</v>
      </c>
      <c r="K12669">
        <v>2241028560</v>
      </c>
      <c r="L12669">
        <v>2241033635</v>
      </c>
      <c r="M12669" t="s">
        <v>36568</v>
      </c>
      <c r="N12669" t="s">
        <v>35703</v>
      </c>
      <c r="O12669" t="s">
        <v>1537</v>
      </c>
      <c r="P12669">
        <v>85100</v>
      </c>
      <c r="Q12669" t="str">
        <f>"36.445229"</f>
        <v>36.445229</v>
      </c>
      <c r="R12669" t="str">
        <f>"28.220344"</f>
        <v>28.220344</v>
      </c>
      <c r="S12669" t="s">
        <v>26</v>
      </c>
    </row>
    <row r="12670" spans="1:19" x14ac:dyDescent="0.3">
      <c r="A12670" t="s">
        <v>35638</v>
      </c>
      <c r="B12670" t="s">
        <v>36334</v>
      </c>
      <c r="C12670" t="s">
        <v>36569</v>
      </c>
      <c r="D12670" t="s">
        <v>35639</v>
      </c>
      <c r="E12670" t="s">
        <v>35639</v>
      </c>
      <c r="F12670" t="s">
        <v>35639</v>
      </c>
      <c r="G12670" t="s">
        <v>35639</v>
      </c>
      <c r="H12670" t="s">
        <v>859</v>
      </c>
      <c r="I12670" t="s">
        <v>860</v>
      </c>
      <c r="J12670" t="str">
        <f>"9520812"</f>
        <v>9520812</v>
      </c>
      <c r="K12670">
        <v>2241021004</v>
      </c>
      <c r="L12670">
        <v>2241021004</v>
      </c>
      <c r="M12670" t="s">
        <v>36570</v>
      </c>
      <c r="N12670" t="s">
        <v>35703</v>
      </c>
      <c r="O12670" t="s">
        <v>36404</v>
      </c>
      <c r="P12670">
        <v>85100</v>
      </c>
      <c r="Q12670" t="str">
        <f>"36.449901"</f>
        <v>36.449901</v>
      </c>
      <c r="R12670" t="str">
        <f>"28.221481"</f>
        <v>28.221481</v>
      </c>
      <c r="S12670" t="s">
        <v>26</v>
      </c>
    </row>
    <row r="12671" spans="1:19" x14ac:dyDescent="0.3">
      <c r="A12671" t="s">
        <v>35638</v>
      </c>
      <c r="B12671" t="s">
        <v>36334</v>
      </c>
      <c r="C12671" t="s">
        <v>36574</v>
      </c>
      <c r="D12671" t="s">
        <v>35639</v>
      </c>
      <c r="E12671" t="s">
        <v>35639</v>
      </c>
      <c r="F12671" t="s">
        <v>35639</v>
      </c>
      <c r="G12671" t="s">
        <v>35639</v>
      </c>
      <c r="H12671" t="s">
        <v>859</v>
      </c>
      <c r="I12671" t="s">
        <v>860</v>
      </c>
      <c r="J12671" t="str">
        <f>"9100048"</f>
        <v>9100048</v>
      </c>
      <c r="K12671">
        <v>2241022162</v>
      </c>
      <c r="L12671">
        <v>2241022162</v>
      </c>
      <c r="M12671" t="s">
        <v>36575</v>
      </c>
      <c r="N12671" t="s">
        <v>35703</v>
      </c>
      <c r="O12671" t="s">
        <v>36534</v>
      </c>
      <c r="P12671">
        <v>85100</v>
      </c>
      <c r="Q12671" t="str">
        <f>"36.443366"</f>
        <v>36.443366</v>
      </c>
      <c r="R12671" t="str">
        <f>"28.232388"</f>
        <v>28.232388</v>
      </c>
      <c r="S12671" t="s">
        <v>26</v>
      </c>
    </row>
    <row r="12672" spans="1:19" x14ac:dyDescent="0.3">
      <c r="A12672" t="s">
        <v>35638</v>
      </c>
      <c r="B12672" t="s">
        <v>36334</v>
      </c>
      <c r="C12672" t="s">
        <v>36576</v>
      </c>
      <c r="D12672" t="s">
        <v>35639</v>
      </c>
      <c r="E12672" t="s">
        <v>35639</v>
      </c>
      <c r="F12672" t="s">
        <v>35639</v>
      </c>
      <c r="G12672" t="s">
        <v>35639</v>
      </c>
      <c r="H12672" t="s">
        <v>859</v>
      </c>
      <c r="I12672" t="s">
        <v>860</v>
      </c>
      <c r="J12672" t="str">
        <f>"9100049"</f>
        <v>9100049</v>
      </c>
      <c r="K12672">
        <v>2241078220</v>
      </c>
      <c r="L12672">
        <v>2241078220</v>
      </c>
      <c r="M12672" t="s">
        <v>36577</v>
      </c>
      <c r="N12672" t="s">
        <v>35703</v>
      </c>
      <c r="O12672" t="s">
        <v>36578</v>
      </c>
      <c r="P12672">
        <v>85133</v>
      </c>
      <c r="Q12672" t="str">
        <f>"36.436458"</f>
        <v>36.436458</v>
      </c>
      <c r="R12672" t="str">
        <f>"28.222646"</f>
        <v>28.222646</v>
      </c>
      <c r="S12672" t="s">
        <v>26</v>
      </c>
    </row>
    <row r="12673" spans="1:19" x14ac:dyDescent="0.3">
      <c r="A12673" t="s">
        <v>35638</v>
      </c>
      <c r="B12673" t="s">
        <v>36334</v>
      </c>
      <c r="C12673" t="s">
        <v>36579</v>
      </c>
      <c r="D12673" t="s">
        <v>35639</v>
      </c>
      <c r="E12673" t="s">
        <v>35639</v>
      </c>
      <c r="F12673" t="s">
        <v>35639</v>
      </c>
      <c r="G12673" t="s">
        <v>35639</v>
      </c>
      <c r="H12673" t="s">
        <v>859</v>
      </c>
      <c r="I12673" t="s">
        <v>860</v>
      </c>
      <c r="J12673" t="str">
        <f>"9100111"</f>
        <v>9100111</v>
      </c>
      <c r="K12673">
        <v>2241078220</v>
      </c>
      <c r="L12673">
        <v>2241078220</v>
      </c>
      <c r="M12673" t="s">
        <v>36580</v>
      </c>
      <c r="N12673" t="s">
        <v>35703</v>
      </c>
      <c r="O12673" t="s">
        <v>36578</v>
      </c>
      <c r="P12673">
        <v>85100</v>
      </c>
      <c r="Q12673" t="str">
        <f>"36.436944"</f>
        <v>36.436944</v>
      </c>
      <c r="R12673" t="str">
        <f>"28.222657"</f>
        <v>28.222657</v>
      </c>
      <c r="S12673" t="s">
        <v>26</v>
      </c>
    </row>
    <row r="12674" spans="1:19" x14ac:dyDescent="0.3">
      <c r="A12674" t="s">
        <v>35638</v>
      </c>
      <c r="B12674" t="s">
        <v>36334</v>
      </c>
      <c r="C12674" t="s">
        <v>36583</v>
      </c>
      <c r="D12674" t="s">
        <v>35639</v>
      </c>
      <c r="E12674" t="s">
        <v>35639</v>
      </c>
      <c r="F12674" t="s">
        <v>35639</v>
      </c>
      <c r="G12674" t="s">
        <v>35639</v>
      </c>
      <c r="H12674" t="s">
        <v>859</v>
      </c>
      <c r="I12674" t="s">
        <v>860</v>
      </c>
      <c r="J12674" t="str">
        <f>"9100250"</f>
        <v>9100250</v>
      </c>
      <c r="K12674">
        <v>2241060520</v>
      </c>
      <c r="L12674">
        <v>2241060520</v>
      </c>
      <c r="M12674" t="s">
        <v>36584</v>
      </c>
      <c r="N12674" t="s">
        <v>36585</v>
      </c>
      <c r="O12674" t="s">
        <v>36586</v>
      </c>
      <c r="P12674">
        <v>85100</v>
      </c>
      <c r="Q12674" t="str">
        <f>"36.404803"</f>
        <v>36.404803</v>
      </c>
      <c r="R12674" t="str">
        <f>"28.204182"</f>
        <v>28.204182</v>
      </c>
      <c r="S12674" t="s">
        <v>26</v>
      </c>
    </row>
    <row r="12675" spans="1:19" x14ac:dyDescent="0.3">
      <c r="A12675" t="s">
        <v>35638</v>
      </c>
      <c r="B12675" t="s">
        <v>36334</v>
      </c>
      <c r="C12675" t="s">
        <v>36587</v>
      </c>
      <c r="D12675" t="s">
        <v>35639</v>
      </c>
      <c r="E12675" t="s">
        <v>35639</v>
      </c>
      <c r="F12675" t="s">
        <v>35721</v>
      </c>
      <c r="G12675" t="s">
        <v>1713</v>
      </c>
      <c r="H12675" t="s">
        <v>859</v>
      </c>
      <c r="I12675" t="s">
        <v>860</v>
      </c>
      <c r="J12675" t="str">
        <f>"9100230"</f>
        <v>9100230</v>
      </c>
      <c r="K12675">
        <v>2241041238</v>
      </c>
      <c r="L12675">
        <v>2241041238</v>
      </c>
      <c r="M12675" t="s">
        <v>36588</v>
      </c>
      <c r="N12675" t="s">
        <v>36589</v>
      </c>
      <c r="O12675" t="s">
        <v>36589</v>
      </c>
      <c r="P12675">
        <v>85106</v>
      </c>
      <c r="Q12675" t="str">
        <f>"36.374059"</f>
        <v>36.374059</v>
      </c>
      <c r="R12675" t="str">
        <f>"28.036498"</f>
        <v>28.036498</v>
      </c>
      <c r="S12675" t="s">
        <v>26</v>
      </c>
    </row>
    <row r="12676" spans="1:19" x14ac:dyDescent="0.3">
      <c r="A12676" t="s">
        <v>35638</v>
      </c>
      <c r="B12676" t="s">
        <v>36334</v>
      </c>
      <c r="C12676" t="s">
        <v>36590</v>
      </c>
      <c r="D12676" t="s">
        <v>35639</v>
      </c>
      <c r="E12676" t="s">
        <v>35639</v>
      </c>
      <c r="F12676" t="s">
        <v>35639</v>
      </c>
      <c r="G12676" t="s">
        <v>35639</v>
      </c>
      <c r="H12676" t="s">
        <v>859</v>
      </c>
      <c r="I12676" t="s">
        <v>860</v>
      </c>
      <c r="J12676" t="str">
        <f>"9100198"</f>
        <v>9100198</v>
      </c>
      <c r="K12676">
        <v>2241031139</v>
      </c>
      <c r="L12676">
        <v>2241031139</v>
      </c>
      <c r="M12676" t="s">
        <v>36591</v>
      </c>
      <c r="N12676" t="s">
        <v>35703</v>
      </c>
      <c r="O12676" t="s">
        <v>36592</v>
      </c>
      <c r="P12676">
        <v>85100</v>
      </c>
      <c r="Q12676" t="str">
        <f>"36.435998"</f>
        <v>36.435998</v>
      </c>
      <c r="R12676" t="str">
        <f>"28.228082"</f>
        <v>28.228082</v>
      </c>
      <c r="S12676" t="s">
        <v>26</v>
      </c>
    </row>
    <row r="12677" spans="1:19" x14ac:dyDescent="0.3">
      <c r="A12677" t="s">
        <v>35638</v>
      </c>
      <c r="B12677" t="s">
        <v>36334</v>
      </c>
      <c r="C12677" t="s">
        <v>36593</v>
      </c>
      <c r="D12677" t="s">
        <v>35639</v>
      </c>
      <c r="E12677" t="s">
        <v>22147</v>
      </c>
      <c r="F12677" t="s">
        <v>22147</v>
      </c>
      <c r="G12677" t="s">
        <v>22147</v>
      </c>
      <c r="H12677" t="s">
        <v>859</v>
      </c>
      <c r="I12677" t="s">
        <v>860</v>
      </c>
      <c r="J12677" t="str">
        <f>"9100245"</f>
        <v>9100245</v>
      </c>
      <c r="K12677">
        <v>2246045075</v>
      </c>
      <c r="L12677">
        <v>2246045075</v>
      </c>
      <c r="M12677" t="s">
        <v>36594</v>
      </c>
      <c r="N12677" t="s">
        <v>22150</v>
      </c>
      <c r="O12677" t="s">
        <v>22150</v>
      </c>
      <c r="P12677">
        <v>85110</v>
      </c>
      <c r="Q12677" t="str">
        <f>"36.222285"</f>
        <v>36.222285</v>
      </c>
      <c r="R12677" t="str">
        <f>"27.611899"</f>
        <v>27.611899</v>
      </c>
      <c r="S12677" t="s">
        <v>57</v>
      </c>
    </row>
    <row r="12678" spans="1:19" x14ac:dyDescent="0.3">
      <c r="A12678" t="s">
        <v>35638</v>
      </c>
      <c r="B12678" t="s">
        <v>36334</v>
      </c>
      <c r="C12678" t="s">
        <v>36627</v>
      </c>
      <c r="D12678" t="s">
        <v>35639</v>
      </c>
      <c r="E12678" t="s">
        <v>35639</v>
      </c>
      <c r="F12678" t="s">
        <v>35955</v>
      </c>
      <c r="G12678" t="s">
        <v>35956</v>
      </c>
      <c r="H12678" t="s">
        <v>859</v>
      </c>
      <c r="I12678" t="s">
        <v>860</v>
      </c>
      <c r="J12678" t="str">
        <f>"9100063"</f>
        <v>9100063</v>
      </c>
      <c r="K12678">
        <v>2246041261</v>
      </c>
      <c r="L12678">
        <v>2246041261</v>
      </c>
      <c r="M12678" t="s">
        <v>36628</v>
      </c>
      <c r="N12678" t="s">
        <v>36629</v>
      </c>
      <c r="O12678" t="s">
        <v>36630</v>
      </c>
      <c r="P12678">
        <v>85108</v>
      </c>
      <c r="Q12678" t="str">
        <f>"36.228054"</f>
        <v>36.228054</v>
      </c>
      <c r="R12678" t="str">
        <f>"27.854782"</f>
        <v>27.854782</v>
      </c>
      <c r="S12678" t="s">
        <v>57</v>
      </c>
    </row>
    <row r="12679" spans="1:19" x14ac:dyDescent="0.3">
      <c r="A12679" t="s">
        <v>35638</v>
      </c>
      <c r="B12679" t="s">
        <v>36334</v>
      </c>
      <c r="C12679" t="s">
        <v>36631</v>
      </c>
      <c r="D12679" t="s">
        <v>35689</v>
      </c>
      <c r="E12679" t="s">
        <v>35689</v>
      </c>
      <c r="F12679" t="s">
        <v>35689</v>
      </c>
      <c r="G12679" t="s">
        <v>35689</v>
      </c>
      <c r="H12679" t="s">
        <v>859</v>
      </c>
      <c r="I12679" t="s">
        <v>860</v>
      </c>
      <c r="J12679" t="str">
        <f>"9100251"</f>
        <v>9100251</v>
      </c>
      <c r="K12679">
        <v>2245031783</v>
      </c>
      <c r="M12679" t="s">
        <v>36632</v>
      </c>
      <c r="N12679" t="s">
        <v>36633</v>
      </c>
      <c r="O12679" t="s">
        <v>36634</v>
      </c>
      <c r="P12679">
        <v>85700</v>
      </c>
      <c r="Q12679" t="str">
        <f>"35.697871"</f>
        <v>35.697871</v>
      </c>
      <c r="R12679" t="str">
        <f>"27.189472"</f>
        <v>27.189472</v>
      </c>
      <c r="S12679" t="s">
        <v>57</v>
      </c>
    </row>
    <row r="12680" spans="1:19" x14ac:dyDescent="0.3">
      <c r="A12680" t="s">
        <v>35638</v>
      </c>
      <c r="B12680" t="s">
        <v>36334</v>
      </c>
      <c r="C12680" t="s">
        <v>36636</v>
      </c>
      <c r="D12680" t="s">
        <v>35639</v>
      </c>
      <c r="E12680" t="s">
        <v>35639</v>
      </c>
      <c r="F12680" t="s">
        <v>35784</v>
      </c>
      <c r="G12680" t="s">
        <v>36635</v>
      </c>
      <c r="H12680" t="s">
        <v>859</v>
      </c>
      <c r="I12680" t="s">
        <v>860</v>
      </c>
      <c r="J12680" t="str">
        <f>"9100197"</f>
        <v>9100197</v>
      </c>
      <c r="K12680">
        <v>2241041885</v>
      </c>
      <c r="L12680">
        <v>2241041332</v>
      </c>
      <c r="M12680" t="s">
        <v>36637</v>
      </c>
      <c r="N12680" t="s">
        <v>36638</v>
      </c>
      <c r="O12680" t="s">
        <v>36639</v>
      </c>
      <c r="P12680">
        <v>85106</v>
      </c>
      <c r="Q12680" t="str">
        <f>"36.350760"</f>
        <v>36.350760</v>
      </c>
      <c r="R12680" t="str">
        <f>"27.982916"</f>
        <v>27.982916</v>
      </c>
      <c r="S12680" t="s">
        <v>26</v>
      </c>
    </row>
    <row r="12681" spans="1:19" x14ac:dyDescent="0.3">
      <c r="A12681" t="s">
        <v>35638</v>
      </c>
      <c r="B12681" t="s">
        <v>36334</v>
      </c>
      <c r="C12681" t="s">
        <v>36640</v>
      </c>
      <c r="D12681" t="s">
        <v>35639</v>
      </c>
      <c r="E12681" t="s">
        <v>35639</v>
      </c>
      <c r="F12681" t="s">
        <v>5563</v>
      </c>
      <c r="G12681" t="s">
        <v>36609</v>
      </c>
      <c r="H12681" t="s">
        <v>859</v>
      </c>
      <c r="I12681" t="s">
        <v>860</v>
      </c>
      <c r="J12681" t="str">
        <f>"9100212"</f>
        <v>9100212</v>
      </c>
      <c r="K12681">
        <v>2241050254</v>
      </c>
      <c r="L12681">
        <v>2241050058</v>
      </c>
      <c r="M12681" t="s">
        <v>36641</v>
      </c>
      <c r="N12681" t="s">
        <v>36642</v>
      </c>
      <c r="O12681" t="s">
        <v>36612</v>
      </c>
      <c r="P12681">
        <v>85100</v>
      </c>
      <c r="Q12681" t="str">
        <f>"36.314551"</f>
        <v>36.314551</v>
      </c>
      <c r="R12681" t="str">
        <f>"28.096903"</f>
        <v>28.096903</v>
      </c>
      <c r="S12681" t="s">
        <v>26</v>
      </c>
    </row>
    <row r="12682" spans="1:19" x14ac:dyDescent="0.3">
      <c r="A12682" t="s">
        <v>35638</v>
      </c>
      <c r="B12682" t="s">
        <v>36334</v>
      </c>
      <c r="C12682" t="s">
        <v>36643</v>
      </c>
      <c r="D12682" t="s">
        <v>35639</v>
      </c>
      <c r="E12682" t="s">
        <v>35706</v>
      </c>
      <c r="F12682" t="s">
        <v>35706</v>
      </c>
      <c r="G12682" t="s">
        <v>35706</v>
      </c>
      <c r="H12682" t="s">
        <v>859</v>
      </c>
      <c r="I12682" t="s">
        <v>860</v>
      </c>
      <c r="J12682" t="str">
        <f>"9100033"</f>
        <v>9100033</v>
      </c>
      <c r="K12682">
        <v>2246071811</v>
      </c>
      <c r="L12682">
        <v>2246072454</v>
      </c>
      <c r="M12682" t="s">
        <v>36644</v>
      </c>
      <c r="N12682" t="s">
        <v>35834</v>
      </c>
      <c r="O12682" t="s">
        <v>35834</v>
      </c>
      <c r="P12682">
        <v>85600</v>
      </c>
      <c r="Q12682" t="str">
        <f>"36.607899"</f>
        <v>36.607899</v>
      </c>
      <c r="R12682" t="str">
        <f>"27.834969"</f>
        <v>27.834969</v>
      </c>
      <c r="S12682" t="s">
        <v>57</v>
      </c>
    </row>
    <row r="12683" spans="1:19" x14ac:dyDescent="0.3">
      <c r="A12683" t="s">
        <v>35638</v>
      </c>
      <c r="B12683" t="s">
        <v>36334</v>
      </c>
      <c r="C12683" t="s">
        <v>36649</v>
      </c>
      <c r="D12683" t="s">
        <v>35689</v>
      </c>
      <c r="E12683" t="s">
        <v>35689</v>
      </c>
      <c r="F12683" t="s">
        <v>35689</v>
      </c>
      <c r="G12683" t="s">
        <v>35751</v>
      </c>
      <c r="H12683" t="s">
        <v>859</v>
      </c>
      <c r="I12683" t="s">
        <v>860</v>
      </c>
      <c r="J12683" t="str">
        <f>"9100233"</f>
        <v>9100233</v>
      </c>
      <c r="K12683">
        <v>2245031644</v>
      </c>
      <c r="M12683" t="s">
        <v>36650</v>
      </c>
      <c r="N12683" t="s">
        <v>35755</v>
      </c>
      <c r="O12683" t="s">
        <v>35694</v>
      </c>
      <c r="P12683">
        <v>85700</v>
      </c>
      <c r="Q12683" t="str">
        <f>"35.549954"</f>
        <v>35.549954</v>
      </c>
      <c r="R12683" t="str">
        <f>"27.171400"</f>
        <v>27.171400</v>
      </c>
      <c r="S12683" t="s">
        <v>57</v>
      </c>
    </row>
    <row r="12684" spans="1:19" x14ac:dyDescent="0.3">
      <c r="A12684" t="s">
        <v>35638</v>
      </c>
      <c r="B12684" t="s">
        <v>36334</v>
      </c>
      <c r="C12684" t="s">
        <v>36661</v>
      </c>
      <c r="D12684" t="s">
        <v>35639</v>
      </c>
      <c r="E12684" t="s">
        <v>35706</v>
      </c>
      <c r="F12684" t="s">
        <v>35706</v>
      </c>
      <c r="G12684" t="s">
        <v>35706</v>
      </c>
      <c r="H12684" t="s">
        <v>859</v>
      </c>
      <c r="I12684" t="s">
        <v>860</v>
      </c>
      <c r="J12684" t="str">
        <f>"9100034"</f>
        <v>9100034</v>
      </c>
      <c r="K12684">
        <v>2246071480</v>
      </c>
      <c r="L12684">
        <v>2246071480</v>
      </c>
      <c r="M12684" t="s">
        <v>36662</v>
      </c>
      <c r="N12684" t="s">
        <v>35834</v>
      </c>
      <c r="O12684" t="s">
        <v>35834</v>
      </c>
      <c r="P12684">
        <v>85600</v>
      </c>
      <c r="Q12684" t="str">
        <f>"36.612618"</f>
        <v>36.612618</v>
      </c>
      <c r="R12684" t="str">
        <f>"27.837378"</f>
        <v>27.837378</v>
      </c>
      <c r="S12684" t="s">
        <v>57</v>
      </c>
    </row>
    <row r="12685" spans="1:19" x14ac:dyDescent="0.3">
      <c r="A12685" t="s">
        <v>35638</v>
      </c>
      <c r="B12685" t="s">
        <v>36334</v>
      </c>
      <c r="C12685" t="s">
        <v>36670</v>
      </c>
      <c r="D12685" t="s">
        <v>35639</v>
      </c>
      <c r="E12685" t="s">
        <v>35639</v>
      </c>
      <c r="F12685" t="s">
        <v>35784</v>
      </c>
      <c r="G12685" t="s">
        <v>36669</v>
      </c>
      <c r="H12685" t="s">
        <v>859</v>
      </c>
      <c r="I12685" t="s">
        <v>860</v>
      </c>
      <c r="J12685" t="str">
        <f>"9100195"</f>
        <v>9100195</v>
      </c>
      <c r="K12685">
        <v>2246091314</v>
      </c>
      <c r="L12685">
        <v>2246091016</v>
      </c>
      <c r="M12685" t="s">
        <v>36671</v>
      </c>
      <c r="N12685" t="s">
        <v>36672</v>
      </c>
      <c r="O12685" t="s">
        <v>36672</v>
      </c>
      <c r="P12685">
        <v>85106</v>
      </c>
      <c r="Q12685" t="str">
        <f>"36.286101"</f>
        <v>36.286101</v>
      </c>
      <c r="R12685" t="str">
        <f>"27.944452"</f>
        <v>27.944452</v>
      </c>
      <c r="S12685" t="s">
        <v>26</v>
      </c>
    </row>
    <row r="12686" spans="1:19" x14ac:dyDescent="0.3">
      <c r="A12686" t="s">
        <v>35638</v>
      </c>
      <c r="B12686" t="s">
        <v>36334</v>
      </c>
      <c r="C12686" t="s">
        <v>36676</v>
      </c>
      <c r="D12686" t="s">
        <v>35639</v>
      </c>
      <c r="E12686" t="s">
        <v>35639</v>
      </c>
      <c r="F12686" t="s">
        <v>5563</v>
      </c>
      <c r="G12686" t="s">
        <v>35853</v>
      </c>
      <c r="H12686" t="s">
        <v>859</v>
      </c>
      <c r="I12686" t="s">
        <v>860</v>
      </c>
      <c r="J12686" t="str">
        <f>"9100267"</f>
        <v>9100267</v>
      </c>
      <c r="K12686">
        <v>2241085322</v>
      </c>
      <c r="L12686">
        <v>2241085322</v>
      </c>
      <c r="M12686" t="s">
        <v>36677</v>
      </c>
      <c r="N12686" t="s">
        <v>36678</v>
      </c>
      <c r="P12686">
        <v>85105</v>
      </c>
      <c r="Q12686" t="str">
        <f>"36.339156"</f>
        <v>36.339156</v>
      </c>
      <c r="R12686" t="str">
        <f>"28.173137"</f>
        <v>28.173137</v>
      </c>
      <c r="S12686" t="s">
        <v>26</v>
      </c>
    </row>
    <row r="12687" spans="1:19" x14ac:dyDescent="0.3">
      <c r="A12687" t="s">
        <v>35638</v>
      </c>
      <c r="B12687" t="s">
        <v>36334</v>
      </c>
      <c r="C12687" t="s">
        <v>36679</v>
      </c>
      <c r="D12687" t="s">
        <v>35639</v>
      </c>
      <c r="E12687" t="s">
        <v>35639</v>
      </c>
      <c r="F12687" t="s">
        <v>35735</v>
      </c>
      <c r="G12687" t="s">
        <v>35736</v>
      </c>
      <c r="H12687" t="s">
        <v>859</v>
      </c>
      <c r="I12687" t="s">
        <v>860</v>
      </c>
      <c r="J12687" t="str">
        <f>"9100219"</f>
        <v>9100219</v>
      </c>
      <c r="K12687">
        <v>2241092492</v>
      </c>
      <c r="L12687">
        <v>2241092492</v>
      </c>
      <c r="M12687" t="s">
        <v>36680</v>
      </c>
      <c r="N12687" t="s">
        <v>36681</v>
      </c>
      <c r="O12687" t="s">
        <v>36681</v>
      </c>
      <c r="P12687">
        <v>85101</v>
      </c>
      <c r="Q12687" t="str">
        <f>"36.410309"</f>
        <v>36.410309</v>
      </c>
      <c r="R12687" t="str">
        <f>"28.155643"</f>
        <v>28.155643</v>
      </c>
      <c r="S12687" t="s">
        <v>26</v>
      </c>
    </row>
    <row r="12688" spans="1:19" x14ac:dyDescent="0.3">
      <c r="A12688" t="s">
        <v>35638</v>
      </c>
      <c r="B12688" t="s">
        <v>36334</v>
      </c>
      <c r="C12688" t="s">
        <v>36682</v>
      </c>
      <c r="D12688" t="s">
        <v>35639</v>
      </c>
      <c r="E12688" t="s">
        <v>35639</v>
      </c>
      <c r="F12688" t="s">
        <v>35735</v>
      </c>
      <c r="G12688" t="s">
        <v>35736</v>
      </c>
      <c r="H12688" t="s">
        <v>859</v>
      </c>
      <c r="I12688" t="s">
        <v>860</v>
      </c>
      <c r="J12688" t="str">
        <f>"9100087"</f>
        <v>9100087</v>
      </c>
      <c r="K12688">
        <v>2241093162</v>
      </c>
      <c r="L12688">
        <v>2241093162</v>
      </c>
      <c r="M12688" t="s">
        <v>36683</v>
      </c>
      <c r="N12688" t="s">
        <v>36681</v>
      </c>
      <c r="O12688" t="s">
        <v>36681</v>
      </c>
      <c r="P12688">
        <v>85101</v>
      </c>
      <c r="Q12688" t="str">
        <f>"36.419379"</f>
        <v>36.419379</v>
      </c>
      <c r="R12688" t="str">
        <f>"28.160283"</f>
        <v>28.160283</v>
      </c>
      <c r="S12688" t="s">
        <v>26</v>
      </c>
    </row>
    <row r="12689" spans="1:19" x14ac:dyDescent="0.3">
      <c r="A12689" t="s">
        <v>35638</v>
      </c>
      <c r="B12689" t="s">
        <v>36334</v>
      </c>
      <c r="C12689" t="s">
        <v>36684</v>
      </c>
      <c r="D12689" t="s">
        <v>35639</v>
      </c>
      <c r="E12689" t="s">
        <v>35639</v>
      </c>
      <c r="F12689" t="s">
        <v>35784</v>
      </c>
      <c r="G12689" t="s">
        <v>35785</v>
      </c>
      <c r="H12689" t="s">
        <v>859</v>
      </c>
      <c r="I12689" t="s">
        <v>860</v>
      </c>
      <c r="J12689" t="str">
        <f>"9100192"</f>
        <v>9100192</v>
      </c>
      <c r="K12689">
        <v>2241041165</v>
      </c>
      <c r="L12689">
        <v>2241041165</v>
      </c>
      <c r="M12689" t="s">
        <v>36685</v>
      </c>
      <c r="N12689" t="s">
        <v>36686</v>
      </c>
      <c r="O12689" t="s">
        <v>35828</v>
      </c>
      <c r="P12689">
        <v>85101</v>
      </c>
      <c r="Q12689" t="str">
        <f>"36.361805"</f>
        <v>36.361805</v>
      </c>
      <c r="R12689" t="str">
        <f>"28.005325"</f>
        <v>28.005325</v>
      </c>
      <c r="S12689" t="s">
        <v>26</v>
      </c>
    </row>
    <row r="12690" spans="1:19" x14ac:dyDescent="0.3">
      <c r="A12690" t="s">
        <v>35638</v>
      </c>
      <c r="B12690" t="s">
        <v>36334</v>
      </c>
      <c r="C12690" t="s">
        <v>36687</v>
      </c>
      <c r="D12690" t="s">
        <v>35689</v>
      </c>
      <c r="E12690" t="s">
        <v>35689</v>
      </c>
      <c r="F12690" t="s">
        <v>21128</v>
      </c>
      <c r="G12690" t="s">
        <v>21128</v>
      </c>
      <c r="H12690" t="s">
        <v>859</v>
      </c>
      <c r="I12690" t="s">
        <v>860</v>
      </c>
      <c r="J12690" t="str">
        <f>"9100275"</f>
        <v>9100275</v>
      </c>
      <c r="K12690">
        <v>2245051110</v>
      </c>
      <c r="M12690" t="s">
        <v>36688</v>
      </c>
      <c r="N12690" t="s">
        <v>36689</v>
      </c>
      <c r="O12690" t="s">
        <v>36689</v>
      </c>
      <c r="P12690">
        <v>85700</v>
      </c>
      <c r="Q12690" t="str">
        <f>"35.756685"</f>
        <v>35.756685</v>
      </c>
      <c r="R12690" t="str">
        <f>"27.208824"</f>
        <v>27.208824</v>
      </c>
      <c r="S12690" t="s">
        <v>57</v>
      </c>
    </row>
    <row r="12691" spans="1:19" x14ac:dyDescent="0.3">
      <c r="A12691" t="s">
        <v>35638</v>
      </c>
      <c r="B12691" t="s">
        <v>36334</v>
      </c>
      <c r="C12691" t="s">
        <v>36691</v>
      </c>
      <c r="D12691" t="s">
        <v>35657</v>
      </c>
      <c r="E12691" t="s">
        <v>35657</v>
      </c>
      <c r="F12691" t="s">
        <v>35776</v>
      </c>
      <c r="G12691" t="s">
        <v>35923</v>
      </c>
      <c r="H12691" t="s">
        <v>859</v>
      </c>
      <c r="I12691" t="s">
        <v>860</v>
      </c>
      <c r="J12691" t="str">
        <f>"9100024"</f>
        <v>9100024</v>
      </c>
      <c r="K12691">
        <v>2242071097</v>
      </c>
      <c r="L12691">
        <v>2242071305</v>
      </c>
      <c r="M12691" t="s">
        <v>36692</v>
      </c>
      <c r="N12691" t="s">
        <v>36361</v>
      </c>
      <c r="O12691" t="s">
        <v>36361</v>
      </c>
      <c r="P12691">
        <v>85301</v>
      </c>
      <c r="Q12691" t="str">
        <f>"36.742073"</f>
        <v>36.742073</v>
      </c>
      <c r="R12691" t="str">
        <f>"26.959484"</f>
        <v>26.959484</v>
      </c>
      <c r="S12691" t="s">
        <v>57</v>
      </c>
    </row>
    <row r="12692" spans="1:19" x14ac:dyDescent="0.3">
      <c r="A12692" t="s">
        <v>35638</v>
      </c>
      <c r="B12692" t="s">
        <v>36334</v>
      </c>
      <c r="C12692" t="s">
        <v>36700</v>
      </c>
      <c r="D12692" t="s">
        <v>35651</v>
      </c>
      <c r="E12692" t="s">
        <v>35729</v>
      </c>
      <c r="F12692" t="s">
        <v>35729</v>
      </c>
      <c r="G12692" t="s">
        <v>35729</v>
      </c>
      <c r="H12692" t="s">
        <v>859</v>
      </c>
      <c r="I12692" t="s">
        <v>860</v>
      </c>
      <c r="J12692" t="str">
        <f>"9520843"</f>
        <v>9520843</v>
      </c>
      <c r="K12692">
        <v>2247026450</v>
      </c>
      <c r="L12692">
        <v>2247022985</v>
      </c>
      <c r="M12692" t="s">
        <v>36701</v>
      </c>
      <c r="N12692" t="s">
        <v>36702</v>
      </c>
      <c r="O12692" t="s">
        <v>36499</v>
      </c>
      <c r="P12692">
        <v>85401</v>
      </c>
      <c r="Q12692" t="str">
        <f>"37.134501"</f>
        <v>37.134501</v>
      </c>
      <c r="R12692" t="str">
        <f>"26.856803"</f>
        <v>26.856803</v>
      </c>
      <c r="S12692" t="s">
        <v>57</v>
      </c>
    </row>
    <row r="12693" spans="1:19" x14ac:dyDescent="0.3">
      <c r="A12693" t="s">
        <v>35638</v>
      </c>
      <c r="B12693" t="s">
        <v>36334</v>
      </c>
      <c r="C12693" t="s">
        <v>36721</v>
      </c>
      <c r="D12693" t="s">
        <v>35639</v>
      </c>
      <c r="E12693" t="s">
        <v>35639</v>
      </c>
      <c r="F12693" t="s">
        <v>35721</v>
      </c>
      <c r="G12693" t="s">
        <v>35722</v>
      </c>
      <c r="H12693" t="s">
        <v>859</v>
      </c>
      <c r="I12693" t="s">
        <v>860</v>
      </c>
      <c r="J12693" t="str">
        <f>"9100076"</f>
        <v>9100076</v>
      </c>
      <c r="K12693">
        <v>2241081082</v>
      </c>
      <c r="L12693">
        <v>2241082960</v>
      </c>
      <c r="M12693" t="s">
        <v>36722</v>
      </c>
      <c r="N12693" t="s">
        <v>35844</v>
      </c>
      <c r="O12693" t="s">
        <v>36723</v>
      </c>
      <c r="P12693">
        <v>85106</v>
      </c>
      <c r="Q12693" t="str">
        <f>"36.397900"</f>
        <v>36.397900</v>
      </c>
      <c r="R12693" t="str">
        <f>"28.078917"</f>
        <v>28.078917</v>
      </c>
      <c r="S12693" t="s">
        <v>26</v>
      </c>
    </row>
    <row r="12694" spans="1:19" x14ac:dyDescent="0.3">
      <c r="A12694" t="s">
        <v>35638</v>
      </c>
      <c r="B12694" t="s">
        <v>36334</v>
      </c>
      <c r="C12694" t="s">
        <v>36725</v>
      </c>
      <c r="D12694" t="s">
        <v>35639</v>
      </c>
      <c r="E12694" t="s">
        <v>35639</v>
      </c>
      <c r="F12694" t="s">
        <v>35784</v>
      </c>
      <c r="G12694" t="s">
        <v>36724</v>
      </c>
      <c r="H12694" t="s">
        <v>859</v>
      </c>
      <c r="I12694" t="s">
        <v>860</v>
      </c>
      <c r="J12694" t="str">
        <f>"9100231"</f>
        <v>9100231</v>
      </c>
      <c r="K12694">
        <v>2241040290</v>
      </c>
      <c r="L12694">
        <v>2241040290</v>
      </c>
      <c r="M12694" t="s">
        <v>36726</v>
      </c>
      <c r="N12694" t="s">
        <v>36727</v>
      </c>
      <c r="O12694" t="s">
        <v>36727</v>
      </c>
      <c r="P12694">
        <v>85106</v>
      </c>
      <c r="Q12694" t="str">
        <f>"36.339982"</f>
        <v>36.339982</v>
      </c>
      <c r="R12694" t="str">
        <f>"27.949485"</f>
        <v>27.949485</v>
      </c>
      <c r="S12694" t="s">
        <v>26</v>
      </c>
    </row>
    <row r="12695" spans="1:19" x14ac:dyDescent="0.3">
      <c r="A12695" t="s">
        <v>35638</v>
      </c>
      <c r="B12695" t="s">
        <v>36334</v>
      </c>
      <c r="C12695" t="s">
        <v>36729</v>
      </c>
      <c r="D12695" t="s">
        <v>35639</v>
      </c>
      <c r="E12695" t="s">
        <v>35639</v>
      </c>
      <c r="F12695" t="s">
        <v>35746</v>
      </c>
      <c r="G12695" t="s">
        <v>36728</v>
      </c>
      <c r="H12695" t="s">
        <v>859</v>
      </c>
      <c r="I12695" t="s">
        <v>860</v>
      </c>
      <c r="J12695" t="str">
        <f>"9100193"</f>
        <v>9100193</v>
      </c>
      <c r="K12695">
        <v>2246098474</v>
      </c>
      <c r="L12695">
        <v>2246098252</v>
      </c>
      <c r="M12695" t="s">
        <v>36730</v>
      </c>
      <c r="N12695" t="s">
        <v>36731</v>
      </c>
      <c r="O12695" t="s">
        <v>36731</v>
      </c>
      <c r="P12695">
        <v>85106</v>
      </c>
      <c r="Q12695" t="str">
        <f>"36.355166"</f>
        <v>36.355166</v>
      </c>
      <c r="R12695" t="str">
        <f>"27.993871"</f>
        <v>27.993871</v>
      </c>
      <c r="S12695" t="s">
        <v>26</v>
      </c>
    </row>
    <row r="12696" spans="1:19" x14ac:dyDescent="0.3">
      <c r="A12696" t="s">
        <v>35638</v>
      </c>
      <c r="B12696" t="s">
        <v>36334</v>
      </c>
      <c r="C12696" t="s">
        <v>36733</v>
      </c>
      <c r="D12696" t="s">
        <v>35639</v>
      </c>
      <c r="E12696" t="s">
        <v>35639</v>
      </c>
      <c r="F12696" t="s">
        <v>35721</v>
      </c>
      <c r="G12696" t="s">
        <v>36623</v>
      </c>
      <c r="H12696" t="s">
        <v>859</v>
      </c>
      <c r="I12696" t="s">
        <v>860</v>
      </c>
      <c r="J12696" t="str">
        <f>"9100184"</f>
        <v>9100184</v>
      </c>
      <c r="K12696">
        <v>2241047207</v>
      </c>
      <c r="L12696">
        <v>2241047207</v>
      </c>
      <c r="M12696" t="s">
        <v>36734</v>
      </c>
      <c r="N12696" t="s">
        <v>36735</v>
      </c>
      <c r="O12696" t="s">
        <v>36735</v>
      </c>
      <c r="P12696">
        <v>85101</v>
      </c>
      <c r="Q12696" t="str">
        <f>"36.358400"</f>
        <v>36.358400</v>
      </c>
      <c r="R12696" t="str">
        <f>"28.118091"</f>
        <v>28.118091</v>
      </c>
      <c r="S12696" t="s">
        <v>26</v>
      </c>
    </row>
    <row r="12697" spans="1:19" x14ac:dyDescent="0.3">
      <c r="A12697" t="s">
        <v>35638</v>
      </c>
      <c r="B12697" t="s">
        <v>36334</v>
      </c>
      <c r="C12697" t="s">
        <v>36736</v>
      </c>
      <c r="D12697" t="s">
        <v>35639</v>
      </c>
      <c r="E12697" t="s">
        <v>35639</v>
      </c>
      <c r="F12697" t="s">
        <v>29736</v>
      </c>
      <c r="G12697" t="s">
        <v>29736</v>
      </c>
      <c r="H12697" t="s">
        <v>859</v>
      </c>
      <c r="I12697" t="s">
        <v>860</v>
      </c>
      <c r="J12697" t="str">
        <f>"9100283"</f>
        <v>9100283</v>
      </c>
      <c r="K12697">
        <v>2244023000</v>
      </c>
      <c r="L12697">
        <v>2244023000</v>
      </c>
      <c r="M12697" t="s">
        <v>36737</v>
      </c>
      <c r="N12697" t="s">
        <v>35982</v>
      </c>
      <c r="O12697" t="s">
        <v>19424</v>
      </c>
      <c r="P12697">
        <v>85102</v>
      </c>
      <c r="Q12697" t="str">
        <f>"36.220207"</f>
        <v>36.220207</v>
      </c>
      <c r="R12697" t="str">
        <f>"28.117827"</f>
        <v>28.117827</v>
      </c>
      <c r="S12697" t="s">
        <v>26</v>
      </c>
    </row>
    <row r="12698" spans="1:19" x14ac:dyDescent="0.3">
      <c r="A12698" t="s">
        <v>35638</v>
      </c>
      <c r="B12698" t="s">
        <v>36334</v>
      </c>
      <c r="C12698" t="s">
        <v>36743</v>
      </c>
      <c r="D12698" t="s">
        <v>35639</v>
      </c>
      <c r="E12698" t="s">
        <v>35639</v>
      </c>
      <c r="F12698" t="s">
        <v>35746</v>
      </c>
      <c r="G12698" t="s">
        <v>35746</v>
      </c>
      <c r="H12698" t="s">
        <v>859</v>
      </c>
      <c r="I12698" t="s">
        <v>860</v>
      </c>
      <c r="J12698" t="str">
        <f>"9100123"</f>
        <v>9100123</v>
      </c>
      <c r="K12698">
        <v>2241053326</v>
      </c>
      <c r="L12698">
        <v>2241053326</v>
      </c>
      <c r="M12698" t="s">
        <v>36744</v>
      </c>
      <c r="N12698" t="s">
        <v>35749</v>
      </c>
      <c r="O12698" t="s">
        <v>36745</v>
      </c>
      <c r="P12698">
        <v>85103</v>
      </c>
      <c r="Q12698" t="str">
        <f>"36.276152"</f>
        <v>36.276152</v>
      </c>
      <c r="R12698" t="str">
        <f>"28.165138"</f>
        <v>28.165138</v>
      </c>
      <c r="S12698" t="s">
        <v>26</v>
      </c>
    </row>
    <row r="12699" spans="1:19" x14ac:dyDescent="0.3">
      <c r="A12699" t="s">
        <v>35638</v>
      </c>
      <c r="B12699" t="s">
        <v>36334</v>
      </c>
      <c r="C12699" t="s">
        <v>36746</v>
      </c>
      <c r="D12699" t="s">
        <v>35689</v>
      </c>
      <c r="E12699" t="s">
        <v>35858</v>
      </c>
      <c r="F12699" t="s">
        <v>35858</v>
      </c>
      <c r="G12699" t="s">
        <v>35859</v>
      </c>
      <c r="H12699" t="s">
        <v>859</v>
      </c>
      <c r="I12699" t="s">
        <v>860</v>
      </c>
      <c r="J12699" t="str">
        <f>"9100189"</f>
        <v>9100189</v>
      </c>
      <c r="K12699">
        <v>2245041660</v>
      </c>
      <c r="L12699">
        <v>2245041660</v>
      </c>
      <c r="M12699" t="s">
        <v>36747</v>
      </c>
      <c r="N12699" t="s">
        <v>36748</v>
      </c>
      <c r="O12699" t="s">
        <v>36748</v>
      </c>
      <c r="P12699">
        <v>85800</v>
      </c>
      <c r="Q12699" t="str">
        <f>"35.403094"</f>
        <v>35.403094</v>
      </c>
      <c r="R12699" t="str">
        <f>"26.916880"</f>
        <v>26.916880</v>
      </c>
      <c r="S12699" t="s">
        <v>57</v>
      </c>
    </row>
    <row r="12700" spans="1:19" x14ac:dyDescent="0.3">
      <c r="A12700" t="s">
        <v>35638</v>
      </c>
      <c r="B12700" t="s">
        <v>36334</v>
      </c>
      <c r="C12700" t="s">
        <v>36757</v>
      </c>
      <c r="D12700" t="s">
        <v>35689</v>
      </c>
      <c r="E12700" t="s">
        <v>35689</v>
      </c>
      <c r="F12700" t="s">
        <v>35689</v>
      </c>
      <c r="G12700" t="s">
        <v>36756</v>
      </c>
      <c r="H12700" t="s">
        <v>859</v>
      </c>
      <c r="I12700" t="s">
        <v>860</v>
      </c>
      <c r="J12700" t="str">
        <f>"9100259"</f>
        <v>9100259</v>
      </c>
      <c r="K12700">
        <v>2245061285</v>
      </c>
      <c r="L12700">
        <v>2245061279</v>
      </c>
      <c r="M12700" t="s">
        <v>36758</v>
      </c>
      <c r="N12700" t="s">
        <v>36759</v>
      </c>
      <c r="O12700" t="s">
        <v>36759</v>
      </c>
      <c r="P12700">
        <v>85700</v>
      </c>
      <c r="Q12700" t="str">
        <f>"35.480872"</f>
        <v>35.480872</v>
      </c>
      <c r="R12700" t="str">
        <f>"27.119177"</f>
        <v>27.119177</v>
      </c>
      <c r="S12700" t="s">
        <v>57</v>
      </c>
    </row>
    <row r="12701" spans="1:19" x14ac:dyDescent="0.3">
      <c r="A12701" t="s">
        <v>35638</v>
      </c>
      <c r="B12701" t="s">
        <v>36334</v>
      </c>
      <c r="C12701" t="s">
        <v>36779</v>
      </c>
      <c r="D12701" t="s">
        <v>35639</v>
      </c>
      <c r="E12701" t="s">
        <v>35639</v>
      </c>
      <c r="F12701" t="s">
        <v>35639</v>
      </c>
      <c r="G12701" t="s">
        <v>35639</v>
      </c>
      <c r="H12701" t="s">
        <v>859</v>
      </c>
      <c r="I12701" t="s">
        <v>860</v>
      </c>
      <c r="J12701" t="str">
        <f>"9100180"</f>
        <v>9100180</v>
      </c>
      <c r="K12701">
        <v>2241027133</v>
      </c>
      <c r="L12701">
        <v>2241027133</v>
      </c>
      <c r="M12701" t="s">
        <v>36780</v>
      </c>
      <c r="N12701" t="s">
        <v>35703</v>
      </c>
      <c r="O12701" t="s">
        <v>36578</v>
      </c>
      <c r="P12701">
        <v>85100</v>
      </c>
      <c r="Q12701" t="str">
        <f>"36.436978"</f>
        <v>36.436978</v>
      </c>
      <c r="R12701" t="str">
        <f>"28.222606"</f>
        <v>28.222606</v>
      </c>
      <c r="S12701" t="s">
        <v>26</v>
      </c>
    </row>
    <row r="12702" spans="1:19" x14ac:dyDescent="0.3">
      <c r="A12702" t="s">
        <v>35638</v>
      </c>
      <c r="B12702" t="s">
        <v>36334</v>
      </c>
      <c r="C12702" t="s">
        <v>36815</v>
      </c>
      <c r="D12702" t="s">
        <v>35639</v>
      </c>
      <c r="E12702" t="s">
        <v>35639</v>
      </c>
      <c r="F12702" t="s">
        <v>35955</v>
      </c>
      <c r="G12702" t="s">
        <v>36615</v>
      </c>
      <c r="H12702" t="s">
        <v>859</v>
      </c>
      <c r="I12702" t="s">
        <v>860</v>
      </c>
      <c r="J12702" t="str">
        <f>"9100196"</f>
        <v>9100196</v>
      </c>
      <c r="K12702">
        <v>2246031225</v>
      </c>
      <c r="L12702">
        <v>2246031225</v>
      </c>
      <c r="M12702" t="s">
        <v>36816</v>
      </c>
      <c r="N12702" t="s">
        <v>36618</v>
      </c>
      <c r="O12702" t="s">
        <v>36618</v>
      </c>
      <c r="P12702">
        <v>85108</v>
      </c>
      <c r="Q12702" t="str">
        <f>"36.246060"</f>
        <v>36.246060</v>
      </c>
      <c r="R12702" t="str">
        <f>"27.828908"</f>
        <v>27.828908</v>
      </c>
      <c r="S12702" t="s">
        <v>57</v>
      </c>
    </row>
    <row r="12703" spans="1:19" x14ac:dyDescent="0.3">
      <c r="A12703" t="s">
        <v>35638</v>
      </c>
      <c r="B12703" t="s">
        <v>36334</v>
      </c>
      <c r="C12703" t="s">
        <v>36825</v>
      </c>
      <c r="D12703" t="s">
        <v>35657</v>
      </c>
      <c r="E12703" t="s">
        <v>35657</v>
      </c>
      <c r="F12703" t="s">
        <v>35657</v>
      </c>
      <c r="G12703" t="s">
        <v>35657</v>
      </c>
      <c r="H12703" t="s">
        <v>859</v>
      </c>
      <c r="I12703" t="s">
        <v>860</v>
      </c>
      <c r="J12703" t="str">
        <f>"9100200"</f>
        <v>9100200</v>
      </c>
      <c r="K12703">
        <v>2242023864</v>
      </c>
      <c r="L12703">
        <v>2242023864</v>
      </c>
      <c r="M12703" t="s">
        <v>36826</v>
      </c>
      <c r="N12703" t="s">
        <v>35718</v>
      </c>
      <c r="O12703" t="s">
        <v>36827</v>
      </c>
      <c r="P12703">
        <v>85300</v>
      </c>
      <c r="Q12703" t="str">
        <f>"36.846391"</f>
        <v>36.846391</v>
      </c>
      <c r="R12703" t="str">
        <f>"27.174559"</f>
        <v>27.174559</v>
      </c>
      <c r="S12703" t="s">
        <v>26</v>
      </c>
    </row>
    <row r="12704" spans="1:19" x14ac:dyDescent="0.3">
      <c r="A12704" t="s">
        <v>35638</v>
      </c>
      <c r="B12704" t="s">
        <v>36334</v>
      </c>
      <c r="C12704" t="s">
        <v>36833</v>
      </c>
      <c r="D12704" t="s">
        <v>35657</v>
      </c>
      <c r="E12704" t="s">
        <v>35657</v>
      </c>
      <c r="F12704" t="s">
        <v>35776</v>
      </c>
      <c r="G12704" t="s">
        <v>35777</v>
      </c>
      <c r="H12704" t="s">
        <v>859</v>
      </c>
      <c r="I12704" t="s">
        <v>860</v>
      </c>
      <c r="J12704" t="str">
        <f>"9520575"</f>
        <v>9520575</v>
      </c>
      <c r="K12704">
        <v>2242051314</v>
      </c>
      <c r="L12704">
        <v>2242051314</v>
      </c>
      <c r="M12704" t="s">
        <v>36834</v>
      </c>
      <c r="N12704" t="s">
        <v>35781</v>
      </c>
      <c r="O12704" t="s">
        <v>35782</v>
      </c>
      <c r="P12704">
        <v>85302</v>
      </c>
      <c r="Q12704" t="str">
        <f>"36.804301"</f>
        <v>36.804301</v>
      </c>
      <c r="R12704" t="str">
        <f>"27.095956"</f>
        <v>27.095956</v>
      </c>
      <c r="S12704" t="s">
        <v>26</v>
      </c>
    </row>
    <row r="12705" spans="1:19" x14ac:dyDescent="0.3">
      <c r="A12705" t="s">
        <v>35638</v>
      </c>
      <c r="B12705" t="s">
        <v>36334</v>
      </c>
      <c r="C12705" t="s">
        <v>36837</v>
      </c>
      <c r="D12705" t="s">
        <v>35657</v>
      </c>
      <c r="E12705" t="s">
        <v>35657</v>
      </c>
      <c r="F12705" t="s">
        <v>35657</v>
      </c>
      <c r="G12705" t="s">
        <v>35657</v>
      </c>
      <c r="H12705" t="s">
        <v>859</v>
      </c>
      <c r="I12705" t="s">
        <v>860</v>
      </c>
      <c r="J12705" t="str">
        <f>"9520676"</f>
        <v>9520676</v>
      </c>
      <c r="K12705">
        <v>2242023153</v>
      </c>
      <c r="M12705" t="s">
        <v>36838</v>
      </c>
      <c r="N12705" t="s">
        <v>35657</v>
      </c>
      <c r="O12705" t="s">
        <v>36839</v>
      </c>
      <c r="P12705">
        <v>85300</v>
      </c>
      <c r="Q12705" t="str">
        <f>"36.888121"</f>
        <v>36.888121</v>
      </c>
      <c r="R12705" t="str">
        <f>"27.275936"</f>
        <v>27.275936</v>
      </c>
      <c r="S12705" t="s">
        <v>26</v>
      </c>
    </row>
    <row r="12706" spans="1:19" x14ac:dyDescent="0.3">
      <c r="A12706" t="s">
        <v>35638</v>
      </c>
      <c r="B12706" t="s">
        <v>36334</v>
      </c>
      <c r="C12706" t="s">
        <v>36840</v>
      </c>
      <c r="D12706" t="s">
        <v>35689</v>
      </c>
      <c r="E12706" t="s">
        <v>35858</v>
      </c>
      <c r="F12706" t="s">
        <v>35858</v>
      </c>
      <c r="G12706" t="s">
        <v>35859</v>
      </c>
      <c r="H12706" t="s">
        <v>859</v>
      </c>
      <c r="I12706" t="s">
        <v>860</v>
      </c>
      <c r="J12706" t="str">
        <f>"9100260"</f>
        <v>9100260</v>
      </c>
      <c r="K12706">
        <v>2245041312</v>
      </c>
      <c r="L12706">
        <v>2245041312</v>
      </c>
      <c r="M12706" t="s">
        <v>36841</v>
      </c>
      <c r="N12706" t="s">
        <v>36842</v>
      </c>
      <c r="O12706" t="s">
        <v>36843</v>
      </c>
      <c r="P12706">
        <v>85800</v>
      </c>
      <c r="Q12706" t="str">
        <f>"35.409058"</f>
        <v>35.409058</v>
      </c>
      <c r="R12706" t="str">
        <f>"26.903148"</f>
        <v>26.903148</v>
      </c>
      <c r="S12706" t="s">
        <v>57</v>
      </c>
    </row>
    <row r="12707" spans="1:19" x14ac:dyDescent="0.3">
      <c r="A12707" t="s">
        <v>35638</v>
      </c>
      <c r="B12707" t="s">
        <v>36334</v>
      </c>
      <c r="C12707" t="s">
        <v>36844</v>
      </c>
      <c r="D12707" t="s">
        <v>35639</v>
      </c>
      <c r="E12707" t="s">
        <v>35639</v>
      </c>
      <c r="F12707" t="s">
        <v>29736</v>
      </c>
      <c r="G12707" t="s">
        <v>29736</v>
      </c>
      <c r="H12707" t="s">
        <v>859</v>
      </c>
      <c r="I12707" t="s">
        <v>860</v>
      </c>
      <c r="J12707" t="str">
        <f>"9100119"</f>
        <v>9100119</v>
      </c>
      <c r="K12707">
        <v>2244022997</v>
      </c>
      <c r="L12707">
        <v>2244022997</v>
      </c>
      <c r="M12707" t="s">
        <v>36845</v>
      </c>
      <c r="N12707" t="s">
        <v>35982</v>
      </c>
      <c r="O12707" t="s">
        <v>19424</v>
      </c>
      <c r="P12707">
        <v>85102</v>
      </c>
      <c r="Q12707" t="str">
        <f>"36.214529"</f>
        <v>36.214529</v>
      </c>
      <c r="R12707" t="str">
        <f>"28.116926"</f>
        <v>28.116926</v>
      </c>
      <c r="S12707" t="s">
        <v>26</v>
      </c>
    </row>
    <row r="12708" spans="1:19" x14ac:dyDescent="0.3">
      <c r="A12708" t="s">
        <v>35638</v>
      </c>
      <c r="B12708" t="s">
        <v>36334</v>
      </c>
      <c r="C12708" t="s">
        <v>36846</v>
      </c>
      <c r="D12708" t="s">
        <v>35639</v>
      </c>
      <c r="E12708" t="s">
        <v>35639</v>
      </c>
      <c r="F12708" t="s">
        <v>35746</v>
      </c>
      <c r="G12708" t="s">
        <v>35746</v>
      </c>
      <c r="H12708" t="s">
        <v>859</v>
      </c>
      <c r="I12708" t="s">
        <v>860</v>
      </c>
      <c r="J12708" t="str">
        <f>"9100232"</f>
        <v>9100232</v>
      </c>
      <c r="K12708">
        <v>2241051690</v>
      </c>
      <c r="L12708">
        <v>2241052420</v>
      </c>
      <c r="M12708" t="s">
        <v>36847</v>
      </c>
      <c r="N12708" t="s">
        <v>36848</v>
      </c>
      <c r="O12708" t="s">
        <v>36849</v>
      </c>
      <c r="P12708">
        <v>85103</v>
      </c>
      <c r="Q12708" t="str">
        <f>"36.294414"</f>
        <v>36.294414</v>
      </c>
      <c r="R12708" t="str">
        <f>"28.162017"</f>
        <v>28.162017</v>
      </c>
      <c r="S12708" t="s">
        <v>26</v>
      </c>
    </row>
    <row r="12709" spans="1:19" x14ac:dyDescent="0.3">
      <c r="A12709" t="s">
        <v>35638</v>
      </c>
      <c r="B12709" t="s">
        <v>36334</v>
      </c>
      <c r="C12709" t="s">
        <v>36850</v>
      </c>
      <c r="D12709" t="s">
        <v>35639</v>
      </c>
      <c r="E12709" t="s">
        <v>35639</v>
      </c>
      <c r="F12709" t="s">
        <v>35815</v>
      </c>
      <c r="G12709" t="s">
        <v>35816</v>
      </c>
      <c r="H12709" t="s">
        <v>859</v>
      </c>
      <c r="I12709" t="s">
        <v>860</v>
      </c>
      <c r="J12709" t="str">
        <f>"9100248"</f>
        <v>9100248</v>
      </c>
      <c r="K12709">
        <v>2244043710</v>
      </c>
      <c r="L12709">
        <v>2244043710</v>
      </c>
      <c r="M12709" t="s">
        <v>36851</v>
      </c>
      <c r="O12709" t="s">
        <v>35820</v>
      </c>
      <c r="P12709">
        <v>85109</v>
      </c>
      <c r="Q12709" t="str">
        <f>"36.023050"</f>
        <v>36.023050</v>
      </c>
      <c r="R12709" t="str">
        <f>"27.924776"</f>
        <v>27.924776</v>
      </c>
      <c r="S12709" t="s">
        <v>57</v>
      </c>
    </row>
    <row r="12710" spans="1:19" x14ac:dyDescent="0.3">
      <c r="A12710" t="s">
        <v>35638</v>
      </c>
      <c r="B12710" t="s">
        <v>36334</v>
      </c>
      <c r="C12710" t="s">
        <v>36852</v>
      </c>
      <c r="D12710" t="s">
        <v>35639</v>
      </c>
      <c r="E12710" t="s">
        <v>35639</v>
      </c>
      <c r="F12710" t="s">
        <v>35721</v>
      </c>
      <c r="G12710" t="s">
        <v>36619</v>
      </c>
      <c r="H12710" t="s">
        <v>859</v>
      </c>
      <c r="I12710" t="s">
        <v>860</v>
      </c>
      <c r="J12710" t="str">
        <f>"9100274"</f>
        <v>9100274</v>
      </c>
      <c r="K12710">
        <v>2241081289</v>
      </c>
      <c r="L12710">
        <v>2241081730</v>
      </c>
      <c r="M12710" t="s">
        <v>36853</v>
      </c>
      <c r="N12710" t="s">
        <v>36622</v>
      </c>
      <c r="O12710" t="s">
        <v>36622</v>
      </c>
      <c r="P12710">
        <v>85101</v>
      </c>
      <c r="Q12710" t="str">
        <f>"36.382487"</f>
        <v>36.382487</v>
      </c>
      <c r="R12710" t="str">
        <f>"28.075110"</f>
        <v>28.075110</v>
      </c>
      <c r="S12710" t="s">
        <v>26</v>
      </c>
    </row>
    <row r="12711" spans="1:19" x14ac:dyDescent="0.3">
      <c r="A12711" t="s">
        <v>35638</v>
      </c>
      <c r="B12711" t="s">
        <v>36334</v>
      </c>
      <c r="C12711" t="s">
        <v>36854</v>
      </c>
      <c r="D12711" t="s">
        <v>35639</v>
      </c>
      <c r="E12711" t="s">
        <v>35639</v>
      </c>
      <c r="F12711" t="s">
        <v>35784</v>
      </c>
      <c r="G12711" t="s">
        <v>36393</v>
      </c>
      <c r="H12711" t="s">
        <v>859</v>
      </c>
      <c r="I12711" t="s">
        <v>860</v>
      </c>
      <c r="J12711" t="str">
        <f>"9100247"</f>
        <v>9100247</v>
      </c>
      <c r="K12711">
        <v>2246098224</v>
      </c>
      <c r="L12711">
        <v>2246098224</v>
      </c>
      <c r="M12711" t="s">
        <v>36855</v>
      </c>
      <c r="N12711" t="s">
        <v>36856</v>
      </c>
      <c r="O12711" t="s">
        <v>36856</v>
      </c>
      <c r="P12711">
        <v>85106</v>
      </c>
      <c r="Q12711" t="str">
        <f>"36.274214"</f>
        <v>36.274214</v>
      </c>
      <c r="R12711" t="str">
        <f>"28.020897"</f>
        <v>28.020897</v>
      </c>
      <c r="S12711" t="s">
        <v>26</v>
      </c>
    </row>
    <row r="12712" spans="1:19" x14ac:dyDescent="0.3">
      <c r="A12712" t="s">
        <v>35638</v>
      </c>
      <c r="B12712" t="s">
        <v>36334</v>
      </c>
      <c r="C12712" t="s">
        <v>36857</v>
      </c>
      <c r="D12712" t="s">
        <v>35639</v>
      </c>
      <c r="E12712" t="s">
        <v>35639</v>
      </c>
      <c r="F12712" t="s">
        <v>35735</v>
      </c>
      <c r="G12712" t="s">
        <v>35736</v>
      </c>
      <c r="H12712" t="s">
        <v>859</v>
      </c>
      <c r="I12712" t="s">
        <v>860</v>
      </c>
      <c r="J12712" t="str">
        <f>"9100266"</f>
        <v>9100266</v>
      </c>
      <c r="K12712">
        <v>2241096807</v>
      </c>
      <c r="L12712">
        <v>2241095740</v>
      </c>
      <c r="M12712" t="s">
        <v>36858</v>
      </c>
      <c r="N12712" t="s">
        <v>36681</v>
      </c>
      <c r="O12712" t="s">
        <v>36859</v>
      </c>
      <c r="P12712">
        <v>85101</v>
      </c>
      <c r="Q12712" t="str">
        <f>"36.414784"</f>
        <v>36.414784</v>
      </c>
      <c r="R12712" t="str">
        <f>"28.175559"</f>
        <v>28.175559</v>
      </c>
      <c r="S12712" t="s">
        <v>26</v>
      </c>
    </row>
    <row r="12713" spans="1:19" x14ac:dyDescent="0.3">
      <c r="A12713" t="s">
        <v>35638</v>
      </c>
      <c r="B12713" t="s">
        <v>36334</v>
      </c>
      <c r="C12713" t="s">
        <v>36861</v>
      </c>
      <c r="D12713" t="s">
        <v>35639</v>
      </c>
      <c r="E12713" t="s">
        <v>35639</v>
      </c>
      <c r="F12713" t="s">
        <v>36388</v>
      </c>
      <c r="G12713" t="s">
        <v>36860</v>
      </c>
      <c r="H12713" t="s">
        <v>859</v>
      </c>
      <c r="I12713" t="s">
        <v>860</v>
      </c>
      <c r="J12713" t="str">
        <f>"9100279"</f>
        <v>9100279</v>
      </c>
      <c r="K12713">
        <v>2244031136</v>
      </c>
      <c r="L12713">
        <v>2244031350</v>
      </c>
      <c r="M12713" t="s">
        <v>36862</v>
      </c>
      <c r="O12713" t="s">
        <v>36863</v>
      </c>
      <c r="P12713">
        <v>85102</v>
      </c>
      <c r="Q12713" t="str">
        <f>"36.121198"</f>
        <v>36.121198</v>
      </c>
      <c r="R12713" t="str">
        <f>"28.057978"</f>
        <v>28.057978</v>
      </c>
      <c r="S12713" t="s">
        <v>26</v>
      </c>
    </row>
    <row r="12714" spans="1:19" x14ac:dyDescent="0.3">
      <c r="A12714" t="s">
        <v>35638</v>
      </c>
      <c r="B12714" t="s">
        <v>36334</v>
      </c>
      <c r="C12714" t="s">
        <v>36864</v>
      </c>
      <c r="D12714" t="s">
        <v>35639</v>
      </c>
      <c r="E12714" t="s">
        <v>35639</v>
      </c>
      <c r="F12714" t="s">
        <v>5563</v>
      </c>
      <c r="G12714" t="s">
        <v>35853</v>
      </c>
      <c r="H12714" t="s">
        <v>859</v>
      </c>
      <c r="I12714" t="s">
        <v>860</v>
      </c>
      <c r="J12714" t="str">
        <f>"9100185"</f>
        <v>9100185</v>
      </c>
      <c r="K12714">
        <v>2241087520</v>
      </c>
      <c r="L12714">
        <v>2241087520</v>
      </c>
      <c r="M12714" t="s">
        <v>36865</v>
      </c>
      <c r="N12714" t="s">
        <v>35856</v>
      </c>
      <c r="O12714" t="s">
        <v>36678</v>
      </c>
      <c r="P12714">
        <v>85105</v>
      </c>
      <c r="Q12714" t="str">
        <f>"36.341708"</f>
        <v>36.341708</v>
      </c>
      <c r="R12714" t="str">
        <f>"28.177358"</f>
        <v>28.177358</v>
      </c>
      <c r="S12714" t="s">
        <v>26</v>
      </c>
    </row>
    <row r="12715" spans="1:19" x14ac:dyDescent="0.3">
      <c r="A12715" t="s">
        <v>35638</v>
      </c>
      <c r="B12715" t="s">
        <v>36334</v>
      </c>
      <c r="C12715" t="s">
        <v>36866</v>
      </c>
      <c r="D12715" t="s">
        <v>35639</v>
      </c>
      <c r="E12715" t="s">
        <v>35639</v>
      </c>
      <c r="F12715" t="s">
        <v>5563</v>
      </c>
      <c r="G12715" t="s">
        <v>35853</v>
      </c>
      <c r="H12715" t="s">
        <v>859</v>
      </c>
      <c r="I12715" t="s">
        <v>860</v>
      </c>
      <c r="J12715" t="str">
        <f>"9520797"</f>
        <v>9520797</v>
      </c>
      <c r="K12715">
        <v>2241086401</v>
      </c>
      <c r="L12715">
        <v>2241086401</v>
      </c>
      <c r="M12715" t="s">
        <v>36867</v>
      </c>
      <c r="N12715" t="s">
        <v>36678</v>
      </c>
      <c r="O12715" t="s">
        <v>36678</v>
      </c>
      <c r="P12715">
        <v>85105</v>
      </c>
      <c r="Q12715" t="str">
        <f>"36.334533"</f>
        <v>36.334533</v>
      </c>
      <c r="R12715" t="str">
        <f>"28.176766"</f>
        <v>28.176766</v>
      </c>
      <c r="S12715" t="s">
        <v>26</v>
      </c>
    </row>
    <row r="12716" spans="1:19" x14ac:dyDescent="0.3">
      <c r="A12716" t="s">
        <v>35638</v>
      </c>
      <c r="B12716" t="s">
        <v>36334</v>
      </c>
      <c r="C12716" t="s">
        <v>36868</v>
      </c>
      <c r="D12716" t="s">
        <v>35689</v>
      </c>
      <c r="E12716" t="s">
        <v>35689</v>
      </c>
      <c r="F12716" t="s">
        <v>35689</v>
      </c>
      <c r="G12716" t="s">
        <v>35689</v>
      </c>
      <c r="H12716" t="s">
        <v>859</v>
      </c>
      <c r="I12716" t="s">
        <v>860</v>
      </c>
      <c r="J12716" t="str">
        <f>"9100091"</f>
        <v>9100091</v>
      </c>
      <c r="K12716">
        <v>2245022723</v>
      </c>
      <c r="L12716">
        <v>2245022673</v>
      </c>
      <c r="M12716" t="s">
        <v>36869</v>
      </c>
      <c r="N12716" t="s">
        <v>35754</v>
      </c>
      <c r="O12716" t="s">
        <v>35897</v>
      </c>
      <c r="P12716">
        <v>85700</v>
      </c>
      <c r="Q12716" t="str">
        <f>"35.505212"</f>
        <v>35.505212</v>
      </c>
      <c r="R12716" t="str">
        <f>"27.210826"</f>
        <v>27.210826</v>
      </c>
      <c r="S12716" t="s">
        <v>57</v>
      </c>
    </row>
    <row r="12717" spans="1:19" x14ac:dyDescent="0.3">
      <c r="A12717" t="s">
        <v>35638</v>
      </c>
      <c r="B12717" t="s">
        <v>36334</v>
      </c>
      <c r="C12717" t="s">
        <v>36870</v>
      </c>
      <c r="D12717" t="s">
        <v>35689</v>
      </c>
      <c r="E12717" t="s">
        <v>35689</v>
      </c>
      <c r="F12717" t="s">
        <v>35689</v>
      </c>
      <c r="G12717" t="s">
        <v>35689</v>
      </c>
      <c r="H12717" t="s">
        <v>859</v>
      </c>
      <c r="I12717" t="s">
        <v>860</v>
      </c>
      <c r="J12717" t="str">
        <f>"9100276"</f>
        <v>9100276</v>
      </c>
      <c r="K12717">
        <v>2245022673</v>
      </c>
      <c r="L12717">
        <v>2245022673</v>
      </c>
      <c r="M12717" t="s">
        <v>36871</v>
      </c>
      <c r="N12717" t="s">
        <v>35754</v>
      </c>
      <c r="O12717" t="s">
        <v>35897</v>
      </c>
      <c r="P12717">
        <v>85700</v>
      </c>
      <c r="Q12717" t="str">
        <f>"35.507574"</f>
        <v>35.507574</v>
      </c>
      <c r="R12717" t="str">
        <f>"27.212199"</f>
        <v>27.212199</v>
      </c>
      <c r="S12717" t="s">
        <v>57</v>
      </c>
    </row>
    <row r="12718" spans="1:19" x14ac:dyDescent="0.3">
      <c r="A12718" t="s">
        <v>35638</v>
      </c>
      <c r="B12718" t="s">
        <v>36334</v>
      </c>
      <c r="C12718" t="s">
        <v>36872</v>
      </c>
      <c r="D12718" t="s">
        <v>35639</v>
      </c>
      <c r="E12718" t="s">
        <v>35639</v>
      </c>
      <c r="F12718" t="s">
        <v>5563</v>
      </c>
      <c r="G12718" t="s">
        <v>36781</v>
      </c>
      <c r="H12718" t="s">
        <v>859</v>
      </c>
      <c r="I12718" t="s">
        <v>860</v>
      </c>
      <c r="J12718" t="str">
        <f>"9100199"</f>
        <v>9100199</v>
      </c>
      <c r="K12718">
        <v>2241063720</v>
      </c>
      <c r="L12718">
        <v>2241063720</v>
      </c>
      <c r="M12718" t="s">
        <v>36873</v>
      </c>
      <c r="N12718" t="s">
        <v>36783</v>
      </c>
      <c r="O12718" t="s">
        <v>36874</v>
      </c>
      <c r="P12718">
        <v>85100</v>
      </c>
      <c r="Q12718" t="str">
        <f>"36.388971"</f>
        <v>36.388971</v>
      </c>
      <c r="R12718" t="str">
        <f>"28.216337"</f>
        <v>28.216337</v>
      </c>
      <c r="S12718" t="s">
        <v>26</v>
      </c>
    </row>
    <row r="12719" spans="1:19" x14ac:dyDescent="0.3">
      <c r="A12719" t="s">
        <v>35638</v>
      </c>
      <c r="B12719" t="s">
        <v>36334</v>
      </c>
      <c r="C12719" t="s">
        <v>36875</v>
      </c>
      <c r="D12719" t="s">
        <v>35639</v>
      </c>
      <c r="E12719" t="s">
        <v>35639</v>
      </c>
      <c r="F12719" t="s">
        <v>5563</v>
      </c>
      <c r="G12719" t="s">
        <v>36781</v>
      </c>
      <c r="H12719" t="s">
        <v>859</v>
      </c>
      <c r="I12719" t="s">
        <v>860</v>
      </c>
      <c r="J12719" t="str">
        <f>"9520572"</f>
        <v>9520572</v>
      </c>
      <c r="K12719">
        <v>2241063720</v>
      </c>
      <c r="L12719">
        <v>2241063720</v>
      </c>
      <c r="M12719" t="s">
        <v>36876</v>
      </c>
      <c r="N12719" t="s">
        <v>36783</v>
      </c>
      <c r="O12719" t="s">
        <v>36874</v>
      </c>
      <c r="P12719">
        <v>85100</v>
      </c>
      <c r="Q12719" t="str">
        <f>"36.388904"</f>
        <v>36.388904</v>
      </c>
      <c r="R12719" t="str">
        <f>"28.216232"</f>
        <v>28.216232</v>
      </c>
      <c r="S12719" t="s">
        <v>26</v>
      </c>
    </row>
    <row r="12720" spans="1:19" x14ac:dyDescent="0.3">
      <c r="A12720" t="s">
        <v>35638</v>
      </c>
      <c r="B12720" t="s">
        <v>36334</v>
      </c>
      <c r="C12720" t="s">
        <v>36877</v>
      </c>
      <c r="D12720" t="s">
        <v>35639</v>
      </c>
      <c r="E12720" t="s">
        <v>35639</v>
      </c>
      <c r="F12720" t="s">
        <v>35721</v>
      </c>
      <c r="G12720" t="s">
        <v>35756</v>
      </c>
      <c r="H12720" t="s">
        <v>859</v>
      </c>
      <c r="I12720" t="s">
        <v>860</v>
      </c>
      <c r="J12720" t="str">
        <f>"9100070"</f>
        <v>9100070</v>
      </c>
      <c r="K12720">
        <v>2241092999</v>
      </c>
      <c r="L12720">
        <v>2241090355</v>
      </c>
      <c r="M12720" t="s">
        <v>36878</v>
      </c>
      <c r="N12720" t="s">
        <v>35759</v>
      </c>
      <c r="O12720" t="s">
        <v>36879</v>
      </c>
      <c r="P12720">
        <v>85104</v>
      </c>
      <c r="Q12720" t="str">
        <f>"36.410831"</f>
        <v>36.410831</v>
      </c>
      <c r="R12720" t="str">
        <f>"28.115780"</f>
        <v>28.115780</v>
      </c>
      <c r="S12720" t="s">
        <v>26</v>
      </c>
    </row>
    <row r="12721" spans="1:19" x14ac:dyDescent="0.3">
      <c r="A12721" t="s">
        <v>35638</v>
      </c>
      <c r="B12721" t="s">
        <v>36334</v>
      </c>
      <c r="C12721" t="s">
        <v>36880</v>
      </c>
      <c r="D12721" t="s">
        <v>35639</v>
      </c>
      <c r="E12721" t="s">
        <v>35639</v>
      </c>
      <c r="F12721" t="s">
        <v>35721</v>
      </c>
      <c r="G12721" t="s">
        <v>35756</v>
      </c>
      <c r="H12721" t="s">
        <v>859</v>
      </c>
      <c r="I12721" t="s">
        <v>860</v>
      </c>
      <c r="J12721" t="str">
        <f>"9520675"</f>
        <v>9520675</v>
      </c>
      <c r="K12721">
        <v>2241090760</v>
      </c>
      <c r="L12721">
        <v>2241090355</v>
      </c>
      <c r="M12721" t="s">
        <v>36881</v>
      </c>
      <c r="N12721" t="s">
        <v>35759</v>
      </c>
      <c r="O12721" t="s">
        <v>36879</v>
      </c>
      <c r="P12721">
        <v>85104</v>
      </c>
      <c r="Q12721" t="str">
        <f>"36.411293"</f>
        <v>36.411293</v>
      </c>
      <c r="R12721" t="str">
        <f>"28.115485"</f>
        <v>28.115485</v>
      </c>
      <c r="S12721" t="s">
        <v>26</v>
      </c>
    </row>
    <row r="12722" spans="1:19" x14ac:dyDescent="0.3">
      <c r="A12722" t="s">
        <v>35638</v>
      </c>
      <c r="B12722" t="s">
        <v>36334</v>
      </c>
      <c r="C12722" t="s">
        <v>36882</v>
      </c>
      <c r="D12722" t="s">
        <v>35639</v>
      </c>
      <c r="E12722" t="s">
        <v>35639</v>
      </c>
      <c r="F12722" t="s">
        <v>36388</v>
      </c>
      <c r="G12722" t="s">
        <v>36713</v>
      </c>
      <c r="H12722" t="s">
        <v>859</v>
      </c>
      <c r="I12722" t="s">
        <v>860</v>
      </c>
      <c r="J12722" t="str">
        <f>"9100220"</f>
        <v>9100220</v>
      </c>
      <c r="K12722">
        <v>2244031255</v>
      </c>
      <c r="L12722">
        <v>2244031297</v>
      </c>
      <c r="M12722" t="s">
        <v>36883</v>
      </c>
      <c r="N12722" t="s">
        <v>36716</v>
      </c>
      <c r="O12722" t="s">
        <v>36716</v>
      </c>
      <c r="P12722">
        <v>85107</v>
      </c>
      <c r="Q12722" t="str">
        <f>"36.091849"</f>
        <v>36.091849</v>
      </c>
      <c r="R12722" t="str">
        <f>"28.085665"</f>
        <v>28.085665</v>
      </c>
      <c r="S12722" t="s">
        <v>26</v>
      </c>
    </row>
    <row r="12723" spans="1:19" x14ac:dyDescent="0.3">
      <c r="A12723" t="s">
        <v>35638</v>
      </c>
      <c r="B12723" t="s">
        <v>36334</v>
      </c>
      <c r="C12723" t="s">
        <v>36884</v>
      </c>
      <c r="D12723" t="s">
        <v>35639</v>
      </c>
      <c r="E12723" t="s">
        <v>35639</v>
      </c>
      <c r="F12723" t="s">
        <v>29736</v>
      </c>
      <c r="G12723" t="s">
        <v>36749</v>
      </c>
      <c r="H12723" t="s">
        <v>859</v>
      </c>
      <c r="I12723" t="s">
        <v>860</v>
      </c>
      <c r="J12723" t="str">
        <f>"9100217"</f>
        <v>9100217</v>
      </c>
      <c r="K12723">
        <v>2244029365</v>
      </c>
      <c r="L12723">
        <v>2244029365</v>
      </c>
      <c r="M12723" t="s">
        <v>36885</v>
      </c>
      <c r="N12723" t="s">
        <v>36753</v>
      </c>
      <c r="O12723" t="s">
        <v>36753</v>
      </c>
      <c r="P12723">
        <v>85102</v>
      </c>
      <c r="Q12723" t="str">
        <f>"36.200148"</f>
        <v>36.200148</v>
      </c>
      <c r="R12723" t="str">
        <f>"28.069904"</f>
        <v>28.069904</v>
      </c>
      <c r="S12723" t="s">
        <v>26</v>
      </c>
    </row>
    <row r="12724" spans="1:19" x14ac:dyDescent="0.3">
      <c r="A12724" t="s">
        <v>35638</v>
      </c>
      <c r="B12724" t="s">
        <v>36334</v>
      </c>
      <c r="C12724" t="s">
        <v>36886</v>
      </c>
      <c r="D12724" t="s">
        <v>35639</v>
      </c>
      <c r="E12724" t="s">
        <v>35639</v>
      </c>
      <c r="F12724" t="s">
        <v>29736</v>
      </c>
      <c r="G12724" t="s">
        <v>35887</v>
      </c>
      <c r="H12724" t="s">
        <v>859</v>
      </c>
      <c r="I12724" t="s">
        <v>860</v>
      </c>
      <c r="J12724" t="str">
        <f>"9100218"</f>
        <v>9100218</v>
      </c>
      <c r="K12724">
        <v>2244051820</v>
      </c>
      <c r="L12724">
        <v>2244051820</v>
      </c>
      <c r="M12724" t="s">
        <v>36887</v>
      </c>
      <c r="N12724" t="s">
        <v>35890</v>
      </c>
      <c r="O12724" t="s">
        <v>35890</v>
      </c>
      <c r="P12724">
        <v>85102</v>
      </c>
      <c r="Q12724" t="str">
        <f>"36.181684"</f>
        <v>36.181684</v>
      </c>
      <c r="R12724" t="str">
        <f>"28.070057"</f>
        <v>28.070057</v>
      </c>
      <c r="S12724" t="s">
        <v>26</v>
      </c>
    </row>
    <row r="12725" spans="1:19" x14ac:dyDescent="0.3">
      <c r="A12725" t="s">
        <v>35638</v>
      </c>
      <c r="B12725" t="s">
        <v>36334</v>
      </c>
      <c r="C12725" t="s">
        <v>36888</v>
      </c>
      <c r="D12725" t="s">
        <v>35657</v>
      </c>
      <c r="E12725" t="s">
        <v>35676</v>
      </c>
      <c r="F12725" t="s">
        <v>35676</v>
      </c>
      <c r="G12725" t="s">
        <v>35677</v>
      </c>
      <c r="H12725" t="s">
        <v>859</v>
      </c>
      <c r="I12725" t="s">
        <v>860</v>
      </c>
      <c r="J12725" t="str">
        <f>"9100202"</f>
        <v>9100202</v>
      </c>
      <c r="K12725">
        <v>2242031795</v>
      </c>
      <c r="L12725">
        <v>2242031266</v>
      </c>
      <c r="M12725" t="s">
        <v>36889</v>
      </c>
      <c r="N12725" t="s">
        <v>36890</v>
      </c>
      <c r="O12725" t="s">
        <v>35682</v>
      </c>
      <c r="P12725">
        <v>85303</v>
      </c>
      <c r="Q12725" t="str">
        <f>"36.611399"</f>
        <v>36.611399</v>
      </c>
      <c r="R12725" t="str">
        <f>"27.133617"</f>
        <v>27.133617</v>
      </c>
      <c r="S12725" t="s">
        <v>57</v>
      </c>
    </row>
    <row r="12726" spans="1:19" x14ac:dyDescent="0.3">
      <c r="A12726" t="s">
        <v>35638</v>
      </c>
      <c r="B12726" t="s">
        <v>36334</v>
      </c>
      <c r="C12726" t="s">
        <v>36891</v>
      </c>
      <c r="D12726" t="s">
        <v>35657</v>
      </c>
      <c r="E12726" t="s">
        <v>35657</v>
      </c>
      <c r="F12726" t="s">
        <v>35658</v>
      </c>
      <c r="G12726" t="s">
        <v>36397</v>
      </c>
      <c r="H12726" t="s">
        <v>859</v>
      </c>
      <c r="I12726" t="s">
        <v>860</v>
      </c>
      <c r="J12726" t="str">
        <f>"9520952"</f>
        <v>9520952</v>
      </c>
      <c r="K12726">
        <v>2242042449</v>
      </c>
      <c r="M12726" t="s">
        <v>36892</v>
      </c>
      <c r="N12726" t="s">
        <v>35876</v>
      </c>
      <c r="O12726" t="s">
        <v>35876</v>
      </c>
      <c r="P12726">
        <v>85300</v>
      </c>
      <c r="Q12726" t="str">
        <f>"36.845331"</f>
        <v>36.845331</v>
      </c>
      <c r="R12726" t="str">
        <f>"27.173791"</f>
        <v>27.173791</v>
      </c>
      <c r="S12726" t="s">
        <v>26</v>
      </c>
    </row>
    <row r="12727" spans="1:19" x14ac:dyDescent="0.3">
      <c r="A12727" t="s">
        <v>35638</v>
      </c>
      <c r="B12727" t="s">
        <v>36334</v>
      </c>
      <c r="C12727" t="s">
        <v>36894</v>
      </c>
      <c r="D12727" t="s">
        <v>35639</v>
      </c>
      <c r="E12727" t="s">
        <v>35639</v>
      </c>
      <c r="F12727" t="s">
        <v>35721</v>
      </c>
      <c r="G12727" t="s">
        <v>36893</v>
      </c>
      <c r="H12727" t="s">
        <v>859</v>
      </c>
      <c r="I12727" t="s">
        <v>860</v>
      </c>
      <c r="J12727" t="str">
        <f>"9100194"</f>
        <v>9100194</v>
      </c>
      <c r="K12727">
        <v>2241047650</v>
      </c>
      <c r="M12727" t="s">
        <v>36895</v>
      </c>
      <c r="N12727" t="s">
        <v>36896</v>
      </c>
      <c r="O12727" t="s">
        <v>36896</v>
      </c>
      <c r="P12727">
        <v>85101</v>
      </c>
      <c r="Q12727" t="str">
        <f>"36.388243"</f>
        <v>36.388243</v>
      </c>
      <c r="R12727" t="str">
        <f>"28.133993"</f>
        <v>28.133993</v>
      </c>
      <c r="S12727" t="s">
        <v>26</v>
      </c>
    </row>
    <row r="12728" spans="1:19" x14ac:dyDescent="0.3">
      <c r="A12728" t="s">
        <v>35638</v>
      </c>
      <c r="B12728" t="s">
        <v>36334</v>
      </c>
      <c r="C12728" t="s">
        <v>36897</v>
      </c>
      <c r="D12728" t="s">
        <v>35639</v>
      </c>
      <c r="E12728" t="s">
        <v>35639</v>
      </c>
      <c r="F12728" t="s">
        <v>35784</v>
      </c>
      <c r="G12728" t="s">
        <v>36378</v>
      </c>
      <c r="H12728" t="s">
        <v>859</v>
      </c>
      <c r="I12728" t="s">
        <v>860</v>
      </c>
      <c r="J12728" t="str">
        <f>"9100211"</f>
        <v>9100211</v>
      </c>
      <c r="K12728">
        <v>2246022244</v>
      </c>
      <c r="L12728">
        <v>2246022244</v>
      </c>
      <c r="M12728" t="s">
        <v>36898</v>
      </c>
      <c r="N12728" t="s">
        <v>36381</v>
      </c>
      <c r="O12728" t="s">
        <v>36899</v>
      </c>
      <c r="P12728">
        <v>85106</v>
      </c>
      <c r="Q12728" t="str">
        <f>"36.355166"</f>
        <v>36.355166</v>
      </c>
      <c r="R12728" t="str">
        <f>"27.993871"</f>
        <v>27.993871</v>
      </c>
      <c r="S12728" t="s">
        <v>26</v>
      </c>
    </row>
    <row r="12729" spans="1:19" x14ac:dyDescent="0.3">
      <c r="A12729" t="s">
        <v>35638</v>
      </c>
      <c r="B12729" t="s">
        <v>36334</v>
      </c>
      <c r="C12729" t="s">
        <v>36914</v>
      </c>
      <c r="D12729" t="s">
        <v>35639</v>
      </c>
      <c r="E12729" t="s">
        <v>35639</v>
      </c>
      <c r="F12729" t="s">
        <v>35639</v>
      </c>
      <c r="G12729" t="s">
        <v>35639</v>
      </c>
      <c r="H12729" t="s">
        <v>859</v>
      </c>
      <c r="I12729" t="s">
        <v>1102</v>
      </c>
      <c r="J12729" t="str">
        <f>"9521063"</f>
        <v>9521063</v>
      </c>
      <c r="K12729">
        <v>2241031010</v>
      </c>
      <c r="L12729">
        <v>2241038214</v>
      </c>
      <c r="M12729" t="s">
        <v>36915</v>
      </c>
      <c r="N12729" t="s">
        <v>35639</v>
      </c>
      <c r="O12729" t="s">
        <v>36916</v>
      </c>
      <c r="P12729">
        <v>85100</v>
      </c>
      <c r="Q12729" t="str">
        <f>"36.439552"</f>
        <v>36.439552</v>
      </c>
      <c r="R12729" t="str">
        <f>"28.219409"</f>
        <v>28.219409</v>
      </c>
      <c r="S12729" t="s">
        <v>26</v>
      </c>
    </row>
    <row r="12730" spans="1:19" x14ac:dyDescent="0.3">
      <c r="A12730" t="s">
        <v>35638</v>
      </c>
      <c r="B12730" t="s">
        <v>36334</v>
      </c>
      <c r="C12730" t="s">
        <v>36917</v>
      </c>
      <c r="D12730" t="s">
        <v>35651</v>
      </c>
      <c r="E12730" t="s">
        <v>35652</v>
      </c>
      <c r="F12730" t="s">
        <v>35652</v>
      </c>
      <c r="G12730" t="s">
        <v>35652</v>
      </c>
      <c r="H12730" t="s">
        <v>859</v>
      </c>
      <c r="I12730" t="s">
        <v>1102</v>
      </c>
      <c r="J12730" t="str">
        <f>"9521065"</f>
        <v>9521065</v>
      </c>
      <c r="K12730">
        <v>2243028406</v>
      </c>
      <c r="M12730" t="s">
        <v>36918</v>
      </c>
      <c r="N12730" t="s">
        <v>35651</v>
      </c>
      <c r="O12730" t="s">
        <v>35793</v>
      </c>
      <c r="P12730">
        <v>85200</v>
      </c>
      <c r="Q12730" t="str">
        <f>"36.952711"</f>
        <v>36.952711</v>
      </c>
      <c r="R12730" t="str">
        <f>"26.982408"</f>
        <v>26.982408</v>
      </c>
      <c r="S12730" t="s">
        <v>26</v>
      </c>
    </row>
    <row r="12731" spans="1:19" x14ac:dyDescent="0.3">
      <c r="A12731" t="s">
        <v>35638</v>
      </c>
      <c r="B12731" t="s">
        <v>36334</v>
      </c>
      <c r="C12731" t="s">
        <v>36925</v>
      </c>
      <c r="D12731" t="s">
        <v>35657</v>
      </c>
      <c r="E12731" t="s">
        <v>35657</v>
      </c>
      <c r="F12731" t="s">
        <v>35657</v>
      </c>
      <c r="G12731" t="s">
        <v>35657</v>
      </c>
      <c r="H12731" t="s">
        <v>859</v>
      </c>
      <c r="I12731" t="s">
        <v>1102</v>
      </c>
      <c r="J12731" t="str">
        <f>"9521042"</f>
        <v>9521042</v>
      </c>
      <c r="K12731">
        <v>2242030238</v>
      </c>
      <c r="M12731" t="s">
        <v>36926</v>
      </c>
      <c r="N12731" t="s">
        <v>35657</v>
      </c>
      <c r="O12731" t="s">
        <v>36927</v>
      </c>
      <c r="P12731">
        <v>85300</v>
      </c>
      <c r="Q12731" t="str">
        <f>"36.902623"</f>
        <v>36.902623</v>
      </c>
      <c r="R12731" t="str">
        <f>"27.284176"</f>
        <v>27.284176</v>
      </c>
      <c r="S12731" t="s">
        <v>26</v>
      </c>
    </row>
    <row r="12732" spans="1:19" x14ac:dyDescent="0.3">
      <c r="A12732" t="s">
        <v>35638</v>
      </c>
      <c r="B12732" t="s">
        <v>36334</v>
      </c>
      <c r="C12732" t="s">
        <v>36933</v>
      </c>
      <c r="D12732" t="s">
        <v>35651</v>
      </c>
      <c r="E12732" t="s">
        <v>35652</v>
      </c>
      <c r="F12732" t="s">
        <v>35652</v>
      </c>
      <c r="G12732" t="s">
        <v>35652</v>
      </c>
      <c r="H12732" t="s">
        <v>859</v>
      </c>
      <c r="I12732" t="s">
        <v>860</v>
      </c>
      <c r="J12732" t="str">
        <f>"9521513"</f>
        <v>9521513</v>
      </c>
      <c r="K12732">
        <v>2243022973</v>
      </c>
      <c r="L12732">
        <v>2243022973</v>
      </c>
      <c r="M12732" t="s">
        <v>36934</v>
      </c>
      <c r="N12732" t="s">
        <v>36506</v>
      </c>
      <c r="O12732" t="s">
        <v>36935</v>
      </c>
      <c r="P12732">
        <v>85200</v>
      </c>
      <c r="Q12732" t="str">
        <f>"36.959930"</f>
        <v>36.959930</v>
      </c>
      <c r="R12732" t="str">
        <f>"26.968091"</f>
        <v>26.968091</v>
      </c>
      <c r="S12732" t="s">
        <v>26</v>
      </c>
    </row>
    <row r="12733" spans="1:19" x14ac:dyDescent="0.3">
      <c r="A12733" t="s">
        <v>35638</v>
      </c>
      <c r="B12733" t="s">
        <v>36334</v>
      </c>
      <c r="C12733" t="s">
        <v>36939</v>
      </c>
      <c r="D12733" t="s">
        <v>35651</v>
      </c>
      <c r="E12733" t="s">
        <v>35729</v>
      </c>
      <c r="F12733" t="s">
        <v>35729</v>
      </c>
      <c r="G12733" t="s">
        <v>35729</v>
      </c>
      <c r="H12733" t="s">
        <v>859</v>
      </c>
      <c r="I12733" t="s">
        <v>860</v>
      </c>
      <c r="J12733" t="str">
        <f>"9521361"</f>
        <v>9521361</v>
      </c>
      <c r="K12733">
        <v>2247022701</v>
      </c>
      <c r="L12733">
        <v>2247022701</v>
      </c>
      <c r="M12733" t="s">
        <v>36940</v>
      </c>
      <c r="N12733" t="s">
        <v>36941</v>
      </c>
      <c r="O12733" t="s">
        <v>36942</v>
      </c>
      <c r="P12733">
        <v>85400</v>
      </c>
      <c r="Q12733" t="str">
        <f>"37.152587"</f>
        <v>37.152587</v>
      </c>
      <c r="R12733" t="str">
        <f>"26.858480"</f>
        <v>26.858480</v>
      </c>
      <c r="S12733" t="s">
        <v>57</v>
      </c>
    </row>
    <row r="12734" spans="1:19" x14ac:dyDescent="0.3">
      <c r="A12734" t="s">
        <v>35638</v>
      </c>
      <c r="B12734" t="s">
        <v>36334</v>
      </c>
      <c r="C12734" t="s">
        <v>36943</v>
      </c>
      <c r="D12734" t="s">
        <v>35651</v>
      </c>
      <c r="E12734" t="s">
        <v>36001</v>
      </c>
      <c r="F12734" t="s">
        <v>36001</v>
      </c>
      <c r="G12734" t="s">
        <v>36001</v>
      </c>
      <c r="H12734" t="s">
        <v>859</v>
      </c>
      <c r="I12734" t="s">
        <v>860</v>
      </c>
      <c r="J12734" t="str">
        <f>"9521691"</f>
        <v>9521691</v>
      </c>
      <c r="K12734">
        <v>2247029207</v>
      </c>
      <c r="M12734" t="s">
        <v>36944</v>
      </c>
      <c r="N12734" t="s">
        <v>36004</v>
      </c>
      <c r="O12734" t="s">
        <v>36004</v>
      </c>
      <c r="P12734">
        <v>85003</v>
      </c>
      <c r="Q12734" t="str">
        <f>"37.458746"</f>
        <v>37.458746</v>
      </c>
      <c r="R12734" t="str">
        <f>"26.971366"</f>
        <v>26.971366</v>
      </c>
      <c r="S12734" t="s">
        <v>57</v>
      </c>
    </row>
    <row r="12735" spans="1:19" x14ac:dyDescent="0.3">
      <c r="A12735" t="s">
        <v>35638</v>
      </c>
      <c r="B12735" t="s">
        <v>36334</v>
      </c>
      <c r="C12735" t="s">
        <v>36945</v>
      </c>
      <c r="D12735" t="s">
        <v>35639</v>
      </c>
      <c r="E12735" t="s">
        <v>35639</v>
      </c>
      <c r="F12735" t="s">
        <v>35639</v>
      </c>
      <c r="G12735" t="s">
        <v>35639</v>
      </c>
      <c r="H12735" t="s">
        <v>859</v>
      </c>
      <c r="I12735" t="s">
        <v>860</v>
      </c>
      <c r="J12735" t="str">
        <f>"9101001"</f>
        <v>9101001</v>
      </c>
      <c r="Q12735" t="str">
        <f>""</f>
        <v/>
      </c>
      <c r="R12735" t="str">
        <f>""</f>
        <v/>
      </c>
      <c r="S12735" t="s">
        <v>26</v>
      </c>
    </row>
    <row r="12736" spans="1:19" x14ac:dyDescent="0.3">
      <c r="A12736" t="s">
        <v>35638</v>
      </c>
      <c r="B12736" t="s">
        <v>36946</v>
      </c>
      <c r="C12736" t="s">
        <v>36954</v>
      </c>
      <c r="D12736" t="s">
        <v>4806</v>
      </c>
      <c r="E12736" t="s">
        <v>35664</v>
      </c>
      <c r="F12736" t="s">
        <v>36073</v>
      </c>
      <c r="G12736" t="s">
        <v>36950</v>
      </c>
      <c r="H12736" t="s">
        <v>859</v>
      </c>
      <c r="I12736" t="s">
        <v>860</v>
      </c>
      <c r="J12736" t="str">
        <f>"9290213"</f>
        <v>9290213</v>
      </c>
      <c r="K12736">
        <v>2285051229</v>
      </c>
      <c r="L12736">
        <v>2285051229</v>
      </c>
      <c r="M12736" t="s">
        <v>36955</v>
      </c>
      <c r="N12736" t="s">
        <v>36956</v>
      </c>
      <c r="O12736" t="s">
        <v>36953</v>
      </c>
      <c r="P12736">
        <v>84302</v>
      </c>
      <c r="Q12736" t="str">
        <f>"37.118671"</f>
        <v>37.118671</v>
      </c>
      <c r="R12736" t="str">
        <f>"25.535523"</f>
        <v>25.535523</v>
      </c>
      <c r="S12736" t="s">
        <v>57</v>
      </c>
    </row>
    <row r="12737" spans="1:19" x14ac:dyDescent="0.3">
      <c r="A12737" t="s">
        <v>35638</v>
      </c>
      <c r="B12737" t="s">
        <v>36946</v>
      </c>
      <c r="C12737" t="s">
        <v>36958</v>
      </c>
      <c r="D12737" t="s">
        <v>4806</v>
      </c>
      <c r="E12737" t="s">
        <v>35664</v>
      </c>
      <c r="F12737" t="s">
        <v>4806</v>
      </c>
      <c r="G12737" t="s">
        <v>36957</v>
      </c>
      <c r="H12737" t="s">
        <v>859</v>
      </c>
      <c r="I12737" t="s">
        <v>860</v>
      </c>
      <c r="J12737" t="str">
        <f>"9290215"</f>
        <v>9290215</v>
      </c>
      <c r="K12737">
        <v>2285062411</v>
      </c>
      <c r="L12737">
        <v>2285062411</v>
      </c>
      <c r="M12737" t="s">
        <v>36959</v>
      </c>
      <c r="N12737" t="s">
        <v>36960</v>
      </c>
      <c r="O12737" t="s">
        <v>36961</v>
      </c>
      <c r="P12737">
        <v>84300</v>
      </c>
      <c r="Q12737" t="str">
        <f>"37.088503"</f>
        <v>37.088503</v>
      </c>
      <c r="R12737" t="str">
        <f>"25.438277"</f>
        <v>25.438277</v>
      </c>
      <c r="S12737" t="s">
        <v>26</v>
      </c>
    </row>
    <row r="12738" spans="1:19" x14ac:dyDescent="0.3">
      <c r="A12738" t="s">
        <v>35638</v>
      </c>
      <c r="B12738" t="s">
        <v>36946</v>
      </c>
      <c r="C12738" t="s">
        <v>36962</v>
      </c>
      <c r="D12738" t="s">
        <v>4806</v>
      </c>
      <c r="E12738" t="s">
        <v>35664</v>
      </c>
      <c r="F12738" t="s">
        <v>4806</v>
      </c>
      <c r="G12738" t="s">
        <v>4806</v>
      </c>
      <c r="H12738" t="s">
        <v>859</v>
      </c>
      <c r="I12738" t="s">
        <v>860</v>
      </c>
      <c r="J12738" t="str">
        <f>"9290038"</f>
        <v>9290038</v>
      </c>
      <c r="K12738">
        <v>2285023890</v>
      </c>
      <c r="L12738">
        <v>2285023890</v>
      </c>
      <c r="M12738" t="s">
        <v>36963</v>
      </c>
      <c r="N12738" t="s">
        <v>36964</v>
      </c>
      <c r="O12738" t="s">
        <v>13933</v>
      </c>
      <c r="P12738">
        <v>84300</v>
      </c>
      <c r="Q12738" t="str">
        <f>"37.082595"</f>
        <v>37.082595</v>
      </c>
      <c r="R12738" t="str">
        <f>"25.402271"</f>
        <v>25.402271</v>
      </c>
      <c r="S12738" t="s">
        <v>26</v>
      </c>
    </row>
    <row r="12739" spans="1:19" x14ac:dyDescent="0.3">
      <c r="A12739" t="s">
        <v>35638</v>
      </c>
      <c r="B12739" t="s">
        <v>36946</v>
      </c>
      <c r="C12739" t="s">
        <v>36966</v>
      </c>
      <c r="D12739" t="s">
        <v>4806</v>
      </c>
      <c r="E12739" t="s">
        <v>36090</v>
      </c>
      <c r="F12739" t="s">
        <v>36090</v>
      </c>
      <c r="G12739" t="s">
        <v>36965</v>
      </c>
      <c r="H12739" t="s">
        <v>859</v>
      </c>
      <c r="I12739" t="s">
        <v>860</v>
      </c>
      <c r="J12739" t="str">
        <f>"9290263"</f>
        <v>9290263</v>
      </c>
      <c r="K12739">
        <v>2285073201</v>
      </c>
      <c r="M12739" t="s">
        <v>36967</v>
      </c>
      <c r="N12739" t="s">
        <v>36968</v>
      </c>
      <c r="O12739" t="s">
        <v>36969</v>
      </c>
      <c r="P12739">
        <v>84008</v>
      </c>
      <c r="Q12739" t="str">
        <f>"36.917187"</f>
        <v>36.917187</v>
      </c>
      <c r="R12739" t="str">
        <f>"25.983513"</f>
        <v>25.983513</v>
      </c>
      <c r="S12739" t="s">
        <v>57</v>
      </c>
    </row>
    <row r="12740" spans="1:19" x14ac:dyDescent="0.3">
      <c r="A12740" t="s">
        <v>35638</v>
      </c>
      <c r="B12740" t="s">
        <v>36946</v>
      </c>
      <c r="C12740" t="s">
        <v>36971</v>
      </c>
      <c r="D12740" t="s">
        <v>4806</v>
      </c>
      <c r="E12740" t="s">
        <v>35664</v>
      </c>
      <c r="F12740" t="s">
        <v>4806</v>
      </c>
      <c r="G12740" t="s">
        <v>36970</v>
      </c>
      <c r="H12740" t="s">
        <v>859</v>
      </c>
      <c r="I12740" t="s">
        <v>860</v>
      </c>
      <c r="J12740" t="str">
        <f>"9290195"</f>
        <v>9290195</v>
      </c>
      <c r="K12740">
        <v>2285041135</v>
      </c>
      <c r="L12740">
        <v>2285041135</v>
      </c>
      <c r="M12740" t="s">
        <v>36972</v>
      </c>
      <c r="N12740" t="s">
        <v>36973</v>
      </c>
      <c r="O12740" t="s">
        <v>36974</v>
      </c>
      <c r="P12740">
        <v>84300</v>
      </c>
      <c r="Q12740" t="str">
        <f>"37.062532"</f>
        <v>37.062532</v>
      </c>
      <c r="R12740" t="str">
        <f>"25.393274"</f>
        <v>25.393274</v>
      </c>
      <c r="S12740" t="s">
        <v>26</v>
      </c>
    </row>
    <row r="12741" spans="1:19" x14ac:dyDescent="0.3">
      <c r="A12741" t="s">
        <v>35638</v>
      </c>
      <c r="B12741" t="s">
        <v>36946</v>
      </c>
      <c r="C12741" t="s">
        <v>36992</v>
      </c>
      <c r="D12741" t="s">
        <v>4806</v>
      </c>
      <c r="E12741" t="s">
        <v>35664</v>
      </c>
      <c r="F12741" t="s">
        <v>4806</v>
      </c>
      <c r="G12741" t="s">
        <v>36991</v>
      </c>
      <c r="H12741" t="s">
        <v>859</v>
      </c>
      <c r="I12741" t="s">
        <v>860</v>
      </c>
      <c r="J12741" t="str">
        <f>"9290262"</f>
        <v>9290262</v>
      </c>
      <c r="K12741">
        <v>2285042460</v>
      </c>
      <c r="L12741">
        <v>2285042460</v>
      </c>
      <c r="M12741" t="s">
        <v>36993</v>
      </c>
      <c r="N12741" t="s">
        <v>36994</v>
      </c>
      <c r="O12741" t="s">
        <v>36995</v>
      </c>
      <c r="P12741">
        <v>84300</v>
      </c>
      <c r="Q12741" t="str">
        <f>"37.074968"</f>
        <v>37.074968</v>
      </c>
      <c r="R12741" t="str">
        <f>"25.410735"</f>
        <v>25.410735</v>
      </c>
      <c r="S12741" t="s">
        <v>26</v>
      </c>
    </row>
    <row r="12742" spans="1:19" x14ac:dyDescent="0.3">
      <c r="A12742" t="s">
        <v>35638</v>
      </c>
      <c r="B12742" t="s">
        <v>36946</v>
      </c>
      <c r="C12742" t="s">
        <v>36996</v>
      </c>
      <c r="D12742" t="s">
        <v>4806</v>
      </c>
      <c r="E12742" t="s">
        <v>35664</v>
      </c>
      <c r="F12742" t="s">
        <v>36073</v>
      </c>
      <c r="G12742" t="s">
        <v>13599</v>
      </c>
      <c r="H12742" t="s">
        <v>859</v>
      </c>
      <c r="I12742" t="s">
        <v>860</v>
      </c>
      <c r="J12742" t="str">
        <f>"9290234"</f>
        <v>9290234</v>
      </c>
      <c r="K12742">
        <v>2285031128</v>
      </c>
      <c r="L12742">
        <v>2285031128</v>
      </c>
      <c r="M12742" t="s">
        <v>36997</v>
      </c>
      <c r="N12742" t="s">
        <v>36998</v>
      </c>
      <c r="O12742" t="s">
        <v>36159</v>
      </c>
      <c r="P12742">
        <v>84302</v>
      </c>
      <c r="Q12742" t="str">
        <f>"37.064284"</f>
        <v>37.064284</v>
      </c>
      <c r="R12742" t="str">
        <f>"25.486501"</f>
        <v>25.486501</v>
      </c>
      <c r="S12742" t="s">
        <v>26</v>
      </c>
    </row>
    <row r="12743" spans="1:19" x14ac:dyDescent="0.3">
      <c r="A12743" t="s">
        <v>35638</v>
      </c>
      <c r="B12743" t="s">
        <v>36946</v>
      </c>
      <c r="C12743" t="s">
        <v>37004</v>
      </c>
      <c r="D12743" t="s">
        <v>4806</v>
      </c>
      <c r="E12743" t="s">
        <v>35664</v>
      </c>
      <c r="F12743" t="s">
        <v>36073</v>
      </c>
      <c r="G12743" t="s">
        <v>37003</v>
      </c>
      <c r="H12743" t="s">
        <v>859</v>
      </c>
      <c r="I12743" t="s">
        <v>860</v>
      </c>
      <c r="J12743" t="str">
        <f>"9290204"</f>
        <v>9290204</v>
      </c>
      <c r="K12743">
        <v>2285052224</v>
      </c>
      <c r="L12743">
        <v>2285052224</v>
      </c>
      <c r="M12743" t="s">
        <v>37005</v>
      </c>
      <c r="N12743" t="s">
        <v>37006</v>
      </c>
      <c r="O12743" t="s">
        <v>37007</v>
      </c>
      <c r="P12743">
        <v>84300</v>
      </c>
      <c r="Q12743" t="str">
        <f>"37.144061"</f>
        <v>37.144061</v>
      </c>
      <c r="R12743" t="str">
        <f>"25.527988"</f>
        <v>25.527988</v>
      </c>
      <c r="S12743" t="s">
        <v>57</v>
      </c>
    </row>
    <row r="12744" spans="1:19" x14ac:dyDescent="0.3">
      <c r="A12744" t="s">
        <v>35638</v>
      </c>
      <c r="B12744" t="s">
        <v>36946</v>
      </c>
      <c r="C12744" t="s">
        <v>37008</v>
      </c>
      <c r="D12744" t="s">
        <v>35644</v>
      </c>
      <c r="E12744" t="s">
        <v>35645</v>
      </c>
      <c r="F12744" t="s">
        <v>35646</v>
      </c>
      <c r="G12744" t="s">
        <v>36128</v>
      </c>
      <c r="H12744" t="s">
        <v>859</v>
      </c>
      <c r="I12744" t="s">
        <v>860</v>
      </c>
      <c r="J12744" t="str">
        <f>"9290236"</f>
        <v>9290236</v>
      </c>
      <c r="K12744">
        <v>2281080545</v>
      </c>
      <c r="L12744">
        <v>2281080545</v>
      </c>
      <c r="M12744" t="s">
        <v>37009</v>
      </c>
      <c r="N12744" t="s">
        <v>37010</v>
      </c>
      <c r="O12744" t="s">
        <v>37011</v>
      </c>
      <c r="P12744">
        <v>84100</v>
      </c>
      <c r="Q12744" t="str">
        <f>"37.439611"</f>
        <v>37.439611</v>
      </c>
      <c r="R12744" t="str">
        <f>"24.888092"</f>
        <v>24.888092</v>
      </c>
      <c r="S12744" t="s">
        <v>26</v>
      </c>
    </row>
    <row r="12745" spans="1:19" x14ac:dyDescent="0.3">
      <c r="A12745" t="s">
        <v>35638</v>
      </c>
      <c r="B12745" t="s">
        <v>36946</v>
      </c>
      <c r="C12745" t="s">
        <v>37012</v>
      </c>
      <c r="D12745" t="s">
        <v>35644</v>
      </c>
      <c r="E12745" t="s">
        <v>35645</v>
      </c>
      <c r="F12745" t="s">
        <v>36288</v>
      </c>
      <c r="G12745" t="s">
        <v>36288</v>
      </c>
      <c r="H12745" t="s">
        <v>859</v>
      </c>
      <c r="I12745" t="s">
        <v>860</v>
      </c>
      <c r="J12745" t="str">
        <f>"9290218"</f>
        <v>9290218</v>
      </c>
      <c r="K12745">
        <v>2281088705</v>
      </c>
      <c r="L12745">
        <v>2281088705</v>
      </c>
      <c r="M12745" t="s">
        <v>37013</v>
      </c>
      <c r="N12745" t="s">
        <v>37014</v>
      </c>
      <c r="O12745" t="s">
        <v>37015</v>
      </c>
      <c r="P12745">
        <v>84100</v>
      </c>
      <c r="Q12745" t="str">
        <f>"37.447444"</f>
        <v>37.447444</v>
      </c>
      <c r="R12745" t="str">
        <f>"24.934348"</f>
        <v>24.934348</v>
      </c>
      <c r="S12745" t="s">
        <v>26</v>
      </c>
    </row>
    <row r="12746" spans="1:19" x14ac:dyDescent="0.3">
      <c r="A12746" t="s">
        <v>35638</v>
      </c>
      <c r="B12746" t="s">
        <v>36946</v>
      </c>
      <c r="C12746" t="s">
        <v>37018</v>
      </c>
      <c r="D12746" t="s">
        <v>36041</v>
      </c>
      <c r="E12746" t="s">
        <v>36041</v>
      </c>
      <c r="F12746" t="s">
        <v>36041</v>
      </c>
      <c r="G12746" t="s">
        <v>36041</v>
      </c>
      <c r="H12746" t="s">
        <v>859</v>
      </c>
      <c r="I12746" t="s">
        <v>860</v>
      </c>
      <c r="J12746" t="str">
        <f>"9290146"</f>
        <v>9290146</v>
      </c>
      <c r="K12746">
        <v>2283023235</v>
      </c>
      <c r="L12746">
        <v>2283023235</v>
      </c>
      <c r="M12746" t="s">
        <v>37019</v>
      </c>
      <c r="N12746" t="s">
        <v>36041</v>
      </c>
      <c r="O12746" t="s">
        <v>37020</v>
      </c>
      <c r="P12746">
        <v>84200</v>
      </c>
      <c r="Q12746" t="str">
        <f>"37.541983"</f>
        <v>37.541983</v>
      </c>
      <c r="R12746" t="str">
        <f>"25.152790"</f>
        <v>25.152790</v>
      </c>
      <c r="S12746" t="s">
        <v>26</v>
      </c>
    </row>
    <row r="12747" spans="1:19" x14ac:dyDescent="0.3">
      <c r="A12747" t="s">
        <v>35638</v>
      </c>
      <c r="B12747" t="s">
        <v>36946</v>
      </c>
      <c r="C12747" t="s">
        <v>37021</v>
      </c>
      <c r="D12747" t="s">
        <v>36041</v>
      </c>
      <c r="E12747" t="s">
        <v>36041</v>
      </c>
      <c r="F12747" t="s">
        <v>36041</v>
      </c>
      <c r="G12747" t="s">
        <v>36041</v>
      </c>
      <c r="H12747" t="s">
        <v>859</v>
      </c>
      <c r="I12747" t="s">
        <v>860</v>
      </c>
      <c r="J12747" t="str">
        <f>"9290193"</f>
        <v>9290193</v>
      </c>
      <c r="K12747">
        <v>2283024116</v>
      </c>
      <c r="L12747">
        <v>2283024116</v>
      </c>
      <c r="M12747" t="s">
        <v>37022</v>
      </c>
      <c r="N12747" t="s">
        <v>36041</v>
      </c>
      <c r="O12747" t="s">
        <v>37020</v>
      </c>
      <c r="P12747">
        <v>84200</v>
      </c>
      <c r="Q12747" t="str">
        <f>"37.542137"</f>
        <v>37.542137</v>
      </c>
      <c r="R12747" t="str">
        <f>"25.152724"</f>
        <v>25.152724</v>
      </c>
      <c r="S12747" t="s">
        <v>26</v>
      </c>
    </row>
    <row r="12748" spans="1:19" x14ac:dyDescent="0.3">
      <c r="A12748" t="s">
        <v>35638</v>
      </c>
      <c r="B12748" t="s">
        <v>36946</v>
      </c>
      <c r="C12748" t="s">
        <v>37024</v>
      </c>
      <c r="D12748" t="s">
        <v>35644</v>
      </c>
      <c r="E12748" t="s">
        <v>35645</v>
      </c>
      <c r="F12748" t="s">
        <v>37023</v>
      </c>
      <c r="G12748" t="s">
        <v>37023</v>
      </c>
      <c r="H12748" t="s">
        <v>859</v>
      </c>
      <c r="I12748" t="s">
        <v>860</v>
      </c>
      <c r="J12748" t="str">
        <f>"9290227"</f>
        <v>9290227</v>
      </c>
      <c r="K12748">
        <v>2281042711</v>
      </c>
      <c r="M12748" t="s">
        <v>37025</v>
      </c>
      <c r="N12748" t="s">
        <v>37026</v>
      </c>
      <c r="O12748" t="s">
        <v>37027</v>
      </c>
      <c r="P12748">
        <v>84100</v>
      </c>
      <c r="Q12748" t="str">
        <f>"37.392378"</f>
        <v>37.392378</v>
      </c>
      <c r="R12748" t="str">
        <f>"24.891407"</f>
        <v>24.891407</v>
      </c>
      <c r="S12748" t="s">
        <v>26</v>
      </c>
    </row>
    <row r="12749" spans="1:19" x14ac:dyDescent="0.3">
      <c r="A12749" t="s">
        <v>35638</v>
      </c>
      <c r="B12749" t="s">
        <v>36946</v>
      </c>
      <c r="C12749" t="s">
        <v>37054</v>
      </c>
      <c r="D12749" t="s">
        <v>36028</v>
      </c>
      <c r="E12749" t="s">
        <v>36084</v>
      </c>
      <c r="F12749" t="s">
        <v>36084</v>
      </c>
      <c r="G12749" t="s">
        <v>37053</v>
      </c>
      <c r="H12749" t="s">
        <v>859</v>
      </c>
      <c r="I12749" t="s">
        <v>860</v>
      </c>
      <c r="J12749" t="str">
        <f>"9290201"</f>
        <v>9290201</v>
      </c>
      <c r="K12749">
        <v>2284033197</v>
      </c>
      <c r="L12749">
        <v>2284033197</v>
      </c>
      <c r="M12749" t="s">
        <v>37055</v>
      </c>
      <c r="N12749" t="s">
        <v>37056</v>
      </c>
      <c r="O12749" t="s">
        <v>37056</v>
      </c>
      <c r="P12749">
        <v>84003</v>
      </c>
      <c r="Q12749" t="str">
        <f>"36.980855"</f>
        <v>36.980855</v>
      </c>
      <c r="R12749" t="str">
        <f>"24.707678"</f>
        <v>24.707678</v>
      </c>
      <c r="S12749" t="s">
        <v>57</v>
      </c>
    </row>
    <row r="12750" spans="1:19" x14ac:dyDescent="0.3">
      <c r="A12750" t="s">
        <v>35638</v>
      </c>
      <c r="B12750" t="s">
        <v>36946</v>
      </c>
      <c r="C12750" t="s">
        <v>37059</v>
      </c>
      <c r="D12750" t="s">
        <v>36057</v>
      </c>
      <c r="E12750" t="s">
        <v>36057</v>
      </c>
      <c r="F12750" t="s">
        <v>36057</v>
      </c>
      <c r="G12750" t="s">
        <v>36058</v>
      </c>
      <c r="H12750" t="s">
        <v>859</v>
      </c>
      <c r="I12750" t="s">
        <v>860</v>
      </c>
      <c r="J12750" t="str">
        <f>"9520679"</f>
        <v>9520679</v>
      </c>
      <c r="K12750">
        <v>2289027967</v>
      </c>
      <c r="L12750">
        <v>2289027967</v>
      </c>
      <c r="M12750" t="s">
        <v>37060</v>
      </c>
      <c r="N12750" t="s">
        <v>37061</v>
      </c>
      <c r="O12750" t="s">
        <v>37062</v>
      </c>
      <c r="P12750">
        <v>84600</v>
      </c>
      <c r="Q12750" t="str">
        <f>"37.456609"</f>
        <v>37.456609</v>
      </c>
      <c r="R12750" t="str">
        <f>"25.343309"</f>
        <v>25.343309</v>
      </c>
      <c r="S12750" t="s">
        <v>26</v>
      </c>
    </row>
    <row r="12751" spans="1:19" x14ac:dyDescent="0.3">
      <c r="A12751" t="s">
        <v>35638</v>
      </c>
      <c r="B12751" t="s">
        <v>36946</v>
      </c>
      <c r="C12751" t="s">
        <v>37101</v>
      </c>
      <c r="D12751" t="s">
        <v>36028</v>
      </c>
      <c r="E12751" t="s">
        <v>36028</v>
      </c>
      <c r="F12751" t="s">
        <v>36028</v>
      </c>
      <c r="G12751" t="s">
        <v>37100</v>
      </c>
      <c r="H12751" t="s">
        <v>859</v>
      </c>
      <c r="I12751" t="s">
        <v>860</v>
      </c>
      <c r="J12751" t="str">
        <f>"9290211"</f>
        <v>9290211</v>
      </c>
      <c r="K12751">
        <v>2287021932</v>
      </c>
      <c r="M12751" t="s">
        <v>37102</v>
      </c>
      <c r="N12751" t="s">
        <v>37103</v>
      </c>
      <c r="O12751" t="s">
        <v>37104</v>
      </c>
      <c r="P12751">
        <v>84800</v>
      </c>
      <c r="Q12751" t="str">
        <f>"36.738669"</f>
        <v>36.738669</v>
      </c>
      <c r="R12751" t="str">
        <f>"24.426594"</f>
        <v>24.426594</v>
      </c>
      <c r="S12751" t="s">
        <v>57</v>
      </c>
    </row>
    <row r="12752" spans="1:19" x14ac:dyDescent="0.3">
      <c r="A12752" t="s">
        <v>35638</v>
      </c>
      <c r="B12752" t="s">
        <v>36946</v>
      </c>
      <c r="C12752" t="s">
        <v>37105</v>
      </c>
      <c r="D12752" t="s">
        <v>36095</v>
      </c>
      <c r="E12752" t="s">
        <v>36095</v>
      </c>
      <c r="F12752" t="s">
        <v>36095</v>
      </c>
      <c r="G12752" t="s">
        <v>36047</v>
      </c>
      <c r="H12752" t="s">
        <v>859</v>
      </c>
      <c r="I12752" t="s">
        <v>860</v>
      </c>
      <c r="J12752" t="str">
        <f>"9290221"</f>
        <v>9290221</v>
      </c>
      <c r="K12752">
        <v>2282051061</v>
      </c>
      <c r="L12752">
        <v>2282051061</v>
      </c>
      <c r="M12752" t="s">
        <v>37106</v>
      </c>
      <c r="N12752" t="s">
        <v>37107</v>
      </c>
      <c r="O12752" t="s">
        <v>37108</v>
      </c>
      <c r="P12752">
        <v>84500</v>
      </c>
      <c r="Q12752" t="str">
        <f>"37.820170"</f>
        <v>37.820170</v>
      </c>
      <c r="R12752" t="str">
        <f>"24.897901"</f>
        <v>24.897901</v>
      </c>
      <c r="S12752" t="s">
        <v>26</v>
      </c>
    </row>
    <row r="12753" spans="1:19" x14ac:dyDescent="0.3">
      <c r="A12753" t="s">
        <v>35638</v>
      </c>
      <c r="B12753" t="s">
        <v>36946</v>
      </c>
      <c r="C12753" t="s">
        <v>37110</v>
      </c>
      <c r="D12753" t="s">
        <v>36028</v>
      </c>
      <c r="E12753" t="s">
        <v>36028</v>
      </c>
      <c r="F12753" t="s">
        <v>36028</v>
      </c>
      <c r="G12753" t="s">
        <v>37109</v>
      </c>
      <c r="H12753" t="s">
        <v>859</v>
      </c>
      <c r="I12753" t="s">
        <v>860</v>
      </c>
      <c r="J12753" t="str">
        <f>"9290044"</f>
        <v>9290044</v>
      </c>
      <c r="K12753">
        <v>2287023823</v>
      </c>
      <c r="L12753">
        <v>2287023823</v>
      </c>
      <c r="M12753" t="s">
        <v>37111</v>
      </c>
      <c r="O12753" t="s">
        <v>37112</v>
      </c>
      <c r="P12753">
        <v>84800</v>
      </c>
      <c r="Q12753" t="str">
        <f>"36.743817"</f>
        <v>36.743817</v>
      </c>
      <c r="R12753" t="str">
        <f>"24.426281"</f>
        <v>24.426281</v>
      </c>
      <c r="S12753" t="s">
        <v>57</v>
      </c>
    </row>
    <row r="12754" spans="1:19" x14ac:dyDescent="0.3">
      <c r="A12754" t="s">
        <v>35638</v>
      </c>
      <c r="B12754" t="s">
        <v>36946</v>
      </c>
      <c r="C12754" t="s">
        <v>37113</v>
      </c>
      <c r="D12754" t="s">
        <v>36021</v>
      </c>
      <c r="E12754" t="s">
        <v>36230</v>
      </c>
      <c r="F12754" t="s">
        <v>36230</v>
      </c>
      <c r="G12754" t="s">
        <v>36230</v>
      </c>
      <c r="H12754" t="s">
        <v>859</v>
      </c>
      <c r="I12754" t="s">
        <v>860</v>
      </c>
      <c r="J12754" t="str">
        <f>"9290270"</f>
        <v>9290270</v>
      </c>
      <c r="K12754">
        <v>2286051316</v>
      </c>
      <c r="L12754">
        <v>2286051316</v>
      </c>
      <c r="M12754" t="s">
        <v>37114</v>
      </c>
      <c r="N12754" t="s">
        <v>37115</v>
      </c>
      <c r="O12754" t="s">
        <v>37115</v>
      </c>
      <c r="P12754">
        <v>84010</v>
      </c>
      <c r="Q12754" t="str">
        <f>"36.695429"</f>
        <v>36.695429</v>
      </c>
      <c r="R12754" t="str">
        <f>"25.117973"</f>
        <v>25.117973</v>
      </c>
      <c r="S12754" t="s">
        <v>57</v>
      </c>
    </row>
    <row r="12755" spans="1:19" x14ac:dyDescent="0.3">
      <c r="A12755" t="s">
        <v>35638</v>
      </c>
      <c r="B12755" t="s">
        <v>36946</v>
      </c>
      <c r="C12755" t="s">
        <v>37116</v>
      </c>
      <c r="D12755" t="s">
        <v>36064</v>
      </c>
      <c r="E12755" t="s">
        <v>36065</v>
      </c>
      <c r="F12755" t="s">
        <v>36065</v>
      </c>
      <c r="G12755" t="s">
        <v>36066</v>
      </c>
      <c r="H12755" t="s">
        <v>859</v>
      </c>
      <c r="I12755" t="s">
        <v>860</v>
      </c>
      <c r="J12755" t="str">
        <f>"9290254"</f>
        <v>9290254</v>
      </c>
      <c r="K12755">
        <v>2288024141</v>
      </c>
      <c r="L12755">
        <v>2288024141</v>
      </c>
      <c r="M12755" t="s">
        <v>37117</v>
      </c>
      <c r="N12755" t="s">
        <v>37118</v>
      </c>
      <c r="O12755" t="s">
        <v>37118</v>
      </c>
      <c r="P12755">
        <v>84002</v>
      </c>
      <c r="Q12755" t="str">
        <f>"37.586783"</f>
        <v>37.586783</v>
      </c>
      <c r="R12755" t="str">
        <f>"24.318361"</f>
        <v>24.318361</v>
      </c>
      <c r="S12755" t="s">
        <v>26</v>
      </c>
    </row>
    <row r="12756" spans="1:19" x14ac:dyDescent="0.3">
      <c r="A12756" t="s">
        <v>35638</v>
      </c>
      <c r="B12756" t="s">
        <v>36946</v>
      </c>
      <c r="C12756" t="s">
        <v>37119</v>
      </c>
      <c r="D12756" t="s">
        <v>36133</v>
      </c>
      <c r="E12756" t="s">
        <v>36133</v>
      </c>
      <c r="F12756" t="s">
        <v>36133</v>
      </c>
      <c r="G12756" t="s">
        <v>36251</v>
      </c>
      <c r="H12756" t="s">
        <v>859</v>
      </c>
      <c r="I12756" t="s">
        <v>860</v>
      </c>
      <c r="J12756" t="str">
        <f>"9290238"</f>
        <v>9290238</v>
      </c>
      <c r="K12756">
        <v>2284041711</v>
      </c>
      <c r="L12756">
        <v>2284041711</v>
      </c>
      <c r="M12756" t="s">
        <v>37120</v>
      </c>
      <c r="N12756" t="s">
        <v>37121</v>
      </c>
      <c r="O12756" t="s">
        <v>37121</v>
      </c>
      <c r="P12756">
        <v>84400</v>
      </c>
      <c r="Q12756" t="str">
        <f>"37.051207"</f>
        <v>37.051207</v>
      </c>
      <c r="R12756" t="str">
        <f>"25.246499"</f>
        <v>25.246499</v>
      </c>
      <c r="S12756" t="s">
        <v>26</v>
      </c>
    </row>
    <row r="12757" spans="1:19" x14ac:dyDescent="0.3">
      <c r="A12757" t="s">
        <v>35638</v>
      </c>
      <c r="B12757" t="s">
        <v>36946</v>
      </c>
      <c r="C12757" t="s">
        <v>37124</v>
      </c>
      <c r="D12757" t="s">
        <v>36021</v>
      </c>
      <c r="E12757" t="s">
        <v>36021</v>
      </c>
      <c r="F12757" t="s">
        <v>36021</v>
      </c>
      <c r="G12757" t="s">
        <v>36329</v>
      </c>
      <c r="H12757" t="s">
        <v>859</v>
      </c>
      <c r="I12757" t="s">
        <v>860</v>
      </c>
      <c r="J12757" t="str">
        <f>"9290251"</f>
        <v>9290251</v>
      </c>
      <c r="K12757">
        <v>2286031922</v>
      </c>
      <c r="L12757">
        <v>2286031922</v>
      </c>
      <c r="M12757" t="s">
        <v>37125</v>
      </c>
      <c r="N12757" t="s">
        <v>37126</v>
      </c>
      <c r="O12757" t="s">
        <v>36123</v>
      </c>
      <c r="P12757">
        <v>84700</v>
      </c>
      <c r="Q12757" t="str">
        <f>"36.383176"</f>
        <v>36.383176</v>
      </c>
      <c r="R12757" t="str">
        <f>"25.448131"</f>
        <v>25.448131</v>
      </c>
      <c r="S12757" t="s">
        <v>26</v>
      </c>
    </row>
    <row r="12758" spans="1:19" x14ac:dyDescent="0.3">
      <c r="A12758" t="s">
        <v>35638</v>
      </c>
      <c r="B12758" t="s">
        <v>36946</v>
      </c>
      <c r="C12758" t="s">
        <v>37128</v>
      </c>
      <c r="D12758" t="s">
        <v>36028</v>
      </c>
      <c r="E12758" t="s">
        <v>36028</v>
      </c>
      <c r="F12758" t="s">
        <v>36028</v>
      </c>
      <c r="G12758" t="s">
        <v>37127</v>
      </c>
      <c r="H12758" t="s">
        <v>859</v>
      </c>
      <c r="I12758" t="s">
        <v>860</v>
      </c>
      <c r="J12758" t="str">
        <f>"9290199"</f>
        <v>9290199</v>
      </c>
      <c r="K12758">
        <v>6944575017</v>
      </c>
      <c r="L12758">
        <v>2287021977</v>
      </c>
      <c r="M12758" t="s">
        <v>37129</v>
      </c>
      <c r="N12758" t="s">
        <v>37130</v>
      </c>
      <c r="O12758" t="s">
        <v>37131</v>
      </c>
      <c r="P12758">
        <v>84800</v>
      </c>
      <c r="Q12758" t="str">
        <f>"36.727465"</f>
        <v>36.727465</v>
      </c>
      <c r="R12758" t="str">
        <f>"24.446725"</f>
        <v>24.446725</v>
      </c>
      <c r="S12758" t="s">
        <v>57</v>
      </c>
    </row>
    <row r="12759" spans="1:19" x14ac:dyDescent="0.3">
      <c r="A12759" t="s">
        <v>35638</v>
      </c>
      <c r="B12759" t="s">
        <v>36946</v>
      </c>
      <c r="C12759" t="s">
        <v>37132</v>
      </c>
      <c r="D12759" t="s">
        <v>35644</v>
      </c>
      <c r="E12759" t="s">
        <v>35645</v>
      </c>
      <c r="F12759" t="s">
        <v>37023</v>
      </c>
      <c r="G12759" t="s">
        <v>4112</v>
      </c>
      <c r="H12759" t="s">
        <v>859</v>
      </c>
      <c r="I12759" t="s">
        <v>860</v>
      </c>
      <c r="J12759" t="str">
        <f>"9290226"</f>
        <v>9290226</v>
      </c>
      <c r="K12759">
        <v>2281061118</v>
      </c>
      <c r="M12759" t="s">
        <v>37133</v>
      </c>
      <c r="N12759" t="s">
        <v>4144</v>
      </c>
      <c r="O12759" t="s">
        <v>37134</v>
      </c>
      <c r="P12759">
        <v>84100</v>
      </c>
      <c r="Q12759" t="str">
        <f>"37.397176"</f>
        <v>37.397176</v>
      </c>
      <c r="R12759" t="str">
        <f>"24.946269"</f>
        <v>24.946269</v>
      </c>
      <c r="S12759" t="s">
        <v>26</v>
      </c>
    </row>
    <row r="12760" spans="1:19" x14ac:dyDescent="0.3">
      <c r="A12760" t="s">
        <v>35638</v>
      </c>
      <c r="B12760" t="s">
        <v>36946</v>
      </c>
      <c r="C12760" t="s">
        <v>37135</v>
      </c>
      <c r="D12760" t="s">
        <v>35644</v>
      </c>
      <c r="E12760" t="s">
        <v>35645</v>
      </c>
      <c r="F12760" t="s">
        <v>35646</v>
      </c>
      <c r="G12760" t="s">
        <v>35646</v>
      </c>
      <c r="H12760" t="s">
        <v>859</v>
      </c>
      <c r="I12760" t="s">
        <v>860</v>
      </c>
      <c r="J12760" t="str">
        <f>"9290223"</f>
        <v>9290223</v>
      </c>
      <c r="K12760">
        <v>2281087955</v>
      </c>
      <c r="L12760">
        <v>2281087946</v>
      </c>
      <c r="M12760" t="s">
        <v>37136</v>
      </c>
      <c r="N12760" t="s">
        <v>37137</v>
      </c>
      <c r="O12760" t="s">
        <v>37075</v>
      </c>
      <c r="P12760">
        <v>84100</v>
      </c>
      <c r="Q12760" t="str">
        <f>"37.433900"</f>
        <v>37.433900</v>
      </c>
      <c r="R12760" t="str">
        <f>"24.934863"</f>
        <v>24.934863</v>
      </c>
      <c r="S12760" t="s">
        <v>26</v>
      </c>
    </row>
    <row r="12761" spans="1:19" x14ac:dyDescent="0.3">
      <c r="A12761" t="s">
        <v>35638</v>
      </c>
      <c r="B12761" t="s">
        <v>36946</v>
      </c>
      <c r="C12761" t="s">
        <v>37140</v>
      </c>
      <c r="D12761" t="s">
        <v>36028</v>
      </c>
      <c r="E12761" t="s">
        <v>36029</v>
      </c>
      <c r="F12761" t="s">
        <v>36029</v>
      </c>
      <c r="G12761" t="s">
        <v>36029</v>
      </c>
      <c r="H12761" t="s">
        <v>859</v>
      </c>
      <c r="I12761" t="s">
        <v>860</v>
      </c>
      <c r="J12761" t="str">
        <f>"9290252"</f>
        <v>9290252</v>
      </c>
      <c r="K12761">
        <v>2281051169</v>
      </c>
      <c r="L12761">
        <v>2281051169</v>
      </c>
      <c r="M12761" t="s">
        <v>37141</v>
      </c>
      <c r="N12761" t="s">
        <v>37142</v>
      </c>
      <c r="O12761" t="s">
        <v>37143</v>
      </c>
      <c r="P12761">
        <v>84005</v>
      </c>
      <c r="Q12761" t="str">
        <f>"37.184538"</f>
        <v>37.184538</v>
      </c>
      <c r="R12761" t="str">
        <f>"24.482018"</f>
        <v>24.482018</v>
      </c>
      <c r="S12761" t="s">
        <v>57</v>
      </c>
    </row>
    <row r="12762" spans="1:19" x14ac:dyDescent="0.3">
      <c r="A12762" t="s">
        <v>35638</v>
      </c>
      <c r="B12762" t="s">
        <v>36946</v>
      </c>
      <c r="C12762" t="s">
        <v>37144</v>
      </c>
      <c r="D12762" t="s">
        <v>36064</v>
      </c>
      <c r="E12762" t="s">
        <v>36065</v>
      </c>
      <c r="F12762" t="s">
        <v>36065</v>
      </c>
      <c r="G12762" t="s">
        <v>37034</v>
      </c>
      <c r="H12762" t="s">
        <v>859</v>
      </c>
      <c r="I12762" t="s">
        <v>860</v>
      </c>
      <c r="J12762" t="str">
        <f>"9290247"</f>
        <v>9290247</v>
      </c>
      <c r="K12762">
        <v>2288021180</v>
      </c>
      <c r="L12762">
        <v>2288021180</v>
      </c>
      <c r="M12762" t="s">
        <v>37145</v>
      </c>
      <c r="N12762" t="s">
        <v>37037</v>
      </c>
      <c r="O12762" t="s">
        <v>37038</v>
      </c>
      <c r="P12762">
        <v>84002</v>
      </c>
      <c r="Q12762" t="str">
        <f>"37.665753"</f>
        <v>37.665753</v>
      </c>
      <c r="R12762" t="str">
        <f>"24.328060"</f>
        <v>24.328060</v>
      </c>
      <c r="S12762" t="s">
        <v>26</v>
      </c>
    </row>
    <row r="12763" spans="1:19" x14ac:dyDescent="0.3">
      <c r="A12763" t="s">
        <v>35638</v>
      </c>
      <c r="B12763" t="s">
        <v>36946</v>
      </c>
      <c r="C12763" t="s">
        <v>37150</v>
      </c>
      <c r="D12763" t="s">
        <v>36133</v>
      </c>
      <c r="E12763" t="s">
        <v>36133</v>
      </c>
      <c r="F12763" t="s">
        <v>36133</v>
      </c>
      <c r="G12763" t="s">
        <v>37149</v>
      </c>
      <c r="H12763" t="s">
        <v>859</v>
      </c>
      <c r="I12763" t="s">
        <v>860</v>
      </c>
      <c r="J12763" t="str">
        <f>"9290269"</f>
        <v>9290269</v>
      </c>
      <c r="K12763">
        <v>2284024779</v>
      </c>
      <c r="L12763">
        <v>2284024779</v>
      </c>
      <c r="M12763" t="s">
        <v>37151</v>
      </c>
      <c r="N12763" t="s">
        <v>37152</v>
      </c>
      <c r="O12763" t="s">
        <v>37153</v>
      </c>
      <c r="P12763">
        <v>84400</v>
      </c>
      <c r="Q12763" t="str">
        <f>"37.077868"</f>
        <v>37.077868</v>
      </c>
      <c r="R12763" t="str">
        <f>"25.217600"</f>
        <v>25.217600</v>
      </c>
      <c r="S12763" t="s">
        <v>26</v>
      </c>
    </row>
    <row r="12764" spans="1:19" x14ac:dyDescent="0.3">
      <c r="A12764" t="s">
        <v>35638</v>
      </c>
      <c r="B12764" t="s">
        <v>36946</v>
      </c>
      <c r="C12764" t="s">
        <v>37154</v>
      </c>
      <c r="D12764" t="s">
        <v>36057</v>
      </c>
      <c r="E12764" t="s">
        <v>36057</v>
      </c>
      <c r="F12764" t="s">
        <v>36057</v>
      </c>
      <c r="G12764" t="s">
        <v>36058</v>
      </c>
      <c r="H12764" t="s">
        <v>859</v>
      </c>
      <c r="I12764" t="s">
        <v>860</v>
      </c>
      <c r="J12764" t="str">
        <f>"9290135"</f>
        <v>9290135</v>
      </c>
      <c r="K12764">
        <v>2289023450</v>
      </c>
      <c r="L12764">
        <v>2289023450</v>
      </c>
      <c r="M12764" t="s">
        <v>37155</v>
      </c>
      <c r="N12764" t="s">
        <v>37156</v>
      </c>
      <c r="O12764" t="s">
        <v>37157</v>
      </c>
      <c r="P12764">
        <v>84600</v>
      </c>
      <c r="Q12764" t="str">
        <f>"37.444022"</f>
        <v>37.444022</v>
      </c>
      <c r="R12764" t="str">
        <f>"25.329287"</f>
        <v>25.329287</v>
      </c>
      <c r="S12764" t="s">
        <v>26</v>
      </c>
    </row>
    <row r="12765" spans="1:19" x14ac:dyDescent="0.3">
      <c r="A12765" t="s">
        <v>35638</v>
      </c>
      <c r="B12765" t="s">
        <v>36946</v>
      </c>
      <c r="C12765" t="s">
        <v>37158</v>
      </c>
      <c r="D12765" t="s">
        <v>36041</v>
      </c>
      <c r="E12765" t="s">
        <v>36041</v>
      </c>
      <c r="F12765" t="s">
        <v>33122</v>
      </c>
      <c r="G12765" t="s">
        <v>33122</v>
      </c>
      <c r="H12765" t="s">
        <v>859</v>
      </c>
      <c r="I12765" t="s">
        <v>860</v>
      </c>
      <c r="J12765" t="str">
        <f>"9290279"</f>
        <v>9290279</v>
      </c>
      <c r="K12765">
        <v>2283031797</v>
      </c>
      <c r="L12765">
        <v>2283031797</v>
      </c>
      <c r="M12765" t="s">
        <v>37159</v>
      </c>
      <c r="N12765" t="s">
        <v>37160</v>
      </c>
      <c r="O12765" t="s">
        <v>37161</v>
      </c>
      <c r="P12765">
        <v>84201</v>
      </c>
      <c r="Q12765" t="str">
        <f>"37.641963"</f>
        <v>37.641963</v>
      </c>
      <c r="R12765" t="str">
        <f>"25.039267"</f>
        <v>25.039267</v>
      </c>
      <c r="S12765" t="s">
        <v>57</v>
      </c>
    </row>
    <row r="12766" spans="1:19" x14ac:dyDescent="0.3">
      <c r="A12766" t="s">
        <v>35638</v>
      </c>
      <c r="B12766" t="s">
        <v>36946</v>
      </c>
      <c r="C12766" t="s">
        <v>37163</v>
      </c>
      <c r="D12766" t="s">
        <v>36041</v>
      </c>
      <c r="E12766" t="s">
        <v>36041</v>
      </c>
      <c r="F12766" t="s">
        <v>37162</v>
      </c>
      <c r="G12766" t="s">
        <v>11983</v>
      </c>
      <c r="H12766" t="s">
        <v>859</v>
      </c>
      <c r="I12766" t="s">
        <v>860</v>
      </c>
      <c r="J12766" t="str">
        <f>"9290285"</f>
        <v>9290285</v>
      </c>
      <c r="K12766">
        <v>2283051122</v>
      </c>
      <c r="L12766">
        <v>2283051122</v>
      </c>
      <c r="M12766" t="s">
        <v>37164</v>
      </c>
      <c r="N12766" t="s">
        <v>37165</v>
      </c>
      <c r="O12766" t="s">
        <v>37166</v>
      </c>
      <c r="P12766">
        <v>84200</v>
      </c>
      <c r="Q12766" t="str">
        <f>"37.610511"</f>
        <v>37.610511</v>
      </c>
      <c r="R12766" t="str">
        <f>"25.119809"</f>
        <v>25.119809</v>
      </c>
      <c r="S12766" t="s">
        <v>26</v>
      </c>
    </row>
    <row r="12767" spans="1:19" x14ac:dyDescent="0.3">
      <c r="A12767" t="s">
        <v>35638</v>
      </c>
      <c r="B12767" t="s">
        <v>36946</v>
      </c>
      <c r="C12767" t="s">
        <v>37168</v>
      </c>
      <c r="D12767" t="s">
        <v>36041</v>
      </c>
      <c r="E12767" t="s">
        <v>36041</v>
      </c>
      <c r="F12767" t="s">
        <v>37162</v>
      </c>
      <c r="G12767" t="s">
        <v>37167</v>
      </c>
      <c r="H12767" t="s">
        <v>859</v>
      </c>
      <c r="I12767" t="s">
        <v>860</v>
      </c>
      <c r="J12767" t="str">
        <f>"9290235"</f>
        <v>9290235</v>
      </c>
      <c r="K12767">
        <v>2283041825</v>
      </c>
      <c r="L12767">
        <v>2283041825</v>
      </c>
      <c r="M12767" t="s">
        <v>37169</v>
      </c>
      <c r="N12767" t="s">
        <v>37170</v>
      </c>
      <c r="O12767" t="s">
        <v>37171</v>
      </c>
      <c r="P12767">
        <v>84200</v>
      </c>
      <c r="Q12767" t="str">
        <f>"37.587651"</f>
        <v>37.587651</v>
      </c>
      <c r="R12767" t="str">
        <f>"25.120797"</f>
        <v>25.120797</v>
      </c>
      <c r="S12767" t="s">
        <v>26</v>
      </c>
    </row>
    <row r="12768" spans="1:19" x14ac:dyDescent="0.3">
      <c r="A12768" t="s">
        <v>35638</v>
      </c>
      <c r="B12768" t="s">
        <v>36946</v>
      </c>
      <c r="C12768" t="s">
        <v>37172</v>
      </c>
      <c r="D12768" t="s">
        <v>36064</v>
      </c>
      <c r="E12768" t="s">
        <v>36065</v>
      </c>
      <c r="F12768" t="s">
        <v>36065</v>
      </c>
      <c r="G12768" t="s">
        <v>36066</v>
      </c>
      <c r="H12768" t="s">
        <v>859</v>
      </c>
      <c r="I12768" t="s">
        <v>860</v>
      </c>
      <c r="J12768" t="str">
        <f>"9290200"</f>
        <v>9290200</v>
      </c>
      <c r="K12768">
        <v>2288022540</v>
      </c>
      <c r="L12768">
        <v>2288022540</v>
      </c>
      <c r="M12768" t="s">
        <v>37173</v>
      </c>
      <c r="N12768" t="s">
        <v>37174</v>
      </c>
      <c r="O12768" t="s">
        <v>36070</v>
      </c>
      <c r="P12768">
        <v>84002</v>
      </c>
      <c r="Q12768" t="str">
        <f>"37.642199"</f>
        <v>37.642199</v>
      </c>
      <c r="R12768" t="str">
        <f>"24.340603"</f>
        <v>24.340603</v>
      </c>
      <c r="S12768" t="s">
        <v>26</v>
      </c>
    </row>
    <row r="12769" spans="1:19" x14ac:dyDescent="0.3">
      <c r="A12769" t="s">
        <v>35638</v>
      </c>
      <c r="B12769" t="s">
        <v>36946</v>
      </c>
      <c r="C12769" t="s">
        <v>37175</v>
      </c>
      <c r="D12769" t="s">
        <v>36041</v>
      </c>
      <c r="E12769" t="s">
        <v>36041</v>
      </c>
      <c r="F12769" t="s">
        <v>36041</v>
      </c>
      <c r="G12769" t="s">
        <v>36041</v>
      </c>
      <c r="H12769" t="s">
        <v>859</v>
      </c>
      <c r="I12769" t="s">
        <v>860</v>
      </c>
      <c r="J12769" t="str">
        <f>"9290278"</f>
        <v>9290278</v>
      </c>
      <c r="K12769">
        <v>2283025587</v>
      </c>
      <c r="L12769">
        <v>2283025587</v>
      </c>
      <c r="M12769" t="s">
        <v>37176</v>
      </c>
      <c r="N12769" t="s">
        <v>36041</v>
      </c>
      <c r="O12769" t="s">
        <v>37177</v>
      </c>
      <c r="P12769">
        <v>84200</v>
      </c>
      <c r="Q12769" t="str">
        <f>"37.533156"</f>
        <v>37.533156</v>
      </c>
      <c r="R12769" t="str">
        <f>"25.163471"</f>
        <v>25.163471</v>
      </c>
      <c r="S12769" t="s">
        <v>26</v>
      </c>
    </row>
    <row r="12770" spans="1:19" x14ac:dyDescent="0.3">
      <c r="A12770" t="s">
        <v>35638</v>
      </c>
      <c r="B12770" t="s">
        <v>36946</v>
      </c>
      <c r="C12770" t="s">
        <v>37192</v>
      </c>
      <c r="D12770" t="s">
        <v>36028</v>
      </c>
      <c r="E12770" t="s">
        <v>36300</v>
      </c>
      <c r="F12770" t="s">
        <v>36300</v>
      </c>
      <c r="G12770" t="s">
        <v>36300</v>
      </c>
      <c r="H12770" t="s">
        <v>859</v>
      </c>
      <c r="I12770" t="s">
        <v>860</v>
      </c>
      <c r="J12770" t="str">
        <f>"9290030"</f>
        <v>9290030</v>
      </c>
      <c r="K12770">
        <v>2287051834</v>
      </c>
      <c r="L12770">
        <v>2287051221</v>
      </c>
      <c r="M12770" t="s">
        <v>37193</v>
      </c>
      <c r="N12770" t="s">
        <v>36300</v>
      </c>
      <c r="O12770" t="s">
        <v>36303</v>
      </c>
      <c r="P12770">
        <v>84004</v>
      </c>
      <c r="Q12770" t="str">
        <f>"36.790707"</f>
        <v>36.790707</v>
      </c>
      <c r="R12770" t="str">
        <f>"24.573634"</f>
        <v>24.573634</v>
      </c>
      <c r="S12770" t="s">
        <v>57</v>
      </c>
    </row>
    <row r="12771" spans="1:19" x14ac:dyDescent="0.3">
      <c r="A12771" t="s">
        <v>35638</v>
      </c>
      <c r="B12771" t="s">
        <v>36946</v>
      </c>
      <c r="C12771" t="s">
        <v>37205</v>
      </c>
      <c r="D12771" t="s">
        <v>36028</v>
      </c>
      <c r="E12771" t="s">
        <v>36028</v>
      </c>
      <c r="F12771" t="s">
        <v>36028</v>
      </c>
      <c r="G12771" t="s">
        <v>37109</v>
      </c>
      <c r="H12771" t="s">
        <v>859</v>
      </c>
      <c r="I12771" t="s">
        <v>860</v>
      </c>
      <c r="J12771" t="str">
        <f>"9290229"</f>
        <v>9290229</v>
      </c>
      <c r="K12771">
        <v>2287041483</v>
      </c>
      <c r="L12771">
        <v>2287041483</v>
      </c>
      <c r="M12771" t="s">
        <v>37206</v>
      </c>
      <c r="N12771" t="s">
        <v>37207</v>
      </c>
      <c r="O12771" t="s">
        <v>37200</v>
      </c>
      <c r="P12771">
        <v>84800</v>
      </c>
      <c r="Q12771" t="str">
        <f>"36.757584"</f>
        <v>36.757584</v>
      </c>
      <c r="R12771" t="str">
        <f>"24.527362"</f>
        <v>24.527362</v>
      </c>
      <c r="S12771" t="s">
        <v>57</v>
      </c>
    </row>
    <row r="12772" spans="1:19" x14ac:dyDescent="0.3">
      <c r="A12772" t="s">
        <v>35638</v>
      </c>
      <c r="B12772" t="s">
        <v>36946</v>
      </c>
      <c r="C12772" t="s">
        <v>37210</v>
      </c>
      <c r="D12772" t="s">
        <v>36064</v>
      </c>
      <c r="E12772" t="s">
        <v>36219</v>
      </c>
      <c r="F12772" t="s">
        <v>36219</v>
      </c>
      <c r="G12772" t="s">
        <v>36219</v>
      </c>
      <c r="H12772" t="s">
        <v>859</v>
      </c>
      <c r="I12772" t="s">
        <v>860</v>
      </c>
      <c r="J12772" t="str">
        <f>"9290212"</f>
        <v>9290212</v>
      </c>
      <c r="K12772">
        <v>2281031496</v>
      </c>
      <c r="L12772">
        <v>2281031496</v>
      </c>
      <c r="M12772" t="s">
        <v>37211</v>
      </c>
      <c r="N12772" t="s">
        <v>37212</v>
      </c>
      <c r="O12772" t="s">
        <v>37213</v>
      </c>
      <c r="P12772">
        <v>84006</v>
      </c>
      <c r="Q12772" t="str">
        <f>"37.413067"</f>
        <v>37.413067</v>
      </c>
      <c r="R12772" t="str">
        <f>"24.426023"</f>
        <v>24.426023</v>
      </c>
      <c r="S12772" t="s">
        <v>26</v>
      </c>
    </row>
    <row r="12773" spans="1:19" x14ac:dyDescent="0.3">
      <c r="A12773" t="s">
        <v>35638</v>
      </c>
      <c r="B12773" t="s">
        <v>36946</v>
      </c>
      <c r="C12773" t="s">
        <v>37215</v>
      </c>
      <c r="D12773" t="s">
        <v>36064</v>
      </c>
      <c r="E12773" t="s">
        <v>36219</v>
      </c>
      <c r="F12773" t="s">
        <v>36219</v>
      </c>
      <c r="G12773" t="s">
        <v>37214</v>
      </c>
      <c r="H12773" t="s">
        <v>859</v>
      </c>
      <c r="I12773" t="s">
        <v>860</v>
      </c>
      <c r="J12773" t="str">
        <f>"9290228"</f>
        <v>9290228</v>
      </c>
      <c r="K12773">
        <v>2281032950</v>
      </c>
      <c r="L12773">
        <v>2281032950</v>
      </c>
      <c r="M12773" t="s">
        <v>37216</v>
      </c>
      <c r="N12773" t="s">
        <v>37217</v>
      </c>
      <c r="O12773" t="s">
        <v>37218</v>
      </c>
      <c r="P12773">
        <v>84006</v>
      </c>
      <c r="Q12773" t="str">
        <f>"37.384310"</f>
        <v>37.384310</v>
      </c>
      <c r="R12773" t="str">
        <f>"24.390564"</f>
        <v>24.390564</v>
      </c>
      <c r="S12773" t="s">
        <v>26</v>
      </c>
    </row>
    <row r="12774" spans="1:19" x14ac:dyDescent="0.3">
      <c r="A12774" t="s">
        <v>35638</v>
      </c>
      <c r="B12774" t="s">
        <v>36946</v>
      </c>
      <c r="C12774" t="s">
        <v>37219</v>
      </c>
      <c r="D12774" t="s">
        <v>36021</v>
      </c>
      <c r="E12774" t="s">
        <v>36021</v>
      </c>
      <c r="F12774" t="s">
        <v>36021</v>
      </c>
      <c r="G12774" t="s">
        <v>13031</v>
      </c>
      <c r="H12774" t="s">
        <v>859</v>
      </c>
      <c r="I12774" t="s">
        <v>860</v>
      </c>
      <c r="J12774" t="str">
        <f>"9520930"</f>
        <v>9520930</v>
      </c>
      <c r="K12774">
        <v>2286082450</v>
      </c>
      <c r="L12774">
        <v>2286082450</v>
      </c>
      <c r="M12774" t="s">
        <v>37220</v>
      </c>
      <c r="N12774" t="s">
        <v>37221</v>
      </c>
      <c r="O12774" t="s">
        <v>13147</v>
      </c>
      <c r="P12774">
        <v>84700</v>
      </c>
      <c r="Q12774" t="str">
        <f>"36.375510"</f>
        <v>36.375510</v>
      </c>
      <c r="R12774" t="str">
        <f>"25.431957"</f>
        <v>25.431957</v>
      </c>
      <c r="S12774" t="s">
        <v>26</v>
      </c>
    </row>
    <row r="12775" spans="1:19" x14ac:dyDescent="0.3">
      <c r="A12775" t="s">
        <v>35638</v>
      </c>
      <c r="B12775" t="s">
        <v>36946</v>
      </c>
      <c r="C12775" t="s">
        <v>37224</v>
      </c>
      <c r="D12775" t="s">
        <v>36133</v>
      </c>
      <c r="E12775" t="s">
        <v>36133</v>
      </c>
      <c r="F12775" t="s">
        <v>36133</v>
      </c>
      <c r="G12775" t="s">
        <v>37223</v>
      </c>
      <c r="H12775" t="s">
        <v>859</v>
      </c>
      <c r="I12775" t="s">
        <v>860</v>
      </c>
      <c r="J12775" t="str">
        <f>"9290224"</f>
        <v>9290224</v>
      </c>
      <c r="K12775">
        <v>2284092262</v>
      </c>
      <c r="L12775">
        <v>2284092262</v>
      </c>
      <c r="M12775" t="s">
        <v>37225</v>
      </c>
      <c r="N12775" t="s">
        <v>37226</v>
      </c>
      <c r="O12775" t="s">
        <v>37227</v>
      </c>
      <c r="P12775">
        <v>84400</v>
      </c>
      <c r="Q12775" t="str">
        <f>"37.015183"</f>
        <v>37.015183</v>
      </c>
      <c r="R12775" t="str">
        <f>"25.124527"</f>
        <v>25.124527</v>
      </c>
      <c r="S12775" t="s">
        <v>26</v>
      </c>
    </row>
    <row r="12776" spans="1:19" x14ac:dyDescent="0.3">
      <c r="A12776" t="s">
        <v>35638</v>
      </c>
      <c r="B12776" t="s">
        <v>36946</v>
      </c>
      <c r="C12776" t="s">
        <v>37228</v>
      </c>
      <c r="D12776" t="s">
        <v>36021</v>
      </c>
      <c r="E12776" t="s">
        <v>36021</v>
      </c>
      <c r="F12776" t="s">
        <v>36021</v>
      </c>
      <c r="G12776" t="s">
        <v>37039</v>
      </c>
      <c r="H12776" t="s">
        <v>859</v>
      </c>
      <c r="I12776" t="s">
        <v>860</v>
      </c>
      <c r="J12776" t="str">
        <f>"9290241"</f>
        <v>9290241</v>
      </c>
      <c r="K12776">
        <v>2286032268</v>
      </c>
      <c r="L12776">
        <v>2286032268</v>
      </c>
      <c r="M12776" t="s">
        <v>37229</v>
      </c>
      <c r="N12776" t="s">
        <v>37230</v>
      </c>
      <c r="O12776" t="s">
        <v>37231</v>
      </c>
      <c r="P12776">
        <v>84700</v>
      </c>
      <c r="Q12776" t="str">
        <f>"36.374289"</f>
        <v>36.374289</v>
      </c>
      <c r="R12776" t="str">
        <f>"25.479721"</f>
        <v>25.479721</v>
      </c>
      <c r="S12776" t="s">
        <v>26</v>
      </c>
    </row>
    <row r="12777" spans="1:19" x14ac:dyDescent="0.3">
      <c r="A12777" t="s">
        <v>35638</v>
      </c>
      <c r="B12777" t="s">
        <v>36946</v>
      </c>
      <c r="C12777" t="s">
        <v>37240</v>
      </c>
      <c r="D12777" t="s">
        <v>36133</v>
      </c>
      <c r="E12777" t="s">
        <v>36133</v>
      </c>
      <c r="F12777" t="s">
        <v>36133</v>
      </c>
      <c r="G12777" t="s">
        <v>36947</v>
      </c>
      <c r="H12777" t="s">
        <v>859</v>
      </c>
      <c r="I12777" t="s">
        <v>860</v>
      </c>
      <c r="J12777" t="str">
        <f>"9290257"</f>
        <v>9290257</v>
      </c>
      <c r="K12777">
        <v>2284041030</v>
      </c>
      <c r="L12777">
        <v>2284041030</v>
      </c>
      <c r="M12777" t="s">
        <v>37241</v>
      </c>
      <c r="N12777" t="s">
        <v>37242</v>
      </c>
      <c r="O12777" t="s">
        <v>37243</v>
      </c>
      <c r="P12777">
        <v>84400</v>
      </c>
      <c r="Q12777" t="str">
        <f>"37.003694"</f>
        <v>37.003694</v>
      </c>
      <c r="R12777" t="str">
        <f>"25.223600"</f>
        <v>25.223600</v>
      </c>
      <c r="S12777" t="s">
        <v>26</v>
      </c>
    </row>
    <row r="12778" spans="1:19" x14ac:dyDescent="0.3">
      <c r="A12778" t="s">
        <v>35638</v>
      </c>
      <c r="B12778" t="s">
        <v>36946</v>
      </c>
      <c r="C12778" t="s">
        <v>37253</v>
      </c>
      <c r="D12778" t="s">
        <v>36133</v>
      </c>
      <c r="E12778" t="s">
        <v>36133</v>
      </c>
      <c r="F12778" t="s">
        <v>36133</v>
      </c>
      <c r="G12778" t="s">
        <v>36133</v>
      </c>
      <c r="H12778" t="s">
        <v>859</v>
      </c>
      <c r="I12778" t="s">
        <v>860</v>
      </c>
      <c r="J12778" t="str">
        <f>"9290081"</f>
        <v>9290081</v>
      </c>
      <c r="K12778">
        <v>2284021230</v>
      </c>
      <c r="L12778">
        <v>2284021230</v>
      </c>
      <c r="M12778" t="s">
        <v>37254</v>
      </c>
      <c r="N12778" t="s">
        <v>36272</v>
      </c>
      <c r="O12778" t="s">
        <v>37255</v>
      </c>
      <c r="P12778">
        <v>84400</v>
      </c>
      <c r="Q12778" t="str">
        <f>"37.090116"</f>
        <v>37.090116</v>
      </c>
      <c r="R12778" t="str">
        <f>"25.160572"</f>
        <v>25.160572</v>
      </c>
      <c r="S12778" t="s">
        <v>26</v>
      </c>
    </row>
    <row r="12779" spans="1:19" x14ac:dyDescent="0.3">
      <c r="A12779" t="s">
        <v>35638</v>
      </c>
      <c r="B12779" t="s">
        <v>36946</v>
      </c>
      <c r="C12779" t="s">
        <v>37259</v>
      </c>
      <c r="D12779" t="s">
        <v>35644</v>
      </c>
      <c r="E12779" t="s">
        <v>35645</v>
      </c>
      <c r="F12779" t="s">
        <v>35646</v>
      </c>
      <c r="G12779" t="s">
        <v>35646</v>
      </c>
      <c r="H12779" t="s">
        <v>859</v>
      </c>
      <c r="I12779" t="s">
        <v>860</v>
      </c>
      <c r="J12779" t="str">
        <f>"9290206"</f>
        <v>9290206</v>
      </c>
      <c r="K12779">
        <v>2281081640</v>
      </c>
      <c r="L12779">
        <v>2281081640</v>
      </c>
      <c r="M12779" t="s">
        <v>37260</v>
      </c>
      <c r="N12779" t="s">
        <v>37261</v>
      </c>
      <c r="O12779" t="s">
        <v>37002</v>
      </c>
      <c r="P12779">
        <v>84100</v>
      </c>
      <c r="Q12779" t="str">
        <f>"37.441864"</f>
        <v>37.441864</v>
      </c>
      <c r="R12779" t="str">
        <f>"24.940432"</f>
        <v>24.940432</v>
      </c>
      <c r="S12779" t="s">
        <v>26</v>
      </c>
    </row>
    <row r="12780" spans="1:19" x14ac:dyDescent="0.3">
      <c r="A12780" t="s">
        <v>35638</v>
      </c>
      <c r="B12780" t="s">
        <v>36946</v>
      </c>
      <c r="C12780" t="s">
        <v>37265</v>
      </c>
      <c r="D12780" t="s">
        <v>36133</v>
      </c>
      <c r="E12780" t="s">
        <v>36262</v>
      </c>
      <c r="F12780" t="s">
        <v>36262</v>
      </c>
      <c r="G12780" t="s">
        <v>36262</v>
      </c>
      <c r="H12780" t="s">
        <v>859</v>
      </c>
      <c r="I12780" t="s">
        <v>860</v>
      </c>
      <c r="J12780" t="str">
        <f>"9290219"</f>
        <v>9290219</v>
      </c>
      <c r="K12780">
        <v>2284061354</v>
      </c>
      <c r="L12780">
        <v>2284061354</v>
      </c>
      <c r="M12780" t="s">
        <v>37266</v>
      </c>
      <c r="N12780" t="s">
        <v>36262</v>
      </c>
      <c r="O12780" t="s">
        <v>36265</v>
      </c>
      <c r="P12780">
        <v>84007</v>
      </c>
      <c r="Q12780" t="str">
        <f>"37.040571"</f>
        <v>37.040571</v>
      </c>
      <c r="R12780" t="str">
        <f>"25.080514"</f>
        <v>25.080514</v>
      </c>
      <c r="S12780" t="s">
        <v>57</v>
      </c>
    </row>
    <row r="12781" spans="1:19" x14ac:dyDescent="0.3">
      <c r="A12781" t="s">
        <v>35638</v>
      </c>
      <c r="B12781" t="s">
        <v>36946</v>
      </c>
      <c r="C12781" t="s">
        <v>37267</v>
      </c>
      <c r="D12781" t="s">
        <v>36133</v>
      </c>
      <c r="E12781" t="s">
        <v>36133</v>
      </c>
      <c r="F12781" t="s">
        <v>36133</v>
      </c>
      <c r="G12781" t="s">
        <v>36133</v>
      </c>
      <c r="H12781" t="s">
        <v>859</v>
      </c>
      <c r="I12781" t="s">
        <v>860</v>
      </c>
      <c r="J12781" t="str">
        <f>"9290216"</f>
        <v>9290216</v>
      </c>
      <c r="K12781">
        <v>2284021292</v>
      </c>
      <c r="L12781">
        <v>2284021292</v>
      </c>
      <c r="M12781" t="s">
        <v>37268</v>
      </c>
      <c r="N12781" t="s">
        <v>37269</v>
      </c>
      <c r="O12781" t="s">
        <v>37258</v>
      </c>
      <c r="P12781">
        <v>84400</v>
      </c>
      <c r="Q12781" t="str">
        <f>"37.081077"</f>
        <v>37.081077</v>
      </c>
      <c r="R12781" t="str">
        <f>"25.148560"</f>
        <v>25.148560</v>
      </c>
      <c r="S12781" t="s">
        <v>26</v>
      </c>
    </row>
    <row r="12782" spans="1:19" x14ac:dyDescent="0.3">
      <c r="A12782" t="s">
        <v>35638</v>
      </c>
      <c r="B12782" t="s">
        <v>36946</v>
      </c>
      <c r="C12782" t="s">
        <v>37271</v>
      </c>
      <c r="D12782" t="s">
        <v>36095</v>
      </c>
      <c r="E12782" t="s">
        <v>36095</v>
      </c>
      <c r="F12782" t="s">
        <v>18594</v>
      </c>
      <c r="G12782" t="s">
        <v>37270</v>
      </c>
      <c r="H12782" t="s">
        <v>859</v>
      </c>
      <c r="I12782" t="s">
        <v>860</v>
      </c>
      <c r="J12782" t="str">
        <f>"9290220"</f>
        <v>9290220</v>
      </c>
      <c r="K12782">
        <v>2282041674</v>
      </c>
      <c r="L12782">
        <v>2282041674</v>
      </c>
      <c r="M12782" t="s">
        <v>37272</v>
      </c>
      <c r="N12782" t="s">
        <v>37273</v>
      </c>
      <c r="O12782" t="s">
        <v>37274</v>
      </c>
      <c r="P12782">
        <v>84503</v>
      </c>
      <c r="Q12782" t="str">
        <f>"37.863706"</f>
        <v>37.863706</v>
      </c>
      <c r="R12782" t="str">
        <f>"24.839245"</f>
        <v>24.839245</v>
      </c>
      <c r="S12782" t="s">
        <v>26</v>
      </c>
    </row>
    <row r="12783" spans="1:19" x14ac:dyDescent="0.3">
      <c r="A12783" t="s">
        <v>35638</v>
      </c>
      <c r="B12783" t="s">
        <v>36946</v>
      </c>
      <c r="C12783" t="s">
        <v>37277</v>
      </c>
      <c r="D12783" t="s">
        <v>36133</v>
      </c>
      <c r="E12783" t="s">
        <v>36133</v>
      </c>
      <c r="F12783" t="s">
        <v>36133</v>
      </c>
      <c r="G12783" t="s">
        <v>36251</v>
      </c>
      <c r="H12783" t="s">
        <v>859</v>
      </c>
      <c r="I12783" t="s">
        <v>860</v>
      </c>
      <c r="J12783" t="str">
        <f>"9290280"</f>
        <v>9290280</v>
      </c>
      <c r="K12783">
        <v>2284041111</v>
      </c>
      <c r="L12783">
        <v>2284041111</v>
      </c>
      <c r="M12783" t="s">
        <v>37278</v>
      </c>
      <c r="N12783" t="s">
        <v>37279</v>
      </c>
      <c r="O12783" t="s">
        <v>37279</v>
      </c>
      <c r="P12783">
        <v>84400</v>
      </c>
      <c r="Q12783" t="str">
        <f>"37.049954"</f>
        <v>37.049954</v>
      </c>
      <c r="R12783" t="str">
        <f>"25.239008"</f>
        <v>25.239008</v>
      </c>
      <c r="S12783" t="s">
        <v>26</v>
      </c>
    </row>
    <row r="12784" spans="1:19" x14ac:dyDescent="0.3">
      <c r="A12784" t="s">
        <v>35638</v>
      </c>
      <c r="B12784" t="s">
        <v>36946</v>
      </c>
      <c r="C12784" t="s">
        <v>37280</v>
      </c>
      <c r="D12784" t="s">
        <v>36133</v>
      </c>
      <c r="E12784" t="s">
        <v>36133</v>
      </c>
      <c r="F12784" t="s">
        <v>36133</v>
      </c>
      <c r="G12784" t="s">
        <v>36257</v>
      </c>
      <c r="H12784" t="s">
        <v>859</v>
      </c>
      <c r="I12784" t="s">
        <v>860</v>
      </c>
      <c r="J12784" t="str">
        <f>"9290196"</f>
        <v>9290196</v>
      </c>
      <c r="K12784">
        <v>2284051686</v>
      </c>
      <c r="L12784">
        <v>2284051686</v>
      </c>
      <c r="M12784" t="s">
        <v>37281</v>
      </c>
      <c r="N12784" t="s">
        <v>37282</v>
      </c>
      <c r="O12784" t="s">
        <v>36260</v>
      </c>
      <c r="P12784">
        <v>84401</v>
      </c>
      <c r="Q12784" t="str">
        <f>"37.124521"</f>
        <v>37.124521</v>
      </c>
      <c r="R12784" t="str">
        <f>"25.241028"</f>
        <v>25.241028</v>
      </c>
      <c r="S12784" t="s">
        <v>26</v>
      </c>
    </row>
    <row r="12785" spans="1:19" x14ac:dyDescent="0.3">
      <c r="A12785" t="s">
        <v>35638</v>
      </c>
      <c r="B12785" t="s">
        <v>36946</v>
      </c>
      <c r="C12785" t="s">
        <v>37288</v>
      </c>
      <c r="D12785" t="s">
        <v>36021</v>
      </c>
      <c r="E12785" t="s">
        <v>36021</v>
      </c>
      <c r="F12785" t="s">
        <v>36021</v>
      </c>
      <c r="G12785" t="s">
        <v>37247</v>
      </c>
      <c r="H12785" t="s">
        <v>859</v>
      </c>
      <c r="I12785" t="s">
        <v>860</v>
      </c>
      <c r="J12785" t="str">
        <f>"9290214"</f>
        <v>9290214</v>
      </c>
      <c r="K12785">
        <v>2286023406</v>
      </c>
      <c r="L12785">
        <v>2286023406</v>
      </c>
      <c r="M12785" t="s">
        <v>37289</v>
      </c>
      <c r="N12785" t="s">
        <v>37290</v>
      </c>
      <c r="O12785" t="s">
        <v>37250</v>
      </c>
      <c r="P12785">
        <v>84700</v>
      </c>
      <c r="Q12785" t="str">
        <f>"36.410763"</f>
        <v>36.410763</v>
      </c>
      <c r="R12785" t="str">
        <f>"25.445692"</f>
        <v>25.445692</v>
      </c>
      <c r="S12785" t="s">
        <v>26</v>
      </c>
    </row>
    <row r="12786" spans="1:19" x14ac:dyDescent="0.3">
      <c r="A12786" t="s">
        <v>35638</v>
      </c>
      <c r="B12786" t="s">
        <v>36946</v>
      </c>
      <c r="C12786" t="s">
        <v>37296</v>
      </c>
      <c r="D12786" t="s">
        <v>35644</v>
      </c>
      <c r="E12786" t="s">
        <v>35645</v>
      </c>
      <c r="F12786" t="s">
        <v>37023</v>
      </c>
      <c r="G12786" t="s">
        <v>37295</v>
      </c>
      <c r="H12786" t="s">
        <v>859</v>
      </c>
      <c r="I12786" t="s">
        <v>860</v>
      </c>
      <c r="J12786" t="str">
        <f>"9290274"</f>
        <v>9290274</v>
      </c>
      <c r="K12786">
        <v>2281043400</v>
      </c>
      <c r="L12786">
        <v>2281043400</v>
      </c>
      <c r="M12786" t="s">
        <v>37297</v>
      </c>
      <c r="N12786" t="s">
        <v>37298</v>
      </c>
      <c r="O12786" t="s">
        <v>35637</v>
      </c>
      <c r="P12786">
        <v>84100</v>
      </c>
      <c r="Q12786" t="str">
        <f>"37.403176"</f>
        <v>37.403176</v>
      </c>
      <c r="R12786" t="str">
        <f>"24.881537"</f>
        <v>24.881537</v>
      </c>
      <c r="S12786" t="s">
        <v>26</v>
      </c>
    </row>
    <row r="12787" spans="1:19" x14ac:dyDescent="0.3">
      <c r="A12787" t="s">
        <v>35638</v>
      </c>
      <c r="B12787" t="s">
        <v>36946</v>
      </c>
      <c r="C12787" t="s">
        <v>37302</v>
      </c>
      <c r="D12787" t="s">
        <v>36095</v>
      </c>
      <c r="E12787" t="s">
        <v>36095</v>
      </c>
      <c r="F12787" t="s">
        <v>18594</v>
      </c>
      <c r="G12787" t="s">
        <v>36177</v>
      </c>
      <c r="H12787" t="s">
        <v>859</v>
      </c>
      <c r="I12787" t="s">
        <v>860</v>
      </c>
      <c r="J12787" t="str">
        <f>"9290222"</f>
        <v>9290222</v>
      </c>
      <c r="K12787">
        <v>2282071486</v>
      </c>
      <c r="L12787">
        <v>2282071486</v>
      </c>
      <c r="M12787" t="s">
        <v>37303</v>
      </c>
      <c r="N12787" t="s">
        <v>37052</v>
      </c>
      <c r="O12787" t="s">
        <v>37304</v>
      </c>
      <c r="P12787">
        <v>84501</v>
      </c>
      <c r="Q12787" t="str">
        <f>"37.887395"</f>
        <v>37.887395</v>
      </c>
      <c r="R12787" t="str">
        <f>"24.737205"</f>
        <v>24.737205</v>
      </c>
      <c r="S12787" t="s">
        <v>26</v>
      </c>
    </row>
    <row r="12788" spans="1:19" x14ac:dyDescent="0.3">
      <c r="A12788" t="s">
        <v>35638</v>
      </c>
      <c r="B12788" t="s">
        <v>36946</v>
      </c>
      <c r="C12788" t="s">
        <v>37306</v>
      </c>
      <c r="D12788" t="s">
        <v>35644</v>
      </c>
      <c r="E12788" t="s">
        <v>35645</v>
      </c>
      <c r="F12788" t="s">
        <v>35646</v>
      </c>
      <c r="G12788" t="s">
        <v>35646</v>
      </c>
      <c r="H12788" t="s">
        <v>859</v>
      </c>
      <c r="I12788" t="s">
        <v>860</v>
      </c>
      <c r="J12788" t="str">
        <f>"9290233"</f>
        <v>9290233</v>
      </c>
      <c r="K12788">
        <v>2281082993</v>
      </c>
      <c r="L12788">
        <v>2281082993</v>
      </c>
      <c r="M12788" t="s">
        <v>37307</v>
      </c>
      <c r="N12788" t="s">
        <v>37137</v>
      </c>
      <c r="O12788" t="s">
        <v>37308</v>
      </c>
      <c r="P12788">
        <v>84100</v>
      </c>
      <c r="Q12788" t="str">
        <f>"37.438604"</f>
        <v>37.438604</v>
      </c>
      <c r="R12788" t="str">
        <f>"24.936943"</f>
        <v>24.936943</v>
      </c>
      <c r="S12788" t="s">
        <v>26</v>
      </c>
    </row>
    <row r="12789" spans="1:19" x14ac:dyDescent="0.3">
      <c r="A12789" t="s">
        <v>35638</v>
      </c>
      <c r="B12789" t="s">
        <v>36946</v>
      </c>
      <c r="C12789" t="s">
        <v>37309</v>
      </c>
      <c r="D12789" t="s">
        <v>36057</v>
      </c>
      <c r="E12789" t="s">
        <v>36057</v>
      </c>
      <c r="F12789" t="s">
        <v>36057</v>
      </c>
      <c r="G12789" t="s">
        <v>36058</v>
      </c>
      <c r="H12789" t="s">
        <v>859</v>
      </c>
      <c r="I12789" t="s">
        <v>860</v>
      </c>
      <c r="J12789" t="str">
        <f>"9290217"</f>
        <v>9290217</v>
      </c>
      <c r="K12789">
        <v>2289027304</v>
      </c>
      <c r="L12789">
        <v>2289027304</v>
      </c>
      <c r="M12789" t="s">
        <v>37310</v>
      </c>
      <c r="N12789" t="s">
        <v>36061</v>
      </c>
      <c r="O12789" t="s">
        <v>37311</v>
      </c>
      <c r="P12789">
        <v>84600</v>
      </c>
      <c r="Q12789" t="str">
        <f>"37.452272"</f>
        <v>37.452272</v>
      </c>
      <c r="R12789" t="str">
        <f>"25.369503"</f>
        <v>25.369503</v>
      </c>
      <c r="S12789" t="s">
        <v>26</v>
      </c>
    </row>
    <row r="12790" spans="1:19" x14ac:dyDescent="0.3">
      <c r="A12790" t="s">
        <v>35638</v>
      </c>
      <c r="B12790" t="s">
        <v>36946</v>
      </c>
      <c r="C12790" t="s">
        <v>37313</v>
      </c>
      <c r="D12790" t="s">
        <v>4806</v>
      </c>
      <c r="E12790" t="s">
        <v>35664</v>
      </c>
      <c r="F12790" t="s">
        <v>36073</v>
      </c>
      <c r="G12790" t="s">
        <v>37312</v>
      </c>
      <c r="H12790" t="s">
        <v>859</v>
      </c>
      <c r="I12790" t="s">
        <v>860</v>
      </c>
      <c r="J12790" t="str">
        <f>"9290261"</f>
        <v>9290261</v>
      </c>
      <c r="K12790">
        <v>2285032448</v>
      </c>
      <c r="L12790">
        <v>2285031161</v>
      </c>
      <c r="M12790" t="s">
        <v>37314</v>
      </c>
      <c r="N12790" t="s">
        <v>37315</v>
      </c>
      <c r="O12790" t="s">
        <v>37315</v>
      </c>
      <c r="P12790">
        <v>84302</v>
      </c>
      <c r="Q12790" t="str">
        <f>"37.050657"</f>
        <v>37.050657</v>
      </c>
      <c r="R12790" t="str">
        <f>"25.478720"</f>
        <v>25.478720</v>
      </c>
      <c r="S12790" t="s">
        <v>26</v>
      </c>
    </row>
    <row r="12791" spans="1:19" x14ac:dyDescent="0.3">
      <c r="A12791" t="s">
        <v>35638</v>
      </c>
      <c r="B12791" t="s">
        <v>36946</v>
      </c>
      <c r="C12791" t="s">
        <v>37316</v>
      </c>
      <c r="D12791" t="s">
        <v>4806</v>
      </c>
      <c r="E12791" t="s">
        <v>35664</v>
      </c>
      <c r="F12791" t="s">
        <v>4806</v>
      </c>
      <c r="G12791" t="s">
        <v>4806</v>
      </c>
      <c r="H12791" t="s">
        <v>859</v>
      </c>
      <c r="I12791" t="s">
        <v>860</v>
      </c>
      <c r="J12791" t="str">
        <f>"9290197"</f>
        <v>9290197</v>
      </c>
      <c r="K12791">
        <v>2285026070</v>
      </c>
      <c r="L12791">
        <v>2285026070</v>
      </c>
      <c r="M12791" t="s">
        <v>37317</v>
      </c>
      <c r="N12791" t="s">
        <v>4806</v>
      </c>
      <c r="O12791" t="s">
        <v>36082</v>
      </c>
      <c r="P12791">
        <v>84300</v>
      </c>
      <c r="Q12791" t="str">
        <f>"37.108549"</f>
        <v>37.108549</v>
      </c>
      <c r="R12791" t="str">
        <f>"25.381276"</f>
        <v>25.381276</v>
      </c>
      <c r="S12791" t="s">
        <v>26</v>
      </c>
    </row>
    <row r="12792" spans="1:19" x14ac:dyDescent="0.3">
      <c r="A12792" t="s">
        <v>35638</v>
      </c>
      <c r="B12792" t="s">
        <v>36946</v>
      </c>
      <c r="C12792" t="s">
        <v>37318</v>
      </c>
      <c r="D12792" t="s">
        <v>4806</v>
      </c>
      <c r="E12792" t="s">
        <v>35664</v>
      </c>
      <c r="F12792" t="s">
        <v>4806</v>
      </c>
      <c r="G12792" t="s">
        <v>4806</v>
      </c>
      <c r="H12792" t="s">
        <v>859</v>
      </c>
      <c r="I12792" t="s">
        <v>860</v>
      </c>
      <c r="J12792" t="str">
        <f>"9290248"</f>
        <v>9290248</v>
      </c>
      <c r="K12792">
        <v>2285023454</v>
      </c>
      <c r="L12792">
        <v>2285023454</v>
      </c>
      <c r="M12792" t="s">
        <v>37319</v>
      </c>
      <c r="N12792" t="s">
        <v>36077</v>
      </c>
      <c r="O12792" t="s">
        <v>8806</v>
      </c>
      <c r="P12792">
        <v>84300</v>
      </c>
      <c r="Q12792" t="str">
        <f>"37.097229"</f>
        <v>37.097229</v>
      </c>
      <c r="R12792" t="str">
        <f>"25.379810"</f>
        <v>25.379810</v>
      </c>
      <c r="S12792" t="s">
        <v>26</v>
      </c>
    </row>
    <row r="12793" spans="1:19" x14ac:dyDescent="0.3">
      <c r="A12793" t="s">
        <v>35638</v>
      </c>
      <c r="B12793" t="s">
        <v>36946</v>
      </c>
      <c r="C12793" t="s">
        <v>37323</v>
      </c>
      <c r="D12793" t="s">
        <v>36095</v>
      </c>
      <c r="E12793" t="s">
        <v>36095</v>
      </c>
      <c r="F12793" t="s">
        <v>36095</v>
      </c>
      <c r="G12793" t="s">
        <v>36095</v>
      </c>
      <c r="H12793" t="s">
        <v>859</v>
      </c>
      <c r="I12793" t="s">
        <v>860</v>
      </c>
      <c r="J12793" t="str">
        <f>"9290084"</f>
        <v>9290084</v>
      </c>
      <c r="K12793">
        <v>2282023190</v>
      </c>
      <c r="L12793">
        <v>2282023190</v>
      </c>
      <c r="M12793" t="s">
        <v>37324</v>
      </c>
      <c r="N12793" t="s">
        <v>37325</v>
      </c>
      <c r="O12793" t="s">
        <v>36100</v>
      </c>
      <c r="P12793">
        <v>84500</v>
      </c>
      <c r="Q12793" t="str">
        <f>"37.835049"</f>
        <v>37.835049</v>
      </c>
      <c r="R12793" t="str">
        <f>"24.933450"</f>
        <v>24.933450</v>
      </c>
      <c r="S12793" t="s">
        <v>26</v>
      </c>
    </row>
    <row r="12794" spans="1:19" x14ac:dyDescent="0.3">
      <c r="A12794" t="s">
        <v>35638</v>
      </c>
      <c r="B12794" t="s">
        <v>36946</v>
      </c>
      <c r="C12794" t="s">
        <v>37328</v>
      </c>
      <c r="D12794" t="s">
        <v>36021</v>
      </c>
      <c r="E12794" t="s">
        <v>36021</v>
      </c>
      <c r="F12794" t="s">
        <v>36021</v>
      </c>
      <c r="G12794" t="s">
        <v>36172</v>
      </c>
      <c r="H12794" t="s">
        <v>859</v>
      </c>
      <c r="I12794" t="s">
        <v>860</v>
      </c>
      <c r="J12794" t="str">
        <f>"9290275"</f>
        <v>9290275</v>
      </c>
      <c r="K12794">
        <v>2286081890</v>
      </c>
      <c r="M12794" t="s">
        <v>37329</v>
      </c>
      <c r="N12794" t="s">
        <v>36172</v>
      </c>
      <c r="O12794" t="s">
        <v>37330</v>
      </c>
      <c r="P12794">
        <v>84703</v>
      </c>
      <c r="Q12794" t="str">
        <f>"36.351944"</f>
        <v>36.351944</v>
      </c>
      <c r="R12794" t="str">
        <f>"25.471667"</f>
        <v>25.471667</v>
      </c>
      <c r="S12794" t="s">
        <v>26</v>
      </c>
    </row>
    <row r="12795" spans="1:19" x14ac:dyDescent="0.3">
      <c r="A12795" t="s">
        <v>35638</v>
      </c>
      <c r="B12795" t="s">
        <v>36946</v>
      </c>
      <c r="C12795" t="s">
        <v>37339</v>
      </c>
      <c r="D12795" t="s">
        <v>36021</v>
      </c>
      <c r="E12795" t="s">
        <v>36021</v>
      </c>
      <c r="F12795" t="s">
        <v>36021</v>
      </c>
      <c r="G12795" t="s">
        <v>33268</v>
      </c>
      <c r="H12795" t="s">
        <v>859</v>
      </c>
      <c r="I12795" t="s">
        <v>860</v>
      </c>
      <c r="J12795" t="str">
        <f>"9290276"</f>
        <v>9290276</v>
      </c>
      <c r="K12795">
        <v>2286083042</v>
      </c>
      <c r="L12795">
        <v>2286083042</v>
      </c>
      <c r="M12795" t="s">
        <v>37340</v>
      </c>
      <c r="N12795" t="s">
        <v>37341</v>
      </c>
      <c r="O12795" t="s">
        <v>37342</v>
      </c>
      <c r="P12795">
        <v>84700</v>
      </c>
      <c r="Q12795" t="str">
        <f>"36.361939"</f>
        <v>36.361939</v>
      </c>
      <c r="R12795" t="str">
        <f>"25.419160"</f>
        <v>25.419160</v>
      </c>
      <c r="S12795" t="s">
        <v>26</v>
      </c>
    </row>
    <row r="12796" spans="1:19" x14ac:dyDescent="0.3">
      <c r="A12796" t="s">
        <v>35638</v>
      </c>
      <c r="B12796" t="s">
        <v>36946</v>
      </c>
      <c r="C12796" t="s">
        <v>37345</v>
      </c>
      <c r="D12796" t="s">
        <v>36021</v>
      </c>
      <c r="E12796" t="s">
        <v>36021</v>
      </c>
      <c r="F12796" t="s">
        <v>36021</v>
      </c>
      <c r="G12796" t="s">
        <v>37344</v>
      </c>
      <c r="H12796" t="s">
        <v>859</v>
      </c>
      <c r="I12796" t="s">
        <v>860</v>
      </c>
      <c r="J12796" t="str">
        <f>"9520758"</f>
        <v>9520758</v>
      </c>
      <c r="K12796">
        <v>2286023060</v>
      </c>
      <c r="L12796">
        <v>2286023060</v>
      </c>
      <c r="M12796" t="s">
        <v>37346</v>
      </c>
      <c r="N12796" t="s">
        <v>37347</v>
      </c>
      <c r="O12796" t="s">
        <v>37348</v>
      </c>
      <c r="P12796">
        <v>84700</v>
      </c>
      <c r="Q12796" t="str">
        <f>"36.434667"</f>
        <v>36.434667</v>
      </c>
      <c r="R12796" t="str">
        <f>"25.435847"</f>
        <v>25.435847</v>
      </c>
      <c r="S12796" t="s">
        <v>26</v>
      </c>
    </row>
    <row r="12797" spans="1:19" x14ac:dyDescent="0.3">
      <c r="A12797" t="s">
        <v>35638</v>
      </c>
      <c r="B12797" t="s">
        <v>36946</v>
      </c>
      <c r="C12797" t="s">
        <v>37349</v>
      </c>
      <c r="D12797" t="s">
        <v>36021</v>
      </c>
      <c r="E12797" t="s">
        <v>36021</v>
      </c>
      <c r="F12797" t="s">
        <v>36021</v>
      </c>
      <c r="G12797" t="s">
        <v>36021</v>
      </c>
      <c r="H12797" t="s">
        <v>859</v>
      </c>
      <c r="I12797" t="s">
        <v>860</v>
      </c>
      <c r="J12797" t="str">
        <f>"9290176"</f>
        <v>9290176</v>
      </c>
      <c r="K12797">
        <v>2286023423</v>
      </c>
      <c r="L12797">
        <v>2286023423</v>
      </c>
      <c r="M12797" t="s">
        <v>37350</v>
      </c>
      <c r="N12797" t="s">
        <v>37351</v>
      </c>
      <c r="O12797" t="s">
        <v>36195</v>
      </c>
      <c r="P12797">
        <v>84700</v>
      </c>
      <c r="Q12797" t="str">
        <f>"36.422837"</f>
        <v>36.422837</v>
      </c>
      <c r="R12797" t="str">
        <f>"25.431305"</f>
        <v>25.431305</v>
      </c>
      <c r="S12797" t="s">
        <v>26</v>
      </c>
    </row>
    <row r="12798" spans="1:19" x14ac:dyDescent="0.3">
      <c r="A12798" t="s">
        <v>35638</v>
      </c>
      <c r="B12798" t="s">
        <v>36946</v>
      </c>
      <c r="C12798" t="s">
        <v>37352</v>
      </c>
      <c r="D12798" t="s">
        <v>36021</v>
      </c>
      <c r="E12798" t="s">
        <v>36021</v>
      </c>
      <c r="F12798" t="s">
        <v>36021</v>
      </c>
      <c r="G12798" t="s">
        <v>36047</v>
      </c>
      <c r="H12798" t="s">
        <v>859</v>
      </c>
      <c r="I12798" t="s">
        <v>860</v>
      </c>
      <c r="J12798" t="str">
        <f>"9290240"</f>
        <v>9290240</v>
      </c>
      <c r="K12798">
        <v>2286031076</v>
      </c>
      <c r="L12798">
        <v>2286031076</v>
      </c>
      <c r="M12798" t="s">
        <v>37353</v>
      </c>
      <c r="N12798" t="s">
        <v>37354</v>
      </c>
      <c r="O12798" t="s">
        <v>36051</v>
      </c>
      <c r="P12798">
        <v>84700</v>
      </c>
      <c r="Q12798" t="str">
        <f>"36.398721"</f>
        <v>36.398721</v>
      </c>
      <c r="R12798" t="str">
        <f>"25.451058"</f>
        <v>25.451058</v>
      </c>
      <c r="S12798" t="s">
        <v>26</v>
      </c>
    </row>
    <row r="12799" spans="1:19" x14ac:dyDescent="0.3">
      <c r="A12799" t="s">
        <v>35638</v>
      </c>
      <c r="B12799" t="s">
        <v>36946</v>
      </c>
      <c r="C12799" t="s">
        <v>37360</v>
      </c>
      <c r="D12799" t="s">
        <v>35644</v>
      </c>
      <c r="E12799" t="s">
        <v>35645</v>
      </c>
      <c r="F12799" t="s">
        <v>35646</v>
      </c>
      <c r="G12799" t="s">
        <v>35646</v>
      </c>
      <c r="H12799" t="s">
        <v>859</v>
      </c>
      <c r="I12799" t="s">
        <v>860</v>
      </c>
      <c r="J12799" t="str">
        <f>"9290180"</f>
        <v>9290180</v>
      </c>
      <c r="K12799">
        <v>2281088661</v>
      </c>
      <c r="L12799">
        <v>2281088661</v>
      </c>
      <c r="M12799" t="s">
        <v>37361</v>
      </c>
      <c r="N12799" t="s">
        <v>37137</v>
      </c>
      <c r="O12799" t="s">
        <v>37359</v>
      </c>
      <c r="P12799">
        <v>84100</v>
      </c>
      <c r="Q12799" t="str">
        <f>"37.448721"</f>
        <v>37.448721</v>
      </c>
      <c r="R12799" t="str">
        <f>"24.944665"</f>
        <v>24.944665</v>
      </c>
      <c r="S12799" t="s">
        <v>26</v>
      </c>
    </row>
    <row r="12800" spans="1:19" x14ac:dyDescent="0.3">
      <c r="A12800" t="s">
        <v>35638</v>
      </c>
      <c r="B12800" t="s">
        <v>36946</v>
      </c>
      <c r="C12800" t="s">
        <v>37363</v>
      </c>
      <c r="D12800" t="s">
        <v>4806</v>
      </c>
      <c r="E12800" t="s">
        <v>35664</v>
      </c>
      <c r="F12800" t="s">
        <v>4806</v>
      </c>
      <c r="G12800" t="s">
        <v>37362</v>
      </c>
      <c r="H12800" t="s">
        <v>859</v>
      </c>
      <c r="I12800" t="s">
        <v>860</v>
      </c>
      <c r="J12800" t="str">
        <f>"9290202"</f>
        <v>9290202</v>
      </c>
      <c r="K12800">
        <v>2285042482</v>
      </c>
      <c r="L12800">
        <v>2285042482</v>
      </c>
      <c r="M12800" t="s">
        <v>37364</v>
      </c>
      <c r="N12800" t="s">
        <v>37365</v>
      </c>
      <c r="O12800" t="s">
        <v>37366</v>
      </c>
      <c r="P12800">
        <v>84300</v>
      </c>
      <c r="Q12800" t="str">
        <f>"37.070770"</f>
        <v>37.070770</v>
      </c>
      <c r="R12800" t="str">
        <f>"25.402454"</f>
        <v>25.402454</v>
      </c>
      <c r="S12800" t="s">
        <v>26</v>
      </c>
    </row>
    <row r="12801" spans="1:19" x14ac:dyDescent="0.3">
      <c r="A12801" t="s">
        <v>35638</v>
      </c>
      <c r="B12801" t="s">
        <v>36946</v>
      </c>
      <c r="C12801" t="s">
        <v>37369</v>
      </c>
      <c r="D12801" t="s">
        <v>4806</v>
      </c>
      <c r="E12801" t="s">
        <v>35664</v>
      </c>
      <c r="F12801" t="s">
        <v>36073</v>
      </c>
      <c r="G12801" t="s">
        <v>37089</v>
      </c>
      <c r="H12801" t="s">
        <v>859</v>
      </c>
      <c r="I12801" t="s">
        <v>860</v>
      </c>
      <c r="J12801" t="str">
        <f>"9520929"</f>
        <v>9520929</v>
      </c>
      <c r="K12801">
        <v>2285031368</v>
      </c>
      <c r="M12801" t="s">
        <v>37370</v>
      </c>
      <c r="N12801" t="s">
        <v>37371</v>
      </c>
      <c r="O12801" t="s">
        <v>37092</v>
      </c>
      <c r="P12801">
        <v>84302</v>
      </c>
      <c r="Q12801" t="str">
        <f>"37.081873"</f>
        <v>37.081873</v>
      </c>
      <c r="R12801" t="str">
        <f>"25.497084"</f>
        <v>25.497084</v>
      </c>
      <c r="S12801" t="s">
        <v>57</v>
      </c>
    </row>
    <row r="12802" spans="1:19" x14ac:dyDescent="0.3">
      <c r="A12802" t="s">
        <v>35638</v>
      </c>
      <c r="B12802" t="s">
        <v>36946</v>
      </c>
      <c r="C12802" t="s">
        <v>37372</v>
      </c>
      <c r="D12802" t="s">
        <v>4806</v>
      </c>
      <c r="E12802" t="s">
        <v>35664</v>
      </c>
      <c r="F12802" t="s">
        <v>36073</v>
      </c>
      <c r="G12802" t="s">
        <v>37003</v>
      </c>
      <c r="H12802" t="s">
        <v>859</v>
      </c>
      <c r="I12802" t="s">
        <v>860</v>
      </c>
      <c r="J12802" t="str">
        <f>"9520681"</f>
        <v>9520681</v>
      </c>
      <c r="K12802">
        <v>2285067012</v>
      </c>
      <c r="L12802">
        <v>2285067012</v>
      </c>
      <c r="N12802" t="s">
        <v>36669</v>
      </c>
      <c r="O12802" t="s">
        <v>37338</v>
      </c>
      <c r="P12802">
        <v>84301</v>
      </c>
      <c r="Q12802" t="str">
        <f>"37.178805"</f>
        <v>37.178805</v>
      </c>
      <c r="R12802" t="str">
        <f>"25.550341"</f>
        <v>25.550341</v>
      </c>
      <c r="S12802" t="s">
        <v>57</v>
      </c>
    </row>
    <row r="12803" spans="1:19" x14ac:dyDescent="0.3">
      <c r="A12803" t="s">
        <v>35638</v>
      </c>
      <c r="B12803" t="s">
        <v>36946</v>
      </c>
      <c r="C12803" t="s">
        <v>37373</v>
      </c>
      <c r="D12803" t="s">
        <v>4806</v>
      </c>
      <c r="E12803" t="s">
        <v>35664</v>
      </c>
      <c r="F12803" t="s">
        <v>36211</v>
      </c>
      <c r="G12803" t="s">
        <v>36211</v>
      </c>
      <c r="H12803" t="s">
        <v>859</v>
      </c>
      <c r="I12803" t="s">
        <v>860</v>
      </c>
      <c r="J12803" t="str">
        <f>"9290282"</f>
        <v>9290282</v>
      </c>
      <c r="K12803">
        <v>2285079038</v>
      </c>
      <c r="M12803" t="s">
        <v>37374</v>
      </c>
      <c r="N12803" t="s">
        <v>36214</v>
      </c>
      <c r="O12803" t="s">
        <v>37375</v>
      </c>
      <c r="P12803">
        <v>84300</v>
      </c>
      <c r="Q12803" t="str">
        <f>"37.101611"</f>
        <v>37.101611</v>
      </c>
      <c r="R12803" t="str">
        <f>"25.796277"</f>
        <v>25.796277</v>
      </c>
      <c r="S12803" t="s">
        <v>57</v>
      </c>
    </row>
    <row r="12804" spans="1:19" x14ac:dyDescent="0.3">
      <c r="A12804" t="s">
        <v>35638</v>
      </c>
      <c r="B12804" t="s">
        <v>36946</v>
      </c>
      <c r="C12804" t="s">
        <v>37376</v>
      </c>
      <c r="D12804" t="s">
        <v>36095</v>
      </c>
      <c r="E12804" t="s">
        <v>36095</v>
      </c>
      <c r="F12804" t="s">
        <v>36107</v>
      </c>
      <c r="G12804" t="s">
        <v>36108</v>
      </c>
      <c r="H12804" t="s">
        <v>859</v>
      </c>
      <c r="I12804" t="s">
        <v>860</v>
      </c>
      <c r="J12804" t="str">
        <f>"9290192"</f>
        <v>9290192</v>
      </c>
      <c r="K12804">
        <v>2282061844</v>
      </c>
      <c r="L12804">
        <v>2282061844</v>
      </c>
      <c r="M12804" t="s">
        <v>37377</v>
      </c>
      <c r="N12804" t="s">
        <v>36108</v>
      </c>
      <c r="O12804" t="s">
        <v>37378</v>
      </c>
      <c r="P12804">
        <v>84502</v>
      </c>
      <c r="Q12804" t="str">
        <f>"37.750546"</f>
        <v>37.750546</v>
      </c>
      <c r="R12804" t="str">
        <f>"24.946660"</f>
        <v>24.946660</v>
      </c>
      <c r="S12804" t="s">
        <v>26</v>
      </c>
    </row>
    <row r="12805" spans="1:19" x14ac:dyDescent="0.3">
      <c r="A12805" t="s">
        <v>35638</v>
      </c>
      <c r="B12805" t="s">
        <v>36946</v>
      </c>
      <c r="C12805" t="s">
        <v>37379</v>
      </c>
      <c r="D12805" t="s">
        <v>36021</v>
      </c>
      <c r="E12805" t="s">
        <v>36102</v>
      </c>
      <c r="F12805" t="s">
        <v>36102</v>
      </c>
      <c r="G12805" t="s">
        <v>36102</v>
      </c>
      <c r="H12805" t="s">
        <v>859</v>
      </c>
      <c r="I12805" t="s">
        <v>860</v>
      </c>
      <c r="J12805" t="str">
        <f>"9290178"</f>
        <v>9290178</v>
      </c>
      <c r="K12805">
        <v>2286091492</v>
      </c>
      <c r="L12805">
        <v>2286091492</v>
      </c>
      <c r="M12805" t="s">
        <v>37380</v>
      </c>
      <c r="N12805" t="s">
        <v>37381</v>
      </c>
      <c r="O12805" t="s">
        <v>37139</v>
      </c>
      <c r="P12805">
        <v>84001</v>
      </c>
      <c r="Q12805" t="str">
        <f>"36.895696"</f>
        <v>36.895696</v>
      </c>
      <c r="R12805" t="str">
        <f>"25.177041"</f>
        <v>25.177041</v>
      </c>
      <c r="S12805" t="s">
        <v>57</v>
      </c>
    </row>
    <row r="12806" spans="1:19" x14ac:dyDescent="0.3">
      <c r="A12806" t="s">
        <v>35638</v>
      </c>
      <c r="B12806" t="s">
        <v>36946</v>
      </c>
      <c r="C12806" t="s">
        <v>37387</v>
      </c>
      <c r="D12806" t="s">
        <v>36133</v>
      </c>
      <c r="E12806" t="s">
        <v>36133</v>
      </c>
      <c r="F12806" t="s">
        <v>36133</v>
      </c>
      <c r="G12806" t="s">
        <v>37386</v>
      </c>
      <c r="H12806" t="s">
        <v>859</v>
      </c>
      <c r="I12806" t="s">
        <v>860</v>
      </c>
      <c r="J12806" t="str">
        <f>"9290237"</f>
        <v>9290237</v>
      </c>
      <c r="K12806">
        <v>2284041793</v>
      </c>
      <c r="L12806">
        <v>2284041793</v>
      </c>
      <c r="M12806" t="s">
        <v>37388</v>
      </c>
      <c r="N12806" t="s">
        <v>37389</v>
      </c>
      <c r="O12806" t="s">
        <v>37390</v>
      </c>
      <c r="P12806">
        <v>84400</v>
      </c>
      <c r="Q12806" t="str">
        <f>"37.057032"</f>
        <v>37.057032</v>
      </c>
      <c r="R12806" t="str">
        <f>"25.207475"</f>
        <v>25.207475</v>
      </c>
      <c r="S12806" t="s">
        <v>26</v>
      </c>
    </row>
    <row r="12807" spans="1:19" x14ac:dyDescent="0.3">
      <c r="A12807" t="s">
        <v>35638</v>
      </c>
      <c r="B12807" t="s">
        <v>36946</v>
      </c>
      <c r="C12807" t="s">
        <v>37391</v>
      </c>
      <c r="D12807" t="s">
        <v>36133</v>
      </c>
      <c r="E12807" t="s">
        <v>36133</v>
      </c>
      <c r="F12807" t="s">
        <v>36133</v>
      </c>
      <c r="G12807" t="s">
        <v>36947</v>
      </c>
      <c r="H12807" t="s">
        <v>859</v>
      </c>
      <c r="I12807" t="s">
        <v>860</v>
      </c>
      <c r="J12807" t="str">
        <f>"9290207"</f>
        <v>9290207</v>
      </c>
      <c r="K12807">
        <v>2284041229</v>
      </c>
      <c r="L12807">
        <v>2284041229</v>
      </c>
      <c r="M12807" t="s">
        <v>37392</v>
      </c>
      <c r="N12807" t="s">
        <v>37393</v>
      </c>
      <c r="O12807" t="s">
        <v>36949</v>
      </c>
      <c r="P12807">
        <v>84400</v>
      </c>
      <c r="Q12807" t="str">
        <f>"37.040525"</f>
        <v>37.040525</v>
      </c>
      <c r="R12807" t="str">
        <f>"25.247638"</f>
        <v>25.247638</v>
      </c>
      <c r="S12807" t="s">
        <v>26</v>
      </c>
    </row>
    <row r="12808" spans="1:19" x14ac:dyDescent="0.3">
      <c r="A12808" t="s">
        <v>35638</v>
      </c>
      <c r="B12808" t="s">
        <v>36946</v>
      </c>
      <c r="C12808" t="s">
        <v>37398</v>
      </c>
      <c r="D12808" t="s">
        <v>36021</v>
      </c>
      <c r="E12808" t="s">
        <v>36022</v>
      </c>
      <c r="F12808" t="s">
        <v>36022</v>
      </c>
      <c r="G12808" t="s">
        <v>37397</v>
      </c>
      <c r="H12808" t="s">
        <v>859</v>
      </c>
      <c r="I12808" t="s">
        <v>860</v>
      </c>
      <c r="J12808" t="str">
        <f>"9290265"</f>
        <v>9290265</v>
      </c>
      <c r="K12808">
        <v>2286041460</v>
      </c>
      <c r="L12808">
        <v>2286041460</v>
      </c>
      <c r="M12808" t="s">
        <v>37399</v>
      </c>
      <c r="N12808" t="s">
        <v>37400</v>
      </c>
      <c r="O12808" t="s">
        <v>37401</v>
      </c>
      <c r="P12808">
        <v>84011</v>
      </c>
      <c r="Q12808" t="str">
        <f>"36.642894"</f>
        <v>36.642894</v>
      </c>
      <c r="R12808" t="str">
        <f>"24.889846"</f>
        <v>24.889846</v>
      </c>
      <c r="S12808" t="s">
        <v>57</v>
      </c>
    </row>
    <row r="12809" spans="1:19" x14ac:dyDescent="0.3">
      <c r="A12809" t="s">
        <v>35638</v>
      </c>
      <c r="B12809" t="s">
        <v>36946</v>
      </c>
      <c r="C12809" t="s">
        <v>37402</v>
      </c>
      <c r="D12809" t="s">
        <v>35644</v>
      </c>
      <c r="E12809" t="s">
        <v>35645</v>
      </c>
      <c r="F12809" t="s">
        <v>35646</v>
      </c>
      <c r="G12809" t="s">
        <v>35646</v>
      </c>
      <c r="H12809" t="s">
        <v>859</v>
      </c>
      <c r="I12809" t="s">
        <v>860</v>
      </c>
      <c r="J12809" t="str">
        <f>"9290179"</f>
        <v>9290179</v>
      </c>
      <c r="K12809">
        <v>2281085147</v>
      </c>
      <c r="M12809" t="s">
        <v>37403</v>
      </c>
      <c r="N12809" t="s">
        <v>37404</v>
      </c>
      <c r="O12809" t="s">
        <v>37405</v>
      </c>
      <c r="P12809">
        <v>84100</v>
      </c>
      <c r="Q12809" t="str">
        <f>"37.446565"</f>
        <v>37.446565</v>
      </c>
      <c r="R12809" t="str">
        <f>"24.934266"</f>
        <v>24.934266</v>
      </c>
      <c r="S12809" t="s">
        <v>26</v>
      </c>
    </row>
    <row r="12810" spans="1:19" x14ac:dyDescent="0.3">
      <c r="A12810" t="s">
        <v>35638</v>
      </c>
      <c r="B12810" t="s">
        <v>36946</v>
      </c>
      <c r="C12810" t="s">
        <v>37406</v>
      </c>
      <c r="D12810" t="s">
        <v>35644</v>
      </c>
      <c r="E12810" t="s">
        <v>35645</v>
      </c>
      <c r="F12810" t="s">
        <v>35646</v>
      </c>
      <c r="G12810" t="s">
        <v>35646</v>
      </c>
      <c r="H12810" t="s">
        <v>859</v>
      </c>
      <c r="I12810" t="s">
        <v>860</v>
      </c>
      <c r="J12810" t="str">
        <f>"9290126"</f>
        <v>9290126</v>
      </c>
      <c r="K12810">
        <v>2281088982</v>
      </c>
      <c r="L12810">
        <v>2281076438</v>
      </c>
      <c r="M12810" t="s">
        <v>37407</v>
      </c>
      <c r="N12810" t="s">
        <v>37358</v>
      </c>
      <c r="O12810" t="s">
        <v>782</v>
      </c>
      <c r="P12810">
        <v>84100</v>
      </c>
      <c r="Q12810" t="str">
        <f>"37.445405"</f>
        <v>37.445405</v>
      </c>
      <c r="R12810" t="str">
        <f>"24.941312"</f>
        <v>24.941312</v>
      </c>
      <c r="S12810" t="s">
        <v>26</v>
      </c>
    </row>
    <row r="12811" spans="1:19" x14ac:dyDescent="0.3">
      <c r="A12811" t="s">
        <v>35638</v>
      </c>
      <c r="B12811" t="s">
        <v>36946</v>
      </c>
      <c r="C12811" t="s">
        <v>37408</v>
      </c>
      <c r="D12811" t="s">
        <v>4806</v>
      </c>
      <c r="E12811" t="s">
        <v>36090</v>
      </c>
      <c r="F12811" t="s">
        <v>36090</v>
      </c>
      <c r="G12811" t="s">
        <v>36979</v>
      </c>
      <c r="H12811" t="s">
        <v>859</v>
      </c>
      <c r="I12811" t="s">
        <v>860</v>
      </c>
      <c r="J12811" t="str">
        <f>"9290250"</f>
        <v>9290250</v>
      </c>
      <c r="K12811">
        <v>2285071804</v>
      </c>
      <c r="L12811">
        <v>2285071804</v>
      </c>
      <c r="M12811" t="s">
        <v>37409</v>
      </c>
      <c r="N12811" t="s">
        <v>37410</v>
      </c>
      <c r="O12811" t="s">
        <v>37411</v>
      </c>
      <c r="P12811">
        <v>84008</v>
      </c>
      <c r="Q12811" t="str">
        <f>"36.827642"</f>
        <v>36.827642</v>
      </c>
      <c r="R12811" t="str">
        <f>"25.870576"</f>
        <v>25.870576</v>
      </c>
      <c r="S12811" t="s">
        <v>57</v>
      </c>
    </row>
    <row r="12812" spans="1:19" x14ac:dyDescent="0.3">
      <c r="A12812" t="s">
        <v>35638</v>
      </c>
      <c r="B12812" t="s">
        <v>36946</v>
      </c>
      <c r="C12812" t="s">
        <v>37412</v>
      </c>
      <c r="D12812" t="s">
        <v>4806</v>
      </c>
      <c r="E12812" t="s">
        <v>35664</v>
      </c>
      <c r="F12812" t="s">
        <v>36073</v>
      </c>
      <c r="G12812" t="s">
        <v>36975</v>
      </c>
      <c r="H12812" t="s">
        <v>859</v>
      </c>
      <c r="I12812" t="s">
        <v>860</v>
      </c>
      <c r="J12812" t="str">
        <f>"9290205"</f>
        <v>9290205</v>
      </c>
      <c r="K12812">
        <v>2285061391</v>
      </c>
      <c r="L12812">
        <v>2285061391</v>
      </c>
      <c r="M12812" t="s">
        <v>37413</v>
      </c>
      <c r="N12812" t="s">
        <v>37414</v>
      </c>
      <c r="O12812" t="s">
        <v>37414</v>
      </c>
      <c r="P12812">
        <v>84302</v>
      </c>
      <c r="Q12812" t="str">
        <f>"37.072311"</f>
        <v>37.072311</v>
      </c>
      <c r="R12812" t="str">
        <f>"25.522273"</f>
        <v>25.522273</v>
      </c>
      <c r="S12812" t="s">
        <v>57</v>
      </c>
    </row>
    <row r="12813" spans="1:19" x14ac:dyDescent="0.3">
      <c r="A12813" t="s">
        <v>35638</v>
      </c>
      <c r="B12813" t="s">
        <v>36946</v>
      </c>
      <c r="C12813" t="s">
        <v>37415</v>
      </c>
      <c r="D12813" t="s">
        <v>4806</v>
      </c>
      <c r="E12813" t="s">
        <v>35664</v>
      </c>
      <c r="F12813" t="s">
        <v>36183</v>
      </c>
      <c r="G12813" t="s">
        <v>36183</v>
      </c>
      <c r="H12813" t="s">
        <v>859</v>
      </c>
      <c r="I12813" t="s">
        <v>860</v>
      </c>
      <c r="J12813" t="str">
        <f>"9520680"</f>
        <v>9520680</v>
      </c>
      <c r="K12813">
        <v>2285072028</v>
      </c>
      <c r="L12813">
        <v>2285074284</v>
      </c>
      <c r="M12813" t="s">
        <v>37416</v>
      </c>
      <c r="N12813" t="s">
        <v>37417</v>
      </c>
      <c r="O12813" t="s">
        <v>37045</v>
      </c>
      <c r="P12813">
        <v>84300</v>
      </c>
      <c r="Q12813" t="str">
        <f>"36.870156"</f>
        <v>36.870156</v>
      </c>
      <c r="R12813" t="str">
        <f>"25.520004"</f>
        <v>25.520004</v>
      </c>
      <c r="S12813" t="s">
        <v>57</v>
      </c>
    </row>
    <row r="12814" spans="1:19" x14ac:dyDescent="0.3">
      <c r="A12814" t="s">
        <v>35638</v>
      </c>
      <c r="B12814" t="s">
        <v>36946</v>
      </c>
      <c r="C12814" t="s">
        <v>37437</v>
      </c>
      <c r="D12814" t="s">
        <v>36028</v>
      </c>
      <c r="E12814" t="s">
        <v>36084</v>
      </c>
      <c r="F12814" t="s">
        <v>36084</v>
      </c>
      <c r="G12814" t="s">
        <v>25777</v>
      </c>
      <c r="H12814" t="s">
        <v>859</v>
      </c>
      <c r="I12814" t="s">
        <v>860</v>
      </c>
      <c r="J12814" t="str">
        <f>"9290194"</f>
        <v>9290194</v>
      </c>
      <c r="K12814">
        <v>2284032208</v>
      </c>
      <c r="L12814">
        <v>2284032208</v>
      </c>
      <c r="M12814" t="s">
        <v>37438</v>
      </c>
      <c r="N12814" t="s">
        <v>25777</v>
      </c>
      <c r="O12814" t="s">
        <v>36088</v>
      </c>
      <c r="P12814">
        <v>84003</v>
      </c>
      <c r="Q12814" t="str">
        <f>"36.970137"</f>
        <v>36.970137</v>
      </c>
      <c r="R12814" t="str">
        <f>"24.724453"</f>
        <v>24.724453</v>
      </c>
      <c r="S12814" t="s">
        <v>57</v>
      </c>
    </row>
    <row r="12815" spans="1:19" x14ac:dyDescent="0.3">
      <c r="A12815" t="s">
        <v>35638</v>
      </c>
      <c r="B12815" t="s">
        <v>36946</v>
      </c>
      <c r="C12815" t="s">
        <v>37439</v>
      </c>
      <c r="D12815" t="s">
        <v>4806</v>
      </c>
      <c r="E12815" t="s">
        <v>35664</v>
      </c>
      <c r="F12815" t="s">
        <v>36189</v>
      </c>
      <c r="G12815" t="s">
        <v>36189</v>
      </c>
      <c r="H12815" t="s">
        <v>859</v>
      </c>
      <c r="I12815" t="s">
        <v>860</v>
      </c>
      <c r="J12815" t="str">
        <f>"9290253"</f>
        <v>9290253</v>
      </c>
      <c r="K12815">
        <v>2285071391</v>
      </c>
      <c r="L12815">
        <v>2285071391</v>
      </c>
      <c r="M12815" t="s">
        <v>37440</v>
      </c>
      <c r="N12815" t="s">
        <v>36189</v>
      </c>
      <c r="O12815" t="s">
        <v>36192</v>
      </c>
      <c r="P12815">
        <v>84300</v>
      </c>
      <c r="Q12815" t="str">
        <f>"36.935119"</f>
        <v>36.935119</v>
      </c>
      <c r="R12815" t="str">
        <f>"25.601397"</f>
        <v>25.601397</v>
      </c>
      <c r="S12815" t="s">
        <v>57</v>
      </c>
    </row>
    <row r="12816" spans="1:19" x14ac:dyDescent="0.3">
      <c r="A12816" t="s">
        <v>35638</v>
      </c>
      <c r="B12816" t="s">
        <v>36946</v>
      </c>
      <c r="C12816" t="s">
        <v>37441</v>
      </c>
      <c r="D12816" t="s">
        <v>4806</v>
      </c>
      <c r="E12816" t="s">
        <v>35664</v>
      </c>
      <c r="F12816" t="s">
        <v>36073</v>
      </c>
      <c r="G12816" t="s">
        <v>36074</v>
      </c>
      <c r="H12816" t="s">
        <v>859</v>
      </c>
      <c r="I12816" t="s">
        <v>860</v>
      </c>
      <c r="J12816" t="str">
        <f>"9290064"</f>
        <v>9290064</v>
      </c>
      <c r="K12816">
        <v>2285032660</v>
      </c>
      <c r="L12816">
        <v>2285032660</v>
      </c>
      <c r="M12816" t="s">
        <v>37442</v>
      </c>
      <c r="N12816" t="s">
        <v>37443</v>
      </c>
      <c r="O12816" t="s">
        <v>37443</v>
      </c>
      <c r="P12816">
        <v>84302</v>
      </c>
      <c r="Q12816" t="str">
        <f>"37.051443"</f>
        <v>37.051443</v>
      </c>
      <c r="R12816" t="str">
        <f>"25.498356"</f>
        <v>25.498356</v>
      </c>
      <c r="S12816" t="s">
        <v>26</v>
      </c>
    </row>
    <row r="12817" spans="1:19" x14ac:dyDescent="0.3">
      <c r="A12817" t="s">
        <v>35638</v>
      </c>
      <c r="B12817" t="s">
        <v>36946</v>
      </c>
      <c r="C12817" t="s">
        <v>37452</v>
      </c>
      <c r="D12817" t="s">
        <v>4806</v>
      </c>
      <c r="E12817" t="s">
        <v>35664</v>
      </c>
      <c r="F12817" t="s">
        <v>4806</v>
      </c>
      <c r="G12817" t="s">
        <v>36035</v>
      </c>
      <c r="H12817" t="s">
        <v>859</v>
      </c>
      <c r="I12817" t="s">
        <v>860</v>
      </c>
      <c r="J12817" t="str">
        <f>"9290203"</f>
        <v>9290203</v>
      </c>
      <c r="K12817">
        <v>2285041339</v>
      </c>
      <c r="L12817">
        <v>2285041339</v>
      </c>
      <c r="M12817" t="s">
        <v>37453</v>
      </c>
      <c r="N12817" t="s">
        <v>36038</v>
      </c>
      <c r="O12817" t="s">
        <v>36038</v>
      </c>
      <c r="P12817">
        <v>84300</v>
      </c>
      <c r="Q12817" t="str">
        <f>"37.056447"</f>
        <v>37.056447</v>
      </c>
      <c r="R12817" t="str">
        <f>"25.409072"</f>
        <v>25.409072</v>
      </c>
      <c r="S12817" t="s">
        <v>26</v>
      </c>
    </row>
    <row r="12818" spans="1:19" x14ac:dyDescent="0.3">
      <c r="A12818" t="s">
        <v>35638</v>
      </c>
      <c r="B12818" t="s">
        <v>36946</v>
      </c>
      <c r="C12818" t="s">
        <v>37455</v>
      </c>
      <c r="D12818" t="s">
        <v>36021</v>
      </c>
      <c r="E12818" t="s">
        <v>36021</v>
      </c>
      <c r="F12818" t="s">
        <v>36021</v>
      </c>
      <c r="G12818" t="s">
        <v>37454</v>
      </c>
      <c r="H12818" t="s">
        <v>859</v>
      </c>
      <c r="I12818" t="s">
        <v>860</v>
      </c>
      <c r="J12818" t="str">
        <f>"9290283"</f>
        <v>9290283</v>
      </c>
      <c r="K12818">
        <v>2286031078</v>
      </c>
      <c r="L12818">
        <v>2286031078</v>
      </c>
      <c r="M12818" t="s">
        <v>37456</v>
      </c>
      <c r="N12818" t="s">
        <v>37457</v>
      </c>
      <c r="O12818" t="s">
        <v>37457</v>
      </c>
      <c r="P12818">
        <v>84700</v>
      </c>
      <c r="Q12818" t="str">
        <f>"36.393858"</f>
        <v>36.393858</v>
      </c>
      <c r="R12818" t="str">
        <f>"25.450322"</f>
        <v>25.450322</v>
      </c>
      <c r="S12818" t="s">
        <v>26</v>
      </c>
    </row>
    <row r="12819" spans="1:19" x14ac:dyDescent="0.3">
      <c r="A12819" t="s">
        <v>35638</v>
      </c>
      <c r="B12819" t="s">
        <v>36946</v>
      </c>
      <c r="C12819" t="s">
        <v>37458</v>
      </c>
      <c r="D12819" t="s">
        <v>36021</v>
      </c>
      <c r="E12819" t="s">
        <v>36021</v>
      </c>
      <c r="F12819" t="s">
        <v>36244</v>
      </c>
      <c r="G12819" t="s">
        <v>36244</v>
      </c>
      <c r="H12819" t="s">
        <v>859</v>
      </c>
      <c r="I12819" t="s">
        <v>860</v>
      </c>
      <c r="J12819" t="str">
        <f>"9290272"</f>
        <v>9290272</v>
      </c>
      <c r="K12819">
        <v>2286072384</v>
      </c>
      <c r="L12819">
        <v>2286072384</v>
      </c>
      <c r="M12819" t="s">
        <v>37459</v>
      </c>
      <c r="N12819" t="s">
        <v>37460</v>
      </c>
      <c r="O12819" t="s">
        <v>37293</v>
      </c>
      <c r="P12819">
        <v>84702</v>
      </c>
      <c r="Q12819" t="str">
        <f>"36.461820"</f>
        <v>36.461820</v>
      </c>
      <c r="R12819" t="str">
        <f>"25.375310"</f>
        <v>25.375310</v>
      </c>
      <c r="S12819" t="s">
        <v>26</v>
      </c>
    </row>
    <row r="12820" spans="1:19" x14ac:dyDescent="0.3">
      <c r="A12820" t="s">
        <v>35638</v>
      </c>
      <c r="B12820" t="s">
        <v>36946</v>
      </c>
      <c r="C12820" t="s">
        <v>37461</v>
      </c>
      <c r="D12820" t="s">
        <v>36021</v>
      </c>
      <c r="E12820" t="s">
        <v>36021</v>
      </c>
      <c r="F12820" t="s">
        <v>36021</v>
      </c>
      <c r="G12820" t="s">
        <v>36172</v>
      </c>
      <c r="H12820" t="s">
        <v>859</v>
      </c>
      <c r="I12820" t="s">
        <v>860</v>
      </c>
      <c r="J12820" t="str">
        <f>"9290177"</f>
        <v>9290177</v>
      </c>
      <c r="K12820">
        <v>2286081113</v>
      </c>
      <c r="L12820">
        <v>2286081113</v>
      </c>
      <c r="M12820" t="s">
        <v>37462</v>
      </c>
      <c r="N12820" t="s">
        <v>37463</v>
      </c>
      <c r="O12820" t="s">
        <v>37252</v>
      </c>
      <c r="P12820">
        <v>84703</v>
      </c>
      <c r="Q12820" t="str">
        <f>"36.356922"</f>
        <v>36.356922</v>
      </c>
      <c r="R12820" t="str">
        <f>"25.446967"</f>
        <v>25.446967</v>
      </c>
      <c r="S12820" t="s">
        <v>26</v>
      </c>
    </row>
    <row r="12821" spans="1:19" x14ac:dyDescent="0.3">
      <c r="A12821" t="s">
        <v>35638</v>
      </c>
      <c r="B12821" t="s">
        <v>36946</v>
      </c>
      <c r="C12821" t="s">
        <v>37464</v>
      </c>
      <c r="D12821" t="s">
        <v>4806</v>
      </c>
      <c r="E12821" t="s">
        <v>36090</v>
      </c>
      <c r="F12821" t="s">
        <v>36090</v>
      </c>
      <c r="G12821" t="s">
        <v>36090</v>
      </c>
      <c r="H12821" t="s">
        <v>859</v>
      </c>
      <c r="I12821" t="s">
        <v>860</v>
      </c>
      <c r="J12821" t="str">
        <f>"9290249"</f>
        <v>9290249</v>
      </c>
      <c r="K12821">
        <v>2285071101</v>
      </c>
      <c r="L12821">
        <v>2285071101</v>
      </c>
      <c r="M12821" t="s">
        <v>37465</v>
      </c>
      <c r="N12821" t="s">
        <v>36243</v>
      </c>
      <c r="O12821" t="s">
        <v>36243</v>
      </c>
      <c r="P12821">
        <v>84008</v>
      </c>
      <c r="Q12821" t="str">
        <f>"36.832768"</f>
        <v>36.832768</v>
      </c>
      <c r="R12821" t="str">
        <f>"25.901854"</f>
        <v>25.901854</v>
      </c>
      <c r="S12821" t="s">
        <v>57</v>
      </c>
    </row>
    <row r="12822" spans="1:19" x14ac:dyDescent="0.3">
      <c r="A12822" t="s">
        <v>35638</v>
      </c>
      <c r="B12822" t="s">
        <v>36946</v>
      </c>
      <c r="C12822" t="s">
        <v>37466</v>
      </c>
      <c r="D12822" t="s">
        <v>4806</v>
      </c>
      <c r="E12822" t="s">
        <v>36090</v>
      </c>
      <c r="F12822" t="s">
        <v>36090</v>
      </c>
      <c r="G12822" t="s">
        <v>36984</v>
      </c>
      <c r="H12822" t="s">
        <v>859</v>
      </c>
      <c r="I12822" t="s">
        <v>860</v>
      </c>
      <c r="J12822" t="str">
        <f>"9290268"</f>
        <v>9290268</v>
      </c>
      <c r="K12822">
        <v>2285072254</v>
      </c>
      <c r="L12822">
        <v>2285072254</v>
      </c>
      <c r="M12822" t="s">
        <v>37467</v>
      </c>
      <c r="N12822" t="s">
        <v>36987</v>
      </c>
      <c r="O12822" t="s">
        <v>37468</v>
      </c>
      <c r="P12822">
        <v>84008</v>
      </c>
      <c r="Q12822" t="str">
        <f>"36.789330"</f>
        <v>36.789330</v>
      </c>
      <c r="R12822" t="str">
        <f>"25.802756"</f>
        <v>25.802756</v>
      </c>
      <c r="S12822" t="s">
        <v>57</v>
      </c>
    </row>
    <row r="12823" spans="1:19" x14ac:dyDescent="0.3">
      <c r="A12823" t="s">
        <v>35638</v>
      </c>
      <c r="B12823" t="s">
        <v>36946</v>
      </c>
      <c r="C12823" t="s">
        <v>37469</v>
      </c>
      <c r="D12823" t="s">
        <v>4806</v>
      </c>
      <c r="E12823" t="s">
        <v>35664</v>
      </c>
      <c r="F12823" t="s">
        <v>4806</v>
      </c>
      <c r="G12823" t="s">
        <v>37028</v>
      </c>
      <c r="H12823" t="s">
        <v>859</v>
      </c>
      <c r="I12823" t="s">
        <v>860</v>
      </c>
      <c r="J12823" t="str">
        <f>"9290239"</f>
        <v>9290239</v>
      </c>
      <c r="K12823">
        <v>2285031032</v>
      </c>
      <c r="L12823">
        <v>2285031032</v>
      </c>
      <c r="M12823" t="s">
        <v>37470</v>
      </c>
      <c r="N12823" t="s">
        <v>37031</v>
      </c>
      <c r="O12823" t="s">
        <v>37471</v>
      </c>
      <c r="P12823">
        <v>84302</v>
      </c>
      <c r="Q12823" t="str">
        <f>"37.102316"</f>
        <v>37.102316</v>
      </c>
      <c r="R12823" t="str">
        <f>"25.479443"</f>
        <v>25.479443</v>
      </c>
      <c r="S12823" t="s">
        <v>26</v>
      </c>
    </row>
    <row r="12824" spans="1:19" x14ac:dyDescent="0.3">
      <c r="A12824" t="s">
        <v>35638</v>
      </c>
      <c r="B12824" t="s">
        <v>36946</v>
      </c>
      <c r="C12824" t="s">
        <v>37477</v>
      </c>
      <c r="D12824" t="s">
        <v>36021</v>
      </c>
      <c r="E12824" t="s">
        <v>36225</v>
      </c>
      <c r="F12824" t="s">
        <v>36225</v>
      </c>
      <c r="G12824" t="s">
        <v>36225</v>
      </c>
      <c r="H12824" t="s">
        <v>859</v>
      </c>
      <c r="I12824" t="s">
        <v>860</v>
      </c>
      <c r="J12824" t="str">
        <f>"9290271"</f>
        <v>9290271</v>
      </c>
      <c r="K12824">
        <v>2286061223</v>
      </c>
      <c r="L12824">
        <v>2286061223</v>
      </c>
      <c r="M12824" t="s">
        <v>37478</v>
      </c>
      <c r="O12824" t="s">
        <v>36228</v>
      </c>
      <c r="P12824">
        <v>84009</v>
      </c>
      <c r="Q12824" t="str">
        <f>"36.353655"</f>
        <v>36.353655</v>
      </c>
      <c r="R12824" t="str">
        <f>"25.768498"</f>
        <v>25.768498</v>
      </c>
      <c r="S12824" t="s">
        <v>57</v>
      </c>
    </row>
    <row r="12825" spans="1:19" x14ac:dyDescent="0.3">
      <c r="A12825" t="s">
        <v>35638</v>
      </c>
      <c r="B12825" t="s">
        <v>36946</v>
      </c>
      <c r="C12825" t="s">
        <v>37479</v>
      </c>
      <c r="D12825" t="s">
        <v>36021</v>
      </c>
      <c r="E12825" t="s">
        <v>36021</v>
      </c>
      <c r="F12825" t="s">
        <v>36244</v>
      </c>
      <c r="G12825" t="s">
        <v>36245</v>
      </c>
      <c r="H12825" t="s">
        <v>859</v>
      </c>
      <c r="I12825" t="s">
        <v>860</v>
      </c>
      <c r="J12825" t="str">
        <f>"9520857"</f>
        <v>9520857</v>
      </c>
      <c r="K12825">
        <v>2286029148</v>
      </c>
      <c r="L12825">
        <v>2286029148</v>
      </c>
      <c r="M12825" t="s">
        <v>37480</v>
      </c>
      <c r="N12825" t="s">
        <v>36245</v>
      </c>
      <c r="O12825" t="s">
        <v>36249</v>
      </c>
      <c r="P12825">
        <v>84702</v>
      </c>
      <c r="Q12825" t="str">
        <f>"36.466359"</f>
        <v>36.466359</v>
      </c>
      <c r="R12825" t="str">
        <f>"25.384497"</f>
        <v>25.384497</v>
      </c>
      <c r="S12825" t="s">
        <v>57</v>
      </c>
    </row>
    <row r="12826" spans="1:19" x14ac:dyDescent="0.3">
      <c r="A12826" t="s">
        <v>35638</v>
      </c>
      <c r="B12826" t="s">
        <v>36946</v>
      </c>
      <c r="C12826" t="s">
        <v>37481</v>
      </c>
      <c r="D12826" t="s">
        <v>36057</v>
      </c>
      <c r="E12826" t="s">
        <v>36057</v>
      </c>
      <c r="F12826" t="s">
        <v>36057</v>
      </c>
      <c r="G12826" t="s">
        <v>36318</v>
      </c>
      <c r="H12826" t="s">
        <v>859</v>
      </c>
      <c r="I12826" t="s">
        <v>860</v>
      </c>
      <c r="J12826" t="str">
        <f>"9290232"</f>
        <v>9290232</v>
      </c>
      <c r="K12826">
        <v>2289071160</v>
      </c>
      <c r="L12826">
        <v>2289071160</v>
      </c>
      <c r="M12826" t="s">
        <v>37482</v>
      </c>
      <c r="N12826" t="s">
        <v>37483</v>
      </c>
      <c r="O12826" t="s">
        <v>37484</v>
      </c>
      <c r="P12826">
        <v>84600</v>
      </c>
      <c r="Q12826" t="str">
        <f>"37.446101"</f>
        <v>37.446101</v>
      </c>
      <c r="R12826" t="str">
        <f>"25.392785"</f>
        <v>25.392785</v>
      </c>
      <c r="S12826" t="s">
        <v>26</v>
      </c>
    </row>
    <row r="12827" spans="1:19" x14ac:dyDescent="0.3">
      <c r="A12827" t="s">
        <v>35638</v>
      </c>
      <c r="B12827" t="s">
        <v>36946</v>
      </c>
      <c r="C12827" t="s">
        <v>37485</v>
      </c>
      <c r="D12827" t="s">
        <v>4806</v>
      </c>
      <c r="E12827" t="s">
        <v>35664</v>
      </c>
      <c r="F12827" t="s">
        <v>4806</v>
      </c>
      <c r="G12827" t="s">
        <v>37425</v>
      </c>
      <c r="H12827" t="s">
        <v>859</v>
      </c>
      <c r="I12827" t="s">
        <v>860</v>
      </c>
      <c r="J12827" t="str">
        <f>"9521143"</f>
        <v>9521143</v>
      </c>
      <c r="K12827">
        <v>2285042846</v>
      </c>
      <c r="M12827" t="s">
        <v>37486</v>
      </c>
      <c r="N12827" t="s">
        <v>37428</v>
      </c>
      <c r="O12827" t="s">
        <v>37428</v>
      </c>
      <c r="P12827">
        <v>84300</v>
      </c>
      <c r="Q12827" t="str">
        <f>"37.042436"</f>
        <v>37.042436</v>
      </c>
      <c r="R12827" t="str">
        <f>"25.435916"</f>
        <v>25.435916</v>
      </c>
      <c r="S12827" t="s">
        <v>26</v>
      </c>
    </row>
    <row r="12828" spans="1:19" x14ac:dyDescent="0.3">
      <c r="A12828" t="s">
        <v>35638</v>
      </c>
      <c r="B12828" t="s">
        <v>36946</v>
      </c>
      <c r="C12828" t="s">
        <v>37489</v>
      </c>
      <c r="D12828" t="s">
        <v>4806</v>
      </c>
      <c r="E12828" t="s">
        <v>35664</v>
      </c>
      <c r="F12828" t="s">
        <v>4806</v>
      </c>
      <c r="G12828" t="s">
        <v>4806</v>
      </c>
      <c r="H12828" t="s">
        <v>859</v>
      </c>
      <c r="I12828" t="s">
        <v>860</v>
      </c>
      <c r="J12828" t="str">
        <f>"9521242"</f>
        <v>9521242</v>
      </c>
      <c r="K12828">
        <v>2285025948</v>
      </c>
      <c r="L12828">
        <v>2285025948</v>
      </c>
      <c r="M12828" t="s">
        <v>37490</v>
      </c>
      <c r="N12828" t="s">
        <v>37491</v>
      </c>
      <c r="O12828" t="s">
        <v>37492</v>
      </c>
      <c r="P12828">
        <v>84300</v>
      </c>
      <c r="Q12828" t="str">
        <f>"37.100186"</f>
        <v>37.100186</v>
      </c>
      <c r="R12828" t="str">
        <f>"25.382174"</f>
        <v>25.382174</v>
      </c>
      <c r="S12828" t="s">
        <v>26</v>
      </c>
    </row>
    <row r="12829" spans="1:19" x14ac:dyDescent="0.3">
      <c r="A12829" t="s">
        <v>35638</v>
      </c>
      <c r="B12829" t="s">
        <v>36946</v>
      </c>
      <c r="C12829" t="s">
        <v>37493</v>
      </c>
      <c r="D12829" t="s">
        <v>36133</v>
      </c>
      <c r="E12829" t="s">
        <v>36133</v>
      </c>
      <c r="F12829" t="s">
        <v>36133</v>
      </c>
      <c r="G12829" t="s">
        <v>36133</v>
      </c>
      <c r="H12829" t="s">
        <v>859</v>
      </c>
      <c r="I12829" t="s">
        <v>860</v>
      </c>
      <c r="J12829" t="str">
        <f>"9521241"</f>
        <v>9521241</v>
      </c>
      <c r="K12829">
        <v>2284022702</v>
      </c>
      <c r="L12829">
        <v>2284022702</v>
      </c>
      <c r="M12829" t="s">
        <v>37494</v>
      </c>
      <c r="N12829" t="s">
        <v>37301</v>
      </c>
      <c r="O12829" t="s">
        <v>37495</v>
      </c>
      <c r="P12829">
        <v>84400</v>
      </c>
      <c r="Q12829" t="str">
        <f>"37.085643"</f>
        <v>37.085643</v>
      </c>
      <c r="R12829" t="str">
        <f>"25.148832"</f>
        <v>25.148832</v>
      </c>
      <c r="S12829" t="s">
        <v>26</v>
      </c>
    </row>
    <row r="12830" spans="1:19" x14ac:dyDescent="0.3">
      <c r="A12830" t="s">
        <v>35638</v>
      </c>
      <c r="B12830" t="s">
        <v>36946</v>
      </c>
      <c r="C12830" t="s">
        <v>37496</v>
      </c>
      <c r="D12830" t="s">
        <v>36021</v>
      </c>
      <c r="E12830" t="s">
        <v>36021</v>
      </c>
      <c r="F12830" t="s">
        <v>36021</v>
      </c>
      <c r="G12830" t="s">
        <v>37039</v>
      </c>
      <c r="H12830" t="s">
        <v>859</v>
      </c>
      <c r="I12830" t="s">
        <v>860</v>
      </c>
      <c r="J12830" t="str">
        <f>"9521376"</f>
        <v>9521376</v>
      </c>
      <c r="K12830">
        <v>2286032370</v>
      </c>
      <c r="L12830">
        <v>2286032370</v>
      </c>
      <c r="M12830" t="s">
        <v>37497</v>
      </c>
      <c r="N12830" t="s">
        <v>37230</v>
      </c>
      <c r="O12830" t="s">
        <v>37498</v>
      </c>
      <c r="P12830">
        <v>84700</v>
      </c>
      <c r="Q12830" t="str">
        <f>"36.388381"</f>
        <v>36.388381</v>
      </c>
      <c r="R12830" t="str">
        <f>"25.457400"</f>
        <v>25.457400</v>
      </c>
      <c r="S12830" t="s">
        <v>26</v>
      </c>
    </row>
    <row r="12831" spans="1:19" x14ac:dyDescent="0.3">
      <c r="A12831" t="s">
        <v>35638</v>
      </c>
      <c r="B12831" t="s">
        <v>36946</v>
      </c>
      <c r="C12831" t="s">
        <v>37499</v>
      </c>
      <c r="D12831" t="s">
        <v>36133</v>
      </c>
      <c r="E12831" t="s">
        <v>36133</v>
      </c>
      <c r="F12831" t="s">
        <v>36133</v>
      </c>
      <c r="G12831" t="s">
        <v>36133</v>
      </c>
      <c r="H12831" t="s">
        <v>859</v>
      </c>
      <c r="I12831" t="s">
        <v>860</v>
      </c>
      <c r="J12831" t="str">
        <f>"9521240"</f>
        <v>9521240</v>
      </c>
      <c r="K12831">
        <v>2284025063</v>
      </c>
      <c r="L12831">
        <v>2284025063</v>
      </c>
      <c r="M12831" t="s">
        <v>37500</v>
      </c>
      <c r="N12831" t="s">
        <v>36136</v>
      </c>
      <c r="O12831" t="s">
        <v>37301</v>
      </c>
      <c r="P12831">
        <v>84400</v>
      </c>
      <c r="Q12831" t="str">
        <f>"37.087804"</f>
        <v>37.087804</v>
      </c>
      <c r="R12831" t="str">
        <f>"25.157125"</f>
        <v>25.157125</v>
      </c>
      <c r="S12831" t="s">
        <v>26</v>
      </c>
    </row>
    <row r="12832" spans="1:19" x14ac:dyDescent="0.3">
      <c r="A12832" t="s">
        <v>35638</v>
      </c>
      <c r="B12832" t="s">
        <v>36946</v>
      </c>
      <c r="C12832" t="s">
        <v>37501</v>
      </c>
      <c r="D12832" t="s">
        <v>4806</v>
      </c>
      <c r="E12832" t="s">
        <v>35664</v>
      </c>
      <c r="F12832" t="s">
        <v>4806</v>
      </c>
      <c r="G12832" t="s">
        <v>4806</v>
      </c>
      <c r="H12832" t="s">
        <v>859</v>
      </c>
      <c r="I12832" t="s">
        <v>860</v>
      </c>
      <c r="J12832" t="str">
        <f>"9521375"</f>
        <v>9521375</v>
      </c>
      <c r="K12832">
        <v>2285026091</v>
      </c>
      <c r="L12832">
        <v>2285026091</v>
      </c>
      <c r="M12832" t="s">
        <v>37502</v>
      </c>
      <c r="N12832" t="s">
        <v>37503</v>
      </c>
      <c r="O12832" t="s">
        <v>37504</v>
      </c>
      <c r="P12832">
        <v>84300</v>
      </c>
      <c r="Q12832" t="str">
        <f>"37.097359"</f>
        <v>37.097359</v>
      </c>
      <c r="R12832" t="str">
        <f>"25.402234"</f>
        <v>25.402234</v>
      </c>
      <c r="S12832" t="s">
        <v>26</v>
      </c>
    </row>
    <row r="12833" spans="1:19" x14ac:dyDescent="0.3">
      <c r="A12833" t="s">
        <v>35638</v>
      </c>
      <c r="B12833" t="s">
        <v>36946</v>
      </c>
      <c r="C12833" t="s">
        <v>37505</v>
      </c>
      <c r="D12833" t="s">
        <v>4806</v>
      </c>
      <c r="E12833" t="s">
        <v>35664</v>
      </c>
      <c r="F12833" t="s">
        <v>4806</v>
      </c>
      <c r="G12833" t="s">
        <v>4806</v>
      </c>
      <c r="H12833" t="s">
        <v>859</v>
      </c>
      <c r="I12833" t="s">
        <v>860</v>
      </c>
      <c r="J12833" t="str">
        <f>"9521457"</f>
        <v>9521457</v>
      </c>
      <c r="K12833">
        <v>2285027040</v>
      </c>
      <c r="L12833">
        <v>2285027040</v>
      </c>
      <c r="M12833" t="s">
        <v>37506</v>
      </c>
      <c r="N12833" t="s">
        <v>4806</v>
      </c>
      <c r="O12833" t="s">
        <v>14065</v>
      </c>
      <c r="P12833">
        <v>84300</v>
      </c>
      <c r="Q12833" t="str">
        <f>"37.082595"</f>
        <v>37.082595</v>
      </c>
      <c r="R12833" t="str">
        <f>"25.402271"</f>
        <v>25.402271</v>
      </c>
      <c r="S12833" t="s">
        <v>26</v>
      </c>
    </row>
    <row r="12834" spans="1:19" x14ac:dyDescent="0.3">
      <c r="A12834" t="s">
        <v>35638</v>
      </c>
      <c r="B12834" t="s">
        <v>36946</v>
      </c>
      <c r="C12834" t="s">
        <v>37507</v>
      </c>
      <c r="D12834" t="s">
        <v>4806</v>
      </c>
      <c r="E12834" t="s">
        <v>35664</v>
      </c>
      <c r="F12834" t="s">
        <v>4806</v>
      </c>
      <c r="G12834" t="s">
        <v>4806</v>
      </c>
      <c r="H12834" t="s">
        <v>859</v>
      </c>
      <c r="I12834" t="s">
        <v>860</v>
      </c>
      <c r="J12834" t="str">
        <f>"9521458"</f>
        <v>9521458</v>
      </c>
      <c r="K12834">
        <v>2285027044</v>
      </c>
      <c r="L12834">
        <v>2285026959</v>
      </c>
      <c r="M12834" t="s">
        <v>37508</v>
      </c>
      <c r="N12834" t="s">
        <v>4806</v>
      </c>
      <c r="O12834" t="s">
        <v>14065</v>
      </c>
      <c r="P12834">
        <v>84300</v>
      </c>
      <c r="Q12834" t="str">
        <f>"37.082595"</f>
        <v>37.082595</v>
      </c>
      <c r="R12834" t="str">
        <f>"25.402271"</f>
        <v>25.402271</v>
      </c>
      <c r="S12834" t="s">
        <v>26</v>
      </c>
    </row>
    <row r="12835" spans="1:19" x14ac:dyDescent="0.3">
      <c r="A12835" t="s">
        <v>35638</v>
      </c>
      <c r="B12835" t="s">
        <v>36946</v>
      </c>
      <c r="C12835" t="s">
        <v>37509</v>
      </c>
      <c r="D12835" t="s">
        <v>4806</v>
      </c>
      <c r="E12835" t="s">
        <v>35664</v>
      </c>
      <c r="F12835" t="s">
        <v>18832</v>
      </c>
      <c r="G12835" t="s">
        <v>18832</v>
      </c>
      <c r="H12835" t="s">
        <v>859</v>
      </c>
      <c r="I12835" t="s">
        <v>860</v>
      </c>
      <c r="J12835" t="str">
        <f>"9521459"</f>
        <v>9521459</v>
      </c>
      <c r="K12835">
        <v>2285071392</v>
      </c>
      <c r="L12835">
        <v>2285071544</v>
      </c>
      <c r="M12835" t="s">
        <v>37510</v>
      </c>
      <c r="N12835" t="s">
        <v>32017</v>
      </c>
      <c r="O12835" t="s">
        <v>36055</v>
      </c>
      <c r="P12835">
        <v>84300</v>
      </c>
      <c r="Q12835" t="str">
        <f>"36.839245"</f>
        <v>36.839245</v>
      </c>
      <c r="R12835" t="str">
        <f>"25.458603"</f>
        <v>25.458603</v>
      </c>
      <c r="S12835" t="s">
        <v>57</v>
      </c>
    </row>
    <row r="12836" spans="1:19" x14ac:dyDescent="0.3">
      <c r="A12836" t="s">
        <v>35638</v>
      </c>
      <c r="B12836" t="s">
        <v>36946</v>
      </c>
      <c r="C12836" t="s">
        <v>37512</v>
      </c>
      <c r="D12836" t="s">
        <v>36021</v>
      </c>
      <c r="E12836" t="s">
        <v>36021</v>
      </c>
      <c r="F12836" t="s">
        <v>36021</v>
      </c>
      <c r="G12836" t="s">
        <v>37511</v>
      </c>
      <c r="H12836" t="s">
        <v>859</v>
      </c>
      <c r="I12836" t="s">
        <v>860</v>
      </c>
      <c r="J12836" t="str">
        <f>"9521460"</f>
        <v>9521460</v>
      </c>
      <c r="K12836">
        <v>2286022544</v>
      </c>
      <c r="L12836">
        <v>2286028504</v>
      </c>
      <c r="M12836" t="s">
        <v>37513</v>
      </c>
      <c r="N12836" t="s">
        <v>37514</v>
      </c>
      <c r="O12836" t="s">
        <v>37515</v>
      </c>
      <c r="P12836">
        <v>84700</v>
      </c>
      <c r="Q12836" t="str">
        <f>"36.433586"</f>
        <v>36.433586</v>
      </c>
      <c r="R12836" t="str">
        <f>"25.422636"</f>
        <v>25.422636</v>
      </c>
      <c r="S12836" t="s">
        <v>26</v>
      </c>
    </row>
    <row r="12837" spans="1:19" x14ac:dyDescent="0.3">
      <c r="A12837" t="s">
        <v>35638</v>
      </c>
      <c r="B12837" t="s">
        <v>36946</v>
      </c>
      <c r="C12837" t="s">
        <v>37518</v>
      </c>
      <c r="D12837" t="s">
        <v>35644</v>
      </c>
      <c r="E12837" t="s">
        <v>35645</v>
      </c>
      <c r="F12837" t="s">
        <v>35646</v>
      </c>
      <c r="G12837" t="s">
        <v>35646</v>
      </c>
      <c r="H12837" t="s">
        <v>859</v>
      </c>
      <c r="I12837" t="s">
        <v>1102</v>
      </c>
      <c r="J12837" t="str">
        <f>"9521493"</f>
        <v>9521493</v>
      </c>
      <c r="K12837">
        <v>6977781237</v>
      </c>
      <c r="M12837" t="s">
        <v>37519</v>
      </c>
      <c r="N12837" t="s">
        <v>35649</v>
      </c>
      <c r="O12837" t="s">
        <v>37359</v>
      </c>
      <c r="P12837">
        <v>84100</v>
      </c>
      <c r="Q12837" t="str">
        <f>"37.439611"</f>
        <v>37.439611</v>
      </c>
      <c r="R12837" t="str">
        <f>"24.888092"</f>
        <v>24.888092</v>
      </c>
      <c r="S12837" t="s">
        <v>26</v>
      </c>
    </row>
    <row r="12838" spans="1:19" x14ac:dyDescent="0.3">
      <c r="A12838" t="s">
        <v>35638</v>
      </c>
      <c r="B12838" t="s">
        <v>36946</v>
      </c>
      <c r="C12838" t="s">
        <v>37520</v>
      </c>
      <c r="D12838" t="s">
        <v>4806</v>
      </c>
      <c r="E12838" t="s">
        <v>35664</v>
      </c>
      <c r="F12838" t="s">
        <v>4806</v>
      </c>
      <c r="G12838" t="s">
        <v>4806</v>
      </c>
      <c r="H12838" t="s">
        <v>859</v>
      </c>
      <c r="I12838" t="s">
        <v>1102</v>
      </c>
      <c r="J12838" t="str">
        <f>"9521494"</f>
        <v>9521494</v>
      </c>
      <c r="K12838">
        <v>2285062007</v>
      </c>
      <c r="L12838">
        <v>2285062336</v>
      </c>
      <c r="M12838" t="s">
        <v>37521</v>
      </c>
      <c r="N12838" t="s">
        <v>4806</v>
      </c>
      <c r="O12838" t="s">
        <v>37522</v>
      </c>
      <c r="P12838">
        <v>84300</v>
      </c>
      <c r="Q12838" t="str">
        <f>"37.097380"</f>
        <v>37.097380</v>
      </c>
      <c r="R12838" t="str">
        <f>"25.420476"</f>
        <v>25.420476</v>
      </c>
      <c r="S12838" t="s">
        <v>26</v>
      </c>
    </row>
    <row r="12839" spans="1:19" x14ac:dyDescent="0.3">
      <c r="A12839" t="s">
        <v>35638</v>
      </c>
      <c r="B12839" t="s">
        <v>36946</v>
      </c>
      <c r="C12839" t="s">
        <v>37525</v>
      </c>
      <c r="D12839" t="s">
        <v>36028</v>
      </c>
      <c r="E12839" t="s">
        <v>36028</v>
      </c>
      <c r="F12839" t="s">
        <v>36028</v>
      </c>
      <c r="G12839" t="s">
        <v>37109</v>
      </c>
      <c r="H12839" t="s">
        <v>859</v>
      </c>
      <c r="I12839" t="s">
        <v>860</v>
      </c>
      <c r="J12839" t="str">
        <f>"9290173"</f>
        <v>9290173</v>
      </c>
      <c r="K12839">
        <v>2287028107</v>
      </c>
      <c r="L12839">
        <v>2287028107</v>
      </c>
      <c r="M12839" t="s">
        <v>37526</v>
      </c>
      <c r="N12839" t="s">
        <v>37527</v>
      </c>
      <c r="O12839" t="s">
        <v>37528</v>
      </c>
      <c r="P12839">
        <v>84800</v>
      </c>
      <c r="Q12839" t="str">
        <f>"36.745041"</f>
        <v>36.745041</v>
      </c>
      <c r="R12839" t="str">
        <f>"24.433248"</f>
        <v>24.433248</v>
      </c>
      <c r="S12839" t="s">
        <v>57</v>
      </c>
    </row>
    <row r="12840" spans="1:19" x14ac:dyDescent="0.3">
      <c r="A12840" t="s">
        <v>37529</v>
      </c>
      <c r="B12840" t="s">
        <v>38509</v>
      </c>
      <c r="C12840" t="s">
        <v>38511</v>
      </c>
      <c r="D12840" t="s">
        <v>37530</v>
      </c>
      <c r="E12840" t="s">
        <v>37572</v>
      </c>
      <c r="F12840" t="s">
        <v>37746</v>
      </c>
      <c r="G12840" t="s">
        <v>38510</v>
      </c>
      <c r="H12840" t="s">
        <v>859</v>
      </c>
      <c r="I12840" t="s">
        <v>860</v>
      </c>
      <c r="J12840" t="str">
        <f>"9020546"</f>
        <v>9020546</v>
      </c>
      <c r="K12840">
        <v>2751073002</v>
      </c>
      <c r="L12840">
        <v>2751073104</v>
      </c>
      <c r="M12840" t="s">
        <v>38512</v>
      </c>
      <c r="N12840" t="s">
        <v>38510</v>
      </c>
      <c r="O12840" t="s">
        <v>38513</v>
      </c>
      <c r="P12840">
        <v>20500</v>
      </c>
      <c r="Q12840" t="str">
        <f>"37.784059"</f>
        <v>37.784059</v>
      </c>
      <c r="R12840" t="str">
        <f>"22.436131"</f>
        <v>22.436131</v>
      </c>
      <c r="S12840" t="s">
        <v>26</v>
      </c>
    </row>
    <row r="12841" spans="1:19" x14ac:dyDescent="0.3">
      <c r="A12841" t="s">
        <v>37529</v>
      </c>
      <c r="B12841" t="s">
        <v>38509</v>
      </c>
      <c r="C12841" t="s">
        <v>38518</v>
      </c>
      <c r="D12841" t="s">
        <v>37530</v>
      </c>
      <c r="E12841" t="s">
        <v>37572</v>
      </c>
      <c r="F12841" t="s">
        <v>37683</v>
      </c>
      <c r="G12841" t="s">
        <v>38517</v>
      </c>
      <c r="H12841" t="s">
        <v>859</v>
      </c>
      <c r="I12841" t="s">
        <v>860</v>
      </c>
      <c r="J12841" t="str">
        <f>"9020179"</f>
        <v>9020179</v>
      </c>
      <c r="K12841">
        <v>2751031570</v>
      </c>
      <c r="M12841" t="s">
        <v>38519</v>
      </c>
      <c r="N12841" t="s">
        <v>38517</v>
      </c>
      <c r="O12841" t="s">
        <v>38520</v>
      </c>
      <c r="P12841">
        <v>21200</v>
      </c>
      <c r="Q12841" t="str">
        <f>"37.659675"</f>
        <v>37.659675</v>
      </c>
      <c r="R12841" t="str">
        <f>"22.790905"</f>
        <v>22.790905</v>
      </c>
      <c r="S12841" t="s">
        <v>26</v>
      </c>
    </row>
    <row r="12842" spans="1:19" x14ac:dyDescent="0.3">
      <c r="A12842" t="s">
        <v>37529</v>
      </c>
      <c r="B12842" t="s">
        <v>38509</v>
      </c>
      <c r="C12842" t="s">
        <v>38522</v>
      </c>
      <c r="D12842" t="s">
        <v>37530</v>
      </c>
      <c r="E12842" t="s">
        <v>37565</v>
      </c>
      <c r="F12842" t="s">
        <v>37566</v>
      </c>
      <c r="G12842" t="s">
        <v>38521</v>
      </c>
      <c r="H12842" t="s">
        <v>859</v>
      </c>
      <c r="I12842" t="s">
        <v>860</v>
      </c>
      <c r="J12842" t="str">
        <f>"9020172"</f>
        <v>9020172</v>
      </c>
      <c r="K12842">
        <v>2754041633</v>
      </c>
      <c r="L12842">
        <v>2754041633</v>
      </c>
      <c r="M12842" t="s">
        <v>38523</v>
      </c>
      <c r="N12842" t="s">
        <v>38521</v>
      </c>
      <c r="O12842" t="s">
        <v>38524</v>
      </c>
      <c r="P12842">
        <v>21051</v>
      </c>
      <c r="Q12842" t="str">
        <f>"37.412147"</f>
        <v>37.412147</v>
      </c>
      <c r="R12842" t="str">
        <f>"23.323714"</f>
        <v>23.323714</v>
      </c>
      <c r="S12842" t="s">
        <v>26</v>
      </c>
    </row>
    <row r="12843" spans="1:19" x14ac:dyDescent="0.3">
      <c r="A12843" t="s">
        <v>37529</v>
      </c>
      <c r="B12843" t="s">
        <v>38509</v>
      </c>
      <c r="C12843" t="s">
        <v>38526</v>
      </c>
      <c r="D12843" t="s">
        <v>37530</v>
      </c>
      <c r="E12843" t="s">
        <v>37565</v>
      </c>
      <c r="F12843" t="s">
        <v>37566</v>
      </c>
      <c r="G12843" t="s">
        <v>38525</v>
      </c>
      <c r="H12843" t="s">
        <v>859</v>
      </c>
      <c r="I12843" t="s">
        <v>860</v>
      </c>
      <c r="J12843" t="str">
        <f>"9020160"</f>
        <v>9020160</v>
      </c>
      <c r="K12843">
        <v>2754091240</v>
      </c>
      <c r="L12843">
        <v>2754091240</v>
      </c>
      <c r="M12843" t="s">
        <v>38527</v>
      </c>
      <c r="N12843" t="s">
        <v>38525</v>
      </c>
      <c r="O12843" t="s">
        <v>38528</v>
      </c>
      <c r="P12843">
        <v>21051</v>
      </c>
      <c r="Q12843" t="str">
        <f>"37.445420"</f>
        <v>37.445420</v>
      </c>
      <c r="R12843" t="str">
        <f>"23.267259"</f>
        <v>23.267259</v>
      </c>
      <c r="S12843" t="s">
        <v>26</v>
      </c>
    </row>
    <row r="12844" spans="1:19" x14ac:dyDescent="0.3">
      <c r="A12844" t="s">
        <v>37529</v>
      </c>
      <c r="B12844" t="s">
        <v>38509</v>
      </c>
      <c r="C12844" t="s">
        <v>38533</v>
      </c>
      <c r="D12844" t="s">
        <v>37530</v>
      </c>
      <c r="E12844" t="s">
        <v>37565</v>
      </c>
      <c r="F12844" t="s">
        <v>37570</v>
      </c>
      <c r="G12844" t="s">
        <v>38532</v>
      </c>
      <c r="H12844" t="s">
        <v>859</v>
      </c>
      <c r="I12844" t="s">
        <v>860</v>
      </c>
      <c r="J12844" t="str">
        <f>"9020171"</f>
        <v>9020171</v>
      </c>
      <c r="K12844">
        <v>2754051586</v>
      </c>
      <c r="L12844">
        <v>2754029715</v>
      </c>
      <c r="M12844" t="s">
        <v>38534</v>
      </c>
      <c r="N12844" t="s">
        <v>38532</v>
      </c>
      <c r="O12844" t="s">
        <v>38535</v>
      </c>
      <c r="P12844">
        <v>21061</v>
      </c>
      <c r="Q12844" t="str">
        <f>"37.325150"</f>
        <v>37.325150</v>
      </c>
      <c r="R12844" t="str">
        <f>"23.138643"</f>
        <v>23.138643</v>
      </c>
      <c r="S12844" t="s">
        <v>26</v>
      </c>
    </row>
    <row r="12845" spans="1:19" x14ac:dyDescent="0.3">
      <c r="A12845" t="s">
        <v>37529</v>
      </c>
      <c r="B12845" t="s">
        <v>38509</v>
      </c>
      <c r="C12845" t="s">
        <v>38538</v>
      </c>
      <c r="D12845" t="s">
        <v>37530</v>
      </c>
      <c r="E12845" t="s">
        <v>37531</v>
      </c>
      <c r="F12845" t="s">
        <v>37656</v>
      </c>
      <c r="G12845" t="s">
        <v>37656</v>
      </c>
      <c r="H12845" t="s">
        <v>859</v>
      </c>
      <c r="I12845" t="s">
        <v>860</v>
      </c>
      <c r="J12845" t="str">
        <f>"9020150"</f>
        <v>9020150</v>
      </c>
      <c r="K12845">
        <v>2752061757</v>
      </c>
      <c r="L12845">
        <v>2752061757</v>
      </c>
      <c r="M12845" t="s">
        <v>38539</v>
      </c>
      <c r="N12845" t="s">
        <v>37656</v>
      </c>
      <c r="O12845" t="s">
        <v>38540</v>
      </c>
      <c r="P12845">
        <v>21100</v>
      </c>
      <c r="Q12845" t="str">
        <f>"37.542881"</f>
        <v>37.542881</v>
      </c>
      <c r="R12845" t="str">
        <f>"22.866066"</f>
        <v>22.866066</v>
      </c>
      <c r="S12845" t="s">
        <v>26</v>
      </c>
    </row>
    <row r="12846" spans="1:19" x14ac:dyDescent="0.3">
      <c r="A12846" t="s">
        <v>37529</v>
      </c>
      <c r="B12846" t="s">
        <v>38509</v>
      </c>
      <c r="C12846" t="s">
        <v>38556</v>
      </c>
      <c r="D12846" t="s">
        <v>37530</v>
      </c>
      <c r="E12846" t="s">
        <v>37572</v>
      </c>
      <c r="F12846" t="s">
        <v>37573</v>
      </c>
      <c r="G12846" t="s">
        <v>37573</v>
      </c>
      <c r="H12846" t="s">
        <v>859</v>
      </c>
      <c r="I12846" t="s">
        <v>860</v>
      </c>
      <c r="J12846" t="str">
        <f>"9020134"</f>
        <v>9020134</v>
      </c>
      <c r="K12846">
        <v>2751024773</v>
      </c>
      <c r="L12846">
        <v>2751024773</v>
      </c>
      <c r="M12846" t="s">
        <v>38557</v>
      </c>
      <c r="N12846" t="s">
        <v>37573</v>
      </c>
      <c r="O12846" t="s">
        <v>38558</v>
      </c>
      <c r="P12846">
        <v>21200</v>
      </c>
      <c r="Q12846" t="str">
        <f>"37.630728"</f>
        <v>37.630728</v>
      </c>
      <c r="R12846" t="str">
        <f>"22.732114"</f>
        <v>22.732114</v>
      </c>
      <c r="S12846" t="s">
        <v>26</v>
      </c>
    </row>
    <row r="12847" spans="1:19" x14ac:dyDescent="0.3">
      <c r="A12847" t="s">
        <v>37529</v>
      </c>
      <c r="B12847" t="s">
        <v>38509</v>
      </c>
      <c r="C12847" t="s">
        <v>38571</v>
      </c>
      <c r="D12847" t="s">
        <v>37530</v>
      </c>
      <c r="E12847" t="s">
        <v>37531</v>
      </c>
      <c r="F12847" t="s">
        <v>37532</v>
      </c>
      <c r="G12847" t="s">
        <v>37531</v>
      </c>
      <c r="H12847" t="s">
        <v>859</v>
      </c>
      <c r="I12847" t="s">
        <v>860</v>
      </c>
      <c r="J12847" t="str">
        <f>"9020152"</f>
        <v>9020152</v>
      </c>
      <c r="K12847">
        <v>2752029377</v>
      </c>
      <c r="M12847" t="s">
        <v>38572</v>
      </c>
      <c r="N12847" t="s">
        <v>37532</v>
      </c>
      <c r="O12847" t="s">
        <v>38573</v>
      </c>
      <c r="P12847">
        <v>21100</v>
      </c>
      <c r="Q12847" t="str">
        <f>"37.570882"</f>
        <v>37.570882</v>
      </c>
      <c r="R12847" t="str">
        <f>"22.830236"</f>
        <v>22.830236</v>
      </c>
      <c r="S12847" t="s">
        <v>26</v>
      </c>
    </row>
    <row r="12848" spans="1:19" x14ac:dyDescent="0.3">
      <c r="A12848" t="s">
        <v>37529</v>
      </c>
      <c r="B12848" t="s">
        <v>38509</v>
      </c>
      <c r="C12848" t="s">
        <v>38574</v>
      </c>
      <c r="D12848" t="s">
        <v>37530</v>
      </c>
      <c r="E12848" t="s">
        <v>37531</v>
      </c>
      <c r="F12848" t="s">
        <v>37532</v>
      </c>
      <c r="G12848" t="s">
        <v>37531</v>
      </c>
      <c r="H12848" t="s">
        <v>859</v>
      </c>
      <c r="I12848" t="s">
        <v>860</v>
      </c>
      <c r="J12848" t="str">
        <f>"9020078"</f>
        <v>9020078</v>
      </c>
      <c r="K12848">
        <v>2752028838</v>
      </c>
      <c r="L12848">
        <v>2752028838</v>
      </c>
      <c r="M12848" t="s">
        <v>38575</v>
      </c>
      <c r="N12848" t="s">
        <v>37535</v>
      </c>
      <c r="O12848" t="s">
        <v>38576</v>
      </c>
      <c r="P12848">
        <v>21100</v>
      </c>
      <c r="Q12848" t="str">
        <f>"37.571423"</f>
        <v>37.571423</v>
      </c>
      <c r="R12848" t="str">
        <f>"22.817286"</f>
        <v>22.817286</v>
      </c>
      <c r="S12848" t="s">
        <v>26</v>
      </c>
    </row>
    <row r="12849" spans="1:19" x14ac:dyDescent="0.3">
      <c r="A12849" t="s">
        <v>37529</v>
      </c>
      <c r="B12849" t="s">
        <v>38509</v>
      </c>
      <c r="C12849" t="s">
        <v>38577</v>
      </c>
      <c r="D12849" t="s">
        <v>37530</v>
      </c>
      <c r="E12849" t="s">
        <v>37531</v>
      </c>
      <c r="F12849" t="s">
        <v>37532</v>
      </c>
      <c r="G12849" t="s">
        <v>37531</v>
      </c>
      <c r="H12849" t="s">
        <v>859</v>
      </c>
      <c r="I12849" t="s">
        <v>860</v>
      </c>
      <c r="J12849" t="str">
        <f>"9020186"</f>
        <v>9020186</v>
      </c>
      <c r="K12849">
        <v>2752028937</v>
      </c>
      <c r="M12849" t="s">
        <v>38578</v>
      </c>
      <c r="N12849" t="s">
        <v>37532</v>
      </c>
      <c r="O12849" t="s">
        <v>38579</v>
      </c>
      <c r="P12849">
        <v>21100</v>
      </c>
      <c r="Q12849" t="str">
        <f>"37.584059"</f>
        <v>37.584059</v>
      </c>
      <c r="R12849" t="str">
        <f>"22.801199"</f>
        <v>22.801199</v>
      </c>
      <c r="S12849" t="s">
        <v>26</v>
      </c>
    </row>
    <row r="12850" spans="1:19" x14ac:dyDescent="0.3">
      <c r="A12850" t="s">
        <v>37529</v>
      </c>
      <c r="B12850" t="s">
        <v>38509</v>
      </c>
      <c r="C12850" t="s">
        <v>38580</v>
      </c>
      <c r="D12850" t="s">
        <v>37530</v>
      </c>
      <c r="E12850" t="s">
        <v>37531</v>
      </c>
      <c r="F12850" t="s">
        <v>37646</v>
      </c>
      <c r="G12850" t="s">
        <v>38559</v>
      </c>
      <c r="H12850" t="s">
        <v>859</v>
      </c>
      <c r="I12850" t="s">
        <v>860</v>
      </c>
      <c r="J12850" t="str">
        <f>"9020090"</f>
        <v>9020090</v>
      </c>
      <c r="K12850">
        <v>2753051202</v>
      </c>
      <c r="L12850">
        <v>2753051373</v>
      </c>
      <c r="M12850" t="s">
        <v>38581</v>
      </c>
      <c r="N12850" t="s">
        <v>38559</v>
      </c>
      <c r="O12850" t="s">
        <v>38562</v>
      </c>
      <c r="P12850">
        <v>21055</v>
      </c>
      <c r="Q12850" t="str">
        <f>"37.677164"</f>
        <v>37.677164</v>
      </c>
      <c r="R12850" t="str">
        <f>"22.956427"</f>
        <v>22.956427</v>
      </c>
      <c r="S12850" t="s">
        <v>26</v>
      </c>
    </row>
    <row r="12851" spans="1:19" x14ac:dyDescent="0.3">
      <c r="A12851" t="s">
        <v>37529</v>
      </c>
      <c r="B12851" t="s">
        <v>38509</v>
      </c>
      <c r="C12851" t="s">
        <v>38584</v>
      </c>
      <c r="D12851" t="s">
        <v>37530</v>
      </c>
      <c r="E12851" t="s">
        <v>37531</v>
      </c>
      <c r="F12851" t="s">
        <v>38582</v>
      </c>
      <c r="G12851" t="s">
        <v>38583</v>
      </c>
      <c r="H12851" t="s">
        <v>859</v>
      </c>
      <c r="I12851" t="s">
        <v>860</v>
      </c>
      <c r="J12851" t="str">
        <f>"9020182"</f>
        <v>9020182</v>
      </c>
      <c r="K12851">
        <v>2752091320</v>
      </c>
      <c r="L12851">
        <v>2752091320</v>
      </c>
      <c r="M12851" t="s">
        <v>38585</v>
      </c>
      <c r="N12851" t="s">
        <v>38583</v>
      </c>
      <c r="O12851" t="s">
        <v>38586</v>
      </c>
      <c r="P12851">
        <v>21100</v>
      </c>
      <c r="Q12851" t="str">
        <f>"37.616093"</f>
        <v>37.616093</v>
      </c>
      <c r="R12851" t="str">
        <f>"22.858736"</f>
        <v>22.858736</v>
      </c>
      <c r="S12851" t="s">
        <v>26</v>
      </c>
    </row>
    <row r="12852" spans="1:19" x14ac:dyDescent="0.3">
      <c r="A12852" t="s">
        <v>37529</v>
      </c>
      <c r="B12852" t="s">
        <v>38509</v>
      </c>
      <c r="C12852" t="s">
        <v>38587</v>
      </c>
      <c r="D12852" t="s">
        <v>37530</v>
      </c>
      <c r="E12852" t="s">
        <v>37572</v>
      </c>
      <c r="F12852" t="s">
        <v>37673</v>
      </c>
      <c r="G12852" t="s">
        <v>37673</v>
      </c>
      <c r="H12852" t="s">
        <v>859</v>
      </c>
      <c r="I12852" t="s">
        <v>860</v>
      </c>
      <c r="J12852" t="str">
        <f>"9020136"</f>
        <v>9020136</v>
      </c>
      <c r="K12852">
        <v>2751091458</v>
      </c>
      <c r="L12852">
        <v>2751091458</v>
      </c>
      <c r="M12852" t="s">
        <v>38588</v>
      </c>
      <c r="N12852" t="s">
        <v>37673</v>
      </c>
      <c r="O12852" t="s">
        <v>38589</v>
      </c>
      <c r="P12852">
        <v>21200</v>
      </c>
      <c r="Q12852" t="str">
        <f>"37.682876"</f>
        <v>37.682876</v>
      </c>
      <c r="R12852" t="str">
        <f>"22.716097"</f>
        <v>22.716097</v>
      </c>
      <c r="S12852" t="s">
        <v>26</v>
      </c>
    </row>
    <row r="12853" spans="1:19" x14ac:dyDescent="0.3">
      <c r="A12853" t="s">
        <v>37529</v>
      </c>
      <c r="B12853" t="s">
        <v>38509</v>
      </c>
      <c r="C12853" t="s">
        <v>38590</v>
      </c>
      <c r="D12853" t="s">
        <v>37530</v>
      </c>
      <c r="E12853" t="s">
        <v>37572</v>
      </c>
      <c r="F12853" t="s">
        <v>37573</v>
      </c>
      <c r="G12853" t="s">
        <v>37573</v>
      </c>
      <c r="H12853" t="s">
        <v>859</v>
      </c>
      <c r="I12853" t="s">
        <v>860</v>
      </c>
      <c r="J12853" t="str">
        <f>"9020128"</f>
        <v>9020128</v>
      </c>
      <c r="K12853">
        <v>2751020218</v>
      </c>
      <c r="L12853">
        <v>2751020218</v>
      </c>
      <c r="M12853" t="s">
        <v>38591</v>
      </c>
      <c r="N12853" t="s">
        <v>37577</v>
      </c>
      <c r="O12853" t="s">
        <v>4658</v>
      </c>
      <c r="P12853">
        <v>21200</v>
      </c>
      <c r="Q12853" t="str">
        <f>"37.636633"</f>
        <v>37.636633</v>
      </c>
      <c r="R12853" t="str">
        <f>"22.734086"</f>
        <v>22.734086</v>
      </c>
      <c r="S12853" t="s">
        <v>26</v>
      </c>
    </row>
    <row r="12854" spans="1:19" x14ac:dyDescent="0.3">
      <c r="A12854" t="s">
        <v>37529</v>
      </c>
      <c r="B12854" t="s">
        <v>38509</v>
      </c>
      <c r="C12854" t="s">
        <v>38598</v>
      </c>
      <c r="D12854" t="s">
        <v>37530</v>
      </c>
      <c r="E12854" t="s">
        <v>37572</v>
      </c>
      <c r="F12854" t="s">
        <v>38596</v>
      </c>
      <c r="G12854" t="s">
        <v>38597</v>
      </c>
      <c r="H12854" t="s">
        <v>859</v>
      </c>
      <c r="I12854" t="s">
        <v>860</v>
      </c>
      <c r="J12854" t="str">
        <f>"9020178"</f>
        <v>9020178</v>
      </c>
      <c r="K12854">
        <v>2751047108</v>
      </c>
      <c r="M12854" t="s">
        <v>38599</v>
      </c>
      <c r="N12854" t="s">
        <v>38600</v>
      </c>
      <c r="O12854" t="s">
        <v>2648</v>
      </c>
      <c r="P12854">
        <v>21200</v>
      </c>
      <c r="Q12854" t="str">
        <f>"37.553482"</f>
        <v>37.553482</v>
      </c>
      <c r="R12854" t="str">
        <f>"22.716949"</f>
        <v>22.716949</v>
      </c>
      <c r="S12854" t="s">
        <v>26</v>
      </c>
    </row>
    <row r="12855" spans="1:19" x14ac:dyDescent="0.3">
      <c r="A12855" t="s">
        <v>37529</v>
      </c>
      <c r="B12855" t="s">
        <v>38509</v>
      </c>
      <c r="C12855" t="s">
        <v>38602</v>
      </c>
      <c r="D12855" t="s">
        <v>37530</v>
      </c>
      <c r="E12855" t="s">
        <v>37572</v>
      </c>
      <c r="F12855" t="s">
        <v>37573</v>
      </c>
      <c r="G12855" t="s">
        <v>38601</v>
      </c>
      <c r="H12855" t="s">
        <v>859</v>
      </c>
      <c r="I12855" t="s">
        <v>860</v>
      </c>
      <c r="J12855" t="str">
        <f>"9020541"</f>
        <v>9020541</v>
      </c>
      <c r="K12855">
        <v>2751024302</v>
      </c>
      <c r="L12855">
        <v>2751024302</v>
      </c>
      <c r="M12855" t="s">
        <v>38603</v>
      </c>
      <c r="N12855" t="s">
        <v>38601</v>
      </c>
      <c r="O12855" t="s">
        <v>38604</v>
      </c>
      <c r="P12855">
        <v>21200</v>
      </c>
      <c r="Q12855" t="str">
        <f>"37.626900"</f>
        <v>37.626900</v>
      </c>
      <c r="R12855" t="str">
        <f>"22.785235"</f>
        <v>22.785235</v>
      </c>
      <c r="S12855" t="s">
        <v>26</v>
      </c>
    </row>
    <row r="12856" spans="1:19" x14ac:dyDescent="0.3">
      <c r="A12856" t="s">
        <v>37529</v>
      </c>
      <c r="B12856" t="s">
        <v>38509</v>
      </c>
      <c r="C12856" t="s">
        <v>38606</v>
      </c>
      <c r="D12856" t="s">
        <v>37530</v>
      </c>
      <c r="E12856" t="s">
        <v>37531</v>
      </c>
      <c r="F12856" t="s">
        <v>37646</v>
      </c>
      <c r="G12856" t="s">
        <v>38605</v>
      </c>
      <c r="H12856" t="s">
        <v>859</v>
      </c>
      <c r="I12856" t="s">
        <v>860</v>
      </c>
      <c r="J12856" t="str">
        <f>"9020170"</f>
        <v>9020170</v>
      </c>
      <c r="K12856">
        <v>2752044241</v>
      </c>
      <c r="M12856" t="s">
        <v>38607</v>
      </c>
      <c r="N12856" t="s">
        <v>38605</v>
      </c>
      <c r="O12856" t="s">
        <v>38608</v>
      </c>
      <c r="P12856">
        <v>21055</v>
      </c>
      <c r="Q12856" t="str">
        <f>"37.648593"</f>
        <v>37.648593</v>
      </c>
      <c r="R12856" t="str">
        <f>"22.813662"</f>
        <v>22.813662</v>
      </c>
      <c r="S12856" t="s">
        <v>26</v>
      </c>
    </row>
    <row r="12857" spans="1:19" x14ac:dyDescent="0.3">
      <c r="A12857" t="s">
        <v>37529</v>
      </c>
      <c r="B12857" t="s">
        <v>38509</v>
      </c>
      <c r="C12857" t="s">
        <v>38609</v>
      </c>
      <c r="D12857" t="s">
        <v>37530</v>
      </c>
      <c r="E12857" t="s">
        <v>37565</v>
      </c>
      <c r="F12857" t="s">
        <v>37570</v>
      </c>
      <c r="G12857" t="s">
        <v>37570</v>
      </c>
      <c r="H12857" t="s">
        <v>859</v>
      </c>
      <c r="I12857" t="s">
        <v>860</v>
      </c>
      <c r="J12857" t="str">
        <f>"9020058"</f>
        <v>9020058</v>
      </c>
      <c r="K12857">
        <v>2754021577</v>
      </c>
      <c r="L12857">
        <v>2754021577</v>
      </c>
      <c r="M12857" t="s">
        <v>38610</v>
      </c>
      <c r="N12857" t="s">
        <v>37570</v>
      </c>
      <c r="O12857" t="s">
        <v>38593</v>
      </c>
      <c r="P12857">
        <v>21300</v>
      </c>
      <c r="Q12857" t="str">
        <f>"37.380511"</f>
        <v>37.380511</v>
      </c>
      <c r="R12857" t="str">
        <f>"23.160212"</f>
        <v>23.160212</v>
      </c>
      <c r="S12857" t="s">
        <v>26</v>
      </c>
    </row>
    <row r="12858" spans="1:19" x14ac:dyDescent="0.3">
      <c r="A12858" t="s">
        <v>37529</v>
      </c>
      <c r="B12858" t="s">
        <v>38509</v>
      </c>
      <c r="C12858" t="s">
        <v>38611</v>
      </c>
      <c r="D12858" t="s">
        <v>37530</v>
      </c>
      <c r="E12858" t="s">
        <v>37531</v>
      </c>
      <c r="F12858" t="s">
        <v>37532</v>
      </c>
      <c r="G12858" t="s">
        <v>37531</v>
      </c>
      <c r="H12858" t="s">
        <v>859</v>
      </c>
      <c r="I12858" t="s">
        <v>860</v>
      </c>
      <c r="J12858" t="str">
        <f>"9020185"</f>
        <v>9020185</v>
      </c>
      <c r="K12858">
        <v>2752023939</v>
      </c>
      <c r="L12858">
        <v>2752023939</v>
      </c>
      <c r="M12858" t="s">
        <v>38612</v>
      </c>
      <c r="N12858" t="s">
        <v>37532</v>
      </c>
      <c r="O12858" t="s">
        <v>38613</v>
      </c>
      <c r="P12858">
        <v>21100</v>
      </c>
      <c r="Q12858" t="str">
        <f>"37.570864"</f>
        <v>37.570864</v>
      </c>
      <c r="R12858" t="str">
        <f>"22.817330"</f>
        <v>22.817330</v>
      </c>
      <c r="S12858" t="s">
        <v>26</v>
      </c>
    </row>
    <row r="12859" spans="1:19" x14ac:dyDescent="0.3">
      <c r="A12859" t="s">
        <v>37529</v>
      </c>
      <c r="B12859" t="s">
        <v>38509</v>
      </c>
      <c r="C12859" t="s">
        <v>38617</v>
      </c>
      <c r="D12859" t="s">
        <v>37530</v>
      </c>
      <c r="E12859" t="s">
        <v>37572</v>
      </c>
      <c r="F12859" t="s">
        <v>37573</v>
      </c>
      <c r="G12859" t="s">
        <v>37573</v>
      </c>
      <c r="H12859" t="s">
        <v>859</v>
      </c>
      <c r="I12859" t="s">
        <v>860</v>
      </c>
      <c r="J12859" t="str">
        <f>"9020127"</f>
        <v>9020127</v>
      </c>
      <c r="K12859">
        <v>2751021889</v>
      </c>
      <c r="L12859">
        <v>2751021889</v>
      </c>
      <c r="M12859" t="s">
        <v>38618</v>
      </c>
      <c r="N12859" t="s">
        <v>37573</v>
      </c>
      <c r="O12859" t="s">
        <v>38619</v>
      </c>
      <c r="P12859">
        <v>21200</v>
      </c>
      <c r="Q12859" t="str">
        <f>"37.633273"</f>
        <v>37.633273</v>
      </c>
      <c r="R12859" t="str">
        <f>"22.725678"</f>
        <v>22.725678</v>
      </c>
      <c r="S12859" t="s">
        <v>26</v>
      </c>
    </row>
    <row r="12860" spans="1:19" x14ac:dyDescent="0.3">
      <c r="A12860" t="s">
        <v>37529</v>
      </c>
      <c r="B12860" t="s">
        <v>38509</v>
      </c>
      <c r="C12860" t="s">
        <v>38624</v>
      </c>
      <c r="D12860" t="s">
        <v>37530</v>
      </c>
      <c r="E12860" t="s">
        <v>37572</v>
      </c>
      <c r="F12860" t="s">
        <v>38596</v>
      </c>
      <c r="G12860" t="s">
        <v>38623</v>
      </c>
      <c r="H12860" t="s">
        <v>859</v>
      </c>
      <c r="I12860" t="s">
        <v>860</v>
      </c>
      <c r="J12860" t="str">
        <f>"9020163"</f>
        <v>9020163</v>
      </c>
      <c r="K12860">
        <v>2751042061</v>
      </c>
      <c r="L12860">
        <v>2751042061</v>
      </c>
      <c r="M12860" t="s">
        <v>38625</v>
      </c>
      <c r="N12860" t="s">
        <v>38626</v>
      </c>
      <c r="O12860" t="s">
        <v>38589</v>
      </c>
      <c r="P12860">
        <v>21200</v>
      </c>
      <c r="Q12860" t="str">
        <f>"37.523896"</f>
        <v>37.523896</v>
      </c>
      <c r="R12860" t="str">
        <f>"22.726321"</f>
        <v>22.726321</v>
      </c>
      <c r="S12860" t="s">
        <v>26</v>
      </c>
    </row>
    <row r="12861" spans="1:19" x14ac:dyDescent="0.3">
      <c r="A12861" t="s">
        <v>37529</v>
      </c>
      <c r="B12861" t="s">
        <v>38509</v>
      </c>
      <c r="C12861" t="s">
        <v>38627</v>
      </c>
      <c r="D12861" t="s">
        <v>37530</v>
      </c>
      <c r="E12861" t="s">
        <v>37604</v>
      </c>
      <c r="F12861" t="s">
        <v>37605</v>
      </c>
      <c r="G12861" t="s">
        <v>37605</v>
      </c>
      <c r="H12861" t="s">
        <v>859</v>
      </c>
      <c r="I12861" t="s">
        <v>860</v>
      </c>
      <c r="J12861" t="str">
        <f>"9020105"</f>
        <v>9020105</v>
      </c>
      <c r="K12861">
        <v>2753022922</v>
      </c>
      <c r="L12861">
        <v>2753022922</v>
      </c>
      <c r="M12861" t="s">
        <v>38628</v>
      </c>
      <c r="N12861" t="s">
        <v>37605</v>
      </c>
      <c r="O12861" t="s">
        <v>38629</v>
      </c>
      <c r="P12861">
        <v>21052</v>
      </c>
      <c r="Q12861" t="str">
        <f>"37.612853"</f>
        <v>37.612853</v>
      </c>
      <c r="R12861" t="str">
        <f>"23.038438"</f>
        <v>23.038438</v>
      </c>
      <c r="S12861" t="s">
        <v>26</v>
      </c>
    </row>
    <row r="12862" spans="1:19" x14ac:dyDescent="0.3">
      <c r="A12862" t="s">
        <v>37529</v>
      </c>
      <c r="B12862" t="s">
        <v>38509</v>
      </c>
      <c r="C12862" t="s">
        <v>38639</v>
      </c>
      <c r="D12862" t="s">
        <v>37530</v>
      </c>
      <c r="E12862" t="s">
        <v>37531</v>
      </c>
      <c r="F12862" t="s">
        <v>38582</v>
      </c>
      <c r="G12862" t="s">
        <v>38582</v>
      </c>
      <c r="H12862" t="s">
        <v>859</v>
      </c>
      <c r="I12862" t="s">
        <v>860</v>
      </c>
      <c r="J12862" t="str">
        <f>"9020145"</f>
        <v>9020145</v>
      </c>
      <c r="K12862">
        <v>2752036501</v>
      </c>
      <c r="L12862">
        <v>2752036501</v>
      </c>
      <c r="M12862" t="s">
        <v>38640</v>
      </c>
      <c r="N12862" t="s">
        <v>38582</v>
      </c>
      <c r="O12862" t="s">
        <v>38638</v>
      </c>
      <c r="P12862">
        <v>21100</v>
      </c>
      <c r="Q12862" t="str">
        <f>"37.608110"</f>
        <v>37.608110</v>
      </c>
      <c r="R12862" t="str">
        <f>"22.819793"</f>
        <v>22.819793</v>
      </c>
      <c r="S12862" t="s">
        <v>26</v>
      </c>
    </row>
    <row r="12863" spans="1:19" x14ac:dyDescent="0.3">
      <c r="A12863" t="s">
        <v>37529</v>
      </c>
      <c r="B12863" t="s">
        <v>38509</v>
      </c>
      <c r="C12863" t="s">
        <v>38641</v>
      </c>
      <c r="D12863" t="s">
        <v>37530</v>
      </c>
      <c r="E12863" t="s">
        <v>37531</v>
      </c>
      <c r="F12863" t="s">
        <v>37656</v>
      </c>
      <c r="G12863" t="s">
        <v>38552</v>
      </c>
      <c r="H12863" t="s">
        <v>859</v>
      </c>
      <c r="I12863" t="s">
        <v>860</v>
      </c>
      <c r="J12863" t="str">
        <f>"9020164"</f>
        <v>9020164</v>
      </c>
      <c r="K12863">
        <v>2752059513</v>
      </c>
      <c r="M12863" t="s">
        <v>38642</v>
      </c>
      <c r="N12863" t="s">
        <v>38552</v>
      </c>
      <c r="O12863" t="s">
        <v>38643</v>
      </c>
      <c r="P12863">
        <v>21056</v>
      </c>
      <c r="Q12863" t="str">
        <f>"37.523340"</f>
        <v>37.523340</v>
      </c>
      <c r="R12863" t="str">
        <f>"22.861740"</f>
        <v>22.861740</v>
      </c>
      <c r="S12863" t="s">
        <v>26</v>
      </c>
    </row>
    <row r="12864" spans="1:19" x14ac:dyDescent="0.3">
      <c r="A12864" t="s">
        <v>37529</v>
      </c>
      <c r="B12864" t="s">
        <v>38509</v>
      </c>
      <c r="C12864" t="s">
        <v>38644</v>
      </c>
      <c r="D12864" t="s">
        <v>37530</v>
      </c>
      <c r="E12864" t="s">
        <v>37531</v>
      </c>
      <c r="F12864" t="s">
        <v>37532</v>
      </c>
      <c r="G12864" t="s">
        <v>37531</v>
      </c>
      <c r="H12864" t="s">
        <v>859</v>
      </c>
      <c r="I12864" t="s">
        <v>860</v>
      </c>
      <c r="J12864" t="str">
        <f>"9020074"</f>
        <v>9020074</v>
      </c>
      <c r="K12864">
        <v>2752023643</v>
      </c>
      <c r="L12864">
        <v>2752023643</v>
      </c>
      <c r="M12864" t="s">
        <v>38645</v>
      </c>
      <c r="N12864" t="s">
        <v>38646</v>
      </c>
      <c r="O12864" t="s">
        <v>38647</v>
      </c>
      <c r="P12864">
        <v>21100</v>
      </c>
      <c r="Q12864" t="str">
        <f>"37.575505"</f>
        <v>37.575505</v>
      </c>
      <c r="R12864" t="str">
        <f>"22.803256"</f>
        <v>22.803256</v>
      </c>
      <c r="S12864" t="s">
        <v>26</v>
      </c>
    </row>
    <row r="12865" spans="1:19" x14ac:dyDescent="0.3">
      <c r="A12865" t="s">
        <v>37529</v>
      </c>
      <c r="B12865" t="s">
        <v>38509</v>
      </c>
      <c r="C12865" t="s">
        <v>38650</v>
      </c>
      <c r="D12865" t="s">
        <v>37530</v>
      </c>
      <c r="E12865" t="s">
        <v>37531</v>
      </c>
      <c r="F12865" t="s">
        <v>37656</v>
      </c>
      <c r="G12865" t="s">
        <v>15824</v>
      </c>
      <c r="H12865" t="s">
        <v>859</v>
      </c>
      <c r="I12865" t="s">
        <v>860</v>
      </c>
      <c r="J12865" t="str">
        <f>"9020153"</f>
        <v>9020153</v>
      </c>
      <c r="K12865">
        <v>2752092400</v>
      </c>
      <c r="L12865">
        <v>2752092400</v>
      </c>
      <c r="M12865" t="s">
        <v>38651</v>
      </c>
      <c r="N12865" t="s">
        <v>15824</v>
      </c>
      <c r="O12865" t="s">
        <v>15827</v>
      </c>
      <c r="P12865">
        <v>21060</v>
      </c>
      <c r="Q12865" t="str">
        <f>"37.537301"</f>
        <v>37.537301</v>
      </c>
      <c r="R12865" t="str">
        <f>"22.892871"</f>
        <v>22.892871</v>
      </c>
      <c r="S12865" t="s">
        <v>26</v>
      </c>
    </row>
    <row r="12866" spans="1:19" x14ac:dyDescent="0.3">
      <c r="A12866" t="s">
        <v>37529</v>
      </c>
      <c r="B12866" t="s">
        <v>38509</v>
      </c>
      <c r="C12866" t="s">
        <v>38655</v>
      </c>
      <c r="D12866" t="s">
        <v>37530</v>
      </c>
      <c r="E12866" t="s">
        <v>37565</v>
      </c>
      <c r="F12866" t="s">
        <v>37570</v>
      </c>
      <c r="G12866" t="s">
        <v>21084</v>
      </c>
      <c r="H12866" t="s">
        <v>859</v>
      </c>
      <c r="I12866" t="s">
        <v>860</v>
      </c>
      <c r="J12866" t="str">
        <f>"9020151"</f>
        <v>9020151</v>
      </c>
      <c r="K12866">
        <v>2754061161</v>
      </c>
      <c r="L12866">
        <v>2754061161</v>
      </c>
      <c r="M12866" t="s">
        <v>38656</v>
      </c>
      <c r="N12866" t="s">
        <v>21083</v>
      </c>
      <c r="O12866" t="s">
        <v>21087</v>
      </c>
      <c r="P12866">
        <v>21300</v>
      </c>
      <c r="Q12866" t="str">
        <f>"37.416440"</f>
        <v>37.416440</v>
      </c>
      <c r="R12866" t="str">
        <f>"23.124036"</f>
        <v>23.124036</v>
      </c>
      <c r="S12866" t="s">
        <v>26</v>
      </c>
    </row>
    <row r="12867" spans="1:19" x14ac:dyDescent="0.3">
      <c r="A12867" t="s">
        <v>37529</v>
      </c>
      <c r="B12867" t="s">
        <v>38509</v>
      </c>
      <c r="C12867" t="s">
        <v>38657</v>
      </c>
      <c r="D12867" t="s">
        <v>37530</v>
      </c>
      <c r="E12867" t="s">
        <v>37531</v>
      </c>
      <c r="F12867" t="s">
        <v>37646</v>
      </c>
      <c r="G12867" t="s">
        <v>38544</v>
      </c>
      <c r="H12867" t="s">
        <v>859</v>
      </c>
      <c r="I12867" t="s">
        <v>860</v>
      </c>
      <c r="J12867" t="str">
        <f>"9020155"</f>
        <v>9020155</v>
      </c>
      <c r="K12867">
        <v>2752045023</v>
      </c>
      <c r="L12867">
        <v>2752045023</v>
      </c>
      <c r="M12867" t="s">
        <v>38658</v>
      </c>
      <c r="N12867" t="s">
        <v>38547</v>
      </c>
      <c r="O12867" t="s">
        <v>38547</v>
      </c>
      <c r="P12867">
        <v>21055</v>
      </c>
      <c r="Q12867" t="str">
        <f>"37.657424"</f>
        <v>37.657424</v>
      </c>
      <c r="R12867" t="str">
        <f>"22.789728"</f>
        <v>22.789728</v>
      </c>
      <c r="S12867" t="s">
        <v>26</v>
      </c>
    </row>
    <row r="12868" spans="1:19" x14ac:dyDescent="0.3">
      <c r="A12868" t="s">
        <v>37529</v>
      </c>
      <c r="B12868" t="s">
        <v>38509</v>
      </c>
      <c r="C12868" t="s">
        <v>38662</v>
      </c>
      <c r="D12868" t="s">
        <v>37530</v>
      </c>
      <c r="E12868" t="s">
        <v>37572</v>
      </c>
      <c r="F12868" t="s">
        <v>37573</v>
      </c>
      <c r="G12868" t="s">
        <v>37573</v>
      </c>
      <c r="H12868" t="s">
        <v>859</v>
      </c>
      <c r="I12868" t="s">
        <v>860</v>
      </c>
      <c r="J12868" t="str">
        <f>"9020175"</f>
        <v>9020175</v>
      </c>
      <c r="K12868">
        <v>2751023061</v>
      </c>
      <c r="M12868" t="s">
        <v>38663</v>
      </c>
      <c r="N12868" t="s">
        <v>37573</v>
      </c>
      <c r="O12868" t="s">
        <v>38664</v>
      </c>
      <c r="P12868">
        <v>21200</v>
      </c>
      <c r="Q12868" t="str">
        <f>"37.633467"</f>
        <v>37.633467</v>
      </c>
      <c r="R12868" t="str">
        <f>"22.722426"</f>
        <v>22.722426</v>
      </c>
      <c r="S12868" t="s">
        <v>26</v>
      </c>
    </row>
    <row r="12869" spans="1:19" x14ac:dyDescent="0.3">
      <c r="A12869" t="s">
        <v>37529</v>
      </c>
      <c r="B12869" t="s">
        <v>38509</v>
      </c>
      <c r="C12869" t="s">
        <v>38665</v>
      </c>
      <c r="D12869" t="s">
        <v>37530</v>
      </c>
      <c r="E12869" t="s">
        <v>37572</v>
      </c>
      <c r="F12869" t="s">
        <v>37573</v>
      </c>
      <c r="G12869" t="s">
        <v>37573</v>
      </c>
      <c r="H12869" t="s">
        <v>859</v>
      </c>
      <c r="I12869" t="s">
        <v>860</v>
      </c>
      <c r="J12869" t="str">
        <f>"9020130"</f>
        <v>9020130</v>
      </c>
      <c r="K12869">
        <v>2751062016</v>
      </c>
      <c r="L12869">
        <v>2751062016</v>
      </c>
      <c r="M12869" t="s">
        <v>38666</v>
      </c>
      <c r="N12869" t="s">
        <v>37577</v>
      </c>
      <c r="O12869" t="s">
        <v>1872</v>
      </c>
      <c r="P12869">
        <v>21200</v>
      </c>
      <c r="Q12869" t="str">
        <f>"37.630056"</f>
        <v>37.630056</v>
      </c>
      <c r="R12869" t="str">
        <f>"22.717452"</f>
        <v>22.717452</v>
      </c>
      <c r="S12869" t="s">
        <v>26</v>
      </c>
    </row>
    <row r="12870" spans="1:19" x14ac:dyDescent="0.3">
      <c r="A12870" t="s">
        <v>37529</v>
      </c>
      <c r="B12870" t="s">
        <v>38509</v>
      </c>
      <c r="C12870" t="s">
        <v>38667</v>
      </c>
      <c r="D12870" t="s">
        <v>37530</v>
      </c>
      <c r="E12870" t="s">
        <v>37531</v>
      </c>
      <c r="F12870" t="s">
        <v>38582</v>
      </c>
      <c r="G12870" t="s">
        <v>38632</v>
      </c>
      <c r="H12870" t="s">
        <v>859</v>
      </c>
      <c r="I12870" t="s">
        <v>860</v>
      </c>
      <c r="J12870" t="str">
        <f>"9020154"</f>
        <v>9020154</v>
      </c>
      <c r="K12870">
        <v>2752091593</v>
      </c>
      <c r="M12870" t="s">
        <v>38668</v>
      </c>
      <c r="N12870" t="s">
        <v>38632</v>
      </c>
      <c r="O12870" t="s">
        <v>38635</v>
      </c>
      <c r="P12870">
        <v>21100</v>
      </c>
      <c r="Q12870" t="str">
        <f>"37.596323"</f>
        <v>37.596323</v>
      </c>
      <c r="R12870" t="str">
        <f>"22.841421"</f>
        <v>22.841421</v>
      </c>
      <c r="S12870" t="s">
        <v>26</v>
      </c>
    </row>
    <row r="12871" spans="1:19" x14ac:dyDescent="0.3">
      <c r="A12871" t="s">
        <v>37529</v>
      </c>
      <c r="B12871" t="s">
        <v>38509</v>
      </c>
      <c r="C12871" t="s">
        <v>38674</v>
      </c>
      <c r="D12871" t="s">
        <v>37530</v>
      </c>
      <c r="E12871" t="s">
        <v>37572</v>
      </c>
      <c r="F12871" t="s">
        <v>37573</v>
      </c>
      <c r="G12871" t="s">
        <v>37573</v>
      </c>
      <c r="H12871" t="s">
        <v>859</v>
      </c>
      <c r="I12871" t="s">
        <v>860</v>
      </c>
      <c r="J12871" t="str">
        <f>"9020174"</f>
        <v>9020174</v>
      </c>
      <c r="K12871">
        <v>2751023062</v>
      </c>
      <c r="L12871">
        <v>2751023062</v>
      </c>
      <c r="M12871" t="s">
        <v>38675</v>
      </c>
      <c r="N12871" t="s">
        <v>37573</v>
      </c>
      <c r="O12871" t="s">
        <v>38676</v>
      </c>
      <c r="P12871">
        <v>21200</v>
      </c>
      <c r="Q12871" t="str">
        <f>"37.631870"</f>
        <v>37.631870</v>
      </c>
      <c r="R12871" t="str">
        <f>"22.726071"</f>
        <v>22.726071</v>
      </c>
      <c r="S12871" t="s">
        <v>26</v>
      </c>
    </row>
    <row r="12872" spans="1:19" x14ac:dyDescent="0.3">
      <c r="A12872" t="s">
        <v>37529</v>
      </c>
      <c r="B12872" t="s">
        <v>38509</v>
      </c>
      <c r="C12872" t="s">
        <v>38677</v>
      </c>
      <c r="D12872" t="s">
        <v>37530</v>
      </c>
      <c r="E12872" t="s">
        <v>37572</v>
      </c>
      <c r="F12872" t="s">
        <v>37573</v>
      </c>
      <c r="G12872" t="s">
        <v>37573</v>
      </c>
      <c r="H12872" t="s">
        <v>859</v>
      </c>
      <c r="I12872" t="s">
        <v>860</v>
      </c>
      <c r="J12872" t="str">
        <f>"9020135"</f>
        <v>9020135</v>
      </c>
      <c r="K12872">
        <v>2751029797</v>
      </c>
      <c r="L12872">
        <v>2751029797</v>
      </c>
      <c r="M12872" t="s">
        <v>38678</v>
      </c>
      <c r="N12872" t="s">
        <v>37573</v>
      </c>
      <c r="O12872" t="s">
        <v>38679</v>
      </c>
      <c r="P12872">
        <v>21200</v>
      </c>
      <c r="Q12872" t="str">
        <f>"37.558222"</f>
        <v>37.558222</v>
      </c>
      <c r="R12872" t="str">
        <f>"22.706859"</f>
        <v>22.706859</v>
      </c>
      <c r="S12872" t="s">
        <v>26</v>
      </c>
    </row>
    <row r="12873" spans="1:19" x14ac:dyDescent="0.3">
      <c r="A12873" t="s">
        <v>37529</v>
      </c>
      <c r="B12873" t="s">
        <v>38509</v>
      </c>
      <c r="C12873" t="s">
        <v>38680</v>
      </c>
      <c r="D12873" t="s">
        <v>37530</v>
      </c>
      <c r="E12873" t="s">
        <v>37572</v>
      </c>
      <c r="F12873" t="s">
        <v>37573</v>
      </c>
      <c r="G12873" t="s">
        <v>37573</v>
      </c>
      <c r="H12873" t="s">
        <v>859</v>
      </c>
      <c r="I12873" t="s">
        <v>860</v>
      </c>
      <c r="J12873" t="str">
        <f>"9020544"</f>
        <v>9020544</v>
      </c>
      <c r="K12873">
        <v>2751023775</v>
      </c>
      <c r="L12873">
        <v>2751023775</v>
      </c>
      <c r="M12873" t="s">
        <v>38681</v>
      </c>
      <c r="N12873" t="s">
        <v>37577</v>
      </c>
      <c r="O12873" t="s">
        <v>25856</v>
      </c>
      <c r="P12873">
        <v>21200</v>
      </c>
      <c r="Q12873" t="str">
        <f>"37.635135"</f>
        <v>37.635135</v>
      </c>
      <c r="R12873" t="str">
        <f>"22.736600"</f>
        <v>22.736600</v>
      </c>
      <c r="S12873" t="s">
        <v>26</v>
      </c>
    </row>
    <row r="12874" spans="1:19" x14ac:dyDescent="0.3">
      <c r="A12874" t="s">
        <v>37529</v>
      </c>
      <c r="B12874" t="s">
        <v>38509</v>
      </c>
      <c r="C12874" t="s">
        <v>38683</v>
      </c>
      <c r="D12874" t="s">
        <v>37530</v>
      </c>
      <c r="E12874" t="s">
        <v>37572</v>
      </c>
      <c r="F12874" t="s">
        <v>37683</v>
      </c>
      <c r="G12874" t="s">
        <v>38682</v>
      </c>
      <c r="H12874" t="s">
        <v>859</v>
      </c>
      <c r="I12874" t="s">
        <v>860</v>
      </c>
      <c r="J12874" t="str">
        <f>"9020159"</f>
        <v>9020159</v>
      </c>
      <c r="K12874">
        <v>2751076891</v>
      </c>
      <c r="M12874" t="s">
        <v>38684</v>
      </c>
      <c r="N12874" t="s">
        <v>38685</v>
      </c>
      <c r="O12874" t="s">
        <v>38685</v>
      </c>
      <c r="P12874">
        <v>21200</v>
      </c>
      <c r="Q12874" t="str">
        <f>"37.718354"</f>
        <v>37.718354</v>
      </c>
      <c r="R12874" t="str">
        <f>"22.725354"</f>
        <v>22.725354</v>
      </c>
      <c r="S12874" t="s">
        <v>26</v>
      </c>
    </row>
    <row r="12875" spans="1:19" x14ac:dyDescent="0.3">
      <c r="A12875" t="s">
        <v>37529</v>
      </c>
      <c r="B12875" t="s">
        <v>38509</v>
      </c>
      <c r="C12875" t="s">
        <v>38687</v>
      </c>
      <c r="D12875" t="s">
        <v>37530</v>
      </c>
      <c r="E12875" t="s">
        <v>37572</v>
      </c>
      <c r="F12875" t="s">
        <v>38686</v>
      </c>
      <c r="G12875" t="s">
        <v>38686</v>
      </c>
      <c r="H12875" t="s">
        <v>859</v>
      </c>
      <c r="I12875" t="s">
        <v>860</v>
      </c>
      <c r="J12875" t="str">
        <f>"9020548"</f>
        <v>9020548</v>
      </c>
      <c r="K12875">
        <v>2751071696</v>
      </c>
      <c r="L12875">
        <v>2751071696</v>
      </c>
      <c r="M12875" t="s">
        <v>38688</v>
      </c>
      <c r="N12875" t="s">
        <v>38689</v>
      </c>
      <c r="P12875">
        <v>21058</v>
      </c>
      <c r="Q12875" t="str">
        <f>"37.705293"</f>
        <v>37.705293</v>
      </c>
      <c r="R12875" t="str">
        <f>"22.556773"</f>
        <v>22.556773</v>
      </c>
      <c r="S12875" t="s">
        <v>26</v>
      </c>
    </row>
    <row r="12876" spans="1:19" x14ac:dyDescent="0.3">
      <c r="A12876" t="s">
        <v>37529</v>
      </c>
      <c r="B12876" t="s">
        <v>38509</v>
      </c>
      <c r="C12876" t="s">
        <v>38690</v>
      </c>
      <c r="D12876" t="s">
        <v>37530</v>
      </c>
      <c r="E12876" t="s">
        <v>37572</v>
      </c>
      <c r="F12876" t="s">
        <v>37573</v>
      </c>
      <c r="G12876" t="s">
        <v>1139</v>
      </c>
      <c r="H12876" t="s">
        <v>859</v>
      </c>
      <c r="I12876" t="s">
        <v>860</v>
      </c>
      <c r="J12876" t="str">
        <f>"9020177"</f>
        <v>9020177</v>
      </c>
      <c r="K12876">
        <v>2751086457</v>
      </c>
      <c r="L12876">
        <v>2751086457</v>
      </c>
      <c r="M12876" t="s">
        <v>38691</v>
      </c>
      <c r="N12876" t="s">
        <v>37530</v>
      </c>
      <c r="O12876" t="s">
        <v>1142</v>
      </c>
      <c r="P12876">
        <v>21200</v>
      </c>
      <c r="Q12876" t="str">
        <f>"37.596041"</f>
        <v>37.596041</v>
      </c>
      <c r="R12876" t="str">
        <f>"22.696327"</f>
        <v>22.696327</v>
      </c>
      <c r="S12876" t="s">
        <v>26</v>
      </c>
    </row>
    <row r="12877" spans="1:19" x14ac:dyDescent="0.3">
      <c r="A12877" t="s">
        <v>37529</v>
      </c>
      <c r="B12877" t="s">
        <v>38509</v>
      </c>
      <c r="C12877" t="s">
        <v>38693</v>
      </c>
      <c r="D12877" t="s">
        <v>37530</v>
      </c>
      <c r="E12877" t="s">
        <v>37572</v>
      </c>
      <c r="F12877" t="s">
        <v>37573</v>
      </c>
      <c r="G12877" t="s">
        <v>38692</v>
      </c>
      <c r="H12877" t="s">
        <v>859</v>
      </c>
      <c r="I12877" t="s">
        <v>860</v>
      </c>
      <c r="J12877" t="str">
        <f>"9020168"</f>
        <v>9020168</v>
      </c>
      <c r="K12877">
        <v>2751024449</v>
      </c>
      <c r="M12877" t="s">
        <v>38694</v>
      </c>
      <c r="N12877" t="s">
        <v>38692</v>
      </c>
      <c r="O12877" t="s">
        <v>38695</v>
      </c>
      <c r="P12877">
        <v>21200</v>
      </c>
      <c r="Q12877" t="str">
        <f>"37.623776"</f>
        <v>37.623776</v>
      </c>
      <c r="R12877" t="str">
        <f>"22.751325"</f>
        <v>22.751325</v>
      </c>
      <c r="S12877" t="s">
        <v>26</v>
      </c>
    </row>
    <row r="12878" spans="1:19" x14ac:dyDescent="0.3">
      <c r="A12878" t="s">
        <v>37529</v>
      </c>
      <c r="B12878" t="s">
        <v>38509</v>
      </c>
      <c r="C12878" t="s">
        <v>38696</v>
      </c>
      <c r="D12878" t="s">
        <v>37530</v>
      </c>
      <c r="E12878" t="s">
        <v>37572</v>
      </c>
      <c r="F12878" t="s">
        <v>37573</v>
      </c>
      <c r="G12878" t="s">
        <v>37573</v>
      </c>
      <c r="H12878" t="s">
        <v>859</v>
      </c>
      <c r="I12878" t="s">
        <v>860</v>
      </c>
      <c r="J12878" t="str">
        <f>"9020543"</f>
        <v>9020543</v>
      </c>
      <c r="K12878">
        <v>2751024332</v>
      </c>
      <c r="L12878">
        <v>2751024332</v>
      </c>
      <c r="M12878" t="s">
        <v>38697</v>
      </c>
      <c r="N12878" t="s">
        <v>37577</v>
      </c>
      <c r="O12878" t="s">
        <v>38698</v>
      </c>
      <c r="P12878">
        <v>21200</v>
      </c>
      <c r="Q12878" t="str">
        <f>"37.624061"</f>
        <v>37.624061</v>
      </c>
      <c r="R12878" t="str">
        <f>"22.729108"</f>
        <v>22.729108</v>
      </c>
      <c r="S12878" t="s">
        <v>26</v>
      </c>
    </row>
    <row r="12879" spans="1:19" x14ac:dyDescent="0.3">
      <c r="A12879" t="s">
        <v>37529</v>
      </c>
      <c r="B12879" t="s">
        <v>38509</v>
      </c>
      <c r="C12879" t="s">
        <v>38699</v>
      </c>
      <c r="D12879" t="s">
        <v>37530</v>
      </c>
      <c r="E12879" t="s">
        <v>37572</v>
      </c>
      <c r="F12879" t="s">
        <v>38686</v>
      </c>
      <c r="G12879" t="s">
        <v>16102</v>
      </c>
      <c r="H12879" t="s">
        <v>859</v>
      </c>
      <c r="I12879" t="s">
        <v>860</v>
      </c>
      <c r="J12879" t="str">
        <f>"9020189"</f>
        <v>9020189</v>
      </c>
      <c r="K12879">
        <v>2751075355</v>
      </c>
      <c r="M12879" t="s">
        <v>38700</v>
      </c>
      <c r="N12879" t="s">
        <v>38701</v>
      </c>
      <c r="O12879" t="s">
        <v>38701</v>
      </c>
      <c r="P12879">
        <v>21200</v>
      </c>
      <c r="Q12879" t="str">
        <f>"37.616899"</f>
        <v>37.616899</v>
      </c>
      <c r="R12879" t="str">
        <f>"22.608250"</f>
        <v>22.608250</v>
      </c>
      <c r="S12879" t="s">
        <v>26</v>
      </c>
    </row>
    <row r="12880" spans="1:19" x14ac:dyDescent="0.3">
      <c r="A12880" t="s">
        <v>37529</v>
      </c>
      <c r="B12880" t="s">
        <v>38509</v>
      </c>
      <c r="C12880" t="s">
        <v>38704</v>
      </c>
      <c r="D12880" t="s">
        <v>37530</v>
      </c>
      <c r="E12880" t="s">
        <v>37572</v>
      </c>
      <c r="F12880" t="s">
        <v>37573</v>
      </c>
      <c r="G12880" t="s">
        <v>13813</v>
      </c>
      <c r="H12880" t="s">
        <v>859</v>
      </c>
      <c r="I12880" t="s">
        <v>860</v>
      </c>
      <c r="J12880" t="str">
        <f>"9020148"</f>
        <v>9020148</v>
      </c>
      <c r="K12880">
        <v>2751031338</v>
      </c>
      <c r="L12880">
        <v>2751031338</v>
      </c>
      <c r="M12880" t="s">
        <v>38705</v>
      </c>
      <c r="N12880" t="s">
        <v>13813</v>
      </c>
      <c r="O12880" t="s">
        <v>38706</v>
      </c>
      <c r="P12880">
        <v>21200</v>
      </c>
      <c r="Q12880" t="str">
        <f>"37.665385"</f>
        <v>37.665385</v>
      </c>
      <c r="R12880" t="str">
        <f>"22.749010"</f>
        <v>22.749010</v>
      </c>
      <c r="S12880" t="s">
        <v>26</v>
      </c>
    </row>
    <row r="12881" spans="1:19" x14ac:dyDescent="0.3">
      <c r="A12881" t="s">
        <v>37529</v>
      </c>
      <c r="B12881" t="s">
        <v>38509</v>
      </c>
      <c r="C12881" t="s">
        <v>38708</v>
      </c>
      <c r="D12881" t="s">
        <v>37530</v>
      </c>
      <c r="E12881" t="s">
        <v>37572</v>
      </c>
      <c r="F12881" t="s">
        <v>38596</v>
      </c>
      <c r="G12881" t="s">
        <v>38707</v>
      </c>
      <c r="H12881" t="s">
        <v>859</v>
      </c>
      <c r="I12881" t="s">
        <v>860</v>
      </c>
      <c r="J12881" t="str">
        <f>"9020162"</f>
        <v>9020162</v>
      </c>
      <c r="K12881">
        <v>2751047769</v>
      </c>
      <c r="L12881">
        <v>2751047769</v>
      </c>
      <c r="M12881" t="s">
        <v>38709</v>
      </c>
      <c r="N12881" t="s">
        <v>37573</v>
      </c>
      <c r="O12881" t="s">
        <v>38710</v>
      </c>
      <c r="P12881">
        <v>21200</v>
      </c>
      <c r="Q12881" t="str">
        <f>"37.567094"</f>
        <v>37.567094</v>
      </c>
      <c r="R12881" t="str">
        <f>"22.689747"</f>
        <v>22.689747</v>
      </c>
      <c r="S12881" t="s">
        <v>26</v>
      </c>
    </row>
    <row r="12882" spans="1:19" x14ac:dyDescent="0.3">
      <c r="A12882" t="s">
        <v>37529</v>
      </c>
      <c r="B12882" t="s">
        <v>38509</v>
      </c>
      <c r="C12882" t="s">
        <v>38717</v>
      </c>
      <c r="D12882" t="s">
        <v>37530</v>
      </c>
      <c r="E12882" t="s">
        <v>37565</v>
      </c>
      <c r="F12882" t="s">
        <v>37570</v>
      </c>
      <c r="G12882" t="s">
        <v>37570</v>
      </c>
      <c r="H12882" t="s">
        <v>859</v>
      </c>
      <c r="I12882" t="s">
        <v>860</v>
      </c>
      <c r="J12882" t="str">
        <f>"9020144"</f>
        <v>9020144</v>
      </c>
      <c r="K12882">
        <v>2754022735</v>
      </c>
      <c r="L12882">
        <v>2754022735</v>
      </c>
      <c r="M12882" t="s">
        <v>38718</v>
      </c>
      <c r="N12882" t="s">
        <v>37570</v>
      </c>
      <c r="O12882" t="s">
        <v>38593</v>
      </c>
      <c r="P12882">
        <v>21300</v>
      </c>
      <c r="Q12882" t="str">
        <f>"37.380511"</f>
        <v>37.380511</v>
      </c>
      <c r="R12882" t="str">
        <f>"23.160212"</f>
        <v>23.160212</v>
      </c>
      <c r="S12882" t="s">
        <v>26</v>
      </c>
    </row>
    <row r="12883" spans="1:19" x14ac:dyDescent="0.3">
      <c r="A12883" t="s">
        <v>37529</v>
      </c>
      <c r="B12883" t="s">
        <v>38509</v>
      </c>
      <c r="C12883" t="s">
        <v>38723</v>
      </c>
      <c r="D12883" t="s">
        <v>37530</v>
      </c>
      <c r="E12883" t="s">
        <v>37604</v>
      </c>
      <c r="F12883" t="s">
        <v>37604</v>
      </c>
      <c r="G12883" t="s">
        <v>38722</v>
      </c>
      <c r="H12883" t="s">
        <v>859</v>
      </c>
      <c r="I12883" t="s">
        <v>860</v>
      </c>
      <c r="J12883" t="str">
        <f>"9020133"</f>
        <v>9020133</v>
      </c>
      <c r="K12883">
        <v>2753031680</v>
      </c>
      <c r="M12883" t="s">
        <v>38724</v>
      </c>
      <c r="N12883" t="s">
        <v>38722</v>
      </c>
      <c r="O12883" t="s">
        <v>38725</v>
      </c>
      <c r="P12883">
        <v>21054</v>
      </c>
      <c r="Q12883" t="str">
        <f>"37.676871"</f>
        <v>37.676871</v>
      </c>
      <c r="R12883" t="str">
        <f>"23.125739"</f>
        <v>23.125739</v>
      </c>
      <c r="S12883" t="s">
        <v>26</v>
      </c>
    </row>
    <row r="12884" spans="1:19" x14ac:dyDescent="0.3">
      <c r="A12884" t="s">
        <v>37529</v>
      </c>
      <c r="B12884" t="s">
        <v>38509</v>
      </c>
      <c r="C12884" t="s">
        <v>38734</v>
      </c>
      <c r="D12884" t="s">
        <v>37530</v>
      </c>
      <c r="E12884" t="s">
        <v>37604</v>
      </c>
      <c r="F12884" t="s">
        <v>37604</v>
      </c>
      <c r="G12884" t="s">
        <v>38730</v>
      </c>
      <c r="H12884" t="s">
        <v>859</v>
      </c>
      <c r="I12884" t="s">
        <v>860</v>
      </c>
      <c r="J12884" t="str">
        <f>"9020096"</f>
        <v>9020096</v>
      </c>
      <c r="K12884">
        <v>2753031121</v>
      </c>
      <c r="L12884">
        <v>2753097081</v>
      </c>
      <c r="M12884" t="s">
        <v>38735</v>
      </c>
      <c r="O12884" t="s">
        <v>38733</v>
      </c>
      <c r="P12884">
        <v>21054</v>
      </c>
      <c r="Q12884" t="str">
        <f>"37.689557"</f>
        <v>37.689557</v>
      </c>
      <c r="R12884" t="str">
        <f>"23.072868"</f>
        <v>23.072868</v>
      </c>
      <c r="S12884" t="s">
        <v>26</v>
      </c>
    </row>
    <row r="12885" spans="1:19" x14ac:dyDescent="0.3">
      <c r="A12885" t="s">
        <v>37529</v>
      </c>
      <c r="B12885" t="s">
        <v>38509</v>
      </c>
      <c r="C12885" t="s">
        <v>38739</v>
      </c>
      <c r="D12885" t="s">
        <v>37530</v>
      </c>
      <c r="E12885" t="s">
        <v>37531</v>
      </c>
      <c r="F12885" t="s">
        <v>37532</v>
      </c>
      <c r="G12885" t="s">
        <v>37531</v>
      </c>
      <c r="H12885" t="s">
        <v>859</v>
      </c>
      <c r="I12885" t="s">
        <v>860</v>
      </c>
      <c r="J12885" t="str">
        <f>"9020079"</f>
        <v>9020079</v>
      </c>
      <c r="K12885">
        <v>2752022473</v>
      </c>
      <c r="L12885">
        <v>2752022473</v>
      </c>
      <c r="M12885" t="s">
        <v>38740</v>
      </c>
      <c r="N12885" t="s">
        <v>37535</v>
      </c>
      <c r="O12885" t="s">
        <v>38616</v>
      </c>
      <c r="P12885">
        <v>21100</v>
      </c>
      <c r="Q12885" t="str">
        <f>"37.562810"</f>
        <v>37.562810</v>
      </c>
      <c r="R12885" t="str">
        <f>"22.809782"</f>
        <v>22.809782</v>
      </c>
      <c r="S12885" t="s">
        <v>26</v>
      </c>
    </row>
    <row r="12886" spans="1:19" x14ac:dyDescent="0.3">
      <c r="A12886" t="s">
        <v>37529</v>
      </c>
      <c r="B12886" t="s">
        <v>38509</v>
      </c>
      <c r="C12886" t="s">
        <v>38741</v>
      </c>
      <c r="D12886" t="s">
        <v>37530</v>
      </c>
      <c r="E12886" t="s">
        <v>37572</v>
      </c>
      <c r="F12886" t="s">
        <v>37573</v>
      </c>
      <c r="G12886" t="s">
        <v>37573</v>
      </c>
      <c r="H12886" t="s">
        <v>859</v>
      </c>
      <c r="I12886" t="s">
        <v>860</v>
      </c>
      <c r="J12886" t="str">
        <f>"9020187"</f>
        <v>9020187</v>
      </c>
      <c r="K12886">
        <v>2751021425</v>
      </c>
      <c r="L12886">
        <v>2751061845</v>
      </c>
      <c r="M12886" t="s">
        <v>38742</v>
      </c>
      <c r="N12886" t="s">
        <v>38743</v>
      </c>
      <c r="O12886" t="s">
        <v>38744</v>
      </c>
      <c r="P12886">
        <v>21200</v>
      </c>
      <c r="Q12886" t="str">
        <f>"37.660833"</f>
        <v>37.660833</v>
      </c>
      <c r="R12886" t="str">
        <f>"22.704240"</f>
        <v>22.704240</v>
      </c>
      <c r="S12886" t="s">
        <v>26</v>
      </c>
    </row>
    <row r="12887" spans="1:19" x14ac:dyDescent="0.3">
      <c r="A12887" t="s">
        <v>37529</v>
      </c>
      <c r="B12887" t="s">
        <v>38509</v>
      </c>
      <c r="C12887" t="s">
        <v>38745</v>
      </c>
      <c r="D12887" t="s">
        <v>37530</v>
      </c>
      <c r="E12887" t="s">
        <v>37572</v>
      </c>
      <c r="F12887" t="s">
        <v>37664</v>
      </c>
      <c r="G12887" t="s">
        <v>37664</v>
      </c>
      <c r="H12887" t="s">
        <v>859</v>
      </c>
      <c r="I12887" t="s">
        <v>860</v>
      </c>
      <c r="J12887" t="str">
        <f>"9020126"</f>
        <v>9020126</v>
      </c>
      <c r="K12887">
        <v>2751051598</v>
      </c>
      <c r="L12887">
        <v>2751051598</v>
      </c>
      <c r="M12887" t="s">
        <v>38746</v>
      </c>
      <c r="N12887" t="s">
        <v>38747</v>
      </c>
      <c r="O12887" t="s">
        <v>38748</v>
      </c>
      <c r="P12887">
        <v>21053</v>
      </c>
      <c r="Q12887" t="str">
        <f>"37.586034"</f>
        <v>37.586034</v>
      </c>
      <c r="R12887" t="str">
        <f>"22.743947"</f>
        <v>22.743947</v>
      </c>
      <c r="S12887" t="s">
        <v>26</v>
      </c>
    </row>
    <row r="12888" spans="1:19" x14ac:dyDescent="0.3">
      <c r="A12888" t="s">
        <v>37529</v>
      </c>
      <c r="B12888" t="s">
        <v>38509</v>
      </c>
      <c r="C12888" t="s">
        <v>38759</v>
      </c>
      <c r="D12888" t="s">
        <v>37530</v>
      </c>
      <c r="E12888" t="s">
        <v>37565</v>
      </c>
      <c r="F12888" t="s">
        <v>37566</v>
      </c>
      <c r="G12888" t="s">
        <v>37566</v>
      </c>
      <c r="H12888" t="s">
        <v>859</v>
      </c>
      <c r="I12888" t="s">
        <v>860</v>
      </c>
      <c r="J12888" t="str">
        <f>"9020067"</f>
        <v>9020067</v>
      </c>
      <c r="K12888">
        <v>2754031622</v>
      </c>
      <c r="L12888">
        <v>2754031622</v>
      </c>
      <c r="M12888" t="s">
        <v>38760</v>
      </c>
      <c r="N12888" t="s">
        <v>37566</v>
      </c>
      <c r="O12888" t="s">
        <v>37586</v>
      </c>
      <c r="P12888">
        <v>21051</v>
      </c>
      <c r="Q12888" t="str">
        <f>"37.388075"</f>
        <v>37.388075</v>
      </c>
      <c r="R12888" t="str">
        <f>"23.246930"</f>
        <v>23.246930</v>
      </c>
      <c r="S12888" t="s">
        <v>26</v>
      </c>
    </row>
    <row r="12889" spans="1:19" x14ac:dyDescent="0.3">
      <c r="A12889" t="s">
        <v>37529</v>
      </c>
      <c r="B12889" t="s">
        <v>38509</v>
      </c>
      <c r="C12889" t="s">
        <v>38764</v>
      </c>
      <c r="D12889" t="s">
        <v>37530</v>
      </c>
      <c r="E12889" t="s">
        <v>37604</v>
      </c>
      <c r="F12889" t="s">
        <v>37604</v>
      </c>
      <c r="G12889" t="s">
        <v>38514</v>
      </c>
      <c r="H12889" t="s">
        <v>859</v>
      </c>
      <c r="I12889" t="s">
        <v>860</v>
      </c>
      <c r="J12889" t="str">
        <f>"9020147"</f>
        <v>9020147</v>
      </c>
      <c r="K12889">
        <v>2753042034</v>
      </c>
      <c r="L12889">
        <v>2753041780</v>
      </c>
      <c r="M12889" t="s">
        <v>38765</v>
      </c>
      <c r="N12889" t="s">
        <v>38514</v>
      </c>
      <c r="O12889" t="s">
        <v>38766</v>
      </c>
      <c r="P12889">
        <v>21059</v>
      </c>
      <c r="Q12889" t="str">
        <f>"37.639572"</f>
        <v>37.639572</v>
      </c>
      <c r="R12889" t="str">
        <f>"23.155383"</f>
        <v>23.155383</v>
      </c>
      <c r="S12889" t="s">
        <v>26</v>
      </c>
    </row>
    <row r="12890" spans="1:19" x14ac:dyDescent="0.3">
      <c r="A12890" t="s">
        <v>37529</v>
      </c>
      <c r="B12890" t="s">
        <v>38509</v>
      </c>
      <c r="C12890" t="s">
        <v>38775</v>
      </c>
      <c r="D12890" t="s">
        <v>37530</v>
      </c>
      <c r="E12890" t="s">
        <v>37565</v>
      </c>
      <c r="F12890" t="s">
        <v>37570</v>
      </c>
      <c r="G12890" t="s">
        <v>38669</v>
      </c>
      <c r="H12890" t="s">
        <v>859</v>
      </c>
      <c r="I12890" t="s">
        <v>860</v>
      </c>
      <c r="J12890" t="str">
        <f>"9020062"</f>
        <v>9020062</v>
      </c>
      <c r="K12890">
        <v>2754071261</v>
      </c>
      <c r="L12890">
        <v>2754071261</v>
      </c>
      <c r="M12890" t="s">
        <v>38776</v>
      </c>
      <c r="N12890" t="s">
        <v>38669</v>
      </c>
      <c r="O12890" t="s">
        <v>38777</v>
      </c>
      <c r="P12890">
        <v>21300</v>
      </c>
      <c r="Q12890" t="str">
        <f>"37.463386"</f>
        <v>37.463386</v>
      </c>
      <c r="R12890" t="str">
        <f>"23.170584"</f>
        <v>23.170584</v>
      </c>
      <c r="S12890" t="s">
        <v>26</v>
      </c>
    </row>
    <row r="12891" spans="1:19" x14ac:dyDescent="0.3">
      <c r="A12891" t="s">
        <v>37529</v>
      </c>
      <c r="B12891" t="s">
        <v>38509</v>
      </c>
      <c r="C12891" t="s">
        <v>38786</v>
      </c>
      <c r="D12891" t="s">
        <v>37530</v>
      </c>
      <c r="E12891" t="s">
        <v>37531</v>
      </c>
      <c r="F12891" t="s">
        <v>37656</v>
      </c>
      <c r="G12891" t="s">
        <v>38566</v>
      </c>
      <c r="H12891" t="s">
        <v>859</v>
      </c>
      <c r="I12891" t="s">
        <v>860</v>
      </c>
      <c r="J12891" t="str">
        <f>"9020549"</f>
        <v>9020549</v>
      </c>
      <c r="K12891">
        <v>2752094390</v>
      </c>
      <c r="M12891" t="s">
        <v>38787</v>
      </c>
      <c r="N12891" t="s">
        <v>38788</v>
      </c>
      <c r="O12891" t="s">
        <v>38788</v>
      </c>
      <c r="P12891">
        <v>21060</v>
      </c>
      <c r="Q12891" t="str">
        <f>"37.484340"</f>
        <v>37.484340</v>
      </c>
      <c r="R12891" t="str">
        <f>"22.993458"</f>
        <v>22.993458</v>
      </c>
      <c r="S12891" t="s">
        <v>26</v>
      </c>
    </row>
    <row r="12892" spans="1:19" x14ac:dyDescent="0.3">
      <c r="A12892" t="s">
        <v>37529</v>
      </c>
      <c r="B12892" t="s">
        <v>38509</v>
      </c>
      <c r="C12892" t="s">
        <v>38799</v>
      </c>
      <c r="D12892" t="s">
        <v>37530</v>
      </c>
      <c r="E12892" t="s">
        <v>37572</v>
      </c>
      <c r="F12892" t="s">
        <v>37573</v>
      </c>
      <c r="G12892" t="s">
        <v>37573</v>
      </c>
      <c r="H12892" t="s">
        <v>859</v>
      </c>
      <c r="I12892" t="s">
        <v>860</v>
      </c>
      <c r="J12892" t="str">
        <f>"9020129"</f>
        <v>9020129</v>
      </c>
      <c r="K12892">
        <v>2751020959</v>
      </c>
      <c r="L12892">
        <v>2751020959</v>
      </c>
      <c r="M12892" t="s">
        <v>38800</v>
      </c>
      <c r="N12892" t="s">
        <v>37573</v>
      </c>
      <c r="O12892" t="s">
        <v>38801</v>
      </c>
      <c r="P12892">
        <v>21200</v>
      </c>
      <c r="Q12892" t="str">
        <f>"37.638368"</f>
        <v>37.638368</v>
      </c>
      <c r="R12892" t="str">
        <f>"22.722710"</f>
        <v>22.722710</v>
      </c>
      <c r="S12892" t="s">
        <v>26</v>
      </c>
    </row>
    <row r="12893" spans="1:19" x14ac:dyDescent="0.3">
      <c r="A12893" t="s">
        <v>37529</v>
      </c>
      <c r="B12893" t="s">
        <v>38509</v>
      </c>
      <c r="C12893" t="s">
        <v>38804</v>
      </c>
      <c r="D12893" t="s">
        <v>37530</v>
      </c>
      <c r="E12893" t="s">
        <v>37565</v>
      </c>
      <c r="F12893" t="s">
        <v>37570</v>
      </c>
      <c r="G12893" t="s">
        <v>38532</v>
      </c>
      <c r="H12893" t="s">
        <v>859</v>
      </c>
      <c r="I12893" t="s">
        <v>860</v>
      </c>
      <c r="J12893" t="str">
        <f>"9521249"</f>
        <v>9521249</v>
      </c>
      <c r="K12893">
        <v>2754051586</v>
      </c>
      <c r="L12893">
        <v>2754029715</v>
      </c>
      <c r="M12893" t="s">
        <v>38805</v>
      </c>
      <c r="N12893" t="s">
        <v>38535</v>
      </c>
      <c r="O12893" t="s">
        <v>38535</v>
      </c>
      <c r="P12893">
        <v>21061</v>
      </c>
      <c r="Q12893" t="str">
        <f>"37.325244"</f>
        <v>37.325244</v>
      </c>
      <c r="R12893" t="str">
        <f>"23.138702"</f>
        <v>23.138702</v>
      </c>
      <c r="S12893" t="s">
        <v>26</v>
      </c>
    </row>
    <row r="12894" spans="1:19" x14ac:dyDescent="0.3">
      <c r="A12894" t="s">
        <v>37529</v>
      </c>
      <c r="B12894" t="s">
        <v>38509</v>
      </c>
      <c r="C12894" t="s">
        <v>38806</v>
      </c>
      <c r="D12894" t="s">
        <v>37530</v>
      </c>
      <c r="E12894" t="s">
        <v>37604</v>
      </c>
      <c r="F12894" t="s">
        <v>37605</v>
      </c>
      <c r="G12894" t="s">
        <v>37605</v>
      </c>
      <c r="H12894" t="s">
        <v>859</v>
      </c>
      <c r="I12894" t="s">
        <v>860</v>
      </c>
      <c r="J12894" t="str">
        <f>"9521121"</f>
        <v>9521121</v>
      </c>
      <c r="K12894">
        <v>2753023000</v>
      </c>
      <c r="L12894">
        <v>2753023000</v>
      </c>
      <c r="M12894" t="s">
        <v>38807</v>
      </c>
      <c r="N12894" t="s">
        <v>38660</v>
      </c>
      <c r="O12894" t="s">
        <v>38808</v>
      </c>
      <c r="P12894">
        <v>21052</v>
      </c>
      <c r="Q12894" t="str">
        <f>"37.612806"</f>
        <v>37.612806</v>
      </c>
      <c r="R12894" t="str">
        <f>"23.036510"</f>
        <v>23.036510</v>
      </c>
      <c r="S12894" t="s">
        <v>26</v>
      </c>
    </row>
    <row r="12895" spans="1:19" x14ac:dyDescent="0.3">
      <c r="A12895" t="s">
        <v>37529</v>
      </c>
      <c r="B12895" t="s">
        <v>38509</v>
      </c>
      <c r="C12895" t="s">
        <v>38809</v>
      </c>
      <c r="D12895" t="s">
        <v>37530</v>
      </c>
      <c r="E12895" t="s">
        <v>37531</v>
      </c>
      <c r="F12895" t="s">
        <v>37532</v>
      </c>
      <c r="G12895" t="s">
        <v>37531</v>
      </c>
      <c r="H12895" t="s">
        <v>859</v>
      </c>
      <c r="I12895" t="s">
        <v>860</v>
      </c>
      <c r="J12895" t="str">
        <f>"9521434"</f>
        <v>9521434</v>
      </c>
      <c r="K12895">
        <v>2752097945</v>
      </c>
      <c r="L12895">
        <v>2752097945</v>
      </c>
      <c r="M12895" t="s">
        <v>38810</v>
      </c>
      <c r="N12895" t="s">
        <v>37532</v>
      </c>
      <c r="O12895" t="s">
        <v>38811</v>
      </c>
      <c r="P12895">
        <v>21100</v>
      </c>
      <c r="Q12895" t="str">
        <f>"37.570395"</f>
        <v>37.570395</v>
      </c>
      <c r="R12895" t="str">
        <f>"22.807913"</f>
        <v>22.807913</v>
      </c>
      <c r="S12895" t="s">
        <v>26</v>
      </c>
    </row>
    <row r="12896" spans="1:19" x14ac:dyDescent="0.3">
      <c r="A12896" t="s">
        <v>37529</v>
      </c>
      <c r="B12896" t="s">
        <v>38509</v>
      </c>
      <c r="C12896" t="s">
        <v>38812</v>
      </c>
      <c r="D12896" t="s">
        <v>37530</v>
      </c>
      <c r="E12896" t="s">
        <v>37565</v>
      </c>
      <c r="F12896" t="s">
        <v>37570</v>
      </c>
      <c r="G12896" t="s">
        <v>37570</v>
      </c>
      <c r="H12896" t="s">
        <v>859</v>
      </c>
      <c r="I12896" t="s">
        <v>860</v>
      </c>
      <c r="J12896" t="str">
        <f>"9521355"</f>
        <v>9521355</v>
      </c>
      <c r="K12896">
        <v>2754023302</v>
      </c>
      <c r="L12896">
        <v>2754023302</v>
      </c>
      <c r="M12896" t="s">
        <v>38813</v>
      </c>
      <c r="N12896" t="s">
        <v>37570</v>
      </c>
      <c r="O12896" t="s">
        <v>38814</v>
      </c>
      <c r="P12896">
        <v>21300</v>
      </c>
      <c r="Q12896" t="str">
        <f>"37.380060"</f>
        <v>37.380060</v>
      </c>
      <c r="R12896" t="str">
        <f>"23.160012"</f>
        <v>23.160012</v>
      </c>
      <c r="S12896" t="s">
        <v>26</v>
      </c>
    </row>
    <row r="12897" spans="1:19" x14ac:dyDescent="0.3">
      <c r="A12897" t="s">
        <v>37529</v>
      </c>
      <c r="B12897" t="s">
        <v>38509</v>
      </c>
      <c r="C12897" t="s">
        <v>38815</v>
      </c>
      <c r="D12897" t="s">
        <v>37530</v>
      </c>
      <c r="E12897" t="s">
        <v>37531</v>
      </c>
      <c r="F12897" t="s">
        <v>37532</v>
      </c>
      <c r="G12897" t="s">
        <v>37531</v>
      </c>
      <c r="H12897" t="s">
        <v>859</v>
      </c>
      <c r="I12897" t="s">
        <v>1102</v>
      </c>
      <c r="J12897" t="str">
        <f>"9521474"</f>
        <v>9521474</v>
      </c>
      <c r="K12897">
        <v>2751021144</v>
      </c>
      <c r="L12897">
        <v>2751021144</v>
      </c>
      <c r="M12897" t="s">
        <v>38816</v>
      </c>
      <c r="N12897" t="s">
        <v>37573</v>
      </c>
      <c r="O12897" t="s">
        <v>38751</v>
      </c>
      <c r="P12897">
        <v>21200</v>
      </c>
      <c r="Q12897" t="str">
        <f>"37.635197"</f>
        <v>37.635197</v>
      </c>
      <c r="R12897" t="str">
        <f>"22.735990"</f>
        <v>22.735990</v>
      </c>
      <c r="S12897" t="s">
        <v>26</v>
      </c>
    </row>
    <row r="12898" spans="1:19" x14ac:dyDescent="0.3">
      <c r="A12898" t="s">
        <v>37529</v>
      </c>
      <c r="B12898" t="s">
        <v>38509</v>
      </c>
      <c r="C12898" t="s">
        <v>38819</v>
      </c>
      <c r="D12898" t="s">
        <v>37530</v>
      </c>
      <c r="E12898" t="s">
        <v>37604</v>
      </c>
      <c r="F12898" t="s">
        <v>37605</v>
      </c>
      <c r="G12898" t="s">
        <v>3295</v>
      </c>
      <c r="H12898" t="s">
        <v>859</v>
      </c>
      <c r="I12898" t="s">
        <v>860</v>
      </c>
      <c r="J12898" t="str">
        <f>"9020082"</f>
        <v>9020082</v>
      </c>
      <c r="K12898">
        <v>2753061560</v>
      </c>
      <c r="L12898">
        <v>2753061560</v>
      </c>
      <c r="M12898" t="s">
        <v>38820</v>
      </c>
      <c r="N12898" t="s">
        <v>3295</v>
      </c>
      <c r="O12898" t="s">
        <v>3472</v>
      </c>
      <c r="P12898">
        <v>21052</v>
      </c>
      <c r="Q12898" t="str">
        <f>"37.607487"</f>
        <v>37.607487</v>
      </c>
      <c r="R12898" t="str">
        <f>"22.945441"</f>
        <v>22.945441</v>
      </c>
      <c r="S12898" t="s">
        <v>26</v>
      </c>
    </row>
    <row r="12899" spans="1:19" x14ac:dyDescent="0.3">
      <c r="A12899" t="s">
        <v>37529</v>
      </c>
      <c r="B12899" t="s">
        <v>38509</v>
      </c>
      <c r="C12899" t="s">
        <v>38822</v>
      </c>
      <c r="D12899" t="s">
        <v>37530</v>
      </c>
      <c r="E12899" t="s">
        <v>37531</v>
      </c>
      <c r="F12899" t="s">
        <v>37532</v>
      </c>
      <c r="G12899" t="s">
        <v>38821</v>
      </c>
      <c r="H12899" t="s">
        <v>859</v>
      </c>
      <c r="I12899" t="s">
        <v>860</v>
      </c>
      <c r="J12899" t="str">
        <f>"9521588"</f>
        <v>9521588</v>
      </c>
      <c r="K12899">
        <v>2752023100</v>
      </c>
      <c r="M12899" t="s">
        <v>38823</v>
      </c>
      <c r="N12899" t="s">
        <v>38821</v>
      </c>
      <c r="O12899" t="s">
        <v>38824</v>
      </c>
      <c r="P12899">
        <v>21100</v>
      </c>
      <c r="Q12899" t="str">
        <f>"37.582027"</f>
        <v>37.582027</v>
      </c>
      <c r="R12899" t="str">
        <f>"22.879432"</f>
        <v>22.879432</v>
      </c>
      <c r="S12899" t="s">
        <v>26</v>
      </c>
    </row>
    <row r="12900" spans="1:19" x14ac:dyDescent="0.3">
      <c r="A12900" t="s">
        <v>37529</v>
      </c>
      <c r="B12900" t="s">
        <v>38509</v>
      </c>
      <c r="C12900" t="s">
        <v>38825</v>
      </c>
      <c r="D12900" t="s">
        <v>37530</v>
      </c>
      <c r="E12900" t="s">
        <v>37531</v>
      </c>
      <c r="F12900" t="s">
        <v>37646</v>
      </c>
      <c r="G12900" t="s">
        <v>21730</v>
      </c>
      <c r="H12900" t="s">
        <v>859</v>
      </c>
      <c r="I12900" t="s">
        <v>860</v>
      </c>
      <c r="J12900" t="str">
        <f>"9020146"</f>
        <v>9020146</v>
      </c>
      <c r="K12900">
        <v>2752044022</v>
      </c>
      <c r="M12900" t="s">
        <v>38826</v>
      </c>
      <c r="N12900" t="s">
        <v>37681</v>
      </c>
      <c r="O12900" t="s">
        <v>38827</v>
      </c>
      <c r="P12900">
        <v>21055</v>
      </c>
      <c r="Q12900" t="str">
        <f>"37.638189"</f>
        <v>37.638189</v>
      </c>
      <c r="R12900" t="str">
        <f>"22.809656"</f>
        <v>22.809656</v>
      </c>
      <c r="S12900" t="s">
        <v>26</v>
      </c>
    </row>
    <row r="12901" spans="1:19" x14ac:dyDescent="0.3">
      <c r="A12901" t="s">
        <v>37529</v>
      </c>
      <c r="B12901" t="s">
        <v>38509</v>
      </c>
      <c r="C12901" t="s">
        <v>38828</v>
      </c>
      <c r="D12901" t="s">
        <v>37530</v>
      </c>
      <c r="E12901" t="s">
        <v>37565</v>
      </c>
      <c r="F12901" t="s">
        <v>37566</v>
      </c>
      <c r="G12901" t="s">
        <v>37566</v>
      </c>
      <c r="H12901" t="s">
        <v>859</v>
      </c>
      <c r="I12901" t="s">
        <v>860</v>
      </c>
      <c r="J12901" t="str">
        <f>"9521248"</f>
        <v>9521248</v>
      </c>
      <c r="K12901">
        <v>2754031640</v>
      </c>
      <c r="L12901">
        <v>2754031640</v>
      </c>
      <c r="M12901" t="s">
        <v>38829</v>
      </c>
      <c r="N12901" t="s">
        <v>37566</v>
      </c>
      <c r="O12901" t="s">
        <v>38830</v>
      </c>
      <c r="P12901">
        <v>21051</v>
      </c>
      <c r="Q12901" t="str">
        <f>"37.387820"</f>
        <v>37.387820</v>
      </c>
      <c r="R12901" t="str">
        <f>"23.246576"</f>
        <v>23.246576</v>
      </c>
      <c r="S12901" t="s">
        <v>26</v>
      </c>
    </row>
    <row r="12902" spans="1:19" x14ac:dyDescent="0.3">
      <c r="A12902" t="s">
        <v>37529</v>
      </c>
      <c r="B12902" t="s">
        <v>38834</v>
      </c>
      <c r="C12902" t="s">
        <v>38843</v>
      </c>
      <c r="D12902" t="s">
        <v>37537</v>
      </c>
      <c r="E12902" t="s">
        <v>37538</v>
      </c>
      <c r="F12902" t="s">
        <v>38838</v>
      </c>
      <c r="G12902" t="s">
        <v>38839</v>
      </c>
      <c r="H12902" t="s">
        <v>859</v>
      </c>
      <c r="I12902" t="s">
        <v>860</v>
      </c>
      <c r="J12902" t="str">
        <f>"9030366"</f>
        <v>9030366</v>
      </c>
      <c r="K12902">
        <v>2710382120</v>
      </c>
      <c r="L12902">
        <v>2710382120</v>
      </c>
      <c r="M12902" t="s">
        <v>38844</v>
      </c>
      <c r="N12902" t="s">
        <v>38845</v>
      </c>
      <c r="O12902" t="s">
        <v>38842</v>
      </c>
      <c r="P12902">
        <v>22016</v>
      </c>
      <c r="Q12902" t="str">
        <f>"37.368368"</f>
        <v>37.368368</v>
      </c>
      <c r="R12902" t="str">
        <f>"22.375051"</f>
        <v>22.375051</v>
      </c>
      <c r="S12902" t="s">
        <v>26</v>
      </c>
    </row>
    <row r="12903" spans="1:19" x14ac:dyDescent="0.3">
      <c r="A12903" t="s">
        <v>37529</v>
      </c>
      <c r="B12903" t="s">
        <v>38834</v>
      </c>
      <c r="C12903" t="s">
        <v>38846</v>
      </c>
      <c r="D12903" t="s">
        <v>37537</v>
      </c>
      <c r="E12903" t="s">
        <v>37717</v>
      </c>
      <c r="F12903" t="s">
        <v>37717</v>
      </c>
      <c r="G12903" t="s">
        <v>37718</v>
      </c>
      <c r="H12903" t="s">
        <v>859</v>
      </c>
      <c r="I12903" t="s">
        <v>860</v>
      </c>
      <c r="J12903" t="str">
        <f>"9030355"</f>
        <v>9030355</v>
      </c>
      <c r="K12903">
        <v>2791025343</v>
      </c>
      <c r="L12903">
        <v>2791025343</v>
      </c>
      <c r="M12903" t="s">
        <v>38847</v>
      </c>
      <c r="N12903" t="s">
        <v>37717</v>
      </c>
      <c r="O12903" t="s">
        <v>38848</v>
      </c>
      <c r="P12903">
        <v>22200</v>
      </c>
      <c r="Q12903" t="str">
        <f>"37.396534"</f>
        <v>37.396534</v>
      </c>
      <c r="R12903" t="str">
        <f>"22.129960"</f>
        <v>22.129960</v>
      </c>
      <c r="S12903" t="s">
        <v>26</v>
      </c>
    </row>
    <row r="12904" spans="1:19" x14ac:dyDescent="0.3">
      <c r="A12904" t="s">
        <v>37529</v>
      </c>
      <c r="B12904" t="s">
        <v>38834</v>
      </c>
      <c r="C12904" t="s">
        <v>38849</v>
      </c>
      <c r="D12904" t="s">
        <v>37537</v>
      </c>
      <c r="E12904" t="s">
        <v>37538</v>
      </c>
      <c r="F12904" t="s">
        <v>37733</v>
      </c>
      <c r="G12904" t="s">
        <v>37733</v>
      </c>
      <c r="H12904" t="s">
        <v>859</v>
      </c>
      <c r="I12904" t="s">
        <v>860</v>
      </c>
      <c r="J12904" t="str">
        <f>"9030378"</f>
        <v>9030378</v>
      </c>
      <c r="K12904">
        <v>2796022135</v>
      </c>
      <c r="L12904">
        <v>2796022135</v>
      </c>
      <c r="M12904" t="s">
        <v>38850</v>
      </c>
      <c r="N12904" t="s">
        <v>37733</v>
      </c>
      <c r="O12904" t="s">
        <v>37819</v>
      </c>
      <c r="P12904">
        <v>22002</v>
      </c>
      <c r="Q12904" t="str">
        <f>"37.682068"</f>
        <v>37.682068</v>
      </c>
      <c r="R12904" t="str">
        <f>"22.295640"</f>
        <v>22.295640</v>
      </c>
      <c r="S12904" t="s">
        <v>26</v>
      </c>
    </row>
    <row r="12905" spans="1:19" x14ac:dyDescent="0.3">
      <c r="A12905" t="s">
        <v>37529</v>
      </c>
      <c r="B12905" t="s">
        <v>38834</v>
      </c>
      <c r="C12905" t="s">
        <v>38851</v>
      </c>
      <c r="D12905" t="s">
        <v>37537</v>
      </c>
      <c r="E12905" t="s">
        <v>37538</v>
      </c>
      <c r="F12905" t="s">
        <v>37538</v>
      </c>
      <c r="G12905" t="s">
        <v>37539</v>
      </c>
      <c r="H12905" t="s">
        <v>859</v>
      </c>
      <c r="I12905" t="s">
        <v>860</v>
      </c>
      <c r="J12905" t="str">
        <f>"9030373"</f>
        <v>9030373</v>
      </c>
      <c r="K12905">
        <v>2710227462</v>
      </c>
      <c r="L12905">
        <v>2710227462</v>
      </c>
      <c r="M12905" t="s">
        <v>38852</v>
      </c>
      <c r="N12905" t="s">
        <v>37538</v>
      </c>
      <c r="O12905" t="s">
        <v>38853</v>
      </c>
      <c r="P12905">
        <v>22132</v>
      </c>
      <c r="Q12905" t="str">
        <f>"37.507201"</f>
        <v>37.507201</v>
      </c>
      <c r="R12905" t="str">
        <f>"22.377330"</f>
        <v>22.377330</v>
      </c>
      <c r="S12905" t="s">
        <v>26</v>
      </c>
    </row>
    <row r="12906" spans="1:19" x14ac:dyDescent="0.3">
      <c r="A12906" t="s">
        <v>37529</v>
      </c>
      <c r="B12906" t="s">
        <v>38834</v>
      </c>
      <c r="C12906" t="s">
        <v>38854</v>
      </c>
      <c r="D12906" t="s">
        <v>37537</v>
      </c>
      <c r="E12906" t="s">
        <v>37538</v>
      </c>
      <c r="F12906" t="s">
        <v>37538</v>
      </c>
      <c r="G12906" t="s">
        <v>37539</v>
      </c>
      <c r="H12906" t="s">
        <v>859</v>
      </c>
      <c r="I12906" t="s">
        <v>860</v>
      </c>
      <c r="J12906" t="str">
        <f>"9030370"</f>
        <v>9030370</v>
      </c>
      <c r="K12906">
        <v>2710233314</v>
      </c>
      <c r="L12906">
        <v>2710233314</v>
      </c>
      <c r="M12906" t="s">
        <v>38855</v>
      </c>
      <c r="N12906" t="s">
        <v>37538</v>
      </c>
      <c r="O12906" t="s">
        <v>38856</v>
      </c>
      <c r="P12906">
        <v>22132</v>
      </c>
      <c r="Q12906" t="str">
        <f>"37.504627"</f>
        <v>37.504627</v>
      </c>
      <c r="R12906" t="str">
        <f>"22.370468"</f>
        <v>22.370468</v>
      </c>
      <c r="S12906" t="s">
        <v>26</v>
      </c>
    </row>
    <row r="12907" spans="1:19" x14ac:dyDescent="0.3">
      <c r="A12907" t="s">
        <v>37529</v>
      </c>
      <c r="B12907" t="s">
        <v>38834</v>
      </c>
      <c r="C12907" t="s">
        <v>38857</v>
      </c>
      <c r="D12907" t="s">
        <v>37537</v>
      </c>
      <c r="E12907" t="s">
        <v>37717</v>
      </c>
      <c r="F12907" t="s">
        <v>37717</v>
      </c>
      <c r="G12907" t="s">
        <v>37718</v>
      </c>
      <c r="H12907" t="s">
        <v>859</v>
      </c>
      <c r="I12907" t="s">
        <v>860</v>
      </c>
      <c r="J12907" t="str">
        <f>"9030313"</f>
        <v>9030313</v>
      </c>
      <c r="K12907">
        <v>2791024474</v>
      </c>
      <c r="L12907">
        <v>2791024474</v>
      </c>
      <c r="M12907" t="s">
        <v>38858</v>
      </c>
      <c r="N12907" t="s">
        <v>37721</v>
      </c>
      <c r="O12907" t="s">
        <v>38859</v>
      </c>
      <c r="P12907">
        <v>22200</v>
      </c>
      <c r="Q12907" t="str">
        <f>"37.402647"</f>
        <v>37.402647</v>
      </c>
      <c r="R12907" t="str">
        <f>"22.140053"</f>
        <v>22.140053</v>
      </c>
      <c r="S12907" t="s">
        <v>26</v>
      </c>
    </row>
    <row r="12908" spans="1:19" x14ac:dyDescent="0.3">
      <c r="A12908" t="s">
        <v>37529</v>
      </c>
      <c r="B12908" t="s">
        <v>38834</v>
      </c>
      <c r="C12908" t="s">
        <v>38860</v>
      </c>
      <c r="D12908" t="s">
        <v>37537</v>
      </c>
      <c r="E12908" t="s">
        <v>37538</v>
      </c>
      <c r="F12908" t="s">
        <v>37538</v>
      </c>
      <c r="G12908" t="s">
        <v>37539</v>
      </c>
      <c r="H12908" t="s">
        <v>859</v>
      </c>
      <c r="I12908" t="s">
        <v>860</v>
      </c>
      <c r="J12908" t="str">
        <f>"9030379"</f>
        <v>9030379</v>
      </c>
      <c r="K12908">
        <v>2710222504</v>
      </c>
      <c r="L12908">
        <v>2710222504</v>
      </c>
      <c r="M12908" t="s">
        <v>38861</v>
      </c>
      <c r="N12908" t="s">
        <v>37538</v>
      </c>
      <c r="O12908" t="s">
        <v>38862</v>
      </c>
      <c r="P12908">
        <v>22132</v>
      </c>
      <c r="Q12908" t="str">
        <f>"37.522144"</f>
        <v>37.522144</v>
      </c>
      <c r="R12908" t="str">
        <f>"22.380350"</f>
        <v>22.380350</v>
      </c>
      <c r="S12908" t="s">
        <v>26</v>
      </c>
    </row>
    <row r="12909" spans="1:19" x14ac:dyDescent="0.3">
      <c r="A12909" t="s">
        <v>37529</v>
      </c>
      <c r="B12909" t="s">
        <v>38834</v>
      </c>
      <c r="C12909" t="s">
        <v>38863</v>
      </c>
      <c r="D12909" t="s">
        <v>37537</v>
      </c>
      <c r="E12909" t="s">
        <v>37538</v>
      </c>
      <c r="F12909" t="s">
        <v>37538</v>
      </c>
      <c r="G12909" t="s">
        <v>37539</v>
      </c>
      <c r="H12909" t="s">
        <v>859</v>
      </c>
      <c r="I12909" t="s">
        <v>860</v>
      </c>
      <c r="J12909" t="str">
        <f>"9030354"</f>
        <v>9030354</v>
      </c>
      <c r="K12909">
        <v>2710242581</v>
      </c>
      <c r="L12909">
        <v>2710242581</v>
      </c>
      <c r="M12909" t="s">
        <v>38864</v>
      </c>
      <c r="N12909" t="s">
        <v>37538</v>
      </c>
      <c r="O12909" t="s">
        <v>38865</v>
      </c>
      <c r="P12909">
        <v>22100</v>
      </c>
      <c r="Q12909" t="str">
        <f>"37.502426"</f>
        <v>37.502426</v>
      </c>
      <c r="R12909" t="str">
        <f>"22.373108"</f>
        <v>22.373108</v>
      </c>
      <c r="S12909" t="s">
        <v>26</v>
      </c>
    </row>
    <row r="12910" spans="1:19" x14ac:dyDescent="0.3">
      <c r="A12910" t="s">
        <v>37529</v>
      </c>
      <c r="B12910" t="s">
        <v>38834</v>
      </c>
      <c r="C12910" t="s">
        <v>38866</v>
      </c>
      <c r="D12910" t="s">
        <v>37537</v>
      </c>
      <c r="E12910" t="s">
        <v>37538</v>
      </c>
      <c r="F12910" t="s">
        <v>37538</v>
      </c>
      <c r="G12910" t="s">
        <v>37539</v>
      </c>
      <c r="H12910" t="s">
        <v>859</v>
      </c>
      <c r="I12910" t="s">
        <v>860</v>
      </c>
      <c r="J12910" t="str">
        <f>"9030361"</f>
        <v>9030361</v>
      </c>
      <c r="K12910">
        <v>2710226353</v>
      </c>
      <c r="M12910" t="s">
        <v>38867</v>
      </c>
      <c r="N12910" t="s">
        <v>37538</v>
      </c>
      <c r="O12910" t="s">
        <v>38868</v>
      </c>
      <c r="P12910">
        <v>22100</v>
      </c>
      <c r="Q12910" t="str">
        <f>"37.504906"</f>
        <v>37.504906</v>
      </c>
      <c r="R12910" t="str">
        <f>"22.393097"</f>
        <v>22.393097</v>
      </c>
      <c r="S12910" t="s">
        <v>26</v>
      </c>
    </row>
    <row r="12911" spans="1:19" x14ac:dyDescent="0.3">
      <c r="A12911" t="s">
        <v>37529</v>
      </c>
      <c r="B12911" t="s">
        <v>38834</v>
      </c>
      <c r="C12911" t="s">
        <v>38869</v>
      </c>
      <c r="D12911" t="s">
        <v>37537</v>
      </c>
      <c r="E12911" t="s">
        <v>37538</v>
      </c>
      <c r="F12911" t="s">
        <v>37538</v>
      </c>
      <c r="G12911" t="s">
        <v>37539</v>
      </c>
      <c r="H12911" t="s">
        <v>859</v>
      </c>
      <c r="I12911" t="s">
        <v>860</v>
      </c>
      <c r="J12911" t="str">
        <f>"9030364"</f>
        <v>9030364</v>
      </c>
      <c r="K12911">
        <v>2710239300</v>
      </c>
      <c r="L12911">
        <v>2710221469</v>
      </c>
      <c r="M12911" t="s">
        <v>38870</v>
      </c>
      <c r="N12911" t="s">
        <v>37538</v>
      </c>
      <c r="O12911" t="s">
        <v>38871</v>
      </c>
      <c r="P12911">
        <v>22100</v>
      </c>
      <c r="Q12911" t="str">
        <f>"37.519065"</f>
        <v>37.519065</v>
      </c>
      <c r="R12911" t="str">
        <f>"22.370027"</f>
        <v>22.370027</v>
      </c>
      <c r="S12911" t="s">
        <v>26</v>
      </c>
    </row>
    <row r="12912" spans="1:19" x14ac:dyDescent="0.3">
      <c r="A12912" t="s">
        <v>37529</v>
      </c>
      <c r="B12912" t="s">
        <v>38834</v>
      </c>
      <c r="C12912" t="s">
        <v>38872</v>
      </c>
      <c r="D12912" t="s">
        <v>37537</v>
      </c>
      <c r="E12912" t="s">
        <v>37538</v>
      </c>
      <c r="F12912" t="s">
        <v>37538</v>
      </c>
      <c r="G12912" t="s">
        <v>37539</v>
      </c>
      <c r="H12912" t="s">
        <v>859</v>
      </c>
      <c r="I12912" t="s">
        <v>860</v>
      </c>
      <c r="J12912" t="str">
        <f>"9030312"</f>
        <v>9030312</v>
      </c>
      <c r="K12912">
        <v>2710237814</v>
      </c>
      <c r="L12912">
        <v>2710237814</v>
      </c>
      <c r="M12912" t="s">
        <v>38873</v>
      </c>
      <c r="N12912" t="s">
        <v>37538</v>
      </c>
      <c r="O12912" t="s">
        <v>38874</v>
      </c>
      <c r="P12912">
        <v>22100</v>
      </c>
      <c r="Q12912" t="str">
        <f>"37.508208"</f>
        <v>37.508208</v>
      </c>
      <c r="R12912" t="str">
        <f>"22.378111"</f>
        <v>22.378111</v>
      </c>
      <c r="S12912" t="s">
        <v>26</v>
      </c>
    </row>
    <row r="12913" spans="1:19" x14ac:dyDescent="0.3">
      <c r="A12913" t="s">
        <v>37529</v>
      </c>
      <c r="B12913" t="s">
        <v>38834</v>
      </c>
      <c r="C12913" t="s">
        <v>38876</v>
      </c>
      <c r="D12913" t="s">
        <v>37537</v>
      </c>
      <c r="E12913" t="s">
        <v>37538</v>
      </c>
      <c r="F12913" t="s">
        <v>37745</v>
      </c>
      <c r="G12913" t="s">
        <v>38875</v>
      </c>
      <c r="H12913" t="s">
        <v>859</v>
      </c>
      <c r="I12913" t="s">
        <v>860</v>
      </c>
      <c r="J12913" t="str">
        <f>"9030345"</f>
        <v>9030345</v>
      </c>
      <c r="K12913">
        <v>2710557432</v>
      </c>
      <c r="L12913">
        <v>2710557432</v>
      </c>
      <c r="M12913" t="s">
        <v>38877</v>
      </c>
      <c r="N12913" t="s">
        <v>38875</v>
      </c>
      <c r="O12913" t="s">
        <v>38878</v>
      </c>
      <c r="P12913">
        <v>22012</v>
      </c>
      <c r="Q12913" t="str">
        <f>"37.446638"</f>
        <v>37.446638</v>
      </c>
      <c r="R12913" t="str">
        <f>"22.468664"</f>
        <v>22.468664</v>
      </c>
      <c r="S12913" t="s">
        <v>26</v>
      </c>
    </row>
    <row r="12914" spans="1:19" x14ac:dyDescent="0.3">
      <c r="A12914" t="s">
        <v>37529</v>
      </c>
      <c r="B12914" t="s">
        <v>38834</v>
      </c>
      <c r="C12914" t="s">
        <v>38879</v>
      </c>
      <c r="D12914" t="s">
        <v>37537</v>
      </c>
      <c r="E12914" t="s">
        <v>37538</v>
      </c>
      <c r="F12914" t="s">
        <v>37538</v>
      </c>
      <c r="G12914" t="s">
        <v>37539</v>
      </c>
      <c r="H12914" t="s">
        <v>859</v>
      </c>
      <c r="I12914" t="s">
        <v>860</v>
      </c>
      <c r="J12914" t="str">
        <f>"9030329"</f>
        <v>9030329</v>
      </c>
      <c r="K12914">
        <v>2710233940</v>
      </c>
      <c r="L12914">
        <v>2710223940</v>
      </c>
      <c r="M12914" t="s">
        <v>38880</v>
      </c>
      <c r="N12914" t="s">
        <v>37538</v>
      </c>
      <c r="O12914" t="s">
        <v>38881</v>
      </c>
      <c r="P12914">
        <v>22131</v>
      </c>
      <c r="Q12914" t="str">
        <f>"37.502284"</f>
        <v>37.502284</v>
      </c>
      <c r="R12914" t="str">
        <f>"22.361544"</f>
        <v>22.361544</v>
      </c>
      <c r="S12914" t="s">
        <v>26</v>
      </c>
    </row>
    <row r="12915" spans="1:19" x14ac:dyDescent="0.3">
      <c r="A12915" t="s">
        <v>37529</v>
      </c>
      <c r="B12915" t="s">
        <v>38834</v>
      </c>
      <c r="C12915" t="s">
        <v>38883</v>
      </c>
      <c r="D12915" t="s">
        <v>37537</v>
      </c>
      <c r="E12915" t="s">
        <v>37538</v>
      </c>
      <c r="F12915" t="s">
        <v>38882</v>
      </c>
      <c r="G12915" t="s">
        <v>37945</v>
      </c>
      <c r="H12915" t="s">
        <v>859</v>
      </c>
      <c r="I12915" t="s">
        <v>860</v>
      </c>
      <c r="J12915" t="str">
        <f>"9030368"</f>
        <v>9030368</v>
      </c>
      <c r="K12915">
        <v>2710572797</v>
      </c>
      <c r="L12915">
        <v>2710572797</v>
      </c>
      <c r="M12915" t="s">
        <v>38884</v>
      </c>
      <c r="N12915" t="s">
        <v>38885</v>
      </c>
      <c r="O12915" t="s">
        <v>38067</v>
      </c>
      <c r="P12915">
        <v>22100</v>
      </c>
      <c r="Q12915" t="str">
        <f>"37.517933"</f>
        <v>37.517933</v>
      </c>
      <c r="R12915" t="str">
        <f>"22.440853"</f>
        <v>22.440853</v>
      </c>
      <c r="S12915" t="s">
        <v>26</v>
      </c>
    </row>
    <row r="12916" spans="1:19" x14ac:dyDescent="0.3">
      <c r="A12916" t="s">
        <v>37529</v>
      </c>
      <c r="B12916" t="s">
        <v>38834</v>
      </c>
      <c r="C12916" t="s">
        <v>38886</v>
      </c>
      <c r="D12916" t="s">
        <v>37537</v>
      </c>
      <c r="E12916" t="s">
        <v>37538</v>
      </c>
      <c r="F12916" t="s">
        <v>37538</v>
      </c>
      <c r="G12916" t="s">
        <v>37539</v>
      </c>
      <c r="H12916" t="s">
        <v>859</v>
      </c>
      <c r="I12916" t="s">
        <v>860</v>
      </c>
      <c r="J12916" t="str">
        <f>"9030295"</f>
        <v>9030295</v>
      </c>
      <c r="K12916">
        <v>2710237946</v>
      </c>
      <c r="L12916">
        <v>2710237946</v>
      </c>
      <c r="M12916" t="s">
        <v>38887</v>
      </c>
      <c r="N12916" t="s">
        <v>37538</v>
      </c>
      <c r="O12916" t="s">
        <v>38888</v>
      </c>
      <c r="P12916">
        <v>22132</v>
      </c>
      <c r="Q12916" t="str">
        <f>"37.516609"</f>
        <v>37.516609</v>
      </c>
      <c r="R12916" t="str">
        <f>"22.382815"</f>
        <v>22.382815</v>
      </c>
      <c r="S12916" t="s">
        <v>26</v>
      </c>
    </row>
    <row r="12917" spans="1:19" x14ac:dyDescent="0.3">
      <c r="A12917" t="s">
        <v>37529</v>
      </c>
      <c r="B12917" t="s">
        <v>38834</v>
      </c>
      <c r="C12917" t="s">
        <v>38890</v>
      </c>
      <c r="D12917" t="s">
        <v>37537</v>
      </c>
      <c r="E12917" t="s">
        <v>37538</v>
      </c>
      <c r="F12917" t="s">
        <v>37711</v>
      </c>
      <c r="G12917" t="s">
        <v>38889</v>
      </c>
      <c r="H12917" t="s">
        <v>859</v>
      </c>
      <c r="I12917" t="s">
        <v>860</v>
      </c>
      <c r="J12917" t="str">
        <f>"9030347"</f>
        <v>9030347</v>
      </c>
      <c r="K12917">
        <v>2710561469</v>
      </c>
      <c r="M12917" t="s">
        <v>38891</v>
      </c>
      <c r="N12917" t="s">
        <v>38889</v>
      </c>
      <c r="O12917" t="s">
        <v>38892</v>
      </c>
      <c r="P12917">
        <v>22100</v>
      </c>
      <c r="Q12917" t="str">
        <f>"37.615622"</f>
        <v>37.615622</v>
      </c>
      <c r="R12917" t="str">
        <f>"22.465938"</f>
        <v>22.465938</v>
      </c>
      <c r="S12917" t="s">
        <v>26</v>
      </c>
    </row>
    <row r="12918" spans="1:19" x14ac:dyDescent="0.3">
      <c r="A12918" t="s">
        <v>37529</v>
      </c>
      <c r="B12918" t="s">
        <v>38834</v>
      </c>
      <c r="C12918" t="s">
        <v>38893</v>
      </c>
      <c r="D12918" t="s">
        <v>37537</v>
      </c>
      <c r="E12918" t="s">
        <v>37538</v>
      </c>
      <c r="F12918" t="s">
        <v>37538</v>
      </c>
      <c r="G12918" t="s">
        <v>37539</v>
      </c>
      <c r="H12918" t="s">
        <v>859</v>
      </c>
      <c r="I12918" t="s">
        <v>860</v>
      </c>
      <c r="J12918" t="str">
        <f>"9030099"</f>
        <v>9030099</v>
      </c>
      <c r="K12918">
        <v>2710224689</v>
      </c>
      <c r="L12918">
        <v>27102246</v>
      </c>
      <c r="M12918" t="s">
        <v>38894</v>
      </c>
      <c r="N12918" t="s">
        <v>37542</v>
      </c>
      <c r="O12918" t="s">
        <v>38895</v>
      </c>
      <c r="P12918">
        <v>22132</v>
      </c>
      <c r="Q12918" t="str">
        <f>"37.511706"</f>
        <v>37.511706</v>
      </c>
      <c r="R12918" t="str">
        <f>"22.374802"</f>
        <v>22.374802</v>
      </c>
      <c r="S12918" t="s">
        <v>26</v>
      </c>
    </row>
    <row r="12919" spans="1:19" x14ac:dyDescent="0.3">
      <c r="A12919" t="s">
        <v>37529</v>
      </c>
      <c r="B12919" t="s">
        <v>38834</v>
      </c>
      <c r="C12919" t="s">
        <v>38896</v>
      </c>
      <c r="D12919" t="s">
        <v>37537</v>
      </c>
      <c r="E12919" t="s">
        <v>37538</v>
      </c>
      <c r="F12919" t="s">
        <v>37538</v>
      </c>
      <c r="G12919" t="s">
        <v>37539</v>
      </c>
      <c r="H12919" t="s">
        <v>859</v>
      </c>
      <c r="I12919" t="s">
        <v>860</v>
      </c>
      <c r="J12919" t="str">
        <f>"9030294"</f>
        <v>9030294</v>
      </c>
      <c r="K12919">
        <v>2710223496</v>
      </c>
      <c r="L12919">
        <v>2710223496</v>
      </c>
      <c r="M12919" t="s">
        <v>38897</v>
      </c>
      <c r="N12919" t="s">
        <v>37538</v>
      </c>
      <c r="O12919" t="s">
        <v>38898</v>
      </c>
      <c r="P12919">
        <v>22100</v>
      </c>
      <c r="Q12919" t="str">
        <f>"37.502426"</f>
        <v>37.502426</v>
      </c>
      <c r="R12919" t="str">
        <f>"22.373108"</f>
        <v>22.373108</v>
      </c>
      <c r="S12919" t="s">
        <v>26</v>
      </c>
    </row>
    <row r="12920" spans="1:19" x14ac:dyDescent="0.3">
      <c r="A12920" t="s">
        <v>37529</v>
      </c>
      <c r="B12920" t="s">
        <v>38834</v>
      </c>
      <c r="C12920" t="s">
        <v>38899</v>
      </c>
      <c r="D12920" t="s">
        <v>37537</v>
      </c>
      <c r="E12920" t="s">
        <v>37717</v>
      </c>
      <c r="F12920" t="s">
        <v>37717</v>
      </c>
      <c r="G12920" t="s">
        <v>37718</v>
      </c>
      <c r="H12920" t="s">
        <v>859</v>
      </c>
      <c r="I12920" t="s">
        <v>860</v>
      </c>
      <c r="J12920" t="str">
        <f>"9030192"</f>
        <v>9030192</v>
      </c>
      <c r="K12920">
        <v>2791025136</v>
      </c>
      <c r="L12920">
        <v>2791025136</v>
      </c>
      <c r="M12920" t="s">
        <v>38900</v>
      </c>
      <c r="N12920" t="s">
        <v>37717</v>
      </c>
      <c r="O12920" t="s">
        <v>38901</v>
      </c>
      <c r="P12920">
        <v>22200</v>
      </c>
      <c r="Q12920" t="str">
        <f>"37.403247"</f>
        <v>37.403247</v>
      </c>
      <c r="R12920" t="str">
        <f>"22.128550"</f>
        <v>22.128550</v>
      </c>
      <c r="S12920" t="s">
        <v>26</v>
      </c>
    </row>
    <row r="12921" spans="1:19" x14ac:dyDescent="0.3">
      <c r="A12921" t="s">
        <v>37529</v>
      </c>
      <c r="B12921" t="s">
        <v>38834</v>
      </c>
      <c r="C12921" t="s">
        <v>38902</v>
      </c>
      <c r="D12921" t="s">
        <v>37537</v>
      </c>
      <c r="E12921" t="s">
        <v>37538</v>
      </c>
      <c r="F12921" t="s">
        <v>37538</v>
      </c>
      <c r="G12921" t="s">
        <v>37539</v>
      </c>
      <c r="H12921" t="s">
        <v>859</v>
      </c>
      <c r="I12921" t="s">
        <v>860</v>
      </c>
      <c r="J12921" t="str">
        <f>"9030349"</f>
        <v>9030349</v>
      </c>
      <c r="K12921">
        <v>2710239482</v>
      </c>
      <c r="L12921">
        <v>2710239482</v>
      </c>
      <c r="M12921" t="s">
        <v>38903</v>
      </c>
      <c r="N12921" t="s">
        <v>37538</v>
      </c>
      <c r="O12921" t="s">
        <v>38904</v>
      </c>
      <c r="P12921">
        <v>22100</v>
      </c>
      <c r="Q12921" t="str">
        <f>"37.521198"</f>
        <v>37.521198</v>
      </c>
      <c r="R12921" t="str">
        <f>"22.372750"</f>
        <v>22.372750</v>
      </c>
      <c r="S12921" t="s">
        <v>26</v>
      </c>
    </row>
    <row r="12922" spans="1:19" x14ac:dyDescent="0.3">
      <c r="A12922" t="s">
        <v>37529</v>
      </c>
      <c r="B12922" t="s">
        <v>38834</v>
      </c>
      <c r="C12922" t="s">
        <v>38909</v>
      </c>
      <c r="D12922" t="s">
        <v>37537</v>
      </c>
      <c r="E12922" t="s">
        <v>37726</v>
      </c>
      <c r="F12922" t="s">
        <v>37726</v>
      </c>
      <c r="G12922" t="s">
        <v>19876</v>
      </c>
      <c r="H12922" t="s">
        <v>859</v>
      </c>
      <c r="I12922" t="s">
        <v>860</v>
      </c>
      <c r="J12922" t="str">
        <f>"9030324"</f>
        <v>9030324</v>
      </c>
      <c r="K12922">
        <v>2792022242</v>
      </c>
      <c r="M12922" t="s">
        <v>38910</v>
      </c>
      <c r="N12922" t="s">
        <v>19876</v>
      </c>
      <c r="O12922" t="s">
        <v>38911</v>
      </c>
      <c r="P12922">
        <v>22013</v>
      </c>
      <c r="Q12922" t="str">
        <f>"37.327607"</f>
        <v>37.327607</v>
      </c>
      <c r="R12922" t="str">
        <f>"22.546371"</f>
        <v>22.546371</v>
      </c>
      <c r="S12922" t="s">
        <v>26</v>
      </c>
    </row>
    <row r="12923" spans="1:19" x14ac:dyDescent="0.3">
      <c r="A12923" t="s">
        <v>37529</v>
      </c>
      <c r="B12923" t="s">
        <v>38834</v>
      </c>
      <c r="C12923" t="s">
        <v>38913</v>
      </c>
      <c r="D12923" t="s">
        <v>37537</v>
      </c>
      <c r="E12923" t="s">
        <v>37726</v>
      </c>
      <c r="F12923" t="s">
        <v>37726</v>
      </c>
      <c r="G12923" t="s">
        <v>38912</v>
      </c>
      <c r="H12923" t="s">
        <v>859</v>
      </c>
      <c r="I12923" t="s">
        <v>860</v>
      </c>
      <c r="J12923" t="str">
        <f>"9030333"</f>
        <v>9030333</v>
      </c>
      <c r="K12923">
        <v>2755051060</v>
      </c>
      <c r="L12923">
        <v>2755051060</v>
      </c>
      <c r="M12923" t="s">
        <v>38914</v>
      </c>
      <c r="N12923" t="s">
        <v>38912</v>
      </c>
      <c r="O12923" t="s">
        <v>38915</v>
      </c>
      <c r="P12923">
        <v>22019</v>
      </c>
      <c r="Q12923" t="str">
        <f>"37.414627"</f>
        <v>37.414627</v>
      </c>
      <c r="R12923" t="str">
        <f>"22.763912"</f>
        <v>22.763912</v>
      </c>
      <c r="S12923" t="s">
        <v>26</v>
      </c>
    </row>
    <row r="12924" spans="1:19" x14ac:dyDescent="0.3">
      <c r="A12924" t="s">
        <v>37529</v>
      </c>
      <c r="B12924" t="s">
        <v>38834</v>
      </c>
      <c r="C12924" t="s">
        <v>38917</v>
      </c>
      <c r="D12924" t="s">
        <v>37537</v>
      </c>
      <c r="E12924" t="s">
        <v>37753</v>
      </c>
      <c r="F12924" t="s">
        <v>37774</v>
      </c>
      <c r="G12924" t="s">
        <v>38916</v>
      </c>
      <c r="H12924" t="s">
        <v>859</v>
      </c>
      <c r="I12924" t="s">
        <v>860</v>
      </c>
      <c r="J12924" t="str">
        <f>"9030283"</f>
        <v>9030283</v>
      </c>
      <c r="K12924">
        <v>2757041330</v>
      </c>
      <c r="M12924" t="s">
        <v>38918</v>
      </c>
      <c r="N12924" t="s">
        <v>38919</v>
      </c>
      <c r="O12924" t="s">
        <v>38920</v>
      </c>
      <c r="P12924">
        <v>22029</v>
      </c>
      <c r="Q12924" t="str">
        <f>"37.246507"</f>
        <v>37.246507</v>
      </c>
      <c r="R12924" t="str">
        <f>"22.858247"</f>
        <v>22.858247</v>
      </c>
      <c r="S12924" t="s">
        <v>26</v>
      </c>
    </row>
    <row r="12925" spans="1:19" x14ac:dyDescent="0.3">
      <c r="A12925" t="s">
        <v>37529</v>
      </c>
      <c r="B12925" t="s">
        <v>38834</v>
      </c>
      <c r="C12925" t="s">
        <v>38922</v>
      </c>
      <c r="D12925" t="s">
        <v>37537</v>
      </c>
      <c r="E12925" t="s">
        <v>37726</v>
      </c>
      <c r="F12925" t="s">
        <v>37726</v>
      </c>
      <c r="G12925" t="s">
        <v>38921</v>
      </c>
      <c r="H12925" t="s">
        <v>859</v>
      </c>
      <c r="I12925" t="s">
        <v>860</v>
      </c>
      <c r="J12925" t="str">
        <f>"9030245"</f>
        <v>9030245</v>
      </c>
      <c r="K12925">
        <v>2755023828</v>
      </c>
      <c r="L12925">
        <v>2755022085</v>
      </c>
      <c r="M12925" t="s">
        <v>38923</v>
      </c>
      <c r="N12925" t="s">
        <v>38921</v>
      </c>
      <c r="O12925" t="s">
        <v>37730</v>
      </c>
      <c r="P12925">
        <v>22001</v>
      </c>
      <c r="Q12925" t="str">
        <f>"37.403159"</f>
        <v>37.403159</v>
      </c>
      <c r="R12925" t="str">
        <f>"22.725945"</f>
        <v>22.725945</v>
      </c>
      <c r="S12925" t="s">
        <v>26</v>
      </c>
    </row>
    <row r="12926" spans="1:19" x14ac:dyDescent="0.3">
      <c r="A12926" t="s">
        <v>37529</v>
      </c>
      <c r="B12926" t="s">
        <v>38834</v>
      </c>
      <c r="C12926" t="s">
        <v>38924</v>
      </c>
      <c r="D12926" t="s">
        <v>37537</v>
      </c>
      <c r="E12926" t="s">
        <v>37726</v>
      </c>
      <c r="F12926" t="s">
        <v>37726</v>
      </c>
      <c r="G12926" t="s">
        <v>15303</v>
      </c>
      <c r="H12926" t="s">
        <v>859</v>
      </c>
      <c r="I12926" t="s">
        <v>860</v>
      </c>
      <c r="J12926" t="str">
        <f>"9030330"</f>
        <v>9030330</v>
      </c>
      <c r="K12926">
        <v>2755031287</v>
      </c>
      <c r="M12926" t="s">
        <v>38925</v>
      </c>
      <c r="N12926" t="s">
        <v>38926</v>
      </c>
      <c r="O12926" t="s">
        <v>38927</v>
      </c>
      <c r="P12926">
        <v>22001</v>
      </c>
      <c r="Q12926" t="str">
        <f>"37.345770"</f>
        <v>37.345770</v>
      </c>
      <c r="R12926" t="str">
        <f>"22.761462"</f>
        <v>22.761462</v>
      </c>
      <c r="S12926" t="s">
        <v>26</v>
      </c>
    </row>
    <row r="12927" spans="1:19" x14ac:dyDescent="0.3">
      <c r="A12927" t="s">
        <v>37529</v>
      </c>
      <c r="B12927" t="s">
        <v>38834</v>
      </c>
      <c r="C12927" t="s">
        <v>38928</v>
      </c>
      <c r="D12927" t="s">
        <v>37537</v>
      </c>
      <c r="E12927" t="s">
        <v>37726</v>
      </c>
      <c r="F12927" t="s">
        <v>37726</v>
      </c>
      <c r="G12927" t="s">
        <v>37727</v>
      </c>
      <c r="H12927" t="s">
        <v>859</v>
      </c>
      <c r="I12927" t="s">
        <v>860</v>
      </c>
      <c r="J12927" t="str">
        <f>"9030243"</f>
        <v>9030243</v>
      </c>
      <c r="K12927">
        <v>2755023271</v>
      </c>
      <c r="L12927">
        <v>2755023271</v>
      </c>
      <c r="M12927" t="s">
        <v>38929</v>
      </c>
      <c r="N12927" t="s">
        <v>37727</v>
      </c>
      <c r="O12927" t="s">
        <v>37731</v>
      </c>
      <c r="P12927">
        <v>22001</v>
      </c>
      <c r="Q12927" t="str">
        <f>"37.401300"</f>
        <v>37.401300</v>
      </c>
      <c r="R12927" t="str">
        <f>"22.720666"</f>
        <v>22.720666</v>
      </c>
      <c r="S12927" t="s">
        <v>26</v>
      </c>
    </row>
    <row r="12928" spans="1:19" x14ac:dyDescent="0.3">
      <c r="A12928" t="s">
        <v>37529</v>
      </c>
      <c r="B12928" t="s">
        <v>38834</v>
      </c>
      <c r="C12928" t="s">
        <v>38930</v>
      </c>
      <c r="D12928" t="s">
        <v>37537</v>
      </c>
      <c r="E12928" t="s">
        <v>37726</v>
      </c>
      <c r="F12928" t="s">
        <v>37726</v>
      </c>
      <c r="G12928" t="s">
        <v>37727</v>
      </c>
      <c r="H12928" t="s">
        <v>859</v>
      </c>
      <c r="I12928" t="s">
        <v>860</v>
      </c>
      <c r="J12928" t="str">
        <f>"9030380"</f>
        <v>9030380</v>
      </c>
      <c r="K12928">
        <v>2755023272</v>
      </c>
      <c r="M12928" t="s">
        <v>38931</v>
      </c>
      <c r="N12928" t="s">
        <v>37727</v>
      </c>
      <c r="O12928" t="s">
        <v>37731</v>
      </c>
      <c r="P12928">
        <v>22001</v>
      </c>
      <c r="Q12928" t="str">
        <f>"37.401368"</f>
        <v>37.401368</v>
      </c>
      <c r="R12928" t="str">
        <f>"22.720497"</f>
        <v>22.720497</v>
      </c>
      <c r="S12928" t="s">
        <v>26</v>
      </c>
    </row>
    <row r="12929" spans="1:19" x14ac:dyDescent="0.3">
      <c r="A12929" t="s">
        <v>37529</v>
      </c>
      <c r="B12929" t="s">
        <v>38834</v>
      </c>
      <c r="C12929" t="s">
        <v>38932</v>
      </c>
      <c r="D12929" t="s">
        <v>37537</v>
      </c>
      <c r="E12929" t="s">
        <v>37753</v>
      </c>
      <c r="F12929" t="s">
        <v>37754</v>
      </c>
      <c r="G12929" t="s">
        <v>37754</v>
      </c>
      <c r="H12929" t="s">
        <v>859</v>
      </c>
      <c r="I12929" t="s">
        <v>860</v>
      </c>
      <c r="J12929" t="str">
        <f>"9030233"</f>
        <v>9030233</v>
      </c>
      <c r="K12929">
        <v>2757022561</v>
      </c>
      <c r="M12929" t="s">
        <v>38933</v>
      </c>
      <c r="N12929" t="s">
        <v>37754</v>
      </c>
      <c r="O12929" t="s">
        <v>37757</v>
      </c>
      <c r="P12929">
        <v>22300</v>
      </c>
      <c r="Q12929" t="str">
        <f>"37.166041"</f>
        <v>37.166041</v>
      </c>
      <c r="R12929" t="str">
        <f>"22.862620"</f>
        <v>22.862620</v>
      </c>
      <c r="S12929" t="s">
        <v>26</v>
      </c>
    </row>
    <row r="12930" spans="1:19" x14ac:dyDescent="0.3">
      <c r="A12930" t="s">
        <v>37529</v>
      </c>
      <c r="B12930" t="s">
        <v>38834</v>
      </c>
      <c r="C12930" t="s">
        <v>38934</v>
      </c>
      <c r="D12930" t="s">
        <v>37537</v>
      </c>
      <c r="E12930" t="s">
        <v>37753</v>
      </c>
      <c r="F12930" t="s">
        <v>37754</v>
      </c>
      <c r="G12930" t="s">
        <v>37754</v>
      </c>
      <c r="H12930" t="s">
        <v>859</v>
      </c>
      <c r="I12930" t="s">
        <v>860</v>
      </c>
      <c r="J12930" t="str">
        <f>"9030377"</f>
        <v>9030377</v>
      </c>
      <c r="K12930">
        <v>2757022561</v>
      </c>
      <c r="M12930" t="s">
        <v>38935</v>
      </c>
      <c r="N12930" t="s">
        <v>37754</v>
      </c>
      <c r="O12930" t="s">
        <v>37757</v>
      </c>
      <c r="P12930">
        <v>22300</v>
      </c>
      <c r="Q12930" t="str">
        <f>"37.166264"</f>
        <v>37.166264</v>
      </c>
      <c r="R12930" t="str">
        <f>"22.862508"</f>
        <v>22.862508</v>
      </c>
      <c r="S12930" t="s">
        <v>26</v>
      </c>
    </row>
    <row r="12931" spans="1:19" x14ac:dyDescent="0.3">
      <c r="A12931" t="s">
        <v>37529</v>
      </c>
      <c r="B12931" t="s">
        <v>38834</v>
      </c>
      <c r="C12931" t="s">
        <v>38943</v>
      </c>
      <c r="D12931" t="s">
        <v>37537</v>
      </c>
      <c r="E12931" t="s">
        <v>37760</v>
      </c>
      <c r="F12931" t="s">
        <v>37761</v>
      </c>
      <c r="G12931" t="s">
        <v>38905</v>
      </c>
      <c r="H12931" t="s">
        <v>859</v>
      </c>
      <c r="I12931" t="s">
        <v>860</v>
      </c>
      <c r="J12931" t="str">
        <f>"9030339"</f>
        <v>9030339</v>
      </c>
      <c r="K12931">
        <v>2797024775</v>
      </c>
      <c r="L12931">
        <v>2797024775</v>
      </c>
      <c r="M12931" t="s">
        <v>38944</v>
      </c>
      <c r="N12931" t="s">
        <v>13744</v>
      </c>
      <c r="O12931" t="s">
        <v>38908</v>
      </c>
      <c r="P12931">
        <v>22008</v>
      </c>
      <c r="Q12931" t="str">
        <f>"37.676328"</f>
        <v>37.676328</v>
      </c>
      <c r="R12931" t="str">
        <f>"21.815430"</f>
        <v>21.815430</v>
      </c>
      <c r="S12931" t="s">
        <v>57</v>
      </c>
    </row>
    <row r="12932" spans="1:19" x14ac:dyDescent="0.3">
      <c r="A12932" t="s">
        <v>37529</v>
      </c>
      <c r="B12932" t="s">
        <v>38834</v>
      </c>
      <c r="C12932" t="s">
        <v>38947</v>
      </c>
      <c r="D12932" t="s">
        <v>37537</v>
      </c>
      <c r="E12932" t="s">
        <v>37760</v>
      </c>
      <c r="F12932" t="s">
        <v>37761</v>
      </c>
      <c r="G12932" t="s">
        <v>37761</v>
      </c>
      <c r="H12932" t="s">
        <v>859</v>
      </c>
      <c r="I12932" t="s">
        <v>860</v>
      </c>
      <c r="J12932" t="str">
        <f>"9030323"</f>
        <v>9030323</v>
      </c>
      <c r="K12932">
        <v>2797022070</v>
      </c>
      <c r="L12932">
        <v>2797022373</v>
      </c>
      <c r="M12932" t="s">
        <v>38948</v>
      </c>
      <c r="N12932" t="s">
        <v>37761</v>
      </c>
      <c r="O12932" t="s">
        <v>37764</v>
      </c>
      <c r="P12932">
        <v>22008</v>
      </c>
      <c r="Q12932" t="str">
        <f>"37.732284"</f>
        <v>37.732284</v>
      </c>
      <c r="R12932" t="str">
        <f>"21.959443"</f>
        <v>21.959443</v>
      </c>
      <c r="S12932" t="s">
        <v>26</v>
      </c>
    </row>
    <row r="12933" spans="1:19" x14ac:dyDescent="0.3">
      <c r="A12933" t="s">
        <v>37529</v>
      </c>
      <c r="B12933" t="s">
        <v>38834</v>
      </c>
      <c r="C12933" t="s">
        <v>38950</v>
      </c>
      <c r="D12933" t="s">
        <v>37537</v>
      </c>
      <c r="E12933" t="s">
        <v>37760</v>
      </c>
      <c r="F12933" t="s">
        <v>38949</v>
      </c>
      <c r="G12933" t="s">
        <v>38949</v>
      </c>
      <c r="H12933" t="s">
        <v>859</v>
      </c>
      <c r="I12933" t="s">
        <v>860</v>
      </c>
      <c r="J12933" t="str">
        <f>"9030322"</f>
        <v>9030322</v>
      </c>
      <c r="K12933">
        <v>2795031214</v>
      </c>
      <c r="L12933">
        <v>2795031214</v>
      </c>
      <c r="M12933" t="s">
        <v>38951</v>
      </c>
      <c r="N12933" t="s">
        <v>38952</v>
      </c>
      <c r="O12933" t="s">
        <v>38952</v>
      </c>
      <c r="P12933">
        <v>22007</v>
      </c>
      <c r="Q12933" t="str">
        <f>"37.595508"</f>
        <v>37.595508</v>
      </c>
      <c r="R12933" t="str">
        <f>"22.039704"</f>
        <v>22.039704</v>
      </c>
      <c r="S12933" t="s">
        <v>26</v>
      </c>
    </row>
    <row r="12934" spans="1:19" x14ac:dyDescent="0.3">
      <c r="A12934" t="s">
        <v>37529</v>
      </c>
      <c r="B12934" t="s">
        <v>38834</v>
      </c>
      <c r="C12934" t="s">
        <v>38953</v>
      </c>
      <c r="D12934" t="s">
        <v>37537</v>
      </c>
      <c r="E12934" t="s">
        <v>37760</v>
      </c>
      <c r="F12934" t="s">
        <v>37798</v>
      </c>
      <c r="G12934" t="s">
        <v>37798</v>
      </c>
      <c r="H12934" t="s">
        <v>859</v>
      </c>
      <c r="I12934" t="s">
        <v>860</v>
      </c>
      <c r="J12934" t="str">
        <f>"9030376"</f>
        <v>9030376</v>
      </c>
      <c r="K12934">
        <v>2797023791</v>
      </c>
      <c r="L12934">
        <v>2797023791</v>
      </c>
      <c r="M12934" t="s">
        <v>38954</v>
      </c>
      <c r="N12934" t="s">
        <v>38955</v>
      </c>
      <c r="O12934" t="s">
        <v>37801</v>
      </c>
      <c r="P12934">
        <v>22015</v>
      </c>
      <c r="Q12934" t="str">
        <f>"37.796887"</f>
        <v>37.796887</v>
      </c>
      <c r="R12934" t="str">
        <f>"21.899755"</f>
        <v>21.899755</v>
      </c>
      <c r="S12934" t="s">
        <v>57</v>
      </c>
    </row>
    <row r="12935" spans="1:19" x14ac:dyDescent="0.3">
      <c r="A12935" t="s">
        <v>37529</v>
      </c>
      <c r="B12935" t="s">
        <v>38834</v>
      </c>
      <c r="C12935" t="s">
        <v>38968</v>
      </c>
      <c r="D12935" t="s">
        <v>37537</v>
      </c>
      <c r="E12935" t="s">
        <v>37538</v>
      </c>
      <c r="F12935" t="s">
        <v>37538</v>
      </c>
      <c r="G12935" t="s">
        <v>37539</v>
      </c>
      <c r="H12935" t="s">
        <v>859</v>
      </c>
      <c r="I12935" t="s">
        <v>860</v>
      </c>
      <c r="J12935" t="str">
        <f>"9030100"</f>
        <v>9030100</v>
      </c>
      <c r="K12935">
        <v>2710225517</v>
      </c>
      <c r="L12935">
        <v>2710225517</v>
      </c>
      <c r="M12935" t="s">
        <v>38969</v>
      </c>
      <c r="N12935" t="s">
        <v>37538</v>
      </c>
      <c r="O12935" t="s">
        <v>37705</v>
      </c>
      <c r="P12935">
        <v>22100</v>
      </c>
      <c r="Q12935" t="str">
        <f>"37.516795"</f>
        <v>37.516795</v>
      </c>
      <c r="R12935" t="str">
        <f>"22.373681"</f>
        <v>22.373681</v>
      </c>
      <c r="S12935" t="s">
        <v>26</v>
      </c>
    </row>
    <row r="12936" spans="1:19" x14ac:dyDescent="0.3">
      <c r="A12936" t="s">
        <v>37529</v>
      </c>
      <c r="B12936" t="s">
        <v>38834</v>
      </c>
      <c r="C12936" t="s">
        <v>38970</v>
      </c>
      <c r="D12936" t="s">
        <v>37537</v>
      </c>
      <c r="E12936" t="s">
        <v>37717</v>
      </c>
      <c r="F12936" t="s">
        <v>37717</v>
      </c>
      <c r="G12936" t="s">
        <v>37718</v>
      </c>
      <c r="H12936" t="s">
        <v>859</v>
      </c>
      <c r="I12936" t="s">
        <v>860</v>
      </c>
      <c r="J12936" t="str">
        <f>"9030304"</f>
        <v>9030304</v>
      </c>
      <c r="K12936">
        <v>2791023531</v>
      </c>
      <c r="M12936" t="s">
        <v>38971</v>
      </c>
      <c r="N12936" t="s">
        <v>37717</v>
      </c>
      <c r="O12936" t="s">
        <v>38972</v>
      </c>
      <c r="P12936">
        <v>22200</v>
      </c>
      <c r="Q12936" t="str">
        <f>"37.406585"</f>
        <v>37.406585</v>
      </c>
      <c r="R12936" t="str">
        <f>"22.135890"</f>
        <v>22.135890</v>
      </c>
      <c r="S12936" t="s">
        <v>26</v>
      </c>
    </row>
    <row r="12937" spans="1:19" x14ac:dyDescent="0.3">
      <c r="A12937" t="s">
        <v>37529</v>
      </c>
      <c r="B12937" t="s">
        <v>38834</v>
      </c>
      <c r="C12937" t="s">
        <v>38981</v>
      </c>
      <c r="D12937" t="s">
        <v>37537</v>
      </c>
      <c r="E12937" t="s">
        <v>37753</v>
      </c>
      <c r="F12937" t="s">
        <v>37754</v>
      </c>
      <c r="G12937" t="s">
        <v>37754</v>
      </c>
      <c r="H12937" t="s">
        <v>859</v>
      </c>
      <c r="I12937" t="s">
        <v>1102</v>
      </c>
      <c r="J12937" t="str">
        <f>"9521060"</f>
        <v>9521060</v>
      </c>
      <c r="K12937">
        <v>2757022910</v>
      </c>
      <c r="N12937" t="s">
        <v>37754</v>
      </c>
      <c r="O12937" t="s">
        <v>37757</v>
      </c>
      <c r="P12937">
        <v>22300</v>
      </c>
      <c r="Q12937" t="str">
        <f>""</f>
        <v/>
      </c>
      <c r="R12937" t="str">
        <f>""</f>
        <v/>
      </c>
      <c r="S12937" t="s">
        <v>26</v>
      </c>
    </row>
    <row r="12938" spans="1:19" x14ac:dyDescent="0.3">
      <c r="A12938" t="s">
        <v>37529</v>
      </c>
      <c r="B12938" t="s">
        <v>38834</v>
      </c>
      <c r="C12938" t="s">
        <v>38992</v>
      </c>
      <c r="D12938" t="s">
        <v>37537</v>
      </c>
      <c r="E12938" t="s">
        <v>37760</v>
      </c>
      <c r="F12938" t="s">
        <v>37808</v>
      </c>
      <c r="G12938" t="s">
        <v>37808</v>
      </c>
      <c r="H12938" t="s">
        <v>859</v>
      </c>
      <c r="I12938" t="s">
        <v>860</v>
      </c>
      <c r="J12938" t="str">
        <f>"9030301"</f>
        <v>9030301</v>
      </c>
      <c r="K12938">
        <v>2795022942</v>
      </c>
      <c r="L12938">
        <v>2795022942</v>
      </c>
      <c r="M12938" t="s">
        <v>38993</v>
      </c>
      <c r="N12938" t="s">
        <v>37537</v>
      </c>
      <c r="O12938" t="s">
        <v>37812</v>
      </c>
      <c r="P12938">
        <v>22010</v>
      </c>
      <c r="Q12938" t="str">
        <f>"37.669204"</f>
        <v>37.669204</v>
      </c>
      <c r="R12938" t="str">
        <f>"22.185683"</f>
        <v>22.185683</v>
      </c>
      <c r="S12938" t="s">
        <v>26</v>
      </c>
    </row>
    <row r="12939" spans="1:19" x14ac:dyDescent="0.3">
      <c r="A12939" t="s">
        <v>37529</v>
      </c>
      <c r="B12939" t="s">
        <v>38834</v>
      </c>
      <c r="C12939" t="s">
        <v>38994</v>
      </c>
      <c r="D12939" t="s">
        <v>37537</v>
      </c>
      <c r="E12939" t="s">
        <v>37760</v>
      </c>
      <c r="F12939" t="s">
        <v>38973</v>
      </c>
      <c r="G12939" t="s">
        <v>38974</v>
      </c>
      <c r="H12939" t="s">
        <v>859</v>
      </c>
      <c r="I12939" t="s">
        <v>860</v>
      </c>
      <c r="J12939" t="str">
        <f>"9030300"</f>
        <v>9030300</v>
      </c>
      <c r="K12939">
        <v>2795082223</v>
      </c>
      <c r="L12939">
        <v>2795082223</v>
      </c>
      <c r="M12939" t="s">
        <v>38995</v>
      </c>
      <c r="N12939" t="s">
        <v>38974</v>
      </c>
      <c r="O12939" t="s">
        <v>38977</v>
      </c>
      <c r="P12939">
        <v>22014</v>
      </c>
      <c r="Q12939" t="str">
        <f>"37.706626"</f>
        <v>37.706626</v>
      </c>
      <c r="R12939" t="str">
        <f>"22.095652"</f>
        <v>22.095652</v>
      </c>
      <c r="S12939" t="s">
        <v>26</v>
      </c>
    </row>
    <row r="12940" spans="1:19" x14ac:dyDescent="0.3">
      <c r="A12940" t="s">
        <v>37529</v>
      </c>
      <c r="B12940" t="s">
        <v>38834</v>
      </c>
      <c r="C12940" t="s">
        <v>39013</v>
      </c>
      <c r="D12940" t="s">
        <v>37537</v>
      </c>
      <c r="E12940" t="s">
        <v>37538</v>
      </c>
      <c r="F12940" t="s">
        <v>37538</v>
      </c>
      <c r="G12940" t="s">
        <v>37539</v>
      </c>
      <c r="H12940" t="s">
        <v>859</v>
      </c>
      <c r="I12940" t="s">
        <v>860</v>
      </c>
      <c r="J12940" t="str">
        <f>"9030311"</f>
        <v>9030311</v>
      </c>
      <c r="K12940">
        <v>2710239037</v>
      </c>
      <c r="L12940">
        <v>2710239037</v>
      </c>
      <c r="M12940" t="s">
        <v>39014</v>
      </c>
      <c r="N12940" t="s">
        <v>37538</v>
      </c>
      <c r="O12940" t="s">
        <v>39015</v>
      </c>
      <c r="P12940">
        <v>22131</v>
      </c>
      <c r="Q12940" t="str">
        <f>"37.505114"</f>
        <v>37.505114</v>
      </c>
      <c r="R12940" t="str">
        <f>"22.363836"</f>
        <v>22.363836</v>
      </c>
      <c r="S12940" t="s">
        <v>26</v>
      </c>
    </row>
    <row r="12941" spans="1:19" x14ac:dyDescent="0.3">
      <c r="A12941" t="s">
        <v>37529</v>
      </c>
      <c r="B12941" t="s">
        <v>38834</v>
      </c>
      <c r="C12941" t="s">
        <v>39019</v>
      </c>
      <c r="D12941" t="s">
        <v>37537</v>
      </c>
      <c r="E12941" t="s">
        <v>37760</v>
      </c>
      <c r="F12941" t="s">
        <v>38956</v>
      </c>
      <c r="G12941" t="s">
        <v>38956</v>
      </c>
      <c r="H12941" t="s">
        <v>859</v>
      </c>
      <c r="I12941" t="s">
        <v>860</v>
      </c>
      <c r="J12941" t="str">
        <f>"9030318"</f>
        <v>9030318</v>
      </c>
      <c r="K12941">
        <v>2795043743</v>
      </c>
      <c r="L12941">
        <v>2795043743</v>
      </c>
      <c r="M12941" t="s">
        <v>39020</v>
      </c>
      <c r="N12941" t="s">
        <v>38956</v>
      </c>
      <c r="O12941" t="s">
        <v>38959</v>
      </c>
      <c r="P12941">
        <v>22003</v>
      </c>
      <c r="Q12941" t="str">
        <f>"37.681861"</f>
        <v>37.681861</v>
      </c>
      <c r="R12941" t="str">
        <f>"22.030021"</f>
        <v>22.030021</v>
      </c>
      <c r="S12941" t="s">
        <v>26</v>
      </c>
    </row>
    <row r="12942" spans="1:19" x14ac:dyDescent="0.3">
      <c r="A12942" t="s">
        <v>37529</v>
      </c>
      <c r="B12942" t="s">
        <v>38834</v>
      </c>
      <c r="C12942" t="s">
        <v>39041</v>
      </c>
      <c r="D12942" t="s">
        <v>37537</v>
      </c>
      <c r="E12942" t="s">
        <v>37538</v>
      </c>
      <c r="F12942" t="s">
        <v>37538</v>
      </c>
      <c r="G12942" t="s">
        <v>37539</v>
      </c>
      <c r="H12942" t="s">
        <v>859</v>
      </c>
      <c r="I12942" t="s">
        <v>860</v>
      </c>
      <c r="J12942" t="str">
        <f>"9030357"</f>
        <v>9030357</v>
      </c>
      <c r="K12942">
        <v>2710223586</v>
      </c>
      <c r="L12942">
        <v>2710221025</v>
      </c>
      <c r="M12942" t="s">
        <v>39042</v>
      </c>
      <c r="N12942" t="s">
        <v>37538</v>
      </c>
      <c r="O12942" t="s">
        <v>39035</v>
      </c>
      <c r="P12942">
        <v>22131</v>
      </c>
      <c r="Q12942" t="str">
        <f>"37.512289"</f>
        <v>37.512289</v>
      </c>
      <c r="R12942" t="str">
        <f>"22.365270"</f>
        <v>22.365270</v>
      </c>
      <c r="S12942" t="s">
        <v>26</v>
      </c>
    </row>
    <row r="12943" spans="1:19" x14ac:dyDescent="0.3">
      <c r="A12943" t="s">
        <v>37529</v>
      </c>
      <c r="B12943" t="s">
        <v>38834</v>
      </c>
      <c r="C12943" t="s">
        <v>39051</v>
      </c>
      <c r="D12943" t="s">
        <v>37537</v>
      </c>
      <c r="E12943" t="s">
        <v>37538</v>
      </c>
      <c r="F12943" t="s">
        <v>37538</v>
      </c>
      <c r="G12943" t="s">
        <v>37539</v>
      </c>
      <c r="H12943" t="s">
        <v>859</v>
      </c>
      <c r="I12943" t="s">
        <v>1102</v>
      </c>
      <c r="J12943" t="str">
        <f>"9030374"</f>
        <v>9030374</v>
      </c>
      <c r="K12943">
        <v>2710221690</v>
      </c>
      <c r="L12943">
        <v>2710221690</v>
      </c>
      <c r="M12943" t="s">
        <v>39052</v>
      </c>
      <c r="N12943" t="s">
        <v>37542</v>
      </c>
      <c r="O12943" t="s">
        <v>37705</v>
      </c>
      <c r="P12943">
        <v>22100</v>
      </c>
      <c r="Q12943" t="str">
        <f>"37.516256"</f>
        <v>37.516256</v>
      </c>
      <c r="R12943" t="str">
        <f>"22.373023"</f>
        <v>22.373023</v>
      </c>
      <c r="S12943" t="s">
        <v>26</v>
      </c>
    </row>
    <row r="12944" spans="1:19" x14ac:dyDescent="0.3">
      <c r="A12944" t="s">
        <v>37529</v>
      </c>
      <c r="B12944" t="s">
        <v>38834</v>
      </c>
      <c r="C12944" t="s">
        <v>39053</v>
      </c>
      <c r="D12944" t="s">
        <v>37537</v>
      </c>
      <c r="E12944" t="s">
        <v>37717</v>
      </c>
      <c r="F12944" t="s">
        <v>39005</v>
      </c>
      <c r="G12944" t="s">
        <v>39006</v>
      </c>
      <c r="H12944" t="s">
        <v>859</v>
      </c>
      <c r="I12944" t="s">
        <v>860</v>
      </c>
      <c r="J12944" t="str">
        <f>"9521230"</f>
        <v>9521230</v>
      </c>
      <c r="K12944">
        <v>2791031245</v>
      </c>
      <c r="L12944">
        <v>2791031245</v>
      </c>
      <c r="M12944" t="s">
        <v>39054</v>
      </c>
      <c r="N12944" t="s">
        <v>39009</v>
      </c>
      <c r="O12944" t="s">
        <v>39009</v>
      </c>
      <c r="P12944">
        <v>22200</v>
      </c>
      <c r="Q12944" t="str">
        <f>"37.484360"</f>
        <v>37.484360</v>
      </c>
      <c r="R12944" t="str">
        <f>"22.043771"</f>
        <v>22.043771</v>
      </c>
      <c r="S12944" t="s">
        <v>26</v>
      </c>
    </row>
    <row r="12945" spans="1:19" x14ac:dyDescent="0.3">
      <c r="A12945" t="s">
        <v>37529</v>
      </c>
      <c r="B12945" t="s">
        <v>38834</v>
      </c>
      <c r="C12945" t="s">
        <v>39055</v>
      </c>
      <c r="D12945" t="s">
        <v>37537</v>
      </c>
      <c r="E12945" t="s">
        <v>37538</v>
      </c>
      <c r="F12945" t="s">
        <v>37733</v>
      </c>
      <c r="G12945" t="s">
        <v>13822</v>
      </c>
      <c r="H12945" t="s">
        <v>859</v>
      </c>
      <c r="I12945" t="s">
        <v>860</v>
      </c>
      <c r="J12945" t="str">
        <f>"9030297"</f>
        <v>9030297</v>
      </c>
      <c r="K12945">
        <v>2796031205</v>
      </c>
      <c r="L12945">
        <v>2796031205</v>
      </c>
      <c r="M12945" t="s">
        <v>39056</v>
      </c>
      <c r="N12945" t="s">
        <v>13822</v>
      </c>
      <c r="O12945" t="s">
        <v>15626</v>
      </c>
      <c r="P12945">
        <v>22004</v>
      </c>
      <c r="Q12945" t="str">
        <f>"37.772556"</f>
        <v>37.772556</v>
      </c>
      <c r="R12945" t="str">
        <f>"22.379845"</f>
        <v>22.379845</v>
      </c>
      <c r="S12945" t="s">
        <v>26</v>
      </c>
    </row>
    <row r="12946" spans="1:19" x14ac:dyDescent="0.3">
      <c r="A12946" t="s">
        <v>37529</v>
      </c>
      <c r="B12946" t="s">
        <v>38834</v>
      </c>
      <c r="C12946" t="s">
        <v>39058</v>
      </c>
      <c r="D12946" t="s">
        <v>37537</v>
      </c>
      <c r="E12946" t="s">
        <v>37726</v>
      </c>
      <c r="F12946" t="s">
        <v>37726</v>
      </c>
      <c r="G12946" t="s">
        <v>39057</v>
      </c>
      <c r="H12946" t="s">
        <v>859</v>
      </c>
      <c r="I12946" t="s">
        <v>860</v>
      </c>
      <c r="J12946" t="str">
        <f>"9030251"</f>
        <v>9030251</v>
      </c>
      <c r="K12946">
        <v>2755041012</v>
      </c>
      <c r="M12946" t="s">
        <v>39059</v>
      </c>
      <c r="N12946" t="s">
        <v>39057</v>
      </c>
      <c r="O12946" t="s">
        <v>19066</v>
      </c>
      <c r="P12946">
        <v>22001</v>
      </c>
      <c r="Q12946" t="str">
        <f>"37.431254"</f>
        <v>37.431254</v>
      </c>
      <c r="R12946" t="str">
        <f>"22.680976"</f>
        <v>22.680976</v>
      </c>
      <c r="S12946" t="s">
        <v>26</v>
      </c>
    </row>
    <row r="12947" spans="1:19" x14ac:dyDescent="0.3">
      <c r="A12947" t="s">
        <v>37529</v>
      </c>
      <c r="B12947" t="s">
        <v>38834</v>
      </c>
      <c r="C12947" t="s">
        <v>39070</v>
      </c>
      <c r="D12947" t="s">
        <v>37537</v>
      </c>
      <c r="E12947" t="s">
        <v>37538</v>
      </c>
      <c r="F12947" t="s">
        <v>37538</v>
      </c>
      <c r="G12947" t="s">
        <v>39069</v>
      </c>
      <c r="H12947" t="s">
        <v>859</v>
      </c>
      <c r="I12947" t="s">
        <v>860</v>
      </c>
      <c r="J12947" t="str">
        <f>"9521692"</f>
        <v>9521692</v>
      </c>
      <c r="K12947">
        <v>2710239821</v>
      </c>
      <c r="L12947">
        <v>2710239821</v>
      </c>
      <c r="M12947" t="s">
        <v>39071</v>
      </c>
      <c r="N12947" t="s">
        <v>39072</v>
      </c>
      <c r="O12947" t="s">
        <v>39072</v>
      </c>
      <c r="P12947">
        <v>22100</v>
      </c>
      <c r="Q12947" t="str">
        <f>"37.539989"</f>
        <v>37.539989</v>
      </c>
      <c r="R12947" t="str">
        <f>"22.374618"</f>
        <v>22.374618</v>
      </c>
      <c r="S12947" t="s">
        <v>26</v>
      </c>
    </row>
    <row r="12948" spans="1:19" x14ac:dyDescent="0.3">
      <c r="A12948" t="s">
        <v>37529</v>
      </c>
      <c r="B12948" t="s">
        <v>38834</v>
      </c>
      <c r="C12948" t="s">
        <v>39075</v>
      </c>
      <c r="D12948" t="s">
        <v>37537</v>
      </c>
      <c r="E12948" t="s">
        <v>37538</v>
      </c>
      <c r="F12948" t="s">
        <v>37538</v>
      </c>
      <c r="G12948" t="s">
        <v>37539</v>
      </c>
      <c r="H12948" t="s">
        <v>859</v>
      </c>
      <c r="I12948" t="s">
        <v>860</v>
      </c>
      <c r="J12948" t="str">
        <f>"9031001"</f>
        <v>9031001</v>
      </c>
      <c r="Q12948" t="str">
        <f>""</f>
        <v/>
      </c>
      <c r="R12948" t="str">
        <f>""</f>
        <v/>
      </c>
      <c r="S12948" t="s">
        <v>26</v>
      </c>
    </row>
    <row r="12949" spans="1:19" x14ac:dyDescent="0.3">
      <c r="A12949" t="s">
        <v>37529</v>
      </c>
      <c r="B12949" t="s">
        <v>39076</v>
      </c>
      <c r="C12949" t="s">
        <v>39077</v>
      </c>
      <c r="D12949" t="s">
        <v>37544</v>
      </c>
      <c r="E12949" t="s">
        <v>37545</v>
      </c>
      <c r="F12949" t="s">
        <v>37545</v>
      </c>
      <c r="G12949" t="s">
        <v>37546</v>
      </c>
      <c r="H12949" t="s">
        <v>859</v>
      </c>
      <c r="I12949" t="s">
        <v>860</v>
      </c>
      <c r="J12949" t="str">
        <f>"9280002"</f>
        <v>9280002</v>
      </c>
      <c r="K12949">
        <v>2741020260</v>
      </c>
      <c r="L12949">
        <v>2741020260</v>
      </c>
      <c r="M12949" t="s">
        <v>39078</v>
      </c>
      <c r="N12949" t="s">
        <v>37546</v>
      </c>
      <c r="O12949" t="s">
        <v>39079</v>
      </c>
      <c r="P12949">
        <v>20131</v>
      </c>
      <c r="Q12949" t="str">
        <f>"37.934558"</f>
        <v>37.934558</v>
      </c>
      <c r="R12949" t="str">
        <f>"22.926383"</f>
        <v>22.926383</v>
      </c>
      <c r="S12949" t="s">
        <v>26</v>
      </c>
    </row>
    <row r="12950" spans="1:19" x14ac:dyDescent="0.3">
      <c r="A12950" t="s">
        <v>37529</v>
      </c>
      <c r="B12950" t="s">
        <v>39076</v>
      </c>
      <c r="C12950" t="s">
        <v>39080</v>
      </c>
      <c r="D12950" t="s">
        <v>37544</v>
      </c>
      <c r="E12950" t="s">
        <v>37545</v>
      </c>
      <c r="F12950" t="s">
        <v>37545</v>
      </c>
      <c r="G12950" t="s">
        <v>37546</v>
      </c>
      <c r="H12950" t="s">
        <v>859</v>
      </c>
      <c r="I12950" t="s">
        <v>860</v>
      </c>
      <c r="J12950" t="str">
        <f>"9280004"</f>
        <v>9280004</v>
      </c>
      <c r="K12950">
        <v>2741029780</v>
      </c>
      <c r="L12950">
        <v>2741029780</v>
      </c>
      <c r="M12950" t="s">
        <v>39081</v>
      </c>
      <c r="N12950" t="s">
        <v>37546</v>
      </c>
      <c r="P12950">
        <v>20100</v>
      </c>
      <c r="Q12950" t="str">
        <f>"37.933351"</f>
        <v>37.933351</v>
      </c>
      <c r="R12950" t="str">
        <f>"22.937064"</f>
        <v>22.937064</v>
      </c>
      <c r="S12950" t="s">
        <v>26</v>
      </c>
    </row>
    <row r="12951" spans="1:19" x14ac:dyDescent="0.3">
      <c r="A12951" t="s">
        <v>37529</v>
      </c>
      <c r="B12951" t="s">
        <v>39076</v>
      </c>
      <c r="C12951" t="s">
        <v>39082</v>
      </c>
      <c r="D12951" t="s">
        <v>37544</v>
      </c>
      <c r="E12951" t="s">
        <v>37545</v>
      </c>
      <c r="F12951" t="s">
        <v>37545</v>
      </c>
      <c r="G12951" t="s">
        <v>37546</v>
      </c>
      <c r="H12951" t="s">
        <v>859</v>
      </c>
      <c r="I12951" t="s">
        <v>860</v>
      </c>
      <c r="J12951" t="str">
        <f>"9280161"</f>
        <v>9280161</v>
      </c>
      <c r="K12951">
        <v>2741024025</v>
      </c>
      <c r="L12951">
        <v>2741024025</v>
      </c>
      <c r="M12951" t="s">
        <v>39083</v>
      </c>
      <c r="N12951" t="s">
        <v>37546</v>
      </c>
      <c r="O12951" t="s">
        <v>39084</v>
      </c>
      <c r="P12951">
        <v>20131</v>
      </c>
      <c r="Q12951" t="str">
        <f>"37.941820"</f>
        <v>37.941820</v>
      </c>
      <c r="R12951" t="str">
        <f>"22.927026"</f>
        <v>22.927026</v>
      </c>
      <c r="S12951" t="s">
        <v>26</v>
      </c>
    </row>
    <row r="12952" spans="1:19" x14ac:dyDescent="0.3">
      <c r="A12952" t="s">
        <v>37529</v>
      </c>
      <c r="B12952" t="s">
        <v>39076</v>
      </c>
      <c r="C12952" t="s">
        <v>39085</v>
      </c>
      <c r="D12952" t="s">
        <v>37544</v>
      </c>
      <c r="E12952" t="s">
        <v>37545</v>
      </c>
      <c r="F12952" t="s">
        <v>37545</v>
      </c>
      <c r="G12952" t="s">
        <v>37546</v>
      </c>
      <c r="H12952" t="s">
        <v>859</v>
      </c>
      <c r="I12952" t="s">
        <v>860</v>
      </c>
      <c r="J12952" t="str">
        <f>"9280166"</f>
        <v>9280166</v>
      </c>
      <c r="K12952">
        <v>2741026708</v>
      </c>
      <c r="L12952">
        <v>2741026708</v>
      </c>
      <c r="M12952" t="s">
        <v>39086</v>
      </c>
      <c r="N12952" t="s">
        <v>37546</v>
      </c>
      <c r="O12952" t="s">
        <v>39087</v>
      </c>
      <c r="P12952">
        <v>20100</v>
      </c>
      <c r="Q12952" t="str">
        <f>"37.936573"</f>
        <v>37.936573</v>
      </c>
      <c r="R12952" t="str">
        <f>"22.941331"</f>
        <v>22.941331</v>
      </c>
      <c r="S12952" t="s">
        <v>26</v>
      </c>
    </row>
    <row r="12953" spans="1:19" x14ac:dyDescent="0.3">
      <c r="A12953" t="s">
        <v>37529</v>
      </c>
      <c r="B12953" t="s">
        <v>39076</v>
      </c>
      <c r="C12953" t="s">
        <v>39088</v>
      </c>
      <c r="D12953" t="s">
        <v>37544</v>
      </c>
      <c r="E12953" t="s">
        <v>37545</v>
      </c>
      <c r="F12953" t="s">
        <v>37545</v>
      </c>
      <c r="G12953" t="s">
        <v>37546</v>
      </c>
      <c r="H12953" t="s">
        <v>859</v>
      </c>
      <c r="I12953" t="s">
        <v>860</v>
      </c>
      <c r="J12953" t="str">
        <f>"9280178"</f>
        <v>9280178</v>
      </c>
      <c r="K12953">
        <v>2741021071</v>
      </c>
      <c r="L12953">
        <v>2741021071</v>
      </c>
      <c r="M12953" t="s">
        <v>39089</v>
      </c>
      <c r="N12953" t="s">
        <v>37546</v>
      </c>
      <c r="O12953" t="s">
        <v>39090</v>
      </c>
      <c r="P12953">
        <v>20100</v>
      </c>
      <c r="Q12953" t="str">
        <f>"37.936795"</f>
        <v>37.936795</v>
      </c>
      <c r="R12953" t="str">
        <f>"22.936439"</f>
        <v>22.936439</v>
      </c>
      <c r="S12953" t="s">
        <v>26</v>
      </c>
    </row>
    <row r="12954" spans="1:19" x14ac:dyDescent="0.3">
      <c r="A12954" t="s">
        <v>37529</v>
      </c>
      <c r="B12954" t="s">
        <v>39076</v>
      </c>
      <c r="C12954" t="s">
        <v>39091</v>
      </c>
      <c r="D12954" t="s">
        <v>37544</v>
      </c>
      <c r="E12954" t="s">
        <v>37922</v>
      </c>
      <c r="F12954" t="s">
        <v>37922</v>
      </c>
      <c r="G12954" t="s">
        <v>37923</v>
      </c>
      <c r="H12954" t="s">
        <v>859</v>
      </c>
      <c r="I12954" t="s">
        <v>860</v>
      </c>
      <c r="J12954" t="str">
        <f>"9280074"</f>
        <v>9280074</v>
      </c>
      <c r="K12954">
        <v>2742025439</v>
      </c>
      <c r="L12954">
        <v>2742302157</v>
      </c>
      <c r="M12954" t="s">
        <v>39092</v>
      </c>
      <c r="N12954" t="s">
        <v>37960</v>
      </c>
      <c r="O12954" t="s">
        <v>39093</v>
      </c>
      <c r="P12954">
        <v>20200</v>
      </c>
      <c r="Q12954" t="str">
        <f>"38.008079"</f>
        <v>38.008079</v>
      </c>
      <c r="R12954" t="str">
        <f>"22.749691"</f>
        <v>22.749691</v>
      </c>
      <c r="S12954" t="s">
        <v>26</v>
      </c>
    </row>
    <row r="12955" spans="1:19" x14ac:dyDescent="0.3">
      <c r="A12955" t="s">
        <v>37529</v>
      </c>
      <c r="B12955" t="s">
        <v>39076</v>
      </c>
      <c r="C12955" t="s">
        <v>39094</v>
      </c>
      <c r="D12955" t="s">
        <v>37544</v>
      </c>
      <c r="E12955" t="s">
        <v>37545</v>
      </c>
      <c r="F12955" t="s">
        <v>37545</v>
      </c>
      <c r="G12955" t="s">
        <v>37546</v>
      </c>
      <c r="H12955" t="s">
        <v>859</v>
      </c>
      <c r="I12955" t="s">
        <v>860</v>
      </c>
      <c r="J12955" t="str">
        <f>"9280188"</f>
        <v>9280188</v>
      </c>
      <c r="K12955">
        <v>2741022056</v>
      </c>
      <c r="L12955">
        <v>2741022056</v>
      </c>
      <c r="M12955" t="s">
        <v>39095</v>
      </c>
      <c r="N12955" t="s">
        <v>37546</v>
      </c>
      <c r="O12955" t="s">
        <v>39096</v>
      </c>
      <c r="P12955">
        <v>20131</v>
      </c>
      <c r="Q12955" t="str">
        <f>"37.934806"</f>
        <v>37.934806</v>
      </c>
      <c r="R12955" t="str">
        <f>"22.914421"</f>
        <v>22.914421</v>
      </c>
      <c r="S12955" t="s">
        <v>26</v>
      </c>
    </row>
    <row r="12956" spans="1:19" x14ac:dyDescent="0.3">
      <c r="A12956" t="s">
        <v>37529</v>
      </c>
      <c r="B12956" t="s">
        <v>39076</v>
      </c>
      <c r="C12956" t="s">
        <v>39097</v>
      </c>
      <c r="D12956" t="s">
        <v>37544</v>
      </c>
      <c r="E12956" t="s">
        <v>37545</v>
      </c>
      <c r="F12956" t="s">
        <v>37545</v>
      </c>
      <c r="G12956" t="s">
        <v>37546</v>
      </c>
      <c r="H12956" t="s">
        <v>859</v>
      </c>
      <c r="I12956" t="s">
        <v>860</v>
      </c>
      <c r="J12956" t="str">
        <f>"9280203"</f>
        <v>9280203</v>
      </c>
      <c r="K12956">
        <v>2741084286</v>
      </c>
      <c r="L12956">
        <v>2741084286</v>
      </c>
      <c r="M12956" t="s">
        <v>39098</v>
      </c>
      <c r="N12956" t="s">
        <v>39099</v>
      </c>
      <c r="O12956" t="s">
        <v>39100</v>
      </c>
      <c r="P12956">
        <v>20131</v>
      </c>
      <c r="Q12956" t="str">
        <f>"37.933245"</f>
        <v>37.933245</v>
      </c>
      <c r="R12956" t="str">
        <f>"22.939315"</f>
        <v>22.939315</v>
      </c>
      <c r="S12956" t="s">
        <v>26</v>
      </c>
    </row>
    <row r="12957" spans="1:19" x14ac:dyDescent="0.3">
      <c r="A12957" t="s">
        <v>37529</v>
      </c>
      <c r="B12957" t="s">
        <v>39076</v>
      </c>
      <c r="C12957" t="s">
        <v>39102</v>
      </c>
      <c r="D12957" t="s">
        <v>37544</v>
      </c>
      <c r="E12957" t="s">
        <v>37545</v>
      </c>
      <c r="F12957" t="s">
        <v>37545</v>
      </c>
      <c r="G12957" t="s">
        <v>39101</v>
      </c>
      <c r="H12957" t="s">
        <v>859</v>
      </c>
      <c r="I12957" t="s">
        <v>860</v>
      </c>
      <c r="J12957" t="str">
        <f>"9280198"</f>
        <v>9280198</v>
      </c>
      <c r="K12957">
        <v>2741036586</v>
      </c>
      <c r="L12957">
        <v>2741036586</v>
      </c>
      <c r="M12957" t="s">
        <v>39103</v>
      </c>
      <c r="N12957" t="s">
        <v>39104</v>
      </c>
      <c r="O12957" t="s">
        <v>39105</v>
      </c>
      <c r="P12957">
        <v>20100</v>
      </c>
      <c r="Q12957" t="str">
        <f>"37.885374"</f>
        <v>37.885374</v>
      </c>
      <c r="R12957" t="str">
        <f>"22.941215"</f>
        <v>22.941215</v>
      </c>
      <c r="S12957" t="s">
        <v>26</v>
      </c>
    </row>
    <row r="12958" spans="1:19" x14ac:dyDescent="0.3">
      <c r="A12958" t="s">
        <v>37529</v>
      </c>
      <c r="B12958" t="s">
        <v>39076</v>
      </c>
      <c r="C12958" t="s">
        <v>39106</v>
      </c>
      <c r="D12958" t="s">
        <v>37544</v>
      </c>
      <c r="E12958" t="s">
        <v>37545</v>
      </c>
      <c r="F12958" t="s">
        <v>37545</v>
      </c>
      <c r="G12958" t="s">
        <v>37546</v>
      </c>
      <c r="H12958" t="s">
        <v>859</v>
      </c>
      <c r="I12958" t="s">
        <v>860</v>
      </c>
      <c r="J12958" t="str">
        <f>"9280212"</f>
        <v>9280212</v>
      </c>
      <c r="K12958">
        <v>2741027757</v>
      </c>
      <c r="L12958">
        <v>2741027757</v>
      </c>
      <c r="M12958" t="s">
        <v>39107</v>
      </c>
      <c r="N12958" t="s">
        <v>37546</v>
      </c>
      <c r="O12958" t="s">
        <v>39108</v>
      </c>
      <c r="P12958">
        <v>20100</v>
      </c>
      <c r="Q12958" t="str">
        <f>"37.930432"</f>
        <v>37.930432</v>
      </c>
      <c r="R12958" t="str">
        <f>"22.950333"</f>
        <v>22.950333</v>
      </c>
      <c r="S12958" t="s">
        <v>26</v>
      </c>
    </row>
    <row r="12959" spans="1:19" x14ac:dyDescent="0.3">
      <c r="A12959" t="s">
        <v>37529</v>
      </c>
      <c r="B12959" t="s">
        <v>39076</v>
      </c>
      <c r="C12959" t="s">
        <v>39109</v>
      </c>
      <c r="D12959" t="s">
        <v>37544</v>
      </c>
      <c r="E12959" t="s">
        <v>37545</v>
      </c>
      <c r="F12959" t="s">
        <v>37545</v>
      </c>
      <c r="G12959" t="s">
        <v>37546</v>
      </c>
      <c r="H12959" t="s">
        <v>859</v>
      </c>
      <c r="I12959" t="s">
        <v>860</v>
      </c>
      <c r="J12959" t="str">
        <f>"9280217"</f>
        <v>9280217</v>
      </c>
      <c r="K12959">
        <v>2741020404</v>
      </c>
      <c r="L12959">
        <v>2741020404</v>
      </c>
      <c r="M12959" t="s">
        <v>39110</v>
      </c>
      <c r="N12959" t="s">
        <v>37546</v>
      </c>
      <c r="O12959" t="s">
        <v>39111</v>
      </c>
      <c r="P12959">
        <v>20100</v>
      </c>
      <c r="Q12959" t="str">
        <f>"37.936524"</f>
        <v>37.936524</v>
      </c>
      <c r="R12959" t="str">
        <f>"22.947114"</f>
        <v>22.947114</v>
      </c>
      <c r="S12959" t="s">
        <v>26</v>
      </c>
    </row>
    <row r="12960" spans="1:19" x14ac:dyDescent="0.3">
      <c r="A12960" t="s">
        <v>37529</v>
      </c>
      <c r="B12960" t="s">
        <v>39076</v>
      </c>
      <c r="C12960" t="s">
        <v>39112</v>
      </c>
      <c r="D12960" t="s">
        <v>37544</v>
      </c>
      <c r="E12960" t="s">
        <v>37545</v>
      </c>
      <c r="F12960" t="s">
        <v>37545</v>
      </c>
      <c r="G12960" t="s">
        <v>37546</v>
      </c>
      <c r="H12960" t="s">
        <v>859</v>
      </c>
      <c r="I12960" t="s">
        <v>860</v>
      </c>
      <c r="J12960" t="str">
        <f>"9280165"</f>
        <v>9280165</v>
      </c>
      <c r="K12960">
        <v>2741022498</v>
      </c>
      <c r="L12960">
        <v>2741022498</v>
      </c>
      <c r="M12960" t="s">
        <v>39113</v>
      </c>
      <c r="N12960" t="s">
        <v>37855</v>
      </c>
      <c r="O12960" t="s">
        <v>39114</v>
      </c>
      <c r="P12960">
        <v>20100</v>
      </c>
      <c r="Q12960" t="str">
        <f>"37.939363"</f>
        <v>37.939363</v>
      </c>
      <c r="R12960" t="str">
        <f>"22.921753"</f>
        <v>22.921753</v>
      </c>
      <c r="S12960" t="s">
        <v>26</v>
      </c>
    </row>
    <row r="12961" spans="1:19" x14ac:dyDescent="0.3">
      <c r="A12961" t="s">
        <v>37529</v>
      </c>
      <c r="B12961" t="s">
        <v>39076</v>
      </c>
      <c r="C12961" t="s">
        <v>39115</v>
      </c>
      <c r="D12961" t="s">
        <v>37544</v>
      </c>
      <c r="E12961" t="s">
        <v>37545</v>
      </c>
      <c r="F12961" t="s">
        <v>37545</v>
      </c>
      <c r="G12961" t="s">
        <v>37546</v>
      </c>
      <c r="H12961" t="s">
        <v>859</v>
      </c>
      <c r="I12961" t="s">
        <v>860</v>
      </c>
      <c r="J12961" t="str">
        <f>"9280224"</f>
        <v>9280224</v>
      </c>
      <c r="K12961">
        <v>2741027059</v>
      </c>
      <c r="L12961">
        <v>2741027059</v>
      </c>
      <c r="M12961" t="s">
        <v>39116</v>
      </c>
      <c r="N12961" t="s">
        <v>37546</v>
      </c>
      <c r="O12961" t="s">
        <v>39117</v>
      </c>
      <c r="P12961">
        <v>20131</v>
      </c>
      <c r="Q12961" t="str">
        <f>"37.930021"</f>
        <v>37.930021</v>
      </c>
      <c r="R12961" t="str">
        <f>"22.912229"</f>
        <v>22.912229</v>
      </c>
      <c r="S12961" t="s">
        <v>26</v>
      </c>
    </row>
    <row r="12962" spans="1:19" x14ac:dyDescent="0.3">
      <c r="A12962" t="s">
        <v>37529</v>
      </c>
      <c r="B12962" t="s">
        <v>39076</v>
      </c>
      <c r="C12962" t="s">
        <v>39118</v>
      </c>
      <c r="D12962" t="s">
        <v>37544</v>
      </c>
      <c r="E12962" t="s">
        <v>37545</v>
      </c>
      <c r="F12962" t="s">
        <v>37545</v>
      </c>
      <c r="G12962" t="s">
        <v>37546</v>
      </c>
      <c r="H12962" t="s">
        <v>859</v>
      </c>
      <c r="I12962" t="s">
        <v>860</v>
      </c>
      <c r="J12962" t="str">
        <f>"9280229"</f>
        <v>9280229</v>
      </c>
      <c r="K12962">
        <v>2741027430</v>
      </c>
      <c r="L12962">
        <v>2741027430</v>
      </c>
      <c r="M12962" t="s">
        <v>39119</v>
      </c>
      <c r="N12962" t="s">
        <v>37855</v>
      </c>
      <c r="O12962" t="s">
        <v>39120</v>
      </c>
      <c r="P12962">
        <v>20131</v>
      </c>
      <c r="Q12962" t="str">
        <f>"37.934145"</f>
        <v>37.934145</v>
      </c>
      <c r="R12962" t="str">
        <f>"22.925010"</f>
        <v>22.925010</v>
      </c>
      <c r="S12962" t="s">
        <v>26</v>
      </c>
    </row>
    <row r="12963" spans="1:19" x14ac:dyDescent="0.3">
      <c r="A12963" t="s">
        <v>37529</v>
      </c>
      <c r="B12963" t="s">
        <v>39076</v>
      </c>
      <c r="C12963" t="s">
        <v>39121</v>
      </c>
      <c r="D12963" t="s">
        <v>37544</v>
      </c>
      <c r="E12963" t="s">
        <v>37545</v>
      </c>
      <c r="F12963" t="s">
        <v>37545</v>
      </c>
      <c r="G12963" t="s">
        <v>37546</v>
      </c>
      <c r="H12963" t="s">
        <v>859</v>
      </c>
      <c r="I12963" t="s">
        <v>860</v>
      </c>
      <c r="J12963" t="str">
        <f>"9280228"</f>
        <v>9280228</v>
      </c>
      <c r="K12963">
        <v>2741071661</v>
      </c>
      <c r="M12963" t="s">
        <v>39122</v>
      </c>
      <c r="N12963" t="s">
        <v>37546</v>
      </c>
      <c r="O12963" t="s">
        <v>39123</v>
      </c>
      <c r="P12963">
        <v>20100</v>
      </c>
      <c r="Q12963" t="str">
        <f>"37.939339"</f>
        <v>37.939339</v>
      </c>
      <c r="R12963" t="str">
        <f>"22.944276"</f>
        <v>22.944276</v>
      </c>
      <c r="S12963" t="s">
        <v>26</v>
      </c>
    </row>
    <row r="12964" spans="1:19" x14ac:dyDescent="0.3">
      <c r="A12964" t="s">
        <v>37529</v>
      </c>
      <c r="B12964" t="s">
        <v>39076</v>
      </c>
      <c r="C12964" t="s">
        <v>39124</v>
      </c>
      <c r="D12964" t="s">
        <v>37544</v>
      </c>
      <c r="E12964" t="s">
        <v>37545</v>
      </c>
      <c r="F12964" t="s">
        <v>37545</v>
      </c>
      <c r="G12964" t="s">
        <v>37546</v>
      </c>
      <c r="H12964" t="s">
        <v>859</v>
      </c>
      <c r="I12964" t="s">
        <v>860</v>
      </c>
      <c r="J12964" t="str">
        <f>"9280230"</f>
        <v>9280230</v>
      </c>
      <c r="K12964">
        <v>2741020603</v>
      </c>
      <c r="L12964">
        <v>2741020603</v>
      </c>
      <c r="M12964" t="s">
        <v>39125</v>
      </c>
      <c r="N12964" t="s">
        <v>37546</v>
      </c>
      <c r="O12964" t="s">
        <v>39126</v>
      </c>
      <c r="P12964">
        <v>20131</v>
      </c>
      <c r="Q12964" t="str">
        <f>"37.935234"</f>
        <v>37.935234</v>
      </c>
      <c r="R12964" t="str">
        <f>"22.922168"</f>
        <v>22.922168</v>
      </c>
      <c r="S12964" t="s">
        <v>26</v>
      </c>
    </row>
    <row r="12965" spans="1:19" x14ac:dyDescent="0.3">
      <c r="A12965" t="s">
        <v>37529</v>
      </c>
      <c r="B12965" t="s">
        <v>39076</v>
      </c>
      <c r="C12965" t="s">
        <v>39127</v>
      </c>
      <c r="D12965" t="s">
        <v>37544</v>
      </c>
      <c r="E12965" t="s">
        <v>37545</v>
      </c>
      <c r="F12965" t="s">
        <v>37545</v>
      </c>
      <c r="G12965" t="s">
        <v>37546</v>
      </c>
      <c r="H12965" t="s">
        <v>859</v>
      </c>
      <c r="I12965" t="s">
        <v>860</v>
      </c>
      <c r="J12965" t="str">
        <f>"9280240"</f>
        <v>9280240</v>
      </c>
      <c r="K12965">
        <v>2741026754</v>
      </c>
      <c r="L12965">
        <v>2741026754</v>
      </c>
      <c r="M12965" t="s">
        <v>39128</v>
      </c>
      <c r="N12965" t="s">
        <v>37546</v>
      </c>
      <c r="P12965">
        <v>20131</v>
      </c>
      <c r="Q12965" t="str">
        <f>"37.933339"</f>
        <v>37.933339</v>
      </c>
      <c r="R12965" t="str">
        <f>"22.936639"</f>
        <v>22.936639</v>
      </c>
      <c r="S12965" t="s">
        <v>26</v>
      </c>
    </row>
    <row r="12966" spans="1:19" x14ac:dyDescent="0.3">
      <c r="A12966" t="s">
        <v>37529</v>
      </c>
      <c r="B12966" t="s">
        <v>39076</v>
      </c>
      <c r="C12966" t="s">
        <v>39129</v>
      </c>
      <c r="D12966" t="s">
        <v>37544</v>
      </c>
      <c r="E12966" t="s">
        <v>37545</v>
      </c>
      <c r="F12966" t="s">
        <v>37545</v>
      </c>
      <c r="G12966" t="s">
        <v>37546</v>
      </c>
      <c r="H12966" t="s">
        <v>859</v>
      </c>
      <c r="I12966" t="s">
        <v>860</v>
      </c>
      <c r="J12966" t="str">
        <f>"9280241"</f>
        <v>9280241</v>
      </c>
      <c r="K12966">
        <v>2741071581</v>
      </c>
      <c r="M12966" t="s">
        <v>39130</v>
      </c>
      <c r="N12966" t="s">
        <v>37546</v>
      </c>
      <c r="O12966" t="s">
        <v>39131</v>
      </c>
      <c r="P12966">
        <v>20100</v>
      </c>
      <c r="Q12966" t="str">
        <f>"37.940623"</f>
        <v>37.940623</v>
      </c>
      <c r="R12966" t="str">
        <f>"22.924582"</f>
        <v>22.924582</v>
      </c>
      <c r="S12966" t="s">
        <v>26</v>
      </c>
    </row>
    <row r="12967" spans="1:19" x14ac:dyDescent="0.3">
      <c r="A12967" t="s">
        <v>37529</v>
      </c>
      <c r="B12967" t="s">
        <v>39076</v>
      </c>
      <c r="C12967" t="s">
        <v>39133</v>
      </c>
      <c r="D12967" t="s">
        <v>37544</v>
      </c>
      <c r="E12967" t="s">
        <v>37545</v>
      </c>
      <c r="F12967" t="s">
        <v>37545</v>
      </c>
      <c r="G12967" t="s">
        <v>39132</v>
      </c>
      <c r="H12967" t="s">
        <v>859</v>
      </c>
      <c r="I12967" t="s">
        <v>860</v>
      </c>
      <c r="J12967" t="str">
        <f>"9280181"</f>
        <v>9280181</v>
      </c>
      <c r="K12967">
        <v>2741036982</v>
      </c>
      <c r="L12967">
        <v>2741036982</v>
      </c>
      <c r="M12967" t="s">
        <v>39134</v>
      </c>
      <c r="N12967" t="s">
        <v>39132</v>
      </c>
      <c r="O12967" t="s">
        <v>39135</v>
      </c>
      <c r="P12967">
        <v>20100</v>
      </c>
      <c r="Q12967" t="str">
        <f>"37.900732"</f>
        <v>37.900732</v>
      </c>
      <c r="R12967" t="str">
        <f>"22.927176"</f>
        <v>22.927176</v>
      </c>
      <c r="S12967" t="s">
        <v>26</v>
      </c>
    </row>
    <row r="12968" spans="1:19" x14ac:dyDescent="0.3">
      <c r="A12968" t="s">
        <v>37529</v>
      </c>
      <c r="B12968" t="s">
        <v>39076</v>
      </c>
      <c r="C12968" t="s">
        <v>39137</v>
      </c>
      <c r="D12968" t="s">
        <v>37544</v>
      </c>
      <c r="E12968" t="s">
        <v>37545</v>
      </c>
      <c r="F12968" t="s">
        <v>37545</v>
      </c>
      <c r="G12968" t="s">
        <v>39136</v>
      </c>
      <c r="H12968" t="s">
        <v>859</v>
      </c>
      <c r="I12968" t="s">
        <v>860</v>
      </c>
      <c r="J12968" t="str">
        <f>"9280192"</f>
        <v>9280192</v>
      </c>
      <c r="K12968">
        <v>2741032614</v>
      </c>
      <c r="L12968">
        <v>2741031372</v>
      </c>
      <c r="M12968" t="s">
        <v>39138</v>
      </c>
      <c r="N12968" t="s">
        <v>39136</v>
      </c>
      <c r="O12968" t="s">
        <v>39139</v>
      </c>
      <c r="P12968">
        <v>20100</v>
      </c>
      <c r="Q12968" t="str">
        <f>"37.874702"</f>
        <v>37.874702</v>
      </c>
      <c r="R12968" t="str">
        <f>"22.889015"</f>
        <v>22.889015</v>
      </c>
      <c r="S12968" t="s">
        <v>26</v>
      </c>
    </row>
    <row r="12969" spans="1:19" x14ac:dyDescent="0.3">
      <c r="A12969" t="s">
        <v>37529</v>
      </c>
      <c r="B12969" t="s">
        <v>39076</v>
      </c>
      <c r="C12969" t="s">
        <v>39140</v>
      </c>
      <c r="D12969" t="s">
        <v>37544</v>
      </c>
      <c r="E12969" t="s">
        <v>37545</v>
      </c>
      <c r="F12969" t="s">
        <v>37545</v>
      </c>
      <c r="G12969" t="s">
        <v>38072</v>
      </c>
      <c r="H12969" t="s">
        <v>859</v>
      </c>
      <c r="I12969" t="s">
        <v>860</v>
      </c>
      <c r="J12969" t="str">
        <f>"9280168"</f>
        <v>9280168</v>
      </c>
      <c r="L12969">
        <v>2741031362</v>
      </c>
      <c r="M12969" t="s">
        <v>39141</v>
      </c>
      <c r="N12969" t="s">
        <v>38072</v>
      </c>
      <c r="O12969" t="s">
        <v>39142</v>
      </c>
      <c r="P12969">
        <v>20007</v>
      </c>
      <c r="Q12969" t="str">
        <f>"37.924573"</f>
        <v>37.924573</v>
      </c>
      <c r="R12969" t="str">
        <f>"22.892570"</f>
        <v>22.892570</v>
      </c>
      <c r="S12969" t="s">
        <v>26</v>
      </c>
    </row>
    <row r="12970" spans="1:19" x14ac:dyDescent="0.3">
      <c r="A12970" t="s">
        <v>37529</v>
      </c>
      <c r="B12970" t="s">
        <v>39076</v>
      </c>
      <c r="C12970" t="s">
        <v>39145</v>
      </c>
      <c r="D12970" t="s">
        <v>37544</v>
      </c>
      <c r="E12970" t="s">
        <v>37545</v>
      </c>
      <c r="F12970" t="s">
        <v>37545</v>
      </c>
      <c r="G12970" t="s">
        <v>37546</v>
      </c>
      <c r="H12970" t="s">
        <v>859</v>
      </c>
      <c r="I12970" t="s">
        <v>860</v>
      </c>
      <c r="J12970" t="str">
        <f>"9280222"</f>
        <v>9280222</v>
      </c>
      <c r="K12970">
        <v>2741022991</v>
      </c>
      <c r="L12970">
        <v>2741022991</v>
      </c>
      <c r="M12970" t="s">
        <v>39146</v>
      </c>
      <c r="N12970" t="s">
        <v>37546</v>
      </c>
      <c r="O12970" t="s">
        <v>5423</v>
      </c>
      <c r="P12970">
        <v>20100</v>
      </c>
      <c r="Q12970" t="str">
        <f>"37.942401"</f>
        <v>37.942401</v>
      </c>
      <c r="R12970" t="str">
        <f>"22.959869"</f>
        <v>22.959869</v>
      </c>
      <c r="S12970" t="s">
        <v>26</v>
      </c>
    </row>
    <row r="12971" spans="1:19" x14ac:dyDescent="0.3">
      <c r="A12971" t="s">
        <v>37529</v>
      </c>
      <c r="B12971" t="s">
        <v>39076</v>
      </c>
      <c r="C12971" t="s">
        <v>39151</v>
      </c>
      <c r="D12971" t="s">
        <v>37544</v>
      </c>
      <c r="E12971" t="s">
        <v>37545</v>
      </c>
      <c r="F12971" t="s">
        <v>37980</v>
      </c>
      <c r="G12971" t="s">
        <v>39150</v>
      </c>
      <c r="H12971" t="s">
        <v>859</v>
      </c>
      <c r="I12971" t="s">
        <v>860</v>
      </c>
      <c r="J12971" t="str">
        <f>"9280177"</f>
        <v>9280177</v>
      </c>
      <c r="K12971">
        <v>2741087583</v>
      </c>
      <c r="L12971">
        <v>2741087583</v>
      </c>
      <c r="M12971" t="s">
        <v>39152</v>
      </c>
      <c r="N12971" t="s">
        <v>39150</v>
      </c>
      <c r="O12971" t="s">
        <v>1745</v>
      </c>
      <c r="P12971">
        <v>20011</v>
      </c>
      <c r="Q12971" t="str">
        <f>"37.939100"</f>
        <v>37.939100</v>
      </c>
      <c r="R12971" t="str">
        <f>"22.834088"</f>
        <v>22.834088</v>
      </c>
      <c r="S12971" t="s">
        <v>26</v>
      </c>
    </row>
    <row r="12972" spans="1:19" x14ac:dyDescent="0.3">
      <c r="A12972" t="s">
        <v>37529</v>
      </c>
      <c r="B12972" t="s">
        <v>39076</v>
      </c>
      <c r="C12972" t="s">
        <v>39157</v>
      </c>
      <c r="D12972" t="s">
        <v>37544</v>
      </c>
      <c r="E12972" t="s">
        <v>37545</v>
      </c>
      <c r="F12972" t="s">
        <v>37858</v>
      </c>
      <c r="G12972" t="s">
        <v>39156</v>
      </c>
      <c r="H12972" t="s">
        <v>859</v>
      </c>
      <c r="I12972" t="s">
        <v>860</v>
      </c>
      <c r="J12972" t="str">
        <f>"9280191"</f>
        <v>9280191</v>
      </c>
      <c r="K12972">
        <v>2741099362</v>
      </c>
      <c r="L12972">
        <v>2741099362</v>
      </c>
      <c r="M12972" t="s">
        <v>39158</v>
      </c>
      <c r="N12972" t="s">
        <v>39159</v>
      </c>
      <c r="O12972" t="s">
        <v>39160</v>
      </c>
      <c r="P12972">
        <v>20008</v>
      </c>
      <c r="Q12972" t="str">
        <f>"37.790206"</f>
        <v>37.790206</v>
      </c>
      <c r="R12972" t="str">
        <f>"22.864224"</f>
        <v>22.864224</v>
      </c>
      <c r="S12972" t="s">
        <v>26</v>
      </c>
    </row>
    <row r="12973" spans="1:19" x14ac:dyDescent="0.3">
      <c r="A12973" t="s">
        <v>37529</v>
      </c>
      <c r="B12973" t="s">
        <v>39076</v>
      </c>
      <c r="C12973" t="s">
        <v>39161</v>
      </c>
      <c r="D12973" t="s">
        <v>37544</v>
      </c>
      <c r="E12973" t="s">
        <v>37545</v>
      </c>
      <c r="F12973" t="s">
        <v>37858</v>
      </c>
      <c r="G12973" t="s">
        <v>14541</v>
      </c>
      <c r="H12973" t="s">
        <v>859</v>
      </c>
      <c r="I12973" t="s">
        <v>860</v>
      </c>
      <c r="J12973" t="str">
        <f>"9280179"</f>
        <v>9280179</v>
      </c>
      <c r="K12973">
        <v>2741097167</v>
      </c>
      <c r="L12973">
        <v>2741097411</v>
      </c>
      <c r="M12973" t="s">
        <v>39162</v>
      </c>
      <c r="N12973" t="s">
        <v>39163</v>
      </c>
      <c r="O12973" t="s">
        <v>39164</v>
      </c>
      <c r="P12973">
        <v>20008</v>
      </c>
      <c r="Q12973" t="str">
        <f>"37.793786"</f>
        <v>37.793786</v>
      </c>
      <c r="R12973" t="str">
        <f>"22.800395"</f>
        <v>22.800395</v>
      </c>
      <c r="S12973" t="s">
        <v>26</v>
      </c>
    </row>
    <row r="12974" spans="1:19" x14ac:dyDescent="0.3">
      <c r="A12974" t="s">
        <v>37529</v>
      </c>
      <c r="B12974" t="s">
        <v>39076</v>
      </c>
      <c r="C12974" t="s">
        <v>39165</v>
      </c>
      <c r="D12974" t="s">
        <v>37544</v>
      </c>
      <c r="E12974" t="s">
        <v>37545</v>
      </c>
      <c r="F12974" t="s">
        <v>3997</v>
      </c>
      <c r="G12974" t="s">
        <v>37885</v>
      </c>
      <c r="H12974" t="s">
        <v>859</v>
      </c>
      <c r="I12974" t="s">
        <v>860</v>
      </c>
      <c r="J12974" t="str">
        <f>"9280024"</f>
        <v>9280024</v>
      </c>
      <c r="K12974">
        <v>2741039568</v>
      </c>
      <c r="L12974">
        <v>2741039568</v>
      </c>
      <c r="M12974" t="s">
        <v>39166</v>
      </c>
      <c r="N12974" t="s">
        <v>37885</v>
      </c>
      <c r="O12974" t="s">
        <v>37889</v>
      </c>
      <c r="P12974">
        <v>20005</v>
      </c>
      <c r="Q12974" t="str">
        <f>"37.820596"</f>
        <v>37.820596</v>
      </c>
      <c r="R12974" t="str">
        <f>"22.924623"</f>
        <v>22.924623</v>
      </c>
      <c r="S12974" t="s">
        <v>26</v>
      </c>
    </row>
    <row r="12975" spans="1:19" x14ac:dyDescent="0.3">
      <c r="A12975" t="s">
        <v>37529</v>
      </c>
      <c r="B12975" t="s">
        <v>39076</v>
      </c>
      <c r="C12975" t="s">
        <v>39167</v>
      </c>
      <c r="D12975" t="s">
        <v>37544</v>
      </c>
      <c r="E12975" t="s">
        <v>37845</v>
      </c>
      <c r="F12975" t="s">
        <v>37846</v>
      </c>
      <c r="G12975" t="s">
        <v>37953</v>
      </c>
      <c r="H12975" t="s">
        <v>859</v>
      </c>
      <c r="I12975" t="s">
        <v>860</v>
      </c>
      <c r="J12975" t="str">
        <f>"9280243"</f>
        <v>9280243</v>
      </c>
      <c r="K12975">
        <v>2741037218</v>
      </c>
      <c r="L12975">
        <v>2741038712</v>
      </c>
      <c r="M12975" t="s">
        <v>39168</v>
      </c>
      <c r="N12975" t="s">
        <v>39169</v>
      </c>
      <c r="O12975" t="s">
        <v>39170</v>
      </c>
      <c r="P12975">
        <v>20100</v>
      </c>
      <c r="Q12975" t="str">
        <f>"37.915138"</f>
        <v>37.915138</v>
      </c>
      <c r="R12975" t="str">
        <f>"22.994918"</f>
        <v>22.994918</v>
      </c>
      <c r="S12975" t="s">
        <v>26</v>
      </c>
    </row>
    <row r="12976" spans="1:19" x14ac:dyDescent="0.3">
      <c r="A12976" t="s">
        <v>37529</v>
      </c>
      <c r="B12976" t="s">
        <v>39076</v>
      </c>
      <c r="C12976" t="s">
        <v>39172</v>
      </c>
      <c r="D12976" t="s">
        <v>37544</v>
      </c>
      <c r="E12976" t="s">
        <v>37545</v>
      </c>
      <c r="F12976" t="s">
        <v>37980</v>
      </c>
      <c r="G12976" t="s">
        <v>39171</v>
      </c>
      <c r="H12976" t="s">
        <v>859</v>
      </c>
      <c r="I12976" t="s">
        <v>860</v>
      </c>
      <c r="J12976" t="str">
        <f>"9280169"</f>
        <v>9280169</v>
      </c>
      <c r="K12976">
        <v>2741086120</v>
      </c>
      <c r="M12976" t="s">
        <v>39173</v>
      </c>
      <c r="N12976" t="s">
        <v>39171</v>
      </c>
      <c r="O12976" t="s">
        <v>39174</v>
      </c>
      <c r="P12976">
        <v>20006</v>
      </c>
      <c r="Q12976" t="str">
        <f>"37.939619"</f>
        <v>37.939619</v>
      </c>
      <c r="R12976" t="str">
        <f>"22.821698"</f>
        <v>22.821698</v>
      </c>
      <c r="S12976" t="s">
        <v>26</v>
      </c>
    </row>
    <row r="12977" spans="1:19" x14ac:dyDescent="0.3">
      <c r="A12977" t="s">
        <v>37529</v>
      </c>
      <c r="B12977" t="s">
        <v>39076</v>
      </c>
      <c r="C12977" t="s">
        <v>39175</v>
      </c>
      <c r="D12977" t="s">
        <v>37544</v>
      </c>
      <c r="E12977" t="s">
        <v>37545</v>
      </c>
      <c r="F12977" t="s">
        <v>38027</v>
      </c>
      <c r="G12977" t="s">
        <v>38028</v>
      </c>
      <c r="H12977" t="s">
        <v>859</v>
      </c>
      <c r="I12977" t="s">
        <v>860</v>
      </c>
      <c r="J12977" t="str">
        <f>"9280062"</f>
        <v>9280062</v>
      </c>
      <c r="K12977">
        <v>2741093355</v>
      </c>
      <c r="L12977">
        <v>2741093355</v>
      </c>
      <c r="M12977" t="s">
        <v>39176</v>
      </c>
      <c r="N12977" t="s">
        <v>38028</v>
      </c>
      <c r="O12977" t="s">
        <v>1416</v>
      </c>
      <c r="P12977">
        <v>20004</v>
      </c>
      <c r="Q12977" t="str">
        <f>"37.792758"</f>
        <v>37.792758</v>
      </c>
      <c r="R12977" t="str">
        <f>"23.053066"</f>
        <v>23.053066</v>
      </c>
      <c r="S12977" t="s">
        <v>26</v>
      </c>
    </row>
    <row r="12978" spans="1:19" x14ac:dyDescent="0.3">
      <c r="A12978" t="s">
        <v>37529</v>
      </c>
      <c r="B12978" t="s">
        <v>39076</v>
      </c>
      <c r="C12978" t="s">
        <v>39177</v>
      </c>
      <c r="D12978" t="s">
        <v>37544</v>
      </c>
      <c r="E12978" t="s">
        <v>37845</v>
      </c>
      <c r="F12978" t="s">
        <v>37846</v>
      </c>
      <c r="G12978" t="s">
        <v>37847</v>
      </c>
      <c r="H12978" t="s">
        <v>859</v>
      </c>
      <c r="I12978" t="s">
        <v>860</v>
      </c>
      <c r="J12978" t="str">
        <f>"9280233"</f>
        <v>9280233</v>
      </c>
      <c r="K12978">
        <v>2744063163</v>
      </c>
      <c r="L12978">
        <v>2744063163</v>
      </c>
      <c r="M12978" t="s">
        <v>39178</v>
      </c>
      <c r="N12978" t="s">
        <v>30857</v>
      </c>
      <c r="O12978" t="s">
        <v>39179</v>
      </c>
      <c r="P12978">
        <v>20300</v>
      </c>
      <c r="Q12978" t="str">
        <f>"37.971833"</f>
        <v>37.971833</v>
      </c>
      <c r="R12978" t="str">
        <f>"22.976985"</f>
        <v>22.976985</v>
      </c>
      <c r="S12978" t="s">
        <v>26</v>
      </c>
    </row>
    <row r="12979" spans="1:19" x14ac:dyDescent="0.3">
      <c r="A12979" t="s">
        <v>37529</v>
      </c>
      <c r="B12979" t="s">
        <v>39076</v>
      </c>
      <c r="C12979" t="s">
        <v>39180</v>
      </c>
      <c r="D12979" t="s">
        <v>37544</v>
      </c>
      <c r="E12979" t="s">
        <v>37845</v>
      </c>
      <c r="F12979" t="s">
        <v>37846</v>
      </c>
      <c r="G12979" t="s">
        <v>37847</v>
      </c>
      <c r="H12979" t="s">
        <v>859</v>
      </c>
      <c r="I12979" t="s">
        <v>860</v>
      </c>
      <c r="J12979" t="str">
        <f>"9280013"</f>
        <v>9280013</v>
      </c>
      <c r="K12979">
        <v>2744079506</v>
      </c>
      <c r="L12979">
        <v>2744079506</v>
      </c>
      <c r="M12979" t="s">
        <v>39181</v>
      </c>
      <c r="N12979" t="s">
        <v>39182</v>
      </c>
      <c r="O12979" t="s">
        <v>37851</v>
      </c>
      <c r="P12979">
        <v>20300</v>
      </c>
      <c r="Q12979" t="str">
        <f>"38.030112"</f>
        <v>38.030112</v>
      </c>
      <c r="R12979" t="str">
        <f>"22.948508"</f>
        <v>22.948508</v>
      </c>
      <c r="S12979" t="s">
        <v>26</v>
      </c>
    </row>
    <row r="12980" spans="1:19" x14ac:dyDescent="0.3">
      <c r="A12980" t="s">
        <v>37529</v>
      </c>
      <c r="B12980" t="s">
        <v>39076</v>
      </c>
      <c r="C12980" t="s">
        <v>39183</v>
      </c>
      <c r="D12980" t="s">
        <v>37544</v>
      </c>
      <c r="E12980" t="s">
        <v>37845</v>
      </c>
      <c r="F12980" t="s">
        <v>37846</v>
      </c>
      <c r="G12980" t="s">
        <v>37847</v>
      </c>
      <c r="H12980" t="s">
        <v>859</v>
      </c>
      <c r="I12980" t="s">
        <v>860</v>
      </c>
      <c r="J12980" t="str">
        <f>"9280187"</f>
        <v>9280187</v>
      </c>
      <c r="K12980">
        <v>2744064511</v>
      </c>
      <c r="L12980">
        <v>2744066673</v>
      </c>
      <c r="M12980" t="s">
        <v>39184</v>
      </c>
      <c r="N12980" t="s">
        <v>30854</v>
      </c>
      <c r="O12980" t="s">
        <v>39185</v>
      </c>
      <c r="P12980">
        <v>20300</v>
      </c>
      <c r="Q12980" t="str">
        <f>"37.970079"</f>
        <v>37.970079</v>
      </c>
      <c r="R12980" t="str">
        <f>"22.980888"</f>
        <v>22.980888</v>
      </c>
      <c r="S12980" t="s">
        <v>26</v>
      </c>
    </row>
    <row r="12981" spans="1:19" x14ac:dyDescent="0.3">
      <c r="A12981" t="s">
        <v>37529</v>
      </c>
      <c r="B12981" t="s">
        <v>39076</v>
      </c>
      <c r="C12981" t="s">
        <v>39186</v>
      </c>
      <c r="D12981" t="s">
        <v>37544</v>
      </c>
      <c r="E12981" t="s">
        <v>37845</v>
      </c>
      <c r="F12981" t="s">
        <v>37846</v>
      </c>
      <c r="G12981" t="s">
        <v>37847</v>
      </c>
      <c r="H12981" t="s">
        <v>859</v>
      </c>
      <c r="I12981" t="s">
        <v>860</v>
      </c>
      <c r="J12981" t="str">
        <f>"9280234"</f>
        <v>9280234</v>
      </c>
      <c r="K12981">
        <v>2744063162</v>
      </c>
      <c r="L12981">
        <v>2744063162</v>
      </c>
      <c r="M12981" t="s">
        <v>39187</v>
      </c>
      <c r="N12981" t="s">
        <v>30854</v>
      </c>
      <c r="O12981" t="s">
        <v>39188</v>
      </c>
      <c r="P12981">
        <v>20300</v>
      </c>
      <c r="Q12981" t="str">
        <f>"37.975846"</f>
        <v>37.975846</v>
      </c>
      <c r="R12981" t="str">
        <f>"22.982165"</f>
        <v>22.982165</v>
      </c>
      <c r="S12981" t="s">
        <v>26</v>
      </c>
    </row>
    <row r="12982" spans="1:19" x14ac:dyDescent="0.3">
      <c r="A12982" t="s">
        <v>37529</v>
      </c>
      <c r="B12982" t="s">
        <v>39076</v>
      </c>
      <c r="C12982" t="s">
        <v>39189</v>
      </c>
      <c r="D12982" t="s">
        <v>37544</v>
      </c>
      <c r="E12982" t="s">
        <v>37845</v>
      </c>
      <c r="F12982" t="s">
        <v>37846</v>
      </c>
      <c r="G12982" t="s">
        <v>37847</v>
      </c>
      <c r="H12982" t="s">
        <v>859</v>
      </c>
      <c r="I12982" t="s">
        <v>860</v>
      </c>
      <c r="J12982" t="str">
        <f>"9280012"</f>
        <v>9280012</v>
      </c>
      <c r="K12982">
        <v>2744063168</v>
      </c>
      <c r="L12982">
        <v>2744063168</v>
      </c>
      <c r="M12982" t="s">
        <v>39190</v>
      </c>
      <c r="N12982" t="s">
        <v>30854</v>
      </c>
      <c r="O12982" t="s">
        <v>39191</v>
      </c>
      <c r="P12982">
        <v>20300</v>
      </c>
      <c r="Q12982" t="str">
        <f>"37.977022"</f>
        <v>37.977022</v>
      </c>
      <c r="R12982" t="str">
        <f>"22.980632"</f>
        <v>22.980632</v>
      </c>
      <c r="S12982" t="s">
        <v>26</v>
      </c>
    </row>
    <row r="12983" spans="1:19" x14ac:dyDescent="0.3">
      <c r="A12983" t="s">
        <v>37529</v>
      </c>
      <c r="B12983" t="s">
        <v>39076</v>
      </c>
      <c r="C12983" t="s">
        <v>39193</v>
      </c>
      <c r="D12983" t="s">
        <v>37544</v>
      </c>
      <c r="E12983" t="s">
        <v>37545</v>
      </c>
      <c r="F12983" t="s">
        <v>3997</v>
      </c>
      <c r="G12983" t="s">
        <v>39192</v>
      </c>
      <c r="H12983" t="s">
        <v>859</v>
      </c>
      <c r="I12983" t="s">
        <v>860</v>
      </c>
      <c r="J12983" t="str">
        <f>"9280231"</f>
        <v>9280231</v>
      </c>
      <c r="K12983">
        <v>2741033546</v>
      </c>
      <c r="L12983">
        <v>2741033546</v>
      </c>
      <c r="M12983" t="s">
        <v>39194</v>
      </c>
      <c r="N12983" t="s">
        <v>39195</v>
      </c>
      <c r="O12983" t="s">
        <v>39196</v>
      </c>
      <c r="P12983">
        <v>20100</v>
      </c>
      <c r="Q12983" t="str">
        <f>"37.848244"</f>
        <v>37.848244</v>
      </c>
      <c r="R12983" t="str">
        <f>"22.999814"</f>
        <v>22.999814</v>
      </c>
      <c r="S12983" t="s">
        <v>26</v>
      </c>
    </row>
    <row r="12984" spans="1:19" x14ac:dyDescent="0.3">
      <c r="A12984" t="s">
        <v>37529</v>
      </c>
      <c r="B12984" t="s">
        <v>39076</v>
      </c>
      <c r="C12984" t="s">
        <v>39198</v>
      </c>
      <c r="D12984" t="s">
        <v>37544</v>
      </c>
      <c r="E12984" t="s">
        <v>37895</v>
      </c>
      <c r="F12984" t="s">
        <v>37896</v>
      </c>
      <c r="G12984" t="s">
        <v>39197</v>
      </c>
      <c r="H12984" t="s">
        <v>859</v>
      </c>
      <c r="I12984" t="s">
        <v>860</v>
      </c>
      <c r="J12984" t="str">
        <f>"9280204"</f>
        <v>9280204</v>
      </c>
      <c r="K12984">
        <v>2741053734</v>
      </c>
      <c r="L12984">
        <v>2741053734</v>
      </c>
      <c r="M12984" t="s">
        <v>39199</v>
      </c>
      <c r="N12984" t="s">
        <v>39200</v>
      </c>
      <c r="O12984" t="s">
        <v>39201</v>
      </c>
      <c r="P12984">
        <v>20006</v>
      </c>
      <c r="Q12984" t="str">
        <f>"37.950221"</f>
        <v>37.950221</v>
      </c>
      <c r="R12984" t="str">
        <f>"22.795267"</f>
        <v>22.795267</v>
      </c>
      <c r="S12984" t="s">
        <v>26</v>
      </c>
    </row>
    <row r="12985" spans="1:19" x14ac:dyDescent="0.3">
      <c r="A12985" t="s">
        <v>37529</v>
      </c>
      <c r="B12985" t="s">
        <v>39076</v>
      </c>
      <c r="C12985" t="s">
        <v>39202</v>
      </c>
      <c r="D12985" t="s">
        <v>37544</v>
      </c>
      <c r="E12985" t="s">
        <v>37895</v>
      </c>
      <c r="F12985" t="s">
        <v>37896</v>
      </c>
      <c r="G12985" t="s">
        <v>37897</v>
      </c>
      <c r="H12985" t="s">
        <v>859</v>
      </c>
      <c r="I12985" t="s">
        <v>860</v>
      </c>
      <c r="J12985" t="str">
        <f>"9280032"</f>
        <v>9280032</v>
      </c>
      <c r="K12985">
        <v>2741055330</v>
      </c>
      <c r="L12985">
        <v>2741055330</v>
      </c>
      <c r="M12985" t="s">
        <v>39203</v>
      </c>
      <c r="N12985" t="s">
        <v>37897</v>
      </c>
      <c r="O12985" t="s">
        <v>39204</v>
      </c>
      <c r="P12985">
        <v>20006</v>
      </c>
      <c r="Q12985" t="str">
        <f>"37.958222"</f>
        <v>37.958222</v>
      </c>
      <c r="R12985" t="str">
        <f>"22.804515"</f>
        <v>22.804515</v>
      </c>
      <c r="S12985" t="s">
        <v>26</v>
      </c>
    </row>
    <row r="12986" spans="1:19" x14ac:dyDescent="0.3">
      <c r="A12986" t="s">
        <v>37529</v>
      </c>
      <c r="B12986" t="s">
        <v>39076</v>
      </c>
      <c r="C12986" t="s">
        <v>39205</v>
      </c>
      <c r="D12986" t="s">
        <v>37544</v>
      </c>
      <c r="E12986" t="s">
        <v>37845</v>
      </c>
      <c r="F12986" t="s">
        <v>22748</v>
      </c>
      <c r="G12986" t="s">
        <v>22748</v>
      </c>
      <c r="H12986" t="s">
        <v>859</v>
      </c>
      <c r="I12986" t="s">
        <v>860</v>
      </c>
      <c r="J12986" t="str">
        <f>"9280022"</f>
        <v>9280022</v>
      </c>
      <c r="K12986">
        <v>2741068260</v>
      </c>
      <c r="L12986">
        <v>2741068260</v>
      </c>
      <c r="M12986" t="s">
        <v>39206</v>
      </c>
      <c r="N12986" t="s">
        <v>39207</v>
      </c>
      <c r="O12986" t="s">
        <v>39208</v>
      </c>
      <c r="P12986">
        <v>20003</v>
      </c>
      <c r="Q12986" t="str">
        <f>"37.929034"</f>
        <v>37.929034</v>
      </c>
      <c r="R12986" t="str">
        <f>"23.142356"</f>
        <v>23.142356</v>
      </c>
      <c r="S12986" t="s">
        <v>26</v>
      </c>
    </row>
    <row r="12987" spans="1:19" x14ac:dyDescent="0.3">
      <c r="A12987" t="s">
        <v>37529</v>
      </c>
      <c r="B12987" t="s">
        <v>39076</v>
      </c>
      <c r="C12987" t="s">
        <v>39209</v>
      </c>
      <c r="D12987" t="s">
        <v>37544</v>
      </c>
      <c r="E12987" t="s">
        <v>37845</v>
      </c>
      <c r="F12987" t="s">
        <v>22748</v>
      </c>
      <c r="G12987" t="s">
        <v>22748</v>
      </c>
      <c r="H12987" t="s">
        <v>859</v>
      </c>
      <c r="I12987" t="s">
        <v>860</v>
      </c>
      <c r="J12987" t="str">
        <f>"9280242"</f>
        <v>9280242</v>
      </c>
      <c r="K12987">
        <v>2741067000</v>
      </c>
      <c r="L12987">
        <v>2741061081</v>
      </c>
      <c r="M12987" t="s">
        <v>39210</v>
      </c>
      <c r="N12987" t="s">
        <v>22748</v>
      </c>
      <c r="O12987" t="s">
        <v>39211</v>
      </c>
      <c r="P12987">
        <v>20003</v>
      </c>
      <c r="Q12987" t="str">
        <f>"37.929397"</f>
        <v>37.929397</v>
      </c>
      <c r="R12987" t="str">
        <f>"23.135264"</f>
        <v>23.135264</v>
      </c>
      <c r="S12987" t="s">
        <v>26</v>
      </c>
    </row>
    <row r="12988" spans="1:19" x14ac:dyDescent="0.3">
      <c r="A12988" t="s">
        <v>37529</v>
      </c>
      <c r="B12988" t="s">
        <v>39076</v>
      </c>
      <c r="C12988" t="s">
        <v>39212</v>
      </c>
      <c r="D12988" t="s">
        <v>37544</v>
      </c>
      <c r="E12988" t="s">
        <v>37869</v>
      </c>
      <c r="F12988" t="s">
        <v>37869</v>
      </c>
      <c r="G12988" t="s">
        <v>37869</v>
      </c>
      <c r="H12988" t="s">
        <v>859</v>
      </c>
      <c r="I12988" t="s">
        <v>860</v>
      </c>
      <c r="J12988" t="str">
        <f>"9280053"</f>
        <v>9280053</v>
      </c>
      <c r="K12988">
        <v>2746023480</v>
      </c>
      <c r="L12988">
        <v>2746023480</v>
      </c>
      <c r="M12988" t="s">
        <v>39213</v>
      </c>
      <c r="N12988" t="s">
        <v>37869</v>
      </c>
      <c r="O12988" t="s">
        <v>39214</v>
      </c>
      <c r="P12988">
        <v>20500</v>
      </c>
      <c r="Q12988" t="str">
        <f>"37.816287"</f>
        <v>37.816287</v>
      </c>
      <c r="R12988" t="str">
        <f>"22.666132"</f>
        <v>22.666132</v>
      </c>
      <c r="S12988" t="s">
        <v>26</v>
      </c>
    </row>
    <row r="12989" spans="1:19" x14ac:dyDescent="0.3">
      <c r="A12989" t="s">
        <v>37529</v>
      </c>
      <c r="B12989" t="s">
        <v>39076</v>
      </c>
      <c r="C12989" t="s">
        <v>39216</v>
      </c>
      <c r="D12989" t="s">
        <v>37544</v>
      </c>
      <c r="E12989" t="s">
        <v>37869</v>
      </c>
      <c r="F12989" t="s">
        <v>37869</v>
      </c>
      <c r="G12989" t="s">
        <v>37869</v>
      </c>
      <c r="H12989" t="s">
        <v>859</v>
      </c>
      <c r="I12989" t="s">
        <v>860</v>
      </c>
      <c r="J12989" t="str">
        <f>"9280180"</f>
        <v>9280180</v>
      </c>
      <c r="K12989">
        <v>2746023423</v>
      </c>
      <c r="L12989">
        <v>2746023423</v>
      </c>
      <c r="M12989" t="s">
        <v>39217</v>
      </c>
      <c r="N12989" t="s">
        <v>37869</v>
      </c>
      <c r="O12989" t="s">
        <v>39218</v>
      </c>
      <c r="P12989">
        <v>20500</v>
      </c>
      <c r="Q12989" t="str">
        <f>"37.824465"</f>
        <v>37.824465</v>
      </c>
      <c r="R12989" t="str">
        <f>"22.657918"</f>
        <v>22.657918</v>
      </c>
      <c r="S12989" t="s">
        <v>26</v>
      </c>
    </row>
    <row r="12990" spans="1:19" x14ac:dyDescent="0.3">
      <c r="A12990" t="s">
        <v>37529</v>
      </c>
      <c r="B12990" t="s">
        <v>39076</v>
      </c>
      <c r="C12990" t="s">
        <v>39219</v>
      </c>
      <c r="D12990" t="s">
        <v>37544</v>
      </c>
      <c r="E12990" t="s">
        <v>37895</v>
      </c>
      <c r="F12990" t="s">
        <v>37896</v>
      </c>
      <c r="G12990" t="s">
        <v>37945</v>
      </c>
      <c r="H12990" t="s">
        <v>859</v>
      </c>
      <c r="I12990" t="s">
        <v>860</v>
      </c>
      <c r="J12990" t="str">
        <f>"9280162"</f>
        <v>9280162</v>
      </c>
      <c r="K12990">
        <v>2741055372</v>
      </c>
      <c r="L12990">
        <v>2741055372</v>
      </c>
      <c r="M12990" t="s">
        <v>39220</v>
      </c>
      <c r="N12990" t="s">
        <v>37945</v>
      </c>
      <c r="O12990" t="s">
        <v>38067</v>
      </c>
      <c r="P12990">
        <v>20001</v>
      </c>
      <c r="Q12990" t="str">
        <f>"37.936848"</f>
        <v>37.936848</v>
      </c>
      <c r="R12990" t="str">
        <f>"22.799866"</f>
        <v>22.799866</v>
      </c>
      <c r="S12990" t="s">
        <v>26</v>
      </c>
    </row>
    <row r="12991" spans="1:19" x14ac:dyDescent="0.3">
      <c r="A12991" t="s">
        <v>37529</v>
      </c>
      <c r="B12991" t="s">
        <v>39076</v>
      </c>
      <c r="C12991" t="s">
        <v>39221</v>
      </c>
      <c r="D12991" t="s">
        <v>37544</v>
      </c>
      <c r="E12991" t="s">
        <v>37895</v>
      </c>
      <c r="F12991" t="s">
        <v>37896</v>
      </c>
      <c r="G12991" t="s">
        <v>37945</v>
      </c>
      <c r="H12991" t="s">
        <v>859</v>
      </c>
      <c r="I12991" t="s">
        <v>860</v>
      </c>
      <c r="J12991" t="str">
        <f>"9280232"</f>
        <v>9280232</v>
      </c>
      <c r="K12991">
        <v>2741054914</v>
      </c>
      <c r="M12991" t="s">
        <v>39222</v>
      </c>
      <c r="N12991" t="s">
        <v>38885</v>
      </c>
      <c r="O12991" t="s">
        <v>38067</v>
      </c>
      <c r="P12991">
        <v>20001</v>
      </c>
      <c r="Q12991" t="str">
        <f>"37.936849"</f>
        <v>37.936849</v>
      </c>
      <c r="R12991" t="str">
        <f>"22.799810"</f>
        <v>22.799810</v>
      </c>
      <c r="S12991" t="s">
        <v>26</v>
      </c>
    </row>
    <row r="12992" spans="1:19" x14ac:dyDescent="0.3">
      <c r="A12992" t="s">
        <v>37529</v>
      </c>
      <c r="B12992" t="s">
        <v>39076</v>
      </c>
      <c r="C12992" t="s">
        <v>39223</v>
      </c>
      <c r="D12992" t="s">
        <v>37544</v>
      </c>
      <c r="E12992" t="s">
        <v>37545</v>
      </c>
      <c r="F12992" t="s">
        <v>37980</v>
      </c>
      <c r="G12992" t="s">
        <v>37981</v>
      </c>
      <c r="H12992" t="s">
        <v>859</v>
      </c>
      <c r="I12992" t="s">
        <v>860</v>
      </c>
      <c r="J12992" t="str">
        <f>"9280167"</f>
        <v>9280167</v>
      </c>
      <c r="K12992">
        <v>2741087670</v>
      </c>
      <c r="L12992">
        <v>2741087670</v>
      </c>
      <c r="M12992" t="s">
        <v>39224</v>
      </c>
      <c r="N12992" t="s">
        <v>37981</v>
      </c>
      <c r="O12992" t="s">
        <v>39225</v>
      </c>
      <c r="P12992">
        <v>20011</v>
      </c>
      <c r="Q12992" t="str">
        <f>"37.933349"</f>
        <v>37.933349</v>
      </c>
      <c r="R12992" t="str">
        <f>"22.849307"</f>
        <v>22.849307</v>
      </c>
      <c r="S12992" t="s">
        <v>26</v>
      </c>
    </row>
    <row r="12993" spans="1:19" x14ac:dyDescent="0.3">
      <c r="A12993" t="s">
        <v>37529</v>
      </c>
      <c r="B12993" t="s">
        <v>39076</v>
      </c>
      <c r="C12993" t="s">
        <v>39252</v>
      </c>
      <c r="D12993" t="s">
        <v>37544</v>
      </c>
      <c r="E12993" t="s">
        <v>37545</v>
      </c>
      <c r="F12993" t="s">
        <v>37858</v>
      </c>
      <c r="G12993" t="s">
        <v>39251</v>
      </c>
      <c r="H12993" t="s">
        <v>859</v>
      </c>
      <c r="I12993" t="s">
        <v>860</v>
      </c>
      <c r="J12993" t="str">
        <f>"9280249"</f>
        <v>9280249</v>
      </c>
      <c r="K12993">
        <v>2741098771</v>
      </c>
      <c r="L12993">
        <v>2741098771</v>
      </c>
      <c r="M12993" t="s">
        <v>39253</v>
      </c>
      <c r="N12993" t="s">
        <v>39254</v>
      </c>
      <c r="O12993" t="s">
        <v>39254</v>
      </c>
      <c r="P12993">
        <v>20008</v>
      </c>
      <c r="Q12993" t="str">
        <f>"37.848113"</f>
        <v>37.848113</v>
      </c>
      <c r="R12993" t="str">
        <f>"22.803708"</f>
        <v>22.803708</v>
      </c>
      <c r="S12993" t="s">
        <v>26</v>
      </c>
    </row>
    <row r="12994" spans="1:19" x14ac:dyDescent="0.3">
      <c r="A12994" t="s">
        <v>37529</v>
      </c>
      <c r="B12994" t="s">
        <v>39076</v>
      </c>
      <c r="C12994" t="s">
        <v>39307</v>
      </c>
      <c r="D12994" t="s">
        <v>37544</v>
      </c>
      <c r="E12994" t="s">
        <v>37895</v>
      </c>
      <c r="F12994" t="s">
        <v>37939</v>
      </c>
      <c r="G12994" t="s">
        <v>37939</v>
      </c>
      <c r="H12994" t="s">
        <v>859</v>
      </c>
      <c r="I12994" t="s">
        <v>860</v>
      </c>
      <c r="J12994" t="str">
        <f>"9280219"</f>
        <v>9280219</v>
      </c>
      <c r="K12994">
        <v>2742033666</v>
      </c>
      <c r="L12994">
        <v>2742033666</v>
      </c>
      <c r="M12994" t="s">
        <v>39308</v>
      </c>
      <c r="N12994" t="s">
        <v>37939</v>
      </c>
      <c r="O12994" t="s">
        <v>39309</v>
      </c>
      <c r="P12994">
        <v>20002</v>
      </c>
      <c r="Q12994" t="str">
        <f>"37.972981"</f>
        <v>37.972981</v>
      </c>
      <c r="R12994" t="str">
        <f>"22.764273"</f>
        <v>22.764273</v>
      </c>
      <c r="S12994" t="s">
        <v>26</v>
      </c>
    </row>
    <row r="12995" spans="1:19" x14ac:dyDescent="0.3">
      <c r="A12995" t="s">
        <v>37529</v>
      </c>
      <c r="B12995" t="s">
        <v>39076</v>
      </c>
      <c r="C12995" t="s">
        <v>39310</v>
      </c>
      <c r="D12995" t="s">
        <v>37544</v>
      </c>
      <c r="E12995" t="s">
        <v>37922</v>
      </c>
      <c r="F12995" t="s">
        <v>37922</v>
      </c>
      <c r="G12995" t="s">
        <v>37923</v>
      </c>
      <c r="H12995" t="s">
        <v>859</v>
      </c>
      <c r="I12995" t="s">
        <v>860</v>
      </c>
      <c r="J12995" t="str">
        <f>"9280072"</f>
        <v>9280072</v>
      </c>
      <c r="K12995">
        <v>2742306732</v>
      </c>
      <c r="L12995">
        <v>2742306732</v>
      </c>
      <c r="M12995" t="s">
        <v>39311</v>
      </c>
      <c r="N12995" t="s">
        <v>37960</v>
      </c>
      <c r="O12995" t="s">
        <v>39312</v>
      </c>
      <c r="P12995">
        <v>20200</v>
      </c>
      <c r="Q12995" t="str">
        <f>"38.017312"</f>
        <v>38.017312</v>
      </c>
      <c r="R12995" t="str">
        <f>"22.742548"</f>
        <v>22.742548</v>
      </c>
      <c r="S12995" t="s">
        <v>26</v>
      </c>
    </row>
    <row r="12996" spans="1:19" x14ac:dyDescent="0.3">
      <c r="A12996" t="s">
        <v>37529</v>
      </c>
      <c r="B12996" t="s">
        <v>39076</v>
      </c>
      <c r="C12996" t="s">
        <v>39313</v>
      </c>
      <c r="D12996" t="s">
        <v>37544</v>
      </c>
      <c r="E12996" t="s">
        <v>37875</v>
      </c>
      <c r="F12996" t="s">
        <v>37876</v>
      </c>
      <c r="G12996" t="s">
        <v>37876</v>
      </c>
      <c r="H12996" t="s">
        <v>859</v>
      </c>
      <c r="I12996" t="s">
        <v>860</v>
      </c>
      <c r="J12996" t="str">
        <f>"9280236"</f>
        <v>9280236</v>
      </c>
      <c r="K12996">
        <v>2743024200</v>
      </c>
      <c r="L12996">
        <v>2743024200</v>
      </c>
      <c r="M12996" t="s">
        <v>39314</v>
      </c>
      <c r="N12996" t="s">
        <v>37876</v>
      </c>
      <c r="O12996" t="s">
        <v>39315</v>
      </c>
      <c r="P12996">
        <v>20400</v>
      </c>
      <c r="Q12996" t="str">
        <f>"38.075777"</f>
        <v>38.075777</v>
      </c>
      <c r="R12996" t="str">
        <f>"22.630540"</f>
        <v>22.630540</v>
      </c>
      <c r="S12996" t="s">
        <v>26</v>
      </c>
    </row>
    <row r="12997" spans="1:19" x14ac:dyDescent="0.3">
      <c r="A12997" t="s">
        <v>37529</v>
      </c>
      <c r="B12997" t="s">
        <v>39076</v>
      </c>
      <c r="C12997" t="s">
        <v>39316</v>
      </c>
      <c r="D12997" t="s">
        <v>37544</v>
      </c>
      <c r="E12997" t="s">
        <v>37922</v>
      </c>
      <c r="F12997" t="s">
        <v>37922</v>
      </c>
      <c r="G12997" t="s">
        <v>37923</v>
      </c>
      <c r="H12997" t="s">
        <v>859</v>
      </c>
      <c r="I12997" t="s">
        <v>860</v>
      </c>
      <c r="J12997" t="str">
        <f>"9280206"</f>
        <v>9280206</v>
      </c>
      <c r="K12997">
        <v>2742025880</v>
      </c>
      <c r="L12997">
        <v>2742025880</v>
      </c>
      <c r="M12997" t="s">
        <v>39317</v>
      </c>
      <c r="N12997" t="s">
        <v>37960</v>
      </c>
      <c r="O12997" t="s">
        <v>37923</v>
      </c>
      <c r="P12997">
        <v>20200</v>
      </c>
      <c r="Q12997" t="str">
        <f>"38.004970"</f>
        <v>38.004970</v>
      </c>
      <c r="R12997" t="str">
        <f>"22.740690"</f>
        <v>22.740690</v>
      </c>
      <c r="S12997" t="s">
        <v>26</v>
      </c>
    </row>
    <row r="12998" spans="1:19" x14ac:dyDescent="0.3">
      <c r="A12998" t="s">
        <v>37529</v>
      </c>
      <c r="B12998" t="s">
        <v>39076</v>
      </c>
      <c r="C12998" t="s">
        <v>39318</v>
      </c>
      <c r="D12998" t="s">
        <v>37544</v>
      </c>
      <c r="E12998" t="s">
        <v>37922</v>
      </c>
      <c r="F12998" t="s">
        <v>37922</v>
      </c>
      <c r="G12998" t="s">
        <v>37923</v>
      </c>
      <c r="H12998" t="s">
        <v>859</v>
      </c>
      <c r="I12998" t="s">
        <v>860</v>
      </c>
      <c r="J12998" t="str">
        <f>"9280210"</f>
        <v>9280210</v>
      </c>
      <c r="K12998">
        <v>2742024636</v>
      </c>
      <c r="L12998">
        <v>2742024636</v>
      </c>
      <c r="M12998" t="s">
        <v>39319</v>
      </c>
      <c r="N12998" t="s">
        <v>37960</v>
      </c>
      <c r="O12998" t="s">
        <v>39320</v>
      </c>
      <c r="P12998">
        <v>20200</v>
      </c>
      <c r="Q12998" t="str">
        <f>"38.014735"</f>
        <v>38.014735</v>
      </c>
      <c r="R12998" t="str">
        <f>"22.741927"</f>
        <v>22.741927</v>
      </c>
      <c r="S12998" t="s">
        <v>26</v>
      </c>
    </row>
    <row r="12999" spans="1:19" x14ac:dyDescent="0.3">
      <c r="A12999" t="s">
        <v>37529</v>
      </c>
      <c r="B12999" t="s">
        <v>39076</v>
      </c>
      <c r="C12999" t="s">
        <v>39321</v>
      </c>
      <c r="D12999" t="s">
        <v>37544</v>
      </c>
      <c r="E12999" t="s">
        <v>37922</v>
      </c>
      <c r="F12999" t="s">
        <v>37922</v>
      </c>
      <c r="G12999" t="s">
        <v>37923</v>
      </c>
      <c r="H12999" t="s">
        <v>859</v>
      </c>
      <c r="I12999" t="s">
        <v>860</v>
      </c>
      <c r="J12999" t="str">
        <f>"9280218"</f>
        <v>9280218</v>
      </c>
      <c r="K12999">
        <v>2742028586</v>
      </c>
      <c r="L12999">
        <v>2742028586</v>
      </c>
      <c r="M12999" t="s">
        <v>39322</v>
      </c>
      <c r="N12999" t="s">
        <v>37960</v>
      </c>
      <c r="O12999" t="s">
        <v>39323</v>
      </c>
      <c r="P12999">
        <v>20200</v>
      </c>
      <c r="Q12999" t="str">
        <f>"38.005015"</f>
        <v>38.005015</v>
      </c>
      <c r="R12999" t="str">
        <f>"22.747272"</f>
        <v>22.747272</v>
      </c>
      <c r="S12999" t="s">
        <v>26</v>
      </c>
    </row>
    <row r="13000" spans="1:19" x14ac:dyDescent="0.3">
      <c r="A13000" t="s">
        <v>37529</v>
      </c>
      <c r="B13000" t="s">
        <v>39076</v>
      </c>
      <c r="C13000" t="s">
        <v>39324</v>
      </c>
      <c r="D13000" t="s">
        <v>37544</v>
      </c>
      <c r="E13000" t="s">
        <v>37875</v>
      </c>
      <c r="F13000" t="s">
        <v>37876</v>
      </c>
      <c r="G13000" t="s">
        <v>37876</v>
      </c>
      <c r="H13000" t="s">
        <v>859</v>
      </c>
      <c r="I13000" t="s">
        <v>860</v>
      </c>
      <c r="J13000" t="str">
        <f>"9280199"</f>
        <v>9280199</v>
      </c>
      <c r="K13000">
        <v>2743023757</v>
      </c>
      <c r="L13000">
        <v>2743023757</v>
      </c>
      <c r="M13000" t="s">
        <v>39325</v>
      </c>
      <c r="N13000" t="s">
        <v>37876</v>
      </c>
      <c r="O13000" t="s">
        <v>39326</v>
      </c>
      <c r="P13000">
        <v>20400</v>
      </c>
      <c r="Q13000" t="str">
        <f>"38.080166"</f>
        <v>38.080166</v>
      </c>
      <c r="R13000" t="str">
        <f>"22.617000"</f>
        <v>22.617000</v>
      </c>
      <c r="S13000" t="s">
        <v>26</v>
      </c>
    </row>
    <row r="13001" spans="1:19" x14ac:dyDescent="0.3">
      <c r="A13001" t="s">
        <v>37529</v>
      </c>
      <c r="B13001" t="s">
        <v>39076</v>
      </c>
      <c r="C13001" t="s">
        <v>39327</v>
      </c>
      <c r="D13001" t="s">
        <v>37544</v>
      </c>
      <c r="E13001" t="s">
        <v>37922</v>
      </c>
      <c r="F13001" t="s">
        <v>37922</v>
      </c>
      <c r="G13001" t="s">
        <v>37923</v>
      </c>
      <c r="H13001" t="s">
        <v>859</v>
      </c>
      <c r="I13001" t="s">
        <v>860</v>
      </c>
      <c r="J13001" t="str">
        <f>"9280070"</f>
        <v>9280070</v>
      </c>
      <c r="K13001">
        <v>2742025526</v>
      </c>
      <c r="M13001" t="s">
        <v>39328</v>
      </c>
      <c r="N13001" t="s">
        <v>37960</v>
      </c>
      <c r="O13001" t="s">
        <v>39329</v>
      </c>
      <c r="P13001">
        <v>20200</v>
      </c>
      <c r="Q13001" t="str">
        <f>"38.002321"</f>
        <v>38.002321</v>
      </c>
      <c r="R13001" t="str">
        <f>"22.760284"</f>
        <v>22.760284</v>
      </c>
      <c r="S13001" t="s">
        <v>26</v>
      </c>
    </row>
    <row r="13002" spans="1:19" x14ac:dyDescent="0.3">
      <c r="A13002" t="s">
        <v>37529</v>
      </c>
      <c r="B13002" t="s">
        <v>39076</v>
      </c>
      <c r="C13002" t="s">
        <v>39330</v>
      </c>
      <c r="D13002" t="s">
        <v>37544</v>
      </c>
      <c r="E13002" t="s">
        <v>37895</v>
      </c>
      <c r="F13002" t="s">
        <v>37939</v>
      </c>
      <c r="G13002" t="s">
        <v>37939</v>
      </c>
      <c r="H13002" t="s">
        <v>859</v>
      </c>
      <c r="I13002" t="s">
        <v>860</v>
      </c>
      <c r="J13002" t="str">
        <f>"9280171"</f>
        <v>9280171</v>
      </c>
      <c r="K13002">
        <v>2742033630</v>
      </c>
      <c r="L13002">
        <v>2742033630</v>
      </c>
      <c r="M13002" t="s">
        <v>39331</v>
      </c>
      <c r="N13002" t="s">
        <v>37939</v>
      </c>
      <c r="O13002" t="s">
        <v>39332</v>
      </c>
      <c r="P13002">
        <v>20002</v>
      </c>
      <c r="Q13002" t="str">
        <f>"37.975321"</f>
        <v>37.975321</v>
      </c>
      <c r="R13002" t="str">
        <f>"22.757718"</f>
        <v>22.757718</v>
      </c>
      <c r="S13002" t="s">
        <v>26</v>
      </c>
    </row>
    <row r="13003" spans="1:19" x14ac:dyDescent="0.3">
      <c r="A13003" t="s">
        <v>37529</v>
      </c>
      <c r="B13003" t="s">
        <v>39076</v>
      </c>
      <c r="C13003" t="s">
        <v>39336</v>
      </c>
      <c r="D13003" t="s">
        <v>37544</v>
      </c>
      <c r="E13003" t="s">
        <v>37875</v>
      </c>
      <c r="F13003" t="s">
        <v>37876</v>
      </c>
      <c r="G13003" t="s">
        <v>39335</v>
      </c>
      <c r="H13003" t="s">
        <v>859</v>
      </c>
      <c r="I13003" t="s">
        <v>860</v>
      </c>
      <c r="J13003" t="str">
        <f>"9280193"</f>
        <v>9280193</v>
      </c>
      <c r="K13003">
        <v>2743041378</v>
      </c>
      <c r="L13003">
        <v>2743041378</v>
      </c>
      <c r="M13003" t="s">
        <v>39337</v>
      </c>
      <c r="O13003" t="s">
        <v>39338</v>
      </c>
      <c r="P13003">
        <v>20400</v>
      </c>
      <c r="Q13003" t="str">
        <f>"38.106615"</f>
        <v>38.106615</v>
      </c>
      <c r="R13003" t="str">
        <f>"22.538139"</f>
        <v>22.538139</v>
      </c>
      <c r="S13003" t="s">
        <v>26</v>
      </c>
    </row>
    <row r="13004" spans="1:19" x14ac:dyDescent="0.3">
      <c r="A13004" t="s">
        <v>37529</v>
      </c>
      <c r="B13004" t="s">
        <v>39076</v>
      </c>
      <c r="C13004" t="s">
        <v>39340</v>
      </c>
      <c r="D13004" t="s">
        <v>37544</v>
      </c>
      <c r="E13004" t="s">
        <v>37922</v>
      </c>
      <c r="F13004" t="s">
        <v>37922</v>
      </c>
      <c r="G13004" t="s">
        <v>39339</v>
      </c>
      <c r="H13004" t="s">
        <v>859</v>
      </c>
      <c r="I13004" t="s">
        <v>860</v>
      </c>
      <c r="J13004" t="str">
        <f>"9280244"</f>
        <v>9280244</v>
      </c>
      <c r="K13004">
        <v>2742041433</v>
      </c>
      <c r="L13004">
        <v>2742041433</v>
      </c>
      <c r="M13004" t="s">
        <v>39341</v>
      </c>
      <c r="N13004" t="s">
        <v>39339</v>
      </c>
      <c r="O13004" t="s">
        <v>39342</v>
      </c>
      <c r="P13004">
        <v>20200</v>
      </c>
      <c r="Q13004" t="str">
        <f>"38.007981"</f>
        <v>38.007981</v>
      </c>
      <c r="R13004" t="str">
        <f>"22.647857"</f>
        <v>22.647857</v>
      </c>
      <c r="S13004" t="s">
        <v>26</v>
      </c>
    </row>
    <row r="13005" spans="1:19" x14ac:dyDescent="0.3">
      <c r="A13005" t="s">
        <v>37529</v>
      </c>
      <c r="B13005" t="s">
        <v>39076</v>
      </c>
      <c r="C13005" t="s">
        <v>39344</v>
      </c>
      <c r="D13005" t="s">
        <v>37544</v>
      </c>
      <c r="E13005" t="s">
        <v>37875</v>
      </c>
      <c r="F13005" t="s">
        <v>37876</v>
      </c>
      <c r="G13005" t="s">
        <v>39343</v>
      </c>
      <c r="H13005" t="s">
        <v>859</v>
      </c>
      <c r="I13005" t="s">
        <v>860</v>
      </c>
      <c r="J13005" t="str">
        <f>"9280248"</f>
        <v>9280248</v>
      </c>
      <c r="K13005">
        <v>2743071249</v>
      </c>
      <c r="L13005">
        <v>2743071249</v>
      </c>
      <c r="M13005" t="s">
        <v>39345</v>
      </c>
      <c r="N13005" t="s">
        <v>39346</v>
      </c>
      <c r="O13005" t="s">
        <v>39347</v>
      </c>
      <c r="P13005">
        <v>20400</v>
      </c>
      <c r="Q13005" t="str">
        <f>"38.045771"</f>
        <v>38.045771</v>
      </c>
      <c r="R13005" t="str">
        <f>"22.586833"</f>
        <v>22.586833</v>
      </c>
      <c r="S13005" t="s">
        <v>26</v>
      </c>
    </row>
    <row r="13006" spans="1:19" x14ac:dyDescent="0.3">
      <c r="A13006" t="s">
        <v>37529</v>
      </c>
      <c r="B13006" t="s">
        <v>39076</v>
      </c>
      <c r="C13006" t="s">
        <v>39349</v>
      </c>
      <c r="D13006" t="s">
        <v>37544</v>
      </c>
      <c r="E13006" t="s">
        <v>37895</v>
      </c>
      <c r="F13006" t="s">
        <v>37939</v>
      </c>
      <c r="G13006" t="s">
        <v>39348</v>
      </c>
      <c r="H13006" t="s">
        <v>859</v>
      </c>
      <c r="I13006" t="s">
        <v>860</v>
      </c>
      <c r="J13006" t="str">
        <f>"9280189"</f>
        <v>9280189</v>
      </c>
      <c r="K13006">
        <v>2742033800</v>
      </c>
      <c r="L13006">
        <v>2742033800</v>
      </c>
      <c r="M13006" t="s">
        <v>39350</v>
      </c>
      <c r="N13006" t="s">
        <v>39348</v>
      </c>
      <c r="O13006" t="s">
        <v>39351</v>
      </c>
      <c r="P13006">
        <v>20002</v>
      </c>
      <c r="Q13006" t="str">
        <f>"37.969525"</f>
        <v>37.969525</v>
      </c>
      <c r="R13006" t="str">
        <f>"22.777804"</f>
        <v>22.777804</v>
      </c>
      <c r="S13006" t="s">
        <v>26</v>
      </c>
    </row>
    <row r="13007" spans="1:19" x14ac:dyDescent="0.3">
      <c r="A13007" t="s">
        <v>37529</v>
      </c>
      <c r="B13007" t="s">
        <v>39076</v>
      </c>
      <c r="C13007" t="s">
        <v>39353</v>
      </c>
      <c r="D13007" t="s">
        <v>37544</v>
      </c>
      <c r="E13007" t="s">
        <v>37922</v>
      </c>
      <c r="F13007" t="s">
        <v>38039</v>
      </c>
      <c r="G13007" t="s">
        <v>39352</v>
      </c>
      <c r="H13007" t="s">
        <v>859</v>
      </c>
      <c r="I13007" t="s">
        <v>860</v>
      </c>
      <c r="J13007" t="str">
        <f>"9280221"</f>
        <v>9280221</v>
      </c>
      <c r="K13007">
        <v>2747022119</v>
      </c>
      <c r="L13007">
        <v>2747022119</v>
      </c>
      <c r="M13007" t="s">
        <v>39354</v>
      </c>
      <c r="N13007" t="s">
        <v>39352</v>
      </c>
      <c r="O13007" t="s">
        <v>39355</v>
      </c>
      <c r="P13007">
        <v>20500</v>
      </c>
      <c r="Q13007" t="str">
        <f>"37.857978"</f>
        <v>37.857978</v>
      </c>
      <c r="R13007" t="str">
        <f>"22.521985"</f>
        <v>22.521985</v>
      </c>
      <c r="S13007" t="s">
        <v>26</v>
      </c>
    </row>
    <row r="13008" spans="1:19" x14ac:dyDescent="0.3">
      <c r="A13008" t="s">
        <v>37529</v>
      </c>
      <c r="B13008" t="s">
        <v>39076</v>
      </c>
      <c r="C13008" t="s">
        <v>39357</v>
      </c>
      <c r="D13008" t="s">
        <v>37544</v>
      </c>
      <c r="E13008" t="s">
        <v>37875</v>
      </c>
      <c r="F13008" t="s">
        <v>37929</v>
      </c>
      <c r="G13008" t="s">
        <v>39356</v>
      </c>
      <c r="H13008" t="s">
        <v>859</v>
      </c>
      <c r="I13008" t="s">
        <v>860</v>
      </c>
      <c r="J13008" t="str">
        <f>"9280182"</f>
        <v>9280182</v>
      </c>
      <c r="K13008">
        <v>2743052021</v>
      </c>
      <c r="L13008">
        <v>2743051433</v>
      </c>
      <c r="M13008" t="s">
        <v>39358</v>
      </c>
      <c r="N13008" t="s">
        <v>39356</v>
      </c>
      <c r="O13008" t="s">
        <v>39359</v>
      </c>
      <c r="P13008">
        <v>20009</v>
      </c>
      <c r="Q13008" t="str">
        <f>"38.129831"</f>
        <v>38.129831</v>
      </c>
      <c r="R13008" t="str">
        <f>"22.503074"</f>
        <v>22.503074</v>
      </c>
      <c r="S13008" t="s">
        <v>26</v>
      </c>
    </row>
    <row r="13009" spans="1:19" x14ac:dyDescent="0.3">
      <c r="A13009" t="s">
        <v>37529</v>
      </c>
      <c r="B13009" t="s">
        <v>39076</v>
      </c>
      <c r="C13009" t="s">
        <v>39361</v>
      </c>
      <c r="D13009" t="s">
        <v>37544</v>
      </c>
      <c r="E13009" t="s">
        <v>37875</v>
      </c>
      <c r="F13009" t="s">
        <v>37929</v>
      </c>
      <c r="G13009" t="s">
        <v>39360</v>
      </c>
      <c r="H13009" t="s">
        <v>859</v>
      </c>
      <c r="I13009" t="s">
        <v>860</v>
      </c>
      <c r="J13009" t="str">
        <f>"9280214"</f>
        <v>9280214</v>
      </c>
      <c r="K13009">
        <v>2743030027</v>
      </c>
      <c r="L13009">
        <v>2743030027</v>
      </c>
      <c r="M13009" t="s">
        <v>39362</v>
      </c>
      <c r="N13009" t="s">
        <v>39363</v>
      </c>
      <c r="O13009" t="s">
        <v>39364</v>
      </c>
      <c r="P13009">
        <v>20009</v>
      </c>
      <c r="Q13009" t="str">
        <f>"38.128916"</f>
        <v>38.128916</v>
      </c>
      <c r="R13009" t="str">
        <f>"22.449265"</f>
        <v>22.449265</v>
      </c>
      <c r="S13009" t="s">
        <v>26</v>
      </c>
    </row>
    <row r="13010" spans="1:19" x14ac:dyDescent="0.3">
      <c r="A13010" t="s">
        <v>37529</v>
      </c>
      <c r="B13010" t="s">
        <v>39076</v>
      </c>
      <c r="C13010" t="s">
        <v>39366</v>
      </c>
      <c r="D13010" t="s">
        <v>37544</v>
      </c>
      <c r="E13010" t="s">
        <v>37895</v>
      </c>
      <c r="F13010" t="s">
        <v>37939</v>
      </c>
      <c r="G13010" t="s">
        <v>39365</v>
      </c>
      <c r="H13010" t="s">
        <v>859</v>
      </c>
      <c r="I13010" t="s">
        <v>860</v>
      </c>
      <c r="J13010" t="str">
        <f>"9280250"</f>
        <v>9280250</v>
      </c>
      <c r="K13010">
        <v>2742033522</v>
      </c>
      <c r="L13010">
        <v>2742033522</v>
      </c>
      <c r="M13010" t="s">
        <v>39367</v>
      </c>
      <c r="N13010" t="s">
        <v>39365</v>
      </c>
      <c r="O13010" t="s">
        <v>39368</v>
      </c>
      <c r="P13010">
        <v>20002</v>
      </c>
      <c r="Q13010" t="str">
        <f>"37.953388"</f>
        <v>37.953388</v>
      </c>
      <c r="R13010" t="str">
        <f>"22.747200"</f>
        <v>22.747200</v>
      </c>
      <c r="S13010" t="s">
        <v>26</v>
      </c>
    </row>
    <row r="13011" spans="1:19" x14ac:dyDescent="0.3">
      <c r="A13011" t="s">
        <v>37529</v>
      </c>
      <c r="B13011" t="s">
        <v>39076</v>
      </c>
      <c r="C13011" t="s">
        <v>39370</v>
      </c>
      <c r="D13011" t="s">
        <v>37544</v>
      </c>
      <c r="E13011" t="s">
        <v>37922</v>
      </c>
      <c r="F13011" t="s">
        <v>37922</v>
      </c>
      <c r="G13011" t="s">
        <v>39369</v>
      </c>
      <c r="H13011" t="s">
        <v>859</v>
      </c>
      <c r="I13011" t="s">
        <v>860</v>
      </c>
      <c r="J13011" t="str">
        <f>"9280200"</f>
        <v>9280200</v>
      </c>
      <c r="K13011">
        <v>2742026790</v>
      </c>
      <c r="L13011">
        <v>2742026790</v>
      </c>
      <c r="M13011" t="s">
        <v>39371</v>
      </c>
      <c r="N13011" t="s">
        <v>39369</v>
      </c>
      <c r="O13011" t="s">
        <v>39372</v>
      </c>
      <c r="P13011">
        <v>20200</v>
      </c>
      <c r="Q13011" t="str">
        <f>"38.012626"</f>
        <v>38.012626</v>
      </c>
      <c r="R13011" t="str">
        <f>"22.723806"</f>
        <v>22.723806</v>
      </c>
      <c r="S13011" t="s">
        <v>26</v>
      </c>
    </row>
    <row r="13012" spans="1:19" x14ac:dyDescent="0.3">
      <c r="A13012" t="s">
        <v>37529</v>
      </c>
      <c r="B13012" t="s">
        <v>39076</v>
      </c>
      <c r="C13012" t="s">
        <v>39373</v>
      </c>
      <c r="D13012" t="s">
        <v>37544</v>
      </c>
      <c r="E13012" t="s">
        <v>37875</v>
      </c>
      <c r="F13012" t="s">
        <v>37929</v>
      </c>
      <c r="G13012" t="s">
        <v>37930</v>
      </c>
      <c r="H13012" t="s">
        <v>859</v>
      </c>
      <c r="I13012" t="s">
        <v>860</v>
      </c>
      <c r="J13012" t="str">
        <f>"9280085"</f>
        <v>9280085</v>
      </c>
      <c r="K13012">
        <v>2743031050</v>
      </c>
      <c r="L13012">
        <v>2743031050</v>
      </c>
      <c r="M13012" t="s">
        <v>39374</v>
      </c>
      <c r="N13012" t="s">
        <v>37930</v>
      </c>
      <c r="O13012" t="s">
        <v>39375</v>
      </c>
      <c r="P13012">
        <v>20009</v>
      </c>
      <c r="Q13012" t="str">
        <f>"38.128916"</f>
        <v>38.128916</v>
      </c>
      <c r="R13012" t="str">
        <f>"22.449265"</f>
        <v>22.449265</v>
      </c>
      <c r="S13012" t="s">
        <v>26</v>
      </c>
    </row>
    <row r="13013" spans="1:19" x14ac:dyDescent="0.3">
      <c r="A13013" t="s">
        <v>37529</v>
      </c>
      <c r="B13013" t="s">
        <v>39076</v>
      </c>
      <c r="C13013" t="s">
        <v>39377</v>
      </c>
      <c r="D13013" t="s">
        <v>37544</v>
      </c>
      <c r="E13013" t="s">
        <v>37895</v>
      </c>
      <c r="F13013" t="s">
        <v>37939</v>
      </c>
      <c r="G13013" t="s">
        <v>39376</v>
      </c>
      <c r="H13013" t="s">
        <v>859</v>
      </c>
      <c r="I13013" t="s">
        <v>860</v>
      </c>
      <c r="J13013" t="str">
        <f>"9280196"</f>
        <v>9280196</v>
      </c>
      <c r="K13013">
        <v>2741053470</v>
      </c>
      <c r="L13013">
        <v>2741054590</v>
      </c>
      <c r="M13013" t="s">
        <v>39378</v>
      </c>
      <c r="N13013" t="s">
        <v>39379</v>
      </c>
      <c r="O13013" t="s">
        <v>39380</v>
      </c>
      <c r="P13013">
        <v>20006</v>
      </c>
      <c r="Q13013" t="str">
        <f>"37.892304"</f>
        <v>37.892304</v>
      </c>
      <c r="R13013" t="str">
        <f>"22.745007"</f>
        <v>22.745007</v>
      </c>
      <c r="S13013" t="s">
        <v>26</v>
      </c>
    </row>
    <row r="13014" spans="1:19" x14ac:dyDescent="0.3">
      <c r="A13014" t="s">
        <v>37529</v>
      </c>
      <c r="B13014" t="s">
        <v>39076</v>
      </c>
      <c r="C13014" t="s">
        <v>39382</v>
      </c>
      <c r="D13014" t="s">
        <v>37544</v>
      </c>
      <c r="E13014" t="s">
        <v>37895</v>
      </c>
      <c r="F13014" t="s">
        <v>37939</v>
      </c>
      <c r="G13014" t="s">
        <v>39381</v>
      </c>
      <c r="H13014" t="s">
        <v>859</v>
      </c>
      <c r="I13014" t="s">
        <v>860</v>
      </c>
      <c r="J13014" t="str">
        <f>"9280197"</f>
        <v>9280197</v>
      </c>
      <c r="K13014">
        <v>2742061515</v>
      </c>
      <c r="L13014">
        <v>2742061515</v>
      </c>
      <c r="M13014" t="s">
        <v>39383</v>
      </c>
      <c r="N13014" t="s">
        <v>39381</v>
      </c>
      <c r="O13014" t="s">
        <v>39384</v>
      </c>
      <c r="P13014">
        <v>20002</v>
      </c>
      <c r="Q13014" t="str">
        <f>"37.909967"</f>
        <v>37.909967</v>
      </c>
      <c r="R13014" t="str">
        <f>"22.699406"</f>
        <v>22.699406</v>
      </c>
      <c r="S13014" t="s">
        <v>26</v>
      </c>
    </row>
    <row r="13015" spans="1:19" x14ac:dyDescent="0.3">
      <c r="A13015" t="s">
        <v>37529</v>
      </c>
      <c r="B13015" t="s">
        <v>39076</v>
      </c>
      <c r="C13015" t="s">
        <v>39385</v>
      </c>
      <c r="D13015" t="s">
        <v>37544</v>
      </c>
      <c r="E13015" t="s">
        <v>37869</v>
      </c>
      <c r="F13015" t="s">
        <v>37869</v>
      </c>
      <c r="G13015" t="s">
        <v>39226</v>
      </c>
      <c r="H13015" t="s">
        <v>859</v>
      </c>
      <c r="I13015" t="s">
        <v>860</v>
      </c>
      <c r="J13015" t="str">
        <f>"9280205"</f>
        <v>9280205</v>
      </c>
      <c r="K13015">
        <v>6973239850</v>
      </c>
      <c r="L13015">
        <v>2746031003</v>
      </c>
      <c r="M13015" t="s">
        <v>39386</v>
      </c>
      <c r="N13015" t="s">
        <v>39229</v>
      </c>
      <c r="O13015" t="s">
        <v>39229</v>
      </c>
      <c r="P13015">
        <v>20500</v>
      </c>
      <c r="Q13015" t="str">
        <f>"37.820359"</f>
        <v>37.820359</v>
      </c>
      <c r="R13015" t="str">
        <f>"22.751910"</f>
        <v>22.751910</v>
      </c>
      <c r="S13015" t="s">
        <v>26</v>
      </c>
    </row>
    <row r="13016" spans="1:19" x14ac:dyDescent="0.3">
      <c r="A13016" t="s">
        <v>37529</v>
      </c>
      <c r="B13016" t="s">
        <v>39076</v>
      </c>
      <c r="C13016" t="s">
        <v>39387</v>
      </c>
      <c r="D13016" t="s">
        <v>37544</v>
      </c>
      <c r="E13016" t="s">
        <v>37845</v>
      </c>
      <c r="F13016" t="s">
        <v>37846</v>
      </c>
      <c r="G13016" t="s">
        <v>37953</v>
      </c>
      <c r="H13016" t="s">
        <v>859</v>
      </c>
      <c r="I13016" t="s">
        <v>860</v>
      </c>
      <c r="J13016" t="str">
        <f>"9280190"</f>
        <v>9280190</v>
      </c>
      <c r="K13016">
        <v>2741037494</v>
      </c>
      <c r="L13016">
        <v>2741037494</v>
      </c>
      <c r="M13016" t="s">
        <v>39388</v>
      </c>
      <c r="O13016" t="s">
        <v>39389</v>
      </c>
      <c r="P13016">
        <v>20010</v>
      </c>
      <c r="Q13016" t="str">
        <f>"37.916487"</f>
        <v>37.916487</v>
      </c>
      <c r="R13016" t="str">
        <f>"23.006297"</f>
        <v>23.006297</v>
      </c>
      <c r="S13016" t="s">
        <v>26</v>
      </c>
    </row>
    <row r="13017" spans="1:19" x14ac:dyDescent="0.3">
      <c r="A13017" t="s">
        <v>37529</v>
      </c>
      <c r="B13017" t="s">
        <v>39076</v>
      </c>
      <c r="C13017" t="s">
        <v>39390</v>
      </c>
      <c r="D13017" t="s">
        <v>37544</v>
      </c>
      <c r="E13017" t="s">
        <v>37875</v>
      </c>
      <c r="F13017" t="s">
        <v>37876</v>
      </c>
      <c r="G13017" t="s">
        <v>16102</v>
      </c>
      <c r="H13017" t="s">
        <v>859</v>
      </c>
      <c r="I13017" t="s">
        <v>860</v>
      </c>
      <c r="J13017" t="str">
        <f>"9280238"</f>
        <v>9280238</v>
      </c>
      <c r="K13017">
        <v>2743023695</v>
      </c>
      <c r="M13017" t="s">
        <v>39391</v>
      </c>
      <c r="N13017" t="s">
        <v>39392</v>
      </c>
      <c r="O13017" t="s">
        <v>39392</v>
      </c>
      <c r="P13017">
        <v>20400</v>
      </c>
      <c r="Q13017" t="str">
        <f>"38.068938"</f>
        <v>38.068938</v>
      </c>
      <c r="R13017" t="str">
        <f>"22.636565"</f>
        <v>22.636565</v>
      </c>
      <c r="S13017" t="s">
        <v>26</v>
      </c>
    </row>
    <row r="13018" spans="1:19" x14ac:dyDescent="0.3">
      <c r="A13018" t="s">
        <v>37529</v>
      </c>
      <c r="B13018" t="s">
        <v>39076</v>
      </c>
      <c r="C13018" t="s">
        <v>39394</v>
      </c>
      <c r="D13018" t="s">
        <v>37544</v>
      </c>
      <c r="E13018" t="s">
        <v>37875</v>
      </c>
      <c r="F13018" t="s">
        <v>37876</v>
      </c>
      <c r="G13018" t="s">
        <v>39393</v>
      </c>
      <c r="H13018" t="s">
        <v>859</v>
      </c>
      <c r="I13018" t="s">
        <v>860</v>
      </c>
      <c r="J13018" t="str">
        <f>"9280183"</f>
        <v>9280183</v>
      </c>
      <c r="K13018">
        <v>2743092266</v>
      </c>
      <c r="L13018">
        <v>2743092487</v>
      </c>
      <c r="M13018" t="s">
        <v>39395</v>
      </c>
      <c r="N13018" t="s">
        <v>39393</v>
      </c>
      <c r="O13018" t="s">
        <v>36128</v>
      </c>
      <c r="P13018">
        <v>20400</v>
      </c>
      <c r="Q13018" t="str">
        <f>"38.014065"</f>
        <v>38.014065</v>
      </c>
      <c r="R13018" t="str">
        <f>"22.619622"</f>
        <v>22.619622</v>
      </c>
      <c r="S13018" t="s">
        <v>57</v>
      </c>
    </row>
    <row r="13019" spans="1:19" x14ac:dyDescent="0.3">
      <c r="A13019" t="s">
        <v>37529</v>
      </c>
      <c r="B13019" t="s">
        <v>39076</v>
      </c>
      <c r="C13019" t="s">
        <v>39396</v>
      </c>
      <c r="D13019" t="s">
        <v>37544</v>
      </c>
      <c r="E13019" t="s">
        <v>37875</v>
      </c>
      <c r="F13019" t="s">
        <v>37876</v>
      </c>
      <c r="G13019" t="s">
        <v>37876</v>
      </c>
      <c r="H13019" t="s">
        <v>859</v>
      </c>
      <c r="I13019" t="s">
        <v>860</v>
      </c>
      <c r="J13019" t="str">
        <f>"9280133"</f>
        <v>9280133</v>
      </c>
      <c r="K13019">
        <v>2743022774</v>
      </c>
      <c r="L13019">
        <v>2743022774</v>
      </c>
      <c r="M13019" t="s">
        <v>39397</v>
      </c>
      <c r="N13019" t="s">
        <v>37879</v>
      </c>
      <c r="O13019" t="s">
        <v>39398</v>
      </c>
      <c r="P13019">
        <v>20400</v>
      </c>
      <c r="Q13019" t="str">
        <f>"38.077635"</f>
        <v>38.077635</v>
      </c>
      <c r="R13019" t="str">
        <f>"22.636345"</f>
        <v>22.636345</v>
      </c>
      <c r="S13019" t="s">
        <v>26</v>
      </c>
    </row>
    <row r="13020" spans="1:19" x14ac:dyDescent="0.3">
      <c r="A13020" t="s">
        <v>37529</v>
      </c>
      <c r="B13020" t="s">
        <v>39076</v>
      </c>
      <c r="C13020" t="s">
        <v>39399</v>
      </c>
      <c r="D13020" t="s">
        <v>37544</v>
      </c>
      <c r="E13020" t="s">
        <v>37545</v>
      </c>
      <c r="F13020" t="s">
        <v>37858</v>
      </c>
      <c r="G13020" t="s">
        <v>37859</v>
      </c>
      <c r="H13020" t="s">
        <v>859</v>
      </c>
      <c r="I13020" t="s">
        <v>860</v>
      </c>
      <c r="J13020" t="str">
        <f>"9280066"</f>
        <v>9280066</v>
      </c>
      <c r="K13020">
        <v>2741098480</v>
      </c>
      <c r="L13020">
        <v>2741098480</v>
      </c>
      <c r="M13020" t="s">
        <v>39400</v>
      </c>
      <c r="N13020" t="s">
        <v>39256</v>
      </c>
      <c r="O13020" t="s">
        <v>38018</v>
      </c>
      <c r="P13020">
        <v>20008</v>
      </c>
      <c r="Q13020" t="str">
        <f>"37.806204"</f>
        <v>37.806204</v>
      </c>
      <c r="R13020" t="str">
        <f>"22.872051"</f>
        <v>22.872051</v>
      </c>
      <c r="S13020" t="s">
        <v>26</v>
      </c>
    </row>
    <row r="13021" spans="1:19" x14ac:dyDescent="0.3">
      <c r="A13021" t="s">
        <v>37529</v>
      </c>
      <c r="B13021" t="s">
        <v>39076</v>
      </c>
      <c r="C13021" t="s">
        <v>39458</v>
      </c>
      <c r="D13021" t="s">
        <v>37544</v>
      </c>
      <c r="E13021" t="s">
        <v>37922</v>
      </c>
      <c r="F13021" t="s">
        <v>37962</v>
      </c>
      <c r="G13021" t="s">
        <v>39457</v>
      </c>
      <c r="H13021" t="s">
        <v>859</v>
      </c>
      <c r="I13021" t="s">
        <v>860</v>
      </c>
      <c r="J13021" t="str">
        <f>"9520700"</f>
        <v>9520700</v>
      </c>
      <c r="K13021">
        <v>2747041307</v>
      </c>
      <c r="L13021">
        <v>2747041307</v>
      </c>
      <c r="M13021" t="s">
        <v>39459</v>
      </c>
      <c r="N13021" t="s">
        <v>39460</v>
      </c>
      <c r="O13021" t="s">
        <v>39461</v>
      </c>
      <c r="P13021">
        <v>20014</v>
      </c>
      <c r="Q13021" t="str">
        <f>"37.908888"</f>
        <v>37.908888</v>
      </c>
      <c r="R13021" t="str">
        <f>"22.327647"</f>
        <v>22.327647</v>
      </c>
      <c r="S13021" t="s">
        <v>57</v>
      </c>
    </row>
    <row r="13022" spans="1:19" x14ac:dyDescent="0.3">
      <c r="A13022" t="s">
        <v>37529</v>
      </c>
      <c r="B13022" t="s">
        <v>39076</v>
      </c>
      <c r="C13022" t="s">
        <v>39463</v>
      </c>
      <c r="D13022" t="s">
        <v>37544</v>
      </c>
      <c r="E13022" t="s">
        <v>37922</v>
      </c>
      <c r="F13022" t="s">
        <v>37922</v>
      </c>
      <c r="G13022" t="s">
        <v>39462</v>
      </c>
      <c r="H13022" t="s">
        <v>859</v>
      </c>
      <c r="I13022" t="s">
        <v>860</v>
      </c>
      <c r="J13022" t="str">
        <f>"9280223"</f>
        <v>9280223</v>
      </c>
      <c r="K13022">
        <v>2742025117</v>
      </c>
      <c r="L13022">
        <v>2742025117</v>
      </c>
      <c r="M13022" t="s">
        <v>39464</v>
      </c>
      <c r="N13022" t="s">
        <v>39465</v>
      </c>
      <c r="O13022" t="s">
        <v>39466</v>
      </c>
      <c r="P13022">
        <v>20200</v>
      </c>
      <c r="Q13022" t="str">
        <f>"37.981300"</f>
        <v>37.981300</v>
      </c>
      <c r="R13022" t="str">
        <f>"22.726112"</f>
        <v>22.726112</v>
      </c>
      <c r="S13022" t="s">
        <v>26</v>
      </c>
    </row>
    <row r="13023" spans="1:19" x14ac:dyDescent="0.3">
      <c r="A13023" t="s">
        <v>37529</v>
      </c>
      <c r="B13023" t="s">
        <v>39076</v>
      </c>
      <c r="C13023" t="s">
        <v>39467</v>
      </c>
      <c r="D13023" t="s">
        <v>37544</v>
      </c>
      <c r="E13023" t="s">
        <v>37545</v>
      </c>
      <c r="F13023" t="s">
        <v>37545</v>
      </c>
      <c r="G13023" t="s">
        <v>37546</v>
      </c>
      <c r="H13023" t="s">
        <v>859</v>
      </c>
      <c r="I13023" t="s">
        <v>1102</v>
      </c>
      <c r="J13023" t="str">
        <f>"9521029"</f>
        <v>9521029</v>
      </c>
      <c r="K13023">
        <v>2741073792</v>
      </c>
      <c r="L13023">
        <v>2741020778</v>
      </c>
      <c r="M13023" t="s">
        <v>39468</v>
      </c>
      <c r="N13023" t="s">
        <v>37855</v>
      </c>
      <c r="O13023" t="s">
        <v>39469</v>
      </c>
      <c r="P13023">
        <v>20100</v>
      </c>
      <c r="Q13023" t="str">
        <f>"37.934660"</f>
        <v>37.934660</v>
      </c>
      <c r="R13023" t="str">
        <f>"22.926612"</f>
        <v>22.926612</v>
      </c>
      <c r="S13023" t="s">
        <v>26</v>
      </c>
    </row>
    <row r="13024" spans="1:19" x14ac:dyDescent="0.3">
      <c r="A13024" t="s">
        <v>37529</v>
      </c>
      <c r="B13024" t="s">
        <v>39076</v>
      </c>
      <c r="C13024" t="s">
        <v>39481</v>
      </c>
      <c r="D13024" t="s">
        <v>37544</v>
      </c>
      <c r="E13024" t="s">
        <v>37845</v>
      </c>
      <c r="F13024" t="s">
        <v>22748</v>
      </c>
      <c r="G13024" t="s">
        <v>22748</v>
      </c>
      <c r="H13024" t="s">
        <v>859</v>
      </c>
      <c r="I13024" t="s">
        <v>860</v>
      </c>
      <c r="J13024" t="str">
        <f>"9521372"</f>
        <v>9521372</v>
      </c>
      <c r="K13024">
        <v>2741062941</v>
      </c>
      <c r="L13024">
        <v>2741062941</v>
      </c>
      <c r="M13024" t="s">
        <v>39482</v>
      </c>
      <c r="N13024" t="s">
        <v>22748</v>
      </c>
      <c r="O13024" t="s">
        <v>39208</v>
      </c>
      <c r="P13024">
        <v>20003</v>
      </c>
      <c r="Q13024" t="str">
        <f>"37.929846"</f>
        <v>37.929846</v>
      </c>
      <c r="R13024" t="str">
        <f>"23.141190"</f>
        <v>23.141190</v>
      </c>
      <c r="S13024" t="s">
        <v>26</v>
      </c>
    </row>
    <row r="13025" spans="1:19" x14ac:dyDescent="0.3">
      <c r="A13025" t="s">
        <v>37529</v>
      </c>
      <c r="B13025" t="s">
        <v>39076</v>
      </c>
      <c r="C13025" t="s">
        <v>39483</v>
      </c>
      <c r="D13025" t="s">
        <v>37544</v>
      </c>
      <c r="E13025" t="s">
        <v>37895</v>
      </c>
      <c r="F13025" t="s">
        <v>37896</v>
      </c>
      <c r="G13025" t="s">
        <v>37945</v>
      </c>
      <c r="H13025" t="s">
        <v>859</v>
      </c>
      <c r="I13025" t="s">
        <v>860</v>
      </c>
      <c r="J13025" t="str">
        <f>"9521373"</f>
        <v>9521373</v>
      </c>
      <c r="K13025">
        <v>2741051727</v>
      </c>
      <c r="L13025">
        <v>2741051727</v>
      </c>
      <c r="M13025" t="s">
        <v>39484</v>
      </c>
      <c r="N13025" t="s">
        <v>38067</v>
      </c>
      <c r="O13025" t="s">
        <v>38067</v>
      </c>
      <c r="P13025">
        <v>20001</v>
      </c>
      <c r="Q13025" t="str">
        <f>"37.938224"</f>
        <v>37.938224</v>
      </c>
      <c r="R13025" t="str">
        <f>"22.800236"</f>
        <v>22.800236</v>
      </c>
      <c r="S13025" t="s">
        <v>26</v>
      </c>
    </row>
    <row r="13026" spans="1:19" x14ac:dyDescent="0.3">
      <c r="A13026" t="s">
        <v>37529</v>
      </c>
      <c r="B13026" t="s">
        <v>39076</v>
      </c>
      <c r="C13026" t="s">
        <v>39485</v>
      </c>
      <c r="D13026" t="s">
        <v>37544</v>
      </c>
      <c r="E13026" t="s">
        <v>37845</v>
      </c>
      <c r="F13026" t="s">
        <v>37846</v>
      </c>
      <c r="G13026" t="s">
        <v>37847</v>
      </c>
      <c r="H13026" t="s">
        <v>859</v>
      </c>
      <c r="I13026" t="s">
        <v>860</v>
      </c>
      <c r="J13026" t="str">
        <f>"9521088"</f>
        <v>9521088</v>
      </c>
      <c r="K13026">
        <v>2744067090</v>
      </c>
      <c r="L13026">
        <v>2744067090</v>
      </c>
      <c r="M13026" t="s">
        <v>39486</v>
      </c>
      <c r="N13026" t="s">
        <v>30857</v>
      </c>
      <c r="O13026" t="s">
        <v>39487</v>
      </c>
      <c r="P13026">
        <v>20300</v>
      </c>
      <c r="Q13026" t="str">
        <f>"37.954723"</f>
        <v>37.954723</v>
      </c>
      <c r="R13026" t="str">
        <f>"22.982963"</f>
        <v>22.982963</v>
      </c>
      <c r="S13026" t="s">
        <v>26</v>
      </c>
    </row>
    <row r="13027" spans="1:19" x14ac:dyDescent="0.3">
      <c r="A13027" t="s">
        <v>37529</v>
      </c>
      <c r="B13027" t="s">
        <v>39076</v>
      </c>
      <c r="C13027" t="s">
        <v>39489</v>
      </c>
      <c r="D13027" t="s">
        <v>37544</v>
      </c>
      <c r="E13027" t="s">
        <v>37922</v>
      </c>
      <c r="F13027" t="s">
        <v>37922</v>
      </c>
      <c r="G13027" t="s">
        <v>39488</v>
      </c>
      <c r="H13027" t="s">
        <v>859</v>
      </c>
      <c r="I13027" t="s">
        <v>860</v>
      </c>
      <c r="J13027" t="str">
        <f>"9521374"</f>
        <v>9521374</v>
      </c>
      <c r="K13027">
        <v>2742022114</v>
      </c>
      <c r="L13027">
        <v>2742022114</v>
      </c>
      <c r="M13027" t="s">
        <v>39490</v>
      </c>
      <c r="N13027" t="s">
        <v>39488</v>
      </c>
      <c r="O13027" t="s">
        <v>39491</v>
      </c>
      <c r="P13027">
        <v>20200</v>
      </c>
      <c r="Q13027" t="str">
        <f>"38.028869"</f>
        <v>38.028869</v>
      </c>
      <c r="R13027" t="str">
        <f>"22.727325"</f>
        <v>22.727325</v>
      </c>
      <c r="S13027" t="s">
        <v>26</v>
      </c>
    </row>
    <row r="13028" spans="1:19" x14ac:dyDescent="0.3">
      <c r="A13028" t="s">
        <v>37529</v>
      </c>
      <c r="B13028" t="s">
        <v>39076</v>
      </c>
      <c r="C13028" t="s">
        <v>39492</v>
      </c>
      <c r="D13028" t="s">
        <v>37544</v>
      </c>
      <c r="E13028" t="s">
        <v>37922</v>
      </c>
      <c r="F13028" t="s">
        <v>37922</v>
      </c>
      <c r="G13028" t="s">
        <v>4044</v>
      </c>
      <c r="H13028" t="s">
        <v>859</v>
      </c>
      <c r="I13028" t="s">
        <v>860</v>
      </c>
      <c r="J13028" t="str">
        <f>"9280163"</f>
        <v>9280163</v>
      </c>
      <c r="K13028">
        <v>2742051057</v>
      </c>
      <c r="L13028">
        <v>2742051057</v>
      </c>
      <c r="M13028" t="s">
        <v>39493</v>
      </c>
      <c r="N13028" t="s">
        <v>8447</v>
      </c>
      <c r="O13028" t="s">
        <v>8447</v>
      </c>
      <c r="P13028">
        <v>20015</v>
      </c>
      <c r="Q13028" t="str">
        <f>"37.965108"</f>
        <v>37.965108</v>
      </c>
      <c r="R13028" t="str">
        <f>"22.643427"</f>
        <v>22.643427</v>
      </c>
      <c r="S13028" t="s">
        <v>26</v>
      </c>
    </row>
    <row r="13029" spans="1:19" x14ac:dyDescent="0.3">
      <c r="A13029" t="s">
        <v>37529</v>
      </c>
      <c r="B13029" t="s">
        <v>39076</v>
      </c>
      <c r="C13029" t="s">
        <v>39494</v>
      </c>
      <c r="D13029" t="s">
        <v>37544</v>
      </c>
      <c r="E13029" t="s">
        <v>37875</v>
      </c>
      <c r="F13029" t="s">
        <v>37876</v>
      </c>
      <c r="G13029" t="s">
        <v>30429</v>
      </c>
      <c r="H13029" t="s">
        <v>859</v>
      </c>
      <c r="I13029" t="s">
        <v>860</v>
      </c>
      <c r="J13029" t="str">
        <f>"9280213"</f>
        <v>9280213</v>
      </c>
      <c r="K13029">
        <v>2743061453</v>
      </c>
      <c r="L13029">
        <v>2743061708</v>
      </c>
      <c r="M13029" t="s">
        <v>39495</v>
      </c>
      <c r="N13029" t="s">
        <v>30429</v>
      </c>
      <c r="O13029" t="s">
        <v>2648</v>
      </c>
      <c r="P13029">
        <v>20400</v>
      </c>
      <c r="Q13029" t="str">
        <f>"38.047297"</f>
        <v>38.047297</v>
      </c>
      <c r="R13029" t="str">
        <f>"22.644086"</f>
        <v>22.644086</v>
      </c>
      <c r="S13029" t="s">
        <v>26</v>
      </c>
    </row>
    <row r="13030" spans="1:19" x14ac:dyDescent="0.3">
      <c r="A13030" t="s">
        <v>37529</v>
      </c>
      <c r="B13030" t="s">
        <v>39076</v>
      </c>
      <c r="C13030" t="s">
        <v>39496</v>
      </c>
      <c r="D13030" t="s">
        <v>37544</v>
      </c>
      <c r="E13030" t="s">
        <v>37922</v>
      </c>
      <c r="F13030" t="s">
        <v>37922</v>
      </c>
      <c r="G13030" t="s">
        <v>37923</v>
      </c>
      <c r="H13030" t="s">
        <v>859</v>
      </c>
      <c r="I13030" t="s">
        <v>860</v>
      </c>
      <c r="J13030" t="str">
        <f>"9521538"</f>
        <v>9521538</v>
      </c>
      <c r="K13030">
        <v>2742021117</v>
      </c>
      <c r="L13030">
        <v>2742021117</v>
      </c>
      <c r="M13030" t="s">
        <v>39497</v>
      </c>
      <c r="N13030" t="s">
        <v>37960</v>
      </c>
      <c r="O13030" t="s">
        <v>39498</v>
      </c>
      <c r="P13030">
        <v>20200</v>
      </c>
      <c r="Q13030" t="str">
        <f>"38.008449"</f>
        <v>38.008449</v>
      </c>
      <c r="R13030" t="str">
        <f>"22.754066"</f>
        <v>22.754066</v>
      </c>
      <c r="S13030" t="s">
        <v>26</v>
      </c>
    </row>
    <row r="13031" spans="1:19" x14ac:dyDescent="0.3">
      <c r="A13031" t="s">
        <v>37529</v>
      </c>
      <c r="B13031" t="s">
        <v>39076</v>
      </c>
      <c r="C13031" t="s">
        <v>39503</v>
      </c>
      <c r="D13031" t="s">
        <v>37544</v>
      </c>
      <c r="E13031" t="s">
        <v>37922</v>
      </c>
      <c r="F13031" t="s">
        <v>38039</v>
      </c>
      <c r="G13031" t="s">
        <v>38039</v>
      </c>
      <c r="H13031" t="s">
        <v>859</v>
      </c>
      <c r="I13031" t="s">
        <v>860</v>
      </c>
      <c r="J13031" t="str">
        <f>"9521641"</f>
        <v>9521641</v>
      </c>
      <c r="K13031">
        <v>2747022350</v>
      </c>
      <c r="L13031">
        <v>2747022350</v>
      </c>
      <c r="M13031" t="s">
        <v>39504</v>
      </c>
      <c r="N13031" t="s">
        <v>38039</v>
      </c>
      <c r="O13031" t="s">
        <v>39505</v>
      </c>
      <c r="P13031">
        <v>20016</v>
      </c>
      <c r="Q13031" t="str">
        <f>"37.870825"</f>
        <v>37.870825</v>
      </c>
      <c r="R13031" t="str">
        <f>"22.466952"</f>
        <v>22.466952</v>
      </c>
      <c r="S13031" t="s">
        <v>26</v>
      </c>
    </row>
    <row r="13032" spans="1:19" x14ac:dyDescent="0.3">
      <c r="A13032" t="s">
        <v>37529</v>
      </c>
      <c r="B13032" t="s">
        <v>39076</v>
      </c>
      <c r="C13032" t="s">
        <v>39511</v>
      </c>
      <c r="D13032" t="s">
        <v>37544</v>
      </c>
      <c r="E13032" t="s">
        <v>37869</v>
      </c>
      <c r="F13032" t="s">
        <v>37869</v>
      </c>
      <c r="G13032" t="s">
        <v>37869</v>
      </c>
      <c r="H13032" t="s">
        <v>859</v>
      </c>
      <c r="I13032" t="s">
        <v>860</v>
      </c>
      <c r="J13032" t="str">
        <f>"9281001"</f>
        <v>9281001</v>
      </c>
      <c r="Q13032" t="str">
        <f>""</f>
        <v/>
      </c>
      <c r="R13032" t="str">
        <f>""</f>
        <v/>
      </c>
      <c r="S13032" t="s">
        <v>26</v>
      </c>
    </row>
    <row r="13033" spans="1:19" x14ac:dyDescent="0.3">
      <c r="A13033" t="s">
        <v>37529</v>
      </c>
      <c r="B13033" t="s">
        <v>39512</v>
      </c>
      <c r="C13033" t="s">
        <v>39518</v>
      </c>
      <c r="D13033" t="s">
        <v>37551</v>
      </c>
      <c r="E13033" t="s">
        <v>38078</v>
      </c>
      <c r="F13033" t="s">
        <v>38078</v>
      </c>
      <c r="G13033" t="s">
        <v>39517</v>
      </c>
      <c r="H13033" t="s">
        <v>859</v>
      </c>
      <c r="I13033" t="s">
        <v>860</v>
      </c>
      <c r="J13033" t="str">
        <f>"9300261"</f>
        <v>9300261</v>
      </c>
      <c r="K13033">
        <v>2732053228</v>
      </c>
      <c r="L13033">
        <v>2732053064</v>
      </c>
      <c r="M13033" t="s">
        <v>39519</v>
      </c>
      <c r="N13033" t="s">
        <v>39517</v>
      </c>
      <c r="O13033" t="s">
        <v>39520</v>
      </c>
      <c r="P13033">
        <v>23070</v>
      </c>
      <c r="Q13033" t="str">
        <f>"36.706756"</f>
        <v>36.706756</v>
      </c>
      <c r="R13033" t="str">
        <f>"22.947235"</f>
        <v>22.947235</v>
      </c>
      <c r="S13033" t="s">
        <v>26</v>
      </c>
    </row>
    <row r="13034" spans="1:19" x14ac:dyDescent="0.3">
      <c r="A13034" t="s">
        <v>37529</v>
      </c>
      <c r="B13034" t="s">
        <v>39512</v>
      </c>
      <c r="C13034" t="s">
        <v>39521</v>
      </c>
      <c r="D13034" t="s">
        <v>37551</v>
      </c>
      <c r="E13034" t="s">
        <v>38078</v>
      </c>
      <c r="F13034" t="s">
        <v>38109</v>
      </c>
      <c r="G13034" t="s">
        <v>38110</v>
      </c>
      <c r="H13034" t="s">
        <v>859</v>
      </c>
      <c r="I13034" t="s">
        <v>860</v>
      </c>
      <c r="J13034" t="str">
        <f>"9300210"</f>
        <v>9300210</v>
      </c>
      <c r="K13034">
        <v>2732082740</v>
      </c>
      <c r="M13034" t="s">
        <v>39522</v>
      </c>
      <c r="N13034" t="s">
        <v>38110</v>
      </c>
      <c r="O13034" t="s">
        <v>38114</v>
      </c>
      <c r="P13034">
        <v>23056</v>
      </c>
      <c r="Q13034" t="str">
        <f>"36.720292"</f>
        <v>36.720292</v>
      </c>
      <c r="R13034" t="str">
        <f>"22.856632"</f>
        <v>22.856632</v>
      </c>
      <c r="S13034" t="s">
        <v>26</v>
      </c>
    </row>
    <row r="13035" spans="1:19" x14ac:dyDescent="0.3">
      <c r="A13035" t="s">
        <v>37529</v>
      </c>
      <c r="B13035" t="s">
        <v>39512</v>
      </c>
      <c r="C13035" t="s">
        <v>39524</v>
      </c>
      <c r="D13035" t="s">
        <v>37551</v>
      </c>
      <c r="E13035" t="s">
        <v>38097</v>
      </c>
      <c r="F13035" t="s">
        <v>38139</v>
      </c>
      <c r="G13035" t="s">
        <v>39523</v>
      </c>
      <c r="H13035" t="s">
        <v>859</v>
      </c>
      <c r="I13035" t="s">
        <v>860</v>
      </c>
      <c r="J13035" t="str">
        <f>"9300205"</f>
        <v>9300205</v>
      </c>
      <c r="K13035">
        <v>2735076202</v>
      </c>
      <c r="L13035">
        <v>2735076202</v>
      </c>
      <c r="M13035" t="s">
        <v>39525</v>
      </c>
      <c r="N13035" t="s">
        <v>39523</v>
      </c>
      <c r="O13035" t="s">
        <v>39526</v>
      </c>
      <c r="P13035">
        <v>23057</v>
      </c>
      <c r="Q13035" t="str">
        <f>"36.927149"</f>
        <v>36.927149</v>
      </c>
      <c r="R13035" t="str">
        <f>"22.533531"</f>
        <v>22.533531</v>
      </c>
      <c r="S13035" t="s">
        <v>26</v>
      </c>
    </row>
    <row r="13036" spans="1:19" x14ac:dyDescent="0.3">
      <c r="A13036" t="s">
        <v>37529</v>
      </c>
      <c r="B13036" t="s">
        <v>39512</v>
      </c>
      <c r="C13036" t="s">
        <v>39527</v>
      </c>
      <c r="D13036" t="s">
        <v>37551</v>
      </c>
      <c r="E13036" t="s">
        <v>37552</v>
      </c>
      <c r="F13036" t="s">
        <v>37553</v>
      </c>
      <c r="G13036" t="s">
        <v>37552</v>
      </c>
      <c r="H13036" t="s">
        <v>859</v>
      </c>
      <c r="I13036" t="s">
        <v>860</v>
      </c>
      <c r="J13036" t="str">
        <f>"9300217"</f>
        <v>9300217</v>
      </c>
      <c r="K13036">
        <v>2731023595</v>
      </c>
      <c r="L13036">
        <v>2731023595</v>
      </c>
      <c r="M13036" t="s">
        <v>39528</v>
      </c>
      <c r="N13036" t="s">
        <v>37552</v>
      </c>
      <c r="O13036" t="s">
        <v>39529</v>
      </c>
      <c r="P13036">
        <v>23100</v>
      </c>
      <c r="Q13036" t="str">
        <f>"37.067558"</f>
        <v>37.067558</v>
      </c>
      <c r="R13036" t="str">
        <f>"22.429691"</f>
        <v>22.429691</v>
      </c>
      <c r="S13036" t="s">
        <v>26</v>
      </c>
    </row>
    <row r="13037" spans="1:19" x14ac:dyDescent="0.3">
      <c r="A13037" t="s">
        <v>37529</v>
      </c>
      <c r="B13037" t="s">
        <v>39512</v>
      </c>
      <c r="C13037" t="s">
        <v>39530</v>
      </c>
      <c r="D13037" t="s">
        <v>37551</v>
      </c>
      <c r="E13037" t="s">
        <v>37552</v>
      </c>
      <c r="F13037" t="s">
        <v>37553</v>
      </c>
      <c r="G13037" t="s">
        <v>37552</v>
      </c>
      <c r="H13037" t="s">
        <v>859</v>
      </c>
      <c r="I13037" t="s">
        <v>860</v>
      </c>
      <c r="J13037" t="str">
        <f>"9300218"</f>
        <v>9300218</v>
      </c>
      <c r="K13037">
        <v>2731027335</v>
      </c>
      <c r="L13037">
        <v>2731024226</v>
      </c>
      <c r="M13037" t="s">
        <v>39531</v>
      </c>
      <c r="N13037" t="s">
        <v>37552</v>
      </c>
      <c r="O13037" t="s">
        <v>39532</v>
      </c>
      <c r="P13037">
        <v>23100</v>
      </c>
      <c r="Q13037" t="str">
        <f>"37.077681"</f>
        <v>37.077681</v>
      </c>
      <c r="R13037" t="str">
        <f>"22.426126"</f>
        <v>22.426126</v>
      </c>
      <c r="S13037" t="s">
        <v>26</v>
      </c>
    </row>
    <row r="13038" spans="1:19" x14ac:dyDescent="0.3">
      <c r="A13038" t="s">
        <v>37529</v>
      </c>
      <c r="B13038" t="s">
        <v>39512</v>
      </c>
      <c r="C13038" t="s">
        <v>39533</v>
      </c>
      <c r="D13038" t="s">
        <v>37551</v>
      </c>
      <c r="E13038" t="s">
        <v>37552</v>
      </c>
      <c r="F13038" t="s">
        <v>37553</v>
      </c>
      <c r="G13038" t="s">
        <v>37552</v>
      </c>
      <c r="H13038" t="s">
        <v>859</v>
      </c>
      <c r="I13038" t="s">
        <v>860</v>
      </c>
      <c r="J13038" t="str">
        <f>"9520759"</f>
        <v>9520759</v>
      </c>
      <c r="K13038">
        <v>2731020701</v>
      </c>
      <c r="L13038">
        <v>2731020701</v>
      </c>
      <c r="M13038" t="s">
        <v>39534</v>
      </c>
      <c r="N13038" t="s">
        <v>37556</v>
      </c>
      <c r="O13038" t="s">
        <v>39535</v>
      </c>
      <c r="P13038">
        <v>23100</v>
      </c>
      <c r="Q13038" t="str">
        <f>"37.075737"</f>
        <v>37.075737</v>
      </c>
      <c r="R13038" t="str">
        <f>"22.427809"</f>
        <v>22.427809</v>
      </c>
      <c r="S13038" t="s">
        <v>26</v>
      </c>
    </row>
    <row r="13039" spans="1:19" x14ac:dyDescent="0.3">
      <c r="A13039" t="s">
        <v>37529</v>
      </c>
      <c r="B13039" t="s">
        <v>39512</v>
      </c>
      <c r="C13039" t="s">
        <v>39546</v>
      </c>
      <c r="D13039" t="s">
        <v>37551</v>
      </c>
      <c r="E13039" t="s">
        <v>37552</v>
      </c>
      <c r="F13039" t="s">
        <v>37553</v>
      </c>
      <c r="G13039" t="s">
        <v>37552</v>
      </c>
      <c r="H13039" t="s">
        <v>859</v>
      </c>
      <c r="I13039" t="s">
        <v>860</v>
      </c>
      <c r="J13039" t="str">
        <f>"9300244"</f>
        <v>9300244</v>
      </c>
      <c r="K13039">
        <v>2731029549</v>
      </c>
      <c r="L13039">
        <v>2731029549</v>
      </c>
      <c r="M13039" t="s">
        <v>39547</v>
      </c>
      <c r="N13039" t="s">
        <v>37552</v>
      </c>
      <c r="O13039" t="s">
        <v>39548</v>
      </c>
      <c r="P13039">
        <v>23100</v>
      </c>
      <c r="Q13039" t="str">
        <f>"37.081010"</f>
        <v>37.081010</v>
      </c>
      <c r="R13039" t="str">
        <f>"22.435264"</f>
        <v>22.435264</v>
      </c>
      <c r="S13039" t="s">
        <v>26</v>
      </c>
    </row>
    <row r="13040" spans="1:19" x14ac:dyDescent="0.3">
      <c r="A13040" t="s">
        <v>37529</v>
      </c>
      <c r="B13040" t="s">
        <v>39512</v>
      </c>
      <c r="C13040" t="s">
        <v>39549</v>
      </c>
      <c r="D13040" t="s">
        <v>37551</v>
      </c>
      <c r="E13040" t="s">
        <v>38078</v>
      </c>
      <c r="F13040" t="s">
        <v>38103</v>
      </c>
      <c r="G13040" t="s">
        <v>21792</v>
      </c>
      <c r="H13040" t="s">
        <v>859</v>
      </c>
      <c r="I13040" t="s">
        <v>860</v>
      </c>
      <c r="J13040" t="str">
        <f>"9300275"</f>
        <v>9300275</v>
      </c>
      <c r="K13040">
        <v>2734047274</v>
      </c>
      <c r="L13040">
        <v>2734047274</v>
      </c>
      <c r="M13040" t="s">
        <v>39550</v>
      </c>
      <c r="N13040" t="s">
        <v>39551</v>
      </c>
      <c r="O13040" t="s">
        <v>39552</v>
      </c>
      <c r="P13040">
        <v>23053</v>
      </c>
      <c r="Q13040" t="str">
        <f>"36.543463"</f>
        <v>36.543463</v>
      </c>
      <c r="R13040" t="str">
        <f>"23.048253"</f>
        <v>23.048253</v>
      </c>
      <c r="S13040" t="s">
        <v>26</v>
      </c>
    </row>
    <row r="13041" spans="1:19" x14ac:dyDescent="0.3">
      <c r="A13041" t="s">
        <v>37529</v>
      </c>
      <c r="B13041" t="s">
        <v>39512</v>
      </c>
      <c r="C13041" t="s">
        <v>39553</v>
      </c>
      <c r="D13041" t="s">
        <v>37551</v>
      </c>
      <c r="E13041" t="s">
        <v>37552</v>
      </c>
      <c r="F13041" t="s">
        <v>38165</v>
      </c>
      <c r="G13041" t="s">
        <v>38166</v>
      </c>
      <c r="H13041" t="s">
        <v>859</v>
      </c>
      <c r="I13041" t="s">
        <v>860</v>
      </c>
      <c r="J13041" t="str">
        <f>"9300257"</f>
        <v>9300257</v>
      </c>
      <c r="K13041">
        <v>2731057056</v>
      </c>
      <c r="M13041" t="s">
        <v>39554</v>
      </c>
      <c r="N13041" t="s">
        <v>38166</v>
      </c>
      <c r="O13041" t="s">
        <v>39555</v>
      </c>
      <c r="P13041">
        <v>23059</v>
      </c>
      <c r="Q13041" t="str">
        <f>"37.171121"</f>
        <v>37.171121</v>
      </c>
      <c r="R13041" t="str">
        <f>"22.306512"</f>
        <v>22.306512</v>
      </c>
      <c r="S13041" t="s">
        <v>26</v>
      </c>
    </row>
    <row r="13042" spans="1:19" x14ac:dyDescent="0.3">
      <c r="A13042" t="s">
        <v>37529</v>
      </c>
      <c r="B13042" t="s">
        <v>39512</v>
      </c>
      <c r="C13042" t="s">
        <v>39556</v>
      </c>
      <c r="D13042" t="s">
        <v>37551</v>
      </c>
      <c r="E13042" t="s">
        <v>37552</v>
      </c>
      <c r="F13042" t="s">
        <v>38189</v>
      </c>
      <c r="G13042" t="s">
        <v>33059</v>
      </c>
      <c r="H13042" t="s">
        <v>859</v>
      </c>
      <c r="I13042" t="s">
        <v>860</v>
      </c>
      <c r="J13042" t="str">
        <f>"9300250"</f>
        <v>9300250</v>
      </c>
      <c r="K13042">
        <v>2731035892</v>
      </c>
      <c r="M13042" t="s">
        <v>39557</v>
      </c>
      <c r="N13042" t="s">
        <v>39558</v>
      </c>
      <c r="O13042" t="s">
        <v>39559</v>
      </c>
      <c r="P13042">
        <v>23054</v>
      </c>
      <c r="Q13042" t="str">
        <f>"36.985498"</f>
        <v>36.985498</v>
      </c>
      <c r="R13042" t="str">
        <f>"22.436533"</f>
        <v>22.436533</v>
      </c>
      <c r="S13042" t="s">
        <v>26</v>
      </c>
    </row>
    <row r="13043" spans="1:19" x14ac:dyDescent="0.3">
      <c r="A13043" t="s">
        <v>37529</v>
      </c>
      <c r="B13043" t="s">
        <v>39512</v>
      </c>
      <c r="C13043" t="s">
        <v>39567</v>
      </c>
      <c r="D13043" t="s">
        <v>37551</v>
      </c>
      <c r="E13043" t="s">
        <v>38097</v>
      </c>
      <c r="F13043" t="s">
        <v>24992</v>
      </c>
      <c r="G13043" t="s">
        <v>39566</v>
      </c>
      <c r="H13043" t="s">
        <v>859</v>
      </c>
      <c r="I13043" t="s">
        <v>860</v>
      </c>
      <c r="J13043" t="str">
        <f>"9300221"</f>
        <v>9300221</v>
      </c>
      <c r="K13043">
        <v>2735061223</v>
      </c>
      <c r="M13043" t="s">
        <v>39568</v>
      </c>
      <c r="N13043" t="s">
        <v>39566</v>
      </c>
      <c r="O13043" t="s">
        <v>39569</v>
      </c>
      <c r="P13043">
        <v>23058</v>
      </c>
      <c r="Q13043" t="str">
        <f>"36.963594"</f>
        <v>36.963594</v>
      </c>
      <c r="R13043" t="str">
        <f>"22.657340"</f>
        <v>22.657340</v>
      </c>
      <c r="S13043" t="s">
        <v>26</v>
      </c>
    </row>
    <row r="13044" spans="1:19" x14ac:dyDescent="0.3">
      <c r="A13044" t="s">
        <v>37529</v>
      </c>
      <c r="B13044" t="s">
        <v>39512</v>
      </c>
      <c r="C13044" t="s">
        <v>39570</v>
      </c>
      <c r="D13044" t="s">
        <v>37551</v>
      </c>
      <c r="E13044" t="s">
        <v>38089</v>
      </c>
      <c r="F13044" t="s">
        <v>38090</v>
      </c>
      <c r="G13044" t="s">
        <v>38090</v>
      </c>
      <c r="H13044" t="s">
        <v>859</v>
      </c>
      <c r="I13044" t="s">
        <v>860</v>
      </c>
      <c r="J13044" t="str">
        <f>"9300273"</f>
        <v>9300273</v>
      </c>
      <c r="K13044">
        <v>2733022750</v>
      </c>
      <c r="L13044">
        <v>2733022750</v>
      </c>
      <c r="M13044" t="s">
        <v>39571</v>
      </c>
      <c r="N13044" t="s">
        <v>30986</v>
      </c>
      <c r="O13044" t="s">
        <v>39572</v>
      </c>
      <c r="P13044">
        <v>23200</v>
      </c>
      <c r="Q13044" t="str">
        <f>"36.736375"</f>
        <v>36.736375</v>
      </c>
      <c r="R13044" t="str">
        <f>"22.565778"</f>
        <v>22.565778</v>
      </c>
      <c r="S13044" t="s">
        <v>26</v>
      </c>
    </row>
    <row r="13045" spans="1:19" x14ac:dyDescent="0.3">
      <c r="A13045" t="s">
        <v>37529</v>
      </c>
      <c r="B13045" t="s">
        <v>39512</v>
      </c>
      <c r="C13045" t="s">
        <v>39573</v>
      </c>
      <c r="D13045" t="s">
        <v>37551</v>
      </c>
      <c r="E13045" t="s">
        <v>38097</v>
      </c>
      <c r="F13045" t="s">
        <v>24992</v>
      </c>
      <c r="G13045" t="s">
        <v>24992</v>
      </c>
      <c r="H13045" t="s">
        <v>859</v>
      </c>
      <c r="I13045" t="s">
        <v>860</v>
      </c>
      <c r="J13045" t="str">
        <f>"9300270"</f>
        <v>9300270</v>
      </c>
      <c r="K13045">
        <v>2735023988</v>
      </c>
      <c r="L13045">
        <v>2735023988</v>
      </c>
      <c r="M13045" t="s">
        <v>39574</v>
      </c>
      <c r="N13045" t="s">
        <v>24992</v>
      </c>
      <c r="O13045" t="s">
        <v>38151</v>
      </c>
      <c r="P13045">
        <v>23051</v>
      </c>
      <c r="Q13045" t="str">
        <f>"36.855811"</f>
        <v>36.855811</v>
      </c>
      <c r="R13045" t="str">
        <f>"22.674240"</f>
        <v>22.674240</v>
      </c>
      <c r="S13045" t="s">
        <v>26</v>
      </c>
    </row>
    <row r="13046" spans="1:19" x14ac:dyDescent="0.3">
      <c r="A13046" t="s">
        <v>37529</v>
      </c>
      <c r="B13046" t="s">
        <v>39512</v>
      </c>
      <c r="C13046" t="s">
        <v>39575</v>
      </c>
      <c r="D13046" t="s">
        <v>37551</v>
      </c>
      <c r="E13046" t="s">
        <v>38097</v>
      </c>
      <c r="F13046" t="s">
        <v>35593</v>
      </c>
      <c r="G13046" t="s">
        <v>35593</v>
      </c>
      <c r="H13046" t="s">
        <v>859</v>
      </c>
      <c r="I13046" t="s">
        <v>860</v>
      </c>
      <c r="J13046" t="str">
        <f>"9300231"</f>
        <v>9300231</v>
      </c>
      <c r="K13046">
        <v>2735055377</v>
      </c>
      <c r="L13046">
        <v>2735055377</v>
      </c>
      <c r="M13046" t="s">
        <v>39576</v>
      </c>
      <c r="N13046" t="s">
        <v>35593</v>
      </c>
      <c r="O13046" t="s">
        <v>39577</v>
      </c>
      <c r="P13046">
        <v>23055</v>
      </c>
      <c r="Q13046" t="str">
        <f>"36.834598"</f>
        <v>36.834598</v>
      </c>
      <c r="R13046" t="str">
        <f>"22.696239"</f>
        <v>22.696239</v>
      </c>
      <c r="S13046" t="s">
        <v>26</v>
      </c>
    </row>
    <row r="13047" spans="1:19" x14ac:dyDescent="0.3">
      <c r="A13047" t="s">
        <v>37529</v>
      </c>
      <c r="B13047" t="s">
        <v>39512</v>
      </c>
      <c r="C13047" t="s">
        <v>39584</v>
      </c>
      <c r="D13047" t="s">
        <v>37551</v>
      </c>
      <c r="E13047" t="s">
        <v>38097</v>
      </c>
      <c r="F13047" t="s">
        <v>24992</v>
      </c>
      <c r="G13047" t="s">
        <v>24992</v>
      </c>
      <c r="H13047" t="s">
        <v>859</v>
      </c>
      <c r="I13047" t="s">
        <v>860</v>
      </c>
      <c r="J13047" t="str">
        <f>"9520988"</f>
        <v>9520988</v>
      </c>
      <c r="K13047">
        <v>2735023698</v>
      </c>
      <c r="M13047" t="s">
        <v>39585</v>
      </c>
      <c r="N13047" t="s">
        <v>38151</v>
      </c>
      <c r="O13047" t="s">
        <v>38151</v>
      </c>
      <c r="P13047">
        <v>23051</v>
      </c>
      <c r="Q13047" t="str">
        <f>"36.854525"</f>
        <v>36.854525</v>
      </c>
      <c r="R13047" t="str">
        <f>"22.661381"</f>
        <v>22.661381</v>
      </c>
      <c r="S13047" t="s">
        <v>26</v>
      </c>
    </row>
    <row r="13048" spans="1:19" x14ac:dyDescent="0.3">
      <c r="A13048" t="s">
        <v>37529</v>
      </c>
      <c r="B13048" t="s">
        <v>39512</v>
      </c>
      <c r="C13048" t="s">
        <v>39586</v>
      </c>
      <c r="D13048" t="s">
        <v>37551</v>
      </c>
      <c r="E13048" t="s">
        <v>38097</v>
      </c>
      <c r="F13048" t="s">
        <v>38139</v>
      </c>
      <c r="G13048" t="s">
        <v>38139</v>
      </c>
      <c r="H13048" t="s">
        <v>859</v>
      </c>
      <c r="I13048" t="s">
        <v>860</v>
      </c>
      <c r="J13048" t="str">
        <f>"9300208"</f>
        <v>9300208</v>
      </c>
      <c r="K13048">
        <v>2735071678</v>
      </c>
      <c r="L13048">
        <v>27350719</v>
      </c>
      <c r="M13048" t="s">
        <v>39587</v>
      </c>
      <c r="N13048" t="s">
        <v>38139</v>
      </c>
      <c r="O13048" t="s">
        <v>38211</v>
      </c>
      <c r="P13048">
        <v>23057</v>
      </c>
      <c r="Q13048" t="str">
        <f>"36.883077"</f>
        <v>36.883077</v>
      </c>
      <c r="R13048" t="str">
        <f>"22.548979"</f>
        <v>22.548979</v>
      </c>
      <c r="S13048" t="s">
        <v>26</v>
      </c>
    </row>
    <row r="13049" spans="1:19" x14ac:dyDescent="0.3">
      <c r="A13049" t="s">
        <v>37529</v>
      </c>
      <c r="B13049" t="s">
        <v>39512</v>
      </c>
      <c r="C13049" t="s">
        <v>39589</v>
      </c>
      <c r="D13049" t="s">
        <v>37551</v>
      </c>
      <c r="E13049" t="s">
        <v>37552</v>
      </c>
      <c r="F13049" t="s">
        <v>37553</v>
      </c>
      <c r="G13049" t="s">
        <v>39588</v>
      </c>
      <c r="H13049" t="s">
        <v>859</v>
      </c>
      <c r="I13049" t="s">
        <v>860</v>
      </c>
      <c r="J13049" t="str">
        <f>"9300249"</f>
        <v>9300249</v>
      </c>
      <c r="K13049">
        <v>2731044751</v>
      </c>
      <c r="L13049">
        <v>2731044751</v>
      </c>
      <c r="M13049" t="s">
        <v>39590</v>
      </c>
      <c r="N13049" t="s">
        <v>39588</v>
      </c>
      <c r="O13049" t="s">
        <v>39591</v>
      </c>
      <c r="P13049">
        <v>23100</v>
      </c>
      <c r="Q13049" t="str">
        <f>"37.024244"</f>
        <v>37.024244</v>
      </c>
      <c r="R13049" t="str">
        <f>"22.440027"</f>
        <v>22.440027</v>
      </c>
      <c r="S13049" t="s">
        <v>26</v>
      </c>
    </row>
    <row r="13050" spans="1:19" x14ac:dyDescent="0.3">
      <c r="A13050" t="s">
        <v>37529</v>
      </c>
      <c r="B13050" t="s">
        <v>39512</v>
      </c>
      <c r="C13050" t="s">
        <v>39594</v>
      </c>
      <c r="D13050" t="s">
        <v>37551</v>
      </c>
      <c r="E13050" t="s">
        <v>38089</v>
      </c>
      <c r="F13050" t="s">
        <v>39592</v>
      </c>
      <c r="G13050" t="s">
        <v>39593</v>
      </c>
      <c r="H13050" t="s">
        <v>859</v>
      </c>
      <c r="I13050" t="s">
        <v>860</v>
      </c>
      <c r="J13050" t="str">
        <f>"9520603"</f>
        <v>9520603</v>
      </c>
      <c r="K13050">
        <v>2733092493</v>
      </c>
      <c r="M13050" t="s">
        <v>39595</v>
      </c>
      <c r="N13050" t="s">
        <v>39593</v>
      </c>
      <c r="O13050" t="s">
        <v>39596</v>
      </c>
      <c r="P13050">
        <v>23200</v>
      </c>
      <c r="Q13050" t="str">
        <f>"36.842574"</f>
        <v>36.842574</v>
      </c>
      <c r="R13050" t="str">
        <f>"22.496533"</f>
        <v>22.496533</v>
      </c>
      <c r="S13050" t="s">
        <v>26</v>
      </c>
    </row>
    <row r="13051" spans="1:19" x14ac:dyDescent="0.3">
      <c r="A13051" t="s">
        <v>37529</v>
      </c>
      <c r="B13051" t="s">
        <v>39512</v>
      </c>
      <c r="C13051" t="s">
        <v>39597</v>
      </c>
      <c r="D13051" t="s">
        <v>37551</v>
      </c>
      <c r="E13051" t="s">
        <v>38089</v>
      </c>
      <c r="F13051" t="s">
        <v>38090</v>
      </c>
      <c r="G13051" t="s">
        <v>38090</v>
      </c>
      <c r="H13051" t="s">
        <v>859</v>
      </c>
      <c r="I13051" t="s">
        <v>860</v>
      </c>
      <c r="J13051" t="str">
        <f>"9300247"</f>
        <v>9300247</v>
      </c>
      <c r="K13051">
        <v>2733022010</v>
      </c>
      <c r="L13051">
        <v>2733029028</v>
      </c>
      <c r="M13051" t="s">
        <v>39598</v>
      </c>
      <c r="N13051" t="s">
        <v>38094</v>
      </c>
      <c r="O13051" t="s">
        <v>39599</v>
      </c>
      <c r="P13051">
        <v>23200</v>
      </c>
      <c r="Q13051" t="str">
        <f>"36.763055"</f>
        <v>36.763055</v>
      </c>
      <c r="R13051" t="str">
        <f>"22.560735"</f>
        <v>22.560735</v>
      </c>
      <c r="S13051" t="s">
        <v>26</v>
      </c>
    </row>
    <row r="13052" spans="1:19" x14ac:dyDescent="0.3">
      <c r="A13052" t="s">
        <v>37529</v>
      </c>
      <c r="B13052" t="s">
        <v>39512</v>
      </c>
      <c r="C13052" t="s">
        <v>39600</v>
      </c>
      <c r="D13052" t="s">
        <v>37551</v>
      </c>
      <c r="E13052" t="s">
        <v>38089</v>
      </c>
      <c r="F13052" t="s">
        <v>38090</v>
      </c>
      <c r="G13052" t="s">
        <v>38090</v>
      </c>
      <c r="H13052" t="s">
        <v>859</v>
      </c>
      <c r="I13052" t="s">
        <v>860</v>
      </c>
      <c r="J13052" t="str">
        <f>"9300077"</f>
        <v>9300077</v>
      </c>
      <c r="K13052">
        <v>2733023556</v>
      </c>
      <c r="M13052" t="s">
        <v>39601</v>
      </c>
      <c r="N13052" t="s">
        <v>38090</v>
      </c>
      <c r="O13052" t="s">
        <v>39602</v>
      </c>
      <c r="P13052">
        <v>23200</v>
      </c>
      <c r="Q13052" t="str">
        <f>"36.755780"</f>
        <v>36.755780</v>
      </c>
      <c r="R13052" t="str">
        <f>"22.568736"</f>
        <v>22.568736</v>
      </c>
      <c r="S13052" t="s">
        <v>26</v>
      </c>
    </row>
    <row r="13053" spans="1:19" x14ac:dyDescent="0.3">
      <c r="A13053" t="s">
        <v>37529</v>
      </c>
      <c r="B13053" t="s">
        <v>39512</v>
      </c>
      <c r="C13053" t="s">
        <v>39604</v>
      </c>
      <c r="D13053" t="s">
        <v>37551</v>
      </c>
      <c r="E13053" t="s">
        <v>38089</v>
      </c>
      <c r="F13053" t="s">
        <v>38156</v>
      </c>
      <c r="G13053" t="s">
        <v>39603</v>
      </c>
      <c r="H13053" t="s">
        <v>859</v>
      </c>
      <c r="I13053" t="s">
        <v>860</v>
      </c>
      <c r="J13053" t="str">
        <f>"9300277"</f>
        <v>9300277</v>
      </c>
      <c r="K13053">
        <v>2733052808</v>
      </c>
      <c r="L13053">
        <v>2733052392</v>
      </c>
      <c r="M13053" t="s">
        <v>39605</v>
      </c>
      <c r="N13053" t="s">
        <v>38207</v>
      </c>
      <c r="O13053" t="s">
        <v>39606</v>
      </c>
      <c r="P13053">
        <v>23063</v>
      </c>
      <c r="Q13053" t="str">
        <f>"36.625622"</f>
        <v>36.625622</v>
      </c>
      <c r="R13053" t="str">
        <f>"22.381683"</f>
        <v>22.381683</v>
      </c>
      <c r="S13053" t="s">
        <v>26</v>
      </c>
    </row>
    <row r="13054" spans="1:19" x14ac:dyDescent="0.3">
      <c r="A13054" t="s">
        <v>37529</v>
      </c>
      <c r="B13054" t="s">
        <v>39512</v>
      </c>
      <c r="C13054" t="s">
        <v>39609</v>
      </c>
      <c r="D13054" t="s">
        <v>37551</v>
      </c>
      <c r="E13054" t="s">
        <v>37552</v>
      </c>
      <c r="F13054" t="s">
        <v>39513</v>
      </c>
      <c r="G13054" t="s">
        <v>6089</v>
      </c>
      <c r="H13054" t="s">
        <v>859</v>
      </c>
      <c r="I13054" t="s">
        <v>860</v>
      </c>
      <c r="J13054" t="str">
        <f>"9300220"</f>
        <v>9300220</v>
      </c>
      <c r="K13054">
        <v>2731029802</v>
      </c>
      <c r="L13054">
        <v>2731022202</v>
      </c>
      <c r="M13054" t="s">
        <v>39610</v>
      </c>
      <c r="N13054" t="s">
        <v>6092</v>
      </c>
      <c r="O13054" t="s">
        <v>39611</v>
      </c>
      <c r="P13054">
        <v>23100</v>
      </c>
      <c r="Q13054" t="str">
        <f>"37.080478"</f>
        <v>37.080478</v>
      </c>
      <c r="R13054" t="str">
        <f>"22.405124"</f>
        <v>22.405124</v>
      </c>
      <c r="S13054" t="s">
        <v>26</v>
      </c>
    </row>
    <row r="13055" spans="1:19" x14ac:dyDescent="0.3">
      <c r="A13055" t="s">
        <v>37529</v>
      </c>
      <c r="B13055" t="s">
        <v>39512</v>
      </c>
      <c r="C13055" t="s">
        <v>39620</v>
      </c>
      <c r="D13055" t="s">
        <v>37551</v>
      </c>
      <c r="E13055" t="s">
        <v>38097</v>
      </c>
      <c r="F13055" t="s">
        <v>24992</v>
      </c>
      <c r="G13055" t="s">
        <v>24992</v>
      </c>
      <c r="H13055" t="s">
        <v>859</v>
      </c>
      <c r="I13055" t="s">
        <v>860</v>
      </c>
      <c r="J13055" t="str">
        <f>"9300129"</f>
        <v>9300129</v>
      </c>
      <c r="K13055">
        <v>2735022800</v>
      </c>
      <c r="L13055">
        <v>2735022800</v>
      </c>
      <c r="M13055" t="s">
        <v>39621</v>
      </c>
      <c r="N13055" t="s">
        <v>24992</v>
      </c>
      <c r="O13055" t="s">
        <v>39622</v>
      </c>
      <c r="P13055">
        <v>23051</v>
      </c>
      <c r="Q13055" t="str">
        <f>"36.848738"</f>
        <v>36.848738</v>
      </c>
      <c r="R13055" t="str">
        <f>"22.667768"</f>
        <v>22.667768</v>
      </c>
      <c r="S13055" t="s">
        <v>26</v>
      </c>
    </row>
    <row r="13056" spans="1:19" x14ac:dyDescent="0.3">
      <c r="A13056" t="s">
        <v>37529</v>
      </c>
      <c r="B13056" t="s">
        <v>39512</v>
      </c>
      <c r="C13056" t="s">
        <v>39623</v>
      </c>
      <c r="D13056" t="s">
        <v>37551</v>
      </c>
      <c r="E13056" t="s">
        <v>38078</v>
      </c>
      <c r="F13056" t="s">
        <v>38116</v>
      </c>
      <c r="G13056" t="s">
        <v>4832</v>
      </c>
      <c r="H13056" t="s">
        <v>859</v>
      </c>
      <c r="I13056" t="s">
        <v>860</v>
      </c>
      <c r="J13056" t="str">
        <f>"9300266"</f>
        <v>9300266</v>
      </c>
      <c r="K13056">
        <v>2732023450</v>
      </c>
      <c r="L13056">
        <v>2732023450</v>
      </c>
      <c r="M13056" t="s">
        <v>39624</v>
      </c>
      <c r="N13056" t="s">
        <v>4928</v>
      </c>
      <c r="O13056" t="s">
        <v>39625</v>
      </c>
      <c r="P13056">
        <v>23058</v>
      </c>
      <c r="Q13056" t="str">
        <f>"36.805966"</f>
        <v>36.805966</v>
      </c>
      <c r="R13056" t="str">
        <f>"22.914497"</f>
        <v>22.914497</v>
      </c>
      <c r="S13056" t="s">
        <v>26</v>
      </c>
    </row>
    <row r="13057" spans="1:19" x14ac:dyDescent="0.3">
      <c r="A13057" t="s">
        <v>37529</v>
      </c>
      <c r="B13057" t="s">
        <v>39512</v>
      </c>
      <c r="C13057" t="s">
        <v>39633</v>
      </c>
      <c r="D13057" t="s">
        <v>37551</v>
      </c>
      <c r="E13057" t="s">
        <v>38078</v>
      </c>
      <c r="F13057" t="s">
        <v>38116</v>
      </c>
      <c r="G13057" t="s">
        <v>38116</v>
      </c>
      <c r="H13057" t="s">
        <v>859</v>
      </c>
      <c r="I13057" t="s">
        <v>860</v>
      </c>
      <c r="J13057" t="str">
        <f>"9300148"</f>
        <v>9300148</v>
      </c>
      <c r="K13057">
        <v>2732023591</v>
      </c>
      <c r="L13057">
        <v>2732023591</v>
      </c>
      <c r="M13057" t="s">
        <v>39634</v>
      </c>
      <c r="N13057" t="s">
        <v>38116</v>
      </c>
      <c r="O13057" t="s">
        <v>38120</v>
      </c>
      <c r="P13057">
        <v>23052</v>
      </c>
      <c r="Q13057" t="str">
        <f>"36.803175"</f>
        <v>36.803175</v>
      </c>
      <c r="R13057" t="str">
        <f>"22.858955"</f>
        <v>22.858955</v>
      </c>
      <c r="S13057" t="s">
        <v>26</v>
      </c>
    </row>
    <row r="13058" spans="1:19" x14ac:dyDescent="0.3">
      <c r="A13058" t="s">
        <v>37529</v>
      </c>
      <c r="B13058" t="s">
        <v>39512</v>
      </c>
      <c r="C13058" t="s">
        <v>39654</v>
      </c>
      <c r="D13058" t="s">
        <v>37551</v>
      </c>
      <c r="E13058" t="s">
        <v>38089</v>
      </c>
      <c r="F13058" t="s">
        <v>38089</v>
      </c>
      <c r="G13058" t="s">
        <v>39578</v>
      </c>
      <c r="H13058" t="s">
        <v>859</v>
      </c>
      <c r="I13058" t="s">
        <v>860</v>
      </c>
      <c r="J13058" t="str">
        <f>"9300283"</f>
        <v>9300283</v>
      </c>
      <c r="K13058">
        <v>2733021901</v>
      </c>
      <c r="L13058">
        <v>2733021325</v>
      </c>
      <c r="M13058" t="s">
        <v>39655</v>
      </c>
      <c r="N13058" t="s">
        <v>39656</v>
      </c>
      <c r="O13058" t="s">
        <v>39657</v>
      </c>
      <c r="P13058">
        <v>23066</v>
      </c>
      <c r="Q13058" t="str">
        <f>"36.626864"</f>
        <v>36.626864</v>
      </c>
      <c r="R13058" t="str">
        <f>"22.467802"</f>
        <v>22.467802</v>
      </c>
      <c r="S13058" t="s">
        <v>26</v>
      </c>
    </row>
    <row r="13059" spans="1:19" x14ac:dyDescent="0.3">
      <c r="A13059" t="s">
        <v>37529</v>
      </c>
      <c r="B13059" t="s">
        <v>39512</v>
      </c>
      <c r="C13059" t="s">
        <v>39658</v>
      </c>
      <c r="D13059" t="s">
        <v>37551</v>
      </c>
      <c r="E13059" t="s">
        <v>38097</v>
      </c>
      <c r="F13059" t="s">
        <v>35593</v>
      </c>
      <c r="G13059" t="s">
        <v>38177</v>
      </c>
      <c r="H13059" t="s">
        <v>859</v>
      </c>
      <c r="I13059" t="s">
        <v>860</v>
      </c>
      <c r="J13059" t="str">
        <f>"9300206"</f>
        <v>9300206</v>
      </c>
      <c r="K13059">
        <v>2735041588</v>
      </c>
      <c r="L13059">
        <v>2735041588</v>
      </c>
      <c r="M13059" t="s">
        <v>39659</v>
      </c>
      <c r="N13059" t="s">
        <v>38177</v>
      </c>
      <c r="O13059" t="s">
        <v>39660</v>
      </c>
      <c r="P13059">
        <v>23055</v>
      </c>
      <c r="Q13059" t="str">
        <f>"36.864924"</f>
        <v>36.864924</v>
      </c>
      <c r="R13059" t="str">
        <f>"22.709724"</f>
        <v>22.709724</v>
      </c>
      <c r="S13059" t="s">
        <v>26</v>
      </c>
    </row>
    <row r="13060" spans="1:19" x14ac:dyDescent="0.3">
      <c r="A13060" t="s">
        <v>37529</v>
      </c>
      <c r="B13060" t="s">
        <v>39512</v>
      </c>
      <c r="C13060" t="s">
        <v>39663</v>
      </c>
      <c r="D13060" t="s">
        <v>37551</v>
      </c>
      <c r="E13060" t="s">
        <v>38089</v>
      </c>
      <c r="F13060" t="s">
        <v>38156</v>
      </c>
      <c r="G13060" t="s">
        <v>38157</v>
      </c>
      <c r="H13060" t="s">
        <v>859</v>
      </c>
      <c r="I13060" t="s">
        <v>860</v>
      </c>
      <c r="J13060" t="str">
        <f>"9300259"</f>
        <v>9300259</v>
      </c>
      <c r="K13060">
        <v>2733029508</v>
      </c>
      <c r="L13060">
        <v>2733029508</v>
      </c>
      <c r="M13060" t="s">
        <v>39664</v>
      </c>
      <c r="N13060" t="s">
        <v>38208</v>
      </c>
      <c r="O13060" t="s">
        <v>38160</v>
      </c>
      <c r="P13060">
        <v>23062</v>
      </c>
      <c r="Q13060" t="str">
        <f>"36.667197"</f>
        <v>36.667197</v>
      </c>
      <c r="R13060" t="str">
        <f>"22.380473"</f>
        <v>22.380473</v>
      </c>
      <c r="S13060" t="s">
        <v>26</v>
      </c>
    </row>
    <row r="13061" spans="1:19" x14ac:dyDescent="0.3">
      <c r="A13061" t="s">
        <v>37529</v>
      </c>
      <c r="B13061" t="s">
        <v>39512</v>
      </c>
      <c r="C13061" t="s">
        <v>39671</v>
      </c>
      <c r="D13061" t="s">
        <v>37551</v>
      </c>
      <c r="E13061" t="s">
        <v>37552</v>
      </c>
      <c r="F13061" t="s">
        <v>37553</v>
      </c>
      <c r="G13061" t="s">
        <v>37552</v>
      </c>
      <c r="H13061" t="s">
        <v>859</v>
      </c>
      <c r="I13061" t="s">
        <v>860</v>
      </c>
      <c r="J13061" t="str">
        <f>"9300006"</f>
        <v>9300006</v>
      </c>
      <c r="K13061">
        <v>2731025840</v>
      </c>
      <c r="L13061">
        <v>2731025840</v>
      </c>
      <c r="M13061" t="s">
        <v>39672</v>
      </c>
      <c r="N13061" t="s">
        <v>37552</v>
      </c>
      <c r="O13061" t="s">
        <v>39673</v>
      </c>
      <c r="P13061">
        <v>23100</v>
      </c>
      <c r="Q13061" t="str">
        <f>"37.074383"</f>
        <v>37.074383</v>
      </c>
      <c r="R13061" t="str">
        <f>"22.425916"</f>
        <v>22.425916</v>
      </c>
      <c r="S13061" t="s">
        <v>26</v>
      </c>
    </row>
    <row r="13062" spans="1:19" x14ac:dyDescent="0.3">
      <c r="A13062" t="s">
        <v>37529</v>
      </c>
      <c r="B13062" t="s">
        <v>39512</v>
      </c>
      <c r="C13062" t="s">
        <v>39676</v>
      </c>
      <c r="D13062" t="s">
        <v>37551</v>
      </c>
      <c r="E13062" t="s">
        <v>38097</v>
      </c>
      <c r="F13062" t="s">
        <v>38098</v>
      </c>
      <c r="G13062" t="s">
        <v>16876</v>
      </c>
      <c r="H13062" t="s">
        <v>859</v>
      </c>
      <c r="I13062" t="s">
        <v>860</v>
      </c>
      <c r="J13062" t="str">
        <f>"9300204"</f>
        <v>9300204</v>
      </c>
      <c r="K13062">
        <v>2731071734</v>
      </c>
      <c r="L13062">
        <v>2731071347</v>
      </c>
      <c r="M13062" t="s">
        <v>39677</v>
      </c>
      <c r="N13062" t="s">
        <v>16876</v>
      </c>
      <c r="O13062" t="s">
        <v>38101</v>
      </c>
      <c r="P13062">
        <v>23058</v>
      </c>
      <c r="Q13062" t="str">
        <f>"36.989100"</f>
        <v>36.989100</v>
      </c>
      <c r="R13062" t="str">
        <f>"22.705227"</f>
        <v>22.705227</v>
      </c>
      <c r="S13062" t="s">
        <v>26</v>
      </c>
    </row>
    <row r="13063" spans="1:19" x14ac:dyDescent="0.3">
      <c r="A13063" t="s">
        <v>37529</v>
      </c>
      <c r="B13063" t="s">
        <v>39512</v>
      </c>
      <c r="C13063" t="s">
        <v>39678</v>
      </c>
      <c r="D13063" t="s">
        <v>37551</v>
      </c>
      <c r="E13063" t="s">
        <v>38078</v>
      </c>
      <c r="F13063" t="s">
        <v>38116</v>
      </c>
      <c r="G13063" t="s">
        <v>27389</v>
      </c>
      <c r="H13063" t="s">
        <v>859</v>
      </c>
      <c r="I13063" t="s">
        <v>860</v>
      </c>
      <c r="J13063" t="str">
        <f>"9300224"</f>
        <v>9300224</v>
      </c>
      <c r="K13063">
        <v>2732071049</v>
      </c>
      <c r="L13063">
        <v>2732071049</v>
      </c>
      <c r="M13063" t="s">
        <v>39679</v>
      </c>
      <c r="N13063" t="s">
        <v>27389</v>
      </c>
      <c r="O13063" t="s">
        <v>39680</v>
      </c>
      <c r="P13063">
        <v>23052</v>
      </c>
      <c r="Q13063" t="str">
        <f>"36.765792"</f>
        <v>36.765792</v>
      </c>
      <c r="R13063" t="str">
        <f>"22.940886"</f>
        <v>22.940886</v>
      </c>
      <c r="S13063" t="s">
        <v>26</v>
      </c>
    </row>
    <row r="13064" spans="1:19" x14ac:dyDescent="0.3">
      <c r="A13064" t="s">
        <v>37529</v>
      </c>
      <c r="B13064" t="s">
        <v>39512</v>
      </c>
      <c r="C13064" t="s">
        <v>39684</v>
      </c>
      <c r="D13064" t="s">
        <v>37551</v>
      </c>
      <c r="E13064" t="s">
        <v>38078</v>
      </c>
      <c r="F13064" t="s">
        <v>38078</v>
      </c>
      <c r="G13064" t="s">
        <v>38078</v>
      </c>
      <c r="H13064" t="s">
        <v>859</v>
      </c>
      <c r="I13064" t="s">
        <v>860</v>
      </c>
      <c r="J13064" t="str">
        <f>"9300238"</f>
        <v>9300238</v>
      </c>
      <c r="K13064">
        <v>2732062040</v>
      </c>
      <c r="L13064">
        <v>2732062040</v>
      </c>
      <c r="M13064" t="s">
        <v>39685</v>
      </c>
      <c r="N13064" t="s">
        <v>38078</v>
      </c>
      <c r="O13064" t="s">
        <v>38081</v>
      </c>
      <c r="P13064">
        <v>23070</v>
      </c>
      <c r="Q13064" t="str">
        <f>"36.688533"</f>
        <v>36.688533</v>
      </c>
      <c r="R13064" t="str">
        <f>"23.031892"</f>
        <v>23.031892</v>
      </c>
      <c r="S13064" t="s">
        <v>26</v>
      </c>
    </row>
    <row r="13065" spans="1:19" x14ac:dyDescent="0.3">
      <c r="A13065" t="s">
        <v>37529</v>
      </c>
      <c r="B13065" t="s">
        <v>39512</v>
      </c>
      <c r="C13065" t="s">
        <v>39686</v>
      </c>
      <c r="D13065" t="s">
        <v>37551</v>
      </c>
      <c r="E13065" t="s">
        <v>37552</v>
      </c>
      <c r="F13065" t="s">
        <v>37553</v>
      </c>
      <c r="G13065" t="s">
        <v>37552</v>
      </c>
      <c r="H13065" t="s">
        <v>859</v>
      </c>
      <c r="I13065" t="s">
        <v>860</v>
      </c>
      <c r="J13065" t="str">
        <f>"9300243"</f>
        <v>9300243</v>
      </c>
      <c r="K13065">
        <v>2731025757</v>
      </c>
      <c r="M13065" t="s">
        <v>39687</v>
      </c>
      <c r="N13065" t="s">
        <v>37556</v>
      </c>
      <c r="O13065" t="s">
        <v>39688</v>
      </c>
      <c r="P13065">
        <v>23100</v>
      </c>
      <c r="Q13065" t="str">
        <f>"37.062503"</f>
        <v>37.062503</v>
      </c>
      <c r="R13065" t="str">
        <f>"22.435592"</f>
        <v>22.435592</v>
      </c>
      <c r="S13065" t="s">
        <v>26</v>
      </c>
    </row>
    <row r="13066" spans="1:19" x14ac:dyDescent="0.3">
      <c r="A13066" t="s">
        <v>37529</v>
      </c>
      <c r="B13066" t="s">
        <v>39512</v>
      </c>
      <c r="C13066" t="s">
        <v>39689</v>
      </c>
      <c r="D13066" t="s">
        <v>37551</v>
      </c>
      <c r="E13066" t="s">
        <v>38097</v>
      </c>
      <c r="F13066" t="s">
        <v>39536</v>
      </c>
      <c r="G13066" t="s">
        <v>39536</v>
      </c>
      <c r="H13066" t="s">
        <v>859</v>
      </c>
      <c r="I13066" t="s">
        <v>860</v>
      </c>
      <c r="J13066" t="str">
        <f>"9300234"</f>
        <v>9300234</v>
      </c>
      <c r="K13066">
        <v>2732031255</v>
      </c>
      <c r="L13066">
        <v>2732031255</v>
      </c>
      <c r="M13066" t="s">
        <v>39690</v>
      </c>
      <c r="N13066" t="s">
        <v>39691</v>
      </c>
      <c r="O13066" t="s">
        <v>39540</v>
      </c>
      <c r="P13066">
        <v>23060</v>
      </c>
      <c r="Q13066" t="str">
        <f>"36.896086"</f>
        <v>36.896086</v>
      </c>
      <c r="R13066" t="str">
        <f>"22.844267"</f>
        <v>22.844267</v>
      </c>
      <c r="S13066" t="s">
        <v>26</v>
      </c>
    </row>
    <row r="13067" spans="1:19" x14ac:dyDescent="0.3">
      <c r="A13067" t="s">
        <v>37529</v>
      </c>
      <c r="B13067" t="s">
        <v>39512</v>
      </c>
      <c r="C13067" t="s">
        <v>39702</v>
      </c>
      <c r="D13067" t="s">
        <v>37551</v>
      </c>
      <c r="E13067" t="s">
        <v>38078</v>
      </c>
      <c r="F13067" t="s">
        <v>38078</v>
      </c>
      <c r="G13067" t="s">
        <v>39701</v>
      </c>
      <c r="H13067" t="s">
        <v>859</v>
      </c>
      <c r="I13067" t="s">
        <v>860</v>
      </c>
      <c r="J13067" t="str">
        <f>"9300264"</f>
        <v>9300264</v>
      </c>
      <c r="K13067">
        <v>2732071648</v>
      </c>
      <c r="L13067">
        <v>2732071648</v>
      </c>
      <c r="M13067" t="s">
        <v>39703</v>
      </c>
      <c r="N13067" t="s">
        <v>39701</v>
      </c>
      <c r="O13067" t="s">
        <v>39704</v>
      </c>
      <c r="P13067">
        <v>23052</v>
      </c>
      <c r="Q13067" t="str">
        <f>"36.753300"</f>
        <v>36.753300</v>
      </c>
      <c r="R13067" t="str">
        <f>"22.965348"</f>
        <v>22.965348</v>
      </c>
      <c r="S13067" t="s">
        <v>26</v>
      </c>
    </row>
    <row r="13068" spans="1:19" x14ac:dyDescent="0.3">
      <c r="A13068" t="s">
        <v>37529</v>
      </c>
      <c r="B13068" t="s">
        <v>39512</v>
      </c>
      <c r="C13068" t="s">
        <v>39706</v>
      </c>
      <c r="D13068" t="s">
        <v>37551</v>
      </c>
      <c r="E13068" t="s">
        <v>38078</v>
      </c>
      <c r="F13068" t="s">
        <v>39541</v>
      </c>
      <c r="G13068" t="s">
        <v>39705</v>
      </c>
      <c r="H13068" t="s">
        <v>859</v>
      </c>
      <c r="I13068" t="s">
        <v>860</v>
      </c>
      <c r="J13068" t="str">
        <f>"9300267"</f>
        <v>9300267</v>
      </c>
      <c r="K13068">
        <v>2732051148</v>
      </c>
      <c r="L13068">
        <v>2732051234</v>
      </c>
      <c r="M13068" t="s">
        <v>39707</v>
      </c>
      <c r="N13068" t="s">
        <v>39705</v>
      </c>
      <c r="O13068" t="s">
        <v>39708</v>
      </c>
      <c r="P13068">
        <v>23052</v>
      </c>
      <c r="Q13068" t="str">
        <f>"36.846026"</f>
        <v>36.846026</v>
      </c>
      <c r="R13068" t="str">
        <f>"23.006022"</f>
        <v>23.006022</v>
      </c>
      <c r="S13068" t="s">
        <v>26</v>
      </c>
    </row>
    <row r="13069" spans="1:19" x14ac:dyDescent="0.3">
      <c r="A13069" t="s">
        <v>37529</v>
      </c>
      <c r="B13069" t="s">
        <v>39512</v>
      </c>
      <c r="C13069" t="s">
        <v>39720</v>
      </c>
      <c r="D13069" t="s">
        <v>37551</v>
      </c>
      <c r="E13069" t="s">
        <v>38078</v>
      </c>
      <c r="F13069" t="s">
        <v>38103</v>
      </c>
      <c r="G13069" t="s">
        <v>8387</v>
      </c>
      <c r="H13069" t="s">
        <v>859</v>
      </c>
      <c r="I13069" t="s">
        <v>860</v>
      </c>
      <c r="J13069" t="str">
        <f>"9300265"</f>
        <v>9300265</v>
      </c>
      <c r="K13069">
        <v>2734047593</v>
      </c>
      <c r="L13069">
        <v>2734047593</v>
      </c>
      <c r="M13069" t="s">
        <v>39721</v>
      </c>
      <c r="N13069" t="s">
        <v>39722</v>
      </c>
      <c r="O13069" t="s">
        <v>39723</v>
      </c>
      <c r="P13069">
        <v>23053</v>
      </c>
      <c r="Q13069" t="str">
        <f>"36.552490"</f>
        <v>36.552490</v>
      </c>
      <c r="R13069" t="str">
        <f>"23.026802"</f>
        <v>23.026802</v>
      </c>
      <c r="S13069" t="s">
        <v>26</v>
      </c>
    </row>
    <row r="13070" spans="1:19" x14ac:dyDescent="0.3">
      <c r="A13070" t="s">
        <v>37529</v>
      </c>
      <c r="B13070" t="s">
        <v>39512</v>
      </c>
      <c r="C13070" t="s">
        <v>39724</v>
      </c>
      <c r="D13070" t="s">
        <v>37551</v>
      </c>
      <c r="E13070" t="s">
        <v>38231</v>
      </c>
      <c r="F13070" t="s">
        <v>38231</v>
      </c>
      <c r="G13070" t="s">
        <v>38231</v>
      </c>
      <c r="H13070" t="s">
        <v>859</v>
      </c>
      <c r="I13070" t="s">
        <v>860</v>
      </c>
      <c r="J13070" t="str">
        <f>"9300215"</f>
        <v>9300215</v>
      </c>
      <c r="K13070">
        <v>2734061350</v>
      </c>
      <c r="L13070">
        <v>2734061350</v>
      </c>
      <c r="M13070" t="s">
        <v>39725</v>
      </c>
      <c r="N13070" t="s">
        <v>38231</v>
      </c>
      <c r="O13070" t="s">
        <v>38234</v>
      </c>
      <c r="P13070">
        <v>23053</v>
      </c>
      <c r="Q13070" t="str">
        <f>"36.507437"</f>
        <v>36.507437</v>
      </c>
      <c r="R13070" t="str">
        <f>"22.979131"</f>
        <v>22.979131</v>
      </c>
      <c r="S13070" t="s">
        <v>57</v>
      </c>
    </row>
    <row r="13071" spans="1:19" x14ac:dyDescent="0.3">
      <c r="A13071" t="s">
        <v>37529</v>
      </c>
      <c r="B13071" t="s">
        <v>39512</v>
      </c>
      <c r="C13071" t="s">
        <v>39726</v>
      </c>
      <c r="D13071" t="s">
        <v>37551</v>
      </c>
      <c r="E13071" t="s">
        <v>38078</v>
      </c>
      <c r="F13071" t="s">
        <v>38109</v>
      </c>
      <c r="G13071" t="s">
        <v>38109</v>
      </c>
      <c r="H13071" t="s">
        <v>859</v>
      </c>
      <c r="I13071" t="s">
        <v>860</v>
      </c>
      <c r="J13071" t="str">
        <f>"9300233"</f>
        <v>9300233</v>
      </c>
      <c r="K13071">
        <v>2732083453</v>
      </c>
      <c r="L13071">
        <v>2732083453</v>
      </c>
      <c r="M13071" t="s">
        <v>39727</v>
      </c>
      <c r="N13071" t="s">
        <v>38109</v>
      </c>
      <c r="O13071" t="s">
        <v>39728</v>
      </c>
      <c r="P13071">
        <v>23056</v>
      </c>
      <c r="Q13071" t="str">
        <f>"36.733528"</f>
        <v>36.733528</v>
      </c>
      <c r="R13071" t="str">
        <f>"22.856710"</f>
        <v>22.856710</v>
      </c>
      <c r="S13071" t="s">
        <v>26</v>
      </c>
    </row>
    <row r="13072" spans="1:19" x14ac:dyDescent="0.3">
      <c r="A13072" t="s">
        <v>37529</v>
      </c>
      <c r="B13072" t="s">
        <v>39512</v>
      </c>
      <c r="C13072" t="s">
        <v>39730</v>
      </c>
      <c r="D13072" t="s">
        <v>37551</v>
      </c>
      <c r="E13072" t="s">
        <v>38097</v>
      </c>
      <c r="F13072" t="s">
        <v>35593</v>
      </c>
      <c r="G13072" t="s">
        <v>39729</v>
      </c>
      <c r="H13072" t="s">
        <v>859</v>
      </c>
      <c r="I13072" t="s">
        <v>860</v>
      </c>
      <c r="J13072" t="str">
        <f>"9300225"</f>
        <v>9300225</v>
      </c>
      <c r="K13072">
        <v>2735091383</v>
      </c>
      <c r="L13072">
        <v>2735091383</v>
      </c>
      <c r="M13072" t="s">
        <v>39731</v>
      </c>
      <c r="N13072" t="s">
        <v>39729</v>
      </c>
      <c r="O13072" t="s">
        <v>39732</v>
      </c>
      <c r="P13072">
        <v>23055</v>
      </c>
      <c r="Q13072" t="str">
        <f>"36.827867"</f>
        <v>36.827867</v>
      </c>
      <c r="R13072" t="str">
        <f>"22.777170"</f>
        <v>22.777170</v>
      </c>
      <c r="S13072" t="s">
        <v>26</v>
      </c>
    </row>
    <row r="13073" spans="1:19" x14ac:dyDescent="0.3">
      <c r="A13073" t="s">
        <v>37529</v>
      </c>
      <c r="B13073" t="s">
        <v>39512</v>
      </c>
      <c r="C13073" t="s">
        <v>39733</v>
      </c>
      <c r="D13073" t="s">
        <v>37551</v>
      </c>
      <c r="E13073" t="s">
        <v>37552</v>
      </c>
      <c r="F13073" t="s">
        <v>37553</v>
      </c>
      <c r="G13073" t="s">
        <v>37552</v>
      </c>
      <c r="H13073" t="s">
        <v>859</v>
      </c>
      <c r="I13073" t="s">
        <v>860</v>
      </c>
      <c r="J13073" t="str">
        <f>"9300256"</f>
        <v>9300256</v>
      </c>
      <c r="K13073">
        <v>2731082430</v>
      </c>
      <c r="L13073">
        <v>2731082430</v>
      </c>
      <c r="M13073" t="s">
        <v>39734</v>
      </c>
      <c r="N13073" t="s">
        <v>39735</v>
      </c>
      <c r="O13073" t="s">
        <v>39736</v>
      </c>
      <c r="P13073">
        <v>23100</v>
      </c>
      <c r="Q13073" t="str">
        <f>"37.101051"</f>
        <v>37.101051</v>
      </c>
      <c r="R13073" t="str">
        <f>"22.434414"</f>
        <v>22.434414</v>
      </c>
      <c r="S13073" t="s">
        <v>26</v>
      </c>
    </row>
    <row r="13074" spans="1:19" x14ac:dyDescent="0.3">
      <c r="A13074" t="s">
        <v>37529</v>
      </c>
      <c r="B13074" t="s">
        <v>39512</v>
      </c>
      <c r="C13074" t="s">
        <v>39737</v>
      </c>
      <c r="D13074" t="s">
        <v>37551</v>
      </c>
      <c r="E13074" t="s">
        <v>37552</v>
      </c>
      <c r="F13074" t="s">
        <v>39694</v>
      </c>
      <c r="G13074" t="s">
        <v>39695</v>
      </c>
      <c r="H13074" t="s">
        <v>859</v>
      </c>
      <c r="I13074" t="s">
        <v>860</v>
      </c>
      <c r="J13074" t="str">
        <f>"9300253"</f>
        <v>9300253</v>
      </c>
      <c r="K13074">
        <v>2731074577</v>
      </c>
      <c r="M13074" t="s">
        <v>39738</v>
      </c>
      <c r="N13074" t="s">
        <v>39695</v>
      </c>
      <c r="O13074" t="s">
        <v>39700</v>
      </c>
      <c r="P13074">
        <v>23100</v>
      </c>
      <c r="Q13074" t="str">
        <f>"37.028341"</f>
        <v>37.028341</v>
      </c>
      <c r="R13074" t="str">
        <f>"22.562325"</f>
        <v>22.562325</v>
      </c>
      <c r="S13074" t="s">
        <v>26</v>
      </c>
    </row>
    <row r="13075" spans="1:19" x14ac:dyDescent="0.3">
      <c r="A13075" t="s">
        <v>37529</v>
      </c>
      <c r="B13075" t="s">
        <v>39512</v>
      </c>
      <c r="C13075" t="s">
        <v>39739</v>
      </c>
      <c r="D13075" t="s">
        <v>37551</v>
      </c>
      <c r="E13075" t="s">
        <v>37552</v>
      </c>
      <c r="F13075" t="s">
        <v>38189</v>
      </c>
      <c r="G13075" t="s">
        <v>38190</v>
      </c>
      <c r="H13075" t="s">
        <v>859</v>
      </c>
      <c r="I13075" t="s">
        <v>860</v>
      </c>
      <c r="J13075" t="str">
        <f>"9300214"</f>
        <v>9300214</v>
      </c>
      <c r="K13075">
        <v>2731035675</v>
      </c>
      <c r="L13075">
        <v>273103567</v>
      </c>
      <c r="M13075" t="s">
        <v>39740</v>
      </c>
      <c r="N13075" t="s">
        <v>38190</v>
      </c>
      <c r="O13075" t="s">
        <v>39741</v>
      </c>
      <c r="P13075">
        <v>23150</v>
      </c>
      <c r="Q13075" t="str">
        <f>"36.961687"</f>
        <v>36.961687</v>
      </c>
      <c r="R13075" t="str">
        <f>"22.454413"</f>
        <v>22.454413</v>
      </c>
      <c r="S13075" t="s">
        <v>26</v>
      </c>
    </row>
    <row r="13076" spans="1:19" x14ac:dyDescent="0.3">
      <c r="A13076" t="s">
        <v>37529</v>
      </c>
      <c r="B13076" t="s">
        <v>39512</v>
      </c>
      <c r="C13076" t="s">
        <v>39743</v>
      </c>
      <c r="D13076" t="s">
        <v>37551</v>
      </c>
      <c r="E13076" t="s">
        <v>37552</v>
      </c>
      <c r="F13076" t="s">
        <v>39694</v>
      </c>
      <c r="G13076" t="s">
        <v>39742</v>
      </c>
      <c r="H13076" t="s">
        <v>859</v>
      </c>
      <c r="I13076" t="s">
        <v>860</v>
      </c>
      <c r="J13076" t="str">
        <f>"9300252"</f>
        <v>9300252</v>
      </c>
      <c r="K13076">
        <v>2731077412</v>
      </c>
      <c r="M13076" t="s">
        <v>39744</v>
      </c>
      <c r="N13076" t="s">
        <v>39742</v>
      </c>
      <c r="O13076" t="s">
        <v>39745</v>
      </c>
      <c r="P13076">
        <v>23100</v>
      </c>
      <c r="Q13076" t="str">
        <f>"37.015093"</f>
        <v>37.015093</v>
      </c>
      <c r="R13076" t="str">
        <f>"22.491960"</f>
        <v>22.491960</v>
      </c>
      <c r="S13076" t="s">
        <v>26</v>
      </c>
    </row>
    <row r="13077" spans="1:19" x14ac:dyDescent="0.3">
      <c r="A13077" t="s">
        <v>37529</v>
      </c>
      <c r="B13077" t="s">
        <v>39512</v>
      </c>
      <c r="C13077" t="s">
        <v>39752</v>
      </c>
      <c r="D13077" t="s">
        <v>37551</v>
      </c>
      <c r="E13077" t="s">
        <v>37552</v>
      </c>
      <c r="F13077" t="s">
        <v>39612</v>
      </c>
      <c r="G13077" t="s">
        <v>39613</v>
      </c>
      <c r="H13077" t="s">
        <v>859</v>
      </c>
      <c r="I13077" t="s">
        <v>860</v>
      </c>
      <c r="J13077" t="str">
        <f>"9520683"</f>
        <v>9520683</v>
      </c>
      <c r="K13077">
        <v>2731094553</v>
      </c>
      <c r="L13077">
        <v>2731094553</v>
      </c>
      <c r="M13077" t="s">
        <v>39753</v>
      </c>
      <c r="N13077" t="s">
        <v>39613</v>
      </c>
      <c r="O13077" t="s">
        <v>39617</v>
      </c>
      <c r="P13077">
        <v>23100</v>
      </c>
      <c r="Q13077" t="str">
        <f>"37.167776"</f>
        <v>37.167776</v>
      </c>
      <c r="R13077" t="str">
        <f>"22.414210"</f>
        <v>22.414210</v>
      </c>
      <c r="S13077" t="s">
        <v>26</v>
      </c>
    </row>
    <row r="13078" spans="1:19" x14ac:dyDescent="0.3">
      <c r="A13078" t="s">
        <v>37529</v>
      </c>
      <c r="B13078" t="s">
        <v>39512</v>
      </c>
      <c r="C13078" t="s">
        <v>39757</v>
      </c>
      <c r="D13078" t="s">
        <v>37551</v>
      </c>
      <c r="E13078" t="s">
        <v>37552</v>
      </c>
      <c r="F13078" t="s">
        <v>37553</v>
      </c>
      <c r="G13078" t="s">
        <v>37552</v>
      </c>
      <c r="H13078" t="s">
        <v>859</v>
      </c>
      <c r="I13078" t="s">
        <v>860</v>
      </c>
      <c r="J13078" t="str">
        <f>"9300010"</f>
        <v>9300010</v>
      </c>
      <c r="K13078">
        <v>2731021792</v>
      </c>
      <c r="M13078" t="s">
        <v>39758</v>
      </c>
      <c r="N13078" t="s">
        <v>37552</v>
      </c>
      <c r="O13078" t="s">
        <v>39759</v>
      </c>
      <c r="P13078">
        <v>23100</v>
      </c>
      <c r="Q13078" t="str">
        <f>"37.074216"</f>
        <v>37.074216</v>
      </c>
      <c r="R13078" t="str">
        <f>"22.436184"</f>
        <v>22.436184</v>
      </c>
      <c r="S13078" t="s">
        <v>26</v>
      </c>
    </row>
    <row r="13079" spans="1:19" x14ac:dyDescent="0.3">
      <c r="A13079" t="s">
        <v>37529</v>
      </c>
      <c r="B13079" t="s">
        <v>39512</v>
      </c>
      <c r="C13079" t="s">
        <v>39760</v>
      </c>
      <c r="D13079" t="s">
        <v>37551</v>
      </c>
      <c r="E13079" t="s">
        <v>37552</v>
      </c>
      <c r="F13079" t="s">
        <v>37553</v>
      </c>
      <c r="G13079" t="s">
        <v>37552</v>
      </c>
      <c r="H13079" t="s">
        <v>859</v>
      </c>
      <c r="I13079" t="s">
        <v>860</v>
      </c>
      <c r="J13079" t="str">
        <f>"9300012"</f>
        <v>9300012</v>
      </c>
      <c r="K13079">
        <v>2731022671</v>
      </c>
      <c r="L13079">
        <v>2731022671</v>
      </c>
      <c r="M13079" t="s">
        <v>39761</v>
      </c>
      <c r="N13079" t="s">
        <v>37552</v>
      </c>
      <c r="O13079" t="s">
        <v>39762</v>
      </c>
      <c r="P13079">
        <v>23100</v>
      </c>
      <c r="Q13079" t="str">
        <f>"37.077309"</f>
        <v>37.077309</v>
      </c>
      <c r="R13079" t="str">
        <f>"22.437362"</f>
        <v>22.437362</v>
      </c>
      <c r="S13079" t="s">
        <v>26</v>
      </c>
    </row>
    <row r="13080" spans="1:19" x14ac:dyDescent="0.3">
      <c r="A13080" t="s">
        <v>37529</v>
      </c>
      <c r="B13080" t="s">
        <v>39512</v>
      </c>
      <c r="C13080" t="s">
        <v>39765</v>
      </c>
      <c r="D13080" t="s">
        <v>37551</v>
      </c>
      <c r="E13080" t="s">
        <v>37552</v>
      </c>
      <c r="F13080" t="s">
        <v>37553</v>
      </c>
      <c r="G13080" t="s">
        <v>37552</v>
      </c>
      <c r="H13080" t="s">
        <v>859</v>
      </c>
      <c r="I13080" t="s">
        <v>860</v>
      </c>
      <c r="J13080" t="str">
        <f>"9300219"</f>
        <v>9300219</v>
      </c>
      <c r="K13080">
        <v>2731025072</v>
      </c>
      <c r="L13080">
        <v>2731025072</v>
      </c>
      <c r="M13080" t="s">
        <v>39766</v>
      </c>
      <c r="N13080" t="s">
        <v>37552</v>
      </c>
      <c r="O13080" t="s">
        <v>39767</v>
      </c>
      <c r="P13080">
        <v>23100</v>
      </c>
      <c r="Q13080" t="str">
        <f>"37.074296"</f>
        <v>37.074296</v>
      </c>
      <c r="R13080" t="str">
        <f>"22.433280"</f>
        <v>22.433280</v>
      </c>
      <c r="S13080" t="s">
        <v>26</v>
      </c>
    </row>
    <row r="13081" spans="1:19" x14ac:dyDescent="0.3">
      <c r="A13081" t="s">
        <v>37529</v>
      </c>
      <c r="B13081" t="s">
        <v>39512</v>
      </c>
      <c r="C13081" t="s">
        <v>39777</v>
      </c>
      <c r="D13081" t="s">
        <v>37551</v>
      </c>
      <c r="E13081" t="s">
        <v>37552</v>
      </c>
      <c r="F13081" t="s">
        <v>38165</v>
      </c>
      <c r="G13081" t="s">
        <v>39776</v>
      </c>
      <c r="H13081" t="s">
        <v>859</v>
      </c>
      <c r="I13081" t="s">
        <v>860</v>
      </c>
      <c r="J13081" t="str">
        <f>"9300058"</f>
        <v>9300058</v>
      </c>
      <c r="K13081">
        <v>2731065323</v>
      </c>
      <c r="L13081">
        <v>2731065323</v>
      </c>
      <c r="M13081" t="s">
        <v>39778</v>
      </c>
      <c r="N13081" t="s">
        <v>39776</v>
      </c>
      <c r="O13081" t="s">
        <v>39779</v>
      </c>
      <c r="P13081">
        <v>23065</v>
      </c>
      <c r="Q13081" t="str">
        <f>""</f>
        <v/>
      </c>
      <c r="R13081" t="str">
        <f>""</f>
        <v/>
      </c>
      <c r="S13081" t="s">
        <v>26</v>
      </c>
    </row>
    <row r="13082" spans="1:19" x14ac:dyDescent="0.3">
      <c r="A13082" t="s">
        <v>37529</v>
      </c>
      <c r="B13082" t="s">
        <v>39512</v>
      </c>
      <c r="C13082" t="s">
        <v>39797</v>
      </c>
      <c r="D13082" t="s">
        <v>37551</v>
      </c>
      <c r="E13082" t="s">
        <v>38078</v>
      </c>
      <c r="F13082" t="s">
        <v>38103</v>
      </c>
      <c r="G13082" t="s">
        <v>39796</v>
      </c>
      <c r="H13082" t="s">
        <v>859</v>
      </c>
      <c r="I13082" t="s">
        <v>860</v>
      </c>
      <c r="J13082" t="str">
        <f>"9300235"</f>
        <v>9300235</v>
      </c>
      <c r="K13082">
        <v>2734031574</v>
      </c>
      <c r="M13082" t="s">
        <v>39798</v>
      </c>
      <c r="N13082" t="s">
        <v>39796</v>
      </c>
      <c r="O13082" t="s">
        <v>39799</v>
      </c>
      <c r="P13082">
        <v>23053</v>
      </c>
      <c r="Q13082" t="str">
        <f>"36.475704"</f>
        <v>36.475704</v>
      </c>
      <c r="R13082" t="str">
        <f>"23.101512"</f>
        <v>23.101512</v>
      </c>
      <c r="S13082" t="s">
        <v>26</v>
      </c>
    </row>
    <row r="13083" spans="1:19" x14ac:dyDescent="0.3">
      <c r="A13083" t="s">
        <v>37529</v>
      </c>
      <c r="B13083" t="s">
        <v>39512</v>
      </c>
      <c r="C13083" t="s">
        <v>39801</v>
      </c>
      <c r="D13083" t="s">
        <v>37551</v>
      </c>
      <c r="E13083" t="s">
        <v>38097</v>
      </c>
      <c r="F13083" t="s">
        <v>39536</v>
      </c>
      <c r="G13083" t="s">
        <v>39800</v>
      </c>
      <c r="H13083" t="s">
        <v>859</v>
      </c>
      <c r="I13083" t="s">
        <v>860</v>
      </c>
      <c r="J13083" t="str">
        <f>"9300237"</f>
        <v>9300237</v>
      </c>
      <c r="K13083">
        <v>2732031541</v>
      </c>
      <c r="L13083">
        <v>2732031541</v>
      </c>
      <c r="M13083" t="s">
        <v>39802</v>
      </c>
      <c r="N13083" t="s">
        <v>39803</v>
      </c>
      <c r="O13083" t="s">
        <v>39804</v>
      </c>
      <c r="P13083">
        <v>23052</v>
      </c>
      <c r="Q13083" t="str">
        <f>"36.836700"</f>
        <v>36.836700</v>
      </c>
      <c r="R13083" t="str">
        <f>"22.977370"</f>
        <v>22.977370</v>
      </c>
      <c r="S13083" t="s">
        <v>26</v>
      </c>
    </row>
    <row r="13084" spans="1:19" x14ac:dyDescent="0.3">
      <c r="A13084" t="s">
        <v>37529</v>
      </c>
      <c r="B13084" t="s">
        <v>39512</v>
      </c>
      <c r="C13084" t="s">
        <v>39809</v>
      </c>
      <c r="D13084" t="s">
        <v>37551</v>
      </c>
      <c r="E13084" t="s">
        <v>38078</v>
      </c>
      <c r="F13084" t="s">
        <v>38103</v>
      </c>
      <c r="G13084" t="s">
        <v>39793</v>
      </c>
      <c r="H13084" t="s">
        <v>859</v>
      </c>
      <c r="I13084" t="s">
        <v>860</v>
      </c>
      <c r="J13084" t="str">
        <f>"9300236"</f>
        <v>9300236</v>
      </c>
      <c r="K13084">
        <v>2732044142</v>
      </c>
      <c r="L13084">
        <v>2732044392</v>
      </c>
      <c r="M13084" t="s">
        <v>39810</v>
      </c>
      <c r="N13084" t="s">
        <v>39793</v>
      </c>
      <c r="O13084" t="s">
        <v>39811</v>
      </c>
      <c r="P13084">
        <v>23053</v>
      </c>
      <c r="Q13084" t="str">
        <f>"36.620814"</f>
        <v>36.620814</v>
      </c>
      <c r="R13084" t="str">
        <f>"22.922357"</f>
        <v>22.922357</v>
      </c>
      <c r="S13084" t="s">
        <v>26</v>
      </c>
    </row>
    <row r="13085" spans="1:19" x14ac:dyDescent="0.3">
      <c r="A13085" t="s">
        <v>37529</v>
      </c>
      <c r="B13085" t="s">
        <v>39512</v>
      </c>
      <c r="C13085" t="s">
        <v>39812</v>
      </c>
      <c r="D13085" t="s">
        <v>37551</v>
      </c>
      <c r="E13085" t="s">
        <v>38078</v>
      </c>
      <c r="F13085" t="s">
        <v>39541</v>
      </c>
      <c r="G13085" t="s">
        <v>39542</v>
      </c>
      <c r="H13085" t="s">
        <v>859</v>
      </c>
      <c r="I13085" t="s">
        <v>860</v>
      </c>
      <c r="J13085" t="str">
        <f>"9520761"</f>
        <v>9520761</v>
      </c>
      <c r="K13085">
        <v>2732055333</v>
      </c>
      <c r="L13085">
        <v>2732055333</v>
      </c>
      <c r="M13085" t="s">
        <v>39813</v>
      </c>
      <c r="N13085" t="s">
        <v>34290</v>
      </c>
      <c r="O13085" t="s">
        <v>39545</v>
      </c>
      <c r="P13085">
        <v>23068</v>
      </c>
      <c r="Q13085" t="str">
        <f>"36.967154"</f>
        <v>36.967154</v>
      </c>
      <c r="R13085" t="str">
        <f>"22.987673"</f>
        <v>22.987673</v>
      </c>
      <c r="S13085" t="s">
        <v>57</v>
      </c>
    </row>
    <row r="13086" spans="1:19" x14ac:dyDescent="0.3">
      <c r="A13086" t="s">
        <v>37529</v>
      </c>
      <c r="B13086" t="s">
        <v>39512</v>
      </c>
      <c r="C13086" t="s">
        <v>39814</v>
      </c>
      <c r="D13086" t="s">
        <v>37551</v>
      </c>
      <c r="E13086" t="s">
        <v>38078</v>
      </c>
      <c r="F13086" t="s">
        <v>38116</v>
      </c>
      <c r="G13086" t="s">
        <v>38116</v>
      </c>
      <c r="H13086" t="s">
        <v>859</v>
      </c>
      <c r="I13086" t="s">
        <v>860</v>
      </c>
      <c r="J13086" t="str">
        <f>"9300223"</f>
        <v>9300223</v>
      </c>
      <c r="K13086">
        <v>2732022890</v>
      </c>
      <c r="L13086">
        <v>2732029003</v>
      </c>
      <c r="M13086" t="s">
        <v>39815</v>
      </c>
      <c r="N13086" t="s">
        <v>38116</v>
      </c>
      <c r="O13086" t="s">
        <v>39816</v>
      </c>
      <c r="P13086">
        <v>23052</v>
      </c>
      <c r="Q13086" t="str">
        <f>"36.803317"</f>
        <v>36.803317</v>
      </c>
      <c r="R13086" t="str">
        <f>"22.859059"</f>
        <v>22.859059</v>
      </c>
      <c r="S13086" t="s">
        <v>26</v>
      </c>
    </row>
    <row r="13087" spans="1:19" x14ac:dyDescent="0.3">
      <c r="A13087" t="s">
        <v>37529</v>
      </c>
      <c r="B13087" t="s">
        <v>39512</v>
      </c>
      <c r="C13087" t="s">
        <v>39817</v>
      </c>
      <c r="D13087" t="s">
        <v>37551</v>
      </c>
      <c r="E13087" t="s">
        <v>37552</v>
      </c>
      <c r="F13087" t="s">
        <v>37553</v>
      </c>
      <c r="G13087" t="s">
        <v>37552</v>
      </c>
      <c r="H13087" t="s">
        <v>859</v>
      </c>
      <c r="I13087" t="s">
        <v>860</v>
      </c>
      <c r="J13087" t="str">
        <f>"9520932"</f>
        <v>9520932</v>
      </c>
      <c r="K13087">
        <v>2731022932</v>
      </c>
      <c r="L13087">
        <v>2731022932</v>
      </c>
      <c r="M13087" t="s">
        <v>39818</v>
      </c>
      <c r="N13087" t="s">
        <v>37556</v>
      </c>
      <c r="O13087" t="s">
        <v>39819</v>
      </c>
      <c r="P13087">
        <v>23100</v>
      </c>
      <c r="Q13087" t="str">
        <f>"37.070305"</f>
        <v>37.070305</v>
      </c>
      <c r="R13087" t="str">
        <f>"22.419229"</f>
        <v>22.419229</v>
      </c>
      <c r="S13087" t="s">
        <v>26</v>
      </c>
    </row>
    <row r="13088" spans="1:19" x14ac:dyDescent="0.3">
      <c r="A13088" t="s">
        <v>37529</v>
      </c>
      <c r="B13088" t="s">
        <v>39512</v>
      </c>
      <c r="C13088" t="s">
        <v>39820</v>
      </c>
      <c r="D13088" t="s">
        <v>37551</v>
      </c>
      <c r="E13088" t="s">
        <v>38089</v>
      </c>
      <c r="F13088" t="s">
        <v>38090</v>
      </c>
      <c r="G13088" t="s">
        <v>38090</v>
      </c>
      <c r="H13088" t="s">
        <v>859</v>
      </c>
      <c r="I13088" t="s">
        <v>860</v>
      </c>
      <c r="J13088" t="str">
        <f>"9300079"</f>
        <v>9300079</v>
      </c>
      <c r="K13088">
        <v>2733022032</v>
      </c>
      <c r="L13088">
        <v>2733022032</v>
      </c>
      <c r="M13088" t="s">
        <v>39821</v>
      </c>
      <c r="N13088" t="s">
        <v>38090</v>
      </c>
      <c r="O13088" t="s">
        <v>39822</v>
      </c>
      <c r="P13088">
        <v>23200</v>
      </c>
      <c r="Q13088" t="str">
        <f>"36.763260"</f>
        <v>36.763260</v>
      </c>
      <c r="R13088" t="str">
        <f>"22.563896"</f>
        <v>22.563896</v>
      </c>
      <c r="S13088" t="s">
        <v>26</v>
      </c>
    </row>
    <row r="13089" spans="1:19" x14ac:dyDescent="0.3">
      <c r="A13089" t="s">
        <v>37529</v>
      </c>
      <c r="B13089" t="s">
        <v>39512</v>
      </c>
      <c r="C13089" t="s">
        <v>39823</v>
      </c>
      <c r="D13089" t="s">
        <v>37551</v>
      </c>
      <c r="E13089" t="s">
        <v>38078</v>
      </c>
      <c r="F13089" t="s">
        <v>38103</v>
      </c>
      <c r="G13089" t="s">
        <v>25890</v>
      </c>
      <c r="H13089" t="s">
        <v>859</v>
      </c>
      <c r="I13089" t="s">
        <v>860</v>
      </c>
      <c r="J13089" t="str">
        <f>"9300209"</f>
        <v>9300209</v>
      </c>
      <c r="K13089">
        <v>2734022597</v>
      </c>
      <c r="L13089">
        <v>2734022597</v>
      </c>
      <c r="M13089" t="s">
        <v>39824</v>
      </c>
      <c r="N13089" t="s">
        <v>39825</v>
      </c>
      <c r="O13089" t="s">
        <v>39826</v>
      </c>
      <c r="P13089">
        <v>23053</v>
      </c>
      <c r="Q13089" t="str">
        <f>"36.511801"</f>
        <v>36.511801</v>
      </c>
      <c r="R13089" t="str">
        <f>"23.062827"</f>
        <v>23.062827</v>
      </c>
      <c r="S13089" t="s">
        <v>26</v>
      </c>
    </row>
    <row r="13090" spans="1:19" x14ac:dyDescent="0.3">
      <c r="A13090" t="s">
        <v>37529</v>
      </c>
      <c r="B13090" t="s">
        <v>39512</v>
      </c>
      <c r="C13090" t="s">
        <v>39827</v>
      </c>
      <c r="D13090" t="s">
        <v>37551</v>
      </c>
      <c r="E13090" t="s">
        <v>37552</v>
      </c>
      <c r="F13090" t="s">
        <v>13678</v>
      </c>
      <c r="G13090" t="s">
        <v>13678</v>
      </c>
      <c r="H13090" t="s">
        <v>859</v>
      </c>
      <c r="I13090" t="s">
        <v>860</v>
      </c>
      <c r="J13090" t="str">
        <f>"9300276"</f>
        <v>9300276</v>
      </c>
      <c r="K13090">
        <v>2731095112</v>
      </c>
      <c r="L13090">
        <v>2731095353</v>
      </c>
      <c r="M13090" t="s">
        <v>39828</v>
      </c>
      <c r="N13090" t="s">
        <v>13681</v>
      </c>
      <c r="O13090" t="s">
        <v>13681</v>
      </c>
      <c r="P13090">
        <v>23067</v>
      </c>
      <c r="Q13090" t="str">
        <f>"37.290999"</f>
        <v>37.290999</v>
      </c>
      <c r="R13090" t="str">
        <f>"22.500798"</f>
        <v>22.500798</v>
      </c>
      <c r="S13090" t="s">
        <v>26</v>
      </c>
    </row>
    <row r="13091" spans="1:19" x14ac:dyDescent="0.3">
      <c r="A13091" t="s">
        <v>37529</v>
      </c>
      <c r="B13091" t="s">
        <v>39512</v>
      </c>
      <c r="C13091" t="s">
        <v>39834</v>
      </c>
      <c r="D13091" t="s">
        <v>37551</v>
      </c>
      <c r="E13091" t="s">
        <v>37552</v>
      </c>
      <c r="F13091" t="s">
        <v>37553</v>
      </c>
      <c r="G13091" t="s">
        <v>37552</v>
      </c>
      <c r="H13091" t="s">
        <v>859</v>
      </c>
      <c r="I13091" t="s">
        <v>1102</v>
      </c>
      <c r="J13091" t="str">
        <f>"9521484"</f>
        <v>9521484</v>
      </c>
      <c r="K13091">
        <v>2731024893</v>
      </c>
      <c r="L13091">
        <v>2731025840</v>
      </c>
      <c r="M13091" t="s">
        <v>39835</v>
      </c>
      <c r="N13091" t="s">
        <v>37556</v>
      </c>
      <c r="O13091" t="s">
        <v>39808</v>
      </c>
      <c r="P13091">
        <v>23100</v>
      </c>
      <c r="Q13091" t="str">
        <f>"37.053790"</f>
        <v>37.053790</v>
      </c>
      <c r="R13091" t="str">
        <f>"22.416118"</f>
        <v>22.416118</v>
      </c>
      <c r="S13091" t="s">
        <v>26</v>
      </c>
    </row>
    <row r="13092" spans="1:19" x14ac:dyDescent="0.3">
      <c r="A13092" t="s">
        <v>37529</v>
      </c>
      <c r="B13092" t="s">
        <v>39512</v>
      </c>
      <c r="C13092" t="s">
        <v>39836</v>
      </c>
      <c r="D13092" t="s">
        <v>37551</v>
      </c>
      <c r="E13092" t="s">
        <v>37552</v>
      </c>
      <c r="F13092" t="s">
        <v>39513</v>
      </c>
      <c r="G13092" t="s">
        <v>14943</v>
      </c>
      <c r="H13092" t="s">
        <v>859</v>
      </c>
      <c r="I13092" t="s">
        <v>860</v>
      </c>
      <c r="J13092" t="str">
        <f>"9300258"</f>
        <v>9300258</v>
      </c>
      <c r="K13092">
        <v>2731021754</v>
      </c>
      <c r="L13092">
        <v>2731021754</v>
      </c>
      <c r="M13092" t="s">
        <v>39837</v>
      </c>
      <c r="N13092" t="s">
        <v>19972</v>
      </c>
      <c r="O13092" t="s">
        <v>19973</v>
      </c>
      <c r="P13092">
        <v>23100</v>
      </c>
      <c r="Q13092" t="str">
        <f>"37.048112"</f>
        <v>37.048112</v>
      </c>
      <c r="R13092" t="str">
        <f>"22.402499"</f>
        <v>22.402499</v>
      </c>
      <c r="S13092" t="s">
        <v>26</v>
      </c>
    </row>
    <row r="13093" spans="1:19" x14ac:dyDescent="0.3">
      <c r="A13093" t="s">
        <v>37529</v>
      </c>
      <c r="B13093" t="s">
        <v>39512</v>
      </c>
      <c r="C13093" t="s">
        <v>39839</v>
      </c>
      <c r="D13093" t="s">
        <v>37551</v>
      </c>
      <c r="E13093" t="s">
        <v>38097</v>
      </c>
      <c r="F13093" t="s">
        <v>39536</v>
      </c>
      <c r="G13093" t="s">
        <v>39838</v>
      </c>
      <c r="H13093" t="s">
        <v>859</v>
      </c>
      <c r="I13093" t="s">
        <v>860</v>
      </c>
      <c r="J13093" t="str">
        <f>"9300232"</f>
        <v>9300232</v>
      </c>
      <c r="K13093">
        <v>2732031101</v>
      </c>
      <c r="M13093" t="s">
        <v>39840</v>
      </c>
      <c r="N13093" t="s">
        <v>3295</v>
      </c>
      <c r="O13093" t="s">
        <v>39841</v>
      </c>
      <c r="P13093">
        <v>23052</v>
      </c>
      <c r="Q13093" t="str">
        <f>"37.931271"</f>
        <v>37.931271</v>
      </c>
      <c r="R13093" t="str">
        <f>"23.732552"</f>
        <v>23.732552</v>
      </c>
      <c r="S13093" t="s">
        <v>26</v>
      </c>
    </row>
    <row r="13094" spans="1:19" x14ac:dyDescent="0.3">
      <c r="A13094" t="s">
        <v>37529</v>
      </c>
      <c r="B13094" t="s">
        <v>39512</v>
      </c>
      <c r="C13094" t="s">
        <v>39842</v>
      </c>
      <c r="D13094" t="s">
        <v>37551</v>
      </c>
      <c r="E13094" t="s">
        <v>37552</v>
      </c>
      <c r="F13094" t="s">
        <v>37553</v>
      </c>
      <c r="G13094" t="s">
        <v>37552</v>
      </c>
      <c r="H13094" t="s">
        <v>859</v>
      </c>
      <c r="I13094" t="s">
        <v>860</v>
      </c>
      <c r="J13094" t="str">
        <f>"9521461"</f>
        <v>9521461</v>
      </c>
      <c r="K13094">
        <v>2731027412</v>
      </c>
      <c r="L13094">
        <v>2731027412</v>
      </c>
      <c r="M13094" t="s">
        <v>39843</v>
      </c>
      <c r="N13094" t="s">
        <v>37552</v>
      </c>
      <c r="O13094" t="s">
        <v>39844</v>
      </c>
      <c r="P13094">
        <v>23100</v>
      </c>
      <c r="Q13094" t="str">
        <f>"37.053556"</f>
        <v>37.053556</v>
      </c>
      <c r="R13094" t="str">
        <f>"22.436922"</f>
        <v>22.436922</v>
      </c>
      <c r="S13094" t="s">
        <v>26</v>
      </c>
    </row>
    <row r="13095" spans="1:19" x14ac:dyDescent="0.3">
      <c r="A13095" t="s">
        <v>37529</v>
      </c>
      <c r="B13095" t="s">
        <v>39512</v>
      </c>
      <c r="C13095" t="s">
        <v>39845</v>
      </c>
      <c r="D13095" t="s">
        <v>37551</v>
      </c>
      <c r="E13095" t="s">
        <v>38078</v>
      </c>
      <c r="F13095" t="s">
        <v>38103</v>
      </c>
      <c r="G13095" t="s">
        <v>25890</v>
      </c>
      <c r="H13095" t="s">
        <v>859</v>
      </c>
      <c r="I13095" t="s">
        <v>860</v>
      </c>
      <c r="J13095" t="str">
        <f>"9300684"</f>
        <v>9300684</v>
      </c>
      <c r="K13095">
        <v>2734022198</v>
      </c>
      <c r="L13095">
        <v>2734022198</v>
      </c>
      <c r="M13095" t="s">
        <v>39846</v>
      </c>
      <c r="N13095" t="s">
        <v>11666</v>
      </c>
      <c r="O13095" t="s">
        <v>39847</v>
      </c>
      <c r="P13095">
        <v>23053</v>
      </c>
      <c r="Q13095" t="str">
        <f>"36.512016"</f>
        <v>36.512016</v>
      </c>
      <c r="R13095" t="str">
        <f>"23.062873"</f>
        <v>23.062873</v>
      </c>
      <c r="S13095" t="s">
        <v>26</v>
      </c>
    </row>
    <row r="13096" spans="1:19" x14ac:dyDescent="0.3">
      <c r="A13096" t="s">
        <v>37529</v>
      </c>
      <c r="B13096" t="s">
        <v>39848</v>
      </c>
      <c r="C13096" t="s">
        <v>39852</v>
      </c>
      <c r="D13096" t="s">
        <v>37558</v>
      </c>
      <c r="E13096" t="s">
        <v>37559</v>
      </c>
      <c r="F13096" t="s">
        <v>37559</v>
      </c>
      <c r="G13096" t="s">
        <v>37559</v>
      </c>
      <c r="H13096" t="s">
        <v>859</v>
      </c>
      <c r="I13096" t="s">
        <v>860</v>
      </c>
      <c r="J13096" t="str">
        <f>"9360451"</f>
        <v>9360451</v>
      </c>
      <c r="K13096">
        <v>2721088935</v>
      </c>
      <c r="L13096">
        <v>2721088935</v>
      </c>
      <c r="M13096" t="s">
        <v>39853</v>
      </c>
      <c r="N13096" t="s">
        <v>37559</v>
      </c>
      <c r="O13096" t="s">
        <v>39854</v>
      </c>
      <c r="P13096">
        <v>24100</v>
      </c>
      <c r="Q13096" t="str">
        <f>"37.025824"</f>
        <v>37.025824</v>
      </c>
      <c r="R13096" t="str">
        <f>"22.127877"</f>
        <v>22.127877</v>
      </c>
      <c r="S13096" t="s">
        <v>26</v>
      </c>
    </row>
    <row r="13097" spans="1:19" x14ac:dyDescent="0.3">
      <c r="A13097" t="s">
        <v>37529</v>
      </c>
      <c r="B13097" t="s">
        <v>39848</v>
      </c>
      <c r="C13097" t="s">
        <v>39855</v>
      </c>
      <c r="D13097" t="s">
        <v>37558</v>
      </c>
      <c r="E13097" t="s">
        <v>37559</v>
      </c>
      <c r="F13097" t="s">
        <v>37559</v>
      </c>
      <c r="G13097" t="s">
        <v>37559</v>
      </c>
      <c r="H13097" t="s">
        <v>859</v>
      </c>
      <c r="I13097" t="s">
        <v>860</v>
      </c>
      <c r="J13097" t="str">
        <f>"9360367"</f>
        <v>9360367</v>
      </c>
      <c r="K13097">
        <v>2721086810</v>
      </c>
      <c r="L13097">
        <v>2721086810</v>
      </c>
      <c r="M13097" t="s">
        <v>39856</v>
      </c>
      <c r="N13097" t="s">
        <v>37562</v>
      </c>
      <c r="O13097" t="s">
        <v>39857</v>
      </c>
      <c r="P13097">
        <v>24100</v>
      </c>
      <c r="Q13097" t="str">
        <f>"37.027480"</f>
        <v>37.027480</v>
      </c>
      <c r="R13097" t="str">
        <f>"22.119279"</f>
        <v>22.119279</v>
      </c>
      <c r="S13097" t="s">
        <v>26</v>
      </c>
    </row>
    <row r="13098" spans="1:19" x14ac:dyDescent="0.3">
      <c r="A13098" t="s">
        <v>37529</v>
      </c>
      <c r="B13098" t="s">
        <v>39848</v>
      </c>
      <c r="C13098" t="s">
        <v>39863</v>
      </c>
      <c r="D13098" t="s">
        <v>37558</v>
      </c>
      <c r="E13098" t="s">
        <v>37559</v>
      </c>
      <c r="F13098" t="s">
        <v>37559</v>
      </c>
      <c r="G13098" t="s">
        <v>37559</v>
      </c>
      <c r="H13098" t="s">
        <v>859</v>
      </c>
      <c r="I13098" t="s">
        <v>860</v>
      </c>
      <c r="J13098" t="str">
        <f>"9360381"</f>
        <v>9360381</v>
      </c>
      <c r="K13098">
        <v>2721028840</v>
      </c>
      <c r="L13098">
        <v>2721028840</v>
      </c>
      <c r="M13098" t="s">
        <v>39864</v>
      </c>
      <c r="N13098" t="s">
        <v>37562</v>
      </c>
      <c r="O13098" t="s">
        <v>39865</v>
      </c>
      <c r="P13098">
        <v>24100</v>
      </c>
      <c r="Q13098" t="str">
        <f>"37.042237"</f>
        <v>37.042237</v>
      </c>
      <c r="R13098" t="str">
        <f>"22.114126"</f>
        <v>22.114126</v>
      </c>
      <c r="S13098" t="s">
        <v>26</v>
      </c>
    </row>
    <row r="13099" spans="1:19" x14ac:dyDescent="0.3">
      <c r="A13099" t="s">
        <v>37529</v>
      </c>
      <c r="B13099" t="s">
        <v>39848</v>
      </c>
      <c r="C13099" t="s">
        <v>39866</v>
      </c>
      <c r="D13099" t="s">
        <v>37558</v>
      </c>
      <c r="E13099" t="s">
        <v>38286</v>
      </c>
      <c r="F13099" t="s">
        <v>38313</v>
      </c>
      <c r="G13099" t="s">
        <v>38313</v>
      </c>
      <c r="H13099" t="s">
        <v>859</v>
      </c>
      <c r="I13099" t="s">
        <v>860</v>
      </c>
      <c r="J13099" t="str">
        <f>"9360406"</f>
        <v>9360406</v>
      </c>
      <c r="K13099">
        <v>2761022636</v>
      </c>
      <c r="L13099">
        <v>2761022638</v>
      </c>
      <c r="M13099" t="s">
        <v>39867</v>
      </c>
      <c r="N13099" t="s">
        <v>38316</v>
      </c>
      <c r="O13099" t="s">
        <v>15873</v>
      </c>
      <c r="P13099">
        <v>24500</v>
      </c>
      <c r="Q13099" t="str">
        <f>"37.252753"</f>
        <v>37.252753</v>
      </c>
      <c r="R13099" t="str">
        <f>"21.657242"</f>
        <v>21.657242</v>
      </c>
      <c r="S13099" t="s">
        <v>26</v>
      </c>
    </row>
    <row r="13100" spans="1:19" x14ac:dyDescent="0.3">
      <c r="A13100" t="s">
        <v>37529</v>
      </c>
      <c r="B13100" t="s">
        <v>39848</v>
      </c>
      <c r="C13100" t="s">
        <v>39873</v>
      </c>
      <c r="D13100" t="s">
        <v>37558</v>
      </c>
      <c r="E13100" t="s">
        <v>38286</v>
      </c>
      <c r="F13100" t="s">
        <v>15619</v>
      </c>
      <c r="G13100" t="s">
        <v>39872</v>
      </c>
      <c r="H13100" t="s">
        <v>859</v>
      </c>
      <c r="I13100" t="s">
        <v>860</v>
      </c>
      <c r="J13100" t="str">
        <f>"9360371"</f>
        <v>9360371</v>
      </c>
      <c r="K13100">
        <v>2765022213</v>
      </c>
      <c r="L13100">
        <v>2765022263</v>
      </c>
      <c r="M13100" t="s">
        <v>39874</v>
      </c>
      <c r="N13100" t="s">
        <v>39875</v>
      </c>
      <c r="O13100" t="s">
        <v>39875</v>
      </c>
      <c r="P13100">
        <v>24003</v>
      </c>
      <c r="Q13100" t="str">
        <f>"37.286756"</f>
        <v>37.286756</v>
      </c>
      <c r="R13100" t="str">
        <f>"21.819811"</f>
        <v>21.819811</v>
      </c>
      <c r="S13100" t="s">
        <v>26</v>
      </c>
    </row>
    <row r="13101" spans="1:19" x14ac:dyDescent="0.3">
      <c r="A13101" t="s">
        <v>37529</v>
      </c>
      <c r="B13101" t="s">
        <v>39848</v>
      </c>
      <c r="C13101" t="s">
        <v>39876</v>
      </c>
      <c r="D13101" t="s">
        <v>37558</v>
      </c>
      <c r="E13101" t="s">
        <v>38286</v>
      </c>
      <c r="F13101" t="s">
        <v>38357</v>
      </c>
      <c r="G13101" t="s">
        <v>1210</v>
      </c>
      <c r="H13101" t="s">
        <v>859</v>
      </c>
      <c r="I13101" t="s">
        <v>860</v>
      </c>
      <c r="J13101" t="str">
        <f>"9360395"</f>
        <v>9360395</v>
      </c>
      <c r="K13101">
        <v>2763029902</v>
      </c>
      <c r="L13101">
        <v>2763041256</v>
      </c>
      <c r="M13101" t="s">
        <v>39877</v>
      </c>
      <c r="N13101" t="s">
        <v>39878</v>
      </c>
      <c r="O13101" t="s">
        <v>39878</v>
      </c>
      <c r="P13101">
        <v>24400</v>
      </c>
      <c r="Q13101" t="str">
        <f>"37.076036"</f>
        <v>37.076036</v>
      </c>
      <c r="R13101" t="str">
        <f>"21.695770"</f>
        <v>21.695770</v>
      </c>
      <c r="S13101" t="s">
        <v>26</v>
      </c>
    </row>
    <row r="13102" spans="1:19" x14ac:dyDescent="0.3">
      <c r="A13102" t="s">
        <v>37529</v>
      </c>
      <c r="B13102" t="s">
        <v>39848</v>
      </c>
      <c r="C13102" t="s">
        <v>39882</v>
      </c>
      <c r="D13102" t="s">
        <v>37558</v>
      </c>
      <c r="E13102" t="s">
        <v>38286</v>
      </c>
      <c r="F13102" t="s">
        <v>38357</v>
      </c>
      <c r="G13102" t="s">
        <v>39881</v>
      </c>
      <c r="H13102" t="s">
        <v>859</v>
      </c>
      <c r="I13102" t="s">
        <v>860</v>
      </c>
      <c r="J13102" t="str">
        <f>"9360403"</f>
        <v>9360403</v>
      </c>
      <c r="K13102">
        <v>2763061390</v>
      </c>
      <c r="L13102">
        <v>2763061390</v>
      </c>
      <c r="M13102" t="s">
        <v>39883</v>
      </c>
      <c r="N13102" t="s">
        <v>39884</v>
      </c>
      <c r="O13102" t="s">
        <v>39884</v>
      </c>
      <c r="P13102">
        <v>24400</v>
      </c>
      <c r="Q13102" t="str">
        <f>"37.057942"</f>
        <v>37.057942</v>
      </c>
      <c r="R13102" t="str">
        <f>"21.576689"</f>
        <v>21.576689</v>
      </c>
      <c r="S13102" t="s">
        <v>26</v>
      </c>
    </row>
    <row r="13103" spans="1:19" x14ac:dyDescent="0.3">
      <c r="A13103" t="s">
        <v>37529</v>
      </c>
      <c r="B13103" t="s">
        <v>39848</v>
      </c>
      <c r="C13103" t="s">
        <v>39885</v>
      </c>
      <c r="D13103" t="s">
        <v>37558</v>
      </c>
      <c r="E13103" t="s">
        <v>38286</v>
      </c>
      <c r="F13103" t="s">
        <v>38287</v>
      </c>
      <c r="G13103" t="s">
        <v>38287</v>
      </c>
      <c r="H13103" t="s">
        <v>859</v>
      </c>
      <c r="I13103" t="s">
        <v>860</v>
      </c>
      <c r="J13103" t="str">
        <f>"9360297"</f>
        <v>9360297</v>
      </c>
      <c r="K13103">
        <v>2761062703</v>
      </c>
      <c r="L13103">
        <v>2761032482</v>
      </c>
      <c r="M13103" t="s">
        <v>39886</v>
      </c>
      <c r="N13103" t="s">
        <v>38497</v>
      </c>
      <c r="O13103" t="s">
        <v>39887</v>
      </c>
      <c r="P13103">
        <v>24300</v>
      </c>
      <c r="Q13103" t="str">
        <f>"37.162165"</f>
        <v>37.162165</v>
      </c>
      <c r="R13103" t="str">
        <f>"21.581616"</f>
        <v>21.581616</v>
      </c>
      <c r="S13103" t="s">
        <v>26</v>
      </c>
    </row>
    <row r="13104" spans="1:19" x14ac:dyDescent="0.3">
      <c r="A13104" t="s">
        <v>37529</v>
      </c>
      <c r="B13104" t="s">
        <v>39848</v>
      </c>
      <c r="C13104" t="s">
        <v>39891</v>
      </c>
      <c r="D13104" t="s">
        <v>37558</v>
      </c>
      <c r="E13104" t="s">
        <v>38252</v>
      </c>
      <c r="F13104" t="s">
        <v>38258</v>
      </c>
      <c r="G13104" t="s">
        <v>38258</v>
      </c>
      <c r="H13104" t="s">
        <v>859</v>
      </c>
      <c r="I13104" t="s">
        <v>860</v>
      </c>
      <c r="J13104" t="str">
        <f>"9520768"</f>
        <v>9520768</v>
      </c>
      <c r="K13104">
        <v>2723022029</v>
      </c>
      <c r="M13104" t="s">
        <v>39892</v>
      </c>
      <c r="N13104" t="s">
        <v>38354</v>
      </c>
      <c r="O13104" t="s">
        <v>38354</v>
      </c>
      <c r="P13104">
        <v>24001</v>
      </c>
      <c r="Q13104" t="str">
        <f>"36.911227"</f>
        <v>36.911227</v>
      </c>
      <c r="R13104" t="str">
        <f>"21.694148"</f>
        <v>21.694148</v>
      </c>
      <c r="S13104" t="s">
        <v>26</v>
      </c>
    </row>
    <row r="13105" spans="1:19" x14ac:dyDescent="0.3">
      <c r="A13105" t="s">
        <v>37529</v>
      </c>
      <c r="B13105" t="s">
        <v>39848</v>
      </c>
      <c r="C13105" t="s">
        <v>39911</v>
      </c>
      <c r="D13105" t="s">
        <v>37558</v>
      </c>
      <c r="E13105" t="s">
        <v>38252</v>
      </c>
      <c r="F13105" t="s">
        <v>27066</v>
      </c>
      <c r="G13105" t="s">
        <v>27066</v>
      </c>
      <c r="H13105" t="s">
        <v>859</v>
      </c>
      <c r="I13105" t="s">
        <v>860</v>
      </c>
      <c r="J13105" t="str">
        <f>"9360370"</f>
        <v>9360370</v>
      </c>
      <c r="K13105">
        <v>2723031215</v>
      </c>
      <c r="L13105">
        <v>2723031614</v>
      </c>
      <c r="M13105" t="s">
        <v>39912</v>
      </c>
      <c r="N13105" t="s">
        <v>31266</v>
      </c>
      <c r="O13105" t="s">
        <v>31266</v>
      </c>
      <c r="P13105">
        <v>24006</v>
      </c>
      <c r="Q13105" t="str">
        <f>"36.820258"</f>
        <v>36.820258</v>
      </c>
      <c r="R13105" t="str">
        <f>"21.707600"</f>
        <v>21.707600</v>
      </c>
      <c r="S13105" t="s">
        <v>26</v>
      </c>
    </row>
    <row r="13106" spans="1:19" x14ac:dyDescent="0.3">
      <c r="A13106" t="s">
        <v>37529</v>
      </c>
      <c r="B13106" t="s">
        <v>39848</v>
      </c>
      <c r="C13106" t="s">
        <v>39913</v>
      </c>
      <c r="D13106" t="s">
        <v>37558</v>
      </c>
      <c r="E13106" t="s">
        <v>38268</v>
      </c>
      <c r="F13106" t="s">
        <v>38269</v>
      </c>
      <c r="G13106" t="s">
        <v>38270</v>
      </c>
      <c r="H13106" t="s">
        <v>859</v>
      </c>
      <c r="I13106" t="s">
        <v>860</v>
      </c>
      <c r="J13106" t="str">
        <f>"9360462"</f>
        <v>9360462</v>
      </c>
      <c r="K13106">
        <v>2721073272</v>
      </c>
      <c r="L13106">
        <v>2721073272</v>
      </c>
      <c r="M13106" t="s">
        <v>39914</v>
      </c>
      <c r="N13106" t="s">
        <v>38273</v>
      </c>
      <c r="O13106" t="s">
        <v>38273</v>
      </c>
      <c r="P13106">
        <v>24022</v>
      </c>
      <c r="Q13106" t="str">
        <f>"36.888454"</f>
        <v>36.888454</v>
      </c>
      <c r="R13106" t="str">
        <f>"22.231579"</f>
        <v>22.231579</v>
      </c>
      <c r="S13106" t="s">
        <v>26</v>
      </c>
    </row>
    <row r="13107" spans="1:19" x14ac:dyDescent="0.3">
      <c r="A13107" t="s">
        <v>37529</v>
      </c>
      <c r="B13107" t="s">
        <v>39848</v>
      </c>
      <c r="C13107" t="s">
        <v>39915</v>
      </c>
      <c r="D13107" t="s">
        <v>37558</v>
      </c>
      <c r="E13107" t="s">
        <v>37559</v>
      </c>
      <c r="F13107" t="s">
        <v>37559</v>
      </c>
      <c r="G13107" t="s">
        <v>37559</v>
      </c>
      <c r="H13107" t="s">
        <v>859</v>
      </c>
      <c r="I13107" t="s">
        <v>860</v>
      </c>
      <c r="J13107" t="str">
        <f>"9360446"</f>
        <v>9360446</v>
      </c>
      <c r="K13107">
        <v>2721088441</v>
      </c>
      <c r="L13107">
        <v>2721088441</v>
      </c>
      <c r="M13107" t="s">
        <v>39916</v>
      </c>
      <c r="N13107" t="s">
        <v>37562</v>
      </c>
      <c r="O13107" t="s">
        <v>39917</v>
      </c>
      <c r="P13107">
        <v>24100</v>
      </c>
      <c r="Q13107" t="str">
        <f>"37.038715"</f>
        <v>37.038715</v>
      </c>
      <c r="R13107" t="str">
        <f>"22.101527"</f>
        <v>22.101527</v>
      </c>
      <c r="S13107" t="s">
        <v>26</v>
      </c>
    </row>
    <row r="13108" spans="1:19" x14ac:dyDescent="0.3">
      <c r="A13108" t="s">
        <v>37529</v>
      </c>
      <c r="B13108" t="s">
        <v>39848</v>
      </c>
      <c r="C13108" t="s">
        <v>39922</v>
      </c>
      <c r="D13108" t="s">
        <v>37558</v>
      </c>
      <c r="E13108" t="s">
        <v>37559</v>
      </c>
      <c r="F13108" t="s">
        <v>37559</v>
      </c>
      <c r="G13108" t="s">
        <v>39921</v>
      </c>
      <c r="H13108" t="s">
        <v>859</v>
      </c>
      <c r="I13108" t="s">
        <v>860</v>
      </c>
      <c r="J13108" t="str">
        <f>"9360430"</f>
        <v>9360430</v>
      </c>
      <c r="K13108">
        <v>2721032696</v>
      </c>
      <c r="M13108" t="s">
        <v>39923</v>
      </c>
      <c r="N13108" t="s">
        <v>39924</v>
      </c>
      <c r="O13108" t="s">
        <v>39924</v>
      </c>
      <c r="P13108">
        <v>24100</v>
      </c>
      <c r="Q13108" t="str">
        <f>"37.074136"</f>
        <v>37.074136</v>
      </c>
      <c r="R13108" t="str">
        <f>"22.062218"</f>
        <v>22.062218</v>
      </c>
      <c r="S13108" t="s">
        <v>26</v>
      </c>
    </row>
    <row r="13109" spans="1:19" x14ac:dyDescent="0.3">
      <c r="A13109" t="s">
        <v>37529</v>
      </c>
      <c r="B13109" t="s">
        <v>39848</v>
      </c>
      <c r="C13109" t="s">
        <v>39929</v>
      </c>
      <c r="D13109" t="s">
        <v>37558</v>
      </c>
      <c r="E13109" t="s">
        <v>37559</v>
      </c>
      <c r="F13109" t="s">
        <v>37559</v>
      </c>
      <c r="G13109" t="s">
        <v>37559</v>
      </c>
      <c r="H13109" t="s">
        <v>859</v>
      </c>
      <c r="I13109" t="s">
        <v>860</v>
      </c>
      <c r="J13109" t="str">
        <f>"9360024"</f>
        <v>9360024</v>
      </c>
      <c r="K13109">
        <v>2721083684</v>
      </c>
      <c r="L13109">
        <v>2721083684</v>
      </c>
      <c r="M13109" t="s">
        <v>39930</v>
      </c>
      <c r="N13109" t="s">
        <v>37562</v>
      </c>
      <c r="O13109" t="s">
        <v>39931</v>
      </c>
      <c r="P13109">
        <v>24131</v>
      </c>
      <c r="Q13109" t="str">
        <f>"37.028428"</f>
        <v>37.028428</v>
      </c>
      <c r="R13109" t="str">
        <f>"22.104908"</f>
        <v>22.104908</v>
      </c>
      <c r="S13109" t="s">
        <v>26</v>
      </c>
    </row>
    <row r="13110" spans="1:19" x14ac:dyDescent="0.3">
      <c r="A13110" t="s">
        <v>37529</v>
      </c>
      <c r="B13110" t="s">
        <v>39848</v>
      </c>
      <c r="C13110" t="s">
        <v>39933</v>
      </c>
      <c r="D13110" t="s">
        <v>37558</v>
      </c>
      <c r="E13110" t="s">
        <v>38252</v>
      </c>
      <c r="F13110" t="s">
        <v>38340</v>
      </c>
      <c r="G13110" t="s">
        <v>1490</v>
      </c>
      <c r="H13110" t="s">
        <v>859</v>
      </c>
      <c r="I13110" t="s">
        <v>860</v>
      </c>
      <c r="J13110" t="str">
        <f>"9360267"</f>
        <v>9360267</v>
      </c>
      <c r="K13110">
        <v>2763032190</v>
      </c>
      <c r="L13110">
        <v>2763031646</v>
      </c>
      <c r="M13110" t="s">
        <v>39934</v>
      </c>
      <c r="N13110" t="s">
        <v>13408</v>
      </c>
      <c r="O13110" t="s">
        <v>13408</v>
      </c>
      <c r="P13110">
        <v>24600</v>
      </c>
      <c r="Q13110" t="str">
        <f>"37.051008"</f>
        <v>37.051008</v>
      </c>
      <c r="R13110" t="str">
        <f>"21.715520"</f>
        <v>21.715520</v>
      </c>
      <c r="S13110" t="s">
        <v>26</v>
      </c>
    </row>
    <row r="13111" spans="1:19" x14ac:dyDescent="0.3">
      <c r="A13111" t="s">
        <v>37529</v>
      </c>
      <c r="B13111" t="s">
        <v>39848</v>
      </c>
      <c r="C13111" t="s">
        <v>39935</v>
      </c>
      <c r="D13111" t="s">
        <v>37558</v>
      </c>
      <c r="E13111" t="s">
        <v>37559</v>
      </c>
      <c r="F13111" t="s">
        <v>37559</v>
      </c>
      <c r="G13111" t="s">
        <v>37559</v>
      </c>
      <c r="H13111" t="s">
        <v>859</v>
      </c>
      <c r="I13111" t="s">
        <v>860</v>
      </c>
      <c r="J13111" t="str">
        <f>"9360400"</f>
        <v>9360400</v>
      </c>
      <c r="K13111">
        <v>2721087457</v>
      </c>
      <c r="L13111">
        <v>2721087457</v>
      </c>
      <c r="M13111" t="s">
        <v>39936</v>
      </c>
      <c r="N13111" t="s">
        <v>37562</v>
      </c>
      <c r="O13111" t="s">
        <v>39937</v>
      </c>
      <c r="P13111">
        <v>24100</v>
      </c>
      <c r="Q13111" t="str">
        <f>"37.042237"</f>
        <v>37.042237</v>
      </c>
      <c r="R13111" t="str">
        <f>"22.114126"</f>
        <v>22.114126</v>
      </c>
      <c r="S13111" t="s">
        <v>26</v>
      </c>
    </row>
    <row r="13112" spans="1:19" x14ac:dyDescent="0.3">
      <c r="A13112" t="s">
        <v>37529</v>
      </c>
      <c r="B13112" t="s">
        <v>39848</v>
      </c>
      <c r="C13112" t="s">
        <v>39943</v>
      </c>
      <c r="D13112" t="s">
        <v>37558</v>
      </c>
      <c r="E13112" t="s">
        <v>37559</v>
      </c>
      <c r="F13112" t="s">
        <v>37559</v>
      </c>
      <c r="G13112" t="s">
        <v>37559</v>
      </c>
      <c r="H13112" t="s">
        <v>859</v>
      </c>
      <c r="I13112" t="s">
        <v>860</v>
      </c>
      <c r="J13112" t="str">
        <f>"9360429"</f>
        <v>9360429</v>
      </c>
      <c r="K13112">
        <v>2721082500</v>
      </c>
      <c r="L13112">
        <v>2721082500</v>
      </c>
      <c r="M13112" t="s">
        <v>39944</v>
      </c>
      <c r="N13112" t="s">
        <v>37562</v>
      </c>
      <c r="O13112" t="s">
        <v>39945</v>
      </c>
      <c r="P13112">
        <v>24100</v>
      </c>
      <c r="Q13112" t="str">
        <f>"37.033994"</f>
        <v>37.033994</v>
      </c>
      <c r="R13112" t="str">
        <f>"22.117733"</f>
        <v>22.117733</v>
      </c>
      <c r="S13112" t="s">
        <v>26</v>
      </c>
    </row>
    <row r="13113" spans="1:19" x14ac:dyDescent="0.3">
      <c r="A13113" t="s">
        <v>37529</v>
      </c>
      <c r="B13113" t="s">
        <v>39848</v>
      </c>
      <c r="C13113" t="s">
        <v>39946</v>
      </c>
      <c r="D13113" t="s">
        <v>37558</v>
      </c>
      <c r="E13113" t="s">
        <v>37559</v>
      </c>
      <c r="F13113" t="s">
        <v>37559</v>
      </c>
      <c r="G13113" t="s">
        <v>37559</v>
      </c>
      <c r="H13113" t="s">
        <v>859</v>
      </c>
      <c r="I13113" t="s">
        <v>860</v>
      </c>
      <c r="J13113" t="str">
        <f>"9360378"</f>
        <v>9360378</v>
      </c>
      <c r="K13113">
        <v>2721082500</v>
      </c>
      <c r="L13113">
        <v>2721082500</v>
      </c>
      <c r="M13113" t="s">
        <v>39947</v>
      </c>
      <c r="N13113" t="s">
        <v>37562</v>
      </c>
      <c r="O13113" t="s">
        <v>39948</v>
      </c>
      <c r="P13113">
        <v>24100</v>
      </c>
      <c r="Q13113" t="str">
        <f>"37.033994"</f>
        <v>37.033994</v>
      </c>
      <c r="R13113" t="str">
        <f>"22.117733"</f>
        <v>22.117733</v>
      </c>
      <c r="S13113" t="s">
        <v>26</v>
      </c>
    </row>
    <row r="13114" spans="1:19" x14ac:dyDescent="0.3">
      <c r="A13114" t="s">
        <v>37529</v>
      </c>
      <c r="B13114" t="s">
        <v>39848</v>
      </c>
      <c r="C13114" t="s">
        <v>39949</v>
      </c>
      <c r="D13114" t="s">
        <v>37558</v>
      </c>
      <c r="E13114" t="s">
        <v>37559</v>
      </c>
      <c r="F13114" t="s">
        <v>37559</v>
      </c>
      <c r="G13114" t="s">
        <v>39893</v>
      </c>
      <c r="H13114" t="s">
        <v>859</v>
      </c>
      <c r="I13114" t="s">
        <v>860</v>
      </c>
      <c r="J13114" t="str">
        <f>"9360436"</f>
        <v>9360436</v>
      </c>
      <c r="K13114">
        <v>2721042080</v>
      </c>
      <c r="L13114">
        <v>2721042080</v>
      </c>
      <c r="M13114" t="s">
        <v>39950</v>
      </c>
      <c r="N13114" t="s">
        <v>39896</v>
      </c>
      <c r="O13114" t="s">
        <v>39896</v>
      </c>
      <c r="P13114">
        <v>24100</v>
      </c>
      <c r="Q13114" t="str">
        <f>"36.996239"</f>
        <v>36.996239</v>
      </c>
      <c r="R13114" t="str">
        <f>"22.155464"</f>
        <v>22.155464</v>
      </c>
      <c r="S13114" t="s">
        <v>26</v>
      </c>
    </row>
    <row r="13115" spans="1:19" x14ac:dyDescent="0.3">
      <c r="A13115" t="s">
        <v>37529</v>
      </c>
      <c r="B13115" t="s">
        <v>39848</v>
      </c>
      <c r="C13115" t="s">
        <v>39965</v>
      </c>
      <c r="D13115" t="s">
        <v>37558</v>
      </c>
      <c r="E13115" t="s">
        <v>37559</v>
      </c>
      <c r="F13115" t="s">
        <v>37559</v>
      </c>
      <c r="G13115" t="s">
        <v>37559</v>
      </c>
      <c r="H13115" t="s">
        <v>859</v>
      </c>
      <c r="I13115" t="s">
        <v>860</v>
      </c>
      <c r="J13115" t="str">
        <f>"9360414"</f>
        <v>9360414</v>
      </c>
      <c r="K13115">
        <v>2721084028</v>
      </c>
      <c r="L13115">
        <v>2721084028</v>
      </c>
      <c r="M13115" t="s">
        <v>39966</v>
      </c>
      <c r="N13115" t="s">
        <v>37562</v>
      </c>
      <c r="O13115" t="s">
        <v>39967</v>
      </c>
      <c r="P13115">
        <v>24100</v>
      </c>
      <c r="Q13115" t="str">
        <f>"37.031016"</f>
        <v>37.031016</v>
      </c>
      <c r="R13115" t="str">
        <f>"22.111075"</f>
        <v>22.111075</v>
      </c>
      <c r="S13115" t="s">
        <v>26</v>
      </c>
    </row>
    <row r="13116" spans="1:19" x14ac:dyDescent="0.3">
      <c r="A13116" t="s">
        <v>37529</v>
      </c>
      <c r="B13116" t="s">
        <v>39848</v>
      </c>
      <c r="C13116" t="s">
        <v>39968</v>
      </c>
      <c r="D13116" t="s">
        <v>37558</v>
      </c>
      <c r="E13116" t="s">
        <v>38260</v>
      </c>
      <c r="F13116" t="s">
        <v>38437</v>
      </c>
      <c r="G13116" t="s">
        <v>38437</v>
      </c>
      <c r="H13116" t="s">
        <v>859</v>
      </c>
      <c r="I13116" t="s">
        <v>860</v>
      </c>
      <c r="J13116" t="str">
        <f>"9360240"</f>
        <v>9360240</v>
      </c>
      <c r="K13116">
        <v>2722031386</v>
      </c>
      <c r="L13116">
        <v>2722031386</v>
      </c>
      <c r="M13116" t="s">
        <v>39969</v>
      </c>
      <c r="N13116" t="s">
        <v>38437</v>
      </c>
      <c r="O13116" t="s">
        <v>38441</v>
      </c>
      <c r="P13116">
        <v>24005</v>
      </c>
      <c r="Q13116" t="str">
        <f>"36.957068"</f>
        <v>36.957068</v>
      </c>
      <c r="R13116" t="str">
        <f>"21.925591"</f>
        <v>21.925591</v>
      </c>
      <c r="S13116" t="s">
        <v>26</v>
      </c>
    </row>
    <row r="13117" spans="1:19" x14ac:dyDescent="0.3">
      <c r="A13117" t="s">
        <v>37529</v>
      </c>
      <c r="B13117" t="s">
        <v>39848</v>
      </c>
      <c r="C13117" t="s">
        <v>39970</v>
      </c>
      <c r="D13117" t="s">
        <v>37558</v>
      </c>
      <c r="E13117" t="s">
        <v>38252</v>
      </c>
      <c r="F13117" t="s">
        <v>38258</v>
      </c>
      <c r="G13117" t="s">
        <v>38258</v>
      </c>
      <c r="H13117" t="s">
        <v>859</v>
      </c>
      <c r="I13117" t="s">
        <v>860</v>
      </c>
      <c r="J13117" t="str">
        <f>"9360178"</f>
        <v>9360178</v>
      </c>
      <c r="K13117">
        <v>2723022284</v>
      </c>
      <c r="M13117" t="s">
        <v>39971</v>
      </c>
      <c r="N13117" t="s">
        <v>38354</v>
      </c>
      <c r="O13117" t="s">
        <v>38354</v>
      </c>
      <c r="P13117">
        <v>24001</v>
      </c>
      <c r="Q13117" t="str">
        <f>"36.911146"</f>
        <v>36.911146</v>
      </c>
      <c r="R13117" t="str">
        <f>"21.694138"</f>
        <v>21.694138</v>
      </c>
      <c r="S13117" t="s">
        <v>26</v>
      </c>
    </row>
    <row r="13118" spans="1:19" x14ac:dyDescent="0.3">
      <c r="A13118" t="s">
        <v>37529</v>
      </c>
      <c r="B13118" t="s">
        <v>39848</v>
      </c>
      <c r="C13118" t="s">
        <v>39975</v>
      </c>
      <c r="D13118" t="s">
        <v>37558</v>
      </c>
      <c r="E13118" t="s">
        <v>38252</v>
      </c>
      <c r="F13118" t="s">
        <v>27066</v>
      </c>
      <c r="G13118" t="s">
        <v>39974</v>
      </c>
      <c r="H13118" t="s">
        <v>859</v>
      </c>
      <c r="I13118" t="s">
        <v>860</v>
      </c>
      <c r="J13118" t="str">
        <f>"9360434"</f>
        <v>9360434</v>
      </c>
      <c r="K13118">
        <v>2723071250</v>
      </c>
      <c r="L13118">
        <v>2723071250</v>
      </c>
      <c r="M13118" t="s">
        <v>39976</v>
      </c>
      <c r="O13118" t="s">
        <v>39977</v>
      </c>
      <c r="P13118">
        <v>24006</v>
      </c>
      <c r="Q13118" t="str">
        <f>"36.807521"</f>
        <v>36.807521</v>
      </c>
      <c r="R13118" t="str">
        <f>"21.811354"</f>
        <v>21.811354</v>
      </c>
      <c r="S13118" t="s">
        <v>26</v>
      </c>
    </row>
    <row r="13119" spans="1:19" x14ac:dyDescent="0.3">
      <c r="A13119" t="s">
        <v>37529</v>
      </c>
      <c r="B13119" t="s">
        <v>39848</v>
      </c>
      <c r="C13119" t="s">
        <v>39983</v>
      </c>
      <c r="D13119" t="s">
        <v>37558</v>
      </c>
      <c r="E13119" t="s">
        <v>38260</v>
      </c>
      <c r="F13119" t="s">
        <v>38453</v>
      </c>
      <c r="G13119" t="s">
        <v>38454</v>
      </c>
      <c r="H13119" t="s">
        <v>859</v>
      </c>
      <c r="I13119" t="s">
        <v>860</v>
      </c>
      <c r="J13119" t="str">
        <f>"9360386"</f>
        <v>9360386</v>
      </c>
      <c r="K13119">
        <v>2725031245</v>
      </c>
      <c r="L13119">
        <v>2725031245</v>
      </c>
      <c r="M13119" t="s">
        <v>39984</v>
      </c>
      <c r="N13119" t="s">
        <v>38458</v>
      </c>
      <c r="O13119" t="s">
        <v>38458</v>
      </c>
      <c r="P13119">
        <v>24010</v>
      </c>
      <c r="Q13119" t="str">
        <f>"37.522399"</f>
        <v>37.522399</v>
      </c>
      <c r="R13119" t="str">
        <f>"21.783087"</f>
        <v>21.783087</v>
      </c>
      <c r="S13119" t="s">
        <v>26</v>
      </c>
    </row>
    <row r="13120" spans="1:19" x14ac:dyDescent="0.3">
      <c r="A13120" t="s">
        <v>37529</v>
      </c>
      <c r="B13120" t="s">
        <v>39848</v>
      </c>
      <c r="C13120" t="s">
        <v>39985</v>
      </c>
      <c r="D13120" t="s">
        <v>37558</v>
      </c>
      <c r="E13120" t="s">
        <v>21503</v>
      </c>
      <c r="F13120" t="s">
        <v>38293</v>
      </c>
      <c r="G13120" t="s">
        <v>38293</v>
      </c>
      <c r="H13120" t="s">
        <v>859</v>
      </c>
      <c r="I13120" t="s">
        <v>860</v>
      </c>
      <c r="J13120" t="str">
        <f>"9360372"</f>
        <v>9360372</v>
      </c>
      <c r="K13120">
        <v>2765031469</v>
      </c>
      <c r="L13120">
        <v>2765031470</v>
      </c>
      <c r="M13120" t="s">
        <v>39986</v>
      </c>
      <c r="N13120" t="s">
        <v>38297</v>
      </c>
      <c r="O13120" t="s">
        <v>38297</v>
      </c>
      <c r="P13120">
        <v>24011</v>
      </c>
      <c r="Q13120" t="str">
        <f>"37.289290"</f>
        <v>37.289290</v>
      </c>
      <c r="R13120" t="str">
        <f>"21.858100"</f>
        <v>21.858100</v>
      </c>
      <c r="S13120" t="s">
        <v>26</v>
      </c>
    </row>
    <row r="13121" spans="1:19" x14ac:dyDescent="0.3">
      <c r="A13121" t="s">
        <v>37529</v>
      </c>
      <c r="B13121" t="s">
        <v>39848</v>
      </c>
      <c r="C13121" t="s">
        <v>39988</v>
      </c>
      <c r="D13121" t="s">
        <v>37558</v>
      </c>
      <c r="E13121" t="s">
        <v>38252</v>
      </c>
      <c r="F13121" t="s">
        <v>38253</v>
      </c>
      <c r="G13121" t="s">
        <v>39987</v>
      </c>
      <c r="H13121" t="s">
        <v>859</v>
      </c>
      <c r="I13121" t="s">
        <v>860</v>
      </c>
      <c r="J13121" t="str">
        <f>"9360458"</f>
        <v>9360458</v>
      </c>
      <c r="K13121">
        <v>2725041214</v>
      </c>
      <c r="L13121">
        <v>2725041213</v>
      </c>
      <c r="M13121" t="s">
        <v>39989</v>
      </c>
      <c r="N13121" t="s">
        <v>39990</v>
      </c>
      <c r="O13121" t="s">
        <v>39990</v>
      </c>
      <c r="P13121">
        <v>24004</v>
      </c>
      <c r="Q13121" t="str">
        <f>"36.797414"</f>
        <v>36.797414</v>
      </c>
      <c r="R13121" t="str">
        <f>"21.951927"</f>
        <v>21.951927</v>
      </c>
      <c r="S13121" t="s">
        <v>26</v>
      </c>
    </row>
    <row r="13122" spans="1:19" x14ac:dyDescent="0.3">
      <c r="A13122" t="s">
        <v>37529</v>
      </c>
      <c r="B13122" t="s">
        <v>39848</v>
      </c>
      <c r="C13122" t="s">
        <v>39991</v>
      </c>
      <c r="D13122" t="s">
        <v>37558</v>
      </c>
      <c r="E13122" t="s">
        <v>38286</v>
      </c>
      <c r="F13122" t="s">
        <v>38313</v>
      </c>
      <c r="G13122" t="s">
        <v>38313</v>
      </c>
      <c r="H13122" t="s">
        <v>859</v>
      </c>
      <c r="I13122" t="s">
        <v>860</v>
      </c>
      <c r="J13122" t="str">
        <f>"9360291"</f>
        <v>9360291</v>
      </c>
      <c r="K13122">
        <v>2761022091</v>
      </c>
      <c r="L13122">
        <v>2761062065</v>
      </c>
      <c r="M13122" t="s">
        <v>39992</v>
      </c>
      <c r="N13122" t="s">
        <v>38316</v>
      </c>
      <c r="O13122" t="s">
        <v>39993</v>
      </c>
      <c r="P13122">
        <v>24500</v>
      </c>
      <c r="Q13122" t="str">
        <f>"37.252912"</f>
        <v>37.252912</v>
      </c>
      <c r="R13122" t="str">
        <f>"21.664511"</f>
        <v>21.664511</v>
      </c>
      <c r="S13122" t="s">
        <v>26</v>
      </c>
    </row>
    <row r="13123" spans="1:19" x14ac:dyDescent="0.3">
      <c r="A13123" t="s">
        <v>37529</v>
      </c>
      <c r="B13123" t="s">
        <v>39848</v>
      </c>
      <c r="C13123" t="s">
        <v>39995</v>
      </c>
      <c r="D13123" t="s">
        <v>37558</v>
      </c>
      <c r="E13123" t="s">
        <v>21503</v>
      </c>
      <c r="F13123" t="s">
        <v>21503</v>
      </c>
      <c r="G13123" t="s">
        <v>39994</v>
      </c>
      <c r="H13123" t="s">
        <v>859</v>
      </c>
      <c r="I13123" t="s">
        <v>860</v>
      </c>
      <c r="J13123" t="str">
        <f>"9360394"</f>
        <v>9360394</v>
      </c>
      <c r="K13123">
        <v>2724041257</v>
      </c>
      <c r="M13123" t="s">
        <v>39996</v>
      </c>
      <c r="N13123" t="s">
        <v>21506</v>
      </c>
      <c r="O13123" t="s">
        <v>21506</v>
      </c>
      <c r="P13123">
        <v>24002</v>
      </c>
      <c r="Q13123" t="str">
        <f>"37.254650"</f>
        <v>37.254650</v>
      </c>
      <c r="R13123" t="str">
        <f>"21.998642"</f>
        <v>21.998642</v>
      </c>
      <c r="S13123" t="s">
        <v>26</v>
      </c>
    </row>
    <row r="13124" spans="1:19" x14ac:dyDescent="0.3">
      <c r="A13124" t="s">
        <v>37529</v>
      </c>
      <c r="B13124" t="s">
        <v>39848</v>
      </c>
      <c r="C13124" t="s">
        <v>39997</v>
      </c>
      <c r="D13124" t="s">
        <v>37558</v>
      </c>
      <c r="E13124" t="s">
        <v>38286</v>
      </c>
      <c r="F13124" t="s">
        <v>38313</v>
      </c>
      <c r="G13124" t="s">
        <v>38313</v>
      </c>
      <c r="H13124" t="s">
        <v>859</v>
      </c>
      <c r="I13124" t="s">
        <v>860</v>
      </c>
      <c r="J13124" t="str">
        <f>"9360385"</f>
        <v>9360385</v>
      </c>
      <c r="K13124">
        <v>2761025188</v>
      </c>
      <c r="L13124">
        <v>2761025546</v>
      </c>
      <c r="M13124" t="s">
        <v>39998</v>
      </c>
      <c r="N13124" t="s">
        <v>38316</v>
      </c>
      <c r="O13124" t="s">
        <v>39999</v>
      </c>
      <c r="P13124">
        <v>24500</v>
      </c>
      <c r="Q13124" t="str">
        <f>"37.248712"</f>
        <v>37.248712</v>
      </c>
      <c r="R13124" t="str">
        <f>"21.676793"</f>
        <v>21.676793</v>
      </c>
      <c r="S13124" t="s">
        <v>26</v>
      </c>
    </row>
    <row r="13125" spans="1:19" x14ac:dyDescent="0.3">
      <c r="A13125" t="s">
        <v>37529</v>
      </c>
      <c r="B13125" t="s">
        <v>39848</v>
      </c>
      <c r="C13125" t="s">
        <v>40000</v>
      </c>
      <c r="D13125" t="s">
        <v>37558</v>
      </c>
      <c r="E13125" t="s">
        <v>38260</v>
      </c>
      <c r="F13125" t="s">
        <v>15425</v>
      </c>
      <c r="G13125" t="s">
        <v>15425</v>
      </c>
      <c r="H13125" t="s">
        <v>859</v>
      </c>
      <c r="I13125" t="s">
        <v>860</v>
      </c>
      <c r="J13125" t="str">
        <f>"9360448"</f>
        <v>9360448</v>
      </c>
      <c r="K13125">
        <v>2722061116</v>
      </c>
      <c r="L13125">
        <v>2722061116</v>
      </c>
      <c r="M13125" t="s">
        <v>40001</v>
      </c>
      <c r="N13125" t="s">
        <v>15429</v>
      </c>
      <c r="O13125" t="s">
        <v>15429</v>
      </c>
      <c r="P13125">
        <v>24013</v>
      </c>
      <c r="Q13125" t="str">
        <f>"37.129027"</f>
        <v>37.129027</v>
      </c>
      <c r="R13125" t="str">
        <f>"21.873176"</f>
        <v>21.873176</v>
      </c>
      <c r="S13125" t="s">
        <v>26</v>
      </c>
    </row>
    <row r="13126" spans="1:19" x14ac:dyDescent="0.3">
      <c r="A13126" t="s">
        <v>37529</v>
      </c>
      <c r="B13126" t="s">
        <v>39848</v>
      </c>
      <c r="C13126" t="s">
        <v>40004</v>
      </c>
      <c r="D13126" t="s">
        <v>37558</v>
      </c>
      <c r="E13126" t="s">
        <v>38252</v>
      </c>
      <c r="F13126" t="s">
        <v>40002</v>
      </c>
      <c r="G13126" t="s">
        <v>40003</v>
      </c>
      <c r="H13126" t="s">
        <v>859</v>
      </c>
      <c r="I13126" t="s">
        <v>860</v>
      </c>
      <c r="J13126" t="str">
        <f>"9360435"</f>
        <v>9360435</v>
      </c>
      <c r="K13126">
        <v>2723051586</v>
      </c>
      <c r="L13126">
        <v>2723051586</v>
      </c>
      <c r="M13126" t="s">
        <v>40005</v>
      </c>
      <c r="N13126" t="s">
        <v>40006</v>
      </c>
      <c r="O13126" t="s">
        <v>40006</v>
      </c>
      <c r="P13126">
        <v>24001</v>
      </c>
      <c r="Q13126" t="str">
        <f>"36.968847"</f>
        <v>36.968847</v>
      </c>
      <c r="R13126" t="str">
        <f>"21.807868"</f>
        <v>21.807868</v>
      </c>
      <c r="S13126" t="s">
        <v>26</v>
      </c>
    </row>
    <row r="13127" spans="1:19" x14ac:dyDescent="0.3">
      <c r="A13127" t="s">
        <v>37529</v>
      </c>
      <c r="B13127" t="s">
        <v>39848</v>
      </c>
      <c r="C13127" t="s">
        <v>40007</v>
      </c>
      <c r="D13127" t="s">
        <v>37558</v>
      </c>
      <c r="E13127" t="s">
        <v>37559</v>
      </c>
      <c r="F13127" t="s">
        <v>37559</v>
      </c>
      <c r="G13127" t="s">
        <v>37559</v>
      </c>
      <c r="H13127" t="s">
        <v>859</v>
      </c>
      <c r="I13127" t="s">
        <v>860</v>
      </c>
      <c r="J13127" t="str">
        <f>"9360020"</f>
        <v>9360020</v>
      </c>
      <c r="K13127">
        <v>2721024562</v>
      </c>
      <c r="L13127">
        <v>2721024562</v>
      </c>
      <c r="M13127" t="s">
        <v>40008</v>
      </c>
      <c r="N13127" t="s">
        <v>37562</v>
      </c>
      <c r="O13127" t="s">
        <v>40009</v>
      </c>
      <c r="P13127">
        <v>24100</v>
      </c>
      <c r="Q13127" t="str">
        <f>"37.030765"</f>
        <v>37.030765</v>
      </c>
      <c r="R13127" t="str">
        <f>"22.117522"</f>
        <v>22.117522</v>
      </c>
      <c r="S13127" t="s">
        <v>26</v>
      </c>
    </row>
    <row r="13128" spans="1:19" x14ac:dyDescent="0.3">
      <c r="A13128" t="s">
        <v>37529</v>
      </c>
      <c r="B13128" t="s">
        <v>39848</v>
      </c>
      <c r="C13128" t="s">
        <v>40014</v>
      </c>
      <c r="D13128" t="s">
        <v>37558</v>
      </c>
      <c r="E13128" t="s">
        <v>38252</v>
      </c>
      <c r="F13128" t="s">
        <v>40012</v>
      </c>
      <c r="G13128" t="s">
        <v>40013</v>
      </c>
      <c r="H13128" t="s">
        <v>859</v>
      </c>
      <c r="I13128" t="s">
        <v>860</v>
      </c>
      <c r="J13128" t="str">
        <f>"9360369"</f>
        <v>9360369</v>
      </c>
      <c r="K13128">
        <v>2722084455</v>
      </c>
      <c r="L13128">
        <v>2722084455</v>
      </c>
      <c r="M13128" t="s">
        <v>40015</v>
      </c>
      <c r="N13128" t="s">
        <v>40016</v>
      </c>
      <c r="O13128" t="s">
        <v>40016</v>
      </c>
      <c r="P13128">
        <v>24001</v>
      </c>
      <c r="Q13128" t="str">
        <f>"37.030087"</f>
        <v>37.030087</v>
      </c>
      <c r="R13128" t="str">
        <f>"21.786939"</f>
        <v>21.786939</v>
      </c>
      <c r="S13128" t="s">
        <v>26</v>
      </c>
    </row>
    <row r="13129" spans="1:19" x14ac:dyDescent="0.3">
      <c r="A13129" t="s">
        <v>37529</v>
      </c>
      <c r="B13129" t="s">
        <v>39848</v>
      </c>
      <c r="C13129" t="s">
        <v>40027</v>
      </c>
      <c r="D13129" t="s">
        <v>37558</v>
      </c>
      <c r="E13129" t="s">
        <v>38260</v>
      </c>
      <c r="F13129" t="s">
        <v>38260</v>
      </c>
      <c r="G13129" t="s">
        <v>38260</v>
      </c>
      <c r="H13129" t="s">
        <v>859</v>
      </c>
      <c r="I13129" t="s">
        <v>860</v>
      </c>
      <c r="J13129" t="str">
        <f>"9360102"</f>
        <v>9360102</v>
      </c>
      <c r="K13129">
        <v>2722022873</v>
      </c>
      <c r="L13129">
        <v>2722022873</v>
      </c>
      <c r="M13129" t="s">
        <v>40028</v>
      </c>
      <c r="N13129" t="s">
        <v>38311</v>
      </c>
      <c r="O13129" t="s">
        <v>40029</v>
      </c>
      <c r="P13129">
        <v>24200</v>
      </c>
      <c r="Q13129" t="str">
        <f>"37.056616"</f>
        <v>37.056616</v>
      </c>
      <c r="R13129" t="str">
        <f>"22.006699"</f>
        <v>22.006699</v>
      </c>
      <c r="S13129" t="s">
        <v>26</v>
      </c>
    </row>
    <row r="13130" spans="1:19" x14ac:dyDescent="0.3">
      <c r="A13130" t="s">
        <v>37529</v>
      </c>
      <c r="B13130" t="s">
        <v>39848</v>
      </c>
      <c r="C13130" t="s">
        <v>40030</v>
      </c>
      <c r="D13130" t="s">
        <v>37558</v>
      </c>
      <c r="E13130" t="s">
        <v>37559</v>
      </c>
      <c r="F13130" t="s">
        <v>37559</v>
      </c>
      <c r="G13130" t="s">
        <v>37559</v>
      </c>
      <c r="H13130" t="s">
        <v>859</v>
      </c>
      <c r="I13130" t="s">
        <v>860</v>
      </c>
      <c r="J13130" t="str">
        <f>"9360392"</f>
        <v>9360392</v>
      </c>
      <c r="K13130">
        <v>2721083696</v>
      </c>
      <c r="L13130">
        <v>2721083696</v>
      </c>
      <c r="M13130" t="s">
        <v>40031</v>
      </c>
      <c r="N13130" t="s">
        <v>37562</v>
      </c>
      <c r="O13130" t="s">
        <v>40032</v>
      </c>
      <c r="P13130">
        <v>24100</v>
      </c>
      <c r="Q13130" t="str">
        <f>"37.035662"</f>
        <v>37.035662</v>
      </c>
      <c r="R13130" t="str">
        <f>"22.123046"</f>
        <v>22.123046</v>
      </c>
      <c r="S13130" t="s">
        <v>26</v>
      </c>
    </row>
    <row r="13131" spans="1:19" x14ac:dyDescent="0.3">
      <c r="A13131" t="s">
        <v>37529</v>
      </c>
      <c r="B13131" t="s">
        <v>39848</v>
      </c>
      <c r="C13131" t="s">
        <v>40034</v>
      </c>
      <c r="D13131" t="s">
        <v>37558</v>
      </c>
      <c r="E13131" t="s">
        <v>38260</v>
      </c>
      <c r="F13131" t="s">
        <v>38260</v>
      </c>
      <c r="G13131" t="s">
        <v>38260</v>
      </c>
      <c r="H13131" t="s">
        <v>859</v>
      </c>
      <c r="I13131" t="s">
        <v>860</v>
      </c>
      <c r="J13131" t="str">
        <f>"9360100"</f>
        <v>9360100</v>
      </c>
      <c r="K13131">
        <v>2722025173</v>
      </c>
      <c r="L13131">
        <v>2722022147</v>
      </c>
      <c r="M13131" t="s">
        <v>40035</v>
      </c>
      <c r="N13131" t="s">
        <v>38311</v>
      </c>
      <c r="O13131" t="s">
        <v>40036</v>
      </c>
      <c r="P13131">
        <v>24200</v>
      </c>
      <c r="Q13131" t="str">
        <f>"37.045582"</f>
        <v>37.045582</v>
      </c>
      <c r="R13131" t="str">
        <f>"22.008448"</f>
        <v>22.008448</v>
      </c>
      <c r="S13131" t="s">
        <v>26</v>
      </c>
    </row>
    <row r="13132" spans="1:19" x14ac:dyDescent="0.3">
      <c r="A13132" t="s">
        <v>37529</v>
      </c>
      <c r="B13132" t="s">
        <v>39848</v>
      </c>
      <c r="C13132" t="s">
        <v>40037</v>
      </c>
      <c r="D13132" t="s">
        <v>37558</v>
      </c>
      <c r="E13132" t="s">
        <v>37559</v>
      </c>
      <c r="F13132" t="s">
        <v>38333</v>
      </c>
      <c r="G13132" t="s">
        <v>38333</v>
      </c>
      <c r="H13132" t="s">
        <v>859</v>
      </c>
      <c r="I13132" t="s">
        <v>860</v>
      </c>
      <c r="J13132" t="str">
        <f>"9360401"</f>
        <v>9360401</v>
      </c>
      <c r="K13132">
        <v>2721032312</v>
      </c>
      <c r="L13132">
        <v>2721032312</v>
      </c>
      <c r="M13132" t="s">
        <v>40038</v>
      </c>
      <c r="N13132" t="s">
        <v>38336</v>
      </c>
      <c r="O13132" t="s">
        <v>38336</v>
      </c>
      <c r="P13132">
        <v>24009</v>
      </c>
      <c r="Q13132" t="str">
        <f>"37.083915"</f>
        <v>37.083915</v>
      </c>
      <c r="R13132" t="str">
        <f>"22.047291"</f>
        <v>22.047291</v>
      </c>
      <c r="S13132" t="s">
        <v>26</v>
      </c>
    </row>
    <row r="13133" spans="1:19" x14ac:dyDescent="0.3">
      <c r="A13133" t="s">
        <v>37529</v>
      </c>
      <c r="B13133" t="s">
        <v>39848</v>
      </c>
      <c r="C13133" t="s">
        <v>40040</v>
      </c>
      <c r="D13133" t="s">
        <v>37558</v>
      </c>
      <c r="E13133" t="s">
        <v>37559</v>
      </c>
      <c r="F13133" t="s">
        <v>40039</v>
      </c>
      <c r="G13133" t="s">
        <v>40039</v>
      </c>
      <c r="H13133" t="s">
        <v>859</v>
      </c>
      <c r="I13133" t="s">
        <v>860</v>
      </c>
      <c r="J13133" t="str">
        <f>"9360390"</f>
        <v>9360390</v>
      </c>
      <c r="K13133">
        <v>2721051936</v>
      </c>
      <c r="L13133">
        <v>2721051936</v>
      </c>
      <c r="M13133" t="s">
        <v>40041</v>
      </c>
      <c r="N13133" t="s">
        <v>40042</v>
      </c>
      <c r="O13133" t="s">
        <v>40042</v>
      </c>
      <c r="P13133">
        <v>24012</v>
      </c>
      <c r="Q13133" t="str">
        <f>"37.099951"</f>
        <v>37.099951</v>
      </c>
      <c r="R13133" t="str">
        <f>"22.005861"</f>
        <v>22.005861</v>
      </c>
      <c r="S13133" t="s">
        <v>26</v>
      </c>
    </row>
    <row r="13134" spans="1:19" x14ac:dyDescent="0.3">
      <c r="A13134" t="s">
        <v>37529</v>
      </c>
      <c r="B13134" t="s">
        <v>39848</v>
      </c>
      <c r="C13134" t="s">
        <v>40043</v>
      </c>
      <c r="D13134" t="s">
        <v>37558</v>
      </c>
      <c r="E13134" t="s">
        <v>38260</v>
      </c>
      <c r="F13134" t="s">
        <v>38261</v>
      </c>
      <c r="G13134" t="s">
        <v>38262</v>
      </c>
      <c r="H13134" t="s">
        <v>859</v>
      </c>
      <c r="I13134" t="s">
        <v>860</v>
      </c>
      <c r="J13134" t="str">
        <f>"9360437"</f>
        <v>9360437</v>
      </c>
      <c r="K13134">
        <v>2722042261</v>
      </c>
      <c r="L13134">
        <v>2722042261</v>
      </c>
      <c r="M13134" t="s">
        <v>40044</v>
      </c>
      <c r="N13134" t="s">
        <v>40045</v>
      </c>
      <c r="O13134" t="s">
        <v>40045</v>
      </c>
      <c r="P13134">
        <v>24013</v>
      </c>
      <c r="Q13134" t="str">
        <f>"37.110997"</f>
        <v>37.110997</v>
      </c>
      <c r="R13134" t="str">
        <f>"21.970210"</f>
        <v>21.970210</v>
      </c>
      <c r="S13134" t="s">
        <v>26</v>
      </c>
    </row>
    <row r="13135" spans="1:19" x14ac:dyDescent="0.3">
      <c r="A13135" t="s">
        <v>37529</v>
      </c>
      <c r="B13135" t="s">
        <v>39848</v>
      </c>
      <c r="C13135" t="s">
        <v>40046</v>
      </c>
      <c r="D13135" t="s">
        <v>37558</v>
      </c>
      <c r="E13135" t="s">
        <v>37559</v>
      </c>
      <c r="F13135" t="s">
        <v>37559</v>
      </c>
      <c r="G13135" t="s">
        <v>39901</v>
      </c>
      <c r="H13135" t="s">
        <v>859</v>
      </c>
      <c r="I13135" t="s">
        <v>860</v>
      </c>
      <c r="J13135" t="str">
        <f>"9360428"</f>
        <v>9360428</v>
      </c>
      <c r="K13135">
        <v>2721099632</v>
      </c>
      <c r="L13135">
        <v>2721099632</v>
      </c>
      <c r="M13135" t="s">
        <v>40047</v>
      </c>
      <c r="N13135" t="s">
        <v>39903</v>
      </c>
      <c r="O13135" t="s">
        <v>39903</v>
      </c>
      <c r="P13135">
        <v>24131</v>
      </c>
      <c r="Q13135" t="str">
        <f>"37.042932"</f>
        <v>37.042932</v>
      </c>
      <c r="R13135" t="str">
        <f>"22.092561"</f>
        <v>22.092561</v>
      </c>
      <c r="S13135" t="s">
        <v>26</v>
      </c>
    </row>
    <row r="13136" spans="1:19" x14ac:dyDescent="0.3">
      <c r="A13136" t="s">
        <v>37529</v>
      </c>
      <c r="B13136" t="s">
        <v>39848</v>
      </c>
      <c r="C13136" t="s">
        <v>40050</v>
      </c>
      <c r="D13136" t="s">
        <v>37558</v>
      </c>
      <c r="E13136" t="s">
        <v>38260</v>
      </c>
      <c r="F13136" t="s">
        <v>38260</v>
      </c>
      <c r="G13136" t="s">
        <v>38260</v>
      </c>
      <c r="H13136" t="s">
        <v>859</v>
      </c>
      <c r="I13136" t="s">
        <v>860</v>
      </c>
      <c r="J13136" t="str">
        <f>"9360095"</f>
        <v>9360095</v>
      </c>
      <c r="K13136">
        <v>2722022873</v>
      </c>
      <c r="L13136">
        <v>2722022873</v>
      </c>
      <c r="M13136" t="s">
        <v>40051</v>
      </c>
      <c r="N13136" t="s">
        <v>38311</v>
      </c>
      <c r="O13136" t="s">
        <v>40029</v>
      </c>
      <c r="P13136">
        <v>24200</v>
      </c>
      <c r="Q13136" t="str">
        <f>"37.056222"</f>
        <v>37.056222</v>
      </c>
      <c r="R13136" t="str">
        <f>"22.007064"</f>
        <v>22.007064</v>
      </c>
      <c r="S13136" t="s">
        <v>26</v>
      </c>
    </row>
    <row r="13137" spans="1:19" x14ac:dyDescent="0.3">
      <c r="A13137" t="s">
        <v>37529</v>
      </c>
      <c r="B13137" t="s">
        <v>39848</v>
      </c>
      <c r="C13137" t="s">
        <v>40052</v>
      </c>
      <c r="D13137" t="s">
        <v>37558</v>
      </c>
      <c r="E13137" t="s">
        <v>21503</v>
      </c>
      <c r="F13137" t="s">
        <v>38402</v>
      </c>
      <c r="G13137" t="s">
        <v>38403</v>
      </c>
      <c r="H13137" t="s">
        <v>859</v>
      </c>
      <c r="I13137" t="s">
        <v>860</v>
      </c>
      <c r="J13137" t="str">
        <f>"9360447"</f>
        <v>9360447</v>
      </c>
      <c r="K13137">
        <v>2724031894</v>
      </c>
      <c r="L13137">
        <v>2724031894</v>
      </c>
      <c r="M13137" t="s">
        <v>40053</v>
      </c>
      <c r="N13137" t="s">
        <v>40054</v>
      </c>
      <c r="P13137">
        <v>24008</v>
      </c>
      <c r="Q13137" t="str">
        <f>"37.301259"</f>
        <v>37.301259</v>
      </c>
      <c r="R13137" t="str">
        <f>"21.963938"</f>
        <v>21.963938</v>
      </c>
      <c r="S13137" t="s">
        <v>26</v>
      </c>
    </row>
    <row r="13138" spans="1:19" x14ac:dyDescent="0.3">
      <c r="A13138" t="s">
        <v>37529</v>
      </c>
      <c r="B13138" t="s">
        <v>39848</v>
      </c>
      <c r="C13138" t="s">
        <v>40057</v>
      </c>
      <c r="D13138" t="s">
        <v>37558</v>
      </c>
      <c r="E13138" t="s">
        <v>37559</v>
      </c>
      <c r="F13138" t="s">
        <v>37559</v>
      </c>
      <c r="G13138" t="s">
        <v>37559</v>
      </c>
      <c r="H13138" t="s">
        <v>859</v>
      </c>
      <c r="I13138" t="s">
        <v>860</v>
      </c>
      <c r="J13138" t="str">
        <f>"9360379"</f>
        <v>9360379</v>
      </c>
      <c r="K13138">
        <v>2721083453</v>
      </c>
      <c r="L13138">
        <v>2721083453</v>
      </c>
      <c r="M13138" t="s">
        <v>40058</v>
      </c>
      <c r="N13138" t="s">
        <v>37562</v>
      </c>
      <c r="O13138" t="s">
        <v>40059</v>
      </c>
      <c r="P13138">
        <v>24100</v>
      </c>
      <c r="Q13138" t="str">
        <f>"37.032562"</f>
        <v>37.032562</v>
      </c>
      <c r="R13138" t="str">
        <f>"22.106185"</f>
        <v>22.106185</v>
      </c>
      <c r="S13138" t="s">
        <v>26</v>
      </c>
    </row>
    <row r="13139" spans="1:19" x14ac:dyDescent="0.3">
      <c r="A13139" t="s">
        <v>37529</v>
      </c>
      <c r="B13139" t="s">
        <v>39848</v>
      </c>
      <c r="C13139" t="s">
        <v>40060</v>
      </c>
      <c r="D13139" t="s">
        <v>37558</v>
      </c>
      <c r="E13139" t="s">
        <v>37559</v>
      </c>
      <c r="F13139" t="s">
        <v>37559</v>
      </c>
      <c r="G13139" t="s">
        <v>37559</v>
      </c>
      <c r="H13139" t="s">
        <v>859</v>
      </c>
      <c r="I13139" t="s">
        <v>860</v>
      </c>
      <c r="J13139" t="str">
        <f>"9360399"</f>
        <v>9360399</v>
      </c>
      <c r="K13139">
        <v>2721085321</v>
      </c>
      <c r="L13139">
        <v>2721085321</v>
      </c>
      <c r="M13139" t="s">
        <v>40061</v>
      </c>
      <c r="N13139" t="s">
        <v>37562</v>
      </c>
      <c r="O13139" t="s">
        <v>40062</v>
      </c>
      <c r="P13139">
        <v>24100</v>
      </c>
      <c r="Q13139" t="str">
        <f>"37.043361"</f>
        <v>37.043361</v>
      </c>
      <c r="R13139" t="str">
        <f>"22.122807"</f>
        <v>22.122807</v>
      </c>
      <c r="S13139" t="s">
        <v>26</v>
      </c>
    </row>
    <row r="13140" spans="1:19" x14ac:dyDescent="0.3">
      <c r="A13140" t="s">
        <v>37529</v>
      </c>
      <c r="B13140" t="s">
        <v>39848</v>
      </c>
      <c r="C13140" t="s">
        <v>40071</v>
      </c>
      <c r="D13140" t="s">
        <v>37558</v>
      </c>
      <c r="E13140" t="s">
        <v>38260</v>
      </c>
      <c r="F13140" t="s">
        <v>38260</v>
      </c>
      <c r="G13140" t="s">
        <v>38260</v>
      </c>
      <c r="H13140" t="s">
        <v>859</v>
      </c>
      <c r="I13140" t="s">
        <v>860</v>
      </c>
      <c r="J13140" t="str">
        <f>"9360097"</f>
        <v>9360097</v>
      </c>
      <c r="K13140">
        <v>2722025173</v>
      </c>
      <c r="L13140">
        <v>2722022147</v>
      </c>
      <c r="M13140" t="s">
        <v>40072</v>
      </c>
      <c r="N13140" t="s">
        <v>38311</v>
      </c>
      <c r="O13140" t="s">
        <v>40073</v>
      </c>
      <c r="P13140">
        <v>24200</v>
      </c>
      <c r="Q13140" t="str">
        <f>"37.045513"</f>
        <v>37.045513</v>
      </c>
      <c r="R13140" t="str">
        <f>"22.008652"</f>
        <v>22.008652</v>
      </c>
      <c r="S13140" t="s">
        <v>26</v>
      </c>
    </row>
    <row r="13141" spans="1:19" x14ac:dyDescent="0.3">
      <c r="A13141" t="s">
        <v>37529</v>
      </c>
      <c r="B13141" t="s">
        <v>39848</v>
      </c>
      <c r="C13141" t="s">
        <v>40077</v>
      </c>
      <c r="D13141" t="s">
        <v>37558</v>
      </c>
      <c r="E13141" t="s">
        <v>38252</v>
      </c>
      <c r="F13141" t="s">
        <v>38340</v>
      </c>
      <c r="G13141" t="s">
        <v>1490</v>
      </c>
      <c r="H13141" t="s">
        <v>859</v>
      </c>
      <c r="I13141" t="s">
        <v>860</v>
      </c>
      <c r="J13141" t="str">
        <f>"9360413"</f>
        <v>9360413</v>
      </c>
      <c r="K13141">
        <v>2763032576</v>
      </c>
      <c r="L13141">
        <v>2763032576</v>
      </c>
      <c r="M13141" t="s">
        <v>40078</v>
      </c>
      <c r="N13141" t="s">
        <v>13408</v>
      </c>
      <c r="O13141" t="s">
        <v>40079</v>
      </c>
      <c r="P13141">
        <v>24001</v>
      </c>
      <c r="Q13141" t="str">
        <f>"37.051797"</f>
        <v>37.051797</v>
      </c>
      <c r="R13141" t="str">
        <f>"21.721644"</f>
        <v>21.721644</v>
      </c>
      <c r="S13141" t="s">
        <v>26</v>
      </c>
    </row>
    <row r="13142" spans="1:19" x14ac:dyDescent="0.3">
      <c r="A13142" t="s">
        <v>37529</v>
      </c>
      <c r="B13142" t="s">
        <v>39848</v>
      </c>
      <c r="C13142" t="s">
        <v>40080</v>
      </c>
      <c r="D13142" t="s">
        <v>37558</v>
      </c>
      <c r="E13142" t="s">
        <v>38260</v>
      </c>
      <c r="F13142" t="s">
        <v>38260</v>
      </c>
      <c r="G13142" t="s">
        <v>38260</v>
      </c>
      <c r="H13142" t="s">
        <v>859</v>
      </c>
      <c r="I13142" t="s">
        <v>860</v>
      </c>
      <c r="J13142" t="str">
        <f>"9360099"</f>
        <v>9360099</v>
      </c>
      <c r="K13142">
        <v>2722024444</v>
      </c>
      <c r="L13142">
        <v>2722024444</v>
      </c>
      <c r="M13142" t="s">
        <v>40081</v>
      </c>
      <c r="N13142" t="s">
        <v>38311</v>
      </c>
      <c r="O13142" t="s">
        <v>40082</v>
      </c>
      <c r="P13142">
        <v>24200</v>
      </c>
      <c r="Q13142" t="str">
        <f>"37.053067"</f>
        <v>37.053067</v>
      </c>
      <c r="R13142" t="str">
        <f>"22.006158"</f>
        <v>22.006158</v>
      </c>
      <c r="S13142" t="s">
        <v>26</v>
      </c>
    </row>
    <row r="13143" spans="1:19" x14ac:dyDescent="0.3">
      <c r="A13143" t="s">
        <v>37529</v>
      </c>
      <c r="B13143" t="s">
        <v>39848</v>
      </c>
      <c r="C13143" t="s">
        <v>40089</v>
      </c>
      <c r="D13143" t="s">
        <v>37558</v>
      </c>
      <c r="E13143" t="s">
        <v>38260</v>
      </c>
      <c r="F13143" t="s">
        <v>40087</v>
      </c>
      <c r="G13143" t="s">
        <v>40088</v>
      </c>
      <c r="H13143" t="s">
        <v>859</v>
      </c>
      <c r="I13143" t="s">
        <v>860</v>
      </c>
      <c r="J13143" t="str">
        <f>"9360368"</f>
        <v>9360368</v>
      </c>
      <c r="K13143">
        <v>2724071620</v>
      </c>
      <c r="L13143">
        <v>2724071620</v>
      </c>
      <c r="M13143" t="s">
        <v>40090</v>
      </c>
      <c r="N13143" t="s">
        <v>40091</v>
      </c>
      <c r="O13143" t="s">
        <v>40091</v>
      </c>
      <c r="P13143">
        <v>24002</v>
      </c>
      <c r="Q13143" t="str">
        <f>"37.165285"</f>
        <v>37.165285</v>
      </c>
      <c r="R13143" t="str">
        <f>"21.985407"</f>
        <v>21.985407</v>
      </c>
      <c r="S13143" t="s">
        <v>26</v>
      </c>
    </row>
    <row r="13144" spans="1:19" x14ac:dyDescent="0.3">
      <c r="A13144" t="s">
        <v>37529</v>
      </c>
      <c r="B13144" t="s">
        <v>39848</v>
      </c>
      <c r="C13144" t="s">
        <v>40092</v>
      </c>
      <c r="D13144" t="s">
        <v>37558</v>
      </c>
      <c r="E13144" t="s">
        <v>37559</v>
      </c>
      <c r="F13144" t="s">
        <v>37559</v>
      </c>
      <c r="G13144" t="s">
        <v>37559</v>
      </c>
      <c r="H13144" t="s">
        <v>859</v>
      </c>
      <c r="I13144" t="s">
        <v>860</v>
      </c>
      <c r="J13144" t="str">
        <f>"9360028"</f>
        <v>9360028</v>
      </c>
      <c r="K13144">
        <v>2721082114</v>
      </c>
      <c r="L13144">
        <v>2721082114</v>
      </c>
      <c r="M13144" t="s">
        <v>40093</v>
      </c>
      <c r="N13144" t="s">
        <v>37562</v>
      </c>
      <c r="O13144" t="s">
        <v>40094</v>
      </c>
      <c r="P13144">
        <v>24100</v>
      </c>
      <c r="Q13144" t="str">
        <f>"37.044028"</f>
        <v>37.044028</v>
      </c>
      <c r="R13144" t="str">
        <f>"22.101056"</f>
        <v>22.101056</v>
      </c>
      <c r="S13144" t="s">
        <v>26</v>
      </c>
    </row>
    <row r="13145" spans="1:19" x14ac:dyDescent="0.3">
      <c r="A13145" t="s">
        <v>37529</v>
      </c>
      <c r="B13145" t="s">
        <v>39848</v>
      </c>
      <c r="C13145" t="s">
        <v>40095</v>
      </c>
      <c r="D13145" t="s">
        <v>37558</v>
      </c>
      <c r="E13145" t="s">
        <v>37559</v>
      </c>
      <c r="F13145" t="s">
        <v>37559</v>
      </c>
      <c r="G13145" t="s">
        <v>37559</v>
      </c>
      <c r="H13145" t="s">
        <v>859</v>
      </c>
      <c r="I13145" t="s">
        <v>860</v>
      </c>
      <c r="J13145" t="str">
        <f>"9360380"</f>
        <v>9360380</v>
      </c>
      <c r="K13145">
        <v>2721021777</v>
      </c>
      <c r="L13145">
        <v>2721021777</v>
      </c>
      <c r="M13145" t="s">
        <v>40096</v>
      </c>
      <c r="N13145" t="s">
        <v>37562</v>
      </c>
      <c r="O13145" t="s">
        <v>40097</v>
      </c>
      <c r="P13145">
        <v>24134</v>
      </c>
      <c r="Q13145" t="str">
        <f>"37.045255"</f>
        <v>37.045255</v>
      </c>
      <c r="R13145" t="str">
        <f>"22.109131"</f>
        <v>22.109131</v>
      </c>
      <c r="S13145" t="s">
        <v>26</v>
      </c>
    </row>
    <row r="13146" spans="1:19" x14ac:dyDescent="0.3">
      <c r="A13146" t="s">
        <v>37529</v>
      </c>
      <c r="B13146" t="s">
        <v>39848</v>
      </c>
      <c r="C13146" t="s">
        <v>40098</v>
      </c>
      <c r="D13146" t="s">
        <v>37558</v>
      </c>
      <c r="E13146" t="s">
        <v>37559</v>
      </c>
      <c r="F13146" t="s">
        <v>37559</v>
      </c>
      <c r="G13146" t="s">
        <v>37559</v>
      </c>
      <c r="H13146" t="s">
        <v>859</v>
      </c>
      <c r="I13146" t="s">
        <v>860</v>
      </c>
      <c r="J13146" t="str">
        <f>"9360023"</f>
        <v>9360023</v>
      </c>
      <c r="K13146">
        <v>2721089572</v>
      </c>
      <c r="L13146">
        <v>2721089572</v>
      </c>
      <c r="M13146" t="s">
        <v>40099</v>
      </c>
      <c r="N13146" t="s">
        <v>37562</v>
      </c>
      <c r="O13146" t="s">
        <v>40100</v>
      </c>
      <c r="P13146">
        <v>24100</v>
      </c>
      <c r="Q13146" t="str">
        <f>"37.043168"</f>
        <v>37.043168</v>
      </c>
      <c r="R13146" t="str">
        <f>"22.106960"</f>
        <v>22.106960</v>
      </c>
      <c r="S13146" t="s">
        <v>26</v>
      </c>
    </row>
    <row r="13147" spans="1:19" x14ac:dyDescent="0.3">
      <c r="A13147" t="s">
        <v>37529</v>
      </c>
      <c r="B13147" t="s">
        <v>39848</v>
      </c>
      <c r="C13147" t="s">
        <v>40101</v>
      </c>
      <c r="D13147" t="s">
        <v>37558</v>
      </c>
      <c r="E13147" t="s">
        <v>21503</v>
      </c>
      <c r="F13147" t="s">
        <v>38381</v>
      </c>
      <c r="G13147" t="s">
        <v>38381</v>
      </c>
      <c r="H13147" t="s">
        <v>859</v>
      </c>
      <c r="I13147" t="s">
        <v>860</v>
      </c>
      <c r="J13147" t="str">
        <f>"9360148"</f>
        <v>9360148</v>
      </c>
      <c r="K13147">
        <v>2724023110</v>
      </c>
      <c r="L13147">
        <v>2724023138</v>
      </c>
      <c r="M13147" t="s">
        <v>40102</v>
      </c>
      <c r="N13147" t="s">
        <v>38384</v>
      </c>
      <c r="O13147" t="s">
        <v>38384</v>
      </c>
      <c r="P13147">
        <v>24002</v>
      </c>
      <c r="Q13147" t="str">
        <f>"37.225284"</f>
        <v>37.225284</v>
      </c>
      <c r="R13147" t="str">
        <f>"21.971935"</f>
        <v>21.971935</v>
      </c>
      <c r="S13147" t="s">
        <v>26</v>
      </c>
    </row>
    <row r="13148" spans="1:19" x14ac:dyDescent="0.3">
      <c r="A13148" t="s">
        <v>37529</v>
      </c>
      <c r="B13148" t="s">
        <v>39848</v>
      </c>
      <c r="C13148" t="s">
        <v>40103</v>
      </c>
      <c r="D13148" t="s">
        <v>37558</v>
      </c>
      <c r="E13148" t="s">
        <v>37559</v>
      </c>
      <c r="F13148" t="s">
        <v>37559</v>
      </c>
      <c r="G13148" t="s">
        <v>37559</v>
      </c>
      <c r="H13148" t="s">
        <v>859</v>
      </c>
      <c r="I13148" t="s">
        <v>860</v>
      </c>
      <c r="J13148" t="str">
        <f>"9360443"</f>
        <v>9360443</v>
      </c>
      <c r="K13148">
        <v>2721081649</v>
      </c>
      <c r="L13148">
        <v>2721081649</v>
      </c>
      <c r="M13148" t="s">
        <v>40104</v>
      </c>
      <c r="N13148" t="s">
        <v>37562</v>
      </c>
      <c r="O13148" t="s">
        <v>40105</v>
      </c>
      <c r="P13148">
        <v>24100</v>
      </c>
      <c r="Q13148" t="str">
        <f>"37.029602"</f>
        <v>37.029602</v>
      </c>
      <c r="R13148" t="str">
        <f>"22.114225"</f>
        <v>22.114225</v>
      </c>
      <c r="S13148" t="s">
        <v>26</v>
      </c>
    </row>
    <row r="13149" spans="1:19" x14ac:dyDescent="0.3">
      <c r="A13149" t="s">
        <v>37529</v>
      </c>
      <c r="B13149" t="s">
        <v>39848</v>
      </c>
      <c r="C13149" t="s">
        <v>40109</v>
      </c>
      <c r="D13149" t="s">
        <v>37558</v>
      </c>
      <c r="E13149" t="s">
        <v>37559</v>
      </c>
      <c r="F13149" t="s">
        <v>37559</v>
      </c>
      <c r="G13149" t="s">
        <v>37559</v>
      </c>
      <c r="H13149" t="s">
        <v>859</v>
      </c>
      <c r="I13149" t="s">
        <v>860</v>
      </c>
      <c r="J13149" t="str">
        <f>"9360397"</f>
        <v>9360397</v>
      </c>
      <c r="K13149">
        <v>2721093665</v>
      </c>
      <c r="L13149">
        <v>2721093665</v>
      </c>
      <c r="M13149" t="s">
        <v>40110</v>
      </c>
      <c r="N13149" t="s">
        <v>37562</v>
      </c>
      <c r="O13149" t="s">
        <v>40111</v>
      </c>
      <c r="P13149">
        <v>24131</v>
      </c>
      <c r="Q13149" t="str">
        <f>"37.045289"</f>
        <v>37.045289</v>
      </c>
      <c r="R13149" t="str">
        <f>"22.108757"</f>
        <v>22.108757</v>
      </c>
      <c r="S13149" t="s">
        <v>26</v>
      </c>
    </row>
    <row r="13150" spans="1:19" x14ac:dyDescent="0.3">
      <c r="A13150" t="s">
        <v>37529</v>
      </c>
      <c r="B13150" t="s">
        <v>39848</v>
      </c>
      <c r="C13150" t="s">
        <v>40112</v>
      </c>
      <c r="D13150" t="s">
        <v>37558</v>
      </c>
      <c r="E13150" t="s">
        <v>37559</v>
      </c>
      <c r="F13150" t="s">
        <v>38280</v>
      </c>
      <c r="G13150" t="s">
        <v>38280</v>
      </c>
      <c r="H13150" t="s">
        <v>859</v>
      </c>
      <c r="I13150" t="s">
        <v>860</v>
      </c>
      <c r="J13150" t="str">
        <f>"9360382"</f>
        <v>9360382</v>
      </c>
      <c r="K13150">
        <v>2721052409</v>
      </c>
      <c r="L13150">
        <v>2721052409</v>
      </c>
      <c r="M13150" t="s">
        <v>40113</v>
      </c>
      <c r="N13150" t="s">
        <v>38283</v>
      </c>
      <c r="O13150" t="s">
        <v>38283</v>
      </c>
      <c r="P13150">
        <v>24007</v>
      </c>
      <c r="Q13150" t="str">
        <f>"37.156068"</f>
        <v>37.156068</v>
      </c>
      <c r="R13150" t="str">
        <f>"22.044493"</f>
        <v>22.044493</v>
      </c>
      <c r="S13150" t="s">
        <v>26</v>
      </c>
    </row>
    <row r="13151" spans="1:19" x14ac:dyDescent="0.3">
      <c r="A13151" t="s">
        <v>37529</v>
      </c>
      <c r="B13151" t="s">
        <v>39848</v>
      </c>
      <c r="C13151" t="s">
        <v>40116</v>
      </c>
      <c r="D13151" t="s">
        <v>37558</v>
      </c>
      <c r="E13151" t="s">
        <v>37559</v>
      </c>
      <c r="F13151" t="s">
        <v>37559</v>
      </c>
      <c r="G13151" t="s">
        <v>37559</v>
      </c>
      <c r="H13151" t="s">
        <v>859</v>
      </c>
      <c r="I13151" t="s">
        <v>860</v>
      </c>
      <c r="J13151" t="str">
        <f>"9360003"</f>
        <v>9360003</v>
      </c>
      <c r="K13151">
        <v>2721023934</v>
      </c>
      <c r="L13151">
        <v>2721023934</v>
      </c>
      <c r="M13151" t="s">
        <v>40117</v>
      </c>
      <c r="N13151" t="s">
        <v>37559</v>
      </c>
      <c r="O13151" t="s">
        <v>40118</v>
      </c>
      <c r="P13151">
        <v>24100</v>
      </c>
      <c r="Q13151" t="str">
        <f>"37.041393"</f>
        <v>37.041393</v>
      </c>
      <c r="R13151" t="str">
        <f>"22.119025"</f>
        <v>22.119025</v>
      </c>
      <c r="S13151" t="s">
        <v>26</v>
      </c>
    </row>
    <row r="13152" spans="1:19" x14ac:dyDescent="0.3">
      <c r="A13152" t="s">
        <v>37529</v>
      </c>
      <c r="B13152" t="s">
        <v>39848</v>
      </c>
      <c r="C13152" t="s">
        <v>40120</v>
      </c>
      <c r="D13152" t="s">
        <v>37558</v>
      </c>
      <c r="E13152" t="s">
        <v>38252</v>
      </c>
      <c r="F13152" t="s">
        <v>38340</v>
      </c>
      <c r="G13152" t="s">
        <v>40119</v>
      </c>
      <c r="H13152" t="s">
        <v>859</v>
      </c>
      <c r="I13152" t="s">
        <v>860</v>
      </c>
      <c r="J13152" t="str">
        <f>"9360402"</f>
        <v>9360402</v>
      </c>
      <c r="K13152">
        <v>2723041237</v>
      </c>
      <c r="L13152">
        <v>2723041237</v>
      </c>
      <c r="M13152" t="s">
        <v>40121</v>
      </c>
      <c r="N13152" t="s">
        <v>40122</v>
      </c>
      <c r="O13152" t="s">
        <v>40122</v>
      </c>
      <c r="P13152">
        <v>24001</v>
      </c>
      <c r="Q13152" t="str">
        <f>"36.997359"</f>
        <v>36.997359</v>
      </c>
      <c r="R13152" t="str">
        <f>"21.681667"</f>
        <v>21.681667</v>
      </c>
      <c r="S13152" t="s">
        <v>26</v>
      </c>
    </row>
    <row r="13153" spans="1:19" x14ac:dyDescent="0.3">
      <c r="A13153" t="s">
        <v>37529</v>
      </c>
      <c r="B13153" t="s">
        <v>39848</v>
      </c>
      <c r="C13153" t="s">
        <v>40125</v>
      </c>
      <c r="D13153" t="s">
        <v>37558</v>
      </c>
      <c r="E13153" t="s">
        <v>37559</v>
      </c>
      <c r="F13153" t="s">
        <v>38333</v>
      </c>
      <c r="G13153" t="s">
        <v>350</v>
      </c>
      <c r="H13153" t="s">
        <v>859</v>
      </c>
      <c r="I13153" t="s">
        <v>860</v>
      </c>
      <c r="J13153" t="str">
        <f>"9360463"</f>
        <v>9360463</v>
      </c>
      <c r="K13153">
        <v>2721032847</v>
      </c>
      <c r="L13153">
        <v>2721032847</v>
      </c>
      <c r="M13153" t="s">
        <v>40126</v>
      </c>
      <c r="N13153" t="s">
        <v>354</v>
      </c>
      <c r="O13153" t="s">
        <v>354</v>
      </c>
      <c r="P13153">
        <v>24009</v>
      </c>
      <c r="Q13153" t="str">
        <f>"37.085084"</f>
        <v>37.085084</v>
      </c>
      <c r="R13153" t="str">
        <f>"22.044032"</f>
        <v>22.044032</v>
      </c>
      <c r="S13153" t="s">
        <v>26</v>
      </c>
    </row>
    <row r="13154" spans="1:19" x14ac:dyDescent="0.3">
      <c r="A13154" t="s">
        <v>37529</v>
      </c>
      <c r="B13154" t="s">
        <v>39848</v>
      </c>
      <c r="C13154" t="s">
        <v>40127</v>
      </c>
      <c r="D13154" t="s">
        <v>37558</v>
      </c>
      <c r="E13154" t="s">
        <v>37559</v>
      </c>
      <c r="F13154" t="s">
        <v>37559</v>
      </c>
      <c r="G13154" t="s">
        <v>37559</v>
      </c>
      <c r="H13154" t="s">
        <v>859</v>
      </c>
      <c r="I13154" t="s">
        <v>860</v>
      </c>
      <c r="J13154" t="str">
        <f>"9360393"</f>
        <v>9360393</v>
      </c>
      <c r="K13154">
        <v>2721086390</v>
      </c>
      <c r="L13154">
        <v>2721086390</v>
      </c>
      <c r="M13154" t="s">
        <v>40128</v>
      </c>
      <c r="N13154" t="s">
        <v>37562</v>
      </c>
      <c r="O13154" t="s">
        <v>40129</v>
      </c>
      <c r="P13154">
        <v>24100</v>
      </c>
      <c r="Q13154" t="str">
        <f>"37.029680"</f>
        <v>37.029680</v>
      </c>
      <c r="R13154" t="str">
        <f>"22.137199"</f>
        <v>22.137199</v>
      </c>
      <c r="S13154" t="s">
        <v>26</v>
      </c>
    </row>
    <row r="13155" spans="1:19" x14ac:dyDescent="0.3">
      <c r="A13155" t="s">
        <v>37529</v>
      </c>
      <c r="B13155" t="s">
        <v>39848</v>
      </c>
      <c r="C13155" t="s">
        <v>40130</v>
      </c>
      <c r="D13155" t="s">
        <v>37558</v>
      </c>
      <c r="E13155" t="s">
        <v>38268</v>
      </c>
      <c r="F13155" t="s">
        <v>38269</v>
      </c>
      <c r="G13155" t="s">
        <v>13744</v>
      </c>
      <c r="H13155" t="s">
        <v>859</v>
      </c>
      <c r="I13155" t="s">
        <v>860</v>
      </c>
      <c r="J13155" t="str">
        <f>"9360440"</f>
        <v>9360440</v>
      </c>
      <c r="K13155">
        <v>2721077721</v>
      </c>
      <c r="L13155">
        <v>2721077721</v>
      </c>
      <c r="M13155" t="s">
        <v>40131</v>
      </c>
      <c r="N13155" t="s">
        <v>40026</v>
      </c>
      <c r="O13155" t="s">
        <v>40026</v>
      </c>
      <c r="P13155">
        <v>24024</v>
      </c>
      <c r="Q13155" t="str">
        <f>"36.842736"</f>
        <v>36.842736</v>
      </c>
      <c r="R13155" t="str">
        <f>"22.260726"</f>
        <v>22.260726</v>
      </c>
      <c r="S13155" t="s">
        <v>26</v>
      </c>
    </row>
    <row r="13156" spans="1:19" x14ac:dyDescent="0.3">
      <c r="A13156" t="s">
        <v>37529</v>
      </c>
      <c r="B13156" t="s">
        <v>39848</v>
      </c>
      <c r="C13156" t="s">
        <v>40132</v>
      </c>
      <c r="D13156" t="s">
        <v>37558</v>
      </c>
      <c r="E13156" t="s">
        <v>37559</v>
      </c>
      <c r="F13156" t="s">
        <v>37559</v>
      </c>
      <c r="G13156" t="s">
        <v>37559</v>
      </c>
      <c r="H13156" t="s">
        <v>859</v>
      </c>
      <c r="I13156" t="s">
        <v>860</v>
      </c>
      <c r="J13156" t="str">
        <f>"9360015"</f>
        <v>9360015</v>
      </c>
      <c r="K13156">
        <v>2721021545</v>
      </c>
      <c r="L13156">
        <v>2721021545</v>
      </c>
      <c r="M13156" t="s">
        <v>40133</v>
      </c>
      <c r="N13156" t="s">
        <v>37562</v>
      </c>
      <c r="O13156" t="s">
        <v>40134</v>
      </c>
      <c r="P13156">
        <v>24100</v>
      </c>
      <c r="Q13156" t="str">
        <f>"37.040608"</f>
        <v>37.040608</v>
      </c>
      <c r="R13156" t="str">
        <f>"22.117235"</f>
        <v>22.117235</v>
      </c>
      <c r="S13156" t="s">
        <v>26</v>
      </c>
    </row>
    <row r="13157" spans="1:19" x14ac:dyDescent="0.3">
      <c r="A13157" t="s">
        <v>37529</v>
      </c>
      <c r="B13157" t="s">
        <v>39848</v>
      </c>
      <c r="C13157" t="s">
        <v>40135</v>
      </c>
      <c r="D13157" t="s">
        <v>37558</v>
      </c>
      <c r="E13157" t="s">
        <v>37559</v>
      </c>
      <c r="F13157" t="s">
        <v>37559</v>
      </c>
      <c r="G13157" t="s">
        <v>37559</v>
      </c>
      <c r="H13157" t="s">
        <v>859</v>
      </c>
      <c r="I13157" t="s">
        <v>860</v>
      </c>
      <c r="J13157" t="str">
        <f>"9360396"</f>
        <v>9360396</v>
      </c>
      <c r="K13157">
        <v>2721086516</v>
      </c>
      <c r="L13157">
        <v>2721086516</v>
      </c>
      <c r="M13157" t="s">
        <v>40136</v>
      </c>
      <c r="N13157" t="s">
        <v>37562</v>
      </c>
      <c r="O13157" t="s">
        <v>40137</v>
      </c>
      <c r="P13157">
        <v>24100</v>
      </c>
      <c r="Q13157" t="str">
        <f>"37.028112"</f>
        <v>37.028112</v>
      </c>
      <c r="R13157" t="str">
        <f>"22.120624"</f>
        <v>22.120624</v>
      </c>
      <c r="S13157" t="s">
        <v>26</v>
      </c>
    </row>
    <row r="13158" spans="1:19" x14ac:dyDescent="0.3">
      <c r="A13158" t="s">
        <v>37529</v>
      </c>
      <c r="B13158" t="s">
        <v>39848</v>
      </c>
      <c r="C13158" t="s">
        <v>40138</v>
      </c>
      <c r="D13158" t="s">
        <v>37558</v>
      </c>
      <c r="E13158" t="s">
        <v>37559</v>
      </c>
      <c r="F13158" t="s">
        <v>37559</v>
      </c>
      <c r="G13158" t="s">
        <v>37559</v>
      </c>
      <c r="H13158" t="s">
        <v>859</v>
      </c>
      <c r="I13158" t="s">
        <v>860</v>
      </c>
      <c r="J13158" t="str">
        <f>"9360026"</f>
        <v>9360026</v>
      </c>
      <c r="K13158">
        <v>2721023691</v>
      </c>
      <c r="L13158">
        <v>2721023691</v>
      </c>
      <c r="M13158" t="s">
        <v>40139</v>
      </c>
      <c r="N13158" t="s">
        <v>37562</v>
      </c>
      <c r="O13158" t="s">
        <v>40140</v>
      </c>
      <c r="P13158">
        <v>24100</v>
      </c>
      <c r="Q13158" t="str">
        <f>"37.038854"</f>
        <v>37.038854</v>
      </c>
      <c r="R13158" t="str">
        <f>"22.127613"</f>
        <v>22.127613</v>
      </c>
      <c r="S13158" t="s">
        <v>26</v>
      </c>
    </row>
    <row r="13159" spans="1:19" x14ac:dyDescent="0.3">
      <c r="A13159" t="s">
        <v>37529</v>
      </c>
      <c r="B13159" t="s">
        <v>39848</v>
      </c>
      <c r="C13159" t="s">
        <v>40141</v>
      </c>
      <c r="D13159" t="s">
        <v>37558</v>
      </c>
      <c r="E13159" t="s">
        <v>38286</v>
      </c>
      <c r="F13159" t="s">
        <v>38357</v>
      </c>
      <c r="G13159" t="s">
        <v>38357</v>
      </c>
      <c r="H13159" t="s">
        <v>859</v>
      </c>
      <c r="I13159" t="s">
        <v>860</v>
      </c>
      <c r="J13159" t="str">
        <f>"9360286"</f>
        <v>9360286</v>
      </c>
      <c r="K13159">
        <v>2763023182</v>
      </c>
      <c r="L13159">
        <v>2763029014</v>
      </c>
      <c r="M13159" t="s">
        <v>40142</v>
      </c>
      <c r="N13159" t="s">
        <v>40023</v>
      </c>
      <c r="O13159" t="s">
        <v>1542</v>
      </c>
      <c r="P13159">
        <v>24400</v>
      </c>
      <c r="Q13159" t="str">
        <f>"37.066726"</f>
        <v>37.066726</v>
      </c>
      <c r="R13159" t="str">
        <f>"21.633715"</f>
        <v>21.633715</v>
      </c>
      <c r="S13159" t="s">
        <v>26</v>
      </c>
    </row>
    <row r="13160" spans="1:19" x14ac:dyDescent="0.3">
      <c r="A13160" t="s">
        <v>37529</v>
      </c>
      <c r="B13160" t="s">
        <v>39848</v>
      </c>
      <c r="C13160" t="s">
        <v>40144</v>
      </c>
      <c r="D13160" t="s">
        <v>37558</v>
      </c>
      <c r="E13160" t="s">
        <v>38286</v>
      </c>
      <c r="F13160" t="s">
        <v>4068</v>
      </c>
      <c r="G13160" t="s">
        <v>40143</v>
      </c>
      <c r="H13160" t="s">
        <v>859</v>
      </c>
      <c r="I13160" t="s">
        <v>860</v>
      </c>
      <c r="J13160" t="str">
        <f>"9360405"</f>
        <v>9360405</v>
      </c>
      <c r="K13160">
        <v>2761071349</v>
      </c>
      <c r="L13160">
        <v>2761071349</v>
      </c>
      <c r="M13160" t="s">
        <v>40145</v>
      </c>
      <c r="N13160" t="s">
        <v>40146</v>
      </c>
      <c r="O13160" t="s">
        <v>40147</v>
      </c>
      <c r="P13160">
        <v>24500</v>
      </c>
      <c r="Q13160" t="str">
        <f>"37.296262"</f>
        <v>37.296262</v>
      </c>
      <c r="R13160" t="str">
        <f>"21.701105"</f>
        <v>21.701105</v>
      </c>
      <c r="S13160" t="s">
        <v>26</v>
      </c>
    </row>
    <row r="13161" spans="1:19" x14ac:dyDescent="0.3">
      <c r="A13161" t="s">
        <v>37529</v>
      </c>
      <c r="B13161" t="s">
        <v>39848</v>
      </c>
      <c r="C13161" t="s">
        <v>40150</v>
      </c>
      <c r="D13161" t="s">
        <v>37558</v>
      </c>
      <c r="E13161" t="s">
        <v>38286</v>
      </c>
      <c r="F13161" t="s">
        <v>38357</v>
      </c>
      <c r="G13161" t="s">
        <v>38357</v>
      </c>
      <c r="H13161" t="s">
        <v>859</v>
      </c>
      <c r="I13161" t="s">
        <v>860</v>
      </c>
      <c r="J13161" t="str">
        <f>"9360457"</f>
        <v>9360457</v>
      </c>
      <c r="K13161">
        <v>2763022406</v>
      </c>
      <c r="L13161">
        <v>2763029015</v>
      </c>
      <c r="M13161" t="s">
        <v>40151</v>
      </c>
      <c r="N13161" t="s">
        <v>40023</v>
      </c>
      <c r="O13161" t="s">
        <v>40024</v>
      </c>
      <c r="P13161">
        <v>24400</v>
      </c>
      <c r="Q13161" t="str">
        <f>"37.075878"</f>
        <v>37.075878</v>
      </c>
      <c r="R13161" t="str">
        <f>"21.606822"</f>
        <v>21.606822</v>
      </c>
      <c r="S13161" t="s">
        <v>26</v>
      </c>
    </row>
    <row r="13162" spans="1:19" x14ac:dyDescent="0.3">
      <c r="A13162" t="s">
        <v>37529</v>
      </c>
      <c r="B13162" t="s">
        <v>39848</v>
      </c>
      <c r="C13162" t="s">
        <v>40152</v>
      </c>
      <c r="D13162" t="s">
        <v>37558</v>
      </c>
      <c r="E13162" t="s">
        <v>38286</v>
      </c>
      <c r="F13162" t="s">
        <v>38287</v>
      </c>
      <c r="G13162" t="s">
        <v>38287</v>
      </c>
      <c r="H13162" t="s">
        <v>859</v>
      </c>
      <c r="I13162" t="s">
        <v>860</v>
      </c>
      <c r="J13162" t="str">
        <f>"9360426"</f>
        <v>9360426</v>
      </c>
      <c r="K13162">
        <v>2761032380</v>
      </c>
      <c r="L13162">
        <v>2761033294</v>
      </c>
      <c r="M13162" t="s">
        <v>40153</v>
      </c>
      <c r="N13162" t="s">
        <v>38497</v>
      </c>
      <c r="O13162" t="s">
        <v>40154</v>
      </c>
      <c r="P13162">
        <v>24300</v>
      </c>
      <c r="Q13162" t="str">
        <f>"37.156273"</f>
        <v>37.156273</v>
      </c>
      <c r="R13162" t="str">
        <f>"21.589429"</f>
        <v>21.589429</v>
      </c>
      <c r="S13162" t="s">
        <v>26</v>
      </c>
    </row>
    <row r="13163" spans="1:19" x14ac:dyDescent="0.3">
      <c r="A13163" t="s">
        <v>37529</v>
      </c>
      <c r="B13163" t="s">
        <v>39848</v>
      </c>
      <c r="C13163" t="s">
        <v>40155</v>
      </c>
      <c r="D13163" t="s">
        <v>37558</v>
      </c>
      <c r="E13163" t="s">
        <v>38286</v>
      </c>
      <c r="F13163" t="s">
        <v>38287</v>
      </c>
      <c r="G13163" t="s">
        <v>38287</v>
      </c>
      <c r="H13163" t="s">
        <v>859</v>
      </c>
      <c r="I13163" t="s">
        <v>860</v>
      </c>
      <c r="J13163" t="str">
        <f>"9360383"</f>
        <v>9360383</v>
      </c>
      <c r="K13163">
        <v>2761032732</v>
      </c>
      <c r="L13163">
        <v>2761033385</v>
      </c>
      <c r="M13163" t="s">
        <v>40156</v>
      </c>
      <c r="N13163" t="s">
        <v>38497</v>
      </c>
      <c r="O13163" t="s">
        <v>40157</v>
      </c>
      <c r="P13163">
        <v>24300</v>
      </c>
      <c r="Q13163" t="str">
        <f>"37.152322"</f>
        <v>37.152322</v>
      </c>
      <c r="R13163" t="str">
        <f>"21.588168"</f>
        <v>21.588168</v>
      </c>
      <c r="S13163" t="s">
        <v>26</v>
      </c>
    </row>
    <row r="13164" spans="1:19" x14ac:dyDescent="0.3">
      <c r="A13164" t="s">
        <v>37529</v>
      </c>
      <c r="B13164" t="s">
        <v>39848</v>
      </c>
      <c r="C13164" t="s">
        <v>40158</v>
      </c>
      <c r="D13164" t="s">
        <v>37558</v>
      </c>
      <c r="E13164" t="s">
        <v>37559</v>
      </c>
      <c r="F13164" t="s">
        <v>37559</v>
      </c>
      <c r="G13164" t="s">
        <v>40083</v>
      </c>
      <c r="H13164" t="s">
        <v>859</v>
      </c>
      <c r="I13164" t="s">
        <v>860</v>
      </c>
      <c r="J13164" t="str">
        <f>"9360431"</f>
        <v>9360431</v>
      </c>
      <c r="K13164">
        <v>2721097397</v>
      </c>
      <c r="L13164">
        <v>2721097377</v>
      </c>
      <c r="M13164" t="s">
        <v>40159</v>
      </c>
      <c r="N13164" t="s">
        <v>40086</v>
      </c>
      <c r="O13164" t="s">
        <v>40086</v>
      </c>
      <c r="P13164">
        <v>24100</v>
      </c>
      <c r="Q13164" t="str">
        <f>"37.080203"</f>
        <v>37.080203</v>
      </c>
      <c r="R13164" t="str">
        <f>"22.166867"</f>
        <v>22.166867</v>
      </c>
      <c r="S13164" t="s">
        <v>26</v>
      </c>
    </row>
    <row r="13165" spans="1:19" x14ac:dyDescent="0.3">
      <c r="A13165" t="s">
        <v>37529</v>
      </c>
      <c r="B13165" t="s">
        <v>39848</v>
      </c>
      <c r="C13165" t="s">
        <v>40172</v>
      </c>
      <c r="D13165" t="s">
        <v>37558</v>
      </c>
      <c r="E13165" t="s">
        <v>37559</v>
      </c>
      <c r="F13165" t="s">
        <v>38280</v>
      </c>
      <c r="G13165" t="s">
        <v>13055</v>
      </c>
      <c r="H13165" t="s">
        <v>859</v>
      </c>
      <c r="I13165" t="s">
        <v>860</v>
      </c>
      <c r="J13165" t="str">
        <f>"9360453"</f>
        <v>9360453</v>
      </c>
      <c r="K13165">
        <v>2721051512</v>
      </c>
      <c r="L13165">
        <v>2721051512</v>
      </c>
      <c r="M13165" t="s">
        <v>40173</v>
      </c>
      <c r="N13165" t="s">
        <v>29848</v>
      </c>
      <c r="O13165" t="s">
        <v>29848</v>
      </c>
      <c r="P13165">
        <v>24009</v>
      </c>
      <c r="Q13165" t="str">
        <f>""</f>
        <v/>
      </c>
      <c r="R13165" t="str">
        <f>""</f>
        <v/>
      </c>
      <c r="S13165" t="s">
        <v>26</v>
      </c>
    </row>
    <row r="13166" spans="1:19" x14ac:dyDescent="0.3">
      <c r="A13166" t="s">
        <v>37529</v>
      </c>
      <c r="B13166" t="s">
        <v>39848</v>
      </c>
      <c r="C13166" t="s">
        <v>40178</v>
      </c>
      <c r="D13166" t="s">
        <v>37558</v>
      </c>
      <c r="E13166" t="s">
        <v>37559</v>
      </c>
      <c r="F13166" t="s">
        <v>37559</v>
      </c>
      <c r="G13166" t="s">
        <v>37559</v>
      </c>
      <c r="H13166" t="s">
        <v>859</v>
      </c>
      <c r="I13166" t="s">
        <v>860</v>
      </c>
      <c r="J13166" t="str">
        <f>"9360398"</f>
        <v>9360398</v>
      </c>
      <c r="K13166">
        <v>2721088141</v>
      </c>
      <c r="L13166">
        <v>2721088141</v>
      </c>
      <c r="M13166" t="s">
        <v>40179</v>
      </c>
      <c r="N13166" t="s">
        <v>37562</v>
      </c>
      <c r="O13166" t="s">
        <v>40180</v>
      </c>
      <c r="P13166">
        <v>24100</v>
      </c>
      <c r="Q13166" t="str">
        <f>"37.044519"</f>
        <v>37.044519</v>
      </c>
      <c r="R13166" t="str">
        <f>"22.090514"</f>
        <v>22.090514</v>
      </c>
      <c r="S13166" t="s">
        <v>26</v>
      </c>
    </row>
    <row r="13167" spans="1:19" x14ac:dyDescent="0.3">
      <c r="A13167" t="s">
        <v>37529</v>
      </c>
      <c r="B13167" t="s">
        <v>39848</v>
      </c>
      <c r="C13167" t="s">
        <v>40181</v>
      </c>
      <c r="D13167" t="s">
        <v>37558</v>
      </c>
      <c r="E13167" t="s">
        <v>38252</v>
      </c>
      <c r="F13167" t="s">
        <v>38253</v>
      </c>
      <c r="G13167" t="s">
        <v>38253</v>
      </c>
      <c r="H13167" t="s">
        <v>859</v>
      </c>
      <c r="I13167" t="s">
        <v>860</v>
      </c>
      <c r="J13167" t="str">
        <f>"9360210"</f>
        <v>9360210</v>
      </c>
      <c r="K13167">
        <v>2725022217</v>
      </c>
      <c r="L13167">
        <v>2725022253</v>
      </c>
      <c r="M13167" t="s">
        <v>40182</v>
      </c>
      <c r="N13167" t="s">
        <v>38257</v>
      </c>
      <c r="O13167" t="s">
        <v>38257</v>
      </c>
      <c r="P13167">
        <v>24004</v>
      </c>
      <c r="Q13167" t="str">
        <f>"36.796993"</f>
        <v>36.796993</v>
      </c>
      <c r="R13167" t="str">
        <f>"21.952271"</f>
        <v>21.952271</v>
      </c>
      <c r="S13167" t="s">
        <v>26</v>
      </c>
    </row>
    <row r="13168" spans="1:19" x14ac:dyDescent="0.3">
      <c r="A13168" t="s">
        <v>37529</v>
      </c>
      <c r="B13168" t="s">
        <v>39848</v>
      </c>
      <c r="C13168" t="s">
        <v>40211</v>
      </c>
      <c r="D13168" t="s">
        <v>37558</v>
      </c>
      <c r="E13168" t="s">
        <v>38268</v>
      </c>
      <c r="F13168" t="s">
        <v>38485</v>
      </c>
      <c r="G13168" t="s">
        <v>40210</v>
      </c>
      <c r="H13168" t="s">
        <v>859</v>
      </c>
      <c r="I13168" t="s">
        <v>860</v>
      </c>
      <c r="J13168" t="str">
        <f>"9521145"</f>
        <v>9521145</v>
      </c>
      <c r="K13168">
        <v>2721071166</v>
      </c>
      <c r="M13168" t="s">
        <v>40212</v>
      </c>
      <c r="N13168" t="s">
        <v>40213</v>
      </c>
      <c r="O13168" t="s">
        <v>40213</v>
      </c>
      <c r="P13168">
        <v>24016</v>
      </c>
      <c r="Q13168" t="str">
        <f>"36.933960"</f>
        <v>36.933960</v>
      </c>
      <c r="R13168" t="str">
        <f>"22.189474"</f>
        <v>22.189474</v>
      </c>
      <c r="S13168" t="s">
        <v>26</v>
      </c>
    </row>
    <row r="13169" spans="1:19" x14ac:dyDescent="0.3">
      <c r="A13169" t="s">
        <v>37529</v>
      </c>
      <c r="B13169" t="s">
        <v>39848</v>
      </c>
      <c r="C13169" t="s">
        <v>40217</v>
      </c>
      <c r="D13169" t="s">
        <v>37558</v>
      </c>
      <c r="E13169" t="s">
        <v>37559</v>
      </c>
      <c r="F13169" t="s">
        <v>37559</v>
      </c>
      <c r="G13169" t="s">
        <v>37559</v>
      </c>
      <c r="H13169" t="s">
        <v>859</v>
      </c>
      <c r="I13169" t="s">
        <v>860</v>
      </c>
      <c r="J13169" t="str">
        <f>"9521270"</f>
        <v>9521270</v>
      </c>
      <c r="K13169">
        <v>2722045255</v>
      </c>
      <c r="L13169">
        <v>2721092991</v>
      </c>
      <c r="M13169" t="s">
        <v>40218</v>
      </c>
      <c r="N13169" t="s">
        <v>40219</v>
      </c>
      <c r="O13169" t="s">
        <v>40220</v>
      </c>
      <c r="P13169">
        <v>24100</v>
      </c>
      <c r="Q13169" t="str">
        <f>"37.029381"</f>
        <v>37.029381</v>
      </c>
      <c r="R13169" t="str">
        <f>"22.079545"</f>
        <v>22.079545</v>
      </c>
      <c r="S13169" t="s">
        <v>26</v>
      </c>
    </row>
    <row r="13170" spans="1:19" x14ac:dyDescent="0.3">
      <c r="A13170" t="s">
        <v>37529</v>
      </c>
      <c r="B13170" t="s">
        <v>39848</v>
      </c>
      <c r="C13170" t="s">
        <v>40221</v>
      </c>
      <c r="D13170" t="s">
        <v>37558</v>
      </c>
      <c r="E13170" t="s">
        <v>38286</v>
      </c>
      <c r="F13170" t="s">
        <v>38287</v>
      </c>
      <c r="G13170" t="s">
        <v>38287</v>
      </c>
      <c r="H13170" t="s">
        <v>859</v>
      </c>
      <c r="I13170" t="s">
        <v>1102</v>
      </c>
      <c r="J13170" t="str">
        <f>"9521391"</f>
        <v>9521391</v>
      </c>
      <c r="K13170">
        <v>2761032243</v>
      </c>
      <c r="L13170">
        <v>2761062864</v>
      </c>
      <c r="M13170" t="s">
        <v>40222</v>
      </c>
      <c r="N13170" t="s">
        <v>38497</v>
      </c>
      <c r="O13170" t="s">
        <v>40216</v>
      </c>
      <c r="P13170">
        <v>24300</v>
      </c>
      <c r="Q13170" t="str">
        <f>""</f>
        <v/>
      </c>
      <c r="R13170" t="str">
        <f>""</f>
        <v/>
      </c>
      <c r="S13170" t="s">
        <v>26</v>
      </c>
    </row>
    <row r="13171" spans="1:19" x14ac:dyDescent="0.3">
      <c r="A13171" t="s">
        <v>37529</v>
      </c>
      <c r="B13171" t="s">
        <v>39848</v>
      </c>
      <c r="C13171" t="s">
        <v>40223</v>
      </c>
      <c r="D13171" t="s">
        <v>37558</v>
      </c>
      <c r="E13171" t="s">
        <v>37559</v>
      </c>
      <c r="F13171" t="s">
        <v>37559</v>
      </c>
      <c r="G13171" t="s">
        <v>37559</v>
      </c>
      <c r="H13171" t="s">
        <v>859</v>
      </c>
      <c r="I13171" t="s">
        <v>1102</v>
      </c>
      <c r="J13171" t="str">
        <f>"9521045"</f>
        <v>9521045</v>
      </c>
      <c r="K13171">
        <v>2721027049</v>
      </c>
      <c r="L13171">
        <v>2721062485</v>
      </c>
      <c r="M13171" t="s">
        <v>40224</v>
      </c>
      <c r="N13171" t="s">
        <v>40225</v>
      </c>
      <c r="O13171" t="s">
        <v>40226</v>
      </c>
      <c r="P13171">
        <v>24100</v>
      </c>
      <c r="Q13171" t="str">
        <f>"37.036421"</f>
        <v>37.036421</v>
      </c>
      <c r="R13171" t="str">
        <f>"22.123388"</f>
        <v>22.123388</v>
      </c>
      <c r="S13171" t="s">
        <v>26</v>
      </c>
    </row>
    <row r="13172" spans="1:19" x14ac:dyDescent="0.3">
      <c r="A13172" t="s">
        <v>37529</v>
      </c>
      <c r="B13172" t="s">
        <v>39848</v>
      </c>
      <c r="C13172" t="s">
        <v>40227</v>
      </c>
      <c r="D13172" t="s">
        <v>37558</v>
      </c>
      <c r="E13172" t="s">
        <v>38268</v>
      </c>
      <c r="F13172" t="s">
        <v>38269</v>
      </c>
      <c r="G13172" t="s">
        <v>1969</v>
      </c>
      <c r="H13172" t="s">
        <v>859</v>
      </c>
      <c r="I13172" t="s">
        <v>860</v>
      </c>
      <c r="J13172" t="str">
        <f>"9360461"</f>
        <v>9360461</v>
      </c>
      <c r="K13172">
        <v>2721077733</v>
      </c>
      <c r="L13172">
        <v>2721077733</v>
      </c>
      <c r="M13172" t="s">
        <v>40228</v>
      </c>
      <c r="N13172" t="s">
        <v>40229</v>
      </c>
      <c r="O13172" t="s">
        <v>40229</v>
      </c>
      <c r="P13172">
        <v>24024</v>
      </c>
      <c r="Q13172" t="str">
        <f>"36.825156"</f>
        <v>36.825156</v>
      </c>
      <c r="R13172" t="str">
        <f>"22.290118"</f>
        <v>22.290118</v>
      </c>
      <c r="S13172" t="s">
        <v>26</v>
      </c>
    </row>
    <row r="13173" spans="1:19" x14ac:dyDescent="0.3">
      <c r="A13173" t="s">
        <v>37529</v>
      </c>
      <c r="B13173" t="s">
        <v>39848</v>
      </c>
      <c r="C13173" t="s">
        <v>40230</v>
      </c>
      <c r="D13173" t="s">
        <v>37558</v>
      </c>
      <c r="E13173" t="s">
        <v>38260</v>
      </c>
      <c r="F13173" t="s">
        <v>38261</v>
      </c>
      <c r="G13173" t="s">
        <v>20104</v>
      </c>
      <c r="H13173" t="s">
        <v>859</v>
      </c>
      <c r="I13173" t="s">
        <v>860</v>
      </c>
      <c r="J13173" t="str">
        <f>"9360421"</f>
        <v>9360421</v>
      </c>
      <c r="K13173">
        <v>2722041756</v>
      </c>
      <c r="L13173">
        <v>2722041756</v>
      </c>
      <c r="M13173" t="s">
        <v>40231</v>
      </c>
      <c r="N13173" t="s">
        <v>20107</v>
      </c>
      <c r="O13173" t="s">
        <v>20107</v>
      </c>
      <c r="P13173">
        <v>24013</v>
      </c>
      <c r="Q13173" t="str">
        <f>"39.126933"</f>
        <v>39.126933</v>
      </c>
      <c r="R13173" t="str">
        <f>"21.038572"</f>
        <v>21.038572</v>
      </c>
      <c r="S13173" t="s">
        <v>26</v>
      </c>
    </row>
    <row r="13174" spans="1:19" x14ac:dyDescent="0.3">
      <c r="A13174" t="s">
        <v>37529</v>
      </c>
      <c r="B13174" t="s">
        <v>39848</v>
      </c>
      <c r="C13174" t="s">
        <v>40233</v>
      </c>
      <c r="D13174" t="s">
        <v>37558</v>
      </c>
      <c r="E13174" t="s">
        <v>38260</v>
      </c>
      <c r="F13174" t="s">
        <v>38346</v>
      </c>
      <c r="G13174" t="s">
        <v>40232</v>
      </c>
      <c r="H13174" t="s">
        <v>859</v>
      </c>
      <c r="I13174" t="s">
        <v>860</v>
      </c>
      <c r="J13174" t="str">
        <f>"9360423"</f>
        <v>9360423</v>
      </c>
      <c r="K13174">
        <v>2722094258</v>
      </c>
      <c r="L13174">
        <v>2722094258</v>
      </c>
      <c r="M13174" t="s">
        <v>40234</v>
      </c>
      <c r="N13174" t="s">
        <v>40235</v>
      </c>
      <c r="O13174" t="s">
        <v>40235</v>
      </c>
      <c r="P13174">
        <v>24200</v>
      </c>
      <c r="Q13174" t="str">
        <f>"37.054193"</f>
        <v>37.054193</v>
      </c>
      <c r="R13174" t="str">
        <f>"21.887866"</f>
        <v>21.887866</v>
      </c>
      <c r="S13174" t="s">
        <v>26</v>
      </c>
    </row>
    <row r="13175" spans="1:19" x14ac:dyDescent="0.3">
      <c r="A13175" t="s">
        <v>37529</v>
      </c>
      <c r="B13175" t="s">
        <v>39848</v>
      </c>
      <c r="C13175" t="s">
        <v>40236</v>
      </c>
      <c r="D13175" t="s">
        <v>37558</v>
      </c>
      <c r="E13175" t="s">
        <v>38252</v>
      </c>
      <c r="F13175" t="s">
        <v>38258</v>
      </c>
      <c r="G13175" t="s">
        <v>5563</v>
      </c>
      <c r="H13175" t="s">
        <v>859</v>
      </c>
      <c r="I13175" t="s">
        <v>860</v>
      </c>
      <c r="J13175" t="str">
        <f>"9360449"</f>
        <v>9360449</v>
      </c>
      <c r="K13175">
        <v>2723061135</v>
      </c>
      <c r="L13175">
        <v>2723061135</v>
      </c>
      <c r="N13175" t="s">
        <v>38258</v>
      </c>
      <c r="O13175" t="s">
        <v>40237</v>
      </c>
      <c r="P13175">
        <v>24001</v>
      </c>
      <c r="Q13175" t="str">
        <f>""</f>
        <v/>
      </c>
      <c r="R13175" t="str">
        <f>""</f>
        <v/>
      </c>
      <c r="S13175" t="s">
        <v>26</v>
      </c>
    </row>
    <row r="13176" spans="1:19" x14ac:dyDescent="0.3">
      <c r="A13176" t="s">
        <v>40240</v>
      </c>
      <c r="B13176" t="s">
        <v>41254</v>
      </c>
      <c r="C13176" t="s">
        <v>41255</v>
      </c>
      <c r="D13176" t="s">
        <v>40241</v>
      </c>
      <c r="E13176" t="s">
        <v>40242</v>
      </c>
      <c r="F13176" t="s">
        <v>40242</v>
      </c>
      <c r="G13176" t="s">
        <v>40242</v>
      </c>
      <c r="H13176" t="s">
        <v>859</v>
      </c>
      <c r="I13176" t="s">
        <v>860</v>
      </c>
      <c r="J13176" t="str">
        <f>"9070225"</f>
        <v>9070225</v>
      </c>
      <c r="K13176">
        <v>2261029502</v>
      </c>
      <c r="L13176">
        <v>226102219</v>
      </c>
      <c r="M13176" t="s">
        <v>41256</v>
      </c>
      <c r="N13176" t="s">
        <v>40276</v>
      </c>
      <c r="O13176" t="s">
        <v>41257</v>
      </c>
      <c r="P13176">
        <v>32100</v>
      </c>
      <c r="Q13176" t="str">
        <f>"38.437350"</f>
        <v>38.437350</v>
      </c>
      <c r="R13176" t="str">
        <f>"22.891560"</f>
        <v>22.891560</v>
      </c>
      <c r="S13176" t="s">
        <v>26</v>
      </c>
    </row>
    <row r="13177" spans="1:19" x14ac:dyDescent="0.3">
      <c r="A13177" t="s">
        <v>40240</v>
      </c>
      <c r="B13177" t="s">
        <v>41254</v>
      </c>
      <c r="C13177" t="s">
        <v>41258</v>
      </c>
      <c r="D13177" t="s">
        <v>40241</v>
      </c>
      <c r="E13177" t="s">
        <v>40242</v>
      </c>
      <c r="F13177" t="s">
        <v>40242</v>
      </c>
      <c r="G13177" t="s">
        <v>40242</v>
      </c>
      <c r="H13177" t="s">
        <v>859</v>
      </c>
      <c r="I13177" t="s">
        <v>860</v>
      </c>
      <c r="J13177" t="str">
        <f>"9070273"</f>
        <v>9070273</v>
      </c>
      <c r="K13177">
        <v>2261026471</v>
      </c>
      <c r="M13177" t="s">
        <v>41259</v>
      </c>
      <c r="N13177" t="s">
        <v>40276</v>
      </c>
      <c r="O13177" t="s">
        <v>41260</v>
      </c>
      <c r="P13177">
        <v>32131</v>
      </c>
      <c r="Q13177" t="str">
        <f>"38.441367"</f>
        <v>38.441367</v>
      </c>
      <c r="R13177" t="str">
        <f>"22.879924"</f>
        <v>22.879924</v>
      </c>
      <c r="S13177" t="s">
        <v>26</v>
      </c>
    </row>
    <row r="13178" spans="1:19" x14ac:dyDescent="0.3">
      <c r="A13178" t="s">
        <v>40240</v>
      </c>
      <c r="B13178" t="s">
        <v>41254</v>
      </c>
      <c r="C13178" t="s">
        <v>41261</v>
      </c>
      <c r="D13178" t="s">
        <v>40241</v>
      </c>
      <c r="E13178" t="s">
        <v>40242</v>
      </c>
      <c r="F13178" t="s">
        <v>40242</v>
      </c>
      <c r="G13178" t="s">
        <v>40242</v>
      </c>
      <c r="H13178" t="s">
        <v>859</v>
      </c>
      <c r="I13178" t="s">
        <v>860</v>
      </c>
      <c r="J13178" t="str">
        <f>"9520964"</f>
        <v>9520964</v>
      </c>
      <c r="K13178">
        <v>2261028127</v>
      </c>
      <c r="L13178">
        <v>2261028127</v>
      </c>
      <c r="M13178" t="s">
        <v>41262</v>
      </c>
      <c r="N13178" t="s">
        <v>40276</v>
      </c>
      <c r="O13178" t="s">
        <v>41263</v>
      </c>
      <c r="P13178">
        <v>32131</v>
      </c>
      <c r="Q13178" t="str">
        <f>"38.443328"</f>
        <v>38.443328</v>
      </c>
      <c r="R13178" t="str">
        <f>"22.882118"</f>
        <v>22.882118</v>
      </c>
      <c r="S13178" t="s">
        <v>26</v>
      </c>
    </row>
    <row r="13179" spans="1:19" x14ac:dyDescent="0.3">
      <c r="A13179" t="s">
        <v>40240</v>
      </c>
      <c r="B13179" t="s">
        <v>41254</v>
      </c>
      <c r="C13179" t="s">
        <v>41264</v>
      </c>
      <c r="D13179" t="s">
        <v>40241</v>
      </c>
      <c r="E13179" t="s">
        <v>40242</v>
      </c>
      <c r="F13179" t="s">
        <v>40242</v>
      </c>
      <c r="G13179" t="s">
        <v>40242</v>
      </c>
      <c r="H13179" t="s">
        <v>859</v>
      </c>
      <c r="I13179" t="s">
        <v>860</v>
      </c>
      <c r="J13179" t="str">
        <f>"9070252"</f>
        <v>9070252</v>
      </c>
      <c r="K13179">
        <v>2261022933</v>
      </c>
      <c r="L13179">
        <v>2261022933</v>
      </c>
      <c r="M13179" t="s">
        <v>41265</v>
      </c>
      <c r="N13179" t="s">
        <v>40276</v>
      </c>
      <c r="O13179" t="s">
        <v>41266</v>
      </c>
      <c r="P13179">
        <v>32100</v>
      </c>
      <c r="Q13179" t="str">
        <f>"38.436662"</f>
        <v>38.436662</v>
      </c>
      <c r="R13179" t="str">
        <f>"22.887186"</f>
        <v>22.887186</v>
      </c>
      <c r="S13179" t="s">
        <v>26</v>
      </c>
    </row>
    <row r="13180" spans="1:19" x14ac:dyDescent="0.3">
      <c r="A13180" t="s">
        <v>40240</v>
      </c>
      <c r="B13180" t="s">
        <v>41254</v>
      </c>
      <c r="C13180" t="s">
        <v>41267</v>
      </c>
      <c r="D13180" t="s">
        <v>40241</v>
      </c>
      <c r="E13180" t="s">
        <v>40339</v>
      </c>
      <c r="F13180" t="s">
        <v>40339</v>
      </c>
      <c r="G13180" t="s">
        <v>40339</v>
      </c>
      <c r="H13180" t="s">
        <v>859</v>
      </c>
      <c r="I13180" t="s">
        <v>860</v>
      </c>
      <c r="J13180" t="str">
        <f>"9070226"</f>
        <v>9070226</v>
      </c>
      <c r="K13180">
        <v>2261032556</v>
      </c>
      <c r="L13180">
        <v>2261032556</v>
      </c>
      <c r="M13180" t="s">
        <v>41268</v>
      </c>
      <c r="N13180" t="s">
        <v>40339</v>
      </c>
      <c r="O13180" t="s">
        <v>41269</v>
      </c>
      <c r="P13180">
        <v>32300</v>
      </c>
      <c r="Q13180" t="str">
        <f>"38.084989"</f>
        <v>38.084989</v>
      </c>
      <c r="R13180" t="str">
        <f>"23.706346"</f>
        <v>23.706346</v>
      </c>
      <c r="S13180" t="s">
        <v>26</v>
      </c>
    </row>
    <row r="13181" spans="1:19" x14ac:dyDescent="0.3">
      <c r="A13181" t="s">
        <v>40240</v>
      </c>
      <c r="B13181" t="s">
        <v>41254</v>
      </c>
      <c r="C13181" t="s">
        <v>41285</v>
      </c>
      <c r="D13181" t="s">
        <v>40241</v>
      </c>
      <c r="E13181" t="s">
        <v>40289</v>
      </c>
      <c r="F13181" t="s">
        <v>40396</v>
      </c>
      <c r="G13181" t="s">
        <v>21531</v>
      </c>
      <c r="H13181" t="s">
        <v>859</v>
      </c>
      <c r="I13181" t="s">
        <v>860</v>
      </c>
      <c r="J13181" t="str">
        <f>"9070262"</f>
        <v>9070262</v>
      </c>
      <c r="K13181">
        <v>2263031217</v>
      </c>
      <c r="L13181">
        <v>2263031217</v>
      </c>
      <c r="M13181" t="s">
        <v>41286</v>
      </c>
      <c r="N13181" t="s">
        <v>21531</v>
      </c>
      <c r="O13181" t="s">
        <v>21534</v>
      </c>
      <c r="P13181">
        <v>32200</v>
      </c>
      <c r="Q13181" t="str">
        <f>"38.214616"</f>
        <v>38.214616</v>
      </c>
      <c r="R13181" t="str">
        <f>"23.495198"</f>
        <v>23.495198</v>
      </c>
      <c r="S13181" t="s">
        <v>26</v>
      </c>
    </row>
    <row r="13182" spans="1:19" x14ac:dyDescent="0.3">
      <c r="A13182" t="s">
        <v>40240</v>
      </c>
      <c r="B13182" t="s">
        <v>41254</v>
      </c>
      <c r="C13182" t="s">
        <v>41287</v>
      </c>
      <c r="D13182" t="s">
        <v>40241</v>
      </c>
      <c r="E13182" t="s">
        <v>40303</v>
      </c>
      <c r="F13182" t="s">
        <v>40303</v>
      </c>
      <c r="G13182" t="s">
        <v>40303</v>
      </c>
      <c r="H13182" t="s">
        <v>859</v>
      </c>
      <c r="I13182" t="s">
        <v>860</v>
      </c>
      <c r="J13182" t="str">
        <f>"9070250"</f>
        <v>9070250</v>
      </c>
      <c r="K13182">
        <v>2262024295</v>
      </c>
      <c r="L13182">
        <v>2262024295</v>
      </c>
      <c r="M13182" t="s">
        <v>41288</v>
      </c>
      <c r="N13182" t="s">
        <v>40295</v>
      </c>
      <c r="O13182" t="s">
        <v>41281</v>
      </c>
      <c r="P13182">
        <v>32200</v>
      </c>
      <c r="Q13182" t="str">
        <f>"38.313768"</f>
        <v>38.313768</v>
      </c>
      <c r="R13182" t="str">
        <f>"23.323151"</f>
        <v>23.323151</v>
      </c>
      <c r="S13182" t="s">
        <v>26</v>
      </c>
    </row>
    <row r="13183" spans="1:19" x14ac:dyDescent="0.3">
      <c r="A13183" t="s">
        <v>40240</v>
      </c>
      <c r="B13183" t="s">
        <v>41254</v>
      </c>
      <c r="C13183" t="s">
        <v>41289</v>
      </c>
      <c r="D13183" t="s">
        <v>40241</v>
      </c>
      <c r="E13183" t="s">
        <v>40242</v>
      </c>
      <c r="F13183" t="s">
        <v>40242</v>
      </c>
      <c r="G13183" t="s">
        <v>40242</v>
      </c>
      <c r="H13183" t="s">
        <v>859</v>
      </c>
      <c r="I13183" t="s">
        <v>860</v>
      </c>
      <c r="J13183" t="str">
        <f>"9070224"</f>
        <v>9070224</v>
      </c>
      <c r="K13183">
        <v>2261026051</v>
      </c>
      <c r="L13183">
        <v>2261026051</v>
      </c>
      <c r="M13183" t="s">
        <v>41290</v>
      </c>
      <c r="N13183" t="s">
        <v>40276</v>
      </c>
      <c r="O13183" t="s">
        <v>41291</v>
      </c>
      <c r="P13183">
        <v>32100</v>
      </c>
      <c r="Q13183" t="str">
        <f>"38.440091"</f>
        <v>38.440091</v>
      </c>
      <c r="R13183" t="str">
        <f>"22.873989"</f>
        <v>22.873989</v>
      </c>
      <c r="S13183" t="s">
        <v>26</v>
      </c>
    </row>
    <row r="13184" spans="1:19" x14ac:dyDescent="0.3">
      <c r="A13184" t="s">
        <v>40240</v>
      </c>
      <c r="B13184" t="s">
        <v>41254</v>
      </c>
      <c r="C13184" t="s">
        <v>41292</v>
      </c>
      <c r="D13184" t="s">
        <v>40241</v>
      </c>
      <c r="E13184" t="s">
        <v>40242</v>
      </c>
      <c r="F13184" t="s">
        <v>40242</v>
      </c>
      <c r="G13184" t="s">
        <v>40242</v>
      </c>
      <c r="H13184" t="s">
        <v>859</v>
      </c>
      <c r="I13184" t="s">
        <v>860</v>
      </c>
      <c r="J13184" t="str">
        <f>"9070241"</f>
        <v>9070241</v>
      </c>
      <c r="K13184">
        <v>2261026054</v>
      </c>
      <c r="L13184">
        <v>2261026054</v>
      </c>
      <c r="M13184" t="s">
        <v>41293</v>
      </c>
      <c r="N13184" t="s">
        <v>40276</v>
      </c>
      <c r="O13184" t="s">
        <v>41294</v>
      </c>
      <c r="P13184">
        <v>32100</v>
      </c>
      <c r="Q13184" t="str">
        <f>"38.432741"</f>
        <v>38.432741</v>
      </c>
      <c r="R13184" t="str">
        <f>"22.874842"</f>
        <v>22.874842</v>
      </c>
      <c r="S13184" t="s">
        <v>26</v>
      </c>
    </row>
    <row r="13185" spans="1:19" x14ac:dyDescent="0.3">
      <c r="A13185" t="s">
        <v>40240</v>
      </c>
      <c r="B13185" t="s">
        <v>41254</v>
      </c>
      <c r="C13185" t="s">
        <v>41308</v>
      </c>
      <c r="D13185" t="s">
        <v>40241</v>
      </c>
      <c r="E13185" t="s">
        <v>40303</v>
      </c>
      <c r="F13185" t="s">
        <v>40303</v>
      </c>
      <c r="G13185" t="s">
        <v>40303</v>
      </c>
      <c r="H13185" t="s">
        <v>859</v>
      </c>
      <c r="I13185" t="s">
        <v>860</v>
      </c>
      <c r="J13185" t="str">
        <f>"9070006"</f>
        <v>9070006</v>
      </c>
      <c r="K13185">
        <v>2262027724</v>
      </c>
      <c r="L13185">
        <v>2262027724</v>
      </c>
      <c r="M13185" t="s">
        <v>41309</v>
      </c>
      <c r="N13185" t="s">
        <v>40295</v>
      </c>
      <c r="O13185" t="s">
        <v>41310</v>
      </c>
      <c r="P13185">
        <v>32200</v>
      </c>
      <c r="Q13185" t="str">
        <f>"38.328410"</f>
        <v>38.328410</v>
      </c>
      <c r="R13185" t="str">
        <f>"23.310846"</f>
        <v>23.310846</v>
      </c>
      <c r="S13185" t="s">
        <v>26</v>
      </c>
    </row>
    <row r="13186" spans="1:19" x14ac:dyDescent="0.3">
      <c r="A13186" t="s">
        <v>40240</v>
      </c>
      <c r="B13186" t="s">
        <v>41254</v>
      </c>
      <c r="C13186" t="s">
        <v>41326</v>
      </c>
      <c r="D13186" t="s">
        <v>40241</v>
      </c>
      <c r="E13186" t="s">
        <v>40303</v>
      </c>
      <c r="F13186" t="s">
        <v>40303</v>
      </c>
      <c r="G13186" t="s">
        <v>40303</v>
      </c>
      <c r="H13186" t="s">
        <v>859</v>
      </c>
      <c r="I13186" t="s">
        <v>860</v>
      </c>
      <c r="J13186" t="str">
        <f>"9070233"</f>
        <v>9070233</v>
      </c>
      <c r="K13186">
        <v>2262023321</v>
      </c>
      <c r="L13186">
        <v>89247</v>
      </c>
      <c r="M13186" t="s">
        <v>41327</v>
      </c>
      <c r="N13186" t="s">
        <v>40295</v>
      </c>
      <c r="O13186" t="s">
        <v>41328</v>
      </c>
      <c r="P13186">
        <v>32200</v>
      </c>
      <c r="Q13186" t="str">
        <f>"38.323791"</f>
        <v>38.323791</v>
      </c>
      <c r="R13186" t="str">
        <f>"23.326681"</f>
        <v>23.326681</v>
      </c>
      <c r="S13186" t="s">
        <v>26</v>
      </c>
    </row>
    <row r="13187" spans="1:19" x14ac:dyDescent="0.3">
      <c r="A13187" t="s">
        <v>40240</v>
      </c>
      <c r="B13187" t="s">
        <v>41254</v>
      </c>
      <c r="C13187" t="s">
        <v>41329</v>
      </c>
      <c r="D13187" t="s">
        <v>40241</v>
      </c>
      <c r="E13187" t="s">
        <v>40332</v>
      </c>
      <c r="F13187" t="s">
        <v>40348</v>
      </c>
      <c r="G13187" t="s">
        <v>21888</v>
      </c>
      <c r="H13187" t="s">
        <v>859</v>
      </c>
      <c r="I13187" t="s">
        <v>860</v>
      </c>
      <c r="J13187" t="str">
        <f>"9070043"</f>
        <v>9070043</v>
      </c>
      <c r="K13187">
        <v>2262067332</v>
      </c>
      <c r="L13187">
        <v>2262067328</v>
      </c>
      <c r="M13187" t="s">
        <v>41330</v>
      </c>
      <c r="N13187" t="s">
        <v>41331</v>
      </c>
      <c r="O13187" t="s">
        <v>21891</v>
      </c>
      <c r="P13187">
        <v>32002</v>
      </c>
      <c r="Q13187" t="str">
        <f>"38.322432"</f>
        <v>38.322432</v>
      </c>
      <c r="R13187" t="str">
        <f>"23.162499"</f>
        <v>23.162499</v>
      </c>
      <c r="S13187" t="s">
        <v>26</v>
      </c>
    </row>
    <row r="13188" spans="1:19" x14ac:dyDescent="0.3">
      <c r="A13188" t="s">
        <v>40240</v>
      </c>
      <c r="B13188" t="s">
        <v>41254</v>
      </c>
      <c r="C13188" t="s">
        <v>41332</v>
      </c>
      <c r="D13188" t="s">
        <v>40241</v>
      </c>
      <c r="E13188" t="s">
        <v>40303</v>
      </c>
      <c r="F13188" t="s">
        <v>40303</v>
      </c>
      <c r="G13188" t="s">
        <v>40303</v>
      </c>
      <c r="H13188" t="s">
        <v>859</v>
      </c>
      <c r="I13188" t="s">
        <v>1102</v>
      </c>
      <c r="J13188" t="str">
        <f>"9070303"</f>
        <v>9070303</v>
      </c>
      <c r="K13188">
        <v>2262080810</v>
      </c>
      <c r="L13188">
        <v>2262080810</v>
      </c>
      <c r="M13188" t="s">
        <v>41333</v>
      </c>
      <c r="N13188" t="s">
        <v>40306</v>
      </c>
      <c r="O13188" t="s">
        <v>41316</v>
      </c>
      <c r="P13188">
        <v>32200</v>
      </c>
      <c r="Q13188" t="str">
        <f>"38.325232"</f>
        <v>38.325232</v>
      </c>
      <c r="R13188" t="str">
        <f>"23.331737"</f>
        <v>23.331737</v>
      </c>
      <c r="S13188" t="s">
        <v>26</v>
      </c>
    </row>
    <row r="13189" spans="1:19" x14ac:dyDescent="0.3">
      <c r="A13189" t="s">
        <v>40240</v>
      </c>
      <c r="B13189" t="s">
        <v>41254</v>
      </c>
      <c r="C13189" t="s">
        <v>41338</v>
      </c>
      <c r="D13189" t="s">
        <v>40241</v>
      </c>
      <c r="E13189" t="s">
        <v>40242</v>
      </c>
      <c r="F13189" t="s">
        <v>40242</v>
      </c>
      <c r="G13189" t="s">
        <v>40242</v>
      </c>
      <c r="H13189" t="s">
        <v>859</v>
      </c>
      <c r="I13189" t="s">
        <v>860</v>
      </c>
      <c r="J13189" t="str">
        <f>"9070072"</f>
        <v>9070072</v>
      </c>
      <c r="K13189">
        <v>2261029009</v>
      </c>
      <c r="L13189">
        <v>2261029009</v>
      </c>
      <c r="M13189" t="s">
        <v>41339</v>
      </c>
      <c r="N13189" t="s">
        <v>40276</v>
      </c>
      <c r="O13189" t="s">
        <v>41278</v>
      </c>
      <c r="P13189">
        <v>32100</v>
      </c>
      <c r="Q13189" t="str">
        <f>"38.431410"</f>
        <v>38.431410</v>
      </c>
      <c r="R13189" t="str">
        <f>"22.864516"</f>
        <v>22.864516</v>
      </c>
      <c r="S13189" t="s">
        <v>26</v>
      </c>
    </row>
    <row r="13190" spans="1:19" x14ac:dyDescent="0.3">
      <c r="A13190" t="s">
        <v>40240</v>
      </c>
      <c r="B13190" t="s">
        <v>41254</v>
      </c>
      <c r="C13190" t="s">
        <v>41340</v>
      </c>
      <c r="D13190" t="s">
        <v>40241</v>
      </c>
      <c r="E13190" t="s">
        <v>40242</v>
      </c>
      <c r="F13190" t="s">
        <v>40242</v>
      </c>
      <c r="G13190" t="s">
        <v>40242</v>
      </c>
      <c r="H13190" t="s">
        <v>859</v>
      </c>
      <c r="I13190" t="s">
        <v>860</v>
      </c>
      <c r="J13190" t="str">
        <f>"9070254"</f>
        <v>9070254</v>
      </c>
      <c r="K13190">
        <v>2261025249</v>
      </c>
      <c r="L13190">
        <v>2261025249</v>
      </c>
      <c r="M13190" t="s">
        <v>41341</v>
      </c>
      <c r="N13190" t="s">
        <v>40276</v>
      </c>
      <c r="O13190" t="s">
        <v>41342</v>
      </c>
      <c r="P13190">
        <v>32100</v>
      </c>
      <c r="Q13190" t="str">
        <f>"38.436436"</f>
        <v>38.436436</v>
      </c>
      <c r="R13190" t="str">
        <f>"22.864793"</f>
        <v>22.864793</v>
      </c>
      <c r="S13190" t="s">
        <v>26</v>
      </c>
    </row>
    <row r="13191" spans="1:19" x14ac:dyDescent="0.3">
      <c r="A13191" t="s">
        <v>40240</v>
      </c>
      <c r="B13191" t="s">
        <v>41254</v>
      </c>
      <c r="C13191" t="s">
        <v>41347</v>
      </c>
      <c r="D13191" t="s">
        <v>40241</v>
      </c>
      <c r="E13191" t="s">
        <v>40242</v>
      </c>
      <c r="F13191" t="s">
        <v>40242</v>
      </c>
      <c r="G13191" t="s">
        <v>40242</v>
      </c>
      <c r="H13191" t="s">
        <v>859</v>
      </c>
      <c r="I13191" t="s">
        <v>860</v>
      </c>
      <c r="J13191" t="str">
        <f>"9070296"</f>
        <v>9070296</v>
      </c>
      <c r="K13191">
        <v>2261081298</v>
      </c>
      <c r="L13191">
        <v>2261081298</v>
      </c>
      <c r="M13191" t="s">
        <v>41348</v>
      </c>
      <c r="N13191" t="s">
        <v>40276</v>
      </c>
      <c r="O13191" t="s">
        <v>29764</v>
      </c>
      <c r="P13191">
        <v>32131</v>
      </c>
      <c r="Q13191" t="str">
        <f>"38.442288"</f>
        <v>38.442288</v>
      </c>
      <c r="R13191" t="str">
        <f>"22.870811"</f>
        <v>22.870811</v>
      </c>
      <c r="S13191" t="s">
        <v>26</v>
      </c>
    </row>
    <row r="13192" spans="1:19" x14ac:dyDescent="0.3">
      <c r="A13192" t="s">
        <v>40240</v>
      </c>
      <c r="B13192" t="s">
        <v>41254</v>
      </c>
      <c r="C13192" t="s">
        <v>41349</v>
      </c>
      <c r="D13192" t="s">
        <v>40241</v>
      </c>
      <c r="E13192" t="s">
        <v>40242</v>
      </c>
      <c r="F13192" t="s">
        <v>40242</v>
      </c>
      <c r="G13192" t="s">
        <v>40242</v>
      </c>
      <c r="H13192" t="s">
        <v>859</v>
      </c>
      <c r="I13192" t="s">
        <v>860</v>
      </c>
      <c r="J13192" t="str">
        <f>"9520963"</f>
        <v>9520963</v>
      </c>
      <c r="K13192">
        <v>2261022770</v>
      </c>
      <c r="L13192">
        <v>2261022770</v>
      </c>
      <c r="M13192" t="s">
        <v>41350</v>
      </c>
      <c r="N13192" t="s">
        <v>40276</v>
      </c>
      <c r="O13192" t="s">
        <v>41351</v>
      </c>
      <c r="P13192">
        <v>32131</v>
      </c>
      <c r="Q13192" t="str">
        <f>"38.439670"</f>
        <v>38.439670</v>
      </c>
      <c r="R13192" t="str">
        <f>"22.863639"</f>
        <v>22.863639</v>
      </c>
      <c r="S13192" t="s">
        <v>26</v>
      </c>
    </row>
    <row r="13193" spans="1:19" x14ac:dyDescent="0.3">
      <c r="A13193" t="s">
        <v>40240</v>
      </c>
      <c r="B13193" t="s">
        <v>41254</v>
      </c>
      <c r="C13193" t="s">
        <v>41354</v>
      </c>
      <c r="D13193" t="s">
        <v>40241</v>
      </c>
      <c r="E13193" t="s">
        <v>40242</v>
      </c>
      <c r="F13193" t="s">
        <v>40242</v>
      </c>
      <c r="G13193" t="s">
        <v>40242</v>
      </c>
      <c r="H13193" t="s">
        <v>859</v>
      </c>
      <c r="I13193" t="s">
        <v>860</v>
      </c>
      <c r="J13193" t="str">
        <f>"9070247"</f>
        <v>9070247</v>
      </c>
      <c r="K13193">
        <v>2261026110</v>
      </c>
      <c r="L13193">
        <v>2261026110</v>
      </c>
      <c r="M13193" t="s">
        <v>41355</v>
      </c>
      <c r="N13193" t="s">
        <v>40276</v>
      </c>
      <c r="O13193" t="s">
        <v>41356</v>
      </c>
      <c r="P13193">
        <v>32100</v>
      </c>
      <c r="Q13193" t="str">
        <f>"38.455467"</f>
        <v>38.455467</v>
      </c>
      <c r="R13193" t="str">
        <f>"22.882594"</f>
        <v>22.882594</v>
      </c>
      <c r="S13193" t="s">
        <v>26</v>
      </c>
    </row>
    <row r="13194" spans="1:19" x14ac:dyDescent="0.3">
      <c r="A13194" t="s">
        <v>40240</v>
      </c>
      <c r="B13194" t="s">
        <v>41254</v>
      </c>
      <c r="C13194" t="s">
        <v>41357</v>
      </c>
      <c r="D13194" t="s">
        <v>40241</v>
      </c>
      <c r="E13194" t="s">
        <v>40303</v>
      </c>
      <c r="F13194" t="s">
        <v>40303</v>
      </c>
      <c r="G13194" t="s">
        <v>40303</v>
      </c>
      <c r="H13194" t="s">
        <v>859</v>
      </c>
      <c r="I13194" t="s">
        <v>860</v>
      </c>
      <c r="J13194" t="str">
        <f>"9070232"</f>
        <v>9070232</v>
      </c>
      <c r="K13194">
        <v>2262089497</v>
      </c>
      <c r="L13194">
        <v>2262022887</v>
      </c>
      <c r="M13194" t="s">
        <v>41358</v>
      </c>
      <c r="N13194" t="s">
        <v>40306</v>
      </c>
      <c r="O13194" t="s">
        <v>41359</v>
      </c>
      <c r="P13194">
        <v>32200</v>
      </c>
      <c r="Q13194" t="str">
        <f>"38.329635"</f>
        <v>38.329635</v>
      </c>
      <c r="R13194" t="str">
        <f>"23.318894"</f>
        <v>23.318894</v>
      </c>
      <c r="S13194" t="s">
        <v>26</v>
      </c>
    </row>
    <row r="13195" spans="1:19" x14ac:dyDescent="0.3">
      <c r="A13195" t="s">
        <v>40240</v>
      </c>
      <c r="B13195" t="s">
        <v>41254</v>
      </c>
      <c r="C13195" t="s">
        <v>41369</v>
      </c>
      <c r="D13195" t="s">
        <v>40241</v>
      </c>
      <c r="E13195" t="s">
        <v>40339</v>
      </c>
      <c r="F13195" t="s">
        <v>40384</v>
      </c>
      <c r="G13195" t="s">
        <v>40385</v>
      </c>
      <c r="H13195" t="s">
        <v>859</v>
      </c>
      <c r="I13195" t="s">
        <v>860</v>
      </c>
      <c r="J13195" t="str">
        <f>"9070257"</f>
        <v>9070257</v>
      </c>
      <c r="K13195">
        <v>2268031777</v>
      </c>
      <c r="L13195">
        <v>2268031777</v>
      </c>
      <c r="M13195" t="s">
        <v>41370</v>
      </c>
      <c r="N13195" t="s">
        <v>40385</v>
      </c>
      <c r="O13195" t="s">
        <v>41371</v>
      </c>
      <c r="P13195">
        <v>32001</v>
      </c>
      <c r="Q13195" t="str">
        <f>"38.458550"</f>
        <v>38.458550</v>
      </c>
      <c r="R13195" t="str">
        <f>"23.219752"</f>
        <v>23.219752</v>
      </c>
      <c r="S13195" t="s">
        <v>26</v>
      </c>
    </row>
    <row r="13196" spans="1:19" x14ac:dyDescent="0.3">
      <c r="A13196" t="s">
        <v>40240</v>
      </c>
      <c r="B13196" t="s">
        <v>41254</v>
      </c>
      <c r="C13196" t="s">
        <v>41372</v>
      </c>
      <c r="D13196" t="s">
        <v>40241</v>
      </c>
      <c r="E13196" t="s">
        <v>40303</v>
      </c>
      <c r="F13196" t="s">
        <v>40303</v>
      </c>
      <c r="G13196" t="s">
        <v>40303</v>
      </c>
      <c r="H13196" t="s">
        <v>859</v>
      </c>
      <c r="I13196" t="s">
        <v>860</v>
      </c>
      <c r="J13196" t="str">
        <f>"9070282"</f>
        <v>9070282</v>
      </c>
      <c r="K13196">
        <v>2262024739</v>
      </c>
      <c r="L13196">
        <v>2262024739</v>
      </c>
      <c r="M13196" t="s">
        <v>41373</v>
      </c>
      <c r="N13196" t="s">
        <v>40295</v>
      </c>
      <c r="O13196" t="s">
        <v>41316</v>
      </c>
      <c r="P13196">
        <v>32200</v>
      </c>
      <c r="Q13196" t="str">
        <f>"38.325275"</f>
        <v>38.325275</v>
      </c>
      <c r="R13196" t="str">
        <f>"23.331654"</f>
        <v>23.331654</v>
      </c>
      <c r="S13196" t="s">
        <v>26</v>
      </c>
    </row>
    <row r="13197" spans="1:19" x14ac:dyDescent="0.3">
      <c r="A13197" t="s">
        <v>40240</v>
      </c>
      <c r="B13197" t="s">
        <v>41254</v>
      </c>
      <c r="C13197" t="s">
        <v>41374</v>
      </c>
      <c r="D13197" t="s">
        <v>40241</v>
      </c>
      <c r="E13197" t="s">
        <v>40289</v>
      </c>
      <c r="F13197" t="s">
        <v>40297</v>
      </c>
      <c r="G13197" t="s">
        <v>40297</v>
      </c>
      <c r="H13197" t="s">
        <v>859</v>
      </c>
      <c r="I13197" t="s">
        <v>860</v>
      </c>
      <c r="J13197" t="str">
        <f>"9070060"</f>
        <v>9070060</v>
      </c>
      <c r="K13197">
        <v>2262058923</v>
      </c>
      <c r="L13197">
        <v>2262057028</v>
      </c>
      <c r="M13197" t="s">
        <v>41375</v>
      </c>
      <c r="N13197" t="s">
        <v>40297</v>
      </c>
      <c r="O13197" t="s">
        <v>41376</v>
      </c>
      <c r="P13197">
        <v>32009</v>
      </c>
      <c r="Q13197" t="str">
        <f>"38.348008"</f>
        <v>38.348008</v>
      </c>
      <c r="R13197" t="str">
        <f>"23.586634"</f>
        <v>23.586634</v>
      </c>
      <c r="S13197" t="s">
        <v>26</v>
      </c>
    </row>
    <row r="13198" spans="1:19" x14ac:dyDescent="0.3">
      <c r="A13198" t="s">
        <v>40240</v>
      </c>
      <c r="B13198" t="s">
        <v>41254</v>
      </c>
      <c r="C13198" t="s">
        <v>41380</v>
      </c>
      <c r="D13198" t="s">
        <v>40241</v>
      </c>
      <c r="E13198" t="s">
        <v>40354</v>
      </c>
      <c r="F13198" t="s">
        <v>40355</v>
      </c>
      <c r="G13198" t="s">
        <v>40355</v>
      </c>
      <c r="H13198" t="s">
        <v>859</v>
      </c>
      <c r="I13198" t="s">
        <v>860</v>
      </c>
      <c r="J13198" t="str">
        <f>"9070249"</f>
        <v>9070249</v>
      </c>
      <c r="K13198">
        <v>2267041471</v>
      </c>
      <c r="L13198">
        <v>2267041471</v>
      </c>
      <c r="M13198" t="s">
        <v>41381</v>
      </c>
      <c r="N13198" t="s">
        <v>41382</v>
      </c>
      <c r="O13198" t="s">
        <v>41383</v>
      </c>
      <c r="P13198">
        <v>32003</v>
      </c>
      <c r="Q13198" t="str">
        <f>"38.387994"</f>
        <v>38.387994</v>
      </c>
      <c r="R13198" t="str">
        <f>"22.650932"</f>
        <v>22.650932</v>
      </c>
      <c r="S13198" t="s">
        <v>26</v>
      </c>
    </row>
    <row r="13199" spans="1:19" x14ac:dyDescent="0.3">
      <c r="A13199" t="s">
        <v>40240</v>
      </c>
      <c r="B13199" t="s">
        <v>41254</v>
      </c>
      <c r="C13199" t="s">
        <v>41384</v>
      </c>
      <c r="D13199" t="s">
        <v>40241</v>
      </c>
      <c r="E13199" t="s">
        <v>40289</v>
      </c>
      <c r="F13199" t="s">
        <v>40297</v>
      </c>
      <c r="G13199" t="s">
        <v>40297</v>
      </c>
      <c r="H13199" t="s">
        <v>859</v>
      </c>
      <c r="I13199" t="s">
        <v>860</v>
      </c>
      <c r="J13199" t="str">
        <f>"9070304"</f>
        <v>9070304</v>
      </c>
      <c r="K13199">
        <v>2262056719</v>
      </c>
      <c r="L13199">
        <v>2262056719</v>
      </c>
      <c r="M13199" t="s">
        <v>41385</v>
      </c>
      <c r="N13199" t="s">
        <v>40297</v>
      </c>
      <c r="O13199" t="s">
        <v>41386</v>
      </c>
      <c r="P13199">
        <v>32009</v>
      </c>
      <c r="Q13199" t="str">
        <f>"38.338045"</f>
        <v>38.338045</v>
      </c>
      <c r="R13199" t="str">
        <f>"23.620258"</f>
        <v>23.620258</v>
      </c>
      <c r="S13199" t="s">
        <v>26</v>
      </c>
    </row>
    <row r="13200" spans="1:19" x14ac:dyDescent="0.3">
      <c r="A13200" t="s">
        <v>40240</v>
      </c>
      <c r="B13200" t="s">
        <v>41254</v>
      </c>
      <c r="C13200" t="s">
        <v>41387</v>
      </c>
      <c r="D13200" t="s">
        <v>40241</v>
      </c>
      <c r="E13200" t="s">
        <v>40303</v>
      </c>
      <c r="F13200" t="s">
        <v>40370</v>
      </c>
      <c r="G13200" t="s">
        <v>40370</v>
      </c>
      <c r="H13200" t="s">
        <v>859</v>
      </c>
      <c r="I13200" t="s">
        <v>860</v>
      </c>
      <c r="J13200" t="str">
        <f>"9070018"</f>
        <v>9070018</v>
      </c>
      <c r="K13200">
        <v>2262061771</v>
      </c>
      <c r="L13200">
        <v>2261061771</v>
      </c>
      <c r="M13200" t="s">
        <v>41388</v>
      </c>
      <c r="N13200" t="s">
        <v>40486</v>
      </c>
      <c r="O13200" t="s">
        <v>40486</v>
      </c>
      <c r="P13200">
        <v>32002</v>
      </c>
      <c r="Q13200" t="str">
        <f>"38.320459"</f>
        <v>38.320459</v>
      </c>
      <c r="R13200" t="str">
        <f>"23.179653"</f>
        <v>23.179653</v>
      </c>
      <c r="S13200" t="s">
        <v>26</v>
      </c>
    </row>
    <row r="13201" spans="1:19" x14ac:dyDescent="0.3">
      <c r="A13201" t="s">
        <v>40240</v>
      </c>
      <c r="B13201" t="s">
        <v>41254</v>
      </c>
      <c r="C13201" t="s">
        <v>41389</v>
      </c>
      <c r="D13201" t="s">
        <v>40241</v>
      </c>
      <c r="E13201" t="s">
        <v>40303</v>
      </c>
      <c r="F13201" t="s">
        <v>40303</v>
      </c>
      <c r="G13201" t="s">
        <v>40303</v>
      </c>
      <c r="H13201" t="s">
        <v>859</v>
      </c>
      <c r="I13201" t="s">
        <v>860</v>
      </c>
      <c r="J13201" t="str">
        <f>"9070004"</f>
        <v>9070004</v>
      </c>
      <c r="K13201">
        <v>2262022662</v>
      </c>
      <c r="M13201" t="s">
        <v>41390</v>
      </c>
      <c r="N13201" t="s">
        <v>41391</v>
      </c>
      <c r="O13201" t="s">
        <v>41392</v>
      </c>
      <c r="P13201">
        <v>32200</v>
      </c>
      <c r="Q13201" t="str">
        <f>"38.326128"</f>
        <v>38.326128</v>
      </c>
      <c r="R13201" t="str">
        <f>"23.320259"</f>
        <v>23.320259</v>
      </c>
      <c r="S13201" t="s">
        <v>26</v>
      </c>
    </row>
    <row r="13202" spans="1:19" x14ac:dyDescent="0.3">
      <c r="A13202" t="s">
        <v>40240</v>
      </c>
      <c r="B13202" t="s">
        <v>41254</v>
      </c>
      <c r="C13202" t="s">
        <v>41414</v>
      </c>
      <c r="D13202" t="s">
        <v>40241</v>
      </c>
      <c r="E13202" t="s">
        <v>40289</v>
      </c>
      <c r="F13202" t="s">
        <v>40290</v>
      </c>
      <c r="G13202" t="s">
        <v>40290</v>
      </c>
      <c r="H13202" t="s">
        <v>859</v>
      </c>
      <c r="I13202" t="s">
        <v>860</v>
      </c>
      <c r="J13202" t="str">
        <f>"9070244"</f>
        <v>9070244</v>
      </c>
      <c r="K13202">
        <v>2262031446</v>
      </c>
      <c r="L13202">
        <v>2262031446</v>
      </c>
      <c r="M13202" t="s">
        <v>41415</v>
      </c>
      <c r="N13202" t="s">
        <v>40290</v>
      </c>
      <c r="O13202" t="s">
        <v>41416</v>
      </c>
      <c r="P13202">
        <v>32011</v>
      </c>
      <c r="Q13202" t="str">
        <f>"38.329797"</f>
        <v>38.329797</v>
      </c>
      <c r="R13202" t="str">
        <f>"23.659018"</f>
        <v>23.659018</v>
      </c>
      <c r="S13202" t="s">
        <v>26</v>
      </c>
    </row>
    <row r="13203" spans="1:19" x14ac:dyDescent="0.3">
      <c r="A13203" t="s">
        <v>40240</v>
      </c>
      <c r="B13203" t="s">
        <v>41254</v>
      </c>
      <c r="C13203" t="s">
        <v>41420</v>
      </c>
      <c r="D13203" t="s">
        <v>40241</v>
      </c>
      <c r="E13203" t="s">
        <v>40289</v>
      </c>
      <c r="F13203" t="s">
        <v>40289</v>
      </c>
      <c r="G13203" t="s">
        <v>40327</v>
      </c>
      <c r="H13203" t="s">
        <v>859</v>
      </c>
      <c r="I13203" t="s">
        <v>860</v>
      </c>
      <c r="J13203" t="str">
        <f>"9070237"</f>
        <v>9070237</v>
      </c>
      <c r="K13203">
        <v>2262095391</v>
      </c>
      <c r="L13203">
        <v>2262095391</v>
      </c>
      <c r="M13203" t="s">
        <v>41421</v>
      </c>
      <c r="N13203" t="s">
        <v>40327</v>
      </c>
      <c r="O13203" t="s">
        <v>41422</v>
      </c>
      <c r="P13203">
        <v>32200</v>
      </c>
      <c r="Q13203" t="str">
        <f>"38.297756"</f>
        <v>38.297756</v>
      </c>
      <c r="R13203" t="str">
        <f>"23.498663"</f>
        <v>23.498663</v>
      </c>
      <c r="S13203" t="s">
        <v>26</v>
      </c>
    </row>
    <row r="13204" spans="1:19" x14ac:dyDescent="0.3">
      <c r="A13204" t="s">
        <v>40240</v>
      </c>
      <c r="B13204" t="s">
        <v>41254</v>
      </c>
      <c r="C13204" t="s">
        <v>41423</v>
      </c>
      <c r="D13204" t="s">
        <v>40241</v>
      </c>
      <c r="E13204" t="s">
        <v>40289</v>
      </c>
      <c r="F13204" t="s">
        <v>40289</v>
      </c>
      <c r="G13204" t="s">
        <v>41343</v>
      </c>
      <c r="H13204" t="s">
        <v>859</v>
      </c>
      <c r="I13204" t="s">
        <v>860</v>
      </c>
      <c r="J13204" t="str">
        <f>"9070260"</f>
        <v>9070260</v>
      </c>
      <c r="K13204">
        <v>2262089827</v>
      </c>
      <c r="L13204">
        <v>2262071562</v>
      </c>
      <c r="M13204" t="s">
        <v>41424</v>
      </c>
      <c r="N13204" t="s">
        <v>41343</v>
      </c>
      <c r="O13204" t="s">
        <v>41425</v>
      </c>
      <c r="P13204">
        <v>32200</v>
      </c>
      <c r="Q13204" t="str">
        <f>"38.350742"</f>
        <v>38.350742</v>
      </c>
      <c r="R13204" t="str">
        <f>"23.484461"</f>
        <v>23.484461</v>
      </c>
      <c r="S13204" t="s">
        <v>26</v>
      </c>
    </row>
    <row r="13205" spans="1:19" x14ac:dyDescent="0.3">
      <c r="A13205" t="s">
        <v>40240</v>
      </c>
      <c r="B13205" t="s">
        <v>41254</v>
      </c>
      <c r="C13205" t="s">
        <v>41427</v>
      </c>
      <c r="D13205" t="s">
        <v>40241</v>
      </c>
      <c r="E13205" t="s">
        <v>40303</v>
      </c>
      <c r="F13205" t="s">
        <v>40303</v>
      </c>
      <c r="G13205" t="s">
        <v>41426</v>
      </c>
      <c r="H13205" t="s">
        <v>859</v>
      </c>
      <c r="I13205" t="s">
        <v>860</v>
      </c>
      <c r="J13205" t="str">
        <f>"9070271"</f>
        <v>9070271</v>
      </c>
      <c r="K13205">
        <v>2262071269</v>
      </c>
      <c r="M13205" t="s">
        <v>41428</v>
      </c>
      <c r="N13205" t="s">
        <v>41426</v>
      </c>
      <c r="O13205" t="s">
        <v>41429</v>
      </c>
      <c r="P13205">
        <v>32200</v>
      </c>
      <c r="Q13205" t="str">
        <f>"38.387511"</f>
        <v>38.387511</v>
      </c>
      <c r="R13205" t="str">
        <f>"23.392753"</f>
        <v>23.392753</v>
      </c>
      <c r="S13205" t="s">
        <v>26</v>
      </c>
    </row>
    <row r="13206" spans="1:19" x14ac:dyDescent="0.3">
      <c r="A13206" t="s">
        <v>40240</v>
      </c>
      <c r="B13206" t="s">
        <v>41254</v>
      </c>
      <c r="C13206" t="s">
        <v>41430</v>
      </c>
      <c r="D13206" t="s">
        <v>40241</v>
      </c>
      <c r="E13206" t="s">
        <v>40303</v>
      </c>
      <c r="F13206" t="s">
        <v>40303</v>
      </c>
      <c r="G13206" t="s">
        <v>41363</v>
      </c>
      <c r="H13206" t="s">
        <v>859</v>
      </c>
      <c r="I13206" t="s">
        <v>860</v>
      </c>
      <c r="J13206" t="str">
        <f>"9070261"</f>
        <v>9070261</v>
      </c>
      <c r="K13206">
        <v>2262072096</v>
      </c>
      <c r="L13206">
        <v>2262071117</v>
      </c>
      <c r="M13206" t="s">
        <v>41431</v>
      </c>
      <c r="N13206" t="s">
        <v>41432</v>
      </c>
      <c r="O13206" t="s">
        <v>41366</v>
      </c>
      <c r="P13206">
        <v>32200</v>
      </c>
      <c r="Q13206" t="str">
        <f>"38.364102"</f>
        <v>38.364102</v>
      </c>
      <c r="R13206" t="str">
        <f>"23.445843"</f>
        <v>23.445843</v>
      </c>
      <c r="S13206" t="s">
        <v>26</v>
      </c>
    </row>
    <row r="13207" spans="1:19" x14ac:dyDescent="0.3">
      <c r="A13207" t="s">
        <v>40240</v>
      </c>
      <c r="B13207" t="s">
        <v>41254</v>
      </c>
      <c r="C13207" t="s">
        <v>41433</v>
      </c>
      <c r="D13207" t="s">
        <v>40241</v>
      </c>
      <c r="E13207" t="s">
        <v>40339</v>
      </c>
      <c r="F13207" t="s">
        <v>40384</v>
      </c>
      <c r="G13207" t="s">
        <v>16867</v>
      </c>
      <c r="H13207" t="s">
        <v>859</v>
      </c>
      <c r="I13207" t="s">
        <v>860</v>
      </c>
      <c r="J13207" t="str">
        <f>"9070255"</f>
        <v>9070255</v>
      </c>
      <c r="K13207">
        <v>2268041260</v>
      </c>
      <c r="L13207">
        <v>2268041260</v>
      </c>
      <c r="M13207" t="s">
        <v>41434</v>
      </c>
      <c r="N13207" t="s">
        <v>16867</v>
      </c>
      <c r="O13207" t="s">
        <v>16870</v>
      </c>
      <c r="P13207">
        <v>32200</v>
      </c>
      <c r="Q13207" t="str">
        <f>"38.492290"</f>
        <v>38.492290</v>
      </c>
      <c r="R13207" t="str">
        <f>"23.158889"</f>
        <v>23.158889</v>
      </c>
      <c r="S13207" t="s">
        <v>26</v>
      </c>
    </row>
    <row r="13208" spans="1:19" x14ac:dyDescent="0.3">
      <c r="A13208" t="s">
        <v>40240</v>
      </c>
      <c r="B13208" t="s">
        <v>41254</v>
      </c>
      <c r="C13208" t="s">
        <v>41435</v>
      </c>
      <c r="D13208" t="s">
        <v>40241</v>
      </c>
      <c r="E13208" t="s">
        <v>40289</v>
      </c>
      <c r="F13208" t="s">
        <v>40289</v>
      </c>
      <c r="G13208" t="s">
        <v>40289</v>
      </c>
      <c r="H13208" t="s">
        <v>859</v>
      </c>
      <c r="I13208" t="s">
        <v>860</v>
      </c>
      <c r="J13208" t="str">
        <f>"9070275"</f>
        <v>9070275</v>
      </c>
      <c r="K13208">
        <v>2262055305</v>
      </c>
      <c r="M13208" t="s">
        <v>41436</v>
      </c>
      <c r="N13208" t="s">
        <v>40289</v>
      </c>
      <c r="O13208" t="s">
        <v>41437</v>
      </c>
      <c r="P13208">
        <v>32009</v>
      </c>
      <c r="Q13208" t="str">
        <f>"38.327544"</f>
        <v>38.327544</v>
      </c>
      <c r="R13208" t="str">
        <f>"23.536645"</f>
        <v>23.536645</v>
      </c>
      <c r="S13208" t="s">
        <v>26</v>
      </c>
    </row>
    <row r="13209" spans="1:19" x14ac:dyDescent="0.3">
      <c r="A13209" t="s">
        <v>40240</v>
      </c>
      <c r="B13209" t="s">
        <v>41254</v>
      </c>
      <c r="C13209" t="s">
        <v>41438</v>
      </c>
      <c r="D13209" t="s">
        <v>40241</v>
      </c>
      <c r="E13209" t="s">
        <v>40289</v>
      </c>
      <c r="F13209" t="s">
        <v>40289</v>
      </c>
      <c r="G13209" t="s">
        <v>40289</v>
      </c>
      <c r="H13209" t="s">
        <v>859</v>
      </c>
      <c r="I13209" t="s">
        <v>860</v>
      </c>
      <c r="J13209" t="str">
        <f>"9070283"</f>
        <v>9070283</v>
      </c>
      <c r="K13209">
        <v>2262045924</v>
      </c>
      <c r="L13209">
        <v>2262059630</v>
      </c>
      <c r="M13209" t="s">
        <v>41439</v>
      </c>
      <c r="N13209" t="s">
        <v>41440</v>
      </c>
      <c r="O13209" t="s">
        <v>41441</v>
      </c>
      <c r="P13209">
        <v>32009</v>
      </c>
      <c r="Q13209" t="str">
        <f>"38.332925"</f>
        <v>38.332925</v>
      </c>
      <c r="R13209" t="str">
        <f>"23.558718"</f>
        <v>23.558718</v>
      </c>
      <c r="S13209" t="s">
        <v>26</v>
      </c>
    </row>
    <row r="13210" spans="1:19" x14ac:dyDescent="0.3">
      <c r="A13210" t="s">
        <v>40240</v>
      </c>
      <c r="B13210" t="s">
        <v>41254</v>
      </c>
      <c r="C13210" t="s">
        <v>41442</v>
      </c>
      <c r="D13210" t="s">
        <v>40241</v>
      </c>
      <c r="E13210" t="s">
        <v>40289</v>
      </c>
      <c r="F13210" t="s">
        <v>40290</v>
      </c>
      <c r="G13210" t="s">
        <v>40290</v>
      </c>
      <c r="H13210" t="s">
        <v>859</v>
      </c>
      <c r="I13210" t="s">
        <v>860</v>
      </c>
      <c r="J13210" t="str">
        <f>"9520808"</f>
        <v>9520808</v>
      </c>
      <c r="K13210">
        <v>2262036022</v>
      </c>
      <c r="L13210">
        <v>2262036022</v>
      </c>
      <c r="M13210" t="s">
        <v>41443</v>
      </c>
      <c r="N13210" t="s">
        <v>41444</v>
      </c>
      <c r="O13210" t="s">
        <v>41445</v>
      </c>
      <c r="P13210">
        <v>32011</v>
      </c>
      <c r="Q13210" t="str">
        <f>"38.342311"</f>
        <v>38.342311</v>
      </c>
      <c r="R13210" t="str">
        <f>"23.670985"</f>
        <v>23.670985</v>
      </c>
      <c r="S13210" t="s">
        <v>26</v>
      </c>
    </row>
    <row r="13211" spans="1:19" x14ac:dyDescent="0.3">
      <c r="A13211" t="s">
        <v>40240</v>
      </c>
      <c r="B13211" t="s">
        <v>41254</v>
      </c>
      <c r="C13211" t="s">
        <v>41449</v>
      </c>
      <c r="D13211" t="s">
        <v>40241</v>
      </c>
      <c r="E13211" t="s">
        <v>40289</v>
      </c>
      <c r="F13211" t="s">
        <v>40297</v>
      </c>
      <c r="G13211" t="s">
        <v>40297</v>
      </c>
      <c r="H13211" t="s">
        <v>859</v>
      </c>
      <c r="I13211" t="s">
        <v>860</v>
      </c>
      <c r="J13211" t="str">
        <f>"9070291"</f>
        <v>9070291</v>
      </c>
      <c r="K13211">
        <v>2262059366</v>
      </c>
      <c r="L13211">
        <v>2262059366</v>
      </c>
      <c r="M13211" t="s">
        <v>41450</v>
      </c>
      <c r="N13211" t="s">
        <v>40297</v>
      </c>
      <c r="O13211" t="s">
        <v>41451</v>
      </c>
      <c r="P13211">
        <v>32009</v>
      </c>
      <c r="Q13211" t="str">
        <f>"38.342318"</f>
        <v>38.342318</v>
      </c>
      <c r="R13211" t="str">
        <f>"23.582134"</f>
        <v>23.582134</v>
      </c>
      <c r="S13211" t="s">
        <v>26</v>
      </c>
    </row>
    <row r="13212" spans="1:19" x14ac:dyDescent="0.3">
      <c r="A13212" t="s">
        <v>40240</v>
      </c>
      <c r="B13212" t="s">
        <v>41254</v>
      </c>
      <c r="C13212" t="s">
        <v>41456</v>
      </c>
      <c r="D13212" t="s">
        <v>40241</v>
      </c>
      <c r="E13212" t="s">
        <v>40303</v>
      </c>
      <c r="F13212" t="s">
        <v>40425</v>
      </c>
      <c r="G13212" t="s">
        <v>40426</v>
      </c>
      <c r="H13212" t="s">
        <v>859</v>
      </c>
      <c r="I13212" t="s">
        <v>860</v>
      </c>
      <c r="J13212" t="str">
        <f>"9070030"</f>
        <v>9070030</v>
      </c>
      <c r="K13212">
        <v>2262098155</v>
      </c>
      <c r="L13212">
        <v>2262098155</v>
      </c>
      <c r="M13212" t="s">
        <v>41457</v>
      </c>
      <c r="N13212" t="s">
        <v>40426</v>
      </c>
      <c r="O13212" t="s">
        <v>40430</v>
      </c>
      <c r="P13212">
        <v>32200</v>
      </c>
      <c r="Q13212" t="str">
        <f>"38.238067"</f>
        <v>38.238067</v>
      </c>
      <c r="R13212" t="str">
        <f>"23.213676"</f>
        <v>23.213676</v>
      </c>
      <c r="S13212" t="s">
        <v>26</v>
      </c>
    </row>
    <row r="13213" spans="1:19" x14ac:dyDescent="0.3">
      <c r="A13213" t="s">
        <v>40240</v>
      </c>
      <c r="B13213" t="s">
        <v>41254</v>
      </c>
      <c r="C13213" t="s">
        <v>41460</v>
      </c>
      <c r="D13213" t="s">
        <v>40241</v>
      </c>
      <c r="E13213" t="s">
        <v>40332</v>
      </c>
      <c r="F13213" t="s">
        <v>40333</v>
      </c>
      <c r="G13213" t="s">
        <v>40333</v>
      </c>
      <c r="H13213" t="s">
        <v>859</v>
      </c>
      <c r="I13213" t="s">
        <v>860</v>
      </c>
      <c r="J13213" t="str">
        <f>"9070258"</f>
        <v>9070258</v>
      </c>
      <c r="K13213">
        <v>2268022482</v>
      </c>
      <c r="L13213">
        <v>2268023641</v>
      </c>
      <c r="M13213" t="s">
        <v>41461</v>
      </c>
      <c r="N13213" t="s">
        <v>40333</v>
      </c>
      <c r="O13213" t="s">
        <v>40336</v>
      </c>
      <c r="P13213">
        <v>32001</v>
      </c>
      <c r="Q13213" t="str">
        <f>"38.379297"</f>
        <v>38.379297</v>
      </c>
      <c r="R13213" t="str">
        <f>"23.111660"</f>
        <v>23.111660</v>
      </c>
      <c r="S13213" t="s">
        <v>26</v>
      </c>
    </row>
    <row r="13214" spans="1:19" x14ac:dyDescent="0.3">
      <c r="A13214" t="s">
        <v>40240</v>
      </c>
      <c r="B13214" t="s">
        <v>41254</v>
      </c>
      <c r="C13214" t="s">
        <v>41464</v>
      </c>
      <c r="D13214" t="s">
        <v>40241</v>
      </c>
      <c r="E13214" t="s">
        <v>40332</v>
      </c>
      <c r="F13214" t="s">
        <v>40333</v>
      </c>
      <c r="G13214" t="s">
        <v>40333</v>
      </c>
      <c r="H13214" t="s">
        <v>859</v>
      </c>
      <c r="I13214" t="s">
        <v>860</v>
      </c>
      <c r="J13214" t="str">
        <f>"9070227"</f>
        <v>9070227</v>
      </c>
      <c r="K13214">
        <v>2268022930</v>
      </c>
      <c r="L13214">
        <v>2268029117</v>
      </c>
      <c r="M13214" t="s">
        <v>41465</v>
      </c>
      <c r="N13214" t="s">
        <v>40333</v>
      </c>
      <c r="O13214" t="s">
        <v>41466</v>
      </c>
      <c r="P13214">
        <v>32001</v>
      </c>
      <c r="Q13214" t="str">
        <f>"38.380980"</f>
        <v>38.380980</v>
      </c>
      <c r="R13214" t="str">
        <f>"23.113683"</f>
        <v>23.113683</v>
      </c>
      <c r="S13214" t="s">
        <v>26</v>
      </c>
    </row>
    <row r="13215" spans="1:19" x14ac:dyDescent="0.3">
      <c r="A13215" t="s">
        <v>40240</v>
      </c>
      <c r="B13215" t="s">
        <v>41254</v>
      </c>
      <c r="C13215" t="s">
        <v>41467</v>
      </c>
      <c r="D13215" t="s">
        <v>40241</v>
      </c>
      <c r="E13215" t="s">
        <v>40303</v>
      </c>
      <c r="F13215" t="s">
        <v>40303</v>
      </c>
      <c r="G13215" t="s">
        <v>40303</v>
      </c>
      <c r="H13215" t="s">
        <v>859</v>
      </c>
      <c r="I13215" t="s">
        <v>860</v>
      </c>
      <c r="J13215" t="str">
        <f>"9070002"</f>
        <v>9070002</v>
      </c>
      <c r="K13215">
        <v>2262027118</v>
      </c>
      <c r="L13215">
        <v>2262023633</v>
      </c>
      <c r="M13215" t="s">
        <v>41468</v>
      </c>
      <c r="N13215" t="s">
        <v>40295</v>
      </c>
      <c r="O13215" t="s">
        <v>41469</v>
      </c>
      <c r="P13215">
        <v>32200</v>
      </c>
      <c r="Q13215" t="str">
        <f>"38.320669"</f>
        <v>38.320669</v>
      </c>
      <c r="R13215" t="str">
        <f>"23.315443"</f>
        <v>23.315443</v>
      </c>
      <c r="S13215" t="s">
        <v>26</v>
      </c>
    </row>
    <row r="13216" spans="1:19" x14ac:dyDescent="0.3">
      <c r="A13216" t="s">
        <v>40240</v>
      </c>
      <c r="B13216" t="s">
        <v>41254</v>
      </c>
      <c r="C13216" t="s">
        <v>41473</v>
      </c>
      <c r="D13216" t="s">
        <v>40241</v>
      </c>
      <c r="E13216" t="s">
        <v>40332</v>
      </c>
      <c r="F13216" t="s">
        <v>40348</v>
      </c>
      <c r="G13216" t="s">
        <v>40349</v>
      </c>
      <c r="H13216" t="s">
        <v>859</v>
      </c>
      <c r="I13216" t="s">
        <v>860</v>
      </c>
      <c r="J13216" t="str">
        <f>"9070026"</f>
        <v>9070026</v>
      </c>
      <c r="K13216">
        <v>2262065412</v>
      </c>
      <c r="L13216">
        <v>2262065412</v>
      </c>
      <c r="M13216" t="s">
        <v>41474</v>
      </c>
      <c r="N13216" t="s">
        <v>40349</v>
      </c>
      <c r="O13216" t="s">
        <v>40352</v>
      </c>
      <c r="P13216">
        <v>32002</v>
      </c>
      <c r="Q13216" t="str">
        <f>"38.307140"</f>
        <v>38.307140</v>
      </c>
      <c r="R13216" t="str">
        <f>"23.146496"</f>
        <v>23.146496</v>
      </c>
      <c r="S13216" t="s">
        <v>26</v>
      </c>
    </row>
    <row r="13217" spans="1:19" x14ac:dyDescent="0.3">
      <c r="A13217" t="s">
        <v>40240</v>
      </c>
      <c r="B13217" t="s">
        <v>41254</v>
      </c>
      <c r="C13217" t="s">
        <v>41479</v>
      </c>
      <c r="D13217" t="s">
        <v>40241</v>
      </c>
      <c r="E13217" t="s">
        <v>40303</v>
      </c>
      <c r="F13217" t="s">
        <v>40303</v>
      </c>
      <c r="G13217" t="s">
        <v>40303</v>
      </c>
      <c r="H13217" t="s">
        <v>859</v>
      </c>
      <c r="I13217" t="s">
        <v>860</v>
      </c>
      <c r="J13217" t="str">
        <f>"9070295"</f>
        <v>9070295</v>
      </c>
      <c r="K13217">
        <v>2262028385</v>
      </c>
      <c r="L13217">
        <v>2262028385</v>
      </c>
      <c r="M13217" t="s">
        <v>41480</v>
      </c>
      <c r="N13217" t="s">
        <v>40306</v>
      </c>
      <c r="O13217" t="s">
        <v>41481</v>
      </c>
      <c r="P13217">
        <v>32200</v>
      </c>
      <c r="Q13217" t="str">
        <f>"38.314481"</f>
        <v>38.314481</v>
      </c>
      <c r="R13217" t="str">
        <f>"23.320309"</f>
        <v>23.320309</v>
      </c>
      <c r="S13217" t="s">
        <v>26</v>
      </c>
    </row>
    <row r="13218" spans="1:19" x14ac:dyDescent="0.3">
      <c r="A13218" t="s">
        <v>40240</v>
      </c>
      <c r="B13218" t="s">
        <v>41254</v>
      </c>
      <c r="C13218" t="s">
        <v>41494</v>
      </c>
      <c r="D13218" t="s">
        <v>40241</v>
      </c>
      <c r="E13218" t="s">
        <v>40242</v>
      </c>
      <c r="F13218" t="s">
        <v>40283</v>
      </c>
      <c r="G13218" t="s">
        <v>40283</v>
      </c>
      <c r="H13218" t="s">
        <v>859</v>
      </c>
      <c r="I13218" t="s">
        <v>860</v>
      </c>
      <c r="J13218" t="str">
        <f>"9070228"</f>
        <v>9070228</v>
      </c>
      <c r="K13218">
        <v>2261052786</v>
      </c>
      <c r="L13218">
        <v>2261052786</v>
      </c>
      <c r="M13218" t="s">
        <v>41495</v>
      </c>
      <c r="N13218" t="s">
        <v>40283</v>
      </c>
      <c r="O13218" t="s">
        <v>40287</v>
      </c>
      <c r="P13218">
        <v>32008</v>
      </c>
      <c r="Q13218" t="str">
        <f>"38.515946"</f>
        <v>38.515946</v>
      </c>
      <c r="R13218" t="str">
        <f>"22.735560"</f>
        <v>22.735560</v>
      </c>
      <c r="S13218" t="s">
        <v>26</v>
      </c>
    </row>
    <row r="13219" spans="1:19" x14ac:dyDescent="0.3">
      <c r="A13219" t="s">
        <v>40240</v>
      </c>
      <c r="B13219" t="s">
        <v>41254</v>
      </c>
      <c r="C13219" t="s">
        <v>41496</v>
      </c>
      <c r="D13219" t="s">
        <v>40241</v>
      </c>
      <c r="E13219" t="s">
        <v>40242</v>
      </c>
      <c r="F13219" t="s">
        <v>40494</v>
      </c>
      <c r="G13219" t="s">
        <v>40494</v>
      </c>
      <c r="H13219" t="s">
        <v>859</v>
      </c>
      <c r="I13219" t="s">
        <v>860</v>
      </c>
      <c r="J13219" t="str">
        <f>"9070280"</f>
        <v>9070280</v>
      </c>
      <c r="K13219">
        <v>2261095141</v>
      </c>
      <c r="M13219" t="s">
        <v>41497</v>
      </c>
      <c r="N13219" t="s">
        <v>40494</v>
      </c>
      <c r="O13219" t="s">
        <v>41402</v>
      </c>
      <c r="P13219">
        <v>32100</v>
      </c>
      <c r="Q13219" t="str">
        <f>"38.495311"</f>
        <v>38.495311</v>
      </c>
      <c r="R13219" t="str">
        <f>"22.842880"</f>
        <v>22.842880</v>
      </c>
      <c r="S13219" t="s">
        <v>26</v>
      </c>
    </row>
    <row r="13220" spans="1:19" x14ac:dyDescent="0.3">
      <c r="A13220" t="s">
        <v>40240</v>
      </c>
      <c r="B13220" t="s">
        <v>41254</v>
      </c>
      <c r="C13220" t="s">
        <v>41498</v>
      </c>
      <c r="D13220" t="s">
        <v>40241</v>
      </c>
      <c r="E13220" t="s">
        <v>40242</v>
      </c>
      <c r="F13220" t="s">
        <v>40477</v>
      </c>
      <c r="G13220" t="s">
        <v>40477</v>
      </c>
      <c r="H13220" t="s">
        <v>859</v>
      </c>
      <c r="I13220" t="s">
        <v>860</v>
      </c>
      <c r="J13220" t="str">
        <f>"9070106"</f>
        <v>9070106</v>
      </c>
      <c r="K13220">
        <v>2267051366</v>
      </c>
      <c r="M13220" t="s">
        <v>41499</v>
      </c>
      <c r="N13220" t="s">
        <v>40477</v>
      </c>
      <c r="O13220" t="s">
        <v>40480</v>
      </c>
      <c r="P13220">
        <v>32006</v>
      </c>
      <c r="Q13220" t="str">
        <f>"38.354152"</f>
        <v>38.354152</v>
      </c>
      <c r="R13220" t="str">
        <f>"22.786999"</f>
        <v>22.786999</v>
      </c>
      <c r="S13220" t="s">
        <v>26</v>
      </c>
    </row>
    <row r="13221" spans="1:19" x14ac:dyDescent="0.3">
      <c r="A13221" t="s">
        <v>40240</v>
      </c>
      <c r="B13221" t="s">
        <v>41254</v>
      </c>
      <c r="C13221" t="s">
        <v>41500</v>
      </c>
      <c r="D13221" t="s">
        <v>40241</v>
      </c>
      <c r="E13221" t="s">
        <v>40354</v>
      </c>
      <c r="F13221" t="s">
        <v>40355</v>
      </c>
      <c r="G13221" t="s">
        <v>40355</v>
      </c>
      <c r="H13221" t="s">
        <v>859</v>
      </c>
      <c r="I13221" t="s">
        <v>860</v>
      </c>
      <c r="J13221" t="str">
        <f>"9070240"</f>
        <v>9070240</v>
      </c>
      <c r="K13221">
        <v>2267022464</v>
      </c>
      <c r="L13221">
        <v>2267022464</v>
      </c>
      <c r="M13221" t="s">
        <v>41501</v>
      </c>
      <c r="N13221" t="s">
        <v>41502</v>
      </c>
      <c r="O13221" t="s">
        <v>41413</v>
      </c>
      <c r="P13221">
        <v>32005</v>
      </c>
      <c r="Q13221" t="str">
        <f>"38.418462"</f>
        <v>38.418462</v>
      </c>
      <c r="R13221" t="str">
        <f>"22.665043"</f>
        <v>22.665043</v>
      </c>
      <c r="S13221" t="s">
        <v>26</v>
      </c>
    </row>
    <row r="13222" spans="1:19" x14ac:dyDescent="0.3">
      <c r="A13222" t="s">
        <v>40240</v>
      </c>
      <c r="B13222" t="s">
        <v>41254</v>
      </c>
      <c r="C13222" t="s">
        <v>41503</v>
      </c>
      <c r="D13222" t="s">
        <v>40241</v>
      </c>
      <c r="E13222" t="s">
        <v>40354</v>
      </c>
      <c r="F13222" t="s">
        <v>40464</v>
      </c>
      <c r="G13222" t="s">
        <v>40464</v>
      </c>
      <c r="H13222" t="s">
        <v>859</v>
      </c>
      <c r="I13222" t="s">
        <v>860</v>
      </c>
      <c r="J13222" t="str">
        <f>"9070242"</f>
        <v>9070242</v>
      </c>
      <c r="K13222">
        <v>2267041488</v>
      </c>
      <c r="L13222">
        <v>2267041488</v>
      </c>
      <c r="M13222" t="s">
        <v>41504</v>
      </c>
      <c r="N13222" t="s">
        <v>40464</v>
      </c>
      <c r="O13222" t="s">
        <v>41505</v>
      </c>
      <c r="P13222">
        <v>32012</v>
      </c>
      <c r="Q13222" t="str">
        <f>"38.368176"</f>
        <v>38.368176</v>
      </c>
      <c r="R13222" t="str">
        <f>"22.626378"</f>
        <v>22.626378</v>
      </c>
      <c r="S13222" t="s">
        <v>26</v>
      </c>
    </row>
    <row r="13223" spans="1:19" x14ac:dyDescent="0.3">
      <c r="A13223" t="s">
        <v>40240</v>
      </c>
      <c r="B13223" t="s">
        <v>41254</v>
      </c>
      <c r="C13223" t="s">
        <v>41506</v>
      </c>
      <c r="D13223" t="s">
        <v>40241</v>
      </c>
      <c r="E13223" t="s">
        <v>40339</v>
      </c>
      <c r="F13223" t="s">
        <v>40339</v>
      </c>
      <c r="G13223" t="s">
        <v>41317</v>
      </c>
      <c r="H13223" t="s">
        <v>859</v>
      </c>
      <c r="I13223" t="s">
        <v>860</v>
      </c>
      <c r="J13223" t="str">
        <f>"9070113"</f>
        <v>9070113</v>
      </c>
      <c r="K13223">
        <v>2261091215</v>
      </c>
      <c r="M13223" t="s">
        <v>41507</v>
      </c>
      <c r="N13223" t="s">
        <v>41317</v>
      </c>
      <c r="O13223" t="s">
        <v>41320</v>
      </c>
      <c r="P13223">
        <v>32300</v>
      </c>
      <c r="Q13223" t="str">
        <f>"38.532034"</f>
        <v>38.532034</v>
      </c>
      <c r="R13223" t="str">
        <f>"23.090478"</f>
        <v>23.090478</v>
      </c>
      <c r="S13223" t="s">
        <v>26</v>
      </c>
    </row>
    <row r="13224" spans="1:19" x14ac:dyDescent="0.3">
      <c r="A13224" t="s">
        <v>40240</v>
      </c>
      <c r="B13224" t="s">
        <v>41254</v>
      </c>
      <c r="C13224" t="s">
        <v>41508</v>
      </c>
      <c r="D13224" t="s">
        <v>40241</v>
      </c>
      <c r="E13224" t="s">
        <v>40339</v>
      </c>
      <c r="F13224" t="s">
        <v>40339</v>
      </c>
      <c r="G13224" t="s">
        <v>4043</v>
      </c>
      <c r="H13224" t="s">
        <v>859</v>
      </c>
      <c r="I13224" t="s">
        <v>860</v>
      </c>
      <c r="J13224" t="str">
        <f>"9070248"</f>
        <v>9070248</v>
      </c>
      <c r="K13224">
        <v>2261032925</v>
      </c>
      <c r="M13224" t="s">
        <v>41509</v>
      </c>
      <c r="N13224" t="s">
        <v>4043</v>
      </c>
      <c r="O13224" t="s">
        <v>4157</v>
      </c>
      <c r="P13224">
        <v>32300</v>
      </c>
      <c r="Q13224" t="str">
        <f>"38.514515"</f>
        <v>38.514515</v>
      </c>
      <c r="R13224" t="str">
        <f>"22.949860"</f>
        <v>22.949860</v>
      </c>
      <c r="S13224" t="s">
        <v>26</v>
      </c>
    </row>
    <row r="13225" spans="1:19" x14ac:dyDescent="0.3">
      <c r="A13225" t="s">
        <v>40240</v>
      </c>
      <c r="B13225" t="s">
        <v>41254</v>
      </c>
      <c r="C13225" t="s">
        <v>41510</v>
      </c>
      <c r="D13225" t="s">
        <v>40241</v>
      </c>
      <c r="E13225" t="s">
        <v>40354</v>
      </c>
      <c r="F13225" t="s">
        <v>40361</v>
      </c>
      <c r="G13225" t="s">
        <v>40361</v>
      </c>
      <c r="H13225" t="s">
        <v>859</v>
      </c>
      <c r="I13225" t="s">
        <v>860</v>
      </c>
      <c r="J13225" t="str">
        <f>"9070230"</f>
        <v>9070230</v>
      </c>
      <c r="K13225">
        <v>2267031389</v>
      </c>
      <c r="L13225">
        <v>2267031389</v>
      </c>
      <c r="M13225" t="s">
        <v>41511</v>
      </c>
      <c r="N13225" t="s">
        <v>41512</v>
      </c>
      <c r="O13225" t="s">
        <v>40462</v>
      </c>
      <c r="P13225">
        <v>32004</v>
      </c>
      <c r="Q13225" t="str">
        <f>"38.480965"</f>
        <v>38.480965</v>
      </c>
      <c r="R13225" t="str">
        <f>"22.586584"</f>
        <v>22.586584</v>
      </c>
      <c r="S13225" t="s">
        <v>26</v>
      </c>
    </row>
    <row r="13226" spans="1:19" x14ac:dyDescent="0.3">
      <c r="A13226" t="s">
        <v>40240</v>
      </c>
      <c r="B13226" t="s">
        <v>41254</v>
      </c>
      <c r="C13226" t="s">
        <v>41514</v>
      </c>
      <c r="D13226" t="s">
        <v>40241</v>
      </c>
      <c r="E13226" t="s">
        <v>40354</v>
      </c>
      <c r="F13226" t="s">
        <v>40355</v>
      </c>
      <c r="G13226" t="s">
        <v>41513</v>
      </c>
      <c r="H13226" t="s">
        <v>859</v>
      </c>
      <c r="I13226" t="s">
        <v>860</v>
      </c>
      <c r="J13226" t="str">
        <f>"9070119"</f>
        <v>9070119</v>
      </c>
      <c r="K13226">
        <v>2267021329</v>
      </c>
      <c r="L13226">
        <v>2267021329</v>
      </c>
      <c r="M13226" t="s">
        <v>41515</v>
      </c>
      <c r="N13226" t="s">
        <v>41513</v>
      </c>
      <c r="O13226" t="s">
        <v>41516</v>
      </c>
      <c r="P13226">
        <v>32100</v>
      </c>
      <c r="Q13226" t="str">
        <f>"38.412788"</f>
        <v>38.412788</v>
      </c>
      <c r="R13226" t="str">
        <f>"22.709533"</f>
        <v>22.709533</v>
      </c>
      <c r="S13226" t="s">
        <v>26</v>
      </c>
    </row>
    <row r="13227" spans="1:19" x14ac:dyDescent="0.3">
      <c r="A13227" t="s">
        <v>40240</v>
      </c>
      <c r="B13227" t="s">
        <v>41254</v>
      </c>
      <c r="C13227" t="s">
        <v>41533</v>
      </c>
      <c r="D13227" t="s">
        <v>40241</v>
      </c>
      <c r="E13227" t="s">
        <v>40303</v>
      </c>
      <c r="F13227" t="s">
        <v>40436</v>
      </c>
      <c r="G13227" t="s">
        <v>40437</v>
      </c>
      <c r="H13227" t="s">
        <v>859</v>
      </c>
      <c r="I13227" t="s">
        <v>860</v>
      </c>
      <c r="J13227" t="str">
        <f>"9070238"</f>
        <v>9070238</v>
      </c>
      <c r="K13227">
        <v>2264022200</v>
      </c>
      <c r="L13227">
        <v>2264022200</v>
      </c>
      <c r="M13227" t="s">
        <v>41534</v>
      </c>
      <c r="N13227" t="s">
        <v>41535</v>
      </c>
      <c r="O13227" t="s">
        <v>40441</v>
      </c>
      <c r="P13227">
        <v>32010</v>
      </c>
      <c r="Q13227" t="str">
        <f>"38.252860"</f>
        <v>38.252860</v>
      </c>
      <c r="R13227" t="str">
        <f>"22.982225"</f>
        <v>22.982225</v>
      </c>
      <c r="S13227" t="s">
        <v>26</v>
      </c>
    </row>
    <row r="13228" spans="1:19" x14ac:dyDescent="0.3">
      <c r="A13228" t="s">
        <v>40240</v>
      </c>
      <c r="B13228" t="s">
        <v>41254</v>
      </c>
      <c r="C13228" t="s">
        <v>41536</v>
      </c>
      <c r="D13228" t="s">
        <v>40241</v>
      </c>
      <c r="E13228" t="s">
        <v>40303</v>
      </c>
      <c r="F13228" t="s">
        <v>40303</v>
      </c>
      <c r="G13228" t="s">
        <v>40303</v>
      </c>
      <c r="H13228" t="s">
        <v>859</v>
      </c>
      <c r="I13228" t="s">
        <v>860</v>
      </c>
      <c r="J13228" t="str">
        <f>"9070274"</f>
        <v>9070274</v>
      </c>
      <c r="K13228">
        <v>2262023921</v>
      </c>
      <c r="L13228">
        <v>2262023921</v>
      </c>
      <c r="M13228" t="s">
        <v>41537</v>
      </c>
      <c r="N13228" t="s">
        <v>40295</v>
      </c>
      <c r="O13228" t="s">
        <v>41538</v>
      </c>
      <c r="P13228">
        <v>32200</v>
      </c>
      <c r="Q13228" t="str">
        <f>"38.251330"</f>
        <v>38.251330</v>
      </c>
      <c r="R13228" t="str">
        <f>"22.982675"</f>
        <v>22.982675</v>
      </c>
      <c r="S13228" t="s">
        <v>26</v>
      </c>
    </row>
    <row r="13229" spans="1:19" x14ac:dyDescent="0.3">
      <c r="A13229" t="s">
        <v>40240</v>
      </c>
      <c r="B13229" t="s">
        <v>41254</v>
      </c>
      <c r="C13229" t="s">
        <v>41539</v>
      </c>
      <c r="D13229" t="s">
        <v>40241</v>
      </c>
      <c r="E13229" t="s">
        <v>40303</v>
      </c>
      <c r="F13229" t="s">
        <v>40425</v>
      </c>
      <c r="G13229" t="s">
        <v>40425</v>
      </c>
      <c r="H13229" t="s">
        <v>859</v>
      </c>
      <c r="I13229" t="s">
        <v>860</v>
      </c>
      <c r="J13229" t="str">
        <f>"9070236"</f>
        <v>9070236</v>
      </c>
      <c r="K13229">
        <v>2262097199</v>
      </c>
      <c r="L13229">
        <v>2262097286</v>
      </c>
      <c r="M13229" t="s">
        <v>41540</v>
      </c>
      <c r="N13229" t="s">
        <v>40425</v>
      </c>
      <c r="O13229" t="s">
        <v>41524</v>
      </c>
      <c r="P13229">
        <v>32200</v>
      </c>
      <c r="Q13229" t="str">
        <f>"38.213023"</f>
        <v>38.213023</v>
      </c>
      <c r="R13229" t="str">
        <f>"23.271969"</f>
        <v>23.271969</v>
      </c>
      <c r="S13229" t="s">
        <v>26</v>
      </c>
    </row>
    <row r="13230" spans="1:19" x14ac:dyDescent="0.3">
      <c r="A13230" t="s">
        <v>40240</v>
      </c>
      <c r="B13230" t="s">
        <v>41254</v>
      </c>
      <c r="C13230" t="s">
        <v>41544</v>
      </c>
      <c r="D13230" t="s">
        <v>40241</v>
      </c>
      <c r="E13230" t="s">
        <v>40303</v>
      </c>
      <c r="F13230" t="s">
        <v>40303</v>
      </c>
      <c r="G13230" t="s">
        <v>40303</v>
      </c>
      <c r="H13230" t="s">
        <v>859</v>
      </c>
      <c r="I13230" t="s">
        <v>860</v>
      </c>
      <c r="J13230" t="str">
        <f>"9520965"</f>
        <v>9520965</v>
      </c>
      <c r="K13230">
        <v>2262081232</v>
      </c>
      <c r="L13230">
        <v>2262081232</v>
      </c>
      <c r="M13230" t="s">
        <v>41545</v>
      </c>
      <c r="N13230" t="s">
        <v>40306</v>
      </c>
      <c r="O13230" t="s">
        <v>41546</v>
      </c>
      <c r="P13230">
        <v>32200</v>
      </c>
      <c r="Q13230" t="str">
        <f>"38.315369"</f>
        <v>38.315369</v>
      </c>
      <c r="R13230" t="str">
        <f>"23.320876"</f>
        <v>23.320876</v>
      </c>
      <c r="S13230" t="s">
        <v>26</v>
      </c>
    </row>
    <row r="13231" spans="1:19" x14ac:dyDescent="0.3">
      <c r="A13231" t="s">
        <v>40240</v>
      </c>
      <c r="B13231" t="s">
        <v>41254</v>
      </c>
      <c r="C13231" t="s">
        <v>41552</v>
      </c>
      <c r="D13231" t="s">
        <v>40241</v>
      </c>
      <c r="E13231" t="s">
        <v>40339</v>
      </c>
      <c r="F13231" t="s">
        <v>40384</v>
      </c>
      <c r="G13231" t="s">
        <v>41490</v>
      </c>
      <c r="H13231" t="s">
        <v>859</v>
      </c>
      <c r="I13231" t="s">
        <v>860</v>
      </c>
      <c r="J13231" t="str">
        <f>"9070253"</f>
        <v>9070253</v>
      </c>
      <c r="K13231">
        <v>2268071206</v>
      </c>
      <c r="L13231">
        <v>2268071436</v>
      </c>
      <c r="M13231" t="s">
        <v>41553</v>
      </c>
      <c r="N13231" t="s">
        <v>41490</v>
      </c>
      <c r="O13231" t="s">
        <v>41493</v>
      </c>
      <c r="P13231">
        <v>32200</v>
      </c>
      <c r="Q13231" t="str">
        <f>"38.475791"</f>
        <v>38.475791</v>
      </c>
      <c r="R13231" t="str">
        <f>"23.236545"</f>
        <v>23.236545</v>
      </c>
      <c r="S13231" t="s">
        <v>26</v>
      </c>
    </row>
    <row r="13232" spans="1:19" x14ac:dyDescent="0.3">
      <c r="A13232" t="s">
        <v>40240</v>
      </c>
      <c r="B13232" t="s">
        <v>41254</v>
      </c>
      <c r="C13232" t="s">
        <v>41554</v>
      </c>
      <c r="D13232" t="s">
        <v>40241</v>
      </c>
      <c r="E13232" t="s">
        <v>40242</v>
      </c>
      <c r="F13232" t="s">
        <v>40242</v>
      </c>
      <c r="G13232" t="s">
        <v>40242</v>
      </c>
      <c r="H13232" t="s">
        <v>859</v>
      </c>
      <c r="I13232" t="s">
        <v>860</v>
      </c>
      <c r="J13232" t="str">
        <f>"9521123"</f>
        <v>9521123</v>
      </c>
      <c r="K13232">
        <v>2261081042</v>
      </c>
      <c r="L13232">
        <v>2261081042</v>
      </c>
      <c r="M13232" t="s">
        <v>41555</v>
      </c>
      <c r="N13232" t="s">
        <v>40276</v>
      </c>
      <c r="O13232" t="s">
        <v>41556</v>
      </c>
      <c r="P13232">
        <v>32131</v>
      </c>
      <c r="Q13232" t="str">
        <f>"38.441961"</f>
        <v>38.441961</v>
      </c>
      <c r="R13232" t="str">
        <f>"22.873883"</f>
        <v>22.873883</v>
      </c>
      <c r="S13232" t="s">
        <v>26</v>
      </c>
    </row>
    <row r="13233" spans="1:19" x14ac:dyDescent="0.3">
      <c r="A13233" t="s">
        <v>40240</v>
      </c>
      <c r="B13233" t="s">
        <v>41254</v>
      </c>
      <c r="C13233" t="s">
        <v>41564</v>
      </c>
      <c r="D13233" t="s">
        <v>40241</v>
      </c>
      <c r="E13233" t="s">
        <v>40289</v>
      </c>
      <c r="F13233" t="s">
        <v>40290</v>
      </c>
      <c r="G13233" t="s">
        <v>15717</v>
      </c>
      <c r="H13233" t="s">
        <v>859</v>
      </c>
      <c r="I13233" t="s">
        <v>860</v>
      </c>
      <c r="J13233" t="str">
        <f>"9070245"</f>
        <v>9070245</v>
      </c>
      <c r="K13233">
        <v>2262037022</v>
      </c>
      <c r="L13233">
        <v>2262037022</v>
      </c>
      <c r="M13233" t="s">
        <v>41565</v>
      </c>
      <c r="N13233" t="s">
        <v>15719</v>
      </c>
      <c r="O13233" t="s">
        <v>41566</v>
      </c>
      <c r="P13233">
        <v>32009</v>
      </c>
      <c r="Q13233" t="str">
        <f>"38.273389"</f>
        <v>38.273389</v>
      </c>
      <c r="R13233" t="str">
        <f>"23.586782"</f>
        <v>23.586782</v>
      </c>
      <c r="S13233" t="s">
        <v>26</v>
      </c>
    </row>
    <row r="13234" spans="1:19" x14ac:dyDescent="0.3">
      <c r="A13234" t="s">
        <v>40240</v>
      </c>
      <c r="B13234" t="s">
        <v>41254</v>
      </c>
      <c r="C13234" t="s">
        <v>41567</v>
      </c>
      <c r="D13234" t="s">
        <v>40241</v>
      </c>
      <c r="E13234" t="s">
        <v>40289</v>
      </c>
      <c r="F13234" t="s">
        <v>40289</v>
      </c>
      <c r="G13234" t="s">
        <v>5563</v>
      </c>
      <c r="H13234" t="s">
        <v>859</v>
      </c>
      <c r="I13234" t="s">
        <v>860</v>
      </c>
      <c r="J13234" t="str">
        <f>"9070269"</f>
        <v>9070269</v>
      </c>
      <c r="K13234">
        <v>2262094061</v>
      </c>
      <c r="L13234">
        <v>2262094061</v>
      </c>
      <c r="M13234" t="s">
        <v>41568</v>
      </c>
      <c r="N13234" t="s">
        <v>41437</v>
      </c>
      <c r="O13234" t="s">
        <v>5567</v>
      </c>
      <c r="P13234">
        <v>32200</v>
      </c>
      <c r="Q13234" t="str">
        <f>"38.311303"</f>
        <v>38.311303</v>
      </c>
      <c r="R13234" t="str">
        <f>"23.442809"</f>
        <v>23.442809</v>
      </c>
      <c r="S13234" t="s">
        <v>26</v>
      </c>
    </row>
    <row r="13235" spans="1:19" x14ac:dyDescent="0.3">
      <c r="A13235" t="s">
        <v>40240</v>
      </c>
      <c r="B13235" t="s">
        <v>41254</v>
      </c>
      <c r="C13235" t="s">
        <v>41569</v>
      </c>
      <c r="D13235" t="s">
        <v>40241</v>
      </c>
      <c r="E13235" t="s">
        <v>40303</v>
      </c>
      <c r="F13235" t="s">
        <v>40425</v>
      </c>
      <c r="G13235" t="s">
        <v>22434</v>
      </c>
      <c r="H13235" t="s">
        <v>859</v>
      </c>
      <c r="I13235" t="s">
        <v>860</v>
      </c>
      <c r="J13235" t="str">
        <f>"9070270"</f>
        <v>9070270</v>
      </c>
      <c r="K13235">
        <v>2262098874</v>
      </c>
      <c r="L13235">
        <v>2262098874</v>
      </c>
      <c r="M13235" t="s">
        <v>41570</v>
      </c>
      <c r="N13235" t="s">
        <v>40306</v>
      </c>
      <c r="O13235" t="s">
        <v>22437</v>
      </c>
      <c r="P13235">
        <v>32200</v>
      </c>
      <c r="Q13235" t="str">
        <f>"38.266266"</f>
        <v>38.266266</v>
      </c>
      <c r="R13235" t="str">
        <f>"23.235028"</f>
        <v>23.235028</v>
      </c>
      <c r="S13235" t="s">
        <v>26</v>
      </c>
    </row>
    <row r="13236" spans="1:19" x14ac:dyDescent="0.3">
      <c r="A13236" t="s">
        <v>40240</v>
      </c>
      <c r="B13236" t="s">
        <v>41254</v>
      </c>
      <c r="C13236" t="s">
        <v>41571</v>
      </c>
      <c r="D13236" t="s">
        <v>40241</v>
      </c>
      <c r="E13236" t="s">
        <v>40289</v>
      </c>
      <c r="F13236" t="s">
        <v>40396</v>
      </c>
      <c r="G13236" t="s">
        <v>41295</v>
      </c>
      <c r="H13236" t="s">
        <v>859</v>
      </c>
      <c r="I13236" t="s">
        <v>860</v>
      </c>
      <c r="J13236" t="str">
        <f>"9070235"</f>
        <v>9070235</v>
      </c>
      <c r="K13236">
        <v>2263031349</v>
      </c>
      <c r="L13236">
        <v>2263031253</v>
      </c>
      <c r="M13236" t="s">
        <v>41572</v>
      </c>
      <c r="N13236" t="s">
        <v>41295</v>
      </c>
      <c r="O13236" t="s">
        <v>41298</v>
      </c>
      <c r="P13236">
        <v>32200</v>
      </c>
      <c r="Q13236" t="str">
        <f>"38.212856"</f>
        <v>38.212856</v>
      </c>
      <c r="R13236" t="str">
        <f>"23.548793"</f>
        <v>23.548793</v>
      </c>
      <c r="S13236" t="s">
        <v>26</v>
      </c>
    </row>
    <row r="13237" spans="1:19" x14ac:dyDescent="0.3">
      <c r="A13237" t="s">
        <v>40240</v>
      </c>
      <c r="B13237" t="s">
        <v>41254</v>
      </c>
      <c r="C13237" t="s">
        <v>41573</v>
      </c>
      <c r="D13237" t="s">
        <v>40241</v>
      </c>
      <c r="E13237" t="s">
        <v>40289</v>
      </c>
      <c r="F13237" t="s">
        <v>40289</v>
      </c>
      <c r="G13237" t="s">
        <v>40289</v>
      </c>
      <c r="H13237" t="s">
        <v>859</v>
      </c>
      <c r="I13237" t="s">
        <v>860</v>
      </c>
      <c r="J13237" t="str">
        <f>"9070297"</f>
        <v>9070297</v>
      </c>
      <c r="K13237">
        <v>2262058072</v>
      </c>
      <c r="L13237">
        <v>2262058007</v>
      </c>
      <c r="M13237" t="s">
        <v>41574</v>
      </c>
      <c r="N13237" t="s">
        <v>17961</v>
      </c>
      <c r="O13237" t="s">
        <v>17961</v>
      </c>
      <c r="P13237">
        <v>32009</v>
      </c>
      <c r="Q13237" t="str">
        <f>"38.338045"</f>
        <v>38.338045</v>
      </c>
      <c r="R13237" t="str">
        <f>"23.620258"</f>
        <v>23.620258</v>
      </c>
      <c r="S13237" t="s">
        <v>26</v>
      </c>
    </row>
    <row r="13238" spans="1:19" x14ac:dyDescent="0.3">
      <c r="A13238" t="s">
        <v>40240</v>
      </c>
      <c r="B13238" t="s">
        <v>41254</v>
      </c>
      <c r="C13238" t="s">
        <v>41575</v>
      </c>
      <c r="D13238" t="s">
        <v>40241</v>
      </c>
      <c r="E13238" t="s">
        <v>40339</v>
      </c>
      <c r="F13238" t="s">
        <v>40339</v>
      </c>
      <c r="G13238" t="s">
        <v>3295</v>
      </c>
      <c r="H13238" t="s">
        <v>859</v>
      </c>
      <c r="I13238" t="s">
        <v>860</v>
      </c>
      <c r="J13238" t="str">
        <f>"9070268"</f>
        <v>9070268</v>
      </c>
      <c r="K13238">
        <v>2261097597</v>
      </c>
      <c r="L13238">
        <v>2261097597</v>
      </c>
      <c r="M13238" t="s">
        <v>41576</v>
      </c>
      <c r="N13238" t="s">
        <v>40241</v>
      </c>
      <c r="O13238" t="s">
        <v>3472</v>
      </c>
      <c r="P13238">
        <v>32131</v>
      </c>
      <c r="Q13238" t="str">
        <f>"38.450535"</f>
        <v>38.450535</v>
      </c>
      <c r="R13238" t="str">
        <f>"22.997977"</f>
        <v>22.997977</v>
      </c>
      <c r="S13238" t="s">
        <v>26</v>
      </c>
    </row>
    <row r="13239" spans="1:19" x14ac:dyDescent="0.3">
      <c r="A13239" t="s">
        <v>40240</v>
      </c>
      <c r="B13239" t="s">
        <v>41254</v>
      </c>
      <c r="C13239" t="s">
        <v>41577</v>
      </c>
      <c r="D13239" t="s">
        <v>40241</v>
      </c>
      <c r="E13239" t="s">
        <v>40242</v>
      </c>
      <c r="F13239" t="s">
        <v>25808</v>
      </c>
      <c r="G13239" t="s">
        <v>1872</v>
      </c>
      <c r="H13239" t="s">
        <v>859</v>
      </c>
      <c r="I13239" t="s">
        <v>860</v>
      </c>
      <c r="J13239" t="str">
        <f>"9070229"</f>
        <v>9070229</v>
      </c>
      <c r="K13239">
        <v>2261043558</v>
      </c>
      <c r="L13239">
        <v>2261043558</v>
      </c>
      <c r="M13239" t="s">
        <v>41578</v>
      </c>
      <c r="N13239" t="s">
        <v>1872</v>
      </c>
      <c r="O13239" t="s">
        <v>12409</v>
      </c>
      <c r="P13239">
        <v>32007</v>
      </c>
      <c r="Q13239" t="str">
        <f>"38.397075"</f>
        <v>38.397075</v>
      </c>
      <c r="R13239" t="str">
        <f>"22.932131"</f>
        <v>22.932131</v>
      </c>
      <c r="S13239" t="s">
        <v>26</v>
      </c>
    </row>
    <row r="13240" spans="1:19" x14ac:dyDescent="0.3">
      <c r="A13240" t="s">
        <v>40240</v>
      </c>
      <c r="B13240" t="s">
        <v>41254</v>
      </c>
      <c r="C13240" t="s">
        <v>41579</v>
      </c>
      <c r="D13240" t="s">
        <v>40241</v>
      </c>
      <c r="E13240" t="s">
        <v>40242</v>
      </c>
      <c r="F13240" t="s">
        <v>40242</v>
      </c>
      <c r="G13240" t="s">
        <v>40242</v>
      </c>
      <c r="H13240" t="s">
        <v>859</v>
      </c>
      <c r="I13240" t="s">
        <v>1102</v>
      </c>
      <c r="J13240" t="str">
        <f>"9521037"</f>
        <v>9521037</v>
      </c>
      <c r="K13240">
        <v>2261081227</v>
      </c>
      <c r="L13240">
        <v>2261081227</v>
      </c>
      <c r="M13240" t="s">
        <v>41580</v>
      </c>
      <c r="N13240" t="s">
        <v>40276</v>
      </c>
      <c r="O13240" t="s">
        <v>41581</v>
      </c>
      <c r="P13240">
        <v>32100</v>
      </c>
      <c r="Q13240" t="str">
        <f>"38.443395"</f>
        <v>38.443395</v>
      </c>
      <c r="R13240" t="str">
        <f>"22.874921"</f>
        <v>22.874921</v>
      </c>
      <c r="S13240" t="s">
        <v>26</v>
      </c>
    </row>
    <row r="13241" spans="1:19" x14ac:dyDescent="0.3">
      <c r="A13241" t="s">
        <v>40240</v>
      </c>
      <c r="B13241" t="s">
        <v>41254</v>
      </c>
      <c r="C13241" t="s">
        <v>41582</v>
      </c>
      <c r="D13241" t="s">
        <v>40241</v>
      </c>
      <c r="E13241" t="s">
        <v>40242</v>
      </c>
      <c r="F13241" t="s">
        <v>40242</v>
      </c>
      <c r="G13241" t="s">
        <v>40242</v>
      </c>
      <c r="H13241" t="s">
        <v>859</v>
      </c>
      <c r="I13241" t="s">
        <v>860</v>
      </c>
      <c r="J13241" t="str">
        <f>"9521436"</f>
        <v>9521436</v>
      </c>
      <c r="K13241">
        <v>2261021639</v>
      </c>
      <c r="M13241" t="s">
        <v>41583</v>
      </c>
      <c r="N13241" t="s">
        <v>40276</v>
      </c>
      <c r="O13241" t="s">
        <v>41581</v>
      </c>
      <c r="P13241">
        <v>32131</v>
      </c>
      <c r="Q13241" t="str">
        <f>"38.443263"</f>
        <v>38.443263</v>
      </c>
      <c r="R13241" t="str">
        <f>"22.876183"</f>
        <v>22.876183</v>
      </c>
      <c r="S13241" t="s">
        <v>26</v>
      </c>
    </row>
    <row r="13242" spans="1:19" x14ac:dyDescent="0.3">
      <c r="A13242" t="s">
        <v>40240</v>
      </c>
      <c r="B13242" t="s">
        <v>41254</v>
      </c>
      <c r="C13242" t="s">
        <v>41587</v>
      </c>
      <c r="D13242" t="s">
        <v>40241</v>
      </c>
      <c r="E13242" t="s">
        <v>40242</v>
      </c>
      <c r="F13242" t="s">
        <v>25808</v>
      </c>
      <c r="G13242" t="s">
        <v>17334</v>
      </c>
      <c r="H13242" t="s">
        <v>859</v>
      </c>
      <c r="I13242" t="s">
        <v>860</v>
      </c>
      <c r="J13242" t="str">
        <f>"9070082"</f>
        <v>9070082</v>
      </c>
      <c r="K13242">
        <v>2261094257</v>
      </c>
      <c r="M13242" t="s">
        <v>41588</v>
      </c>
      <c r="N13242" t="s">
        <v>8902</v>
      </c>
      <c r="O13242" t="s">
        <v>8902</v>
      </c>
      <c r="P13242">
        <v>32100</v>
      </c>
      <c r="Q13242" t="str">
        <f>"38.353052"</f>
        <v>38.353052</v>
      </c>
      <c r="R13242" t="str">
        <f>"22.906581"</f>
        <v>22.906581</v>
      </c>
      <c r="S13242" t="s">
        <v>26</v>
      </c>
    </row>
    <row r="13243" spans="1:19" x14ac:dyDescent="0.3">
      <c r="A13243" t="s">
        <v>40240</v>
      </c>
      <c r="B13243" t="s">
        <v>41254</v>
      </c>
      <c r="C13243" t="s">
        <v>41589</v>
      </c>
      <c r="D13243" t="s">
        <v>40241</v>
      </c>
      <c r="E13243" t="s">
        <v>40289</v>
      </c>
      <c r="F13243" t="s">
        <v>40290</v>
      </c>
      <c r="G13243" t="s">
        <v>40290</v>
      </c>
      <c r="H13243" t="s">
        <v>859</v>
      </c>
      <c r="I13243" t="s">
        <v>860</v>
      </c>
      <c r="J13243" t="str">
        <f>"9521677"</f>
        <v>9521677</v>
      </c>
      <c r="K13243">
        <v>2262031194</v>
      </c>
      <c r="L13243">
        <v>2262031194</v>
      </c>
      <c r="M13243" t="s">
        <v>41590</v>
      </c>
      <c r="N13243" t="s">
        <v>40290</v>
      </c>
      <c r="O13243" t="s">
        <v>41591</v>
      </c>
      <c r="P13243">
        <v>32011</v>
      </c>
      <c r="Q13243" t="str">
        <f>"38.329797"</f>
        <v>38.329797</v>
      </c>
      <c r="R13243" t="str">
        <f>"23.659018"</f>
        <v>23.659018</v>
      </c>
      <c r="S13243" t="s">
        <v>26</v>
      </c>
    </row>
    <row r="13244" spans="1:19" x14ac:dyDescent="0.3">
      <c r="A13244" t="s">
        <v>40240</v>
      </c>
      <c r="B13244" t="s">
        <v>41596</v>
      </c>
      <c r="C13244" t="s">
        <v>41597</v>
      </c>
      <c r="D13244" t="s">
        <v>40247</v>
      </c>
      <c r="E13244" t="s">
        <v>22629</v>
      </c>
      <c r="F13244" t="s">
        <v>22629</v>
      </c>
      <c r="G13244" t="s">
        <v>22629</v>
      </c>
      <c r="H13244" t="s">
        <v>859</v>
      </c>
      <c r="I13244" t="s">
        <v>860</v>
      </c>
      <c r="J13244" t="str">
        <f>"9120287"</f>
        <v>9120287</v>
      </c>
      <c r="K13244">
        <v>2229060555</v>
      </c>
      <c r="L13244">
        <v>2229060555</v>
      </c>
      <c r="M13244" t="s">
        <v>41598</v>
      </c>
      <c r="N13244" t="s">
        <v>22632</v>
      </c>
      <c r="O13244" t="s">
        <v>41599</v>
      </c>
      <c r="P13244">
        <v>34008</v>
      </c>
      <c r="Q13244" t="str">
        <f>"38.393931"</f>
        <v>38.393931</v>
      </c>
      <c r="R13244" t="str">
        <f>"23.799590"</f>
        <v>23.799590</v>
      </c>
      <c r="S13244" t="s">
        <v>26</v>
      </c>
    </row>
    <row r="13245" spans="1:19" x14ac:dyDescent="0.3">
      <c r="A13245" t="s">
        <v>40240</v>
      </c>
      <c r="B13245" t="s">
        <v>41596</v>
      </c>
      <c r="C13245" t="s">
        <v>41600</v>
      </c>
      <c r="D13245" t="s">
        <v>40247</v>
      </c>
      <c r="E13245" t="s">
        <v>40526</v>
      </c>
      <c r="F13245" t="s">
        <v>40527</v>
      </c>
      <c r="G13245" t="s">
        <v>40528</v>
      </c>
      <c r="H13245" t="s">
        <v>859</v>
      </c>
      <c r="I13245" t="s">
        <v>860</v>
      </c>
      <c r="J13245" t="str">
        <f>"9120284"</f>
        <v>9120284</v>
      </c>
      <c r="K13245">
        <v>2228024203</v>
      </c>
      <c r="L13245">
        <v>2228024473</v>
      </c>
      <c r="M13245" t="s">
        <v>41601</v>
      </c>
      <c r="N13245" t="s">
        <v>40528</v>
      </c>
      <c r="O13245" t="s">
        <v>41602</v>
      </c>
      <c r="P13245">
        <v>34400</v>
      </c>
      <c r="Q13245" t="str">
        <f>"38.570762"</f>
        <v>38.570762</v>
      </c>
      <c r="R13245" t="str">
        <f>"23.644148"</f>
        <v>23.644148</v>
      </c>
      <c r="S13245" t="s">
        <v>26</v>
      </c>
    </row>
    <row r="13246" spans="1:19" x14ac:dyDescent="0.3">
      <c r="A13246" t="s">
        <v>40240</v>
      </c>
      <c r="B13246" t="s">
        <v>41596</v>
      </c>
      <c r="C13246" t="s">
        <v>41603</v>
      </c>
      <c r="D13246" t="s">
        <v>40247</v>
      </c>
      <c r="E13246" t="s">
        <v>40248</v>
      </c>
      <c r="F13246" t="s">
        <v>40514</v>
      </c>
      <c r="G13246" t="s">
        <v>40757</v>
      </c>
      <c r="H13246" t="s">
        <v>859</v>
      </c>
      <c r="I13246" t="s">
        <v>860</v>
      </c>
      <c r="J13246" t="str">
        <f>"9120396"</f>
        <v>9120396</v>
      </c>
      <c r="K13246">
        <v>2221082867</v>
      </c>
      <c r="L13246">
        <v>2221082867</v>
      </c>
      <c r="M13246" t="s">
        <v>41604</v>
      </c>
      <c r="N13246" t="s">
        <v>40760</v>
      </c>
      <c r="O13246" t="s">
        <v>41605</v>
      </c>
      <c r="P13246">
        <v>34100</v>
      </c>
      <c r="Q13246" t="str">
        <f>"38.439690"</f>
        <v>38.439690</v>
      </c>
      <c r="R13246" t="str">
        <f>"23.622126"</f>
        <v>23.622126</v>
      </c>
      <c r="S13246" t="s">
        <v>26</v>
      </c>
    </row>
    <row r="13247" spans="1:19" x14ac:dyDescent="0.3">
      <c r="A13247" t="s">
        <v>40240</v>
      </c>
      <c r="B13247" t="s">
        <v>41596</v>
      </c>
      <c r="C13247" t="s">
        <v>41606</v>
      </c>
      <c r="D13247" t="s">
        <v>40247</v>
      </c>
      <c r="E13247" t="s">
        <v>40248</v>
      </c>
      <c r="F13247" t="s">
        <v>40514</v>
      </c>
      <c r="G13247" t="s">
        <v>40757</v>
      </c>
      <c r="H13247" t="s">
        <v>859</v>
      </c>
      <c r="I13247" t="s">
        <v>860</v>
      </c>
      <c r="J13247" t="str">
        <f>"9120285"</f>
        <v>9120285</v>
      </c>
      <c r="K13247">
        <v>2221088291</v>
      </c>
      <c r="L13247">
        <v>2221088291</v>
      </c>
      <c r="M13247" t="s">
        <v>41607</v>
      </c>
      <c r="N13247" t="s">
        <v>40757</v>
      </c>
      <c r="O13247" t="s">
        <v>40760</v>
      </c>
      <c r="P13247">
        <v>34100</v>
      </c>
      <c r="Q13247" t="str">
        <f>"38.410923"</f>
        <v>38.410923</v>
      </c>
      <c r="R13247" t="str">
        <f>"23.549041"</f>
        <v>23.549041</v>
      </c>
      <c r="S13247" t="s">
        <v>26</v>
      </c>
    </row>
    <row r="13248" spans="1:19" x14ac:dyDescent="0.3">
      <c r="A13248" t="s">
        <v>40240</v>
      </c>
      <c r="B13248" t="s">
        <v>41596</v>
      </c>
      <c r="C13248" t="s">
        <v>41608</v>
      </c>
      <c r="D13248" t="s">
        <v>40247</v>
      </c>
      <c r="E13248" t="s">
        <v>40248</v>
      </c>
      <c r="F13248" t="s">
        <v>40514</v>
      </c>
      <c r="G13248" t="s">
        <v>1969</v>
      </c>
      <c r="H13248" t="s">
        <v>859</v>
      </c>
      <c r="I13248" t="s">
        <v>860</v>
      </c>
      <c r="J13248" t="str">
        <f>"9120343"</f>
        <v>9120343</v>
      </c>
      <c r="K13248">
        <v>2221053933</v>
      </c>
      <c r="L13248">
        <v>2221053933</v>
      </c>
      <c r="M13248" t="s">
        <v>41609</v>
      </c>
      <c r="N13248" t="s">
        <v>41610</v>
      </c>
      <c r="O13248" t="s">
        <v>41611</v>
      </c>
      <c r="P13248">
        <v>34100</v>
      </c>
      <c r="Q13248" t="str">
        <f>"38.421646"</f>
        <v>38.421646</v>
      </c>
      <c r="R13248" t="str">
        <f>"23.654692"</f>
        <v>23.654692</v>
      </c>
      <c r="S13248" t="s">
        <v>26</v>
      </c>
    </row>
    <row r="13249" spans="1:19" x14ac:dyDescent="0.3">
      <c r="A13249" t="s">
        <v>40240</v>
      </c>
      <c r="B13249" t="s">
        <v>41596</v>
      </c>
      <c r="C13249" t="s">
        <v>41616</v>
      </c>
      <c r="D13249" t="s">
        <v>40247</v>
      </c>
      <c r="E13249" t="s">
        <v>40248</v>
      </c>
      <c r="F13249" t="s">
        <v>40249</v>
      </c>
      <c r="G13249" t="s">
        <v>40249</v>
      </c>
      <c r="H13249" t="s">
        <v>859</v>
      </c>
      <c r="I13249" t="s">
        <v>860</v>
      </c>
      <c r="J13249" t="str">
        <f>"9120432"</f>
        <v>9120432</v>
      </c>
      <c r="K13249">
        <v>2221043680</v>
      </c>
      <c r="L13249">
        <v>2221043680</v>
      </c>
      <c r="M13249" t="s">
        <v>41617</v>
      </c>
      <c r="N13249" t="s">
        <v>40249</v>
      </c>
      <c r="O13249" t="s">
        <v>41618</v>
      </c>
      <c r="P13249">
        <v>34600</v>
      </c>
      <c r="Q13249" t="str">
        <f>"38.516417"</f>
        <v>38.516417</v>
      </c>
      <c r="R13249" t="str">
        <f>"23.639330"</f>
        <v>23.639330</v>
      </c>
      <c r="S13249" t="s">
        <v>26</v>
      </c>
    </row>
    <row r="13250" spans="1:19" x14ac:dyDescent="0.3">
      <c r="A13250" t="s">
        <v>40240</v>
      </c>
      <c r="B13250" t="s">
        <v>41596</v>
      </c>
      <c r="C13250" t="s">
        <v>41619</v>
      </c>
      <c r="D13250" t="s">
        <v>40247</v>
      </c>
      <c r="E13250" t="s">
        <v>40248</v>
      </c>
      <c r="F13250" t="s">
        <v>40809</v>
      </c>
      <c r="G13250" t="s">
        <v>2808</v>
      </c>
      <c r="H13250" t="s">
        <v>859</v>
      </c>
      <c r="I13250" t="s">
        <v>860</v>
      </c>
      <c r="J13250" t="str">
        <f>"9120459"</f>
        <v>9120459</v>
      </c>
      <c r="K13250">
        <v>2221077949</v>
      </c>
      <c r="L13250">
        <v>2221077949</v>
      </c>
      <c r="M13250" t="s">
        <v>41620</v>
      </c>
      <c r="N13250" t="s">
        <v>2808</v>
      </c>
      <c r="O13250" t="s">
        <v>41621</v>
      </c>
      <c r="P13250">
        <v>34100</v>
      </c>
      <c r="Q13250" t="str">
        <f>"38.464513"</f>
        <v>38.464513</v>
      </c>
      <c r="R13250" t="str">
        <f>"23.573511"</f>
        <v>23.573511</v>
      </c>
      <c r="S13250" t="s">
        <v>26</v>
      </c>
    </row>
    <row r="13251" spans="1:19" x14ac:dyDescent="0.3">
      <c r="A13251" t="s">
        <v>40240</v>
      </c>
      <c r="B13251" t="s">
        <v>41596</v>
      </c>
      <c r="C13251" t="s">
        <v>41669</v>
      </c>
      <c r="D13251" t="s">
        <v>40247</v>
      </c>
      <c r="E13251" t="s">
        <v>40248</v>
      </c>
      <c r="F13251" t="s">
        <v>40249</v>
      </c>
      <c r="G13251" t="s">
        <v>40249</v>
      </c>
      <c r="H13251" t="s">
        <v>859</v>
      </c>
      <c r="I13251" t="s">
        <v>860</v>
      </c>
      <c r="J13251" t="str">
        <f>"9120391"</f>
        <v>9120391</v>
      </c>
      <c r="K13251">
        <v>2221041559</v>
      </c>
      <c r="L13251">
        <v>2221041559</v>
      </c>
      <c r="M13251" t="s">
        <v>41670</v>
      </c>
      <c r="N13251" t="s">
        <v>41671</v>
      </c>
      <c r="O13251" t="s">
        <v>41671</v>
      </c>
      <c r="P13251">
        <v>34600</v>
      </c>
      <c r="Q13251" t="str">
        <f>"38.523817"</f>
        <v>38.523817</v>
      </c>
      <c r="R13251" t="str">
        <f>"23.652391"</f>
        <v>23.652391</v>
      </c>
      <c r="S13251" t="s">
        <v>26</v>
      </c>
    </row>
    <row r="13252" spans="1:19" x14ac:dyDescent="0.3">
      <c r="A13252" t="s">
        <v>40240</v>
      </c>
      <c r="B13252" t="s">
        <v>41596</v>
      </c>
      <c r="C13252" t="s">
        <v>41680</v>
      </c>
      <c r="D13252" t="s">
        <v>40247</v>
      </c>
      <c r="E13252" t="s">
        <v>22629</v>
      </c>
      <c r="F13252" t="s">
        <v>22629</v>
      </c>
      <c r="G13252" t="s">
        <v>22629</v>
      </c>
      <c r="H13252" t="s">
        <v>859</v>
      </c>
      <c r="I13252" t="s">
        <v>860</v>
      </c>
      <c r="J13252" t="str">
        <f>"9120430"</f>
        <v>9120430</v>
      </c>
      <c r="K13252">
        <v>2229068671</v>
      </c>
      <c r="L13252">
        <v>2229068671</v>
      </c>
      <c r="M13252" t="s">
        <v>41681</v>
      </c>
      <c r="N13252" t="s">
        <v>41682</v>
      </c>
      <c r="O13252" t="s">
        <v>41682</v>
      </c>
      <c r="P13252">
        <v>34008</v>
      </c>
      <c r="Q13252" t="str">
        <f>"38.405839"</f>
        <v>38.405839</v>
      </c>
      <c r="R13252" t="str">
        <f>"23.746543"</f>
        <v>23.746543</v>
      </c>
      <c r="S13252" t="s">
        <v>26</v>
      </c>
    </row>
    <row r="13253" spans="1:19" x14ac:dyDescent="0.3">
      <c r="A13253" t="s">
        <v>40240</v>
      </c>
      <c r="B13253" t="s">
        <v>41596</v>
      </c>
      <c r="C13253" t="s">
        <v>41688</v>
      </c>
      <c r="D13253" t="s">
        <v>40247</v>
      </c>
      <c r="E13253" t="s">
        <v>40248</v>
      </c>
      <c r="F13253" t="s">
        <v>40514</v>
      </c>
      <c r="G13253" t="s">
        <v>13918</v>
      </c>
      <c r="H13253" t="s">
        <v>859</v>
      </c>
      <c r="I13253" t="s">
        <v>860</v>
      </c>
      <c r="J13253" t="str">
        <f>"9120327"</f>
        <v>9120327</v>
      </c>
      <c r="K13253">
        <v>2221050455</v>
      </c>
      <c r="L13253">
        <v>2221050455</v>
      </c>
      <c r="M13253" t="s">
        <v>41689</v>
      </c>
      <c r="N13253" t="s">
        <v>15262</v>
      </c>
      <c r="O13253" t="s">
        <v>41690</v>
      </c>
      <c r="P13253">
        <v>34100</v>
      </c>
      <c r="Q13253" t="str">
        <f>"38.443240"</f>
        <v>38.443240</v>
      </c>
      <c r="R13253" t="str">
        <f>"23.659851"</f>
        <v>23.659851</v>
      </c>
      <c r="S13253" t="s">
        <v>26</v>
      </c>
    </row>
    <row r="13254" spans="1:19" x14ac:dyDescent="0.3">
      <c r="A13254" t="s">
        <v>40240</v>
      </c>
      <c r="B13254" t="s">
        <v>41596</v>
      </c>
      <c r="C13254" t="s">
        <v>41692</v>
      </c>
      <c r="D13254" t="s">
        <v>40247</v>
      </c>
      <c r="E13254" t="s">
        <v>40526</v>
      </c>
      <c r="F13254" t="s">
        <v>40527</v>
      </c>
      <c r="G13254" t="s">
        <v>41691</v>
      </c>
      <c r="H13254" t="s">
        <v>859</v>
      </c>
      <c r="I13254" t="s">
        <v>860</v>
      </c>
      <c r="J13254" t="str">
        <f>"9120417"</f>
        <v>9120417</v>
      </c>
      <c r="K13254">
        <v>2228031234</v>
      </c>
      <c r="L13254">
        <v>2228031234</v>
      </c>
      <c r="M13254" t="s">
        <v>41693</v>
      </c>
      <c r="N13254" t="s">
        <v>41694</v>
      </c>
      <c r="O13254" t="s">
        <v>41694</v>
      </c>
      <c r="P13254">
        <v>34400</v>
      </c>
      <c r="Q13254" t="str">
        <f>"38.614912"</f>
        <v>38.614912</v>
      </c>
      <c r="R13254" t="str">
        <f>"23.532698"</f>
        <v>23.532698</v>
      </c>
      <c r="S13254" t="s">
        <v>26</v>
      </c>
    </row>
    <row r="13255" spans="1:19" x14ac:dyDescent="0.3">
      <c r="A13255" t="s">
        <v>40240</v>
      </c>
      <c r="B13255" t="s">
        <v>41596</v>
      </c>
      <c r="C13255" t="s">
        <v>41714</v>
      </c>
      <c r="D13255" t="s">
        <v>40247</v>
      </c>
      <c r="E13255" t="s">
        <v>22629</v>
      </c>
      <c r="F13255" t="s">
        <v>22629</v>
      </c>
      <c r="G13255" t="s">
        <v>22629</v>
      </c>
      <c r="H13255" t="s">
        <v>859</v>
      </c>
      <c r="I13255" t="s">
        <v>860</v>
      </c>
      <c r="J13255" t="str">
        <f>"9120389"</f>
        <v>9120389</v>
      </c>
      <c r="K13255">
        <v>2229065000</v>
      </c>
      <c r="L13255">
        <v>2229065000</v>
      </c>
      <c r="M13255" t="s">
        <v>41715</v>
      </c>
      <c r="N13255" t="s">
        <v>22632</v>
      </c>
      <c r="O13255" t="s">
        <v>22632</v>
      </c>
      <c r="P13255">
        <v>34008</v>
      </c>
      <c r="Q13255" t="str">
        <f>"38.392285"</f>
        <v>38.392285</v>
      </c>
      <c r="R13255" t="str">
        <f>"23.799800"</f>
        <v>23.799800</v>
      </c>
      <c r="S13255" t="s">
        <v>26</v>
      </c>
    </row>
    <row r="13256" spans="1:19" x14ac:dyDescent="0.3">
      <c r="A13256" t="s">
        <v>40240</v>
      </c>
      <c r="B13256" t="s">
        <v>41596</v>
      </c>
      <c r="C13256" t="s">
        <v>41725</v>
      </c>
      <c r="D13256" t="s">
        <v>40247</v>
      </c>
      <c r="E13256" t="s">
        <v>40248</v>
      </c>
      <c r="F13256" t="s">
        <v>40249</v>
      </c>
      <c r="G13256" t="s">
        <v>40249</v>
      </c>
      <c r="H13256" t="s">
        <v>859</v>
      </c>
      <c r="I13256" t="s">
        <v>860</v>
      </c>
      <c r="J13256" t="str">
        <f>"9120372"</f>
        <v>9120372</v>
      </c>
      <c r="K13256">
        <v>2221043067</v>
      </c>
      <c r="M13256" t="s">
        <v>41726</v>
      </c>
      <c r="N13256" t="s">
        <v>40249</v>
      </c>
      <c r="O13256" t="s">
        <v>41727</v>
      </c>
      <c r="P13256">
        <v>34600</v>
      </c>
      <c r="Q13256" t="str">
        <f>"38.522060"</f>
        <v>38.522060</v>
      </c>
      <c r="R13256" t="str">
        <f>"23.635114"</f>
        <v>23.635114</v>
      </c>
      <c r="S13256" t="s">
        <v>26</v>
      </c>
    </row>
    <row r="13257" spans="1:19" x14ac:dyDescent="0.3">
      <c r="A13257" t="s">
        <v>40240</v>
      </c>
      <c r="B13257" t="s">
        <v>41596</v>
      </c>
      <c r="C13257" t="s">
        <v>41728</v>
      </c>
      <c r="D13257" t="s">
        <v>40247</v>
      </c>
      <c r="E13257" t="s">
        <v>40248</v>
      </c>
      <c r="F13257" t="s">
        <v>40514</v>
      </c>
      <c r="G13257" t="s">
        <v>41612</v>
      </c>
      <c r="H13257" t="s">
        <v>859</v>
      </c>
      <c r="I13257" t="s">
        <v>860</v>
      </c>
      <c r="J13257" t="str">
        <f>"9120289"</f>
        <v>9120289</v>
      </c>
      <c r="K13257">
        <v>2221051497</v>
      </c>
      <c r="L13257">
        <v>2221051497</v>
      </c>
      <c r="M13257" t="s">
        <v>41729</v>
      </c>
      <c r="N13257" t="s">
        <v>40536</v>
      </c>
      <c r="O13257" t="s">
        <v>41730</v>
      </c>
      <c r="P13257">
        <v>34100</v>
      </c>
      <c r="Q13257" t="str">
        <f>"38.441238"</f>
        <v>38.441238</v>
      </c>
      <c r="R13257" t="str">
        <f>"23.681565"</f>
        <v>23.681565</v>
      </c>
      <c r="S13257" t="s">
        <v>26</v>
      </c>
    </row>
    <row r="13258" spans="1:19" x14ac:dyDescent="0.3">
      <c r="A13258" t="s">
        <v>40240</v>
      </c>
      <c r="B13258" t="s">
        <v>41596</v>
      </c>
      <c r="C13258" t="s">
        <v>41731</v>
      </c>
      <c r="D13258" t="s">
        <v>40247</v>
      </c>
      <c r="E13258" t="s">
        <v>40248</v>
      </c>
      <c r="F13258" t="s">
        <v>40248</v>
      </c>
      <c r="G13258" t="s">
        <v>40248</v>
      </c>
      <c r="H13258" t="s">
        <v>859</v>
      </c>
      <c r="I13258" t="s">
        <v>860</v>
      </c>
      <c r="J13258" t="str">
        <f>"9120219"</f>
        <v>9120219</v>
      </c>
      <c r="K13258">
        <v>2221076040</v>
      </c>
      <c r="L13258">
        <v>2221076040</v>
      </c>
      <c r="M13258" t="s">
        <v>41732</v>
      </c>
      <c r="N13258" t="s">
        <v>40536</v>
      </c>
      <c r="O13258" t="s">
        <v>41733</v>
      </c>
      <c r="P13258">
        <v>34132</v>
      </c>
      <c r="Q13258" t="str">
        <f>"38.469801"</f>
        <v>38.469801</v>
      </c>
      <c r="R13258" t="str">
        <f>"23.604500"</f>
        <v>23.604500</v>
      </c>
      <c r="S13258" t="s">
        <v>26</v>
      </c>
    </row>
    <row r="13259" spans="1:19" x14ac:dyDescent="0.3">
      <c r="A13259" t="s">
        <v>40240</v>
      </c>
      <c r="B13259" t="s">
        <v>41596</v>
      </c>
      <c r="C13259" t="s">
        <v>41734</v>
      </c>
      <c r="D13259" t="s">
        <v>40247</v>
      </c>
      <c r="E13259" t="s">
        <v>40248</v>
      </c>
      <c r="F13259" t="s">
        <v>40248</v>
      </c>
      <c r="G13259" t="s">
        <v>40248</v>
      </c>
      <c r="H13259" t="s">
        <v>859</v>
      </c>
      <c r="I13259" t="s">
        <v>860</v>
      </c>
      <c r="J13259" t="str">
        <f>"9120223"</f>
        <v>9120223</v>
      </c>
      <c r="K13259">
        <v>2221087216</v>
      </c>
      <c r="L13259">
        <v>2221087216</v>
      </c>
      <c r="M13259" t="s">
        <v>41735</v>
      </c>
      <c r="N13259" t="s">
        <v>40536</v>
      </c>
      <c r="O13259" t="s">
        <v>41736</v>
      </c>
      <c r="P13259">
        <v>34100</v>
      </c>
      <c r="Q13259" t="str">
        <f>"38.462690"</f>
        <v>38.462690</v>
      </c>
      <c r="R13259" t="str">
        <f>"23.610738"</f>
        <v>23.610738</v>
      </c>
      <c r="S13259" t="s">
        <v>26</v>
      </c>
    </row>
    <row r="13260" spans="1:19" x14ac:dyDescent="0.3">
      <c r="A13260" t="s">
        <v>40240</v>
      </c>
      <c r="B13260" t="s">
        <v>41596</v>
      </c>
      <c r="C13260" t="s">
        <v>41754</v>
      </c>
      <c r="D13260" t="s">
        <v>40247</v>
      </c>
      <c r="E13260" t="s">
        <v>40248</v>
      </c>
      <c r="F13260" t="s">
        <v>40248</v>
      </c>
      <c r="G13260" t="s">
        <v>40248</v>
      </c>
      <c r="H13260" t="s">
        <v>859</v>
      </c>
      <c r="I13260" t="s">
        <v>860</v>
      </c>
      <c r="J13260" t="str">
        <f>"9120390"</f>
        <v>9120390</v>
      </c>
      <c r="K13260">
        <v>2221086104</v>
      </c>
      <c r="L13260">
        <v>2221086104</v>
      </c>
      <c r="M13260" t="s">
        <v>41755</v>
      </c>
      <c r="N13260" t="s">
        <v>40536</v>
      </c>
      <c r="O13260" t="s">
        <v>41756</v>
      </c>
      <c r="P13260">
        <v>34100</v>
      </c>
      <c r="Q13260" t="str">
        <f>"38.470795"</f>
        <v>38.470795</v>
      </c>
      <c r="R13260" t="str">
        <f>"23.607144"</f>
        <v>23.607144</v>
      </c>
      <c r="S13260" t="s">
        <v>26</v>
      </c>
    </row>
    <row r="13261" spans="1:19" x14ac:dyDescent="0.3">
      <c r="A13261" t="s">
        <v>40240</v>
      </c>
      <c r="B13261" t="s">
        <v>41596</v>
      </c>
      <c r="C13261" t="s">
        <v>41757</v>
      </c>
      <c r="D13261" t="s">
        <v>40247</v>
      </c>
      <c r="E13261" t="s">
        <v>40589</v>
      </c>
      <c r="F13261" t="s">
        <v>4068</v>
      </c>
      <c r="G13261" t="s">
        <v>40590</v>
      </c>
      <c r="H13261" t="s">
        <v>859</v>
      </c>
      <c r="I13261" t="s">
        <v>860</v>
      </c>
      <c r="J13261" t="str">
        <f>"9120150"</f>
        <v>9120150</v>
      </c>
      <c r="K13261">
        <v>2223031224</v>
      </c>
      <c r="L13261">
        <v>2223031224</v>
      </c>
      <c r="M13261" t="s">
        <v>41758</v>
      </c>
      <c r="N13261" t="s">
        <v>40590</v>
      </c>
      <c r="O13261" t="s">
        <v>40593</v>
      </c>
      <c r="P13261">
        <v>34009</v>
      </c>
      <c r="Q13261" t="str">
        <f>"38.504824"</f>
        <v>38.504824</v>
      </c>
      <c r="R13261" t="str">
        <f>"24.122113"</f>
        <v>24.122113</v>
      </c>
      <c r="S13261" t="s">
        <v>26</v>
      </c>
    </row>
    <row r="13262" spans="1:19" x14ac:dyDescent="0.3">
      <c r="A13262" t="s">
        <v>40240</v>
      </c>
      <c r="B13262" t="s">
        <v>41596</v>
      </c>
      <c r="C13262" t="s">
        <v>41760</v>
      </c>
      <c r="D13262" t="s">
        <v>40247</v>
      </c>
      <c r="E13262" t="s">
        <v>40506</v>
      </c>
      <c r="F13262" t="s">
        <v>40739</v>
      </c>
      <c r="G13262" t="s">
        <v>40739</v>
      </c>
      <c r="H13262" t="s">
        <v>859</v>
      </c>
      <c r="I13262" t="s">
        <v>860</v>
      </c>
      <c r="J13262" t="str">
        <f>"9120108"</f>
        <v>9120108</v>
      </c>
      <c r="K13262">
        <v>2224031606</v>
      </c>
      <c r="L13262">
        <v>2224031606</v>
      </c>
      <c r="M13262" t="s">
        <v>41761</v>
      </c>
      <c r="N13262" t="s">
        <v>40743</v>
      </c>
      <c r="O13262" t="s">
        <v>40743</v>
      </c>
      <c r="P13262">
        <v>34013</v>
      </c>
      <c r="Q13262" t="str">
        <f>"38.047432"</f>
        <v>38.047432</v>
      </c>
      <c r="R13262" t="str">
        <f>"24.323022"</f>
        <v>24.323022</v>
      </c>
      <c r="S13262" t="s">
        <v>26</v>
      </c>
    </row>
    <row r="13263" spans="1:19" x14ac:dyDescent="0.3">
      <c r="A13263" t="s">
        <v>40240</v>
      </c>
      <c r="B13263" t="s">
        <v>41596</v>
      </c>
      <c r="C13263" t="s">
        <v>41769</v>
      </c>
      <c r="D13263" t="s">
        <v>40247</v>
      </c>
      <c r="E13263" t="s">
        <v>40506</v>
      </c>
      <c r="F13263" t="s">
        <v>40507</v>
      </c>
      <c r="G13263" t="s">
        <v>40508</v>
      </c>
      <c r="H13263" t="s">
        <v>859</v>
      </c>
      <c r="I13263" t="s">
        <v>860</v>
      </c>
      <c r="J13263" t="str">
        <f>"9120124"</f>
        <v>9120124</v>
      </c>
      <c r="K13263">
        <v>2224051106</v>
      </c>
      <c r="L13263">
        <v>2224051106</v>
      </c>
      <c r="M13263" t="s">
        <v>41770</v>
      </c>
      <c r="N13263" t="s">
        <v>40508</v>
      </c>
      <c r="O13263" t="s">
        <v>41771</v>
      </c>
      <c r="P13263">
        <v>34015</v>
      </c>
      <c r="Q13263" t="str">
        <f>"38.179543"</f>
        <v>38.179543</v>
      </c>
      <c r="R13263" t="str">
        <f>"24.208438"</f>
        <v>24.208438</v>
      </c>
      <c r="S13263" t="s">
        <v>26</v>
      </c>
    </row>
    <row r="13264" spans="1:19" x14ac:dyDescent="0.3">
      <c r="A13264" t="s">
        <v>40240</v>
      </c>
      <c r="B13264" t="s">
        <v>41596</v>
      </c>
      <c r="C13264" t="s">
        <v>41776</v>
      </c>
      <c r="D13264" t="s">
        <v>40247</v>
      </c>
      <c r="E13264" t="s">
        <v>40248</v>
      </c>
      <c r="F13264" t="s">
        <v>40248</v>
      </c>
      <c r="G13264" t="s">
        <v>40248</v>
      </c>
      <c r="H13264" t="s">
        <v>859</v>
      </c>
      <c r="I13264" t="s">
        <v>860</v>
      </c>
      <c r="J13264" t="str">
        <f>"9120405"</f>
        <v>9120405</v>
      </c>
      <c r="K13264">
        <v>2221087450</v>
      </c>
      <c r="L13264">
        <v>2221087450</v>
      </c>
      <c r="M13264" t="s">
        <v>41777</v>
      </c>
      <c r="N13264" t="s">
        <v>40519</v>
      </c>
      <c r="O13264" t="s">
        <v>41778</v>
      </c>
      <c r="P13264">
        <v>34100</v>
      </c>
      <c r="Q13264" t="str">
        <f>"38.471053"</f>
        <v>38.471053</v>
      </c>
      <c r="R13264" t="str">
        <f>"23.587299"</f>
        <v>23.587299</v>
      </c>
      <c r="S13264" t="s">
        <v>26</v>
      </c>
    </row>
    <row r="13265" spans="1:19" x14ac:dyDescent="0.3">
      <c r="A13265" t="s">
        <v>40240</v>
      </c>
      <c r="B13265" t="s">
        <v>41596</v>
      </c>
      <c r="C13265" t="s">
        <v>41780</v>
      </c>
      <c r="D13265" t="s">
        <v>40247</v>
      </c>
      <c r="E13265" t="s">
        <v>40526</v>
      </c>
      <c r="F13265" t="s">
        <v>40762</v>
      </c>
      <c r="G13265" t="s">
        <v>41779</v>
      </c>
      <c r="H13265" t="s">
        <v>859</v>
      </c>
      <c r="I13265" t="s">
        <v>860</v>
      </c>
      <c r="J13265" t="str">
        <f>"9120387"</f>
        <v>9120387</v>
      </c>
      <c r="K13265">
        <v>2221094344</v>
      </c>
      <c r="L13265">
        <v>2221094344</v>
      </c>
      <c r="M13265" t="s">
        <v>41781</v>
      </c>
      <c r="N13265" t="s">
        <v>41782</v>
      </c>
      <c r="O13265" t="s">
        <v>41782</v>
      </c>
      <c r="P13265">
        <v>34014</v>
      </c>
      <c r="Q13265" t="str">
        <f>"38.518756"</f>
        <v>38.518756</v>
      </c>
      <c r="R13265" t="str">
        <f>"23.821508"</f>
        <v>23.821508</v>
      </c>
      <c r="S13265" t="s">
        <v>26</v>
      </c>
    </row>
    <row r="13266" spans="1:19" x14ac:dyDescent="0.3">
      <c r="A13266" t="s">
        <v>40240</v>
      </c>
      <c r="B13266" t="s">
        <v>41596</v>
      </c>
      <c r="C13266" t="s">
        <v>41784</v>
      </c>
      <c r="D13266" t="s">
        <v>40247</v>
      </c>
      <c r="E13266" t="s">
        <v>40248</v>
      </c>
      <c r="F13266" t="s">
        <v>40809</v>
      </c>
      <c r="G13266" t="s">
        <v>41783</v>
      </c>
      <c r="H13266" t="s">
        <v>859</v>
      </c>
      <c r="I13266" t="s">
        <v>860</v>
      </c>
      <c r="J13266" t="str">
        <f>"9120326"</f>
        <v>9120326</v>
      </c>
      <c r="K13266">
        <v>2221096415</v>
      </c>
      <c r="L13266">
        <v>2221096415</v>
      </c>
      <c r="M13266" t="s">
        <v>41785</v>
      </c>
      <c r="N13266" t="s">
        <v>41786</v>
      </c>
      <c r="O13266" t="s">
        <v>41787</v>
      </c>
      <c r="P13266">
        <v>34100</v>
      </c>
      <c r="Q13266" t="str">
        <f>"38.492564"</f>
        <v>38.492564</v>
      </c>
      <c r="R13266" t="str">
        <f>"23.456528"</f>
        <v>23.456528</v>
      </c>
      <c r="S13266" t="s">
        <v>26</v>
      </c>
    </row>
    <row r="13267" spans="1:19" x14ac:dyDescent="0.3">
      <c r="A13267" t="s">
        <v>40240</v>
      </c>
      <c r="B13267" t="s">
        <v>41596</v>
      </c>
      <c r="C13267" t="s">
        <v>41789</v>
      </c>
      <c r="D13267" t="s">
        <v>40247</v>
      </c>
      <c r="E13267" t="s">
        <v>40589</v>
      </c>
      <c r="F13267" t="s">
        <v>40748</v>
      </c>
      <c r="G13267" t="s">
        <v>40749</v>
      </c>
      <c r="H13267" t="s">
        <v>859</v>
      </c>
      <c r="I13267" t="s">
        <v>860</v>
      </c>
      <c r="J13267" t="str">
        <f>"9120359"</f>
        <v>9120359</v>
      </c>
      <c r="K13267">
        <v>2223051848</v>
      </c>
      <c r="L13267">
        <v>2223051848</v>
      </c>
      <c r="M13267" t="s">
        <v>41790</v>
      </c>
      <c r="N13267" t="s">
        <v>40749</v>
      </c>
      <c r="O13267" t="s">
        <v>41791</v>
      </c>
      <c r="P13267">
        <v>34017</v>
      </c>
      <c r="Q13267" t="str">
        <f>"38.408096"</f>
        <v>38.408096</v>
      </c>
      <c r="R13267" t="str">
        <f>"24.130005"</f>
        <v>24.130005</v>
      </c>
      <c r="S13267" t="s">
        <v>26</v>
      </c>
    </row>
    <row r="13268" spans="1:19" x14ac:dyDescent="0.3">
      <c r="A13268" t="s">
        <v>40240</v>
      </c>
      <c r="B13268" t="s">
        <v>41596</v>
      </c>
      <c r="C13268" t="s">
        <v>41792</v>
      </c>
      <c r="D13268" t="s">
        <v>40247</v>
      </c>
      <c r="E13268" t="s">
        <v>40248</v>
      </c>
      <c r="F13268" t="s">
        <v>40248</v>
      </c>
      <c r="G13268" t="s">
        <v>40248</v>
      </c>
      <c r="H13268" t="s">
        <v>859</v>
      </c>
      <c r="I13268" t="s">
        <v>860</v>
      </c>
      <c r="J13268" t="str">
        <f>"9120222"</f>
        <v>9120222</v>
      </c>
      <c r="K13268">
        <v>2221027911</v>
      </c>
      <c r="L13268">
        <v>2221027911</v>
      </c>
      <c r="M13268" t="s">
        <v>41793</v>
      </c>
      <c r="N13268" t="s">
        <v>40519</v>
      </c>
      <c r="O13268" t="s">
        <v>41794</v>
      </c>
      <c r="P13268">
        <v>34100</v>
      </c>
      <c r="Q13268" t="str">
        <f>"38.471871"</f>
        <v>38.471871</v>
      </c>
      <c r="R13268" t="str">
        <f>"23.584165"</f>
        <v>23.584165</v>
      </c>
      <c r="S13268" t="s">
        <v>26</v>
      </c>
    </row>
    <row r="13269" spans="1:19" x14ac:dyDescent="0.3">
      <c r="A13269" t="s">
        <v>40240</v>
      </c>
      <c r="B13269" t="s">
        <v>41596</v>
      </c>
      <c r="C13269" t="s">
        <v>41795</v>
      </c>
      <c r="D13269" t="s">
        <v>40247</v>
      </c>
      <c r="E13269" t="s">
        <v>40539</v>
      </c>
      <c r="F13269" t="s">
        <v>40558</v>
      </c>
      <c r="G13269" t="s">
        <v>40714</v>
      </c>
      <c r="H13269" t="s">
        <v>859</v>
      </c>
      <c r="I13269" t="s">
        <v>860</v>
      </c>
      <c r="J13269" t="str">
        <f>"9120073"</f>
        <v>9120073</v>
      </c>
      <c r="K13269">
        <v>2227041266</v>
      </c>
      <c r="L13269">
        <v>2227041266</v>
      </c>
      <c r="M13269" t="s">
        <v>41796</v>
      </c>
      <c r="N13269" t="s">
        <v>40714</v>
      </c>
      <c r="O13269" t="s">
        <v>40717</v>
      </c>
      <c r="P13269">
        <v>34004</v>
      </c>
      <c r="Q13269" t="str">
        <f>"38.732298"</f>
        <v>38.732298</v>
      </c>
      <c r="R13269" t="str">
        <f>"23.495003"</f>
        <v>23.495003</v>
      </c>
      <c r="S13269" t="s">
        <v>26</v>
      </c>
    </row>
    <row r="13270" spans="1:19" x14ac:dyDescent="0.3">
      <c r="A13270" t="s">
        <v>40240</v>
      </c>
      <c r="B13270" t="s">
        <v>41596</v>
      </c>
      <c r="C13270" t="s">
        <v>41797</v>
      </c>
      <c r="D13270" t="s">
        <v>40247</v>
      </c>
      <c r="E13270" t="s">
        <v>40248</v>
      </c>
      <c r="F13270" t="s">
        <v>40248</v>
      </c>
      <c r="G13270" t="s">
        <v>40248</v>
      </c>
      <c r="H13270" t="s">
        <v>859</v>
      </c>
      <c r="I13270" t="s">
        <v>860</v>
      </c>
      <c r="J13270" t="str">
        <f>"9120422"</f>
        <v>9120422</v>
      </c>
      <c r="K13270">
        <v>2221081738</v>
      </c>
      <c r="L13270">
        <v>2221081738</v>
      </c>
      <c r="M13270" t="s">
        <v>41798</v>
      </c>
      <c r="N13270" t="s">
        <v>40519</v>
      </c>
      <c r="O13270" t="s">
        <v>41799</v>
      </c>
      <c r="P13270">
        <v>34100</v>
      </c>
      <c r="Q13270" t="str">
        <f>"38.410923"</f>
        <v>38.410923</v>
      </c>
      <c r="R13270" t="str">
        <f>"23.549041"</f>
        <v>23.549041</v>
      </c>
      <c r="S13270" t="s">
        <v>26</v>
      </c>
    </row>
    <row r="13271" spans="1:19" x14ac:dyDescent="0.3">
      <c r="A13271" t="s">
        <v>40240</v>
      </c>
      <c r="B13271" t="s">
        <v>41596</v>
      </c>
      <c r="C13271" t="s">
        <v>41808</v>
      </c>
      <c r="D13271" t="s">
        <v>40247</v>
      </c>
      <c r="E13271" t="s">
        <v>40566</v>
      </c>
      <c r="F13271" t="s">
        <v>40582</v>
      </c>
      <c r="G13271" t="s">
        <v>41807</v>
      </c>
      <c r="H13271" t="s">
        <v>859</v>
      </c>
      <c r="I13271" t="s">
        <v>860</v>
      </c>
      <c r="J13271" t="str">
        <f>"9120017"</f>
        <v>9120017</v>
      </c>
      <c r="K13271">
        <v>2226031121</v>
      </c>
      <c r="L13271">
        <v>2226031121</v>
      </c>
      <c r="M13271" t="s">
        <v>41809</v>
      </c>
      <c r="N13271" t="s">
        <v>41810</v>
      </c>
      <c r="O13271" t="s">
        <v>41811</v>
      </c>
      <c r="P13271">
        <v>34300</v>
      </c>
      <c r="Q13271" t="str">
        <f>"38.905235"</f>
        <v>38.905235</v>
      </c>
      <c r="R13271" t="str">
        <f>"23.056504"</f>
        <v>23.056504</v>
      </c>
      <c r="S13271" t="s">
        <v>26</v>
      </c>
    </row>
    <row r="13272" spans="1:19" x14ac:dyDescent="0.3">
      <c r="A13272" t="s">
        <v>40240</v>
      </c>
      <c r="B13272" t="s">
        <v>41596</v>
      </c>
      <c r="C13272" t="s">
        <v>41812</v>
      </c>
      <c r="D13272" t="s">
        <v>40247</v>
      </c>
      <c r="E13272" t="s">
        <v>40526</v>
      </c>
      <c r="F13272" t="s">
        <v>40527</v>
      </c>
      <c r="G13272" t="s">
        <v>41803</v>
      </c>
      <c r="H13272" t="s">
        <v>859</v>
      </c>
      <c r="I13272" t="s">
        <v>860</v>
      </c>
      <c r="J13272" t="str">
        <f>"9120347"</f>
        <v>9120347</v>
      </c>
      <c r="K13272">
        <v>2228032367</v>
      </c>
      <c r="L13272">
        <v>2228032367</v>
      </c>
      <c r="M13272" t="s">
        <v>41813</v>
      </c>
      <c r="N13272" t="s">
        <v>41803</v>
      </c>
      <c r="O13272" t="s">
        <v>41814</v>
      </c>
      <c r="P13272">
        <v>34400</v>
      </c>
      <c r="Q13272" t="str">
        <f>"38.595157"</f>
        <v>38.595157</v>
      </c>
      <c r="R13272" t="str">
        <f>"23.547646"</f>
        <v>23.547646</v>
      </c>
      <c r="S13272" t="s">
        <v>26</v>
      </c>
    </row>
    <row r="13273" spans="1:19" x14ac:dyDescent="0.3">
      <c r="A13273" t="s">
        <v>40240</v>
      </c>
      <c r="B13273" t="s">
        <v>41596</v>
      </c>
      <c r="C13273" t="s">
        <v>41815</v>
      </c>
      <c r="D13273" t="s">
        <v>40247</v>
      </c>
      <c r="E13273" t="s">
        <v>40539</v>
      </c>
      <c r="F13273" t="s">
        <v>40540</v>
      </c>
      <c r="G13273" t="s">
        <v>40541</v>
      </c>
      <c r="H13273" t="s">
        <v>859</v>
      </c>
      <c r="I13273" t="s">
        <v>860</v>
      </c>
      <c r="J13273" t="str">
        <f>"9120302"</f>
        <v>9120302</v>
      </c>
      <c r="K13273">
        <v>2227061722</v>
      </c>
      <c r="L13273">
        <v>2227061722</v>
      </c>
      <c r="M13273" t="s">
        <v>41816</v>
      </c>
      <c r="N13273" t="s">
        <v>40544</v>
      </c>
      <c r="O13273" t="s">
        <v>40544</v>
      </c>
      <c r="P13273">
        <v>34010</v>
      </c>
      <c r="Q13273" t="str">
        <f>"38.859535"</f>
        <v>38.859535</v>
      </c>
      <c r="R13273" t="str">
        <f>"23.399847"</f>
        <v>23.399847</v>
      </c>
      <c r="S13273" t="s">
        <v>26</v>
      </c>
    </row>
    <row r="13274" spans="1:19" x14ac:dyDescent="0.3">
      <c r="A13274" t="s">
        <v>40240</v>
      </c>
      <c r="B13274" t="s">
        <v>41596</v>
      </c>
      <c r="C13274" t="s">
        <v>41821</v>
      </c>
      <c r="D13274" t="s">
        <v>40247</v>
      </c>
      <c r="E13274" t="s">
        <v>40539</v>
      </c>
      <c r="F13274" t="s">
        <v>40558</v>
      </c>
      <c r="G13274" t="s">
        <v>41817</v>
      </c>
      <c r="H13274" t="s">
        <v>859</v>
      </c>
      <c r="I13274" t="s">
        <v>860</v>
      </c>
      <c r="J13274" t="str">
        <f>"9120063"</f>
        <v>9120063</v>
      </c>
      <c r="K13274">
        <v>2227022443</v>
      </c>
      <c r="L13274">
        <v>2227022443</v>
      </c>
      <c r="M13274" t="s">
        <v>41822</v>
      </c>
      <c r="N13274" t="s">
        <v>41817</v>
      </c>
      <c r="O13274" t="s">
        <v>41823</v>
      </c>
      <c r="P13274">
        <v>34004</v>
      </c>
      <c r="Q13274" t="str">
        <f>"38.809137"</f>
        <v>38.809137</v>
      </c>
      <c r="R13274" t="str">
        <f>"23.443770"</f>
        <v>23.443770</v>
      </c>
      <c r="S13274" t="s">
        <v>26</v>
      </c>
    </row>
    <row r="13275" spans="1:19" x14ac:dyDescent="0.3">
      <c r="A13275" t="s">
        <v>40240</v>
      </c>
      <c r="B13275" t="s">
        <v>41596</v>
      </c>
      <c r="C13275" t="s">
        <v>41824</v>
      </c>
      <c r="D13275" t="s">
        <v>40247</v>
      </c>
      <c r="E13275" t="s">
        <v>40526</v>
      </c>
      <c r="F13275" t="s">
        <v>40762</v>
      </c>
      <c r="G13275" t="s">
        <v>40763</v>
      </c>
      <c r="H13275" t="s">
        <v>859</v>
      </c>
      <c r="I13275" t="s">
        <v>860</v>
      </c>
      <c r="J13275" t="str">
        <f>"9120382"</f>
        <v>9120382</v>
      </c>
      <c r="K13275">
        <v>2228051285</v>
      </c>
      <c r="L13275">
        <v>2228051285</v>
      </c>
      <c r="M13275" t="s">
        <v>41825</v>
      </c>
      <c r="N13275" t="s">
        <v>41826</v>
      </c>
      <c r="O13275" t="s">
        <v>41827</v>
      </c>
      <c r="P13275">
        <v>34014</v>
      </c>
      <c r="Q13275" t="str">
        <f>"38.584022"</f>
        <v>38.584022</v>
      </c>
      <c r="R13275" t="str">
        <f>"23.837535"</f>
        <v>23.837535</v>
      </c>
      <c r="S13275" t="s">
        <v>26</v>
      </c>
    </row>
    <row r="13276" spans="1:19" x14ac:dyDescent="0.3">
      <c r="A13276" t="s">
        <v>40240</v>
      </c>
      <c r="B13276" t="s">
        <v>41596</v>
      </c>
      <c r="C13276" t="s">
        <v>41830</v>
      </c>
      <c r="D13276" t="s">
        <v>40247</v>
      </c>
      <c r="E13276" t="s">
        <v>40589</v>
      </c>
      <c r="F13276" t="s">
        <v>40748</v>
      </c>
      <c r="G13276" t="s">
        <v>41683</v>
      </c>
      <c r="H13276" t="s">
        <v>859</v>
      </c>
      <c r="I13276" t="s">
        <v>860</v>
      </c>
      <c r="J13276" t="str">
        <f>"9120324"</f>
        <v>9120324</v>
      </c>
      <c r="K13276">
        <v>2223053023</v>
      </c>
      <c r="L13276">
        <v>2223053023</v>
      </c>
      <c r="M13276" t="s">
        <v>41831</v>
      </c>
      <c r="N13276" t="s">
        <v>41683</v>
      </c>
      <c r="O13276" t="s">
        <v>41686</v>
      </c>
      <c r="P13276">
        <v>34017</v>
      </c>
      <c r="Q13276" t="str">
        <f>"38.298845"</f>
        <v>38.298845</v>
      </c>
      <c r="R13276" t="str">
        <f>"24.191966"</f>
        <v>24.191966</v>
      </c>
      <c r="S13276" t="s">
        <v>26</v>
      </c>
    </row>
    <row r="13277" spans="1:19" x14ac:dyDescent="0.3">
      <c r="A13277" t="s">
        <v>40240</v>
      </c>
      <c r="B13277" t="s">
        <v>41596</v>
      </c>
      <c r="C13277" t="s">
        <v>41842</v>
      </c>
      <c r="D13277" t="s">
        <v>40247</v>
      </c>
      <c r="E13277" t="s">
        <v>40539</v>
      </c>
      <c r="F13277" t="s">
        <v>40558</v>
      </c>
      <c r="G13277" t="s">
        <v>41841</v>
      </c>
      <c r="H13277" t="s">
        <v>859</v>
      </c>
      <c r="I13277" t="s">
        <v>860</v>
      </c>
      <c r="J13277" t="str">
        <f>"9120344"</f>
        <v>9120344</v>
      </c>
      <c r="K13277">
        <v>2227091400</v>
      </c>
      <c r="L13277">
        <v>2227091400</v>
      </c>
      <c r="M13277" t="s">
        <v>41843</v>
      </c>
      <c r="N13277" t="s">
        <v>41841</v>
      </c>
      <c r="O13277" t="s">
        <v>41844</v>
      </c>
      <c r="P13277">
        <v>34004</v>
      </c>
      <c r="Q13277" t="str">
        <f>"38.755853"</f>
        <v>38.755853</v>
      </c>
      <c r="R13277" t="str">
        <f>"23.578413"</f>
        <v>23.578413</v>
      </c>
      <c r="S13277" t="s">
        <v>26</v>
      </c>
    </row>
    <row r="13278" spans="1:19" x14ac:dyDescent="0.3">
      <c r="A13278" t="s">
        <v>40240</v>
      </c>
      <c r="B13278" t="s">
        <v>41596</v>
      </c>
      <c r="C13278" t="s">
        <v>41849</v>
      </c>
      <c r="D13278" t="s">
        <v>40247</v>
      </c>
      <c r="E13278" t="s">
        <v>40248</v>
      </c>
      <c r="F13278" t="s">
        <v>40248</v>
      </c>
      <c r="G13278" t="s">
        <v>40248</v>
      </c>
      <c r="H13278" t="s">
        <v>859</v>
      </c>
      <c r="I13278" t="s">
        <v>1102</v>
      </c>
      <c r="J13278" t="str">
        <f>"9120468"</f>
        <v>9120468</v>
      </c>
      <c r="K13278">
        <v>2221083296</v>
      </c>
      <c r="L13278">
        <v>2221083296</v>
      </c>
      <c r="N13278" t="s">
        <v>40536</v>
      </c>
      <c r="O13278" t="s">
        <v>41850</v>
      </c>
      <c r="P13278">
        <v>34100</v>
      </c>
      <c r="Q13278" t="str">
        <f>""</f>
        <v/>
      </c>
      <c r="R13278" t="str">
        <f>""</f>
        <v/>
      </c>
      <c r="S13278" t="s">
        <v>26</v>
      </c>
    </row>
    <row r="13279" spans="1:19" x14ac:dyDescent="0.3">
      <c r="A13279" t="s">
        <v>40240</v>
      </c>
      <c r="B13279" t="s">
        <v>41596</v>
      </c>
      <c r="C13279" t="s">
        <v>41854</v>
      </c>
      <c r="D13279" t="s">
        <v>40247</v>
      </c>
      <c r="E13279" t="s">
        <v>40539</v>
      </c>
      <c r="F13279" t="s">
        <v>40617</v>
      </c>
      <c r="G13279" t="s">
        <v>40564</v>
      </c>
      <c r="H13279" t="s">
        <v>859</v>
      </c>
      <c r="I13279" t="s">
        <v>860</v>
      </c>
      <c r="J13279" t="str">
        <f>"9120048"</f>
        <v>9120048</v>
      </c>
      <c r="K13279">
        <v>2227032683</v>
      </c>
      <c r="L13279">
        <v>2227032683</v>
      </c>
      <c r="M13279" t="s">
        <v>41855</v>
      </c>
      <c r="N13279" t="s">
        <v>40564</v>
      </c>
      <c r="O13279" t="s">
        <v>40620</v>
      </c>
      <c r="P13279">
        <v>34005</v>
      </c>
      <c r="Q13279" t="str">
        <f>"38.766500"</f>
        <v>38.766500</v>
      </c>
      <c r="R13279" t="str">
        <f>"23.318999"</f>
        <v>23.318999</v>
      </c>
      <c r="S13279" t="s">
        <v>26</v>
      </c>
    </row>
    <row r="13280" spans="1:19" x14ac:dyDescent="0.3">
      <c r="A13280" t="s">
        <v>40240</v>
      </c>
      <c r="B13280" t="s">
        <v>41596</v>
      </c>
      <c r="C13280" t="s">
        <v>41859</v>
      </c>
      <c r="D13280" t="s">
        <v>40247</v>
      </c>
      <c r="E13280" t="s">
        <v>40566</v>
      </c>
      <c r="F13280" t="s">
        <v>41762</v>
      </c>
      <c r="G13280" t="s">
        <v>41762</v>
      </c>
      <c r="H13280" t="s">
        <v>859</v>
      </c>
      <c r="I13280" t="s">
        <v>860</v>
      </c>
      <c r="J13280" t="str">
        <f>"9120333"</f>
        <v>9120333</v>
      </c>
      <c r="K13280">
        <v>2226033466</v>
      </c>
      <c r="L13280">
        <v>2226033466</v>
      </c>
      <c r="M13280" t="s">
        <v>41860</v>
      </c>
      <c r="N13280" t="s">
        <v>41861</v>
      </c>
      <c r="O13280" t="s">
        <v>41862</v>
      </c>
      <c r="P13280">
        <v>34300</v>
      </c>
      <c r="Q13280" t="str">
        <f>"38.839536"</f>
        <v>38.839536</v>
      </c>
      <c r="R13280" t="str">
        <f>"22.885717"</f>
        <v>22.885717</v>
      </c>
      <c r="S13280" t="s">
        <v>26</v>
      </c>
    </row>
    <row r="13281" spans="1:19" x14ac:dyDescent="0.3">
      <c r="A13281" t="s">
        <v>40240</v>
      </c>
      <c r="B13281" t="s">
        <v>41596</v>
      </c>
      <c r="C13281" t="s">
        <v>41870</v>
      </c>
      <c r="D13281" t="s">
        <v>40247</v>
      </c>
      <c r="E13281" t="s">
        <v>40566</v>
      </c>
      <c r="F13281" t="s">
        <v>40567</v>
      </c>
      <c r="G13281" t="s">
        <v>40567</v>
      </c>
      <c r="H13281" t="s">
        <v>859</v>
      </c>
      <c r="I13281" t="s">
        <v>860</v>
      </c>
      <c r="J13281" t="str">
        <f>"9120002"</f>
        <v>9120002</v>
      </c>
      <c r="K13281">
        <v>2226052752</v>
      </c>
      <c r="L13281">
        <v>2226052752</v>
      </c>
      <c r="M13281" t="s">
        <v>41871</v>
      </c>
      <c r="N13281" t="s">
        <v>40567</v>
      </c>
      <c r="O13281" t="s">
        <v>41872</v>
      </c>
      <c r="P13281">
        <v>34200</v>
      </c>
      <c r="Q13281" t="str">
        <f>"38.989137"</f>
        <v>38.989137</v>
      </c>
      <c r="R13281" t="str">
        <f>"23.253078"</f>
        <v>23.253078</v>
      </c>
      <c r="S13281" t="s">
        <v>26</v>
      </c>
    </row>
    <row r="13282" spans="1:19" x14ac:dyDescent="0.3">
      <c r="A13282" t="s">
        <v>40240</v>
      </c>
      <c r="B13282" t="s">
        <v>41596</v>
      </c>
      <c r="C13282" t="s">
        <v>41873</v>
      </c>
      <c r="D13282" t="s">
        <v>40247</v>
      </c>
      <c r="E13282" t="s">
        <v>40526</v>
      </c>
      <c r="F13282" t="s">
        <v>40527</v>
      </c>
      <c r="G13282" t="s">
        <v>40702</v>
      </c>
      <c r="H13282" t="s">
        <v>859</v>
      </c>
      <c r="I13282" t="s">
        <v>860</v>
      </c>
      <c r="J13282" t="str">
        <f>"9120288"</f>
        <v>9120288</v>
      </c>
      <c r="K13282">
        <v>2228071440</v>
      </c>
      <c r="L13282">
        <v>2228071440</v>
      </c>
      <c r="M13282" t="s">
        <v>41874</v>
      </c>
      <c r="N13282" t="s">
        <v>40702</v>
      </c>
      <c r="O13282" t="s">
        <v>40705</v>
      </c>
      <c r="P13282">
        <v>34400</v>
      </c>
      <c r="Q13282" t="str">
        <f>"38.605246"</f>
        <v>38.605246</v>
      </c>
      <c r="R13282" t="str">
        <f>"23.744736"</f>
        <v>23.744736</v>
      </c>
      <c r="S13282" t="s">
        <v>26</v>
      </c>
    </row>
    <row r="13283" spans="1:19" x14ac:dyDescent="0.3">
      <c r="A13283" t="s">
        <v>40240</v>
      </c>
      <c r="B13283" t="s">
        <v>41596</v>
      </c>
      <c r="C13283" t="s">
        <v>41890</v>
      </c>
      <c r="D13283" t="s">
        <v>40247</v>
      </c>
      <c r="E13283" t="s">
        <v>40248</v>
      </c>
      <c r="F13283" t="s">
        <v>40248</v>
      </c>
      <c r="G13283" t="s">
        <v>40248</v>
      </c>
      <c r="H13283" t="s">
        <v>859</v>
      </c>
      <c r="I13283" t="s">
        <v>860</v>
      </c>
      <c r="J13283" t="str">
        <f>"9120228"</f>
        <v>9120228</v>
      </c>
      <c r="K13283">
        <v>2221025720</v>
      </c>
      <c r="L13283">
        <v>2221025720</v>
      </c>
      <c r="M13283" t="s">
        <v>41891</v>
      </c>
      <c r="N13283" t="s">
        <v>40519</v>
      </c>
      <c r="O13283" t="s">
        <v>41892</v>
      </c>
      <c r="P13283">
        <v>34100</v>
      </c>
      <c r="Q13283" t="str">
        <f>"38.460295"</f>
        <v>38.460295</v>
      </c>
      <c r="R13283" t="str">
        <f>"23.594384"</f>
        <v>23.594384</v>
      </c>
      <c r="S13283" t="s">
        <v>26</v>
      </c>
    </row>
    <row r="13284" spans="1:19" x14ac:dyDescent="0.3">
      <c r="A13284" t="s">
        <v>40240</v>
      </c>
      <c r="B13284" t="s">
        <v>41596</v>
      </c>
      <c r="C13284" t="s">
        <v>41893</v>
      </c>
      <c r="D13284" t="s">
        <v>40247</v>
      </c>
      <c r="E13284" t="s">
        <v>40248</v>
      </c>
      <c r="F13284" t="s">
        <v>40248</v>
      </c>
      <c r="G13284" t="s">
        <v>40248</v>
      </c>
      <c r="H13284" t="s">
        <v>859</v>
      </c>
      <c r="I13284" t="s">
        <v>860</v>
      </c>
      <c r="J13284" t="str">
        <f>"9120300"</f>
        <v>9120300</v>
      </c>
      <c r="K13284">
        <v>2221083607</v>
      </c>
      <c r="L13284">
        <v>2221083607</v>
      </c>
      <c r="M13284" t="s">
        <v>41894</v>
      </c>
      <c r="N13284" t="s">
        <v>40519</v>
      </c>
      <c r="O13284" t="s">
        <v>41895</v>
      </c>
      <c r="P13284">
        <v>34100</v>
      </c>
      <c r="Q13284" t="str">
        <f>"38.463702"</f>
        <v>38.463702</v>
      </c>
      <c r="R13284" t="str">
        <f>"23.583489"</f>
        <v>23.583489</v>
      </c>
      <c r="S13284" t="s">
        <v>26</v>
      </c>
    </row>
    <row r="13285" spans="1:19" x14ac:dyDescent="0.3">
      <c r="A13285" t="s">
        <v>40240</v>
      </c>
      <c r="B13285" t="s">
        <v>41596</v>
      </c>
      <c r="C13285" t="s">
        <v>41925</v>
      </c>
      <c r="D13285" t="s">
        <v>40247</v>
      </c>
      <c r="E13285" t="s">
        <v>40248</v>
      </c>
      <c r="F13285" t="s">
        <v>40596</v>
      </c>
      <c r="G13285" t="s">
        <v>41898</v>
      </c>
      <c r="H13285" t="s">
        <v>859</v>
      </c>
      <c r="I13285" t="s">
        <v>860</v>
      </c>
      <c r="J13285" t="str">
        <f>"9120345"</f>
        <v>9120345</v>
      </c>
      <c r="K13285">
        <v>2221032374</v>
      </c>
      <c r="L13285">
        <v>2221032374</v>
      </c>
      <c r="M13285" t="s">
        <v>41926</v>
      </c>
      <c r="N13285" t="s">
        <v>41898</v>
      </c>
      <c r="O13285" t="s">
        <v>41927</v>
      </c>
      <c r="P13285">
        <v>34100</v>
      </c>
      <c r="Q13285" t="str">
        <f>"38.379969"</f>
        <v>38.379969</v>
      </c>
      <c r="R13285" t="str">
        <f>"23.629877"</f>
        <v>23.629877</v>
      </c>
      <c r="S13285" t="s">
        <v>26</v>
      </c>
    </row>
    <row r="13286" spans="1:19" x14ac:dyDescent="0.3">
      <c r="A13286" t="s">
        <v>40240</v>
      </c>
      <c r="B13286" t="s">
        <v>41596</v>
      </c>
      <c r="C13286" t="s">
        <v>41929</v>
      </c>
      <c r="D13286" t="s">
        <v>40247</v>
      </c>
      <c r="E13286" t="s">
        <v>40248</v>
      </c>
      <c r="F13286" t="s">
        <v>40596</v>
      </c>
      <c r="G13286" t="s">
        <v>41928</v>
      </c>
      <c r="H13286" t="s">
        <v>859</v>
      </c>
      <c r="I13286" t="s">
        <v>860</v>
      </c>
      <c r="J13286" t="str">
        <f>"9120346"</f>
        <v>9120346</v>
      </c>
      <c r="K13286">
        <v>2221031074</v>
      </c>
      <c r="L13286">
        <v>2221031074</v>
      </c>
      <c r="M13286" t="s">
        <v>41930</v>
      </c>
      <c r="N13286" t="s">
        <v>41931</v>
      </c>
      <c r="O13286" t="s">
        <v>41932</v>
      </c>
      <c r="P13286">
        <v>34100</v>
      </c>
      <c r="Q13286" t="str">
        <f>"38.400599"</f>
        <v>38.400599</v>
      </c>
      <c r="R13286" t="str">
        <f>"23.622346"</f>
        <v>23.622346</v>
      </c>
      <c r="S13286" t="s">
        <v>26</v>
      </c>
    </row>
    <row r="13287" spans="1:19" x14ac:dyDescent="0.3">
      <c r="A13287" t="s">
        <v>40240</v>
      </c>
      <c r="B13287" t="s">
        <v>41596</v>
      </c>
      <c r="C13287" t="s">
        <v>41933</v>
      </c>
      <c r="D13287" t="s">
        <v>40247</v>
      </c>
      <c r="E13287" t="s">
        <v>40248</v>
      </c>
      <c r="F13287" t="s">
        <v>40596</v>
      </c>
      <c r="G13287" t="s">
        <v>12041</v>
      </c>
      <c r="H13287" t="s">
        <v>859</v>
      </c>
      <c r="I13287" t="s">
        <v>860</v>
      </c>
      <c r="J13287" t="str">
        <f>"9120310"</f>
        <v>9120310</v>
      </c>
      <c r="K13287">
        <v>2221032202</v>
      </c>
      <c r="L13287">
        <v>2221032202</v>
      </c>
      <c r="M13287" t="s">
        <v>41934</v>
      </c>
      <c r="N13287" t="s">
        <v>41935</v>
      </c>
      <c r="O13287" t="s">
        <v>41936</v>
      </c>
      <c r="P13287">
        <v>34100</v>
      </c>
      <c r="Q13287" t="str">
        <f>"38.410923"</f>
        <v>38.410923</v>
      </c>
      <c r="R13287" t="str">
        <f>"23.549041"</f>
        <v>23.549041</v>
      </c>
      <c r="S13287" t="s">
        <v>26</v>
      </c>
    </row>
    <row r="13288" spans="1:19" x14ac:dyDescent="0.3">
      <c r="A13288" t="s">
        <v>40240</v>
      </c>
      <c r="B13288" t="s">
        <v>41596</v>
      </c>
      <c r="C13288" t="s">
        <v>41937</v>
      </c>
      <c r="D13288" t="s">
        <v>40247</v>
      </c>
      <c r="E13288" t="s">
        <v>40248</v>
      </c>
      <c r="F13288" t="s">
        <v>40248</v>
      </c>
      <c r="G13288" t="s">
        <v>40248</v>
      </c>
      <c r="H13288" t="s">
        <v>859</v>
      </c>
      <c r="I13288" t="s">
        <v>860</v>
      </c>
      <c r="J13288" t="str">
        <f>"9120212"</f>
        <v>9120212</v>
      </c>
      <c r="K13288">
        <v>2221086265</v>
      </c>
      <c r="L13288">
        <v>2221086265</v>
      </c>
      <c r="M13288" t="s">
        <v>41938</v>
      </c>
      <c r="N13288" t="s">
        <v>40519</v>
      </c>
      <c r="O13288" t="s">
        <v>41939</v>
      </c>
      <c r="P13288">
        <v>34100</v>
      </c>
      <c r="Q13288" t="str">
        <f>"38.464131"</f>
        <v>38.464131</v>
      </c>
      <c r="R13288" t="str">
        <f>"23.595003"</f>
        <v>23.595003</v>
      </c>
      <c r="S13288" t="s">
        <v>26</v>
      </c>
    </row>
    <row r="13289" spans="1:19" x14ac:dyDescent="0.3">
      <c r="A13289" t="s">
        <v>40240</v>
      </c>
      <c r="B13289" t="s">
        <v>41596</v>
      </c>
      <c r="C13289" t="s">
        <v>41940</v>
      </c>
      <c r="D13289" t="s">
        <v>40247</v>
      </c>
      <c r="E13289" t="s">
        <v>40248</v>
      </c>
      <c r="F13289" t="s">
        <v>40248</v>
      </c>
      <c r="G13289" t="s">
        <v>40248</v>
      </c>
      <c r="H13289" t="s">
        <v>859</v>
      </c>
      <c r="I13289" t="s">
        <v>860</v>
      </c>
      <c r="J13289" t="str">
        <f>"9120226"</f>
        <v>9120226</v>
      </c>
      <c r="K13289">
        <v>2221077222</v>
      </c>
      <c r="L13289">
        <v>2221077222</v>
      </c>
      <c r="M13289" t="s">
        <v>41941</v>
      </c>
      <c r="N13289" t="s">
        <v>40519</v>
      </c>
      <c r="O13289" t="s">
        <v>41942</v>
      </c>
      <c r="P13289">
        <v>34100</v>
      </c>
      <c r="Q13289" t="str">
        <f>"38.459290"</f>
        <v>38.459290</v>
      </c>
      <c r="R13289" t="str">
        <f>"23.598693"</f>
        <v>23.598693</v>
      </c>
      <c r="S13289" t="s">
        <v>26</v>
      </c>
    </row>
    <row r="13290" spans="1:19" x14ac:dyDescent="0.3">
      <c r="A13290" t="s">
        <v>40240</v>
      </c>
      <c r="B13290" t="s">
        <v>41596</v>
      </c>
      <c r="C13290" t="s">
        <v>41943</v>
      </c>
      <c r="D13290" t="s">
        <v>40247</v>
      </c>
      <c r="E13290" t="s">
        <v>40248</v>
      </c>
      <c r="F13290" t="s">
        <v>40248</v>
      </c>
      <c r="G13290" t="s">
        <v>40248</v>
      </c>
      <c r="H13290" t="s">
        <v>859</v>
      </c>
      <c r="I13290" t="s">
        <v>860</v>
      </c>
      <c r="J13290" t="str">
        <f>"9120229"</f>
        <v>9120229</v>
      </c>
      <c r="K13290">
        <v>2221025686</v>
      </c>
      <c r="L13290">
        <v>2221073585</v>
      </c>
      <c r="M13290" t="s">
        <v>41944</v>
      </c>
      <c r="N13290" t="s">
        <v>40519</v>
      </c>
      <c r="O13290" t="s">
        <v>41945</v>
      </c>
      <c r="P13290">
        <v>34133</v>
      </c>
      <c r="Q13290" t="str">
        <f>"38.460941"</f>
        <v>38.460941</v>
      </c>
      <c r="R13290" t="str">
        <f>"23.608983"</f>
        <v>23.608983</v>
      </c>
      <c r="S13290" t="s">
        <v>26</v>
      </c>
    </row>
    <row r="13291" spans="1:19" x14ac:dyDescent="0.3">
      <c r="A13291" t="s">
        <v>40240</v>
      </c>
      <c r="B13291" t="s">
        <v>41596</v>
      </c>
      <c r="C13291" t="s">
        <v>41946</v>
      </c>
      <c r="D13291" t="s">
        <v>40247</v>
      </c>
      <c r="E13291" t="s">
        <v>40248</v>
      </c>
      <c r="F13291" t="s">
        <v>40248</v>
      </c>
      <c r="G13291" t="s">
        <v>40248</v>
      </c>
      <c r="H13291" t="s">
        <v>859</v>
      </c>
      <c r="I13291" t="s">
        <v>860</v>
      </c>
      <c r="J13291" t="str">
        <f>"9120297"</f>
        <v>9120297</v>
      </c>
      <c r="K13291">
        <v>2221075866</v>
      </c>
      <c r="L13291">
        <v>2221075866</v>
      </c>
      <c r="M13291" t="s">
        <v>41947</v>
      </c>
      <c r="N13291" t="s">
        <v>40519</v>
      </c>
      <c r="O13291" t="s">
        <v>41948</v>
      </c>
      <c r="P13291">
        <v>34100</v>
      </c>
      <c r="Q13291" t="str">
        <f>"38.463009"</f>
        <v>38.463009</v>
      </c>
      <c r="R13291" t="str">
        <f>"23.601379"</f>
        <v>23.601379</v>
      </c>
      <c r="S13291" t="s">
        <v>26</v>
      </c>
    </row>
    <row r="13292" spans="1:19" x14ac:dyDescent="0.3">
      <c r="A13292" t="s">
        <v>40240</v>
      </c>
      <c r="B13292" t="s">
        <v>41596</v>
      </c>
      <c r="C13292" t="s">
        <v>41949</v>
      </c>
      <c r="D13292" t="s">
        <v>40247</v>
      </c>
      <c r="E13292" t="s">
        <v>40248</v>
      </c>
      <c r="F13292" t="s">
        <v>40248</v>
      </c>
      <c r="G13292" t="s">
        <v>40248</v>
      </c>
      <c r="H13292" t="s">
        <v>859</v>
      </c>
      <c r="I13292" t="s">
        <v>860</v>
      </c>
      <c r="J13292" t="str">
        <f>"9120328"</f>
        <v>9120328</v>
      </c>
      <c r="K13292">
        <v>2221081013</v>
      </c>
      <c r="L13292">
        <v>2221081013</v>
      </c>
      <c r="M13292" t="s">
        <v>41950</v>
      </c>
      <c r="N13292" t="s">
        <v>40519</v>
      </c>
      <c r="O13292" t="s">
        <v>41951</v>
      </c>
      <c r="P13292">
        <v>34100</v>
      </c>
      <c r="Q13292" t="str">
        <f>"38.456090"</f>
        <v>38.456090</v>
      </c>
      <c r="R13292" t="str">
        <f>"23.596041"</f>
        <v>23.596041</v>
      </c>
      <c r="S13292" t="s">
        <v>26</v>
      </c>
    </row>
    <row r="13293" spans="1:19" x14ac:dyDescent="0.3">
      <c r="A13293" t="s">
        <v>40240</v>
      </c>
      <c r="B13293" t="s">
        <v>41596</v>
      </c>
      <c r="C13293" t="s">
        <v>41952</v>
      </c>
      <c r="D13293" t="s">
        <v>40247</v>
      </c>
      <c r="E13293" t="s">
        <v>40248</v>
      </c>
      <c r="F13293" t="s">
        <v>40248</v>
      </c>
      <c r="G13293" t="s">
        <v>40248</v>
      </c>
      <c r="H13293" t="s">
        <v>859</v>
      </c>
      <c r="I13293" t="s">
        <v>860</v>
      </c>
      <c r="J13293" t="str">
        <f>"9120394"</f>
        <v>9120394</v>
      </c>
      <c r="K13293">
        <v>2221088780</v>
      </c>
      <c r="L13293">
        <v>2221088780</v>
      </c>
      <c r="M13293" t="s">
        <v>41953</v>
      </c>
      <c r="N13293" t="s">
        <v>40519</v>
      </c>
      <c r="O13293" t="s">
        <v>41954</v>
      </c>
      <c r="P13293">
        <v>34100</v>
      </c>
      <c r="Q13293" t="str">
        <f>"38.455861"</f>
        <v>38.455861</v>
      </c>
      <c r="R13293" t="str">
        <f>"23.598325"</f>
        <v>23.598325</v>
      </c>
      <c r="S13293" t="s">
        <v>26</v>
      </c>
    </row>
    <row r="13294" spans="1:19" x14ac:dyDescent="0.3">
      <c r="A13294" t="s">
        <v>40240</v>
      </c>
      <c r="B13294" t="s">
        <v>41596</v>
      </c>
      <c r="C13294" t="s">
        <v>41955</v>
      </c>
      <c r="D13294" t="s">
        <v>40247</v>
      </c>
      <c r="E13294" t="s">
        <v>40248</v>
      </c>
      <c r="F13294" t="s">
        <v>40248</v>
      </c>
      <c r="G13294" t="s">
        <v>40248</v>
      </c>
      <c r="H13294" t="s">
        <v>859</v>
      </c>
      <c r="I13294" t="s">
        <v>860</v>
      </c>
      <c r="J13294" t="str">
        <f>"9120777"</f>
        <v>9120777</v>
      </c>
      <c r="K13294">
        <v>2221082095</v>
      </c>
      <c r="L13294">
        <v>2221082095</v>
      </c>
      <c r="M13294" t="s">
        <v>41956</v>
      </c>
      <c r="N13294" t="s">
        <v>40519</v>
      </c>
      <c r="O13294" t="s">
        <v>41957</v>
      </c>
      <c r="P13294">
        <v>34100</v>
      </c>
      <c r="Q13294" t="str">
        <f>"38.469143"</f>
        <v>38.469143</v>
      </c>
      <c r="R13294" t="str">
        <f>"23.580541"</f>
        <v>23.580541</v>
      </c>
      <c r="S13294" t="s">
        <v>26</v>
      </c>
    </row>
    <row r="13295" spans="1:19" x14ac:dyDescent="0.3">
      <c r="A13295" t="s">
        <v>40240</v>
      </c>
      <c r="B13295" t="s">
        <v>41596</v>
      </c>
      <c r="C13295" t="s">
        <v>41958</v>
      </c>
      <c r="D13295" t="s">
        <v>40247</v>
      </c>
      <c r="E13295" t="s">
        <v>40566</v>
      </c>
      <c r="F13295" t="s">
        <v>40567</v>
      </c>
      <c r="G13295" t="s">
        <v>40567</v>
      </c>
      <c r="H13295" t="s">
        <v>859</v>
      </c>
      <c r="I13295" t="s">
        <v>860</v>
      </c>
      <c r="J13295" t="str">
        <f>"9120319"</f>
        <v>9120319</v>
      </c>
      <c r="K13295">
        <v>2226055848</v>
      </c>
      <c r="L13295">
        <v>2226055848</v>
      </c>
      <c r="M13295" t="s">
        <v>41959</v>
      </c>
      <c r="N13295" t="s">
        <v>40567</v>
      </c>
      <c r="O13295" t="s">
        <v>41960</v>
      </c>
      <c r="P13295">
        <v>34200</v>
      </c>
      <c r="Q13295" t="str">
        <f>"38.953033"</f>
        <v>38.953033</v>
      </c>
      <c r="R13295" t="str">
        <f>"23.156565"</f>
        <v>23.156565</v>
      </c>
      <c r="S13295" t="s">
        <v>26</v>
      </c>
    </row>
    <row r="13296" spans="1:19" x14ac:dyDescent="0.3">
      <c r="A13296" t="s">
        <v>40240</v>
      </c>
      <c r="B13296" t="s">
        <v>41596</v>
      </c>
      <c r="C13296" t="s">
        <v>41961</v>
      </c>
      <c r="D13296" t="s">
        <v>40247</v>
      </c>
      <c r="E13296" t="s">
        <v>40589</v>
      </c>
      <c r="F13296" t="s">
        <v>3213</v>
      </c>
      <c r="G13296" t="s">
        <v>3213</v>
      </c>
      <c r="H13296" t="s">
        <v>859</v>
      </c>
      <c r="I13296" t="s">
        <v>860</v>
      </c>
      <c r="J13296" t="str">
        <f>"9120126"</f>
        <v>9120126</v>
      </c>
      <c r="K13296">
        <v>2222022013</v>
      </c>
      <c r="L13296">
        <v>2222022476</v>
      </c>
      <c r="M13296" t="s">
        <v>41962</v>
      </c>
      <c r="N13296" t="s">
        <v>3213</v>
      </c>
      <c r="O13296" t="s">
        <v>2648</v>
      </c>
      <c r="P13296">
        <v>34003</v>
      </c>
      <c r="Q13296" t="str">
        <f>"38.636229"</f>
        <v>38.636229</v>
      </c>
      <c r="R13296" t="str">
        <f>"24.100152"</f>
        <v>24.100152</v>
      </c>
      <c r="S13296" t="s">
        <v>26</v>
      </c>
    </row>
    <row r="13297" spans="1:19" x14ac:dyDescent="0.3">
      <c r="A13297" t="s">
        <v>40240</v>
      </c>
      <c r="B13297" t="s">
        <v>41596</v>
      </c>
      <c r="C13297" t="s">
        <v>41964</v>
      </c>
      <c r="D13297" t="s">
        <v>40247</v>
      </c>
      <c r="E13297" t="s">
        <v>40526</v>
      </c>
      <c r="F13297" t="s">
        <v>40762</v>
      </c>
      <c r="G13297" t="s">
        <v>41963</v>
      </c>
      <c r="H13297" t="s">
        <v>859</v>
      </c>
      <c r="I13297" t="s">
        <v>860</v>
      </c>
      <c r="J13297" t="str">
        <f>"9120388"</f>
        <v>9120388</v>
      </c>
      <c r="K13297">
        <v>2228071924</v>
      </c>
      <c r="L13297">
        <v>2228071924</v>
      </c>
      <c r="M13297" t="s">
        <v>41965</v>
      </c>
      <c r="N13297" t="s">
        <v>41966</v>
      </c>
      <c r="O13297" t="s">
        <v>41966</v>
      </c>
      <c r="P13297">
        <v>34014</v>
      </c>
      <c r="Q13297" t="str">
        <f>"38.590998"</f>
        <v>38.590998</v>
      </c>
      <c r="R13297" t="str">
        <f>"23.767153"</f>
        <v>23.767153</v>
      </c>
      <c r="S13297" t="s">
        <v>26</v>
      </c>
    </row>
    <row r="13298" spans="1:19" x14ac:dyDescent="0.3">
      <c r="A13298" t="s">
        <v>40240</v>
      </c>
      <c r="B13298" t="s">
        <v>41596</v>
      </c>
      <c r="C13298" t="s">
        <v>41967</v>
      </c>
      <c r="D13298" t="s">
        <v>40247</v>
      </c>
      <c r="E13298" t="s">
        <v>40526</v>
      </c>
      <c r="F13298" t="s">
        <v>40762</v>
      </c>
      <c r="G13298" t="s">
        <v>41875</v>
      </c>
      <c r="H13298" t="s">
        <v>859</v>
      </c>
      <c r="I13298" t="s">
        <v>860</v>
      </c>
      <c r="J13298" t="str">
        <f>"9120378"</f>
        <v>9120378</v>
      </c>
      <c r="K13298">
        <v>2221041540</v>
      </c>
      <c r="L13298">
        <v>2221041540</v>
      </c>
      <c r="M13298" t="s">
        <v>41968</v>
      </c>
      <c r="N13298" t="s">
        <v>41878</v>
      </c>
      <c r="O13298" t="s">
        <v>41878</v>
      </c>
      <c r="P13298">
        <v>34014</v>
      </c>
      <c r="Q13298" t="str">
        <f>"38.526942"</f>
        <v>38.526942</v>
      </c>
      <c r="R13298" t="str">
        <f>"23.721715"</f>
        <v>23.721715</v>
      </c>
      <c r="S13298" t="s">
        <v>26</v>
      </c>
    </row>
    <row r="13299" spans="1:19" x14ac:dyDescent="0.3">
      <c r="A13299" t="s">
        <v>40240</v>
      </c>
      <c r="B13299" t="s">
        <v>41596</v>
      </c>
      <c r="C13299" t="s">
        <v>41969</v>
      </c>
      <c r="D13299" t="s">
        <v>40247</v>
      </c>
      <c r="E13299" t="s">
        <v>40526</v>
      </c>
      <c r="F13299" t="s">
        <v>40762</v>
      </c>
      <c r="G13299" t="s">
        <v>41851</v>
      </c>
      <c r="H13299" t="s">
        <v>859</v>
      </c>
      <c r="I13299" t="s">
        <v>860</v>
      </c>
      <c r="J13299" t="str">
        <f>"9120342"</f>
        <v>9120342</v>
      </c>
      <c r="K13299">
        <v>2228025035</v>
      </c>
      <c r="L13299">
        <v>2228025035</v>
      </c>
      <c r="M13299" t="s">
        <v>41970</v>
      </c>
      <c r="N13299" t="s">
        <v>41851</v>
      </c>
      <c r="O13299" t="s">
        <v>41853</v>
      </c>
      <c r="P13299">
        <v>34014</v>
      </c>
      <c r="Q13299" t="str">
        <f>""</f>
        <v/>
      </c>
      <c r="R13299" t="str">
        <f>""</f>
        <v/>
      </c>
      <c r="S13299" t="s">
        <v>26</v>
      </c>
    </row>
    <row r="13300" spans="1:19" x14ac:dyDescent="0.3">
      <c r="A13300" t="s">
        <v>40240</v>
      </c>
      <c r="B13300" t="s">
        <v>41596</v>
      </c>
      <c r="C13300" t="s">
        <v>41974</v>
      </c>
      <c r="D13300" t="s">
        <v>40247</v>
      </c>
      <c r="E13300" t="s">
        <v>40526</v>
      </c>
      <c r="F13300" t="s">
        <v>40527</v>
      </c>
      <c r="G13300" t="s">
        <v>41665</v>
      </c>
      <c r="H13300" t="s">
        <v>859</v>
      </c>
      <c r="I13300" t="s">
        <v>860</v>
      </c>
      <c r="J13300" t="str">
        <f>"9120286"</f>
        <v>9120286</v>
      </c>
      <c r="K13300">
        <v>2228096455</v>
      </c>
      <c r="M13300" t="s">
        <v>41975</v>
      </c>
      <c r="N13300" t="s">
        <v>41976</v>
      </c>
      <c r="O13300" t="s">
        <v>41668</v>
      </c>
      <c r="P13300">
        <v>34400</v>
      </c>
      <c r="Q13300" t="str">
        <f>"38.581464"</f>
        <v>38.581464</v>
      </c>
      <c r="R13300" t="str">
        <f>"23.712984"</f>
        <v>23.712984</v>
      </c>
      <c r="S13300" t="s">
        <v>26</v>
      </c>
    </row>
    <row r="13301" spans="1:19" x14ac:dyDescent="0.3">
      <c r="A13301" t="s">
        <v>40240</v>
      </c>
      <c r="B13301" t="s">
        <v>41596</v>
      </c>
      <c r="C13301" t="s">
        <v>41980</v>
      </c>
      <c r="D13301" t="s">
        <v>40247</v>
      </c>
      <c r="E13301" t="s">
        <v>40248</v>
      </c>
      <c r="F13301" t="s">
        <v>40248</v>
      </c>
      <c r="G13301" t="s">
        <v>40248</v>
      </c>
      <c r="H13301" t="s">
        <v>859</v>
      </c>
      <c r="I13301" t="s">
        <v>860</v>
      </c>
      <c r="J13301" t="str">
        <f>"9120408"</f>
        <v>9120408</v>
      </c>
      <c r="K13301">
        <v>2221090805</v>
      </c>
      <c r="L13301">
        <v>2221090805</v>
      </c>
      <c r="M13301" t="s">
        <v>41981</v>
      </c>
      <c r="N13301" t="s">
        <v>40519</v>
      </c>
      <c r="O13301" t="s">
        <v>3005</v>
      </c>
      <c r="P13301">
        <v>34100</v>
      </c>
      <c r="Q13301" t="str">
        <f>"38.465520"</f>
        <v>38.465520</v>
      </c>
      <c r="R13301" t="str">
        <f>"23.654843"</f>
        <v>23.654843</v>
      </c>
      <c r="S13301" t="s">
        <v>26</v>
      </c>
    </row>
    <row r="13302" spans="1:19" x14ac:dyDescent="0.3">
      <c r="A13302" t="s">
        <v>40240</v>
      </c>
      <c r="B13302" t="s">
        <v>41596</v>
      </c>
      <c r="C13302" t="s">
        <v>41982</v>
      </c>
      <c r="D13302" t="s">
        <v>40247</v>
      </c>
      <c r="E13302" t="s">
        <v>40248</v>
      </c>
      <c r="F13302" t="s">
        <v>40248</v>
      </c>
      <c r="G13302" t="s">
        <v>40248</v>
      </c>
      <c r="H13302" t="s">
        <v>859</v>
      </c>
      <c r="I13302" t="s">
        <v>860</v>
      </c>
      <c r="J13302" t="str">
        <f>"9120429"</f>
        <v>9120429</v>
      </c>
      <c r="K13302">
        <v>2221092660</v>
      </c>
      <c r="L13302">
        <v>2221092660</v>
      </c>
      <c r="M13302" t="s">
        <v>41983</v>
      </c>
      <c r="N13302" t="s">
        <v>40536</v>
      </c>
      <c r="O13302" t="s">
        <v>41984</v>
      </c>
      <c r="P13302">
        <v>34100</v>
      </c>
      <c r="Q13302" t="str">
        <f>"38.410923"</f>
        <v>38.410923</v>
      </c>
      <c r="R13302" t="str">
        <f>"23.549041"</f>
        <v>23.549041</v>
      </c>
      <c r="S13302" t="s">
        <v>26</v>
      </c>
    </row>
    <row r="13303" spans="1:19" x14ac:dyDescent="0.3">
      <c r="A13303" t="s">
        <v>40240</v>
      </c>
      <c r="B13303" t="s">
        <v>41596</v>
      </c>
      <c r="C13303" t="s">
        <v>41985</v>
      </c>
      <c r="D13303" t="s">
        <v>40247</v>
      </c>
      <c r="E13303" t="s">
        <v>40248</v>
      </c>
      <c r="F13303" t="s">
        <v>40248</v>
      </c>
      <c r="G13303" t="s">
        <v>40248</v>
      </c>
      <c r="H13303" t="s">
        <v>859</v>
      </c>
      <c r="I13303" t="s">
        <v>860</v>
      </c>
      <c r="J13303" t="str">
        <f>"9120436"</f>
        <v>9120436</v>
      </c>
      <c r="K13303">
        <v>2221041991</v>
      </c>
      <c r="L13303">
        <v>2221041991</v>
      </c>
      <c r="M13303" t="s">
        <v>41986</v>
      </c>
      <c r="N13303" t="s">
        <v>40519</v>
      </c>
      <c r="O13303" t="s">
        <v>41987</v>
      </c>
      <c r="P13303">
        <v>34100</v>
      </c>
      <c r="Q13303" t="str">
        <f>"38.497422"</f>
        <v>38.497422</v>
      </c>
      <c r="R13303" t="str">
        <f>"23.639528"</f>
        <v>23.639528</v>
      </c>
      <c r="S13303" t="s">
        <v>26</v>
      </c>
    </row>
    <row r="13304" spans="1:19" x14ac:dyDescent="0.3">
      <c r="A13304" t="s">
        <v>40240</v>
      </c>
      <c r="B13304" t="s">
        <v>41596</v>
      </c>
      <c r="C13304" t="s">
        <v>41988</v>
      </c>
      <c r="D13304" t="s">
        <v>40247</v>
      </c>
      <c r="E13304" t="s">
        <v>40248</v>
      </c>
      <c r="F13304" t="s">
        <v>40248</v>
      </c>
      <c r="G13304" t="s">
        <v>40248</v>
      </c>
      <c r="H13304" t="s">
        <v>859</v>
      </c>
      <c r="I13304" t="s">
        <v>860</v>
      </c>
      <c r="J13304" t="str">
        <f>"9120437"</f>
        <v>9120437</v>
      </c>
      <c r="K13304">
        <v>2221085688</v>
      </c>
      <c r="L13304">
        <v>2221085688</v>
      </c>
      <c r="M13304" t="s">
        <v>41989</v>
      </c>
      <c r="N13304" t="s">
        <v>40519</v>
      </c>
      <c r="O13304" t="s">
        <v>41990</v>
      </c>
      <c r="P13304">
        <v>34100</v>
      </c>
      <c r="Q13304" t="str">
        <f>"38.465002"</f>
        <v>38.465002</v>
      </c>
      <c r="R13304" t="str">
        <f>"23.605546"</f>
        <v>23.605546</v>
      </c>
      <c r="S13304" t="s">
        <v>26</v>
      </c>
    </row>
    <row r="13305" spans="1:19" x14ac:dyDescent="0.3">
      <c r="A13305" t="s">
        <v>40240</v>
      </c>
      <c r="B13305" t="s">
        <v>41596</v>
      </c>
      <c r="C13305" t="s">
        <v>41991</v>
      </c>
      <c r="D13305" t="s">
        <v>40247</v>
      </c>
      <c r="E13305" t="s">
        <v>40248</v>
      </c>
      <c r="F13305" t="s">
        <v>40248</v>
      </c>
      <c r="G13305" t="s">
        <v>40248</v>
      </c>
      <c r="H13305" t="s">
        <v>859</v>
      </c>
      <c r="I13305" t="s">
        <v>860</v>
      </c>
      <c r="J13305" t="str">
        <f>"9120451"</f>
        <v>9120451</v>
      </c>
      <c r="K13305">
        <v>2221085685</v>
      </c>
      <c r="L13305">
        <v>2221085685</v>
      </c>
      <c r="M13305" t="s">
        <v>41992</v>
      </c>
      <c r="N13305" t="s">
        <v>40519</v>
      </c>
      <c r="O13305" t="s">
        <v>41993</v>
      </c>
      <c r="P13305">
        <v>34100</v>
      </c>
      <c r="Q13305" t="str">
        <f>"38.467429"</f>
        <v>38.467429</v>
      </c>
      <c r="R13305" t="str">
        <f>"23.618994"</f>
        <v>23.618994</v>
      </c>
      <c r="S13305" t="s">
        <v>26</v>
      </c>
    </row>
    <row r="13306" spans="1:19" x14ac:dyDescent="0.3">
      <c r="A13306" t="s">
        <v>40240</v>
      </c>
      <c r="B13306" t="s">
        <v>41596</v>
      </c>
      <c r="C13306" t="s">
        <v>41994</v>
      </c>
      <c r="D13306" t="s">
        <v>40247</v>
      </c>
      <c r="E13306" t="s">
        <v>40248</v>
      </c>
      <c r="F13306" t="s">
        <v>40248</v>
      </c>
      <c r="G13306" t="s">
        <v>40248</v>
      </c>
      <c r="H13306" t="s">
        <v>859</v>
      </c>
      <c r="I13306" t="s">
        <v>860</v>
      </c>
      <c r="J13306" t="str">
        <f>"9520918"</f>
        <v>9520918</v>
      </c>
      <c r="K13306">
        <v>2221020403</v>
      </c>
      <c r="L13306">
        <v>2221020403</v>
      </c>
      <c r="M13306" t="s">
        <v>41995</v>
      </c>
      <c r="N13306" t="s">
        <v>40536</v>
      </c>
      <c r="O13306" t="s">
        <v>41996</v>
      </c>
      <c r="P13306">
        <v>34100</v>
      </c>
      <c r="Q13306" t="str">
        <f>"38.465648"</f>
        <v>38.465648</v>
      </c>
      <c r="R13306" t="str">
        <f>"23.608915"</f>
        <v>23.608915</v>
      </c>
      <c r="S13306" t="s">
        <v>26</v>
      </c>
    </row>
    <row r="13307" spans="1:19" x14ac:dyDescent="0.3">
      <c r="A13307" t="s">
        <v>40240</v>
      </c>
      <c r="B13307" t="s">
        <v>41596</v>
      </c>
      <c r="C13307" t="s">
        <v>41997</v>
      </c>
      <c r="D13307" t="s">
        <v>40247</v>
      </c>
      <c r="E13307" t="s">
        <v>22629</v>
      </c>
      <c r="F13307" t="s">
        <v>40610</v>
      </c>
      <c r="G13307" t="s">
        <v>40611</v>
      </c>
      <c r="H13307" t="s">
        <v>859</v>
      </c>
      <c r="I13307" t="s">
        <v>860</v>
      </c>
      <c r="J13307" t="str">
        <f>"9120414"</f>
        <v>9120414</v>
      </c>
      <c r="K13307">
        <v>2229037735</v>
      </c>
      <c r="L13307">
        <v>2229037735</v>
      </c>
      <c r="M13307" t="s">
        <v>41998</v>
      </c>
      <c r="N13307" t="s">
        <v>41884</v>
      </c>
      <c r="O13307" t="s">
        <v>41999</v>
      </c>
      <c r="P13307">
        <v>34006</v>
      </c>
      <c r="Q13307" t="str">
        <f>"38.390474"</f>
        <v>38.390474</v>
      </c>
      <c r="R13307" t="str">
        <f>"23.886725"</f>
        <v>23.886725</v>
      </c>
      <c r="S13307" t="s">
        <v>26</v>
      </c>
    </row>
    <row r="13308" spans="1:19" x14ac:dyDescent="0.3">
      <c r="A13308" t="s">
        <v>40240</v>
      </c>
      <c r="B13308" t="s">
        <v>41596</v>
      </c>
      <c r="C13308" t="s">
        <v>42000</v>
      </c>
      <c r="D13308" t="s">
        <v>40247</v>
      </c>
      <c r="E13308" t="s">
        <v>40248</v>
      </c>
      <c r="F13308" t="s">
        <v>40514</v>
      </c>
      <c r="G13308" t="s">
        <v>41645</v>
      </c>
      <c r="H13308" t="s">
        <v>859</v>
      </c>
      <c r="I13308" t="s">
        <v>860</v>
      </c>
      <c r="J13308" t="str">
        <f>"9120325"</f>
        <v>9120325</v>
      </c>
      <c r="K13308">
        <v>2221054144</v>
      </c>
      <c r="M13308" t="s">
        <v>42001</v>
      </c>
      <c r="N13308" t="s">
        <v>41645</v>
      </c>
      <c r="O13308" t="s">
        <v>41648</v>
      </c>
      <c r="P13308">
        <v>34100</v>
      </c>
      <c r="Q13308" t="str">
        <f>"38.450886"</f>
        <v>38.450886</v>
      </c>
      <c r="R13308" t="str">
        <f>"23.684231"</f>
        <v>23.684231</v>
      </c>
      <c r="S13308" t="s">
        <v>26</v>
      </c>
    </row>
    <row r="13309" spans="1:19" x14ac:dyDescent="0.3">
      <c r="A13309" t="s">
        <v>40240</v>
      </c>
      <c r="B13309" t="s">
        <v>41596</v>
      </c>
      <c r="C13309" t="s">
        <v>42002</v>
      </c>
      <c r="D13309" t="s">
        <v>40247</v>
      </c>
      <c r="E13309" t="s">
        <v>40248</v>
      </c>
      <c r="F13309" t="s">
        <v>40514</v>
      </c>
      <c r="G13309" t="s">
        <v>16068</v>
      </c>
      <c r="H13309" t="s">
        <v>859</v>
      </c>
      <c r="I13309" t="s">
        <v>860</v>
      </c>
      <c r="J13309" t="str">
        <f>"9120243"</f>
        <v>9120243</v>
      </c>
      <c r="K13309">
        <v>2221052875</v>
      </c>
      <c r="L13309">
        <v>2221052875</v>
      </c>
      <c r="M13309" t="s">
        <v>42003</v>
      </c>
      <c r="N13309" t="s">
        <v>16068</v>
      </c>
      <c r="O13309" t="s">
        <v>42004</v>
      </c>
      <c r="P13309">
        <v>34002</v>
      </c>
      <c r="Q13309" t="str">
        <f>"38.429151"</f>
        <v>38.429151</v>
      </c>
      <c r="R13309" t="str">
        <f>"23.667325"</f>
        <v>23.667325</v>
      </c>
      <c r="S13309" t="s">
        <v>26</v>
      </c>
    </row>
    <row r="13310" spans="1:19" x14ac:dyDescent="0.3">
      <c r="A13310" t="s">
        <v>40240</v>
      </c>
      <c r="B13310" t="s">
        <v>41596</v>
      </c>
      <c r="C13310" t="s">
        <v>42005</v>
      </c>
      <c r="D13310" t="s">
        <v>40247</v>
      </c>
      <c r="E13310" t="s">
        <v>40248</v>
      </c>
      <c r="F13310" t="s">
        <v>40514</v>
      </c>
      <c r="G13310" t="s">
        <v>16068</v>
      </c>
      <c r="H13310" t="s">
        <v>859</v>
      </c>
      <c r="I13310" t="s">
        <v>860</v>
      </c>
      <c r="J13310" t="str">
        <f>"9120381"</f>
        <v>9120381</v>
      </c>
      <c r="K13310">
        <v>2221053303</v>
      </c>
      <c r="L13310">
        <v>2221053303</v>
      </c>
      <c r="M13310" t="s">
        <v>42006</v>
      </c>
      <c r="N13310" t="s">
        <v>16068</v>
      </c>
      <c r="O13310" t="s">
        <v>592</v>
      </c>
      <c r="P13310">
        <v>34002</v>
      </c>
      <c r="Q13310" t="str">
        <f>"38.424003"</f>
        <v>38.424003</v>
      </c>
      <c r="R13310" t="str">
        <f>"23.697829"</f>
        <v>23.697829</v>
      </c>
      <c r="S13310" t="s">
        <v>26</v>
      </c>
    </row>
    <row r="13311" spans="1:19" x14ac:dyDescent="0.3">
      <c r="A13311" t="s">
        <v>40240</v>
      </c>
      <c r="B13311" t="s">
        <v>41596</v>
      </c>
      <c r="C13311" t="s">
        <v>42007</v>
      </c>
      <c r="D13311" t="s">
        <v>40247</v>
      </c>
      <c r="E13311" t="s">
        <v>40248</v>
      </c>
      <c r="F13311" t="s">
        <v>40514</v>
      </c>
      <c r="G13311" t="s">
        <v>16068</v>
      </c>
      <c r="H13311" t="s">
        <v>859</v>
      </c>
      <c r="I13311" t="s">
        <v>860</v>
      </c>
      <c r="J13311" t="str">
        <f>"9120452"</f>
        <v>9120452</v>
      </c>
      <c r="K13311">
        <v>2221055114</v>
      </c>
      <c r="L13311">
        <v>2221055114</v>
      </c>
      <c r="M13311" t="s">
        <v>42008</v>
      </c>
      <c r="N13311" t="s">
        <v>16068</v>
      </c>
      <c r="O13311" t="s">
        <v>42009</v>
      </c>
      <c r="P13311">
        <v>34002</v>
      </c>
      <c r="Q13311" t="str">
        <f>"38.421681"</f>
        <v>38.421681</v>
      </c>
      <c r="R13311" t="str">
        <f>"23.676793"</f>
        <v>23.676793</v>
      </c>
      <c r="S13311" t="s">
        <v>26</v>
      </c>
    </row>
    <row r="13312" spans="1:19" x14ac:dyDescent="0.3">
      <c r="A13312" t="s">
        <v>40240</v>
      </c>
      <c r="B13312" t="s">
        <v>41596</v>
      </c>
      <c r="C13312" t="s">
        <v>42010</v>
      </c>
      <c r="D13312" t="s">
        <v>40247</v>
      </c>
      <c r="E13312" t="s">
        <v>40248</v>
      </c>
      <c r="F13312" t="s">
        <v>40514</v>
      </c>
      <c r="G13312" t="s">
        <v>16068</v>
      </c>
      <c r="H13312" t="s">
        <v>859</v>
      </c>
      <c r="I13312" t="s">
        <v>860</v>
      </c>
      <c r="J13312" t="str">
        <f>"9120475"</f>
        <v>9120475</v>
      </c>
      <c r="K13312">
        <v>2221050780</v>
      </c>
      <c r="L13312">
        <v>2221050780</v>
      </c>
      <c r="M13312" t="s">
        <v>42011</v>
      </c>
      <c r="N13312" t="s">
        <v>16068</v>
      </c>
      <c r="O13312" t="s">
        <v>42012</v>
      </c>
      <c r="P13312">
        <v>34002</v>
      </c>
      <c r="Q13312" t="str">
        <f>"38.425935"</f>
        <v>38.425935</v>
      </c>
      <c r="R13312" t="str">
        <f>"23.675935"</f>
        <v>23.675935</v>
      </c>
      <c r="S13312" t="s">
        <v>26</v>
      </c>
    </row>
    <row r="13313" spans="1:19" x14ac:dyDescent="0.3">
      <c r="A13313" t="s">
        <v>40240</v>
      </c>
      <c r="B13313" t="s">
        <v>41596</v>
      </c>
      <c r="C13313" t="s">
        <v>42013</v>
      </c>
      <c r="D13313" t="s">
        <v>40247</v>
      </c>
      <c r="E13313" t="s">
        <v>40248</v>
      </c>
      <c r="F13313" t="s">
        <v>40809</v>
      </c>
      <c r="G13313" t="s">
        <v>2808</v>
      </c>
      <c r="H13313" t="s">
        <v>859</v>
      </c>
      <c r="I13313" t="s">
        <v>860</v>
      </c>
      <c r="J13313" t="str">
        <f>"9120312"</f>
        <v>9120312</v>
      </c>
      <c r="K13313">
        <v>2221098756</v>
      </c>
      <c r="L13313">
        <v>2221098756</v>
      </c>
      <c r="M13313" t="s">
        <v>42014</v>
      </c>
      <c r="N13313" t="s">
        <v>2808</v>
      </c>
      <c r="O13313" t="s">
        <v>28234</v>
      </c>
      <c r="P13313">
        <v>34100</v>
      </c>
      <c r="Q13313" t="str">
        <f>"38.482270"</f>
        <v>38.482270</v>
      </c>
      <c r="R13313" t="str">
        <f>"23.552301"</f>
        <v>23.552301</v>
      </c>
      <c r="S13313" t="s">
        <v>26</v>
      </c>
    </row>
    <row r="13314" spans="1:19" x14ac:dyDescent="0.3">
      <c r="A13314" t="s">
        <v>40240</v>
      </c>
      <c r="B13314" t="s">
        <v>41596</v>
      </c>
      <c r="C13314" t="s">
        <v>42015</v>
      </c>
      <c r="D13314" t="s">
        <v>40247</v>
      </c>
      <c r="E13314" t="s">
        <v>22629</v>
      </c>
      <c r="F13314" t="s">
        <v>40610</v>
      </c>
      <c r="G13314" t="s">
        <v>40611</v>
      </c>
      <c r="H13314" t="s">
        <v>859</v>
      </c>
      <c r="I13314" t="s">
        <v>860</v>
      </c>
      <c r="J13314" t="str">
        <f>"9120200"</f>
        <v>9120200</v>
      </c>
      <c r="K13314">
        <v>2229037328</v>
      </c>
      <c r="L13314">
        <v>2229067124</v>
      </c>
      <c r="M13314" t="s">
        <v>42016</v>
      </c>
      <c r="N13314" t="s">
        <v>40611</v>
      </c>
      <c r="O13314" t="s">
        <v>42017</v>
      </c>
      <c r="P13314">
        <v>34006</v>
      </c>
      <c r="Q13314" t="str">
        <f>"38.395230"</f>
        <v>38.395230</v>
      </c>
      <c r="R13314" t="str">
        <f>"23.887034"</f>
        <v>23.887034</v>
      </c>
      <c r="S13314" t="s">
        <v>26</v>
      </c>
    </row>
    <row r="13315" spans="1:19" x14ac:dyDescent="0.3">
      <c r="A13315" t="s">
        <v>40240</v>
      </c>
      <c r="B13315" t="s">
        <v>41596</v>
      </c>
      <c r="C13315" t="s">
        <v>42018</v>
      </c>
      <c r="D13315" t="s">
        <v>40247</v>
      </c>
      <c r="E13315" t="s">
        <v>40566</v>
      </c>
      <c r="F13315" t="s">
        <v>40682</v>
      </c>
      <c r="G13315" t="s">
        <v>41698</v>
      </c>
      <c r="H13315" t="s">
        <v>859</v>
      </c>
      <c r="I13315" t="s">
        <v>860</v>
      </c>
      <c r="J13315" t="str">
        <f>"9120055"</f>
        <v>9120055</v>
      </c>
      <c r="K13315">
        <v>2226041171</v>
      </c>
      <c r="L13315">
        <v>2226041171</v>
      </c>
      <c r="M13315" t="s">
        <v>42019</v>
      </c>
      <c r="N13315" t="s">
        <v>42020</v>
      </c>
      <c r="O13315" t="s">
        <v>42021</v>
      </c>
      <c r="P13315">
        <v>34200</v>
      </c>
      <c r="Q13315" t="str">
        <f>"39.002211"</f>
        <v>39.002211</v>
      </c>
      <c r="R13315" t="str">
        <f>"23.198490"</f>
        <v>23.198490</v>
      </c>
      <c r="S13315" t="s">
        <v>26</v>
      </c>
    </row>
    <row r="13316" spans="1:19" x14ac:dyDescent="0.3">
      <c r="A13316" t="s">
        <v>40240</v>
      </c>
      <c r="B13316" t="s">
        <v>41596</v>
      </c>
      <c r="C13316" t="s">
        <v>42025</v>
      </c>
      <c r="D13316" t="s">
        <v>40247</v>
      </c>
      <c r="E13316" t="s">
        <v>40248</v>
      </c>
      <c r="F13316" t="s">
        <v>40249</v>
      </c>
      <c r="G13316" t="s">
        <v>40249</v>
      </c>
      <c r="H13316" t="s">
        <v>859</v>
      </c>
      <c r="I13316" t="s">
        <v>860</v>
      </c>
      <c r="J13316" t="str">
        <f>"9120268"</f>
        <v>9120268</v>
      </c>
      <c r="K13316">
        <v>2221040497</v>
      </c>
      <c r="M13316" t="s">
        <v>42026</v>
      </c>
      <c r="N13316" t="s">
        <v>40249</v>
      </c>
      <c r="O13316" t="s">
        <v>42027</v>
      </c>
      <c r="P13316">
        <v>34600</v>
      </c>
      <c r="Q13316" t="str">
        <f>"38.513912"</f>
        <v>38.513912</v>
      </c>
      <c r="R13316" t="str">
        <f>"23.639621"</f>
        <v>23.639621</v>
      </c>
      <c r="S13316" t="s">
        <v>26</v>
      </c>
    </row>
    <row r="13317" spans="1:19" x14ac:dyDescent="0.3">
      <c r="A13317" t="s">
        <v>40240</v>
      </c>
      <c r="B13317" t="s">
        <v>41596</v>
      </c>
      <c r="C13317" t="s">
        <v>42028</v>
      </c>
      <c r="D13317" t="s">
        <v>40247</v>
      </c>
      <c r="E13317" t="s">
        <v>40566</v>
      </c>
      <c r="F13317" t="s">
        <v>40582</v>
      </c>
      <c r="G13317" t="s">
        <v>40583</v>
      </c>
      <c r="H13317" t="s">
        <v>859</v>
      </c>
      <c r="I13317" t="s">
        <v>860</v>
      </c>
      <c r="J13317" t="str">
        <f>"9120009"</f>
        <v>9120009</v>
      </c>
      <c r="K13317">
        <v>2226024939</v>
      </c>
      <c r="L13317">
        <v>2226024939</v>
      </c>
      <c r="M13317" t="s">
        <v>42029</v>
      </c>
      <c r="N13317" t="s">
        <v>40582</v>
      </c>
      <c r="O13317" t="s">
        <v>41869</v>
      </c>
      <c r="P13317">
        <v>34300</v>
      </c>
      <c r="Q13317" t="str">
        <f>"38.879250"</f>
        <v>38.879250</v>
      </c>
      <c r="R13317" t="str">
        <f>"23.046139"</f>
        <v>23.046139</v>
      </c>
      <c r="S13317" t="s">
        <v>26</v>
      </c>
    </row>
    <row r="13318" spans="1:19" x14ac:dyDescent="0.3">
      <c r="A13318" t="s">
        <v>40240</v>
      </c>
      <c r="B13318" t="s">
        <v>41596</v>
      </c>
      <c r="C13318" t="s">
        <v>42030</v>
      </c>
      <c r="D13318" t="s">
        <v>40247</v>
      </c>
      <c r="E13318" t="s">
        <v>40248</v>
      </c>
      <c r="F13318" t="s">
        <v>40248</v>
      </c>
      <c r="G13318" t="s">
        <v>40248</v>
      </c>
      <c r="H13318" t="s">
        <v>859</v>
      </c>
      <c r="I13318" t="s">
        <v>860</v>
      </c>
      <c r="J13318" t="str">
        <f>"9120298"</f>
        <v>9120298</v>
      </c>
      <c r="K13318">
        <v>2221076616</v>
      </c>
      <c r="L13318">
        <v>2221076616</v>
      </c>
      <c r="M13318" t="s">
        <v>42031</v>
      </c>
      <c r="N13318" t="s">
        <v>40519</v>
      </c>
      <c r="O13318" t="s">
        <v>42032</v>
      </c>
      <c r="P13318">
        <v>34132</v>
      </c>
      <c r="Q13318" t="str">
        <f>"38.465332"</f>
        <v>38.465332</v>
      </c>
      <c r="R13318" t="str">
        <f>"23.599760"</f>
        <v>23.599760</v>
      </c>
      <c r="S13318" t="s">
        <v>26</v>
      </c>
    </row>
    <row r="13319" spans="1:19" x14ac:dyDescent="0.3">
      <c r="A13319" t="s">
        <v>40240</v>
      </c>
      <c r="B13319" t="s">
        <v>41596</v>
      </c>
      <c r="C13319" t="s">
        <v>42036</v>
      </c>
      <c r="D13319" t="s">
        <v>40247</v>
      </c>
      <c r="E13319" t="s">
        <v>40248</v>
      </c>
      <c r="F13319" t="s">
        <v>40248</v>
      </c>
      <c r="G13319" t="s">
        <v>40248</v>
      </c>
      <c r="H13319" t="s">
        <v>859</v>
      </c>
      <c r="I13319" t="s">
        <v>860</v>
      </c>
      <c r="J13319" t="str">
        <f>"9120299"</f>
        <v>9120299</v>
      </c>
      <c r="K13319">
        <v>2221087070</v>
      </c>
      <c r="L13319">
        <v>2221087070</v>
      </c>
      <c r="M13319" t="s">
        <v>42037</v>
      </c>
      <c r="N13319" t="s">
        <v>40519</v>
      </c>
      <c r="O13319" t="s">
        <v>42038</v>
      </c>
      <c r="P13319">
        <v>34100</v>
      </c>
      <c r="Q13319" t="str">
        <f>"38.473585"</f>
        <v>38.473585</v>
      </c>
      <c r="R13319" t="str">
        <f>"23.603534"</f>
        <v>23.603534</v>
      </c>
      <c r="S13319" t="s">
        <v>26</v>
      </c>
    </row>
    <row r="13320" spans="1:19" x14ac:dyDescent="0.3">
      <c r="A13320" t="s">
        <v>40240</v>
      </c>
      <c r="B13320" t="s">
        <v>41596</v>
      </c>
      <c r="C13320" t="s">
        <v>42039</v>
      </c>
      <c r="D13320" t="s">
        <v>40247</v>
      </c>
      <c r="E13320" t="s">
        <v>40248</v>
      </c>
      <c r="F13320" t="s">
        <v>40248</v>
      </c>
      <c r="G13320" t="s">
        <v>40248</v>
      </c>
      <c r="H13320" t="s">
        <v>859</v>
      </c>
      <c r="I13320" t="s">
        <v>860</v>
      </c>
      <c r="J13320" t="str">
        <f>"9120340"</f>
        <v>9120340</v>
      </c>
      <c r="K13320">
        <v>2221042743</v>
      </c>
      <c r="L13320">
        <v>2221042743</v>
      </c>
      <c r="M13320" t="s">
        <v>42040</v>
      </c>
      <c r="N13320" t="s">
        <v>40536</v>
      </c>
      <c r="O13320" t="s">
        <v>42041</v>
      </c>
      <c r="P13320">
        <v>34100</v>
      </c>
      <c r="Q13320" t="str">
        <f>"38.489344"</f>
        <v>38.489344</v>
      </c>
      <c r="R13320" t="str">
        <f>"23.632959"</f>
        <v>23.632959</v>
      </c>
      <c r="S13320" t="s">
        <v>26</v>
      </c>
    </row>
    <row r="13321" spans="1:19" x14ac:dyDescent="0.3">
      <c r="A13321" t="s">
        <v>40240</v>
      </c>
      <c r="B13321" t="s">
        <v>41596</v>
      </c>
      <c r="C13321" t="s">
        <v>42042</v>
      </c>
      <c r="D13321" t="s">
        <v>40247</v>
      </c>
      <c r="E13321" t="s">
        <v>40248</v>
      </c>
      <c r="F13321" t="s">
        <v>40248</v>
      </c>
      <c r="G13321" t="s">
        <v>40248</v>
      </c>
      <c r="H13321" t="s">
        <v>859</v>
      </c>
      <c r="I13321" t="s">
        <v>860</v>
      </c>
      <c r="J13321" t="str">
        <f>"9120329"</f>
        <v>9120329</v>
      </c>
      <c r="K13321">
        <v>2221084154</v>
      </c>
      <c r="L13321">
        <v>2221084154</v>
      </c>
      <c r="M13321" t="s">
        <v>42043</v>
      </c>
      <c r="N13321" t="s">
        <v>40519</v>
      </c>
      <c r="O13321" t="s">
        <v>42044</v>
      </c>
      <c r="P13321">
        <v>34100</v>
      </c>
      <c r="Q13321" t="str">
        <f>"38.470386"</f>
        <v>38.470386</v>
      </c>
      <c r="R13321" t="str">
        <f>"23.619876"</f>
        <v>23.619876</v>
      </c>
      <c r="S13321" t="s">
        <v>26</v>
      </c>
    </row>
    <row r="13322" spans="1:19" x14ac:dyDescent="0.3">
      <c r="A13322" t="s">
        <v>40240</v>
      </c>
      <c r="B13322" t="s">
        <v>41596</v>
      </c>
      <c r="C13322" t="s">
        <v>42047</v>
      </c>
      <c r="D13322" t="s">
        <v>40247</v>
      </c>
      <c r="E13322" t="s">
        <v>40248</v>
      </c>
      <c r="F13322" t="s">
        <v>40248</v>
      </c>
      <c r="G13322" t="s">
        <v>40248</v>
      </c>
      <c r="H13322" t="s">
        <v>859</v>
      </c>
      <c r="I13322" t="s">
        <v>860</v>
      </c>
      <c r="J13322" t="str">
        <f>"9120398"</f>
        <v>9120398</v>
      </c>
      <c r="K13322">
        <v>2221090711</v>
      </c>
      <c r="L13322">
        <v>2221090711</v>
      </c>
      <c r="M13322" t="s">
        <v>42048</v>
      </c>
      <c r="N13322" t="s">
        <v>40519</v>
      </c>
      <c r="O13322" t="s">
        <v>42049</v>
      </c>
      <c r="P13322">
        <v>34100</v>
      </c>
      <c r="Q13322" t="str">
        <f>"38.472823"</f>
        <v>38.472823</v>
      </c>
      <c r="R13322" t="str">
        <f>"23.638059"</f>
        <v>23.638059</v>
      </c>
      <c r="S13322" t="s">
        <v>26</v>
      </c>
    </row>
    <row r="13323" spans="1:19" x14ac:dyDescent="0.3">
      <c r="A13323" t="s">
        <v>40240</v>
      </c>
      <c r="B13323" t="s">
        <v>41596</v>
      </c>
      <c r="C13323" t="s">
        <v>42050</v>
      </c>
      <c r="D13323" t="s">
        <v>40247</v>
      </c>
      <c r="E13323" t="s">
        <v>40526</v>
      </c>
      <c r="F13323" t="s">
        <v>40762</v>
      </c>
      <c r="G13323" t="s">
        <v>41845</v>
      </c>
      <c r="H13323" t="s">
        <v>859</v>
      </c>
      <c r="I13323" t="s">
        <v>860</v>
      </c>
      <c r="J13323" t="str">
        <f>"9120435"</f>
        <v>9120435</v>
      </c>
      <c r="K13323">
        <v>2221095425</v>
      </c>
      <c r="M13323" t="s">
        <v>42051</v>
      </c>
      <c r="N13323" t="s">
        <v>41845</v>
      </c>
      <c r="O13323" t="s">
        <v>41848</v>
      </c>
      <c r="P13323">
        <v>34014</v>
      </c>
      <c r="Q13323" t="str">
        <f>"38.513412"</f>
        <v>38.513412</v>
      </c>
      <c r="R13323" t="str">
        <f>"23.780173"</f>
        <v>23.780173</v>
      </c>
      <c r="S13323" t="s">
        <v>26</v>
      </c>
    </row>
    <row r="13324" spans="1:19" x14ac:dyDescent="0.3">
      <c r="A13324" t="s">
        <v>40240</v>
      </c>
      <c r="B13324" t="s">
        <v>41596</v>
      </c>
      <c r="C13324" t="s">
        <v>42052</v>
      </c>
      <c r="D13324" t="s">
        <v>40247</v>
      </c>
      <c r="E13324" t="s">
        <v>40526</v>
      </c>
      <c r="F13324" t="s">
        <v>40527</v>
      </c>
      <c r="G13324" t="s">
        <v>41765</v>
      </c>
      <c r="H13324" t="s">
        <v>859</v>
      </c>
      <c r="I13324" t="s">
        <v>860</v>
      </c>
      <c r="J13324" t="str">
        <f>"9120348"</f>
        <v>9120348</v>
      </c>
      <c r="K13324">
        <v>2228024911</v>
      </c>
      <c r="L13324">
        <v>2228024911</v>
      </c>
      <c r="M13324" t="s">
        <v>42053</v>
      </c>
      <c r="N13324" t="s">
        <v>42054</v>
      </c>
      <c r="O13324" t="s">
        <v>42054</v>
      </c>
      <c r="P13324">
        <v>34400</v>
      </c>
      <c r="Q13324" t="str">
        <f>"38.567938"</f>
        <v>38.567938</v>
      </c>
      <c r="R13324" t="str">
        <f>"23.630975"</f>
        <v>23.630975</v>
      </c>
      <c r="S13324" t="s">
        <v>26</v>
      </c>
    </row>
    <row r="13325" spans="1:19" x14ac:dyDescent="0.3">
      <c r="A13325" t="s">
        <v>40240</v>
      </c>
      <c r="B13325" t="s">
        <v>41596</v>
      </c>
      <c r="C13325" t="s">
        <v>42055</v>
      </c>
      <c r="D13325" t="s">
        <v>40247</v>
      </c>
      <c r="E13325" t="s">
        <v>40526</v>
      </c>
      <c r="F13325" t="s">
        <v>40762</v>
      </c>
      <c r="G13325" t="s">
        <v>40774</v>
      </c>
      <c r="H13325" t="s">
        <v>859</v>
      </c>
      <c r="I13325" t="s">
        <v>860</v>
      </c>
      <c r="J13325" t="str">
        <f>"9120395"</f>
        <v>9120395</v>
      </c>
      <c r="K13325">
        <v>2228071397</v>
      </c>
      <c r="L13325">
        <v>2228071397</v>
      </c>
      <c r="M13325" t="s">
        <v>42056</v>
      </c>
      <c r="N13325" t="s">
        <v>40774</v>
      </c>
      <c r="O13325" t="s">
        <v>40778</v>
      </c>
      <c r="P13325">
        <v>34014</v>
      </c>
      <c r="Q13325" t="str">
        <f>"38.570496"</f>
        <v>38.570496</v>
      </c>
      <c r="R13325" t="str">
        <f>"23.772228"</f>
        <v>23.772228</v>
      </c>
      <c r="S13325" t="s">
        <v>26</v>
      </c>
    </row>
    <row r="13326" spans="1:19" x14ac:dyDescent="0.3">
      <c r="A13326" t="s">
        <v>40240</v>
      </c>
      <c r="B13326" t="s">
        <v>41596</v>
      </c>
      <c r="C13326" t="s">
        <v>42057</v>
      </c>
      <c r="D13326" t="s">
        <v>40247</v>
      </c>
      <c r="E13326" t="s">
        <v>40526</v>
      </c>
      <c r="F13326" t="s">
        <v>40527</v>
      </c>
      <c r="G13326" t="s">
        <v>40528</v>
      </c>
      <c r="H13326" t="s">
        <v>859</v>
      </c>
      <c r="I13326" t="s">
        <v>860</v>
      </c>
      <c r="J13326" t="str">
        <f>"9120397"</f>
        <v>9120397</v>
      </c>
      <c r="K13326">
        <v>2228023487</v>
      </c>
      <c r="L13326">
        <v>2228023487</v>
      </c>
      <c r="M13326" t="s">
        <v>42058</v>
      </c>
      <c r="N13326" t="s">
        <v>40528</v>
      </c>
      <c r="O13326" t="s">
        <v>42059</v>
      </c>
      <c r="P13326">
        <v>34400</v>
      </c>
      <c r="Q13326" t="str">
        <f>"38.569768"</f>
        <v>38.569768</v>
      </c>
      <c r="R13326" t="str">
        <f>"23.643848"</f>
        <v>23.643848</v>
      </c>
      <c r="S13326" t="s">
        <v>26</v>
      </c>
    </row>
    <row r="13327" spans="1:19" x14ac:dyDescent="0.3">
      <c r="A13327" t="s">
        <v>40240</v>
      </c>
      <c r="B13327" t="s">
        <v>41596</v>
      </c>
      <c r="C13327" t="s">
        <v>42060</v>
      </c>
      <c r="D13327" t="s">
        <v>40247</v>
      </c>
      <c r="E13327" t="s">
        <v>40526</v>
      </c>
      <c r="F13327" t="s">
        <v>40527</v>
      </c>
      <c r="G13327" t="s">
        <v>40528</v>
      </c>
      <c r="H13327" t="s">
        <v>859</v>
      </c>
      <c r="I13327" t="s">
        <v>860</v>
      </c>
      <c r="J13327" t="str">
        <f>"9120444"</f>
        <v>9120444</v>
      </c>
      <c r="K13327">
        <v>2228025569</v>
      </c>
      <c r="L13327">
        <v>2228029084</v>
      </c>
      <c r="M13327" t="s">
        <v>42061</v>
      </c>
      <c r="N13327" t="s">
        <v>40528</v>
      </c>
      <c r="O13327" t="s">
        <v>42062</v>
      </c>
      <c r="P13327">
        <v>34400</v>
      </c>
      <c r="Q13327" t="str">
        <f>"38.577129"</f>
        <v>38.577129</v>
      </c>
      <c r="R13327" t="str">
        <f>"23.633220"</f>
        <v>23.633220</v>
      </c>
      <c r="S13327" t="s">
        <v>26</v>
      </c>
    </row>
    <row r="13328" spans="1:19" x14ac:dyDescent="0.3">
      <c r="A13328" t="s">
        <v>40240</v>
      </c>
      <c r="B13328" t="s">
        <v>41596</v>
      </c>
      <c r="C13328" t="s">
        <v>42069</v>
      </c>
      <c r="D13328" t="s">
        <v>40247</v>
      </c>
      <c r="E13328" t="s">
        <v>40589</v>
      </c>
      <c r="F13328" t="s">
        <v>40748</v>
      </c>
      <c r="G13328" t="s">
        <v>42068</v>
      </c>
      <c r="H13328" t="s">
        <v>859</v>
      </c>
      <c r="I13328" t="s">
        <v>860</v>
      </c>
      <c r="J13328" t="str">
        <f>"9120362"</f>
        <v>9120362</v>
      </c>
      <c r="K13328">
        <v>2223091555</v>
      </c>
      <c r="L13328">
        <v>2223091555</v>
      </c>
      <c r="M13328" t="s">
        <v>42070</v>
      </c>
      <c r="N13328" t="s">
        <v>42071</v>
      </c>
      <c r="O13328" t="s">
        <v>42071</v>
      </c>
      <c r="P13328">
        <v>34500</v>
      </c>
      <c r="Q13328" t="str">
        <f>"38.388801"</f>
        <v>38.388801</v>
      </c>
      <c r="R13328" t="str">
        <f>"24.090489"</f>
        <v>24.090489</v>
      </c>
      <c r="S13328" t="s">
        <v>26</v>
      </c>
    </row>
    <row r="13329" spans="1:19" x14ac:dyDescent="0.3">
      <c r="A13329" t="s">
        <v>40240</v>
      </c>
      <c r="B13329" t="s">
        <v>41596</v>
      </c>
      <c r="C13329" t="s">
        <v>42081</v>
      </c>
      <c r="D13329" t="s">
        <v>40247</v>
      </c>
      <c r="E13329" t="s">
        <v>40506</v>
      </c>
      <c r="F13329" t="s">
        <v>40506</v>
      </c>
      <c r="G13329" t="s">
        <v>40506</v>
      </c>
      <c r="H13329" t="s">
        <v>859</v>
      </c>
      <c r="I13329" t="s">
        <v>860</v>
      </c>
      <c r="J13329" t="str">
        <f>"9120363"</f>
        <v>9120363</v>
      </c>
      <c r="K13329">
        <v>2224023112</v>
      </c>
      <c r="L13329">
        <v>2224023112</v>
      </c>
      <c r="M13329" t="s">
        <v>42082</v>
      </c>
      <c r="N13329" t="s">
        <v>40506</v>
      </c>
      <c r="O13329" t="s">
        <v>42083</v>
      </c>
      <c r="P13329">
        <v>34001</v>
      </c>
      <c r="Q13329" t="str">
        <f>"38.006411"</f>
        <v>38.006411</v>
      </c>
      <c r="R13329" t="str">
        <f>"24.485245"</f>
        <v>24.485245</v>
      </c>
      <c r="S13329" t="s">
        <v>26</v>
      </c>
    </row>
    <row r="13330" spans="1:19" x14ac:dyDescent="0.3">
      <c r="A13330" t="s">
        <v>40240</v>
      </c>
      <c r="B13330" t="s">
        <v>41596</v>
      </c>
      <c r="C13330" t="s">
        <v>42084</v>
      </c>
      <c r="D13330" t="s">
        <v>40247</v>
      </c>
      <c r="E13330" t="s">
        <v>40506</v>
      </c>
      <c r="F13330" t="s">
        <v>40506</v>
      </c>
      <c r="G13330" t="s">
        <v>40506</v>
      </c>
      <c r="H13330" t="s">
        <v>859</v>
      </c>
      <c r="I13330" t="s">
        <v>860</v>
      </c>
      <c r="J13330" t="str">
        <f>"9120303"</f>
        <v>9120303</v>
      </c>
      <c r="K13330">
        <v>2224022166</v>
      </c>
      <c r="M13330" t="s">
        <v>42085</v>
      </c>
      <c r="N13330" t="s">
        <v>40551</v>
      </c>
      <c r="O13330" t="s">
        <v>42086</v>
      </c>
      <c r="P13330">
        <v>34001</v>
      </c>
      <c r="Q13330" t="str">
        <f>"38.017135"</f>
        <v>38.017135</v>
      </c>
      <c r="R13330" t="str">
        <f>"24.417240"</f>
        <v>24.417240</v>
      </c>
      <c r="S13330" t="s">
        <v>26</v>
      </c>
    </row>
    <row r="13331" spans="1:19" x14ac:dyDescent="0.3">
      <c r="A13331" t="s">
        <v>40240</v>
      </c>
      <c r="B13331" t="s">
        <v>41596</v>
      </c>
      <c r="C13331" t="s">
        <v>42091</v>
      </c>
      <c r="D13331" t="s">
        <v>40247</v>
      </c>
      <c r="E13331" t="s">
        <v>40589</v>
      </c>
      <c r="F13331" t="s">
        <v>40748</v>
      </c>
      <c r="G13331" t="s">
        <v>42090</v>
      </c>
      <c r="H13331" t="s">
        <v>859</v>
      </c>
      <c r="I13331" t="s">
        <v>860</v>
      </c>
      <c r="J13331" t="str">
        <f>"9120471"</f>
        <v>9120471</v>
      </c>
      <c r="K13331">
        <v>2223055276</v>
      </c>
      <c r="L13331">
        <v>2223055276</v>
      </c>
      <c r="M13331" t="s">
        <v>42092</v>
      </c>
      <c r="N13331" t="s">
        <v>42093</v>
      </c>
      <c r="O13331" t="s">
        <v>42093</v>
      </c>
      <c r="P13331">
        <v>34017</v>
      </c>
      <c r="Q13331" t="str">
        <f>"38.308787"</f>
        <v>38.308787</v>
      </c>
      <c r="R13331" t="str">
        <f>"24.149332"</f>
        <v>24.149332</v>
      </c>
      <c r="S13331" t="s">
        <v>26</v>
      </c>
    </row>
    <row r="13332" spans="1:19" x14ac:dyDescent="0.3">
      <c r="A13332" t="s">
        <v>40240</v>
      </c>
      <c r="B13332" t="s">
        <v>41596</v>
      </c>
      <c r="C13332" t="s">
        <v>42104</v>
      </c>
      <c r="D13332" t="s">
        <v>40247</v>
      </c>
      <c r="E13332" t="s">
        <v>40539</v>
      </c>
      <c r="F13332" t="s">
        <v>40558</v>
      </c>
      <c r="G13332" t="s">
        <v>40559</v>
      </c>
      <c r="H13332" t="s">
        <v>859</v>
      </c>
      <c r="I13332" t="s">
        <v>860</v>
      </c>
      <c r="J13332" t="str">
        <f>"9120068"</f>
        <v>9120068</v>
      </c>
      <c r="K13332">
        <v>2227022840</v>
      </c>
      <c r="L13332">
        <v>2227022840</v>
      </c>
      <c r="M13332" t="s">
        <v>42105</v>
      </c>
      <c r="N13332" t="s">
        <v>40559</v>
      </c>
      <c r="O13332" t="s">
        <v>40563</v>
      </c>
      <c r="P13332">
        <v>34004</v>
      </c>
      <c r="Q13332" t="str">
        <f>"38.796802"</f>
        <v>38.796802</v>
      </c>
      <c r="R13332" t="str">
        <f>"23.480038"</f>
        <v>23.480038</v>
      </c>
      <c r="S13332" t="s">
        <v>26</v>
      </c>
    </row>
    <row r="13333" spans="1:19" x14ac:dyDescent="0.3">
      <c r="A13333" t="s">
        <v>40240</v>
      </c>
      <c r="B13333" t="s">
        <v>41596</v>
      </c>
      <c r="C13333" t="s">
        <v>42120</v>
      </c>
      <c r="D13333" t="s">
        <v>40247</v>
      </c>
      <c r="E13333" t="s">
        <v>40566</v>
      </c>
      <c r="F13333" t="s">
        <v>40582</v>
      </c>
      <c r="G13333" t="s">
        <v>40583</v>
      </c>
      <c r="H13333" t="s">
        <v>859</v>
      </c>
      <c r="I13333" t="s">
        <v>860</v>
      </c>
      <c r="J13333" t="str">
        <f>"9120012"</f>
        <v>9120012</v>
      </c>
      <c r="K13333">
        <v>2226024197</v>
      </c>
      <c r="L13333">
        <v>2226024197</v>
      </c>
      <c r="M13333" t="s">
        <v>42121</v>
      </c>
      <c r="N13333" t="s">
        <v>42122</v>
      </c>
      <c r="O13333" t="s">
        <v>42123</v>
      </c>
      <c r="P13333">
        <v>34300</v>
      </c>
      <c r="Q13333" t="str">
        <f>"38.856791"</f>
        <v>38.856791</v>
      </c>
      <c r="R13333" t="str">
        <f>"23.043805"</f>
        <v>23.043805</v>
      </c>
      <c r="S13333" t="s">
        <v>26</v>
      </c>
    </row>
    <row r="13334" spans="1:19" x14ac:dyDescent="0.3">
      <c r="A13334" t="s">
        <v>40240</v>
      </c>
      <c r="B13334" t="s">
        <v>41596</v>
      </c>
      <c r="C13334" t="s">
        <v>42152</v>
      </c>
      <c r="D13334" t="s">
        <v>40247</v>
      </c>
      <c r="E13334" t="s">
        <v>40506</v>
      </c>
      <c r="F13334" t="s">
        <v>40507</v>
      </c>
      <c r="G13334" t="s">
        <v>42151</v>
      </c>
      <c r="H13334" t="s">
        <v>859</v>
      </c>
      <c r="I13334" t="s">
        <v>860</v>
      </c>
      <c r="J13334" t="str">
        <f>"9120113"</f>
        <v>9120113</v>
      </c>
      <c r="K13334">
        <v>2224042181</v>
      </c>
      <c r="L13334">
        <v>222404218</v>
      </c>
      <c r="M13334" t="s">
        <v>42153</v>
      </c>
      <c r="N13334" t="s">
        <v>42151</v>
      </c>
      <c r="O13334" t="s">
        <v>42154</v>
      </c>
      <c r="P13334">
        <v>34015</v>
      </c>
      <c r="Q13334" t="str">
        <f>"38.181186"</f>
        <v>38.181186</v>
      </c>
      <c r="R13334" t="str">
        <f>"24.209252"</f>
        <v>24.209252</v>
      </c>
      <c r="S13334" t="s">
        <v>26</v>
      </c>
    </row>
    <row r="13335" spans="1:19" x14ac:dyDescent="0.3">
      <c r="A13335" t="s">
        <v>40240</v>
      </c>
      <c r="B13335" t="s">
        <v>41596</v>
      </c>
      <c r="C13335" t="s">
        <v>42157</v>
      </c>
      <c r="D13335" t="s">
        <v>40247</v>
      </c>
      <c r="E13335" t="s">
        <v>40589</v>
      </c>
      <c r="F13335" t="s">
        <v>3213</v>
      </c>
      <c r="G13335" t="s">
        <v>42133</v>
      </c>
      <c r="H13335" t="s">
        <v>859</v>
      </c>
      <c r="I13335" t="s">
        <v>860</v>
      </c>
      <c r="J13335" t="str">
        <f>"9120379"</f>
        <v>9120379</v>
      </c>
      <c r="K13335">
        <v>2228025246</v>
      </c>
      <c r="L13335">
        <v>2228025246</v>
      </c>
      <c r="M13335" t="s">
        <v>42158</v>
      </c>
      <c r="N13335" t="s">
        <v>42136</v>
      </c>
      <c r="O13335" t="s">
        <v>42137</v>
      </c>
      <c r="P13335">
        <v>34014</v>
      </c>
      <c r="Q13335" t="str">
        <f>"38.623281"</f>
        <v>38.623281</v>
      </c>
      <c r="R13335" t="str">
        <f>"23.952840"</f>
        <v>23.952840</v>
      </c>
      <c r="S13335" t="s">
        <v>57</v>
      </c>
    </row>
    <row r="13336" spans="1:19" x14ac:dyDescent="0.3">
      <c r="A13336" t="s">
        <v>40240</v>
      </c>
      <c r="B13336" t="s">
        <v>41596</v>
      </c>
      <c r="C13336" t="s">
        <v>42159</v>
      </c>
      <c r="D13336" t="s">
        <v>40247</v>
      </c>
      <c r="E13336" t="s">
        <v>40506</v>
      </c>
      <c r="F13336" t="s">
        <v>40506</v>
      </c>
      <c r="G13336" t="s">
        <v>40506</v>
      </c>
      <c r="H13336" t="s">
        <v>859</v>
      </c>
      <c r="I13336" t="s">
        <v>860</v>
      </c>
      <c r="J13336" t="str">
        <f>"9120084"</f>
        <v>9120084</v>
      </c>
      <c r="K13336">
        <v>2224022498</v>
      </c>
      <c r="L13336">
        <v>2224022498</v>
      </c>
      <c r="M13336" t="s">
        <v>42160</v>
      </c>
      <c r="N13336" t="s">
        <v>40551</v>
      </c>
      <c r="O13336" t="s">
        <v>42161</v>
      </c>
      <c r="P13336">
        <v>34001</v>
      </c>
      <c r="Q13336" t="str">
        <f>"38.018235"</f>
        <v>38.018235</v>
      </c>
      <c r="R13336" t="str">
        <f>"24.420669"</f>
        <v>24.420669</v>
      </c>
      <c r="S13336" t="s">
        <v>26</v>
      </c>
    </row>
    <row r="13337" spans="1:19" x14ac:dyDescent="0.3">
      <c r="A13337" t="s">
        <v>40240</v>
      </c>
      <c r="B13337" t="s">
        <v>41596</v>
      </c>
      <c r="C13337" t="s">
        <v>42164</v>
      </c>
      <c r="D13337" t="s">
        <v>40247</v>
      </c>
      <c r="E13337" t="s">
        <v>40589</v>
      </c>
      <c r="F13337" t="s">
        <v>40629</v>
      </c>
      <c r="G13337" t="s">
        <v>42163</v>
      </c>
      <c r="H13337" t="s">
        <v>859</v>
      </c>
      <c r="I13337" t="s">
        <v>860</v>
      </c>
      <c r="J13337" t="str">
        <f>"9120181"</f>
        <v>9120181</v>
      </c>
      <c r="K13337">
        <v>2223035235</v>
      </c>
      <c r="M13337" t="s">
        <v>42165</v>
      </c>
      <c r="N13337" t="s">
        <v>42166</v>
      </c>
      <c r="O13337" t="s">
        <v>42167</v>
      </c>
      <c r="P13337">
        <v>34009</v>
      </c>
      <c r="Q13337" t="str">
        <f>"38.544042"</f>
        <v>38.544042</v>
      </c>
      <c r="R13337" t="str">
        <f>"24.072675"</f>
        <v>24.072675</v>
      </c>
      <c r="S13337" t="s">
        <v>26</v>
      </c>
    </row>
    <row r="13338" spans="1:19" x14ac:dyDescent="0.3">
      <c r="A13338" t="s">
        <v>40240</v>
      </c>
      <c r="B13338" t="s">
        <v>41596</v>
      </c>
      <c r="C13338" t="s">
        <v>42169</v>
      </c>
      <c r="D13338" t="s">
        <v>40247</v>
      </c>
      <c r="E13338" t="s">
        <v>40589</v>
      </c>
      <c r="F13338" t="s">
        <v>4068</v>
      </c>
      <c r="G13338" t="s">
        <v>42168</v>
      </c>
      <c r="H13338" t="s">
        <v>859</v>
      </c>
      <c r="I13338" t="s">
        <v>860</v>
      </c>
      <c r="J13338" t="str">
        <f>"9120187"</f>
        <v>9120187</v>
      </c>
      <c r="K13338">
        <v>2223034229</v>
      </c>
      <c r="L13338">
        <v>2223034229</v>
      </c>
      <c r="M13338" t="s">
        <v>42170</v>
      </c>
      <c r="N13338" t="s">
        <v>42168</v>
      </c>
      <c r="O13338" t="s">
        <v>42171</v>
      </c>
      <c r="P13338">
        <v>34009</v>
      </c>
      <c r="Q13338" t="str">
        <f>"38.524824"</f>
        <v>38.524824</v>
      </c>
      <c r="R13338" t="str">
        <f>"24.165229"</f>
        <v>24.165229</v>
      </c>
      <c r="S13338" t="s">
        <v>57</v>
      </c>
    </row>
    <row r="13339" spans="1:19" x14ac:dyDescent="0.3">
      <c r="A13339" t="s">
        <v>40240</v>
      </c>
      <c r="B13339" t="s">
        <v>41596</v>
      </c>
      <c r="C13339" t="s">
        <v>42174</v>
      </c>
      <c r="D13339" t="s">
        <v>40247</v>
      </c>
      <c r="E13339" t="s">
        <v>40589</v>
      </c>
      <c r="F13339" t="s">
        <v>3213</v>
      </c>
      <c r="G13339" t="s">
        <v>42173</v>
      </c>
      <c r="H13339" t="s">
        <v>859</v>
      </c>
      <c r="I13339" t="s">
        <v>860</v>
      </c>
      <c r="J13339" t="str">
        <f>"9120158"</f>
        <v>9120158</v>
      </c>
      <c r="K13339">
        <v>2222031850</v>
      </c>
      <c r="L13339">
        <v>2222031850</v>
      </c>
      <c r="M13339" t="s">
        <v>42175</v>
      </c>
      <c r="N13339" t="s">
        <v>42176</v>
      </c>
      <c r="O13339" t="s">
        <v>42177</v>
      </c>
      <c r="P13339">
        <v>34003</v>
      </c>
      <c r="Q13339" t="str">
        <f>"38.632105"</f>
        <v>38.632105</v>
      </c>
      <c r="R13339" t="str">
        <f>"24.057919"</f>
        <v>24.057919</v>
      </c>
      <c r="S13339" t="s">
        <v>26</v>
      </c>
    </row>
    <row r="13340" spans="1:19" x14ac:dyDescent="0.3">
      <c r="A13340" t="s">
        <v>40240</v>
      </c>
      <c r="B13340" t="s">
        <v>41596</v>
      </c>
      <c r="C13340" t="s">
        <v>42179</v>
      </c>
      <c r="D13340" t="s">
        <v>40247</v>
      </c>
      <c r="E13340" t="s">
        <v>40589</v>
      </c>
      <c r="F13340" t="s">
        <v>40748</v>
      </c>
      <c r="G13340" t="s">
        <v>42178</v>
      </c>
      <c r="H13340" t="s">
        <v>859</v>
      </c>
      <c r="I13340" t="s">
        <v>860</v>
      </c>
      <c r="J13340" t="str">
        <f>"9120373"</f>
        <v>9120373</v>
      </c>
      <c r="K13340">
        <v>2223091590</v>
      </c>
      <c r="L13340">
        <v>2223091590</v>
      </c>
      <c r="M13340" t="s">
        <v>42180</v>
      </c>
      <c r="N13340" t="s">
        <v>42178</v>
      </c>
      <c r="O13340" t="s">
        <v>42181</v>
      </c>
      <c r="P13340">
        <v>34500</v>
      </c>
      <c r="Q13340" t="str">
        <f>"38.376595"</f>
        <v>38.376595</v>
      </c>
      <c r="R13340" t="str">
        <f>"24.125941"</f>
        <v>24.125941</v>
      </c>
      <c r="S13340" t="s">
        <v>26</v>
      </c>
    </row>
    <row r="13341" spans="1:19" x14ac:dyDescent="0.3">
      <c r="A13341" t="s">
        <v>40240</v>
      </c>
      <c r="B13341" t="s">
        <v>41596</v>
      </c>
      <c r="C13341" t="s">
        <v>42182</v>
      </c>
      <c r="D13341" t="s">
        <v>40247</v>
      </c>
      <c r="E13341" t="s">
        <v>40566</v>
      </c>
      <c r="F13341" t="s">
        <v>40682</v>
      </c>
      <c r="G13341" t="s">
        <v>32519</v>
      </c>
      <c r="H13341" t="s">
        <v>859</v>
      </c>
      <c r="I13341" t="s">
        <v>860</v>
      </c>
      <c r="J13341" t="str">
        <f>"9120356"</f>
        <v>9120356</v>
      </c>
      <c r="K13341">
        <v>2226040948</v>
      </c>
      <c r="M13341" t="s">
        <v>42183</v>
      </c>
      <c r="N13341" t="s">
        <v>32519</v>
      </c>
      <c r="O13341" t="s">
        <v>42184</v>
      </c>
      <c r="P13341">
        <v>34200</v>
      </c>
      <c r="Q13341" t="str">
        <f>"38.989137"</f>
        <v>38.989137</v>
      </c>
      <c r="R13341" t="str">
        <f>"23.253078"</f>
        <v>23.253078</v>
      </c>
      <c r="S13341" t="s">
        <v>26</v>
      </c>
    </row>
    <row r="13342" spans="1:19" x14ac:dyDescent="0.3">
      <c r="A13342" t="s">
        <v>40240</v>
      </c>
      <c r="B13342" t="s">
        <v>41596</v>
      </c>
      <c r="C13342" t="s">
        <v>42185</v>
      </c>
      <c r="D13342" t="s">
        <v>40247</v>
      </c>
      <c r="E13342" t="s">
        <v>40589</v>
      </c>
      <c r="F13342" t="s">
        <v>40667</v>
      </c>
      <c r="G13342" t="s">
        <v>40668</v>
      </c>
      <c r="H13342" t="s">
        <v>859</v>
      </c>
      <c r="I13342" t="s">
        <v>860</v>
      </c>
      <c r="J13342" t="str">
        <f>"9120291"</f>
        <v>9120291</v>
      </c>
      <c r="K13342">
        <v>2223022851</v>
      </c>
      <c r="L13342">
        <v>2223022851</v>
      </c>
      <c r="M13342" t="s">
        <v>42186</v>
      </c>
      <c r="N13342" t="s">
        <v>40668</v>
      </c>
      <c r="O13342" t="s">
        <v>42187</v>
      </c>
      <c r="P13342">
        <v>34500</v>
      </c>
      <c r="Q13342" t="str">
        <f>"38.408713"</f>
        <v>38.408713</v>
      </c>
      <c r="R13342" t="str">
        <f>"24.042683"</f>
        <v>24.042683</v>
      </c>
      <c r="S13342" t="s">
        <v>26</v>
      </c>
    </row>
    <row r="13343" spans="1:19" x14ac:dyDescent="0.3">
      <c r="A13343" t="s">
        <v>40240</v>
      </c>
      <c r="B13343" t="s">
        <v>41596</v>
      </c>
      <c r="C13343" t="s">
        <v>42188</v>
      </c>
      <c r="D13343" t="s">
        <v>40247</v>
      </c>
      <c r="E13343" t="s">
        <v>40589</v>
      </c>
      <c r="F13343" t="s">
        <v>40667</v>
      </c>
      <c r="G13343" t="s">
        <v>40668</v>
      </c>
      <c r="H13343" t="s">
        <v>859</v>
      </c>
      <c r="I13343" t="s">
        <v>860</v>
      </c>
      <c r="J13343" t="str">
        <f>"9120139"</f>
        <v>9120139</v>
      </c>
      <c r="K13343">
        <v>2223022771</v>
      </c>
      <c r="L13343">
        <v>2223022771</v>
      </c>
      <c r="M13343" t="s">
        <v>42189</v>
      </c>
      <c r="N13343" t="s">
        <v>40668</v>
      </c>
      <c r="O13343" t="s">
        <v>42190</v>
      </c>
      <c r="P13343">
        <v>34500</v>
      </c>
      <c r="Q13343" t="str">
        <f>"38.411655"</f>
        <v>38.411655</v>
      </c>
      <c r="R13343" t="str">
        <f>"24.032126"</f>
        <v>24.032126</v>
      </c>
      <c r="S13343" t="s">
        <v>26</v>
      </c>
    </row>
    <row r="13344" spans="1:19" x14ac:dyDescent="0.3">
      <c r="A13344" t="s">
        <v>40240</v>
      </c>
      <c r="B13344" t="s">
        <v>41596</v>
      </c>
      <c r="C13344" t="s">
        <v>42191</v>
      </c>
      <c r="D13344" t="s">
        <v>40247</v>
      </c>
      <c r="E13344" t="s">
        <v>40566</v>
      </c>
      <c r="F13344" t="s">
        <v>40682</v>
      </c>
      <c r="G13344" t="s">
        <v>40682</v>
      </c>
      <c r="H13344" t="s">
        <v>859</v>
      </c>
      <c r="I13344" t="s">
        <v>860</v>
      </c>
      <c r="J13344" t="str">
        <f>"9120425"</f>
        <v>9120425</v>
      </c>
      <c r="K13344">
        <v>2226041355</v>
      </c>
      <c r="M13344" t="s">
        <v>42192</v>
      </c>
      <c r="N13344" t="s">
        <v>42193</v>
      </c>
      <c r="O13344" t="s">
        <v>41706</v>
      </c>
      <c r="P13344">
        <v>34200</v>
      </c>
      <c r="Q13344" t="str">
        <f>"39.006836"</f>
        <v>39.006836</v>
      </c>
      <c r="R13344" t="str">
        <f>"23.211769"</f>
        <v>23.211769</v>
      </c>
      <c r="S13344" t="s">
        <v>26</v>
      </c>
    </row>
    <row r="13345" spans="1:19" x14ac:dyDescent="0.3">
      <c r="A13345" t="s">
        <v>40240</v>
      </c>
      <c r="B13345" t="s">
        <v>41596</v>
      </c>
      <c r="C13345" t="s">
        <v>42194</v>
      </c>
      <c r="D13345" t="s">
        <v>40247</v>
      </c>
      <c r="E13345" t="s">
        <v>40589</v>
      </c>
      <c r="F13345" t="s">
        <v>40667</v>
      </c>
      <c r="G13345" t="s">
        <v>40668</v>
      </c>
      <c r="H13345" t="s">
        <v>859</v>
      </c>
      <c r="I13345" t="s">
        <v>860</v>
      </c>
      <c r="J13345" t="str">
        <f>"9120338"</f>
        <v>9120338</v>
      </c>
      <c r="K13345">
        <v>2223023769</v>
      </c>
      <c r="L13345">
        <v>2223023769</v>
      </c>
      <c r="M13345" t="s">
        <v>42195</v>
      </c>
      <c r="N13345" t="s">
        <v>42196</v>
      </c>
      <c r="O13345" t="s">
        <v>42132</v>
      </c>
      <c r="P13345">
        <v>34500</v>
      </c>
      <c r="Q13345" t="str">
        <f>"38.398236"</f>
        <v>38.398236</v>
      </c>
      <c r="R13345" t="str">
        <f>"24.044250"</f>
        <v>24.044250</v>
      </c>
      <c r="S13345" t="s">
        <v>26</v>
      </c>
    </row>
    <row r="13346" spans="1:19" x14ac:dyDescent="0.3">
      <c r="A13346" t="s">
        <v>40240</v>
      </c>
      <c r="B13346" t="s">
        <v>41596</v>
      </c>
      <c r="C13346" t="s">
        <v>42197</v>
      </c>
      <c r="D13346" t="s">
        <v>40247</v>
      </c>
      <c r="E13346" t="s">
        <v>40566</v>
      </c>
      <c r="F13346" t="s">
        <v>41740</v>
      </c>
      <c r="G13346" t="s">
        <v>41740</v>
      </c>
      <c r="H13346" t="s">
        <v>859</v>
      </c>
      <c r="I13346" t="s">
        <v>860</v>
      </c>
      <c r="J13346" t="str">
        <f>"9120301"</f>
        <v>9120301</v>
      </c>
      <c r="K13346">
        <v>2226071500</v>
      </c>
      <c r="L13346">
        <v>2226071500</v>
      </c>
      <c r="M13346" t="s">
        <v>42198</v>
      </c>
      <c r="N13346" t="s">
        <v>41740</v>
      </c>
      <c r="O13346" t="s">
        <v>40801</v>
      </c>
      <c r="P13346">
        <v>34012</v>
      </c>
      <c r="Q13346" t="str">
        <f>"38.950608"</f>
        <v>38.950608</v>
      </c>
      <c r="R13346" t="str">
        <f>"23.091607"</f>
        <v>23.091607</v>
      </c>
      <c r="S13346" t="s">
        <v>26</v>
      </c>
    </row>
    <row r="13347" spans="1:19" x14ac:dyDescent="0.3">
      <c r="A13347" t="s">
        <v>40240</v>
      </c>
      <c r="B13347" t="s">
        <v>41596</v>
      </c>
      <c r="C13347" t="s">
        <v>42207</v>
      </c>
      <c r="D13347" t="s">
        <v>40247</v>
      </c>
      <c r="E13347" t="s">
        <v>40589</v>
      </c>
      <c r="F13347" t="s">
        <v>3213</v>
      </c>
      <c r="G13347" t="s">
        <v>3213</v>
      </c>
      <c r="H13347" t="s">
        <v>859</v>
      </c>
      <c r="I13347" t="s">
        <v>860</v>
      </c>
      <c r="J13347" t="str">
        <f>"9120295"</f>
        <v>9120295</v>
      </c>
      <c r="K13347">
        <v>2222022476</v>
      </c>
      <c r="M13347" t="s">
        <v>42208</v>
      </c>
      <c r="N13347" t="s">
        <v>3213</v>
      </c>
      <c r="O13347" t="s">
        <v>2905</v>
      </c>
      <c r="P13347">
        <v>34003</v>
      </c>
      <c r="Q13347" t="str">
        <f>"38.633763"</f>
        <v>38.633763</v>
      </c>
      <c r="R13347" t="str">
        <f>"24.106723"</f>
        <v>24.106723</v>
      </c>
      <c r="S13347" t="s">
        <v>26</v>
      </c>
    </row>
    <row r="13348" spans="1:19" x14ac:dyDescent="0.3">
      <c r="A13348" t="s">
        <v>40240</v>
      </c>
      <c r="B13348" t="s">
        <v>41596</v>
      </c>
      <c r="C13348" t="s">
        <v>42212</v>
      </c>
      <c r="D13348" t="s">
        <v>40247</v>
      </c>
      <c r="E13348" t="s">
        <v>40566</v>
      </c>
      <c r="F13348" t="s">
        <v>40682</v>
      </c>
      <c r="G13348" t="s">
        <v>25317</v>
      </c>
      <c r="H13348" t="s">
        <v>859</v>
      </c>
      <c r="I13348" t="s">
        <v>860</v>
      </c>
      <c r="J13348" t="str">
        <f>"9120334"</f>
        <v>9120334</v>
      </c>
      <c r="K13348">
        <v>2226043218</v>
      </c>
      <c r="L13348">
        <v>2226043218</v>
      </c>
      <c r="M13348" t="s">
        <v>42213</v>
      </c>
      <c r="N13348" t="s">
        <v>42214</v>
      </c>
      <c r="O13348" t="s">
        <v>42215</v>
      </c>
      <c r="P13348">
        <v>34200</v>
      </c>
      <c r="Q13348" t="str">
        <f>"38.965848"</f>
        <v>38.965848</v>
      </c>
      <c r="R13348" t="str">
        <f>"23.358249"</f>
        <v>23.358249</v>
      </c>
      <c r="S13348" t="s">
        <v>26</v>
      </c>
    </row>
    <row r="13349" spans="1:19" x14ac:dyDescent="0.3">
      <c r="A13349" t="s">
        <v>40240</v>
      </c>
      <c r="B13349" t="s">
        <v>41596</v>
      </c>
      <c r="C13349" t="s">
        <v>42221</v>
      </c>
      <c r="D13349" t="s">
        <v>40247</v>
      </c>
      <c r="E13349" t="s">
        <v>40248</v>
      </c>
      <c r="F13349" t="s">
        <v>40248</v>
      </c>
      <c r="G13349" t="s">
        <v>40248</v>
      </c>
      <c r="H13349" t="s">
        <v>859</v>
      </c>
      <c r="I13349" t="s">
        <v>860</v>
      </c>
      <c r="J13349" t="str">
        <f>"9120296"</f>
        <v>9120296</v>
      </c>
      <c r="K13349">
        <v>2221027664</v>
      </c>
      <c r="L13349">
        <v>2221027664</v>
      </c>
      <c r="M13349" t="s">
        <v>42222</v>
      </c>
      <c r="N13349" t="s">
        <v>40519</v>
      </c>
      <c r="O13349" t="s">
        <v>42223</v>
      </c>
      <c r="P13349">
        <v>34100</v>
      </c>
      <c r="Q13349" t="str">
        <f>"38.467471"</f>
        <v>38.467471</v>
      </c>
      <c r="R13349" t="str">
        <f>"23.596490"</f>
        <v>23.596490</v>
      </c>
      <c r="S13349" t="s">
        <v>26</v>
      </c>
    </row>
    <row r="13350" spans="1:19" x14ac:dyDescent="0.3">
      <c r="A13350" t="s">
        <v>40240</v>
      </c>
      <c r="B13350" t="s">
        <v>41596</v>
      </c>
      <c r="C13350" t="s">
        <v>42224</v>
      </c>
      <c r="D13350" t="s">
        <v>40247</v>
      </c>
      <c r="E13350" t="s">
        <v>40248</v>
      </c>
      <c r="F13350" t="s">
        <v>40596</v>
      </c>
      <c r="G13350" t="s">
        <v>40822</v>
      </c>
      <c r="H13350" t="s">
        <v>859</v>
      </c>
      <c r="I13350" t="s">
        <v>860</v>
      </c>
      <c r="J13350" t="str">
        <f>"9120377"</f>
        <v>9120377</v>
      </c>
      <c r="K13350">
        <v>2221032900</v>
      </c>
      <c r="L13350">
        <v>2221032900</v>
      </c>
      <c r="M13350" t="s">
        <v>42225</v>
      </c>
      <c r="N13350" t="s">
        <v>42226</v>
      </c>
      <c r="O13350" t="s">
        <v>41644</v>
      </c>
      <c r="P13350">
        <v>34100</v>
      </c>
      <c r="Q13350" t="str">
        <f>"38.384685"</f>
        <v>38.384685</v>
      </c>
      <c r="R13350" t="str">
        <f>"23.596319"</f>
        <v>23.596319</v>
      </c>
      <c r="S13350" t="s">
        <v>26</v>
      </c>
    </row>
    <row r="13351" spans="1:19" x14ac:dyDescent="0.3">
      <c r="A13351" t="s">
        <v>40240</v>
      </c>
      <c r="B13351" t="s">
        <v>41596</v>
      </c>
      <c r="C13351" t="s">
        <v>42227</v>
      </c>
      <c r="D13351" t="s">
        <v>40247</v>
      </c>
      <c r="E13351" t="s">
        <v>40566</v>
      </c>
      <c r="F13351" t="s">
        <v>40582</v>
      </c>
      <c r="G13351" t="s">
        <v>42216</v>
      </c>
      <c r="H13351" t="s">
        <v>859</v>
      </c>
      <c r="I13351" t="s">
        <v>860</v>
      </c>
      <c r="J13351" t="str">
        <f>"9120336"</f>
        <v>9120336</v>
      </c>
      <c r="K13351">
        <v>2226032283</v>
      </c>
      <c r="M13351" t="s">
        <v>42228</v>
      </c>
      <c r="N13351" t="s">
        <v>42216</v>
      </c>
      <c r="O13351" t="s">
        <v>42219</v>
      </c>
      <c r="P13351">
        <v>34300</v>
      </c>
      <c r="Q13351" t="str">
        <f>"38.860951"</f>
        <v>38.860951</v>
      </c>
      <c r="R13351" t="str">
        <f>"22.974119"</f>
        <v>22.974119</v>
      </c>
      <c r="S13351" t="s">
        <v>26</v>
      </c>
    </row>
    <row r="13352" spans="1:19" x14ac:dyDescent="0.3">
      <c r="A13352" t="s">
        <v>40240</v>
      </c>
      <c r="B13352" t="s">
        <v>41596</v>
      </c>
      <c r="C13352" t="s">
        <v>42229</v>
      </c>
      <c r="D13352" t="s">
        <v>40247</v>
      </c>
      <c r="E13352" t="s">
        <v>40539</v>
      </c>
      <c r="F13352" t="s">
        <v>40617</v>
      </c>
      <c r="G13352" t="s">
        <v>42116</v>
      </c>
      <c r="H13352" t="s">
        <v>859</v>
      </c>
      <c r="I13352" t="s">
        <v>860</v>
      </c>
      <c r="J13352" t="str">
        <f>"9120416"</f>
        <v>9120416</v>
      </c>
      <c r="K13352">
        <v>2227092133</v>
      </c>
      <c r="M13352" t="s">
        <v>42230</v>
      </c>
      <c r="N13352" t="s">
        <v>42119</v>
      </c>
      <c r="O13352" t="s">
        <v>40690</v>
      </c>
      <c r="P13352">
        <v>34005</v>
      </c>
      <c r="Q13352" t="str">
        <f>"38.812805"</f>
        <v>38.812805</v>
      </c>
      <c r="R13352" t="str">
        <f>"23.368097"</f>
        <v>23.368097</v>
      </c>
      <c r="S13352" t="s">
        <v>26</v>
      </c>
    </row>
    <row r="13353" spans="1:19" x14ac:dyDescent="0.3">
      <c r="A13353" t="s">
        <v>40240</v>
      </c>
      <c r="B13353" t="s">
        <v>41596</v>
      </c>
      <c r="C13353" t="s">
        <v>42234</v>
      </c>
      <c r="D13353" t="s">
        <v>40247</v>
      </c>
      <c r="E13353" t="s">
        <v>40566</v>
      </c>
      <c r="F13353" t="s">
        <v>40682</v>
      </c>
      <c r="G13353" t="s">
        <v>15659</v>
      </c>
      <c r="H13353" t="s">
        <v>859</v>
      </c>
      <c r="I13353" t="s">
        <v>860</v>
      </c>
      <c r="J13353" t="str">
        <f>"9120355"</f>
        <v>9120355</v>
      </c>
      <c r="K13353">
        <v>2226042088</v>
      </c>
      <c r="M13353" t="s">
        <v>42235</v>
      </c>
      <c r="N13353" t="s">
        <v>15659</v>
      </c>
      <c r="O13353" t="s">
        <v>15662</v>
      </c>
      <c r="P13353">
        <v>34200</v>
      </c>
      <c r="Q13353" t="str">
        <f>"39.003012"</f>
        <v>39.003012</v>
      </c>
      <c r="R13353" t="str">
        <f>"23.330841"</f>
        <v>23.330841</v>
      </c>
      <c r="S13353" t="s">
        <v>26</v>
      </c>
    </row>
    <row r="13354" spans="1:19" x14ac:dyDescent="0.3">
      <c r="A13354" t="s">
        <v>40240</v>
      </c>
      <c r="B13354" t="s">
        <v>41596</v>
      </c>
      <c r="C13354" t="s">
        <v>42266</v>
      </c>
      <c r="D13354" t="s">
        <v>40247</v>
      </c>
      <c r="E13354" t="s">
        <v>40539</v>
      </c>
      <c r="F13354" t="s">
        <v>40617</v>
      </c>
      <c r="G13354" t="s">
        <v>41837</v>
      </c>
      <c r="H13354" t="s">
        <v>859</v>
      </c>
      <c r="I13354" t="s">
        <v>860</v>
      </c>
      <c r="J13354" t="str">
        <f>"9120078"</f>
        <v>9120078</v>
      </c>
      <c r="K13354">
        <v>2227071650</v>
      </c>
      <c r="L13354">
        <v>2227071650</v>
      </c>
      <c r="M13354" t="s">
        <v>42267</v>
      </c>
      <c r="N13354" t="s">
        <v>41837</v>
      </c>
      <c r="O13354" t="s">
        <v>41840</v>
      </c>
      <c r="P13354">
        <v>34005</v>
      </c>
      <c r="Q13354" t="str">
        <f>"38.813357"</f>
        <v>38.813357</v>
      </c>
      <c r="R13354" t="str">
        <f>"23.226996"</f>
        <v>23.226996</v>
      </c>
      <c r="S13354" t="s">
        <v>26</v>
      </c>
    </row>
    <row r="13355" spans="1:19" x14ac:dyDescent="0.3">
      <c r="A13355" t="s">
        <v>40240</v>
      </c>
      <c r="B13355" t="s">
        <v>41596</v>
      </c>
      <c r="C13355" t="s">
        <v>42271</v>
      </c>
      <c r="D13355" t="s">
        <v>40247</v>
      </c>
      <c r="E13355" t="s">
        <v>40589</v>
      </c>
      <c r="F13355" t="s">
        <v>3213</v>
      </c>
      <c r="G13355" t="s">
        <v>42270</v>
      </c>
      <c r="H13355" t="s">
        <v>859</v>
      </c>
      <c r="I13355" t="s">
        <v>860</v>
      </c>
      <c r="J13355" t="str">
        <f>"9120375"</f>
        <v>9120375</v>
      </c>
      <c r="K13355">
        <v>2222031715</v>
      </c>
      <c r="L13355">
        <v>2222031715</v>
      </c>
      <c r="M13355" t="s">
        <v>42272</v>
      </c>
      <c r="N13355" t="s">
        <v>42273</v>
      </c>
      <c r="O13355" t="s">
        <v>42274</v>
      </c>
      <c r="P13355">
        <v>34003</v>
      </c>
      <c r="Q13355" t="str">
        <f>"38.615944"</f>
        <v>38.615944</v>
      </c>
      <c r="R13355" t="str">
        <f>"24.058282"</f>
        <v>24.058282</v>
      </c>
      <c r="S13355" t="s">
        <v>26</v>
      </c>
    </row>
    <row r="13356" spans="1:19" x14ac:dyDescent="0.3">
      <c r="A13356" t="s">
        <v>40240</v>
      </c>
      <c r="B13356" t="s">
        <v>41596</v>
      </c>
      <c r="C13356" t="s">
        <v>42275</v>
      </c>
      <c r="D13356" t="s">
        <v>40247</v>
      </c>
      <c r="E13356" t="s">
        <v>40589</v>
      </c>
      <c r="F13356" t="s">
        <v>40629</v>
      </c>
      <c r="G13356" t="s">
        <v>40629</v>
      </c>
      <c r="H13356" t="s">
        <v>859</v>
      </c>
      <c r="I13356" t="s">
        <v>860</v>
      </c>
      <c r="J13356" t="str">
        <f>"9120292"</f>
        <v>9120292</v>
      </c>
      <c r="K13356">
        <v>2222058144</v>
      </c>
      <c r="L13356">
        <v>2222058144</v>
      </c>
      <c r="M13356" t="s">
        <v>42276</v>
      </c>
      <c r="N13356" t="s">
        <v>40629</v>
      </c>
      <c r="O13356" t="s">
        <v>40798</v>
      </c>
      <c r="P13356">
        <v>34016</v>
      </c>
      <c r="Q13356" t="str">
        <f>"38.571485"</f>
        <v>38.571485</v>
      </c>
      <c r="R13356" t="str">
        <f>"24.059110"</f>
        <v>24.059110</v>
      </c>
      <c r="S13356" t="s">
        <v>26</v>
      </c>
    </row>
    <row r="13357" spans="1:19" x14ac:dyDescent="0.3">
      <c r="A13357" t="s">
        <v>40240</v>
      </c>
      <c r="B13357" t="s">
        <v>41596</v>
      </c>
      <c r="C13357" t="s">
        <v>42278</v>
      </c>
      <c r="D13357" t="s">
        <v>40247</v>
      </c>
      <c r="E13357" t="s">
        <v>40589</v>
      </c>
      <c r="F13357" t="s">
        <v>3213</v>
      </c>
      <c r="G13357" t="s">
        <v>42277</v>
      </c>
      <c r="H13357" t="s">
        <v>859</v>
      </c>
      <c r="I13357" t="s">
        <v>860</v>
      </c>
      <c r="J13357" t="str">
        <f>"9120185"</f>
        <v>9120185</v>
      </c>
      <c r="K13357">
        <v>2222046296</v>
      </c>
      <c r="M13357" t="s">
        <v>42279</v>
      </c>
      <c r="N13357" t="s">
        <v>42277</v>
      </c>
      <c r="O13357" t="s">
        <v>42280</v>
      </c>
      <c r="P13357">
        <v>34011</v>
      </c>
      <c r="Q13357" t="str">
        <f>"38.579932"</f>
        <v>38.579932</v>
      </c>
      <c r="R13357" t="str">
        <f>"24.113308"</f>
        <v>24.113308</v>
      </c>
      <c r="S13357" t="s">
        <v>26</v>
      </c>
    </row>
    <row r="13358" spans="1:19" x14ac:dyDescent="0.3">
      <c r="A13358" t="s">
        <v>40240</v>
      </c>
      <c r="B13358" t="s">
        <v>41596</v>
      </c>
      <c r="C13358" t="s">
        <v>42281</v>
      </c>
      <c r="D13358" t="s">
        <v>40247</v>
      </c>
      <c r="E13358" t="s">
        <v>40521</v>
      </c>
      <c r="F13358" t="s">
        <v>40521</v>
      </c>
      <c r="G13358" t="s">
        <v>40521</v>
      </c>
      <c r="H13358" t="s">
        <v>859</v>
      </c>
      <c r="I13358" t="s">
        <v>860</v>
      </c>
      <c r="J13358" t="str">
        <f>"9120440"</f>
        <v>9120440</v>
      </c>
      <c r="K13358">
        <v>2222092218</v>
      </c>
      <c r="L13358">
        <v>2222092571</v>
      </c>
      <c r="M13358" t="s">
        <v>42282</v>
      </c>
      <c r="N13358" t="s">
        <v>40524</v>
      </c>
      <c r="O13358" t="s">
        <v>40524</v>
      </c>
      <c r="P13358">
        <v>34007</v>
      </c>
      <c r="Q13358" t="str">
        <f>"38.907357"</f>
        <v>38.907357</v>
      </c>
      <c r="R13358" t="str">
        <f>"24.566663"</f>
        <v>24.566663</v>
      </c>
      <c r="S13358" t="s">
        <v>57</v>
      </c>
    </row>
    <row r="13359" spans="1:19" x14ac:dyDescent="0.3">
      <c r="A13359" t="s">
        <v>40240</v>
      </c>
      <c r="B13359" t="s">
        <v>41596</v>
      </c>
      <c r="C13359" t="s">
        <v>42286</v>
      </c>
      <c r="D13359" t="s">
        <v>40247</v>
      </c>
      <c r="E13359" t="s">
        <v>40566</v>
      </c>
      <c r="F13359" t="s">
        <v>41740</v>
      </c>
      <c r="G13359" t="s">
        <v>32115</v>
      </c>
      <c r="H13359" t="s">
        <v>859</v>
      </c>
      <c r="I13359" t="s">
        <v>860</v>
      </c>
      <c r="J13359" t="str">
        <f>"9120044"</f>
        <v>9120044</v>
      </c>
      <c r="K13359">
        <v>2226072200</v>
      </c>
      <c r="M13359" t="s">
        <v>42287</v>
      </c>
      <c r="N13359" t="s">
        <v>42288</v>
      </c>
      <c r="O13359" t="s">
        <v>32118</v>
      </c>
      <c r="P13359">
        <v>34012</v>
      </c>
      <c r="Q13359" t="str">
        <f>"38.915305"</f>
        <v>38.915305</v>
      </c>
      <c r="R13359" t="str">
        <f>"23.112273"</f>
        <v>23.112273</v>
      </c>
      <c r="S13359" t="s">
        <v>26</v>
      </c>
    </row>
    <row r="13360" spans="1:19" x14ac:dyDescent="0.3">
      <c r="A13360" t="s">
        <v>40240</v>
      </c>
      <c r="B13360" t="s">
        <v>41596</v>
      </c>
      <c r="C13360" t="s">
        <v>42291</v>
      </c>
      <c r="D13360" t="s">
        <v>40247</v>
      </c>
      <c r="E13360" t="s">
        <v>40248</v>
      </c>
      <c r="F13360" t="s">
        <v>40248</v>
      </c>
      <c r="G13360" t="s">
        <v>40248</v>
      </c>
      <c r="H13360" t="s">
        <v>859</v>
      </c>
      <c r="I13360" t="s">
        <v>860</v>
      </c>
      <c r="J13360" t="str">
        <f>"9521126"</f>
        <v>9521126</v>
      </c>
      <c r="K13360">
        <v>2221078296</v>
      </c>
      <c r="L13360">
        <v>2221078296</v>
      </c>
      <c r="M13360" t="s">
        <v>42292</v>
      </c>
      <c r="N13360" t="s">
        <v>40536</v>
      </c>
      <c r="O13360" t="s">
        <v>42293</v>
      </c>
      <c r="P13360">
        <v>34132</v>
      </c>
      <c r="Q13360" t="str">
        <f>"38.466458"</f>
        <v>38.466458</v>
      </c>
      <c r="R13360" t="str">
        <f>"23.599960"</f>
        <v>23.599960</v>
      </c>
      <c r="S13360" t="s">
        <v>26</v>
      </c>
    </row>
    <row r="13361" spans="1:19" x14ac:dyDescent="0.3">
      <c r="A13361" t="s">
        <v>40240</v>
      </c>
      <c r="B13361" t="s">
        <v>41596</v>
      </c>
      <c r="C13361" t="s">
        <v>42294</v>
      </c>
      <c r="D13361" t="s">
        <v>40247</v>
      </c>
      <c r="E13361" t="s">
        <v>40248</v>
      </c>
      <c r="F13361" t="s">
        <v>40248</v>
      </c>
      <c r="G13361" t="s">
        <v>40248</v>
      </c>
      <c r="H13361" t="s">
        <v>859</v>
      </c>
      <c r="I13361" t="s">
        <v>1102</v>
      </c>
      <c r="J13361" t="str">
        <f>"9521283"</f>
        <v>9521283</v>
      </c>
      <c r="K13361">
        <v>2221075906</v>
      </c>
      <c r="L13361">
        <v>2221075906</v>
      </c>
      <c r="M13361" t="s">
        <v>42295</v>
      </c>
      <c r="N13361" t="s">
        <v>40536</v>
      </c>
      <c r="O13361" t="s">
        <v>42296</v>
      </c>
      <c r="P13361">
        <v>34100</v>
      </c>
      <c r="Q13361" t="str">
        <f>"38.461660"</f>
        <v>38.461660</v>
      </c>
      <c r="R13361" t="str">
        <f>"23.597581"</f>
        <v>23.597581</v>
      </c>
      <c r="S13361" t="s">
        <v>26</v>
      </c>
    </row>
    <row r="13362" spans="1:19" x14ac:dyDescent="0.3">
      <c r="A13362" t="s">
        <v>40240</v>
      </c>
      <c r="B13362" t="s">
        <v>41596</v>
      </c>
      <c r="C13362" t="s">
        <v>42297</v>
      </c>
      <c r="D13362" t="s">
        <v>40247</v>
      </c>
      <c r="E13362" t="s">
        <v>40248</v>
      </c>
      <c r="F13362" t="s">
        <v>40809</v>
      </c>
      <c r="G13362" t="s">
        <v>2808</v>
      </c>
      <c r="H13362" t="s">
        <v>859</v>
      </c>
      <c r="I13362" t="s">
        <v>860</v>
      </c>
      <c r="J13362" t="str">
        <f>"9521236"</f>
        <v>9521236</v>
      </c>
      <c r="K13362">
        <v>2221099070</v>
      </c>
      <c r="L13362">
        <v>2221099070</v>
      </c>
      <c r="M13362" t="s">
        <v>42298</v>
      </c>
      <c r="N13362" t="s">
        <v>2808</v>
      </c>
      <c r="O13362" t="s">
        <v>42299</v>
      </c>
      <c r="P13362">
        <v>34100</v>
      </c>
      <c r="Q13362" t="str">
        <f>"38.484774"</f>
        <v>38.484774</v>
      </c>
      <c r="R13362" t="str">
        <f>"23.545277"</f>
        <v>23.545277</v>
      </c>
      <c r="S13362" t="s">
        <v>26</v>
      </c>
    </row>
    <row r="13363" spans="1:19" x14ac:dyDescent="0.3">
      <c r="A13363" t="s">
        <v>40240</v>
      </c>
      <c r="B13363" t="s">
        <v>41596</v>
      </c>
      <c r="C13363" t="s">
        <v>42300</v>
      </c>
      <c r="D13363" t="s">
        <v>40247</v>
      </c>
      <c r="E13363" t="s">
        <v>40248</v>
      </c>
      <c r="F13363" t="s">
        <v>40249</v>
      </c>
      <c r="G13363" t="s">
        <v>40249</v>
      </c>
      <c r="H13363" t="s">
        <v>859</v>
      </c>
      <c r="I13363" t="s">
        <v>860</v>
      </c>
      <c r="J13363" t="str">
        <f>"9521237"</f>
        <v>9521237</v>
      </c>
      <c r="K13363">
        <v>2221044472</v>
      </c>
      <c r="L13363">
        <v>2221044472</v>
      </c>
      <c r="M13363" t="s">
        <v>42301</v>
      </c>
      <c r="N13363" t="s">
        <v>40249</v>
      </c>
      <c r="O13363" t="s">
        <v>42302</v>
      </c>
      <c r="P13363">
        <v>34600</v>
      </c>
      <c r="Q13363" t="str">
        <f>"38.530843"</f>
        <v>38.530843</v>
      </c>
      <c r="R13363" t="str">
        <f>"23.632116"</f>
        <v>23.632116</v>
      </c>
      <c r="S13363" t="s">
        <v>26</v>
      </c>
    </row>
    <row r="13364" spans="1:19" x14ac:dyDescent="0.3">
      <c r="A13364" t="s">
        <v>40240</v>
      </c>
      <c r="B13364" t="s">
        <v>41596</v>
      </c>
      <c r="C13364" t="s">
        <v>42303</v>
      </c>
      <c r="D13364" t="s">
        <v>40247</v>
      </c>
      <c r="E13364" t="s">
        <v>40521</v>
      </c>
      <c r="F13364" t="s">
        <v>40521</v>
      </c>
      <c r="G13364" t="s">
        <v>40521</v>
      </c>
      <c r="H13364" t="s">
        <v>859</v>
      </c>
      <c r="I13364" t="s">
        <v>860</v>
      </c>
      <c r="J13364" t="str">
        <f>"9521316"</f>
        <v>9521316</v>
      </c>
      <c r="K13364">
        <v>2222091608</v>
      </c>
      <c r="L13364">
        <v>2222091608</v>
      </c>
      <c r="M13364" t="s">
        <v>42304</v>
      </c>
      <c r="N13364" t="s">
        <v>40524</v>
      </c>
      <c r="O13364" t="s">
        <v>40524</v>
      </c>
      <c r="P13364">
        <v>34007</v>
      </c>
      <c r="Q13364" t="str">
        <f>"38.921573"</f>
        <v>38.921573</v>
      </c>
      <c r="R13364" t="str">
        <f>"24.576416"</f>
        <v>24.576416</v>
      </c>
      <c r="S13364" t="s">
        <v>57</v>
      </c>
    </row>
    <row r="13365" spans="1:19" x14ac:dyDescent="0.3">
      <c r="A13365" t="s">
        <v>40240</v>
      </c>
      <c r="B13365" t="s">
        <v>41596</v>
      </c>
      <c r="C13365" t="s">
        <v>42305</v>
      </c>
      <c r="D13365" t="s">
        <v>40247</v>
      </c>
      <c r="E13365" t="s">
        <v>40566</v>
      </c>
      <c r="F13365" t="s">
        <v>40582</v>
      </c>
      <c r="G13365" t="s">
        <v>40583</v>
      </c>
      <c r="H13365" t="s">
        <v>859</v>
      </c>
      <c r="I13365" t="s">
        <v>860</v>
      </c>
      <c r="J13365" t="str">
        <f>"9521317"</f>
        <v>9521317</v>
      </c>
      <c r="K13365">
        <v>2226023818</v>
      </c>
      <c r="L13365">
        <v>2226023818</v>
      </c>
      <c r="M13365" t="s">
        <v>42306</v>
      </c>
      <c r="N13365" t="s">
        <v>42122</v>
      </c>
      <c r="O13365" t="s">
        <v>42307</v>
      </c>
      <c r="P13365">
        <v>34300</v>
      </c>
      <c r="Q13365" t="str">
        <f>"38.860245"</f>
        <v>38.860245</v>
      </c>
      <c r="R13365" t="str">
        <f>"23.046216"</f>
        <v>23.046216</v>
      </c>
      <c r="S13365" t="s">
        <v>26</v>
      </c>
    </row>
    <row r="13366" spans="1:19" x14ac:dyDescent="0.3">
      <c r="A13366" t="s">
        <v>40240</v>
      </c>
      <c r="B13366" t="s">
        <v>41596</v>
      </c>
      <c r="C13366" t="s">
        <v>42310</v>
      </c>
      <c r="D13366" t="s">
        <v>40247</v>
      </c>
      <c r="E13366" t="s">
        <v>22629</v>
      </c>
      <c r="F13366" t="s">
        <v>40610</v>
      </c>
      <c r="G13366" t="s">
        <v>40694</v>
      </c>
      <c r="H13366" t="s">
        <v>859</v>
      </c>
      <c r="I13366" t="s">
        <v>860</v>
      </c>
      <c r="J13366" t="str">
        <f>"9120294"</f>
        <v>9120294</v>
      </c>
      <c r="K13366">
        <v>2229091679</v>
      </c>
      <c r="L13366">
        <v>2229091679</v>
      </c>
      <c r="M13366" t="s">
        <v>42311</v>
      </c>
      <c r="N13366" t="s">
        <v>40694</v>
      </c>
      <c r="O13366" t="s">
        <v>42312</v>
      </c>
      <c r="P13366">
        <v>34006</v>
      </c>
      <c r="Q13366" t="str">
        <f>"38.444943"</f>
        <v>38.444943</v>
      </c>
      <c r="R13366" t="str">
        <f>"23.885740"</f>
        <v>23.885740</v>
      </c>
      <c r="S13366" t="s">
        <v>26</v>
      </c>
    </row>
    <row r="13367" spans="1:19" x14ac:dyDescent="0.3">
      <c r="A13367" t="s">
        <v>40240</v>
      </c>
      <c r="B13367" t="s">
        <v>41596</v>
      </c>
      <c r="C13367" t="s">
        <v>42313</v>
      </c>
      <c r="D13367" t="s">
        <v>40247</v>
      </c>
      <c r="E13367" t="s">
        <v>22629</v>
      </c>
      <c r="F13367" t="s">
        <v>22629</v>
      </c>
      <c r="G13367" t="s">
        <v>22629</v>
      </c>
      <c r="H13367" t="s">
        <v>859</v>
      </c>
      <c r="I13367" t="s">
        <v>860</v>
      </c>
      <c r="J13367" t="str">
        <f>"9521315"</f>
        <v>9521315</v>
      </c>
      <c r="K13367">
        <v>2229066383</v>
      </c>
      <c r="L13367">
        <v>2229066215</v>
      </c>
      <c r="M13367" t="s">
        <v>42314</v>
      </c>
      <c r="N13367" t="s">
        <v>22629</v>
      </c>
      <c r="O13367" t="s">
        <v>42315</v>
      </c>
      <c r="P13367">
        <v>34008</v>
      </c>
      <c r="Q13367" t="str">
        <f>"38.393703"</f>
        <v>38.393703</v>
      </c>
      <c r="R13367" t="str">
        <f>"23.787153"</f>
        <v>23.787153</v>
      </c>
      <c r="S13367" t="s">
        <v>26</v>
      </c>
    </row>
    <row r="13368" spans="1:19" x14ac:dyDescent="0.3">
      <c r="A13368" t="s">
        <v>40240</v>
      </c>
      <c r="B13368" t="s">
        <v>41596</v>
      </c>
      <c r="C13368" t="s">
        <v>42320</v>
      </c>
      <c r="D13368" t="s">
        <v>40247</v>
      </c>
      <c r="E13368" t="s">
        <v>40589</v>
      </c>
      <c r="F13368" t="s">
        <v>40667</v>
      </c>
      <c r="G13368" t="s">
        <v>14943</v>
      </c>
      <c r="H13368" t="s">
        <v>859</v>
      </c>
      <c r="I13368" t="s">
        <v>860</v>
      </c>
      <c r="J13368" t="str">
        <f>"9120135"</f>
        <v>9120135</v>
      </c>
      <c r="K13368">
        <v>2223081477</v>
      </c>
      <c r="L13368">
        <v>2223081477</v>
      </c>
      <c r="M13368" t="s">
        <v>42321</v>
      </c>
      <c r="N13368" t="s">
        <v>40671</v>
      </c>
      <c r="O13368" t="s">
        <v>19973</v>
      </c>
      <c r="P13368">
        <v>34500</v>
      </c>
      <c r="Q13368" t="str">
        <f>"38.450936"</f>
        <v>38.450936</v>
      </c>
      <c r="R13368" t="str">
        <f>"24.002971"</f>
        <v>24.002971</v>
      </c>
      <c r="S13368" t="s">
        <v>26</v>
      </c>
    </row>
    <row r="13369" spans="1:19" x14ac:dyDescent="0.3">
      <c r="A13369" t="s">
        <v>40240</v>
      </c>
      <c r="B13369" t="s">
        <v>41596</v>
      </c>
      <c r="C13369" t="s">
        <v>42322</v>
      </c>
      <c r="D13369" t="s">
        <v>40247</v>
      </c>
      <c r="E13369" t="s">
        <v>40589</v>
      </c>
      <c r="F13369" t="s">
        <v>40667</v>
      </c>
      <c r="G13369" t="s">
        <v>30491</v>
      </c>
      <c r="H13369" t="s">
        <v>859</v>
      </c>
      <c r="I13369" t="s">
        <v>860</v>
      </c>
      <c r="J13369" t="str">
        <f>"9120293"</f>
        <v>9120293</v>
      </c>
      <c r="K13369">
        <v>2223081455</v>
      </c>
      <c r="M13369" t="s">
        <v>42323</v>
      </c>
      <c r="N13369" t="s">
        <v>40671</v>
      </c>
      <c r="O13369" t="s">
        <v>30494</v>
      </c>
      <c r="P13369">
        <v>34500</v>
      </c>
      <c r="Q13369" t="str">
        <f>"38.443480"</f>
        <v>38.443480</v>
      </c>
      <c r="R13369" t="str">
        <f>"24.024980"</f>
        <v>24.024980</v>
      </c>
      <c r="S13369" t="s">
        <v>26</v>
      </c>
    </row>
    <row r="13370" spans="1:19" x14ac:dyDescent="0.3">
      <c r="A13370" t="s">
        <v>40240</v>
      </c>
      <c r="B13370" t="s">
        <v>41596</v>
      </c>
      <c r="C13370" t="s">
        <v>42324</v>
      </c>
      <c r="D13370" t="s">
        <v>40247</v>
      </c>
      <c r="E13370" t="s">
        <v>40589</v>
      </c>
      <c r="F13370" t="s">
        <v>40748</v>
      </c>
      <c r="G13370" t="s">
        <v>42247</v>
      </c>
      <c r="H13370" t="s">
        <v>859</v>
      </c>
      <c r="I13370" t="s">
        <v>860</v>
      </c>
      <c r="J13370" t="str">
        <f>"9120358"</f>
        <v>9120358</v>
      </c>
      <c r="K13370">
        <v>2223058144</v>
      </c>
      <c r="L13370">
        <v>2223058144</v>
      </c>
      <c r="M13370" t="s">
        <v>42325</v>
      </c>
      <c r="N13370" t="s">
        <v>8387</v>
      </c>
      <c r="O13370" t="s">
        <v>35744</v>
      </c>
      <c r="P13370">
        <v>34017</v>
      </c>
      <c r="Q13370" t="str">
        <f>"38.412705"</f>
        <v>38.412705</v>
      </c>
      <c r="R13370" t="str">
        <f>"24.194994"</f>
        <v>24.194994</v>
      </c>
      <c r="S13370" t="s">
        <v>26</v>
      </c>
    </row>
    <row r="13371" spans="1:19" x14ac:dyDescent="0.3">
      <c r="A13371" t="s">
        <v>40240</v>
      </c>
      <c r="B13371" t="s">
        <v>41596</v>
      </c>
      <c r="C13371" t="s">
        <v>42326</v>
      </c>
      <c r="D13371" t="s">
        <v>40247</v>
      </c>
      <c r="E13371" t="s">
        <v>40589</v>
      </c>
      <c r="F13371" t="s">
        <v>4068</v>
      </c>
      <c r="G13371" t="s">
        <v>13744</v>
      </c>
      <c r="H13371" t="s">
        <v>859</v>
      </c>
      <c r="I13371" t="s">
        <v>860</v>
      </c>
      <c r="J13371" t="str">
        <f>"9120366"</f>
        <v>9120366</v>
      </c>
      <c r="K13371">
        <v>2223041956</v>
      </c>
      <c r="L13371">
        <v>2223041956</v>
      </c>
      <c r="M13371" t="s">
        <v>42327</v>
      </c>
      <c r="N13371" t="s">
        <v>13744</v>
      </c>
      <c r="O13371" t="s">
        <v>13748</v>
      </c>
      <c r="P13371">
        <v>34009</v>
      </c>
      <c r="Q13371" t="str">
        <f>"38.451255"</f>
        <v>38.451255</v>
      </c>
      <c r="R13371" t="str">
        <f>"24.112102"</f>
        <v>24.112102</v>
      </c>
      <c r="S13371" t="s">
        <v>26</v>
      </c>
    </row>
    <row r="13372" spans="1:19" x14ac:dyDescent="0.3">
      <c r="A13372" t="s">
        <v>40240</v>
      </c>
      <c r="B13372" t="s">
        <v>41596</v>
      </c>
      <c r="C13372" t="s">
        <v>42336</v>
      </c>
      <c r="D13372" t="s">
        <v>40247</v>
      </c>
      <c r="E13372" t="s">
        <v>40248</v>
      </c>
      <c r="F13372" t="s">
        <v>40514</v>
      </c>
      <c r="G13372" t="s">
        <v>16068</v>
      </c>
      <c r="H13372" t="s">
        <v>859</v>
      </c>
      <c r="I13372" t="s">
        <v>860</v>
      </c>
      <c r="J13372" t="str">
        <f>"9521516"</f>
        <v>9521516</v>
      </c>
      <c r="K13372">
        <v>2221052128</v>
      </c>
      <c r="L13372">
        <v>2221052128</v>
      </c>
      <c r="M13372" t="s">
        <v>42337</v>
      </c>
      <c r="N13372" t="s">
        <v>16068</v>
      </c>
      <c r="O13372" t="s">
        <v>42338</v>
      </c>
      <c r="P13372">
        <v>34002</v>
      </c>
      <c r="Q13372" t="str">
        <f>"38.424003"</f>
        <v>38.424003</v>
      </c>
      <c r="R13372" t="str">
        <f>"23.697829"</f>
        <v>23.697829</v>
      </c>
      <c r="S13372" t="s">
        <v>26</v>
      </c>
    </row>
    <row r="13373" spans="1:19" x14ac:dyDescent="0.3">
      <c r="A13373" t="s">
        <v>40240</v>
      </c>
      <c r="B13373" t="s">
        <v>41596</v>
      </c>
      <c r="C13373" t="s">
        <v>42340</v>
      </c>
      <c r="D13373" t="s">
        <v>40247</v>
      </c>
      <c r="E13373" t="s">
        <v>40248</v>
      </c>
      <c r="F13373" t="s">
        <v>40596</v>
      </c>
      <c r="G13373" t="s">
        <v>41898</v>
      </c>
      <c r="H13373" t="s">
        <v>859</v>
      </c>
      <c r="I13373" t="s">
        <v>860</v>
      </c>
      <c r="J13373" t="str">
        <f>"9521515"</f>
        <v>9521515</v>
      </c>
      <c r="N13373" t="s">
        <v>42341</v>
      </c>
      <c r="O13373" t="s">
        <v>40600</v>
      </c>
      <c r="P13373">
        <v>0</v>
      </c>
      <c r="Q13373" t="str">
        <f>""</f>
        <v/>
      </c>
      <c r="R13373" t="str">
        <f>""</f>
        <v/>
      </c>
      <c r="S13373" t="s">
        <v>26</v>
      </c>
    </row>
    <row r="13374" spans="1:19" x14ac:dyDescent="0.3">
      <c r="A13374" t="s">
        <v>40240</v>
      </c>
      <c r="B13374" t="s">
        <v>41596</v>
      </c>
      <c r="C13374" t="s">
        <v>42342</v>
      </c>
      <c r="D13374" t="s">
        <v>40247</v>
      </c>
      <c r="E13374" t="s">
        <v>40248</v>
      </c>
      <c r="F13374" t="s">
        <v>40248</v>
      </c>
      <c r="G13374" t="s">
        <v>40248</v>
      </c>
      <c r="H13374" t="s">
        <v>859</v>
      </c>
      <c r="I13374" t="s">
        <v>860</v>
      </c>
      <c r="J13374" t="str">
        <f>"9521591"</f>
        <v>9521591</v>
      </c>
      <c r="K13374">
        <v>2221037790</v>
      </c>
      <c r="L13374">
        <v>2221037790</v>
      </c>
      <c r="M13374" t="s">
        <v>42343</v>
      </c>
      <c r="N13374" t="s">
        <v>40536</v>
      </c>
      <c r="O13374" t="s">
        <v>42344</v>
      </c>
      <c r="P13374">
        <v>34100</v>
      </c>
      <c r="Q13374" t="str">
        <f>"38.472590"</f>
        <v>38.472590</v>
      </c>
      <c r="R13374" t="str">
        <f>"23.576445"</f>
        <v>23.576445</v>
      </c>
      <c r="S13374" t="s">
        <v>26</v>
      </c>
    </row>
    <row r="13375" spans="1:19" x14ac:dyDescent="0.3">
      <c r="A13375" t="s">
        <v>40240</v>
      </c>
      <c r="B13375" t="s">
        <v>41596</v>
      </c>
      <c r="C13375" t="s">
        <v>42348</v>
      </c>
      <c r="D13375" t="s">
        <v>40247</v>
      </c>
      <c r="E13375" t="s">
        <v>40566</v>
      </c>
      <c r="F13375" t="s">
        <v>41740</v>
      </c>
      <c r="G13375" t="s">
        <v>42347</v>
      </c>
      <c r="H13375" t="s">
        <v>859</v>
      </c>
      <c r="I13375" t="s">
        <v>1102</v>
      </c>
      <c r="J13375" t="str">
        <f>"9521683"</f>
        <v>9521683</v>
      </c>
      <c r="Q13375" t="str">
        <f>""</f>
        <v/>
      </c>
      <c r="R13375" t="str">
        <f>""</f>
        <v/>
      </c>
      <c r="S13375" t="s">
        <v>26</v>
      </c>
    </row>
    <row r="13376" spans="1:19" x14ac:dyDescent="0.3">
      <c r="A13376" t="s">
        <v>40240</v>
      </c>
      <c r="B13376" t="s">
        <v>42353</v>
      </c>
      <c r="C13376" t="s">
        <v>42360</v>
      </c>
      <c r="D13376" t="s">
        <v>40254</v>
      </c>
      <c r="E13376" t="s">
        <v>40255</v>
      </c>
      <c r="F13376" t="s">
        <v>40836</v>
      </c>
      <c r="G13376" t="s">
        <v>40837</v>
      </c>
      <c r="H13376" t="s">
        <v>859</v>
      </c>
      <c r="I13376" t="s">
        <v>860</v>
      </c>
      <c r="J13376" t="str">
        <f>"9130059"</f>
        <v>9130059</v>
      </c>
      <c r="K13376">
        <v>2237051382</v>
      </c>
      <c r="L13376">
        <v>2237051382</v>
      </c>
      <c r="M13376" t="s">
        <v>42361</v>
      </c>
      <c r="N13376" t="s">
        <v>40837</v>
      </c>
      <c r="O13376" t="s">
        <v>40840</v>
      </c>
      <c r="P13376">
        <v>36080</v>
      </c>
      <c r="Q13376" t="str">
        <f>"39.061144"</f>
        <v>39.061144</v>
      </c>
      <c r="R13376" t="str">
        <f>"21.877074"</f>
        <v>21.877074</v>
      </c>
      <c r="S13376" t="s">
        <v>57</v>
      </c>
    </row>
    <row r="13377" spans="1:19" x14ac:dyDescent="0.3">
      <c r="A13377" t="s">
        <v>40240</v>
      </c>
      <c r="B13377" t="s">
        <v>42353</v>
      </c>
      <c r="C13377" t="s">
        <v>42363</v>
      </c>
      <c r="D13377" t="s">
        <v>40254</v>
      </c>
      <c r="E13377" t="s">
        <v>40842</v>
      </c>
      <c r="F13377" t="s">
        <v>40862</v>
      </c>
      <c r="G13377" t="s">
        <v>42362</v>
      </c>
      <c r="H13377" t="s">
        <v>859</v>
      </c>
      <c r="I13377" t="s">
        <v>860</v>
      </c>
      <c r="J13377" t="str">
        <f>"9130143"</f>
        <v>9130143</v>
      </c>
      <c r="K13377">
        <v>2237061704</v>
      </c>
      <c r="L13377">
        <v>2237061704</v>
      </c>
      <c r="M13377" t="s">
        <v>42364</v>
      </c>
      <c r="N13377" t="s">
        <v>42365</v>
      </c>
      <c r="O13377" t="s">
        <v>42366</v>
      </c>
      <c r="P13377">
        <v>36072</v>
      </c>
      <c r="Q13377" t="str">
        <f>"39.132912"</f>
        <v>39.132912</v>
      </c>
      <c r="R13377" t="str">
        <f>"21.424172"</f>
        <v>21.424172</v>
      </c>
      <c r="S13377" t="s">
        <v>57</v>
      </c>
    </row>
    <row r="13378" spans="1:19" x14ac:dyDescent="0.3">
      <c r="A13378" t="s">
        <v>40240</v>
      </c>
      <c r="B13378" t="s">
        <v>42353</v>
      </c>
      <c r="C13378" t="s">
        <v>42375</v>
      </c>
      <c r="D13378" t="s">
        <v>40254</v>
      </c>
      <c r="E13378" t="s">
        <v>40842</v>
      </c>
      <c r="F13378" t="s">
        <v>40843</v>
      </c>
      <c r="G13378" t="s">
        <v>40844</v>
      </c>
      <c r="H13378" t="s">
        <v>859</v>
      </c>
      <c r="I13378" t="s">
        <v>860</v>
      </c>
      <c r="J13378" t="str">
        <f>"9130124"</f>
        <v>9130124</v>
      </c>
      <c r="K13378">
        <v>2237061840</v>
      </c>
      <c r="L13378">
        <v>2237061840</v>
      </c>
      <c r="M13378" t="s">
        <v>42376</v>
      </c>
      <c r="N13378" t="s">
        <v>42377</v>
      </c>
      <c r="O13378" t="s">
        <v>40847</v>
      </c>
      <c r="P13378">
        <v>36072</v>
      </c>
      <c r="Q13378" t="str">
        <f>"39.101254"</f>
        <v>39.101254</v>
      </c>
      <c r="R13378" t="str">
        <f>"21.511234"</f>
        <v>21.511234</v>
      </c>
      <c r="S13378" t="s">
        <v>57</v>
      </c>
    </row>
    <row r="13379" spans="1:19" x14ac:dyDescent="0.3">
      <c r="A13379" t="s">
        <v>40240</v>
      </c>
      <c r="B13379" t="s">
        <v>42353</v>
      </c>
      <c r="C13379" t="s">
        <v>42383</v>
      </c>
      <c r="D13379" t="s">
        <v>40254</v>
      </c>
      <c r="E13379" t="s">
        <v>40842</v>
      </c>
      <c r="F13379" t="s">
        <v>40862</v>
      </c>
      <c r="G13379" t="s">
        <v>40863</v>
      </c>
      <c r="H13379" t="s">
        <v>859</v>
      </c>
      <c r="I13379" t="s">
        <v>860</v>
      </c>
      <c r="J13379" t="str">
        <f>"9520970"</f>
        <v>9520970</v>
      </c>
      <c r="K13379">
        <v>2237097252</v>
      </c>
      <c r="L13379">
        <v>2237097252</v>
      </c>
      <c r="M13379" t="s">
        <v>42384</v>
      </c>
      <c r="N13379" t="s">
        <v>40863</v>
      </c>
      <c r="O13379" t="s">
        <v>40867</v>
      </c>
      <c r="P13379">
        <v>36070</v>
      </c>
      <c r="Q13379" t="str">
        <f>"39.148764"</f>
        <v>39.148764</v>
      </c>
      <c r="R13379" t="str">
        <f>"21.480487"</f>
        <v>21.480487</v>
      </c>
      <c r="S13379" t="s">
        <v>57</v>
      </c>
    </row>
    <row r="13380" spans="1:19" x14ac:dyDescent="0.3">
      <c r="A13380" t="s">
        <v>40240</v>
      </c>
      <c r="B13380" t="s">
        <v>42353</v>
      </c>
      <c r="C13380" t="s">
        <v>42387</v>
      </c>
      <c r="D13380" t="s">
        <v>40254</v>
      </c>
      <c r="E13380" t="s">
        <v>40842</v>
      </c>
      <c r="F13380" t="s">
        <v>40849</v>
      </c>
      <c r="G13380" t="s">
        <v>40850</v>
      </c>
      <c r="H13380" t="s">
        <v>859</v>
      </c>
      <c r="I13380" t="s">
        <v>860</v>
      </c>
      <c r="J13380" t="str">
        <f>"9130134"</f>
        <v>9130134</v>
      </c>
      <c r="K13380">
        <v>2237094141</v>
      </c>
      <c r="L13380">
        <v>2237094141</v>
      </c>
      <c r="M13380" t="s">
        <v>42388</v>
      </c>
      <c r="N13380" t="s">
        <v>40850</v>
      </c>
      <c r="O13380" t="s">
        <v>42389</v>
      </c>
      <c r="P13380">
        <v>36071</v>
      </c>
      <c r="Q13380" t="str">
        <f>"38.958013"</f>
        <v>38.958013</v>
      </c>
      <c r="R13380" t="str">
        <f>"21.603447"</f>
        <v>21.603447</v>
      </c>
      <c r="S13380" t="s">
        <v>57</v>
      </c>
    </row>
    <row r="13381" spans="1:19" x14ac:dyDescent="0.3">
      <c r="A13381" t="s">
        <v>40240</v>
      </c>
      <c r="B13381" t="s">
        <v>42353</v>
      </c>
      <c r="C13381" t="s">
        <v>42398</v>
      </c>
      <c r="D13381" t="s">
        <v>40254</v>
      </c>
      <c r="E13381" t="s">
        <v>40255</v>
      </c>
      <c r="F13381" t="s">
        <v>40255</v>
      </c>
      <c r="G13381" t="s">
        <v>40255</v>
      </c>
      <c r="H13381" t="s">
        <v>859</v>
      </c>
      <c r="I13381" t="s">
        <v>860</v>
      </c>
      <c r="J13381" t="str">
        <f>"9130002"</f>
        <v>9130002</v>
      </c>
      <c r="K13381">
        <v>2237023312</v>
      </c>
      <c r="L13381">
        <v>2237022266</v>
      </c>
      <c r="M13381" t="s">
        <v>42399</v>
      </c>
      <c r="N13381" t="s">
        <v>40255</v>
      </c>
      <c r="O13381" t="s">
        <v>42400</v>
      </c>
      <c r="P13381">
        <v>36100</v>
      </c>
      <c r="Q13381" t="str">
        <f>"38.919560"</f>
        <v>38.919560</v>
      </c>
      <c r="R13381" t="str">
        <f>"21.788844"</f>
        <v>21.788844</v>
      </c>
      <c r="S13381" t="s">
        <v>26</v>
      </c>
    </row>
    <row r="13382" spans="1:19" x14ac:dyDescent="0.3">
      <c r="A13382" t="s">
        <v>40240</v>
      </c>
      <c r="B13382" t="s">
        <v>42353</v>
      </c>
      <c r="C13382" t="s">
        <v>42401</v>
      </c>
      <c r="D13382" t="s">
        <v>40254</v>
      </c>
      <c r="E13382" t="s">
        <v>40842</v>
      </c>
      <c r="F13382" t="s">
        <v>40849</v>
      </c>
      <c r="G13382" t="s">
        <v>40880</v>
      </c>
      <c r="H13382" t="s">
        <v>859</v>
      </c>
      <c r="I13382" t="s">
        <v>860</v>
      </c>
      <c r="J13382" t="str">
        <f>"9130133"</f>
        <v>9130133</v>
      </c>
      <c r="K13382">
        <v>2237095898</v>
      </c>
      <c r="M13382" t="s">
        <v>42402</v>
      </c>
      <c r="N13382" t="s">
        <v>40880</v>
      </c>
      <c r="O13382" t="s">
        <v>40883</v>
      </c>
      <c r="P13382">
        <v>36072</v>
      </c>
      <c r="Q13382" t="str">
        <f>"39.067919"</f>
        <v>39.067919</v>
      </c>
      <c r="R13382" t="str">
        <f>"21.471550"</f>
        <v>21.471550</v>
      </c>
      <c r="S13382" t="s">
        <v>57</v>
      </c>
    </row>
    <row r="13383" spans="1:19" x14ac:dyDescent="0.3">
      <c r="A13383" t="s">
        <v>40240</v>
      </c>
      <c r="B13383" t="s">
        <v>42353</v>
      </c>
      <c r="C13383" t="s">
        <v>42403</v>
      </c>
      <c r="D13383" t="s">
        <v>40254</v>
      </c>
      <c r="E13383" t="s">
        <v>40842</v>
      </c>
      <c r="F13383" t="s">
        <v>40843</v>
      </c>
      <c r="G13383" t="s">
        <v>42378</v>
      </c>
      <c r="H13383" t="s">
        <v>859</v>
      </c>
      <c r="I13383" t="s">
        <v>860</v>
      </c>
      <c r="J13383" t="str">
        <f>"9130135"</f>
        <v>9130135</v>
      </c>
      <c r="K13383">
        <v>2237061883</v>
      </c>
      <c r="L13383">
        <v>2237061883</v>
      </c>
      <c r="M13383" t="s">
        <v>42404</v>
      </c>
      <c r="N13383" t="s">
        <v>42405</v>
      </c>
      <c r="O13383" t="s">
        <v>42382</v>
      </c>
      <c r="P13383">
        <v>36072</v>
      </c>
      <c r="Q13383" t="str">
        <f>"39.038952"</f>
        <v>39.038952</v>
      </c>
      <c r="R13383" t="str">
        <f>"21.446681"</f>
        <v>21.446681</v>
      </c>
      <c r="S13383" t="s">
        <v>57</v>
      </c>
    </row>
    <row r="13384" spans="1:19" x14ac:dyDescent="0.3">
      <c r="A13384" t="s">
        <v>40240</v>
      </c>
      <c r="B13384" t="s">
        <v>42353</v>
      </c>
      <c r="C13384" t="s">
        <v>42406</v>
      </c>
      <c r="D13384" t="s">
        <v>40254</v>
      </c>
      <c r="E13384" t="s">
        <v>40255</v>
      </c>
      <c r="F13384" t="s">
        <v>40255</v>
      </c>
      <c r="G13384" t="s">
        <v>40255</v>
      </c>
      <c r="H13384" t="s">
        <v>859</v>
      </c>
      <c r="I13384" t="s">
        <v>860</v>
      </c>
      <c r="J13384" t="str">
        <f>"9130139"</f>
        <v>9130139</v>
      </c>
      <c r="K13384">
        <v>2237022021</v>
      </c>
      <c r="L13384">
        <v>2237022021</v>
      </c>
      <c r="M13384" t="s">
        <v>42407</v>
      </c>
      <c r="N13384" t="s">
        <v>40255</v>
      </c>
      <c r="O13384" t="s">
        <v>42408</v>
      </c>
      <c r="P13384">
        <v>36100</v>
      </c>
      <c r="Q13384" t="str">
        <f>"38.911163"</f>
        <v>38.911163</v>
      </c>
      <c r="R13384" t="str">
        <f>"21.808073"</f>
        <v>21.808073</v>
      </c>
      <c r="S13384" t="s">
        <v>26</v>
      </c>
    </row>
    <row r="13385" spans="1:19" x14ac:dyDescent="0.3">
      <c r="A13385" t="s">
        <v>40240</v>
      </c>
      <c r="B13385" t="s">
        <v>42353</v>
      </c>
      <c r="C13385" t="s">
        <v>42413</v>
      </c>
      <c r="D13385" t="s">
        <v>40254</v>
      </c>
      <c r="E13385" t="s">
        <v>40842</v>
      </c>
      <c r="F13385" t="s">
        <v>40869</v>
      </c>
      <c r="G13385" t="s">
        <v>40870</v>
      </c>
      <c r="H13385" t="s">
        <v>859</v>
      </c>
      <c r="I13385" t="s">
        <v>860</v>
      </c>
      <c r="J13385" t="str">
        <f>"9130144"</f>
        <v>9130144</v>
      </c>
      <c r="K13385">
        <v>2237031340</v>
      </c>
      <c r="L13385">
        <v>2237031340</v>
      </c>
      <c r="M13385" t="s">
        <v>42414</v>
      </c>
      <c r="N13385" t="s">
        <v>42359</v>
      </c>
      <c r="O13385" t="s">
        <v>42415</v>
      </c>
      <c r="P13385">
        <v>36071</v>
      </c>
      <c r="Q13385" t="str">
        <f>"38.998985"</f>
        <v>38.998985</v>
      </c>
      <c r="R13385" t="str">
        <f>"21.616546"</f>
        <v>21.616546</v>
      </c>
      <c r="S13385" t="s">
        <v>57</v>
      </c>
    </row>
    <row r="13386" spans="1:19" x14ac:dyDescent="0.3">
      <c r="A13386" t="s">
        <v>40240</v>
      </c>
      <c r="B13386" t="s">
        <v>42353</v>
      </c>
      <c r="C13386" t="s">
        <v>42418</v>
      </c>
      <c r="D13386" t="s">
        <v>40254</v>
      </c>
      <c r="E13386" t="s">
        <v>40255</v>
      </c>
      <c r="F13386" t="s">
        <v>1782</v>
      </c>
      <c r="G13386" t="s">
        <v>35947</v>
      </c>
      <c r="H13386" t="s">
        <v>859</v>
      </c>
      <c r="I13386" t="s">
        <v>860</v>
      </c>
      <c r="J13386" t="str">
        <f>"9130151"</f>
        <v>9130151</v>
      </c>
      <c r="K13386">
        <v>2237041296</v>
      </c>
      <c r="L13386">
        <v>2237041296</v>
      </c>
      <c r="M13386" t="s">
        <v>42419</v>
      </c>
      <c r="N13386" t="s">
        <v>35947</v>
      </c>
      <c r="O13386" t="s">
        <v>42420</v>
      </c>
      <c r="P13386">
        <v>36100</v>
      </c>
      <c r="Q13386" t="str">
        <f>"38.826600"</f>
        <v>38.826600</v>
      </c>
      <c r="R13386" t="str">
        <f>"21.742166"</f>
        <v>21.742166</v>
      </c>
      <c r="S13386" t="s">
        <v>26</v>
      </c>
    </row>
    <row r="13387" spans="1:19" x14ac:dyDescent="0.3">
      <c r="A13387" t="s">
        <v>40240</v>
      </c>
      <c r="B13387" t="s">
        <v>42353</v>
      </c>
      <c r="C13387" t="s">
        <v>42421</v>
      </c>
      <c r="D13387" t="s">
        <v>40254</v>
      </c>
      <c r="E13387" t="s">
        <v>40255</v>
      </c>
      <c r="F13387" t="s">
        <v>40255</v>
      </c>
      <c r="G13387" t="s">
        <v>40255</v>
      </c>
      <c r="H13387" t="s">
        <v>859</v>
      </c>
      <c r="I13387" t="s">
        <v>860</v>
      </c>
      <c r="J13387" t="str">
        <f>"9130142"</f>
        <v>9130142</v>
      </c>
      <c r="K13387">
        <v>2237023611</v>
      </c>
      <c r="L13387">
        <v>2237023274</v>
      </c>
      <c r="M13387" t="s">
        <v>42422</v>
      </c>
      <c r="N13387" t="s">
        <v>40255</v>
      </c>
      <c r="O13387" t="s">
        <v>42369</v>
      </c>
      <c r="P13387">
        <v>36100</v>
      </c>
      <c r="Q13387" t="str">
        <f>"38.907852"</f>
        <v>38.907852</v>
      </c>
      <c r="R13387" t="str">
        <f>"21.793843"</f>
        <v>21.793843</v>
      </c>
      <c r="S13387" t="s">
        <v>26</v>
      </c>
    </row>
    <row r="13388" spans="1:19" x14ac:dyDescent="0.3">
      <c r="A13388" t="s">
        <v>40240</v>
      </c>
      <c r="B13388" t="s">
        <v>42353</v>
      </c>
      <c r="C13388" t="s">
        <v>42424</v>
      </c>
      <c r="D13388" t="s">
        <v>40254</v>
      </c>
      <c r="E13388" t="s">
        <v>40255</v>
      </c>
      <c r="F13388" t="s">
        <v>40255</v>
      </c>
      <c r="G13388" t="s">
        <v>40255</v>
      </c>
      <c r="H13388" t="s">
        <v>859</v>
      </c>
      <c r="I13388" t="s">
        <v>860</v>
      </c>
      <c r="J13388" t="str">
        <f>"9130065"</f>
        <v>9130065</v>
      </c>
      <c r="K13388">
        <v>2237023092</v>
      </c>
      <c r="M13388" t="s">
        <v>42425</v>
      </c>
      <c r="N13388" t="s">
        <v>40255</v>
      </c>
      <c r="O13388" t="s">
        <v>42426</v>
      </c>
      <c r="P13388">
        <v>36100</v>
      </c>
      <c r="Q13388" t="str">
        <f>"38.914426"</f>
        <v>38.914426</v>
      </c>
      <c r="R13388" t="str">
        <f>"21.794255"</f>
        <v>21.794255</v>
      </c>
      <c r="S13388" t="s">
        <v>26</v>
      </c>
    </row>
    <row r="13389" spans="1:19" x14ac:dyDescent="0.3">
      <c r="A13389" t="s">
        <v>40240</v>
      </c>
      <c r="B13389" t="s">
        <v>42353</v>
      </c>
      <c r="C13389" t="s">
        <v>42444</v>
      </c>
      <c r="D13389" t="s">
        <v>40254</v>
      </c>
      <c r="E13389" t="s">
        <v>40255</v>
      </c>
      <c r="F13389" t="s">
        <v>40255</v>
      </c>
      <c r="G13389" t="s">
        <v>40255</v>
      </c>
      <c r="H13389" t="s">
        <v>859</v>
      </c>
      <c r="I13389" t="s">
        <v>1102</v>
      </c>
      <c r="J13389" t="str">
        <f>"9521487"</f>
        <v>9521487</v>
      </c>
      <c r="K13389">
        <v>2237024495</v>
      </c>
      <c r="L13389">
        <v>2237023746</v>
      </c>
      <c r="M13389" t="s">
        <v>42445</v>
      </c>
      <c r="N13389" t="s">
        <v>40255</v>
      </c>
      <c r="O13389" t="s">
        <v>42441</v>
      </c>
      <c r="P13389">
        <v>36100</v>
      </c>
      <c r="Q13389" t="str">
        <f>"38.911032"</f>
        <v>38.911032</v>
      </c>
      <c r="R13389" t="str">
        <f>"21.808843"</f>
        <v>21.808843</v>
      </c>
      <c r="S13389" t="s">
        <v>26</v>
      </c>
    </row>
    <row r="13390" spans="1:19" x14ac:dyDescent="0.3">
      <c r="A13390" t="s">
        <v>40240</v>
      </c>
      <c r="B13390" t="s">
        <v>42353</v>
      </c>
      <c r="C13390" t="s">
        <v>42446</v>
      </c>
      <c r="D13390" t="s">
        <v>40254</v>
      </c>
      <c r="E13390" t="s">
        <v>40842</v>
      </c>
      <c r="F13390" t="s">
        <v>40842</v>
      </c>
      <c r="G13390" t="s">
        <v>40842</v>
      </c>
      <c r="H13390" t="s">
        <v>859</v>
      </c>
      <c r="I13390" t="s">
        <v>860</v>
      </c>
      <c r="J13390" t="str">
        <f>"9130138"</f>
        <v>9130138</v>
      </c>
      <c r="K13390">
        <v>2237093235</v>
      </c>
      <c r="M13390" t="s">
        <v>42447</v>
      </c>
      <c r="N13390" t="s">
        <v>40842</v>
      </c>
      <c r="O13390" t="s">
        <v>42434</v>
      </c>
      <c r="P13390">
        <v>36073</v>
      </c>
      <c r="Q13390" t="str">
        <f>"39.138137"</f>
        <v>39.138137</v>
      </c>
      <c r="R13390" t="str">
        <f>"21.649335"</f>
        <v>21.649335</v>
      </c>
      <c r="S13390" t="s">
        <v>57</v>
      </c>
    </row>
    <row r="13391" spans="1:19" x14ac:dyDescent="0.3">
      <c r="A13391" t="s">
        <v>40240</v>
      </c>
      <c r="B13391" t="s">
        <v>42448</v>
      </c>
      <c r="C13391" t="s">
        <v>42453</v>
      </c>
      <c r="D13391" t="s">
        <v>40260</v>
      </c>
      <c r="E13391" t="s">
        <v>41003</v>
      </c>
      <c r="F13391" t="s">
        <v>41003</v>
      </c>
      <c r="G13391" t="s">
        <v>41003</v>
      </c>
      <c r="H13391" t="s">
        <v>859</v>
      </c>
      <c r="I13391" t="s">
        <v>860</v>
      </c>
      <c r="J13391" t="str">
        <f>"9521000"</f>
        <v>9521000</v>
      </c>
      <c r="K13391">
        <v>2235080929</v>
      </c>
      <c r="L13391">
        <v>2235080929</v>
      </c>
      <c r="M13391" t="s">
        <v>42454</v>
      </c>
      <c r="N13391" t="s">
        <v>42455</v>
      </c>
      <c r="O13391" t="s">
        <v>42456</v>
      </c>
      <c r="P13391">
        <v>35008</v>
      </c>
      <c r="Q13391" t="str">
        <f>"38.780083"</f>
        <v>38.780083</v>
      </c>
      <c r="R13391" t="str">
        <f>"22.785858"</f>
        <v>22.785858</v>
      </c>
      <c r="S13391" t="s">
        <v>26</v>
      </c>
    </row>
    <row r="13392" spans="1:19" x14ac:dyDescent="0.3">
      <c r="A13392" t="s">
        <v>40240</v>
      </c>
      <c r="B13392" t="s">
        <v>42448</v>
      </c>
      <c r="C13392" t="s">
        <v>42482</v>
      </c>
      <c r="D13392" t="s">
        <v>40260</v>
      </c>
      <c r="E13392" t="s">
        <v>40261</v>
      </c>
      <c r="F13392" t="s">
        <v>40261</v>
      </c>
      <c r="G13392" t="s">
        <v>21878</v>
      </c>
      <c r="H13392" t="s">
        <v>859</v>
      </c>
      <c r="I13392" t="s">
        <v>860</v>
      </c>
      <c r="J13392" t="str">
        <f>"9460259"</f>
        <v>9460259</v>
      </c>
      <c r="K13392">
        <v>2231061679</v>
      </c>
      <c r="L13392">
        <v>2231061679</v>
      </c>
      <c r="M13392" t="s">
        <v>42483</v>
      </c>
      <c r="N13392" t="s">
        <v>42484</v>
      </c>
      <c r="O13392" t="s">
        <v>42485</v>
      </c>
      <c r="P13392">
        <v>35100</v>
      </c>
      <c r="Q13392" t="str">
        <f>"38.835100"</f>
        <v>38.835100</v>
      </c>
      <c r="R13392" t="str">
        <f>"22.410395"</f>
        <v>22.410395</v>
      </c>
      <c r="S13392" t="s">
        <v>26</v>
      </c>
    </row>
    <row r="13393" spans="1:19" x14ac:dyDescent="0.3">
      <c r="A13393" t="s">
        <v>40240</v>
      </c>
      <c r="B13393" t="s">
        <v>42448</v>
      </c>
      <c r="C13393" t="s">
        <v>42511</v>
      </c>
      <c r="D13393" t="s">
        <v>40260</v>
      </c>
      <c r="E13393" t="s">
        <v>40261</v>
      </c>
      <c r="F13393" t="s">
        <v>40261</v>
      </c>
      <c r="G13393" t="s">
        <v>40261</v>
      </c>
      <c r="H13393" t="s">
        <v>859</v>
      </c>
      <c r="I13393" t="s">
        <v>860</v>
      </c>
      <c r="J13393" t="str">
        <f>"9521006"</f>
        <v>9521006</v>
      </c>
      <c r="K13393">
        <v>2231033685</v>
      </c>
      <c r="L13393">
        <v>2231033685</v>
      </c>
      <c r="M13393" t="s">
        <v>42512</v>
      </c>
      <c r="N13393" t="s">
        <v>40264</v>
      </c>
      <c r="O13393" t="s">
        <v>42513</v>
      </c>
      <c r="P13393">
        <v>35131</v>
      </c>
      <c r="Q13393" t="str">
        <f>"38.918937"</f>
        <v>38.918937</v>
      </c>
      <c r="R13393" t="str">
        <f>"22.425511"</f>
        <v>22.425511</v>
      </c>
      <c r="S13393" t="s">
        <v>26</v>
      </c>
    </row>
    <row r="13394" spans="1:19" x14ac:dyDescent="0.3">
      <c r="A13394" t="s">
        <v>40240</v>
      </c>
      <c r="B13394" t="s">
        <v>42448</v>
      </c>
      <c r="C13394" t="s">
        <v>42514</v>
      </c>
      <c r="D13394" t="s">
        <v>40260</v>
      </c>
      <c r="E13394" t="s">
        <v>40261</v>
      </c>
      <c r="F13394" t="s">
        <v>40261</v>
      </c>
      <c r="G13394" t="s">
        <v>40261</v>
      </c>
      <c r="H13394" t="s">
        <v>859</v>
      </c>
      <c r="I13394" t="s">
        <v>860</v>
      </c>
      <c r="J13394" t="str">
        <f>"9460224"</f>
        <v>9460224</v>
      </c>
      <c r="K13394">
        <v>2231035574</v>
      </c>
      <c r="L13394">
        <v>2231035574</v>
      </c>
      <c r="M13394" t="s">
        <v>42515</v>
      </c>
      <c r="N13394" t="s">
        <v>40894</v>
      </c>
      <c r="O13394" t="s">
        <v>42516</v>
      </c>
      <c r="P13394">
        <v>35131</v>
      </c>
      <c r="Q13394" t="str">
        <f>"38.916951"</f>
        <v>38.916951</v>
      </c>
      <c r="R13394" t="str">
        <f>"22.428684"</f>
        <v>22.428684</v>
      </c>
      <c r="S13394" t="s">
        <v>26</v>
      </c>
    </row>
    <row r="13395" spans="1:19" x14ac:dyDescent="0.3">
      <c r="A13395" t="s">
        <v>40240</v>
      </c>
      <c r="B13395" t="s">
        <v>42448</v>
      </c>
      <c r="C13395" t="s">
        <v>42517</v>
      </c>
      <c r="D13395" t="s">
        <v>40260</v>
      </c>
      <c r="E13395" t="s">
        <v>40261</v>
      </c>
      <c r="F13395" t="s">
        <v>40261</v>
      </c>
      <c r="G13395" t="s">
        <v>41078</v>
      </c>
      <c r="H13395" t="s">
        <v>859</v>
      </c>
      <c r="I13395" t="s">
        <v>860</v>
      </c>
      <c r="J13395" t="str">
        <f>"9460262"</f>
        <v>9460262</v>
      </c>
      <c r="K13395">
        <v>2231034636</v>
      </c>
      <c r="L13395">
        <v>2231034636</v>
      </c>
      <c r="M13395" t="s">
        <v>42518</v>
      </c>
      <c r="N13395" t="s">
        <v>41082</v>
      </c>
      <c r="O13395" t="s">
        <v>16307</v>
      </c>
      <c r="P13395">
        <v>35100</v>
      </c>
      <c r="Q13395" t="str">
        <f>"38.886493"</f>
        <v>38.886493</v>
      </c>
      <c r="R13395" t="str">
        <f>"22.462605"</f>
        <v>22.462605</v>
      </c>
      <c r="S13395" t="s">
        <v>26</v>
      </c>
    </row>
    <row r="13396" spans="1:19" x14ac:dyDescent="0.3">
      <c r="A13396" t="s">
        <v>40240</v>
      </c>
      <c r="B13396" t="s">
        <v>42448</v>
      </c>
      <c r="C13396" t="s">
        <v>42539</v>
      </c>
      <c r="D13396" t="s">
        <v>40260</v>
      </c>
      <c r="E13396" t="s">
        <v>40261</v>
      </c>
      <c r="F13396" t="s">
        <v>40916</v>
      </c>
      <c r="G13396" t="s">
        <v>18832</v>
      </c>
      <c r="H13396" t="s">
        <v>859</v>
      </c>
      <c r="I13396" t="s">
        <v>860</v>
      </c>
      <c r="J13396" t="str">
        <f>"9460419"</f>
        <v>9460419</v>
      </c>
      <c r="K13396">
        <v>2231081105</v>
      </c>
      <c r="L13396">
        <v>81105</v>
      </c>
      <c r="M13396" t="s">
        <v>42540</v>
      </c>
      <c r="N13396" t="s">
        <v>18832</v>
      </c>
      <c r="O13396" t="s">
        <v>42541</v>
      </c>
      <c r="P13396">
        <v>35100</v>
      </c>
      <c r="Q13396" t="str">
        <f>"38.805566"</f>
        <v>38.805566</v>
      </c>
      <c r="R13396" t="str">
        <f>"22.446587"</f>
        <v>22.446587</v>
      </c>
      <c r="S13396" t="s">
        <v>26</v>
      </c>
    </row>
    <row r="13397" spans="1:19" x14ac:dyDescent="0.3">
      <c r="A13397" t="s">
        <v>40240</v>
      </c>
      <c r="B13397" t="s">
        <v>42448</v>
      </c>
      <c r="C13397" t="s">
        <v>42542</v>
      </c>
      <c r="D13397" t="s">
        <v>40260</v>
      </c>
      <c r="E13397" t="s">
        <v>41038</v>
      </c>
      <c r="F13397" t="s">
        <v>41038</v>
      </c>
      <c r="G13397" t="s">
        <v>41038</v>
      </c>
      <c r="H13397" t="s">
        <v>859</v>
      </c>
      <c r="I13397" t="s">
        <v>860</v>
      </c>
      <c r="J13397" t="str">
        <f>"9460248"</f>
        <v>9460248</v>
      </c>
      <c r="K13397">
        <v>2238024809</v>
      </c>
      <c r="L13397">
        <v>2238024809</v>
      </c>
      <c r="M13397" t="s">
        <v>42543</v>
      </c>
      <c r="N13397" t="s">
        <v>41062</v>
      </c>
      <c r="O13397" t="s">
        <v>42499</v>
      </c>
      <c r="P13397">
        <v>35300</v>
      </c>
      <c r="Q13397" t="str">
        <f>"38.971837"</f>
        <v>38.971837</v>
      </c>
      <c r="R13397" t="str">
        <f>"22.667540"</f>
        <v>22.667540</v>
      </c>
      <c r="S13397" t="s">
        <v>26</v>
      </c>
    </row>
    <row r="13398" spans="1:19" x14ac:dyDescent="0.3">
      <c r="A13398" t="s">
        <v>40240</v>
      </c>
      <c r="B13398" t="s">
        <v>42448</v>
      </c>
      <c r="C13398" t="s">
        <v>42546</v>
      </c>
      <c r="D13398" t="s">
        <v>40260</v>
      </c>
      <c r="E13398" t="s">
        <v>40261</v>
      </c>
      <c r="F13398" t="s">
        <v>40261</v>
      </c>
      <c r="G13398" t="s">
        <v>42545</v>
      </c>
      <c r="H13398" t="s">
        <v>859</v>
      </c>
      <c r="I13398" t="s">
        <v>860</v>
      </c>
      <c r="J13398" t="str">
        <f>"9460145"</f>
        <v>9460145</v>
      </c>
      <c r="K13398">
        <v>2231093540</v>
      </c>
      <c r="M13398" t="s">
        <v>42547</v>
      </c>
      <c r="N13398" t="s">
        <v>42548</v>
      </c>
      <c r="O13398" t="s">
        <v>42549</v>
      </c>
      <c r="P13398">
        <v>35014</v>
      </c>
      <c r="Q13398" t="str">
        <f>"38.850892"</f>
        <v>38.850892</v>
      </c>
      <c r="R13398" t="str">
        <f>"22.477794"</f>
        <v>22.477794</v>
      </c>
      <c r="S13398" t="s">
        <v>26</v>
      </c>
    </row>
    <row r="13399" spans="1:19" x14ac:dyDescent="0.3">
      <c r="A13399" t="s">
        <v>40240</v>
      </c>
      <c r="B13399" t="s">
        <v>42448</v>
      </c>
      <c r="C13399" t="s">
        <v>42553</v>
      </c>
      <c r="D13399" t="s">
        <v>40260</v>
      </c>
      <c r="E13399" t="s">
        <v>40261</v>
      </c>
      <c r="F13399" t="s">
        <v>40261</v>
      </c>
      <c r="G13399" t="s">
        <v>40261</v>
      </c>
      <c r="H13399" t="s">
        <v>859</v>
      </c>
      <c r="I13399" t="s">
        <v>860</v>
      </c>
      <c r="J13399" t="str">
        <f>"9460226"</f>
        <v>9460226</v>
      </c>
      <c r="K13399">
        <v>2231042622</v>
      </c>
      <c r="L13399">
        <v>2231042622</v>
      </c>
      <c r="M13399" t="s">
        <v>42554</v>
      </c>
      <c r="N13399" t="s">
        <v>40894</v>
      </c>
      <c r="O13399" t="s">
        <v>42555</v>
      </c>
      <c r="P13399">
        <v>35131</v>
      </c>
      <c r="Q13399" t="str">
        <f>"38.906883"</f>
        <v>38.906883</v>
      </c>
      <c r="R13399" t="str">
        <f>"22.429822"</f>
        <v>22.429822</v>
      </c>
      <c r="S13399" t="s">
        <v>26</v>
      </c>
    </row>
    <row r="13400" spans="1:19" x14ac:dyDescent="0.3">
      <c r="A13400" t="s">
        <v>40240</v>
      </c>
      <c r="B13400" t="s">
        <v>42448</v>
      </c>
      <c r="C13400" t="s">
        <v>42561</v>
      </c>
      <c r="D13400" t="s">
        <v>40260</v>
      </c>
      <c r="E13400" t="s">
        <v>41032</v>
      </c>
      <c r="F13400" t="s">
        <v>41032</v>
      </c>
      <c r="G13400" t="s">
        <v>41032</v>
      </c>
      <c r="H13400" t="s">
        <v>859</v>
      </c>
      <c r="I13400" t="s">
        <v>860</v>
      </c>
      <c r="J13400" t="str">
        <f>"9460227"</f>
        <v>9460227</v>
      </c>
      <c r="K13400">
        <v>2232022361</v>
      </c>
      <c r="L13400">
        <v>2232022361</v>
      </c>
      <c r="M13400" t="s">
        <v>42562</v>
      </c>
      <c r="N13400" t="s">
        <v>41032</v>
      </c>
      <c r="O13400" t="s">
        <v>41035</v>
      </c>
      <c r="P13400">
        <v>35010</v>
      </c>
      <c r="Q13400" t="str">
        <f>"39.128832"</f>
        <v>39.128832</v>
      </c>
      <c r="R13400" t="str">
        <f>"22.298448"</f>
        <v>22.298448</v>
      </c>
      <c r="S13400" t="s">
        <v>26</v>
      </c>
    </row>
    <row r="13401" spans="1:19" x14ac:dyDescent="0.3">
      <c r="A13401" t="s">
        <v>40240</v>
      </c>
      <c r="B13401" t="s">
        <v>42448</v>
      </c>
      <c r="C13401" t="s">
        <v>42569</v>
      </c>
      <c r="D13401" t="s">
        <v>40260</v>
      </c>
      <c r="E13401" t="s">
        <v>40261</v>
      </c>
      <c r="F13401" t="s">
        <v>40261</v>
      </c>
      <c r="G13401" t="s">
        <v>40261</v>
      </c>
      <c r="H13401" t="s">
        <v>859</v>
      </c>
      <c r="I13401" t="s">
        <v>860</v>
      </c>
      <c r="J13401" t="str">
        <f>"9460220"</f>
        <v>9460220</v>
      </c>
      <c r="K13401">
        <v>2231033054</v>
      </c>
      <c r="L13401">
        <v>2231033054</v>
      </c>
      <c r="M13401" t="s">
        <v>42570</v>
      </c>
      <c r="N13401" t="s">
        <v>40894</v>
      </c>
      <c r="O13401" t="s">
        <v>41906</v>
      </c>
      <c r="P13401">
        <v>35131</v>
      </c>
      <c r="Q13401" t="str">
        <f>"38.914983"</f>
        <v>38.914983</v>
      </c>
      <c r="R13401" t="str">
        <f>"22.428772"</f>
        <v>22.428772</v>
      </c>
      <c r="S13401" t="s">
        <v>26</v>
      </c>
    </row>
    <row r="13402" spans="1:19" x14ac:dyDescent="0.3">
      <c r="A13402" t="s">
        <v>40240</v>
      </c>
      <c r="B13402" t="s">
        <v>42448</v>
      </c>
      <c r="C13402" t="s">
        <v>42573</v>
      </c>
      <c r="D13402" t="s">
        <v>40260</v>
      </c>
      <c r="E13402" t="s">
        <v>40904</v>
      </c>
      <c r="F13402" t="s">
        <v>40904</v>
      </c>
      <c r="G13402" t="s">
        <v>40904</v>
      </c>
      <c r="H13402" t="s">
        <v>859</v>
      </c>
      <c r="I13402" t="s">
        <v>860</v>
      </c>
      <c r="J13402" t="str">
        <f>"9460237"</f>
        <v>9460237</v>
      </c>
      <c r="K13402">
        <v>2236022779</v>
      </c>
      <c r="L13402">
        <v>2236022779</v>
      </c>
      <c r="M13402" t="s">
        <v>42574</v>
      </c>
      <c r="N13402" t="s">
        <v>40904</v>
      </c>
      <c r="O13402" t="s">
        <v>40939</v>
      </c>
      <c r="P13402">
        <v>35011</v>
      </c>
      <c r="Q13402" t="str">
        <f>"38.944984"</f>
        <v>38.944984</v>
      </c>
      <c r="R13402" t="str">
        <f>"22.120036"</f>
        <v>22.120036</v>
      </c>
      <c r="S13402" t="s">
        <v>26</v>
      </c>
    </row>
    <row r="13403" spans="1:19" x14ac:dyDescent="0.3">
      <c r="A13403" t="s">
        <v>40240</v>
      </c>
      <c r="B13403" t="s">
        <v>42448</v>
      </c>
      <c r="C13403" t="s">
        <v>42575</v>
      </c>
      <c r="D13403" t="s">
        <v>40260</v>
      </c>
      <c r="E13403" t="s">
        <v>40261</v>
      </c>
      <c r="F13403" t="s">
        <v>40261</v>
      </c>
      <c r="G13403" t="s">
        <v>40261</v>
      </c>
      <c r="H13403" t="s">
        <v>859</v>
      </c>
      <c r="I13403" t="s">
        <v>860</v>
      </c>
      <c r="J13403" t="str">
        <f>"9460280"</f>
        <v>9460280</v>
      </c>
      <c r="K13403">
        <v>2231034075</v>
      </c>
      <c r="L13403">
        <v>2231034075</v>
      </c>
      <c r="M13403" t="s">
        <v>42576</v>
      </c>
      <c r="N13403" t="s">
        <v>40894</v>
      </c>
      <c r="O13403" t="s">
        <v>42577</v>
      </c>
      <c r="P13403">
        <v>35100</v>
      </c>
      <c r="Q13403" t="str">
        <f>"38.894720"</f>
        <v>38.894720</v>
      </c>
      <c r="R13403" t="str">
        <f>"22.470818"</f>
        <v>22.470818</v>
      </c>
      <c r="S13403" t="s">
        <v>26</v>
      </c>
    </row>
    <row r="13404" spans="1:19" x14ac:dyDescent="0.3">
      <c r="A13404" t="s">
        <v>40240</v>
      </c>
      <c r="B13404" t="s">
        <v>42448</v>
      </c>
      <c r="C13404" t="s">
        <v>42578</v>
      </c>
      <c r="D13404" t="s">
        <v>40260</v>
      </c>
      <c r="E13404" t="s">
        <v>40261</v>
      </c>
      <c r="F13404" t="s">
        <v>40261</v>
      </c>
      <c r="G13404" t="s">
        <v>40261</v>
      </c>
      <c r="H13404" t="s">
        <v>859</v>
      </c>
      <c r="I13404" t="s">
        <v>860</v>
      </c>
      <c r="J13404" t="str">
        <f>"9460236"</f>
        <v>9460236</v>
      </c>
      <c r="K13404">
        <v>2231033331</v>
      </c>
      <c r="L13404">
        <v>2231033331</v>
      </c>
      <c r="M13404" t="s">
        <v>42579</v>
      </c>
      <c r="N13404" t="s">
        <v>40894</v>
      </c>
      <c r="O13404" t="s">
        <v>42580</v>
      </c>
      <c r="P13404">
        <v>35100</v>
      </c>
      <c r="Q13404" t="str">
        <f>"38.893483"</f>
        <v>38.893483</v>
      </c>
      <c r="R13404" t="str">
        <f>"22.432874"</f>
        <v>22.432874</v>
      </c>
      <c r="S13404" t="s">
        <v>26</v>
      </c>
    </row>
    <row r="13405" spans="1:19" x14ac:dyDescent="0.3">
      <c r="A13405" t="s">
        <v>40240</v>
      </c>
      <c r="B13405" t="s">
        <v>42448</v>
      </c>
      <c r="C13405" t="s">
        <v>42586</v>
      </c>
      <c r="D13405" t="s">
        <v>40260</v>
      </c>
      <c r="E13405" t="s">
        <v>40261</v>
      </c>
      <c r="F13405" t="s">
        <v>40261</v>
      </c>
      <c r="G13405" t="s">
        <v>40261</v>
      </c>
      <c r="H13405" t="s">
        <v>859</v>
      </c>
      <c r="I13405" t="s">
        <v>860</v>
      </c>
      <c r="J13405" t="str">
        <f>"9460225"</f>
        <v>9460225</v>
      </c>
      <c r="K13405">
        <v>2231030659</v>
      </c>
      <c r="M13405" t="s">
        <v>42587</v>
      </c>
      <c r="N13405" t="s">
        <v>42588</v>
      </c>
      <c r="O13405" t="s">
        <v>42589</v>
      </c>
      <c r="P13405">
        <v>35100</v>
      </c>
      <c r="Q13405" t="str">
        <f>"38.890794"</f>
        <v>38.890794</v>
      </c>
      <c r="R13405" t="str">
        <f>"22.408783"</f>
        <v>22.408783</v>
      </c>
      <c r="S13405" t="s">
        <v>26</v>
      </c>
    </row>
    <row r="13406" spans="1:19" x14ac:dyDescent="0.3">
      <c r="A13406" t="s">
        <v>40240</v>
      </c>
      <c r="B13406" t="s">
        <v>42448</v>
      </c>
      <c r="C13406" t="s">
        <v>42590</v>
      </c>
      <c r="D13406" t="s">
        <v>40260</v>
      </c>
      <c r="E13406" t="s">
        <v>40261</v>
      </c>
      <c r="F13406" t="s">
        <v>40261</v>
      </c>
      <c r="G13406" t="s">
        <v>40261</v>
      </c>
      <c r="H13406" t="s">
        <v>859</v>
      </c>
      <c r="I13406" t="s">
        <v>860</v>
      </c>
      <c r="J13406" t="str">
        <f>"9460235"</f>
        <v>9460235</v>
      </c>
      <c r="K13406">
        <v>2231028749</v>
      </c>
      <c r="L13406">
        <v>2231028749</v>
      </c>
      <c r="M13406" t="s">
        <v>42591</v>
      </c>
      <c r="N13406" t="s">
        <v>40894</v>
      </c>
      <c r="O13406" t="s">
        <v>42592</v>
      </c>
      <c r="P13406">
        <v>35131</v>
      </c>
      <c r="Q13406" t="str">
        <f>"38.903447"</f>
        <v>38.903447</v>
      </c>
      <c r="R13406" t="str">
        <f>"22.443104"</f>
        <v>22.443104</v>
      </c>
      <c r="S13406" t="s">
        <v>26</v>
      </c>
    </row>
    <row r="13407" spans="1:19" x14ac:dyDescent="0.3">
      <c r="A13407" t="s">
        <v>40240</v>
      </c>
      <c r="B13407" t="s">
        <v>42448</v>
      </c>
      <c r="C13407" t="s">
        <v>42593</v>
      </c>
      <c r="D13407" t="s">
        <v>40260</v>
      </c>
      <c r="E13407" t="s">
        <v>40261</v>
      </c>
      <c r="F13407" t="s">
        <v>40261</v>
      </c>
      <c r="G13407" t="s">
        <v>40261</v>
      </c>
      <c r="H13407" t="s">
        <v>859</v>
      </c>
      <c r="I13407" t="s">
        <v>860</v>
      </c>
      <c r="J13407" t="str">
        <f>"9460232"</f>
        <v>9460232</v>
      </c>
      <c r="K13407">
        <v>2231033519</v>
      </c>
      <c r="L13407">
        <v>2231033519</v>
      </c>
      <c r="M13407" t="s">
        <v>42594</v>
      </c>
      <c r="N13407" t="s">
        <v>40894</v>
      </c>
      <c r="O13407" t="s">
        <v>42595</v>
      </c>
      <c r="P13407">
        <v>35100</v>
      </c>
      <c r="Q13407" t="str">
        <f>"38.896784"</f>
        <v>38.896784</v>
      </c>
      <c r="R13407" t="str">
        <f>"22.435563"</f>
        <v>22.435563</v>
      </c>
      <c r="S13407" t="s">
        <v>26</v>
      </c>
    </row>
    <row r="13408" spans="1:19" x14ac:dyDescent="0.3">
      <c r="A13408" t="s">
        <v>40240</v>
      </c>
      <c r="B13408" t="s">
        <v>42448</v>
      </c>
      <c r="C13408" t="s">
        <v>42598</v>
      </c>
      <c r="D13408" t="s">
        <v>40260</v>
      </c>
      <c r="E13408" t="s">
        <v>40261</v>
      </c>
      <c r="F13408" t="s">
        <v>40261</v>
      </c>
      <c r="G13408" t="s">
        <v>40261</v>
      </c>
      <c r="H13408" t="s">
        <v>859</v>
      </c>
      <c r="I13408" t="s">
        <v>860</v>
      </c>
      <c r="J13408" t="str">
        <f>"9460231"</f>
        <v>9460231</v>
      </c>
      <c r="K13408">
        <v>2231038393</v>
      </c>
      <c r="L13408">
        <v>2231038393</v>
      </c>
      <c r="M13408" t="s">
        <v>42599</v>
      </c>
      <c r="N13408" t="s">
        <v>40894</v>
      </c>
      <c r="O13408" t="s">
        <v>42600</v>
      </c>
      <c r="P13408">
        <v>35100</v>
      </c>
      <c r="Q13408" t="str">
        <f>"38.888268"</f>
        <v>38.888268</v>
      </c>
      <c r="R13408" t="str">
        <f>"22.435128"</f>
        <v>22.435128</v>
      </c>
      <c r="S13408" t="s">
        <v>26</v>
      </c>
    </row>
    <row r="13409" spans="1:19" x14ac:dyDescent="0.3">
      <c r="A13409" t="s">
        <v>40240</v>
      </c>
      <c r="B13409" t="s">
        <v>42448</v>
      </c>
      <c r="C13409" t="s">
        <v>42602</v>
      </c>
      <c r="D13409" t="s">
        <v>40260</v>
      </c>
      <c r="E13409" t="s">
        <v>40261</v>
      </c>
      <c r="F13409" t="s">
        <v>40975</v>
      </c>
      <c r="G13409" t="s">
        <v>42601</v>
      </c>
      <c r="H13409" t="s">
        <v>859</v>
      </c>
      <c r="I13409" t="s">
        <v>860</v>
      </c>
      <c r="J13409" t="str">
        <f>"9460413"</f>
        <v>9460413</v>
      </c>
      <c r="K13409">
        <v>2231059885</v>
      </c>
      <c r="L13409">
        <v>2231059885</v>
      </c>
      <c r="M13409" t="s">
        <v>42603</v>
      </c>
      <c r="N13409" t="s">
        <v>42601</v>
      </c>
      <c r="O13409" t="s">
        <v>42604</v>
      </c>
      <c r="P13409">
        <v>35016</v>
      </c>
      <c r="Q13409" t="str">
        <f>"38.864441"</f>
        <v>38.864441</v>
      </c>
      <c r="R13409" t="str">
        <f>"22.229554"</f>
        <v>22.229554</v>
      </c>
      <c r="S13409" t="s">
        <v>26</v>
      </c>
    </row>
    <row r="13410" spans="1:19" x14ac:dyDescent="0.3">
      <c r="A13410" t="s">
        <v>40240</v>
      </c>
      <c r="B13410" t="s">
        <v>42448</v>
      </c>
      <c r="C13410" t="s">
        <v>42607</v>
      </c>
      <c r="D13410" t="s">
        <v>40260</v>
      </c>
      <c r="E13410" t="s">
        <v>41003</v>
      </c>
      <c r="F13410" t="s">
        <v>41003</v>
      </c>
      <c r="G13410" t="s">
        <v>42606</v>
      </c>
      <c r="H13410" t="s">
        <v>859</v>
      </c>
      <c r="I13410" t="s">
        <v>860</v>
      </c>
      <c r="J13410" t="str">
        <f>"9460286"</f>
        <v>9460286</v>
      </c>
      <c r="K13410">
        <v>2235061266</v>
      </c>
      <c r="L13410">
        <v>2235061266</v>
      </c>
      <c r="M13410" t="s">
        <v>42608</v>
      </c>
      <c r="N13410" t="s">
        <v>42606</v>
      </c>
      <c r="O13410" t="s">
        <v>42609</v>
      </c>
      <c r="P13410">
        <v>35009</v>
      </c>
      <c r="Q13410" t="str">
        <f>"38.719131"</f>
        <v>38.719131</v>
      </c>
      <c r="R13410" t="str">
        <f>"22.709601"</f>
        <v>22.709601</v>
      </c>
      <c r="S13410" t="s">
        <v>26</v>
      </c>
    </row>
    <row r="13411" spans="1:19" x14ac:dyDescent="0.3">
      <c r="A13411" t="s">
        <v>40240</v>
      </c>
      <c r="B13411" t="s">
        <v>42448</v>
      </c>
      <c r="C13411" t="s">
        <v>42610</v>
      </c>
      <c r="D13411" t="s">
        <v>40260</v>
      </c>
      <c r="E13411" t="s">
        <v>40897</v>
      </c>
      <c r="F13411" t="s">
        <v>41017</v>
      </c>
      <c r="G13411" t="s">
        <v>41018</v>
      </c>
      <c r="H13411" t="s">
        <v>859</v>
      </c>
      <c r="I13411" t="s">
        <v>860</v>
      </c>
      <c r="J13411" t="str">
        <f>"9460240"</f>
        <v>9460240</v>
      </c>
      <c r="K13411">
        <v>2234049498</v>
      </c>
      <c r="L13411">
        <v>2234049498</v>
      </c>
      <c r="M13411" t="s">
        <v>42611</v>
      </c>
      <c r="N13411" t="s">
        <v>42612</v>
      </c>
      <c r="O13411" t="s">
        <v>41022</v>
      </c>
      <c r="P13411">
        <v>35015</v>
      </c>
      <c r="Q13411" t="str">
        <f>"38.596822"</f>
        <v>38.596822</v>
      </c>
      <c r="R13411" t="str">
        <f>"22.685584"</f>
        <v>22.685584</v>
      </c>
      <c r="S13411" t="s">
        <v>26</v>
      </c>
    </row>
    <row r="13412" spans="1:19" x14ac:dyDescent="0.3">
      <c r="A13412" t="s">
        <v>40240</v>
      </c>
      <c r="B13412" t="s">
        <v>42448</v>
      </c>
      <c r="C13412" t="s">
        <v>42613</v>
      </c>
      <c r="D13412" t="s">
        <v>40260</v>
      </c>
      <c r="E13412" t="s">
        <v>40261</v>
      </c>
      <c r="F13412" t="s">
        <v>40261</v>
      </c>
      <c r="G13412" t="s">
        <v>40261</v>
      </c>
      <c r="H13412" t="s">
        <v>859</v>
      </c>
      <c r="I13412" t="s">
        <v>860</v>
      </c>
      <c r="J13412" t="str">
        <f>"9521004"</f>
        <v>9521004</v>
      </c>
      <c r="K13412">
        <v>2231052241</v>
      </c>
      <c r="L13412">
        <v>2231052241</v>
      </c>
      <c r="M13412" t="s">
        <v>42614</v>
      </c>
      <c r="N13412" t="s">
        <v>40264</v>
      </c>
      <c r="O13412" t="s">
        <v>42615</v>
      </c>
      <c r="P13412">
        <v>35100</v>
      </c>
      <c r="Q13412" t="str">
        <f>"38.890706"</f>
        <v>38.890706</v>
      </c>
      <c r="R13412" t="str">
        <f>"22.422120"</f>
        <v>22.422120</v>
      </c>
      <c r="S13412" t="s">
        <v>26</v>
      </c>
    </row>
    <row r="13413" spans="1:19" x14ac:dyDescent="0.3">
      <c r="A13413" t="s">
        <v>40240</v>
      </c>
      <c r="B13413" t="s">
        <v>42448</v>
      </c>
      <c r="C13413" t="s">
        <v>42623</v>
      </c>
      <c r="D13413" t="s">
        <v>40260</v>
      </c>
      <c r="E13413" t="s">
        <v>41038</v>
      </c>
      <c r="F13413" t="s">
        <v>41151</v>
      </c>
      <c r="G13413" t="s">
        <v>12709</v>
      </c>
      <c r="H13413" t="s">
        <v>859</v>
      </c>
      <c r="I13413" t="s">
        <v>860</v>
      </c>
      <c r="J13413" t="str">
        <f>"9460282"</f>
        <v>9460282</v>
      </c>
      <c r="K13413">
        <v>2238031366</v>
      </c>
      <c r="L13413">
        <v>2238031366</v>
      </c>
      <c r="M13413" t="s">
        <v>42624</v>
      </c>
      <c r="N13413" t="s">
        <v>12709</v>
      </c>
      <c r="O13413" t="s">
        <v>41154</v>
      </c>
      <c r="P13413">
        <v>35300</v>
      </c>
      <c r="Q13413" t="str">
        <f>"38.890604"</f>
        <v>38.890604</v>
      </c>
      <c r="R13413" t="str">
        <f>"22.781027"</f>
        <v>22.781027</v>
      </c>
      <c r="S13413" t="s">
        <v>26</v>
      </c>
    </row>
    <row r="13414" spans="1:19" x14ac:dyDescent="0.3">
      <c r="A13414" t="s">
        <v>40240</v>
      </c>
      <c r="B13414" t="s">
        <v>42448</v>
      </c>
      <c r="C13414" t="s">
        <v>42625</v>
      </c>
      <c r="D13414" t="s">
        <v>40260</v>
      </c>
      <c r="E13414" t="s">
        <v>40261</v>
      </c>
      <c r="F13414" t="s">
        <v>40261</v>
      </c>
      <c r="G13414" t="s">
        <v>40261</v>
      </c>
      <c r="H13414" t="s">
        <v>859</v>
      </c>
      <c r="I13414" t="s">
        <v>860</v>
      </c>
      <c r="J13414" t="str">
        <f>"9460221"</f>
        <v>9460221</v>
      </c>
      <c r="K13414">
        <v>2231030617</v>
      </c>
      <c r="M13414" t="s">
        <v>42626</v>
      </c>
      <c r="N13414" t="s">
        <v>40894</v>
      </c>
      <c r="O13414" t="s">
        <v>42627</v>
      </c>
      <c r="P13414">
        <v>35100</v>
      </c>
      <c r="Q13414" t="str">
        <f>"38.903805"</f>
        <v>38.903805</v>
      </c>
      <c r="R13414" t="str">
        <f>"22.430863"</f>
        <v>22.430863</v>
      </c>
      <c r="S13414" t="s">
        <v>26</v>
      </c>
    </row>
    <row r="13415" spans="1:19" x14ac:dyDescent="0.3">
      <c r="A13415" t="s">
        <v>40240</v>
      </c>
      <c r="B13415" t="s">
        <v>42448</v>
      </c>
      <c r="C13415" t="s">
        <v>42628</v>
      </c>
      <c r="D13415" t="s">
        <v>40260</v>
      </c>
      <c r="E13415" t="s">
        <v>40261</v>
      </c>
      <c r="F13415" t="s">
        <v>40261</v>
      </c>
      <c r="G13415" t="s">
        <v>40261</v>
      </c>
      <c r="H13415" t="s">
        <v>859</v>
      </c>
      <c r="I13415" t="s">
        <v>860</v>
      </c>
      <c r="J13415" t="str">
        <f>"9460223"</f>
        <v>9460223</v>
      </c>
      <c r="K13415">
        <v>2231051485</v>
      </c>
      <c r="L13415">
        <v>2231051485</v>
      </c>
      <c r="M13415" t="s">
        <v>42629</v>
      </c>
      <c r="N13415" t="s">
        <v>40894</v>
      </c>
      <c r="O13415" t="s">
        <v>42630</v>
      </c>
      <c r="P13415">
        <v>35100</v>
      </c>
      <c r="Q13415" t="str">
        <f>"38.901529"</f>
        <v>38.901529</v>
      </c>
      <c r="R13415" t="str">
        <f>"22.461406"</f>
        <v>22.461406</v>
      </c>
      <c r="S13415" t="s">
        <v>26</v>
      </c>
    </row>
    <row r="13416" spans="1:19" x14ac:dyDescent="0.3">
      <c r="A13416" t="s">
        <v>40240</v>
      </c>
      <c r="B13416" t="s">
        <v>42448</v>
      </c>
      <c r="C13416" t="s">
        <v>42636</v>
      </c>
      <c r="D13416" t="s">
        <v>40260</v>
      </c>
      <c r="E13416" t="s">
        <v>41003</v>
      </c>
      <c r="F13416" t="s">
        <v>41003</v>
      </c>
      <c r="G13416" t="s">
        <v>13853</v>
      </c>
      <c r="H13416" t="s">
        <v>859</v>
      </c>
      <c r="I13416" t="s">
        <v>860</v>
      </c>
      <c r="J13416" t="str">
        <f>"9460271"</f>
        <v>9460271</v>
      </c>
      <c r="K13416">
        <v>2235041181</v>
      </c>
      <c r="L13416">
        <v>2235041320</v>
      </c>
      <c r="M13416" t="s">
        <v>42637</v>
      </c>
      <c r="N13416" t="s">
        <v>13853</v>
      </c>
      <c r="O13416" t="s">
        <v>42638</v>
      </c>
      <c r="P13416">
        <v>35009</v>
      </c>
      <c r="Q13416" t="str">
        <f>"38.815151"</f>
        <v>38.815151</v>
      </c>
      <c r="R13416" t="str">
        <f>"22.670169"</f>
        <v>22.670169</v>
      </c>
      <c r="S13416" t="s">
        <v>26</v>
      </c>
    </row>
    <row r="13417" spans="1:19" x14ac:dyDescent="0.3">
      <c r="A13417" t="s">
        <v>40240</v>
      </c>
      <c r="B13417" t="s">
        <v>42448</v>
      </c>
      <c r="C13417" t="s">
        <v>42639</v>
      </c>
      <c r="D13417" t="s">
        <v>40260</v>
      </c>
      <c r="E13417" t="s">
        <v>40261</v>
      </c>
      <c r="F13417" t="s">
        <v>41128</v>
      </c>
      <c r="G13417" t="s">
        <v>41128</v>
      </c>
      <c r="H13417" t="s">
        <v>859</v>
      </c>
      <c r="I13417" t="s">
        <v>860</v>
      </c>
      <c r="J13417" t="str">
        <f>"9460250"</f>
        <v>9460250</v>
      </c>
      <c r="K13417">
        <v>2231079707</v>
      </c>
      <c r="L13417">
        <v>2231079707</v>
      </c>
      <c r="M13417" t="s">
        <v>42640</v>
      </c>
      <c r="N13417" t="s">
        <v>41128</v>
      </c>
      <c r="O13417" t="s">
        <v>42507</v>
      </c>
      <c r="P13417">
        <v>35100</v>
      </c>
      <c r="Q13417" t="str">
        <f>"38.919269"</f>
        <v>38.919269</v>
      </c>
      <c r="R13417" t="str">
        <f>"22.302869"</f>
        <v>22.302869</v>
      </c>
      <c r="S13417" t="s">
        <v>26</v>
      </c>
    </row>
    <row r="13418" spans="1:19" x14ac:dyDescent="0.3">
      <c r="A13418" t="s">
        <v>40240</v>
      </c>
      <c r="B13418" t="s">
        <v>42448</v>
      </c>
      <c r="C13418" t="s">
        <v>42641</v>
      </c>
      <c r="D13418" t="s">
        <v>40260</v>
      </c>
      <c r="E13418" t="s">
        <v>41038</v>
      </c>
      <c r="F13418" t="s">
        <v>41038</v>
      </c>
      <c r="G13418" t="s">
        <v>41038</v>
      </c>
      <c r="H13418" t="s">
        <v>859</v>
      </c>
      <c r="I13418" t="s">
        <v>860</v>
      </c>
      <c r="J13418" t="str">
        <f>"9460249"</f>
        <v>9460249</v>
      </c>
      <c r="K13418">
        <v>2238024140</v>
      </c>
      <c r="L13418">
        <v>2238024140</v>
      </c>
      <c r="M13418" t="s">
        <v>42642</v>
      </c>
      <c r="N13418" t="s">
        <v>41062</v>
      </c>
      <c r="O13418" t="s">
        <v>42643</v>
      </c>
      <c r="P13418">
        <v>35300</v>
      </c>
      <c r="Q13418" t="str">
        <f>"38.913325"</f>
        <v>38.913325</v>
      </c>
      <c r="R13418" t="str">
        <f>"22.606253"</f>
        <v>22.606253</v>
      </c>
      <c r="S13418" t="s">
        <v>26</v>
      </c>
    </row>
    <row r="13419" spans="1:19" x14ac:dyDescent="0.3">
      <c r="A13419" t="s">
        <v>40240</v>
      </c>
      <c r="B13419" t="s">
        <v>42448</v>
      </c>
      <c r="C13419" t="s">
        <v>42644</v>
      </c>
      <c r="D13419" t="s">
        <v>40260</v>
      </c>
      <c r="E13419" t="s">
        <v>40261</v>
      </c>
      <c r="F13419" t="s">
        <v>40261</v>
      </c>
      <c r="G13419" t="s">
        <v>40261</v>
      </c>
      <c r="H13419" t="s">
        <v>859</v>
      </c>
      <c r="I13419" t="s">
        <v>860</v>
      </c>
      <c r="J13419" t="str">
        <f>"9520719"</f>
        <v>9520719</v>
      </c>
      <c r="K13419">
        <v>2231067906</v>
      </c>
      <c r="L13419">
        <v>2231067906</v>
      </c>
      <c r="M13419" t="s">
        <v>42645</v>
      </c>
      <c r="N13419" t="s">
        <v>40894</v>
      </c>
      <c r="O13419" t="s">
        <v>42646</v>
      </c>
      <c r="P13419">
        <v>35100</v>
      </c>
      <c r="Q13419" t="str">
        <f>"38.892764"</f>
        <v>38.892764</v>
      </c>
      <c r="R13419" t="str">
        <f>"22.441926"</f>
        <v>22.441926</v>
      </c>
      <c r="S13419" t="s">
        <v>26</v>
      </c>
    </row>
    <row r="13420" spans="1:19" x14ac:dyDescent="0.3">
      <c r="A13420" t="s">
        <v>40240</v>
      </c>
      <c r="B13420" t="s">
        <v>42448</v>
      </c>
      <c r="C13420" t="s">
        <v>42647</v>
      </c>
      <c r="D13420" t="s">
        <v>40260</v>
      </c>
      <c r="E13420" t="s">
        <v>40922</v>
      </c>
      <c r="F13420" t="s">
        <v>40928</v>
      </c>
      <c r="G13420" t="s">
        <v>40928</v>
      </c>
      <c r="H13420" t="s">
        <v>859</v>
      </c>
      <c r="I13420" t="s">
        <v>860</v>
      </c>
      <c r="J13420" t="str">
        <f>"9460003"</f>
        <v>9460003</v>
      </c>
      <c r="K13420">
        <v>2233022480</v>
      </c>
      <c r="M13420" t="s">
        <v>42648</v>
      </c>
      <c r="N13420" t="s">
        <v>40928</v>
      </c>
      <c r="O13420" t="s">
        <v>42649</v>
      </c>
      <c r="P13420">
        <v>35200</v>
      </c>
      <c r="Q13420" t="str">
        <f>"38.655579"</f>
        <v>38.655579</v>
      </c>
      <c r="R13420" t="str">
        <f>"22.996097"</f>
        <v>22.996097</v>
      </c>
      <c r="S13420" t="s">
        <v>26</v>
      </c>
    </row>
    <row r="13421" spans="1:19" x14ac:dyDescent="0.3">
      <c r="A13421" t="s">
        <v>40240</v>
      </c>
      <c r="B13421" t="s">
        <v>42448</v>
      </c>
      <c r="C13421" t="s">
        <v>42650</v>
      </c>
      <c r="D13421" t="s">
        <v>40260</v>
      </c>
      <c r="E13421" t="s">
        <v>41032</v>
      </c>
      <c r="F13421" t="s">
        <v>41094</v>
      </c>
      <c r="G13421" t="s">
        <v>41095</v>
      </c>
      <c r="H13421" t="s">
        <v>859</v>
      </c>
      <c r="I13421" t="s">
        <v>860</v>
      </c>
      <c r="J13421" t="str">
        <f>"9460228"</f>
        <v>9460228</v>
      </c>
      <c r="K13421">
        <v>2232031343</v>
      </c>
      <c r="L13421">
        <v>2232031343</v>
      </c>
      <c r="M13421" t="s">
        <v>42651</v>
      </c>
      <c r="N13421" t="s">
        <v>41095</v>
      </c>
      <c r="O13421" t="s">
        <v>42652</v>
      </c>
      <c r="P13421">
        <v>35010</v>
      </c>
      <c r="Q13421" t="str">
        <f>"39.103702"</f>
        <v>39.103702</v>
      </c>
      <c r="R13421" t="str">
        <f>"22.270278"</f>
        <v>22.270278</v>
      </c>
      <c r="S13421" t="s">
        <v>26</v>
      </c>
    </row>
    <row r="13422" spans="1:19" x14ac:dyDescent="0.3">
      <c r="A13422" t="s">
        <v>40240</v>
      </c>
      <c r="B13422" t="s">
        <v>42448</v>
      </c>
      <c r="C13422" t="s">
        <v>42653</v>
      </c>
      <c r="D13422" t="s">
        <v>40260</v>
      </c>
      <c r="E13422" t="s">
        <v>41032</v>
      </c>
      <c r="F13422" t="s">
        <v>41140</v>
      </c>
      <c r="G13422" t="s">
        <v>42563</v>
      </c>
      <c r="H13422" t="s">
        <v>859</v>
      </c>
      <c r="I13422" t="s">
        <v>860</v>
      </c>
      <c r="J13422" t="str">
        <f>"9460229"</f>
        <v>9460229</v>
      </c>
      <c r="K13422">
        <v>2232094255</v>
      </c>
      <c r="L13422">
        <v>2232094255</v>
      </c>
      <c r="M13422" t="s">
        <v>42654</v>
      </c>
      <c r="N13422" t="s">
        <v>42563</v>
      </c>
      <c r="O13422" t="s">
        <v>42568</v>
      </c>
      <c r="P13422">
        <v>35010</v>
      </c>
      <c r="Q13422" t="str">
        <f>"39.155974"</f>
        <v>39.155974</v>
      </c>
      <c r="R13422" t="str">
        <f>"22.197321"</f>
        <v>22.197321</v>
      </c>
      <c r="S13422" t="s">
        <v>26</v>
      </c>
    </row>
    <row r="13423" spans="1:19" x14ac:dyDescent="0.3">
      <c r="A13423" t="s">
        <v>40240</v>
      </c>
      <c r="B13423" t="s">
        <v>42448</v>
      </c>
      <c r="C13423" t="s">
        <v>42655</v>
      </c>
      <c r="D13423" t="s">
        <v>40260</v>
      </c>
      <c r="E13423" t="s">
        <v>40261</v>
      </c>
      <c r="F13423" t="s">
        <v>40916</v>
      </c>
      <c r="G13423" t="s">
        <v>40916</v>
      </c>
      <c r="H13423" t="s">
        <v>859</v>
      </c>
      <c r="I13423" t="s">
        <v>860</v>
      </c>
      <c r="J13423" t="str">
        <f>"9460425"</f>
        <v>9460425</v>
      </c>
      <c r="K13423">
        <v>2231082024</v>
      </c>
      <c r="L13423">
        <v>2231082024</v>
      </c>
      <c r="M13423" t="s">
        <v>42656</v>
      </c>
      <c r="N13423" t="s">
        <v>40916</v>
      </c>
      <c r="O13423" t="s">
        <v>42657</v>
      </c>
      <c r="P13423">
        <v>35100</v>
      </c>
      <c r="Q13423" t="str">
        <f>"38.833010"</f>
        <v>38.833010</v>
      </c>
      <c r="R13423" t="str">
        <f>"22.396317"</f>
        <v>22.396317</v>
      </c>
      <c r="S13423" t="s">
        <v>26</v>
      </c>
    </row>
    <row r="13424" spans="1:19" x14ac:dyDescent="0.3">
      <c r="A13424" t="s">
        <v>40240</v>
      </c>
      <c r="B13424" t="s">
        <v>42448</v>
      </c>
      <c r="C13424" t="s">
        <v>42658</v>
      </c>
      <c r="D13424" t="s">
        <v>40260</v>
      </c>
      <c r="E13424" t="s">
        <v>40904</v>
      </c>
      <c r="F13424" t="s">
        <v>40905</v>
      </c>
      <c r="G13424" t="s">
        <v>40905</v>
      </c>
      <c r="H13424" t="s">
        <v>859</v>
      </c>
      <c r="I13424" t="s">
        <v>860</v>
      </c>
      <c r="J13424" t="str">
        <f>"9460310"</f>
        <v>9460310</v>
      </c>
      <c r="K13424">
        <v>2236044140</v>
      </c>
      <c r="L13424">
        <v>2236044140</v>
      </c>
      <c r="M13424" t="s">
        <v>42659</v>
      </c>
      <c r="N13424" t="s">
        <v>42660</v>
      </c>
      <c r="O13424" t="s">
        <v>42661</v>
      </c>
      <c r="P13424">
        <v>35003</v>
      </c>
      <c r="Q13424" t="str">
        <f>"38.905341"</f>
        <v>38.905341</v>
      </c>
      <c r="R13424" t="str">
        <f>"22.128731"</f>
        <v>22.128731</v>
      </c>
      <c r="S13424" t="s">
        <v>26</v>
      </c>
    </row>
    <row r="13425" spans="1:19" x14ac:dyDescent="0.3">
      <c r="A13425" t="s">
        <v>40240</v>
      </c>
      <c r="B13425" t="s">
        <v>42448</v>
      </c>
      <c r="C13425" t="s">
        <v>42665</v>
      </c>
      <c r="D13425" t="s">
        <v>40260</v>
      </c>
      <c r="E13425" t="s">
        <v>40261</v>
      </c>
      <c r="F13425" t="s">
        <v>40261</v>
      </c>
      <c r="G13425" t="s">
        <v>40261</v>
      </c>
      <c r="H13425" t="s">
        <v>859</v>
      </c>
      <c r="I13425" t="s">
        <v>860</v>
      </c>
      <c r="J13425" t="str">
        <f>"9460233"</f>
        <v>9460233</v>
      </c>
      <c r="K13425">
        <v>2231021530</v>
      </c>
      <c r="L13425">
        <v>2231021530</v>
      </c>
      <c r="M13425" t="s">
        <v>42666</v>
      </c>
      <c r="N13425" t="s">
        <v>40894</v>
      </c>
      <c r="O13425" t="s">
        <v>42667</v>
      </c>
      <c r="P13425">
        <v>35100</v>
      </c>
      <c r="Q13425" t="str">
        <f>"38.900627"</f>
        <v>38.900627</v>
      </c>
      <c r="R13425" t="str">
        <f>"22.439096"</f>
        <v>22.439096</v>
      </c>
      <c r="S13425" t="s">
        <v>26</v>
      </c>
    </row>
    <row r="13426" spans="1:19" x14ac:dyDescent="0.3">
      <c r="A13426" t="s">
        <v>40240</v>
      </c>
      <c r="B13426" t="s">
        <v>42448</v>
      </c>
      <c r="C13426" t="s">
        <v>42669</v>
      </c>
      <c r="D13426" t="s">
        <v>40260</v>
      </c>
      <c r="E13426" t="s">
        <v>40922</v>
      </c>
      <c r="F13426" t="s">
        <v>40989</v>
      </c>
      <c r="G13426" t="s">
        <v>41103</v>
      </c>
      <c r="H13426" t="s">
        <v>859</v>
      </c>
      <c r="I13426" t="s">
        <v>860</v>
      </c>
      <c r="J13426" t="str">
        <f>"9460288"</f>
        <v>9460288</v>
      </c>
      <c r="K13426">
        <v>2233041056</v>
      </c>
      <c r="L13426">
        <v>2233041056</v>
      </c>
      <c r="M13426" t="s">
        <v>42670</v>
      </c>
      <c r="N13426" t="s">
        <v>41106</v>
      </c>
      <c r="O13426" t="s">
        <v>42671</v>
      </c>
      <c r="P13426">
        <v>35012</v>
      </c>
      <c r="Q13426" t="str">
        <f>"38.565998"</f>
        <v>38.565998</v>
      </c>
      <c r="R13426" t="str">
        <f>"23.286182"</f>
        <v>23.286182</v>
      </c>
      <c r="S13426" t="s">
        <v>26</v>
      </c>
    </row>
    <row r="13427" spans="1:19" x14ac:dyDescent="0.3">
      <c r="A13427" t="s">
        <v>40240</v>
      </c>
      <c r="B13427" t="s">
        <v>42448</v>
      </c>
      <c r="C13427" t="s">
        <v>42673</v>
      </c>
      <c r="D13427" t="s">
        <v>40260</v>
      </c>
      <c r="E13427" t="s">
        <v>40261</v>
      </c>
      <c r="F13427" t="s">
        <v>40916</v>
      </c>
      <c r="G13427" t="s">
        <v>42672</v>
      </c>
      <c r="H13427" t="s">
        <v>859</v>
      </c>
      <c r="I13427" t="s">
        <v>860</v>
      </c>
      <c r="J13427" t="str">
        <f>"9460308"</f>
        <v>9460308</v>
      </c>
      <c r="K13427">
        <v>2231081618</v>
      </c>
      <c r="L13427">
        <v>2231081618</v>
      </c>
      <c r="M13427" t="s">
        <v>42674</v>
      </c>
      <c r="N13427" t="s">
        <v>42675</v>
      </c>
      <c r="O13427" t="s">
        <v>42676</v>
      </c>
      <c r="P13427">
        <v>35100</v>
      </c>
      <c r="Q13427" t="str">
        <f>"38.825998"</f>
        <v>38.825998</v>
      </c>
      <c r="R13427" t="str">
        <f>"22.432657"</f>
        <v>22.432657</v>
      </c>
      <c r="S13427" t="s">
        <v>26</v>
      </c>
    </row>
    <row r="13428" spans="1:19" x14ac:dyDescent="0.3">
      <c r="A13428" t="s">
        <v>40240</v>
      </c>
      <c r="B13428" t="s">
        <v>42448</v>
      </c>
      <c r="C13428" t="s">
        <v>42677</v>
      </c>
      <c r="D13428" t="s">
        <v>40260</v>
      </c>
      <c r="E13428" t="s">
        <v>40922</v>
      </c>
      <c r="F13428" t="s">
        <v>40989</v>
      </c>
      <c r="G13428" t="s">
        <v>40990</v>
      </c>
      <c r="H13428" t="s">
        <v>859</v>
      </c>
      <c r="I13428" t="s">
        <v>860</v>
      </c>
      <c r="J13428" t="str">
        <f>"9460039"</f>
        <v>9460039</v>
      </c>
      <c r="K13428">
        <v>2233061288</v>
      </c>
      <c r="L13428">
        <v>2233061210</v>
      </c>
      <c r="M13428" t="s">
        <v>42678</v>
      </c>
      <c r="N13428" t="s">
        <v>40990</v>
      </c>
      <c r="O13428" t="s">
        <v>42679</v>
      </c>
      <c r="P13428">
        <v>35005</v>
      </c>
      <c r="Q13428" t="str">
        <f>"38.565713"</f>
        <v>38.565713</v>
      </c>
      <c r="R13428" t="str">
        <f>"23.212313"</f>
        <v>23.212313</v>
      </c>
      <c r="S13428" t="s">
        <v>26</v>
      </c>
    </row>
    <row r="13429" spans="1:19" x14ac:dyDescent="0.3">
      <c r="A13429" t="s">
        <v>40240</v>
      </c>
      <c r="B13429" t="s">
        <v>42448</v>
      </c>
      <c r="C13429" t="s">
        <v>42680</v>
      </c>
      <c r="D13429" t="s">
        <v>40260</v>
      </c>
      <c r="E13429" t="s">
        <v>41032</v>
      </c>
      <c r="F13429" t="s">
        <v>41140</v>
      </c>
      <c r="G13429" t="s">
        <v>41141</v>
      </c>
      <c r="H13429" t="s">
        <v>859</v>
      </c>
      <c r="I13429" t="s">
        <v>860</v>
      </c>
      <c r="J13429" t="str">
        <f>"9460074"</f>
        <v>9460074</v>
      </c>
      <c r="K13429">
        <v>2232071333</v>
      </c>
      <c r="L13429">
        <v>2232071333</v>
      </c>
      <c r="M13429" t="s">
        <v>42681</v>
      </c>
      <c r="N13429" t="s">
        <v>41141</v>
      </c>
      <c r="O13429" t="s">
        <v>42682</v>
      </c>
      <c r="P13429">
        <v>35010</v>
      </c>
      <c r="Q13429" t="str">
        <f>"39.240825"</f>
        <v>39.240825</v>
      </c>
      <c r="R13429" t="str">
        <f>"22.274109"</f>
        <v>22.274109</v>
      </c>
      <c r="S13429" t="s">
        <v>26</v>
      </c>
    </row>
    <row r="13430" spans="1:19" x14ac:dyDescent="0.3">
      <c r="A13430" t="s">
        <v>40240</v>
      </c>
      <c r="B13430" t="s">
        <v>42448</v>
      </c>
      <c r="C13430" t="s">
        <v>42685</v>
      </c>
      <c r="D13430" t="s">
        <v>40260</v>
      </c>
      <c r="E13430" t="s">
        <v>40261</v>
      </c>
      <c r="F13430" t="s">
        <v>40261</v>
      </c>
      <c r="G13430" t="s">
        <v>40261</v>
      </c>
      <c r="H13430" t="s">
        <v>859</v>
      </c>
      <c r="I13430" t="s">
        <v>860</v>
      </c>
      <c r="J13430" t="str">
        <f>"9521003"</f>
        <v>9521003</v>
      </c>
      <c r="K13430">
        <v>2231033395</v>
      </c>
      <c r="L13430">
        <v>2231033395</v>
      </c>
      <c r="M13430" t="s">
        <v>42686</v>
      </c>
      <c r="N13430" t="s">
        <v>40264</v>
      </c>
      <c r="O13430" t="s">
        <v>42687</v>
      </c>
      <c r="P13430">
        <v>35132</v>
      </c>
      <c r="Q13430" t="str">
        <f>"38.891267"</f>
        <v>38.891267</v>
      </c>
      <c r="R13430" t="str">
        <f>"22.431857"</f>
        <v>22.431857</v>
      </c>
      <c r="S13430" t="s">
        <v>26</v>
      </c>
    </row>
    <row r="13431" spans="1:19" x14ac:dyDescent="0.3">
      <c r="A13431" t="s">
        <v>40240</v>
      </c>
      <c r="B13431" t="s">
        <v>42448</v>
      </c>
      <c r="C13431" t="s">
        <v>42688</v>
      </c>
      <c r="D13431" t="s">
        <v>40260</v>
      </c>
      <c r="E13431" t="s">
        <v>40261</v>
      </c>
      <c r="F13431" t="s">
        <v>40261</v>
      </c>
      <c r="G13431" t="s">
        <v>40261</v>
      </c>
      <c r="H13431" t="s">
        <v>859</v>
      </c>
      <c r="I13431" t="s">
        <v>860</v>
      </c>
      <c r="J13431" t="str">
        <f>"9460263"</f>
        <v>9460263</v>
      </c>
      <c r="K13431">
        <v>2231026417</v>
      </c>
      <c r="L13431">
        <v>2231026417</v>
      </c>
      <c r="M13431" t="s">
        <v>42689</v>
      </c>
      <c r="N13431" t="s">
        <v>40894</v>
      </c>
      <c r="O13431" t="s">
        <v>42690</v>
      </c>
      <c r="P13431">
        <v>35100</v>
      </c>
      <c r="Q13431" t="str">
        <f>"38.896622"</f>
        <v>38.896622</v>
      </c>
      <c r="R13431" t="str">
        <f>"22.424804"</f>
        <v>22.424804</v>
      </c>
      <c r="S13431" t="s">
        <v>26</v>
      </c>
    </row>
    <row r="13432" spans="1:19" x14ac:dyDescent="0.3">
      <c r="A13432" t="s">
        <v>40240</v>
      </c>
      <c r="B13432" t="s">
        <v>42448</v>
      </c>
      <c r="C13432" t="s">
        <v>42698</v>
      </c>
      <c r="D13432" t="s">
        <v>40260</v>
      </c>
      <c r="E13432" t="s">
        <v>40261</v>
      </c>
      <c r="F13432" t="s">
        <v>40261</v>
      </c>
      <c r="G13432" t="s">
        <v>40261</v>
      </c>
      <c r="H13432" t="s">
        <v>859</v>
      </c>
      <c r="I13432" t="s">
        <v>860</v>
      </c>
      <c r="J13432" t="str">
        <f>"9460422"</f>
        <v>9460422</v>
      </c>
      <c r="K13432">
        <v>2231047254</v>
      </c>
      <c r="L13432">
        <v>2231047254</v>
      </c>
      <c r="M13432" t="s">
        <v>42699</v>
      </c>
      <c r="N13432" t="s">
        <v>40894</v>
      </c>
      <c r="O13432" t="s">
        <v>42700</v>
      </c>
      <c r="P13432">
        <v>35100</v>
      </c>
      <c r="Q13432" t="str">
        <f>"38.893906"</f>
        <v>38.893906</v>
      </c>
      <c r="R13432" t="str">
        <f>"22.447591"</f>
        <v>22.447591</v>
      </c>
      <c r="S13432" t="s">
        <v>26</v>
      </c>
    </row>
    <row r="13433" spans="1:19" x14ac:dyDescent="0.3">
      <c r="A13433" t="s">
        <v>40240</v>
      </c>
      <c r="B13433" t="s">
        <v>42448</v>
      </c>
      <c r="C13433" t="s">
        <v>42701</v>
      </c>
      <c r="D13433" t="s">
        <v>40260</v>
      </c>
      <c r="E13433" t="s">
        <v>40261</v>
      </c>
      <c r="F13433" t="s">
        <v>40261</v>
      </c>
      <c r="G13433" t="s">
        <v>40261</v>
      </c>
      <c r="H13433" t="s">
        <v>859</v>
      </c>
      <c r="I13433" t="s">
        <v>860</v>
      </c>
      <c r="J13433" t="str">
        <f>"9460305"</f>
        <v>9460305</v>
      </c>
      <c r="K13433">
        <v>2231034742</v>
      </c>
      <c r="L13433">
        <v>2231034742</v>
      </c>
      <c r="M13433" t="s">
        <v>42702</v>
      </c>
      <c r="N13433" t="s">
        <v>40894</v>
      </c>
      <c r="O13433" t="s">
        <v>42703</v>
      </c>
      <c r="P13433">
        <v>35100</v>
      </c>
      <c r="Q13433" t="str">
        <f>"38.900862"</f>
        <v>38.900862</v>
      </c>
      <c r="R13433" t="str">
        <f>"22.489608"</f>
        <v>22.489608</v>
      </c>
      <c r="S13433" t="s">
        <v>26</v>
      </c>
    </row>
    <row r="13434" spans="1:19" x14ac:dyDescent="0.3">
      <c r="A13434" t="s">
        <v>40240</v>
      </c>
      <c r="B13434" t="s">
        <v>42448</v>
      </c>
      <c r="C13434" t="s">
        <v>42704</v>
      </c>
      <c r="D13434" t="s">
        <v>40260</v>
      </c>
      <c r="E13434" t="s">
        <v>40261</v>
      </c>
      <c r="F13434" t="s">
        <v>40261</v>
      </c>
      <c r="G13434" t="s">
        <v>42494</v>
      </c>
      <c r="H13434" t="s">
        <v>859</v>
      </c>
      <c r="I13434" t="s">
        <v>860</v>
      </c>
      <c r="J13434" t="str">
        <f>"9460412"</f>
        <v>9460412</v>
      </c>
      <c r="K13434">
        <v>2231096477</v>
      </c>
      <c r="L13434">
        <v>2231096567</v>
      </c>
      <c r="M13434" t="s">
        <v>42705</v>
      </c>
      <c r="N13434" t="s">
        <v>42494</v>
      </c>
      <c r="O13434" t="s">
        <v>42706</v>
      </c>
      <c r="P13434">
        <v>35100</v>
      </c>
      <c r="Q13434" t="str">
        <f>"38.882273"</f>
        <v>38.882273</v>
      </c>
      <c r="R13434" t="str">
        <f>"22.418209"</f>
        <v>22.418209</v>
      </c>
      <c r="S13434" t="s">
        <v>26</v>
      </c>
    </row>
    <row r="13435" spans="1:19" x14ac:dyDescent="0.3">
      <c r="A13435" t="s">
        <v>40240</v>
      </c>
      <c r="B13435" t="s">
        <v>42448</v>
      </c>
      <c r="C13435" t="s">
        <v>42707</v>
      </c>
      <c r="D13435" t="s">
        <v>40260</v>
      </c>
      <c r="E13435" t="s">
        <v>40922</v>
      </c>
      <c r="F13435" t="s">
        <v>41010</v>
      </c>
      <c r="G13435" t="s">
        <v>42530</v>
      </c>
      <c r="H13435" t="s">
        <v>859</v>
      </c>
      <c r="I13435" t="s">
        <v>860</v>
      </c>
      <c r="J13435" t="str">
        <f>"9460290"</f>
        <v>9460290</v>
      </c>
      <c r="K13435">
        <v>2233091360</v>
      </c>
      <c r="M13435" t="s">
        <v>42708</v>
      </c>
      <c r="N13435" t="s">
        <v>42530</v>
      </c>
      <c r="O13435" t="s">
        <v>42533</v>
      </c>
      <c r="P13435">
        <v>35200</v>
      </c>
      <c r="Q13435" t="str">
        <f>"38.744350"</f>
        <v>38.744350</v>
      </c>
      <c r="R13435" t="str">
        <f>"23.030960"</f>
        <v>23.030960</v>
      </c>
      <c r="S13435" t="s">
        <v>26</v>
      </c>
    </row>
    <row r="13436" spans="1:19" x14ac:dyDescent="0.3">
      <c r="A13436" t="s">
        <v>40240</v>
      </c>
      <c r="B13436" t="s">
        <v>42448</v>
      </c>
      <c r="C13436" t="s">
        <v>42712</v>
      </c>
      <c r="D13436" t="s">
        <v>40260</v>
      </c>
      <c r="E13436" t="s">
        <v>40261</v>
      </c>
      <c r="F13436" t="s">
        <v>40261</v>
      </c>
      <c r="G13436" t="s">
        <v>40261</v>
      </c>
      <c r="H13436" t="s">
        <v>859</v>
      </c>
      <c r="I13436" t="s">
        <v>860</v>
      </c>
      <c r="J13436" t="str">
        <f>"9460230"</f>
        <v>9460230</v>
      </c>
      <c r="K13436">
        <v>2231026990</v>
      </c>
      <c r="L13436">
        <v>2231026990</v>
      </c>
      <c r="M13436" t="s">
        <v>42713</v>
      </c>
      <c r="N13436" t="s">
        <v>40894</v>
      </c>
      <c r="O13436" t="s">
        <v>42714</v>
      </c>
      <c r="P13436">
        <v>35131</v>
      </c>
      <c r="Q13436" t="str">
        <f>"38.898208"</f>
        <v>38.898208</v>
      </c>
      <c r="R13436" t="str">
        <f>"22.431358"</f>
        <v>22.431358</v>
      </c>
      <c r="S13436" t="s">
        <v>26</v>
      </c>
    </row>
    <row r="13437" spans="1:19" x14ac:dyDescent="0.3">
      <c r="A13437" t="s">
        <v>40240</v>
      </c>
      <c r="B13437" t="s">
        <v>42448</v>
      </c>
      <c r="C13437" t="s">
        <v>42716</v>
      </c>
      <c r="D13437" t="s">
        <v>40260</v>
      </c>
      <c r="E13437" t="s">
        <v>40904</v>
      </c>
      <c r="F13437" t="s">
        <v>40904</v>
      </c>
      <c r="G13437" t="s">
        <v>42715</v>
      </c>
      <c r="H13437" t="s">
        <v>859</v>
      </c>
      <c r="I13437" t="s">
        <v>860</v>
      </c>
      <c r="J13437" t="str">
        <f>"9521002"</f>
        <v>9521002</v>
      </c>
      <c r="K13437">
        <v>2236051544</v>
      </c>
      <c r="L13437">
        <v>2236051544</v>
      </c>
      <c r="M13437" t="s">
        <v>42717</v>
      </c>
      <c r="N13437" t="s">
        <v>42718</v>
      </c>
      <c r="O13437" t="s">
        <v>42719</v>
      </c>
      <c r="P13437">
        <v>35011</v>
      </c>
      <c r="Q13437" t="str">
        <f>"38.963101"</f>
        <v>38.963101</v>
      </c>
      <c r="R13437" t="str">
        <f>"22.193237"</f>
        <v>22.193237</v>
      </c>
      <c r="S13437" t="s">
        <v>26</v>
      </c>
    </row>
    <row r="13438" spans="1:19" x14ac:dyDescent="0.3">
      <c r="A13438" t="s">
        <v>40240</v>
      </c>
      <c r="B13438" t="s">
        <v>42448</v>
      </c>
      <c r="C13438" t="s">
        <v>42722</v>
      </c>
      <c r="D13438" t="s">
        <v>40260</v>
      </c>
      <c r="E13438" t="s">
        <v>40261</v>
      </c>
      <c r="F13438" t="s">
        <v>40261</v>
      </c>
      <c r="G13438" t="s">
        <v>40261</v>
      </c>
      <c r="H13438" t="s">
        <v>859</v>
      </c>
      <c r="I13438" t="s">
        <v>860</v>
      </c>
      <c r="J13438" t="str">
        <f>"9460418"</f>
        <v>9460418</v>
      </c>
      <c r="K13438">
        <v>2231037444</v>
      </c>
      <c r="L13438">
        <v>2231037444</v>
      </c>
      <c r="M13438" t="s">
        <v>42723</v>
      </c>
      <c r="N13438" t="s">
        <v>40894</v>
      </c>
      <c r="O13438" t="s">
        <v>42724</v>
      </c>
      <c r="P13438">
        <v>35131</v>
      </c>
      <c r="Q13438" t="str">
        <f>"38.919552"</f>
        <v>38.919552</v>
      </c>
      <c r="R13438" t="str">
        <f>"22.429987"</f>
        <v>22.429987</v>
      </c>
      <c r="S13438" t="s">
        <v>26</v>
      </c>
    </row>
    <row r="13439" spans="1:19" x14ac:dyDescent="0.3">
      <c r="A13439" t="s">
        <v>40240</v>
      </c>
      <c r="B13439" t="s">
        <v>42448</v>
      </c>
      <c r="C13439" t="s">
        <v>42725</v>
      </c>
      <c r="D13439" t="s">
        <v>40260</v>
      </c>
      <c r="E13439" t="s">
        <v>41038</v>
      </c>
      <c r="F13439" t="s">
        <v>41039</v>
      </c>
      <c r="G13439" t="s">
        <v>41039</v>
      </c>
      <c r="H13439" t="s">
        <v>859</v>
      </c>
      <c r="I13439" t="s">
        <v>860</v>
      </c>
      <c r="J13439" t="str">
        <f>"9460252"</f>
        <v>9460252</v>
      </c>
      <c r="K13439">
        <v>2238051904</v>
      </c>
      <c r="L13439">
        <v>51904</v>
      </c>
      <c r="M13439" t="s">
        <v>42726</v>
      </c>
      <c r="N13439" t="s">
        <v>41042</v>
      </c>
      <c r="O13439" t="s">
        <v>2648</v>
      </c>
      <c r="P13439">
        <v>35013</v>
      </c>
      <c r="Q13439" t="str">
        <f>"38.944898"</f>
        <v>38.944898</v>
      </c>
      <c r="R13439" t="str">
        <f>"22.838870"</f>
        <v>22.838870</v>
      </c>
      <c r="S13439" t="s">
        <v>26</v>
      </c>
    </row>
    <row r="13440" spans="1:19" x14ac:dyDescent="0.3">
      <c r="A13440" t="s">
        <v>40240</v>
      </c>
      <c r="B13440" t="s">
        <v>42448</v>
      </c>
      <c r="C13440" t="s">
        <v>42727</v>
      </c>
      <c r="D13440" t="s">
        <v>40260</v>
      </c>
      <c r="E13440" t="s">
        <v>40897</v>
      </c>
      <c r="F13440" t="s">
        <v>40898</v>
      </c>
      <c r="G13440" t="s">
        <v>40898</v>
      </c>
      <c r="H13440" t="s">
        <v>859</v>
      </c>
      <c r="I13440" t="s">
        <v>860</v>
      </c>
      <c r="J13440" t="str">
        <f>"9460298"</f>
        <v>9460298</v>
      </c>
      <c r="K13440">
        <v>2234022682</v>
      </c>
      <c r="M13440" t="s">
        <v>42728</v>
      </c>
      <c r="O13440" t="s">
        <v>11542</v>
      </c>
      <c r="P13440">
        <v>35002</v>
      </c>
      <c r="Q13440" t="str">
        <f>"38.639605"</f>
        <v>38.639605</v>
      </c>
      <c r="R13440" t="str">
        <f>"22.590004"</f>
        <v>22.590004</v>
      </c>
      <c r="S13440" t="s">
        <v>26</v>
      </c>
    </row>
    <row r="13441" spans="1:19" x14ac:dyDescent="0.3">
      <c r="A13441" t="s">
        <v>40240</v>
      </c>
      <c r="B13441" t="s">
        <v>42448</v>
      </c>
      <c r="C13441" t="s">
        <v>42732</v>
      </c>
      <c r="D13441" t="s">
        <v>40260</v>
      </c>
      <c r="E13441" t="s">
        <v>40922</v>
      </c>
      <c r="F13441" t="s">
        <v>40928</v>
      </c>
      <c r="G13441" t="s">
        <v>40928</v>
      </c>
      <c r="H13441" t="s">
        <v>859</v>
      </c>
      <c r="I13441" t="s">
        <v>860</v>
      </c>
      <c r="J13441" t="str">
        <f>"9460251"</f>
        <v>9460251</v>
      </c>
      <c r="K13441">
        <v>2233023637</v>
      </c>
      <c r="L13441">
        <v>2233023637</v>
      </c>
      <c r="M13441" t="s">
        <v>42733</v>
      </c>
      <c r="N13441" t="s">
        <v>40928</v>
      </c>
      <c r="O13441" t="s">
        <v>42734</v>
      </c>
      <c r="P13441">
        <v>35200</v>
      </c>
      <c r="Q13441" t="str">
        <f>"38.655938"</f>
        <v>38.655938</v>
      </c>
      <c r="R13441" t="str">
        <f>"23.002029"</f>
        <v>23.002029</v>
      </c>
      <c r="S13441" t="s">
        <v>26</v>
      </c>
    </row>
    <row r="13442" spans="1:19" x14ac:dyDescent="0.3">
      <c r="A13442" t="s">
        <v>40240</v>
      </c>
      <c r="B13442" t="s">
        <v>42448</v>
      </c>
      <c r="C13442" t="s">
        <v>42735</v>
      </c>
      <c r="D13442" t="s">
        <v>40260</v>
      </c>
      <c r="E13442" t="s">
        <v>41038</v>
      </c>
      <c r="F13442" t="s">
        <v>41039</v>
      </c>
      <c r="G13442" t="s">
        <v>42693</v>
      </c>
      <c r="H13442" t="s">
        <v>859</v>
      </c>
      <c r="I13442" t="s">
        <v>860</v>
      </c>
      <c r="J13442" t="str">
        <f>"9460410"</f>
        <v>9460410</v>
      </c>
      <c r="K13442">
        <v>2238061377</v>
      </c>
      <c r="M13442" t="s">
        <v>42736</v>
      </c>
      <c r="N13442" t="s">
        <v>42696</v>
      </c>
      <c r="O13442" t="s">
        <v>42697</v>
      </c>
      <c r="P13442">
        <v>35013</v>
      </c>
      <c r="Q13442" t="str">
        <f>"38.952884"</f>
        <v>38.952884</v>
      </c>
      <c r="R13442" t="str">
        <f>"22.965644"</f>
        <v>22.965644</v>
      </c>
      <c r="S13442" t="s">
        <v>26</v>
      </c>
    </row>
    <row r="13443" spans="1:19" x14ac:dyDescent="0.3">
      <c r="A13443" t="s">
        <v>40240</v>
      </c>
      <c r="B13443" t="s">
        <v>42448</v>
      </c>
      <c r="C13443" t="s">
        <v>42738</v>
      </c>
      <c r="D13443" t="s">
        <v>40260</v>
      </c>
      <c r="E13443" t="s">
        <v>40261</v>
      </c>
      <c r="F13443" t="s">
        <v>40975</v>
      </c>
      <c r="G13443" t="s">
        <v>42737</v>
      </c>
      <c r="H13443" t="s">
        <v>859</v>
      </c>
      <c r="I13443" t="s">
        <v>860</v>
      </c>
      <c r="J13443" t="str">
        <f>"9460283"</f>
        <v>9460283</v>
      </c>
      <c r="K13443">
        <v>2231059033</v>
      </c>
      <c r="L13443">
        <v>223105903</v>
      </c>
      <c r="M13443" t="s">
        <v>42739</v>
      </c>
      <c r="N13443" t="s">
        <v>42737</v>
      </c>
      <c r="O13443" t="s">
        <v>42740</v>
      </c>
      <c r="P13443">
        <v>35016</v>
      </c>
      <c r="Q13443" t="str">
        <f>"38.886086"</f>
        <v>38.886086</v>
      </c>
      <c r="R13443" t="str">
        <f>"22.311983"</f>
        <v>22.311983</v>
      </c>
      <c r="S13443" t="s">
        <v>26</v>
      </c>
    </row>
    <row r="13444" spans="1:19" x14ac:dyDescent="0.3">
      <c r="A13444" t="s">
        <v>40240</v>
      </c>
      <c r="B13444" t="s">
        <v>42448</v>
      </c>
      <c r="C13444" t="s">
        <v>42741</v>
      </c>
      <c r="D13444" t="s">
        <v>40260</v>
      </c>
      <c r="E13444" t="s">
        <v>40922</v>
      </c>
      <c r="F13444" t="s">
        <v>40928</v>
      </c>
      <c r="G13444" t="s">
        <v>40928</v>
      </c>
      <c r="H13444" t="s">
        <v>859</v>
      </c>
      <c r="I13444" t="s">
        <v>860</v>
      </c>
      <c r="J13444" t="str">
        <f>"9460430"</f>
        <v>9460430</v>
      </c>
      <c r="K13444">
        <v>2233023073</v>
      </c>
      <c r="L13444">
        <v>2233023073</v>
      </c>
      <c r="M13444" t="s">
        <v>42742</v>
      </c>
      <c r="N13444" t="s">
        <v>40928</v>
      </c>
      <c r="O13444" t="s">
        <v>42743</v>
      </c>
      <c r="P13444">
        <v>35200</v>
      </c>
      <c r="Q13444" t="str">
        <f>"38.651647"</f>
        <v>38.651647</v>
      </c>
      <c r="R13444" t="str">
        <f>"23.005389"</f>
        <v>23.005389</v>
      </c>
      <c r="S13444" t="s">
        <v>26</v>
      </c>
    </row>
    <row r="13445" spans="1:19" x14ac:dyDescent="0.3">
      <c r="A13445" t="s">
        <v>40240</v>
      </c>
      <c r="B13445" t="s">
        <v>42448</v>
      </c>
      <c r="C13445" t="s">
        <v>42744</v>
      </c>
      <c r="D13445" t="s">
        <v>40260</v>
      </c>
      <c r="E13445" t="s">
        <v>41003</v>
      </c>
      <c r="F13445" t="s">
        <v>13393</v>
      </c>
      <c r="G13445" t="s">
        <v>41134</v>
      </c>
      <c r="H13445" t="s">
        <v>859</v>
      </c>
      <c r="I13445" t="s">
        <v>860</v>
      </c>
      <c r="J13445" t="str">
        <f>"9460260"</f>
        <v>9460260</v>
      </c>
      <c r="K13445">
        <v>2235031990</v>
      </c>
      <c r="L13445">
        <v>2235031990</v>
      </c>
      <c r="M13445" t="s">
        <v>42745</v>
      </c>
      <c r="N13445" t="s">
        <v>42746</v>
      </c>
      <c r="O13445" t="s">
        <v>42747</v>
      </c>
      <c r="P13445">
        <v>35006</v>
      </c>
      <c r="Q13445" t="str">
        <f>"38.757141"</f>
        <v>38.757141</v>
      </c>
      <c r="R13445" t="str">
        <f>"22.858031"</f>
        <v>22.858031</v>
      </c>
      <c r="S13445" t="s">
        <v>26</v>
      </c>
    </row>
    <row r="13446" spans="1:19" x14ac:dyDescent="0.3">
      <c r="A13446" t="s">
        <v>40240</v>
      </c>
      <c r="B13446" t="s">
        <v>42448</v>
      </c>
      <c r="C13446" t="s">
        <v>42748</v>
      </c>
      <c r="D13446" t="s">
        <v>40260</v>
      </c>
      <c r="E13446" t="s">
        <v>40897</v>
      </c>
      <c r="F13446" t="s">
        <v>40910</v>
      </c>
      <c r="G13446" t="s">
        <v>40910</v>
      </c>
      <c r="H13446" t="s">
        <v>859</v>
      </c>
      <c r="I13446" t="s">
        <v>860</v>
      </c>
      <c r="J13446" t="str">
        <f>"9460241"</f>
        <v>9460241</v>
      </c>
      <c r="K13446">
        <v>2234032287</v>
      </c>
      <c r="L13446">
        <v>2234032287</v>
      </c>
      <c r="M13446" t="s">
        <v>42749</v>
      </c>
      <c r="N13446" t="s">
        <v>40910</v>
      </c>
      <c r="O13446" t="s">
        <v>41001</v>
      </c>
      <c r="P13446">
        <v>35004</v>
      </c>
      <c r="Q13446" t="str">
        <f>"38.627657"</f>
        <v>38.627657</v>
      </c>
      <c r="R13446" t="str">
        <f>"22.766048"</f>
        <v>22.766048</v>
      </c>
      <c r="S13446" t="s">
        <v>26</v>
      </c>
    </row>
    <row r="13447" spans="1:19" x14ac:dyDescent="0.3">
      <c r="A13447" t="s">
        <v>40240</v>
      </c>
      <c r="B13447" t="s">
        <v>42448</v>
      </c>
      <c r="C13447" t="s">
        <v>42750</v>
      </c>
      <c r="D13447" t="s">
        <v>40260</v>
      </c>
      <c r="E13447" t="s">
        <v>40922</v>
      </c>
      <c r="F13447" t="s">
        <v>40928</v>
      </c>
      <c r="G13447" t="s">
        <v>42631</v>
      </c>
      <c r="H13447" t="s">
        <v>859</v>
      </c>
      <c r="I13447" t="s">
        <v>860</v>
      </c>
      <c r="J13447" t="str">
        <f>"9460261"</f>
        <v>9460261</v>
      </c>
      <c r="K13447">
        <v>6974792302</v>
      </c>
      <c r="M13447" t="s">
        <v>42751</v>
      </c>
      <c r="N13447" t="s">
        <v>42631</v>
      </c>
      <c r="O13447" t="s">
        <v>42752</v>
      </c>
      <c r="P13447">
        <v>35200</v>
      </c>
      <c r="Q13447" t="str">
        <f>"38.589543"</f>
        <v>38.589543</v>
      </c>
      <c r="R13447" t="str">
        <f>"22.941315"</f>
        <v>22.941315</v>
      </c>
      <c r="S13447" t="s">
        <v>26</v>
      </c>
    </row>
    <row r="13448" spans="1:19" x14ac:dyDescent="0.3">
      <c r="A13448" t="s">
        <v>40240</v>
      </c>
      <c r="B13448" t="s">
        <v>42448</v>
      </c>
      <c r="C13448" t="s">
        <v>42755</v>
      </c>
      <c r="D13448" t="s">
        <v>40260</v>
      </c>
      <c r="E13448" t="s">
        <v>40261</v>
      </c>
      <c r="F13448" t="s">
        <v>40261</v>
      </c>
      <c r="G13448" t="s">
        <v>40261</v>
      </c>
      <c r="H13448" t="s">
        <v>859</v>
      </c>
      <c r="I13448" t="s">
        <v>860</v>
      </c>
      <c r="J13448" t="str">
        <f>"9460234"</f>
        <v>9460234</v>
      </c>
      <c r="K13448">
        <v>2231027254</v>
      </c>
      <c r="L13448">
        <v>2231027254</v>
      </c>
      <c r="M13448" t="s">
        <v>42756</v>
      </c>
      <c r="N13448" t="s">
        <v>40894</v>
      </c>
      <c r="O13448" t="s">
        <v>42757</v>
      </c>
      <c r="P13448">
        <v>35100</v>
      </c>
      <c r="Q13448" t="str">
        <f>"38.889745"</f>
        <v>38.889745</v>
      </c>
      <c r="R13448" t="str">
        <f>"22.423224"</f>
        <v>22.423224</v>
      </c>
      <c r="S13448" t="s">
        <v>26</v>
      </c>
    </row>
    <row r="13449" spans="1:19" x14ac:dyDescent="0.3">
      <c r="A13449" t="s">
        <v>40240</v>
      </c>
      <c r="B13449" t="s">
        <v>42448</v>
      </c>
      <c r="C13449" t="s">
        <v>42758</v>
      </c>
      <c r="D13449" t="s">
        <v>40260</v>
      </c>
      <c r="E13449" t="s">
        <v>41003</v>
      </c>
      <c r="F13449" t="s">
        <v>41003</v>
      </c>
      <c r="G13449" t="s">
        <v>41003</v>
      </c>
      <c r="H13449" t="s">
        <v>859</v>
      </c>
      <c r="I13449" t="s">
        <v>860</v>
      </c>
      <c r="J13449" t="str">
        <f>"9460242"</f>
        <v>9460242</v>
      </c>
      <c r="K13449">
        <v>2235023194</v>
      </c>
      <c r="L13449">
        <v>2235023194</v>
      </c>
      <c r="M13449" t="s">
        <v>42759</v>
      </c>
      <c r="N13449" t="s">
        <v>41003</v>
      </c>
      <c r="O13449" t="s">
        <v>42452</v>
      </c>
      <c r="P13449">
        <v>35008</v>
      </c>
      <c r="Q13449" t="str">
        <f>"38.775642"</f>
        <v>38.775642</v>
      </c>
      <c r="R13449" t="str">
        <f>"22.785697"</f>
        <v>22.785697</v>
      </c>
      <c r="S13449" t="s">
        <v>26</v>
      </c>
    </row>
    <row r="13450" spans="1:19" x14ac:dyDescent="0.3">
      <c r="A13450" t="s">
        <v>40240</v>
      </c>
      <c r="B13450" t="s">
        <v>42448</v>
      </c>
      <c r="C13450" t="s">
        <v>42761</v>
      </c>
      <c r="D13450" t="s">
        <v>40260</v>
      </c>
      <c r="E13450" t="s">
        <v>41003</v>
      </c>
      <c r="F13450" t="s">
        <v>41004</v>
      </c>
      <c r="G13450" t="s">
        <v>42760</v>
      </c>
      <c r="H13450" t="s">
        <v>859</v>
      </c>
      <c r="I13450" t="s">
        <v>860</v>
      </c>
      <c r="J13450" t="str">
        <f>"9460297"</f>
        <v>9460297</v>
      </c>
      <c r="K13450">
        <v>2235041230</v>
      </c>
      <c r="L13450">
        <v>2235041230</v>
      </c>
      <c r="M13450" t="s">
        <v>42762</v>
      </c>
      <c r="N13450" t="s">
        <v>42760</v>
      </c>
      <c r="O13450" t="s">
        <v>42763</v>
      </c>
      <c r="P13450">
        <v>35009</v>
      </c>
      <c r="Q13450" t="str">
        <f>"38.800462"</f>
        <v>38.800462</v>
      </c>
      <c r="R13450" t="str">
        <f>"22.705875"</f>
        <v>22.705875</v>
      </c>
      <c r="S13450" t="s">
        <v>26</v>
      </c>
    </row>
    <row r="13451" spans="1:19" x14ac:dyDescent="0.3">
      <c r="A13451" t="s">
        <v>40240</v>
      </c>
      <c r="B13451" t="s">
        <v>42448</v>
      </c>
      <c r="C13451" t="s">
        <v>42764</v>
      </c>
      <c r="D13451" t="s">
        <v>40260</v>
      </c>
      <c r="E13451" t="s">
        <v>40922</v>
      </c>
      <c r="F13451" t="s">
        <v>41010</v>
      </c>
      <c r="G13451" t="s">
        <v>41011</v>
      </c>
      <c r="H13451" t="s">
        <v>859</v>
      </c>
      <c r="I13451" t="s">
        <v>860</v>
      </c>
      <c r="J13451" t="str">
        <f>"9460034"</f>
        <v>9460034</v>
      </c>
      <c r="K13451">
        <v>2233032155</v>
      </c>
      <c r="L13451">
        <v>2233032155</v>
      </c>
      <c r="M13451" t="s">
        <v>42765</v>
      </c>
      <c r="N13451" t="s">
        <v>41011</v>
      </c>
      <c r="O13451" t="s">
        <v>41014</v>
      </c>
      <c r="P13451">
        <v>35200</v>
      </c>
      <c r="Q13451" t="str">
        <f>"38.696973"</f>
        <v>38.696973</v>
      </c>
      <c r="R13451" t="str">
        <f>"23.038323"</f>
        <v>23.038323</v>
      </c>
      <c r="S13451" t="s">
        <v>26</v>
      </c>
    </row>
    <row r="13452" spans="1:19" x14ac:dyDescent="0.3">
      <c r="A13452" t="s">
        <v>40240</v>
      </c>
      <c r="B13452" t="s">
        <v>42448</v>
      </c>
      <c r="C13452" t="s">
        <v>42766</v>
      </c>
      <c r="D13452" t="s">
        <v>40260</v>
      </c>
      <c r="E13452" t="s">
        <v>40922</v>
      </c>
      <c r="F13452" t="s">
        <v>40923</v>
      </c>
      <c r="G13452" t="s">
        <v>40923</v>
      </c>
      <c r="H13452" t="s">
        <v>859</v>
      </c>
      <c r="I13452" t="s">
        <v>860</v>
      </c>
      <c r="J13452" t="str">
        <f>"9460037"</f>
        <v>9460037</v>
      </c>
      <c r="K13452">
        <v>2233052160</v>
      </c>
      <c r="L13452">
        <v>2233052160</v>
      </c>
      <c r="M13452" t="s">
        <v>42767</v>
      </c>
      <c r="N13452" t="s">
        <v>42768</v>
      </c>
      <c r="O13452" t="s">
        <v>42769</v>
      </c>
      <c r="P13452">
        <v>35001</v>
      </c>
      <c r="Q13452" t="str">
        <f>"38.619908"</f>
        <v>38.619908</v>
      </c>
      <c r="R13452" t="str">
        <f>"23.233523"</f>
        <v>23.233523</v>
      </c>
      <c r="S13452" t="s">
        <v>26</v>
      </c>
    </row>
    <row r="13453" spans="1:19" x14ac:dyDescent="0.3">
      <c r="A13453" t="s">
        <v>40240</v>
      </c>
      <c r="B13453" t="s">
        <v>42448</v>
      </c>
      <c r="C13453" t="s">
        <v>42770</v>
      </c>
      <c r="D13453" t="s">
        <v>40260</v>
      </c>
      <c r="E13453" t="s">
        <v>40922</v>
      </c>
      <c r="F13453" t="s">
        <v>40923</v>
      </c>
      <c r="G13453" t="s">
        <v>40923</v>
      </c>
      <c r="H13453" t="s">
        <v>859</v>
      </c>
      <c r="I13453" t="s">
        <v>860</v>
      </c>
      <c r="J13453" t="str">
        <f>"9460296"</f>
        <v>9460296</v>
      </c>
      <c r="K13453">
        <v>2233052527</v>
      </c>
      <c r="L13453">
        <v>2233052527</v>
      </c>
      <c r="M13453" t="s">
        <v>42771</v>
      </c>
      <c r="N13453" t="s">
        <v>40927</v>
      </c>
      <c r="O13453" t="s">
        <v>42535</v>
      </c>
      <c r="P13453">
        <v>35001</v>
      </c>
      <c r="Q13453" t="str">
        <f>"38.620169"</f>
        <v>38.620169</v>
      </c>
      <c r="R13453" t="str">
        <f>"23.233968"</f>
        <v>23.233968</v>
      </c>
      <c r="S13453" t="s">
        <v>26</v>
      </c>
    </row>
    <row r="13454" spans="1:19" x14ac:dyDescent="0.3">
      <c r="A13454" t="s">
        <v>40240</v>
      </c>
      <c r="B13454" t="s">
        <v>42448</v>
      </c>
      <c r="C13454" t="s">
        <v>42774</v>
      </c>
      <c r="D13454" t="s">
        <v>40260</v>
      </c>
      <c r="E13454" t="s">
        <v>41003</v>
      </c>
      <c r="F13454" t="s">
        <v>41004</v>
      </c>
      <c r="G13454" t="s">
        <v>41004</v>
      </c>
      <c r="H13454" t="s">
        <v>859</v>
      </c>
      <c r="I13454" t="s">
        <v>860</v>
      </c>
      <c r="J13454" t="str">
        <f>"9460045"</f>
        <v>9460045</v>
      </c>
      <c r="K13454">
        <v>2235051017</v>
      </c>
      <c r="M13454" t="s">
        <v>42775</v>
      </c>
      <c r="N13454" t="s">
        <v>41004</v>
      </c>
      <c r="O13454" t="s">
        <v>42776</v>
      </c>
      <c r="P13454">
        <v>35009</v>
      </c>
      <c r="Q13454" t="str">
        <f>"38.807021"</f>
        <v>38.807021</v>
      </c>
      <c r="R13454" t="str">
        <f>"22.643943"</f>
        <v>22.643943</v>
      </c>
      <c r="S13454" t="s">
        <v>26</v>
      </c>
    </row>
    <row r="13455" spans="1:19" x14ac:dyDescent="0.3">
      <c r="A13455" t="s">
        <v>40240</v>
      </c>
      <c r="B13455" t="s">
        <v>42448</v>
      </c>
      <c r="C13455" t="s">
        <v>42779</v>
      </c>
      <c r="D13455" t="s">
        <v>40260</v>
      </c>
      <c r="E13455" t="s">
        <v>41038</v>
      </c>
      <c r="F13455" t="s">
        <v>41151</v>
      </c>
      <c r="G13455" t="s">
        <v>31629</v>
      </c>
      <c r="H13455" t="s">
        <v>859</v>
      </c>
      <c r="I13455" t="s">
        <v>860</v>
      </c>
      <c r="J13455" t="str">
        <f>"9460291"</f>
        <v>9460291</v>
      </c>
      <c r="K13455">
        <v>2238042203</v>
      </c>
      <c r="L13455">
        <v>2238042203</v>
      </c>
      <c r="M13455" t="s">
        <v>42780</v>
      </c>
      <c r="N13455" t="s">
        <v>31629</v>
      </c>
      <c r="O13455" t="s">
        <v>42781</v>
      </c>
      <c r="P13455">
        <v>35300</v>
      </c>
      <c r="Q13455" t="str">
        <f>"38.892376"</f>
        <v>38.892376</v>
      </c>
      <c r="R13455" t="str">
        <f>"22.730937"</f>
        <v>22.730937</v>
      </c>
      <c r="S13455" t="s">
        <v>26</v>
      </c>
    </row>
    <row r="13456" spans="1:19" x14ac:dyDescent="0.3">
      <c r="A13456" t="s">
        <v>40240</v>
      </c>
      <c r="B13456" t="s">
        <v>42448</v>
      </c>
      <c r="C13456" t="s">
        <v>42787</v>
      </c>
      <c r="D13456" t="s">
        <v>40260</v>
      </c>
      <c r="E13456" t="s">
        <v>41038</v>
      </c>
      <c r="F13456" t="s">
        <v>41151</v>
      </c>
      <c r="G13456" t="s">
        <v>42786</v>
      </c>
      <c r="H13456" t="s">
        <v>859</v>
      </c>
      <c r="I13456" t="s">
        <v>860</v>
      </c>
      <c r="J13456" t="str">
        <f>"9460407"</f>
        <v>9460407</v>
      </c>
      <c r="K13456">
        <v>2238042185</v>
      </c>
      <c r="L13456">
        <v>2238042185</v>
      </c>
      <c r="M13456" t="s">
        <v>42788</v>
      </c>
      <c r="N13456" t="s">
        <v>42786</v>
      </c>
      <c r="O13456" t="s">
        <v>42789</v>
      </c>
      <c r="P13456">
        <v>35300</v>
      </c>
      <c r="Q13456" t="str">
        <f>"38.888577"</f>
        <v>38.888577</v>
      </c>
      <c r="R13456" t="str">
        <f>"22.712107"</f>
        <v>22.712107</v>
      </c>
      <c r="S13456" t="s">
        <v>26</v>
      </c>
    </row>
    <row r="13457" spans="1:19" x14ac:dyDescent="0.3">
      <c r="A13457" t="s">
        <v>40240</v>
      </c>
      <c r="B13457" t="s">
        <v>42448</v>
      </c>
      <c r="C13457" t="s">
        <v>42793</v>
      </c>
      <c r="D13457" t="s">
        <v>40260</v>
      </c>
      <c r="E13457" t="s">
        <v>40904</v>
      </c>
      <c r="F13457" t="s">
        <v>40905</v>
      </c>
      <c r="G13457" t="s">
        <v>40905</v>
      </c>
      <c r="H13457" t="s">
        <v>859</v>
      </c>
      <c r="I13457" t="s">
        <v>860</v>
      </c>
      <c r="J13457" t="str">
        <f>"9460203"</f>
        <v>9460203</v>
      </c>
      <c r="K13457">
        <v>2236043710</v>
      </c>
      <c r="L13457">
        <v>2236043710</v>
      </c>
      <c r="M13457" t="s">
        <v>42794</v>
      </c>
      <c r="N13457" t="s">
        <v>42660</v>
      </c>
      <c r="O13457" t="s">
        <v>40908</v>
      </c>
      <c r="P13457">
        <v>35003</v>
      </c>
      <c r="Q13457" t="str">
        <f>"38.910531"</f>
        <v>38.910531</v>
      </c>
      <c r="R13457" t="str">
        <f>"22.125674"</f>
        <v>22.125674</v>
      </c>
      <c r="S13457" t="s">
        <v>26</v>
      </c>
    </row>
    <row r="13458" spans="1:19" x14ac:dyDescent="0.3">
      <c r="A13458" t="s">
        <v>40240</v>
      </c>
      <c r="B13458" t="s">
        <v>42448</v>
      </c>
      <c r="C13458" t="s">
        <v>42795</v>
      </c>
      <c r="D13458" t="s">
        <v>40260</v>
      </c>
      <c r="E13458" t="s">
        <v>40261</v>
      </c>
      <c r="F13458" t="s">
        <v>40261</v>
      </c>
      <c r="G13458" t="s">
        <v>40261</v>
      </c>
      <c r="H13458" t="s">
        <v>859</v>
      </c>
      <c r="I13458" t="s">
        <v>860</v>
      </c>
      <c r="J13458" t="str">
        <f>"9460417"</f>
        <v>9460417</v>
      </c>
      <c r="K13458">
        <v>2231037318</v>
      </c>
      <c r="L13458">
        <v>2231037318</v>
      </c>
      <c r="M13458" t="s">
        <v>42796</v>
      </c>
      <c r="N13458" t="s">
        <v>40894</v>
      </c>
      <c r="O13458" t="s">
        <v>42797</v>
      </c>
      <c r="P13458">
        <v>35100</v>
      </c>
      <c r="Q13458" t="str">
        <f>"38.902010"</f>
        <v>38.902010</v>
      </c>
      <c r="R13458" t="str">
        <f>"22.429525"</f>
        <v>22.429525</v>
      </c>
      <c r="S13458" t="s">
        <v>26</v>
      </c>
    </row>
    <row r="13459" spans="1:19" x14ac:dyDescent="0.3">
      <c r="A13459" t="s">
        <v>40240</v>
      </c>
      <c r="B13459" t="s">
        <v>42448</v>
      </c>
      <c r="C13459" t="s">
        <v>42798</v>
      </c>
      <c r="D13459" t="s">
        <v>40260</v>
      </c>
      <c r="E13459" t="s">
        <v>40261</v>
      </c>
      <c r="F13459" t="s">
        <v>40261</v>
      </c>
      <c r="G13459" t="s">
        <v>40261</v>
      </c>
      <c r="H13459" t="s">
        <v>859</v>
      </c>
      <c r="I13459" t="s">
        <v>860</v>
      </c>
      <c r="J13459" t="str">
        <f>"9521005"</f>
        <v>9521005</v>
      </c>
      <c r="K13459">
        <v>2231035863</v>
      </c>
      <c r="L13459">
        <v>2231035863</v>
      </c>
      <c r="M13459" t="s">
        <v>42799</v>
      </c>
      <c r="N13459" t="s">
        <v>40264</v>
      </c>
      <c r="O13459" t="s">
        <v>42800</v>
      </c>
      <c r="P13459">
        <v>35100</v>
      </c>
      <c r="Q13459" t="str">
        <f>"38.894654"</f>
        <v>38.894654</v>
      </c>
      <c r="R13459" t="str">
        <f>"22.412735"</f>
        <v>22.412735</v>
      </c>
      <c r="S13459" t="s">
        <v>26</v>
      </c>
    </row>
    <row r="13460" spans="1:19" x14ac:dyDescent="0.3">
      <c r="A13460" t="s">
        <v>40240</v>
      </c>
      <c r="B13460" t="s">
        <v>42448</v>
      </c>
      <c r="C13460" t="s">
        <v>42829</v>
      </c>
      <c r="D13460" t="s">
        <v>40260</v>
      </c>
      <c r="E13460" t="s">
        <v>40261</v>
      </c>
      <c r="F13460" t="s">
        <v>40261</v>
      </c>
      <c r="G13460" t="s">
        <v>40261</v>
      </c>
      <c r="H13460" t="s">
        <v>859</v>
      </c>
      <c r="I13460" t="s">
        <v>860</v>
      </c>
      <c r="J13460" t="str">
        <f>"9460423"</f>
        <v>9460423</v>
      </c>
      <c r="K13460">
        <v>2231069014</v>
      </c>
      <c r="L13460">
        <v>2231069014</v>
      </c>
      <c r="M13460" t="s">
        <v>42830</v>
      </c>
      <c r="N13460" t="s">
        <v>40894</v>
      </c>
      <c r="O13460" t="s">
        <v>42831</v>
      </c>
      <c r="P13460">
        <v>35100</v>
      </c>
      <c r="Q13460" t="str">
        <f>"38.923932"</f>
        <v>38.923932</v>
      </c>
      <c r="R13460" t="str">
        <f>"22.410944"</f>
        <v>22.410944</v>
      </c>
      <c r="S13460" t="s">
        <v>26</v>
      </c>
    </row>
    <row r="13461" spans="1:19" x14ac:dyDescent="0.3">
      <c r="A13461" t="s">
        <v>40240</v>
      </c>
      <c r="B13461" t="s">
        <v>42448</v>
      </c>
      <c r="C13461" t="s">
        <v>42832</v>
      </c>
      <c r="D13461" t="s">
        <v>40260</v>
      </c>
      <c r="E13461" t="s">
        <v>40922</v>
      </c>
      <c r="F13461" t="s">
        <v>40928</v>
      </c>
      <c r="G13461" t="s">
        <v>42474</v>
      </c>
      <c r="H13461" t="s">
        <v>859</v>
      </c>
      <c r="I13461" t="s">
        <v>860</v>
      </c>
      <c r="J13461" t="str">
        <f>"9460002"</f>
        <v>9460002</v>
      </c>
      <c r="K13461">
        <v>2233092808</v>
      </c>
      <c r="L13461">
        <v>2233092808</v>
      </c>
      <c r="M13461" t="s">
        <v>42833</v>
      </c>
      <c r="N13461" t="s">
        <v>42834</v>
      </c>
      <c r="O13461" t="s">
        <v>42834</v>
      </c>
      <c r="P13461">
        <v>35200</v>
      </c>
      <c r="Q13461" t="str">
        <f>"38.621688"</f>
        <v>38.621688</v>
      </c>
      <c r="R13461" t="str">
        <f>"23.122611"</f>
        <v>23.122611</v>
      </c>
      <c r="S13461" t="s">
        <v>26</v>
      </c>
    </row>
    <row r="13462" spans="1:19" x14ac:dyDescent="0.3">
      <c r="A13462" t="s">
        <v>40240</v>
      </c>
      <c r="B13462" t="s">
        <v>42448</v>
      </c>
      <c r="C13462" t="s">
        <v>42835</v>
      </c>
      <c r="D13462" t="s">
        <v>40260</v>
      </c>
      <c r="E13462" t="s">
        <v>40261</v>
      </c>
      <c r="F13462" t="s">
        <v>40261</v>
      </c>
      <c r="G13462" t="s">
        <v>40261</v>
      </c>
      <c r="H13462" t="s">
        <v>859</v>
      </c>
      <c r="I13462" t="s">
        <v>860</v>
      </c>
      <c r="J13462" t="str">
        <f>"9521150"</f>
        <v>9521150</v>
      </c>
      <c r="K13462">
        <v>2231047364</v>
      </c>
      <c r="L13462">
        <v>2231047364</v>
      </c>
      <c r="M13462" t="s">
        <v>42836</v>
      </c>
      <c r="N13462" t="s">
        <v>40264</v>
      </c>
      <c r="O13462" t="s">
        <v>42837</v>
      </c>
      <c r="P13462">
        <v>35131</v>
      </c>
      <c r="Q13462" t="str">
        <f>"38.910250"</f>
        <v>38.910250</v>
      </c>
      <c r="R13462" t="str">
        <f>"22.427705"</f>
        <v>22.427705</v>
      </c>
      <c r="S13462" t="s">
        <v>26</v>
      </c>
    </row>
    <row r="13463" spans="1:19" x14ac:dyDescent="0.3">
      <c r="A13463" t="s">
        <v>40240</v>
      </c>
      <c r="B13463" t="s">
        <v>42448</v>
      </c>
      <c r="C13463" t="s">
        <v>42841</v>
      </c>
      <c r="D13463" t="s">
        <v>40260</v>
      </c>
      <c r="E13463" t="s">
        <v>40261</v>
      </c>
      <c r="F13463" t="s">
        <v>40261</v>
      </c>
      <c r="G13463" t="s">
        <v>40261</v>
      </c>
      <c r="H13463" t="s">
        <v>859</v>
      </c>
      <c r="I13463" t="s">
        <v>860</v>
      </c>
      <c r="J13463" t="str">
        <f>"9521256"</f>
        <v>9521256</v>
      </c>
      <c r="K13463">
        <v>2231052352</v>
      </c>
      <c r="L13463">
        <v>2231052352</v>
      </c>
      <c r="M13463" t="s">
        <v>42842</v>
      </c>
      <c r="N13463" t="s">
        <v>40264</v>
      </c>
      <c r="O13463" t="s">
        <v>42843</v>
      </c>
      <c r="P13463">
        <v>35100</v>
      </c>
      <c r="Q13463" t="str">
        <f>"38.887887"</f>
        <v>38.887887</v>
      </c>
      <c r="R13463" t="str">
        <f>"22.439437"</f>
        <v>22.439437</v>
      </c>
      <c r="S13463" t="s">
        <v>26</v>
      </c>
    </row>
    <row r="13464" spans="1:19" x14ac:dyDescent="0.3">
      <c r="A13464" t="s">
        <v>40240</v>
      </c>
      <c r="B13464" t="s">
        <v>42448</v>
      </c>
      <c r="C13464" t="s">
        <v>42851</v>
      </c>
      <c r="D13464" t="s">
        <v>40260</v>
      </c>
      <c r="E13464" t="s">
        <v>40904</v>
      </c>
      <c r="F13464" t="s">
        <v>42847</v>
      </c>
      <c r="G13464" t="s">
        <v>42848</v>
      </c>
      <c r="H13464" t="s">
        <v>859</v>
      </c>
      <c r="I13464" t="s">
        <v>860</v>
      </c>
      <c r="J13464" t="str">
        <f>"9460238"</f>
        <v>9460238</v>
      </c>
      <c r="K13464">
        <v>2236031292</v>
      </c>
      <c r="L13464">
        <v>2236031292</v>
      </c>
      <c r="M13464" t="s">
        <v>42852</v>
      </c>
      <c r="N13464" t="s">
        <v>12409</v>
      </c>
      <c r="O13464" t="s">
        <v>12409</v>
      </c>
      <c r="P13464">
        <v>35017</v>
      </c>
      <c r="Q13464" t="str">
        <f>"38.945293"</f>
        <v>38.945293</v>
      </c>
      <c r="R13464" t="str">
        <f>"21.958972"</f>
        <v>21.958972</v>
      </c>
      <c r="S13464" t="s">
        <v>26</v>
      </c>
    </row>
    <row r="13465" spans="1:19" x14ac:dyDescent="0.3">
      <c r="A13465" t="s">
        <v>40240</v>
      </c>
      <c r="B13465" t="s">
        <v>42448</v>
      </c>
      <c r="C13465" t="s">
        <v>42853</v>
      </c>
      <c r="D13465" t="s">
        <v>40260</v>
      </c>
      <c r="E13465" t="s">
        <v>40261</v>
      </c>
      <c r="F13465" t="s">
        <v>40261</v>
      </c>
      <c r="G13465" t="s">
        <v>40261</v>
      </c>
      <c r="H13465" t="s">
        <v>859</v>
      </c>
      <c r="I13465" t="s">
        <v>1102</v>
      </c>
      <c r="J13465" t="str">
        <f>"9521075"</f>
        <v>9521075</v>
      </c>
      <c r="K13465">
        <v>2231052475</v>
      </c>
      <c r="L13465">
        <v>2231025574</v>
      </c>
      <c r="M13465" t="s">
        <v>42854</v>
      </c>
      <c r="N13465" t="s">
        <v>40264</v>
      </c>
      <c r="O13465" t="s">
        <v>42466</v>
      </c>
      <c r="P13465">
        <v>35100</v>
      </c>
      <c r="Q13465" t="str">
        <f>"38.890126"</f>
        <v>38.890126</v>
      </c>
      <c r="R13465" t="str">
        <f>"22.422156"</f>
        <v>22.422156</v>
      </c>
      <c r="S13465" t="s">
        <v>26</v>
      </c>
    </row>
    <row r="13466" spans="1:19" x14ac:dyDescent="0.3">
      <c r="A13466" t="s">
        <v>40240</v>
      </c>
      <c r="B13466" t="s">
        <v>42855</v>
      </c>
      <c r="C13466" t="s">
        <v>42857</v>
      </c>
      <c r="D13466" t="s">
        <v>40266</v>
      </c>
      <c r="E13466" t="s">
        <v>40267</v>
      </c>
      <c r="F13466" t="s">
        <v>42856</v>
      </c>
      <c r="G13466" t="s">
        <v>19492</v>
      </c>
      <c r="H13466" t="s">
        <v>859</v>
      </c>
      <c r="I13466" t="s">
        <v>860</v>
      </c>
      <c r="J13466" t="str">
        <f>"9480089"</f>
        <v>9480089</v>
      </c>
      <c r="K13466">
        <v>2234051049</v>
      </c>
      <c r="L13466">
        <v>2234051049</v>
      </c>
      <c r="M13466" t="s">
        <v>42858</v>
      </c>
      <c r="N13466" t="s">
        <v>19492</v>
      </c>
      <c r="O13466" t="s">
        <v>42859</v>
      </c>
      <c r="P13466">
        <v>33051</v>
      </c>
      <c r="Q13466" t="str">
        <f>"38.641784"</f>
        <v>38.641784</v>
      </c>
      <c r="R13466" t="str">
        <f>"22.530055"</f>
        <v>22.530055</v>
      </c>
      <c r="S13466" t="s">
        <v>26</v>
      </c>
    </row>
    <row r="13467" spans="1:19" x14ac:dyDescent="0.3">
      <c r="A13467" t="s">
        <v>40240</v>
      </c>
      <c r="B13467" t="s">
        <v>42855</v>
      </c>
      <c r="C13467" t="s">
        <v>42860</v>
      </c>
      <c r="D13467" t="s">
        <v>40266</v>
      </c>
      <c r="E13467" t="s">
        <v>40267</v>
      </c>
      <c r="F13467" t="s">
        <v>40268</v>
      </c>
      <c r="G13467" t="s">
        <v>40268</v>
      </c>
      <c r="H13467" t="s">
        <v>859</v>
      </c>
      <c r="I13467" t="s">
        <v>860</v>
      </c>
      <c r="J13467" t="str">
        <f>"9480123"</f>
        <v>9480123</v>
      </c>
      <c r="K13467">
        <v>2265028493</v>
      </c>
      <c r="L13467">
        <v>2265028493</v>
      </c>
      <c r="M13467" t="s">
        <v>42861</v>
      </c>
      <c r="N13467" t="s">
        <v>40271</v>
      </c>
      <c r="O13467" t="s">
        <v>42862</v>
      </c>
      <c r="P13467">
        <v>33100</v>
      </c>
      <c r="Q13467" t="str">
        <f>"38.526149"</f>
        <v>38.526149</v>
      </c>
      <c r="R13467" t="str">
        <f>"22.375771"</f>
        <v>22.375771</v>
      </c>
      <c r="S13467" t="s">
        <v>26</v>
      </c>
    </row>
    <row r="13468" spans="1:19" x14ac:dyDescent="0.3">
      <c r="A13468" t="s">
        <v>40240</v>
      </c>
      <c r="B13468" t="s">
        <v>42855</v>
      </c>
      <c r="C13468" t="s">
        <v>42863</v>
      </c>
      <c r="D13468" t="s">
        <v>40266</v>
      </c>
      <c r="E13468" t="s">
        <v>40267</v>
      </c>
      <c r="F13468" t="s">
        <v>40268</v>
      </c>
      <c r="G13468" t="s">
        <v>40268</v>
      </c>
      <c r="H13468" t="s">
        <v>859</v>
      </c>
      <c r="I13468" t="s">
        <v>860</v>
      </c>
      <c r="J13468" t="str">
        <f>"9480106"</f>
        <v>9480106</v>
      </c>
      <c r="K13468">
        <v>2265022684</v>
      </c>
      <c r="L13468">
        <v>2265022684</v>
      </c>
      <c r="M13468" t="s">
        <v>42864</v>
      </c>
      <c r="N13468" t="s">
        <v>40271</v>
      </c>
      <c r="O13468" t="s">
        <v>42865</v>
      </c>
      <c r="P13468">
        <v>33100</v>
      </c>
      <c r="Q13468" t="str">
        <f>"38.521306"</f>
        <v>38.521306</v>
      </c>
      <c r="R13468" t="str">
        <f>"22.374455"</f>
        <v>22.374455</v>
      </c>
      <c r="S13468" t="s">
        <v>26</v>
      </c>
    </row>
    <row r="13469" spans="1:19" x14ac:dyDescent="0.3">
      <c r="A13469" t="s">
        <v>40240</v>
      </c>
      <c r="B13469" t="s">
        <v>42855</v>
      </c>
      <c r="C13469" t="s">
        <v>42866</v>
      </c>
      <c r="D13469" t="s">
        <v>40266</v>
      </c>
      <c r="E13469" t="s">
        <v>40267</v>
      </c>
      <c r="F13469" t="s">
        <v>40268</v>
      </c>
      <c r="G13469" t="s">
        <v>40268</v>
      </c>
      <c r="H13469" t="s">
        <v>859</v>
      </c>
      <c r="I13469" t="s">
        <v>860</v>
      </c>
      <c r="J13469" t="str">
        <f>"9480053"</f>
        <v>9480053</v>
      </c>
      <c r="K13469">
        <v>2265028724</v>
      </c>
      <c r="L13469">
        <v>2265028724</v>
      </c>
      <c r="M13469" t="s">
        <v>42867</v>
      </c>
      <c r="N13469" t="s">
        <v>40271</v>
      </c>
      <c r="O13469" t="s">
        <v>42868</v>
      </c>
      <c r="P13469">
        <v>33100</v>
      </c>
      <c r="Q13469" t="str">
        <f>"38.525603"</f>
        <v>38.525603</v>
      </c>
      <c r="R13469" t="str">
        <f>"22.382680"</f>
        <v>22.382680</v>
      </c>
      <c r="S13469" t="s">
        <v>26</v>
      </c>
    </row>
    <row r="13470" spans="1:19" x14ac:dyDescent="0.3">
      <c r="A13470" t="s">
        <v>40240</v>
      </c>
      <c r="B13470" t="s">
        <v>42855</v>
      </c>
      <c r="C13470" t="s">
        <v>42896</v>
      </c>
      <c r="D13470" t="s">
        <v>40266</v>
      </c>
      <c r="E13470" t="s">
        <v>40267</v>
      </c>
      <c r="F13470" t="s">
        <v>18740</v>
      </c>
      <c r="G13470" t="s">
        <v>18740</v>
      </c>
      <c r="H13470" t="s">
        <v>859</v>
      </c>
      <c r="I13470" t="s">
        <v>860</v>
      </c>
      <c r="J13470" t="str">
        <f>"9480093"</f>
        <v>9480093</v>
      </c>
      <c r="K13470">
        <v>2265032115</v>
      </c>
      <c r="L13470">
        <v>2265032115</v>
      </c>
      <c r="M13470" t="s">
        <v>42897</v>
      </c>
      <c r="N13470" t="s">
        <v>18740</v>
      </c>
      <c r="O13470" t="s">
        <v>42898</v>
      </c>
      <c r="P13470">
        <v>33200</v>
      </c>
      <c r="Q13470" t="str">
        <f>"38.426918"</f>
        <v>38.426918</v>
      </c>
      <c r="R13470" t="str">
        <f>"22.432409"</f>
        <v>22.432409</v>
      </c>
      <c r="S13470" t="s">
        <v>26</v>
      </c>
    </row>
    <row r="13471" spans="1:19" x14ac:dyDescent="0.3">
      <c r="A13471" t="s">
        <v>40240</v>
      </c>
      <c r="B13471" t="s">
        <v>42855</v>
      </c>
      <c r="C13471" t="s">
        <v>42899</v>
      </c>
      <c r="D13471" t="s">
        <v>40266</v>
      </c>
      <c r="E13471" t="s">
        <v>40267</v>
      </c>
      <c r="F13471" t="s">
        <v>18740</v>
      </c>
      <c r="G13471" t="s">
        <v>18740</v>
      </c>
      <c r="H13471" t="s">
        <v>859</v>
      </c>
      <c r="I13471" t="s">
        <v>860</v>
      </c>
      <c r="J13471" t="str">
        <f>"9480114"</f>
        <v>9480114</v>
      </c>
      <c r="K13471">
        <v>2265032214</v>
      </c>
      <c r="L13471">
        <v>2265032214</v>
      </c>
      <c r="M13471" t="s">
        <v>42900</v>
      </c>
      <c r="N13471" t="s">
        <v>18740</v>
      </c>
      <c r="O13471" t="s">
        <v>42901</v>
      </c>
      <c r="P13471">
        <v>33200</v>
      </c>
      <c r="Q13471" t="str">
        <f>"38.433831"</f>
        <v>38.433831</v>
      </c>
      <c r="R13471" t="str">
        <f>"22.420922"</f>
        <v>22.420922</v>
      </c>
      <c r="S13471" t="s">
        <v>26</v>
      </c>
    </row>
    <row r="13472" spans="1:19" x14ac:dyDescent="0.3">
      <c r="A13472" t="s">
        <v>40240</v>
      </c>
      <c r="B13472" t="s">
        <v>42855</v>
      </c>
      <c r="C13472" t="s">
        <v>42903</v>
      </c>
      <c r="D13472" t="s">
        <v>40266</v>
      </c>
      <c r="E13472" t="s">
        <v>40267</v>
      </c>
      <c r="F13472" t="s">
        <v>18740</v>
      </c>
      <c r="G13472" t="s">
        <v>42902</v>
      </c>
      <c r="H13472" t="s">
        <v>859</v>
      </c>
      <c r="I13472" t="s">
        <v>860</v>
      </c>
      <c r="J13472" t="str">
        <f>"9480101"</f>
        <v>9480101</v>
      </c>
      <c r="K13472">
        <v>2265032022</v>
      </c>
      <c r="L13472">
        <v>2265032022</v>
      </c>
      <c r="M13472" t="s">
        <v>42904</v>
      </c>
      <c r="N13472" t="s">
        <v>42905</v>
      </c>
      <c r="O13472" t="s">
        <v>42906</v>
      </c>
      <c r="P13472">
        <v>33200</v>
      </c>
      <c r="Q13472" t="str">
        <f>"38.428605"</f>
        <v>38.428605</v>
      </c>
      <c r="R13472" t="str">
        <f>"22.444122"</f>
        <v>22.444122</v>
      </c>
      <c r="S13472" t="s">
        <v>26</v>
      </c>
    </row>
    <row r="13473" spans="1:19" x14ac:dyDescent="0.3">
      <c r="A13473" t="s">
        <v>40240</v>
      </c>
      <c r="B13473" t="s">
        <v>42855</v>
      </c>
      <c r="C13473" t="s">
        <v>42907</v>
      </c>
      <c r="D13473" t="s">
        <v>40266</v>
      </c>
      <c r="E13473" t="s">
        <v>40267</v>
      </c>
      <c r="F13473" t="s">
        <v>40267</v>
      </c>
      <c r="G13473" t="s">
        <v>42880</v>
      </c>
      <c r="H13473" t="s">
        <v>859</v>
      </c>
      <c r="I13473" t="s">
        <v>860</v>
      </c>
      <c r="J13473" t="str">
        <f>"9480102"</f>
        <v>9480102</v>
      </c>
      <c r="K13473">
        <v>2265082575</v>
      </c>
      <c r="L13473">
        <v>2265082575</v>
      </c>
      <c r="M13473" t="s">
        <v>42908</v>
      </c>
      <c r="N13473" t="s">
        <v>42880</v>
      </c>
      <c r="O13473" t="s">
        <v>42883</v>
      </c>
      <c r="P13473">
        <v>33055</v>
      </c>
      <c r="Q13473" t="str">
        <f>"38.474081"</f>
        <v>38.474081</v>
      </c>
      <c r="R13473" t="str">
        <f>"22.471546"</f>
        <v>22.471546</v>
      </c>
      <c r="S13473" t="s">
        <v>26</v>
      </c>
    </row>
    <row r="13474" spans="1:19" x14ac:dyDescent="0.3">
      <c r="A13474" t="s">
        <v>40240</v>
      </c>
      <c r="B13474" t="s">
        <v>42855</v>
      </c>
      <c r="C13474" t="s">
        <v>42909</v>
      </c>
      <c r="D13474" t="s">
        <v>40266</v>
      </c>
      <c r="E13474" t="s">
        <v>40267</v>
      </c>
      <c r="F13474" t="s">
        <v>42856</v>
      </c>
      <c r="G13474" t="s">
        <v>30267</v>
      </c>
      <c r="H13474" t="s">
        <v>859</v>
      </c>
      <c r="I13474" t="s">
        <v>860</v>
      </c>
      <c r="J13474" t="str">
        <f>"9480119"</f>
        <v>9480119</v>
      </c>
      <c r="K13474">
        <v>2234061157</v>
      </c>
      <c r="L13474">
        <v>2234061157</v>
      </c>
      <c r="M13474" t="s">
        <v>42910</v>
      </c>
      <c r="N13474" t="s">
        <v>30267</v>
      </c>
      <c r="O13474" t="s">
        <v>30270</v>
      </c>
      <c r="P13474">
        <v>33057</v>
      </c>
      <c r="Q13474" t="str">
        <f>"38.593901"</f>
        <v>38.593901</v>
      </c>
      <c r="R13474" t="str">
        <f>"22.490415"</f>
        <v>22.490415</v>
      </c>
      <c r="S13474" t="s">
        <v>57</v>
      </c>
    </row>
    <row r="13475" spans="1:19" x14ac:dyDescent="0.3">
      <c r="A13475" t="s">
        <v>40240</v>
      </c>
      <c r="B13475" t="s">
        <v>42855</v>
      </c>
      <c r="C13475" t="s">
        <v>42916</v>
      </c>
      <c r="D13475" t="s">
        <v>40266</v>
      </c>
      <c r="E13475" t="s">
        <v>41166</v>
      </c>
      <c r="F13475" t="s">
        <v>41227</v>
      </c>
      <c r="G13475" t="s">
        <v>41228</v>
      </c>
      <c r="H13475" t="s">
        <v>859</v>
      </c>
      <c r="I13475" t="s">
        <v>860</v>
      </c>
      <c r="J13475" t="str">
        <f>"9480116"</f>
        <v>9480116</v>
      </c>
      <c r="K13475">
        <v>2266032027</v>
      </c>
      <c r="L13475">
        <v>2266032027</v>
      </c>
      <c r="M13475" t="s">
        <v>42917</v>
      </c>
      <c r="N13475" t="s">
        <v>41228</v>
      </c>
      <c r="O13475" t="s">
        <v>42918</v>
      </c>
      <c r="P13475">
        <v>33058</v>
      </c>
      <c r="Q13475" t="str">
        <f>"38.362678"</f>
        <v>38.362678</v>
      </c>
      <c r="R13475" t="str">
        <f>"22.226601"</f>
        <v>22.226601</v>
      </c>
      <c r="S13475" t="s">
        <v>26</v>
      </c>
    </row>
    <row r="13476" spans="1:19" x14ac:dyDescent="0.3">
      <c r="A13476" t="s">
        <v>40240</v>
      </c>
      <c r="B13476" t="s">
        <v>42855</v>
      </c>
      <c r="C13476" t="s">
        <v>42921</v>
      </c>
      <c r="D13476" t="s">
        <v>40266</v>
      </c>
      <c r="E13476" t="s">
        <v>40267</v>
      </c>
      <c r="F13476" t="s">
        <v>41183</v>
      </c>
      <c r="G13476" t="s">
        <v>41183</v>
      </c>
      <c r="H13476" t="s">
        <v>859</v>
      </c>
      <c r="I13476" t="s">
        <v>860</v>
      </c>
      <c r="J13476" t="str">
        <f>"9480100"</f>
        <v>9480100</v>
      </c>
      <c r="K13476">
        <v>2265042097</v>
      </c>
      <c r="L13476">
        <v>2265042097</v>
      </c>
      <c r="M13476" t="s">
        <v>42922</v>
      </c>
      <c r="N13476" t="s">
        <v>42872</v>
      </c>
      <c r="O13476" t="s">
        <v>42923</v>
      </c>
      <c r="P13476">
        <v>33052</v>
      </c>
      <c r="Q13476" t="str">
        <f>"38.374839"</f>
        <v>38.374839</v>
      </c>
      <c r="R13476" t="str">
        <f>"22.380705"</f>
        <v>22.380705</v>
      </c>
      <c r="S13476" t="s">
        <v>26</v>
      </c>
    </row>
    <row r="13477" spans="1:19" x14ac:dyDescent="0.3">
      <c r="A13477" t="s">
        <v>40240</v>
      </c>
      <c r="B13477" t="s">
        <v>42855</v>
      </c>
      <c r="C13477" t="s">
        <v>42924</v>
      </c>
      <c r="D13477" t="s">
        <v>40266</v>
      </c>
      <c r="E13477" t="s">
        <v>41166</v>
      </c>
      <c r="F13477" t="s">
        <v>41167</v>
      </c>
      <c r="G13477" t="s">
        <v>42886</v>
      </c>
      <c r="H13477" t="s">
        <v>859</v>
      </c>
      <c r="I13477" t="s">
        <v>860</v>
      </c>
      <c r="J13477" t="str">
        <f>"9480121"</f>
        <v>9480121</v>
      </c>
      <c r="K13477">
        <v>2634091563</v>
      </c>
      <c r="M13477" t="s">
        <v>42925</v>
      </c>
      <c r="N13477" t="s">
        <v>42889</v>
      </c>
      <c r="O13477" t="s">
        <v>42889</v>
      </c>
      <c r="P13477">
        <v>33056</v>
      </c>
      <c r="Q13477" t="str">
        <f>"38.391758"</f>
        <v>38.391758</v>
      </c>
      <c r="R13477" t="str">
        <f>"22.013704"</f>
        <v>22.013704</v>
      </c>
      <c r="S13477" t="s">
        <v>26</v>
      </c>
    </row>
    <row r="13478" spans="1:19" x14ac:dyDescent="0.3">
      <c r="A13478" t="s">
        <v>40240</v>
      </c>
      <c r="B13478" t="s">
        <v>42855</v>
      </c>
      <c r="C13478" t="s">
        <v>42927</v>
      </c>
      <c r="D13478" t="s">
        <v>40266</v>
      </c>
      <c r="E13478" t="s">
        <v>41166</v>
      </c>
      <c r="F13478" t="s">
        <v>41167</v>
      </c>
      <c r="G13478" t="s">
        <v>42926</v>
      </c>
      <c r="H13478" t="s">
        <v>859</v>
      </c>
      <c r="I13478" t="s">
        <v>860</v>
      </c>
      <c r="J13478" t="str">
        <f>"9480111"</f>
        <v>9480111</v>
      </c>
      <c r="K13478">
        <v>2634071442</v>
      </c>
      <c r="L13478">
        <v>2634071442</v>
      </c>
      <c r="M13478" t="s">
        <v>42928</v>
      </c>
      <c r="N13478" t="s">
        <v>42926</v>
      </c>
      <c r="O13478" t="s">
        <v>42929</v>
      </c>
      <c r="P13478">
        <v>33056</v>
      </c>
      <c r="Q13478" t="str">
        <f>"38.394887"</f>
        <v>38.394887</v>
      </c>
      <c r="R13478" t="str">
        <f>"21.872999"</f>
        <v>21.872999</v>
      </c>
      <c r="S13478" t="s">
        <v>26</v>
      </c>
    </row>
    <row r="13479" spans="1:19" x14ac:dyDescent="0.3">
      <c r="A13479" t="s">
        <v>40240</v>
      </c>
      <c r="B13479" t="s">
        <v>42855</v>
      </c>
      <c r="C13479" t="s">
        <v>42934</v>
      </c>
      <c r="D13479" t="s">
        <v>40266</v>
      </c>
      <c r="E13479" t="s">
        <v>41166</v>
      </c>
      <c r="F13479" t="s">
        <v>41193</v>
      </c>
      <c r="G13479" t="s">
        <v>41193</v>
      </c>
      <c r="H13479" t="s">
        <v>859</v>
      </c>
      <c r="I13479" t="s">
        <v>860</v>
      </c>
      <c r="J13479" t="str">
        <f>"9480026"</f>
        <v>9480026</v>
      </c>
      <c r="K13479">
        <v>2266022530</v>
      </c>
      <c r="M13479" t="s">
        <v>42935</v>
      </c>
      <c r="N13479" t="s">
        <v>41193</v>
      </c>
      <c r="O13479" t="s">
        <v>41197</v>
      </c>
      <c r="P13479">
        <v>33053</v>
      </c>
      <c r="Q13479" t="str">
        <f>"38.527426"</f>
        <v>38.527426</v>
      </c>
      <c r="R13479" t="str">
        <f>"22.203374"</f>
        <v>22.203374</v>
      </c>
      <c r="S13479" t="s">
        <v>26</v>
      </c>
    </row>
    <row r="13480" spans="1:19" x14ac:dyDescent="0.3">
      <c r="A13480" t="s">
        <v>40240</v>
      </c>
      <c r="B13480" t="s">
        <v>42855</v>
      </c>
      <c r="C13480" t="s">
        <v>42938</v>
      </c>
      <c r="D13480" t="s">
        <v>40266</v>
      </c>
      <c r="E13480" t="s">
        <v>40267</v>
      </c>
      <c r="F13480" t="s">
        <v>41178</v>
      </c>
      <c r="G13480" t="s">
        <v>41178</v>
      </c>
      <c r="H13480" t="s">
        <v>859</v>
      </c>
      <c r="I13480" t="s">
        <v>860</v>
      </c>
      <c r="J13480" t="str">
        <f>"9480094"</f>
        <v>9480094</v>
      </c>
      <c r="K13480">
        <v>2265091043</v>
      </c>
      <c r="L13480">
        <v>2265091043</v>
      </c>
      <c r="M13480" t="s">
        <v>42939</v>
      </c>
      <c r="N13480" t="s">
        <v>41178</v>
      </c>
      <c r="O13480" t="s">
        <v>13607</v>
      </c>
      <c r="P13480">
        <v>33057</v>
      </c>
      <c r="Q13480" t="str">
        <f>"38.671353"</f>
        <v>38.671353</v>
      </c>
      <c r="R13480" t="str">
        <f>"22.431149"</f>
        <v>22.431149</v>
      </c>
      <c r="S13480" t="s">
        <v>26</v>
      </c>
    </row>
    <row r="13481" spans="1:19" x14ac:dyDescent="0.3">
      <c r="A13481" t="s">
        <v>40240</v>
      </c>
      <c r="B13481" t="s">
        <v>42855</v>
      </c>
      <c r="C13481" t="s">
        <v>42940</v>
      </c>
      <c r="D13481" t="s">
        <v>40266</v>
      </c>
      <c r="E13481" t="s">
        <v>40267</v>
      </c>
      <c r="F13481" t="s">
        <v>41209</v>
      </c>
      <c r="G13481" t="s">
        <v>41210</v>
      </c>
      <c r="H13481" t="s">
        <v>859</v>
      </c>
      <c r="I13481" t="s">
        <v>860</v>
      </c>
      <c r="J13481" t="str">
        <f>"9480066"</f>
        <v>9480066</v>
      </c>
      <c r="K13481">
        <v>2265051460</v>
      </c>
      <c r="L13481">
        <v>2265051460</v>
      </c>
      <c r="M13481" t="s">
        <v>42941</v>
      </c>
      <c r="N13481" t="s">
        <v>42942</v>
      </c>
      <c r="O13481" t="s">
        <v>42942</v>
      </c>
      <c r="P13481">
        <v>33050</v>
      </c>
      <c r="Q13481" t="str">
        <f>"38.418686"</f>
        <v>38.418686</v>
      </c>
      <c r="R13481" t="str">
        <f>"22.527146"</f>
        <v>22.527146</v>
      </c>
      <c r="S13481" t="s">
        <v>26</v>
      </c>
    </row>
    <row r="13482" spans="1:19" x14ac:dyDescent="0.3">
      <c r="A13482" t="s">
        <v>40240</v>
      </c>
      <c r="B13482" t="s">
        <v>42855</v>
      </c>
      <c r="C13482" t="s">
        <v>42943</v>
      </c>
      <c r="D13482" t="s">
        <v>40266</v>
      </c>
      <c r="E13482" t="s">
        <v>40267</v>
      </c>
      <c r="F13482" t="s">
        <v>40268</v>
      </c>
      <c r="G13482" t="s">
        <v>40268</v>
      </c>
      <c r="H13482" t="s">
        <v>859</v>
      </c>
      <c r="I13482" t="s">
        <v>860</v>
      </c>
      <c r="J13482" t="str">
        <f>"9480055"</f>
        <v>9480055</v>
      </c>
      <c r="K13482">
        <v>2265029022</v>
      </c>
      <c r="L13482">
        <v>2265029022</v>
      </c>
      <c r="M13482" t="s">
        <v>42944</v>
      </c>
      <c r="N13482" t="s">
        <v>40271</v>
      </c>
      <c r="O13482" t="s">
        <v>42945</v>
      </c>
      <c r="P13482">
        <v>33100</v>
      </c>
      <c r="Q13482" t="str">
        <f>"38.531772"</f>
        <v>38.531772</v>
      </c>
      <c r="R13482" t="str">
        <f>"22.376029"</f>
        <v>22.376029</v>
      </c>
      <c r="S13482" t="s">
        <v>26</v>
      </c>
    </row>
    <row r="13483" spans="1:19" x14ac:dyDescent="0.3">
      <c r="A13483" t="s">
        <v>40240</v>
      </c>
      <c r="B13483" t="s">
        <v>42855</v>
      </c>
      <c r="C13483" t="s">
        <v>42946</v>
      </c>
      <c r="D13483" t="s">
        <v>40266</v>
      </c>
      <c r="E13483" t="s">
        <v>40267</v>
      </c>
      <c r="F13483" t="s">
        <v>18740</v>
      </c>
      <c r="G13483" t="s">
        <v>18740</v>
      </c>
      <c r="H13483" t="s">
        <v>859</v>
      </c>
      <c r="I13483" t="s">
        <v>860</v>
      </c>
      <c r="J13483" t="str">
        <f>"9480072"</f>
        <v>9480072</v>
      </c>
      <c r="K13483">
        <v>2265032939</v>
      </c>
      <c r="L13483">
        <v>2265032939</v>
      </c>
      <c r="M13483" t="s">
        <v>42947</v>
      </c>
      <c r="N13483" t="s">
        <v>18740</v>
      </c>
      <c r="O13483" t="s">
        <v>42948</v>
      </c>
      <c r="P13483">
        <v>33200</v>
      </c>
      <c r="Q13483" t="str">
        <f>"38.431382"</f>
        <v>38.431382</v>
      </c>
      <c r="R13483" t="str">
        <f>"22.429530"</f>
        <v>22.429530</v>
      </c>
      <c r="S13483" t="s">
        <v>26</v>
      </c>
    </row>
    <row r="13484" spans="1:19" x14ac:dyDescent="0.3">
      <c r="A13484" t="s">
        <v>40240</v>
      </c>
      <c r="B13484" t="s">
        <v>42855</v>
      </c>
      <c r="C13484" t="s">
        <v>42949</v>
      </c>
      <c r="D13484" t="s">
        <v>40266</v>
      </c>
      <c r="E13484" t="s">
        <v>41166</v>
      </c>
      <c r="F13484" t="s">
        <v>41167</v>
      </c>
      <c r="G13484" t="s">
        <v>41167</v>
      </c>
      <c r="H13484" t="s">
        <v>859</v>
      </c>
      <c r="I13484" t="s">
        <v>860</v>
      </c>
      <c r="J13484" t="str">
        <f>"9480095"</f>
        <v>9480095</v>
      </c>
      <c r="K13484">
        <v>2634052261</v>
      </c>
      <c r="M13484" t="s">
        <v>42950</v>
      </c>
      <c r="N13484" t="s">
        <v>41167</v>
      </c>
      <c r="O13484" t="s">
        <v>41170</v>
      </c>
      <c r="P13484">
        <v>33056</v>
      </c>
      <c r="Q13484" t="str">
        <f>"38.420388"</f>
        <v>38.420388</v>
      </c>
      <c r="R13484" t="str">
        <f>"21.933643"</f>
        <v>21.933643</v>
      </c>
      <c r="S13484" t="s">
        <v>26</v>
      </c>
    </row>
    <row r="13485" spans="1:19" x14ac:dyDescent="0.3">
      <c r="A13485" t="s">
        <v>40240</v>
      </c>
      <c r="B13485" t="s">
        <v>42855</v>
      </c>
      <c r="C13485" t="s">
        <v>42951</v>
      </c>
      <c r="D13485" t="s">
        <v>40266</v>
      </c>
      <c r="E13485" t="s">
        <v>41166</v>
      </c>
      <c r="F13485" t="s">
        <v>41227</v>
      </c>
      <c r="G13485" t="s">
        <v>4017</v>
      </c>
      <c r="H13485" t="s">
        <v>859</v>
      </c>
      <c r="I13485" t="s">
        <v>860</v>
      </c>
      <c r="J13485" t="str">
        <f>"9480126"</f>
        <v>9480126</v>
      </c>
      <c r="K13485">
        <v>2266071611</v>
      </c>
      <c r="M13485" t="s">
        <v>42952</v>
      </c>
      <c r="N13485" t="s">
        <v>42953</v>
      </c>
      <c r="O13485" t="s">
        <v>5578</v>
      </c>
      <c r="P13485">
        <v>33058</v>
      </c>
      <c r="Q13485" t="str">
        <f>"38.380267"</f>
        <v>38.380267</v>
      </c>
      <c r="R13485" t="str">
        <f>"22.076866"</f>
        <v>22.076866</v>
      </c>
      <c r="S13485" t="s">
        <v>26</v>
      </c>
    </row>
    <row r="13486" spans="1:19" x14ac:dyDescent="0.3">
      <c r="A13486" t="s">
        <v>40240</v>
      </c>
      <c r="B13486" t="s">
        <v>42855</v>
      </c>
      <c r="C13486" t="s">
        <v>42970</v>
      </c>
      <c r="D13486" t="s">
        <v>40266</v>
      </c>
      <c r="E13486" t="s">
        <v>40267</v>
      </c>
      <c r="F13486" t="s">
        <v>40267</v>
      </c>
      <c r="G13486" t="s">
        <v>40267</v>
      </c>
      <c r="H13486" t="s">
        <v>859</v>
      </c>
      <c r="I13486" t="s">
        <v>860</v>
      </c>
      <c r="J13486" t="str">
        <f>"9480103"</f>
        <v>9480103</v>
      </c>
      <c r="K13486">
        <v>2265082744</v>
      </c>
      <c r="M13486" t="s">
        <v>42971</v>
      </c>
      <c r="N13486" t="s">
        <v>40267</v>
      </c>
      <c r="O13486" t="s">
        <v>42876</v>
      </c>
      <c r="P13486">
        <v>33054</v>
      </c>
      <c r="Q13486" t="str">
        <f>"38.479677"</f>
        <v>38.479677</v>
      </c>
      <c r="R13486" t="str">
        <f>"22.494515"</f>
        <v>22.494515</v>
      </c>
      <c r="S13486" t="s">
        <v>26</v>
      </c>
    </row>
    <row r="13487" spans="1:19" x14ac:dyDescent="0.3">
      <c r="A13487" t="s">
        <v>40240</v>
      </c>
      <c r="B13487" t="s">
        <v>42855</v>
      </c>
      <c r="C13487" t="s">
        <v>42972</v>
      </c>
      <c r="D13487" t="s">
        <v>40266</v>
      </c>
      <c r="E13487" t="s">
        <v>40267</v>
      </c>
      <c r="F13487" t="s">
        <v>40268</v>
      </c>
      <c r="G13487" t="s">
        <v>40268</v>
      </c>
      <c r="H13487" t="s">
        <v>859</v>
      </c>
      <c r="I13487" t="s">
        <v>1102</v>
      </c>
      <c r="J13487" t="str">
        <f>"9521564"</f>
        <v>9521564</v>
      </c>
      <c r="K13487">
        <v>2265022684</v>
      </c>
      <c r="L13487">
        <v>2265022684</v>
      </c>
      <c r="M13487" t="s">
        <v>42973</v>
      </c>
      <c r="N13487" t="s">
        <v>40271</v>
      </c>
      <c r="O13487" t="s">
        <v>42865</v>
      </c>
      <c r="P13487">
        <v>33100</v>
      </c>
      <c r="Q13487" t="str">
        <f>"38.521335"</f>
        <v>38.521335</v>
      </c>
      <c r="R13487" t="str">
        <f>"22.374424"</f>
        <v>22.374424</v>
      </c>
      <c r="S13487" t="s">
        <v>26</v>
      </c>
    </row>
    <row r="13488" spans="1:19" x14ac:dyDescent="0.3">
      <c r="A13488" t="s">
        <v>43021</v>
      </c>
      <c r="B13488" t="s">
        <v>43025</v>
      </c>
      <c r="C13488" t="s">
        <v>43030</v>
      </c>
      <c r="H13488" t="s">
        <v>859</v>
      </c>
      <c r="I13488" t="s">
        <v>43029</v>
      </c>
      <c r="J13488" t="str">
        <f>"7710003"</f>
        <v>7710003</v>
      </c>
      <c r="Q13488" t="str">
        <f>""</f>
        <v/>
      </c>
      <c r="R13488" t="str">
        <f>""</f>
        <v/>
      </c>
      <c r="S13488" t="s">
        <v>26</v>
      </c>
    </row>
    <row r="13489" spans="1:19" x14ac:dyDescent="0.3">
      <c r="A13489" t="s">
        <v>43021</v>
      </c>
      <c r="B13489" t="s">
        <v>43033</v>
      </c>
      <c r="C13489" t="s">
        <v>43037</v>
      </c>
      <c r="H13489" t="s">
        <v>859</v>
      </c>
      <c r="I13489" t="s">
        <v>43029</v>
      </c>
      <c r="J13489" t="str">
        <f>"7710001"</f>
        <v>7710001</v>
      </c>
      <c r="Q13489" t="str">
        <f>""</f>
        <v/>
      </c>
      <c r="R13489" t="str">
        <f>""</f>
        <v/>
      </c>
      <c r="S13489" t="s">
        <v>26</v>
      </c>
    </row>
    <row r="13490" spans="1:19" x14ac:dyDescent="0.3">
      <c r="A13490" t="s">
        <v>43021</v>
      </c>
      <c r="B13490" t="s">
        <v>43033</v>
      </c>
      <c r="C13490" t="s">
        <v>43038</v>
      </c>
      <c r="H13490" t="s">
        <v>859</v>
      </c>
      <c r="I13490" t="s">
        <v>43029</v>
      </c>
      <c r="J13490" t="str">
        <f>"7710002"</f>
        <v>7710002</v>
      </c>
      <c r="Q13490" t="str">
        <f>""</f>
        <v/>
      </c>
      <c r="R13490" t="str">
        <f>""</f>
        <v/>
      </c>
      <c r="S13490" t="s">
        <v>26</v>
      </c>
    </row>
    <row r="13491" spans="1:19" x14ac:dyDescent="0.3">
      <c r="A13491" t="s">
        <v>43021</v>
      </c>
      <c r="B13491" t="s">
        <v>43051</v>
      </c>
      <c r="C13491" t="s">
        <v>43053</v>
      </c>
      <c r="H13491" t="s">
        <v>859</v>
      </c>
      <c r="I13491" t="s">
        <v>43029</v>
      </c>
      <c r="J13491" t="str">
        <f>"7710004"</f>
        <v>7710004</v>
      </c>
      <c r="Q13491" t="str">
        <f>""</f>
        <v/>
      </c>
      <c r="R13491" t="str">
        <f>""</f>
        <v/>
      </c>
      <c r="S13491" t="s">
        <v>26</v>
      </c>
    </row>
    <row r="13492" spans="1:19" x14ac:dyDescent="0.3">
      <c r="A13492" t="s">
        <v>43021</v>
      </c>
      <c r="B13492" t="s">
        <v>43055</v>
      </c>
      <c r="C13492" t="s">
        <v>43057</v>
      </c>
      <c r="H13492" t="s">
        <v>859</v>
      </c>
      <c r="I13492" t="s">
        <v>43029</v>
      </c>
      <c r="J13492" t="str">
        <f>"7710005"</f>
        <v>7710005</v>
      </c>
      <c r="Q13492" t="str">
        <f>""</f>
        <v/>
      </c>
      <c r="R13492" t="str">
        <f>""</f>
        <v/>
      </c>
      <c r="S13492" t="s">
        <v>26</v>
      </c>
    </row>
    <row r="13493" spans="1:19" x14ac:dyDescent="0.3">
      <c r="A13493" t="s">
        <v>19</v>
      </c>
      <c r="B13493" t="s">
        <v>49</v>
      </c>
      <c r="C13493" t="s">
        <v>138</v>
      </c>
      <c r="D13493" t="s">
        <v>21</v>
      </c>
      <c r="E13493" t="s">
        <v>21</v>
      </c>
      <c r="F13493" t="s">
        <v>21</v>
      </c>
      <c r="G13493" t="s">
        <v>21</v>
      </c>
      <c r="H13493" t="s">
        <v>136</v>
      </c>
      <c r="I13493" t="s">
        <v>137</v>
      </c>
      <c r="J13493" t="str">
        <f>"SEK001"</f>
        <v>SEK001</v>
      </c>
      <c r="K13493">
        <v>2521024101</v>
      </c>
      <c r="L13493">
        <v>2521024101</v>
      </c>
      <c r="M13493" t="s">
        <v>139</v>
      </c>
      <c r="N13493" t="s">
        <v>21</v>
      </c>
      <c r="O13493" t="s">
        <v>118</v>
      </c>
      <c r="P13493">
        <v>66100</v>
      </c>
      <c r="Q13493" t="str">
        <f>"41.147856"</f>
        <v>41.147856</v>
      </c>
      <c r="R13493" t="str">
        <f>"24.154265"</f>
        <v>24.154265</v>
      </c>
      <c r="S13493" t="s">
        <v>26</v>
      </c>
    </row>
    <row r="13494" spans="1:19" x14ac:dyDescent="0.3">
      <c r="A13494" t="s">
        <v>19</v>
      </c>
      <c r="B13494" t="s">
        <v>202</v>
      </c>
      <c r="C13494" t="s">
        <v>295</v>
      </c>
      <c r="D13494" t="s">
        <v>27</v>
      </c>
      <c r="E13494" t="s">
        <v>28</v>
      </c>
      <c r="F13494" t="s">
        <v>28</v>
      </c>
      <c r="G13494" t="s">
        <v>28</v>
      </c>
      <c r="H13494" t="s">
        <v>136</v>
      </c>
      <c r="I13494" t="s">
        <v>137</v>
      </c>
      <c r="J13494" t="str">
        <f>"SEK034"</f>
        <v>SEK034</v>
      </c>
      <c r="K13494">
        <v>2551029922</v>
      </c>
      <c r="L13494">
        <v>2551029922</v>
      </c>
      <c r="M13494" t="s">
        <v>296</v>
      </c>
      <c r="N13494" t="s">
        <v>28</v>
      </c>
      <c r="O13494" t="s">
        <v>219</v>
      </c>
      <c r="P13494">
        <v>68131</v>
      </c>
      <c r="Q13494" t="str">
        <f>"40.847821"</f>
        <v>40.847821</v>
      </c>
      <c r="R13494" t="str">
        <f>"25.862959"</f>
        <v>25.862959</v>
      </c>
      <c r="S13494" t="s">
        <v>26</v>
      </c>
    </row>
    <row r="13495" spans="1:19" x14ac:dyDescent="0.3">
      <c r="A13495" t="s">
        <v>19</v>
      </c>
      <c r="B13495" t="s">
        <v>202</v>
      </c>
      <c r="C13495" t="s">
        <v>404</v>
      </c>
      <c r="D13495" t="s">
        <v>27</v>
      </c>
      <c r="E13495" t="s">
        <v>221</v>
      </c>
      <c r="F13495" t="s">
        <v>221</v>
      </c>
      <c r="G13495" t="s">
        <v>221</v>
      </c>
      <c r="H13495" t="s">
        <v>136</v>
      </c>
      <c r="I13495" t="s">
        <v>137</v>
      </c>
      <c r="J13495" t="str">
        <f>"1115001"</f>
        <v>1115001</v>
      </c>
      <c r="K13495">
        <v>2552023400</v>
      </c>
      <c r="M13495" t="s">
        <v>405</v>
      </c>
      <c r="N13495" t="s">
        <v>224</v>
      </c>
      <c r="O13495" t="s">
        <v>241</v>
      </c>
      <c r="P13495">
        <v>68200</v>
      </c>
      <c r="Q13495" t="str">
        <f>"41.500065"</f>
        <v>41.500065</v>
      </c>
      <c r="R13495" t="str">
        <f>"26.517457"</f>
        <v>26.517457</v>
      </c>
      <c r="S13495" t="s">
        <v>26</v>
      </c>
    </row>
    <row r="13496" spans="1:19" x14ac:dyDescent="0.3">
      <c r="A13496" t="s">
        <v>19</v>
      </c>
      <c r="B13496" t="s">
        <v>410</v>
      </c>
      <c r="C13496" t="s">
        <v>508</v>
      </c>
      <c r="D13496" t="s">
        <v>33</v>
      </c>
      <c r="E13496" t="s">
        <v>33</v>
      </c>
      <c r="F13496" t="s">
        <v>33</v>
      </c>
      <c r="G13496" t="s">
        <v>33</v>
      </c>
      <c r="H13496" t="s">
        <v>136</v>
      </c>
      <c r="I13496" t="s">
        <v>137</v>
      </c>
      <c r="J13496" t="str">
        <f>"SEK110"</f>
        <v>SEK110</v>
      </c>
      <c r="K13496">
        <v>2510228223</v>
      </c>
      <c r="L13496">
        <v>2510228265</v>
      </c>
      <c r="M13496" t="s">
        <v>509</v>
      </c>
      <c r="N13496" t="s">
        <v>33</v>
      </c>
      <c r="O13496" t="s">
        <v>510</v>
      </c>
      <c r="P13496">
        <v>65201</v>
      </c>
      <c r="Q13496" t="str">
        <f>"40.944536"</f>
        <v>40.944536</v>
      </c>
      <c r="R13496" t="str">
        <f>"24.425879"</f>
        <v>24.425879</v>
      </c>
      <c r="S13496" t="s">
        <v>26</v>
      </c>
    </row>
    <row r="13497" spans="1:19" x14ac:dyDescent="0.3">
      <c r="A13497" t="s">
        <v>19</v>
      </c>
      <c r="B13497" t="s">
        <v>593</v>
      </c>
      <c r="C13497" t="s">
        <v>635</v>
      </c>
      <c r="D13497" t="s">
        <v>38</v>
      </c>
      <c r="E13497" t="s">
        <v>38</v>
      </c>
      <c r="F13497" t="s">
        <v>38</v>
      </c>
      <c r="G13497" t="s">
        <v>38</v>
      </c>
      <c r="H13497" t="s">
        <v>136</v>
      </c>
      <c r="I13497" t="s">
        <v>137</v>
      </c>
      <c r="J13497" t="str">
        <f>"SEK005"</f>
        <v>SEK005</v>
      </c>
      <c r="K13497">
        <v>2541064355</v>
      </c>
      <c r="L13497">
        <v>2541084672</v>
      </c>
      <c r="M13497" t="s">
        <v>636</v>
      </c>
      <c r="N13497" t="s">
        <v>38</v>
      </c>
      <c r="O13497" t="s">
        <v>637</v>
      </c>
      <c r="P13497">
        <v>67100</v>
      </c>
      <c r="Q13497" t="str">
        <f>"41.124985"</f>
        <v>41.124985</v>
      </c>
      <c r="R13497" t="str">
        <f>"24.879453"</f>
        <v>24.879453</v>
      </c>
      <c r="S13497" t="s">
        <v>26</v>
      </c>
    </row>
    <row r="13498" spans="1:19" x14ac:dyDescent="0.3">
      <c r="A13498" t="s">
        <v>19</v>
      </c>
      <c r="B13498" t="s">
        <v>593</v>
      </c>
      <c r="C13498" t="s">
        <v>654</v>
      </c>
      <c r="D13498" t="s">
        <v>38</v>
      </c>
      <c r="E13498" t="s">
        <v>38</v>
      </c>
      <c r="F13498" t="s">
        <v>38</v>
      </c>
      <c r="G13498" t="s">
        <v>38</v>
      </c>
      <c r="H13498" t="s">
        <v>136</v>
      </c>
      <c r="I13498" t="s">
        <v>137</v>
      </c>
      <c r="J13498" t="str">
        <f>"SEK004"</f>
        <v>SEK004</v>
      </c>
      <c r="K13498">
        <v>2541020333</v>
      </c>
      <c r="L13498">
        <v>2541020333</v>
      </c>
      <c r="M13498" t="s">
        <v>655</v>
      </c>
      <c r="N13498" t="s">
        <v>38</v>
      </c>
      <c r="O13498" t="s">
        <v>602</v>
      </c>
      <c r="P13498">
        <v>67100</v>
      </c>
      <c r="Q13498" t="str">
        <f>"41.133298"</f>
        <v>41.133298</v>
      </c>
      <c r="R13498" t="str">
        <f>"24.893803"</f>
        <v>24.893803</v>
      </c>
      <c r="S13498" t="s">
        <v>26</v>
      </c>
    </row>
    <row r="13499" spans="1:19" x14ac:dyDescent="0.3">
      <c r="A13499" t="s">
        <v>19</v>
      </c>
      <c r="B13499" t="s">
        <v>740</v>
      </c>
      <c r="C13499" t="s">
        <v>766</v>
      </c>
      <c r="D13499" t="s">
        <v>43</v>
      </c>
      <c r="E13499" t="s">
        <v>44</v>
      </c>
      <c r="F13499" t="s">
        <v>44</v>
      </c>
      <c r="G13499" t="s">
        <v>44</v>
      </c>
      <c r="H13499" t="s">
        <v>136</v>
      </c>
      <c r="I13499" t="s">
        <v>137</v>
      </c>
      <c r="J13499" t="str">
        <f>"SEK109"</f>
        <v>SEK109</v>
      </c>
      <c r="K13499">
        <v>2531081315</v>
      </c>
      <c r="L13499">
        <v>2531025584</v>
      </c>
      <c r="M13499" t="s">
        <v>767</v>
      </c>
      <c r="N13499" t="s">
        <v>44</v>
      </c>
      <c r="O13499" t="s">
        <v>758</v>
      </c>
      <c r="P13499">
        <v>69100</v>
      </c>
      <c r="Q13499" t="str">
        <f>"41.104984"</f>
        <v>41.104984</v>
      </c>
      <c r="R13499" t="str">
        <f>"25.420267"</f>
        <v>25.420267</v>
      </c>
      <c r="S13499" t="s">
        <v>26</v>
      </c>
    </row>
    <row r="13500" spans="1:19" x14ac:dyDescent="0.3">
      <c r="A13500" t="s">
        <v>3237</v>
      </c>
      <c r="B13500" t="s">
        <v>3307</v>
      </c>
      <c r="C13500" t="s">
        <v>3387</v>
      </c>
      <c r="D13500" t="s">
        <v>3238</v>
      </c>
      <c r="E13500" t="s">
        <v>3317</v>
      </c>
      <c r="F13500" t="s">
        <v>3317</v>
      </c>
      <c r="G13500" t="s">
        <v>3317</v>
      </c>
      <c r="H13500" t="s">
        <v>136</v>
      </c>
      <c r="I13500" t="s">
        <v>137</v>
      </c>
      <c r="J13500" t="str">
        <f>"SEK059"</f>
        <v>SEK059</v>
      </c>
      <c r="K13500">
        <v>2107781527</v>
      </c>
      <c r="L13500">
        <v>2107706946</v>
      </c>
      <c r="M13500" t="s">
        <v>3388</v>
      </c>
      <c r="N13500" t="s">
        <v>3317</v>
      </c>
      <c r="O13500" t="s">
        <v>3389</v>
      </c>
      <c r="P13500">
        <v>15772</v>
      </c>
      <c r="Q13500" t="str">
        <f>"37.972977"</f>
        <v>37.972977</v>
      </c>
      <c r="R13500" t="str">
        <f>"23.781379"</f>
        <v>23.781379</v>
      </c>
      <c r="S13500" t="s">
        <v>26</v>
      </c>
    </row>
    <row r="13501" spans="1:19" x14ac:dyDescent="0.3">
      <c r="A13501" t="s">
        <v>3237</v>
      </c>
      <c r="B13501" t="s">
        <v>3307</v>
      </c>
      <c r="C13501" t="s">
        <v>3644</v>
      </c>
      <c r="D13501" t="s">
        <v>3238</v>
      </c>
      <c r="E13501" t="s">
        <v>3432</v>
      </c>
      <c r="F13501" t="s">
        <v>3432</v>
      </c>
      <c r="G13501" t="s">
        <v>3432</v>
      </c>
      <c r="H13501" t="s">
        <v>136</v>
      </c>
      <c r="I13501" t="s">
        <v>137</v>
      </c>
      <c r="J13501" t="str">
        <f>"SEK055"</f>
        <v>SEK055</v>
      </c>
      <c r="K13501">
        <v>2109952654</v>
      </c>
      <c r="L13501">
        <v>2109961801</v>
      </c>
      <c r="M13501" t="s">
        <v>3645</v>
      </c>
      <c r="N13501" t="s">
        <v>3435</v>
      </c>
      <c r="O13501" t="s">
        <v>3646</v>
      </c>
      <c r="P13501">
        <v>16341</v>
      </c>
      <c r="Q13501" t="str">
        <f>"37.923344"</f>
        <v>37.923344</v>
      </c>
      <c r="R13501" t="str">
        <f>"23.744618"</f>
        <v>23.744618</v>
      </c>
      <c r="S13501" t="s">
        <v>26</v>
      </c>
    </row>
    <row r="13502" spans="1:19" x14ac:dyDescent="0.3">
      <c r="A13502" t="s">
        <v>3237</v>
      </c>
      <c r="B13502" t="s">
        <v>3307</v>
      </c>
      <c r="C13502" t="s">
        <v>3664</v>
      </c>
      <c r="D13502" t="s">
        <v>3238</v>
      </c>
      <c r="E13502" t="s">
        <v>3239</v>
      </c>
      <c r="F13502" t="s">
        <v>3239</v>
      </c>
      <c r="G13502" t="s">
        <v>3322</v>
      </c>
      <c r="H13502" t="s">
        <v>136</v>
      </c>
      <c r="I13502" t="s">
        <v>137</v>
      </c>
      <c r="J13502" t="str">
        <f>"SEK056"</f>
        <v>SEK056</v>
      </c>
      <c r="K13502">
        <v>2105229447</v>
      </c>
      <c r="L13502">
        <v>2105203796</v>
      </c>
      <c r="M13502" t="s">
        <v>3665</v>
      </c>
      <c r="N13502" t="s">
        <v>3666</v>
      </c>
      <c r="O13502" t="s">
        <v>3667</v>
      </c>
      <c r="P13502">
        <v>10436</v>
      </c>
      <c r="Q13502" t="str">
        <f>"37.984578"</f>
        <v>37.984578</v>
      </c>
      <c r="R13502" t="str">
        <f>"23.718312"</f>
        <v>23.718312</v>
      </c>
      <c r="S13502" t="s">
        <v>26</v>
      </c>
    </row>
    <row r="13503" spans="1:19" x14ac:dyDescent="0.3">
      <c r="A13503" t="s">
        <v>3237</v>
      </c>
      <c r="B13503" t="s">
        <v>3307</v>
      </c>
      <c r="C13503" t="s">
        <v>3729</v>
      </c>
      <c r="D13503" t="s">
        <v>3238</v>
      </c>
      <c r="E13503" t="s">
        <v>3239</v>
      </c>
      <c r="F13503" t="s">
        <v>3239</v>
      </c>
      <c r="G13503" t="s">
        <v>3340</v>
      </c>
      <c r="H13503" t="s">
        <v>136</v>
      </c>
      <c r="I13503" t="s">
        <v>137</v>
      </c>
      <c r="J13503" t="str">
        <f>"SEK052"</f>
        <v>SEK052</v>
      </c>
      <c r="K13503">
        <v>2106465781</v>
      </c>
      <c r="L13503">
        <v>2106450608</v>
      </c>
      <c r="M13503" t="s">
        <v>3730</v>
      </c>
      <c r="N13503" t="s">
        <v>3284</v>
      </c>
      <c r="O13503" t="s">
        <v>3395</v>
      </c>
      <c r="P13503">
        <v>11527</v>
      </c>
      <c r="Q13503" t="str">
        <f>"37.982124"</f>
        <v>37.982124</v>
      </c>
      <c r="R13503" t="str">
        <f>"23.758742"</f>
        <v>23.758742</v>
      </c>
      <c r="S13503" t="s">
        <v>26</v>
      </c>
    </row>
    <row r="13504" spans="1:19" x14ac:dyDescent="0.3">
      <c r="A13504" t="s">
        <v>3237</v>
      </c>
      <c r="B13504" t="s">
        <v>3307</v>
      </c>
      <c r="C13504" t="s">
        <v>3768</v>
      </c>
      <c r="D13504" t="s">
        <v>3238</v>
      </c>
      <c r="E13504" t="s">
        <v>3239</v>
      </c>
      <c r="F13504" t="s">
        <v>3239</v>
      </c>
      <c r="G13504" t="s">
        <v>3346</v>
      </c>
      <c r="H13504" t="s">
        <v>136</v>
      </c>
      <c r="I13504" t="s">
        <v>137</v>
      </c>
      <c r="J13504" t="str">
        <f>"SEK058"</f>
        <v>SEK058</v>
      </c>
      <c r="K13504">
        <v>2102012603</v>
      </c>
      <c r="L13504">
        <v>2102012603</v>
      </c>
      <c r="M13504" t="s">
        <v>3769</v>
      </c>
      <c r="N13504" t="s">
        <v>3770</v>
      </c>
      <c r="O13504" t="s">
        <v>3771</v>
      </c>
      <c r="P13504">
        <v>11141</v>
      </c>
      <c r="Q13504" t="str">
        <f>"38.014037"</f>
        <v>38.014037</v>
      </c>
      <c r="R13504" t="str">
        <f>"23.739964"</f>
        <v>23.739964</v>
      </c>
      <c r="S13504" t="s">
        <v>26</v>
      </c>
    </row>
    <row r="13505" spans="1:19" x14ac:dyDescent="0.3">
      <c r="A13505" t="s">
        <v>3237</v>
      </c>
      <c r="B13505" t="s">
        <v>3307</v>
      </c>
      <c r="C13505" t="s">
        <v>3861</v>
      </c>
      <c r="D13505" t="s">
        <v>3238</v>
      </c>
      <c r="E13505" t="s">
        <v>3404</v>
      </c>
      <c r="F13505" t="s">
        <v>3405</v>
      </c>
      <c r="G13505" t="s">
        <v>3405</v>
      </c>
      <c r="H13505" t="s">
        <v>136</v>
      </c>
      <c r="I13505" t="s">
        <v>137</v>
      </c>
      <c r="J13505" t="str">
        <f>"SEK057"</f>
        <v>SEK057</v>
      </c>
      <c r="K13505">
        <v>2102521398</v>
      </c>
      <c r="L13505">
        <v>2102521398</v>
      </c>
      <c r="M13505" t="s">
        <v>3862</v>
      </c>
      <c r="N13505" t="s">
        <v>3570</v>
      </c>
      <c r="O13505" t="s">
        <v>3863</v>
      </c>
      <c r="P13505">
        <v>14342</v>
      </c>
      <c r="Q13505" t="str">
        <f>"38.049090"</f>
        <v>38.049090</v>
      </c>
      <c r="R13505" t="str">
        <f>"23.742953"</f>
        <v>23.742953</v>
      </c>
      <c r="S13505" t="s">
        <v>26</v>
      </c>
    </row>
    <row r="13506" spans="1:19" x14ac:dyDescent="0.3">
      <c r="A13506" t="s">
        <v>3237</v>
      </c>
      <c r="B13506" t="s">
        <v>3307</v>
      </c>
      <c r="C13506" t="s">
        <v>3943</v>
      </c>
      <c r="D13506" t="s">
        <v>3238</v>
      </c>
      <c r="E13506" t="s">
        <v>3358</v>
      </c>
      <c r="F13506" t="s">
        <v>3358</v>
      </c>
      <c r="G13506" t="s">
        <v>3358</v>
      </c>
      <c r="H13506" t="s">
        <v>136</v>
      </c>
      <c r="I13506" t="s">
        <v>137</v>
      </c>
      <c r="J13506" t="str">
        <f>"SEK053"</f>
        <v>SEK053</v>
      </c>
      <c r="K13506">
        <v>2107656905</v>
      </c>
      <c r="L13506">
        <v>2107656905</v>
      </c>
      <c r="M13506" t="s">
        <v>3944</v>
      </c>
      <c r="N13506" t="s">
        <v>3325</v>
      </c>
      <c r="O13506" t="s">
        <v>3945</v>
      </c>
      <c r="P13506">
        <v>17237</v>
      </c>
      <c r="Q13506" t="str">
        <f>"37.955525"</f>
        <v>37.955525</v>
      </c>
      <c r="R13506" t="str">
        <f>"23.749038"</f>
        <v>23.749038</v>
      </c>
      <c r="S13506" t="s">
        <v>26</v>
      </c>
    </row>
    <row r="13507" spans="1:19" x14ac:dyDescent="0.3">
      <c r="A13507" t="s">
        <v>3237</v>
      </c>
      <c r="B13507" t="s">
        <v>3996</v>
      </c>
      <c r="C13507" t="s">
        <v>4100</v>
      </c>
      <c r="D13507" t="s">
        <v>3262</v>
      </c>
      <c r="E13507" t="s">
        <v>4060</v>
      </c>
      <c r="F13507" t="s">
        <v>4061</v>
      </c>
      <c r="G13507" t="s">
        <v>4061</v>
      </c>
      <c r="H13507" t="s">
        <v>136</v>
      </c>
      <c r="I13507" t="s">
        <v>137</v>
      </c>
      <c r="J13507" t="str">
        <f>"SEK075"</f>
        <v>SEK075</v>
      </c>
      <c r="K13507">
        <v>2294078026</v>
      </c>
      <c r="L13507">
        <v>2294078026</v>
      </c>
      <c r="M13507" t="s">
        <v>4101</v>
      </c>
      <c r="N13507" t="s">
        <v>4061</v>
      </c>
      <c r="O13507" t="s">
        <v>4102</v>
      </c>
      <c r="P13507">
        <v>19009</v>
      </c>
      <c r="Q13507" t="str">
        <f>"38.029472"</f>
        <v>38.029472</v>
      </c>
      <c r="R13507" t="str">
        <f>"23.983599"</f>
        <v>23.983599</v>
      </c>
      <c r="S13507" t="s">
        <v>26</v>
      </c>
    </row>
    <row r="13508" spans="1:19" x14ac:dyDescent="0.3">
      <c r="A13508" t="s">
        <v>3237</v>
      </c>
      <c r="B13508" t="s">
        <v>3996</v>
      </c>
      <c r="C13508" t="s">
        <v>4104</v>
      </c>
      <c r="D13508" t="s">
        <v>3262</v>
      </c>
      <c r="E13508" t="s">
        <v>3298</v>
      </c>
      <c r="F13508" t="s">
        <v>3298</v>
      </c>
      <c r="G13508" t="s">
        <v>3298</v>
      </c>
      <c r="H13508" t="s">
        <v>136</v>
      </c>
      <c r="I13508" t="s">
        <v>137</v>
      </c>
      <c r="J13508" t="str">
        <f>"SEK078"</f>
        <v>SEK078</v>
      </c>
      <c r="K13508">
        <v>2102445506</v>
      </c>
      <c r="L13508">
        <v>2102409509</v>
      </c>
      <c r="M13508" t="s">
        <v>4105</v>
      </c>
      <c r="N13508" t="s">
        <v>3298</v>
      </c>
      <c r="O13508" t="s">
        <v>4106</v>
      </c>
      <c r="P13508">
        <v>13671</v>
      </c>
      <c r="Q13508" t="str">
        <f>"38.099237"</f>
        <v>38.099237</v>
      </c>
      <c r="R13508" t="str">
        <f>"23.741888"</f>
        <v>23.741888</v>
      </c>
      <c r="S13508" t="s">
        <v>26</v>
      </c>
    </row>
    <row r="13509" spans="1:19" x14ac:dyDescent="0.3">
      <c r="A13509" t="s">
        <v>3237</v>
      </c>
      <c r="B13509" t="s">
        <v>3996</v>
      </c>
      <c r="C13509" t="s">
        <v>4108</v>
      </c>
      <c r="D13509" t="s">
        <v>3262</v>
      </c>
      <c r="E13509" t="s">
        <v>3298</v>
      </c>
      <c r="F13509" t="s">
        <v>3298</v>
      </c>
      <c r="G13509" t="s">
        <v>3298</v>
      </c>
      <c r="H13509" t="s">
        <v>136</v>
      </c>
      <c r="I13509" t="s">
        <v>137</v>
      </c>
      <c r="J13509" t="str">
        <f>"SEK072"</f>
        <v>SEK072</v>
      </c>
      <c r="K13509">
        <v>2102444210</v>
      </c>
      <c r="L13509">
        <v>2102444210</v>
      </c>
      <c r="M13509" t="s">
        <v>4109</v>
      </c>
      <c r="N13509" t="s">
        <v>3298</v>
      </c>
      <c r="O13509" t="s">
        <v>4110</v>
      </c>
      <c r="P13509">
        <v>13674</v>
      </c>
      <c r="Q13509" t="str">
        <f>"38.089712"</f>
        <v>38.089712</v>
      </c>
      <c r="R13509" t="str">
        <f>"23.728417"</f>
        <v>23.728417</v>
      </c>
      <c r="S13509" t="s">
        <v>26</v>
      </c>
    </row>
    <row r="13510" spans="1:19" x14ac:dyDescent="0.3">
      <c r="A13510" t="s">
        <v>3237</v>
      </c>
      <c r="B13510" t="s">
        <v>3996</v>
      </c>
      <c r="C13510" t="s">
        <v>4335</v>
      </c>
      <c r="D13510" t="s">
        <v>3262</v>
      </c>
      <c r="E13510" t="s">
        <v>3263</v>
      </c>
      <c r="F13510" t="s">
        <v>3263</v>
      </c>
      <c r="G13510" t="s">
        <v>3263</v>
      </c>
      <c r="H13510" t="s">
        <v>136</v>
      </c>
      <c r="I13510" t="s">
        <v>137</v>
      </c>
      <c r="J13510" t="str">
        <f>"SEK074"</f>
        <v>SEK074</v>
      </c>
      <c r="K13510">
        <v>2106620880</v>
      </c>
      <c r="L13510">
        <v>2106620890</v>
      </c>
      <c r="M13510" t="s">
        <v>4336</v>
      </c>
      <c r="N13510" t="s">
        <v>4003</v>
      </c>
      <c r="O13510" t="s">
        <v>4200</v>
      </c>
      <c r="P13510">
        <v>19400</v>
      </c>
      <c r="Q13510" t="str">
        <f>"37.895798"</f>
        <v>37.895798</v>
      </c>
      <c r="R13510" t="str">
        <f>"23.869569"</f>
        <v>23.869569</v>
      </c>
      <c r="S13510" t="s">
        <v>26</v>
      </c>
    </row>
    <row r="13511" spans="1:19" x14ac:dyDescent="0.3">
      <c r="A13511" t="s">
        <v>3237</v>
      </c>
      <c r="B13511" t="s">
        <v>4585</v>
      </c>
      <c r="C13511" t="s">
        <v>4650</v>
      </c>
      <c r="D13511" t="s">
        <v>3245</v>
      </c>
      <c r="E13511" t="s">
        <v>4649</v>
      </c>
      <c r="F13511" t="s">
        <v>4649</v>
      </c>
      <c r="G13511" t="s">
        <v>4649</v>
      </c>
      <c r="H13511" t="s">
        <v>136</v>
      </c>
      <c r="I13511" t="s">
        <v>137</v>
      </c>
      <c r="J13511" t="str">
        <f>"SEK085"</f>
        <v>SEK085</v>
      </c>
      <c r="K13511">
        <v>2106849575</v>
      </c>
      <c r="L13511">
        <v>2106849575</v>
      </c>
      <c r="M13511" t="s">
        <v>4651</v>
      </c>
      <c r="N13511" t="s">
        <v>4652</v>
      </c>
      <c r="O13511" t="s">
        <v>4653</v>
      </c>
      <c r="P13511">
        <v>15233</v>
      </c>
      <c r="Q13511" t="str">
        <f>"38.031550"</f>
        <v>38.031550</v>
      </c>
      <c r="R13511" t="str">
        <f>"23.795678"</f>
        <v>23.795678</v>
      </c>
      <c r="S13511" t="s">
        <v>26</v>
      </c>
    </row>
    <row r="13512" spans="1:19" x14ac:dyDescent="0.3">
      <c r="A13512" t="s">
        <v>3237</v>
      </c>
      <c r="B13512" t="s">
        <v>4585</v>
      </c>
      <c r="C13512" t="s">
        <v>4688</v>
      </c>
      <c r="D13512" t="s">
        <v>3245</v>
      </c>
      <c r="E13512" t="s">
        <v>4591</v>
      </c>
      <c r="F13512" t="s">
        <v>4591</v>
      </c>
      <c r="G13512" t="s">
        <v>4591</v>
      </c>
      <c r="H13512" t="s">
        <v>136</v>
      </c>
      <c r="I13512" t="s">
        <v>137</v>
      </c>
      <c r="J13512" t="str">
        <f>"SEK086"</f>
        <v>SEK086</v>
      </c>
      <c r="K13512">
        <v>2102821115</v>
      </c>
      <c r="L13512">
        <v>2102819730</v>
      </c>
      <c r="M13512" t="s">
        <v>4689</v>
      </c>
      <c r="N13512" t="s">
        <v>4591</v>
      </c>
      <c r="O13512" t="s">
        <v>4690</v>
      </c>
      <c r="P13512">
        <v>15123</v>
      </c>
      <c r="Q13512" t="str">
        <f>"38.043616"</f>
        <v>38.043616</v>
      </c>
      <c r="R13512" t="str">
        <f>"23.787755"</f>
        <v>23.787755</v>
      </c>
      <c r="S13512" t="s">
        <v>26</v>
      </c>
    </row>
    <row r="13513" spans="1:19" x14ac:dyDescent="0.3">
      <c r="A13513" t="s">
        <v>3237</v>
      </c>
      <c r="B13513" t="s">
        <v>4585</v>
      </c>
      <c r="C13513" t="s">
        <v>4893</v>
      </c>
      <c r="D13513" t="s">
        <v>3245</v>
      </c>
      <c r="E13513" t="s">
        <v>3246</v>
      </c>
      <c r="F13513" t="s">
        <v>3246</v>
      </c>
      <c r="G13513" t="s">
        <v>3246</v>
      </c>
      <c r="H13513" t="s">
        <v>136</v>
      </c>
      <c r="I13513" t="s">
        <v>137</v>
      </c>
      <c r="J13513" t="str">
        <f>"SEK088"</f>
        <v>SEK088</v>
      </c>
      <c r="K13513">
        <v>2102711629</v>
      </c>
      <c r="L13513">
        <v>2102711629</v>
      </c>
      <c r="M13513" t="s">
        <v>4894</v>
      </c>
      <c r="N13513" t="s">
        <v>3246</v>
      </c>
      <c r="O13513" t="s">
        <v>4895</v>
      </c>
      <c r="P13513">
        <v>14231</v>
      </c>
      <c r="Q13513" t="str">
        <f>"38.048958"</f>
        <v>38.048958</v>
      </c>
      <c r="R13513" t="str">
        <f>"23.752179"</f>
        <v>23.752179</v>
      </c>
      <c r="S13513" t="s">
        <v>26</v>
      </c>
    </row>
    <row r="13514" spans="1:19" x14ac:dyDescent="0.3">
      <c r="A13514" t="s">
        <v>3237</v>
      </c>
      <c r="B13514" t="s">
        <v>4585</v>
      </c>
      <c r="C13514" t="s">
        <v>4998</v>
      </c>
      <c r="D13514" t="s">
        <v>3245</v>
      </c>
      <c r="E13514" t="s">
        <v>152</v>
      </c>
      <c r="F13514" t="s">
        <v>152</v>
      </c>
      <c r="G13514" t="s">
        <v>152</v>
      </c>
      <c r="H13514" t="s">
        <v>136</v>
      </c>
      <c r="I13514" t="s">
        <v>137</v>
      </c>
      <c r="J13514" t="str">
        <f>"SEK030"</f>
        <v>SEK030</v>
      </c>
      <c r="K13514">
        <v>2106016586</v>
      </c>
      <c r="L13514">
        <v>2106082642</v>
      </c>
      <c r="M13514" t="s">
        <v>4999</v>
      </c>
      <c r="N13514" t="s">
        <v>4693</v>
      </c>
      <c r="O13514" t="s">
        <v>5000</v>
      </c>
      <c r="P13514">
        <v>15341</v>
      </c>
      <c r="Q13514" t="str">
        <f>"38.006273"</f>
        <v>38.006273</v>
      </c>
      <c r="R13514" t="str">
        <f>"23.811446"</f>
        <v>23.811446</v>
      </c>
      <c r="S13514" t="s">
        <v>26</v>
      </c>
    </row>
    <row r="13515" spans="1:19" x14ac:dyDescent="0.3">
      <c r="A13515" t="s">
        <v>3237</v>
      </c>
      <c r="B13515" t="s">
        <v>5080</v>
      </c>
      <c r="C13515" t="s">
        <v>5122</v>
      </c>
      <c r="D13515" t="s">
        <v>3251</v>
      </c>
      <c r="E13515" t="s">
        <v>5121</v>
      </c>
      <c r="F13515" t="s">
        <v>5085</v>
      </c>
      <c r="G13515" t="s">
        <v>5085</v>
      </c>
      <c r="H13515" t="s">
        <v>136</v>
      </c>
      <c r="I13515" t="s">
        <v>137</v>
      </c>
      <c r="J13515" t="str">
        <f>"SEK031"</f>
        <v>SEK031</v>
      </c>
      <c r="K13515">
        <v>2108322260</v>
      </c>
      <c r="L13515">
        <v>2108322360</v>
      </c>
      <c r="M13515" t="s">
        <v>5123</v>
      </c>
      <c r="N13515" t="s">
        <v>5124</v>
      </c>
      <c r="O13515" t="s">
        <v>5125</v>
      </c>
      <c r="P13515">
        <v>13561</v>
      </c>
      <c r="Q13515" t="str">
        <f>"38.016674"</f>
        <v>38.016674</v>
      </c>
      <c r="R13515" t="str">
        <f>"23.712619"</f>
        <v>23.712619</v>
      </c>
      <c r="S13515" t="s">
        <v>26</v>
      </c>
    </row>
    <row r="13516" spans="1:19" x14ac:dyDescent="0.3">
      <c r="A13516" t="s">
        <v>3237</v>
      </c>
      <c r="B13516" t="s">
        <v>5080</v>
      </c>
      <c r="C13516" t="s">
        <v>5224</v>
      </c>
      <c r="D13516" t="s">
        <v>3251</v>
      </c>
      <c r="E13516" t="s">
        <v>3290</v>
      </c>
      <c r="F13516" t="s">
        <v>3290</v>
      </c>
      <c r="G13516" t="s">
        <v>3290</v>
      </c>
      <c r="H13516" t="s">
        <v>136</v>
      </c>
      <c r="I13516" t="s">
        <v>137</v>
      </c>
      <c r="J13516" t="str">
        <f>"SEK097"</f>
        <v>SEK097</v>
      </c>
      <c r="K13516">
        <v>2102639976</v>
      </c>
      <c r="L13516">
        <v>2102639976</v>
      </c>
      <c r="M13516" t="s">
        <v>5225</v>
      </c>
      <c r="N13516" t="s">
        <v>5097</v>
      </c>
      <c r="O13516" t="s">
        <v>5226</v>
      </c>
      <c r="P13516">
        <v>13122</v>
      </c>
      <c r="Q13516" t="str">
        <f>"38.065737"</f>
        <v>38.065737</v>
      </c>
      <c r="R13516" t="str">
        <f>"23.694429"</f>
        <v>23.694429</v>
      </c>
      <c r="S13516" t="s">
        <v>26</v>
      </c>
    </row>
    <row r="13517" spans="1:19" x14ac:dyDescent="0.3">
      <c r="A13517" t="s">
        <v>3237</v>
      </c>
      <c r="B13517" t="s">
        <v>5080</v>
      </c>
      <c r="C13517" t="s">
        <v>5309</v>
      </c>
      <c r="D13517" t="s">
        <v>3251</v>
      </c>
      <c r="E13517" t="s">
        <v>5087</v>
      </c>
      <c r="F13517" t="s">
        <v>5087</v>
      </c>
      <c r="G13517" t="s">
        <v>5116</v>
      </c>
      <c r="H13517" t="s">
        <v>136</v>
      </c>
      <c r="I13517" t="s">
        <v>137</v>
      </c>
      <c r="J13517" t="str">
        <f>"SEK096"</f>
        <v>SEK096</v>
      </c>
      <c r="K13517">
        <v>2105766746</v>
      </c>
      <c r="L13517">
        <v>2105753760</v>
      </c>
      <c r="M13517" t="s">
        <v>5310</v>
      </c>
      <c r="N13517" t="s">
        <v>5087</v>
      </c>
      <c r="O13517" t="s">
        <v>5311</v>
      </c>
      <c r="P13517">
        <v>12133</v>
      </c>
      <c r="Q13517" t="str">
        <f>"38.012210"</f>
        <v>38.012210</v>
      </c>
      <c r="R13517" t="str">
        <f>"23.711836"</f>
        <v>23.711836</v>
      </c>
      <c r="S13517" t="s">
        <v>26</v>
      </c>
    </row>
    <row r="13518" spans="1:19" x14ac:dyDescent="0.3">
      <c r="A13518" t="s">
        <v>3237</v>
      </c>
      <c r="B13518" t="s">
        <v>5080</v>
      </c>
      <c r="C13518" t="s">
        <v>5405</v>
      </c>
      <c r="D13518" t="s">
        <v>3251</v>
      </c>
      <c r="E13518" t="s">
        <v>5199</v>
      </c>
      <c r="F13518" t="s">
        <v>5200</v>
      </c>
      <c r="G13518" t="s">
        <v>5200</v>
      </c>
      <c r="H13518" t="s">
        <v>136</v>
      </c>
      <c r="I13518" t="s">
        <v>137</v>
      </c>
      <c r="J13518" t="str">
        <f>"SEK099"</f>
        <v>SEK099</v>
      </c>
      <c r="K13518">
        <v>2105785915</v>
      </c>
      <c r="L13518">
        <v>2105787441</v>
      </c>
      <c r="M13518" t="s">
        <v>5406</v>
      </c>
      <c r="N13518" t="s">
        <v>5199</v>
      </c>
      <c r="O13518" t="s">
        <v>5407</v>
      </c>
      <c r="P13518">
        <v>12461</v>
      </c>
      <c r="Q13518" t="str">
        <f>"38.017266"</f>
        <v>38.017266</v>
      </c>
      <c r="R13518" t="str">
        <f>"23.669045"</f>
        <v>23.669045</v>
      </c>
      <c r="S13518" t="s">
        <v>26</v>
      </c>
    </row>
    <row r="13519" spans="1:19" x14ac:dyDescent="0.3">
      <c r="A13519" t="s">
        <v>3237</v>
      </c>
      <c r="B13519" t="s">
        <v>5080</v>
      </c>
      <c r="C13519" t="s">
        <v>5528</v>
      </c>
      <c r="D13519" t="s">
        <v>3251</v>
      </c>
      <c r="E13519" t="s">
        <v>5087</v>
      </c>
      <c r="F13519" t="s">
        <v>5087</v>
      </c>
      <c r="G13519" t="s">
        <v>5088</v>
      </c>
      <c r="H13519" t="s">
        <v>136</v>
      </c>
      <c r="I13519" t="s">
        <v>137</v>
      </c>
      <c r="J13519" t="str">
        <f>"SEK095"</f>
        <v>SEK095</v>
      </c>
      <c r="K13519">
        <v>2105061120</v>
      </c>
      <c r="L13519">
        <v>2105013666</v>
      </c>
      <c r="M13519" t="s">
        <v>5529</v>
      </c>
      <c r="N13519" t="s">
        <v>5087</v>
      </c>
      <c r="O13519" t="s">
        <v>5530</v>
      </c>
      <c r="P13519">
        <v>12137</v>
      </c>
      <c r="Q13519" t="str">
        <f>"38.030572"</f>
        <v>38.030572</v>
      </c>
      <c r="R13519" t="str">
        <f>"23.677151"</f>
        <v>23.677151</v>
      </c>
      <c r="S13519" t="s">
        <v>26</v>
      </c>
    </row>
    <row r="13520" spans="1:19" x14ac:dyDescent="0.3">
      <c r="A13520" t="s">
        <v>3237</v>
      </c>
      <c r="B13520" t="s">
        <v>5080</v>
      </c>
      <c r="C13520" t="s">
        <v>5540</v>
      </c>
      <c r="D13520" t="s">
        <v>3251</v>
      </c>
      <c r="E13520" t="s">
        <v>3252</v>
      </c>
      <c r="F13520" t="s">
        <v>3252</v>
      </c>
      <c r="G13520" t="s">
        <v>3252</v>
      </c>
      <c r="H13520" t="s">
        <v>136</v>
      </c>
      <c r="I13520" t="s">
        <v>137</v>
      </c>
      <c r="J13520" t="str">
        <f>"SEK094"</f>
        <v>SEK094</v>
      </c>
      <c r="K13520">
        <v>2105610523</v>
      </c>
      <c r="L13520">
        <v>2105698531</v>
      </c>
      <c r="M13520" t="s">
        <v>5541</v>
      </c>
      <c r="N13520" t="s">
        <v>3252</v>
      </c>
      <c r="O13520" t="s">
        <v>5542</v>
      </c>
      <c r="P13520">
        <v>12241</v>
      </c>
      <c r="Q13520" t="str">
        <f>"37.978492"</f>
        <v>37.978492</v>
      </c>
      <c r="R13520" t="str">
        <f>"23.671130"</f>
        <v>23.671130</v>
      </c>
      <c r="S13520" t="s">
        <v>26</v>
      </c>
    </row>
    <row r="13521" spans="1:19" x14ac:dyDescent="0.3">
      <c r="A13521" t="s">
        <v>3237</v>
      </c>
      <c r="B13521" t="s">
        <v>5562</v>
      </c>
      <c r="C13521" t="s">
        <v>5592</v>
      </c>
      <c r="D13521" t="s">
        <v>3256</v>
      </c>
      <c r="E13521" t="s">
        <v>5586</v>
      </c>
      <c r="F13521" t="s">
        <v>5586</v>
      </c>
      <c r="G13521" t="s">
        <v>5586</v>
      </c>
      <c r="H13521" t="s">
        <v>136</v>
      </c>
      <c r="I13521" t="s">
        <v>137</v>
      </c>
      <c r="J13521" t="str">
        <f>"SEK102"</f>
        <v>SEK102</v>
      </c>
      <c r="K13521">
        <v>2109316020</v>
      </c>
      <c r="L13521">
        <v>2109316020</v>
      </c>
      <c r="M13521" t="s">
        <v>5593</v>
      </c>
      <c r="N13521" t="s">
        <v>5586</v>
      </c>
      <c r="O13521" t="s">
        <v>5594</v>
      </c>
      <c r="P13521">
        <v>17122</v>
      </c>
      <c r="Q13521" t="str">
        <f>"37.937009"</f>
        <v>37.937009</v>
      </c>
      <c r="R13521" t="str">
        <f>"23.707481"</f>
        <v>23.707481</v>
      </c>
      <c r="S13521" t="s">
        <v>26</v>
      </c>
    </row>
    <row r="13522" spans="1:19" x14ac:dyDescent="0.3">
      <c r="A13522" t="s">
        <v>3237</v>
      </c>
      <c r="B13522" t="s">
        <v>5562</v>
      </c>
      <c r="C13522" t="s">
        <v>5738</v>
      </c>
      <c r="D13522" t="s">
        <v>3256</v>
      </c>
      <c r="E13522" t="s">
        <v>5599</v>
      </c>
      <c r="F13522" t="s">
        <v>5600</v>
      </c>
      <c r="G13522" t="s">
        <v>5601</v>
      </c>
      <c r="H13522" t="s">
        <v>136</v>
      </c>
      <c r="I13522" t="s">
        <v>137</v>
      </c>
      <c r="J13522" t="str">
        <f>"SEK101"</f>
        <v>SEK101</v>
      </c>
      <c r="K13522">
        <v>2109922217</v>
      </c>
      <c r="L13522">
        <v>2109922217</v>
      </c>
      <c r="M13522" t="s">
        <v>5739</v>
      </c>
      <c r="N13522" t="s">
        <v>5601</v>
      </c>
      <c r="O13522" t="s">
        <v>5740</v>
      </c>
      <c r="P13522">
        <v>16451</v>
      </c>
      <c r="Q13522" t="str">
        <f>"37.908480"</f>
        <v>37.908480</v>
      </c>
      <c r="R13522" t="str">
        <f>"23.753555"</f>
        <v>23.753555</v>
      </c>
      <c r="S13522" t="s">
        <v>26</v>
      </c>
    </row>
    <row r="13523" spans="1:19" x14ac:dyDescent="0.3">
      <c r="A13523" t="s">
        <v>3237</v>
      </c>
      <c r="B13523" t="s">
        <v>5562</v>
      </c>
      <c r="C13523" t="s">
        <v>5800</v>
      </c>
      <c r="D13523" t="s">
        <v>3256</v>
      </c>
      <c r="E13523" t="s">
        <v>5656</v>
      </c>
      <c r="F13523" t="s">
        <v>5657</v>
      </c>
      <c r="G13523" t="s">
        <v>5657</v>
      </c>
      <c r="H13523" t="s">
        <v>136</v>
      </c>
      <c r="I13523" t="s">
        <v>137</v>
      </c>
      <c r="J13523" t="str">
        <f>"SEK060"</f>
        <v>SEK060</v>
      </c>
      <c r="K13523">
        <v>2103470660</v>
      </c>
      <c r="L13523">
        <v>2103470660</v>
      </c>
      <c r="M13523" t="s">
        <v>5801</v>
      </c>
      <c r="N13523" t="s">
        <v>5657</v>
      </c>
      <c r="O13523" t="s">
        <v>5802</v>
      </c>
      <c r="P13523">
        <v>17778</v>
      </c>
      <c r="Q13523" t="str">
        <f>"37.970166"</f>
        <v>37.970166</v>
      </c>
      <c r="R13523" t="str">
        <f>"23.694977"</f>
        <v>23.694977</v>
      </c>
      <c r="S13523" t="s">
        <v>26</v>
      </c>
    </row>
    <row r="13524" spans="1:19" x14ac:dyDescent="0.3">
      <c r="A13524" t="s">
        <v>3237</v>
      </c>
      <c r="B13524" t="s">
        <v>5562</v>
      </c>
      <c r="C13524" t="s">
        <v>5827</v>
      </c>
      <c r="D13524" t="s">
        <v>3256</v>
      </c>
      <c r="E13524" t="s">
        <v>3295</v>
      </c>
      <c r="F13524" t="s">
        <v>3295</v>
      </c>
      <c r="G13524" t="s">
        <v>3295</v>
      </c>
      <c r="H13524" t="s">
        <v>136</v>
      </c>
      <c r="I13524" t="s">
        <v>137</v>
      </c>
      <c r="J13524" t="str">
        <f>"SEK100"</f>
        <v>SEK100</v>
      </c>
      <c r="K13524">
        <v>2109881055</v>
      </c>
      <c r="L13524">
        <v>2109881335</v>
      </c>
      <c r="M13524" t="s">
        <v>5828</v>
      </c>
      <c r="N13524" t="s">
        <v>3295</v>
      </c>
      <c r="O13524" t="s">
        <v>5829</v>
      </c>
      <c r="P13524">
        <v>17342</v>
      </c>
      <c r="Q13524" t="str">
        <f>"37.922355"</f>
        <v>37.922355</v>
      </c>
      <c r="R13524" t="str">
        <f>"23.729592"</f>
        <v>23.729592</v>
      </c>
      <c r="S13524" t="s">
        <v>26</v>
      </c>
    </row>
    <row r="13525" spans="1:19" x14ac:dyDescent="0.3">
      <c r="A13525" t="s">
        <v>3237</v>
      </c>
      <c r="B13525" t="s">
        <v>5998</v>
      </c>
      <c r="C13525" t="s">
        <v>6018</v>
      </c>
      <c r="D13525" t="s">
        <v>3268</v>
      </c>
      <c r="E13525" t="s">
        <v>6017</v>
      </c>
      <c r="F13525" t="s">
        <v>6017</v>
      </c>
      <c r="G13525" t="s">
        <v>6017</v>
      </c>
      <c r="H13525" t="s">
        <v>136</v>
      </c>
      <c r="I13525" t="s">
        <v>137</v>
      </c>
      <c r="J13525" t="str">
        <f>"SEK104"</f>
        <v>SEK104</v>
      </c>
      <c r="K13525">
        <v>2296083639</v>
      </c>
      <c r="L13525">
        <v>2296083639</v>
      </c>
      <c r="M13525" t="s">
        <v>6019</v>
      </c>
      <c r="N13525" t="s">
        <v>6020</v>
      </c>
      <c r="O13525" t="s">
        <v>6021</v>
      </c>
      <c r="P13525">
        <v>19100</v>
      </c>
      <c r="Q13525" t="str">
        <f>"37.998224"</f>
        <v>37.998224</v>
      </c>
      <c r="R13525" t="str">
        <f>"23.347534"</f>
        <v>23.347534</v>
      </c>
      <c r="S13525" t="s">
        <v>26</v>
      </c>
    </row>
    <row r="13526" spans="1:19" x14ac:dyDescent="0.3">
      <c r="A13526" t="s">
        <v>3237</v>
      </c>
      <c r="B13526" t="s">
        <v>5998</v>
      </c>
      <c r="C13526" t="s">
        <v>6108</v>
      </c>
      <c r="D13526" t="s">
        <v>3268</v>
      </c>
      <c r="E13526" t="s">
        <v>3269</v>
      </c>
      <c r="F13526" t="s">
        <v>3270</v>
      </c>
      <c r="G13526" t="s">
        <v>3270</v>
      </c>
      <c r="H13526" t="s">
        <v>136</v>
      </c>
      <c r="I13526" t="s">
        <v>137</v>
      </c>
      <c r="J13526" t="str">
        <f>"SEK043"</f>
        <v>SEK043</v>
      </c>
      <c r="K13526">
        <v>2105562584</v>
      </c>
      <c r="L13526">
        <v>2105548714</v>
      </c>
      <c r="M13526" t="s">
        <v>6109</v>
      </c>
      <c r="N13526" t="s">
        <v>3269</v>
      </c>
      <c r="O13526" t="s">
        <v>6074</v>
      </c>
      <c r="P13526">
        <v>19200</v>
      </c>
      <c r="Q13526" t="str">
        <f>"38.049471"</f>
        <v>38.049471</v>
      </c>
      <c r="R13526" t="str">
        <f>"23.546888"</f>
        <v>23.546888</v>
      </c>
      <c r="S13526" t="s">
        <v>26</v>
      </c>
    </row>
    <row r="13527" spans="1:19" x14ac:dyDescent="0.3">
      <c r="A13527" t="s">
        <v>3237</v>
      </c>
      <c r="B13527" t="s">
        <v>6192</v>
      </c>
      <c r="C13527" t="s">
        <v>6244</v>
      </c>
      <c r="D13527" t="s">
        <v>3275</v>
      </c>
      <c r="E13527" t="s">
        <v>3275</v>
      </c>
      <c r="F13527" t="s">
        <v>3275</v>
      </c>
      <c r="G13527" t="s">
        <v>6193</v>
      </c>
      <c r="H13527" t="s">
        <v>136</v>
      </c>
      <c r="I13527" t="s">
        <v>137</v>
      </c>
      <c r="J13527" t="str">
        <f>"SEK006"</f>
        <v>SEK006</v>
      </c>
      <c r="K13527">
        <v>2104610667</v>
      </c>
      <c r="L13527">
        <v>2104610667</v>
      </c>
      <c r="M13527" t="s">
        <v>6245</v>
      </c>
      <c r="N13527" t="s">
        <v>6200</v>
      </c>
      <c r="O13527" t="s">
        <v>6246</v>
      </c>
      <c r="P13527">
        <v>18546</v>
      </c>
      <c r="Q13527" t="str">
        <f>"37.953729"</f>
        <v>37.953729</v>
      </c>
      <c r="R13527" t="str">
        <f>"23.640756"</f>
        <v>23.640756</v>
      </c>
      <c r="S13527" t="s">
        <v>26</v>
      </c>
    </row>
    <row r="13528" spans="1:19" x14ac:dyDescent="0.3">
      <c r="A13528" t="s">
        <v>3237</v>
      </c>
      <c r="B13528" t="s">
        <v>6192</v>
      </c>
      <c r="C13528" t="s">
        <v>6303</v>
      </c>
      <c r="D13528" t="s">
        <v>3275</v>
      </c>
      <c r="E13528" t="s">
        <v>3275</v>
      </c>
      <c r="F13528" t="s">
        <v>3275</v>
      </c>
      <c r="G13528" t="s">
        <v>6261</v>
      </c>
      <c r="H13528" t="s">
        <v>136</v>
      </c>
      <c r="I13528" t="s">
        <v>137</v>
      </c>
      <c r="J13528" t="str">
        <f>"SEK008"</f>
        <v>SEK008</v>
      </c>
      <c r="K13528">
        <v>2104823407</v>
      </c>
      <c r="L13528">
        <v>2104823407</v>
      </c>
      <c r="M13528" t="s">
        <v>6304</v>
      </c>
      <c r="N13528" t="s">
        <v>6200</v>
      </c>
      <c r="O13528" t="s">
        <v>6305</v>
      </c>
      <c r="P13528">
        <v>18541</v>
      </c>
      <c r="Q13528" t="str">
        <f>"37.951904"</f>
        <v>37.951904</v>
      </c>
      <c r="R13528" t="str">
        <f>"23.663968"</f>
        <v>23.663968</v>
      </c>
      <c r="S13528" t="s">
        <v>26</v>
      </c>
    </row>
    <row r="13529" spans="1:19" x14ac:dyDescent="0.3">
      <c r="A13529" t="s">
        <v>3237</v>
      </c>
      <c r="B13529" t="s">
        <v>6192</v>
      </c>
      <c r="C13529" t="s">
        <v>6377</v>
      </c>
      <c r="D13529" t="s">
        <v>6222</v>
      </c>
      <c r="E13529" t="s">
        <v>6223</v>
      </c>
      <c r="F13529" t="s">
        <v>6229</v>
      </c>
      <c r="G13529" t="s">
        <v>6223</v>
      </c>
      <c r="H13529" t="s">
        <v>136</v>
      </c>
      <c r="I13529" t="s">
        <v>137</v>
      </c>
      <c r="J13529" t="str">
        <f>"SEK033"</f>
        <v>SEK033</v>
      </c>
      <c r="K13529">
        <v>2104654702</v>
      </c>
      <c r="L13529">
        <v>2104654702</v>
      </c>
      <c r="M13529" t="s">
        <v>6378</v>
      </c>
      <c r="N13529" t="s">
        <v>6379</v>
      </c>
      <c r="O13529" t="s">
        <v>6380</v>
      </c>
      <c r="P13529">
        <v>18900</v>
      </c>
      <c r="Q13529" t="str">
        <f>"37.968752"</f>
        <v>37.968752</v>
      </c>
      <c r="R13529" t="str">
        <f>"23.501544"</f>
        <v>23.501544</v>
      </c>
      <c r="S13529" t="s">
        <v>26</v>
      </c>
    </row>
    <row r="13530" spans="1:19" x14ac:dyDescent="0.3">
      <c r="A13530" t="s">
        <v>3237</v>
      </c>
      <c r="B13530" t="s">
        <v>6192</v>
      </c>
      <c r="C13530" t="s">
        <v>6442</v>
      </c>
      <c r="D13530" t="s">
        <v>3275</v>
      </c>
      <c r="E13530" t="s">
        <v>6266</v>
      </c>
      <c r="F13530" t="s">
        <v>5431</v>
      </c>
      <c r="G13530" t="s">
        <v>5431</v>
      </c>
      <c r="H13530" t="s">
        <v>136</v>
      </c>
      <c r="I13530" t="s">
        <v>137</v>
      </c>
      <c r="J13530" t="str">
        <f>"SEK011"</f>
        <v>SEK011</v>
      </c>
      <c r="K13530">
        <v>2104923093</v>
      </c>
      <c r="L13530">
        <v>2104923093</v>
      </c>
      <c r="M13530" t="s">
        <v>6443</v>
      </c>
      <c r="N13530" t="s">
        <v>6200</v>
      </c>
      <c r="O13530" t="s">
        <v>6444</v>
      </c>
      <c r="P13530">
        <v>18450</v>
      </c>
      <c r="Q13530" t="str">
        <f>"37.963666"</f>
        <v>37.963666</v>
      </c>
      <c r="R13530" t="str">
        <f>"23.644863"</f>
        <v>23.644863</v>
      </c>
      <c r="S13530" t="s">
        <v>26</v>
      </c>
    </row>
    <row r="13531" spans="1:19" x14ac:dyDescent="0.3">
      <c r="A13531" t="s">
        <v>3237</v>
      </c>
      <c r="B13531" t="s">
        <v>6192</v>
      </c>
      <c r="C13531" t="s">
        <v>6446</v>
      </c>
      <c r="D13531" t="s">
        <v>6222</v>
      </c>
      <c r="E13531" t="s">
        <v>6280</v>
      </c>
      <c r="F13531" t="s">
        <v>6280</v>
      </c>
      <c r="G13531" t="s">
        <v>6280</v>
      </c>
      <c r="H13531" t="s">
        <v>136</v>
      </c>
      <c r="I13531" t="s">
        <v>137</v>
      </c>
      <c r="J13531" t="str">
        <f>"SEK007"</f>
        <v>SEK007</v>
      </c>
      <c r="K13531">
        <v>2297024475</v>
      </c>
      <c r="L13531">
        <v>2297024475</v>
      </c>
      <c r="M13531" t="s">
        <v>6447</v>
      </c>
      <c r="N13531" t="s">
        <v>6448</v>
      </c>
      <c r="O13531" t="s">
        <v>6449</v>
      </c>
      <c r="P13531">
        <v>18010</v>
      </c>
      <c r="Q13531" t="str">
        <f>"37.740602"</f>
        <v>37.740602</v>
      </c>
      <c r="R13531" t="str">
        <f>"23.434559"</f>
        <v>23.434559</v>
      </c>
      <c r="S13531" t="s">
        <v>26</v>
      </c>
    </row>
    <row r="13532" spans="1:19" x14ac:dyDescent="0.3">
      <c r="A13532" t="s">
        <v>3237</v>
      </c>
      <c r="B13532" t="s">
        <v>6192</v>
      </c>
      <c r="C13532" t="s">
        <v>6505</v>
      </c>
      <c r="D13532" t="s">
        <v>3275</v>
      </c>
      <c r="E13532" t="s">
        <v>3303</v>
      </c>
      <c r="F13532" t="s">
        <v>3303</v>
      </c>
      <c r="G13532" t="s">
        <v>3303</v>
      </c>
      <c r="H13532" t="s">
        <v>136</v>
      </c>
      <c r="I13532" t="s">
        <v>137</v>
      </c>
      <c r="J13532" t="str">
        <f>"SEK014"</f>
        <v>SEK014</v>
      </c>
      <c r="K13532">
        <v>2104949065</v>
      </c>
      <c r="L13532">
        <v>2104941402</v>
      </c>
      <c r="M13532" t="s">
        <v>6506</v>
      </c>
      <c r="N13532" t="s">
        <v>6507</v>
      </c>
      <c r="O13532" t="s">
        <v>6508</v>
      </c>
      <c r="P13532">
        <v>18122</v>
      </c>
      <c r="Q13532" t="str">
        <f>"37.986925"</f>
        <v>37.986925</v>
      </c>
      <c r="R13532" t="str">
        <f>"23.642980"</f>
        <v>23.642980</v>
      </c>
      <c r="S13532" t="s">
        <v>26</v>
      </c>
    </row>
    <row r="13533" spans="1:19" x14ac:dyDescent="0.3">
      <c r="A13533" t="s">
        <v>3237</v>
      </c>
      <c r="B13533" t="s">
        <v>6192</v>
      </c>
      <c r="C13533" t="s">
        <v>6640</v>
      </c>
      <c r="D13533" t="s">
        <v>3275</v>
      </c>
      <c r="E13533" t="s">
        <v>6203</v>
      </c>
      <c r="F13533" t="s">
        <v>6203</v>
      </c>
      <c r="G13533" t="s">
        <v>6203</v>
      </c>
      <c r="H13533" t="s">
        <v>136</v>
      </c>
      <c r="I13533" t="s">
        <v>137</v>
      </c>
      <c r="J13533" t="str">
        <f>"SEK015"</f>
        <v>SEK015</v>
      </c>
      <c r="K13533">
        <v>2104014039</v>
      </c>
      <c r="L13533">
        <v>2104010476</v>
      </c>
      <c r="M13533" t="s">
        <v>6641</v>
      </c>
      <c r="N13533" t="s">
        <v>6642</v>
      </c>
      <c r="O13533" t="s">
        <v>6643</v>
      </c>
      <c r="P13533">
        <v>18863</v>
      </c>
      <c r="Q13533" t="str">
        <f>"37.961906"</f>
        <v>37.961906</v>
      </c>
      <c r="R13533" t="str">
        <f>"23.599553"</f>
        <v>23.599553</v>
      </c>
      <c r="S13533" t="s">
        <v>26</v>
      </c>
    </row>
    <row r="13534" spans="1:19" x14ac:dyDescent="0.3">
      <c r="A13534" t="s">
        <v>3237</v>
      </c>
      <c r="B13534" t="s">
        <v>6192</v>
      </c>
      <c r="C13534" t="s">
        <v>6679</v>
      </c>
      <c r="D13534" t="s">
        <v>3275</v>
      </c>
      <c r="E13534" t="s">
        <v>6212</v>
      </c>
      <c r="F13534" t="s">
        <v>6213</v>
      </c>
      <c r="G13534" t="s">
        <v>6213</v>
      </c>
      <c r="H13534" t="s">
        <v>136</v>
      </c>
      <c r="I13534" t="s">
        <v>137</v>
      </c>
      <c r="J13534" t="str">
        <f>"SEK010"</f>
        <v>SEK010</v>
      </c>
      <c r="K13534">
        <v>2104317001</v>
      </c>
      <c r="L13534">
        <v>2104317001</v>
      </c>
      <c r="M13534" t="s">
        <v>6680</v>
      </c>
      <c r="N13534" t="s">
        <v>6216</v>
      </c>
      <c r="O13534" t="s">
        <v>6681</v>
      </c>
      <c r="P13534">
        <v>18648</v>
      </c>
      <c r="Q13534" t="str">
        <f>"37.950929"</f>
        <v>37.950929</v>
      </c>
      <c r="R13534" t="str">
        <f>"23.620624"</f>
        <v>23.620624</v>
      </c>
      <c r="S13534" t="s">
        <v>26</v>
      </c>
    </row>
    <row r="13535" spans="1:19" x14ac:dyDescent="0.3">
      <c r="A13535" t="s">
        <v>12435</v>
      </c>
      <c r="B13535" t="s">
        <v>12460</v>
      </c>
      <c r="C13535" t="s">
        <v>12596</v>
      </c>
      <c r="D13535" t="s">
        <v>12436</v>
      </c>
      <c r="E13535" t="s">
        <v>12437</v>
      </c>
      <c r="F13535" t="s">
        <v>12437</v>
      </c>
      <c r="G13535" t="s">
        <v>12437</v>
      </c>
      <c r="H13535" t="s">
        <v>136</v>
      </c>
      <c r="I13535" t="s">
        <v>137</v>
      </c>
      <c r="J13535" t="str">
        <f>"SEK117"</f>
        <v>SEK117</v>
      </c>
      <c r="K13535">
        <v>2251026906</v>
      </c>
      <c r="L13535">
        <v>2251026906</v>
      </c>
      <c r="M13535" t="s">
        <v>12597</v>
      </c>
      <c r="N13535" t="s">
        <v>12437</v>
      </c>
      <c r="O13535" t="s">
        <v>12522</v>
      </c>
      <c r="P13535">
        <v>81132</v>
      </c>
      <c r="Q13535" t="str">
        <f>"39.098063"</f>
        <v>39.098063</v>
      </c>
      <c r="R13535" t="str">
        <f>"26.546655"</f>
        <v>26.546655</v>
      </c>
      <c r="S13535" t="s">
        <v>26</v>
      </c>
    </row>
    <row r="13536" spans="1:19" x14ac:dyDescent="0.3">
      <c r="A13536" t="s">
        <v>12435</v>
      </c>
      <c r="B13536" t="s">
        <v>12698</v>
      </c>
      <c r="C13536" t="s">
        <v>12793</v>
      </c>
      <c r="D13536" t="s">
        <v>12442</v>
      </c>
      <c r="E13536" t="s">
        <v>12443</v>
      </c>
      <c r="F13536" t="s">
        <v>12041</v>
      </c>
      <c r="G13536" t="s">
        <v>12041</v>
      </c>
      <c r="H13536" t="s">
        <v>136</v>
      </c>
      <c r="I13536" t="s">
        <v>137</v>
      </c>
      <c r="J13536" t="str">
        <f>"SEK125"</f>
        <v>SEK125</v>
      </c>
      <c r="K13536">
        <v>2273022177</v>
      </c>
      <c r="L13536">
        <v>2273022177</v>
      </c>
      <c r="M13536" t="s">
        <v>12794</v>
      </c>
      <c r="N13536" t="s">
        <v>12795</v>
      </c>
      <c r="O13536" t="s">
        <v>12796</v>
      </c>
      <c r="P13536">
        <v>83100</v>
      </c>
      <c r="Q13536" t="str">
        <f>"37.749414"</f>
        <v>37.749414</v>
      </c>
      <c r="R13536" t="str">
        <f>"26.978865"</f>
        <v>26.978865</v>
      </c>
      <c r="S13536" t="s">
        <v>26</v>
      </c>
    </row>
    <row r="13537" spans="1:19" x14ac:dyDescent="0.3">
      <c r="A13537" t="s">
        <v>12435</v>
      </c>
      <c r="B13537" t="s">
        <v>12801</v>
      </c>
      <c r="C13537" t="s">
        <v>12856</v>
      </c>
      <c r="D13537" t="s">
        <v>12448</v>
      </c>
      <c r="E13537" t="s">
        <v>12448</v>
      </c>
      <c r="F13537" t="s">
        <v>12448</v>
      </c>
      <c r="G13537" t="s">
        <v>12448</v>
      </c>
      <c r="H13537" t="s">
        <v>136</v>
      </c>
      <c r="I13537" t="s">
        <v>137</v>
      </c>
      <c r="J13537" t="str">
        <f>"SEK027"</f>
        <v>SEK027</v>
      </c>
      <c r="K13537">
        <v>2271028304</v>
      </c>
      <c r="L13537">
        <v>2271028304</v>
      </c>
      <c r="M13537" t="s">
        <v>12857</v>
      </c>
      <c r="N13537" t="s">
        <v>12448</v>
      </c>
      <c r="O13537" t="s">
        <v>12833</v>
      </c>
      <c r="P13537">
        <v>82100</v>
      </c>
      <c r="Q13537" t="str">
        <f>"38.365486"</f>
        <v>38.365486</v>
      </c>
      <c r="R13537" t="str">
        <f>"26.140681"</f>
        <v>26.140681</v>
      </c>
      <c r="S13537" t="s">
        <v>26</v>
      </c>
    </row>
    <row r="13538" spans="1:19" x14ac:dyDescent="0.3">
      <c r="A13538" t="s">
        <v>13791</v>
      </c>
      <c r="B13538" t="s">
        <v>13812</v>
      </c>
      <c r="C13538" t="s">
        <v>14015</v>
      </c>
      <c r="D13538" t="s">
        <v>13792</v>
      </c>
      <c r="E13538" t="s">
        <v>13888</v>
      </c>
      <c r="F13538" t="s">
        <v>13889</v>
      </c>
      <c r="G13538" t="s">
        <v>13889</v>
      </c>
      <c r="H13538" t="s">
        <v>136</v>
      </c>
      <c r="I13538" t="s">
        <v>137</v>
      </c>
      <c r="J13538" t="str">
        <f>"SEK071"</f>
        <v>SEK071</v>
      </c>
      <c r="K13538">
        <v>2634027755</v>
      </c>
      <c r="L13538">
        <v>2634028833</v>
      </c>
      <c r="M13538" t="s">
        <v>14016</v>
      </c>
      <c r="N13538" t="s">
        <v>13889</v>
      </c>
      <c r="O13538" t="s">
        <v>13960</v>
      </c>
      <c r="P13538">
        <v>30300</v>
      </c>
      <c r="Q13538" t="str">
        <f>"38.392152"</f>
        <v>38.392152</v>
      </c>
      <c r="R13538" t="str">
        <f>"21.822602"</f>
        <v>21.822602</v>
      </c>
      <c r="S13538" t="s">
        <v>26</v>
      </c>
    </row>
    <row r="13539" spans="1:19" x14ac:dyDescent="0.3">
      <c r="A13539" t="s">
        <v>13791</v>
      </c>
      <c r="B13539" t="s">
        <v>13812</v>
      </c>
      <c r="C13539" t="s">
        <v>14017</v>
      </c>
      <c r="D13539" t="s">
        <v>13792</v>
      </c>
      <c r="E13539" t="s">
        <v>13793</v>
      </c>
      <c r="F13539" t="s">
        <v>13793</v>
      </c>
      <c r="G13539" t="s">
        <v>3986</v>
      </c>
      <c r="H13539" t="s">
        <v>136</v>
      </c>
      <c r="I13539" t="s">
        <v>137</v>
      </c>
      <c r="J13539" t="str">
        <f>"SEK070"</f>
        <v>SEK070</v>
      </c>
      <c r="K13539">
        <v>2631028252</v>
      </c>
      <c r="L13539">
        <v>2631055383</v>
      </c>
      <c r="M13539" t="s">
        <v>14018</v>
      </c>
      <c r="N13539" t="s">
        <v>3986</v>
      </c>
      <c r="O13539" t="s">
        <v>14019</v>
      </c>
      <c r="P13539">
        <v>30200</v>
      </c>
      <c r="Q13539" t="str">
        <f>"38.368824"</f>
        <v>38.368824</v>
      </c>
      <c r="R13539" t="str">
        <f>"21.437505"</f>
        <v>21.437505</v>
      </c>
      <c r="S13539" t="s">
        <v>26</v>
      </c>
    </row>
    <row r="13540" spans="1:19" x14ac:dyDescent="0.3">
      <c r="A13540" t="s">
        <v>13791</v>
      </c>
      <c r="B13540" t="s">
        <v>13812</v>
      </c>
      <c r="C13540" t="s">
        <v>14033</v>
      </c>
      <c r="D13540" t="s">
        <v>13792</v>
      </c>
      <c r="E13540" t="s">
        <v>13851</v>
      </c>
      <c r="F13540" t="s">
        <v>13851</v>
      </c>
      <c r="G13540" t="s">
        <v>13851</v>
      </c>
      <c r="H13540" t="s">
        <v>136</v>
      </c>
      <c r="I13540" t="s">
        <v>137</v>
      </c>
      <c r="J13540" t="str">
        <f>"SEK069"</f>
        <v>SEK069</v>
      </c>
      <c r="K13540">
        <v>2641031936</v>
      </c>
      <c r="L13540">
        <v>2641031936</v>
      </c>
      <c r="M13540" t="s">
        <v>14034</v>
      </c>
      <c r="N13540" t="s">
        <v>14035</v>
      </c>
      <c r="O13540" t="s">
        <v>14036</v>
      </c>
      <c r="P13540">
        <v>30027</v>
      </c>
      <c r="Q13540" t="str">
        <f>"38.627023"</f>
        <v>38.627023</v>
      </c>
      <c r="R13540" t="str">
        <f>"21.405627"</f>
        <v>21.405627</v>
      </c>
      <c r="S13540" t="s">
        <v>26</v>
      </c>
    </row>
    <row r="13541" spans="1:19" x14ac:dyDescent="0.3">
      <c r="A13541" t="s">
        <v>13791</v>
      </c>
      <c r="B13541" t="s">
        <v>14180</v>
      </c>
      <c r="C13541" t="s">
        <v>14421</v>
      </c>
      <c r="D13541" t="s">
        <v>13798</v>
      </c>
      <c r="E13541" t="s">
        <v>14181</v>
      </c>
      <c r="F13541" t="s">
        <v>14182</v>
      </c>
      <c r="G13541" t="s">
        <v>14182</v>
      </c>
      <c r="H13541" t="s">
        <v>136</v>
      </c>
      <c r="I13541" t="s">
        <v>137</v>
      </c>
      <c r="J13541" t="str">
        <f>"SEK081"</f>
        <v>SEK081</v>
      </c>
      <c r="K13541">
        <v>2691020807</v>
      </c>
      <c r="L13541">
        <v>2691302657</v>
      </c>
      <c r="M13541" t="s">
        <v>14422</v>
      </c>
      <c r="N13541" t="s">
        <v>14182</v>
      </c>
      <c r="O13541" t="s">
        <v>14315</v>
      </c>
      <c r="P13541">
        <v>25100</v>
      </c>
      <c r="Q13541" t="str">
        <f>"38.249821"</f>
        <v>38.249821</v>
      </c>
      <c r="R13541" t="str">
        <f>"22.099720"</f>
        <v>22.099720</v>
      </c>
      <c r="S13541" t="s">
        <v>26</v>
      </c>
    </row>
    <row r="13542" spans="1:19" x14ac:dyDescent="0.3">
      <c r="A13542" t="s">
        <v>13791</v>
      </c>
      <c r="B13542" t="s">
        <v>14180</v>
      </c>
      <c r="C13542" t="s">
        <v>14620</v>
      </c>
      <c r="D13542" t="s">
        <v>13798</v>
      </c>
      <c r="E13542" t="s">
        <v>13799</v>
      </c>
      <c r="F13542" t="s">
        <v>13799</v>
      </c>
      <c r="G13542" t="s">
        <v>14241</v>
      </c>
      <c r="H13542" t="s">
        <v>136</v>
      </c>
      <c r="I13542" t="s">
        <v>137</v>
      </c>
      <c r="J13542" t="str">
        <f>"SEK082"</f>
        <v>SEK082</v>
      </c>
      <c r="K13542">
        <v>2610643146</v>
      </c>
      <c r="L13542">
        <v>2610643121</v>
      </c>
      <c r="M13542" t="s">
        <v>14621</v>
      </c>
      <c r="N13542" t="s">
        <v>14309</v>
      </c>
      <c r="O13542" t="s">
        <v>14622</v>
      </c>
      <c r="P13542">
        <v>26335</v>
      </c>
      <c r="Q13542" t="str">
        <f>"38.217927"</f>
        <v>38.217927</v>
      </c>
      <c r="R13542" t="str">
        <f>"21.753676"</f>
        <v>21.753676</v>
      </c>
      <c r="S13542" t="s">
        <v>26</v>
      </c>
    </row>
    <row r="13543" spans="1:19" x14ac:dyDescent="0.3">
      <c r="A13543" t="s">
        <v>13791</v>
      </c>
      <c r="B13543" t="s">
        <v>14180</v>
      </c>
      <c r="C13543" t="s">
        <v>14623</v>
      </c>
      <c r="D13543" t="s">
        <v>13798</v>
      </c>
      <c r="E13543" t="s">
        <v>13799</v>
      </c>
      <c r="F13543" t="s">
        <v>13799</v>
      </c>
      <c r="G13543" t="s">
        <v>13809</v>
      </c>
      <c r="H13543" t="s">
        <v>136</v>
      </c>
      <c r="I13543" t="s">
        <v>137</v>
      </c>
      <c r="J13543" t="str">
        <f>"SEK083"</f>
        <v>SEK083</v>
      </c>
      <c r="K13543">
        <v>2610461723</v>
      </c>
      <c r="L13543">
        <v>2610461723</v>
      </c>
      <c r="M13543" t="s">
        <v>14624</v>
      </c>
      <c r="N13543" t="s">
        <v>14309</v>
      </c>
      <c r="O13543" t="s">
        <v>14625</v>
      </c>
      <c r="P13543">
        <v>26223</v>
      </c>
      <c r="Q13543" t="str">
        <f>"38.254231"</f>
        <v>38.254231</v>
      </c>
      <c r="R13543" t="str">
        <f>"21.748153"</f>
        <v>21.748153</v>
      </c>
      <c r="S13543" t="s">
        <v>26</v>
      </c>
    </row>
    <row r="13544" spans="1:19" x14ac:dyDescent="0.3">
      <c r="A13544" t="s">
        <v>13791</v>
      </c>
      <c r="B13544" t="s">
        <v>14644</v>
      </c>
      <c r="C13544" t="s">
        <v>14947</v>
      </c>
      <c r="D13544" t="s">
        <v>13805</v>
      </c>
      <c r="E13544" t="s">
        <v>1210</v>
      </c>
      <c r="F13544" t="s">
        <v>1210</v>
      </c>
      <c r="G13544" t="s">
        <v>1210</v>
      </c>
      <c r="H13544" t="s">
        <v>136</v>
      </c>
      <c r="I13544" t="s">
        <v>137</v>
      </c>
      <c r="J13544" t="str">
        <f>"1515011"</f>
        <v>1515011</v>
      </c>
      <c r="K13544">
        <v>2621034713</v>
      </c>
      <c r="L13544">
        <v>2621025190</v>
      </c>
      <c r="M13544" t="s">
        <v>14948</v>
      </c>
      <c r="N13544" t="s">
        <v>14767</v>
      </c>
      <c r="O13544" t="s">
        <v>14949</v>
      </c>
      <c r="P13544">
        <v>27100</v>
      </c>
      <c r="Q13544" t="str">
        <f>"37.656555"</f>
        <v>37.656555</v>
      </c>
      <c r="R13544" t="str">
        <f>"21.464833"</f>
        <v>21.464833</v>
      </c>
      <c r="S13544" t="s">
        <v>26</v>
      </c>
    </row>
    <row r="13545" spans="1:19" x14ac:dyDescent="0.3">
      <c r="A13545" t="s">
        <v>17244</v>
      </c>
      <c r="B13545" t="s">
        <v>17266</v>
      </c>
      <c r="C13545" t="s">
        <v>17300</v>
      </c>
      <c r="D13545" t="s">
        <v>17245</v>
      </c>
      <c r="E13545" t="s">
        <v>17245</v>
      </c>
      <c r="F13545" t="s">
        <v>17245</v>
      </c>
      <c r="G13545" t="s">
        <v>17245</v>
      </c>
      <c r="H13545" t="s">
        <v>136</v>
      </c>
      <c r="I13545" t="s">
        <v>137</v>
      </c>
      <c r="J13545" t="str">
        <f>"SEK120"</f>
        <v>SEK120</v>
      </c>
      <c r="K13545">
        <v>2462087508</v>
      </c>
      <c r="M13545" t="s">
        <v>17301</v>
      </c>
      <c r="N13545" t="s">
        <v>17245</v>
      </c>
      <c r="O13545" t="s">
        <v>17275</v>
      </c>
      <c r="P13545">
        <v>51100</v>
      </c>
      <c r="Q13545" t="str">
        <f>"40.089360"</f>
        <v>40.089360</v>
      </c>
      <c r="R13545" t="str">
        <f>"21.445009"</f>
        <v>21.445009</v>
      </c>
      <c r="S13545" t="s">
        <v>26</v>
      </c>
    </row>
    <row r="13546" spans="1:19" x14ac:dyDescent="0.3">
      <c r="A13546" t="s">
        <v>17244</v>
      </c>
      <c r="B13546" t="s">
        <v>17317</v>
      </c>
      <c r="C13546" t="s">
        <v>17417</v>
      </c>
      <c r="D13546" t="s">
        <v>17250</v>
      </c>
      <c r="E13546" t="s">
        <v>17250</v>
      </c>
      <c r="F13546" t="s">
        <v>17250</v>
      </c>
      <c r="G13546" t="s">
        <v>17250</v>
      </c>
      <c r="H13546" t="s">
        <v>136</v>
      </c>
      <c r="I13546" t="s">
        <v>137</v>
      </c>
      <c r="J13546" t="str">
        <f>"SEK041"</f>
        <v>SEK041</v>
      </c>
      <c r="K13546">
        <v>2467026195</v>
      </c>
      <c r="L13546">
        <v>2467026195</v>
      </c>
      <c r="M13546" t="s">
        <v>17418</v>
      </c>
      <c r="N13546" t="s">
        <v>17250</v>
      </c>
      <c r="O13546" t="s">
        <v>17353</v>
      </c>
      <c r="P13546">
        <v>52100</v>
      </c>
      <c r="Q13546" t="str">
        <f>"40.543462"</f>
        <v>40.543462</v>
      </c>
      <c r="R13546" t="str">
        <f>"21.262906"</f>
        <v>21.262906</v>
      </c>
      <c r="S13546" t="s">
        <v>26</v>
      </c>
    </row>
    <row r="13547" spans="1:19" x14ac:dyDescent="0.3">
      <c r="A13547" t="s">
        <v>17244</v>
      </c>
      <c r="B13547" t="s">
        <v>17433</v>
      </c>
      <c r="C13547" t="s">
        <v>17529</v>
      </c>
      <c r="D13547" t="s">
        <v>17255</v>
      </c>
      <c r="E13547" t="s">
        <v>17255</v>
      </c>
      <c r="F13547" t="s">
        <v>17255</v>
      </c>
      <c r="G13547" t="s">
        <v>17255</v>
      </c>
      <c r="H13547" t="s">
        <v>136</v>
      </c>
      <c r="I13547" t="s">
        <v>137</v>
      </c>
      <c r="J13547" t="str">
        <f>"SEK044"</f>
        <v>SEK044</v>
      </c>
      <c r="K13547">
        <v>2461033427</v>
      </c>
      <c r="L13547">
        <v>2461033427</v>
      </c>
      <c r="M13547" t="s">
        <v>17530</v>
      </c>
      <c r="N13547" t="s">
        <v>17255</v>
      </c>
      <c r="O13547" t="s">
        <v>17531</v>
      </c>
      <c r="P13547">
        <v>50100</v>
      </c>
      <c r="Q13547" t="str">
        <f>"40.302466"</f>
        <v>40.302466</v>
      </c>
      <c r="R13547" t="str">
        <f>"21.803345"</f>
        <v>21.803345</v>
      </c>
      <c r="S13547" t="s">
        <v>26</v>
      </c>
    </row>
    <row r="13548" spans="1:19" x14ac:dyDescent="0.3">
      <c r="A13548" t="s">
        <v>17244</v>
      </c>
      <c r="B13548" t="s">
        <v>17433</v>
      </c>
      <c r="C13548" t="s">
        <v>17558</v>
      </c>
      <c r="D13548" t="s">
        <v>17255</v>
      </c>
      <c r="E13548" t="s">
        <v>17488</v>
      </c>
      <c r="F13548" t="s">
        <v>17489</v>
      </c>
      <c r="G13548" t="s">
        <v>17490</v>
      </c>
      <c r="H13548" t="s">
        <v>136</v>
      </c>
      <c r="I13548" t="s">
        <v>137</v>
      </c>
      <c r="J13548" t="str">
        <f>"SEK111"</f>
        <v>SEK111</v>
      </c>
      <c r="K13548">
        <v>2463080218</v>
      </c>
      <c r="L13548">
        <v>2463080218</v>
      </c>
      <c r="M13548" t="s">
        <v>17559</v>
      </c>
      <c r="N13548" t="s">
        <v>17493</v>
      </c>
      <c r="O13548" t="s">
        <v>17536</v>
      </c>
      <c r="P13548">
        <v>50200</v>
      </c>
      <c r="Q13548" t="str">
        <f>"40.510843"</f>
        <v>40.510843</v>
      </c>
      <c r="R13548" t="str">
        <f>"21.665517"</f>
        <v>21.665517</v>
      </c>
      <c r="S13548" t="s">
        <v>26</v>
      </c>
    </row>
    <row r="13549" spans="1:19" x14ac:dyDescent="0.3">
      <c r="A13549" t="s">
        <v>17244</v>
      </c>
      <c r="B13549" t="s">
        <v>17681</v>
      </c>
      <c r="C13549" t="s">
        <v>17706</v>
      </c>
      <c r="D13549" t="s">
        <v>17260</v>
      </c>
      <c r="E13549" t="s">
        <v>17260</v>
      </c>
      <c r="F13549" t="s">
        <v>17260</v>
      </c>
      <c r="G13549" t="s">
        <v>17261</v>
      </c>
      <c r="H13549" t="s">
        <v>136</v>
      </c>
      <c r="I13549" t="s">
        <v>137</v>
      </c>
      <c r="J13549" t="str">
        <f>"SEK050"</f>
        <v>SEK050</v>
      </c>
      <c r="K13549">
        <v>2385025380</v>
      </c>
      <c r="L13549">
        <v>2385035090</v>
      </c>
      <c r="M13549" t="s">
        <v>17707</v>
      </c>
      <c r="N13549" t="s">
        <v>17264</v>
      </c>
      <c r="O13549" t="s">
        <v>17708</v>
      </c>
      <c r="P13549">
        <v>53100</v>
      </c>
      <c r="Q13549" t="str">
        <f>"40.803551"</f>
        <v>40.803551</v>
      </c>
      <c r="R13549" t="str">
        <f>"21.422651"</f>
        <v>21.422651</v>
      </c>
      <c r="S13549" t="s">
        <v>26</v>
      </c>
    </row>
    <row r="13550" spans="1:19" x14ac:dyDescent="0.3">
      <c r="A13550" t="s">
        <v>17244</v>
      </c>
      <c r="B13550" t="s">
        <v>17681</v>
      </c>
      <c r="C13550" t="s">
        <v>17786</v>
      </c>
      <c r="D13550" t="s">
        <v>17260</v>
      </c>
      <c r="E13550" t="s">
        <v>17701</v>
      </c>
      <c r="F13550" t="s">
        <v>17701</v>
      </c>
      <c r="G13550" t="s">
        <v>17701</v>
      </c>
      <c r="H13550" t="s">
        <v>136</v>
      </c>
      <c r="I13550" t="s">
        <v>137</v>
      </c>
      <c r="J13550" t="str">
        <f>"SEK127"</f>
        <v>SEK127</v>
      </c>
      <c r="K13550">
        <v>2386023962</v>
      </c>
      <c r="M13550" t="s">
        <v>17787</v>
      </c>
      <c r="N13550" t="s">
        <v>17788</v>
      </c>
      <c r="O13550" t="s">
        <v>2072</v>
      </c>
      <c r="P13550">
        <v>53200</v>
      </c>
      <c r="Q13550" t="str">
        <f>"40.691423"</f>
        <v>40.691423</v>
      </c>
      <c r="R13550" t="str">
        <f>"21.676900"</f>
        <v>21.676900</v>
      </c>
      <c r="S13550" t="s">
        <v>26</v>
      </c>
    </row>
    <row r="13551" spans="1:19" x14ac:dyDescent="0.3">
      <c r="A13551" t="s">
        <v>18804</v>
      </c>
      <c r="B13551" t="s">
        <v>18830</v>
      </c>
      <c r="C13551" t="s">
        <v>18930</v>
      </c>
      <c r="D13551" t="s">
        <v>18805</v>
      </c>
      <c r="E13551" t="s">
        <v>18806</v>
      </c>
      <c r="F13551" t="s">
        <v>18806</v>
      </c>
      <c r="G13551" t="s">
        <v>18806</v>
      </c>
      <c r="H13551" t="s">
        <v>136</v>
      </c>
      <c r="I13551" t="s">
        <v>137</v>
      </c>
      <c r="J13551" t="str">
        <f>"SEK080"</f>
        <v>SEK080</v>
      </c>
      <c r="K13551">
        <v>2681075459</v>
      </c>
      <c r="L13551">
        <v>2681075459</v>
      </c>
      <c r="M13551" t="s">
        <v>18931</v>
      </c>
      <c r="N13551" t="s">
        <v>18809</v>
      </c>
      <c r="O13551" t="s">
        <v>18855</v>
      </c>
      <c r="P13551">
        <v>47100</v>
      </c>
      <c r="Q13551" t="str">
        <f>"39.158242"</f>
        <v>39.158242</v>
      </c>
      <c r="R13551" t="str">
        <f>"20.987684"</f>
        <v>20.987684</v>
      </c>
      <c r="S13551" t="s">
        <v>26</v>
      </c>
    </row>
    <row r="13552" spans="1:19" x14ac:dyDescent="0.3">
      <c r="A13552" t="s">
        <v>18804</v>
      </c>
      <c r="B13552" t="s">
        <v>18964</v>
      </c>
      <c r="C13552" t="s">
        <v>19008</v>
      </c>
      <c r="D13552" t="s">
        <v>18811</v>
      </c>
      <c r="E13552" t="s">
        <v>18812</v>
      </c>
      <c r="F13552" t="s">
        <v>18813</v>
      </c>
      <c r="G13552" t="s">
        <v>18812</v>
      </c>
      <c r="H13552" t="s">
        <v>136</v>
      </c>
      <c r="I13552" t="s">
        <v>137</v>
      </c>
      <c r="J13552" t="str">
        <f>"SEK054"</f>
        <v>SEK054</v>
      </c>
      <c r="K13552">
        <v>2665028541</v>
      </c>
      <c r="L13552">
        <v>2665028541</v>
      </c>
      <c r="M13552" t="s">
        <v>19009</v>
      </c>
      <c r="N13552" t="s">
        <v>18812</v>
      </c>
      <c r="O13552" t="s">
        <v>19010</v>
      </c>
      <c r="P13552">
        <v>46100</v>
      </c>
      <c r="Q13552" t="str">
        <f>"39.513052"</f>
        <v>39.513052</v>
      </c>
      <c r="R13552" t="str">
        <f>"20.258348"</f>
        <v>20.258348</v>
      </c>
      <c r="S13552" t="s">
        <v>26</v>
      </c>
    </row>
    <row r="13553" spans="1:19" x14ac:dyDescent="0.3">
      <c r="A13553" t="s">
        <v>18804</v>
      </c>
      <c r="B13553" t="s">
        <v>19060</v>
      </c>
      <c r="C13553" t="s">
        <v>19122</v>
      </c>
      <c r="D13553" t="s">
        <v>18818</v>
      </c>
      <c r="E13553" t="s">
        <v>18819</v>
      </c>
      <c r="F13553" t="s">
        <v>18819</v>
      </c>
      <c r="G13553" t="s">
        <v>18819</v>
      </c>
      <c r="H13553" t="s">
        <v>136</v>
      </c>
      <c r="I13553" t="s">
        <v>137</v>
      </c>
      <c r="J13553" t="str">
        <f>"SEK076"</f>
        <v>SEK076</v>
      </c>
      <c r="K13553">
        <v>2651040085</v>
      </c>
      <c r="L13553">
        <v>2651048218</v>
      </c>
      <c r="M13553" t="s">
        <v>19123</v>
      </c>
      <c r="N13553" t="s">
        <v>18818</v>
      </c>
      <c r="O13553" t="s">
        <v>19124</v>
      </c>
      <c r="P13553">
        <v>45221</v>
      </c>
      <c r="Q13553" t="str">
        <f>"39.648398"</f>
        <v>39.648398</v>
      </c>
      <c r="R13553" t="str">
        <f>"20.850786"</f>
        <v>20.850786</v>
      </c>
      <c r="S13553" t="s">
        <v>26</v>
      </c>
    </row>
    <row r="13554" spans="1:19" x14ac:dyDescent="0.3">
      <c r="A13554" t="s">
        <v>18804</v>
      </c>
      <c r="B13554" t="s">
        <v>19060</v>
      </c>
      <c r="C13554" t="s">
        <v>19195</v>
      </c>
      <c r="D13554" t="s">
        <v>18818</v>
      </c>
      <c r="E13554" t="s">
        <v>18819</v>
      </c>
      <c r="F13554" t="s">
        <v>18819</v>
      </c>
      <c r="G13554" t="s">
        <v>18819</v>
      </c>
      <c r="H13554" t="s">
        <v>136</v>
      </c>
      <c r="I13554" t="s">
        <v>137</v>
      </c>
      <c r="J13554" t="str">
        <f>"SEK108"</f>
        <v>SEK108</v>
      </c>
      <c r="K13554">
        <v>2651068401</v>
      </c>
      <c r="L13554">
        <v>2651068401</v>
      </c>
      <c r="M13554" t="s">
        <v>19196</v>
      </c>
      <c r="N13554" t="s">
        <v>18822</v>
      </c>
      <c r="O13554" t="s">
        <v>19120</v>
      </c>
      <c r="P13554">
        <v>45332</v>
      </c>
      <c r="Q13554" t="str">
        <f>"39.651099"</f>
        <v>39.651099</v>
      </c>
      <c r="R13554" t="str">
        <f>"20.844591"</f>
        <v>20.844591</v>
      </c>
      <c r="S13554" t="s">
        <v>26</v>
      </c>
    </row>
    <row r="13555" spans="1:19" x14ac:dyDescent="0.3">
      <c r="A13555" t="s">
        <v>18804</v>
      </c>
      <c r="B13555" t="s">
        <v>19325</v>
      </c>
      <c r="C13555" t="s">
        <v>19348</v>
      </c>
      <c r="D13555" t="s">
        <v>18824</v>
      </c>
      <c r="E13555" t="s">
        <v>18825</v>
      </c>
      <c r="F13555" t="s">
        <v>18825</v>
      </c>
      <c r="G13555" t="s">
        <v>18825</v>
      </c>
      <c r="H13555" t="s">
        <v>136</v>
      </c>
      <c r="I13555" t="s">
        <v>137</v>
      </c>
      <c r="J13555" t="str">
        <f>"SEK017"</f>
        <v>SEK017</v>
      </c>
      <c r="K13555">
        <v>2682028572</v>
      </c>
      <c r="L13555">
        <v>2682089495</v>
      </c>
      <c r="M13555" t="s">
        <v>19349</v>
      </c>
      <c r="N13555" t="s">
        <v>18824</v>
      </c>
      <c r="O13555" t="s">
        <v>19350</v>
      </c>
      <c r="P13555">
        <v>48100</v>
      </c>
      <c r="Q13555" t="str">
        <f>"38.976228"</f>
        <v>38.976228</v>
      </c>
      <c r="R13555" t="str">
        <f>"20.743049"</f>
        <v>20.743049</v>
      </c>
      <c r="S13555" t="s">
        <v>26</v>
      </c>
    </row>
    <row r="13556" spans="1:19" x14ac:dyDescent="0.3">
      <c r="A13556" t="s">
        <v>20660</v>
      </c>
      <c r="B13556" t="s">
        <v>20686</v>
      </c>
      <c r="C13556" t="s">
        <v>20810</v>
      </c>
      <c r="D13556" t="s">
        <v>20661</v>
      </c>
      <c r="E13556" t="s">
        <v>20661</v>
      </c>
      <c r="F13556" t="s">
        <v>20661</v>
      </c>
      <c r="G13556" t="s">
        <v>20662</v>
      </c>
      <c r="H13556" t="s">
        <v>136</v>
      </c>
      <c r="I13556" t="s">
        <v>137</v>
      </c>
      <c r="J13556" t="str">
        <f>"SEK039"</f>
        <v>SEK039</v>
      </c>
      <c r="K13556">
        <v>2441073420</v>
      </c>
      <c r="L13556">
        <v>2441075625</v>
      </c>
      <c r="M13556" t="s">
        <v>20811</v>
      </c>
      <c r="N13556" t="s">
        <v>20665</v>
      </c>
      <c r="O13556" t="s">
        <v>20812</v>
      </c>
      <c r="P13556">
        <v>43131</v>
      </c>
      <c r="Q13556" t="str">
        <f>"39.375118"</f>
        <v>39.375118</v>
      </c>
      <c r="R13556" t="str">
        <f>"21.909561"</f>
        <v>21.909561</v>
      </c>
      <c r="S13556" t="s">
        <v>26</v>
      </c>
    </row>
    <row r="13557" spans="1:19" x14ac:dyDescent="0.3">
      <c r="A13557" t="s">
        <v>20660</v>
      </c>
      <c r="B13557" t="s">
        <v>20830</v>
      </c>
      <c r="C13557" t="s">
        <v>21096</v>
      </c>
      <c r="D13557" t="s">
        <v>20667</v>
      </c>
      <c r="E13557" t="s">
        <v>20859</v>
      </c>
      <c r="F13557" t="s">
        <v>20859</v>
      </c>
      <c r="G13557" t="s">
        <v>20961</v>
      </c>
      <c r="H13557" t="s">
        <v>136</v>
      </c>
      <c r="I13557" t="s">
        <v>137</v>
      </c>
      <c r="J13557" t="str">
        <f>"SEK113"</f>
        <v>SEK113</v>
      </c>
      <c r="K13557">
        <v>2493022271</v>
      </c>
      <c r="L13557">
        <v>2493022271</v>
      </c>
      <c r="M13557" t="s">
        <v>21097</v>
      </c>
      <c r="N13557" t="s">
        <v>20859</v>
      </c>
      <c r="O13557" t="s">
        <v>21098</v>
      </c>
      <c r="P13557">
        <v>40200</v>
      </c>
      <c r="Q13557" t="str">
        <f>"39.892925"</f>
        <v>39.892925</v>
      </c>
      <c r="R13557" t="str">
        <f>"22.181028"</f>
        <v>22.181028</v>
      </c>
      <c r="S13557" t="s">
        <v>26</v>
      </c>
    </row>
    <row r="13558" spans="1:19" x14ac:dyDescent="0.3">
      <c r="A13558" t="s">
        <v>20660</v>
      </c>
      <c r="B13558" t="s">
        <v>20830</v>
      </c>
      <c r="C13558" t="s">
        <v>21147</v>
      </c>
      <c r="D13558" t="s">
        <v>20667</v>
      </c>
      <c r="E13558" t="s">
        <v>20668</v>
      </c>
      <c r="F13558" t="s">
        <v>20668</v>
      </c>
      <c r="G13558" t="s">
        <v>20942</v>
      </c>
      <c r="H13558" t="s">
        <v>136</v>
      </c>
      <c r="I13558" t="s">
        <v>137</v>
      </c>
      <c r="J13558" t="str">
        <f>"SEK115"</f>
        <v>SEK115</v>
      </c>
      <c r="K13558">
        <v>2410571275</v>
      </c>
      <c r="M13558" t="s">
        <v>21148</v>
      </c>
      <c r="N13558" t="s">
        <v>20672</v>
      </c>
      <c r="O13558" t="s">
        <v>21149</v>
      </c>
      <c r="P13558">
        <v>41221</v>
      </c>
      <c r="Q13558" t="str">
        <f>"39.637466"</f>
        <v>39.637466</v>
      </c>
      <c r="R13558" t="str">
        <f>"22.429522"</f>
        <v>22.429522</v>
      </c>
      <c r="S13558" t="s">
        <v>26</v>
      </c>
    </row>
    <row r="13559" spans="1:19" x14ac:dyDescent="0.3">
      <c r="A13559" t="s">
        <v>20660</v>
      </c>
      <c r="B13559" t="s">
        <v>20830</v>
      </c>
      <c r="C13559" t="s">
        <v>21153</v>
      </c>
      <c r="D13559" t="s">
        <v>20667</v>
      </c>
      <c r="E13559" t="s">
        <v>20668</v>
      </c>
      <c r="F13559" t="s">
        <v>20668</v>
      </c>
      <c r="G13559" t="s">
        <v>20881</v>
      </c>
      <c r="H13559" t="s">
        <v>136</v>
      </c>
      <c r="I13559" t="s">
        <v>137</v>
      </c>
      <c r="J13559" t="str">
        <f>"SEK116"</f>
        <v>SEK116</v>
      </c>
      <c r="K13559">
        <v>2410670292</v>
      </c>
      <c r="L13559">
        <v>2410619644</v>
      </c>
      <c r="M13559" t="s">
        <v>21154</v>
      </c>
      <c r="N13559" t="s">
        <v>20667</v>
      </c>
      <c r="O13559" t="s">
        <v>21155</v>
      </c>
      <c r="P13559">
        <v>41335</v>
      </c>
      <c r="Q13559" t="str">
        <f>"39.616960"</f>
        <v>39.616960</v>
      </c>
      <c r="R13559" t="str">
        <f>"22.420617"</f>
        <v>22.420617</v>
      </c>
      <c r="S13559" t="s">
        <v>26</v>
      </c>
    </row>
    <row r="13560" spans="1:19" x14ac:dyDescent="0.3">
      <c r="A13560" t="s">
        <v>20660</v>
      </c>
      <c r="B13560" t="s">
        <v>20830</v>
      </c>
      <c r="C13560" t="s">
        <v>21162</v>
      </c>
      <c r="D13560" t="s">
        <v>20667</v>
      </c>
      <c r="E13560" t="s">
        <v>20668</v>
      </c>
      <c r="F13560" t="s">
        <v>20668</v>
      </c>
      <c r="G13560" t="s">
        <v>20669</v>
      </c>
      <c r="H13560" t="s">
        <v>136</v>
      </c>
      <c r="I13560" t="s">
        <v>137</v>
      </c>
      <c r="J13560" t="str">
        <f>"SEK114"</f>
        <v>SEK114</v>
      </c>
      <c r="K13560">
        <v>2410614849</v>
      </c>
      <c r="L13560">
        <v>2410614849</v>
      </c>
      <c r="M13560" t="s">
        <v>21163</v>
      </c>
      <c r="N13560" t="s">
        <v>20667</v>
      </c>
      <c r="O13560" t="s">
        <v>21164</v>
      </c>
      <c r="P13560">
        <v>41335</v>
      </c>
      <c r="Q13560" t="str">
        <f>"39.611607"</f>
        <v>39.611607</v>
      </c>
      <c r="R13560" t="str">
        <f>"22.397638"</f>
        <v>22.397638</v>
      </c>
      <c r="S13560" t="s">
        <v>26</v>
      </c>
    </row>
    <row r="13561" spans="1:19" x14ac:dyDescent="0.3">
      <c r="A13561" t="s">
        <v>20660</v>
      </c>
      <c r="B13561" t="s">
        <v>21192</v>
      </c>
      <c r="C13561" t="s">
        <v>21283</v>
      </c>
      <c r="D13561" t="s">
        <v>20674</v>
      </c>
      <c r="E13561" t="s">
        <v>21193</v>
      </c>
      <c r="F13561" t="s">
        <v>21193</v>
      </c>
      <c r="G13561" t="s">
        <v>21193</v>
      </c>
      <c r="H13561" t="s">
        <v>136</v>
      </c>
      <c r="I13561" t="s">
        <v>137</v>
      </c>
      <c r="J13561" t="str">
        <f>"SEK036"</f>
        <v>SEK036</v>
      </c>
      <c r="K13561">
        <v>2422025606</v>
      </c>
      <c r="L13561">
        <v>2422022460</v>
      </c>
      <c r="M13561" t="s">
        <v>21284</v>
      </c>
      <c r="N13561" t="s">
        <v>21193</v>
      </c>
      <c r="O13561" t="s">
        <v>21285</v>
      </c>
      <c r="P13561">
        <v>37100</v>
      </c>
      <c r="Q13561" t="str">
        <f>"39.177388"</f>
        <v>39.177388</v>
      </c>
      <c r="R13561" t="str">
        <f>"22.762543"</f>
        <v>22.762543</v>
      </c>
      <c r="S13561" t="s">
        <v>26</v>
      </c>
    </row>
    <row r="13562" spans="1:19" x14ac:dyDescent="0.3">
      <c r="A13562" t="s">
        <v>20660</v>
      </c>
      <c r="B13562" t="s">
        <v>21192</v>
      </c>
      <c r="C13562" t="s">
        <v>21386</v>
      </c>
      <c r="D13562" t="s">
        <v>20674</v>
      </c>
      <c r="E13562" t="s">
        <v>20675</v>
      </c>
      <c r="F13562" t="s">
        <v>3246</v>
      </c>
      <c r="G13562" t="s">
        <v>3246</v>
      </c>
      <c r="H13562" t="s">
        <v>136</v>
      </c>
      <c r="I13562" t="s">
        <v>137</v>
      </c>
      <c r="J13562" t="str">
        <f>"SEK003"</f>
        <v>SEK003</v>
      </c>
      <c r="K13562">
        <v>2421060938</v>
      </c>
      <c r="L13562">
        <v>2421060938</v>
      </c>
      <c r="M13562" t="s">
        <v>21387</v>
      </c>
      <c r="N13562" t="s">
        <v>21288</v>
      </c>
      <c r="O13562" t="s">
        <v>21388</v>
      </c>
      <c r="P13562">
        <v>38446</v>
      </c>
      <c r="Q13562" t="str">
        <f>"39.392312"</f>
        <v>39.392312</v>
      </c>
      <c r="R13562" t="str">
        <f>"22.944027"</f>
        <v>22.944027</v>
      </c>
      <c r="S13562" t="s">
        <v>26</v>
      </c>
    </row>
    <row r="13563" spans="1:19" x14ac:dyDescent="0.3">
      <c r="A13563" t="s">
        <v>20660</v>
      </c>
      <c r="B13563" t="s">
        <v>21192</v>
      </c>
      <c r="C13563" t="s">
        <v>21392</v>
      </c>
      <c r="D13563" t="s">
        <v>20674</v>
      </c>
      <c r="E13563" t="s">
        <v>20675</v>
      </c>
      <c r="F13563" t="s">
        <v>20675</v>
      </c>
      <c r="G13563" t="s">
        <v>20675</v>
      </c>
      <c r="H13563" t="s">
        <v>136</v>
      </c>
      <c r="I13563" t="s">
        <v>137</v>
      </c>
      <c r="J13563" t="str">
        <f>"SEK040"</f>
        <v>SEK040</v>
      </c>
      <c r="K13563">
        <v>2421067243</v>
      </c>
      <c r="L13563">
        <v>2421060735</v>
      </c>
      <c r="M13563" t="s">
        <v>21393</v>
      </c>
      <c r="N13563" t="s">
        <v>20675</v>
      </c>
      <c r="O13563" t="s">
        <v>21394</v>
      </c>
      <c r="P13563">
        <v>38446</v>
      </c>
      <c r="Q13563" t="str">
        <f>"39.381816"</f>
        <v>39.381816</v>
      </c>
      <c r="R13563" t="str">
        <f>"22.934604"</f>
        <v>22.934604</v>
      </c>
      <c r="S13563" t="s">
        <v>26</v>
      </c>
    </row>
    <row r="13564" spans="1:19" x14ac:dyDescent="0.3">
      <c r="A13564" t="s">
        <v>20660</v>
      </c>
      <c r="B13564" t="s">
        <v>21501</v>
      </c>
      <c r="C13564" t="s">
        <v>21520</v>
      </c>
      <c r="D13564" t="s">
        <v>20680</v>
      </c>
      <c r="E13564" t="s">
        <v>20681</v>
      </c>
      <c r="F13564" t="s">
        <v>20681</v>
      </c>
      <c r="G13564" t="s">
        <v>20681</v>
      </c>
      <c r="H13564" t="s">
        <v>136</v>
      </c>
      <c r="I13564" t="s">
        <v>137</v>
      </c>
      <c r="J13564" t="str">
        <f>"SEK025"</f>
        <v>SEK025</v>
      </c>
      <c r="K13564">
        <v>2431073634</v>
      </c>
      <c r="L13564">
        <v>2431073634</v>
      </c>
      <c r="M13564" t="s">
        <v>21521</v>
      </c>
      <c r="N13564" t="s">
        <v>20680</v>
      </c>
      <c r="O13564" t="s">
        <v>21522</v>
      </c>
      <c r="P13564">
        <v>42100</v>
      </c>
      <c r="Q13564" t="str">
        <f>"39.559521"</f>
        <v>39.559521</v>
      </c>
      <c r="R13564" t="str">
        <f>"21.773597"</f>
        <v>21.773597</v>
      </c>
      <c r="S13564" t="s">
        <v>26</v>
      </c>
    </row>
    <row r="13565" spans="1:19" x14ac:dyDescent="0.3">
      <c r="A13565" t="s">
        <v>23985</v>
      </c>
      <c r="B13565" t="s">
        <v>24008</v>
      </c>
      <c r="C13565" t="s">
        <v>24039</v>
      </c>
      <c r="D13565" t="s">
        <v>8088</v>
      </c>
      <c r="E13565" t="s">
        <v>8088</v>
      </c>
      <c r="F13565" t="s">
        <v>24013</v>
      </c>
      <c r="G13565" t="s">
        <v>12715</v>
      </c>
      <c r="H13565" t="s">
        <v>136</v>
      </c>
      <c r="I13565" t="s">
        <v>137</v>
      </c>
      <c r="J13565" t="str">
        <f>"SEK022"</f>
        <v>SEK022</v>
      </c>
      <c r="K13565">
        <v>2695061738</v>
      </c>
      <c r="L13565">
        <v>2695061738</v>
      </c>
      <c r="M13565" t="s">
        <v>24040</v>
      </c>
      <c r="N13565" t="s">
        <v>23989</v>
      </c>
      <c r="O13565" t="s">
        <v>13518</v>
      </c>
      <c r="P13565">
        <v>29100</v>
      </c>
      <c r="Q13565" t="str">
        <f>"37.785441"</f>
        <v>37.785441</v>
      </c>
      <c r="R13565" t="str">
        <f>"20.833997"</f>
        <v>20.833997</v>
      </c>
      <c r="S13565" t="s">
        <v>26</v>
      </c>
    </row>
    <row r="13566" spans="1:19" x14ac:dyDescent="0.3">
      <c r="A13566" t="s">
        <v>23985</v>
      </c>
      <c r="B13566" t="s">
        <v>24070</v>
      </c>
      <c r="C13566" t="s">
        <v>24226</v>
      </c>
      <c r="D13566" t="s">
        <v>20006</v>
      </c>
      <c r="E13566" t="s">
        <v>23991</v>
      </c>
      <c r="F13566" t="s">
        <v>23992</v>
      </c>
      <c r="G13566" t="s">
        <v>23992</v>
      </c>
      <c r="H13566" t="s">
        <v>136</v>
      </c>
      <c r="I13566" t="s">
        <v>137</v>
      </c>
      <c r="J13566" t="str">
        <f>"SEK087"</f>
        <v>SEK087</v>
      </c>
      <c r="K13566">
        <v>2661039039</v>
      </c>
      <c r="L13566">
        <v>2661049339</v>
      </c>
      <c r="M13566" t="s">
        <v>24227</v>
      </c>
      <c r="N13566" t="s">
        <v>20006</v>
      </c>
      <c r="O13566" t="s">
        <v>24127</v>
      </c>
      <c r="P13566">
        <v>49100</v>
      </c>
      <c r="Q13566" t="str">
        <f>"39.624473"</f>
        <v>39.624473</v>
      </c>
      <c r="R13566" t="str">
        <f>"19.909866"</f>
        <v>19.909866</v>
      </c>
      <c r="S13566" t="s">
        <v>26</v>
      </c>
    </row>
    <row r="13567" spans="1:19" x14ac:dyDescent="0.3">
      <c r="A13567" t="s">
        <v>25190</v>
      </c>
      <c r="B13567" t="s">
        <v>25243</v>
      </c>
      <c r="C13567" t="s">
        <v>25295</v>
      </c>
      <c r="D13567" t="s">
        <v>25197</v>
      </c>
      <c r="E13567" t="s">
        <v>25293</v>
      </c>
      <c r="F13567" t="s">
        <v>25294</v>
      </c>
      <c r="G13567" t="s">
        <v>25294</v>
      </c>
      <c r="H13567" t="s">
        <v>136</v>
      </c>
      <c r="I13567" t="s">
        <v>137</v>
      </c>
      <c r="J13567" t="str">
        <f>"SEK067"</f>
        <v>SEK067</v>
      </c>
      <c r="K13567">
        <v>2392042103</v>
      </c>
      <c r="L13567">
        <v>2392042103</v>
      </c>
      <c r="M13567" t="s">
        <v>25296</v>
      </c>
      <c r="N13567" t="s">
        <v>25297</v>
      </c>
      <c r="O13567" t="s">
        <v>25298</v>
      </c>
      <c r="P13567">
        <v>57500</v>
      </c>
      <c r="Q13567" t="str">
        <f>"40.422674"</f>
        <v>40.422674</v>
      </c>
      <c r="R13567" t="str">
        <f>"22.933911"</f>
        <v>22.933911</v>
      </c>
      <c r="S13567" t="s">
        <v>26</v>
      </c>
    </row>
    <row r="13568" spans="1:19" x14ac:dyDescent="0.3">
      <c r="A13568" t="s">
        <v>25190</v>
      </c>
      <c r="B13568" t="s">
        <v>25243</v>
      </c>
      <c r="C13568" t="s">
        <v>25473</v>
      </c>
      <c r="D13568" t="s">
        <v>25197</v>
      </c>
      <c r="E13568" t="s">
        <v>25197</v>
      </c>
      <c r="F13568" t="s">
        <v>25197</v>
      </c>
      <c r="G13568" t="s">
        <v>25283</v>
      </c>
      <c r="H13568" t="s">
        <v>136</v>
      </c>
      <c r="I13568" t="s">
        <v>137</v>
      </c>
      <c r="J13568" t="str">
        <f>"SEK063"</f>
        <v>SEK063</v>
      </c>
      <c r="K13568">
        <v>2310889926</v>
      </c>
      <c r="L13568">
        <v>2310889927</v>
      </c>
      <c r="M13568" t="s">
        <v>25474</v>
      </c>
      <c r="N13568" t="s">
        <v>25247</v>
      </c>
      <c r="O13568" t="s">
        <v>25290</v>
      </c>
      <c r="P13568">
        <v>54639</v>
      </c>
      <c r="Q13568" t="str">
        <f>"40.617364"</f>
        <v>40.617364</v>
      </c>
      <c r="R13568" t="str">
        <f>"22.961903"</f>
        <v>22.961903</v>
      </c>
      <c r="S13568" t="s">
        <v>26</v>
      </c>
    </row>
    <row r="13569" spans="1:19" x14ac:dyDescent="0.3">
      <c r="A13569" t="s">
        <v>25190</v>
      </c>
      <c r="B13569" t="s">
        <v>25243</v>
      </c>
      <c r="C13569" t="s">
        <v>25519</v>
      </c>
      <c r="D13569" t="s">
        <v>25197</v>
      </c>
      <c r="E13569" t="s">
        <v>25197</v>
      </c>
      <c r="F13569" t="s">
        <v>25197</v>
      </c>
      <c r="G13569" t="s">
        <v>25235</v>
      </c>
      <c r="H13569" t="s">
        <v>136</v>
      </c>
      <c r="I13569" t="s">
        <v>137</v>
      </c>
      <c r="J13569" t="str">
        <f>"SEK061"</f>
        <v>SEK061</v>
      </c>
      <c r="K13569">
        <v>2310553721</v>
      </c>
      <c r="L13569">
        <v>2310548097</v>
      </c>
      <c r="M13569" t="s">
        <v>25520</v>
      </c>
      <c r="N13569" t="s">
        <v>25247</v>
      </c>
      <c r="O13569" t="s">
        <v>25462</v>
      </c>
      <c r="P13569">
        <v>54627</v>
      </c>
      <c r="Q13569" t="str">
        <f>"40.649007"</f>
        <v>40.649007</v>
      </c>
      <c r="R13569" t="str">
        <f>"22.918571"</f>
        <v>22.918571</v>
      </c>
      <c r="S13569" t="s">
        <v>26</v>
      </c>
    </row>
    <row r="13570" spans="1:19" x14ac:dyDescent="0.3">
      <c r="A13570" t="s">
        <v>25190</v>
      </c>
      <c r="B13570" t="s">
        <v>25243</v>
      </c>
      <c r="C13570" t="s">
        <v>25600</v>
      </c>
      <c r="D13570" t="s">
        <v>25197</v>
      </c>
      <c r="E13570" t="s">
        <v>25299</v>
      </c>
      <c r="F13570" t="s">
        <v>25299</v>
      </c>
      <c r="G13570" t="s">
        <v>25299</v>
      </c>
      <c r="H13570" t="s">
        <v>136</v>
      </c>
      <c r="I13570" t="s">
        <v>137</v>
      </c>
      <c r="J13570" t="str">
        <f>"SEK066"</f>
        <v>SEK066</v>
      </c>
      <c r="K13570">
        <v>2310480117</v>
      </c>
      <c r="L13570">
        <v>2310473701</v>
      </c>
      <c r="M13570" t="s">
        <v>25601</v>
      </c>
      <c r="N13570" t="s">
        <v>25299</v>
      </c>
      <c r="O13570" t="s">
        <v>25602</v>
      </c>
      <c r="P13570">
        <v>55134</v>
      </c>
      <c r="Q13570" t="str">
        <f>"40.574909"</f>
        <v>40.574909</v>
      </c>
      <c r="R13570" t="str">
        <f>"22.968100"</f>
        <v>22.968100</v>
      </c>
      <c r="S13570" t="s">
        <v>26</v>
      </c>
    </row>
    <row r="13571" spans="1:19" x14ac:dyDescent="0.3">
      <c r="A13571" t="s">
        <v>25190</v>
      </c>
      <c r="B13571" t="s">
        <v>25243</v>
      </c>
      <c r="C13571" t="s">
        <v>25760</v>
      </c>
      <c r="D13571" t="s">
        <v>25197</v>
      </c>
      <c r="E13571" t="s">
        <v>25299</v>
      </c>
      <c r="F13571" t="s">
        <v>25299</v>
      </c>
      <c r="G13571" t="s">
        <v>25299</v>
      </c>
      <c r="H13571" t="s">
        <v>136</v>
      </c>
      <c r="I13571" t="s">
        <v>137</v>
      </c>
      <c r="J13571" t="str">
        <f>"1915001"</f>
        <v>1915001</v>
      </c>
      <c r="K13571">
        <v>2310480123</v>
      </c>
      <c r="L13571">
        <v>2310480123</v>
      </c>
      <c r="M13571" t="s">
        <v>25761</v>
      </c>
      <c r="N13571" t="s">
        <v>25762</v>
      </c>
      <c r="O13571" t="s">
        <v>25763</v>
      </c>
      <c r="P13571">
        <v>55134</v>
      </c>
      <c r="Q13571" t="str">
        <f>"40.575069"</f>
        <v>40.575069</v>
      </c>
      <c r="R13571" t="str">
        <f>"22.967871"</f>
        <v>22.967871</v>
      </c>
      <c r="S13571" t="s">
        <v>26</v>
      </c>
    </row>
    <row r="13572" spans="1:19" x14ac:dyDescent="0.3">
      <c r="A13572" t="s">
        <v>25190</v>
      </c>
      <c r="B13572" t="s">
        <v>25764</v>
      </c>
      <c r="C13572" t="s">
        <v>25865</v>
      </c>
      <c r="D13572" t="s">
        <v>25197</v>
      </c>
      <c r="E13572" t="s">
        <v>25815</v>
      </c>
      <c r="F13572" t="s">
        <v>25864</v>
      </c>
      <c r="G13572" t="s">
        <v>25864</v>
      </c>
      <c r="H13572" t="s">
        <v>136</v>
      </c>
      <c r="I13572" t="s">
        <v>137</v>
      </c>
      <c r="J13572" t="str">
        <f>"SEK023"</f>
        <v>SEK023</v>
      </c>
      <c r="K13572">
        <v>2391054535</v>
      </c>
      <c r="L13572">
        <v>2391054616</v>
      </c>
      <c r="M13572" t="s">
        <v>25866</v>
      </c>
      <c r="N13572" t="s">
        <v>25864</v>
      </c>
      <c r="O13572" t="s">
        <v>25867</v>
      </c>
      <c r="P13572">
        <v>57100</v>
      </c>
      <c r="Q13572" t="str">
        <f>"40.786435"</f>
        <v>40.786435</v>
      </c>
      <c r="R13572" t="str">
        <f>"22.575319"</f>
        <v>22.575319</v>
      </c>
      <c r="S13572" t="s">
        <v>26</v>
      </c>
    </row>
    <row r="13573" spans="1:19" x14ac:dyDescent="0.3">
      <c r="A13573" t="s">
        <v>25190</v>
      </c>
      <c r="B13573" t="s">
        <v>25764</v>
      </c>
      <c r="C13573" t="s">
        <v>25902</v>
      </c>
      <c r="D13573" t="s">
        <v>25197</v>
      </c>
      <c r="E13573" t="s">
        <v>25889</v>
      </c>
      <c r="F13573" t="s">
        <v>25890</v>
      </c>
      <c r="G13573" t="s">
        <v>25890</v>
      </c>
      <c r="H13573" t="s">
        <v>136</v>
      </c>
      <c r="I13573" t="s">
        <v>137</v>
      </c>
      <c r="J13573" t="str">
        <f>"SEK090"</f>
        <v>SEK090</v>
      </c>
      <c r="K13573">
        <v>2310655099</v>
      </c>
      <c r="L13573">
        <v>2310655099</v>
      </c>
      <c r="M13573" t="s">
        <v>25903</v>
      </c>
      <c r="N13573" t="s">
        <v>613</v>
      </c>
      <c r="O13573" t="s">
        <v>25904</v>
      </c>
      <c r="P13573">
        <v>56701</v>
      </c>
      <c r="Q13573" t="str">
        <f>"40.657374"</f>
        <v>40.657374</v>
      </c>
      <c r="R13573" t="str">
        <f>"22.942852"</f>
        <v>22.942852</v>
      </c>
      <c r="S13573" t="s">
        <v>26</v>
      </c>
    </row>
    <row r="13574" spans="1:19" x14ac:dyDescent="0.3">
      <c r="A13574" t="s">
        <v>25190</v>
      </c>
      <c r="B13574" t="s">
        <v>25764</v>
      </c>
      <c r="C13574" t="s">
        <v>25905</v>
      </c>
      <c r="D13574" t="s">
        <v>25197</v>
      </c>
      <c r="E13574" t="s">
        <v>25826</v>
      </c>
      <c r="F13574" t="s">
        <v>25833</v>
      </c>
      <c r="G13574" t="s">
        <v>25833</v>
      </c>
      <c r="H13574" t="s">
        <v>136</v>
      </c>
      <c r="I13574" t="s">
        <v>137</v>
      </c>
      <c r="J13574" t="str">
        <f>"SEK089"</f>
        <v>SEK089</v>
      </c>
      <c r="K13574">
        <v>2310770354</v>
      </c>
      <c r="M13574" t="s">
        <v>25906</v>
      </c>
      <c r="N13574" t="s">
        <v>25833</v>
      </c>
      <c r="O13574" t="s">
        <v>25907</v>
      </c>
      <c r="P13574">
        <v>56224</v>
      </c>
      <c r="Q13574" t="str">
        <f>"40.676083"</f>
        <v>40.676083</v>
      </c>
      <c r="R13574" t="str">
        <f>"22.910381"</f>
        <v>22.910381</v>
      </c>
      <c r="S13574" t="s">
        <v>26</v>
      </c>
    </row>
    <row r="13575" spans="1:19" x14ac:dyDescent="0.3">
      <c r="A13575" t="s">
        <v>25190</v>
      </c>
      <c r="B13575" t="s">
        <v>25764</v>
      </c>
      <c r="C13575" t="s">
        <v>26089</v>
      </c>
      <c r="D13575" t="s">
        <v>25197</v>
      </c>
      <c r="E13575" t="s">
        <v>25203</v>
      </c>
      <c r="F13575" t="s">
        <v>595</v>
      </c>
      <c r="G13575" t="s">
        <v>595</v>
      </c>
      <c r="H13575" t="s">
        <v>136</v>
      </c>
      <c r="I13575" t="s">
        <v>137</v>
      </c>
      <c r="J13575" t="str">
        <f>"SEK091"</f>
        <v>SEK091</v>
      </c>
      <c r="K13575">
        <v>2310656146</v>
      </c>
      <c r="L13575">
        <v>2310656181</v>
      </c>
      <c r="M13575" t="s">
        <v>26090</v>
      </c>
      <c r="N13575" t="s">
        <v>26091</v>
      </c>
      <c r="O13575" t="s">
        <v>26092</v>
      </c>
      <c r="P13575">
        <v>56430</v>
      </c>
      <c r="Q13575" t="str">
        <f>"40.657880"</f>
        <v>40.657880</v>
      </c>
      <c r="R13575" t="str">
        <f>"22.930335"</f>
        <v>22.930335</v>
      </c>
      <c r="S13575" t="s">
        <v>26</v>
      </c>
    </row>
    <row r="13576" spans="1:19" x14ac:dyDescent="0.3">
      <c r="A13576" t="s">
        <v>25190</v>
      </c>
      <c r="B13576" t="s">
        <v>25764</v>
      </c>
      <c r="C13576" t="s">
        <v>26093</v>
      </c>
      <c r="D13576" t="s">
        <v>25197</v>
      </c>
      <c r="E13576" t="s">
        <v>13689</v>
      </c>
      <c r="F13576" t="s">
        <v>13689</v>
      </c>
      <c r="G13576" t="s">
        <v>13689</v>
      </c>
      <c r="H13576" t="s">
        <v>136</v>
      </c>
      <c r="I13576" t="s">
        <v>137</v>
      </c>
      <c r="J13576" t="str">
        <f>"SEK045"</f>
        <v>SEK045</v>
      </c>
      <c r="K13576">
        <v>2394020135</v>
      </c>
      <c r="L13576">
        <v>2394020134</v>
      </c>
      <c r="M13576" t="s">
        <v>26094</v>
      </c>
      <c r="N13576" t="s">
        <v>13689</v>
      </c>
      <c r="O13576" t="s">
        <v>26095</v>
      </c>
      <c r="P13576">
        <v>57200</v>
      </c>
      <c r="Q13576" t="str">
        <f>"40.756076"</f>
        <v>40.756076</v>
      </c>
      <c r="R13576" t="str">
        <f>"23.077180"</f>
        <v>23.077180</v>
      </c>
      <c r="S13576" t="s">
        <v>26</v>
      </c>
    </row>
    <row r="13577" spans="1:19" x14ac:dyDescent="0.3">
      <c r="A13577" t="s">
        <v>25190</v>
      </c>
      <c r="B13577" t="s">
        <v>25764</v>
      </c>
      <c r="C13577" t="s">
        <v>26345</v>
      </c>
      <c r="D13577" t="s">
        <v>25197</v>
      </c>
      <c r="E13577" t="s">
        <v>25790</v>
      </c>
      <c r="F13577" t="s">
        <v>25851</v>
      </c>
      <c r="G13577" t="s">
        <v>25852</v>
      </c>
      <c r="H13577" t="s">
        <v>136</v>
      </c>
      <c r="I13577" t="s">
        <v>137</v>
      </c>
      <c r="J13577" t="str">
        <f>"SEK228"</f>
        <v>SEK228</v>
      </c>
      <c r="K13577">
        <v>2310569271</v>
      </c>
      <c r="L13577">
        <v>2313077148</v>
      </c>
      <c r="M13577" t="s">
        <v>26346</v>
      </c>
      <c r="N13577" t="s">
        <v>25855</v>
      </c>
      <c r="O13577" t="s">
        <v>25856</v>
      </c>
      <c r="P13577">
        <v>57400</v>
      </c>
      <c r="Q13577" t="str">
        <f>"40.664786"</f>
        <v>40.664786</v>
      </c>
      <c r="R13577" t="str">
        <f>"22.799587"</f>
        <v>22.799587</v>
      </c>
      <c r="S13577" t="s">
        <v>26</v>
      </c>
    </row>
    <row r="13578" spans="1:19" x14ac:dyDescent="0.3">
      <c r="A13578" t="s">
        <v>25190</v>
      </c>
      <c r="B13578" t="s">
        <v>26402</v>
      </c>
      <c r="C13578" t="s">
        <v>26530</v>
      </c>
      <c r="D13578" t="s">
        <v>25191</v>
      </c>
      <c r="E13578" t="s">
        <v>25192</v>
      </c>
      <c r="F13578" t="s">
        <v>25192</v>
      </c>
      <c r="G13578" t="s">
        <v>25192</v>
      </c>
      <c r="H13578" t="s">
        <v>136</v>
      </c>
      <c r="I13578" t="s">
        <v>137</v>
      </c>
      <c r="J13578" t="str">
        <f>"SEK037"</f>
        <v>SEK037</v>
      </c>
      <c r="K13578">
        <v>2331065600</v>
      </c>
      <c r="L13578">
        <v>2331074514</v>
      </c>
      <c r="M13578" t="s">
        <v>26531</v>
      </c>
      <c r="N13578" t="s">
        <v>25192</v>
      </c>
      <c r="O13578" t="s">
        <v>26433</v>
      </c>
      <c r="P13578">
        <v>59100</v>
      </c>
      <c r="Q13578" t="str">
        <f>"40.541813"</f>
        <v>40.541813</v>
      </c>
      <c r="R13578" t="str">
        <f>"22.199661"</f>
        <v>22.199661</v>
      </c>
      <c r="S13578" t="s">
        <v>26</v>
      </c>
    </row>
    <row r="13579" spans="1:19" x14ac:dyDescent="0.3">
      <c r="A13579" t="s">
        <v>25190</v>
      </c>
      <c r="B13579" t="s">
        <v>26583</v>
      </c>
      <c r="C13579" t="s">
        <v>26670</v>
      </c>
      <c r="D13579" t="s">
        <v>25207</v>
      </c>
      <c r="E13579" t="s">
        <v>25207</v>
      </c>
      <c r="F13579" t="s">
        <v>25207</v>
      </c>
      <c r="G13579" t="s">
        <v>25207</v>
      </c>
      <c r="H13579" t="s">
        <v>136</v>
      </c>
      <c r="I13579" t="s">
        <v>137</v>
      </c>
      <c r="J13579" t="str">
        <f>"SEK042"</f>
        <v>SEK042</v>
      </c>
      <c r="K13579">
        <v>2341027154</v>
      </c>
      <c r="L13579">
        <v>2341023420</v>
      </c>
      <c r="M13579" t="s">
        <v>26671</v>
      </c>
      <c r="N13579" t="s">
        <v>25207</v>
      </c>
      <c r="O13579" t="s">
        <v>26672</v>
      </c>
      <c r="P13579">
        <v>61100</v>
      </c>
      <c r="Q13579" t="str">
        <f>"40.991646"</f>
        <v>40.991646</v>
      </c>
      <c r="R13579" t="str">
        <f>"22.875375"</f>
        <v>22.875375</v>
      </c>
      <c r="S13579" t="s">
        <v>26</v>
      </c>
    </row>
    <row r="13580" spans="1:19" x14ac:dyDescent="0.3">
      <c r="A13580" t="s">
        <v>25190</v>
      </c>
      <c r="B13580" t="s">
        <v>26726</v>
      </c>
      <c r="C13580" t="s">
        <v>26739</v>
      </c>
      <c r="D13580" t="s">
        <v>25211</v>
      </c>
      <c r="E13580" t="s">
        <v>25211</v>
      </c>
      <c r="F13580" t="s">
        <v>26731</v>
      </c>
      <c r="G13580" t="s">
        <v>26731</v>
      </c>
      <c r="H13580" t="s">
        <v>136</v>
      </c>
      <c r="I13580" t="s">
        <v>137</v>
      </c>
      <c r="J13580" t="str">
        <f>"SEK038"</f>
        <v>SEK038</v>
      </c>
      <c r="K13580">
        <v>2382028160</v>
      </c>
      <c r="L13580">
        <v>2382028160</v>
      </c>
      <c r="M13580" t="s">
        <v>26740</v>
      </c>
      <c r="N13580" t="s">
        <v>26731</v>
      </c>
      <c r="O13580" t="s">
        <v>26741</v>
      </c>
      <c r="P13580">
        <v>58100</v>
      </c>
      <c r="Q13580" t="str">
        <f>"40.810106"</f>
        <v>40.810106</v>
      </c>
      <c r="R13580" t="str">
        <f>"22.417891"</f>
        <v>22.417891</v>
      </c>
      <c r="S13580" t="s">
        <v>26</v>
      </c>
    </row>
    <row r="13581" spans="1:19" x14ac:dyDescent="0.3">
      <c r="A13581" t="s">
        <v>25190</v>
      </c>
      <c r="B13581" t="s">
        <v>26726</v>
      </c>
      <c r="C13581" t="s">
        <v>26809</v>
      </c>
      <c r="D13581" t="s">
        <v>25211</v>
      </c>
      <c r="E13581" t="s">
        <v>25212</v>
      </c>
      <c r="F13581" t="s">
        <v>25212</v>
      </c>
      <c r="G13581" t="s">
        <v>25213</v>
      </c>
      <c r="H13581" t="s">
        <v>136</v>
      </c>
      <c r="I13581" t="s">
        <v>137</v>
      </c>
      <c r="J13581" t="str">
        <f>"SEK032"</f>
        <v>SEK032</v>
      </c>
      <c r="K13581">
        <v>2381024978</v>
      </c>
      <c r="L13581">
        <v>2381024968</v>
      </c>
      <c r="M13581" t="s">
        <v>26810</v>
      </c>
      <c r="N13581" t="s">
        <v>25212</v>
      </c>
      <c r="O13581" t="s">
        <v>26811</v>
      </c>
      <c r="P13581">
        <v>58200</v>
      </c>
      <c r="Q13581" t="str">
        <f>"40.805291"</f>
        <v>40.805291</v>
      </c>
      <c r="R13581" t="str">
        <f>"22.039955"</f>
        <v>22.039955</v>
      </c>
      <c r="S13581" t="s">
        <v>26</v>
      </c>
    </row>
    <row r="13582" spans="1:19" x14ac:dyDescent="0.3">
      <c r="A13582" t="s">
        <v>25190</v>
      </c>
      <c r="B13582" t="s">
        <v>26726</v>
      </c>
      <c r="C13582" t="s">
        <v>26895</v>
      </c>
      <c r="D13582" t="s">
        <v>25211</v>
      </c>
      <c r="E13582" t="s">
        <v>26753</v>
      </c>
      <c r="F13582" t="s">
        <v>26775</v>
      </c>
      <c r="G13582" t="s">
        <v>26775</v>
      </c>
      <c r="H13582" t="s">
        <v>136</v>
      </c>
      <c r="I13582" t="s">
        <v>137</v>
      </c>
      <c r="J13582" t="str">
        <f>"SEK028"</f>
        <v>SEK028</v>
      </c>
      <c r="K13582">
        <v>2384021421</v>
      </c>
      <c r="L13582">
        <v>2384021441</v>
      </c>
      <c r="M13582" t="s">
        <v>26896</v>
      </c>
      <c r="N13582" t="s">
        <v>26775</v>
      </c>
      <c r="O13582" t="s">
        <v>26897</v>
      </c>
      <c r="P13582">
        <v>58400</v>
      </c>
      <c r="Q13582" t="str">
        <f>"40.975414"</f>
        <v>40.975414</v>
      </c>
      <c r="R13582" t="str">
        <f>"22.066998"</f>
        <v>22.066998</v>
      </c>
      <c r="S13582" t="s">
        <v>26</v>
      </c>
    </row>
    <row r="13583" spans="1:19" x14ac:dyDescent="0.3">
      <c r="A13583" t="s">
        <v>25190</v>
      </c>
      <c r="B13583" t="s">
        <v>26935</v>
      </c>
      <c r="C13583" t="s">
        <v>26967</v>
      </c>
      <c r="D13583" t="s">
        <v>25218</v>
      </c>
      <c r="E13583" t="s">
        <v>25219</v>
      </c>
      <c r="F13583" t="s">
        <v>25219</v>
      </c>
      <c r="G13583" t="s">
        <v>25219</v>
      </c>
      <c r="H13583" t="s">
        <v>136</v>
      </c>
      <c r="I13583" t="s">
        <v>137</v>
      </c>
      <c r="J13583" t="str">
        <f>"SEK016"</f>
        <v>SEK016</v>
      </c>
      <c r="K13583">
        <v>2351047206</v>
      </c>
      <c r="L13583">
        <v>2351047206</v>
      </c>
      <c r="M13583" t="s">
        <v>26968</v>
      </c>
      <c r="N13583" t="s">
        <v>26969</v>
      </c>
      <c r="O13583" t="s">
        <v>26970</v>
      </c>
      <c r="P13583">
        <v>60100</v>
      </c>
      <c r="Q13583" t="str">
        <f>"40.260159"</f>
        <v>40.260159</v>
      </c>
      <c r="R13583" t="str">
        <f>"22.507704"</f>
        <v>22.507704</v>
      </c>
      <c r="S13583" t="s">
        <v>26</v>
      </c>
    </row>
    <row r="13584" spans="1:19" x14ac:dyDescent="0.3">
      <c r="A13584" t="s">
        <v>25190</v>
      </c>
      <c r="B13584" t="s">
        <v>27105</v>
      </c>
      <c r="C13584" t="s">
        <v>27183</v>
      </c>
      <c r="D13584" t="s">
        <v>25224</v>
      </c>
      <c r="E13584" t="s">
        <v>27181</v>
      </c>
      <c r="F13584" t="s">
        <v>27182</v>
      </c>
      <c r="G13584" t="s">
        <v>27182</v>
      </c>
      <c r="H13584" t="s">
        <v>136</v>
      </c>
      <c r="I13584" t="s">
        <v>137</v>
      </c>
      <c r="J13584" t="str">
        <f>"SEK047"</f>
        <v>SEK047</v>
      </c>
      <c r="K13584">
        <v>2322020002</v>
      </c>
      <c r="L13584">
        <v>2322020003</v>
      </c>
      <c r="M13584" t="s">
        <v>27184</v>
      </c>
      <c r="N13584" t="s">
        <v>27185</v>
      </c>
      <c r="O13584" t="s">
        <v>27186</v>
      </c>
      <c r="P13584">
        <v>62200</v>
      </c>
      <c r="Q13584" t="str">
        <f>"40.908508"</f>
        <v>40.908508</v>
      </c>
      <c r="R13584" t="str">
        <f>"23.503207"</f>
        <v>23.503207</v>
      </c>
      <c r="S13584" t="s">
        <v>26</v>
      </c>
    </row>
    <row r="13585" spans="1:19" x14ac:dyDescent="0.3">
      <c r="A13585" t="s">
        <v>25190</v>
      </c>
      <c r="B13585" t="s">
        <v>27105</v>
      </c>
      <c r="C13585" t="s">
        <v>27249</v>
      </c>
      <c r="D13585" t="s">
        <v>25224</v>
      </c>
      <c r="E13585" t="s">
        <v>25224</v>
      </c>
      <c r="F13585" t="s">
        <v>25224</v>
      </c>
      <c r="G13585" t="s">
        <v>25224</v>
      </c>
      <c r="H13585" t="s">
        <v>136</v>
      </c>
      <c r="I13585" t="s">
        <v>137</v>
      </c>
      <c r="J13585" t="str">
        <f>"SEK048"</f>
        <v>SEK048</v>
      </c>
      <c r="K13585">
        <v>2321050764</v>
      </c>
      <c r="L13585">
        <v>2321098674</v>
      </c>
      <c r="M13585" t="s">
        <v>27250</v>
      </c>
      <c r="N13585" t="s">
        <v>25224</v>
      </c>
      <c r="O13585" t="s">
        <v>27251</v>
      </c>
      <c r="P13585">
        <v>62100</v>
      </c>
      <c r="Q13585" t="str">
        <f>"41.090415"</f>
        <v>41.090415</v>
      </c>
      <c r="R13585" t="str">
        <f>"23.521426"</f>
        <v>23.521426</v>
      </c>
      <c r="S13585" t="s">
        <v>26</v>
      </c>
    </row>
    <row r="13586" spans="1:19" x14ac:dyDescent="0.3">
      <c r="A13586" t="s">
        <v>25190</v>
      </c>
      <c r="B13586" t="s">
        <v>27105</v>
      </c>
      <c r="C13586" t="s">
        <v>27269</v>
      </c>
      <c r="D13586" t="s">
        <v>25224</v>
      </c>
      <c r="E13586" t="s">
        <v>27106</v>
      </c>
      <c r="F13586" t="s">
        <v>27111</v>
      </c>
      <c r="G13586" t="s">
        <v>27111</v>
      </c>
      <c r="H13586" t="s">
        <v>136</v>
      </c>
      <c r="I13586" t="s">
        <v>137</v>
      </c>
      <c r="J13586" t="str">
        <f>"SEK301"</f>
        <v>SEK301</v>
      </c>
      <c r="K13586">
        <v>2323022733</v>
      </c>
      <c r="L13586">
        <v>2323022739</v>
      </c>
      <c r="M13586" t="s">
        <v>27270</v>
      </c>
      <c r="N13586" t="s">
        <v>27271</v>
      </c>
      <c r="O13586" t="s">
        <v>27272</v>
      </c>
      <c r="P13586">
        <v>62300</v>
      </c>
      <c r="Q13586" t="str">
        <f>"41.218715"</f>
        <v>41.218715</v>
      </c>
      <c r="R13586" t="str">
        <f>"23.389996"</f>
        <v>23.389996</v>
      </c>
      <c r="S13586" t="s">
        <v>26</v>
      </c>
    </row>
    <row r="13587" spans="1:19" x14ac:dyDescent="0.3">
      <c r="A13587" t="s">
        <v>25190</v>
      </c>
      <c r="B13587" t="s">
        <v>27386</v>
      </c>
      <c r="C13587" t="s">
        <v>27542</v>
      </c>
      <c r="D13587" t="s">
        <v>25229</v>
      </c>
      <c r="E13587" t="s">
        <v>27394</v>
      </c>
      <c r="F13587" t="s">
        <v>27447</v>
      </c>
      <c r="G13587" t="s">
        <v>27401</v>
      </c>
      <c r="H13587" t="s">
        <v>136</v>
      </c>
      <c r="I13587" t="s">
        <v>137</v>
      </c>
      <c r="J13587" t="str">
        <f>"4930060"</f>
        <v>4930060</v>
      </c>
      <c r="K13587">
        <v>2373065404</v>
      </c>
      <c r="L13587">
        <v>2373065405</v>
      </c>
      <c r="M13587" t="s">
        <v>27543</v>
      </c>
      <c r="N13587" t="s">
        <v>27484</v>
      </c>
      <c r="O13587" t="s">
        <v>27544</v>
      </c>
      <c r="P13587">
        <v>63200</v>
      </c>
      <c r="Q13587" t="str">
        <f>"40.242027"</f>
        <v>40.242027</v>
      </c>
      <c r="R13587" t="str">
        <f>"23.279404"</f>
        <v>23.279404</v>
      </c>
      <c r="S13587" t="s">
        <v>26</v>
      </c>
    </row>
    <row r="13588" spans="1:19" x14ac:dyDescent="0.3">
      <c r="A13588" t="s">
        <v>25190</v>
      </c>
      <c r="B13588" t="s">
        <v>27386</v>
      </c>
      <c r="C13588" t="s">
        <v>27565</v>
      </c>
      <c r="D13588" t="s">
        <v>25229</v>
      </c>
      <c r="E13588" t="s">
        <v>25230</v>
      </c>
      <c r="F13588" t="s">
        <v>25230</v>
      </c>
      <c r="G13588" t="s">
        <v>25230</v>
      </c>
      <c r="H13588" t="s">
        <v>136</v>
      </c>
      <c r="I13588" t="s">
        <v>137</v>
      </c>
      <c r="J13588" t="str">
        <f>"SEK303"</f>
        <v>SEK303</v>
      </c>
      <c r="K13588">
        <v>2371022994</v>
      </c>
      <c r="L13588">
        <v>2371021366</v>
      </c>
      <c r="M13588" t="s">
        <v>27566</v>
      </c>
      <c r="N13588" t="s">
        <v>25233</v>
      </c>
      <c r="O13588" t="s">
        <v>21316</v>
      </c>
      <c r="P13588">
        <v>63100</v>
      </c>
      <c r="Q13588" t="str">
        <f>"40.382087"</f>
        <v>40.382087</v>
      </c>
      <c r="R13588" t="str">
        <f>"23.439136"</f>
        <v>23.439136</v>
      </c>
      <c r="S13588" t="s">
        <v>26</v>
      </c>
    </row>
    <row r="13589" spans="1:19" x14ac:dyDescent="0.3">
      <c r="A13589" t="s">
        <v>32470</v>
      </c>
      <c r="B13589" t="s">
        <v>32491</v>
      </c>
      <c r="C13589" t="s">
        <v>32555</v>
      </c>
      <c r="D13589" t="s">
        <v>4618</v>
      </c>
      <c r="E13589" t="s">
        <v>4618</v>
      </c>
      <c r="F13589" t="s">
        <v>4618</v>
      </c>
      <c r="G13589" t="s">
        <v>32537</v>
      </c>
      <c r="H13589" t="s">
        <v>136</v>
      </c>
      <c r="I13589" t="s">
        <v>137</v>
      </c>
      <c r="J13589" t="str">
        <f>"SEK065"</f>
        <v>SEK065</v>
      </c>
      <c r="K13589">
        <v>2810361730</v>
      </c>
      <c r="L13589">
        <v>2810321051</v>
      </c>
      <c r="M13589" t="s">
        <v>32556</v>
      </c>
      <c r="N13589" t="s">
        <v>28925</v>
      </c>
      <c r="O13589" t="s">
        <v>32557</v>
      </c>
      <c r="P13589">
        <v>71307</v>
      </c>
      <c r="Q13589" t="str">
        <f>"35.327375"</f>
        <v>35.327375</v>
      </c>
      <c r="R13589" t="str">
        <f>"25.143672"</f>
        <v>25.143672</v>
      </c>
      <c r="S13589" t="s">
        <v>26</v>
      </c>
    </row>
    <row r="13590" spans="1:19" x14ac:dyDescent="0.3">
      <c r="A13590" t="s">
        <v>32470</v>
      </c>
      <c r="B13590" t="s">
        <v>32491</v>
      </c>
      <c r="C13590" t="s">
        <v>32755</v>
      </c>
      <c r="D13590" t="s">
        <v>4618</v>
      </c>
      <c r="E13590" t="s">
        <v>4618</v>
      </c>
      <c r="F13590" t="s">
        <v>4618</v>
      </c>
      <c r="G13590" t="s">
        <v>32754</v>
      </c>
      <c r="H13590" t="s">
        <v>136</v>
      </c>
      <c r="I13590" t="s">
        <v>137</v>
      </c>
      <c r="J13590" t="str">
        <f>"SEK107"</f>
        <v>SEK107</v>
      </c>
      <c r="K13590">
        <v>2810371153</v>
      </c>
      <c r="L13590">
        <v>2810286915</v>
      </c>
      <c r="M13590" t="s">
        <v>32756</v>
      </c>
      <c r="N13590" t="s">
        <v>4618</v>
      </c>
      <c r="O13590" t="s">
        <v>32757</v>
      </c>
      <c r="P13590">
        <v>71307</v>
      </c>
      <c r="Q13590" t="str">
        <f>"35.332403"</f>
        <v>35.332403</v>
      </c>
      <c r="R13590" t="str">
        <f>"25.149317"</f>
        <v>25.149317</v>
      </c>
      <c r="S13590" t="s">
        <v>26</v>
      </c>
    </row>
    <row r="13591" spans="1:19" x14ac:dyDescent="0.3">
      <c r="A13591" t="s">
        <v>32470</v>
      </c>
      <c r="B13591" t="s">
        <v>33044</v>
      </c>
      <c r="C13591" t="s">
        <v>33051</v>
      </c>
      <c r="D13591" t="s">
        <v>32480</v>
      </c>
      <c r="E13591" t="s">
        <v>32481</v>
      </c>
      <c r="F13591" t="s">
        <v>32481</v>
      </c>
      <c r="G13591" t="s">
        <v>32481</v>
      </c>
      <c r="H13591" t="s">
        <v>136</v>
      </c>
      <c r="I13591" t="s">
        <v>137</v>
      </c>
      <c r="J13591" t="str">
        <f>"SEK018"</f>
        <v>SEK018</v>
      </c>
      <c r="K13591">
        <v>2831029683</v>
      </c>
      <c r="L13591">
        <v>2831029683</v>
      </c>
      <c r="M13591" t="s">
        <v>33052</v>
      </c>
      <c r="N13591" t="s">
        <v>32480</v>
      </c>
      <c r="O13591" t="s">
        <v>33053</v>
      </c>
      <c r="P13591">
        <v>74133</v>
      </c>
      <c r="Q13591" t="str">
        <f>"35.366120"</f>
        <v>35.366120</v>
      </c>
      <c r="R13591" t="str">
        <f>"24.501845"</f>
        <v>24.501845</v>
      </c>
      <c r="S13591" t="s">
        <v>26</v>
      </c>
    </row>
    <row r="13592" spans="1:19" x14ac:dyDescent="0.3">
      <c r="A13592" t="s">
        <v>32470</v>
      </c>
      <c r="B13592" t="s">
        <v>33207</v>
      </c>
      <c r="C13592" t="s">
        <v>33394</v>
      </c>
      <c r="D13592" t="s">
        <v>32486</v>
      </c>
      <c r="E13592" t="s">
        <v>32486</v>
      </c>
      <c r="F13592" t="s">
        <v>32486</v>
      </c>
      <c r="G13592" t="s">
        <v>32486</v>
      </c>
      <c r="H13592" t="s">
        <v>136</v>
      </c>
      <c r="I13592" t="s">
        <v>137</v>
      </c>
      <c r="J13592" t="str">
        <f>"SEK026"</f>
        <v>SEK026</v>
      </c>
      <c r="K13592">
        <v>2821073228</v>
      </c>
      <c r="L13592">
        <v>2821073228</v>
      </c>
      <c r="M13592" t="s">
        <v>33395</v>
      </c>
      <c r="N13592" t="s">
        <v>32486</v>
      </c>
      <c r="O13592" t="s">
        <v>33396</v>
      </c>
      <c r="P13592">
        <v>73135</v>
      </c>
      <c r="Q13592" t="str">
        <f>"35.511755"</f>
        <v>35.511755</v>
      </c>
      <c r="R13592" t="str">
        <f>"24.018546"</f>
        <v>24.018546</v>
      </c>
      <c r="S13592" t="s">
        <v>26</v>
      </c>
    </row>
    <row r="13593" spans="1:19" x14ac:dyDescent="0.3">
      <c r="A13593" t="s">
        <v>35638</v>
      </c>
      <c r="B13593" t="s">
        <v>35670</v>
      </c>
      <c r="C13593" t="s">
        <v>35899</v>
      </c>
      <c r="D13593" t="s">
        <v>35639</v>
      </c>
      <c r="E13593" t="s">
        <v>35639</v>
      </c>
      <c r="F13593" t="s">
        <v>35639</v>
      </c>
      <c r="G13593" t="s">
        <v>35639</v>
      </c>
      <c r="H13593" t="s">
        <v>136</v>
      </c>
      <c r="I13593" t="s">
        <v>137</v>
      </c>
      <c r="J13593" t="str">
        <f>"SEK106"</f>
        <v>SEK106</v>
      </c>
      <c r="K13593">
        <v>2241060085</v>
      </c>
      <c r="L13593">
        <v>2241060086</v>
      </c>
      <c r="M13593" t="s">
        <v>35900</v>
      </c>
      <c r="N13593" t="s">
        <v>35639</v>
      </c>
      <c r="O13593" t="s">
        <v>35744</v>
      </c>
      <c r="P13593">
        <v>85100</v>
      </c>
      <c r="Q13593" t="str">
        <f>"36.414319"</f>
        <v>36.414319</v>
      </c>
      <c r="R13593" t="str">
        <f>"28.189427"</f>
        <v>28.189427</v>
      </c>
      <c r="S13593" t="s">
        <v>26</v>
      </c>
    </row>
    <row r="13594" spans="1:19" x14ac:dyDescent="0.3">
      <c r="A13594" t="s">
        <v>35638</v>
      </c>
      <c r="B13594" t="s">
        <v>35670</v>
      </c>
      <c r="C13594" t="s">
        <v>35928</v>
      </c>
      <c r="D13594" t="s">
        <v>35639</v>
      </c>
      <c r="E13594" t="s">
        <v>35639</v>
      </c>
      <c r="F13594" t="s">
        <v>35639</v>
      </c>
      <c r="G13594" t="s">
        <v>35639</v>
      </c>
      <c r="H13594" t="s">
        <v>136</v>
      </c>
      <c r="I13594" t="s">
        <v>137</v>
      </c>
      <c r="J13594" t="str">
        <f>"SEK105"</f>
        <v>SEK105</v>
      </c>
      <c r="K13594">
        <v>2241039380</v>
      </c>
      <c r="L13594">
        <v>2241070445</v>
      </c>
      <c r="M13594" t="s">
        <v>35929</v>
      </c>
      <c r="N13594" t="s">
        <v>35639</v>
      </c>
      <c r="O13594" t="s">
        <v>35880</v>
      </c>
      <c r="P13594">
        <v>85100</v>
      </c>
      <c r="Q13594" t="str">
        <f>"36.429714"</f>
        <v>36.429714</v>
      </c>
      <c r="R13594" t="str">
        <f>"28.231805"</f>
        <v>28.231805</v>
      </c>
      <c r="S13594" t="s">
        <v>26</v>
      </c>
    </row>
    <row r="13595" spans="1:19" x14ac:dyDescent="0.3">
      <c r="A13595" t="s">
        <v>35638</v>
      </c>
      <c r="B13595" t="s">
        <v>36020</v>
      </c>
      <c r="C13595" t="s">
        <v>36165</v>
      </c>
      <c r="D13595" t="s">
        <v>35644</v>
      </c>
      <c r="E13595" t="s">
        <v>35645</v>
      </c>
      <c r="F13595" t="s">
        <v>35646</v>
      </c>
      <c r="G13595" t="s">
        <v>36128</v>
      </c>
      <c r="H13595" t="s">
        <v>136</v>
      </c>
      <c r="I13595" t="s">
        <v>137</v>
      </c>
      <c r="J13595" t="str">
        <f>"SEK049"</f>
        <v>SEK049</v>
      </c>
      <c r="K13595">
        <v>2281082614</v>
      </c>
      <c r="L13595">
        <v>2281082614</v>
      </c>
      <c r="M13595" t="s">
        <v>36166</v>
      </c>
      <c r="N13595" t="s">
        <v>35644</v>
      </c>
      <c r="O13595" t="s">
        <v>36167</v>
      </c>
      <c r="P13595">
        <v>84100</v>
      </c>
      <c r="Q13595" t="str">
        <f>"37.424602"</f>
        <v>37.424602</v>
      </c>
      <c r="R13595" t="str">
        <f>"24.936894"</f>
        <v>24.936894</v>
      </c>
      <c r="S13595" t="s">
        <v>26</v>
      </c>
    </row>
    <row r="13596" spans="1:19" x14ac:dyDescent="0.3">
      <c r="A13596" t="s">
        <v>35638</v>
      </c>
      <c r="B13596" t="s">
        <v>36020</v>
      </c>
      <c r="C13596" t="s">
        <v>36305</v>
      </c>
      <c r="D13596" t="s">
        <v>4806</v>
      </c>
      <c r="E13596" t="s">
        <v>35664</v>
      </c>
      <c r="F13596" t="s">
        <v>36073</v>
      </c>
      <c r="G13596" t="s">
        <v>36074</v>
      </c>
      <c r="H13596" t="s">
        <v>136</v>
      </c>
      <c r="I13596" t="s">
        <v>137</v>
      </c>
      <c r="J13596" t="str">
        <f>"SEK123"</f>
        <v>SEK123</v>
      </c>
      <c r="K13596">
        <v>2285032992</v>
      </c>
      <c r="L13596">
        <v>2285032991</v>
      </c>
      <c r="M13596" t="s">
        <v>36306</v>
      </c>
      <c r="N13596" t="s">
        <v>4806</v>
      </c>
      <c r="O13596" t="s">
        <v>36307</v>
      </c>
      <c r="P13596">
        <v>84302</v>
      </c>
      <c r="Q13596" t="str">
        <f>"37.057754"</f>
        <v>37.057754</v>
      </c>
      <c r="R13596" t="str">
        <f>"25.495579"</f>
        <v>25.495579</v>
      </c>
      <c r="S13596" t="s">
        <v>26</v>
      </c>
    </row>
    <row r="13597" spans="1:19" x14ac:dyDescent="0.3">
      <c r="A13597" t="s">
        <v>35638</v>
      </c>
      <c r="B13597" t="s">
        <v>36020</v>
      </c>
      <c r="C13597" t="s">
        <v>36330</v>
      </c>
      <c r="D13597" t="s">
        <v>36021</v>
      </c>
      <c r="E13597" t="s">
        <v>36021</v>
      </c>
      <c r="F13597" t="s">
        <v>36021</v>
      </c>
      <c r="G13597" t="s">
        <v>36329</v>
      </c>
      <c r="H13597" t="s">
        <v>136</v>
      </c>
      <c r="I13597" t="s">
        <v>137</v>
      </c>
      <c r="J13597" t="str">
        <f>"SEK126"</f>
        <v>SEK126</v>
      </c>
      <c r="K13597">
        <v>2286028594</v>
      </c>
      <c r="M13597" t="s">
        <v>36331</v>
      </c>
      <c r="N13597" t="s">
        <v>1211</v>
      </c>
      <c r="O13597" t="s">
        <v>36123</v>
      </c>
      <c r="P13597">
        <v>84700</v>
      </c>
      <c r="Q13597" t="str">
        <f>"36.387137"</f>
        <v>36.387137</v>
      </c>
      <c r="R13597" t="str">
        <f>"25.438642"</f>
        <v>25.438642</v>
      </c>
      <c r="S13597" t="s">
        <v>26</v>
      </c>
    </row>
    <row r="13598" spans="1:19" x14ac:dyDescent="0.3">
      <c r="A13598" t="s">
        <v>37529</v>
      </c>
      <c r="B13598" t="s">
        <v>37564</v>
      </c>
      <c r="C13598" t="s">
        <v>37695</v>
      </c>
      <c r="D13598" t="s">
        <v>37530</v>
      </c>
      <c r="E13598" t="s">
        <v>37572</v>
      </c>
      <c r="F13598" t="s">
        <v>37573</v>
      </c>
      <c r="G13598" t="s">
        <v>37573</v>
      </c>
      <c r="H13598" t="s">
        <v>136</v>
      </c>
      <c r="I13598" t="s">
        <v>137</v>
      </c>
      <c r="J13598" t="str">
        <f>"SEK073"</f>
        <v>SEK073</v>
      </c>
      <c r="K13598">
        <v>2751023545</v>
      </c>
      <c r="M13598" t="s">
        <v>37696</v>
      </c>
      <c r="N13598" t="s">
        <v>37573</v>
      </c>
      <c r="O13598" t="s">
        <v>37697</v>
      </c>
      <c r="P13598">
        <v>21200</v>
      </c>
      <c r="Q13598" t="str">
        <f>"37.624949"</f>
        <v>37.624949</v>
      </c>
      <c r="R13598" t="str">
        <f>"22.749785"</f>
        <v>22.749785</v>
      </c>
      <c r="S13598" t="s">
        <v>26</v>
      </c>
    </row>
    <row r="13599" spans="1:19" x14ac:dyDescent="0.3">
      <c r="A13599" t="s">
        <v>37529</v>
      </c>
      <c r="B13599" t="s">
        <v>37702</v>
      </c>
      <c r="C13599" t="s">
        <v>37724</v>
      </c>
      <c r="D13599" t="s">
        <v>37537</v>
      </c>
      <c r="E13599" t="s">
        <v>37538</v>
      </c>
      <c r="F13599" t="s">
        <v>37538</v>
      </c>
      <c r="G13599" t="s">
        <v>37539</v>
      </c>
      <c r="H13599" t="s">
        <v>136</v>
      </c>
      <c r="I13599" t="s">
        <v>137</v>
      </c>
      <c r="J13599" t="str">
        <f>"SEK079"</f>
        <v>SEK079</v>
      </c>
      <c r="K13599">
        <v>2710221906</v>
      </c>
      <c r="L13599">
        <v>2710221946</v>
      </c>
      <c r="M13599" t="s">
        <v>37725</v>
      </c>
      <c r="N13599" t="s">
        <v>37538</v>
      </c>
      <c r="O13599" t="s">
        <v>37709</v>
      </c>
      <c r="P13599">
        <v>22100</v>
      </c>
      <c r="Q13599" t="str">
        <f>"37.499500"</f>
        <v>37.499500</v>
      </c>
      <c r="R13599" t="str">
        <f>"22.380360"</f>
        <v>22.380360</v>
      </c>
      <c r="S13599" t="s">
        <v>26</v>
      </c>
    </row>
    <row r="13600" spans="1:19" x14ac:dyDescent="0.3">
      <c r="A13600" t="s">
        <v>37529</v>
      </c>
      <c r="B13600" t="s">
        <v>37844</v>
      </c>
      <c r="C13600" t="s">
        <v>37958</v>
      </c>
      <c r="D13600" t="s">
        <v>37544</v>
      </c>
      <c r="E13600" t="s">
        <v>37922</v>
      </c>
      <c r="F13600" t="s">
        <v>37922</v>
      </c>
      <c r="G13600" t="s">
        <v>37923</v>
      </c>
      <c r="H13600" t="s">
        <v>136</v>
      </c>
      <c r="I13600" t="s">
        <v>137</v>
      </c>
      <c r="J13600" t="str">
        <f>"SEK098"</f>
        <v>SEK098</v>
      </c>
      <c r="K13600">
        <v>2742029370</v>
      </c>
      <c r="L13600">
        <v>2742029370</v>
      </c>
      <c r="M13600" t="s">
        <v>37959</v>
      </c>
      <c r="N13600" t="s">
        <v>37960</v>
      </c>
      <c r="O13600" t="s">
        <v>37961</v>
      </c>
      <c r="P13600">
        <v>20200</v>
      </c>
      <c r="Q13600" t="str">
        <f>"38.013147"</f>
        <v>38.013147</v>
      </c>
      <c r="R13600" t="str">
        <f>"22.739193"</f>
        <v>22.739193</v>
      </c>
      <c r="S13600" t="s">
        <v>26</v>
      </c>
    </row>
    <row r="13601" spans="1:19" x14ac:dyDescent="0.3">
      <c r="A13601" t="s">
        <v>37529</v>
      </c>
      <c r="B13601" t="s">
        <v>37844</v>
      </c>
      <c r="C13601" t="s">
        <v>38009</v>
      </c>
      <c r="D13601" t="s">
        <v>37544</v>
      </c>
      <c r="E13601" t="s">
        <v>37845</v>
      </c>
      <c r="F13601" t="s">
        <v>37846</v>
      </c>
      <c r="G13601" t="s">
        <v>37953</v>
      </c>
      <c r="H13601" t="s">
        <v>136</v>
      </c>
      <c r="I13601" t="s">
        <v>137</v>
      </c>
      <c r="J13601" t="str">
        <f>"SEK112"</f>
        <v>SEK112</v>
      </c>
      <c r="K13601">
        <v>2741076936</v>
      </c>
      <c r="L13601">
        <v>2741076936</v>
      </c>
      <c r="M13601" t="s">
        <v>38010</v>
      </c>
      <c r="N13601" t="s">
        <v>30854</v>
      </c>
      <c r="O13601" t="s">
        <v>38011</v>
      </c>
      <c r="P13601">
        <v>20100</v>
      </c>
      <c r="Q13601" t="str">
        <f>"37.921838"</f>
        <v>37.921838</v>
      </c>
      <c r="R13601" t="str">
        <f>"22.975934"</f>
        <v>22.975934</v>
      </c>
      <c r="S13601" t="s">
        <v>26</v>
      </c>
    </row>
    <row r="13602" spans="1:19" x14ac:dyDescent="0.3">
      <c r="A13602" t="s">
        <v>37529</v>
      </c>
      <c r="B13602" t="s">
        <v>38077</v>
      </c>
      <c r="C13602" t="s">
        <v>38195</v>
      </c>
      <c r="D13602" t="s">
        <v>37551</v>
      </c>
      <c r="E13602" t="s">
        <v>37552</v>
      </c>
      <c r="F13602" t="s">
        <v>37553</v>
      </c>
      <c r="G13602" t="s">
        <v>37552</v>
      </c>
      <c r="H13602" t="s">
        <v>136</v>
      </c>
      <c r="I13602" t="s">
        <v>137</v>
      </c>
      <c r="J13602" t="str">
        <f>"SEK024"</f>
        <v>SEK024</v>
      </c>
      <c r="K13602">
        <v>2731023265</v>
      </c>
      <c r="L13602">
        <v>2731023265</v>
      </c>
      <c r="M13602" t="s">
        <v>38196</v>
      </c>
      <c r="N13602" t="s">
        <v>37556</v>
      </c>
      <c r="O13602" t="s">
        <v>38197</v>
      </c>
      <c r="P13602">
        <v>23100</v>
      </c>
      <c r="Q13602" t="str">
        <f>"37.065278"</f>
        <v>37.065278</v>
      </c>
      <c r="R13602" t="str">
        <f>"22.431554"</f>
        <v>22.431554</v>
      </c>
      <c r="S13602" t="s">
        <v>26</v>
      </c>
    </row>
    <row r="13603" spans="1:19" x14ac:dyDescent="0.3">
      <c r="A13603" t="s">
        <v>37529</v>
      </c>
      <c r="B13603" t="s">
        <v>38247</v>
      </c>
      <c r="C13603" t="s">
        <v>38320</v>
      </c>
      <c r="D13603" t="s">
        <v>37558</v>
      </c>
      <c r="E13603" t="s">
        <v>37559</v>
      </c>
      <c r="F13603" t="s">
        <v>37559</v>
      </c>
      <c r="G13603" t="s">
        <v>37559</v>
      </c>
      <c r="H13603" t="s">
        <v>136</v>
      </c>
      <c r="I13603" t="s">
        <v>137</v>
      </c>
      <c r="J13603" t="str">
        <f>"SEK118"</f>
        <v>SEK118</v>
      </c>
      <c r="K13603">
        <v>2721081398</v>
      </c>
      <c r="L13603">
        <v>2721081398</v>
      </c>
      <c r="M13603" t="s">
        <v>38321</v>
      </c>
      <c r="N13603" t="s">
        <v>37559</v>
      </c>
      <c r="O13603" t="s">
        <v>38303</v>
      </c>
      <c r="P13603">
        <v>24100</v>
      </c>
      <c r="Q13603" t="str">
        <f>"37.027312"</f>
        <v>37.027312</v>
      </c>
      <c r="R13603" t="str">
        <f>"22.116866"</f>
        <v>22.116866</v>
      </c>
      <c r="S13603" t="s">
        <v>26</v>
      </c>
    </row>
    <row r="13604" spans="1:19" x14ac:dyDescent="0.3">
      <c r="A13604" t="s">
        <v>37529</v>
      </c>
      <c r="B13604" t="s">
        <v>38247</v>
      </c>
      <c r="C13604" t="s">
        <v>38394</v>
      </c>
      <c r="D13604" t="s">
        <v>37558</v>
      </c>
      <c r="E13604" t="s">
        <v>38286</v>
      </c>
      <c r="F13604" t="s">
        <v>38313</v>
      </c>
      <c r="G13604" t="s">
        <v>38313</v>
      </c>
      <c r="H13604" t="s">
        <v>136</v>
      </c>
      <c r="I13604" t="s">
        <v>137</v>
      </c>
      <c r="J13604" t="str">
        <f>"SEK119"</f>
        <v>SEK119</v>
      </c>
      <c r="K13604">
        <v>2761022569</v>
      </c>
      <c r="L13604">
        <v>2761023277</v>
      </c>
      <c r="M13604" t="s">
        <v>38395</v>
      </c>
      <c r="N13604" t="s">
        <v>38316</v>
      </c>
      <c r="O13604" t="s">
        <v>38318</v>
      </c>
      <c r="P13604">
        <v>24500</v>
      </c>
      <c r="Q13604" t="str">
        <f>"37.247542"</f>
        <v>37.247542</v>
      </c>
      <c r="R13604" t="str">
        <f>"21.669401"</f>
        <v>21.669401</v>
      </c>
      <c r="S13604" t="s">
        <v>26</v>
      </c>
    </row>
    <row r="13605" spans="1:19" x14ac:dyDescent="0.3">
      <c r="A13605" t="s">
        <v>40240</v>
      </c>
      <c r="B13605" t="s">
        <v>40273</v>
      </c>
      <c r="C13605" t="s">
        <v>40393</v>
      </c>
      <c r="D13605" t="s">
        <v>40241</v>
      </c>
      <c r="E13605" t="s">
        <v>40242</v>
      </c>
      <c r="F13605" t="s">
        <v>40242</v>
      </c>
      <c r="G13605" t="s">
        <v>40242</v>
      </c>
      <c r="H13605" t="s">
        <v>136</v>
      </c>
      <c r="I13605" t="s">
        <v>137</v>
      </c>
      <c r="J13605" t="str">
        <f>"SEK020"</f>
        <v>SEK020</v>
      </c>
      <c r="K13605">
        <v>2261087887</v>
      </c>
      <c r="L13605">
        <v>2261087888</v>
      </c>
      <c r="M13605" t="s">
        <v>40394</v>
      </c>
      <c r="N13605" t="s">
        <v>40276</v>
      </c>
      <c r="O13605" t="s">
        <v>40395</v>
      </c>
      <c r="P13605">
        <v>32131</v>
      </c>
      <c r="Q13605" t="str">
        <f>"38.440878"</f>
        <v>38.440878</v>
      </c>
      <c r="R13605" t="str">
        <f>"22.869216"</f>
        <v>22.869216</v>
      </c>
      <c r="S13605" t="s">
        <v>26</v>
      </c>
    </row>
    <row r="13606" spans="1:19" x14ac:dyDescent="0.3">
      <c r="A13606" t="s">
        <v>40240</v>
      </c>
      <c r="B13606" t="s">
        <v>40273</v>
      </c>
      <c r="C13606" t="s">
        <v>40487</v>
      </c>
      <c r="D13606" t="s">
        <v>40241</v>
      </c>
      <c r="E13606" t="s">
        <v>40303</v>
      </c>
      <c r="F13606" t="s">
        <v>40303</v>
      </c>
      <c r="G13606" t="s">
        <v>40303</v>
      </c>
      <c r="H13606" t="s">
        <v>136</v>
      </c>
      <c r="I13606" t="s">
        <v>137</v>
      </c>
      <c r="J13606" t="str">
        <f>"neo28"</f>
        <v>neo28</v>
      </c>
      <c r="K13606">
        <v>2262089366</v>
      </c>
      <c r="L13606">
        <v>2262089466</v>
      </c>
      <c r="M13606" t="s">
        <v>40488</v>
      </c>
      <c r="N13606" t="s">
        <v>40295</v>
      </c>
      <c r="O13606" t="s">
        <v>40489</v>
      </c>
      <c r="P13606">
        <v>32200</v>
      </c>
      <c r="Q13606" t="str">
        <f>"38.330007"</f>
        <v>38.330007</v>
      </c>
      <c r="R13606" t="str">
        <f>"23.336150"</f>
        <v>23.336150</v>
      </c>
      <c r="S13606" t="s">
        <v>26</v>
      </c>
    </row>
    <row r="13607" spans="1:19" x14ac:dyDescent="0.3">
      <c r="A13607" t="s">
        <v>40240</v>
      </c>
      <c r="B13607" t="s">
        <v>40505</v>
      </c>
      <c r="C13607" t="s">
        <v>40699</v>
      </c>
      <c r="D13607" t="s">
        <v>40247</v>
      </c>
      <c r="E13607" t="s">
        <v>40589</v>
      </c>
      <c r="F13607" t="s">
        <v>40667</v>
      </c>
      <c r="G13607" t="s">
        <v>40668</v>
      </c>
      <c r="H13607" t="s">
        <v>136</v>
      </c>
      <c r="I13607" t="s">
        <v>137</v>
      </c>
      <c r="J13607" t="str">
        <f>"SEK035"</f>
        <v>SEK035</v>
      </c>
      <c r="K13607">
        <v>2223025320</v>
      </c>
      <c r="L13607">
        <v>2223025320</v>
      </c>
      <c r="M13607" t="s">
        <v>40700</v>
      </c>
      <c r="N13607" t="s">
        <v>40668</v>
      </c>
      <c r="O13607" t="s">
        <v>40701</v>
      </c>
      <c r="P13607">
        <v>34500</v>
      </c>
      <c r="Q13607" t="str">
        <f>"38.408146"</f>
        <v>38.408146</v>
      </c>
      <c r="R13607" t="str">
        <f>"24.024928"</f>
        <v>24.024928</v>
      </c>
      <c r="S13607" t="s">
        <v>26</v>
      </c>
    </row>
    <row r="13608" spans="1:19" x14ac:dyDescent="0.3">
      <c r="A13608" t="s">
        <v>40240</v>
      </c>
      <c r="B13608" t="s">
        <v>40505</v>
      </c>
      <c r="C13608" t="s">
        <v>40803</v>
      </c>
      <c r="D13608" t="s">
        <v>40247</v>
      </c>
      <c r="E13608" t="s">
        <v>40248</v>
      </c>
      <c r="F13608" t="s">
        <v>40248</v>
      </c>
      <c r="G13608" t="s">
        <v>40248</v>
      </c>
      <c r="H13608" t="s">
        <v>136</v>
      </c>
      <c r="I13608" t="s">
        <v>137</v>
      </c>
      <c r="J13608" t="str">
        <f>"SEK051"</f>
        <v>SEK051</v>
      </c>
      <c r="K13608">
        <v>2221083650</v>
      </c>
      <c r="L13608">
        <v>2221083650</v>
      </c>
      <c r="M13608" t="s">
        <v>40804</v>
      </c>
      <c r="N13608" t="s">
        <v>40519</v>
      </c>
      <c r="O13608" t="s">
        <v>40805</v>
      </c>
      <c r="P13608">
        <v>34100</v>
      </c>
      <c r="Q13608" t="str">
        <f>"38.458205"</f>
        <v>38.458205</v>
      </c>
      <c r="R13608" t="str">
        <f>"23.597407"</f>
        <v>23.597407</v>
      </c>
      <c r="S13608" t="s">
        <v>26</v>
      </c>
    </row>
    <row r="13609" spans="1:19" x14ac:dyDescent="0.3">
      <c r="A13609" t="s">
        <v>40240</v>
      </c>
      <c r="B13609" t="s">
        <v>40891</v>
      </c>
      <c r="C13609" t="s">
        <v>40953</v>
      </c>
      <c r="D13609" t="s">
        <v>40260</v>
      </c>
      <c r="E13609" t="s">
        <v>40261</v>
      </c>
      <c r="F13609" t="s">
        <v>40261</v>
      </c>
      <c r="G13609" t="s">
        <v>40261</v>
      </c>
      <c r="H13609" t="s">
        <v>136</v>
      </c>
      <c r="I13609" t="s">
        <v>137</v>
      </c>
      <c r="J13609" t="str">
        <f>"SEK002"</f>
        <v>SEK002</v>
      </c>
      <c r="K13609">
        <v>2231052325</v>
      </c>
      <c r="L13609">
        <v>2231052325</v>
      </c>
      <c r="M13609" t="s">
        <v>40954</v>
      </c>
      <c r="N13609" t="s">
        <v>40894</v>
      </c>
      <c r="O13609" t="s">
        <v>40955</v>
      </c>
      <c r="P13609">
        <v>35131</v>
      </c>
      <c r="Q13609" t="str">
        <f>"38.920618"</f>
        <v>38.920618</v>
      </c>
      <c r="R13609" t="str">
        <f>"22.424166"</f>
        <v>22.424166</v>
      </c>
      <c r="S13609" t="s">
        <v>26</v>
      </c>
    </row>
    <row r="13610" spans="1:19" x14ac:dyDescent="0.3">
      <c r="A13610" t="s">
        <v>40240</v>
      </c>
      <c r="B13610" t="s">
        <v>41165</v>
      </c>
      <c r="C13610" t="s">
        <v>41199</v>
      </c>
      <c r="D13610" t="s">
        <v>40266</v>
      </c>
      <c r="E13610" t="s">
        <v>40267</v>
      </c>
      <c r="F13610" t="s">
        <v>40268</v>
      </c>
      <c r="G13610" t="s">
        <v>40268</v>
      </c>
      <c r="H13610" t="s">
        <v>136</v>
      </c>
      <c r="I13610" t="s">
        <v>137</v>
      </c>
      <c r="J13610" t="str">
        <f>"SEK013"</f>
        <v>SEK013</v>
      </c>
      <c r="K13610">
        <v>2265072740</v>
      </c>
      <c r="L13610">
        <v>2265072449</v>
      </c>
      <c r="M13610" t="s">
        <v>41200</v>
      </c>
      <c r="N13610" t="s">
        <v>41172</v>
      </c>
      <c r="O13610" t="s">
        <v>41201</v>
      </c>
      <c r="P13610">
        <v>33100</v>
      </c>
      <c r="Q13610" t="str">
        <f>"38.522905"</f>
        <v>38.522905</v>
      </c>
      <c r="R13610" t="str">
        <f>"22.384240"</f>
        <v>22.384240</v>
      </c>
      <c r="S13610" t="s">
        <v>26</v>
      </c>
    </row>
    <row r="13611" spans="1:19" x14ac:dyDescent="0.3">
      <c r="A13611" t="s">
        <v>42974</v>
      </c>
      <c r="C13611" t="s">
        <v>42985</v>
      </c>
      <c r="D13611" t="s">
        <v>3256</v>
      </c>
      <c r="E13611" t="s">
        <v>5563</v>
      </c>
      <c r="F13611" t="s">
        <v>5563</v>
      </c>
      <c r="G13611" t="s">
        <v>5611</v>
      </c>
      <c r="H13611" t="s">
        <v>136</v>
      </c>
      <c r="I13611" t="s">
        <v>137</v>
      </c>
      <c r="J13611" t="str">
        <f>"SEK019"</f>
        <v>SEK019</v>
      </c>
      <c r="K13611">
        <v>2104857620</v>
      </c>
      <c r="M13611" t="s">
        <v>42986</v>
      </c>
      <c r="N13611" t="s">
        <v>5567</v>
      </c>
      <c r="O13611" t="s">
        <v>42977</v>
      </c>
      <c r="P13611">
        <v>17610</v>
      </c>
      <c r="Q13611" t="str">
        <f>""</f>
        <v/>
      </c>
      <c r="R13611" t="str">
        <f>""</f>
        <v/>
      </c>
      <c r="S13611" t="s">
        <v>26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16112-F837-4448-B167-EB8686CEDBA4}">
  <dimension ref="A1:P72"/>
  <sheetViews>
    <sheetView tabSelected="1" topLeftCell="C1" workbookViewId="0">
      <selection activeCell="C4" sqref="C4"/>
    </sheetView>
  </sheetViews>
  <sheetFormatPr defaultRowHeight="14.4" x14ac:dyDescent="0.3"/>
  <cols>
    <col min="1" max="1" width="17.77734375" customWidth="1"/>
    <col min="2" max="2" width="16.77734375" customWidth="1"/>
    <col min="3" max="3" width="35" customWidth="1"/>
    <col min="4" max="4" width="15" customWidth="1"/>
    <col min="5" max="5" width="12" customWidth="1"/>
    <col min="6" max="6" width="13.109375" customWidth="1"/>
    <col min="7" max="7" width="13.21875" customWidth="1"/>
    <col min="9" max="10" width="11" bestFit="1" customWidth="1"/>
    <col min="11" max="11" width="25.6640625" bestFit="1" customWidth="1"/>
  </cols>
  <sheetData>
    <row r="1" spans="1:16" s="1" customFormat="1" x14ac:dyDescent="0.3">
      <c r="A1" s="1" t="s">
        <v>0</v>
      </c>
      <c r="B1" s="1" t="s">
        <v>1</v>
      </c>
      <c r="C1" s="1" t="s">
        <v>9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8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</row>
    <row r="2" spans="1:16" x14ac:dyDescent="0.3">
      <c r="A2" t="s">
        <v>19</v>
      </c>
      <c r="C2" t="s">
        <v>22</v>
      </c>
      <c r="D2" t="s">
        <v>21</v>
      </c>
      <c r="E2" t="s">
        <v>21</v>
      </c>
      <c r="F2" t="s">
        <v>21</v>
      </c>
      <c r="G2" t="s">
        <v>21</v>
      </c>
      <c r="H2" t="str">
        <f>"9000714"</f>
        <v>9000714</v>
      </c>
      <c r="I2">
        <v>2521076511</v>
      </c>
      <c r="J2">
        <v>2521076511</v>
      </c>
      <c r="K2" t="s">
        <v>23</v>
      </c>
      <c r="L2" t="s">
        <v>24</v>
      </c>
      <c r="M2" t="s">
        <v>25</v>
      </c>
      <c r="N2">
        <v>66100</v>
      </c>
      <c r="O2" t="str">
        <f>"41.117155"</f>
        <v>41.117155</v>
      </c>
      <c r="P2" t="str">
        <f>"24.094777"</f>
        <v>24.094777</v>
      </c>
    </row>
    <row r="3" spans="1:16" x14ac:dyDescent="0.3">
      <c r="A3" t="s">
        <v>19</v>
      </c>
      <c r="C3" t="s">
        <v>29</v>
      </c>
      <c r="D3" t="s">
        <v>27</v>
      </c>
      <c r="E3" t="s">
        <v>28</v>
      </c>
      <c r="F3" t="s">
        <v>28</v>
      </c>
      <c r="G3" t="s">
        <v>28</v>
      </c>
      <c r="H3" t="str">
        <f>"9000715"</f>
        <v>9000715</v>
      </c>
      <c r="I3">
        <v>2551080170</v>
      </c>
      <c r="J3">
        <v>2551083750</v>
      </c>
      <c r="K3" t="s">
        <v>30</v>
      </c>
      <c r="L3" t="s">
        <v>31</v>
      </c>
      <c r="M3" t="s">
        <v>32</v>
      </c>
      <c r="N3">
        <v>68100</v>
      </c>
      <c r="O3" t="str">
        <f>"40.845719"</f>
        <v>40.845719</v>
      </c>
      <c r="P3" t="str">
        <f>"25.873962"</f>
        <v>25.873962</v>
      </c>
    </row>
    <row r="4" spans="1:16" x14ac:dyDescent="0.3">
      <c r="A4" t="s">
        <v>19</v>
      </c>
      <c r="C4" t="s">
        <v>34</v>
      </c>
      <c r="D4" t="s">
        <v>33</v>
      </c>
      <c r="E4" t="s">
        <v>33</v>
      </c>
      <c r="F4" t="s">
        <v>33</v>
      </c>
      <c r="G4" t="s">
        <v>33</v>
      </c>
      <c r="H4" t="str">
        <f>"9000716"</f>
        <v>9000716</v>
      </c>
      <c r="I4">
        <v>2513503471</v>
      </c>
      <c r="J4">
        <v>2513503475</v>
      </c>
      <c r="K4" t="s">
        <v>35</v>
      </c>
      <c r="L4" t="s">
        <v>36</v>
      </c>
      <c r="M4" t="s">
        <v>37</v>
      </c>
      <c r="N4">
        <v>65110</v>
      </c>
      <c r="O4" t="str">
        <f>"40.935173"</f>
        <v>40.935173</v>
      </c>
      <c r="P4" t="str">
        <f>"24.406591"</f>
        <v>24.406591</v>
      </c>
    </row>
    <row r="5" spans="1:16" x14ac:dyDescent="0.3">
      <c r="A5" t="s">
        <v>19</v>
      </c>
      <c r="C5" t="s">
        <v>39</v>
      </c>
      <c r="D5" t="s">
        <v>38</v>
      </c>
      <c r="E5" t="s">
        <v>38</v>
      </c>
      <c r="F5" t="s">
        <v>38</v>
      </c>
      <c r="G5" t="s">
        <v>38</v>
      </c>
      <c r="H5" t="str">
        <f>"9000717"</f>
        <v>9000717</v>
      </c>
      <c r="I5">
        <v>2541083691</v>
      </c>
      <c r="J5">
        <v>2541083689</v>
      </c>
      <c r="K5" t="s">
        <v>40</v>
      </c>
      <c r="L5" t="s">
        <v>41</v>
      </c>
      <c r="M5" t="s">
        <v>42</v>
      </c>
      <c r="N5">
        <v>67133</v>
      </c>
      <c r="O5" t="str">
        <f>"41.123323"</f>
        <v>41.123323</v>
      </c>
      <c r="P5" t="str">
        <f>"24.876545"</f>
        <v>24.876545</v>
      </c>
    </row>
    <row r="6" spans="1:16" x14ac:dyDescent="0.3">
      <c r="A6" t="s">
        <v>19</v>
      </c>
      <c r="C6" t="s">
        <v>45</v>
      </c>
      <c r="D6" t="s">
        <v>43</v>
      </c>
      <c r="E6" t="s">
        <v>44</v>
      </c>
      <c r="F6" t="s">
        <v>44</v>
      </c>
      <c r="G6" t="s">
        <v>44</v>
      </c>
      <c r="H6" t="str">
        <f>"9000718"</f>
        <v>9000718</v>
      </c>
      <c r="I6">
        <v>2531081288</v>
      </c>
      <c r="J6">
        <v>2531082896</v>
      </c>
      <c r="K6" t="s">
        <v>46</v>
      </c>
      <c r="L6" t="s">
        <v>47</v>
      </c>
      <c r="M6" t="s">
        <v>48</v>
      </c>
      <c r="N6">
        <v>69132</v>
      </c>
      <c r="O6" t="str">
        <f>"41.117506"</f>
        <v>41.117506</v>
      </c>
      <c r="P6" t="str">
        <f>"25.395841"</f>
        <v>25.395841</v>
      </c>
    </row>
    <row r="7" spans="1:16" x14ac:dyDescent="0.3">
      <c r="A7" t="s">
        <v>3237</v>
      </c>
      <c r="C7" t="s">
        <v>3241</v>
      </c>
      <c r="D7" t="s">
        <v>3238</v>
      </c>
      <c r="E7" t="s">
        <v>3239</v>
      </c>
      <c r="F7" t="s">
        <v>3239</v>
      </c>
      <c r="G7" t="s">
        <v>3240</v>
      </c>
      <c r="H7" t="str">
        <f>"9000701"</f>
        <v>9000701</v>
      </c>
      <c r="I7">
        <v>2106929636</v>
      </c>
      <c r="K7" t="s">
        <v>3242</v>
      </c>
      <c r="L7" t="s">
        <v>3243</v>
      </c>
      <c r="M7" t="s">
        <v>3244</v>
      </c>
      <c r="N7">
        <v>10438</v>
      </c>
      <c r="O7" t="str">
        <f>"37.987407"</f>
        <v>37.987407</v>
      </c>
      <c r="P7" t="str">
        <f>"23.721504"</f>
        <v>23.721504</v>
      </c>
    </row>
    <row r="8" spans="1:16" x14ac:dyDescent="0.3">
      <c r="A8" t="s">
        <v>3237</v>
      </c>
      <c r="C8" t="s">
        <v>3247</v>
      </c>
      <c r="D8" t="s">
        <v>3245</v>
      </c>
      <c r="E8" t="s">
        <v>3246</v>
      </c>
      <c r="F8" t="s">
        <v>3246</v>
      </c>
      <c r="G8" t="s">
        <v>3246</v>
      </c>
      <c r="H8" t="str">
        <f>"9000703"</f>
        <v>9000703</v>
      </c>
      <c r="I8">
        <v>2102797176</v>
      </c>
      <c r="J8">
        <v>2102719857</v>
      </c>
      <c r="K8" t="s">
        <v>3248</v>
      </c>
      <c r="L8" t="s">
        <v>3249</v>
      </c>
      <c r="M8" t="s">
        <v>3250</v>
      </c>
      <c r="N8">
        <v>14231</v>
      </c>
      <c r="O8" t="str">
        <f>"38.043040"</f>
        <v>38.043040</v>
      </c>
      <c r="P8" t="str">
        <f>"23.754063"</f>
        <v>23.754063</v>
      </c>
    </row>
    <row r="9" spans="1:16" x14ac:dyDescent="0.3">
      <c r="A9" t="s">
        <v>3237</v>
      </c>
      <c r="C9" t="s">
        <v>3253</v>
      </c>
      <c r="D9" t="s">
        <v>3251</v>
      </c>
      <c r="E9" t="s">
        <v>3252</v>
      </c>
      <c r="F9" t="s">
        <v>3252</v>
      </c>
      <c r="G9" t="s">
        <v>3252</v>
      </c>
      <c r="H9" t="str">
        <f>"9000705"</f>
        <v>9000705</v>
      </c>
      <c r="I9">
        <v>2105610995</v>
      </c>
      <c r="J9">
        <v>2105613655</v>
      </c>
      <c r="K9" t="s">
        <v>3254</v>
      </c>
      <c r="L9" t="s">
        <v>3252</v>
      </c>
      <c r="M9" t="s">
        <v>3255</v>
      </c>
      <c r="N9">
        <v>12241</v>
      </c>
      <c r="O9" t="str">
        <f>"37.981090"</f>
        <v>37.981090</v>
      </c>
      <c r="P9" t="str">
        <f>"23.671554"</f>
        <v>23.671554</v>
      </c>
    </row>
    <row r="10" spans="1:16" x14ac:dyDescent="0.3">
      <c r="A10" t="s">
        <v>3237</v>
      </c>
      <c r="C10" t="s">
        <v>3258</v>
      </c>
      <c r="D10" t="s">
        <v>3256</v>
      </c>
      <c r="E10" t="s">
        <v>3257</v>
      </c>
      <c r="F10" t="s">
        <v>3257</v>
      </c>
      <c r="G10" t="s">
        <v>3257</v>
      </c>
      <c r="H10" t="str">
        <f>"9000707"</f>
        <v>9000707</v>
      </c>
      <c r="I10">
        <v>2131617491</v>
      </c>
      <c r="K10" t="s">
        <v>3259</v>
      </c>
      <c r="L10" t="s">
        <v>3260</v>
      </c>
      <c r="M10" t="s">
        <v>3261</v>
      </c>
      <c r="N10">
        <v>17121</v>
      </c>
      <c r="O10" t="str">
        <f>"37.952561"</f>
        <v>37.952561</v>
      </c>
      <c r="P10" t="str">
        <f>"23.711996"</f>
        <v>23.711996</v>
      </c>
    </row>
    <row r="11" spans="1:16" x14ac:dyDescent="0.3">
      <c r="A11" t="s">
        <v>3237</v>
      </c>
      <c r="C11" t="s">
        <v>3264</v>
      </c>
      <c r="D11" t="s">
        <v>3262</v>
      </c>
      <c r="E11" t="s">
        <v>3263</v>
      </c>
      <c r="F11" t="s">
        <v>3263</v>
      </c>
      <c r="G11" t="s">
        <v>3263</v>
      </c>
      <c r="H11" t="str">
        <f>"9000709"</f>
        <v>9000709</v>
      </c>
      <c r="I11">
        <v>2106028050</v>
      </c>
      <c r="J11">
        <v>2106028050</v>
      </c>
      <c r="K11" t="s">
        <v>3265</v>
      </c>
      <c r="L11" t="s">
        <v>3266</v>
      </c>
      <c r="M11" t="s">
        <v>3267</v>
      </c>
      <c r="N11">
        <v>19400</v>
      </c>
      <c r="O11" t="str">
        <f>"37.905457"</f>
        <v>37.905457</v>
      </c>
      <c r="P11" t="str">
        <f>"23.868385"</f>
        <v>23.868385</v>
      </c>
    </row>
    <row r="12" spans="1:16" x14ac:dyDescent="0.3">
      <c r="A12" t="s">
        <v>3237</v>
      </c>
      <c r="C12" t="s">
        <v>3271</v>
      </c>
      <c r="D12" t="s">
        <v>3268</v>
      </c>
      <c r="E12" t="s">
        <v>3269</v>
      </c>
      <c r="F12" t="s">
        <v>3270</v>
      </c>
      <c r="G12" t="s">
        <v>3270</v>
      </c>
      <c r="H12" t="str">
        <f>"9000711"</f>
        <v>9000711</v>
      </c>
      <c r="I12">
        <v>2105561990</v>
      </c>
      <c r="J12">
        <v>2105544853</v>
      </c>
      <c r="K12" t="s">
        <v>3272</v>
      </c>
      <c r="L12" t="s">
        <v>3273</v>
      </c>
      <c r="M12" t="s">
        <v>3274</v>
      </c>
      <c r="N12">
        <v>19200</v>
      </c>
      <c r="O12" t="str">
        <f>"38.036599"</f>
        <v>38.036599</v>
      </c>
      <c r="P12" t="str">
        <f>"23.539572"</f>
        <v>23.539572</v>
      </c>
    </row>
    <row r="13" spans="1:16" x14ac:dyDescent="0.3">
      <c r="A13" t="s">
        <v>3237</v>
      </c>
      <c r="C13" t="s">
        <v>3277</v>
      </c>
      <c r="D13" t="s">
        <v>3275</v>
      </c>
      <c r="E13" t="s">
        <v>3275</v>
      </c>
      <c r="F13" t="s">
        <v>3275</v>
      </c>
      <c r="G13" t="s">
        <v>3276</v>
      </c>
      <c r="H13" t="str">
        <f>"9000712"</f>
        <v>9000712</v>
      </c>
      <c r="I13">
        <v>2104131561</v>
      </c>
      <c r="J13">
        <v>2104131509</v>
      </c>
      <c r="K13" t="s">
        <v>3278</v>
      </c>
      <c r="L13" t="s">
        <v>3279</v>
      </c>
      <c r="M13" t="s">
        <v>3280</v>
      </c>
      <c r="N13">
        <v>18545</v>
      </c>
      <c r="O13" t="str">
        <f>"37.954007"</f>
        <v>37.954007</v>
      </c>
      <c r="P13" t="str">
        <f>"23.638565"</f>
        <v>23.638565</v>
      </c>
    </row>
    <row r="14" spans="1:16" x14ac:dyDescent="0.3">
      <c r="A14" t="s">
        <v>3237</v>
      </c>
      <c r="C14" t="s">
        <v>3282</v>
      </c>
      <c r="D14" t="s">
        <v>3238</v>
      </c>
      <c r="E14" t="s">
        <v>3239</v>
      </c>
      <c r="F14" t="s">
        <v>3239</v>
      </c>
      <c r="G14" t="s">
        <v>3281</v>
      </c>
      <c r="H14" t="str">
        <f>"9000702"</f>
        <v>9000702</v>
      </c>
      <c r="I14">
        <v>2107568137</v>
      </c>
      <c r="K14" t="s">
        <v>3283</v>
      </c>
      <c r="L14" t="s">
        <v>3284</v>
      </c>
      <c r="M14" t="s">
        <v>3285</v>
      </c>
      <c r="N14">
        <v>11632</v>
      </c>
      <c r="O14" t="str">
        <f>"37.962797"</f>
        <v>37.962797</v>
      </c>
      <c r="P14" t="str">
        <f>"23.742092"</f>
        <v>23.742092</v>
      </c>
    </row>
    <row r="15" spans="1:16" x14ac:dyDescent="0.3">
      <c r="A15" t="s">
        <v>3237</v>
      </c>
      <c r="C15" t="s">
        <v>3286</v>
      </c>
      <c r="D15" t="s">
        <v>3245</v>
      </c>
      <c r="E15" t="s">
        <v>152</v>
      </c>
      <c r="F15" t="s">
        <v>152</v>
      </c>
      <c r="G15" t="s">
        <v>152</v>
      </c>
      <c r="H15" t="str">
        <f>"9000704"</f>
        <v>9000704</v>
      </c>
      <c r="I15">
        <v>2106512513</v>
      </c>
      <c r="J15">
        <v>21065125</v>
      </c>
      <c r="K15" t="s">
        <v>3287</v>
      </c>
      <c r="L15" t="s">
        <v>3288</v>
      </c>
      <c r="M15" t="s">
        <v>3289</v>
      </c>
      <c r="N15">
        <v>15341</v>
      </c>
      <c r="O15" t="str">
        <f>"38.006429"</f>
        <v>38.006429</v>
      </c>
      <c r="P15" t="str">
        <f>"23.808664"</f>
        <v>23.808664</v>
      </c>
    </row>
    <row r="16" spans="1:16" x14ac:dyDescent="0.3">
      <c r="A16" t="s">
        <v>3237</v>
      </c>
      <c r="C16" t="s">
        <v>3291</v>
      </c>
      <c r="D16" t="s">
        <v>3251</v>
      </c>
      <c r="E16" t="s">
        <v>3290</v>
      </c>
      <c r="F16" t="s">
        <v>3290</v>
      </c>
      <c r="G16" t="s">
        <v>3290</v>
      </c>
      <c r="H16" t="str">
        <f>"9000706"</f>
        <v>9000706</v>
      </c>
      <c r="I16">
        <v>2102690215</v>
      </c>
      <c r="K16" t="s">
        <v>3292</v>
      </c>
      <c r="L16" t="s">
        <v>3293</v>
      </c>
      <c r="M16" t="s">
        <v>3294</v>
      </c>
      <c r="N16">
        <v>13121</v>
      </c>
      <c r="O16" t="str">
        <f>"38.024298"</f>
        <v>38.024298</v>
      </c>
      <c r="P16" t="str">
        <f>"23.702830"</f>
        <v>23.702830</v>
      </c>
    </row>
    <row r="17" spans="1:16" x14ac:dyDescent="0.3">
      <c r="A17" t="s">
        <v>3237</v>
      </c>
      <c r="C17" t="s">
        <v>3296</v>
      </c>
      <c r="D17" t="s">
        <v>3256</v>
      </c>
      <c r="E17" t="s">
        <v>3295</v>
      </c>
      <c r="F17" t="s">
        <v>3295</v>
      </c>
      <c r="G17" t="s">
        <v>3295</v>
      </c>
      <c r="H17" t="str">
        <f>"9000708"</f>
        <v>9000708</v>
      </c>
      <c r="K17" t="s">
        <v>3297</v>
      </c>
      <c r="O17" t="str">
        <f>"37.926024"</f>
        <v>37.926024</v>
      </c>
      <c r="P17" t="str">
        <f>"23.741005"</f>
        <v>23.741005</v>
      </c>
    </row>
    <row r="18" spans="1:16" x14ac:dyDescent="0.3">
      <c r="A18" t="s">
        <v>3237</v>
      </c>
      <c r="C18" t="s">
        <v>3299</v>
      </c>
      <c r="D18" t="s">
        <v>3262</v>
      </c>
      <c r="E18" t="s">
        <v>3298</v>
      </c>
      <c r="F18" t="s">
        <v>3298</v>
      </c>
      <c r="G18" t="s">
        <v>3298</v>
      </c>
      <c r="H18" t="str">
        <f>"9000710"</f>
        <v>9000710</v>
      </c>
      <c r="I18">
        <v>2102315410</v>
      </c>
      <c r="K18" t="s">
        <v>3300</v>
      </c>
      <c r="L18" t="s">
        <v>3301</v>
      </c>
      <c r="M18" t="s">
        <v>3302</v>
      </c>
      <c r="N18">
        <v>13671</v>
      </c>
      <c r="O18" t="str">
        <f>"38.061374"</f>
        <v>38.061374</v>
      </c>
      <c r="P18" t="str">
        <f>"23.732211"</f>
        <v>23.732211</v>
      </c>
    </row>
    <row r="19" spans="1:16" x14ac:dyDescent="0.3">
      <c r="A19" t="s">
        <v>3237</v>
      </c>
      <c r="C19" t="s">
        <v>3304</v>
      </c>
      <c r="D19" t="s">
        <v>3275</v>
      </c>
      <c r="E19" t="s">
        <v>3303</v>
      </c>
      <c r="F19" t="s">
        <v>3303</v>
      </c>
      <c r="G19" t="s">
        <v>3303</v>
      </c>
      <c r="H19" t="str">
        <f>"9000713"</f>
        <v>9000713</v>
      </c>
      <c r="I19">
        <v>2104121095</v>
      </c>
      <c r="K19" t="s">
        <v>3305</v>
      </c>
      <c r="L19" t="s">
        <v>3279</v>
      </c>
      <c r="M19" t="s">
        <v>3306</v>
      </c>
      <c r="N19">
        <v>18545</v>
      </c>
      <c r="O19" t="str">
        <f>"37.952169"</f>
        <v>37.952169</v>
      </c>
      <c r="P19" t="str">
        <f>"23.643335"</f>
        <v>23.643335</v>
      </c>
    </row>
    <row r="20" spans="1:16" x14ac:dyDescent="0.3">
      <c r="A20" t="s">
        <v>12435</v>
      </c>
      <c r="C20" t="s">
        <v>12438</v>
      </c>
      <c r="D20" t="s">
        <v>12436</v>
      </c>
      <c r="E20" t="s">
        <v>12437</v>
      </c>
      <c r="F20" t="s">
        <v>12437</v>
      </c>
      <c r="G20" t="s">
        <v>12437</v>
      </c>
      <c r="H20" t="str">
        <f>"9000719"</f>
        <v>9000719</v>
      </c>
      <c r="I20">
        <v>2251037344</v>
      </c>
      <c r="J20">
        <v>2251037344</v>
      </c>
      <c r="K20" t="s">
        <v>12439</v>
      </c>
      <c r="L20" t="s">
        <v>12440</v>
      </c>
      <c r="M20" t="s">
        <v>12441</v>
      </c>
      <c r="N20">
        <v>81100</v>
      </c>
      <c r="O20" t="str">
        <f>"39.105228"</f>
        <v>39.105228</v>
      </c>
      <c r="P20" t="str">
        <f>"26.552754"</f>
        <v>26.552754</v>
      </c>
    </row>
    <row r="21" spans="1:16" x14ac:dyDescent="0.3">
      <c r="A21" t="s">
        <v>12435</v>
      </c>
      <c r="C21" t="s">
        <v>12444</v>
      </c>
      <c r="D21" t="s">
        <v>12442</v>
      </c>
      <c r="E21" t="s">
        <v>12443</v>
      </c>
      <c r="F21" t="s">
        <v>12041</v>
      </c>
      <c r="G21" t="s">
        <v>12041</v>
      </c>
      <c r="H21" t="str">
        <f>"9000721"</f>
        <v>9000721</v>
      </c>
      <c r="I21">
        <v>2273087214</v>
      </c>
      <c r="J21">
        <v>2273087214</v>
      </c>
      <c r="K21" t="s">
        <v>12445</v>
      </c>
      <c r="L21" t="s">
        <v>12446</v>
      </c>
      <c r="M21" t="s">
        <v>12447</v>
      </c>
      <c r="N21">
        <v>83100</v>
      </c>
      <c r="O21" t="str">
        <f>"37.754333"</f>
        <v>37.754333</v>
      </c>
      <c r="P21" t="str">
        <f>"26.980792"</f>
        <v>26.980792</v>
      </c>
    </row>
    <row r="22" spans="1:16" x14ac:dyDescent="0.3">
      <c r="A22" t="s">
        <v>12435</v>
      </c>
      <c r="C22" t="s">
        <v>12449</v>
      </c>
      <c r="D22" t="s">
        <v>12448</v>
      </c>
      <c r="E22" t="s">
        <v>12448</v>
      </c>
      <c r="F22" t="s">
        <v>12448</v>
      </c>
      <c r="G22" t="s">
        <v>12448</v>
      </c>
      <c r="H22" t="str">
        <f>"9000722"</f>
        <v>9000722</v>
      </c>
      <c r="I22">
        <v>2271024721</v>
      </c>
      <c r="J22">
        <v>2271024721</v>
      </c>
      <c r="K22" t="s">
        <v>12450</v>
      </c>
      <c r="L22" t="s">
        <v>12451</v>
      </c>
      <c r="M22" t="s">
        <v>12452</v>
      </c>
      <c r="N22">
        <v>82132</v>
      </c>
      <c r="O22" t="str">
        <f>"38.368692"</f>
        <v>38.368692</v>
      </c>
      <c r="P22" t="str">
        <f>"26.132271"</f>
        <v>26.132271</v>
      </c>
    </row>
    <row r="23" spans="1:16" x14ac:dyDescent="0.3">
      <c r="A23" t="s">
        <v>12435</v>
      </c>
      <c r="C23" t="s">
        <v>12456</v>
      </c>
      <c r="D23" t="s">
        <v>12453</v>
      </c>
      <c r="E23" t="s">
        <v>12453</v>
      </c>
      <c r="F23" t="s">
        <v>12454</v>
      </c>
      <c r="G23" t="s">
        <v>12455</v>
      </c>
      <c r="H23" t="str">
        <f>"9000720"</f>
        <v>9000720</v>
      </c>
      <c r="I23">
        <v>2254024701</v>
      </c>
      <c r="K23" t="s">
        <v>12457</v>
      </c>
      <c r="L23" t="s">
        <v>12458</v>
      </c>
      <c r="M23" t="s">
        <v>12459</v>
      </c>
      <c r="N23">
        <v>81400</v>
      </c>
      <c r="O23" t="str">
        <f>"39.879924"</f>
        <v>39.879924</v>
      </c>
      <c r="P23" t="str">
        <f>"25.065331"</f>
        <v>25.065331</v>
      </c>
    </row>
    <row r="24" spans="1:16" x14ac:dyDescent="0.3">
      <c r="A24" t="s">
        <v>13791</v>
      </c>
      <c r="C24" t="s">
        <v>13794</v>
      </c>
      <c r="D24" t="s">
        <v>13792</v>
      </c>
      <c r="E24" t="s">
        <v>13793</v>
      </c>
      <c r="F24" t="s">
        <v>13793</v>
      </c>
      <c r="G24" t="s">
        <v>3986</v>
      </c>
      <c r="H24" t="str">
        <f>"9000723"</f>
        <v>9000723</v>
      </c>
      <c r="I24">
        <v>2631055258</v>
      </c>
      <c r="J24">
        <v>2631055063</v>
      </c>
      <c r="K24" t="s">
        <v>13795</v>
      </c>
      <c r="L24" t="s">
        <v>13796</v>
      </c>
      <c r="M24" t="s">
        <v>13797</v>
      </c>
      <c r="N24">
        <v>30200</v>
      </c>
      <c r="O24" t="str">
        <f>"38.373540"</f>
        <v>38.373540</v>
      </c>
      <c r="P24" t="str">
        <f>"21.439716"</f>
        <v>21.439716</v>
      </c>
    </row>
    <row r="25" spans="1:16" x14ac:dyDescent="0.3">
      <c r="A25" t="s">
        <v>13791</v>
      </c>
      <c r="C25" t="s">
        <v>13801</v>
      </c>
      <c r="D25" t="s">
        <v>13798</v>
      </c>
      <c r="E25" t="s">
        <v>13799</v>
      </c>
      <c r="F25" t="s">
        <v>13799</v>
      </c>
      <c r="G25" t="s">
        <v>13800</v>
      </c>
      <c r="H25" t="str">
        <f>"9000724"</f>
        <v>9000724</v>
      </c>
      <c r="I25">
        <v>2610461953</v>
      </c>
      <c r="J25">
        <v>2610229995</v>
      </c>
      <c r="K25" t="s">
        <v>13802</v>
      </c>
      <c r="L25" t="s">
        <v>13803</v>
      </c>
      <c r="M25" t="s">
        <v>13804</v>
      </c>
      <c r="N25">
        <v>26223</v>
      </c>
      <c r="O25" t="str">
        <f>"38.254749"</f>
        <v>38.254749</v>
      </c>
      <c r="P25" t="str">
        <f>"21.741503"</f>
        <v>21.741503</v>
      </c>
    </row>
    <row r="26" spans="1:16" x14ac:dyDescent="0.3">
      <c r="A26" t="s">
        <v>13791</v>
      </c>
      <c r="C26" t="s">
        <v>13806</v>
      </c>
      <c r="D26" t="s">
        <v>13805</v>
      </c>
      <c r="E26" t="s">
        <v>1210</v>
      </c>
      <c r="F26" t="s">
        <v>1210</v>
      </c>
      <c r="G26" t="s">
        <v>1210</v>
      </c>
      <c r="H26" t="str">
        <f>"9000726"</f>
        <v>9000726</v>
      </c>
      <c r="I26">
        <v>2621020338</v>
      </c>
      <c r="J26">
        <v>2621020339</v>
      </c>
      <c r="K26" t="s">
        <v>13807</v>
      </c>
      <c r="L26" t="s">
        <v>1211</v>
      </c>
      <c r="M26" t="s">
        <v>13808</v>
      </c>
      <c r="N26">
        <v>27131</v>
      </c>
      <c r="O26" t="str">
        <f>"37.678946"</f>
        <v>37.678946</v>
      </c>
      <c r="P26" t="str">
        <f>"21.425794"</f>
        <v>21.425794</v>
      </c>
    </row>
    <row r="27" spans="1:16" x14ac:dyDescent="0.3">
      <c r="A27" t="s">
        <v>13791</v>
      </c>
      <c r="C27" t="s">
        <v>13810</v>
      </c>
      <c r="D27" t="s">
        <v>13798</v>
      </c>
      <c r="E27" t="s">
        <v>13799</v>
      </c>
      <c r="F27" t="s">
        <v>13799</v>
      </c>
      <c r="G27" t="s">
        <v>13809</v>
      </c>
      <c r="H27" t="str">
        <f>"9000725"</f>
        <v>9000725</v>
      </c>
      <c r="K27" t="s">
        <v>13811</v>
      </c>
      <c r="O27" t="str">
        <f>"38.255633"</f>
        <v>38.255633</v>
      </c>
      <c r="P27" t="str">
        <f>"21.740309"</f>
        <v>21.740309</v>
      </c>
    </row>
    <row r="28" spans="1:16" x14ac:dyDescent="0.3">
      <c r="A28" t="s">
        <v>17244</v>
      </c>
      <c r="C28" t="s">
        <v>17246</v>
      </c>
      <c r="D28" t="s">
        <v>17245</v>
      </c>
      <c r="E28" t="s">
        <v>17245</v>
      </c>
      <c r="F28" t="s">
        <v>17245</v>
      </c>
      <c r="G28" t="s">
        <v>17245</v>
      </c>
      <c r="H28" t="str">
        <f>"9000727"</f>
        <v>9000727</v>
      </c>
      <c r="I28">
        <v>2462023104</v>
      </c>
      <c r="J28">
        <v>2462087976</v>
      </c>
      <c r="K28" t="s">
        <v>17247</v>
      </c>
      <c r="L28" t="s">
        <v>17248</v>
      </c>
      <c r="M28" t="s">
        <v>17249</v>
      </c>
      <c r="N28">
        <v>51100</v>
      </c>
      <c r="O28" t="str">
        <f>"40.085785"</f>
        <v>40.085785</v>
      </c>
      <c r="P28" t="str">
        <f>"21.422717"</f>
        <v>21.422717</v>
      </c>
    </row>
    <row r="29" spans="1:16" x14ac:dyDescent="0.3">
      <c r="A29" t="s">
        <v>17244</v>
      </c>
      <c r="C29" t="s">
        <v>17251</v>
      </c>
      <c r="D29" t="s">
        <v>17250</v>
      </c>
      <c r="E29" t="s">
        <v>17250</v>
      </c>
      <c r="F29" t="s">
        <v>17250</v>
      </c>
      <c r="G29" t="s">
        <v>17250</v>
      </c>
      <c r="H29" t="str">
        <f>"9000728"</f>
        <v>9000728</v>
      </c>
      <c r="I29">
        <v>2467044021</v>
      </c>
      <c r="J29">
        <v>2467042024</v>
      </c>
      <c r="K29" t="s">
        <v>17252</v>
      </c>
      <c r="L29" t="s">
        <v>17253</v>
      </c>
      <c r="M29" t="s">
        <v>17254</v>
      </c>
      <c r="N29">
        <v>52100</v>
      </c>
      <c r="O29" t="str">
        <f>"40.520550"</f>
        <v>40.520550</v>
      </c>
      <c r="P29" t="str">
        <f>"21.266217"</f>
        <v>21.266217</v>
      </c>
    </row>
    <row r="30" spans="1:16" x14ac:dyDescent="0.3">
      <c r="A30" t="s">
        <v>17244</v>
      </c>
      <c r="C30" t="s">
        <v>17256</v>
      </c>
      <c r="D30" t="s">
        <v>17255</v>
      </c>
      <c r="E30" t="s">
        <v>17255</v>
      </c>
      <c r="F30" t="s">
        <v>17255</v>
      </c>
      <c r="G30" t="s">
        <v>17255</v>
      </c>
      <c r="H30" t="str">
        <f>"9000729"</f>
        <v>9000729</v>
      </c>
      <c r="I30">
        <v>2461036145</v>
      </c>
      <c r="J30">
        <v>2461028751</v>
      </c>
      <c r="K30" t="s">
        <v>17257</v>
      </c>
      <c r="L30" t="s">
        <v>17258</v>
      </c>
      <c r="M30" t="s">
        <v>17259</v>
      </c>
      <c r="N30">
        <v>50132</v>
      </c>
      <c r="O30" t="str">
        <f>"40.293197"</f>
        <v>40.293197</v>
      </c>
      <c r="P30" t="str">
        <f>"21.788807"</f>
        <v>21.788807</v>
      </c>
    </row>
    <row r="31" spans="1:16" x14ac:dyDescent="0.3">
      <c r="A31" t="s">
        <v>17244</v>
      </c>
      <c r="C31" t="s">
        <v>17262</v>
      </c>
      <c r="D31" t="s">
        <v>17260</v>
      </c>
      <c r="E31" t="s">
        <v>17260</v>
      </c>
      <c r="F31" t="s">
        <v>17260</v>
      </c>
      <c r="G31" t="s">
        <v>17261</v>
      </c>
      <c r="H31" t="str">
        <f>"9000730"</f>
        <v>9000730</v>
      </c>
      <c r="I31">
        <v>2385045611</v>
      </c>
      <c r="J31">
        <v>2385045611</v>
      </c>
      <c r="K31" t="s">
        <v>17263</v>
      </c>
      <c r="L31" t="s">
        <v>17264</v>
      </c>
      <c r="M31" t="s">
        <v>17265</v>
      </c>
      <c r="N31">
        <v>53100</v>
      </c>
      <c r="O31" t="str">
        <f>"40.778631"</f>
        <v>40.778631</v>
      </c>
      <c r="P31" t="str">
        <f>"21.400250"</f>
        <v>21.400250</v>
      </c>
    </row>
    <row r="32" spans="1:16" x14ac:dyDescent="0.3">
      <c r="A32" t="s">
        <v>18804</v>
      </c>
      <c r="C32" t="s">
        <v>18807</v>
      </c>
      <c r="D32" t="s">
        <v>18805</v>
      </c>
      <c r="E32" t="s">
        <v>18806</v>
      </c>
      <c r="F32" t="s">
        <v>18806</v>
      </c>
      <c r="G32" t="s">
        <v>18806</v>
      </c>
      <c r="H32" t="str">
        <f>"9000731"</f>
        <v>9000731</v>
      </c>
      <c r="I32">
        <v>2681022580</v>
      </c>
      <c r="J32">
        <v>2681021032</v>
      </c>
      <c r="K32" t="s">
        <v>18808</v>
      </c>
      <c r="L32" t="s">
        <v>18809</v>
      </c>
      <c r="M32" t="s">
        <v>18810</v>
      </c>
      <c r="N32">
        <v>47100</v>
      </c>
      <c r="O32" t="str">
        <f>"39.150796"</f>
        <v>39.150796</v>
      </c>
      <c r="P32" t="str">
        <f>"20.981216"</f>
        <v>20.981216</v>
      </c>
    </row>
    <row r="33" spans="1:16" x14ac:dyDescent="0.3">
      <c r="A33" t="s">
        <v>18804</v>
      </c>
      <c r="C33" t="s">
        <v>18814</v>
      </c>
      <c r="D33" t="s">
        <v>18811</v>
      </c>
      <c r="E33" t="s">
        <v>18812</v>
      </c>
      <c r="F33" t="s">
        <v>18813</v>
      </c>
      <c r="G33" t="s">
        <v>18812</v>
      </c>
      <c r="H33" t="str">
        <f>"9000732"</f>
        <v>9000732</v>
      </c>
      <c r="I33">
        <v>2665029266</v>
      </c>
      <c r="K33" t="s">
        <v>18815</v>
      </c>
      <c r="L33" t="s">
        <v>18816</v>
      </c>
      <c r="M33" t="s">
        <v>18817</v>
      </c>
      <c r="N33">
        <v>46100</v>
      </c>
      <c r="O33" t="str">
        <f>"39.506465"</f>
        <v>39.506465</v>
      </c>
      <c r="P33" t="str">
        <f>"20.263859"</f>
        <v>20.263859</v>
      </c>
    </row>
    <row r="34" spans="1:16" x14ac:dyDescent="0.3">
      <c r="A34" t="s">
        <v>18804</v>
      </c>
      <c r="C34" t="s">
        <v>18820</v>
      </c>
      <c r="D34" t="s">
        <v>18818</v>
      </c>
      <c r="E34" t="s">
        <v>18819</v>
      </c>
      <c r="F34" t="s">
        <v>18819</v>
      </c>
      <c r="G34" t="s">
        <v>18819</v>
      </c>
      <c r="H34" t="str">
        <f>"9000733"</f>
        <v>9000733</v>
      </c>
      <c r="I34">
        <v>2651075387</v>
      </c>
      <c r="K34" t="s">
        <v>18821</v>
      </c>
      <c r="L34" t="s">
        <v>18822</v>
      </c>
      <c r="M34" t="s">
        <v>18823</v>
      </c>
      <c r="N34">
        <v>45500</v>
      </c>
      <c r="O34" t="str">
        <f>"39.671142"</f>
        <v>39.671142</v>
      </c>
      <c r="P34" t="str">
        <f>"20.817039"</f>
        <v>20.817039</v>
      </c>
    </row>
    <row r="35" spans="1:16" x14ac:dyDescent="0.3">
      <c r="A35" t="s">
        <v>18804</v>
      </c>
      <c r="C35" t="s">
        <v>18826</v>
      </c>
      <c r="D35" t="s">
        <v>18824</v>
      </c>
      <c r="E35" t="s">
        <v>18825</v>
      </c>
      <c r="F35" t="s">
        <v>18825</v>
      </c>
      <c r="G35" t="s">
        <v>18825</v>
      </c>
      <c r="H35" t="str">
        <f>"9000734"</f>
        <v>9000734</v>
      </c>
      <c r="I35">
        <v>2682362130</v>
      </c>
      <c r="J35">
        <v>2682362132</v>
      </c>
      <c r="K35" t="s">
        <v>18827</v>
      </c>
      <c r="L35" t="s">
        <v>18828</v>
      </c>
      <c r="M35" t="s">
        <v>18829</v>
      </c>
      <c r="N35">
        <v>48100</v>
      </c>
      <c r="O35" t="str">
        <f>"38.959388"</f>
        <v>38.959388</v>
      </c>
      <c r="P35" t="str">
        <f>"20.753938"</f>
        <v>20.753938</v>
      </c>
    </row>
    <row r="36" spans="1:16" x14ac:dyDescent="0.3">
      <c r="A36" t="s">
        <v>20660</v>
      </c>
      <c r="C36" t="s">
        <v>20663</v>
      </c>
      <c r="D36" t="s">
        <v>20661</v>
      </c>
      <c r="E36" t="s">
        <v>20661</v>
      </c>
      <c r="F36" t="s">
        <v>20661</v>
      </c>
      <c r="G36" t="s">
        <v>20662</v>
      </c>
      <c r="H36" t="str">
        <f>"9000735"</f>
        <v>9000735</v>
      </c>
      <c r="I36">
        <v>2441079891</v>
      </c>
      <c r="J36">
        <v>2441079891</v>
      </c>
      <c r="K36" t="s">
        <v>20664</v>
      </c>
      <c r="L36" t="s">
        <v>20665</v>
      </c>
      <c r="M36" t="s">
        <v>20666</v>
      </c>
      <c r="N36">
        <v>43132</v>
      </c>
      <c r="O36" t="str">
        <f>"39.364016"</f>
        <v>39.364016</v>
      </c>
      <c r="P36" t="str">
        <f>"21.922811"</f>
        <v>21.922811</v>
      </c>
    </row>
    <row r="37" spans="1:16" x14ac:dyDescent="0.3">
      <c r="A37" t="s">
        <v>20660</v>
      </c>
      <c r="C37" t="s">
        <v>20670</v>
      </c>
      <c r="D37" t="s">
        <v>20667</v>
      </c>
      <c r="E37" t="s">
        <v>20668</v>
      </c>
      <c r="F37" t="s">
        <v>20668</v>
      </c>
      <c r="G37" t="s">
        <v>20669</v>
      </c>
      <c r="H37" t="str">
        <f>"9000736"</f>
        <v>9000736</v>
      </c>
      <c r="I37">
        <v>2410555222</v>
      </c>
      <c r="J37">
        <v>2410555223</v>
      </c>
      <c r="K37" t="s">
        <v>20671</v>
      </c>
      <c r="L37" t="s">
        <v>20672</v>
      </c>
      <c r="M37" t="s">
        <v>20673</v>
      </c>
      <c r="N37">
        <v>41335</v>
      </c>
      <c r="O37" t="str">
        <f>"39.624628"</f>
        <v>39.624628</v>
      </c>
      <c r="P37" t="str">
        <f>"22.427649"</f>
        <v>22.427649</v>
      </c>
    </row>
    <row r="38" spans="1:16" x14ac:dyDescent="0.3">
      <c r="A38" t="s">
        <v>20660</v>
      </c>
      <c r="C38" t="s">
        <v>20676</v>
      </c>
      <c r="D38" t="s">
        <v>20674</v>
      </c>
      <c r="E38" t="s">
        <v>20675</v>
      </c>
      <c r="F38" t="s">
        <v>20675</v>
      </c>
      <c r="G38" t="s">
        <v>20675</v>
      </c>
      <c r="H38" t="str">
        <f>"9000737"</f>
        <v>9000737</v>
      </c>
      <c r="I38">
        <v>2421020818</v>
      </c>
      <c r="J38">
        <v>2421020814</v>
      </c>
      <c r="K38" t="s">
        <v>20677</v>
      </c>
      <c r="L38" t="s">
        <v>20678</v>
      </c>
      <c r="M38" t="s">
        <v>20679</v>
      </c>
      <c r="N38">
        <v>38446</v>
      </c>
      <c r="O38" t="str">
        <f>"39.374868"</f>
        <v>39.374868</v>
      </c>
      <c r="P38" t="str">
        <f>"22.932496"</f>
        <v>22.932496</v>
      </c>
    </row>
    <row r="39" spans="1:16" x14ac:dyDescent="0.3">
      <c r="A39" t="s">
        <v>20660</v>
      </c>
      <c r="C39" t="s">
        <v>20682</v>
      </c>
      <c r="D39" t="s">
        <v>20680</v>
      </c>
      <c r="E39" t="s">
        <v>20681</v>
      </c>
      <c r="F39" t="s">
        <v>20681</v>
      </c>
      <c r="G39" t="s">
        <v>20681</v>
      </c>
      <c r="H39" t="str">
        <f>"9000738"</f>
        <v>9000738</v>
      </c>
      <c r="I39">
        <v>2431025910</v>
      </c>
      <c r="J39">
        <v>2431046419</v>
      </c>
      <c r="K39" t="s">
        <v>20683</v>
      </c>
      <c r="L39" t="s">
        <v>20684</v>
      </c>
      <c r="M39" t="s">
        <v>20685</v>
      </c>
      <c r="N39">
        <v>42100</v>
      </c>
      <c r="O39" t="str">
        <f>"39.556924"</f>
        <v>39.556924</v>
      </c>
      <c r="P39" t="str">
        <f>"21.766791"</f>
        <v>21.766791</v>
      </c>
    </row>
    <row r="40" spans="1:16" x14ac:dyDescent="0.3">
      <c r="A40" t="s">
        <v>23985</v>
      </c>
      <c r="C40" t="s">
        <v>23987</v>
      </c>
      <c r="D40" t="s">
        <v>8088</v>
      </c>
      <c r="E40" t="s">
        <v>8088</v>
      </c>
      <c r="F40" t="s">
        <v>23986</v>
      </c>
      <c r="G40" t="s">
        <v>23986</v>
      </c>
      <c r="H40" t="str">
        <f>"9000739"</f>
        <v>9000739</v>
      </c>
      <c r="I40">
        <v>2695043889</v>
      </c>
      <c r="J40">
        <v>2695024967</v>
      </c>
      <c r="K40" t="s">
        <v>23988</v>
      </c>
      <c r="L40" t="s">
        <v>23989</v>
      </c>
      <c r="M40" t="s">
        <v>23990</v>
      </c>
      <c r="N40">
        <v>29100</v>
      </c>
      <c r="O40" t="str">
        <f>"37.788185"</f>
        <v>37.788185</v>
      </c>
      <c r="P40" t="str">
        <f>"20.897692"</f>
        <v>20.897692</v>
      </c>
    </row>
    <row r="41" spans="1:16" x14ac:dyDescent="0.3">
      <c r="A41" t="s">
        <v>23985</v>
      </c>
      <c r="C41" t="s">
        <v>23993</v>
      </c>
      <c r="D41" t="s">
        <v>20006</v>
      </c>
      <c r="E41" t="s">
        <v>23991</v>
      </c>
      <c r="F41" t="s">
        <v>23992</v>
      </c>
      <c r="G41" t="s">
        <v>23992</v>
      </c>
      <c r="H41" t="str">
        <f>"9000740"</f>
        <v>9000740</v>
      </c>
      <c r="I41">
        <v>2661081055</v>
      </c>
      <c r="J41">
        <v>2661081043</v>
      </c>
      <c r="K41" t="s">
        <v>23994</v>
      </c>
      <c r="L41" t="s">
        <v>23995</v>
      </c>
      <c r="M41" t="s">
        <v>23996</v>
      </c>
      <c r="N41">
        <v>49100</v>
      </c>
      <c r="O41" t="str">
        <f>"39.624352"</f>
        <v>39.624352</v>
      </c>
      <c r="P41" t="str">
        <f>"19.919062"</f>
        <v>19.919062</v>
      </c>
    </row>
    <row r="42" spans="1:16" x14ac:dyDescent="0.3">
      <c r="A42" t="s">
        <v>23985</v>
      </c>
      <c r="C42" t="s">
        <v>23998</v>
      </c>
      <c r="D42" t="s">
        <v>1150</v>
      </c>
      <c r="E42" t="s">
        <v>23997</v>
      </c>
      <c r="F42" t="s">
        <v>23997</v>
      </c>
      <c r="G42" t="s">
        <v>23997</v>
      </c>
      <c r="H42" t="str">
        <f>"9000741"</f>
        <v>9000741</v>
      </c>
      <c r="I42">
        <v>2671027475</v>
      </c>
      <c r="J42">
        <v>2671027476</v>
      </c>
      <c r="K42" t="s">
        <v>23999</v>
      </c>
      <c r="L42" t="s">
        <v>24000</v>
      </c>
      <c r="M42" t="s">
        <v>24001</v>
      </c>
      <c r="N42">
        <v>28100</v>
      </c>
      <c r="O42" t="str">
        <f>"38.180261"</f>
        <v>38.180261</v>
      </c>
      <c r="P42" t="str">
        <f>"20.484908"</f>
        <v>20.484908</v>
      </c>
    </row>
    <row r="43" spans="1:16" x14ac:dyDescent="0.3">
      <c r="A43" t="s">
        <v>23985</v>
      </c>
      <c r="C43" t="s">
        <v>24004</v>
      </c>
      <c r="D43" t="s">
        <v>24002</v>
      </c>
      <c r="E43" t="s">
        <v>24002</v>
      </c>
      <c r="F43" t="s">
        <v>24003</v>
      </c>
      <c r="G43" t="s">
        <v>24003</v>
      </c>
      <c r="H43" t="str">
        <f>"9000742"</f>
        <v>9000742</v>
      </c>
      <c r="I43">
        <v>2645026309</v>
      </c>
      <c r="J43">
        <v>2645021763</v>
      </c>
      <c r="K43" t="s">
        <v>24005</v>
      </c>
      <c r="L43" t="s">
        <v>24006</v>
      </c>
      <c r="M43" t="s">
        <v>24007</v>
      </c>
      <c r="N43">
        <v>31100</v>
      </c>
      <c r="O43" t="str">
        <f>"38.833837"</f>
        <v>38.833837</v>
      </c>
      <c r="P43" t="str">
        <f>"20.706669"</f>
        <v>20.706669</v>
      </c>
    </row>
    <row r="44" spans="1:16" x14ac:dyDescent="0.3">
      <c r="A44" t="s">
        <v>25190</v>
      </c>
      <c r="C44" t="s">
        <v>25193</v>
      </c>
      <c r="D44" t="s">
        <v>25191</v>
      </c>
      <c r="E44" t="s">
        <v>25192</v>
      </c>
      <c r="F44" t="s">
        <v>25192</v>
      </c>
      <c r="G44" t="s">
        <v>25192</v>
      </c>
      <c r="H44" t="str">
        <f>"9000747"</f>
        <v>9000747</v>
      </c>
      <c r="I44">
        <v>2331077950</v>
      </c>
      <c r="J44">
        <v>2331077965</v>
      </c>
      <c r="K44" t="s">
        <v>25194</v>
      </c>
      <c r="L44" t="s">
        <v>25195</v>
      </c>
      <c r="M44" t="s">
        <v>25196</v>
      </c>
      <c r="N44">
        <v>59132</v>
      </c>
      <c r="O44" t="str">
        <f>"40.525330"</f>
        <v>40.525330</v>
      </c>
      <c r="P44" t="str">
        <f>"22.204158"</f>
        <v>22.204158</v>
      </c>
    </row>
    <row r="45" spans="1:16" x14ac:dyDescent="0.3">
      <c r="A45" t="s">
        <v>25190</v>
      </c>
      <c r="C45" t="s">
        <v>25199</v>
      </c>
      <c r="D45" t="s">
        <v>25197</v>
      </c>
      <c r="E45" t="s">
        <v>25198</v>
      </c>
      <c r="F45" t="s">
        <v>25198</v>
      </c>
      <c r="G45" t="s">
        <v>25198</v>
      </c>
      <c r="H45" t="str">
        <f>"9000743"</f>
        <v>9000743</v>
      </c>
      <c r="I45">
        <v>2310365013</v>
      </c>
      <c r="J45">
        <v>2310649584</v>
      </c>
      <c r="K45" t="s">
        <v>25200</v>
      </c>
      <c r="L45" t="s">
        <v>25201</v>
      </c>
      <c r="M45" t="s">
        <v>25202</v>
      </c>
      <c r="N45">
        <v>57001</v>
      </c>
      <c r="O45" t="str">
        <f>"40.567119"</f>
        <v>40.567119</v>
      </c>
      <c r="P45" t="str">
        <f>"22.986166"</f>
        <v>22.986166</v>
      </c>
    </row>
    <row r="46" spans="1:16" x14ac:dyDescent="0.3">
      <c r="A46" t="s">
        <v>25190</v>
      </c>
      <c r="C46" t="s">
        <v>25204</v>
      </c>
      <c r="D46" t="s">
        <v>25197</v>
      </c>
      <c r="E46" t="s">
        <v>25203</v>
      </c>
      <c r="F46" t="s">
        <v>595</v>
      </c>
      <c r="G46" t="s">
        <v>595</v>
      </c>
      <c r="H46" t="str">
        <f>"9000745"</f>
        <v>9000745</v>
      </c>
      <c r="I46">
        <v>2310603384</v>
      </c>
      <c r="J46">
        <v>2310588139</v>
      </c>
      <c r="K46" t="s">
        <v>25205</v>
      </c>
      <c r="L46" t="s">
        <v>2473</v>
      </c>
      <c r="M46" t="s">
        <v>25206</v>
      </c>
      <c r="N46">
        <v>56430</v>
      </c>
      <c r="O46" t="str">
        <f>"40.658330"</f>
        <v>40.658330</v>
      </c>
      <c r="P46" t="str">
        <f>"22.932130"</f>
        <v>22.932130</v>
      </c>
    </row>
    <row r="47" spans="1:16" x14ac:dyDescent="0.3">
      <c r="A47" t="s">
        <v>25190</v>
      </c>
      <c r="C47" t="s">
        <v>25208</v>
      </c>
      <c r="D47" t="s">
        <v>25207</v>
      </c>
      <c r="E47" t="s">
        <v>25207</v>
      </c>
      <c r="F47" t="s">
        <v>25207</v>
      </c>
      <c r="G47" t="s">
        <v>25207</v>
      </c>
      <c r="H47" t="str">
        <f>"9000748"</f>
        <v>9000748</v>
      </c>
      <c r="I47">
        <v>2341353310</v>
      </c>
      <c r="J47">
        <v>2341026497</v>
      </c>
      <c r="K47" t="s">
        <v>25209</v>
      </c>
      <c r="L47" t="s">
        <v>25207</v>
      </c>
      <c r="M47" t="s">
        <v>25210</v>
      </c>
      <c r="N47">
        <v>61100</v>
      </c>
      <c r="O47" t="str">
        <f>"41.002620"</f>
        <v>41.002620</v>
      </c>
      <c r="P47" t="str">
        <f>"22.882411"</f>
        <v>22.882411</v>
      </c>
    </row>
    <row r="48" spans="1:16" x14ac:dyDescent="0.3">
      <c r="A48" t="s">
        <v>25190</v>
      </c>
      <c r="C48" t="s">
        <v>25214</v>
      </c>
      <c r="D48" t="s">
        <v>25211</v>
      </c>
      <c r="E48" t="s">
        <v>25212</v>
      </c>
      <c r="F48" t="s">
        <v>25212</v>
      </c>
      <c r="G48" t="s">
        <v>25213</v>
      </c>
      <c r="H48" t="str">
        <f>"9000749"</f>
        <v>9000749</v>
      </c>
      <c r="I48">
        <v>2381051450</v>
      </c>
      <c r="J48">
        <v>2381051452</v>
      </c>
      <c r="K48" t="s">
        <v>25215</v>
      </c>
      <c r="L48" t="s">
        <v>25216</v>
      </c>
      <c r="M48" t="s">
        <v>25217</v>
      </c>
      <c r="N48">
        <v>58200</v>
      </c>
      <c r="O48" t="str">
        <f>"40.801645"</f>
        <v>40.801645</v>
      </c>
      <c r="P48" t="str">
        <f>"22.039502"</f>
        <v>22.039502</v>
      </c>
    </row>
    <row r="49" spans="1:16" x14ac:dyDescent="0.3">
      <c r="A49" t="s">
        <v>25190</v>
      </c>
      <c r="C49" t="s">
        <v>25220</v>
      </c>
      <c r="D49" t="s">
        <v>25218</v>
      </c>
      <c r="E49" t="s">
        <v>25219</v>
      </c>
      <c r="F49" t="s">
        <v>25219</v>
      </c>
      <c r="G49" t="s">
        <v>25219</v>
      </c>
      <c r="H49" t="str">
        <f>"9000750"</f>
        <v>9000750</v>
      </c>
      <c r="I49">
        <v>2351020813</v>
      </c>
      <c r="J49">
        <v>2351023861</v>
      </c>
      <c r="K49" t="s">
        <v>25221</v>
      </c>
      <c r="L49" t="s">
        <v>25222</v>
      </c>
      <c r="M49" t="s">
        <v>25223</v>
      </c>
      <c r="N49">
        <v>60133</v>
      </c>
      <c r="O49" t="str">
        <f>"40.272285"</f>
        <v>40.272285</v>
      </c>
      <c r="P49" t="str">
        <f>"22.507979"</f>
        <v>22.507979</v>
      </c>
    </row>
    <row r="50" spans="1:16" x14ac:dyDescent="0.3">
      <c r="A50" t="s">
        <v>25190</v>
      </c>
      <c r="C50" t="s">
        <v>25225</v>
      </c>
      <c r="D50" t="s">
        <v>25224</v>
      </c>
      <c r="E50" t="s">
        <v>25224</v>
      </c>
      <c r="F50" t="s">
        <v>25224</v>
      </c>
      <c r="G50" t="s">
        <v>25224</v>
      </c>
      <c r="H50" t="str">
        <f>"9000751"</f>
        <v>9000751</v>
      </c>
      <c r="I50">
        <v>2321023424</v>
      </c>
      <c r="J50">
        <v>2321023411</v>
      </c>
      <c r="K50" t="s">
        <v>25226</v>
      </c>
      <c r="L50" t="s">
        <v>25227</v>
      </c>
      <c r="M50" t="s">
        <v>25228</v>
      </c>
      <c r="N50">
        <v>62100</v>
      </c>
      <c r="O50" t="str">
        <f>"41.089247"</f>
        <v>41.089247</v>
      </c>
      <c r="P50" t="str">
        <f>"23.586144"</f>
        <v>23.586144</v>
      </c>
    </row>
    <row r="51" spans="1:16" x14ac:dyDescent="0.3">
      <c r="A51" t="s">
        <v>25190</v>
      </c>
      <c r="C51" t="s">
        <v>25231</v>
      </c>
      <c r="D51" t="s">
        <v>25229</v>
      </c>
      <c r="E51" t="s">
        <v>25230</v>
      </c>
      <c r="F51" t="s">
        <v>25230</v>
      </c>
      <c r="G51" t="s">
        <v>25230</v>
      </c>
      <c r="H51" t="str">
        <f>"9000752"</f>
        <v>9000752</v>
      </c>
      <c r="I51">
        <v>2371021915</v>
      </c>
      <c r="J51">
        <v>2371021177</v>
      </c>
      <c r="K51" t="s">
        <v>25232</v>
      </c>
      <c r="L51" t="s">
        <v>25233</v>
      </c>
      <c r="M51" t="s">
        <v>25234</v>
      </c>
      <c r="N51">
        <v>63100</v>
      </c>
      <c r="O51" t="str">
        <f>"40.381198"</f>
        <v>40.381198</v>
      </c>
      <c r="P51" t="str">
        <f>"23.442839"</f>
        <v>23.442839</v>
      </c>
    </row>
    <row r="52" spans="1:16" x14ac:dyDescent="0.3">
      <c r="A52" t="s">
        <v>25190</v>
      </c>
      <c r="C52" t="s">
        <v>25236</v>
      </c>
      <c r="D52" t="s">
        <v>25197</v>
      </c>
      <c r="E52" t="s">
        <v>25197</v>
      </c>
      <c r="F52" t="s">
        <v>25197</v>
      </c>
      <c r="G52" t="s">
        <v>25235</v>
      </c>
      <c r="H52" t="str">
        <f>"9000744"</f>
        <v>9000744</v>
      </c>
      <c r="K52" t="s">
        <v>25237</v>
      </c>
      <c r="L52" t="s">
        <v>25238</v>
      </c>
      <c r="M52" t="s">
        <v>25239</v>
      </c>
      <c r="N52">
        <v>54629</v>
      </c>
      <c r="O52" t="str">
        <f>"40.643364"</f>
        <v>40.643364</v>
      </c>
      <c r="P52" t="str">
        <f>"22.933956"</f>
        <v>22.933956</v>
      </c>
    </row>
    <row r="53" spans="1:16" x14ac:dyDescent="0.3">
      <c r="A53" t="s">
        <v>25190</v>
      </c>
      <c r="C53" t="s">
        <v>25240</v>
      </c>
      <c r="D53" t="s">
        <v>25197</v>
      </c>
      <c r="E53" t="s">
        <v>25203</v>
      </c>
      <c r="F53" t="s">
        <v>595</v>
      </c>
      <c r="G53" t="s">
        <v>595</v>
      </c>
      <c r="H53" t="str">
        <f>"9000746"</f>
        <v>9000746</v>
      </c>
      <c r="K53" t="s">
        <v>25241</v>
      </c>
      <c r="L53" t="s">
        <v>25242</v>
      </c>
      <c r="M53" t="s">
        <v>25206</v>
      </c>
      <c r="N53">
        <v>54630</v>
      </c>
      <c r="O53" t="str">
        <f>"40.658330"</f>
        <v>40.658330</v>
      </c>
      <c r="P53" t="str">
        <f>"22.932130"</f>
        <v>22.932130</v>
      </c>
    </row>
    <row r="54" spans="1:16" x14ac:dyDescent="0.3">
      <c r="A54" t="s">
        <v>32470</v>
      </c>
      <c r="C54" t="s">
        <v>32472</v>
      </c>
      <c r="D54" t="s">
        <v>4618</v>
      </c>
      <c r="E54" t="s">
        <v>4618</v>
      </c>
      <c r="F54" t="s">
        <v>4618</v>
      </c>
      <c r="G54" t="s">
        <v>32471</v>
      </c>
      <c r="H54" t="str">
        <f>"9000753"</f>
        <v>9000753</v>
      </c>
      <c r="I54">
        <v>2810215020</v>
      </c>
      <c r="J54">
        <v>2810360230</v>
      </c>
      <c r="K54" t="s">
        <v>32473</v>
      </c>
      <c r="L54" t="s">
        <v>28925</v>
      </c>
      <c r="M54" t="s">
        <v>32474</v>
      </c>
      <c r="N54">
        <v>71307</v>
      </c>
      <c r="O54" t="str">
        <f>"35.317599"</f>
        <v>35.317599</v>
      </c>
      <c r="P54" t="str">
        <f>"25.145451"</f>
        <v>25.145451</v>
      </c>
    </row>
    <row r="55" spans="1:16" x14ac:dyDescent="0.3">
      <c r="A55" t="s">
        <v>32470</v>
      </c>
      <c r="C55" t="s">
        <v>32476</v>
      </c>
      <c r="D55" t="s">
        <v>32475</v>
      </c>
      <c r="E55" t="s">
        <v>1969</v>
      </c>
      <c r="F55" t="s">
        <v>1969</v>
      </c>
      <c r="G55" t="s">
        <v>1969</v>
      </c>
      <c r="H55" t="str">
        <f>"9000754"</f>
        <v>9000754</v>
      </c>
      <c r="I55">
        <v>2841082480</v>
      </c>
      <c r="J55">
        <v>2841028022</v>
      </c>
      <c r="K55" t="s">
        <v>32477</v>
      </c>
      <c r="L55" t="s">
        <v>32478</v>
      </c>
      <c r="M55" t="s">
        <v>32479</v>
      </c>
      <c r="N55">
        <v>72100</v>
      </c>
      <c r="O55" t="str">
        <f>"35.193657"</f>
        <v>35.193657</v>
      </c>
      <c r="P55" t="str">
        <f>"25.711017"</f>
        <v>25.711017</v>
      </c>
    </row>
    <row r="56" spans="1:16" x14ac:dyDescent="0.3">
      <c r="A56" t="s">
        <v>32470</v>
      </c>
      <c r="C56" t="s">
        <v>32482</v>
      </c>
      <c r="D56" t="s">
        <v>32480</v>
      </c>
      <c r="E56" t="s">
        <v>32481</v>
      </c>
      <c r="F56" t="s">
        <v>32481</v>
      </c>
      <c r="G56" t="s">
        <v>32481</v>
      </c>
      <c r="H56" t="str">
        <f>"9000755"</f>
        <v>9000755</v>
      </c>
      <c r="I56">
        <v>2831035185</v>
      </c>
      <c r="J56">
        <v>2831035180</v>
      </c>
      <c r="K56" t="s">
        <v>32483</v>
      </c>
      <c r="L56" t="s">
        <v>32484</v>
      </c>
      <c r="M56" t="s">
        <v>32485</v>
      </c>
      <c r="N56">
        <v>74133</v>
      </c>
      <c r="O56" t="str">
        <f>"35.365935"</f>
        <v>35.365935</v>
      </c>
      <c r="P56" t="str">
        <f>"24.482489"</f>
        <v>24.482489</v>
      </c>
    </row>
    <row r="57" spans="1:16" x14ac:dyDescent="0.3">
      <c r="A57" t="s">
        <v>32470</v>
      </c>
      <c r="C57" t="s">
        <v>32487</v>
      </c>
      <c r="D57" t="s">
        <v>32486</v>
      </c>
      <c r="E57" t="s">
        <v>32486</v>
      </c>
      <c r="F57" t="s">
        <v>32486</v>
      </c>
      <c r="G57" t="s">
        <v>32486</v>
      </c>
      <c r="H57" t="str">
        <f>"9000756"</f>
        <v>9000756</v>
      </c>
      <c r="I57">
        <v>2821054390</v>
      </c>
      <c r="J57">
        <v>2821027665</v>
      </c>
      <c r="K57" t="s">
        <v>32488</v>
      </c>
      <c r="L57" t="s">
        <v>32489</v>
      </c>
      <c r="M57" t="s">
        <v>32490</v>
      </c>
      <c r="N57">
        <v>73132</v>
      </c>
      <c r="O57" t="str">
        <f>"35.515444"</f>
        <v>35.515444</v>
      </c>
      <c r="P57" t="str">
        <f>"24.032067"</f>
        <v>24.032067</v>
      </c>
    </row>
    <row r="58" spans="1:16" x14ac:dyDescent="0.3">
      <c r="A58" t="s">
        <v>35638</v>
      </c>
      <c r="C58" t="s">
        <v>35640</v>
      </c>
      <c r="D58" t="s">
        <v>35639</v>
      </c>
      <c r="E58" t="s">
        <v>35639</v>
      </c>
      <c r="F58" t="s">
        <v>35639</v>
      </c>
      <c r="G58" t="s">
        <v>35639</v>
      </c>
      <c r="H58" t="str">
        <f>"9000760"</f>
        <v>9000760</v>
      </c>
      <c r="I58">
        <v>2241043195</v>
      </c>
      <c r="J58">
        <v>2241043195</v>
      </c>
      <c r="K58" t="s">
        <v>35641</v>
      </c>
      <c r="L58" t="s">
        <v>35642</v>
      </c>
      <c r="M58" t="s">
        <v>35643</v>
      </c>
      <c r="N58">
        <v>85132</v>
      </c>
      <c r="O58" t="str">
        <f>"36.421968"</f>
        <v>36.421968</v>
      </c>
      <c r="P58" t="str">
        <f>"28.224756"</f>
        <v>28.224756</v>
      </c>
    </row>
    <row r="59" spans="1:16" x14ac:dyDescent="0.3">
      <c r="A59" t="s">
        <v>35638</v>
      </c>
      <c r="C59" t="s">
        <v>35647</v>
      </c>
      <c r="D59" t="s">
        <v>35644</v>
      </c>
      <c r="E59" t="s">
        <v>35645</v>
      </c>
      <c r="F59" t="s">
        <v>35646</v>
      </c>
      <c r="G59" t="s">
        <v>35646</v>
      </c>
      <c r="H59" t="str">
        <f>"9000761"</f>
        <v>9000761</v>
      </c>
      <c r="I59">
        <v>2281079624</v>
      </c>
      <c r="J59">
        <v>2281079625</v>
      </c>
      <c r="K59" t="s">
        <v>35648</v>
      </c>
      <c r="L59" t="s">
        <v>35649</v>
      </c>
      <c r="M59" t="s">
        <v>35650</v>
      </c>
      <c r="N59">
        <v>84100</v>
      </c>
      <c r="O59" t="str">
        <f>"37.438039"</f>
        <v>37.438039</v>
      </c>
      <c r="P59" t="str">
        <f>"24.935265"</f>
        <v>24.935265</v>
      </c>
    </row>
    <row r="60" spans="1:16" x14ac:dyDescent="0.3">
      <c r="A60" t="s">
        <v>35638</v>
      </c>
      <c r="C60" t="s">
        <v>35653</v>
      </c>
      <c r="D60" t="s">
        <v>35651</v>
      </c>
      <c r="E60" t="s">
        <v>35652</v>
      </c>
      <c r="F60" t="s">
        <v>35652</v>
      </c>
      <c r="G60" t="s">
        <v>35652</v>
      </c>
      <c r="H60" t="str">
        <f>"9000757"</f>
        <v>9000757</v>
      </c>
      <c r="I60">
        <v>2243024515</v>
      </c>
      <c r="J60">
        <v>2243024565</v>
      </c>
      <c r="K60" t="s">
        <v>35654</v>
      </c>
      <c r="L60" t="s">
        <v>35655</v>
      </c>
      <c r="M60" t="s">
        <v>35656</v>
      </c>
      <c r="N60">
        <v>85200</v>
      </c>
      <c r="O60" t="str">
        <f>"36.957244"</f>
        <v>36.957244</v>
      </c>
      <c r="P60" t="str">
        <f>"26.966703"</f>
        <v>26.966703</v>
      </c>
    </row>
    <row r="61" spans="1:16" x14ac:dyDescent="0.3">
      <c r="A61" t="s">
        <v>35638</v>
      </c>
      <c r="C61" t="s">
        <v>35660</v>
      </c>
      <c r="D61" t="s">
        <v>35657</v>
      </c>
      <c r="E61" t="s">
        <v>35657</v>
      </c>
      <c r="F61" t="s">
        <v>35658</v>
      </c>
      <c r="G61" t="s">
        <v>35659</v>
      </c>
      <c r="H61" t="str">
        <f>"9000758"</f>
        <v>9000758</v>
      </c>
      <c r="I61">
        <v>2242067189</v>
      </c>
      <c r="J61">
        <v>2242067199</v>
      </c>
      <c r="K61" t="s">
        <v>35661</v>
      </c>
      <c r="L61" t="s">
        <v>35662</v>
      </c>
      <c r="M61" t="s">
        <v>35663</v>
      </c>
      <c r="N61">
        <v>85300</v>
      </c>
      <c r="O61" t="str">
        <f>"36.875349"</f>
        <v>36.875349</v>
      </c>
      <c r="P61" t="str">
        <f>"27.207804"</f>
        <v>27.207804</v>
      </c>
    </row>
    <row r="62" spans="1:16" x14ac:dyDescent="0.3">
      <c r="A62" t="s">
        <v>35638</v>
      </c>
      <c r="C62" t="s">
        <v>35666</v>
      </c>
      <c r="D62" t="s">
        <v>4806</v>
      </c>
      <c r="E62" t="s">
        <v>35664</v>
      </c>
      <c r="F62" t="s">
        <v>4806</v>
      </c>
      <c r="G62" t="s">
        <v>35665</v>
      </c>
      <c r="H62" t="str">
        <f>"9000759"</f>
        <v>9000759</v>
      </c>
      <c r="I62">
        <v>2285062335</v>
      </c>
      <c r="J62">
        <v>2285062335</v>
      </c>
      <c r="K62" t="s">
        <v>35667</v>
      </c>
      <c r="L62" t="s">
        <v>35668</v>
      </c>
      <c r="M62" t="s">
        <v>35669</v>
      </c>
      <c r="N62">
        <v>84300</v>
      </c>
      <c r="O62" t="str">
        <f>"37.116271"</f>
        <v>37.116271</v>
      </c>
      <c r="P62" t="str">
        <f>"25.432248"</f>
        <v>25.432248</v>
      </c>
    </row>
    <row r="63" spans="1:16" x14ac:dyDescent="0.3">
      <c r="A63" t="s">
        <v>37529</v>
      </c>
      <c r="C63" t="s">
        <v>37533</v>
      </c>
      <c r="D63" t="s">
        <v>37530</v>
      </c>
      <c r="E63" t="s">
        <v>37531</v>
      </c>
      <c r="F63" t="s">
        <v>37532</v>
      </c>
      <c r="G63" t="s">
        <v>37531</v>
      </c>
      <c r="H63" t="str">
        <f>"9000762"</f>
        <v>9000762</v>
      </c>
      <c r="I63">
        <v>2752096065</v>
      </c>
      <c r="J63">
        <v>2752096067</v>
      </c>
      <c r="K63" t="s">
        <v>37534</v>
      </c>
      <c r="L63" t="s">
        <v>37535</v>
      </c>
      <c r="M63" t="s">
        <v>37536</v>
      </c>
      <c r="N63">
        <v>21100</v>
      </c>
      <c r="O63" t="str">
        <f>"37.567823"</f>
        <v>37.567823</v>
      </c>
      <c r="P63" t="str">
        <f>"22.808333"</f>
        <v>22.808333</v>
      </c>
    </row>
    <row r="64" spans="1:16" x14ac:dyDescent="0.3">
      <c r="A64" t="s">
        <v>37529</v>
      </c>
      <c r="C64" t="s">
        <v>37540</v>
      </c>
      <c r="D64" t="s">
        <v>37537</v>
      </c>
      <c r="E64" t="s">
        <v>37538</v>
      </c>
      <c r="F64" t="s">
        <v>37538</v>
      </c>
      <c r="G64" t="s">
        <v>37539</v>
      </c>
      <c r="H64" t="str">
        <f>"9000763"</f>
        <v>9000763</v>
      </c>
      <c r="I64">
        <v>2710223426</v>
      </c>
      <c r="J64">
        <v>2710221576</v>
      </c>
      <c r="K64" t="s">
        <v>37541</v>
      </c>
      <c r="L64" t="s">
        <v>37542</v>
      </c>
      <c r="M64" t="s">
        <v>37543</v>
      </c>
      <c r="N64">
        <v>22132</v>
      </c>
      <c r="O64" t="str">
        <f>"37.510335"</f>
        <v>37.510335</v>
      </c>
      <c r="P64" t="str">
        <f>"22.374472"</f>
        <v>22.374472</v>
      </c>
    </row>
    <row r="65" spans="1:16" x14ac:dyDescent="0.3">
      <c r="A65" t="s">
        <v>37529</v>
      </c>
      <c r="C65" t="s">
        <v>37547</v>
      </c>
      <c r="D65" t="s">
        <v>37544</v>
      </c>
      <c r="E65" t="s">
        <v>37545</v>
      </c>
      <c r="F65" t="s">
        <v>37545</v>
      </c>
      <c r="G65" t="s">
        <v>37546</v>
      </c>
      <c r="H65" t="str">
        <f>"9000764"</f>
        <v>9000764</v>
      </c>
      <c r="I65">
        <v>2741074753</v>
      </c>
      <c r="J65">
        <v>2741074753</v>
      </c>
      <c r="K65" t="s">
        <v>37548</v>
      </c>
      <c r="L65" t="s">
        <v>37549</v>
      </c>
      <c r="M65" t="s">
        <v>37550</v>
      </c>
      <c r="N65">
        <v>20131</v>
      </c>
      <c r="O65" t="str">
        <f>"37.937192"</f>
        <v>37.937192</v>
      </c>
      <c r="P65" t="str">
        <f>"22.934252"</f>
        <v>22.934252</v>
      </c>
    </row>
    <row r="66" spans="1:16" x14ac:dyDescent="0.3">
      <c r="A66" t="s">
        <v>37529</v>
      </c>
      <c r="C66" t="s">
        <v>37554</v>
      </c>
      <c r="D66" t="s">
        <v>37551</v>
      </c>
      <c r="E66" t="s">
        <v>37552</v>
      </c>
      <c r="F66" t="s">
        <v>37553</v>
      </c>
      <c r="G66" t="s">
        <v>37552</v>
      </c>
      <c r="H66" t="str">
        <f>"9000765"</f>
        <v>9000765</v>
      </c>
      <c r="I66">
        <v>2731363380</v>
      </c>
      <c r="K66" t="s">
        <v>37555</v>
      </c>
      <c r="L66" t="s">
        <v>37556</v>
      </c>
      <c r="M66" t="s">
        <v>37557</v>
      </c>
      <c r="N66">
        <v>23100</v>
      </c>
      <c r="O66" t="str">
        <f>"37.052674"</f>
        <v>37.052674</v>
      </c>
      <c r="P66" t="str">
        <f>"22.436832"</f>
        <v>22.436832</v>
      </c>
    </row>
    <row r="67" spans="1:16" x14ac:dyDescent="0.3">
      <c r="A67" t="s">
        <v>37529</v>
      </c>
      <c r="C67" t="s">
        <v>37560</v>
      </c>
      <c r="D67" t="s">
        <v>37558</v>
      </c>
      <c r="E67" t="s">
        <v>37559</v>
      </c>
      <c r="F67" t="s">
        <v>37559</v>
      </c>
      <c r="G67" t="s">
        <v>37559</v>
      </c>
      <c r="H67" t="str">
        <f>"9000766"</f>
        <v>9000766</v>
      </c>
      <c r="I67">
        <v>2721361228</v>
      </c>
      <c r="K67" t="s">
        <v>37561</v>
      </c>
      <c r="L67" t="s">
        <v>37562</v>
      </c>
      <c r="M67" t="s">
        <v>37563</v>
      </c>
      <c r="N67">
        <v>24100</v>
      </c>
      <c r="O67" t="str">
        <f>"37.034498"</f>
        <v>37.034498</v>
      </c>
      <c r="P67" t="str">
        <f>"22.109924"</f>
        <v>22.109924</v>
      </c>
    </row>
    <row r="68" spans="1:16" x14ac:dyDescent="0.3">
      <c r="A68" t="s">
        <v>40240</v>
      </c>
      <c r="C68" t="s">
        <v>40243</v>
      </c>
      <c r="D68" t="s">
        <v>40241</v>
      </c>
      <c r="E68" t="s">
        <v>40242</v>
      </c>
      <c r="F68" t="s">
        <v>40242</v>
      </c>
      <c r="G68" t="s">
        <v>40242</v>
      </c>
      <c r="H68" t="str">
        <f>"9000767"</f>
        <v>9000767</v>
      </c>
      <c r="I68">
        <v>2261350194</v>
      </c>
      <c r="J68">
        <v>2261350195</v>
      </c>
      <c r="K68" t="s">
        <v>40244</v>
      </c>
      <c r="L68" t="s">
        <v>40245</v>
      </c>
      <c r="M68" t="s">
        <v>40246</v>
      </c>
      <c r="N68">
        <v>32131</v>
      </c>
      <c r="O68" t="str">
        <f>"38.440292"</f>
        <v>38.440292</v>
      </c>
      <c r="P68" t="str">
        <f>"22.877646"</f>
        <v>22.877646</v>
      </c>
    </row>
    <row r="69" spans="1:16" x14ac:dyDescent="0.3">
      <c r="A69" t="s">
        <v>40240</v>
      </c>
      <c r="C69" t="s">
        <v>40250</v>
      </c>
      <c r="D69" t="s">
        <v>40247</v>
      </c>
      <c r="E69" t="s">
        <v>40248</v>
      </c>
      <c r="F69" t="s">
        <v>40249</v>
      </c>
      <c r="G69" t="s">
        <v>40249</v>
      </c>
      <c r="H69" t="str">
        <f>"9000768"</f>
        <v>9000768</v>
      </c>
      <c r="I69">
        <v>2221041225</v>
      </c>
      <c r="J69">
        <v>2221041345</v>
      </c>
      <c r="K69" t="s">
        <v>40251</v>
      </c>
      <c r="L69" t="s">
        <v>40252</v>
      </c>
      <c r="M69" t="s">
        <v>40253</v>
      </c>
      <c r="N69">
        <v>34600</v>
      </c>
      <c r="O69" t="str">
        <f>"38.530046"</f>
        <v>38.530046</v>
      </c>
      <c r="P69" t="str">
        <f>"23.637440"</f>
        <v>23.637440</v>
      </c>
    </row>
    <row r="70" spans="1:16" x14ac:dyDescent="0.3">
      <c r="A70" t="s">
        <v>40240</v>
      </c>
      <c r="C70" t="s">
        <v>40256</v>
      </c>
      <c r="D70" t="s">
        <v>40254</v>
      </c>
      <c r="E70" t="s">
        <v>40255</v>
      </c>
      <c r="F70" t="s">
        <v>40255</v>
      </c>
      <c r="G70" t="s">
        <v>40255</v>
      </c>
      <c r="H70" t="str">
        <f>"9000769"</f>
        <v>9000769</v>
      </c>
      <c r="I70">
        <v>2237080127</v>
      </c>
      <c r="J70">
        <v>2237080787</v>
      </c>
      <c r="K70" t="s">
        <v>40257</v>
      </c>
      <c r="L70" t="s">
        <v>40258</v>
      </c>
      <c r="M70" t="s">
        <v>40259</v>
      </c>
      <c r="N70">
        <v>36100</v>
      </c>
      <c r="O70" t="str">
        <f>"38.909343"</f>
        <v>38.909343</v>
      </c>
      <c r="P70" t="str">
        <f>"21.820371"</f>
        <v>21.820371</v>
      </c>
    </row>
    <row r="71" spans="1:16" x14ac:dyDescent="0.3">
      <c r="A71" t="s">
        <v>40240</v>
      </c>
      <c r="C71" t="s">
        <v>40262</v>
      </c>
      <c r="D71" t="s">
        <v>40260</v>
      </c>
      <c r="E71" t="s">
        <v>40261</v>
      </c>
      <c r="F71" t="s">
        <v>40261</v>
      </c>
      <c r="G71" t="s">
        <v>40261</v>
      </c>
      <c r="H71" t="str">
        <f>"9000770"</f>
        <v>9000770</v>
      </c>
      <c r="I71">
        <v>2231066162</v>
      </c>
      <c r="J71">
        <v>2231025226</v>
      </c>
      <c r="K71" t="s">
        <v>40263</v>
      </c>
      <c r="L71" t="s">
        <v>40264</v>
      </c>
      <c r="M71" t="s">
        <v>40265</v>
      </c>
      <c r="N71">
        <v>35132</v>
      </c>
      <c r="O71" t="str">
        <f>"38.881840"</f>
        <v>38.881840</v>
      </c>
      <c r="P71" t="str">
        <f>"22.437916"</f>
        <v>22.437916</v>
      </c>
    </row>
    <row r="72" spans="1:16" x14ac:dyDescent="0.3">
      <c r="A72" t="s">
        <v>40240</v>
      </c>
      <c r="C72" t="s">
        <v>40269</v>
      </c>
      <c r="D72" t="s">
        <v>40266</v>
      </c>
      <c r="E72" t="s">
        <v>40267</v>
      </c>
      <c r="F72" t="s">
        <v>40268</v>
      </c>
      <c r="G72" t="s">
        <v>40268</v>
      </c>
      <c r="H72" t="str">
        <f>"9000771"</f>
        <v>9000771</v>
      </c>
      <c r="I72">
        <v>2265079287</v>
      </c>
      <c r="J72">
        <v>2265023803</v>
      </c>
      <c r="K72" t="s">
        <v>40270</v>
      </c>
      <c r="L72" t="s">
        <v>40271</v>
      </c>
      <c r="M72" t="s">
        <v>40272</v>
      </c>
      <c r="N72">
        <v>33100</v>
      </c>
      <c r="O72" t="str">
        <f>"38.528253"</f>
        <v>38.528253</v>
      </c>
      <c r="P72" t="str">
        <f>"22.377913"</f>
        <v>22.377913</v>
      </c>
    </row>
  </sheetData>
  <autoFilter ref="A1:P72" xr:uid="{CE09A1EE-C3BB-4399-A585-7EC19D1F0B7D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99C6C-5F0D-4FBE-941C-BB5F79B492F3}">
  <dimension ref="A1:L118"/>
  <sheetViews>
    <sheetView workbookViewId="0">
      <selection activeCell="H6" sqref="H6"/>
    </sheetView>
  </sheetViews>
  <sheetFormatPr defaultRowHeight="14.4" x14ac:dyDescent="0.3"/>
  <cols>
    <col min="1" max="1" width="30.33203125" customWidth="1"/>
    <col min="2" max="2" width="22.44140625" customWidth="1"/>
    <col min="3" max="3" width="20.88671875" customWidth="1"/>
    <col min="5" max="5" width="9.44140625" customWidth="1"/>
    <col min="6" max="6" width="10.44140625" bestFit="1" customWidth="1"/>
    <col min="7" max="7" width="11" bestFit="1" customWidth="1"/>
    <col min="8" max="8" width="8.6640625" customWidth="1"/>
    <col min="9" max="9" width="26.6640625" bestFit="1" customWidth="1"/>
    <col min="10" max="10" width="17.21875" bestFit="1" customWidth="1"/>
    <col min="11" max="11" width="49.44140625" bestFit="1" customWidth="1"/>
  </cols>
  <sheetData>
    <row r="1" spans="1:12" s="1" customFormat="1" x14ac:dyDescent="0.3">
      <c r="A1" s="1" t="s">
        <v>9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8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</row>
    <row r="2" spans="1:12" x14ac:dyDescent="0.3">
      <c r="A2" t="s">
        <v>11164</v>
      </c>
      <c r="B2" t="s">
        <v>3268</v>
      </c>
      <c r="C2" t="s">
        <v>3269</v>
      </c>
      <c r="D2" t="s">
        <v>3270</v>
      </c>
      <c r="E2" t="s">
        <v>3270</v>
      </c>
      <c r="F2" t="s">
        <v>43093</v>
      </c>
      <c r="G2" t="s">
        <v>43094</v>
      </c>
      <c r="H2" t="s">
        <v>43095</v>
      </c>
      <c r="I2" t="s">
        <v>43096</v>
      </c>
      <c r="J2" t="s">
        <v>3273</v>
      </c>
      <c r="K2" t="s">
        <v>43097</v>
      </c>
      <c r="L2" t="s">
        <v>43098</v>
      </c>
    </row>
    <row r="3" spans="1:12" x14ac:dyDescent="0.3">
      <c r="A3" t="s">
        <v>36946</v>
      </c>
      <c r="B3" t="s">
        <v>35644</v>
      </c>
      <c r="C3" t="s">
        <v>35645</v>
      </c>
      <c r="D3" t="s">
        <v>35646</v>
      </c>
      <c r="E3" t="s">
        <v>35646</v>
      </c>
      <c r="F3" t="s">
        <v>43100</v>
      </c>
      <c r="G3" t="s">
        <v>43101</v>
      </c>
      <c r="H3" t="s">
        <v>43102</v>
      </c>
      <c r="I3" t="s">
        <v>43103</v>
      </c>
      <c r="J3" t="s">
        <v>37001</v>
      </c>
      <c r="K3" t="s">
        <v>43104</v>
      </c>
      <c r="L3" t="s">
        <v>43105</v>
      </c>
    </row>
    <row r="4" spans="1:12" x14ac:dyDescent="0.3">
      <c r="A4" t="s">
        <v>42988</v>
      </c>
      <c r="B4" t="s">
        <v>3245</v>
      </c>
      <c r="C4" t="s">
        <v>4591</v>
      </c>
      <c r="D4" t="s">
        <v>4591</v>
      </c>
      <c r="E4" t="s">
        <v>4591</v>
      </c>
      <c r="F4" t="s">
        <v>43106</v>
      </c>
      <c r="G4" t="s">
        <v>43107</v>
      </c>
      <c r="H4" t="s">
        <v>43108</v>
      </c>
      <c r="I4" t="s">
        <v>43109</v>
      </c>
      <c r="J4" t="s">
        <v>4600</v>
      </c>
      <c r="K4" t="s">
        <v>43091</v>
      </c>
      <c r="L4" t="s">
        <v>43092</v>
      </c>
    </row>
    <row r="5" spans="1:12" x14ac:dyDescent="0.3">
      <c r="A5" t="s">
        <v>37844</v>
      </c>
      <c r="B5" t="s">
        <v>37544</v>
      </c>
      <c r="C5" t="s">
        <v>37545</v>
      </c>
      <c r="D5" t="s">
        <v>37545</v>
      </c>
      <c r="E5" t="s">
        <v>37546</v>
      </c>
      <c r="F5" t="s">
        <v>43110</v>
      </c>
      <c r="G5" t="s">
        <v>43111</v>
      </c>
      <c r="H5" t="s">
        <v>43112</v>
      </c>
      <c r="I5" t="s">
        <v>43113</v>
      </c>
      <c r="J5" t="s">
        <v>37855</v>
      </c>
      <c r="K5" t="s">
        <v>43114</v>
      </c>
      <c r="L5" t="s">
        <v>43115</v>
      </c>
    </row>
    <row r="6" spans="1:12" x14ac:dyDescent="0.3">
      <c r="A6" t="s">
        <v>5998</v>
      </c>
      <c r="B6" t="s">
        <v>3268</v>
      </c>
      <c r="C6" t="s">
        <v>3269</v>
      </c>
      <c r="D6" t="s">
        <v>3270</v>
      </c>
      <c r="E6" t="s">
        <v>3270</v>
      </c>
      <c r="F6" t="s">
        <v>43116</v>
      </c>
      <c r="G6" t="s">
        <v>43117</v>
      </c>
      <c r="H6" t="s">
        <v>43118</v>
      </c>
      <c r="I6" t="s">
        <v>43119</v>
      </c>
      <c r="J6" t="s">
        <v>3273</v>
      </c>
      <c r="K6" t="s">
        <v>3274</v>
      </c>
      <c r="L6" t="s">
        <v>43098</v>
      </c>
    </row>
    <row r="7" spans="1:12" x14ac:dyDescent="0.3">
      <c r="A7" t="s">
        <v>49</v>
      </c>
      <c r="B7" t="s">
        <v>21</v>
      </c>
      <c r="C7" t="s">
        <v>21</v>
      </c>
      <c r="D7" t="s">
        <v>21</v>
      </c>
      <c r="E7" t="s">
        <v>21</v>
      </c>
      <c r="F7" t="s">
        <v>43120</v>
      </c>
      <c r="G7" t="s">
        <v>43121</v>
      </c>
      <c r="H7" t="s">
        <v>43122</v>
      </c>
      <c r="I7" t="s">
        <v>43123</v>
      </c>
      <c r="J7" t="s">
        <v>24</v>
      </c>
      <c r="K7" t="s">
        <v>43124</v>
      </c>
      <c r="L7" t="s">
        <v>43125</v>
      </c>
    </row>
    <row r="8" spans="1:12" x14ac:dyDescent="0.3">
      <c r="A8" t="s">
        <v>25764</v>
      </c>
      <c r="B8" t="s">
        <v>25197</v>
      </c>
      <c r="C8" t="s">
        <v>25203</v>
      </c>
      <c r="D8" t="s">
        <v>595</v>
      </c>
      <c r="E8" t="s">
        <v>595</v>
      </c>
      <c r="F8" t="s">
        <v>43132</v>
      </c>
      <c r="G8" t="s">
        <v>43133</v>
      </c>
      <c r="H8" t="s">
        <v>43134</v>
      </c>
      <c r="I8" t="s">
        <v>43135</v>
      </c>
      <c r="J8" t="s">
        <v>2473</v>
      </c>
      <c r="K8" t="s">
        <v>25206</v>
      </c>
      <c r="L8" t="s">
        <v>43136</v>
      </c>
    </row>
    <row r="9" spans="1:12" x14ac:dyDescent="0.3">
      <c r="A9" t="s">
        <v>27105</v>
      </c>
      <c r="B9" t="s">
        <v>25224</v>
      </c>
      <c r="C9" t="s">
        <v>25224</v>
      </c>
      <c r="D9" t="s">
        <v>25224</v>
      </c>
      <c r="E9" t="s">
        <v>25224</v>
      </c>
      <c r="F9" t="s">
        <v>43137</v>
      </c>
      <c r="G9" t="s">
        <v>43138</v>
      </c>
      <c r="H9" t="s">
        <v>43139</v>
      </c>
      <c r="I9" t="s">
        <v>43140</v>
      </c>
      <c r="J9" t="s">
        <v>25227</v>
      </c>
      <c r="K9" t="s">
        <v>31542</v>
      </c>
      <c r="L9" t="s">
        <v>43141</v>
      </c>
    </row>
    <row r="10" spans="1:12" x14ac:dyDescent="0.3">
      <c r="A10" t="s">
        <v>33207</v>
      </c>
      <c r="B10" t="s">
        <v>32486</v>
      </c>
      <c r="C10" t="s">
        <v>32486</v>
      </c>
      <c r="D10" t="s">
        <v>32486</v>
      </c>
      <c r="E10" t="s">
        <v>32486</v>
      </c>
      <c r="F10" t="s">
        <v>43148</v>
      </c>
      <c r="G10" t="s">
        <v>43149</v>
      </c>
      <c r="H10" t="s">
        <v>43150</v>
      </c>
      <c r="I10" t="s">
        <v>43151</v>
      </c>
      <c r="J10" t="s">
        <v>32489</v>
      </c>
      <c r="K10" t="s">
        <v>43152</v>
      </c>
      <c r="L10" t="s">
        <v>43153</v>
      </c>
    </row>
    <row r="11" spans="1:12" x14ac:dyDescent="0.3">
      <c r="A11" t="s">
        <v>18830</v>
      </c>
      <c r="B11" t="s">
        <v>18805</v>
      </c>
      <c r="C11" t="s">
        <v>18806</v>
      </c>
      <c r="D11" t="s">
        <v>18806</v>
      </c>
      <c r="E11" t="s">
        <v>18806</v>
      </c>
      <c r="F11" t="s">
        <v>43154</v>
      </c>
      <c r="G11" t="s">
        <v>43155</v>
      </c>
      <c r="H11" t="s">
        <v>43156</v>
      </c>
      <c r="I11" t="s">
        <v>43157</v>
      </c>
      <c r="J11" t="s">
        <v>18809</v>
      </c>
      <c r="K11" t="s">
        <v>43158</v>
      </c>
      <c r="L11" t="s">
        <v>43159</v>
      </c>
    </row>
    <row r="12" spans="1:12" x14ac:dyDescent="0.3">
      <c r="A12" t="s">
        <v>26726</v>
      </c>
      <c r="B12" t="s">
        <v>25211</v>
      </c>
      <c r="C12" t="s">
        <v>25212</v>
      </c>
      <c r="D12" t="s">
        <v>25212</v>
      </c>
      <c r="E12" t="s">
        <v>25213</v>
      </c>
      <c r="F12" t="s">
        <v>43160</v>
      </c>
      <c r="G12" t="s">
        <v>43161</v>
      </c>
      <c r="H12" t="s">
        <v>43162</v>
      </c>
      <c r="I12" t="s">
        <v>43163</v>
      </c>
      <c r="J12" t="s">
        <v>25216</v>
      </c>
      <c r="K12" t="s">
        <v>26797</v>
      </c>
      <c r="L12" t="s">
        <v>43164</v>
      </c>
    </row>
    <row r="13" spans="1:12" x14ac:dyDescent="0.3">
      <c r="A13" t="s">
        <v>3996</v>
      </c>
      <c r="B13" t="s">
        <v>3262</v>
      </c>
      <c r="C13" t="s">
        <v>4024</v>
      </c>
      <c r="D13" t="s">
        <v>2199</v>
      </c>
      <c r="E13" t="s">
        <v>2199</v>
      </c>
      <c r="F13" t="s">
        <v>43165</v>
      </c>
      <c r="G13" t="s">
        <v>43166</v>
      </c>
      <c r="H13" t="s">
        <v>43167</v>
      </c>
      <c r="I13" t="s">
        <v>43168</v>
      </c>
      <c r="J13" t="s">
        <v>4172</v>
      </c>
      <c r="K13" t="s">
        <v>43169</v>
      </c>
      <c r="L13" t="s">
        <v>43170</v>
      </c>
    </row>
    <row r="14" spans="1:12" x14ac:dyDescent="0.3">
      <c r="A14" t="s">
        <v>37564</v>
      </c>
      <c r="B14" t="s">
        <v>37530</v>
      </c>
      <c r="C14" t="s">
        <v>37531</v>
      </c>
      <c r="D14" t="s">
        <v>37532</v>
      </c>
      <c r="E14" t="s">
        <v>37531</v>
      </c>
      <c r="F14" t="s">
        <v>43171</v>
      </c>
      <c r="G14" t="s">
        <v>43172</v>
      </c>
      <c r="H14" t="s">
        <v>43173</v>
      </c>
      <c r="I14" t="s">
        <v>43174</v>
      </c>
      <c r="J14" t="s">
        <v>37535</v>
      </c>
      <c r="K14" t="s">
        <v>43175</v>
      </c>
      <c r="L14" t="s">
        <v>43176</v>
      </c>
    </row>
    <row r="15" spans="1:12" x14ac:dyDescent="0.3">
      <c r="A15" t="s">
        <v>41165</v>
      </c>
      <c r="B15" t="s">
        <v>40266</v>
      </c>
      <c r="C15" t="s">
        <v>40267</v>
      </c>
      <c r="D15" t="s">
        <v>40268</v>
      </c>
      <c r="E15" t="s">
        <v>40268</v>
      </c>
      <c r="F15" t="s">
        <v>43177</v>
      </c>
      <c r="G15" t="s">
        <v>43178</v>
      </c>
      <c r="H15" t="s">
        <v>43179</v>
      </c>
      <c r="I15" t="s">
        <v>43180</v>
      </c>
      <c r="J15" t="s">
        <v>40271</v>
      </c>
      <c r="K15" t="s">
        <v>43181</v>
      </c>
      <c r="L15" t="s">
        <v>43182</v>
      </c>
    </row>
    <row r="16" spans="1:12" x14ac:dyDescent="0.3">
      <c r="A16" t="s">
        <v>18964</v>
      </c>
      <c r="B16" t="s">
        <v>18811</v>
      </c>
      <c r="C16" t="s">
        <v>18812</v>
      </c>
      <c r="D16" t="s">
        <v>18812</v>
      </c>
      <c r="E16" t="s">
        <v>18812</v>
      </c>
      <c r="F16" t="s">
        <v>43183</v>
      </c>
      <c r="G16" t="s">
        <v>43184</v>
      </c>
      <c r="H16" t="s">
        <v>43185</v>
      </c>
      <c r="I16" t="s">
        <v>43186</v>
      </c>
      <c r="J16" t="s">
        <v>18816</v>
      </c>
      <c r="K16" t="s">
        <v>43187</v>
      </c>
      <c r="L16" t="s">
        <v>43188</v>
      </c>
    </row>
    <row r="17" spans="1:12" x14ac:dyDescent="0.3">
      <c r="A17" t="s">
        <v>27386</v>
      </c>
      <c r="B17" t="s">
        <v>25229</v>
      </c>
      <c r="C17" t="s">
        <v>25230</v>
      </c>
      <c r="D17" t="s">
        <v>25230</v>
      </c>
      <c r="E17" t="s">
        <v>25230</v>
      </c>
      <c r="F17" t="s">
        <v>43189</v>
      </c>
      <c r="G17" t="s">
        <v>43190</v>
      </c>
      <c r="H17" t="s">
        <v>43191</v>
      </c>
      <c r="I17" t="s">
        <v>43192</v>
      </c>
      <c r="J17" t="s">
        <v>25233</v>
      </c>
      <c r="K17" t="s">
        <v>43193</v>
      </c>
      <c r="L17" t="s">
        <v>43194</v>
      </c>
    </row>
    <row r="18" spans="1:12" x14ac:dyDescent="0.3">
      <c r="A18" t="s">
        <v>21501</v>
      </c>
      <c r="B18" t="s">
        <v>20680</v>
      </c>
      <c r="C18" t="s">
        <v>20681</v>
      </c>
      <c r="D18" t="s">
        <v>20681</v>
      </c>
      <c r="E18" t="s">
        <v>20681</v>
      </c>
      <c r="F18" t="s">
        <v>43195</v>
      </c>
      <c r="G18" t="s">
        <v>43196</v>
      </c>
      <c r="H18" t="s">
        <v>43197</v>
      </c>
      <c r="I18" t="s">
        <v>43198</v>
      </c>
      <c r="J18" t="s">
        <v>20684</v>
      </c>
      <c r="K18" t="s">
        <v>43199</v>
      </c>
      <c r="L18" t="s">
        <v>43200</v>
      </c>
    </row>
    <row r="19" spans="1:12" x14ac:dyDescent="0.3">
      <c r="A19" t="s">
        <v>25243</v>
      </c>
      <c r="B19" t="s">
        <v>25197</v>
      </c>
      <c r="C19" t="s">
        <v>25197</v>
      </c>
      <c r="D19" t="s">
        <v>25197</v>
      </c>
      <c r="E19" t="s">
        <v>25235</v>
      </c>
      <c r="F19" t="s">
        <v>43201</v>
      </c>
      <c r="G19" t="s">
        <v>43202</v>
      </c>
      <c r="H19" t="s">
        <v>43203</v>
      </c>
      <c r="I19" t="s">
        <v>43204</v>
      </c>
      <c r="J19" t="s">
        <v>25247</v>
      </c>
      <c r="K19" t="s">
        <v>43205</v>
      </c>
      <c r="L19" t="s">
        <v>43206</v>
      </c>
    </row>
    <row r="20" spans="1:12" x14ac:dyDescent="0.3">
      <c r="A20" t="s">
        <v>19060</v>
      </c>
      <c r="B20" t="s">
        <v>18818</v>
      </c>
      <c r="C20" t="s">
        <v>18819</v>
      </c>
      <c r="D20" t="s">
        <v>18819</v>
      </c>
      <c r="E20" t="s">
        <v>18819</v>
      </c>
      <c r="F20" t="s">
        <v>43207</v>
      </c>
      <c r="G20" t="s">
        <v>43208</v>
      </c>
      <c r="H20" t="s">
        <v>43209</v>
      </c>
      <c r="I20" t="s">
        <v>43210</v>
      </c>
      <c r="J20" t="s">
        <v>18818</v>
      </c>
      <c r="K20" t="s">
        <v>43211</v>
      </c>
      <c r="L20" t="s">
        <v>43147</v>
      </c>
    </row>
    <row r="21" spans="1:12" x14ac:dyDescent="0.3">
      <c r="A21" t="s">
        <v>36020</v>
      </c>
      <c r="B21" t="s">
        <v>35644</v>
      </c>
      <c r="C21" t="s">
        <v>35645</v>
      </c>
      <c r="D21" t="s">
        <v>35646</v>
      </c>
      <c r="E21" t="s">
        <v>35646</v>
      </c>
      <c r="F21" t="s">
        <v>43212</v>
      </c>
      <c r="G21" t="s">
        <v>43213</v>
      </c>
      <c r="H21" t="s">
        <v>43214</v>
      </c>
      <c r="I21" t="s">
        <v>43215</v>
      </c>
      <c r="J21" t="s">
        <v>36128</v>
      </c>
      <c r="K21" t="s">
        <v>13646</v>
      </c>
      <c r="L21" t="s">
        <v>43105</v>
      </c>
    </row>
    <row r="22" spans="1:12" x14ac:dyDescent="0.3">
      <c r="A22" t="s">
        <v>40505</v>
      </c>
      <c r="B22" t="s">
        <v>40247</v>
      </c>
      <c r="C22" t="s">
        <v>40248</v>
      </c>
      <c r="D22" t="s">
        <v>40248</v>
      </c>
      <c r="E22" t="s">
        <v>40248</v>
      </c>
      <c r="F22" t="s">
        <v>43216</v>
      </c>
      <c r="G22" t="s">
        <v>43217</v>
      </c>
      <c r="H22" t="s">
        <v>43218</v>
      </c>
      <c r="I22" t="s">
        <v>43219</v>
      </c>
      <c r="J22" t="s">
        <v>40536</v>
      </c>
      <c r="K22" t="s">
        <v>43220</v>
      </c>
      <c r="L22" t="s">
        <v>43221</v>
      </c>
    </row>
    <row r="23" spans="1:12" x14ac:dyDescent="0.3">
      <c r="A23" t="s">
        <v>5562</v>
      </c>
      <c r="B23" t="s">
        <v>3256</v>
      </c>
      <c r="C23" t="s">
        <v>5586</v>
      </c>
      <c r="D23" t="s">
        <v>5586</v>
      </c>
      <c r="E23" t="s">
        <v>5586</v>
      </c>
      <c r="F23" t="s">
        <v>43222</v>
      </c>
      <c r="G23" t="s">
        <v>43223</v>
      </c>
      <c r="H23" t="s">
        <v>43224</v>
      </c>
      <c r="I23" t="s">
        <v>43225</v>
      </c>
      <c r="J23" t="s">
        <v>3260</v>
      </c>
      <c r="K23" t="s">
        <v>43226</v>
      </c>
      <c r="L23" t="s">
        <v>43227</v>
      </c>
    </row>
    <row r="24" spans="1:12" x14ac:dyDescent="0.3">
      <c r="A24" t="s">
        <v>3307</v>
      </c>
      <c r="B24" t="s">
        <v>3238</v>
      </c>
      <c r="C24" t="s">
        <v>3239</v>
      </c>
      <c r="D24" t="s">
        <v>3239</v>
      </c>
      <c r="E24" t="s">
        <v>3340</v>
      </c>
      <c r="F24" t="s">
        <v>43228</v>
      </c>
      <c r="G24" t="s">
        <v>43229</v>
      </c>
      <c r="H24" t="s">
        <v>43230</v>
      </c>
      <c r="I24" t="s">
        <v>43231</v>
      </c>
      <c r="J24" t="s">
        <v>3284</v>
      </c>
      <c r="K24" t="s">
        <v>3244</v>
      </c>
      <c r="L24" t="s">
        <v>43232</v>
      </c>
    </row>
    <row r="25" spans="1:12" x14ac:dyDescent="0.3">
      <c r="A25" t="s">
        <v>40891</v>
      </c>
      <c r="B25" t="s">
        <v>40260</v>
      </c>
      <c r="C25" t="s">
        <v>40261</v>
      </c>
      <c r="D25" t="s">
        <v>40261</v>
      </c>
      <c r="E25" t="s">
        <v>40261</v>
      </c>
      <c r="F25" t="s">
        <v>43233</v>
      </c>
      <c r="G25" t="s">
        <v>43234</v>
      </c>
      <c r="H25" t="s">
        <v>43235</v>
      </c>
      <c r="I25" t="s">
        <v>43236</v>
      </c>
      <c r="J25" t="s">
        <v>40264</v>
      </c>
      <c r="K25" t="s">
        <v>43237</v>
      </c>
      <c r="L25" t="s">
        <v>43238</v>
      </c>
    </row>
    <row r="26" spans="1:12" x14ac:dyDescent="0.3">
      <c r="A26" t="s">
        <v>40835</v>
      </c>
      <c r="B26" t="s">
        <v>40254</v>
      </c>
      <c r="C26" t="s">
        <v>40255</v>
      </c>
      <c r="D26" t="s">
        <v>40255</v>
      </c>
      <c r="E26" t="s">
        <v>40255</v>
      </c>
      <c r="F26" t="s">
        <v>43239</v>
      </c>
      <c r="G26" t="s">
        <v>43240</v>
      </c>
      <c r="H26" t="s">
        <v>43241</v>
      </c>
      <c r="I26" t="s">
        <v>43242</v>
      </c>
      <c r="J26" t="s">
        <v>40258</v>
      </c>
      <c r="K26" t="s">
        <v>43243</v>
      </c>
      <c r="L26" t="s">
        <v>43244</v>
      </c>
    </row>
    <row r="27" spans="1:12" x14ac:dyDescent="0.3">
      <c r="A27" t="s">
        <v>410</v>
      </c>
      <c r="B27" t="s">
        <v>33</v>
      </c>
      <c r="C27" t="s">
        <v>33</v>
      </c>
      <c r="D27" t="s">
        <v>33</v>
      </c>
      <c r="E27" t="s">
        <v>33</v>
      </c>
      <c r="F27" t="s">
        <v>43245</v>
      </c>
      <c r="G27" t="s">
        <v>43246</v>
      </c>
      <c r="H27" t="s">
        <v>43247</v>
      </c>
      <c r="I27" t="s">
        <v>43248</v>
      </c>
      <c r="J27" t="s">
        <v>36</v>
      </c>
      <c r="K27" t="s">
        <v>43249</v>
      </c>
      <c r="L27" t="s">
        <v>43086</v>
      </c>
    </row>
    <row r="28" spans="1:12" x14ac:dyDescent="0.3">
      <c r="A28" t="s">
        <v>4585</v>
      </c>
      <c r="B28" t="s">
        <v>3245</v>
      </c>
      <c r="C28" t="s">
        <v>152</v>
      </c>
      <c r="D28" t="s">
        <v>152</v>
      </c>
      <c r="E28" t="s">
        <v>152</v>
      </c>
      <c r="F28" t="s">
        <v>43250</v>
      </c>
      <c r="G28" t="s">
        <v>43251</v>
      </c>
      <c r="H28" t="s">
        <v>43252</v>
      </c>
      <c r="I28" t="s">
        <v>43253</v>
      </c>
      <c r="J28" t="s">
        <v>9065</v>
      </c>
      <c r="K28" t="s">
        <v>43254</v>
      </c>
      <c r="L28" t="s">
        <v>43255</v>
      </c>
    </row>
    <row r="29" spans="1:12" x14ac:dyDescent="0.3">
      <c r="A29" t="s">
        <v>12801</v>
      </c>
      <c r="B29" t="s">
        <v>12448</v>
      </c>
      <c r="C29" t="s">
        <v>12448</v>
      </c>
      <c r="D29" t="s">
        <v>12448</v>
      </c>
      <c r="E29" t="s">
        <v>12448</v>
      </c>
      <c r="F29" t="s">
        <v>43256</v>
      </c>
      <c r="G29" t="s">
        <v>43257</v>
      </c>
      <c r="H29" t="s">
        <v>43258</v>
      </c>
      <c r="I29" t="s">
        <v>43259</v>
      </c>
      <c r="J29" t="s">
        <v>43260</v>
      </c>
      <c r="K29" t="s">
        <v>43261</v>
      </c>
      <c r="L29" t="s">
        <v>43262</v>
      </c>
    </row>
    <row r="30" spans="1:12" x14ac:dyDescent="0.3">
      <c r="A30" t="s">
        <v>38077</v>
      </c>
      <c r="B30" t="s">
        <v>37551</v>
      </c>
      <c r="C30" t="s">
        <v>37552</v>
      </c>
      <c r="D30" t="s">
        <v>37553</v>
      </c>
      <c r="E30" t="s">
        <v>37552</v>
      </c>
      <c r="F30" t="s">
        <v>43269</v>
      </c>
      <c r="G30" t="s">
        <v>43270</v>
      </c>
      <c r="H30" t="s">
        <v>43271</v>
      </c>
      <c r="I30" t="s">
        <v>43272</v>
      </c>
      <c r="J30" t="s">
        <v>37556</v>
      </c>
      <c r="K30" t="s">
        <v>43273</v>
      </c>
      <c r="L30" t="s">
        <v>43274</v>
      </c>
    </row>
    <row r="31" spans="1:12" x14ac:dyDescent="0.3">
      <c r="A31" t="s">
        <v>21192</v>
      </c>
      <c r="B31" t="s">
        <v>20674</v>
      </c>
      <c r="C31" t="s">
        <v>20675</v>
      </c>
      <c r="D31" t="s">
        <v>20675</v>
      </c>
      <c r="E31" t="s">
        <v>20675</v>
      </c>
      <c r="F31" t="s">
        <v>43275</v>
      </c>
      <c r="G31" t="s">
        <v>43276</v>
      </c>
      <c r="H31" t="s">
        <v>43277</v>
      </c>
      <c r="I31" t="s">
        <v>43278</v>
      </c>
      <c r="J31" t="s">
        <v>20678</v>
      </c>
      <c r="K31" t="s">
        <v>43279</v>
      </c>
      <c r="L31" t="s">
        <v>43280</v>
      </c>
    </row>
    <row r="32" spans="1:12" x14ac:dyDescent="0.3">
      <c r="A32" t="s">
        <v>5080</v>
      </c>
      <c r="B32" t="s">
        <v>3251</v>
      </c>
      <c r="C32" t="s">
        <v>5087</v>
      </c>
      <c r="D32" t="s">
        <v>5087</v>
      </c>
      <c r="E32" t="s">
        <v>5088</v>
      </c>
      <c r="F32" t="s">
        <v>43281</v>
      </c>
      <c r="G32" t="s">
        <v>43282</v>
      </c>
      <c r="H32" t="s">
        <v>43283</v>
      </c>
      <c r="I32" t="s">
        <v>43284</v>
      </c>
      <c r="J32" t="s">
        <v>5102</v>
      </c>
      <c r="K32" t="s">
        <v>43285</v>
      </c>
      <c r="L32" t="s">
        <v>43286</v>
      </c>
    </row>
    <row r="33" spans="1:12" x14ac:dyDescent="0.3">
      <c r="A33" t="s">
        <v>24343</v>
      </c>
      <c r="B33" t="s">
        <v>24002</v>
      </c>
      <c r="C33" t="s">
        <v>24002</v>
      </c>
      <c r="D33" t="s">
        <v>24003</v>
      </c>
      <c r="E33" t="s">
        <v>24003</v>
      </c>
      <c r="F33" t="s">
        <v>43287</v>
      </c>
      <c r="G33" t="s">
        <v>43288</v>
      </c>
      <c r="H33" t="s">
        <v>43289</v>
      </c>
      <c r="I33" t="s">
        <v>43290</v>
      </c>
      <c r="J33" t="s">
        <v>24006</v>
      </c>
      <c r="K33" t="s">
        <v>43291</v>
      </c>
      <c r="L33" t="s">
        <v>43292</v>
      </c>
    </row>
    <row r="34" spans="1:12" x14ac:dyDescent="0.3">
      <c r="A34" t="s">
        <v>26935</v>
      </c>
      <c r="B34" t="s">
        <v>25218</v>
      </c>
      <c r="C34" t="s">
        <v>25219</v>
      </c>
      <c r="D34" t="s">
        <v>25219</v>
      </c>
      <c r="E34" t="s">
        <v>25219</v>
      </c>
      <c r="F34" t="s">
        <v>43293</v>
      </c>
      <c r="G34" t="s">
        <v>43294</v>
      </c>
      <c r="H34" t="s">
        <v>43295</v>
      </c>
      <c r="I34" t="s">
        <v>43296</v>
      </c>
      <c r="J34" t="s">
        <v>26969</v>
      </c>
      <c r="K34" t="s">
        <v>43297</v>
      </c>
      <c r="L34" t="s">
        <v>43298</v>
      </c>
    </row>
    <row r="35" spans="1:12" x14ac:dyDescent="0.3">
      <c r="A35" t="s">
        <v>6192</v>
      </c>
      <c r="B35" t="s">
        <v>3275</v>
      </c>
      <c r="C35" t="s">
        <v>3275</v>
      </c>
      <c r="D35" t="s">
        <v>3275</v>
      </c>
      <c r="E35" t="s">
        <v>6290</v>
      </c>
      <c r="F35" t="s">
        <v>43299</v>
      </c>
      <c r="G35" t="s">
        <v>43300</v>
      </c>
      <c r="H35" t="s">
        <v>43301</v>
      </c>
      <c r="I35" t="s">
        <v>43302</v>
      </c>
      <c r="J35" t="s">
        <v>3279</v>
      </c>
      <c r="K35" t="s">
        <v>43303</v>
      </c>
      <c r="L35" t="s">
        <v>43304</v>
      </c>
    </row>
    <row r="36" spans="1:12" x14ac:dyDescent="0.3">
      <c r="A36" t="s">
        <v>12460</v>
      </c>
      <c r="B36" t="s">
        <v>12436</v>
      </c>
      <c r="C36" t="s">
        <v>12437</v>
      </c>
      <c r="D36" t="s">
        <v>12437</v>
      </c>
      <c r="E36" t="s">
        <v>12437</v>
      </c>
      <c r="F36" t="s">
        <v>43311</v>
      </c>
      <c r="G36" t="s">
        <v>43312</v>
      </c>
      <c r="H36" t="s">
        <v>43313</v>
      </c>
      <c r="I36" t="s">
        <v>43314</v>
      </c>
      <c r="J36" t="s">
        <v>12440</v>
      </c>
      <c r="K36" t="s">
        <v>12543</v>
      </c>
      <c r="L36" t="s">
        <v>43315</v>
      </c>
    </row>
    <row r="37" spans="1:12" x14ac:dyDescent="0.3">
      <c r="A37" t="s">
        <v>24008</v>
      </c>
      <c r="B37" t="s">
        <v>8088</v>
      </c>
      <c r="C37" t="s">
        <v>8088</v>
      </c>
      <c r="D37" t="s">
        <v>23986</v>
      </c>
      <c r="E37" t="s">
        <v>23986</v>
      </c>
      <c r="F37" t="s">
        <v>43316</v>
      </c>
      <c r="G37" t="s">
        <v>43317</v>
      </c>
      <c r="H37" t="s">
        <v>43318</v>
      </c>
      <c r="I37" t="s">
        <v>43319</v>
      </c>
      <c r="J37" t="s">
        <v>23989</v>
      </c>
      <c r="K37" t="s">
        <v>43320</v>
      </c>
      <c r="L37" t="s">
        <v>43088</v>
      </c>
    </row>
    <row r="38" spans="1:12" x14ac:dyDescent="0.3">
      <c r="A38" t="s">
        <v>13812</v>
      </c>
      <c r="B38" t="s">
        <v>13792</v>
      </c>
      <c r="C38" t="s">
        <v>13793</v>
      </c>
      <c r="D38" t="s">
        <v>13793</v>
      </c>
      <c r="E38" t="s">
        <v>3986</v>
      </c>
      <c r="F38" t="s">
        <v>43327</v>
      </c>
      <c r="G38" t="s">
        <v>43328</v>
      </c>
      <c r="H38" t="s">
        <v>43329</v>
      </c>
      <c r="I38" t="s">
        <v>43330</v>
      </c>
      <c r="J38" t="s">
        <v>13796</v>
      </c>
      <c r="K38" t="s">
        <v>43331</v>
      </c>
      <c r="L38" t="s">
        <v>43332</v>
      </c>
    </row>
    <row r="39" spans="1:12" x14ac:dyDescent="0.3">
      <c r="A39" t="s">
        <v>35670</v>
      </c>
      <c r="B39" t="s">
        <v>35639</v>
      </c>
      <c r="C39" t="s">
        <v>35639</v>
      </c>
      <c r="D39" t="s">
        <v>35639</v>
      </c>
      <c r="E39" t="s">
        <v>35639</v>
      </c>
      <c r="F39" t="s">
        <v>43333</v>
      </c>
      <c r="G39" t="s">
        <v>43334</v>
      </c>
      <c r="H39" t="s">
        <v>43335</v>
      </c>
      <c r="I39" t="s">
        <v>43336</v>
      </c>
      <c r="J39" t="s">
        <v>35703</v>
      </c>
      <c r="K39" t="s">
        <v>43337</v>
      </c>
      <c r="L39" t="s">
        <v>43338</v>
      </c>
    </row>
    <row r="40" spans="1:12" x14ac:dyDescent="0.3">
      <c r="A40" t="s">
        <v>17681</v>
      </c>
      <c r="B40" t="s">
        <v>17260</v>
      </c>
      <c r="C40" t="s">
        <v>17260</v>
      </c>
      <c r="D40" t="s">
        <v>17260</v>
      </c>
      <c r="E40" t="s">
        <v>17261</v>
      </c>
      <c r="F40" t="s">
        <v>43339</v>
      </c>
      <c r="G40" t="s">
        <v>43340</v>
      </c>
      <c r="H40" t="s">
        <v>43341</v>
      </c>
      <c r="I40" t="s">
        <v>43342</v>
      </c>
      <c r="J40" t="s">
        <v>17264</v>
      </c>
      <c r="K40" t="s">
        <v>43343</v>
      </c>
      <c r="L40" t="s">
        <v>43344</v>
      </c>
    </row>
    <row r="41" spans="1:12" x14ac:dyDescent="0.3">
      <c r="A41" t="s">
        <v>17317</v>
      </c>
      <c r="B41" t="s">
        <v>17250</v>
      </c>
      <c r="C41" t="s">
        <v>17250</v>
      </c>
      <c r="D41" t="s">
        <v>17250</v>
      </c>
      <c r="E41" t="s">
        <v>17250</v>
      </c>
      <c r="F41" t="s">
        <v>43345</v>
      </c>
      <c r="G41" t="s">
        <v>43346</v>
      </c>
      <c r="H41" t="s">
        <v>43347</v>
      </c>
      <c r="I41" t="s">
        <v>43348</v>
      </c>
      <c r="J41" t="s">
        <v>17253</v>
      </c>
      <c r="K41" t="s">
        <v>43349</v>
      </c>
      <c r="L41" t="s">
        <v>43326</v>
      </c>
    </row>
    <row r="42" spans="1:12" x14ac:dyDescent="0.3">
      <c r="A42" t="s">
        <v>593</v>
      </c>
      <c r="B42" t="s">
        <v>38</v>
      </c>
      <c r="C42" t="s">
        <v>38</v>
      </c>
      <c r="D42" t="s">
        <v>38</v>
      </c>
      <c r="E42" t="s">
        <v>38</v>
      </c>
      <c r="F42" t="s">
        <v>43350</v>
      </c>
      <c r="G42" t="s">
        <v>43351</v>
      </c>
      <c r="H42" t="s">
        <v>43352</v>
      </c>
      <c r="I42" t="s">
        <v>43353</v>
      </c>
      <c r="J42" t="s">
        <v>41</v>
      </c>
      <c r="K42" t="s">
        <v>43343</v>
      </c>
      <c r="L42" t="s">
        <v>43354</v>
      </c>
    </row>
    <row r="43" spans="1:12" x14ac:dyDescent="0.3">
      <c r="A43" t="s">
        <v>14644</v>
      </c>
      <c r="B43" t="s">
        <v>13805</v>
      </c>
      <c r="C43" t="s">
        <v>1210</v>
      </c>
      <c r="D43" t="s">
        <v>1210</v>
      </c>
      <c r="E43" t="s">
        <v>1210</v>
      </c>
      <c r="F43" t="s">
        <v>43355</v>
      </c>
      <c r="G43" t="s">
        <v>43356</v>
      </c>
      <c r="H43" t="s">
        <v>43357</v>
      </c>
      <c r="I43" t="s">
        <v>43358</v>
      </c>
      <c r="J43" t="s">
        <v>1211</v>
      </c>
      <c r="K43" t="s">
        <v>43359</v>
      </c>
      <c r="L43" t="s">
        <v>43360</v>
      </c>
    </row>
    <row r="44" spans="1:12" x14ac:dyDescent="0.3">
      <c r="A44" t="s">
        <v>24070</v>
      </c>
      <c r="B44" t="s">
        <v>20006</v>
      </c>
      <c r="C44" t="s">
        <v>23991</v>
      </c>
      <c r="D44" t="s">
        <v>23992</v>
      </c>
      <c r="E44" t="s">
        <v>23992</v>
      </c>
      <c r="F44" t="s">
        <v>43361</v>
      </c>
      <c r="G44" t="s">
        <v>43362</v>
      </c>
      <c r="H44" t="s">
        <v>43363</v>
      </c>
      <c r="I44" t="s">
        <v>43364</v>
      </c>
      <c r="J44" t="s">
        <v>43365</v>
      </c>
      <c r="K44" t="s">
        <v>43365</v>
      </c>
      <c r="L44" t="s">
        <v>43366</v>
      </c>
    </row>
    <row r="45" spans="1:12" x14ac:dyDescent="0.3">
      <c r="A45" t="s">
        <v>740</v>
      </c>
      <c r="B45" t="s">
        <v>43</v>
      </c>
      <c r="C45" t="s">
        <v>44</v>
      </c>
      <c r="D45" t="s">
        <v>44</v>
      </c>
      <c r="E45" t="s">
        <v>44</v>
      </c>
      <c r="F45" t="s">
        <v>43367</v>
      </c>
      <c r="G45" t="s">
        <v>43368</v>
      </c>
      <c r="H45" t="s">
        <v>43369</v>
      </c>
      <c r="I45" t="s">
        <v>43370</v>
      </c>
      <c r="J45" t="s">
        <v>44</v>
      </c>
      <c r="K45" t="s">
        <v>43371</v>
      </c>
      <c r="L45" t="s">
        <v>43372</v>
      </c>
    </row>
    <row r="46" spans="1:12" x14ac:dyDescent="0.3">
      <c r="A46" t="s">
        <v>20830</v>
      </c>
      <c r="B46" t="s">
        <v>20667</v>
      </c>
      <c r="C46" t="s">
        <v>20668</v>
      </c>
      <c r="D46" t="s">
        <v>20668</v>
      </c>
      <c r="E46" t="s">
        <v>20669</v>
      </c>
      <c r="F46" t="s">
        <v>43373</v>
      </c>
      <c r="G46" t="s">
        <v>43374</v>
      </c>
      <c r="H46" t="s">
        <v>43375</v>
      </c>
      <c r="I46" t="s">
        <v>43376</v>
      </c>
      <c r="J46" t="s">
        <v>20672</v>
      </c>
      <c r="K46" t="s">
        <v>43377</v>
      </c>
      <c r="L46" t="s">
        <v>43131</v>
      </c>
    </row>
    <row r="47" spans="1:12" x14ac:dyDescent="0.3">
      <c r="A47" t="s">
        <v>202</v>
      </c>
      <c r="B47" t="s">
        <v>27</v>
      </c>
      <c r="C47" t="s">
        <v>28</v>
      </c>
      <c r="D47" t="s">
        <v>28</v>
      </c>
      <c r="E47" t="s">
        <v>28</v>
      </c>
      <c r="F47" t="s">
        <v>43378</v>
      </c>
      <c r="G47" t="s">
        <v>43379</v>
      </c>
      <c r="H47" t="s">
        <v>43380</v>
      </c>
      <c r="I47" t="s">
        <v>43381</v>
      </c>
      <c r="J47" t="s">
        <v>31</v>
      </c>
      <c r="K47" t="s">
        <v>43382</v>
      </c>
      <c r="L47" t="s">
        <v>43383</v>
      </c>
    </row>
    <row r="48" spans="1:12" x14ac:dyDescent="0.3">
      <c r="A48" t="s">
        <v>40273</v>
      </c>
      <c r="B48" t="s">
        <v>40241</v>
      </c>
      <c r="C48" t="s">
        <v>40242</v>
      </c>
      <c r="D48" t="s">
        <v>40242</v>
      </c>
      <c r="E48" t="s">
        <v>40242</v>
      </c>
      <c r="F48" t="s">
        <v>43384</v>
      </c>
      <c r="G48" t="s">
        <v>43385</v>
      </c>
      <c r="H48" t="s">
        <v>43386</v>
      </c>
      <c r="I48" t="s">
        <v>43387</v>
      </c>
      <c r="J48" t="s">
        <v>40497</v>
      </c>
      <c r="K48" t="s">
        <v>43388</v>
      </c>
      <c r="L48" t="s">
        <v>43389</v>
      </c>
    </row>
    <row r="49" spans="1:12" x14ac:dyDescent="0.3">
      <c r="A49" t="s">
        <v>24238</v>
      </c>
      <c r="B49" t="s">
        <v>1150</v>
      </c>
      <c r="C49" t="s">
        <v>23997</v>
      </c>
      <c r="D49" t="s">
        <v>23997</v>
      </c>
      <c r="E49" t="s">
        <v>23997</v>
      </c>
      <c r="F49" t="s">
        <v>43390</v>
      </c>
      <c r="G49" t="s">
        <v>43391</v>
      </c>
      <c r="H49" t="s">
        <v>43392</v>
      </c>
      <c r="I49" t="s">
        <v>43393</v>
      </c>
      <c r="J49" t="s">
        <v>24000</v>
      </c>
      <c r="K49" t="s">
        <v>43394</v>
      </c>
      <c r="L49" t="s">
        <v>43089</v>
      </c>
    </row>
    <row r="50" spans="1:12" x14ac:dyDescent="0.3">
      <c r="A50" t="s">
        <v>17266</v>
      </c>
      <c r="B50" t="s">
        <v>17245</v>
      </c>
      <c r="C50" t="s">
        <v>17245</v>
      </c>
      <c r="D50" t="s">
        <v>17245</v>
      </c>
      <c r="E50" t="s">
        <v>17245</v>
      </c>
      <c r="F50" t="s">
        <v>43395</v>
      </c>
      <c r="G50" t="s">
        <v>43396</v>
      </c>
      <c r="H50" t="s">
        <v>43397</v>
      </c>
      <c r="I50" t="s">
        <v>43398</v>
      </c>
      <c r="J50" t="s">
        <v>17248</v>
      </c>
      <c r="K50" t="s">
        <v>43399</v>
      </c>
      <c r="L50" t="s">
        <v>43400</v>
      </c>
    </row>
    <row r="51" spans="1:12" x14ac:dyDescent="0.3">
      <c r="A51" t="s">
        <v>32491</v>
      </c>
      <c r="B51" t="s">
        <v>4618</v>
      </c>
      <c r="C51" t="s">
        <v>4618</v>
      </c>
      <c r="D51" t="s">
        <v>4618</v>
      </c>
      <c r="E51" t="s">
        <v>32471</v>
      </c>
      <c r="F51" t="s">
        <v>43401</v>
      </c>
      <c r="G51" t="s">
        <v>43402</v>
      </c>
      <c r="H51" t="s">
        <v>43403</v>
      </c>
      <c r="I51" t="s">
        <v>43404</v>
      </c>
      <c r="J51" t="s">
        <v>28925</v>
      </c>
      <c r="K51" t="s">
        <v>43405</v>
      </c>
      <c r="L51" t="s">
        <v>43406</v>
      </c>
    </row>
    <row r="52" spans="1:12" x14ac:dyDescent="0.3">
      <c r="A52" t="s">
        <v>33044</v>
      </c>
      <c r="B52" t="s">
        <v>32480</v>
      </c>
      <c r="C52" t="s">
        <v>32481</v>
      </c>
      <c r="D52" t="s">
        <v>32481</v>
      </c>
      <c r="E52" t="s">
        <v>32481</v>
      </c>
      <c r="F52" t="s">
        <v>43407</v>
      </c>
      <c r="G52" t="s">
        <v>43408</v>
      </c>
      <c r="I52" t="s">
        <v>43409</v>
      </c>
      <c r="J52" t="s">
        <v>32484</v>
      </c>
      <c r="K52" t="s">
        <v>43410</v>
      </c>
      <c r="L52" t="s">
        <v>43411</v>
      </c>
    </row>
    <row r="53" spans="1:12" x14ac:dyDescent="0.3">
      <c r="A53" t="s">
        <v>17433</v>
      </c>
      <c r="B53" t="s">
        <v>17255</v>
      </c>
      <c r="C53" t="s">
        <v>17255</v>
      </c>
      <c r="D53" t="s">
        <v>17255</v>
      </c>
      <c r="E53" t="s">
        <v>17255</v>
      </c>
      <c r="F53" t="s">
        <v>43412</v>
      </c>
      <c r="G53" t="s">
        <v>43413</v>
      </c>
      <c r="H53" t="s">
        <v>43414</v>
      </c>
      <c r="I53" t="s">
        <v>43415</v>
      </c>
      <c r="J53" t="s">
        <v>17258</v>
      </c>
      <c r="K53" t="s">
        <v>43416</v>
      </c>
      <c r="L53" t="s">
        <v>43268</v>
      </c>
    </row>
    <row r="54" spans="1:12" x14ac:dyDescent="0.3">
      <c r="A54" t="s">
        <v>19325</v>
      </c>
      <c r="B54" t="s">
        <v>18824</v>
      </c>
      <c r="C54" t="s">
        <v>18825</v>
      </c>
      <c r="D54" t="s">
        <v>18825</v>
      </c>
      <c r="E54" t="s">
        <v>18825</v>
      </c>
      <c r="F54" t="s">
        <v>43417</v>
      </c>
      <c r="G54" t="s">
        <v>43418</v>
      </c>
      <c r="H54" t="s">
        <v>43419</v>
      </c>
      <c r="I54" t="s">
        <v>43420</v>
      </c>
      <c r="J54" t="s">
        <v>18828</v>
      </c>
      <c r="K54" t="s">
        <v>43421</v>
      </c>
      <c r="L54" t="s">
        <v>43422</v>
      </c>
    </row>
    <row r="55" spans="1:12" x14ac:dyDescent="0.3">
      <c r="A55" t="s">
        <v>26402</v>
      </c>
      <c r="B55" t="s">
        <v>25191</v>
      </c>
      <c r="C55" t="s">
        <v>25192</v>
      </c>
      <c r="D55" t="s">
        <v>25192</v>
      </c>
      <c r="E55" t="s">
        <v>25192</v>
      </c>
      <c r="F55" t="s">
        <v>43423</v>
      </c>
      <c r="G55" t="s">
        <v>43424</v>
      </c>
      <c r="H55" t="s">
        <v>43425</v>
      </c>
      <c r="I55" t="s">
        <v>43426</v>
      </c>
      <c r="J55" t="s">
        <v>25195</v>
      </c>
      <c r="K55" t="s">
        <v>43427</v>
      </c>
      <c r="L55" t="s">
        <v>43428</v>
      </c>
    </row>
    <row r="56" spans="1:12" x14ac:dyDescent="0.3">
      <c r="A56" t="s">
        <v>32904</v>
      </c>
      <c r="B56" t="s">
        <v>32475</v>
      </c>
      <c r="C56" t="s">
        <v>1969</v>
      </c>
      <c r="D56" t="s">
        <v>1969</v>
      </c>
      <c r="E56" t="s">
        <v>1969</v>
      </c>
      <c r="F56" t="s">
        <v>43430</v>
      </c>
      <c r="G56" t="s">
        <v>43431</v>
      </c>
      <c r="H56" t="s">
        <v>43432</v>
      </c>
      <c r="I56" t="s">
        <v>43433</v>
      </c>
      <c r="J56" t="s">
        <v>14960</v>
      </c>
      <c r="K56" t="s">
        <v>43343</v>
      </c>
      <c r="L56" t="s">
        <v>43434</v>
      </c>
    </row>
    <row r="57" spans="1:12" x14ac:dyDescent="0.3">
      <c r="A57" t="s">
        <v>12698</v>
      </c>
      <c r="B57" t="s">
        <v>12442</v>
      </c>
      <c r="C57" t="s">
        <v>12443</v>
      </c>
      <c r="D57" t="s">
        <v>12041</v>
      </c>
      <c r="E57" t="s">
        <v>12041</v>
      </c>
      <c r="F57" t="s">
        <v>43435</v>
      </c>
      <c r="G57" t="s">
        <v>43436</v>
      </c>
      <c r="H57" t="s">
        <v>43437</v>
      </c>
      <c r="I57" t="s">
        <v>43438</v>
      </c>
      <c r="J57" t="s">
        <v>12792</v>
      </c>
      <c r="K57" t="s">
        <v>4386</v>
      </c>
      <c r="L57" t="s">
        <v>43439</v>
      </c>
    </row>
    <row r="58" spans="1:12" x14ac:dyDescent="0.3">
      <c r="A58" t="s">
        <v>38247</v>
      </c>
      <c r="B58" t="s">
        <v>37558</v>
      </c>
      <c r="C58" t="s">
        <v>37559</v>
      </c>
      <c r="D58" t="s">
        <v>37559</v>
      </c>
      <c r="E58" t="s">
        <v>37559</v>
      </c>
      <c r="F58" t="s">
        <v>43440</v>
      </c>
      <c r="G58" t="s">
        <v>43441</v>
      </c>
      <c r="H58" t="s">
        <v>43442</v>
      </c>
      <c r="I58" t="s">
        <v>43443</v>
      </c>
      <c r="J58" t="s">
        <v>37562</v>
      </c>
      <c r="K58" t="s">
        <v>43444</v>
      </c>
      <c r="L58" t="s">
        <v>43445</v>
      </c>
    </row>
    <row r="59" spans="1:12" x14ac:dyDescent="0.3">
      <c r="A59" t="s">
        <v>20686</v>
      </c>
      <c r="B59" t="s">
        <v>20661</v>
      </c>
      <c r="C59" t="s">
        <v>20661</v>
      </c>
      <c r="D59" t="s">
        <v>20661</v>
      </c>
      <c r="E59" t="s">
        <v>20662</v>
      </c>
      <c r="F59" t="s">
        <v>43446</v>
      </c>
      <c r="G59" t="s">
        <v>43447</v>
      </c>
      <c r="H59" t="s">
        <v>43448</v>
      </c>
      <c r="I59" t="s">
        <v>43449</v>
      </c>
      <c r="J59" t="s">
        <v>20665</v>
      </c>
      <c r="K59" t="s">
        <v>43450</v>
      </c>
      <c r="L59" t="s">
        <v>43451</v>
      </c>
    </row>
    <row r="60" spans="1:12" x14ac:dyDescent="0.3">
      <c r="A60" t="s">
        <v>26583</v>
      </c>
      <c r="B60" t="s">
        <v>25207</v>
      </c>
      <c r="C60" t="s">
        <v>25207</v>
      </c>
      <c r="D60" t="s">
        <v>25207</v>
      </c>
      <c r="E60" t="s">
        <v>25207</v>
      </c>
      <c r="F60" t="s">
        <v>43452</v>
      </c>
      <c r="G60" t="s">
        <v>43453</v>
      </c>
      <c r="H60" t="s">
        <v>43454</v>
      </c>
      <c r="I60" t="s">
        <v>43455</v>
      </c>
      <c r="J60" t="s">
        <v>25207</v>
      </c>
      <c r="K60" t="s">
        <v>43456</v>
      </c>
      <c r="L60" t="s">
        <v>43457</v>
      </c>
    </row>
    <row r="61" spans="1:12" x14ac:dyDescent="0.3">
      <c r="A61" t="s">
        <v>13593</v>
      </c>
      <c r="B61" t="s">
        <v>12448</v>
      </c>
      <c r="C61" t="s">
        <v>12448</v>
      </c>
      <c r="D61" t="s">
        <v>12448</v>
      </c>
      <c r="E61" t="s">
        <v>12448</v>
      </c>
      <c r="F61" t="s">
        <v>43459</v>
      </c>
      <c r="G61" t="s">
        <v>43460</v>
      </c>
      <c r="H61" t="s">
        <v>43461</v>
      </c>
      <c r="I61" t="s">
        <v>43462</v>
      </c>
      <c r="J61" t="s">
        <v>12451</v>
      </c>
      <c r="K61" t="s">
        <v>43463</v>
      </c>
      <c r="L61" t="s">
        <v>43464</v>
      </c>
    </row>
    <row r="62" spans="1:12" x14ac:dyDescent="0.3">
      <c r="A62" t="s">
        <v>24580</v>
      </c>
      <c r="B62" t="s">
        <v>20006</v>
      </c>
      <c r="C62" t="s">
        <v>23991</v>
      </c>
      <c r="D62" t="s">
        <v>23992</v>
      </c>
      <c r="E62" t="s">
        <v>23992</v>
      </c>
      <c r="F62" t="s">
        <v>43465</v>
      </c>
      <c r="G62" t="s">
        <v>43466</v>
      </c>
      <c r="H62" t="s">
        <v>43467</v>
      </c>
      <c r="I62" t="s">
        <v>43468</v>
      </c>
      <c r="J62" t="s">
        <v>24106</v>
      </c>
      <c r="K62" t="s">
        <v>43469</v>
      </c>
      <c r="L62" t="s">
        <v>43366</v>
      </c>
    </row>
    <row r="63" spans="1:12" x14ac:dyDescent="0.3">
      <c r="A63" t="s">
        <v>12921</v>
      </c>
      <c r="B63" t="s">
        <v>12436</v>
      </c>
      <c r="C63" t="s">
        <v>12437</v>
      </c>
      <c r="D63" t="s">
        <v>12437</v>
      </c>
      <c r="E63" t="s">
        <v>12437</v>
      </c>
      <c r="F63" t="s">
        <v>43477</v>
      </c>
      <c r="G63" t="s">
        <v>43478</v>
      </c>
      <c r="H63" t="s">
        <v>43479</v>
      </c>
      <c r="I63" t="s">
        <v>43480</v>
      </c>
      <c r="J63" t="s">
        <v>12440</v>
      </c>
      <c r="K63" t="s">
        <v>43481</v>
      </c>
      <c r="L63" t="s">
        <v>43315</v>
      </c>
    </row>
    <row r="64" spans="1:12" x14ac:dyDescent="0.3">
      <c r="A64" t="s">
        <v>39512</v>
      </c>
      <c r="B64" t="s">
        <v>37551</v>
      </c>
      <c r="C64" t="s">
        <v>37552</v>
      </c>
      <c r="D64" t="s">
        <v>37553</v>
      </c>
      <c r="E64" t="s">
        <v>37552</v>
      </c>
      <c r="F64" t="s">
        <v>43493</v>
      </c>
      <c r="G64" t="s">
        <v>43494</v>
      </c>
      <c r="H64" t="s">
        <v>43495</v>
      </c>
      <c r="I64" t="s">
        <v>43496</v>
      </c>
      <c r="J64" t="s">
        <v>37556</v>
      </c>
      <c r="K64" t="s">
        <v>43497</v>
      </c>
      <c r="L64" t="s">
        <v>43274</v>
      </c>
    </row>
    <row r="65" spans="1:12" x14ac:dyDescent="0.3">
      <c r="A65" t="s">
        <v>6738</v>
      </c>
      <c r="B65" t="s">
        <v>3238</v>
      </c>
      <c r="C65" t="s">
        <v>3239</v>
      </c>
      <c r="D65" t="s">
        <v>3239</v>
      </c>
      <c r="E65" t="s">
        <v>3240</v>
      </c>
      <c r="F65" t="s">
        <v>43498</v>
      </c>
      <c r="G65" t="s">
        <v>43499</v>
      </c>
      <c r="H65" t="s">
        <v>43500</v>
      </c>
      <c r="I65" t="s">
        <v>43501</v>
      </c>
      <c r="J65" t="s">
        <v>3284</v>
      </c>
      <c r="K65" t="s">
        <v>43502</v>
      </c>
      <c r="L65" t="s">
        <v>43232</v>
      </c>
    </row>
    <row r="66" spans="1:12" x14ac:dyDescent="0.3">
      <c r="A66" t="s">
        <v>31524</v>
      </c>
      <c r="B66" t="s">
        <v>25224</v>
      </c>
      <c r="C66" t="s">
        <v>25224</v>
      </c>
      <c r="D66" t="s">
        <v>25224</v>
      </c>
      <c r="E66" t="s">
        <v>25224</v>
      </c>
      <c r="F66" t="s">
        <v>43503</v>
      </c>
      <c r="G66" t="s">
        <v>43504</v>
      </c>
      <c r="H66" t="s">
        <v>43505</v>
      </c>
      <c r="I66" t="s">
        <v>43506</v>
      </c>
      <c r="J66" t="s">
        <v>25227</v>
      </c>
      <c r="K66" t="s">
        <v>31542</v>
      </c>
      <c r="L66" t="s">
        <v>43141</v>
      </c>
    </row>
    <row r="67" spans="1:12" x14ac:dyDescent="0.3">
      <c r="A67" t="s">
        <v>20443</v>
      </c>
      <c r="B67" t="s">
        <v>18824</v>
      </c>
      <c r="C67" t="s">
        <v>18825</v>
      </c>
      <c r="D67" t="s">
        <v>18825</v>
      </c>
      <c r="E67" t="s">
        <v>18825</v>
      </c>
      <c r="F67" t="s">
        <v>43508</v>
      </c>
      <c r="G67" t="s">
        <v>43509</v>
      </c>
      <c r="H67" t="s">
        <v>43510</v>
      </c>
      <c r="I67" t="s">
        <v>43511</v>
      </c>
      <c r="J67" t="s">
        <v>18828</v>
      </c>
      <c r="K67" t="s">
        <v>18829</v>
      </c>
      <c r="L67" t="s">
        <v>43422</v>
      </c>
    </row>
    <row r="68" spans="1:12" x14ac:dyDescent="0.3">
      <c r="A68" t="s">
        <v>39848</v>
      </c>
      <c r="B68" t="s">
        <v>37558</v>
      </c>
      <c r="C68" t="s">
        <v>37559</v>
      </c>
      <c r="D68" t="s">
        <v>37559</v>
      </c>
      <c r="E68" t="s">
        <v>37559</v>
      </c>
      <c r="F68" t="s">
        <v>43513</v>
      </c>
      <c r="G68" t="s">
        <v>43514</v>
      </c>
      <c r="H68" t="s">
        <v>43515</v>
      </c>
      <c r="I68" t="s">
        <v>43516</v>
      </c>
      <c r="J68" t="s">
        <v>37562</v>
      </c>
      <c r="K68" t="s">
        <v>43517</v>
      </c>
      <c r="L68" t="s">
        <v>43518</v>
      </c>
    </row>
    <row r="69" spans="1:12" x14ac:dyDescent="0.3">
      <c r="A69" t="s">
        <v>31098</v>
      </c>
      <c r="B69" t="s">
        <v>25218</v>
      </c>
      <c r="C69" t="s">
        <v>25219</v>
      </c>
      <c r="D69" t="s">
        <v>25219</v>
      </c>
      <c r="E69" t="s">
        <v>25219</v>
      </c>
      <c r="F69" t="s">
        <v>43519</v>
      </c>
      <c r="G69" t="s">
        <v>43520</v>
      </c>
      <c r="H69" t="s">
        <v>43521</v>
      </c>
      <c r="I69" t="s">
        <v>43522</v>
      </c>
      <c r="J69" t="s">
        <v>26969</v>
      </c>
      <c r="K69" t="s">
        <v>43523</v>
      </c>
      <c r="L69" t="s">
        <v>43298</v>
      </c>
    </row>
    <row r="70" spans="1:12" x14ac:dyDescent="0.3">
      <c r="A70" t="s">
        <v>41596</v>
      </c>
      <c r="B70" t="s">
        <v>40247</v>
      </c>
      <c r="C70" t="s">
        <v>40248</v>
      </c>
      <c r="D70" t="s">
        <v>40248</v>
      </c>
      <c r="E70" t="s">
        <v>40248</v>
      </c>
      <c r="F70" t="s">
        <v>43524</v>
      </c>
      <c r="G70" t="s">
        <v>43525</v>
      </c>
      <c r="H70" t="s">
        <v>43526</v>
      </c>
      <c r="I70" t="s">
        <v>43527</v>
      </c>
      <c r="J70" t="s">
        <v>40536</v>
      </c>
      <c r="K70" t="s">
        <v>43528</v>
      </c>
      <c r="L70" t="s">
        <v>43221</v>
      </c>
    </row>
    <row r="71" spans="1:12" x14ac:dyDescent="0.3">
      <c r="A71" t="s">
        <v>18576</v>
      </c>
      <c r="B71" t="s">
        <v>17260</v>
      </c>
      <c r="C71" t="s">
        <v>17260</v>
      </c>
      <c r="D71" t="s">
        <v>17260</v>
      </c>
      <c r="E71" t="s">
        <v>17261</v>
      </c>
      <c r="F71" t="s">
        <v>43529</v>
      </c>
      <c r="G71" t="s">
        <v>43530</v>
      </c>
      <c r="H71" t="s">
        <v>43531</v>
      </c>
      <c r="I71" t="s">
        <v>43532</v>
      </c>
      <c r="J71" t="s">
        <v>17264</v>
      </c>
      <c r="K71" t="s">
        <v>43343</v>
      </c>
      <c r="L71" t="s">
        <v>43344</v>
      </c>
    </row>
    <row r="72" spans="1:12" x14ac:dyDescent="0.3">
      <c r="A72" t="s">
        <v>36334</v>
      </c>
      <c r="B72" t="s">
        <v>35639</v>
      </c>
      <c r="C72" t="s">
        <v>35639</v>
      </c>
      <c r="D72" t="s">
        <v>35639</v>
      </c>
      <c r="E72" t="s">
        <v>35639</v>
      </c>
      <c r="F72" t="s">
        <v>43533</v>
      </c>
      <c r="G72" t="s">
        <v>43534</v>
      </c>
      <c r="H72" t="s">
        <v>43535</v>
      </c>
      <c r="I72" t="s">
        <v>43536</v>
      </c>
      <c r="J72" t="s">
        <v>35703</v>
      </c>
      <c r="K72" t="s">
        <v>43337</v>
      </c>
      <c r="L72" t="s">
        <v>43338</v>
      </c>
    </row>
    <row r="73" spans="1:12" x14ac:dyDescent="0.3">
      <c r="A73" t="s">
        <v>32051</v>
      </c>
      <c r="B73" t="s">
        <v>25229</v>
      </c>
      <c r="C73" t="s">
        <v>25230</v>
      </c>
      <c r="D73" t="s">
        <v>25230</v>
      </c>
      <c r="E73" t="s">
        <v>25230</v>
      </c>
      <c r="F73" t="s">
        <v>43537</v>
      </c>
      <c r="G73" t="s">
        <v>43538</v>
      </c>
      <c r="H73" t="s">
        <v>43539</v>
      </c>
      <c r="I73" t="s">
        <v>43540</v>
      </c>
      <c r="J73" t="s">
        <v>25233</v>
      </c>
      <c r="K73" t="s">
        <v>43541</v>
      </c>
      <c r="L73" t="s">
        <v>43194</v>
      </c>
    </row>
    <row r="74" spans="1:12" x14ac:dyDescent="0.3">
      <c r="A74" t="s">
        <v>25086</v>
      </c>
      <c r="B74" t="s">
        <v>24002</v>
      </c>
      <c r="C74" t="s">
        <v>24002</v>
      </c>
      <c r="D74" t="s">
        <v>24003</v>
      </c>
      <c r="E74" t="s">
        <v>24003</v>
      </c>
      <c r="F74" t="s">
        <v>43542</v>
      </c>
      <c r="G74" t="s">
        <v>43543</v>
      </c>
      <c r="H74" t="s">
        <v>43544</v>
      </c>
      <c r="I74" t="s">
        <v>43545</v>
      </c>
      <c r="J74" t="s">
        <v>24006</v>
      </c>
      <c r="K74" t="s">
        <v>43291</v>
      </c>
      <c r="L74" t="s">
        <v>43292</v>
      </c>
    </row>
    <row r="75" spans="1:12" x14ac:dyDescent="0.3">
      <c r="A75" t="s">
        <v>22727</v>
      </c>
      <c r="B75" t="s">
        <v>20674</v>
      </c>
      <c r="C75" t="s">
        <v>20675</v>
      </c>
      <c r="D75" t="s">
        <v>20675</v>
      </c>
      <c r="E75" t="s">
        <v>20675</v>
      </c>
      <c r="F75" t="s">
        <v>43546</v>
      </c>
      <c r="G75" t="s">
        <v>43547</v>
      </c>
      <c r="H75" t="s">
        <v>43548</v>
      </c>
      <c r="I75" t="s">
        <v>43549</v>
      </c>
      <c r="J75" t="s">
        <v>20678</v>
      </c>
      <c r="K75" t="s">
        <v>43550</v>
      </c>
      <c r="L75" t="s">
        <v>43551</v>
      </c>
    </row>
    <row r="76" spans="1:12" x14ac:dyDescent="0.3">
      <c r="A76" t="s">
        <v>17789</v>
      </c>
      <c r="B76" t="s">
        <v>17245</v>
      </c>
      <c r="C76" t="s">
        <v>17245</v>
      </c>
      <c r="D76" t="s">
        <v>17245</v>
      </c>
      <c r="E76" t="s">
        <v>17245</v>
      </c>
      <c r="F76" t="s">
        <v>43552</v>
      </c>
      <c r="G76" t="s">
        <v>43553</v>
      </c>
      <c r="H76" t="s">
        <v>43554</v>
      </c>
      <c r="I76" t="s">
        <v>43555</v>
      </c>
      <c r="J76" t="s">
        <v>17248</v>
      </c>
      <c r="K76" t="s">
        <v>43343</v>
      </c>
      <c r="L76" t="s">
        <v>43400</v>
      </c>
    </row>
    <row r="77" spans="1:12" x14ac:dyDescent="0.3">
      <c r="A77" t="s">
        <v>2598</v>
      </c>
      <c r="B77" t="s">
        <v>43</v>
      </c>
      <c r="C77" t="s">
        <v>44</v>
      </c>
      <c r="D77" t="s">
        <v>44</v>
      </c>
      <c r="E77" t="s">
        <v>44</v>
      </c>
      <c r="F77" t="s">
        <v>43567</v>
      </c>
      <c r="G77" t="s">
        <v>43568</v>
      </c>
      <c r="H77" t="s">
        <v>43569</v>
      </c>
      <c r="I77" t="s">
        <v>43570</v>
      </c>
      <c r="J77" t="s">
        <v>47</v>
      </c>
      <c r="K77" t="s">
        <v>43371</v>
      </c>
      <c r="L77" t="s">
        <v>43566</v>
      </c>
    </row>
    <row r="78" spans="1:12" x14ac:dyDescent="0.3">
      <c r="A78" t="s">
        <v>8935</v>
      </c>
      <c r="B78" t="s">
        <v>3245</v>
      </c>
      <c r="C78" t="s">
        <v>4591</v>
      </c>
      <c r="D78" t="s">
        <v>4591</v>
      </c>
      <c r="E78" t="s">
        <v>4591</v>
      </c>
      <c r="F78" t="s">
        <v>43571</v>
      </c>
      <c r="G78" t="s">
        <v>43572</v>
      </c>
      <c r="I78" t="s">
        <v>43573</v>
      </c>
      <c r="J78" t="s">
        <v>4600</v>
      </c>
      <c r="K78" t="s">
        <v>43574</v>
      </c>
      <c r="L78" t="s">
        <v>43575</v>
      </c>
    </row>
    <row r="79" spans="1:12" x14ac:dyDescent="0.3">
      <c r="A79" t="s">
        <v>2087</v>
      </c>
      <c r="B79" t="s">
        <v>38</v>
      </c>
      <c r="C79" t="s">
        <v>38</v>
      </c>
      <c r="D79" t="s">
        <v>38</v>
      </c>
      <c r="E79" t="s">
        <v>38</v>
      </c>
      <c r="F79" t="s">
        <v>43576</v>
      </c>
      <c r="G79" t="s">
        <v>43577</v>
      </c>
      <c r="H79" t="s">
        <v>43578</v>
      </c>
      <c r="I79" t="s">
        <v>43579</v>
      </c>
      <c r="J79" t="s">
        <v>41</v>
      </c>
      <c r="K79" t="s">
        <v>43580</v>
      </c>
      <c r="L79" t="s">
        <v>43354</v>
      </c>
    </row>
    <row r="80" spans="1:12" x14ac:dyDescent="0.3">
      <c r="A80" t="s">
        <v>30129</v>
      </c>
      <c r="B80" t="s">
        <v>25207</v>
      </c>
      <c r="C80" t="s">
        <v>25207</v>
      </c>
      <c r="D80" t="s">
        <v>25207</v>
      </c>
      <c r="E80" t="s">
        <v>25207</v>
      </c>
      <c r="F80" t="s">
        <v>43581</v>
      </c>
      <c r="G80" t="s">
        <v>43582</v>
      </c>
      <c r="H80" t="s">
        <v>43583</v>
      </c>
      <c r="I80" t="s">
        <v>43584</v>
      </c>
      <c r="J80" t="s">
        <v>25207</v>
      </c>
      <c r="K80" t="s">
        <v>43585</v>
      </c>
      <c r="L80" t="s">
        <v>43457</v>
      </c>
    </row>
    <row r="81" spans="1:12" x14ac:dyDescent="0.3">
      <c r="A81" t="s">
        <v>24941</v>
      </c>
      <c r="B81" t="s">
        <v>1150</v>
      </c>
      <c r="C81" t="s">
        <v>23997</v>
      </c>
      <c r="D81" t="s">
        <v>23997</v>
      </c>
      <c r="E81" t="s">
        <v>23997</v>
      </c>
      <c r="F81" t="s">
        <v>43586</v>
      </c>
      <c r="G81" t="s">
        <v>43587</v>
      </c>
      <c r="H81" t="s">
        <v>43588</v>
      </c>
      <c r="I81" t="s">
        <v>43589</v>
      </c>
      <c r="J81" t="s">
        <v>24987</v>
      </c>
      <c r="K81" t="s">
        <v>43590</v>
      </c>
      <c r="L81" t="s">
        <v>43089</v>
      </c>
    </row>
    <row r="82" spans="1:12" x14ac:dyDescent="0.3">
      <c r="A82" t="s">
        <v>24396</v>
      </c>
      <c r="B82" t="s">
        <v>8088</v>
      </c>
      <c r="C82" t="s">
        <v>8088</v>
      </c>
      <c r="D82" t="s">
        <v>23986</v>
      </c>
      <c r="E82" t="s">
        <v>23986</v>
      </c>
      <c r="F82" t="s">
        <v>43591</v>
      </c>
      <c r="G82" t="s">
        <v>43592</v>
      </c>
      <c r="H82" t="s">
        <v>43593</v>
      </c>
      <c r="I82" t="s">
        <v>43594</v>
      </c>
      <c r="K82" t="s">
        <v>43595</v>
      </c>
      <c r="L82" t="s">
        <v>43088</v>
      </c>
    </row>
    <row r="83" spans="1:12" x14ac:dyDescent="0.3">
      <c r="A83" t="s">
        <v>33426</v>
      </c>
      <c r="B83" t="s">
        <v>4618</v>
      </c>
      <c r="C83" t="s">
        <v>4618</v>
      </c>
      <c r="D83" t="s">
        <v>4618</v>
      </c>
      <c r="E83" t="s">
        <v>32471</v>
      </c>
      <c r="F83" t="s">
        <v>43596</v>
      </c>
      <c r="G83" t="s">
        <v>43597</v>
      </c>
      <c r="H83" t="s">
        <v>43598</v>
      </c>
      <c r="I83" t="s">
        <v>43599</v>
      </c>
      <c r="J83" t="s">
        <v>28925</v>
      </c>
      <c r="K83" t="s">
        <v>32474</v>
      </c>
    </row>
    <row r="84" spans="1:12" x14ac:dyDescent="0.3">
      <c r="A84" t="s">
        <v>42855</v>
      </c>
      <c r="B84" t="s">
        <v>40266</v>
      </c>
      <c r="C84" t="s">
        <v>40267</v>
      </c>
      <c r="D84" t="s">
        <v>40268</v>
      </c>
      <c r="E84" t="s">
        <v>40268</v>
      </c>
      <c r="F84" t="s">
        <v>43600</v>
      </c>
      <c r="G84" t="s">
        <v>43601</v>
      </c>
      <c r="H84" t="s">
        <v>43602</v>
      </c>
      <c r="I84" t="s">
        <v>43603</v>
      </c>
      <c r="J84" t="s">
        <v>40271</v>
      </c>
      <c r="K84" t="s">
        <v>43604</v>
      </c>
      <c r="L84" t="s">
        <v>43182</v>
      </c>
    </row>
    <row r="85" spans="1:12" x14ac:dyDescent="0.3">
      <c r="A85" t="s">
        <v>16709</v>
      </c>
      <c r="B85" t="s">
        <v>13805</v>
      </c>
      <c r="C85" t="s">
        <v>1210</v>
      </c>
      <c r="D85" t="s">
        <v>1210</v>
      </c>
      <c r="E85" t="s">
        <v>1210</v>
      </c>
      <c r="F85" t="s">
        <v>43605</v>
      </c>
      <c r="G85" t="s">
        <v>43606</v>
      </c>
      <c r="H85" t="s">
        <v>43607</v>
      </c>
      <c r="I85" t="s">
        <v>43608</v>
      </c>
      <c r="J85" t="s">
        <v>1211</v>
      </c>
      <c r="K85" t="s">
        <v>43609</v>
      </c>
      <c r="L85" t="s">
        <v>43610</v>
      </c>
    </row>
    <row r="86" spans="1:12" x14ac:dyDescent="0.3">
      <c r="A86" t="s">
        <v>9684</v>
      </c>
      <c r="B86" t="s">
        <v>3251</v>
      </c>
      <c r="C86" t="s">
        <v>3252</v>
      </c>
      <c r="D86" t="s">
        <v>3252</v>
      </c>
      <c r="E86" t="s">
        <v>3252</v>
      </c>
      <c r="F86" t="s">
        <v>43611</v>
      </c>
      <c r="G86" t="s">
        <v>43612</v>
      </c>
      <c r="H86" t="s">
        <v>43613</v>
      </c>
      <c r="I86" t="s">
        <v>43614</v>
      </c>
      <c r="J86" t="s">
        <v>3252</v>
      </c>
      <c r="K86" t="s">
        <v>43615</v>
      </c>
      <c r="L86" t="s">
        <v>43458</v>
      </c>
    </row>
    <row r="87" spans="1:12" x14ac:dyDescent="0.3">
      <c r="A87" t="s">
        <v>28466</v>
      </c>
      <c r="B87" t="s">
        <v>25197</v>
      </c>
      <c r="C87" t="s">
        <v>25203</v>
      </c>
      <c r="D87" t="s">
        <v>595</v>
      </c>
      <c r="E87" t="s">
        <v>595</v>
      </c>
      <c r="F87" t="s">
        <v>43616</v>
      </c>
      <c r="G87" t="s">
        <v>43617</v>
      </c>
      <c r="H87" t="s">
        <v>43618</v>
      </c>
      <c r="I87" t="s">
        <v>43619</v>
      </c>
      <c r="J87" t="s">
        <v>2473</v>
      </c>
      <c r="K87" t="s">
        <v>25206</v>
      </c>
      <c r="L87" t="s">
        <v>43136</v>
      </c>
    </row>
    <row r="88" spans="1:12" x14ac:dyDescent="0.3">
      <c r="A88" t="s">
        <v>1165</v>
      </c>
      <c r="B88" t="s">
        <v>27</v>
      </c>
      <c r="C88" t="s">
        <v>28</v>
      </c>
      <c r="D88" t="s">
        <v>28</v>
      </c>
      <c r="E88" t="s">
        <v>28</v>
      </c>
      <c r="F88" t="s">
        <v>43620</v>
      </c>
      <c r="G88" t="s">
        <v>43621</v>
      </c>
      <c r="H88" t="s">
        <v>43622</v>
      </c>
      <c r="I88" t="s">
        <v>43623</v>
      </c>
      <c r="J88" t="s">
        <v>31</v>
      </c>
      <c r="K88" t="s">
        <v>43382</v>
      </c>
      <c r="L88" t="s">
        <v>43624</v>
      </c>
    </row>
    <row r="89" spans="1:12" x14ac:dyDescent="0.3">
      <c r="A89" t="s">
        <v>13382</v>
      </c>
      <c r="B89" t="s">
        <v>12442</v>
      </c>
      <c r="C89" t="s">
        <v>12443</v>
      </c>
      <c r="D89" t="s">
        <v>12041</v>
      </c>
      <c r="E89" t="s">
        <v>12727</v>
      </c>
      <c r="F89" t="s">
        <v>43625</v>
      </c>
      <c r="G89" t="s">
        <v>43626</v>
      </c>
      <c r="H89" t="s">
        <v>43627</v>
      </c>
      <c r="I89" t="s">
        <v>43628</v>
      </c>
      <c r="J89" t="s">
        <v>12792</v>
      </c>
      <c r="K89" t="s">
        <v>43629</v>
      </c>
      <c r="L89" t="s">
        <v>43439</v>
      </c>
    </row>
    <row r="90" spans="1:12" x14ac:dyDescent="0.3">
      <c r="A90" t="s">
        <v>35016</v>
      </c>
      <c r="B90" t="s">
        <v>32486</v>
      </c>
      <c r="C90" t="s">
        <v>32486</v>
      </c>
      <c r="D90" t="s">
        <v>32486</v>
      </c>
      <c r="E90" t="s">
        <v>32486</v>
      </c>
      <c r="F90" t="s">
        <v>43630</v>
      </c>
      <c r="G90" t="s">
        <v>43631</v>
      </c>
      <c r="H90" t="s">
        <v>43632</v>
      </c>
      <c r="I90" t="s">
        <v>43633</v>
      </c>
      <c r="J90" t="s">
        <v>32489</v>
      </c>
      <c r="K90" t="s">
        <v>35074</v>
      </c>
      <c r="L90" t="s">
        <v>43153</v>
      </c>
    </row>
    <row r="91" spans="1:12" x14ac:dyDescent="0.3">
      <c r="A91" t="s">
        <v>11503</v>
      </c>
      <c r="B91" t="s">
        <v>3275</v>
      </c>
      <c r="C91" t="s">
        <v>3275</v>
      </c>
      <c r="D91" t="s">
        <v>3275</v>
      </c>
      <c r="E91" t="s">
        <v>3276</v>
      </c>
      <c r="F91" t="s">
        <v>43634</v>
      </c>
      <c r="G91" t="s">
        <v>43635</v>
      </c>
      <c r="H91" t="s">
        <v>43636</v>
      </c>
      <c r="I91" t="s">
        <v>43637</v>
      </c>
      <c r="J91" t="s">
        <v>3279</v>
      </c>
      <c r="K91" t="s">
        <v>43638</v>
      </c>
      <c r="L91" t="s">
        <v>43304</v>
      </c>
    </row>
    <row r="92" spans="1:12" x14ac:dyDescent="0.3">
      <c r="A92" t="s">
        <v>41254</v>
      </c>
      <c r="B92" t="s">
        <v>40241</v>
      </c>
      <c r="C92" t="s">
        <v>40242</v>
      </c>
      <c r="D92" t="s">
        <v>40242</v>
      </c>
      <c r="E92" t="s">
        <v>40242</v>
      </c>
      <c r="F92" t="s">
        <v>43639</v>
      </c>
      <c r="G92" t="s">
        <v>43640</v>
      </c>
      <c r="H92" t="s">
        <v>43641</v>
      </c>
      <c r="I92" t="s">
        <v>43642</v>
      </c>
      <c r="J92" t="s">
        <v>40497</v>
      </c>
      <c r="K92" t="s">
        <v>43643</v>
      </c>
      <c r="L92" t="s">
        <v>43512</v>
      </c>
    </row>
    <row r="93" spans="1:12" x14ac:dyDescent="0.3">
      <c r="A93" t="s">
        <v>18072</v>
      </c>
      <c r="B93" t="s">
        <v>17255</v>
      </c>
      <c r="C93" t="s">
        <v>17255</v>
      </c>
      <c r="D93" t="s">
        <v>17255</v>
      </c>
      <c r="E93" t="s">
        <v>17255</v>
      </c>
      <c r="F93" t="s">
        <v>43644</v>
      </c>
      <c r="G93" t="s">
        <v>43645</v>
      </c>
      <c r="H93" t="s">
        <v>43646</v>
      </c>
      <c r="I93" t="s">
        <v>43647</v>
      </c>
      <c r="J93" t="s">
        <v>17258</v>
      </c>
      <c r="K93" t="s">
        <v>43343</v>
      </c>
      <c r="L93" t="s">
        <v>43648</v>
      </c>
    </row>
    <row r="94" spans="1:12" x14ac:dyDescent="0.3">
      <c r="A94" t="s">
        <v>19730</v>
      </c>
      <c r="B94" t="s">
        <v>18811</v>
      </c>
      <c r="C94" t="s">
        <v>18812</v>
      </c>
      <c r="D94" t="s">
        <v>18812</v>
      </c>
      <c r="E94" t="s">
        <v>18812</v>
      </c>
      <c r="F94" t="s">
        <v>43654</v>
      </c>
      <c r="G94" t="s">
        <v>43655</v>
      </c>
      <c r="H94" t="s">
        <v>43656</v>
      </c>
      <c r="I94" t="s">
        <v>43657</v>
      </c>
      <c r="J94" t="s">
        <v>18816</v>
      </c>
      <c r="K94" t="s">
        <v>18817</v>
      </c>
      <c r="L94" t="s">
        <v>43188</v>
      </c>
    </row>
    <row r="95" spans="1:12" x14ac:dyDescent="0.3">
      <c r="A95" t="s">
        <v>15775</v>
      </c>
      <c r="B95" t="s">
        <v>13798</v>
      </c>
      <c r="C95" t="s">
        <v>13799</v>
      </c>
      <c r="D95" t="s">
        <v>13799</v>
      </c>
      <c r="E95" t="s">
        <v>13809</v>
      </c>
      <c r="F95" t="s">
        <v>43658</v>
      </c>
      <c r="G95" t="s">
        <v>43659</v>
      </c>
      <c r="H95" t="s">
        <v>43660</v>
      </c>
      <c r="I95" t="s">
        <v>43661</v>
      </c>
      <c r="J95" t="s">
        <v>13803</v>
      </c>
      <c r="K95" t="s">
        <v>43662</v>
      </c>
      <c r="L95" t="s">
        <v>43663</v>
      </c>
    </row>
    <row r="96" spans="1:12" x14ac:dyDescent="0.3">
      <c r="A96" t="s">
        <v>1633</v>
      </c>
      <c r="B96" t="s">
        <v>33</v>
      </c>
      <c r="C96" t="s">
        <v>33</v>
      </c>
      <c r="D96" t="s">
        <v>33</v>
      </c>
      <c r="E96" t="s">
        <v>33</v>
      </c>
      <c r="F96" t="s">
        <v>43664</v>
      </c>
      <c r="G96" t="s">
        <v>43665</v>
      </c>
      <c r="H96" t="s">
        <v>43666</v>
      </c>
      <c r="I96" t="s">
        <v>43667</v>
      </c>
      <c r="J96" t="s">
        <v>36</v>
      </c>
      <c r="K96" t="s">
        <v>43249</v>
      </c>
      <c r="L96" t="s">
        <v>43086</v>
      </c>
    </row>
    <row r="97" spans="1:12" x14ac:dyDescent="0.3">
      <c r="A97" t="s">
        <v>38834</v>
      </c>
      <c r="B97" t="s">
        <v>37537</v>
      </c>
      <c r="C97" t="s">
        <v>37538</v>
      </c>
      <c r="D97" t="s">
        <v>37538</v>
      </c>
      <c r="E97" t="s">
        <v>37539</v>
      </c>
      <c r="F97" t="s">
        <v>43668</v>
      </c>
      <c r="G97" t="s">
        <v>43669</v>
      </c>
      <c r="H97" t="s">
        <v>43670</v>
      </c>
      <c r="I97" t="s">
        <v>43671</v>
      </c>
      <c r="J97" t="s">
        <v>37542</v>
      </c>
      <c r="K97" t="s">
        <v>43672</v>
      </c>
      <c r="L97" t="s">
        <v>43090</v>
      </c>
    </row>
    <row r="98" spans="1:12" x14ac:dyDescent="0.3">
      <c r="A98" t="s">
        <v>34430</v>
      </c>
      <c r="B98" t="s">
        <v>32475</v>
      </c>
      <c r="C98" t="s">
        <v>1969</v>
      </c>
      <c r="D98" t="s">
        <v>1969</v>
      </c>
      <c r="E98" t="s">
        <v>1969</v>
      </c>
      <c r="F98" t="s">
        <v>43673</v>
      </c>
      <c r="G98" t="s">
        <v>43674</v>
      </c>
      <c r="H98" t="s">
        <v>43675</v>
      </c>
      <c r="I98" t="s">
        <v>43676</v>
      </c>
      <c r="J98" t="s">
        <v>14960</v>
      </c>
      <c r="K98" t="s">
        <v>43677</v>
      </c>
      <c r="L98" t="s">
        <v>43434</v>
      </c>
    </row>
    <row r="99" spans="1:12" x14ac:dyDescent="0.3">
      <c r="A99" t="s">
        <v>34691</v>
      </c>
      <c r="B99" t="s">
        <v>32480</v>
      </c>
      <c r="C99" t="s">
        <v>32481</v>
      </c>
      <c r="D99" t="s">
        <v>32481</v>
      </c>
      <c r="E99" t="s">
        <v>32481</v>
      </c>
      <c r="F99" t="s">
        <v>43678</v>
      </c>
      <c r="G99" t="s">
        <v>43679</v>
      </c>
      <c r="H99" t="s">
        <v>43680</v>
      </c>
      <c r="I99" t="s">
        <v>43681</v>
      </c>
      <c r="J99" t="s">
        <v>32484</v>
      </c>
      <c r="K99" t="s">
        <v>43682</v>
      </c>
      <c r="L99" t="s">
        <v>43411</v>
      </c>
    </row>
    <row r="100" spans="1:12" x14ac:dyDescent="0.3">
      <c r="A100" t="s">
        <v>21672</v>
      </c>
      <c r="B100" t="s">
        <v>20661</v>
      </c>
      <c r="C100" t="s">
        <v>20661</v>
      </c>
      <c r="D100" t="s">
        <v>20661</v>
      </c>
      <c r="E100" t="s">
        <v>20662</v>
      </c>
      <c r="F100" t="s">
        <v>43683</v>
      </c>
      <c r="G100" t="s">
        <v>43684</v>
      </c>
      <c r="H100" t="s">
        <v>43685</v>
      </c>
      <c r="I100" t="s">
        <v>43686</v>
      </c>
      <c r="J100" t="s">
        <v>20665</v>
      </c>
      <c r="K100" t="s">
        <v>43687</v>
      </c>
      <c r="L100" t="s">
        <v>43451</v>
      </c>
    </row>
    <row r="101" spans="1:12" x14ac:dyDescent="0.3">
      <c r="A101" t="s">
        <v>42448</v>
      </c>
      <c r="B101" t="s">
        <v>40260</v>
      </c>
      <c r="C101" t="s">
        <v>40261</v>
      </c>
      <c r="D101" t="s">
        <v>40261</v>
      </c>
      <c r="E101" t="s">
        <v>40261</v>
      </c>
      <c r="F101" t="s">
        <v>43688</v>
      </c>
      <c r="G101" t="s">
        <v>43689</v>
      </c>
      <c r="I101" t="s">
        <v>43690</v>
      </c>
      <c r="J101" t="s">
        <v>40264</v>
      </c>
      <c r="K101" t="s">
        <v>43691</v>
      </c>
      <c r="L101" t="s">
        <v>43692</v>
      </c>
    </row>
    <row r="102" spans="1:12" x14ac:dyDescent="0.3">
      <c r="A102" t="s">
        <v>27598</v>
      </c>
      <c r="B102" t="s">
        <v>25197</v>
      </c>
      <c r="C102" t="s">
        <v>25197</v>
      </c>
      <c r="D102" t="s">
        <v>25197</v>
      </c>
      <c r="E102" t="s">
        <v>25283</v>
      </c>
      <c r="F102" t="s">
        <v>43693</v>
      </c>
      <c r="G102" t="s">
        <v>43694</v>
      </c>
      <c r="H102" t="s">
        <v>43695</v>
      </c>
      <c r="I102" t="s">
        <v>27609</v>
      </c>
      <c r="J102" t="s">
        <v>25247</v>
      </c>
      <c r="K102" t="s">
        <v>28207</v>
      </c>
      <c r="L102" t="s">
        <v>43696</v>
      </c>
    </row>
    <row r="103" spans="1:12" x14ac:dyDescent="0.3">
      <c r="A103" t="s">
        <v>30385</v>
      </c>
      <c r="B103" t="s">
        <v>25211</v>
      </c>
      <c r="C103" t="s">
        <v>25212</v>
      </c>
      <c r="D103" t="s">
        <v>25212</v>
      </c>
      <c r="E103" t="s">
        <v>25213</v>
      </c>
      <c r="F103" t="s">
        <v>43701</v>
      </c>
      <c r="G103" t="s">
        <v>43702</v>
      </c>
      <c r="H103" t="s">
        <v>43703</v>
      </c>
      <c r="I103" t="s">
        <v>43704</v>
      </c>
      <c r="J103" t="s">
        <v>25216</v>
      </c>
      <c r="K103" t="s">
        <v>26797</v>
      </c>
      <c r="L103" t="s">
        <v>43164</v>
      </c>
    </row>
    <row r="104" spans="1:12" x14ac:dyDescent="0.3">
      <c r="A104" t="s">
        <v>22062</v>
      </c>
      <c r="B104" t="s">
        <v>20667</v>
      </c>
      <c r="C104" t="s">
        <v>20668</v>
      </c>
      <c r="D104" t="s">
        <v>20668</v>
      </c>
      <c r="E104" t="s">
        <v>20841</v>
      </c>
      <c r="F104" t="s">
        <v>43705</v>
      </c>
      <c r="G104" t="s">
        <v>43706</v>
      </c>
      <c r="H104" t="s">
        <v>43707</v>
      </c>
      <c r="I104" t="s">
        <v>43708</v>
      </c>
      <c r="J104" t="s">
        <v>20672</v>
      </c>
      <c r="K104" t="s">
        <v>43709</v>
      </c>
      <c r="L104" t="s">
        <v>43710</v>
      </c>
    </row>
    <row r="105" spans="1:12" x14ac:dyDescent="0.3">
      <c r="A105" t="s">
        <v>858</v>
      </c>
      <c r="B105" t="s">
        <v>21</v>
      </c>
      <c r="C105" t="s">
        <v>21</v>
      </c>
      <c r="D105" t="s">
        <v>21</v>
      </c>
      <c r="E105" t="s">
        <v>21</v>
      </c>
      <c r="F105" t="s">
        <v>43711</v>
      </c>
      <c r="G105" t="s">
        <v>43712</v>
      </c>
      <c r="H105" t="s">
        <v>43713</v>
      </c>
      <c r="I105" t="s">
        <v>43714</v>
      </c>
      <c r="J105" t="s">
        <v>24</v>
      </c>
      <c r="K105" t="s">
        <v>43343</v>
      </c>
      <c r="L105" t="s">
        <v>43507</v>
      </c>
    </row>
    <row r="106" spans="1:12" x14ac:dyDescent="0.3">
      <c r="A106" t="s">
        <v>7919</v>
      </c>
      <c r="B106" t="s">
        <v>3262</v>
      </c>
      <c r="C106" t="s">
        <v>4075</v>
      </c>
      <c r="D106" t="s">
        <v>4076</v>
      </c>
      <c r="E106" t="s">
        <v>4076</v>
      </c>
      <c r="F106" t="s">
        <v>43715</v>
      </c>
      <c r="G106" t="s">
        <v>43716</v>
      </c>
      <c r="H106" t="s">
        <v>43717</v>
      </c>
      <c r="I106" t="s">
        <v>43718</v>
      </c>
      <c r="J106" t="s">
        <v>4079</v>
      </c>
      <c r="K106" t="s">
        <v>43719</v>
      </c>
      <c r="L106" t="s">
        <v>43720</v>
      </c>
    </row>
    <row r="107" spans="1:12" x14ac:dyDescent="0.3">
      <c r="A107" t="s">
        <v>19430</v>
      </c>
      <c r="B107" t="s">
        <v>18805</v>
      </c>
      <c r="C107" t="s">
        <v>18806</v>
      </c>
      <c r="D107" t="s">
        <v>18806</v>
      </c>
      <c r="E107" t="s">
        <v>18806</v>
      </c>
      <c r="F107" t="s">
        <v>43721</v>
      </c>
      <c r="G107" t="s">
        <v>43722</v>
      </c>
      <c r="H107" t="s">
        <v>43723</v>
      </c>
      <c r="I107" t="s">
        <v>43724</v>
      </c>
      <c r="J107" t="s">
        <v>18809</v>
      </c>
      <c r="K107" t="s">
        <v>19711</v>
      </c>
      <c r="L107" t="s">
        <v>43087</v>
      </c>
    </row>
    <row r="108" spans="1:12" x14ac:dyDescent="0.3">
      <c r="A108" t="s">
        <v>29658</v>
      </c>
      <c r="B108" t="s">
        <v>25191</v>
      </c>
      <c r="C108" t="s">
        <v>25192</v>
      </c>
      <c r="D108" t="s">
        <v>25192</v>
      </c>
      <c r="E108" t="s">
        <v>25192</v>
      </c>
      <c r="F108" t="s">
        <v>43725</v>
      </c>
      <c r="G108" t="s">
        <v>43726</v>
      </c>
      <c r="H108" t="s">
        <v>43727</v>
      </c>
      <c r="I108" t="s">
        <v>43728</v>
      </c>
      <c r="J108" t="s">
        <v>25195</v>
      </c>
      <c r="K108" t="s">
        <v>43729</v>
      </c>
      <c r="L108" t="s">
        <v>43428</v>
      </c>
    </row>
    <row r="109" spans="1:12" x14ac:dyDescent="0.3">
      <c r="A109" t="s">
        <v>38509</v>
      </c>
      <c r="B109" t="s">
        <v>37530</v>
      </c>
      <c r="C109" t="s">
        <v>37531</v>
      </c>
      <c r="D109" t="s">
        <v>37532</v>
      </c>
      <c r="E109" t="s">
        <v>37531</v>
      </c>
      <c r="F109" t="s">
        <v>43730</v>
      </c>
      <c r="G109" t="s">
        <v>43731</v>
      </c>
      <c r="H109" t="s">
        <v>43732</v>
      </c>
      <c r="I109" t="s">
        <v>43733</v>
      </c>
      <c r="J109" t="s">
        <v>37535</v>
      </c>
      <c r="K109" t="s">
        <v>43734</v>
      </c>
      <c r="L109" t="s">
        <v>43176</v>
      </c>
    </row>
    <row r="110" spans="1:12" x14ac:dyDescent="0.3">
      <c r="A110" t="s">
        <v>17882</v>
      </c>
      <c r="B110" t="s">
        <v>17250</v>
      </c>
      <c r="C110" t="s">
        <v>17250</v>
      </c>
      <c r="D110" t="s">
        <v>17250</v>
      </c>
      <c r="E110" t="s">
        <v>17250</v>
      </c>
      <c r="F110" t="s">
        <v>43735</v>
      </c>
      <c r="G110" t="s">
        <v>43736</v>
      </c>
      <c r="H110" t="s">
        <v>43737</v>
      </c>
      <c r="I110" t="s">
        <v>43738</v>
      </c>
      <c r="J110" t="s">
        <v>17253</v>
      </c>
      <c r="K110" t="s">
        <v>43349</v>
      </c>
      <c r="L110" t="s">
        <v>43326</v>
      </c>
    </row>
    <row r="111" spans="1:12" x14ac:dyDescent="0.3">
      <c r="A111" t="s">
        <v>19929</v>
      </c>
      <c r="B111" t="s">
        <v>18818</v>
      </c>
      <c r="C111" t="s">
        <v>18819</v>
      </c>
      <c r="D111" t="s">
        <v>18819</v>
      </c>
      <c r="E111" t="s">
        <v>18819</v>
      </c>
      <c r="F111" t="s">
        <v>43739</v>
      </c>
      <c r="G111" t="s">
        <v>43740</v>
      </c>
      <c r="H111" t="s">
        <v>43741</v>
      </c>
      <c r="I111" t="s">
        <v>43742</v>
      </c>
      <c r="J111" t="s">
        <v>18822</v>
      </c>
      <c r="K111" t="s">
        <v>43743</v>
      </c>
      <c r="L111" t="s">
        <v>43147</v>
      </c>
    </row>
    <row r="112" spans="1:12" x14ac:dyDescent="0.3">
      <c r="A112" t="s">
        <v>42353</v>
      </c>
      <c r="B112" t="s">
        <v>40254</v>
      </c>
      <c r="C112" t="s">
        <v>40255</v>
      </c>
      <c r="D112" t="s">
        <v>40255</v>
      </c>
      <c r="E112" t="s">
        <v>40255</v>
      </c>
      <c r="F112" t="s">
        <v>43744</v>
      </c>
      <c r="G112" t="s">
        <v>43745</v>
      </c>
      <c r="H112" t="s">
        <v>43746</v>
      </c>
      <c r="I112" t="s">
        <v>43747</v>
      </c>
      <c r="J112" t="s">
        <v>40258</v>
      </c>
      <c r="K112" t="s">
        <v>43748</v>
      </c>
      <c r="L112" t="s">
        <v>43244</v>
      </c>
    </row>
    <row r="113" spans="1:12" x14ac:dyDescent="0.3">
      <c r="A113" t="s">
        <v>10503</v>
      </c>
      <c r="B113" t="s">
        <v>3256</v>
      </c>
      <c r="C113" t="s">
        <v>5586</v>
      </c>
      <c r="D113" t="s">
        <v>5586</v>
      </c>
      <c r="E113" t="s">
        <v>5586</v>
      </c>
      <c r="F113" t="s">
        <v>43749</v>
      </c>
      <c r="G113" t="s">
        <v>43750</v>
      </c>
      <c r="H113" t="s">
        <v>43751</v>
      </c>
      <c r="I113" t="s">
        <v>43752</v>
      </c>
      <c r="J113" t="s">
        <v>3260</v>
      </c>
      <c r="K113" t="s">
        <v>43753</v>
      </c>
      <c r="L113" t="s">
        <v>43227</v>
      </c>
    </row>
    <row r="114" spans="1:12" x14ac:dyDescent="0.3">
      <c r="A114" t="s">
        <v>14950</v>
      </c>
      <c r="B114" t="s">
        <v>13792</v>
      </c>
      <c r="C114" t="s">
        <v>13793</v>
      </c>
      <c r="D114" t="s">
        <v>13793</v>
      </c>
      <c r="E114" t="s">
        <v>3986</v>
      </c>
      <c r="F114" t="s">
        <v>43754</v>
      </c>
      <c r="G114" t="s">
        <v>43755</v>
      </c>
      <c r="H114" t="s">
        <v>43756</v>
      </c>
      <c r="I114" t="s">
        <v>43757</v>
      </c>
      <c r="J114" t="s">
        <v>13796</v>
      </c>
      <c r="K114" t="s">
        <v>43758</v>
      </c>
      <c r="L114" t="s">
        <v>43332</v>
      </c>
    </row>
    <row r="115" spans="1:12" x14ac:dyDescent="0.3">
      <c r="A115" t="s">
        <v>23413</v>
      </c>
      <c r="B115" t="s">
        <v>20680</v>
      </c>
      <c r="C115" t="s">
        <v>20681</v>
      </c>
      <c r="D115" t="s">
        <v>20681</v>
      </c>
      <c r="E115" t="s">
        <v>20681</v>
      </c>
      <c r="F115" t="s">
        <v>43759</v>
      </c>
      <c r="G115" t="s">
        <v>43760</v>
      </c>
      <c r="H115" t="s">
        <v>43761</v>
      </c>
      <c r="I115" t="s">
        <v>43762</v>
      </c>
      <c r="J115" t="s">
        <v>20684</v>
      </c>
      <c r="K115" t="s">
        <v>43199</v>
      </c>
      <c r="L115" t="s">
        <v>43200</v>
      </c>
    </row>
    <row r="116" spans="1:12" x14ac:dyDescent="0.3">
      <c r="A116" t="s">
        <v>37702</v>
      </c>
      <c r="B116" t="s">
        <v>37537</v>
      </c>
      <c r="C116" t="s">
        <v>37538</v>
      </c>
      <c r="D116" t="s">
        <v>37538</v>
      </c>
      <c r="E116" t="s">
        <v>37539</v>
      </c>
      <c r="F116" t="s">
        <v>43763</v>
      </c>
      <c r="G116" t="s">
        <v>43764</v>
      </c>
      <c r="H116" t="s">
        <v>43765</v>
      </c>
      <c r="I116" t="s">
        <v>43766</v>
      </c>
      <c r="J116" t="s">
        <v>37542</v>
      </c>
      <c r="K116" t="s">
        <v>43767</v>
      </c>
      <c r="L116" t="s">
        <v>43768</v>
      </c>
    </row>
    <row r="117" spans="1:12" x14ac:dyDescent="0.3">
      <c r="A117" t="s">
        <v>14180</v>
      </c>
      <c r="B117" t="s">
        <v>13798</v>
      </c>
      <c r="C117" t="s">
        <v>13799</v>
      </c>
      <c r="D117" t="s">
        <v>13799</v>
      </c>
      <c r="E117" t="s">
        <v>13809</v>
      </c>
      <c r="F117" t="s">
        <v>43769</v>
      </c>
      <c r="G117" t="s">
        <v>43770</v>
      </c>
      <c r="H117" t="s">
        <v>43771</v>
      </c>
      <c r="I117" t="s">
        <v>43772</v>
      </c>
      <c r="J117" t="s">
        <v>13803</v>
      </c>
      <c r="K117" t="s">
        <v>43773</v>
      </c>
      <c r="L117" t="s">
        <v>43663</v>
      </c>
    </row>
    <row r="118" spans="1:12" x14ac:dyDescent="0.3">
      <c r="A118" t="s">
        <v>39076</v>
      </c>
      <c r="B118" t="s">
        <v>37544</v>
      </c>
      <c r="C118" t="s">
        <v>37545</v>
      </c>
      <c r="D118" t="s">
        <v>37545</v>
      </c>
      <c r="E118" t="s">
        <v>37546</v>
      </c>
      <c r="F118" t="s">
        <v>43774</v>
      </c>
      <c r="G118" t="s">
        <v>43775</v>
      </c>
      <c r="H118" t="s">
        <v>43776</v>
      </c>
      <c r="I118" t="s">
        <v>43777</v>
      </c>
      <c r="J118" t="s">
        <v>37855</v>
      </c>
      <c r="K118" t="s">
        <v>43778</v>
      </c>
      <c r="L118" t="s">
        <v>43429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B08CE-4C44-4501-862A-9940EA716FB5}">
  <dimension ref="A1:L16"/>
  <sheetViews>
    <sheetView workbookViewId="0">
      <selection activeCell="A15" sqref="A15"/>
    </sheetView>
  </sheetViews>
  <sheetFormatPr defaultRowHeight="14.4" x14ac:dyDescent="0.3"/>
  <cols>
    <col min="1" max="1" width="72.109375" bestFit="1" customWidth="1"/>
    <col min="2" max="2" width="25.21875" bestFit="1" customWidth="1"/>
  </cols>
  <sheetData>
    <row r="1" spans="1:12" s="1" customFormat="1" x14ac:dyDescent="0.3">
      <c r="A1" s="1" t="s">
        <v>9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8</v>
      </c>
      <c r="G1" s="1" t="s">
        <v>10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15</v>
      </c>
    </row>
    <row r="2" spans="1:12" x14ac:dyDescent="0.3">
      <c r="A2" t="s">
        <v>20660</v>
      </c>
      <c r="B2" t="s">
        <v>20667</v>
      </c>
      <c r="C2" t="s">
        <v>20668</v>
      </c>
      <c r="D2" t="s">
        <v>20668</v>
      </c>
      <c r="E2" t="s">
        <v>20669</v>
      </c>
      <c r="F2" t="s">
        <v>43126</v>
      </c>
      <c r="G2" t="s">
        <v>43127</v>
      </c>
      <c r="H2" t="s">
        <v>43128</v>
      </c>
      <c r="I2" t="s">
        <v>43129</v>
      </c>
      <c r="J2" t="s">
        <v>20672</v>
      </c>
      <c r="K2" t="s">
        <v>43130</v>
      </c>
      <c r="L2" t="s">
        <v>43131</v>
      </c>
    </row>
    <row r="3" spans="1:12" x14ac:dyDescent="0.3">
      <c r="A3" t="s">
        <v>18804</v>
      </c>
      <c r="B3" t="s">
        <v>18818</v>
      </c>
      <c r="C3" t="s">
        <v>18819</v>
      </c>
      <c r="D3" t="s">
        <v>18819</v>
      </c>
      <c r="E3" t="s">
        <v>18819</v>
      </c>
      <c r="F3" t="s">
        <v>43142</v>
      </c>
      <c r="G3" t="s">
        <v>43143</v>
      </c>
      <c r="H3" t="s">
        <v>43144</v>
      </c>
      <c r="I3" t="s">
        <v>43145</v>
      </c>
      <c r="J3" t="s">
        <v>18822</v>
      </c>
      <c r="K3" t="s">
        <v>43146</v>
      </c>
      <c r="L3" t="s">
        <v>43147</v>
      </c>
    </row>
    <row r="4" spans="1:12" x14ac:dyDescent="0.3">
      <c r="A4" t="s">
        <v>17244</v>
      </c>
      <c r="B4" t="s">
        <v>17255</v>
      </c>
      <c r="C4" t="s">
        <v>17255</v>
      </c>
      <c r="D4" t="s">
        <v>17255</v>
      </c>
      <c r="E4" t="s">
        <v>17255</v>
      </c>
      <c r="F4" t="s">
        <v>43263</v>
      </c>
      <c r="G4" t="s">
        <v>43264</v>
      </c>
      <c r="H4" t="s">
        <v>43265</v>
      </c>
      <c r="I4" t="s">
        <v>43266</v>
      </c>
      <c r="J4" t="s">
        <v>17258</v>
      </c>
      <c r="K4" t="s">
        <v>43267</v>
      </c>
      <c r="L4" t="s">
        <v>43268</v>
      </c>
    </row>
    <row r="5" spans="1:12" x14ac:dyDescent="0.3">
      <c r="A5" t="s">
        <v>32470</v>
      </c>
      <c r="B5" t="s">
        <v>4618</v>
      </c>
      <c r="C5" t="s">
        <v>4618</v>
      </c>
      <c r="D5" t="s">
        <v>4618</v>
      </c>
      <c r="E5" t="s">
        <v>32471</v>
      </c>
      <c r="F5" t="s">
        <v>43305</v>
      </c>
      <c r="G5" t="s">
        <v>43306</v>
      </c>
      <c r="H5" t="s">
        <v>43307</v>
      </c>
      <c r="I5" t="s">
        <v>43308</v>
      </c>
      <c r="J5" t="s">
        <v>28925</v>
      </c>
      <c r="K5" t="s">
        <v>43309</v>
      </c>
      <c r="L5" t="s">
        <v>43310</v>
      </c>
    </row>
    <row r="6" spans="1:12" x14ac:dyDescent="0.3">
      <c r="A6" t="s">
        <v>3237</v>
      </c>
      <c r="B6" t="s">
        <v>3238</v>
      </c>
      <c r="C6" t="s">
        <v>3239</v>
      </c>
      <c r="D6" t="s">
        <v>3239</v>
      </c>
      <c r="E6" t="s">
        <v>3340</v>
      </c>
      <c r="F6" t="s">
        <v>43321</v>
      </c>
      <c r="G6" t="s">
        <v>43322</v>
      </c>
      <c r="H6" t="s">
        <v>43323</v>
      </c>
      <c r="I6" t="s">
        <v>43324</v>
      </c>
      <c r="J6" t="s">
        <v>3284</v>
      </c>
      <c r="K6" t="s">
        <v>43325</v>
      </c>
      <c r="L6" t="s">
        <v>43099</v>
      </c>
    </row>
    <row r="7" spans="1:12" x14ac:dyDescent="0.3">
      <c r="A7" t="s">
        <v>40240</v>
      </c>
      <c r="B7" t="s">
        <v>40260</v>
      </c>
      <c r="C7" t="s">
        <v>40261</v>
      </c>
      <c r="D7" t="s">
        <v>40261</v>
      </c>
      <c r="E7" t="s">
        <v>40261</v>
      </c>
      <c r="F7" t="s">
        <v>43470</v>
      </c>
      <c r="G7" t="s">
        <v>43471</v>
      </c>
      <c r="H7" t="s">
        <v>43472</v>
      </c>
      <c r="I7" t="s">
        <v>43473</v>
      </c>
      <c r="J7" t="s">
        <v>43474</v>
      </c>
      <c r="K7" t="s">
        <v>43475</v>
      </c>
      <c r="L7" t="s">
        <v>43476</v>
      </c>
    </row>
    <row r="8" spans="1:12" x14ac:dyDescent="0.3">
      <c r="A8" t="s">
        <v>25190</v>
      </c>
      <c r="B8" t="s">
        <v>25197</v>
      </c>
      <c r="C8" t="s">
        <v>25264</v>
      </c>
      <c r="D8" t="s">
        <v>25265</v>
      </c>
      <c r="E8" t="s">
        <v>25265</v>
      </c>
      <c r="F8" t="s">
        <v>43482</v>
      </c>
      <c r="G8" t="s">
        <v>43483</v>
      </c>
      <c r="H8" t="s">
        <v>43484</v>
      </c>
      <c r="I8" t="s">
        <v>43485</v>
      </c>
      <c r="J8" t="s">
        <v>25201</v>
      </c>
      <c r="K8" t="s">
        <v>43486</v>
      </c>
      <c r="L8" t="s">
        <v>43487</v>
      </c>
    </row>
    <row r="9" spans="1:12" x14ac:dyDescent="0.3">
      <c r="A9" t="s">
        <v>35638</v>
      </c>
      <c r="B9" t="s">
        <v>35644</v>
      </c>
      <c r="C9" t="s">
        <v>35645</v>
      </c>
      <c r="D9" t="s">
        <v>35646</v>
      </c>
      <c r="E9" t="s">
        <v>35646</v>
      </c>
      <c r="F9" t="s">
        <v>43488</v>
      </c>
      <c r="G9" t="s">
        <v>43489</v>
      </c>
      <c r="H9" t="s">
        <v>43490</v>
      </c>
      <c r="I9" t="s">
        <v>43491</v>
      </c>
      <c r="J9" t="s">
        <v>35649</v>
      </c>
      <c r="K9" t="s">
        <v>43492</v>
      </c>
      <c r="L9" t="s">
        <v>43105</v>
      </c>
    </row>
    <row r="10" spans="1:12" x14ac:dyDescent="0.3">
      <c r="A10" t="s">
        <v>13791</v>
      </c>
      <c r="B10" t="s">
        <v>13798</v>
      </c>
      <c r="C10" t="s">
        <v>13799</v>
      </c>
      <c r="D10" t="s">
        <v>13799</v>
      </c>
      <c r="E10" t="s">
        <v>13809</v>
      </c>
      <c r="F10" t="s">
        <v>43556</v>
      </c>
      <c r="G10" t="s">
        <v>43557</v>
      </c>
      <c r="H10" t="s">
        <v>43558</v>
      </c>
      <c r="I10" t="s">
        <v>43559</v>
      </c>
      <c r="J10" t="s">
        <v>13803</v>
      </c>
      <c r="K10" t="s">
        <v>43560</v>
      </c>
      <c r="L10" t="s">
        <v>43561</v>
      </c>
    </row>
    <row r="11" spans="1:12" x14ac:dyDescent="0.3">
      <c r="A11" t="s">
        <v>19</v>
      </c>
      <c r="B11" t="s">
        <v>43</v>
      </c>
      <c r="C11" t="s">
        <v>44</v>
      </c>
      <c r="D11" t="s">
        <v>44</v>
      </c>
      <c r="E11" t="s">
        <v>44</v>
      </c>
      <c r="F11" t="s">
        <v>43562</v>
      </c>
      <c r="G11" t="s">
        <v>43563</v>
      </c>
      <c r="H11" t="s">
        <v>43564</v>
      </c>
      <c r="I11" t="s">
        <v>43565</v>
      </c>
      <c r="J11" t="s">
        <v>47</v>
      </c>
      <c r="K11" t="s">
        <v>758</v>
      </c>
      <c r="L11" t="s">
        <v>43566</v>
      </c>
    </row>
    <row r="12" spans="1:12" x14ac:dyDescent="0.3">
      <c r="A12" t="s">
        <v>37529</v>
      </c>
      <c r="B12" t="s">
        <v>37537</v>
      </c>
      <c r="C12" t="s">
        <v>37538</v>
      </c>
      <c r="D12" t="s">
        <v>37538</v>
      </c>
      <c r="E12" t="s">
        <v>37539</v>
      </c>
      <c r="F12" t="s">
        <v>43649</v>
      </c>
      <c r="G12" t="s">
        <v>43650</v>
      </c>
      <c r="H12" t="s">
        <v>43651</v>
      </c>
      <c r="I12" t="s">
        <v>43652</v>
      </c>
      <c r="J12" t="s">
        <v>37542</v>
      </c>
      <c r="K12" t="s">
        <v>43653</v>
      </c>
      <c r="L12" t="s">
        <v>43090</v>
      </c>
    </row>
    <row r="13" spans="1:12" x14ac:dyDescent="0.3">
      <c r="A13" t="s">
        <v>23985</v>
      </c>
      <c r="B13" t="s">
        <v>20006</v>
      </c>
      <c r="C13" t="s">
        <v>23991</v>
      </c>
      <c r="D13" t="s">
        <v>23992</v>
      </c>
      <c r="E13" t="s">
        <v>23992</v>
      </c>
      <c r="F13" t="s">
        <v>43697</v>
      </c>
      <c r="G13" t="s">
        <v>43698</v>
      </c>
      <c r="H13" t="s">
        <v>43699</v>
      </c>
      <c r="I13" t="s">
        <v>43700</v>
      </c>
      <c r="J13" t="s">
        <v>23995</v>
      </c>
      <c r="K13" t="s">
        <v>43365</v>
      </c>
      <c r="L13" t="s">
        <v>43366</v>
      </c>
    </row>
    <row r="14" spans="1:12" x14ac:dyDescent="0.3">
      <c r="A14" t="s">
        <v>12435</v>
      </c>
      <c r="B14" t="s">
        <v>12436</v>
      </c>
      <c r="C14" t="s">
        <v>12437</v>
      </c>
      <c r="D14" t="s">
        <v>12437</v>
      </c>
      <c r="E14" t="s">
        <v>12437</v>
      </c>
      <c r="F14" t="s">
        <v>43779</v>
      </c>
      <c r="G14" t="s">
        <v>43780</v>
      </c>
      <c r="H14" t="s">
        <v>43781</v>
      </c>
      <c r="I14" t="s">
        <v>43782</v>
      </c>
      <c r="J14" t="s">
        <v>12440</v>
      </c>
      <c r="K14" t="s">
        <v>38411</v>
      </c>
      <c r="L14" t="s">
        <v>43783</v>
      </c>
    </row>
    <row r="16" spans="1:12" x14ac:dyDescent="0.3">
      <c r="A16" t="s">
        <v>43784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ΔΗΜΟΣΙΑ ΣΧΟΛΕΙΑ</vt:lpstr>
      <vt:lpstr>ΚΕΣΥ</vt:lpstr>
      <vt:lpstr>ΔΝΣΕΙΣ ΕΚΠΑΙΔΕΥΣΗΣ</vt:lpstr>
      <vt:lpstr>ΠΔΕ</vt:lpstr>
      <vt:lpstr>'ΔΗΜΟΣΙΑ ΣΧΟΛΕΙΑ'!CSV_2021_04_05_100429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Antonis</dc:creator>
  <cp:lastModifiedBy>User</cp:lastModifiedBy>
  <dcterms:created xsi:type="dcterms:W3CDTF">2015-06-05T18:19:34Z</dcterms:created>
  <dcterms:modified xsi:type="dcterms:W3CDTF">2021-04-05T07:39:27Z</dcterms:modified>
</cp:coreProperties>
</file>